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volatileDependencies.xml" ContentType="application/vnd.openxmlformats-officedocument.spreadsheetml.volatileDependenc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-105" yWindow="-105" windowWidth="30930" windowHeight="16890" tabRatio="739" activeTab="4"/>
  </bookViews>
  <sheets>
    <sheet name="當沖3元跌幅15%" sheetId="114" r:id="rId1"/>
    <sheet name="加碼排名前200" sheetId="74" r:id="rId2"/>
    <sheet name="30權值10櫃" sheetId="118" r:id="rId3"/>
    <sheet name="TSE OTC全部" sheetId="57" r:id="rId4"/>
    <sheet name="看盤指數新股" sheetId="28" r:id="rId5"/>
    <sheet name="stock" sheetId="22" r:id="rId6"/>
    <sheet name="321買" sheetId="116" r:id="rId7"/>
    <sheet name="融外自投" sheetId="121" r:id="rId8"/>
    <sheet name="今日總結" sheetId="122" r:id="rId9"/>
    <sheet name="基本資料" sheetId="123" r:id="rId10"/>
    <sheet name="MEMO" sheetId="21" r:id="rId11"/>
    <sheet name="分類" sheetId="85" r:id="rId12"/>
    <sheet name="整理導入表" sheetId="117" r:id="rId13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53" i="28"/>
  <c r="W54"/>
  <c r="W56"/>
  <c r="AI9" i="74"/>
  <c r="AH9" s="1"/>
  <c r="AF9"/>
  <c r="W9"/>
  <c r="U9" s="1"/>
  <c r="AI8"/>
  <c r="AH8" s="1"/>
  <c r="AF8"/>
  <c r="W8"/>
  <c r="Y8" s="1"/>
  <c r="Z8" s="1"/>
  <c r="AI7"/>
  <c r="AH7" s="1"/>
  <c r="AF7"/>
  <c r="W7"/>
  <c r="U7" s="1"/>
  <c r="AI6"/>
  <c r="AH6" s="1"/>
  <c r="AF6"/>
  <c r="W6"/>
  <c r="U6" s="1"/>
  <c r="AI5"/>
  <c r="AH5" s="1"/>
  <c r="AF5"/>
  <c r="W5"/>
  <c r="Y5" s="1"/>
  <c r="Z5" s="1"/>
  <c r="AI4"/>
  <c r="AH4" s="1"/>
  <c r="AF4"/>
  <c r="W4"/>
  <c r="Y4" s="1"/>
  <c r="Z4" s="1"/>
  <c r="AI3"/>
  <c r="AH3" s="1"/>
  <c r="AF3"/>
  <c r="W3"/>
  <c r="U3" s="1"/>
  <c r="AI2"/>
  <c r="AH2" s="1"/>
  <c r="AF2"/>
  <c r="W2"/>
  <c r="U2" s="1"/>
  <c r="AI9" i="114"/>
  <c r="AF9"/>
  <c r="W9"/>
  <c r="U9" s="1"/>
  <c r="AI29"/>
  <c r="AF29"/>
  <c r="W29"/>
  <c r="U29" s="1"/>
  <c r="AI28"/>
  <c r="AF28"/>
  <c r="W28"/>
  <c r="U28" s="1"/>
  <c r="AI27"/>
  <c r="AF27"/>
  <c r="W27"/>
  <c r="U27" s="1"/>
  <c r="AI26"/>
  <c r="AF26"/>
  <c r="W26"/>
  <c r="U26" s="1"/>
  <c r="AI25"/>
  <c r="AF25"/>
  <c r="W25"/>
  <c r="U25" s="1"/>
  <c r="AI24"/>
  <c r="AF24"/>
  <c r="W24"/>
  <c r="U24" s="1"/>
  <c r="AI23"/>
  <c r="AF23"/>
  <c r="W23"/>
  <c r="U23" s="1"/>
  <c r="AI22"/>
  <c r="AF22"/>
  <c r="W22"/>
  <c r="U22" s="1"/>
  <c r="AI21"/>
  <c r="AF21"/>
  <c r="W21"/>
  <c r="U21" s="1"/>
  <c r="AI20"/>
  <c r="AF20"/>
  <c r="W20"/>
  <c r="U20" s="1"/>
  <c r="AI19"/>
  <c r="AF19"/>
  <c r="W19"/>
  <c r="U19" s="1"/>
  <c r="AI18"/>
  <c r="AF18"/>
  <c r="W18"/>
  <c r="U18" s="1"/>
  <c r="AI17"/>
  <c r="AF17"/>
  <c r="W17"/>
  <c r="U17" s="1"/>
  <c r="AI16"/>
  <c r="AF16"/>
  <c r="W16"/>
  <c r="U16" s="1"/>
  <c r="AI15"/>
  <c r="AF15"/>
  <c r="W15"/>
  <c r="U15" s="1"/>
  <c r="AI14"/>
  <c r="AF14"/>
  <c r="W14"/>
  <c r="U14" s="1"/>
  <c r="AI13"/>
  <c r="AF13"/>
  <c r="W13"/>
  <c r="U13" s="1"/>
  <c r="AI12"/>
  <c r="AF12"/>
  <c r="W12"/>
  <c r="U12" s="1"/>
  <c r="AI11"/>
  <c r="AF11"/>
  <c r="W11"/>
  <c r="U11" s="1"/>
  <c r="AI10"/>
  <c r="AF10"/>
  <c r="W10"/>
  <c r="U10" s="1"/>
  <c r="AI8"/>
  <c r="AF8"/>
  <c r="W8"/>
  <c r="U8" s="1"/>
  <c r="AI7"/>
  <c r="AF7"/>
  <c r="W7"/>
  <c r="U7" s="1"/>
  <c r="AI6"/>
  <c r="AH6" s="1"/>
  <c r="AF6"/>
  <c r="W6"/>
  <c r="U6" s="1"/>
  <c r="AB63" i="28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97"/>
  <c r="AB98"/>
  <c r="AB99"/>
  <c r="AB100"/>
  <c r="AB101"/>
  <c r="AB102"/>
  <c r="AB103"/>
  <c r="AB104"/>
  <c r="AB105"/>
  <c r="AB106"/>
  <c r="AB107"/>
  <c r="AB108"/>
  <c r="AB109"/>
  <c r="AB110"/>
  <c r="AB111"/>
  <c r="AB112"/>
  <c r="AB113"/>
  <c r="AB114"/>
  <c r="AB115"/>
  <c r="AB116"/>
  <c r="AB117"/>
  <c r="AB118"/>
  <c r="AB119"/>
  <c r="AB120"/>
  <c r="AB121"/>
  <c r="AB122"/>
  <c r="AB123"/>
  <c r="AB124"/>
  <c r="AB125"/>
  <c r="AB126"/>
  <c r="AB127"/>
  <c r="AB128"/>
  <c r="AB129"/>
  <c r="AB130"/>
  <c r="AB131"/>
  <c r="AB132"/>
  <c r="AB133"/>
  <c r="AB134"/>
  <c r="AB135"/>
  <c r="AB136"/>
  <c r="AB137"/>
  <c r="AB138"/>
  <c r="AB139"/>
  <c r="AB140"/>
  <c r="AB141"/>
  <c r="AB142"/>
  <c r="AB143"/>
  <c r="AB144"/>
  <c r="AB145"/>
  <c r="AB146"/>
  <c r="AB147"/>
  <c r="AB148"/>
  <c r="AB149"/>
  <c r="AB150"/>
  <c r="AB151"/>
  <c r="AB152"/>
  <c r="AB153"/>
  <c r="AB154"/>
  <c r="AB155"/>
  <c r="AB156"/>
  <c r="AB157"/>
  <c r="AB158"/>
  <c r="AB159"/>
  <c r="AB160"/>
  <c r="AB161"/>
  <c r="AB162"/>
  <c r="AB163"/>
  <c r="AB164"/>
  <c r="AB165"/>
  <c r="AB166"/>
  <c r="AB167"/>
  <c r="AB168"/>
  <c r="AB169"/>
  <c r="AB170"/>
  <c r="AB171"/>
  <c r="AB172"/>
  <c r="AB173"/>
  <c r="AB174"/>
  <c r="AB175"/>
  <c r="AB176"/>
  <c r="AB177"/>
  <c r="AB178"/>
  <c r="AB179"/>
  <c r="AB180"/>
  <c r="AB181"/>
  <c r="AB182"/>
  <c r="AB183"/>
  <c r="AB184"/>
  <c r="AB185"/>
  <c r="AB186"/>
  <c r="AB187"/>
  <c r="AB188"/>
  <c r="AB189"/>
  <c r="AB190"/>
  <c r="AB191"/>
  <c r="AB192"/>
  <c r="AB193"/>
  <c r="AB194"/>
  <c r="AB195"/>
  <c r="AB196"/>
  <c r="AB197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264"/>
  <c r="AB265"/>
  <c r="AB266"/>
  <c r="AB267"/>
  <c r="AB268"/>
  <c r="AB269"/>
  <c r="AB270"/>
  <c r="AB271"/>
  <c r="AB272"/>
  <c r="AB273"/>
  <c r="AB274"/>
  <c r="AB275"/>
  <c r="AB276"/>
  <c r="AB277"/>
  <c r="AB278"/>
  <c r="AB279"/>
  <c r="AB280"/>
  <c r="AB281"/>
  <c r="AB282"/>
  <c r="AB283"/>
  <c r="AB284"/>
  <c r="AB285"/>
  <c r="AB286"/>
  <c r="AB287"/>
  <c r="AB288"/>
  <c r="AB289"/>
  <c r="AB290"/>
  <c r="AB291"/>
  <c r="AB292"/>
  <c r="AB293"/>
  <c r="AB294"/>
  <c r="AB295"/>
  <c r="AB296"/>
  <c r="AB297"/>
  <c r="AB298"/>
  <c r="AB299"/>
  <c r="AB300"/>
  <c r="AB301"/>
  <c r="AB302"/>
  <c r="AB303"/>
  <c r="AB304"/>
  <c r="AB305"/>
  <c r="AB306"/>
  <c r="AB307"/>
  <c r="AB308"/>
  <c r="AB309"/>
  <c r="AB310"/>
  <c r="AB311"/>
  <c r="AB312"/>
  <c r="AB313"/>
  <c r="AB314"/>
  <c r="AB315"/>
  <c r="AB316"/>
  <c r="AB317"/>
  <c r="AB318"/>
  <c r="AB319"/>
  <c r="AB320"/>
  <c r="AB321"/>
  <c r="AB322"/>
  <c r="AB323"/>
  <c r="AB324"/>
  <c r="AB325"/>
  <c r="AB326"/>
  <c r="AB327"/>
  <c r="AB328"/>
  <c r="AB329"/>
  <c r="AB330"/>
  <c r="AB331"/>
  <c r="AB332"/>
  <c r="AB333"/>
  <c r="AB334"/>
  <c r="AB62"/>
  <c r="AB61"/>
  <c r="AB60"/>
  <c r="AB56"/>
  <c r="AB54"/>
  <c r="AB53"/>
  <c r="AB51"/>
  <c r="AB50"/>
  <c r="AB49"/>
  <c r="AB47"/>
  <c r="AB46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13"/>
  <c r="AR47"/>
  <c r="AR49"/>
  <c r="AR50"/>
  <c r="AR51"/>
  <c r="AR53"/>
  <c r="AR54"/>
  <c r="AR56"/>
  <c r="AR60"/>
  <c r="AR61"/>
  <c r="AR62"/>
  <c r="AR63"/>
  <c r="AR64"/>
  <c r="AR65"/>
  <c r="AR66"/>
  <c r="AR67"/>
  <c r="AR68"/>
  <c r="AR69"/>
  <c r="AR70"/>
  <c r="AR71"/>
  <c r="AR72"/>
  <c r="AR73"/>
  <c r="AR74"/>
  <c r="AR75"/>
  <c r="AR76"/>
  <c r="AR77"/>
  <c r="AR78"/>
  <c r="AR79"/>
  <c r="AR80"/>
  <c r="AR81"/>
  <c r="AR82"/>
  <c r="AR83"/>
  <c r="AR84"/>
  <c r="AR85"/>
  <c r="AR86"/>
  <c r="AR87"/>
  <c r="AR88"/>
  <c r="AR89"/>
  <c r="AR90"/>
  <c r="AR91"/>
  <c r="AR92"/>
  <c r="AR93"/>
  <c r="AR94"/>
  <c r="AR95"/>
  <c r="AR96"/>
  <c r="AR97"/>
  <c r="AR98"/>
  <c r="AR99"/>
  <c r="AR100"/>
  <c r="AR101"/>
  <c r="AR102"/>
  <c r="AR103"/>
  <c r="AR104"/>
  <c r="AR105"/>
  <c r="AR106"/>
  <c r="AR107"/>
  <c r="AR108"/>
  <c r="AR109"/>
  <c r="AR110"/>
  <c r="AR111"/>
  <c r="AR112"/>
  <c r="AR113"/>
  <c r="AR114"/>
  <c r="AR115"/>
  <c r="AR116"/>
  <c r="AR117"/>
  <c r="AR118"/>
  <c r="AR119"/>
  <c r="AR120"/>
  <c r="AR121"/>
  <c r="AR122"/>
  <c r="AR123"/>
  <c r="AR124"/>
  <c r="AR125"/>
  <c r="AR126"/>
  <c r="AR127"/>
  <c r="AR128"/>
  <c r="AR129"/>
  <c r="AR130"/>
  <c r="AR131"/>
  <c r="AR132"/>
  <c r="AR133"/>
  <c r="AR134"/>
  <c r="AR135"/>
  <c r="AR136"/>
  <c r="AR137"/>
  <c r="AR138"/>
  <c r="AR139"/>
  <c r="AR140"/>
  <c r="AR141"/>
  <c r="AR142"/>
  <c r="AR143"/>
  <c r="AR144"/>
  <c r="AR145"/>
  <c r="AR146"/>
  <c r="AR147"/>
  <c r="AR148"/>
  <c r="AR149"/>
  <c r="AR150"/>
  <c r="AR151"/>
  <c r="AR152"/>
  <c r="AR153"/>
  <c r="AR154"/>
  <c r="AR155"/>
  <c r="AR156"/>
  <c r="AR157"/>
  <c r="AR158"/>
  <c r="AR159"/>
  <c r="AR160"/>
  <c r="AR161"/>
  <c r="AR162"/>
  <c r="AR163"/>
  <c r="AR164"/>
  <c r="AR165"/>
  <c r="AR166"/>
  <c r="AR167"/>
  <c r="AR168"/>
  <c r="AR169"/>
  <c r="AR170"/>
  <c r="AR171"/>
  <c r="AR172"/>
  <c r="AR173"/>
  <c r="AR174"/>
  <c r="AR175"/>
  <c r="AR176"/>
  <c r="AR177"/>
  <c r="AR178"/>
  <c r="AR179"/>
  <c r="AR180"/>
  <c r="AR181"/>
  <c r="AR182"/>
  <c r="AR183"/>
  <c r="AR184"/>
  <c r="AR185"/>
  <c r="AR186"/>
  <c r="AR187"/>
  <c r="AR188"/>
  <c r="AR189"/>
  <c r="AR190"/>
  <c r="AR191"/>
  <c r="AR192"/>
  <c r="AR193"/>
  <c r="AR194"/>
  <c r="AR195"/>
  <c r="AR196"/>
  <c r="AR197"/>
  <c r="AR198"/>
  <c r="AR199"/>
  <c r="AR200"/>
  <c r="AR201"/>
  <c r="AR202"/>
  <c r="AR203"/>
  <c r="AR204"/>
  <c r="AR205"/>
  <c r="AR206"/>
  <c r="AR207"/>
  <c r="AR208"/>
  <c r="AR209"/>
  <c r="AR210"/>
  <c r="AR211"/>
  <c r="AR212"/>
  <c r="AR213"/>
  <c r="AR214"/>
  <c r="AR215"/>
  <c r="AR216"/>
  <c r="AR217"/>
  <c r="AR218"/>
  <c r="AR219"/>
  <c r="AR220"/>
  <c r="AR221"/>
  <c r="AR222"/>
  <c r="AR223"/>
  <c r="AR224"/>
  <c r="AR225"/>
  <c r="AR226"/>
  <c r="AR227"/>
  <c r="AR228"/>
  <c r="AR229"/>
  <c r="AR230"/>
  <c r="AR231"/>
  <c r="AR232"/>
  <c r="AR233"/>
  <c r="AR234"/>
  <c r="AR235"/>
  <c r="AR236"/>
  <c r="AR237"/>
  <c r="AR238"/>
  <c r="AR239"/>
  <c r="AR240"/>
  <c r="AR241"/>
  <c r="AR242"/>
  <c r="AR243"/>
  <c r="AR244"/>
  <c r="AR245"/>
  <c r="AR246"/>
  <c r="AR247"/>
  <c r="AR248"/>
  <c r="AR249"/>
  <c r="AR250"/>
  <c r="AR251"/>
  <c r="AR252"/>
  <c r="AR253"/>
  <c r="AR254"/>
  <c r="AR255"/>
  <c r="AR256"/>
  <c r="AR257"/>
  <c r="AR258"/>
  <c r="AR259"/>
  <c r="AR260"/>
  <c r="AR261"/>
  <c r="AR262"/>
  <c r="AR263"/>
  <c r="AR264"/>
  <c r="AR265"/>
  <c r="AR266"/>
  <c r="AR267"/>
  <c r="AR268"/>
  <c r="AR269"/>
  <c r="AR270"/>
  <c r="AR271"/>
  <c r="AR272"/>
  <c r="AR273"/>
  <c r="AR274"/>
  <c r="AR275"/>
  <c r="AR276"/>
  <c r="AR277"/>
  <c r="AR278"/>
  <c r="AR279"/>
  <c r="AR280"/>
  <c r="AR281"/>
  <c r="AR282"/>
  <c r="AR283"/>
  <c r="AR284"/>
  <c r="AR285"/>
  <c r="AR286"/>
  <c r="AR287"/>
  <c r="AR288"/>
  <c r="AR289"/>
  <c r="AR290"/>
  <c r="AR291"/>
  <c r="AR292"/>
  <c r="AR293"/>
  <c r="AR294"/>
  <c r="AR295"/>
  <c r="AR296"/>
  <c r="AR297"/>
  <c r="AR298"/>
  <c r="AR299"/>
  <c r="AR300"/>
  <c r="AR301"/>
  <c r="AR302"/>
  <c r="AR303"/>
  <c r="AR304"/>
  <c r="AR305"/>
  <c r="AR306"/>
  <c r="AR307"/>
  <c r="AR308"/>
  <c r="AR309"/>
  <c r="AR310"/>
  <c r="AR311"/>
  <c r="AR312"/>
  <c r="AR313"/>
  <c r="AR314"/>
  <c r="AR315"/>
  <c r="AR316"/>
  <c r="AR317"/>
  <c r="AR318"/>
  <c r="AR319"/>
  <c r="AR320"/>
  <c r="AR321"/>
  <c r="AR322"/>
  <c r="AR323"/>
  <c r="AR324"/>
  <c r="AR325"/>
  <c r="AR326"/>
  <c r="AR327"/>
  <c r="AR328"/>
  <c r="AR329"/>
  <c r="AR330"/>
  <c r="AR331"/>
  <c r="AR332"/>
  <c r="AR333"/>
  <c r="AR334"/>
  <c r="AR46"/>
  <c r="AR16"/>
  <c r="AR17"/>
  <c r="AR18"/>
  <c r="AR19"/>
  <c r="AR20"/>
  <c r="AR21"/>
  <c r="AR22"/>
  <c r="AR23"/>
  <c r="AR24"/>
  <c r="AR25"/>
  <c r="AR26"/>
  <c r="AR27"/>
  <c r="AR28"/>
  <c r="AR29"/>
  <c r="AR30"/>
  <c r="AR31"/>
  <c r="AR32"/>
  <c r="AR33"/>
  <c r="AR34"/>
  <c r="AR35"/>
  <c r="AR15"/>
  <c r="AR14"/>
  <c r="AR13"/>
  <c r="AR2" i="118"/>
  <c r="AR3"/>
  <c r="AR4"/>
  <c r="AR5"/>
  <c r="AR6"/>
  <c r="AR7"/>
  <c r="AR8"/>
  <c r="AR9"/>
  <c r="AR10"/>
  <c r="AR11"/>
  <c r="AR12"/>
  <c r="AR13"/>
  <c r="AR14"/>
  <c r="AR15"/>
  <c r="AR16"/>
  <c r="AR17"/>
  <c r="AR18"/>
  <c r="AR19"/>
  <c r="AR20"/>
  <c r="AR21"/>
  <c r="AR22"/>
  <c r="AR23"/>
  <c r="AR24"/>
  <c r="AR25"/>
  <c r="AR26"/>
  <c r="AR27"/>
  <c r="AR28"/>
  <c r="AR29"/>
  <c r="AR30"/>
  <c r="AR31"/>
  <c r="AR32"/>
  <c r="AR33"/>
  <c r="AR34"/>
  <c r="AR35"/>
  <c r="AR36"/>
  <c r="AR37"/>
  <c r="AR38"/>
  <c r="AR39"/>
  <c r="AR40"/>
  <c r="AR1"/>
  <c r="AB1825" i="57"/>
  <c r="AB1824"/>
  <c r="AB1819"/>
  <c r="AB1820"/>
  <c r="AB1821"/>
  <c r="AB1818"/>
  <c r="AB1808"/>
  <c r="AB1809"/>
  <c r="AB1810"/>
  <c r="AB1811"/>
  <c r="AB1812"/>
  <c r="AB1813"/>
  <c r="AB1814"/>
  <c r="AB1815"/>
  <c r="AB1807"/>
  <c r="AB1781"/>
  <c r="AB1782"/>
  <c r="AB1783"/>
  <c r="AB1784"/>
  <c r="AB1785"/>
  <c r="AB1786"/>
  <c r="AB1787"/>
  <c r="AB1788"/>
  <c r="AB1789"/>
  <c r="AB1790"/>
  <c r="AB1791"/>
  <c r="AB1792"/>
  <c r="AB1793"/>
  <c r="AB1794"/>
  <c r="AB1795"/>
  <c r="AB1796"/>
  <c r="AB1797"/>
  <c r="AB1798"/>
  <c r="AB1799"/>
  <c r="AB1800"/>
  <c r="AB1801"/>
  <c r="AB1802"/>
  <c r="AB1803"/>
  <c r="AB1804"/>
  <c r="AB1780"/>
  <c r="AB1704"/>
  <c r="AB1705"/>
  <c r="AB1706"/>
  <c r="AB1707"/>
  <c r="AB1708"/>
  <c r="AB1709"/>
  <c r="AB1710"/>
  <c r="AB1711"/>
  <c r="AB1712"/>
  <c r="AB1713"/>
  <c r="AB1714"/>
  <c r="AB1715"/>
  <c r="AB1716"/>
  <c r="AB1717"/>
  <c r="AB1718"/>
  <c r="AB1719"/>
  <c r="AB1720"/>
  <c r="AB1721"/>
  <c r="AB1722"/>
  <c r="AB1723"/>
  <c r="AB1724"/>
  <c r="AB1725"/>
  <c r="AB1726"/>
  <c r="AB1727"/>
  <c r="AB1728"/>
  <c r="AB1729"/>
  <c r="AB1730"/>
  <c r="AB1731"/>
  <c r="AB1732"/>
  <c r="AB1733"/>
  <c r="AB1734"/>
  <c r="AB1735"/>
  <c r="AB1736"/>
  <c r="AB1737"/>
  <c r="AB1738"/>
  <c r="AB1739"/>
  <c r="AB1740"/>
  <c r="AB1741"/>
  <c r="AB1742"/>
  <c r="AB1743"/>
  <c r="AB1744"/>
  <c r="AB1745"/>
  <c r="AB1746"/>
  <c r="AB1747"/>
  <c r="AB1748"/>
  <c r="AB1749"/>
  <c r="AB1750"/>
  <c r="AB1751"/>
  <c r="AB1752"/>
  <c r="AB1753"/>
  <c r="AB1754"/>
  <c r="AB1755"/>
  <c r="AB1756"/>
  <c r="AB1757"/>
  <c r="AB1758"/>
  <c r="AB1759"/>
  <c r="AB1760"/>
  <c r="AB1761"/>
  <c r="AB1762"/>
  <c r="AB1763"/>
  <c r="AB1764"/>
  <c r="AB1765"/>
  <c r="AB1766"/>
  <c r="AB1767"/>
  <c r="AB1768"/>
  <c r="AB1769"/>
  <c r="AB1770"/>
  <c r="AB1771"/>
  <c r="AB1772"/>
  <c r="AB1773"/>
  <c r="AB1774"/>
  <c r="AB1775"/>
  <c r="AB1776"/>
  <c r="AB1777"/>
  <c r="AB1703"/>
  <c r="AB1702"/>
  <c r="AB1701"/>
  <c r="AB1700"/>
  <c r="AB1699"/>
  <c r="AB1698"/>
  <c r="AB1697"/>
  <c r="AB1696"/>
  <c r="AB1695"/>
  <c r="AB1694"/>
  <c r="AB1693"/>
  <c r="AB1692"/>
  <c r="AB1679"/>
  <c r="AB1680"/>
  <c r="AB1681"/>
  <c r="AB1682"/>
  <c r="AB1683"/>
  <c r="AB1684"/>
  <c r="AB1685"/>
  <c r="AB1686"/>
  <c r="AB1687"/>
  <c r="AB1688"/>
  <c r="AB1689"/>
  <c r="AB1678"/>
  <c r="AB1640"/>
  <c r="AB1641"/>
  <c r="AB1642"/>
  <c r="AB1643"/>
  <c r="AB1644"/>
  <c r="AB1645"/>
  <c r="AB1646"/>
  <c r="AB1647"/>
  <c r="AB1648"/>
  <c r="AB1649"/>
  <c r="AB1650"/>
  <c r="AB1651"/>
  <c r="AB1652"/>
  <c r="AB1653"/>
  <c r="AB1654"/>
  <c r="AB1655"/>
  <c r="AB1656"/>
  <c r="AB1657"/>
  <c r="AB1658"/>
  <c r="AB1659"/>
  <c r="AB1660"/>
  <c r="AB1661"/>
  <c r="AB1662"/>
  <c r="AB1663"/>
  <c r="AB1664"/>
  <c r="AB1665"/>
  <c r="AB1666"/>
  <c r="AB1667"/>
  <c r="AB1668"/>
  <c r="AB1669"/>
  <c r="AB1670"/>
  <c r="AB1671"/>
  <c r="AB1672"/>
  <c r="AB1673"/>
  <c r="AB1674"/>
  <c r="AB1675"/>
  <c r="AB1639"/>
  <c r="AB1595"/>
  <c r="AB1596"/>
  <c r="AB1597"/>
  <c r="AB1598"/>
  <c r="AB1599"/>
  <c r="AB1600"/>
  <c r="AB1601"/>
  <c r="AB1602"/>
  <c r="AB1603"/>
  <c r="AB1604"/>
  <c r="AB1605"/>
  <c r="AB1606"/>
  <c r="AB1607"/>
  <c r="AB1608"/>
  <c r="AB1609"/>
  <c r="AB1610"/>
  <c r="AB1611"/>
  <c r="AB1612"/>
  <c r="AB1613"/>
  <c r="AB1614"/>
  <c r="AB1615"/>
  <c r="AB1616"/>
  <c r="AB1617"/>
  <c r="AB1618"/>
  <c r="AB1619"/>
  <c r="AB1620"/>
  <c r="AB1621"/>
  <c r="AB1622"/>
  <c r="AB1623"/>
  <c r="AB1624"/>
  <c r="AB1625"/>
  <c r="AB1626"/>
  <c r="AB1627"/>
  <c r="AB1628"/>
  <c r="AB1629"/>
  <c r="AB1630"/>
  <c r="AB1631"/>
  <c r="AB1632"/>
  <c r="AB1633"/>
  <c r="AB1634"/>
  <c r="AB1635"/>
  <c r="AB1636"/>
  <c r="AB1594"/>
  <c r="AB1577"/>
  <c r="AB1578"/>
  <c r="AB1579"/>
  <c r="AB1580"/>
  <c r="AB1581"/>
  <c r="AB1582"/>
  <c r="AB1583"/>
  <c r="AB1584"/>
  <c r="AB1585"/>
  <c r="AB1586"/>
  <c r="AB1587"/>
  <c r="AB1588"/>
  <c r="AB1589"/>
  <c r="AB1590"/>
  <c r="AB1591"/>
  <c r="AB1576"/>
  <c r="AB1575"/>
  <c r="AB1574"/>
  <c r="AB1573"/>
  <c r="AB1572"/>
  <c r="AB1571"/>
  <c r="AB1570"/>
  <c r="AB1569"/>
  <c r="AB1568"/>
  <c r="AB1567"/>
  <c r="AB1566"/>
  <c r="AB1565"/>
  <c r="AB1564"/>
  <c r="AB1563"/>
  <c r="AB1562"/>
  <c r="AB1561"/>
  <c r="AB1560"/>
  <c r="AB1559"/>
  <c r="AB1558"/>
  <c r="AB1557"/>
  <c r="AB1556"/>
  <c r="AB1555"/>
  <c r="AB1554"/>
  <c r="AB1553"/>
  <c r="AB1552"/>
  <c r="AB1551"/>
  <c r="AB1550"/>
  <c r="AB1549"/>
  <c r="AB1548"/>
  <c r="AB1518"/>
  <c r="AB1519"/>
  <c r="AB1520"/>
  <c r="AB1521"/>
  <c r="AB1522"/>
  <c r="AB1523"/>
  <c r="AB1524"/>
  <c r="AB1525"/>
  <c r="AB1526"/>
  <c r="AB1527"/>
  <c r="AB1528"/>
  <c r="AB1529"/>
  <c r="AB1530"/>
  <c r="AB1531"/>
  <c r="AB1532"/>
  <c r="AB1533"/>
  <c r="AB1534"/>
  <c r="AB1535"/>
  <c r="AB1536"/>
  <c r="AB1537"/>
  <c r="AB1538"/>
  <c r="AB1539"/>
  <c r="AB1540"/>
  <c r="AB1541"/>
  <c r="AB1542"/>
  <c r="AB1543"/>
  <c r="AB1544"/>
  <c r="AB1545"/>
  <c r="AB1517"/>
  <c r="AB1442"/>
  <c r="AB1443"/>
  <c r="AB1444"/>
  <c r="AB1445"/>
  <c r="AB1446"/>
  <c r="AB1447"/>
  <c r="AB1448"/>
  <c r="AB1449"/>
  <c r="AB1450"/>
  <c r="AB1451"/>
  <c r="AB1452"/>
  <c r="AB1453"/>
  <c r="AB1454"/>
  <c r="AB1455"/>
  <c r="AB1456"/>
  <c r="AB1457"/>
  <c r="AB1458"/>
  <c r="AB1459"/>
  <c r="AB1460"/>
  <c r="AB1461"/>
  <c r="AB1462"/>
  <c r="AB1463"/>
  <c r="AB1464"/>
  <c r="AB1465"/>
  <c r="AB1466"/>
  <c r="AB1467"/>
  <c r="AB1468"/>
  <c r="AB1469"/>
  <c r="AB1470"/>
  <c r="AB1471"/>
  <c r="AB1472"/>
  <c r="AB1473"/>
  <c r="AB1474"/>
  <c r="AB1475"/>
  <c r="AB1476"/>
  <c r="AB1477"/>
  <c r="AB1478"/>
  <c r="AB1479"/>
  <c r="AB1480"/>
  <c r="AB1481"/>
  <c r="AB1482"/>
  <c r="AB1483"/>
  <c r="AB1484"/>
  <c r="AB1485"/>
  <c r="AB1486"/>
  <c r="AB1487"/>
  <c r="AB1488"/>
  <c r="AB1489"/>
  <c r="AB1490"/>
  <c r="AB1491"/>
  <c r="AB1492"/>
  <c r="AB1493"/>
  <c r="AB1494"/>
  <c r="AB1495"/>
  <c r="AB1496"/>
  <c r="AB1497"/>
  <c r="AB1498"/>
  <c r="AB1499"/>
  <c r="AB1500"/>
  <c r="AB1501"/>
  <c r="AB1502"/>
  <c r="AB1503"/>
  <c r="AB1504"/>
  <c r="AB1505"/>
  <c r="AB1506"/>
  <c r="AB1507"/>
  <c r="AB1508"/>
  <c r="AB1509"/>
  <c r="AB1510"/>
  <c r="AB1511"/>
  <c r="AB1512"/>
  <c r="AB1513"/>
  <c r="AB1514"/>
  <c r="AB1441"/>
  <c r="AB1349"/>
  <c r="AB1350"/>
  <c r="AB1351"/>
  <c r="AB1352"/>
  <c r="AB1353"/>
  <c r="AB1354"/>
  <c r="AB1355"/>
  <c r="AB1356"/>
  <c r="AB1357"/>
  <c r="AB1358"/>
  <c r="AB1359"/>
  <c r="AB1360"/>
  <c r="AB1361"/>
  <c r="AB1362"/>
  <c r="AB1363"/>
  <c r="AB1364"/>
  <c r="AB1365"/>
  <c r="AB1366"/>
  <c r="AB1367"/>
  <c r="AB1368"/>
  <c r="AB1369"/>
  <c r="AB1370"/>
  <c r="AB1371"/>
  <c r="AB1372"/>
  <c r="AB1373"/>
  <c r="AB1374"/>
  <c r="AB1375"/>
  <c r="AB1376"/>
  <c r="AB1377"/>
  <c r="AB1378"/>
  <c r="AB1379"/>
  <c r="AB1380"/>
  <c r="AB1381"/>
  <c r="AB1382"/>
  <c r="AB1383"/>
  <c r="AB1384"/>
  <c r="AB1385"/>
  <c r="AB1386"/>
  <c r="AB1387"/>
  <c r="AB1388"/>
  <c r="AB1389"/>
  <c r="AB1390"/>
  <c r="AB1391"/>
  <c r="AB1392"/>
  <c r="AB1393"/>
  <c r="AB1394"/>
  <c r="AB1395"/>
  <c r="AB1396"/>
  <c r="AB1397"/>
  <c r="AB1398"/>
  <c r="AB1399"/>
  <c r="AB1400"/>
  <c r="AB1401"/>
  <c r="AB1402"/>
  <c r="AB1403"/>
  <c r="AB1404"/>
  <c r="AB1405"/>
  <c r="AB1406"/>
  <c r="AB1407"/>
  <c r="AB1408"/>
  <c r="AB1409"/>
  <c r="AB1410"/>
  <c r="AB1411"/>
  <c r="AB1412"/>
  <c r="AB1413"/>
  <c r="AB1414"/>
  <c r="AB1415"/>
  <c r="AB1416"/>
  <c r="AB1417"/>
  <c r="AB1418"/>
  <c r="AB1419"/>
  <c r="AB1420"/>
  <c r="AB1421"/>
  <c r="AB1422"/>
  <c r="AB1423"/>
  <c r="AB1424"/>
  <c r="AB1425"/>
  <c r="AB1426"/>
  <c r="AB1427"/>
  <c r="AB1428"/>
  <c r="AB1429"/>
  <c r="AB1430"/>
  <c r="AB1431"/>
  <c r="AB1432"/>
  <c r="AB1433"/>
  <c r="AB1434"/>
  <c r="AB1435"/>
  <c r="AB1436"/>
  <c r="AB1437"/>
  <c r="AB1438"/>
  <c r="AB1348"/>
  <c r="AB1347"/>
  <c r="AB1346"/>
  <c r="AB1345"/>
  <c r="AB1344"/>
  <c r="AB1343"/>
  <c r="AB1342"/>
  <c r="AB1341"/>
  <c r="AB1340"/>
  <c r="AB1339"/>
  <c r="AB1338"/>
  <c r="AB1337"/>
  <c r="AB1336"/>
  <c r="AB1335"/>
  <c r="AB1334"/>
  <c r="AB1333"/>
  <c r="AB1332"/>
  <c r="AB1331"/>
  <c r="AB1330"/>
  <c r="AB1329"/>
  <c r="AB1328"/>
  <c r="AB1327"/>
  <c r="AB1326"/>
  <c r="AB1325"/>
  <c r="AB1324"/>
  <c r="AB1323"/>
  <c r="AB1322"/>
  <c r="AB1321"/>
  <c r="AB1320"/>
  <c r="AB1319"/>
  <c r="AB1318"/>
  <c r="AB1317"/>
  <c r="AB1316"/>
  <c r="AB1315"/>
  <c r="AB1314"/>
  <c r="AB1313"/>
  <c r="AB1312"/>
  <c r="AB1311"/>
  <c r="AB1310"/>
  <c r="AB1309"/>
  <c r="AB1303"/>
  <c r="AB1304"/>
  <c r="AB1305"/>
  <c r="AB1306"/>
  <c r="AB1302"/>
  <c r="AB1301"/>
  <c r="AB1300"/>
  <c r="AB1299"/>
  <c r="AB1298"/>
  <c r="AB1297"/>
  <c r="AB1296"/>
  <c r="AB1295"/>
  <c r="AB1294"/>
  <c r="AB1293"/>
  <c r="AB1292"/>
  <c r="AB1291"/>
  <c r="AB1290"/>
  <c r="AB1289"/>
  <c r="AB1288"/>
  <c r="AB1287"/>
  <c r="AB1286"/>
  <c r="AB1285"/>
  <c r="AB1284"/>
  <c r="AB1283"/>
  <c r="AB1282"/>
  <c r="AB1281"/>
  <c r="AB1280"/>
  <c r="AB1279"/>
  <c r="AB1278"/>
  <c r="AB1277"/>
  <c r="AB1276"/>
  <c r="AB1275"/>
  <c r="AB1274"/>
  <c r="AB1273"/>
  <c r="AB1272"/>
  <c r="AB1271"/>
  <c r="AB1270"/>
  <c r="AB1269"/>
  <c r="AB1268"/>
  <c r="AB1267"/>
  <c r="AB1230"/>
  <c r="AB1231"/>
  <c r="AB1232"/>
  <c r="AB1233"/>
  <c r="AB1234"/>
  <c r="AB1235"/>
  <c r="AB1236"/>
  <c r="AB1237"/>
  <c r="AB1238"/>
  <c r="AB1239"/>
  <c r="AB1240"/>
  <c r="AB1241"/>
  <c r="AB1242"/>
  <c r="AB1243"/>
  <c r="AB1244"/>
  <c r="AB1245"/>
  <c r="AB1246"/>
  <c r="AB1247"/>
  <c r="AB1248"/>
  <c r="AB1249"/>
  <c r="AB1250"/>
  <c r="AB1251"/>
  <c r="AB1252"/>
  <c r="AB1253"/>
  <c r="AB1254"/>
  <c r="AB1255"/>
  <c r="AB1256"/>
  <c r="AB1257"/>
  <c r="AB1258"/>
  <c r="AB1259"/>
  <c r="AB1260"/>
  <c r="AB1261"/>
  <c r="AB1262"/>
  <c r="AB1263"/>
  <c r="AB1264"/>
  <c r="AB1229"/>
  <c r="AB1108"/>
  <c r="AB1109"/>
  <c r="AB1110"/>
  <c r="AB1111"/>
  <c r="AB1112"/>
  <c r="AB1113"/>
  <c r="AB1114"/>
  <c r="AB1115"/>
  <c r="AB1116"/>
  <c r="AB1117"/>
  <c r="AB1118"/>
  <c r="AB1119"/>
  <c r="AB1120"/>
  <c r="AB1121"/>
  <c r="AB1122"/>
  <c r="AB1123"/>
  <c r="AB1124"/>
  <c r="AB1125"/>
  <c r="AB1126"/>
  <c r="AB1127"/>
  <c r="AB1128"/>
  <c r="AB1129"/>
  <c r="AB1130"/>
  <c r="AB1131"/>
  <c r="AB1132"/>
  <c r="AB1133"/>
  <c r="AB1134"/>
  <c r="AB1135"/>
  <c r="AB1136"/>
  <c r="AB1137"/>
  <c r="AB1138"/>
  <c r="AB1139"/>
  <c r="AB1140"/>
  <c r="AB1141"/>
  <c r="AB1142"/>
  <c r="AB1143"/>
  <c r="AB1144"/>
  <c r="AB1145"/>
  <c r="AB1146"/>
  <c r="AB1147"/>
  <c r="AB1148"/>
  <c r="AB1149"/>
  <c r="AB1150"/>
  <c r="AB1151"/>
  <c r="AB1152"/>
  <c r="AB1153"/>
  <c r="AB1154"/>
  <c r="AB1155"/>
  <c r="AB1156"/>
  <c r="AB1157"/>
  <c r="AB1158"/>
  <c r="AB1159"/>
  <c r="AB1160"/>
  <c r="AB1161"/>
  <c r="AB1162"/>
  <c r="AB1163"/>
  <c r="AB1164"/>
  <c r="AB1165"/>
  <c r="AB1166"/>
  <c r="AB1167"/>
  <c r="AB1168"/>
  <c r="AB1169"/>
  <c r="AB1170"/>
  <c r="AB1171"/>
  <c r="AB1172"/>
  <c r="AB1173"/>
  <c r="AB1174"/>
  <c r="AB1175"/>
  <c r="AB1176"/>
  <c r="AB1177"/>
  <c r="AB1178"/>
  <c r="AB1179"/>
  <c r="AB1180"/>
  <c r="AB1181"/>
  <c r="AB1182"/>
  <c r="AB1183"/>
  <c r="AB1184"/>
  <c r="AB1185"/>
  <c r="AB1186"/>
  <c r="AB1187"/>
  <c r="AB1188"/>
  <c r="AB1189"/>
  <c r="AB1190"/>
  <c r="AB1191"/>
  <c r="AB1192"/>
  <c r="AB1193"/>
  <c r="AB1194"/>
  <c r="AB1195"/>
  <c r="AB1196"/>
  <c r="AB1197"/>
  <c r="AB1198"/>
  <c r="AB1199"/>
  <c r="AB1200"/>
  <c r="AB1201"/>
  <c r="AB1202"/>
  <c r="AB1203"/>
  <c r="AB1204"/>
  <c r="AB1205"/>
  <c r="AB1206"/>
  <c r="AB1207"/>
  <c r="AB1208"/>
  <c r="AB1209"/>
  <c r="AB1210"/>
  <c r="AB1211"/>
  <c r="AB1212"/>
  <c r="AB1213"/>
  <c r="AB1214"/>
  <c r="AB1215"/>
  <c r="AB1216"/>
  <c r="AB1217"/>
  <c r="AB1218"/>
  <c r="AB1219"/>
  <c r="AB1220"/>
  <c r="AB1221"/>
  <c r="AB1222"/>
  <c r="AB1223"/>
  <c r="AB1224"/>
  <c r="AB1225"/>
  <c r="AB1226"/>
  <c r="AB1107"/>
  <c r="AB1106"/>
  <c r="AB1105"/>
  <c r="AB1104"/>
  <c r="AB1103"/>
  <c r="AB1102"/>
  <c r="AB1101"/>
  <c r="AB1100"/>
  <c r="AB1099"/>
  <c r="AB1098"/>
  <c r="AB1097"/>
  <c r="AB1096"/>
  <c r="AB1095"/>
  <c r="AB1094"/>
  <c r="AB1093"/>
  <c r="AB1092"/>
  <c r="AB1091"/>
  <c r="AB1090"/>
  <c r="AB1089"/>
  <c r="AB1088"/>
  <c r="AB1087"/>
  <c r="AB1086"/>
  <c r="AB1085"/>
  <c r="AB1084"/>
  <c r="AB1083"/>
  <c r="AB1082"/>
  <c r="AB1081"/>
  <c r="AB1080"/>
  <c r="AB1079"/>
  <c r="AB1078"/>
  <c r="AB1077"/>
  <c r="AB1076"/>
  <c r="AB1075"/>
  <c r="AB1074"/>
  <c r="AB1073"/>
  <c r="AB1072"/>
  <c r="AB1071"/>
  <c r="AB1070"/>
  <c r="AB1069"/>
  <c r="AB1068"/>
  <c r="AB1067"/>
  <c r="AB1066"/>
  <c r="AB1065"/>
  <c r="AB1064"/>
  <c r="AB1063"/>
  <c r="AB1062"/>
  <c r="AB1061"/>
  <c r="AB1060"/>
  <c r="AB1059"/>
  <c r="AB1058"/>
  <c r="AB1057"/>
  <c r="AB1056"/>
  <c r="AB1055"/>
  <c r="AB1054"/>
  <c r="AB1053"/>
  <c r="AB1052"/>
  <c r="AB1051"/>
  <c r="AB1050"/>
  <c r="AB1049"/>
  <c r="AB1048"/>
  <c r="AB1047"/>
  <c r="AB1046"/>
  <c r="AB1045"/>
  <c r="AB1044"/>
  <c r="AB1043"/>
  <c r="AB1042"/>
  <c r="AB1041"/>
  <c r="AB1040"/>
  <c r="AB1039"/>
  <c r="AB1038"/>
  <c r="AB1037"/>
  <c r="AB1036"/>
  <c r="AB1035"/>
  <c r="AB1034"/>
  <c r="AB1033"/>
  <c r="AB1032"/>
  <c r="AB1031"/>
  <c r="AB1030"/>
  <c r="AB1029"/>
  <c r="AB1028"/>
  <c r="AB1027"/>
  <c r="AB1026"/>
  <c r="AB1025"/>
  <c r="AB1024"/>
  <c r="AB1023"/>
  <c r="AB1022"/>
  <c r="AB1021"/>
  <c r="AB1020"/>
  <c r="AB931"/>
  <c r="AB932"/>
  <c r="AB933"/>
  <c r="AB934"/>
  <c r="AB935"/>
  <c r="AB936"/>
  <c r="AB937"/>
  <c r="AB938"/>
  <c r="AB939"/>
  <c r="AB940"/>
  <c r="AB941"/>
  <c r="AB942"/>
  <c r="AB943"/>
  <c r="AB944"/>
  <c r="AB945"/>
  <c r="AB946"/>
  <c r="AB947"/>
  <c r="AB948"/>
  <c r="AB949"/>
  <c r="AB950"/>
  <c r="AB951"/>
  <c r="AB952"/>
  <c r="AB953"/>
  <c r="AB954"/>
  <c r="AB955"/>
  <c r="AB956"/>
  <c r="AB957"/>
  <c r="AB958"/>
  <c r="AB959"/>
  <c r="AB960"/>
  <c r="AB961"/>
  <c r="AB962"/>
  <c r="AB963"/>
  <c r="AB964"/>
  <c r="AB965"/>
  <c r="AB966"/>
  <c r="AB967"/>
  <c r="AB968"/>
  <c r="AB969"/>
  <c r="AB970"/>
  <c r="AB971"/>
  <c r="AB972"/>
  <c r="AB973"/>
  <c r="AB974"/>
  <c r="AB975"/>
  <c r="AB976"/>
  <c r="AB977"/>
  <c r="AB978"/>
  <c r="AB979"/>
  <c r="AB980"/>
  <c r="AB981"/>
  <c r="AB982"/>
  <c r="AB983"/>
  <c r="AB984"/>
  <c r="AB985"/>
  <c r="AB986"/>
  <c r="AB987"/>
  <c r="AB988"/>
  <c r="AB989"/>
  <c r="AB990"/>
  <c r="AB991"/>
  <c r="AB992"/>
  <c r="AB993"/>
  <c r="AB994"/>
  <c r="AB995"/>
  <c r="AB996"/>
  <c r="AB997"/>
  <c r="AB998"/>
  <c r="AB999"/>
  <c r="AB1000"/>
  <c r="AB1001"/>
  <c r="AB1002"/>
  <c r="AB1003"/>
  <c r="AB1004"/>
  <c r="AB1005"/>
  <c r="AB1006"/>
  <c r="AB1007"/>
  <c r="AB1008"/>
  <c r="AB1009"/>
  <c r="AB1010"/>
  <c r="AB1011"/>
  <c r="AB1012"/>
  <c r="AB1013"/>
  <c r="AB1014"/>
  <c r="AB1015"/>
  <c r="AB1016"/>
  <c r="AB1017"/>
  <c r="AB930"/>
  <c r="AB810"/>
  <c r="AB811"/>
  <c r="AB812"/>
  <c r="AB813"/>
  <c r="AB814"/>
  <c r="AB815"/>
  <c r="AB816"/>
  <c r="AB817"/>
  <c r="AB818"/>
  <c r="AB819"/>
  <c r="AB820"/>
  <c r="AB821"/>
  <c r="AB822"/>
  <c r="AB823"/>
  <c r="AB824"/>
  <c r="AB825"/>
  <c r="AB826"/>
  <c r="AB827"/>
  <c r="AB828"/>
  <c r="AB829"/>
  <c r="AB830"/>
  <c r="AB831"/>
  <c r="AB832"/>
  <c r="AB833"/>
  <c r="AB834"/>
  <c r="AB835"/>
  <c r="AB836"/>
  <c r="AB837"/>
  <c r="AB838"/>
  <c r="AB839"/>
  <c r="AB840"/>
  <c r="AB841"/>
  <c r="AB842"/>
  <c r="AB843"/>
  <c r="AB844"/>
  <c r="AB845"/>
  <c r="AB846"/>
  <c r="AB847"/>
  <c r="AB848"/>
  <c r="AB849"/>
  <c r="AB850"/>
  <c r="AB851"/>
  <c r="AB852"/>
  <c r="AB853"/>
  <c r="AB854"/>
  <c r="AB855"/>
  <c r="AB856"/>
  <c r="AB857"/>
  <c r="AB858"/>
  <c r="AB859"/>
  <c r="AB860"/>
  <c r="AB861"/>
  <c r="AB862"/>
  <c r="AB863"/>
  <c r="AB864"/>
  <c r="AB865"/>
  <c r="AB866"/>
  <c r="AB867"/>
  <c r="AB868"/>
  <c r="AB869"/>
  <c r="AB870"/>
  <c r="AB871"/>
  <c r="AB872"/>
  <c r="AB873"/>
  <c r="AB874"/>
  <c r="AB875"/>
  <c r="AB876"/>
  <c r="AB877"/>
  <c r="AB878"/>
  <c r="AB879"/>
  <c r="AB880"/>
  <c r="AB881"/>
  <c r="AB882"/>
  <c r="AB883"/>
  <c r="AB884"/>
  <c r="AB885"/>
  <c r="AB886"/>
  <c r="AB887"/>
  <c r="AB888"/>
  <c r="AB889"/>
  <c r="AB890"/>
  <c r="AB891"/>
  <c r="AB892"/>
  <c r="AB893"/>
  <c r="AB894"/>
  <c r="AB895"/>
  <c r="AB896"/>
  <c r="AB897"/>
  <c r="AB898"/>
  <c r="AB899"/>
  <c r="AB900"/>
  <c r="AB901"/>
  <c r="AB902"/>
  <c r="AB903"/>
  <c r="AB904"/>
  <c r="AB905"/>
  <c r="AB906"/>
  <c r="AB907"/>
  <c r="AB908"/>
  <c r="AB909"/>
  <c r="AB910"/>
  <c r="AB911"/>
  <c r="AB912"/>
  <c r="AB913"/>
  <c r="AB914"/>
  <c r="AB915"/>
  <c r="AB916"/>
  <c r="AB917"/>
  <c r="AB918"/>
  <c r="AB919"/>
  <c r="AB920"/>
  <c r="AB921"/>
  <c r="AB922"/>
  <c r="AB923"/>
  <c r="AB924"/>
  <c r="AB925"/>
  <c r="AB926"/>
  <c r="AB927"/>
  <c r="AB809"/>
  <c r="AB700"/>
  <c r="AB701"/>
  <c r="AB702"/>
  <c r="AB703"/>
  <c r="AB704"/>
  <c r="AB705"/>
  <c r="AB706"/>
  <c r="AB707"/>
  <c r="AB708"/>
  <c r="AB709"/>
  <c r="AB710"/>
  <c r="AB711"/>
  <c r="AB712"/>
  <c r="AB713"/>
  <c r="AB714"/>
  <c r="AB715"/>
  <c r="AB716"/>
  <c r="AB717"/>
  <c r="AB718"/>
  <c r="AB719"/>
  <c r="AB720"/>
  <c r="AB721"/>
  <c r="AB722"/>
  <c r="AB723"/>
  <c r="AB724"/>
  <c r="AB725"/>
  <c r="AB726"/>
  <c r="AB727"/>
  <c r="AB728"/>
  <c r="AB729"/>
  <c r="AB730"/>
  <c r="AB731"/>
  <c r="AB732"/>
  <c r="AB733"/>
  <c r="AB734"/>
  <c r="AB735"/>
  <c r="AB736"/>
  <c r="AB737"/>
  <c r="AB738"/>
  <c r="AB739"/>
  <c r="AB740"/>
  <c r="AB741"/>
  <c r="AB742"/>
  <c r="AB743"/>
  <c r="AB744"/>
  <c r="AB745"/>
  <c r="AB746"/>
  <c r="AB747"/>
  <c r="AB748"/>
  <c r="AB749"/>
  <c r="AB750"/>
  <c r="AB751"/>
  <c r="AB752"/>
  <c r="AB753"/>
  <c r="AB754"/>
  <c r="AB755"/>
  <c r="AB756"/>
  <c r="AB757"/>
  <c r="AB758"/>
  <c r="AB759"/>
  <c r="AB760"/>
  <c r="AB761"/>
  <c r="AB762"/>
  <c r="AB763"/>
  <c r="AB764"/>
  <c r="AB765"/>
  <c r="AB766"/>
  <c r="AB767"/>
  <c r="AB768"/>
  <c r="AB769"/>
  <c r="AB770"/>
  <c r="AB771"/>
  <c r="AB772"/>
  <c r="AB773"/>
  <c r="AB774"/>
  <c r="AB775"/>
  <c r="AB776"/>
  <c r="AB777"/>
  <c r="AB778"/>
  <c r="AB779"/>
  <c r="AB780"/>
  <c r="AB781"/>
  <c r="AB782"/>
  <c r="AB783"/>
  <c r="AB784"/>
  <c r="AB785"/>
  <c r="AB786"/>
  <c r="AB787"/>
  <c r="AB788"/>
  <c r="AB789"/>
  <c r="AB790"/>
  <c r="AB791"/>
  <c r="AB792"/>
  <c r="AB793"/>
  <c r="AB794"/>
  <c r="AB795"/>
  <c r="AB796"/>
  <c r="AB797"/>
  <c r="AB798"/>
  <c r="AB799"/>
  <c r="AB800"/>
  <c r="AB801"/>
  <c r="AB802"/>
  <c r="AB803"/>
  <c r="AB804"/>
  <c r="AB805"/>
  <c r="AB806"/>
  <c r="AB699"/>
  <c r="AB530"/>
  <c r="AB531"/>
  <c r="AB532"/>
  <c r="AB533"/>
  <c r="AB534"/>
  <c r="AB535"/>
  <c r="AB536"/>
  <c r="AB537"/>
  <c r="AB538"/>
  <c r="AB539"/>
  <c r="AB540"/>
  <c r="AB541"/>
  <c r="AB542"/>
  <c r="AB543"/>
  <c r="AB544"/>
  <c r="AB545"/>
  <c r="AB546"/>
  <c r="AB547"/>
  <c r="AB548"/>
  <c r="AB549"/>
  <c r="AB550"/>
  <c r="AB551"/>
  <c r="AB552"/>
  <c r="AB553"/>
  <c r="AB554"/>
  <c r="AB555"/>
  <c r="AB556"/>
  <c r="AB557"/>
  <c r="AB558"/>
  <c r="AB559"/>
  <c r="AB560"/>
  <c r="AB561"/>
  <c r="AB562"/>
  <c r="AB563"/>
  <c r="AB564"/>
  <c r="AB565"/>
  <c r="AB566"/>
  <c r="AB567"/>
  <c r="AB568"/>
  <c r="AB569"/>
  <c r="AB570"/>
  <c r="AB571"/>
  <c r="AB572"/>
  <c r="AB573"/>
  <c r="AB574"/>
  <c r="AB575"/>
  <c r="AB576"/>
  <c r="AB577"/>
  <c r="AB578"/>
  <c r="AB579"/>
  <c r="AB580"/>
  <c r="AB581"/>
  <c r="AB582"/>
  <c r="AB583"/>
  <c r="AB584"/>
  <c r="AB585"/>
  <c r="AB586"/>
  <c r="AB587"/>
  <c r="AB588"/>
  <c r="AB589"/>
  <c r="AB590"/>
  <c r="AB591"/>
  <c r="AB592"/>
  <c r="AB593"/>
  <c r="AB594"/>
  <c r="AB595"/>
  <c r="AB596"/>
  <c r="AB597"/>
  <c r="AB598"/>
  <c r="AB599"/>
  <c r="AB600"/>
  <c r="AB601"/>
  <c r="AB602"/>
  <c r="AB603"/>
  <c r="AB604"/>
  <c r="AB605"/>
  <c r="AB606"/>
  <c r="AB607"/>
  <c r="AB608"/>
  <c r="AB609"/>
  <c r="AB610"/>
  <c r="AB611"/>
  <c r="AB612"/>
  <c r="AB613"/>
  <c r="AB614"/>
  <c r="AB615"/>
  <c r="AB616"/>
  <c r="AB617"/>
  <c r="AB618"/>
  <c r="AB619"/>
  <c r="AB620"/>
  <c r="AB621"/>
  <c r="AB622"/>
  <c r="AB623"/>
  <c r="AB624"/>
  <c r="AB625"/>
  <c r="AB626"/>
  <c r="AB627"/>
  <c r="AB628"/>
  <c r="AB629"/>
  <c r="AB630"/>
  <c r="AB631"/>
  <c r="AB632"/>
  <c r="AB633"/>
  <c r="AB634"/>
  <c r="AB635"/>
  <c r="AB636"/>
  <c r="AB637"/>
  <c r="AB638"/>
  <c r="AB639"/>
  <c r="AB640"/>
  <c r="AB641"/>
  <c r="AB642"/>
  <c r="AB643"/>
  <c r="AB644"/>
  <c r="AB645"/>
  <c r="AB646"/>
  <c r="AB647"/>
  <c r="AB648"/>
  <c r="AB649"/>
  <c r="AB650"/>
  <c r="AB651"/>
  <c r="AB652"/>
  <c r="AB653"/>
  <c r="AB654"/>
  <c r="AB655"/>
  <c r="AB656"/>
  <c r="AB657"/>
  <c r="AB658"/>
  <c r="AB659"/>
  <c r="AB660"/>
  <c r="AB661"/>
  <c r="AB662"/>
  <c r="AB663"/>
  <c r="AB664"/>
  <c r="AB665"/>
  <c r="AB666"/>
  <c r="AB667"/>
  <c r="AB668"/>
  <c r="AB669"/>
  <c r="AB670"/>
  <c r="AB671"/>
  <c r="AB672"/>
  <c r="AB673"/>
  <c r="AB674"/>
  <c r="AB675"/>
  <c r="AB676"/>
  <c r="AB677"/>
  <c r="AB678"/>
  <c r="AB679"/>
  <c r="AB680"/>
  <c r="AB681"/>
  <c r="AB682"/>
  <c r="AB683"/>
  <c r="AB684"/>
  <c r="AB685"/>
  <c r="AB686"/>
  <c r="AB687"/>
  <c r="AB688"/>
  <c r="AB689"/>
  <c r="AB690"/>
  <c r="AB691"/>
  <c r="AB692"/>
  <c r="AB693"/>
  <c r="AB694"/>
  <c r="AB695"/>
  <c r="AB696"/>
  <c r="AB529"/>
  <c r="AB506"/>
  <c r="AB507"/>
  <c r="AB508"/>
  <c r="AB509"/>
  <c r="AB510"/>
  <c r="AB511"/>
  <c r="AB512"/>
  <c r="AB513"/>
  <c r="AB514"/>
  <c r="AB515"/>
  <c r="AB516"/>
  <c r="AB517"/>
  <c r="AB518"/>
  <c r="AB519"/>
  <c r="AB520"/>
  <c r="AB521"/>
  <c r="AB522"/>
  <c r="AB523"/>
  <c r="AB524"/>
  <c r="AB525"/>
  <c r="AB526"/>
  <c r="AB505"/>
  <c r="AB504"/>
  <c r="AB503"/>
  <c r="AB502"/>
  <c r="AB501"/>
  <c r="AB500"/>
  <c r="AB499"/>
  <c r="AB498"/>
  <c r="AB497"/>
  <c r="AB496"/>
  <c r="AB495"/>
  <c r="AB494"/>
  <c r="AB482"/>
  <c r="AB483"/>
  <c r="AB484"/>
  <c r="AB485"/>
  <c r="AB486"/>
  <c r="AB487"/>
  <c r="AB488"/>
  <c r="AB489"/>
  <c r="AB490"/>
  <c r="AB491"/>
  <c r="AB481"/>
  <c r="AB480"/>
  <c r="AB438"/>
  <c r="AB439"/>
  <c r="AB440"/>
  <c r="AB441"/>
  <c r="AB442"/>
  <c r="AB443"/>
  <c r="AB444"/>
  <c r="AB445"/>
  <c r="AB446"/>
  <c r="AB447"/>
  <c r="AB448"/>
  <c r="AB449"/>
  <c r="AB450"/>
  <c r="AB451"/>
  <c r="AB452"/>
  <c r="AB453"/>
  <c r="AB454"/>
  <c r="AB455"/>
  <c r="AB456"/>
  <c r="AB457"/>
  <c r="AB458"/>
  <c r="AB459"/>
  <c r="AB460"/>
  <c r="AB461"/>
  <c r="AB462"/>
  <c r="AB463"/>
  <c r="AB464"/>
  <c r="AB465"/>
  <c r="AB466"/>
  <c r="AB467"/>
  <c r="AB468"/>
  <c r="AB469"/>
  <c r="AB470"/>
  <c r="AB471"/>
  <c r="AB472"/>
  <c r="AB473"/>
  <c r="AB474"/>
  <c r="AB475"/>
  <c r="AB476"/>
  <c r="AB477"/>
  <c r="AB437"/>
  <c r="AB436"/>
  <c r="AB435"/>
  <c r="AB434"/>
  <c r="AB433"/>
  <c r="AB432"/>
  <c r="AB429"/>
  <c r="AB428"/>
  <c r="AB427"/>
  <c r="AB426"/>
  <c r="AB425"/>
  <c r="AB424"/>
  <c r="AB418"/>
  <c r="AB419"/>
  <c r="AB420"/>
  <c r="AB421"/>
  <c r="AB417"/>
  <c r="AB290"/>
  <c r="AB291"/>
  <c r="AB292"/>
  <c r="AB293"/>
  <c r="AB294"/>
  <c r="AB295"/>
  <c r="AB296"/>
  <c r="AB297"/>
  <c r="AB298"/>
  <c r="AB299"/>
  <c r="AB300"/>
  <c r="AB301"/>
  <c r="AB302"/>
  <c r="AB303"/>
  <c r="AB304"/>
  <c r="AB305"/>
  <c r="AB306"/>
  <c r="AB307"/>
  <c r="AB308"/>
  <c r="AB309"/>
  <c r="AB310"/>
  <c r="AB311"/>
  <c r="AB312"/>
  <c r="AB313"/>
  <c r="AB314"/>
  <c r="AB315"/>
  <c r="AB316"/>
  <c r="AB317"/>
  <c r="AB318"/>
  <c r="AB319"/>
  <c r="AB320"/>
  <c r="AB321"/>
  <c r="AB322"/>
  <c r="AB323"/>
  <c r="AB324"/>
  <c r="AB325"/>
  <c r="AB326"/>
  <c r="AB327"/>
  <c r="AB328"/>
  <c r="AB329"/>
  <c r="AB330"/>
  <c r="AB331"/>
  <c r="AB332"/>
  <c r="AB333"/>
  <c r="AB334"/>
  <c r="AB335"/>
  <c r="AB336"/>
  <c r="AB337"/>
  <c r="AB338"/>
  <c r="AB339"/>
  <c r="AB340"/>
  <c r="AB341"/>
  <c r="AB342"/>
  <c r="AB343"/>
  <c r="AB344"/>
  <c r="AB345"/>
  <c r="AB346"/>
  <c r="AB347"/>
  <c r="AB348"/>
  <c r="AB349"/>
  <c r="AB350"/>
  <c r="AB351"/>
  <c r="AB352"/>
  <c r="AB353"/>
  <c r="AB354"/>
  <c r="AB355"/>
  <c r="AB356"/>
  <c r="AB357"/>
  <c r="AB358"/>
  <c r="AB359"/>
  <c r="AB360"/>
  <c r="AB361"/>
  <c r="AB362"/>
  <c r="AB363"/>
  <c r="AB364"/>
  <c r="AB365"/>
  <c r="AB366"/>
  <c r="AB367"/>
  <c r="AB368"/>
  <c r="AB369"/>
  <c r="AB370"/>
  <c r="AB371"/>
  <c r="AB372"/>
  <c r="AB373"/>
  <c r="AB374"/>
  <c r="AB375"/>
  <c r="AB376"/>
  <c r="AB377"/>
  <c r="AB378"/>
  <c r="AB379"/>
  <c r="AB380"/>
  <c r="AB381"/>
  <c r="AB382"/>
  <c r="AB383"/>
  <c r="AB384"/>
  <c r="AB385"/>
  <c r="AB386"/>
  <c r="AB387"/>
  <c r="AB388"/>
  <c r="AB389"/>
  <c r="AB390"/>
  <c r="AB391"/>
  <c r="AB392"/>
  <c r="AB393"/>
  <c r="AB394"/>
  <c r="AB395"/>
  <c r="AB396"/>
  <c r="AB397"/>
  <c r="AB398"/>
  <c r="AB399"/>
  <c r="AB400"/>
  <c r="AB401"/>
  <c r="AB402"/>
  <c r="AB403"/>
  <c r="AB404"/>
  <c r="AB405"/>
  <c r="AB406"/>
  <c r="AB407"/>
  <c r="AB408"/>
  <c r="AB409"/>
  <c r="AB410"/>
  <c r="AB411"/>
  <c r="AB412"/>
  <c r="AB413"/>
  <c r="AB414"/>
  <c r="AB289"/>
  <c r="AB261"/>
  <c r="AB262"/>
  <c r="AB263"/>
  <c r="AB264"/>
  <c r="AB265"/>
  <c r="AB266"/>
  <c r="AB267"/>
  <c r="AB268"/>
  <c r="AB269"/>
  <c r="AB270"/>
  <c r="AB271"/>
  <c r="AB272"/>
  <c r="AB273"/>
  <c r="AB274"/>
  <c r="AB275"/>
  <c r="AB276"/>
  <c r="AB277"/>
  <c r="AB278"/>
  <c r="AB279"/>
  <c r="AB280"/>
  <c r="AB281"/>
  <c r="AB282"/>
  <c r="AB283"/>
  <c r="AB284"/>
  <c r="AB285"/>
  <c r="AB286"/>
  <c r="AB260"/>
  <c r="AB259"/>
  <c r="AB258"/>
  <c r="AB257"/>
  <c r="AB256"/>
  <c r="AB255"/>
  <c r="AB254"/>
  <c r="AB253"/>
  <c r="AB252"/>
  <c r="AB251"/>
  <c r="AB250"/>
  <c r="AB249"/>
  <c r="AB248"/>
  <c r="AB247"/>
  <c r="AB246"/>
  <c r="AB245"/>
  <c r="AB244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25"/>
  <c r="AB129"/>
  <c r="AB130"/>
  <c r="AB131"/>
  <c r="AB132"/>
  <c r="AB133"/>
  <c r="AB134"/>
  <c r="AB135"/>
  <c r="AB136"/>
  <c r="AB137"/>
  <c r="AB138"/>
  <c r="AB139"/>
  <c r="AB140"/>
  <c r="AB141"/>
  <c r="AB142"/>
  <c r="AB143"/>
  <c r="AB144"/>
  <c r="AB145"/>
  <c r="AB146"/>
  <c r="AB147"/>
  <c r="AB148"/>
  <c r="AB149"/>
  <c r="AB150"/>
  <c r="AB151"/>
  <c r="AB152"/>
  <c r="AB153"/>
  <c r="AB154"/>
  <c r="AB155"/>
  <c r="AB156"/>
  <c r="AB157"/>
  <c r="AB158"/>
  <c r="AB159"/>
  <c r="AB160"/>
  <c r="AB161"/>
  <c r="AB162"/>
  <c r="AB163"/>
  <c r="AB164"/>
  <c r="AB165"/>
  <c r="AB166"/>
  <c r="AB167"/>
  <c r="AB168"/>
  <c r="AB169"/>
  <c r="AB170"/>
  <c r="AB171"/>
  <c r="AB172"/>
  <c r="AB173"/>
  <c r="AB174"/>
  <c r="AB175"/>
  <c r="AB176"/>
  <c r="AB177"/>
  <c r="AB178"/>
  <c r="AB179"/>
  <c r="AB180"/>
  <c r="AB181"/>
  <c r="AB182"/>
  <c r="AB183"/>
  <c r="AB184"/>
  <c r="AB185"/>
  <c r="AB186"/>
  <c r="AB187"/>
  <c r="AB188"/>
  <c r="AB189"/>
  <c r="AB190"/>
  <c r="AB191"/>
  <c r="AB192"/>
  <c r="AB193"/>
  <c r="AB194"/>
  <c r="AB195"/>
  <c r="AB196"/>
  <c r="AB197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128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97"/>
  <c r="AB98"/>
  <c r="AB99"/>
  <c r="AB100"/>
  <c r="AB101"/>
  <c r="AB102"/>
  <c r="AB103"/>
  <c r="AB104"/>
  <c r="AB105"/>
  <c r="AB106"/>
  <c r="AB107"/>
  <c r="AB108"/>
  <c r="AB109"/>
  <c r="AB110"/>
  <c r="AB111"/>
  <c r="AB112"/>
  <c r="AB113"/>
  <c r="AB114"/>
  <c r="AB115"/>
  <c r="AB116"/>
  <c r="AB117"/>
  <c r="AB118"/>
  <c r="AB119"/>
  <c r="AB120"/>
  <c r="AB121"/>
  <c r="AB122"/>
  <c r="AB123"/>
  <c r="AB124"/>
  <c r="AB125"/>
  <c r="AB70"/>
  <c r="AB67"/>
  <c r="AB66"/>
  <c r="AB65"/>
  <c r="AB64"/>
  <c r="AB63"/>
  <c r="AB62"/>
  <c r="AB61"/>
  <c r="AB60"/>
  <c r="AB59"/>
  <c r="AB58"/>
  <c r="AB57"/>
  <c r="AB56"/>
  <c r="AB55"/>
  <c r="AB54"/>
  <c r="AB53"/>
  <c r="AB52"/>
  <c r="AB51"/>
  <c r="AB50"/>
  <c r="AB49"/>
  <c r="AB48"/>
  <c r="AB47"/>
  <c r="AB46"/>
  <c r="AB45"/>
  <c r="AB44"/>
  <c r="AB43"/>
  <c r="AB42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13"/>
  <c r="AR1825"/>
  <c r="AR1824"/>
  <c r="AR1821"/>
  <c r="AR1820"/>
  <c r="AR1819"/>
  <c r="AR1818"/>
  <c r="AR1808"/>
  <c r="AR1809"/>
  <c r="AR1810"/>
  <c r="AR1811"/>
  <c r="AR1812"/>
  <c r="AR1813"/>
  <c r="AR1814"/>
  <c r="AR1815"/>
  <c r="AR1807"/>
  <c r="AR1781"/>
  <c r="AR1782"/>
  <c r="AR1783"/>
  <c r="AR1784"/>
  <c r="AR1785"/>
  <c r="AR1786"/>
  <c r="AR1787"/>
  <c r="AR1788"/>
  <c r="AR1789"/>
  <c r="AR1790"/>
  <c r="AR1791"/>
  <c r="AR1792"/>
  <c r="AR1793"/>
  <c r="AR1794"/>
  <c r="AR1795"/>
  <c r="AR1796"/>
  <c r="AR1797"/>
  <c r="AR1798"/>
  <c r="AR1799"/>
  <c r="AR1800"/>
  <c r="AR1801"/>
  <c r="AR1802"/>
  <c r="AR1803"/>
  <c r="AR1804"/>
  <c r="AR1780"/>
  <c r="AR1704"/>
  <c r="AR1705"/>
  <c r="AR1706"/>
  <c r="AR1707"/>
  <c r="AR1708"/>
  <c r="AR1709"/>
  <c r="AR1710"/>
  <c r="AR1711"/>
  <c r="AR1712"/>
  <c r="AR1713"/>
  <c r="AR1714"/>
  <c r="AR1715"/>
  <c r="AR1716"/>
  <c r="AR1717"/>
  <c r="AR1718"/>
  <c r="AR1719"/>
  <c r="AR1720"/>
  <c r="AR1721"/>
  <c r="AR1722"/>
  <c r="AR1723"/>
  <c r="AR1724"/>
  <c r="AR1725"/>
  <c r="AR1726"/>
  <c r="AR1727"/>
  <c r="AR1728"/>
  <c r="AR1729"/>
  <c r="AR1730"/>
  <c r="AR1731"/>
  <c r="AR1732"/>
  <c r="AR1733"/>
  <c r="AR1734"/>
  <c r="AR1735"/>
  <c r="AR1736"/>
  <c r="AR1737"/>
  <c r="AR1738"/>
  <c r="AR1739"/>
  <c r="AR1740"/>
  <c r="AR1741"/>
  <c r="AR1742"/>
  <c r="AR1743"/>
  <c r="AR1744"/>
  <c r="AR1745"/>
  <c r="AR1746"/>
  <c r="AR1747"/>
  <c r="AR1748"/>
  <c r="AR1749"/>
  <c r="AR1750"/>
  <c r="AR1751"/>
  <c r="AR1752"/>
  <c r="AR1753"/>
  <c r="AR1754"/>
  <c r="AR1755"/>
  <c r="AR1756"/>
  <c r="AR1757"/>
  <c r="AR1758"/>
  <c r="AR1759"/>
  <c r="AR1760"/>
  <c r="AR1761"/>
  <c r="AR1762"/>
  <c r="AR1763"/>
  <c r="AR1764"/>
  <c r="AR1765"/>
  <c r="AR1766"/>
  <c r="AR1767"/>
  <c r="AR1768"/>
  <c r="AR1769"/>
  <c r="AR1770"/>
  <c r="AR1771"/>
  <c r="AR1772"/>
  <c r="AR1773"/>
  <c r="AR1774"/>
  <c r="AR1775"/>
  <c r="AR1776"/>
  <c r="AR1777"/>
  <c r="AR1703"/>
  <c r="AR1702"/>
  <c r="AR1701"/>
  <c r="AR1700"/>
  <c r="AR1699"/>
  <c r="AR1698"/>
  <c r="AR1697"/>
  <c r="AR1696"/>
  <c r="AR1695"/>
  <c r="AR1694"/>
  <c r="AR1693"/>
  <c r="AR1692"/>
  <c r="AR1679"/>
  <c r="AR1680"/>
  <c r="AR1681"/>
  <c r="AR1682"/>
  <c r="AR1683"/>
  <c r="AR1684"/>
  <c r="AR1685"/>
  <c r="AR1686"/>
  <c r="AR1687"/>
  <c r="AR1688"/>
  <c r="AR1689"/>
  <c r="AR1678"/>
  <c r="AR1640"/>
  <c r="AR1641"/>
  <c r="AR1642"/>
  <c r="AR1643"/>
  <c r="AR1644"/>
  <c r="AR1645"/>
  <c r="AR1646"/>
  <c r="AR1647"/>
  <c r="AR1648"/>
  <c r="AR1649"/>
  <c r="AR1650"/>
  <c r="AR1651"/>
  <c r="AR1652"/>
  <c r="AR1653"/>
  <c r="AR1654"/>
  <c r="AR1655"/>
  <c r="AR1656"/>
  <c r="AR1657"/>
  <c r="AR1658"/>
  <c r="AR1659"/>
  <c r="AR1660"/>
  <c r="AR1661"/>
  <c r="AR1662"/>
  <c r="AR1663"/>
  <c r="AR1664"/>
  <c r="AR1665"/>
  <c r="AR1666"/>
  <c r="AR1667"/>
  <c r="AR1668"/>
  <c r="AR1669"/>
  <c r="AR1670"/>
  <c r="AR1671"/>
  <c r="AR1672"/>
  <c r="AR1673"/>
  <c r="AR1674"/>
  <c r="AR1675"/>
  <c r="AR1639"/>
  <c r="AR1595"/>
  <c r="AR1596"/>
  <c r="AR1597"/>
  <c r="AR1598"/>
  <c r="AR1599"/>
  <c r="AR1600"/>
  <c r="AR1601"/>
  <c r="AR1602"/>
  <c r="AR1603"/>
  <c r="AR1604"/>
  <c r="AR1605"/>
  <c r="AR1606"/>
  <c r="AR1607"/>
  <c r="AR1608"/>
  <c r="AR1609"/>
  <c r="AR1610"/>
  <c r="AR1611"/>
  <c r="AR1612"/>
  <c r="AR1613"/>
  <c r="AR1614"/>
  <c r="AR1615"/>
  <c r="AR1616"/>
  <c r="AR1617"/>
  <c r="AR1618"/>
  <c r="AR1619"/>
  <c r="AR1620"/>
  <c r="AR1621"/>
  <c r="AR1622"/>
  <c r="AR1623"/>
  <c r="AR1624"/>
  <c r="AR1625"/>
  <c r="AR1626"/>
  <c r="AR1627"/>
  <c r="AR1628"/>
  <c r="AR1629"/>
  <c r="AR1630"/>
  <c r="AR1631"/>
  <c r="AR1632"/>
  <c r="AR1633"/>
  <c r="AR1634"/>
  <c r="AR1635"/>
  <c r="AR1636"/>
  <c r="AR1594"/>
  <c r="AR1549"/>
  <c r="AR1550"/>
  <c r="AR1551"/>
  <c r="AR1552"/>
  <c r="AR1553"/>
  <c r="AR1554"/>
  <c r="AR1555"/>
  <c r="AR1556"/>
  <c r="AR1557"/>
  <c r="AR1558"/>
  <c r="AR1559"/>
  <c r="AR1560"/>
  <c r="AR1561"/>
  <c r="AR1562"/>
  <c r="AR1563"/>
  <c r="AR1564"/>
  <c r="AR1565"/>
  <c r="AR1566"/>
  <c r="AR1567"/>
  <c r="AR1568"/>
  <c r="AR1569"/>
  <c r="AR1570"/>
  <c r="AR1571"/>
  <c r="AR1572"/>
  <c r="AR1573"/>
  <c r="AR1574"/>
  <c r="AR1575"/>
  <c r="AR1576"/>
  <c r="AR1577"/>
  <c r="AR1578"/>
  <c r="AR1579"/>
  <c r="AR1580"/>
  <c r="AR1581"/>
  <c r="AR1582"/>
  <c r="AR1583"/>
  <c r="AR1584"/>
  <c r="AR1585"/>
  <c r="AR1586"/>
  <c r="AR1587"/>
  <c r="AR1588"/>
  <c r="AR1589"/>
  <c r="AR1590"/>
  <c r="AR1591"/>
  <c r="AR1548"/>
  <c r="AR1518"/>
  <c r="AR1519"/>
  <c r="AR1520"/>
  <c r="AR1521"/>
  <c r="AR1522"/>
  <c r="AR1523"/>
  <c r="AR1524"/>
  <c r="AR1525"/>
  <c r="AR1526"/>
  <c r="AR1527"/>
  <c r="AR1528"/>
  <c r="AR1529"/>
  <c r="AR1530"/>
  <c r="AR1531"/>
  <c r="AR1532"/>
  <c r="AR1533"/>
  <c r="AR1534"/>
  <c r="AR1535"/>
  <c r="AR1536"/>
  <c r="AR1537"/>
  <c r="AR1538"/>
  <c r="AR1539"/>
  <c r="AR1540"/>
  <c r="AR1541"/>
  <c r="AR1542"/>
  <c r="AR1543"/>
  <c r="AR1544"/>
  <c r="AR1545"/>
  <c r="AR1517"/>
  <c r="AR1442"/>
  <c r="AR1443"/>
  <c r="AR1444"/>
  <c r="AR1445"/>
  <c r="AR1446"/>
  <c r="AR1447"/>
  <c r="AR1448"/>
  <c r="AR1449"/>
  <c r="AR1450"/>
  <c r="AR1451"/>
  <c r="AR1452"/>
  <c r="AR1453"/>
  <c r="AR1454"/>
  <c r="AR1455"/>
  <c r="AR1456"/>
  <c r="AR1457"/>
  <c r="AR1458"/>
  <c r="AR1459"/>
  <c r="AR1460"/>
  <c r="AR1461"/>
  <c r="AR1462"/>
  <c r="AR1463"/>
  <c r="AR1464"/>
  <c r="AR1465"/>
  <c r="AR1466"/>
  <c r="AR1467"/>
  <c r="AR1468"/>
  <c r="AR1469"/>
  <c r="AR1470"/>
  <c r="AR1471"/>
  <c r="AR1472"/>
  <c r="AR1473"/>
  <c r="AR1474"/>
  <c r="AR1475"/>
  <c r="AR1476"/>
  <c r="AR1477"/>
  <c r="AR1478"/>
  <c r="AR1479"/>
  <c r="AR1480"/>
  <c r="AR1481"/>
  <c r="AR1482"/>
  <c r="AR1483"/>
  <c r="AR1484"/>
  <c r="AR1485"/>
  <c r="AR1486"/>
  <c r="AR1487"/>
  <c r="AR1488"/>
  <c r="AR1489"/>
  <c r="AR1490"/>
  <c r="AR1491"/>
  <c r="AR1492"/>
  <c r="AR1493"/>
  <c r="AR1494"/>
  <c r="AR1495"/>
  <c r="AR1496"/>
  <c r="AR1497"/>
  <c r="AR1498"/>
  <c r="AR1499"/>
  <c r="AR1500"/>
  <c r="AR1501"/>
  <c r="AR1502"/>
  <c r="AR1503"/>
  <c r="AR1504"/>
  <c r="AR1505"/>
  <c r="AR1506"/>
  <c r="AR1507"/>
  <c r="AR1508"/>
  <c r="AR1509"/>
  <c r="AR1510"/>
  <c r="AR1511"/>
  <c r="AR1512"/>
  <c r="AR1513"/>
  <c r="AR1514"/>
  <c r="AR1441"/>
  <c r="AR1310"/>
  <c r="AR1311"/>
  <c r="AR1312"/>
  <c r="AR1313"/>
  <c r="AR1314"/>
  <c r="AR1315"/>
  <c r="AR1316"/>
  <c r="AR1317"/>
  <c r="AR1318"/>
  <c r="AR1319"/>
  <c r="AR1320"/>
  <c r="AR1321"/>
  <c r="AR1322"/>
  <c r="AR1323"/>
  <c r="AR1324"/>
  <c r="AR1325"/>
  <c r="AR1326"/>
  <c r="AR1327"/>
  <c r="AR1328"/>
  <c r="AR1329"/>
  <c r="AR1330"/>
  <c r="AR1331"/>
  <c r="AR1332"/>
  <c r="AR1333"/>
  <c r="AR1334"/>
  <c r="AR1335"/>
  <c r="AR1336"/>
  <c r="AR1337"/>
  <c r="AR1338"/>
  <c r="AR1339"/>
  <c r="AR1340"/>
  <c r="AR1341"/>
  <c r="AR1342"/>
  <c r="AR1343"/>
  <c r="AR1344"/>
  <c r="AR1345"/>
  <c r="AR1346"/>
  <c r="AR1347"/>
  <c r="AR1348"/>
  <c r="AR1349"/>
  <c r="AR1350"/>
  <c r="AR1351"/>
  <c r="AR1352"/>
  <c r="AR1353"/>
  <c r="AR1354"/>
  <c r="AR1355"/>
  <c r="AR1356"/>
  <c r="AR1357"/>
  <c r="AR1358"/>
  <c r="AR1359"/>
  <c r="AR1360"/>
  <c r="AR1361"/>
  <c r="AR1362"/>
  <c r="AR1363"/>
  <c r="AR1364"/>
  <c r="AR1365"/>
  <c r="AR1366"/>
  <c r="AR1367"/>
  <c r="AR1368"/>
  <c r="AR1369"/>
  <c r="AR1370"/>
  <c r="AR1371"/>
  <c r="AR1372"/>
  <c r="AR1373"/>
  <c r="AR1374"/>
  <c r="AR1375"/>
  <c r="AR1376"/>
  <c r="AR1377"/>
  <c r="AR1378"/>
  <c r="AR1379"/>
  <c r="AR1380"/>
  <c r="AR1381"/>
  <c r="AR1382"/>
  <c r="AR1383"/>
  <c r="AR1384"/>
  <c r="AR1385"/>
  <c r="AR1386"/>
  <c r="AR1387"/>
  <c r="AR1388"/>
  <c r="AR1389"/>
  <c r="AR1390"/>
  <c r="AR1391"/>
  <c r="AR1392"/>
  <c r="AR1393"/>
  <c r="AR1394"/>
  <c r="AR1395"/>
  <c r="AR1396"/>
  <c r="AR1397"/>
  <c r="AR1398"/>
  <c r="AR1399"/>
  <c r="AR1400"/>
  <c r="AR1401"/>
  <c r="AR1402"/>
  <c r="AR1403"/>
  <c r="AR1404"/>
  <c r="AR1405"/>
  <c r="AR1406"/>
  <c r="AR1407"/>
  <c r="AR1408"/>
  <c r="AR1409"/>
  <c r="AR1410"/>
  <c r="AR1411"/>
  <c r="AR1412"/>
  <c r="AR1413"/>
  <c r="AR1414"/>
  <c r="AR1415"/>
  <c r="AR1416"/>
  <c r="AR1417"/>
  <c r="AR1418"/>
  <c r="AR1419"/>
  <c r="AR1420"/>
  <c r="AR1421"/>
  <c r="AR1422"/>
  <c r="AR1423"/>
  <c r="AR1424"/>
  <c r="AR1425"/>
  <c r="AR1426"/>
  <c r="AR1427"/>
  <c r="AR1428"/>
  <c r="AR1429"/>
  <c r="AR1430"/>
  <c r="AR1431"/>
  <c r="AR1432"/>
  <c r="AR1433"/>
  <c r="AR1434"/>
  <c r="AR1435"/>
  <c r="AR1436"/>
  <c r="AR1437"/>
  <c r="AR1438"/>
  <c r="AR1309"/>
  <c r="AR1268"/>
  <c r="AR1269"/>
  <c r="AR1270"/>
  <c r="AR1271"/>
  <c r="AR1272"/>
  <c r="AR1273"/>
  <c r="AR1274"/>
  <c r="AR1275"/>
  <c r="AR1276"/>
  <c r="AR1277"/>
  <c r="AR1278"/>
  <c r="AR1279"/>
  <c r="AR1280"/>
  <c r="AR1281"/>
  <c r="AR1282"/>
  <c r="AR1283"/>
  <c r="AR1284"/>
  <c r="AR1285"/>
  <c r="AR1286"/>
  <c r="AR1287"/>
  <c r="AR1288"/>
  <c r="AR1289"/>
  <c r="AR1290"/>
  <c r="AR1291"/>
  <c r="AR1292"/>
  <c r="AR1293"/>
  <c r="AR1294"/>
  <c r="AR1295"/>
  <c r="AR1296"/>
  <c r="AR1297"/>
  <c r="AR1298"/>
  <c r="AR1299"/>
  <c r="AR1300"/>
  <c r="AR1301"/>
  <c r="AR1302"/>
  <c r="AR1303"/>
  <c r="AR1304"/>
  <c r="AR1305"/>
  <c r="AR1306"/>
  <c r="AR1267"/>
  <c r="AR1230"/>
  <c r="AR1231"/>
  <c r="AR1232"/>
  <c r="AR1233"/>
  <c r="AR1234"/>
  <c r="AR1235"/>
  <c r="AR1236"/>
  <c r="AR1237"/>
  <c r="AR1238"/>
  <c r="AR1239"/>
  <c r="AR1240"/>
  <c r="AR1241"/>
  <c r="AR1242"/>
  <c r="AR1243"/>
  <c r="AR1244"/>
  <c r="AR1245"/>
  <c r="AR1246"/>
  <c r="AR1247"/>
  <c r="AR1248"/>
  <c r="AR1249"/>
  <c r="AR1250"/>
  <c r="AR1251"/>
  <c r="AR1252"/>
  <c r="AR1253"/>
  <c r="AR1254"/>
  <c r="AR1255"/>
  <c r="AR1256"/>
  <c r="AR1257"/>
  <c r="AR1258"/>
  <c r="AR1259"/>
  <c r="AR1260"/>
  <c r="AR1261"/>
  <c r="AR1262"/>
  <c r="AR1263"/>
  <c r="AR1264"/>
  <c r="AR1229"/>
  <c r="AR1108"/>
  <c r="AR1109"/>
  <c r="AR1110"/>
  <c r="AR1111"/>
  <c r="AR1112"/>
  <c r="AR1113"/>
  <c r="AR1114"/>
  <c r="AR1115"/>
  <c r="AR1116"/>
  <c r="AR1117"/>
  <c r="AR1118"/>
  <c r="AR1119"/>
  <c r="AR1120"/>
  <c r="AR1121"/>
  <c r="AR1122"/>
  <c r="AR1123"/>
  <c r="AR1124"/>
  <c r="AR1125"/>
  <c r="AR1126"/>
  <c r="AR1127"/>
  <c r="AR1128"/>
  <c r="AR1129"/>
  <c r="AR1130"/>
  <c r="AR1131"/>
  <c r="AR1132"/>
  <c r="AR1133"/>
  <c r="AR1134"/>
  <c r="AR1135"/>
  <c r="AR1136"/>
  <c r="AR1137"/>
  <c r="AR1138"/>
  <c r="AR1139"/>
  <c r="AR1140"/>
  <c r="AR1141"/>
  <c r="AR1142"/>
  <c r="AR1143"/>
  <c r="AR1144"/>
  <c r="AR1145"/>
  <c r="AR1146"/>
  <c r="AR1147"/>
  <c r="AR1148"/>
  <c r="AR1149"/>
  <c r="AR1150"/>
  <c r="AR1151"/>
  <c r="AR1152"/>
  <c r="AR1153"/>
  <c r="AR1154"/>
  <c r="AR1155"/>
  <c r="AR1156"/>
  <c r="AR1157"/>
  <c r="AR1158"/>
  <c r="AR1159"/>
  <c r="AR1160"/>
  <c r="AR1161"/>
  <c r="AR1162"/>
  <c r="AR1163"/>
  <c r="AR1164"/>
  <c r="AR1165"/>
  <c r="AR1166"/>
  <c r="AR1167"/>
  <c r="AR1168"/>
  <c r="AR1169"/>
  <c r="AR1170"/>
  <c r="AR1171"/>
  <c r="AR1172"/>
  <c r="AR1173"/>
  <c r="AR1174"/>
  <c r="AR1175"/>
  <c r="AR1176"/>
  <c r="AR1177"/>
  <c r="AR1178"/>
  <c r="AR1179"/>
  <c r="AR1180"/>
  <c r="AR1181"/>
  <c r="AR1182"/>
  <c r="AR1183"/>
  <c r="AR1184"/>
  <c r="AR1185"/>
  <c r="AR1186"/>
  <c r="AR1187"/>
  <c r="AR1188"/>
  <c r="AR1189"/>
  <c r="AR1190"/>
  <c r="AR1191"/>
  <c r="AR1192"/>
  <c r="AR1193"/>
  <c r="AR1194"/>
  <c r="AR1195"/>
  <c r="AR1196"/>
  <c r="AR1197"/>
  <c r="AR1198"/>
  <c r="AR1199"/>
  <c r="AR1200"/>
  <c r="AR1201"/>
  <c r="AR1202"/>
  <c r="AR1203"/>
  <c r="AR1204"/>
  <c r="AR1205"/>
  <c r="AR1206"/>
  <c r="AR1207"/>
  <c r="AR1208"/>
  <c r="AR1209"/>
  <c r="AR1210"/>
  <c r="AR1211"/>
  <c r="AR1212"/>
  <c r="AR1213"/>
  <c r="AR1214"/>
  <c r="AR1215"/>
  <c r="AR1216"/>
  <c r="AR1217"/>
  <c r="AR1218"/>
  <c r="AR1219"/>
  <c r="AR1220"/>
  <c r="AR1221"/>
  <c r="AR1222"/>
  <c r="AR1223"/>
  <c r="AR1224"/>
  <c r="AR1225"/>
  <c r="AR1226"/>
  <c r="AR1107"/>
  <c r="AR1106"/>
  <c r="AR1105"/>
  <c r="AR1104"/>
  <c r="AR1103"/>
  <c r="AR1102"/>
  <c r="AR1101"/>
  <c r="AR1100"/>
  <c r="AR1099"/>
  <c r="AR1098"/>
  <c r="AR1097"/>
  <c r="AR1096"/>
  <c r="AR1095"/>
  <c r="AR1094"/>
  <c r="AR1093"/>
  <c r="AR1092"/>
  <c r="AR1091"/>
  <c r="AR1090"/>
  <c r="AR1089"/>
  <c r="AR1088"/>
  <c r="AR1087"/>
  <c r="AR1086"/>
  <c r="AR1085"/>
  <c r="AR1084"/>
  <c r="AR1083"/>
  <c r="AR1082"/>
  <c r="AR1081"/>
  <c r="AR1080"/>
  <c r="AR1079"/>
  <c r="AR1078"/>
  <c r="AR1077"/>
  <c r="AR1076"/>
  <c r="AR1075"/>
  <c r="AR1074"/>
  <c r="AR1073"/>
  <c r="AR1072"/>
  <c r="AR1071"/>
  <c r="AR1070"/>
  <c r="AR1069"/>
  <c r="AR1068"/>
  <c r="AR1067"/>
  <c r="AR1066"/>
  <c r="AR1065"/>
  <c r="AR1064"/>
  <c r="AR1063"/>
  <c r="AR1062"/>
  <c r="AR1061"/>
  <c r="AR1060"/>
  <c r="AR1059"/>
  <c r="AR1058"/>
  <c r="AR1057"/>
  <c r="AR1056"/>
  <c r="AR1055"/>
  <c r="AR1054"/>
  <c r="AR1053"/>
  <c r="AR1052"/>
  <c r="AR1051"/>
  <c r="AR1050"/>
  <c r="AR1049"/>
  <c r="AR1048"/>
  <c r="AR1047"/>
  <c r="AR1046"/>
  <c r="AR1045"/>
  <c r="AR1044"/>
  <c r="AR1043"/>
  <c r="AR1042"/>
  <c r="AR1041"/>
  <c r="AR1040"/>
  <c r="AR1039"/>
  <c r="AR1038"/>
  <c r="AR1037"/>
  <c r="AR1036"/>
  <c r="AR1035"/>
  <c r="AR1034"/>
  <c r="AR1033"/>
  <c r="AR1032"/>
  <c r="AR1031"/>
  <c r="AR1030"/>
  <c r="AR1029"/>
  <c r="AR1028"/>
  <c r="AR1027"/>
  <c r="AR1026"/>
  <c r="AR1025"/>
  <c r="AR1024"/>
  <c r="AR1023"/>
  <c r="AR1022"/>
  <c r="AR1021"/>
  <c r="AR1020"/>
  <c r="AR931"/>
  <c r="AR932"/>
  <c r="AR933"/>
  <c r="AR934"/>
  <c r="AR935"/>
  <c r="AR936"/>
  <c r="AR937"/>
  <c r="AR938"/>
  <c r="AR939"/>
  <c r="AR940"/>
  <c r="AR941"/>
  <c r="AR942"/>
  <c r="AR943"/>
  <c r="AR944"/>
  <c r="AR945"/>
  <c r="AR946"/>
  <c r="AR947"/>
  <c r="AR948"/>
  <c r="AR949"/>
  <c r="AR950"/>
  <c r="AR951"/>
  <c r="AR952"/>
  <c r="AR953"/>
  <c r="AR954"/>
  <c r="AR955"/>
  <c r="AR956"/>
  <c r="AR957"/>
  <c r="AR958"/>
  <c r="AR959"/>
  <c r="AR960"/>
  <c r="AR961"/>
  <c r="AR962"/>
  <c r="AR963"/>
  <c r="AR964"/>
  <c r="AR965"/>
  <c r="AR966"/>
  <c r="AR967"/>
  <c r="AR968"/>
  <c r="AR969"/>
  <c r="AR970"/>
  <c r="AR971"/>
  <c r="AR972"/>
  <c r="AR973"/>
  <c r="AR974"/>
  <c r="AR975"/>
  <c r="AR976"/>
  <c r="AR977"/>
  <c r="AR978"/>
  <c r="AR979"/>
  <c r="AR980"/>
  <c r="AR981"/>
  <c r="AR982"/>
  <c r="AR983"/>
  <c r="AR984"/>
  <c r="AR985"/>
  <c r="AR986"/>
  <c r="AR987"/>
  <c r="AR988"/>
  <c r="AR989"/>
  <c r="AR990"/>
  <c r="AR991"/>
  <c r="AR992"/>
  <c r="AR993"/>
  <c r="AR994"/>
  <c r="AR995"/>
  <c r="AR996"/>
  <c r="AR997"/>
  <c r="AR998"/>
  <c r="AR999"/>
  <c r="AR1000"/>
  <c r="AR1001"/>
  <c r="AR1002"/>
  <c r="AR1003"/>
  <c r="AR1004"/>
  <c r="AR1005"/>
  <c r="AR1006"/>
  <c r="AR1007"/>
  <c r="AR1008"/>
  <c r="AR1009"/>
  <c r="AR1010"/>
  <c r="AR1011"/>
  <c r="AR1012"/>
  <c r="AR1013"/>
  <c r="AR1014"/>
  <c r="AR1015"/>
  <c r="AR1016"/>
  <c r="AR1017"/>
  <c r="AR930"/>
  <c r="AR810"/>
  <c r="AR811"/>
  <c r="AR812"/>
  <c r="AR813"/>
  <c r="AR814"/>
  <c r="AR815"/>
  <c r="AR816"/>
  <c r="AR817"/>
  <c r="AR818"/>
  <c r="AR819"/>
  <c r="AR820"/>
  <c r="AR821"/>
  <c r="AR822"/>
  <c r="AR823"/>
  <c r="AR824"/>
  <c r="AR825"/>
  <c r="AR826"/>
  <c r="AR827"/>
  <c r="AR828"/>
  <c r="AR829"/>
  <c r="AR830"/>
  <c r="AR831"/>
  <c r="AR832"/>
  <c r="AR833"/>
  <c r="AR834"/>
  <c r="AR835"/>
  <c r="AR836"/>
  <c r="AR837"/>
  <c r="AR838"/>
  <c r="AR839"/>
  <c r="AR840"/>
  <c r="AR841"/>
  <c r="AR842"/>
  <c r="AR843"/>
  <c r="AR844"/>
  <c r="AR845"/>
  <c r="AR846"/>
  <c r="AR847"/>
  <c r="AR848"/>
  <c r="AR849"/>
  <c r="AR850"/>
  <c r="AR851"/>
  <c r="AR852"/>
  <c r="AR853"/>
  <c r="AR854"/>
  <c r="AR855"/>
  <c r="AR856"/>
  <c r="AR857"/>
  <c r="AR858"/>
  <c r="AR859"/>
  <c r="AR860"/>
  <c r="AR861"/>
  <c r="AR862"/>
  <c r="AR863"/>
  <c r="AR864"/>
  <c r="AR865"/>
  <c r="AR866"/>
  <c r="AR867"/>
  <c r="AR868"/>
  <c r="AR869"/>
  <c r="AR870"/>
  <c r="AR871"/>
  <c r="AR872"/>
  <c r="AR873"/>
  <c r="AR874"/>
  <c r="AR875"/>
  <c r="AR876"/>
  <c r="AR877"/>
  <c r="AR878"/>
  <c r="AR879"/>
  <c r="AR880"/>
  <c r="AR881"/>
  <c r="AR882"/>
  <c r="AR883"/>
  <c r="AR884"/>
  <c r="AR885"/>
  <c r="AR886"/>
  <c r="AR887"/>
  <c r="AR888"/>
  <c r="AR889"/>
  <c r="AR890"/>
  <c r="AR891"/>
  <c r="AR892"/>
  <c r="AR893"/>
  <c r="AR894"/>
  <c r="AR895"/>
  <c r="AR896"/>
  <c r="AR897"/>
  <c r="AR898"/>
  <c r="AR899"/>
  <c r="AR900"/>
  <c r="AR901"/>
  <c r="AR902"/>
  <c r="AR903"/>
  <c r="AR904"/>
  <c r="AR905"/>
  <c r="AR906"/>
  <c r="AR907"/>
  <c r="AR908"/>
  <c r="AR909"/>
  <c r="AR910"/>
  <c r="AR911"/>
  <c r="AR912"/>
  <c r="AR913"/>
  <c r="AR914"/>
  <c r="AR915"/>
  <c r="AR916"/>
  <c r="AR917"/>
  <c r="AR918"/>
  <c r="AR919"/>
  <c r="AR920"/>
  <c r="AR921"/>
  <c r="AR922"/>
  <c r="AR923"/>
  <c r="AR924"/>
  <c r="AR925"/>
  <c r="AR926"/>
  <c r="AR927"/>
  <c r="AR809"/>
  <c r="AR700"/>
  <c r="AR701"/>
  <c r="AR702"/>
  <c r="AR703"/>
  <c r="AR704"/>
  <c r="AR705"/>
  <c r="AR706"/>
  <c r="AR707"/>
  <c r="AR708"/>
  <c r="AR709"/>
  <c r="AR710"/>
  <c r="AR711"/>
  <c r="AR712"/>
  <c r="AR713"/>
  <c r="AR714"/>
  <c r="AR715"/>
  <c r="AR716"/>
  <c r="AR717"/>
  <c r="AR718"/>
  <c r="AR719"/>
  <c r="AR720"/>
  <c r="AR721"/>
  <c r="AR722"/>
  <c r="AR723"/>
  <c r="AR724"/>
  <c r="AR725"/>
  <c r="AR726"/>
  <c r="AR727"/>
  <c r="AR728"/>
  <c r="AR729"/>
  <c r="AR730"/>
  <c r="AR731"/>
  <c r="AR732"/>
  <c r="AR733"/>
  <c r="AR734"/>
  <c r="AR735"/>
  <c r="AR736"/>
  <c r="AR737"/>
  <c r="AR738"/>
  <c r="AR739"/>
  <c r="AR740"/>
  <c r="AR741"/>
  <c r="AR742"/>
  <c r="AR743"/>
  <c r="AR744"/>
  <c r="AR745"/>
  <c r="AR746"/>
  <c r="AR747"/>
  <c r="AR748"/>
  <c r="AR749"/>
  <c r="AR750"/>
  <c r="AR751"/>
  <c r="AR752"/>
  <c r="AR753"/>
  <c r="AR754"/>
  <c r="AR755"/>
  <c r="AR756"/>
  <c r="AR757"/>
  <c r="AR758"/>
  <c r="AR759"/>
  <c r="AR760"/>
  <c r="AR761"/>
  <c r="AR762"/>
  <c r="AR763"/>
  <c r="AR764"/>
  <c r="AR765"/>
  <c r="AR766"/>
  <c r="AR767"/>
  <c r="AR768"/>
  <c r="AR769"/>
  <c r="AR770"/>
  <c r="AR771"/>
  <c r="AR772"/>
  <c r="AR773"/>
  <c r="AR774"/>
  <c r="AR775"/>
  <c r="AR776"/>
  <c r="AR777"/>
  <c r="AR778"/>
  <c r="AR779"/>
  <c r="AR780"/>
  <c r="AR781"/>
  <c r="AR782"/>
  <c r="AR783"/>
  <c r="AR784"/>
  <c r="AR785"/>
  <c r="AR786"/>
  <c r="AR787"/>
  <c r="AR788"/>
  <c r="AR789"/>
  <c r="AR790"/>
  <c r="AR791"/>
  <c r="AR792"/>
  <c r="AR793"/>
  <c r="AR794"/>
  <c r="AR795"/>
  <c r="AR796"/>
  <c r="AR797"/>
  <c r="AR798"/>
  <c r="AR799"/>
  <c r="AR800"/>
  <c r="AR801"/>
  <c r="AR802"/>
  <c r="AR803"/>
  <c r="AR804"/>
  <c r="AR805"/>
  <c r="AR806"/>
  <c r="AR699"/>
  <c r="AR530"/>
  <c r="AR531"/>
  <c r="AR532"/>
  <c r="AR533"/>
  <c r="AR534"/>
  <c r="AR535"/>
  <c r="AR536"/>
  <c r="AR537"/>
  <c r="AR538"/>
  <c r="AR539"/>
  <c r="AR540"/>
  <c r="AR541"/>
  <c r="AR542"/>
  <c r="AR543"/>
  <c r="AR544"/>
  <c r="AR545"/>
  <c r="AR546"/>
  <c r="AR547"/>
  <c r="AR548"/>
  <c r="AR549"/>
  <c r="AR550"/>
  <c r="AR551"/>
  <c r="AR552"/>
  <c r="AR553"/>
  <c r="AR554"/>
  <c r="AR555"/>
  <c r="AR556"/>
  <c r="AR557"/>
  <c r="AR558"/>
  <c r="AR559"/>
  <c r="AR560"/>
  <c r="AR561"/>
  <c r="AR562"/>
  <c r="AR563"/>
  <c r="AR564"/>
  <c r="AR565"/>
  <c r="AR566"/>
  <c r="AR567"/>
  <c r="AR568"/>
  <c r="AR569"/>
  <c r="AR570"/>
  <c r="AR571"/>
  <c r="AR572"/>
  <c r="AR573"/>
  <c r="AR574"/>
  <c r="AR575"/>
  <c r="AR576"/>
  <c r="AR577"/>
  <c r="AR578"/>
  <c r="AR579"/>
  <c r="AR580"/>
  <c r="AR581"/>
  <c r="AR582"/>
  <c r="AR583"/>
  <c r="AR584"/>
  <c r="AR585"/>
  <c r="AR586"/>
  <c r="AR587"/>
  <c r="AR588"/>
  <c r="AR589"/>
  <c r="AR590"/>
  <c r="AR591"/>
  <c r="AR592"/>
  <c r="AR593"/>
  <c r="AR594"/>
  <c r="AR595"/>
  <c r="AR596"/>
  <c r="AR597"/>
  <c r="AR598"/>
  <c r="AR599"/>
  <c r="AR600"/>
  <c r="AR601"/>
  <c r="AR602"/>
  <c r="AR603"/>
  <c r="AR604"/>
  <c r="AR605"/>
  <c r="AR606"/>
  <c r="AR607"/>
  <c r="AR608"/>
  <c r="AR609"/>
  <c r="AR610"/>
  <c r="AR611"/>
  <c r="AR612"/>
  <c r="AR613"/>
  <c r="AR614"/>
  <c r="AR615"/>
  <c r="AR616"/>
  <c r="AR617"/>
  <c r="AR618"/>
  <c r="AR619"/>
  <c r="AR620"/>
  <c r="AR621"/>
  <c r="AR622"/>
  <c r="AR623"/>
  <c r="AR624"/>
  <c r="AR625"/>
  <c r="AR626"/>
  <c r="AR627"/>
  <c r="AR628"/>
  <c r="AR629"/>
  <c r="AR630"/>
  <c r="AR631"/>
  <c r="AR632"/>
  <c r="AR633"/>
  <c r="AR634"/>
  <c r="AR635"/>
  <c r="AR636"/>
  <c r="AR637"/>
  <c r="AR638"/>
  <c r="AR639"/>
  <c r="AR640"/>
  <c r="AR641"/>
  <c r="AR642"/>
  <c r="AR643"/>
  <c r="AR644"/>
  <c r="AR645"/>
  <c r="AR646"/>
  <c r="AR647"/>
  <c r="AR648"/>
  <c r="AR649"/>
  <c r="AR650"/>
  <c r="AR651"/>
  <c r="AR652"/>
  <c r="AR653"/>
  <c r="AR654"/>
  <c r="AR655"/>
  <c r="AR656"/>
  <c r="AR657"/>
  <c r="AR658"/>
  <c r="AR659"/>
  <c r="AR660"/>
  <c r="AR661"/>
  <c r="AR662"/>
  <c r="AR663"/>
  <c r="AR664"/>
  <c r="AR665"/>
  <c r="AR666"/>
  <c r="AR667"/>
  <c r="AR668"/>
  <c r="AR669"/>
  <c r="AR670"/>
  <c r="AR671"/>
  <c r="AR672"/>
  <c r="AR673"/>
  <c r="AR674"/>
  <c r="AR675"/>
  <c r="AR676"/>
  <c r="AR677"/>
  <c r="AR678"/>
  <c r="AR679"/>
  <c r="AR680"/>
  <c r="AR681"/>
  <c r="AR682"/>
  <c r="AR683"/>
  <c r="AR684"/>
  <c r="AR685"/>
  <c r="AR686"/>
  <c r="AR687"/>
  <c r="AR688"/>
  <c r="AR689"/>
  <c r="AR690"/>
  <c r="AR691"/>
  <c r="AR692"/>
  <c r="AR693"/>
  <c r="AR694"/>
  <c r="AR695"/>
  <c r="AR696"/>
  <c r="AR529"/>
  <c r="AR495"/>
  <c r="AR496"/>
  <c r="AR497"/>
  <c r="AR498"/>
  <c r="AR499"/>
  <c r="AR500"/>
  <c r="AR501"/>
  <c r="AR502"/>
  <c r="AR503"/>
  <c r="AR504"/>
  <c r="AR505"/>
  <c r="AR506"/>
  <c r="AR507"/>
  <c r="AR508"/>
  <c r="AR509"/>
  <c r="AR510"/>
  <c r="AR511"/>
  <c r="AR512"/>
  <c r="AR513"/>
  <c r="AR514"/>
  <c r="AR515"/>
  <c r="AR516"/>
  <c r="AR517"/>
  <c r="AR518"/>
  <c r="AR519"/>
  <c r="AR520"/>
  <c r="AR521"/>
  <c r="AR522"/>
  <c r="AR523"/>
  <c r="AR524"/>
  <c r="AR525"/>
  <c r="AR526"/>
  <c r="AR494"/>
  <c r="AR481"/>
  <c r="AR482"/>
  <c r="AR483"/>
  <c r="AR484"/>
  <c r="AR485"/>
  <c r="AR486"/>
  <c r="AR487"/>
  <c r="AR488"/>
  <c r="AR489"/>
  <c r="AR490"/>
  <c r="AR491"/>
  <c r="AR480"/>
  <c r="AR434"/>
  <c r="AR435"/>
  <c r="AR436"/>
  <c r="AR437"/>
  <c r="AR438"/>
  <c r="AR439"/>
  <c r="AR440"/>
  <c r="AR441"/>
  <c r="AR442"/>
  <c r="AR443"/>
  <c r="AR444"/>
  <c r="AR445"/>
  <c r="AR446"/>
  <c r="AR447"/>
  <c r="AR448"/>
  <c r="AR449"/>
  <c r="AR450"/>
  <c r="AR451"/>
  <c r="AR452"/>
  <c r="AR453"/>
  <c r="AR454"/>
  <c r="AR455"/>
  <c r="AR456"/>
  <c r="AR457"/>
  <c r="AR458"/>
  <c r="AR459"/>
  <c r="AR460"/>
  <c r="AR461"/>
  <c r="AR462"/>
  <c r="AR463"/>
  <c r="AR464"/>
  <c r="AR465"/>
  <c r="AR466"/>
  <c r="AR467"/>
  <c r="AR468"/>
  <c r="AR469"/>
  <c r="AR470"/>
  <c r="AR471"/>
  <c r="AR472"/>
  <c r="AR473"/>
  <c r="AR474"/>
  <c r="AR475"/>
  <c r="AR476"/>
  <c r="AR477"/>
  <c r="AR433"/>
  <c r="AR432"/>
  <c r="AR429"/>
  <c r="AR428"/>
  <c r="AR427"/>
  <c r="AR426"/>
  <c r="AR425"/>
  <c r="AR424"/>
  <c r="AR418"/>
  <c r="AR419"/>
  <c r="AR420"/>
  <c r="AR421"/>
  <c r="AR417"/>
  <c r="AR290"/>
  <c r="AR291"/>
  <c r="AR292"/>
  <c r="AR293"/>
  <c r="AR294"/>
  <c r="AR295"/>
  <c r="AR296"/>
  <c r="AR297"/>
  <c r="AR298"/>
  <c r="AR299"/>
  <c r="AR300"/>
  <c r="AR301"/>
  <c r="AR302"/>
  <c r="AR303"/>
  <c r="AR304"/>
  <c r="AR305"/>
  <c r="AR306"/>
  <c r="AR307"/>
  <c r="AR308"/>
  <c r="AR309"/>
  <c r="AR310"/>
  <c r="AR311"/>
  <c r="AR312"/>
  <c r="AR313"/>
  <c r="AR314"/>
  <c r="AR315"/>
  <c r="AR316"/>
  <c r="AR317"/>
  <c r="AR318"/>
  <c r="AR319"/>
  <c r="AR320"/>
  <c r="AR321"/>
  <c r="AR322"/>
  <c r="AR323"/>
  <c r="AR324"/>
  <c r="AR325"/>
  <c r="AR326"/>
  <c r="AR327"/>
  <c r="AR328"/>
  <c r="AR329"/>
  <c r="AR330"/>
  <c r="AR331"/>
  <c r="AR332"/>
  <c r="AR333"/>
  <c r="AR334"/>
  <c r="AR335"/>
  <c r="AR336"/>
  <c r="AR337"/>
  <c r="AR338"/>
  <c r="AR339"/>
  <c r="AR340"/>
  <c r="AR341"/>
  <c r="AR342"/>
  <c r="AR343"/>
  <c r="AR344"/>
  <c r="AR345"/>
  <c r="AR346"/>
  <c r="AR347"/>
  <c r="AR348"/>
  <c r="AR349"/>
  <c r="AR350"/>
  <c r="AR351"/>
  <c r="AR352"/>
  <c r="AR353"/>
  <c r="AR354"/>
  <c r="AR355"/>
  <c r="AR356"/>
  <c r="AR357"/>
  <c r="AR358"/>
  <c r="AR359"/>
  <c r="AR360"/>
  <c r="AR361"/>
  <c r="AR362"/>
  <c r="AR363"/>
  <c r="AR364"/>
  <c r="AR365"/>
  <c r="AR366"/>
  <c r="AR367"/>
  <c r="AR368"/>
  <c r="AR369"/>
  <c r="AR370"/>
  <c r="AR371"/>
  <c r="AR372"/>
  <c r="AR373"/>
  <c r="AR374"/>
  <c r="AR375"/>
  <c r="AR376"/>
  <c r="AR377"/>
  <c r="AR378"/>
  <c r="AR379"/>
  <c r="AR380"/>
  <c r="AR381"/>
  <c r="AR382"/>
  <c r="AR383"/>
  <c r="AR384"/>
  <c r="AR385"/>
  <c r="AR386"/>
  <c r="AR387"/>
  <c r="AR388"/>
  <c r="AR389"/>
  <c r="AR390"/>
  <c r="AR391"/>
  <c r="AR392"/>
  <c r="AR393"/>
  <c r="AR394"/>
  <c r="AR395"/>
  <c r="AR396"/>
  <c r="AR397"/>
  <c r="AR398"/>
  <c r="AR399"/>
  <c r="AR400"/>
  <c r="AR401"/>
  <c r="AR402"/>
  <c r="AR403"/>
  <c r="AR404"/>
  <c r="AR405"/>
  <c r="AR406"/>
  <c r="AR407"/>
  <c r="AR408"/>
  <c r="AR409"/>
  <c r="AR410"/>
  <c r="AR411"/>
  <c r="AR412"/>
  <c r="AR413"/>
  <c r="AR414"/>
  <c r="AR289"/>
  <c r="AR261"/>
  <c r="AR262"/>
  <c r="AR263"/>
  <c r="AR264"/>
  <c r="AR265"/>
  <c r="AR266"/>
  <c r="AR267"/>
  <c r="AR268"/>
  <c r="AR269"/>
  <c r="AR270"/>
  <c r="AR271"/>
  <c r="AR272"/>
  <c r="AR273"/>
  <c r="AR274"/>
  <c r="AR275"/>
  <c r="AR276"/>
  <c r="AR277"/>
  <c r="AR278"/>
  <c r="AR279"/>
  <c r="AR280"/>
  <c r="AR281"/>
  <c r="AR282"/>
  <c r="AR283"/>
  <c r="AR284"/>
  <c r="AR285"/>
  <c r="AR286"/>
  <c r="AR260"/>
  <c r="AR259"/>
  <c r="AR258"/>
  <c r="AR257"/>
  <c r="AR256"/>
  <c r="AR255"/>
  <c r="AR254"/>
  <c r="AR253"/>
  <c r="AR252"/>
  <c r="AR251"/>
  <c r="AR250"/>
  <c r="AR249"/>
  <c r="AR248"/>
  <c r="AR247"/>
  <c r="AR246"/>
  <c r="AR245"/>
  <c r="AR244"/>
  <c r="AR240"/>
  <c r="AR241"/>
  <c r="AR239"/>
  <c r="AR238"/>
  <c r="AR237"/>
  <c r="AR236"/>
  <c r="AR235"/>
  <c r="AR234"/>
  <c r="AR233"/>
  <c r="AR232"/>
  <c r="AR231"/>
  <c r="AR230"/>
  <c r="AR229"/>
  <c r="AR228"/>
  <c r="AR227"/>
  <c r="AR226"/>
  <c r="AR225"/>
  <c r="AR209"/>
  <c r="AR210"/>
  <c r="AR211"/>
  <c r="AR212"/>
  <c r="AR213"/>
  <c r="AR214"/>
  <c r="AR215"/>
  <c r="AR216"/>
  <c r="AR217"/>
  <c r="AR218"/>
  <c r="AR219"/>
  <c r="AR220"/>
  <c r="AR221"/>
  <c r="AR222"/>
  <c r="AR129"/>
  <c r="AR130"/>
  <c r="AR131"/>
  <c r="AR132"/>
  <c r="AR133"/>
  <c r="AR134"/>
  <c r="AR135"/>
  <c r="AR136"/>
  <c r="AR137"/>
  <c r="AR138"/>
  <c r="AR139"/>
  <c r="AR140"/>
  <c r="AR141"/>
  <c r="AR142"/>
  <c r="AR143"/>
  <c r="AR144"/>
  <c r="AR145"/>
  <c r="AR146"/>
  <c r="AR147"/>
  <c r="AR148"/>
  <c r="AR149"/>
  <c r="AR150"/>
  <c r="AR151"/>
  <c r="AR152"/>
  <c r="AR153"/>
  <c r="AR154"/>
  <c r="AR155"/>
  <c r="AR156"/>
  <c r="AR157"/>
  <c r="AR158"/>
  <c r="AR159"/>
  <c r="AR160"/>
  <c r="AR161"/>
  <c r="AR162"/>
  <c r="AR163"/>
  <c r="AR164"/>
  <c r="AR165"/>
  <c r="AR166"/>
  <c r="AR167"/>
  <c r="AR168"/>
  <c r="AR169"/>
  <c r="AR170"/>
  <c r="AR171"/>
  <c r="AR172"/>
  <c r="AR173"/>
  <c r="AR174"/>
  <c r="AR175"/>
  <c r="AR176"/>
  <c r="AR177"/>
  <c r="AR178"/>
  <c r="AR179"/>
  <c r="AR180"/>
  <c r="AR181"/>
  <c r="AR182"/>
  <c r="AR183"/>
  <c r="AR184"/>
  <c r="AR185"/>
  <c r="AR186"/>
  <c r="AR187"/>
  <c r="AR188"/>
  <c r="AR189"/>
  <c r="AR190"/>
  <c r="AR191"/>
  <c r="AR192"/>
  <c r="AR193"/>
  <c r="AR194"/>
  <c r="AR195"/>
  <c r="AR196"/>
  <c r="AR197"/>
  <c r="AR198"/>
  <c r="AR199"/>
  <c r="AR200"/>
  <c r="AR201"/>
  <c r="AR202"/>
  <c r="AR203"/>
  <c r="AR204"/>
  <c r="AR205"/>
  <c r="AR206"/>
  <c r="AR207"/>
  <c r="AR208"/>
  <c r="AR128"/>
  <c r="AR96"/>
  <c r="AR97"/>
  <c r="AR98"/>
  <c r="AR99"/>
  <c r="AR100"/>
  <c r="AR101"/>
  <c r="AR102"/>
  <c r="AR103"/>
  <c r="AR104"/>
  <c r="AR105"/>
  <c r="AR106"/>
  <c r="AR107"/>
  <c r="AR108"/>
  <c r="AR109"/>
  <c r="AR110"/>
  <c r="AR111"/>
  <c r="AR112"/>
  <c r="AR113"/>
  <c r="AR114"/>
  <c r="AR115"/>
  <c r="AR116"/>
  <c r="AR117"/>
  <c r="AR118"/>
  <c r="AR119"/>
  <c r="AR120"/>
  <c r="AR121"/>
  <c r="AR122"/>
  <c r="AR123"/>
  <c r="AR124"/>
  <c r="AR125"/>
  <c r="AR95"/>
  <c r="AR94"/>
  <c r="AR93"/>
  <c r="AR92"/>
  <c r="AR91"/>
  <c r="AR90"/>
  <c r="AR89"/>
  <c r="AR88"/>
  <c r="AR87"/>
  <c r="AR86"/>
  <c r="AR85"/>
  <c r="AR84"/>
  <c r="AR83"/>
  <c r="AR82"/>
  <c r="AR81"/>
  <c r="AR80"/>
  <c r="AR79"/>
  <c r="AR78"/>
  <c r="AR77"/>
  <c r="AR76"/>
  <c r="AR75"/>
  <c r="AR74"/>
  <c r="AR73"/>
  <c r="AR72"/>
  <c r="AR71"/>
  <c r="AR70"/>
  <c r="AR63"/>
  <c r="AR64"/>
  <c r="AR65"/>
  <c r="AR66"/>
  <c r="AR67"/>
  <c r="AR62"/>
  <c r="AR61"/>
  <c r="AR60"/>
  <c r="AR59"/>
  <c r="AR58"/>
  <c r="AR57"/>
  <c r="AR56"/>
  <c r="AR55"/>
  <c r="AR54"/>
  <c r="AR53"/>
  <c r="AR52"/>
  <c r="AR51"/>
  <c r="AR50"/>
  <c r="AR49"/>
  <c r="AR48"/>
  <c r="AR47"/>
  <c r="AR46"/>
  <c r="AR45"/>
  <c r="AR44"/>
  <c r="AR43"/>
  <c r="AR42"/>
  <c r="AR20"/>
  <c r="AR21"/>
  <c r="AR22"/>
  <c r="AR23"/>
  <c r="AR24"/>
  <c r="AR25"/>
  <c r="AR26"/>
  <c r="AR27"/>
  <c r="AR28"/>
  <c r="AR29"/>
  <c r="AR30"/>
  <c r="AR31"/>
  <c r="AR32"/>
  <c r="AR33"/>
  <c r="AR34"/>
  <c r="AR35"/>
  <c r="AR36"/>
  <c r="AR37"/>
  <c r="AR38"/>
  <c r="AR39"/>
  <c r="AR19"/>
  <c r="AR18"/>
  <c r="AR17"/>
  <c r="AR16"/>
  <c r="AR15"/>
  <c r="AR14"/>
  <c r="AR13"/>
  <c r="AR5"/>
  <c r="AR6"/>
  <c r="AR7"/>
  <c r="AR8"/>
  <c r="AR9"/>
  <c r="AR10"/>
  <c r="AR4"/>
  <c r="AR145" i="74"/>
  <c r="AR146"/>
  <c r="AR147"/>
  <c r="AR148"/>
  <c r="AR149"/>
  <c r="AR150"/>
  <c r="AR151"/>
  <c r="AR152"/>
  <c r="AR153"/>
  <c r="AR154"/>
  <c r="AR155"/>
  <c r="AR156"/>
  <c r="AR157"/>
  <c r="AR158"/>
  <c r="AR159"/>
  <c r="AR160"/>
  <c r="AR161"/>
  <c r="AR162"/>
  <c r="AR163"/>
  <c r="AR164"/>
  <c r="AR165"/>
  <c r="AR166"/>
  <c r="AR167"/>
  <c r="AR168"/>
  <c r="AR169"/>
  <c r="AR172"/>
  <c r="AR173"/>
  <c r="AR174"/>
  <c r="AR175"/>
  <c r="AR176"/>
  <c r="AR177"/>
  <c r="AR178"/>
  <c r="AR179"/>
  <c r="AR180"/>
  <c r="AR181"/>
  <c r="AR182"/>
  <c r="AR183"/>
  <c r="AR184"/>
  <c r="AR185"/>
  <c r="AR144"/>
  <c r="AR101"/>
  <c r="AR102"/>
  <c r="AR103"/>
  <c r="AR104"/>
  <c r="AR105"/>
  <c r="AR106"/>
  <c r="AR107"/>
  <c r="AR108"/>
  <c r="AR109"/>
  <c r="AR110"/>
  <c r="AR111"/>
  <c r="AR112"/>
  <c r="AR113"/>
  <c r="AR114"/>
  <c r="AR115"/>
  <c r="AR116"/>
  <c r="AR117"/>
  <c r="AR118"/>
  <c r="AR119"/>
  <c r="AR120"/>
  <c r="AR121"/>
  <c r="AR122"/>
  <c r="AR123"/>
  <c r="AR124"/>
  <c r="AR125"/>
  <c r="AR126"/>
  <c r="AR127"/>
  <c r="AR128"/>
  <c r="AR129"/>
  <c r="AR130"/>
  <c r="AR131"/>
  <c r="AR132"/>
  <c r="AR133"/>
  <c r="AR134"/>
  <c r="AR135"/>
  <c r="AR136"/>
  <c r="AR137"/>
  <c r="AR138"/>
  <c r="AR139"/>
  <c r="AR140"/>
  <c r="AR141"/>
  <c r="AR100"/>
  <c r="AR99"/>
  <c r="AR98"/>
  <c r="AR95"/>
  <c r="AR94"/>
  <c r="AR93"/>
  <c r="AR92"/>
  <c r="AR91"/>
  <c r="AR90"/>
  <c r="AR89"/>
  <c r="AR88"/>
  <c r="AR87"/>
  <c r="AR86"/>
  <c r="AR85"/>
  <c r="AR84"/>
  <c r="AR83"/>
  <c r="AR82"/>
  <c r="AR81"/>
  <c r="AR80"/>
  <c r="AR77"/>
  <c r="AR76"/>
  <c r="AR75"/>
  <c r="AR74"/>
  <c r="AR73"/>
  <c r="AR72"/>
  <c r="AR71"/>
  <c r="AR70"/>
  <c r="AR69"/>
  <c r="AR68"/>
  <c r="AR51"/>
  <c r="AR52"/>
  <c r="AR53"/>
  <c r="AR54"/>
  <c r="AR55"/>
  <c r="AR56"/>
  <c r="AR57"/>
  <c r="AR58"/>
  <c r="AR59"/>
  <c r="AR60"/>
  <c r="AR61"/>
  <c r="AR62"/>
  <c r="AR63"/>
  <c r="AR64"/>
  <c r="AR65"/>
  <c r="AR50"/>
  <c r="AR49"/>
  <c r="AR48"/>
  <c r="AR47"/>
  <c r="AR46"/>
  <c r="AR45"/>
  <c r="AR44"/>
  <c r="AR43"/>
  <c r="AR42"/>
  <c r="AR41"/>
  <c r="AR40"/>
  <c r="AR39"/>
  <c r="AR38"/>
  <c r="AR37"/>
  <c r="AR36"/>
  <c r="AR35"/>
  <c r="AR34"/>
  <c r="AR33"/>
  <c r="AR12"/>
  <c r="AR13"/>
  <c r="AR14"/>
  <c r="AR15"/>
  <c r="AR16"/>
  <c r="AR17"/>
  <c r="AR18"/>
  <c r="AR19"/>
  <c r="AR20"/>
  <c r="AR21"/>
  <c r="AR22"/>
  <c r="AR23"/>
  <c r="AR24"/>
  <c r="AR25"/>
  <c r="AR26"/>
  <c r="AR27"/>
  <c r="AR28"/>
  <c r="AR11"/>
  <c r="AR148" i="114"/>
  <c r="AR149"/>
  <c r="AR150"/>
  <c r="AR151"/>
  <c r="AR152"/>
  <c r="AR153"/>
  <c r="AR154"/>
  <c r="AR155"/>
  <c r="AR156"/>
  <c r="AR157"/>
  <c r="AR158"/>
  <c r="AR159"/>
  <c r="AR160"/>
  <c r="AR161"/>
  <c r="AR162"/>
  <c r="AR163"/>
  <c r="AR164"/>
  <c r="AR165"/>
  <c r="AR166"/>
  <c r="AR167"/>
  <c r="AR168"/>
  <c r="AR169"/>
  <c r="AR170"/>
  <c r="AR171"/>
  <c r="AR172"/>
  <c r="AR173"/>
  <c r="AR174"/>
  <c r="AR175"/>
  <c r="AR176"/>
  <c r="AR177"/>
  <c r="AR178"/>
  <c r="AR179"/>
  <c r="AR180"/>
  <c r="AR181"/>
  <c r="AR182"/>
  <c r="AR183"/>
  <c r="AR184"/>
  <c r="AR185"/>
  <c r="AR186"/>
  <c r="AR187"/>
  <c r="AR188"/>
  <c r="AR189"/>
  <c r="AR190"/>
  <c r="AR191"/>
  <c r="AR192"/>
  <c r="AR193"/>
  <c r="AR194"/>
  <c r="AR195"/>
  <c r="AR196"/>
  <c r="AR197"/>
  <c r="AR198"/>
  <c r="AR199"/>
  <c r="AR200"/>
  <c r="AR201"/>
  <c r="AR202"/>
  <c r="AR203"/>
  <c r="AR204"/>
  <c r="AR205"/>
  <c r="AR206"/>
  <c r="AR207"/>
  <c r="AR208"/>
  <c r="AR209"/>
  <c r="AR210"/>
  <c r="AR211"/>
  <c r="AR212"/>
  <c r="AR213"/>
  <c r="AR214"/>
  <c r="AR215"/>
  <c r="AR216"/>
  <c r="AR217"/>
  <c r="AR218"/>
  <c r="AR219"/>
  <c r="AR220"/>
  <c r="AR221"/>
  <c r="AR222"/>
  <c r="AR223"/>
  <c r="AR224"/>
  <c r="AR225"/>
  <c r="AR226"/>
  <c r="AR227"/>
  <c r="AR228"/>
  <c r="AR229"/>
  <c r="AR230"/>
  <c r="AR231"/>
  <c r="AR232"/>
  <c r="AR233"/>
  <c r="AR236"/>
  <c r="AR237"/>
  <c r="AR238"/>
  <c r="AR239"/>
  <c r="AR240"/>
  <c r="AR241"/>
  <c r="AR242"/>
  <c r="AR243"/>
  <c r="AR244"/>
  <c r="AR245"/>
  <c r="AR246"/>
  <c r="AR247"/>
  <c r="AR248"/>
  <c r="AR249"/>
  <c r="AR250"/>
  <c r="AR251"/>
  <c r="AR252"/>
  <c r="AR253"/>
  <c r="AR254"/>
  <c r="AR255"/>
  <c r="AR256"/>
  <c r="AR257"/>
  <c r="AR258"/>
  <c r="AR259"/>
  <c r="AR260"/>
  <c r="AR261"/>
  <c r="AR262"/>
  <c r="AR263"/>
  <c r="AR264"/>
  <c r="AR265"/>
  <c r="AR266"/>
  <c r="AR269"/>
  <c r="AR270"/>
  <c r="AR271"/>
  <c r="AR272"/>
  <c r="AR273"/>
  <c r="AR274"/>
  <c r="AR275"/>
  <c r="AR276"/>
  <c r="AR277"/>
  <c r="AR280"/>
  <c r="AR281"/>
  <c r="AR282"/>
  <c r="AR283"/>
  <c r="AR284"/>
  <c r="AR285"/>
  <c r="AR286"/>
  <c r="AR287"/>
  <c r="AR288"/>
  <c r="AR289"/>
  <c r="AR290"/>
  <c r="AR291"/>
  <c r="AR292"/>
  <c r="AR293"/>
  <c r="AR294"/>
  <c r="AR295"/>
  <c r="AR296"/>
  <c r="AR297"/>
  <c r="AR298"/>
  <c r="AR299"/>
  <c r="AR300"/>
  <c r="AR301"/>
  <c r="AR302"/>
  <c r="AR303"/>
  <c r="AR304"/>
  <c r="AR305"/>
  <c r="AR306"/>
  <c r="AR307"/>
  <c r="AR308"/>
  <c r="AR309"/>
  <c r="AR310"/>
  <c r="AR311"/>
  <c r="AR312"/>
  <c r="AR313"/>
  <c r="AR314"/>
  <c r="AR315"/>
  <c r="AR316"/>
  <c r="AR317"/>
  <c r="AR318"/>
  <c r="AR319"/>
  <c r="AR320"/>
  <c r="AR321"/>
  <c r="AR322"/>
  <c r="AR323"/>
  <c r="AR324"/>
  <c r="AR325"/>
  <c r="AR326"/>
  <c r="AR327"/>
  <c r="AR328"/>
  <c r="AR331"/>
  <c r="AR332"/>
  <c r="AR333"/>
  <c r="AR334"/>
  <c r="AR335"/>
  <c r="AR336"/>
  <c r="AR337"/>
  <c r="AR338"/>
  <c r="AR339"/>
  <c r="AR340"/>
  <c r="AR341"/>
  <c r="AR342"/>
  <c r="AR343"/>
  <c r="AR344"/>
  <c r="AR345"/>
  <c r="AR346"/>
  <c r="AR347"/>
  <c r="AR348"/>
  <c r="AR349"/>
  <c r="AR350"/>
  <c r="AR351"/>
  <c r="AR352"/>
  <c r="AR353"/>
  <c r="AR354"/>
  <c r="AR355"/>
  <c r="AR356"/>
  <c r="AR357"/>
  <c r="AR358"/>
  <c r="AR361"/>
  <c r="AR362"/>
  <c r="AR147"/>
  <c r="AR56"/>
  <c r="AR57"/>
  <c r="AR58"/>
  <c r="AR59"/>
  <c r="AR60"/>
  <c r="AR61"/>
  <c r="AR62"/>
  <c r="AR63"/>
  <c r="AR64"/>
  <c r="AR65"/>
  <c r="AR66"/>
  <c r="AR67"/>
  <c r="AR68"/>
  <c r="AR69"/>
  <c r="AR70"/>
  <c r="AR71"/>
  <c r="AR72"/>
  <c r="AR73"/>
  <c r="AR74"/>
  <c r="AR75"/>
  <c r="AR76"/>
  <c r="AR77"/>
  <c r="AR78"/>
  <c r="AR79"/>
  <c r="AR80"/>
  <c r="AR81"/>
  <c r="AR82"/>
  <c r="AR83"/>
  <c r="AR84"/>
  <c r="AR85"/>
  <c r="AR86"/>
  <c r="AR87"/>
  <c r="AR88"/>
  <c r="AR89"/>
  <c r="AR90"/>
  <c r="AR91"/>
  <c r="AR92"/>
  <c r="AR93"/>
  <c r="AR94"/>
  <c r="AR95"/>
  <c r="AR96"/>
  <c r="AR97"/>
  <c r="AR98"/>
  <c r="AR99"/>
  <c r="AR100"/>
  <c r="AR101"/>
  <c r="AR102"/>
  <c r="AR103"/>
  <c r="AR104"/>
  <c r="AR105"/>
  <c r="AR106"/>
  <c r="AR107"/>
  <c r="AR108"/>
  <c r="AR109"/>
  <c r="AR110"/>
  <c r="AR111"/>
  <c r="AR112"/>
  <c r="AR113"/>
  <c r="AR114"/>
  <c r="AR115"/>
  <c r="AR116"/>
  <c r="AR117"/>
  <c r="AR118"/>
  <c r="AR119"/>
  <c r="AR120"/>
  <c r="AR121"/>
  <c r="AR122"/>
  <c r="AR123"/>
  <c r="AR124"/>
  <c r="AR125"/>
  <c r="AR126"/>
  <c r="AR127"/>
  <c r="AR128"/>
  <c r="AR129"/>
  <c r="AR130"/>
  <c r="AR131"/>
  <c r="AR132"/>
  <c r="AR133"/>
  <c r="AR134"/>
  <c r="AR135"/>
  <c r="AR136"/>
  <c r="AR137"/>
  <c r="AR138"/>
  <c r="AR139"/>
  <c r="AR140"/>
  <c r="AR141"/>
  <c r="AR142"/>
  <c r="AR55"/>
  <c r="AR54"/>
  <c r="AR53"/>
  <c r="AR52"/>
  <c r="AR51"/>
  <c r="AR50"/>
  <c r="AR49"/>
  <c r="AR48"/>
  <c r="AR47"/>
  <c r="AR46"/>
  <c r="AR45"/>
  <c r="AR44"/>
  <c r="AR33"/>
  <c r="AR34"/>
  <c r="AR35"/>
  <c r="AR36"/>
  <c r="AR37"/>
  <c r="AR38"/>
  <c r="AR39"/>
  <c r="AR40"/>
  <c r="AR41"/>
  <c r="AR42"/>
  <c r="AR32"/>
  <c r="AR31"/>
  <c r="AR4"/>
  <c r="U4" i="74" l="1"/>
  <c r="U8"/>
  <c r="Y6"/>
  <c r="Z6" s="1"/>
  <c r="Y7"/>
  <c r="Z7" s="1"/>
  <c r="U5"/>
  <c r="Y2"/>
  <c r="Z2" s="1"/>
  <c r="Y9"/>
  <c r="Z9" s="1"/>
  <c r="Y3"/>
  <c r="Z3" s="1"/>
  <c r="Y9" i="114"/>
  <c r="Z9" s="1"/>
  <c r="AH9"/>
  <c r="Y29"/>
  <c r="Z29" s="1"/>
  <c r="AH29"/>
  <c r="Y28"/>
  <c r="Z28" s="1"/>
  <c r="AH28"/>
  <c r="Y27"/>
  <c r="Z27" s="1"/>
  <c r="AH27"/>
  <c r="Y26"/>
  <c r="Z26" s="1"/>
  <c r="AH26"/>
  <c r="Y25"/>
  <c r="Z25" s="1"/>
  <c r="AH25"/>
  <c r="Y24"/>
  <c r="Z24" s="1"/>
  <c r="AH24"/>
  <c r="Y23"/>
  <c r="Z23" s="1"/>
  <c r="AH23"/>
  <c r="Y22"/>
  <c r="Z22" s="1"/>
  <c r="AH22"/>
  <c r="Y21"/>
  <c r="Z21" s="1"/>
  <c r="AH21"/>
  <c r="Y20"/>
  <c r="Z20" s="1"/>
  <c r="AH20"/>
  <c r="Y19"/>
  <c r="Z19" s="1"/>
  <c r="AH19"/>
  <c r="Y18"/>
  <c r="Z18" s="1"/>
  <c r="AH18"/>
  <c r="Y17"/>
  <c r="Z17" s="1"/>
  <c r="AH17"/>
  <c r="Y16"/>
  <c r="Z16" s="1"/>
  <c r="AH16"/>
  <c r="Y15"/>
  <c r="Z15" s="1"/>
  <c r="AH15"/>
  <c r="Y14"/>
  <c r="Z14" s="1"/>
  <c r="AH14"/>
  <c r="Y13"/>
  <c r="Z13" s="1"/>
  <c r="AH13"/>
  <c r="Y12"/>
  <c r="Z12" s="1"/>
  <c r="AH12"/>
  <c r="Y11"/>
  <c r="Z11" s="1"/>
  <c r="AH11"/>
  <c r="Y10"/>
  <c r="Z10" s="1"/>
  <c r="AH10"/>
  <c r="Y8"/>
  <c r="Z8" s="1"/>
  <c r="AH8"/>
  <c r="Y7"/>
  <c r="Z7" s="1"/>
  <c r="Y6"/>
  <c r="Z6" s="1"/>
  <c r="AH7"/>
  <c r="AB5" i="57"/>
  <c r="AB6"/>
  <c r="AB7"/>
  <c r="AB8"/>
  <c r="AB9"/>
  <c r="AB10"/>
  <c r="AB4"/>
  <c r="X66" i="74"/>
  <c r="W66"/>
  <c r="X234" i="114"/>
  <c r="W234"/>
  <c r="AP8" i="22"/>
  <c r="AF8" l="1"/>
  <c r="N8"/>
  <c r="X135"/>
  <c r="W135"/>
  <c r="AF132"/>
  <c r="Y132"/>
  <c r="Z132" s="1"/>
  <c r="U132"/>
  <c r="AO133"/>
  <c r="AP133"/>
  <c r="AF133" l="1"/>
  <c r="AB133"/>
  <c r="Y133"/>
  <c r="Z133" s="1"/>
  <c r="V133"/>
  <c r="T133"/>
  <c r="U133" s="1"/>
  <c r="S133"/>
  <c r="R133"/>
  <c r="Q133"/>
  <c r="P133"/>
  <c r="O133"/>
  <c r="M133"/>
  <c r="L133"/>
  <c r="K133"/>
  <c r="J133"/>
  <c r="F133"/>
  <c r="E133"/>
  <c r="D133"/>
  <c r="C133"/>
  <c r="B133"/>
  <c r="A133"/>
  <c r="N133" l="1"/>
  <c r="AM18" i="28"/>
  <c r="X143" i="114"/>
  <c r="AF3"/>
  <c r="N3"/>
  <c r="AO18" i="28"/>
  <c r="AL18"/>
  <c r="AP18"/>
  <c r="AK18" l="1"/>
  <c r="AD38"/>
  <c r="AE39" s="1"/>
  <c r="AE40" s="1"/>
  <c r="AE41" s="1"/>
  <c r="AE42" s="1"/>
  <c r="AE43" s="1"/>
  <c r="AD2"/>
  <c r="AE3" s="1"/>
  <c r="AE4" s="1"/>
  <c r="AE5" s="1"/>
  <c r="AE6" s="1"/>
  <c r="AE7" s="1"/>
  <c r="AF18"/>
  <c r="N18"/>
  <c r="T13"/>
  <c r="T14"/>
  <c r="T15"/>
  <c r="T16"/>
  <c r="T17"/>
  <c r="T19"/>
  <c r="T20"/>
  <c r="T21"/>
  <c r="T22"/>
  <c r="T23"/>
  <c r="T25"/>
  <c r="T26"/>
  <c r="T24"/>
  <c r="T27"/>
  <c r="T29"/>
  <c r="T30"/>
  <c r="T28"/>
  <c r="T31"/>
  <c r="T32"/>
  <c r="T33"/>
  <c r="T34"/>
  <c r="T35"/>
  <c r="T46"/>
  <c r="T47"/>
  <c r="T49"/>
  <c r="T50"/>
  <c r="T51"/>
  <c r="T53"/>
  <c r="T54"/>
  <c r="T56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03"/>
  <c r="T204"/>
  <c r="T205"/>
  <c r="T206"/>
  <c r="T207"/>
  <c r="T208"/>
  <c r="T209"/>
  <c r="T210"/>
  <c r="T211"/>
  <c r="T212"/>
  <c r="T213"/>
  <c r="T214"/>
  <c r="T215"/>
  <c r="T216"/>
  <c r="T217"/>
  <c r="T218"/>
  <c r="T219"/>
  <c r="T220"/>
  <c r="T221"/>
  <c r="T222"/>
  <c r="T223"/>
  <c r="T224"/>
  <c r="T225"/>
  <c r="T226"/>
  <c r="T227"/>
  <c r="T228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263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328"/>
  <c r="T329"/>
  <c r="T330"/>
  <c r="T331"/>
  <c r="T332"/>
  <c r="T333"/>
  <c r="T334"/>
  <c r="AF12" i="74"/>
  <c r="S40" i="118"/>
  <c r="S63" i="28" l="1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62"/>
  <c r="S61"/>
  <c r="S60"/>
  <c r="S56"/>
  <c r="S54"/>
  <c r="S53"/>
  <c r="S51"/>
  <c r="S50"/>
  <c r="S49"/>
  <c r="S47"/>
  <c r="S46"/>
  <c r="S15"/>
  <c r="S16"/>
  <c r="S17"/>
  <c r="S19"/>
  <c r="S20"/>
  <c r="S21"/>
  <c r="S22"/>
  <c r="S23"/>
  <c r="S25"/>
  <c r="S26"/>
  <c r="S24"/>
  <c r="S27"/>
  <c r="S29"/>
  <c r="S30"/>
  <c r="S28"/>
  <c r="S31"/>
  <c r="S32"/>
  <c r="S33"/>
  <c r="S34"/>
  <c r="S35"/>
  <c r="S14"/>
  <c r="S13"/>
  <c r="S1825" i="57"/>
  <c r="S1824"/>
  <c r="S1821"/>
  <c r="S1820"/>
  <c r="S1819"/>
  <c r="S1818"/>
  <c r="S1809"/>
  <c r="S1810"/>
  <c r="S1811"/>
  <c r="S1812"/>
  <c r="S1813"/>
  <c r="S1814"/>
  <c r="S1815"/>
  <c r="S1808"/>
  <c r="S1807"/>
  <c r="S1781"/>
  <c r="S1782"/>
  <c r="S1783"/>
  <c r="S1784"/>
  <c r="S1785"/>
  <c r="S1786"/>
  <c r="S1787"/>
  <c r="S1788"/>
  <c r="S1789"/>
  <c r="S1790"/>
  <c r="S1791"/>
  <c r="S1792"/>
  <c r="S1793"/>
  <c r="S1794"/>
  <c r="S1795"/>
  <c r="S1796"/>
  <c r="S1797"/>
  <c r="S1798"/>
  <c r="S1799"/>
  <c r="S1800"/>
  <c r="S1801"/>
  <c r="S1802"/>
  <c r="S1803"/>
  <c r="S1804"/>
  <c r="S1780"/>
  <c r="S1704"/>
  <c r="S1705"/>
  <c r="S1706"/>
  <c r="S1707"/>
  <c r="S1708"/>
  <c r="S1709"/>
  <c r="S1710"/>
  <c r="S1711"/>
  <c r="S1712"/>
  <c r="S1713"/>
  <c r="S1714"/>
  <c r="S1715"/>
  <c r="S1716"/>
  <c r="S1717"/>
  <c r="S1718"/>
  <c r="S1719"/>
  <c r="S1720"/>
  <c r="S1721"/>
  <c r="S1722"/>
  <c r="S1723"/>
  <c r="S1724"/>
  <c r="S1725"/>
  <c r="S1726"/>
  <c r="S1727"/>
  <c r="S1728"/>
  <c r="S1729"/>
  <c r="S1730"/>
  <c r="S1731"/>
  <c r="S1732"/>
  <c r="S1733"/>
  <c r="S1734"/>
  <c r="S1735"/>
  <c r="S1736"/>
  <c r="S1737"/>
  <c r="S1738"/>
  <c r="S1739"/>
  <c r="S1740"/>
  <c r="S1741"/>
  <c r="S1742"/>
  <c r="S1743"/>
  <c r="S1744"/>
  <c r="S1745"/>
  <c r="S1746"/>
  <c r="S1747"/>
  <c r="S1748"/>
  <c r="S1749"/>
  <c r="S1750"/>
  <c r="S1751"/>
  <c r="S1752"/>
  <c r="S1753"/>
  <c r="S1754"/>
  <c r="S1755"/>
  <c r="S1756"/>
  <c r="S1757"/>
  <c r="S1758"/>
  <c r="S1759"/>
  <c r="S1760"/>
  <c r="S1761"/>
  <c r="S1762"/>
  <c r="S1763"/>
  <c r="S1764"/>
  <c r="S1765"/>
  <c r="S1766"/>
  <c r="S1767"/>
  <c r="S1768"/>
  <c r="S1769"/>
  <c r="S1770"/>
  <c r="S1771"/>
  <c r="S1772"/>
  <c r="S1773"/>
  <c r="S1774"/>
  <c r="S1775"/>
  <c r="S1776"/>
  <c r="S1777"/>
  <c r="S1703"/>
  <c r="S1702"/>
  <c r="S1701"/>
  <c r="S1700"/>
  <c r="S1699"/>
  <c r="S1698"/>
  <c r="S1697"/>
  <c r="S1696"/>
  <c r="S1695"/>
  <c r="S1694"/>
  <c r="S1693"/>
  <c r="S1692"/>
  <c r="S1679"/>
  <c r="S1680"/>
  <c r="S1681"/>
  <c r="S1682"/>
  <c r="S1683"/>
  <c r="S1684"/>
  <c r="S1685"/>
  <c r="S1686"/>
  <c r="S1687"/>
  <c r="S1688"/>
  <c r="S1689"/>
  <c r="S1678"/>
  <c r="S1640"/>
  <c r="S1641"/>
  <c r="S1642"/>
  <c r="S1643"/>
  <c r="S1644"/>
  <c r="S1645"/>
  <c r="S1646"/>
  <c r="S1647"/>
  <c r="S1648"/>
  <c r="S1649"/>
  <c r="S1650"/>
  <c r="S1651"/>
  <c r="S1652"/>
  <c r="S1653"/>
  <c r="S1654"/>
  <c r="S1655"/>
  <c r="S1656"/>
  <c r="S1657"/>
  <c r="S1658"/>
  <c r="S1659"/>
  <c r="S1660"/>
  <c r="S1661"/>
  <c r="S1662"/>
  <c r="S1663"/>
  <c r="S1664"/>
  <c r="S1665"/>
  <c r="S1666"/>
  <c r="S1667"/>
  <c r="S1668"/>
  <c r="S1669"/>
  <c r="S1670"/>
  <c r="S1671"/>
  <c r="S1672"/>
  <c r="S1673"/>
  <c r="S1674"/>
  <c r="S1675"/>
  <c r="S1639"/>
  <c r="S1595"/>
  <c r="S1596"/>
  <c r="S1597"/>
  <c r="S1598"/>
  <c r="S1599"/>
  <c r="S1600"/>
  <c r="S1601"/>
  <c r="S1602"/>
  <c r="S1603"/>
  <c r="S1604"/>
  <c r="S1605"/>
  <c r="S1606"/>
  <c r="S1607"/>
  <c r="S1608"/>
  <c r="S1609"/>
  <c r="S1610"/>
  <c r="S1611"/>
  <c r="S1612"/>
  <c r="S1613"/>
  <c r="S1614"/>
  <c r="S1615"/>
  <c r="S1616"/>
  <c r="S1617"/>
  <c r="S1618"/>
  <c r="S1619"/>
  <c r="S1620"/>
  <c r="S1621"/>
  <c r="S1622"/>
  <c r="S1623"/>
  <c r="S1624"/>
  <c r="S1625"/>
  <c r="S1626"/>
  <c r="S1627"/>
  <c r="S1628"/>
  <c r="S1629"/>
  <c r="S1630"/>
  <c r="S1631"/>
  <c r="S1632"/>
  <c r="S1633"/>
  <c r="S1634"/>
  <c r="S1635"/>
  <c r="S1636"/>
  <c r="S1594"/>
  <c r="S1549"/>
  <c r="S1550"/>
  <c r="S1551"/>
  <c r="S1552"/>
  <c r="S1553"/>
  <c r="S1554"/>
  <c r="S1555"/>
  <c r="S1556"/>
  <c r="S1557"/>
  <c r="S1558"/>
  <c r="S1559"/>
  <c r="S1560"/>
  <c r="S1561"/>
  <c r="S1562"/>
  <c r="S1563"/>
  <c r="S1564"/>
  <c r="S1565"/>
  <c r="S1566"/>
  <c r="S1567"/>
  <c r="S1568"/>
  <c r="S1569"/>
  <c r="S1570"/>
  <c r="S1571"/>
  <c r="S1572"/>
  <c r="S1573"/>
  <c r="S1574"/>
  <c r="S1575"/>
  <c r="S1576"/>
  <c r="S1577"/>
  <c r="S1578"/>
  <c r="S1579"/>
  <c r="S1580"/>
  <c r="S1581"/>
  <c r="S1582"/>
  <c r="S1583"/>
  <c r="S1584"/>
  <c r="S1585"/>
  <c r="S1586"/>
  <c r="S1587"/>
  <c r="S1588"/>
  <c r="S1589"/>
  <c r="S1590"/>
  <c r="S1591"/>
  <c r="S1548"/>
  <c r="S1518"/>
  <c r="S1519"/>
  <c r="S1520"/>
  <c r="S1521"/>
  <c r="S1522"/>
  <c r="S1523"/>
  <c r="S1524"/>
  <c r="S1525"/>
  <c r="S1526"/>
  <c r="S1527"/>
  <c r="S1528"/>
  <c r="S1529"/>
  <c r="S1530"/>
  <c r="S1531"/>
  <c r="S1532"/>
  <c r="S1533"/>
  <c r="S1534"/>
  <c r="S1535"/>
  <c r="S1536"/>
  <c r="S1537"/>
  <c r="S1538"/>
  <c r="S1539"/>
  <c r="S1540"/>
  <c r="S1541"/>
  <c r="S1542"/>
  <c r="S1543"/>
  <c r="S1544"/>
  <c r="S1545"/>
  <c r="S1517"/>
  <c r="S1442"/>
  <c r="S1443"/>
  <c r="S1444"/>
  <c r="S1445"/>
  <c r="S1446"/>
  <c r="S1447"/>
  <c r="S1448"/>
  <c r="S1449"/>
  <c r="S1450"/>
  <c r="S1451"/>
  <c r="S1452"/>
  <c r="S1453"/>
  <c r="S1454"/>
  <c r="S1455"/>
  <c r="S1456"/>
  <c r="S1457"/>
  <c r="S1458"/>
  <c r="S1459"/>
  <c r="S1460"/>
  <c r="S1461"/>
  <c r="S1462"/>
  <c r="S1463"/>
  <c r="S1464"/>
  <c r="S1465"/>
  <c r="S1466"/>
  <c r="S1467"/>
  <c r="S1468"/>
  <c r="S1469"/>
  <c r="S1470"/>
  <c r="S1471"/>
  <c r="S1472"/>
  <c r="S1473"/>
  <c r="S1474"/>
  <c r="S1475"/>
  <c r="S1476"/>
  <c r="S1477"/>
  <c r="S1478"/>
  <c r="S1479"/>
  <c r="S1480"/>
  <c r="S1481"/>
  <c r="S1482"/>
  <c r="S1483"/>
  <c r="S1484"/>
  <c r="S1485"/>
  <c r="S1486"/>
  <c r="S1487"/>
  <c r="S1488"/>
  <c r="S1489"/>
  <c r="S1490"/>
  <c r="S1491"/>
  <c r="S1492"/>
  <c r="S1493"/>
  <c r="S1494"/>
  <c r="S1495"/>
  <c r="S1496"/>
  <c r="S1497"/>
  <c r="S1498"/>
  <c r="S1499"/>
  <c r="S1500"/>
  <c r="S1501"/>
  <c r="S1502"/>
  <c r="S1503"/>
  <c r="S1504"/>
  <c r="S1505"/>
  <c r="S1506"/>
  <c r="S1507"/>
  <c r="S1508"/>
  <c r="S1509"/>
  <c r="S1510"/>
  <c r="S1511"/>
  <c r="S1512"/>
  <c r="S1513"/>
  <c r="S1514"/>
  <c r="S1441"/>
  <c r="S1310"/>
  <c r="S1311"/>
  <c r="S1312"/>
  <c r="S1313"/>
  <c r="S1314"/>
  <c r="S1315"/>
  <c r="S1316"/>
  <c r="S1317"/>
  <c r="S1318"/>
  <c r="S1319"/>
  <c r="S1320"/>
  <c r="S1321"/>
  <c r="S1322"/>
  <c r="S1323"/>
  <c r="S1324"/>
  <c r="S1325"/>
  <c r="S1326"/>
  <c r="S1327"/>
  <c r="S1328"/>
  <c r="S1329"/>
  <c r="S1330"/>
  <c r="S1331"/>
  <c r="S1332"/>
  <c r="S1333"/>
  <c r="S1334"/>
  <c r="S1335"/>
  <c r="S1336"/>
  <c r="S1337"/>
  <c r="S1338"/>
  <c r="S1339"/>
  <c r="S1340"/>
  <c r="S1341"/>
  <c r="S1342"/>
  <c r="S1343"/>
  <c r="S1344"/>
  <c r="S1345"/>
  <c r="S1346"/>
  <c r="S1347"/>
  <c r="S1348"/>
  <c r="S1349"/>
  <c r="S1350"/>
  <c r="S1351"/>
  <c r="S1352"/>
  <c r="S1353"/>
  <c r="S1354"/>
  <c r="S1355"/>
  <c r="S1356"/>
  <c r="S1357"/>
  <c r="S1358"/>
  <c r="S1359"/>
  <c r="S1360"/>
  <c r="S1361"/>
  <c r="S1362"/>
  <c r="S1363"/>
  <c r="S1364"/>
  <c r="S1365"/>
  <c r="S1366"/>
  <c r="S1367"/>
  <c r="S1368"/>
  <c r="S1369"/>
  <c r="S1370"/>
  <c r="S1371"/>
  <c r="S1372"/>
  <c r="S1373"/>
  <c r="S1374"/>
  <c r="S1375"/>
  <c r="S1376"/>
  <c r="S1377"/>
  <c r="S1378"/>
  <c r="S1379"/>
  <c r="S1380"/>
  <c r="S1381"/>
  <c r="S1382"/>
  <c r="S1383"/>
  <c r="S1384"/>
  <c r="S1385"/>
  <c r="S1386"/>
  <c r="S1387"/>
  <c r="S1388"/>
  <c r="S1389"/>
  <c r="S1390"/>
  <c r="S1391"/>
  <c r="S1392"/>
  <c r="S1393"/>
  <c r="S1394"/>
  <c r="S1395"/>
  <c r="S1396"/>
  <c r="S1397"/>
  <c r="S1398"/>
  <c r="S1399"/>
  <c r="S1400"/>
  <c r="S1401"/>
  <c r="S1402"/>
  <c r="S1403"/>
  <c r="S1404"/>
  <c r="S1405"/>
  <c r="S1406"/>
  <c r="S1407"/>
  <c r="S1408"/>
  <c r="S1409"/>
  <c r="S1410"/>
  <c r="S1411"/>
  <c r="S1412"/>
  <c r="S1413"/>
  <c r="S1414"/>
  <c r="S1415"/>
  <c r="S1416"/>
  <c r="S1417"/>
  <c r="S1418"/>
  <c r="S1419"/>
  <c r="S1420"/>
  <c r="S1421"/>
  <c r="S1422"/>
  <c r="S1423"/>
  <c r="S1424"/>
  <c r="S1425"/>
  <c r="S1426"/>
  <c r="S1427"/>
  <c r="S1428"/>
  <c r="S1429"/>
  <c r="S1430"/>
  <c r="S1431"/>
  <c r="S1432"/>
  <c r="S1433"/>
  <c r="S1434"/>
  <c r="S1435"/>
  <c r="S1436"/>
  <c r="S1437"/>
  <c r="S1438"/>
  <c r="S1309"/>
  <c r="S1268"/>
  <c r="S1269"/>
  <c r="S1270"/>
  <c r="S1271"/>
  <c r="S1272"/>
  <c r="S1273"/>
  <c r="S1274"/>
  <c r="S1275"/>
  <c r="S1276"/>
  <c r="S1277"/>
  <c r="S1278"/>
  <c r="S1279"/>
  <c r="S1280"/>
  <c r="S1281"/>
  <c r="S1282"/>
  <c r="S1283"/>
  <c r="S1284"/>
  <c r="S1285"/>
  <c r="S1286"/>
  <c r="S1287"/>
  <c r="S1288"/>
  <c r="S1289"/>
  <c r="S1290"/>
  <c r="S1291"/>
  <c r="S1292"/>
  <c r="S1293"/>
  <c r="S1294"/>
  <c r="S1295"/>
  <c r="S1296"/>
  <c r="S1297"/>
  <c r="S1298"/>
  <c r="S1299"/>
  <c r="S1300"/>
  <c r="S1301"/>
  <c r="S1302"/>
  <c r="S1303"/>
  <c r="S1304"/>
  <c r="S1305"/>
  <c r="S1306"/>
  <c r="S1267"/>
  <c r="S1230"/>
  <c r="S1231"/>
  <c r="S1232"/>
  <c r="S1233"/>
  <c r="S1234"/>
  <c r="S1235"/>
  <c r="S1236"/>
  <c r="S1237"/>
  <c r="S1238"/>
  <c r="S1239"/>
  <c r="S1240"/>
  <c r="S1241"/>
  <c r="S1242"/>
  <c r="S1243"/>
  <c r="S1244"/>
  <c r="S1245"/>
  <c r="S1246"/>
  <c r="S1247"/>
  <c r="S1248"/>
  <c r="S1249"/>
  <c r="S1250"/>
  <c r="S1251"/>
  <c r="S1252"/>
  <c r="S1253"/>
  <c r="S1254"/>
  <c r="S1255"/>
  <c r="S1256"/>
  <c r="S1257"/>
  <c r="S1258"/>
  <c r="S1259"/>
  <c r="S1260"/>
  <c r="S1261"/>
  <c r="S1262"/>
  <c r="S1263"/>
  <c r="S1264"/>
  <c r="S1229"/>
  <c r="S1021"/>
  <c r="S1022"/>
  <c r="S1023"/>
  <c r="S1024"/>
  <c r="S1025"/>
  <c r="S1026"/>
  <c r="S1027"/>
  <c r="S1028"/>
  <c r="S1029"/>
  <c r="S1030"/>
  <c r="S1031"/>
  <c r="S1032"/>
  <c r="S1033"/>
  <c r="S1034"/>
  <c r="S1035"/>
  <c r="S1036"/>
  <c r="S1037"/>
  <c r="S1038"/>
  <c r="S1039"/>
  <c r="S1040"/>
  <c r="S1041"/>
  <c r="S1042"/>
  <c r="S1043"/>
  <c r="S1044"/>
  <c r="S1045"/>
  <c r="S1046"/>
  <c r="S1047"/>
  <c r="S1048"/>
  <c r="S1049"/>
  <c r="S1050"/>
  <c r="S1051"/>
  <c r="S1052"/>
  <c r="S1053"/>
  <c r="S1054"/>
  <c r="S1055"/>
  <c r="S1056"/>
  <c r="S1057"/>
  <c r="S1058"/>
  <c r="S1059"/>
  <c r="S1060"/>
  <c r="S1061"/>
  <c r="S1062"/>
  <c r="S1063"/>
  <c r="S1064"/>
  <c r="S1065"/>
  <c r="S1066"/>
  <c r="S1067"/>
  <c r="S1068"/>
  <c r="S1069"/>
  <c r="S1070"/>
  <c r="S1071"/>
  <c r="S1072"/>
  <c r="S1073"/>
  <c r="S1074"/>
  <c r="S1075"/>
  <c r="S1076"/>
  <c r="S1077"/>
  <c r="S1078"/>
  <c r="S1079"/>
  <c r="S1080"/>
  <c r="S1081"/>
  <c r="S1082"/>
  <c r="S1083"/>
  <c r="S1084"/>
  <c r="S1085"/>
  <c r="S1086"/>
  <c r="S1087"/>
  <c r="S1088"/>
  <c r="S1089"/>
  <c r="S1090"/>
  <c r="S1091"/>
  <c r="S1092"/>
  <c r="S1093"/>
  <c r="S1094"/>
  <c r="S1095"/>
  <c r="S1096"/>
  <c r="S1097"/>
  <c r="S1098"/>
  <c r="S1099"/>
  <c r="S1100"/>
  <c r="S1101"/>
  <c r="S1102"/>
  <c r="S1103"/>
  <c r="S1104"/>
  <c r="S1105"/>
  <c r="S1106"/>
  <c r="S1107"/>
  <c r="S1108"/>
  <c r="S1109"/>
  <c r="S1110"/>
  <c r="S1111"/>
  <c r="S1112"/>
  <c r="S1113"/>
  <c r="S1114"/>
  <c r="S1115"/>
  <c r="S1116"/>
  <c r="S1117"/>
  <c r="S1118"/>
  <c r="S1119"/>
  <c r="S1120"/>
  <c r="S1121"/>
  <c r="S1122"/>
  <c r="S1123"/>
  <c r="S1124"/>
  <c r="S1125"/>
  <c r="S1126"/>
  <c r="S1127"/>
  <c r="S1128"/>
  <c r="S1129"/>
  <c r="S1130"/>
  <c r="S1131"/>
  <c r="S1132"/>
  <c r="S1133"/>
  <c r="S1134"/>
  <c r="S1135"/>
  <c r="S1136"/>
  <c r="S1137"/>
  <c r="S1138"/>
  <c r="S1139"/>
  <c r="S1140"/>
  <c r="S1141"/>
  <c r="S1142"/>
  <c r="S1143"/>
  <c r="S1144"/>
  <c r="S1145"/>
  <c r="S1146"/>
  <c r="S1147"/>
  <c r="S1148"/>
  <c r="S1149"/>
  <c r="S1150"/>
  <c r="S1151"/>
  <c r="S1152"/>
  <c r="S1153"/>
  <c r="S1154"/>
  <c r="S1155"/>
  <c r="S1156"/>
  <c r="S1157"/>
  <c r="S1158"/>
  <c r="S1159"/>
  <c r="S1160"/>
  <c r="S1161"/>
  <c r="S1162"/>
  <c r="S1163"/>
  <c r="S1164"/>
  <c r="S1165"/>
  <c r="S1166"/>
  <c r="S1167"/>
  <c r="S1168"/>
  <c r="S1169"/>
  <c r="S1170"/>
  <c r="S1171"/>
  <c r="S1172"/>
  <c r="S1173"/>
  <c r="S1174"/>
  <c r="S1175"/>
  <c r="S1176"/>
  <c r="S1177"/>
  <c r="S1178"/>
  <c r="S1179"/>
  <c r="S1180"/>
  <c r="S1181"/>
  <c r="S1182"/>
  <c r="S1183"/>
  <c r="S1184"/>
  <c r="S1185"/>
  <c r="S1186"/>
  <c r="S1187"/>
  <c r="S1188"/>
  <c r="S1189"/>
  <c r="S1190"/>
  <c r="S1191"/>
  <c r="S1192"/>
  <c r="S1193"/>
  <c r="S1194"/>
  <c r="S1195"/>
  <c r="S1196"/>
  <c r="S1197"/>
  <c r="S1198"/>
  <c r="S1199"/>
  <c r="S1200"/>
  <c r="S1201"/>
  <c r="S1202"/>
  <c r="S1203"/>
  <c r="S1204"/>
  <c r="S1205"/>
  <c r="S1206"/>
  <c r="S1207"/>
  <c r="S1208"/>
  <c r="S1209"/>
  <c r="S1210"/>
  <c r="S1211"/>
  <c r="S1212"/>
  <c r="S1213"/>
  <c r="S1214"/>
  <c r="S1215"/>
  <c r="S1216"/>
  <c r="S1217"/>
  <c r="S1218"/>
  <c r="S1219"/>
  <c r="S1220"/>
  <c r="S1221"/>
  <c r="S1222"/>
  <c r="S1223"/>
  <c r="S1224"/>
  <c r="S1225"/>
  <c r="S1226"/>
  <c r="S1020"/>
  <c r="S931"/>
  <c r="S932"/>
  <c r="S933"/>
  <c r="S934"/>
  <c r="S935"/>
  <c r="S936"/>
  <c r="S937"/>
  <c r="S938"/>
  <c r="S939"/>
  <c r="S940"/>
  <c r="S941"/>
  <c r="S942"/>
  <c r="S943"/>
  <c r="S944"/>
  <c r="S945"/>
  <c r="S946"/>
  <c r="S947"/>
  <c r="S948"/>
  <c r="S949"/>
  <c r="S950"/>
  <c r="S951"/>
  <c r="S952"/>
  <c r="S953"/>
  <c r="S954"/>
  <c r="S955"/>
  <c r="S956"/>
  <c r="S957"/>
  <c r="S958"/>
  <c r="S959"/>
  <c r="S960"/>
  <c r="S961"/>
  <c r="S962"/>
  <c r="S963"/>
  <c r="S964"/>
  <c r="S965"/>
  <c r="S966"/>
  <c r="S967"/>
  <c r="S968"/>
  <c r="S969"/>
  <c r="S970"/>
  <c r="S971"/>
  <c r="S972"/>
  <c r="S973"/>
  <c r="S974"/>
  <c r="S975"/>
  <c r="S976"/>
  <c r="S977"/>
  <c r="S978"/>
  <c r="S979"/>
  <c r="S980"/>
  <c r="S981"/>
  <c r="S982"/>
  <c r="S983"/>
  <c r="S984"/>
  <c r="S985"/>
  <c r="S986"/>
  <c r="S987"/>
  <c r="S988"/>
  <c r="S989"/>
  <c r="S990"/>
  <c r="S991"/>
  <c r="S992"/>
  <c r="S993"/>
  <c r="S994"/>
  <c r="S995"/>
  <c r="S996"/>
  <c r="S997"/>
  <c r="S998"/>
  <c r="S999"/>
  <c r="S1000"/>
  <c r="S1001"/>
  <c r="S1002"/>
  <c r="S1003"/>
  <c r="S1004"/>
  <c r="S1005"/>
  <c r="S1006"/>
  <c r="S1007"/>
  <c r="S1008"/>
  <c r="S1009"/>
  <c r="S1010"/>
  <c r="S1011"/>
  <c r="S1012"/>
  <c r="S1013"/>
  <c r="S1014"/>
  <c r="S1015"/>
  <c r="S1016"/>
  <c r="S1017"/>
  <c r="S930"/>
  <c r="S813"/>
  <c r="S814"/>
  <c r="S815"/>
  <c r="S816"/>
  <c r="S817"/>
  <c r="S818"/>
  <c r="S819"/>
  <c r="S820"/>
  <c r="S821"/>
  <c r="S822"/>
  <c r="S823"/>
  <c r="S824"/>
  <c r="S825"/>
  <c r="S826"/>
  <c r="S827"/>
  <c r="S828"/>
  <c r="S829"/>
  <c r="S830"/>
  <c r="S831"/>
  <c r="S832"/>
  <c r="S833"/>
  <c r="S834"/>
  <c r="S835"/>
  <c r="S836"/>
  <c r="S837"/>
  <c r="S838"/>
  <c r="S839"/>
  <c r="S840"/>
  <c r="S841"/>
  <c r="S842"/>
  <c r="S843"/>
  <c r="S844"/>
  <c r="S845"/>
  <c r="S846"/>
  <c r="S847"/>
  <c r="S848"/>
  <c r="S849"/>
  <c r="S850"/>
  <c r="S851"/>
  <c r="S852"/>
  <c r="S853"/>
  <c r="S854"/>
  <c r="S855"/>
  <c r="S856"/>
  <c r="S857"/>
  <c r="S858"/>
  <c r="S859"/>
  <c r="S860"/>
  <c r="S861"/>
  <c r="S862"/>
  <c r="S863"/>
  <c r="S864"/>
  <c r="S865"/>
  <c r="S866"/>
  <c r="S867"/>
  <c r="S868"/>
  <c r="S869"/>
  <c r="S870"/>
  <c r="S871"/>
  <c r="S872"/>
  <c r="S873"/>
  <c r="S874"/>
  <c r="S875"/>
  <c r="S876"/>
  <c r="S877"/>
  <c r="S878"/>
  <c r="S879"/>
  <c r="S880"/>
  <c r="S881"/>
  <c r="S882"/>
  <c r="S883"/>
  <c r="S884"/>
  <c r="S885"/>
  <c r="S886"/>
  <c r="S887"/>
  <c r="S888"/>
  <c r="S889"/>
  <c r="S890"/>
  <c r="S891"/>
  <c r="S892"/>
  <c r="S893"/>
  <c r="S894"/>
  <c r="S895"/>
  <c r="S896"/>
  <c r="S897"/>
  <c r="S898"/>
  <c r="S899"/>
  <c r="S900"/>
  <c r="S901"/>
  <c r="S902"/>
  <c r="S903"/>
  <c r="S904"/>
  <c r="S905"/>
  <c r="S906"/>
  <c r="S907"/>
  <c r="S908"/>
  <c r="S909"/>
  <c r="S910"/>
  <c r="S911"/>
  <c r="S912"/>
  <c r="S913"/>
  <c r="S914"/>
  <c r="S915"/>
  <c r="S916"/>
  <c r="S917"/>
  <c r="S918"/>
  <c r="S919"/>
  <c r="S920"/>
  <c r="S921"/>
  <c r="S922"/>
  <c r="S923"/>
  <c r="S924"/>
  <c r="S925"/>
  <c r="S926"/>
  <c r="S927"/>
  <c r="S812"/>
  <c r="S811"/>
  <c r="S810"/>
  <c r="S809"/>
  <c r="S703"/>
  <c r="S704"/>
  <c r="S705"/>
  <c r="S706"/>
  <c r="S707"/>
  <c r="S708"/>
  <c r="S709"/>
  <c r="S710"/>
  <c r="S711"/>
  <c r="S712"/>
  <c r="S713"/>
  <c r="S714"/>
  <c r="S715"/>
  <c r="S716"/>
  <c r="S717"/>
  <c r="S718"/>
  <c r="S719"/>
  <c r="S720"/>
  <c r="S721"/>
  <c r="S722"/>
  <c r="S723"/>
  <c r="S724"/>
  <c r="S725"/>
  <c r="S726"/>
  <c r="S727"/>
  <c r="S728"/>
  <c r="S729"/>
  <c r="S730"/>
  <c r="S731"/>
  <c r="S732"/>
  <c r="S733"/>
  <c r="S734"/>
  <c r="S735"/>
  <c r="S736"/>
  <c r="S737"/>
  <c r="S738"/>
  <c r="S739"/>
  <c r="S740"/>
  <c r="S741"/>
  <c r="S742"/>
  <c r="S743"/>
  <c r="S744"/>
  <c r="S745"/>
  <c r="S746"/>
  <c r="S747"/>
  <c r="S748"/>
  <c r="S749"/>
  <c r="S750"/>
  <c r="S751"/>
  <c r="S752"/>
  <c r="S753"/>
  <c r="S754"/>
  <c r="S755"/>
  <c r="S756"/>
  <c r="S757"/>
  <c r="S758"/>
  <c r="S759"/>
  <c r="S760"/>
  <c r="S761"/>
  <c r="S762"/>
  <c r="S763"/>
  <c r="S764"/>
  <c r="S765"/>
  <c r="S766"/>
  <c r="S767"/>
  <c r="S768"/>
  <c r="S769"/>
  <c r="S770"/>
  <c r="S771"/>
  <c r="S772"/>
  <c r="S773"/>
  <c r="S774"/>
  <c r="S775"/>
  <c r="S776"/>
  <c r="S777"/>
  <c r="S778"/>
  <c r="S779"/>
  <c r="S780"/>
  <c r="S781"/>
  <c r="S782"/>
  <c r="S783"/>
  <c r="S784"/>
  <c r="S785"/>
  <c r="S786"/>
  <c r="S787"/>
  <c r="S788"/>
  <c r="S789"/>
  <c r="S790"/>
  <c r="S791"/>
  <c r="S792"/>
  <c r="S793"/>
  <c r="S794"/>
  <c r="S795"/>
  <c r="S796"/>
  <c r="S797"/>
  <c r="S798"/>
  <c r="S799"/>
  <c r="S800"/>
  <c r="S801"/>
  <c r="S802"/>
  <c r="S803"/>
  <c r="S804"/>
  <c r="S805"/>
  <c r="S806"/>
  <c r="S702"/>
  <c r="S701"/>
  <c r="S700"/>
  <c r="S699"/>
  <c r="S532"/>
  <c r="S533"/>
  <c r="S534"/>
  <c r="S535"/>
  <c r="S536"/>
  <c r="S537"/>
  <c r="S538"/>
  <c r="S539"/>
  <c r="S540"/>
  <c r="S541"/>
  <c r="S542"/>
  <c r="S543"/>
  <c r="S544"/>
  <c r="S545"/>
  <c r="S546"/>
  <c r="S547"/>
  <c r="S548"/>
  <c r="S549"/>
  <c r="S550"/>
  <c r="S551"/>
  <c r="S552"/>
  <c r="S553"/>
  <c r="S554"/>
  <c r="S555"/>
  <c r="S556"/>
  <c r="S557"/>
  <c r="S558"/>
  <c r="S559"/>
  <c r="S560"/>
  <c r="S561"/>
  <c r="S562"/>
  <c r="S563"/>
  <c r="S564"/>
  <c r="S565"/>
  <c r="S566"/>
  <c r="S567"/>
  <c r="S568"/>
  <c r="S569"/>
  <c r="S570"/>
  <c r="S571"/>
  <c r="S572"/>
  <c r="S573"/>
  <c r="S574"/>
  <c r="S575"/>
  <c r="S576"/>
  <c r="S577"/>
  <c r="S578"/>
  <c r="S579"/>
  <c r="S580"/>
  <c r="S581"/>
  <c r="S582"/>
  <c r="S583"/>
  <c r="S584"/>
  <c r="S585"/>
  <c r="S586"/>
  <c r="S587"/>
  <c r="S588"/>
  <c r="S589"/>
  <c r="S590"/>
  <c r="S591"/>
  <c r="S592"/>
  <c r="S593"/>
  <c r="S594"/>
  <c r="S595"/>
  <c r="S596"/>
  <c r="S597"/>
  <c r="S598"/>
  <c r="S599"/>
  <c r="S600"/>
  <c r="S601"/>
  <c r="S602"/>
  <c r="S603"/>
  <c r="S604"/>
  <c r="S605"/>
  <c r="S606"/>
  <c r="S607"/>
  <c r="S608"/>
  <c r="S609"/>
  <c r="S610"/>
  <c r="S611"/>
  <c r="S612"/>
  <c r="S613"/>
  <c r="S614"/>
  <c r="S615"/>
  <c r="S616"/>
  <c r="S617"/>
  <c r="S618"/>
  <c r="S619"/>
  <c r="S620"/>
  <c r="S621"/>
  <c r="S622"/>
  <c r="S623"/>
  <c r="S624"/>
  <c r="S625"/>
  <c r="S626"/>
  <c r="S627"/>
  <c r="S628"/>
  <c r="S629"/>
  <c r="S630"/>
  <c r="S631"/>
  <c r="S632"/>
  <c r="S633"/>
  <c r="S634"/>
  <c r="S635"/>
  <c r="S636"/>
  <c r="S637"/>
  <c r="S638"/>
  <c r="S639"/>
  <c r="S640"/>
  <c r="S641"/>
  <c r="S642"/>
  <c r="S643"/>
  <c r="S644"/>
  <c r="S645"/>
  <c r="S646"/>
  <c r="S647"/>
  <c r="S648"/>
  <c r="S649"/>
  <c r="S650"/>
  <c r="S651"/>
  <c r="S652"/>
  <c r="S653"/>
  <c r="S654"/>
  <c r="S655"/>
  <c r="S656"/>
  <c r="S657"/>
  <c r="S658"/>
  <c r="S659"/>
  <c r="S660"/>
  <c r="S661"/>
  <c r="S662"/>
  <c r="S663"/>
  <c r="S664"/>
  <c r="S665"/>
  <c r="S666"/>
  <c r="S667"/>
  <c r="S668"/>
  <c r="S669"/>
  <c r="S670"/>
  <c r="S671"/>
  <c r="S672"/>
  <c r="S673"/>
  <c r="S674"/>
  <c r="S675"/>
  <c r="S676"/>
  <c r="S677"/>
  <c r="S678"/>
  <c r="S679"/>
  <c r="S680"/>
  <c r="S681"/>
  <c r="S682"/>
  <c r="S683"/>
  <c r="S684"/>
  <c r="S685"/>
  <c r="S686"/>
  <c r="S687"/>
  <c r="S688"/>
  <c r="S689"/>
  <c r="S690"/>
  <c r="S691"/>
  <c r="S692"/>
  <c r="S693"/>
  <c r="S694"/>
  <c r="S695"/>
  <c r="S696"/>
  <c r="S531"/>
  <c r="S530"/>
  <c r="S529"/>
  <c r="S497"/>
  <c r="S498"/>
  <c r="S499"/>
  <c r="S500"/>
  <c r="S501"/>
  <c r="S502"/>
  <c r="S503"/>
  <c r="S504"/>
  <c r="S505"/>
  <c r="S506"/>
  <c r="S507"/>
  <c r="S508"/>
  <c r="S509"/>
  <c r="S510"/>
  <c r="S511"/>
  <c r="S512"/>
  <c r="S513"/>
  <c r="S514"/>
  <c r="S515"/>
  <c r="S516"/>
  <c r="S517"/>
  <c r="S518"/>
  <c r="S519"/>
  <c r="S520"/>
  <c r="S521"/>
  <c r="S522"/>
  <c r="S523"/>
  <c r="S524"/>
  <c r="S525"/>
  <c r="S526"/>
  <c r="S496"/>
  <c r="S495"/>
  <c r="S494"/>
  <c r="S484"/>
  <c r="S485"/>
  <c r="S486"/>
  <c r="S487"/>
  <c r="S488"/>
  <c r="S489"/>
  <c r="S490"/>
  <c r="S491"/>
  <c r="S483"/>
  <c r="S482"/>
  <c r="S481"/>
  <c r="S480"/>
  <c r="S438"/>
  <c r="S439"/>
  <c r="S440"/>
  <c r="S441"/>
  <c r="S442"/>
  <c r="S443"/>
  <c r="S444"/>
  <c r="S445"/>
  <c r="S446"/>
  <c r="S447"/>
  <c r="S448"/>
  <c r="S449"/>
  <c r="S450"/>
  <c r="S451"/>
  <c r="S452"/>
  <c r="S453"/>
  <c r="S454"/>
  <c r="S455"/>
  <c r="S456"/>
  <c r="S457"/>
  <c r="S458"/>
  <c r="S459"/>
  <c r="S460"/>
  <c r="S461"/>
  <c r="S462"/>
  <c r="S463"/>
  <c r="S464"/>
  <c r="S465"/>
  <c r="S466"/>
  <c r="S467"/>
  <c r="S468"/>
  <c r="S469"/>
  <c r="S470"/>
  <c r="S471"/>
  <c r="S472"/>
  <c r="S473"/>
  <c r="S474"/>
  <c r="S475"/>
  <c r="S476"/>
  <c r="S477"/>
  <c r="S437"/>
  <c r="S436"/>
  <c r="S435"/>
  <c r="S434"/>
  <c r="S433"/>
  <c r="S432"/>
  <c r="S429"/>
  <c r="S428"/>
  <c r="S427"/>
  <c r="S426"/>
  <c r="S425"/>
  <c r="S424"/>
  <c r="S420"/>
  <c r="S421"/>
  <c r="S419"/>
  <c r="S418"/>
  <c r="S417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6"/>
  <c r="S337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S356"/>
  <c r="S357"/>
  <c r="S358"/>
  <c r="S359"/>
  <c r="S360"/>
  <c r="S361"/>
  <c r="S362"/>
  <c r="S363"/>
  <c r="S364"/>
  <c r="S365"/>
  <c r="S366"/>
  <c r="S367"/>
  <c r="S368"/>
  <c r="S369"/>
  <c r="S370"/>
  <c r="S371"/>
  <c r="S372"/>
  <c r="S373"/>
  <c r="S374"/>
  <c r="S375"/>
  <c r="S376"/>
  <c r="S377"/>
  <c r="S378"/>
  <c r="S379"/>
  <c r="S380"/>
  <c r="S381"/>
  <c r="S382"/>
  <c r="S383"/>
  <c r="S384"/>
  <c r="S385"/>
  <c r="S386"/>
  <c r="S387"/>
  <c r="S388"/>
  <c r="S389"/>
  <c r="S390"/>
  <c r="S391"/>
  <c r="S392"/>
  <c r="S393"/>
  <c r="S394"/>
  <c r="S395"/>
  <c r="S396"/>
  <c r="S397"/>
  <c r="S398"/>
  <c r="S399"/>
  <c r="S400"/>
  <c r="S401"/>
  <c r="S402"/>
  <c r="S403"/>
  <c r="S404"/>
  <c r="S405"/>
  <c r="S406"/>
  <c r="S407"/>
  <c r="S408"/>
  <c r="S409"/>
  <c r="S410"/>
  <c r="S411"/>
  <c r="S412"/>
  <c r="S413"/>
  <c r="S414"/>
  <c r="S289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60"/>
  <c r="S259"/>
  <c r="S258"/>
  <c r="S257"/>
  <c r="S256"/>
  <c r="S255"/>
  <c r="S254"/>
  <c r="S253"/>
  <c r="S252"/>
  <c r="S251"/>
  <c r="S250"/>
  <c r="S249"/>
  <c r="S248"/>
  <c r="S247"/>
  <c r="S246"/>
  <c r="S245"/>
  <c r="S244"/>
  <c r="S226"/>
  <c r="S227"/>
  <c r="S228"/>
  <c r="S229"/>
  <c r="S230"/>
  <c r="S231"/>
  <c r="S232"/>
  <c r="S233"/>
  <c r="S234"/>
  <c r="S235"/>
  <c r="S236"/>
  <c r="S237"/>
  <c r="S238"/>
  <c r="S239"/>
  <c r="S240"/>
  <c r="S241"/>
  <c r="S225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128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95"/>
  <c r="S94"/>
  <c r="S93"/>
  <c r="S92"/>
  <c r="S91"/>
  <c r="S90"/>
  <c r="S89"/>
  <c r="S88"/>
  <c r="S87"/>
  <c r="S86"/>
  <c r="S85"/>
  <c r="S84"/>
  <c r="S83"/>
  <c r="S82"/>
  <c r="S81"/>
  <c r="S80"/>
  <c r="S79"/>
  <c r="S78"/>
  <c r="S77"/>
  <c r="S76"/>
  <c r="S75"/>
  <c r="S74"/>
  <c r="S73"/>
  <c r="S72"/>
  <c r="S71"/>
  <c r="S70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42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19"/>
  <c r="S18"/>
  <c r="S17"/>
  <c r="S16"/>
  <c r="S15"/>
  <c r="S14"/>
  <c r="S13"/>
  <c r="S5"/>
  <c r="S6"/>
  <c r="S7"/>
  <c r="S8"/>
  <c r="S9"/>
  <c r="S10"/>
  <c r="S4"/>
  <c r="AF11" i="74"/>
  <c r="AF37"/>
  <c r="AF42" i="114"/>
  <c r="AF41"/>
  <c r="AF163"/>
  <c r="AF40"/>
  <c r="AF39"/>
  <c r="AF38"/>
  <c r="AF37"/>
  <c r="AF36"/>
  <c r="AF160"/>
  <c r="AF35"/>
  <c r="AF34"/>
  <c r="AF33"/>
  <c r="AF32"/>
  <c r="AF31"/>
  <c r="AF4"/>
  <c r="N4"/>
  <c r="J63" i="28" l="1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K74"/>
  <c r="L74"/>
  <c r="M74"/>
  <c r="J75"/>
  <c r="K75"/>
  <c r="L75"/>
  <c r="M75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K84"/>
  <c r="L84"/>
  <c r="M84"/>
  <c r="J85"/>
  <c r="K85"/>
  <c r="L85"/>
  <c r="M85"/>
  <c r="J86"/>
  <c r="K86"/>
  <c r="L86"/>
  <c r="M86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K95"/>
  <c r="L95"/>
  <c r="M95"/>
  <c r="J96"/>
  <c r="K96"/>
  <c r="L96"/>
  <c r="M96"/>
  <c r="J97"/>
  <c r="K97"/>
  <c r="L97"/>
  <c r="M97"/>
  <c r="J98"/>
  <c r="K98"/>
  <c r="L98"/>
  <c r="M98"/>
  <c r="J99"/>
  <c r="K99"/>
  <c r="L99"/>
  <c r="M99"/>
  <c r="J100"/>
  <c r="K100"/>
  <c r="L100"/>
  <c r="M100"/>
  <c r="J101"/>
  <c r="K101"/>
  <c r="L101"/>
  <c r="M101"/>
  <c r="J102"/>
  <c r="K102"/>
  <c r="L102"/>
  <c r="M102"/>
  <c r="J103"/>
  <c r="K103"/>
  <c r="L103"/>
  <c r="M103"/>
  <c r="J104"/>
  <c r="K104"/>
  <c r="L104"/>
  <c r="M104"/>
  <c r="J105"/>
  <c r="K105"/>
  <c r="L105"/>
  <c r="M105"/>
  <c r="J106"/>
  <c r="K106"/>
  <c r="L106"/>
  <c r="M106"/>
  <c r="J107"/>
  <c r="K107"/>
  <c r="L107"/>
  <c r="M107"/>
  <c r="J108"/>
  <c r="K108"/>
  <c r="L108"/>
  <c r="M108"/>
  <c r="J109"/>
  <c r="K109"/>
  <c r="L109"/>
  <c r="M109"/>
  <c r="J110"/>
  <c r="K110"/>
  <c r="L110"/>
  <c r="M110"/>
  <c r="J111"/>
  <c r="K111"/>
  <c r="L111"/>
  <c r="M111"/>
  <c r="J112"/>
  <c r="K112"/>
  <c r="L112"/>
  <c r="M112"/>
  <c r="J113"/>
  <c r="K113"/>
  <c r="L113"/>
  <c r="M113"/>
  <c r="J114"/>
  <c r="K114"/>
  <c r="L114"/>
  <c r="M114"/>
  <c r="J115"/>
  <c r="K115"/>
  <c r="L115"/>
  <c r="M115"/>
  <c r="J116"/>
  <c r="K116"/>
  <c r="L116"/>
  <c r="M116"/>
  <c r="J117"/>
  <c r="K117"/>
  <c r="L117"/>
  <c r="M117"/>
  <c r="J118"/>
  <c r="K118"/>
  <c r="L118"/>
  <c r="M118"/>
  <c r="J119"/>
  <c r="K119"/>
  <c r="L119"/>
  <c r="M119"/>
  <c r="J120"/>
  <c r="K120"/>
  <c r="L120"/>
  <c r="M120"/>
  <c r="J121"/>
  <c r="K121"/>
  <c r="L121"/>
  <c r="M121"/>
  <c r="J122"/>
  <c r="K122"/>
  <c r="L122"/>
  <c r="M122"/>
  <c r="J123"/>
  <c r="K123"/>
  <c r="L123"/>
  <c r="M123"/>
  <c r="J124"/>
  <c r="K124"/>
  <c r="L124"/>
  <c r="M124"/>
  <c r="J125"/>
  <c r="K125"/>
  <c r="L125"/>
  <c r="M125"/>
  <c r="J126"/>
  <c r="K126"/>
  <c r="L126"/>
  <c r="M126"/>
  <c r="J127"/>
  <c r="K127"/>
  <c r="L127"/>
  <c r="M127"/>
  <c r="J128"/>
  <c r="K128"/>
  <c r="L128"/>
  <c r="M128"/>
  <c r="J129"/>
  <c r="K129"/>
  <c r="L129"/>
  <c r="M129"/>
  <c r="J130"/>
  <c r="K130"/>
  <c r="L130"/>
  <c r="M130"/>
  <c r="J131"/>
  <c r="K131"/>
  <c r="L131"/>
  <c r="M131"/>
  <c r="J132"/>
  <c r="K132"/>
  <c r="L132"/>
  <c r="M132"/>
  <c r="J133"/>
  <c r="K133"/>
  <c r="L133"/>
  <c r="M133"/>
  <c r="J134"/>
  <c r="K134"/>
  <c r="L134"/>
  <c r="M134"/>
  <c r="J135"/>
  <c r="K135"/>
  <c r="L135"/>
  <c r="M135"/>
  <c r="J136"/>
  <c r="K136"/>
  <c r="L136"/>
  <c r="M136"/>
  <c r="J137"/>
  <c r="K137"/>
  <c r="L137"/>
  <c r="M137"/>
  <c r="J138"/>
  <c r="K138"/>
  <c r="L138"/>
  <c r="M138"/>
  <c r="J139"/>
  <c r="K139"/>
  <c r="L139"/>
  <c r="M139"/>
  <c r="J140"/>
  <c r="K140"/>
  <c r="L140"/>
  <c r="M140"/>
  <c r="J141"/>
  <c r="K141"/>
  <c r="L141"/>
  <c r="M141"/>
  <c r="J142"/>
  <c r="K142"/>
  <c r="L142"/>
  <c r="M142"/>
  <c r="J143"/>
  <c r="K143"/>
  <c r="L143"/>
  <c r="M143"/>
  <c r="J144"/>
  <c r="K144"/>
  <c r="L144"/>
  <c r="M144"/>
  <c r="J145"/>
  <c r="K145"/>
  <c r="L145"/>
  <c r="M145"/>
  <c r="J146"/>
  <c r="K146"/>
  <c r="L146"/>
  <c r="M146"/>
  <c r="J147"/>
  <c r="K147"/>
  <c r="L147"/>
  <c r="M147"/>
  <c r="J148"/>
  <c r="K148"/>
  <c r="L148"/>
  <c r="M148"/>
  <c r="J149"/>
  <c r="K149"/>
  <c r="L149"/>
  <c r="M149"/>
  <c r="J150"/>
  <c r="K150"/>
  <c r="L150"/>
  <c r="M150"/>
  <c r="J151"/>
  <c r="K151"/>
  <c r="L151"/>
  <c r="M151"/>
  <c r="J152"/>
  <c r="K152"/>
  <c r="L152"/>
  <c r="M152"/>
  <c r="J153"/>
  <c r="K153"/>
  <c r="L153"/>
  <c r="M153"/>
  <c r="J154"/>
  <c r="K154"/>
  <c r="L154"/>
  <c r="M154"/>
  <c r="J155"/>
  <c r="K155"/>
  <c r="L155"/>
  <c r="M155"/>
  <c r="J156"/>
  <c r="K156"/>
  <c r="L156"/>
  <c r="M156"/>
  <c r="J157"/>
  <c r="K157"/>
  <c r="L157"/>
  <c r="M157"/>
  <c r="J158"/>
  <c r="K158"/>
  <c r="L158"/>
  <c r="M158"/>
  <c r="J159"/>
  <c r="K159"/>
  <c r="L159"/>
  <c r="M159"/>
  <c r="J160"/>
  <c r="K160"/>
  <c r="L160"/>
  <c r="M160"/>
  <c r="J161"/>
  <c r="K161"/>
  <c r="L161"/>
  <c r="M161"/>
  <c r="J162"/>
  <c r="K162"/>
  <c r="L162"/>
  <c r="M162"/>
  <c r="J163"/>
  <c r="K163"/>
  <c r="L163"/>
  <c r="M163"/>
  <c r="J164"/>
  <c r="K164"/>
  <c r="L164"/>
  <c r="M164"/>
  <c r="J165"/>
  <c r="K165"/>
  <c r="L165"/>
  <c r="M165"/>
  <c r="J166"/>
  <c r="K166"/>
  <c r="L166"/>
  <c r="M166"/>
  <c r="J167"/>
  <c r="K167"/>
  <c r="L167"/>
  <c r="M167"/>
  <c r="J168"/>
  <c r="K168"/>
  <c r="L168"/>
  <c r="M168"/>
  <c r="J169"/>
  <c r="K169"/>
  <c r="L169"/>
  <c r="M169"/>
  <c r="J170"/>
  <c r="K170"/>
  <c r="L170"/>
  <c r="M170"/>
  <c r="J171"/>
  <c r="K171"/>
  <c r="L171"/>
  <c r="M171"/>
  <c r="J172"/>
  <c r="K172"/>
  <c r="L172"/>
  <c r="M172"/>
  <c r="J173"/>
  <c r="K173"/>
  <c r="L173"/>
  <c r="M173"/>
  <c r="J174"/>
  <c r="K174"/>
  <c r="L174"/>
  <c r="M174"/>
  <c r="J175"/>
  <c r="K175"/>
  <c r="L175"/>
  <c r="M175"/>
  <c r="J176"/>
  <c r="K176"/>
  <c r="L176"/>
  <c r="M176"/>
  <c r="J177"/>
  <c r="K177"/>
  <c r="L177"/>
  <c r="M177"/>
  <c r="J178"/>
  <c r="K178"/>
  <c r="L178"/>
  <c r="M178"/>
  <c r="J179"/>
  <c r="K179"/>
  <c r="L179"/>
  <c r="M179"/>
  <c r="J180"/>
  <c r="K180"/>
  <c r="L180"/>
  <c r="M180"/>
  <c r="J181"/>
  <c r="K181"/>
  <c r="L181"/>
  <c r="M181"/>
  <c r="J182"/>
  <c r="K182"/>
  <c r="L182"/>
  <c r="M182"/>
  <c r="J183"/>
  <c r="K183"/>
  <c r="L183"/>
  <c r="M183"/>
  <c r="J184"/>
  <c r="K184"/>
  <c r="L184"/>
  <c r="M184"/>
  <c r="J185"/>
  <c r="K185"/>
  <c r="L185"/>
  <c r="M185"/>
  <c r="J186"/>
  <c r="K186"/>
  <c r="L186"/>
  <c r="M186"/>
  <c r="J187"/>
  <c r="K187"/>
  <c r="L187"/>
  <c r="M187"/>
  <c r="J188"/>
  <c r="K188"/>
  <c r="L188"/>
  <c r="M188"/>
  <c r="J189"/>
  <c r="K189"/>
  <c r="L189"/>
  <c r="M189"/>
  <c r="J190"/>
  <c r="K190"/>
  <c r="L190"/>
  <c r="M190"/>
  <c r="J191"/>
  <c r="K191"/>
  <c r="L191"/>
  <c r="M191"/>
  <c r="J192"/>
  <c r="K192"/>
  <c r="L192"/>
  <c r="M192"/>
  <c r="J193"/>
  <c r="K193"/>
  <c r="L193"/>
  <c r="M193"/>
  <c r="J194"/>
  <c r="K194"/>
  <c r="L194"/>
  <c r="M194"/>
  <c r="J195"/>
  <c r="K195"/>
  <c r="L195"/>
  <c r="M195"/>
  <c r="J196"/>
  <c r="K196"/>
  <c r="L196"/>
  <c r="M196"/>
  <c r="J197"/>
  <c r="K197"/>
  <c r="L197"/>
  <c r="M197"/>
  <c r="J198"/>
  <c r="K198"/>
  <c r="L198"/>
  <c r="M198"/>
  <c r="J199"/>
  <c r="K199"/>
  <c r="L199"/>
  <c r="M199"/>
  <c r="J200"/>
  <c r="K200"/>
  <c r="L200"/>
  <c r="M200"/>
  <c r="J201"/>
  <c r="K201"/>
  <c r="L201"/>
  <c r="M201"/>
  <c r="J202"/>
  <c r="K202"/>
  <c r="L202"/>
  <c r="M202"/>
  <c r="J203"/>
  <c r="K203"/>
  <c r="L203"/>
  <c r="M203"/>
  <c r="J204"/>
  <c r="K204"/>
  <c r="L204"/>
  <c r="M204"/>
  <c r="J205"/>
  <c r="K205"/>
  <c r="L205"/>
  <c r="M205"/>
  <c r="J206"/>
  <c r="K206"/>
  <c r="L206"/>
  <c r="M206"/>
  <c r="J207"/>
  <c r="K207"/>
  <c r="L207"/>
  <c r="M207"/>
  <c r="J208"/>
  <c r="K208"/>
  <c r="L208"/>
  <c r="M208"/>
  <c r="J209"/>
  <c r="K209"/>
  <c r="L209"/>
  <c r="M209"/>
  <c r="J210"/>
  <c r="K210"/>
  <c r="L210"/>
  <c r="M210"/>
  <c r="J211"/>
  <c r="K211"/>
  <c r="L211"/>
  <c r="M211"/>
  <c r="J212"/>
  <c r="K212"/>
  <c r="L212"/>
  <c r="M212"/>
  <c r="J213"/>
  <c r="K213"/>
  <c r="L213"/>
  <c r="M213"/>
  <c r="J214"/>
  <c r="K214"/>
  <c r="L214"/>
  <c r="M214"/>
  <c r="J215"/>
  <c r="K215"/>
  <c r="L215"/>
  <c r="M215"/>
  <c r="J216"/>
  <c r="K216"/>
  <c r="L216"/>
  <c r="M216"/>
  <c r="J217"/>
  <c r="K217"/>
  <c r="L217"/>
  <c r="M217"/>
  <c r="J218"/>
  <c r="K218"/>
  <c r="L218"/>
  <c r="M218"/>
  <c r="J219"/>
  <c r="K219"/>
  <c r="L219"/>
  <c r="M219"/>
  <c r="J220"/>
  <c r="K220"/>
  <c r="L220"/>
  <c r="M220"/>
  <c r="J221"/>
  <c r="K221"/>
  <c r="L221"/>
  <c r="M221"/>
  <c r="J222"/>
  <c r="K222"/>
  <c r="L222"/>
  <c r="M222"/>
  <c r="J223"/>
  <c r="K223"/>
  <c r="L223"/>
  <c r="M223"/>
  <c r="J224"/>
  <c r="K224"/>
  <c r="L224"/>
  <c r="M224"/>
  <c r="J225"/>
  <c r="K225"/>
  <c r="L225"/>
  <c r="M225"/>
  <c r="J226"/>
  <c r="K226"/>
  <c r="L226"/>
  <c r="M226"/>
  <c r="J227"/>
  <c r="K227"/>
  <c r="L227"/>
  <c r="M227"/>
  <c r="J228"/>
  <c r="K228"/>
  <c r="L228"/>
  <c r="M228"/>
  <c r="J229"/>
  <c r="K229"/>
  <c r="L229"/>
  <c r="M229"/>
  <c r="J230"/>
  <c r="K230"/>
  <c r="L230"/>
  <c r="M230"/>
  <c r="J231"/>
  <c r="K231"/>
  <c r="L231"/>
  <c r="M231"/>
  <c r="J232"/>
  <c r="K232"/>
  <c r="L232"/>
  <c r="M232"/>
  <c r="J233"/>
  <c r="K233"/>
  <c r="L233"/>
  <c r="M233"/>
  <c r="J234"/>
  <c r="K234"/>
  <c r="L234"/>
  <c r="M234"/>
  <c r="J235"/>
  <c r="K235"/>
  <c r="L235"/>
  <c r="M235"/>
  <c r="J236"/>
  <c r="K236"/>
  <c r="L236"/>
  <c r="M236"/>
  <c r="J237"/>
  <c r="K237"/>
  <c r="L237"/>
  <c r="M237"/>
  <c r="J238"/>
  <c r="K238"/>
  <c r="L238"/>
  <c r="M238"/>
  <c r="J239"/>
  <c r="K239"/>
  <c r="L239"/>
  <c r="M239"/>
  <c r="J240"/>
  <c r="K240"/>
  <c r="L240"/>
  <c r="M240"/>
  <c r="J241"/>
  <c r="K241"/>
  <c r="L241"/>
  <c r="M241"/>
  <c r="J242"/>
  <c r="K242"/>
  <c r="L242"/>
  <c r="M242"/>
  <c r="J243"/>
  <c r="K243"/>
  <c r="L243"/>
  <c r="M243"/>
  <c r="J244"/>
  <c r="K244"/>
  <c r="L244"/>
  <c r="M244"/>
  <c r="J245"/>
  <c r="K245"/>
  <c r="L245"/>
  <c r="M245"/>
  <c r="J246"/>
  <c r="K246"/>
  <c r="L246"/>
  <c r="M246"/>
  <c r="J247"/>
  <c r="K247"/>
  <c r="L247"/>
  <c r="M247"/>
  <c r="J248"/>
  <c r="K248"/>
  <c r="L248"/>
  <c r="M248"/>
  <c r="J249"/>
  <c r="K249"/>
  <c r="L249"/>
  <c r="M249"/>
  <c r="J250"/>
  <c r="K250"/>
  <c r="L250"/>
  <c r="M250"/>
  <c r="J251"/>
  <c r="K251"/>
  <c r="L251"/>
  <c r="M251"/>
  <c r="J252"/>
  <c r="K252"/>
  <c r="L252"/>
  <c r="M252"/>
  <c r="J253"/>
  <c r="K253"/>
  <c r="L253"/>
  <c r="M253"/>
  <c r="J254"/>
  <c r="K254"/>
  <c r="L254"/>
  <c r="M254"/>
  <c r="J255"/>
  <c r="K255"/>
  <c r="L255"/>
  <c r="M255"/>
  <c r="J256"/>
  <c r="K256"/>
  <c r="L256"/>
  <c r="M256"/>
  <c r="J257"/>
  <c r="K257"/>
  <c r="L257"/>
  <c r="M257"/>
  <c r="J258"/>
  <c r="K258"/>
  <c r="L258"/>
  <c r="M258"/>
  <c r="J259"/>
  <c r="K259"/>
  <c r="L259"/>
  <c r="M259"/>
  <c r="J260"/>
  <c r="K260"/>
  <c r="L260"/>
  <c r="M260"/>
  <c r="J261"/>
  <c r="K261"/>
  <c r="L261"/>
  <c r="M261"/>
  <c r="J262"/>
  <c r="K262"/>
  <c r="L262"/>
  <c r="M262"/>
  <c r="J263"/>
  <c r="K263"/>
  <c r="L263"/>
  <c r="M263"/>
  <c r="J264"/>
  <c r="K264"/>
  <c r="L264"/>
  <c r="M264"/>
  <c r="J265"/>
  <c r="K265"/>
  <c r="L265"/>
  <c r="M265"/>
  <c r="J266"/>
  <c r="K266"/>
  <c r="L266"/>
  <c r="M266"/>
  <c r="J267"/>
  <c r="K267"/>
  <c r="L267"/>
  <c r="M267"/>
  <c r="J268"/>
  <c r="K268"/>
  <c r="L268"/>
  <c r="M268"/>
  <c r="J269"/>
  <c r="K269"/>
  <c r="L269"/>
  <c r="M269"/>
  <c r="J270"/>
  <c r="K270"/>
  <c r="L270"/>
  <c r="M270"/>
  <c r="J271"/>
  <c r="K271"/>
  <c r="L271"/>
  <c r="M271"/>
  <c r="J272"/>
  <c r="K272"/>
  <c r="L272"/>
  <c r="M272"/>
  <c r="J273"/>
  <c r="K273"/>
  <c r="L273"/>
  <c r="M273"/>
  <c r="J274"/>
  <c r="K274"/>
  <c r="L274"/>
  <c r="M274"/>
  <c r="J275"/>
  <c r="K275"/>
  <c r="L275"/>
  <c r="M275"/>
  <c r="J276"/>
  <c r="K276"/>
  <c r="L276"/>
  <c r="M276"/>
  <c r="J277"/>
  <c r="K277"/>
  <c r="L277"/>
  <c r="M277"/>
  <c r="J278"/>
  <c r="K278"/>
  <c r="L278"/>
  <c r="M278"/>
  <c r="J279"/>
  <c r="K279"/>
  <c r="L279"/>
  <c r="M279"/>
  <c r="J280"/>
  <c r="K280"/>
  <c r="L280"/>
  <c r="M280"/>
  <c r="J281"/>
  <c r="K281"/>
  <c r="L281"/>
  <c r="M281"/>
  <c r="J282"/>
  <c r="K282"/>
  <c r="L282"/>
  <c r="M282"/>
  <c r="J283"/>
  <c r="K283"/>
  <c r="L283"/>
  <c r="M283"/>
  <c r="J284"/>
  <c r="K284"/>
  <c r="L284"/>
  <c r="M284"/>
  <c r="J285"/>
  <c r="K285"/>
  <c r="L285"/>
  <c r="M285"/>
  <c r="J286"/>
  <c r="K286"/>
  <c r="L286"/>
  <c r="M286"/>
  <c r="J287"/>
  <c r="K287"/>
  <c r="L287"/>
  <c r="M287"/>
  <c r="J288"/>
  <c r="K288"/>
  <c r="L288"/>
  <c r="M288"/>
  <c r="J289"/>
  <c r="K289"/>
  <c r="L289"/>
  <c r="M289"/>
  <c r="J290"/>
  <c r="K290"/>
  <c r="L290"/>
  <c r="M290"/>
  <c r="J291"/>
  <c r="K291"/>
  <c r="L291"/>
  <c r="M291"/>
  <c r="J292"/>
  <c r="K292"/>
  <c r="L292"/>
  <c r="M292"/>
  <c r="J293"/>
  <c r="K293"/>
  <c r="L293"/>
  <c r="M293"/>
  <c r="J294"/>
  <c r="K294"/>
  <c r="L294"/>
  <c r="M294"/>
  <c r="J295"/>
  <c r="K295"/>
  <c r="L295"/>
  <c r="M295"/>
  <c r="J296"/>
  <c r="K296"/>
  <c r="L296"/>
  <c r="M296"/>
  <c r="J297"/>
  <c r="K297"/>
  <c r="L297"/>
  <c r="M297"/>
  <c r="J298"/>
  <c r="K298"/>
  <c r="L298"/>
  <c r="M298"/>
  <c r="J299"/>
  <c r="K299"/>
  <c r="L299"/>
  <c r="M299"/>
  <c r="J300"/>
  <c r="K300"/>
  <c r="L300"/>
  <c r="M300"/>
  <c r="J301"/>
  <c r="K301"/>
  <c r="L301"/>
  <c r="M301"/>
  <c r="J302"/>
  <c r="K302"/>
  <c r="L302"/>
  <c r="M302"/>
  <c r="J303"/>
  <c r="K303"/>
  <c r="L303"/>
  <c r="M303"/>
  <c r="J304"/>
  <c r="K304"/>
  <c r="L304"/>
  <c r="M304"/>
  <c r="J305"/>
  <c r="K305"/>
  <c r="L305"/>
  <c r="M305"/>
  <c r="J306"/>
  <c r="K306"/>
  <c r="L306"/>
  <c r="M306"/>
  <c r="J307"/>
  <c r="K307"/>
  <c r="L307"/>
  <c r="M307"/>
  <c r="J308"/>
  <c r="K308"/>
  <c r="L308"/>
  <c r="M308"/>
  <c r="J309"/>
  <c r="K309"/>
  <c r="L309"/>
  <c r="M309"/>
  <c r="J310"/>
  <c r="K310"/>
  <c r="L310"/>
  <c r="M310"/>
  <c r="J311"/>
  <c r="K311"/>
  <c r="L311"/>
  <c r="M311"/>
  <c r="J312"/>
  <c r="K312"/>
  <c r="L312"/>
  <c r="M312"/>
  <c r="J313"/>
  <c r="K313"/>
  <c r="L313"/>
  <c r="M313"/>
  <c r="J314"/>
  <c r="K314"/>
  <c r="L314"/>
  <c r="M314"/>
  <c r="J315"/>
  <c r="K315"/>
  <c r="L315"/>
  <c r="M315"/>
  <c r="J316"/>
  <c r="K316"/>
  <c r="L316"/>
  <c r="M316"/>
  <c r="J317"/>
  <c r="K317"/>
  <c r="L317"/>
  <c r="M317"/>
  <c r="J318"/>
  <c r="K318"/>
  <c r="L318"/>
  <c r="M318"/>
  <c r="J319"/>
  <c r="K319"/>
  <c r="L319"/>
  <c r="M319"/>
  <c r="J320"/>
  <c r="K320"/>
  <c r="L320"/>
  <c r="M320"/>
  <c r="J321"/>
  <c r="K321"/>
  <c r="L321"/>
  <c r="M321"/>
  <c r="J322"/>
  <c r="K322"/>
  <c r="L322"/>
  <c r="M322"/>
  <c r="J323"/>
  <c r="K323"/>
  <c r="L323"/>
  <c r="M323"/>
  <c r="J324"/>
  <c r="K324"/>
  <c r="L324"/>
  <c r="M324"/>
  <c r="J325"/>
  <c r="K325"/>
  <c r="L325"/>
  <c r="M325"/>
  <c r="J326"/>
  <c r="K326"/>
  <c r="L326"/>
  <c r="M326"/>
  <c r="J327"/>
  <c r="K327"/>
  <c r="L327"/>
  <c r="M327"/>
  <c r="J328"/>
  <c r="K328"/>
  <c r="L328"/>
  <c r="M328"/>
  <c r="J329"/>
  <c r="K329"/>
  <c r="L329"/>
  <c r="M329"/>
  <c r="J330"/>
  <c r="K330"/>
  <c r="L330"/>
  <c r="M330"/>
  <c r="J331"/>
  <c r="K331"/>
  <c r="L331"/>
  <c r="M331"/>
  <c r="J332"/>
  <c r="K332"/>
  <c r="L332"/>
  <c r="M332"/>
  <c r="J333"/>
  <c r="K333"/>
  <c r="L333"/>
  <c r="M333"/>
  <c r="J334"/>
  <c r="K334"/>
  <c r="L334"/>
  <c r="M334"/>
  <c r="M62"/>
  <c r="L62"/>
  <c r="K62"/>
  <c r="J62"/>
  <c r="M61"/>
  <c r="L61"/>
  <c r="K61"/>
  <c r="J61"/>
  <c r="M60"/>
  <c r="L60"/>
  <c r="K60"/>
  <c r="J60"/>
  <c r="M56"/>
  <c r="L56"/>
  <c r="K56"/>
  <c r="J56"/>
  <c r="M54"/>
  <c r="L54"/>
  <c r="K54"/>
  <c r="J54"/>
  <c r="M53"/>
  <c r="L53"/>
  <c r="K53"/>
  <c r="J53"/>
  <c r="J51"/>
  <c r="K51"/>
  <c r="L51"/>
  <c r="M51"/>
  <c r="M50"/>
  <c r="L50"/>
  <c r="K50"/>
  <c r="J50"/>
  <c r="M49"/>
  <c r="L49"/>
  <c r="K49"/>
  <c r="J49"/>
  <c r="M47"/>
  <c r="L47"/>
  <c r="K47"/>
  <c r="J47"/>
  <c r="M46"/>
  <c r="L46"/>
  <c r="K46"/>
  <c r="J46"/>
  <c r="J14"/>
  <c r="K14"/>
  <c r="L14"/>
  <c r="M14"/>
  <c r="J15"/>
  <c r="K15"/>
  <c r="L15"/>
  <c r="M15"/>
  <c r="J16"/>
  <c r="K16"/>
  <c r="L16"/>
  <c r="M16"/>
  <c r="J17"/>
  <c r="K17"/>
  <c r="L17"/>
  <c r="M17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5"/>
  <c r="K25"/>
  <c r="L25"/>
  <c r="M25"/>
  <c r="J26"/>
  <c r="K26"/>
  <c r="L26"/>
  <c r="M26"/>
  <c r="J24"/>
  <c r="K24"/>
  <c r="L24"/>
  <c r="M24"/>
  <c r="J27"/>
  <c r="K27"/>
  <c r="L27"/>
  <c r="M27"/>
  <c r="J29"/>
  <c r="K29"/>
  <c r="L29"/>
  <c r="M29"/>
  <c r="J30"/>
  <c r="K30"/>
  <c r="L30"/>
  <c r="M30"/>
  <c r="J28"/>
  <c r="K28"/>
  <c r="L28"/>
  <c r="M28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M13"/>
  <c r="L13"/>
  <c r="K13"/>
  <c r="J13"/>
  <c r="J1825" i="57"/>
  <c r="K1825"/>
  <c r="L1825"/>
  <c r="M1825"/>
  <c r="M1824"/>
  <c r="L1824"/>
  <c r="K1824"/>
  <c r="J1824"/>
  <c r="J1821"/>
  <c r="K1821"/>
  <c r="L1821"/>
  <c r="M1821"/>
  <c r="M1820"/>
  <c r="L1820"/>
  <c r="K1820"/>
  <c r="J1820"/>
  <c r="M1819"/>
  <c r="L1819"/>
  <c r="K1819"/>
  <c r="J1819"/>
  <c r="M1818"/>
  <c r="L1818"/>
  <c r="K1818"/>
  <c r="J1818"/>
  <c r="J1810"/>
  <c r="K1810"/>
  <c r="L1810"/>
  <c r="M1810"/>
  <c r="J1811"/>
  <c r="K1811"/>
  <c r="L1811"/>
  <c r="M1811"/>
  <c r="J1812"/>
  <c r="K1812"/>
  <c r="L1812"/>
  <c r="M1812"/>
  <c r="J1813"/>
  <c r="K1813"/>
  <c r="L1813"/>
  <c r="M1813"/>
  <c r="J1814"/>
  <c r="K1814"/>
  <c r="L1814"/>
  <c r="M1814"/>
  <c r="J1815"/>
  <c r="K1815"/>
  <c r="L1815"/>
  <c r="M1815"/>
  <c r="M1809"/>
  <c r="L1809"/>
  <c r="K1809"/>
  <c r="J1809"/>
  <c r="M1808"/>
  <c r="L1808"/>
  <c r="K1808"/>
  <c r="J1808"/>
  <c r="M1807"/>
  <c r="L1807"/>
  <c r="K1807"/>
  <c r="J1807"/>
  <c r="J1783"/>
  <c r="K1783"/>
  <c r="L1783"/>
  <c r="M1783"/>
  <c r="J1784"/>
  <c r="K1784"/>
  <c r="L1784"/>
  <c r="M1784"/>
  <c r="J1785"/>
  <c r="K1785"/>
  <c r="L1785"/>
  <c r="M1785"/>
  <c r="J1786"/>
  <c r="K1786"/>
  <c r="L1786"/>
  <c r="M1786"/>
  <c r="J1787"/>
  <c r="K1787"/>
  <c r="L1787"/>
  <c r="M1787"/>
  <c r="J1788"/>
  <c r="K1788"/>
  <c r="L1788"/>
  <c r="M1788"/>
  <c r="J1789"/>
  <c r="K1789"/>
  <c r="L1789"/>
  <c r="M1789"/>
  <c r="J1790"/>
  <c r="K1790"/>
  <c r="L1790"/>
  <c r="M1790"/>
  <c r="J1791"/>
  <c r="K1791"/>
  <c r="L1791"/>
  <c r="M1791"/>
  <c r="J1792"/>
  <c r="K1792"/>
  <c r="L1792"/>
  <c r="M1792"/>
  <c r="J1793"/>
  <c r="K1793"/>
  <c r="L1793"/>
  <c r="M1793"/>
  <c r="J1794"/>
  <c r="K1794"/>
  <c r="L1794"/>
  <c r="M1794"/>
  <c r="J1795"/>
  <c r="K1795"/>
  <c r="L1795"/>
  <c r="M1795"/>
  <c r="J1796"/>
  <c r="K1796"/>
  <c r="L1796"/>
  <c r="M1796"/>
  <c r="J1797"/>
  <c r="K1797"/>
  <c r="L1797"/>
  <c r="M1797"/>
  <c r="J1798"/>
  <c r="K1798"/>
  <c r="L1798"/>
  <c r="M1798"/>
  <c r="J1799"/>
  <c r="K1799"/>
  <c r="L1799"/>
  <c r="M1799"/>
  <c r="J1800"/>
  <c r="K1800"/>
  <c r="L1800"/>
  <c r="M1800"/>
  <c r="J1801"/>
  <c r="K1801"/>
  <c r="L1801"/>
  <c r="M1801"/>
  <c r="J1802"/>
  <c r="K1802"/>
  <c r="L1802"/>
  <c r="M1802"/>
  <c r="J1803"/>
  <c r="K1803"/>
  <c r="L1803"/>
  <c r="M1803"/>
  <c r="J1804"/>
  <c r="K1804"/>
  <c r="L1804"/>
  <c r="M1804"/>
  <c r="M1782"/>
  <c r="L1782"/>
  <c r="K1782"/>
  <c r="J1782"/>
  <c r="M1781"/>
  <c r="L1781"/>
  <c r="K1781"/>
  <c r="J1781"/>
  <c r="M1780"/>
  <c r="L1780"/>
  <c r="K1780"/>
  <c r="J1780"/>
  <c r="J1704"/>
  <c r="K1704"/>
  <c r="L1704"/>
  <c r="M1704"/>
  <c r="J1705"/>
  <c r="K1705"/>
  <c r="L1705"/>
  <c r="M1705"/>
  <c r="J1706"/>
  <c r="K1706"/>
  <c r="L1706"/>
  <c r="M1706"/>
  <c r="J1707"/>
  <c r="K1707"/>
  <c r="L1707"/>
  <c r="M1707"/>
  <c r="J1708"/>
  <c r="K1708"/>
  <c r="L1708"/>
  <c r="M1708"/>
  <c r="J1709"/>
  <c r="K1709"/>
  <c r="L1709"/>
  <c r="M1709"/>
  <c r="J1710"/>
  <c r="K1710"/>
  <c r="L1710"/>
  <c r="M1710"/>
  <c r="J1711"/>
  <c r="K1711"/>
  <c r="L1711"/>
  <c r="M1711"/>
  <c r="J1712"/>
  <c r="K1712"/>
  <c r="L1712"/>
  <c r="M1712"/>
  <c r="J1713"/>
  <c r="K1713"/>
  <c r="L1713"/>
  <c r="M1713"/>
  <c r="J1714"/>
  <c r="K1714"/>
  <c r="L1714"/>
  <c r="M1714"/>
  <c r="J1715"/>
  <c r="K1715"/>
  <c r="L1715"/>
  <c r="M1715"/>
  <c r="J1716"/>
  <c r="K1716"/>
  <c r="L1716"/>
  <c r="M1716"/>
  <c r="J1717"/>
  <c r="K1717"/>
  <c r="L1717"/>
  <c r="M1717"/>
  <c r="J1718"/>
  <c r="K1718"/>
  <c r="L1718"/>
  <c r="M1718"/>
  <c r="J1719"/>
  <c r="K1719"/>
  <c r="L1719"/>
  <c r="M1719"/>
  <c r="J1720"/>
  <c r="K1720"/>
  <c r="L1720"/>
  <c r="M1720"/>
  <c r="J1721"/>
  <c r="K1721"/>
  <c r="L1721"/>
  <c r="M1721"/>
  <c r="J1722"/>
  <c r="K1722"/>
  <c r="L1722"/>
  <c r="M1722"/>
  <c r="J1723"/>
  <c r="K1723"/>
  <c r="L1723"/>
  <c r="M1723"/>
  <c r="J1724"/>
  <c r="K1724"/>
  <c r="L1724"/>
  <c r="M1724"/>
  <c r="J1725"/>
  <c r="K1725"/>
  <c r="L1725"/>
  <c r="M1725"/>
  <c r="J1726"/>
  <c r="K1726"/>
  <c r="L1726"/>
  <c r="M1726"/>
  <c r="J1727"/>
  <c r="K1727"/>
  <c r="L1727"/>
  <c r="M1727"/>
  <c r="J1728"/>
  <c r="K1728"/>
  <c r="L1728"/>
  <c r="M1728"/>
  <c r="J1729"/>
  <c r="K1729"/>
  <c r="L1729"/>
  <c r="M1729"/>
  <c r="J1730"/>
  <c r="K1730"/>
  <c r="L1730"/>
  <c r="M1730"/>
  <c r="J1731"/>
  <c r="K1731"/>
  <c r="L1731"/>
  <c r="M1731"/>
  <c r="J1732"/>
  <c r="K1732"/>
  <c r="L1732"/>
  <c r="M1732"/>
  <c r="J1733"/>
  <c r="K1733"/>
  <c r="L1733"/>
  <c r="M1733"/>
  <c r="J1734"/>
  <c r="K1734"/>
  <c r="L1734"/>
  <c r="M1734"/>
  <c r="J1735"/>
  <c r="K1735"/>
  <c r="L1735"/>
  <c r="M1735"/>
  <c r="J1736"/>
  <c r="K1736"/>
  <c r="L1736"/>
  <c r="M1736"/>
  <c r="J1737"/>
  <c r="K1737"/>
  <c r="L1737"/>
  <c r="M1737"/>
  <c r="J1738"/>
  <c r="K1738"/>
  <c r="L1738"/>
  <c r="M1738"/>
  <c r="J1739"/>
  <c r="K1739"/>
  <c r="L1739"/>
  <c r="M1739"/>
  <c r="J1740"/>
  <c r="K1740"/>
  <c r="L1740"/>
  <c r="M1740"/>
  <c r="J1741"/>
  <c r="K1741"/>
  <c r="L1741"/>
  <c r="M1741"/>
  <c r="J1742"/>
  <c r="K1742"/>
  <c r="L1742"/>
  <c r="M1742"/>
  <c r="J1743"/>
  <c r="K1743"/>
  <c r="L1743"/>
  <c r="M1743"/>
  <c r="J1744"/>
  <c r="K1744"/>
  <c r="L1744"/>
  <c r="M1744"/>
  <c r="J1745"/>
  <c r="K1745"/>
  <c r="L1745"/>
  <c r="M1745"/>
  <c r="J1746"/>
  <c r="K1746"/>
  <c r="L1746"/>
  <c r="M1746"/>
  <c r="J1747"/>
  <c r="K1747"/>
  <c r="L1747"/>
  <c r="M1747"/>
  <c r="J1748"/>
  <c r="K1748"/>
  <c r="L1748"/>
  <c r="M1748"/>
  <c r="J1749"/>
  <c r="K1749"/>
  <c r="L1749"/>
  <c r="M1749"/>
  <c r="J1750"/>
  <c r="K1750"/>
  <c r="L1750"/>
  <c r="M1750"/>
  <c r="J1751"/>
  <c r="K1751"/>
  <c r="L1751"/>
  <c r="M1751"/>
  <c r="J1752"/>
  <c r="K1752"/>
  <c r="L1752"/>
  <c r="M1752"/>
  <c r="J1753"/>
  <c r="K1753"/>
  <c r="L1753"/>
  <c r="M1753"/>
  <c r="J1754"/>
  <c r="K1754"/>
  <c r="L1754"/>
  <c r="M1754"/>
  <c r="J1755"/>
  <c r="K1755"/>
  <c r="L1755"/>
  <c r="M1755"/>
  <c r="J1756"/>
  <c r="K1756"/>
  <c r="L1756"/>
  <c r="M1756"/>
  <c r="J1757"/>
  <c r="K1757"/>
  <c r="L1757"/>
  <c r="M1757"/>
  <c r="J1758"/>
  <c r="K1758"/>
  <c r="L1758"/>
  <c r="M1758"/>
  <c r="J1759"/>
  <c r="K1759"/>
  <c r="L1759"/>
  <c r="M1759"/>
  <c r="J1760"/>
  <c r="K1760"/>
  <c r="L1760"/>
  <c r="M1760"/>
  <c r="J1761"/>
  <c r="K1761"/>
  <c r="L1761"/>
  <c r="M1761"/>
  <c r="J1762"/>
  <c r="K1762"/>
  <c r="L1762"/>
  <c r="M1762"/>
  <c r="J1763"/>
  <c r="K1763"/>
  <c r="L1763"/>
  <c r="M1763"/>
  <c r="J1764"/>
  <c r="K1764"/>
  <c r="L1764"/>
  <c r="M1764"/>
  <c r="J1765"/>
  <c r="K1765"/>
  <c r="L1765"/>
  <c r="M1765"/>
  <c r="J1766"/>
  <c r="K1766"/>
  <c r="L1766"/>
  <c r="M1766"/>
  <c r="J1767"/>
  <c r="K1767"/>
  <c r="L1767"/>
  <c r="M1767"/>
  <c r="J1768"/>
  <c r="K1768"/>
  <c r="L1768"/>
  <c r="M1768"/>
  <c r="J1769"/>
  <c r="K1769"/>
  <c r="L1769"/>
  <c r="M1769"/>
  <c r="J1770"/>
  <c r="K1770"/>
  <c r="L1770"/>
  <c r="M1770"/>
  <c r="J1771"/>
  <c r="K1771"/>
  <c r="L1771"/>
  <c r="M1771"/>
  <c r="J1772"/>
  <c r="K1772"/>
  <c r="L1772"/>
  <c r="M1772"/>
  <c r="J1773"/>
  <c r="K1773"/>
  <c r="L1773"/>
  <c r="M1773"/>
  <c r="J1774"/>
  <c r="K1774"/>
  <c r="L1774"/>
  <c r="M1774"/>
  <c r="J1775"/>
  <c r="K1775"/>
  <c r="L1775"/>
  <c r="M1775"/>
  <c r="J1776"/>
  <c r="K1776"/>
  <c r="L1776"/>
  <c r="M1776"/>
  <c r="J1777"/>
  <c r="K1777"/>
  <c r="L1777"/>
  <c r="M1777"/>
  <c r="M1703"/>
  <c r="L1703"/>
  <c r="K1703"/>
  <c r="J1703"/>
  <c r="M1702"/>
  <c r="L1702"/>
  <c r="K1702"/>
  <c r="J1702"/>
  <c r="M1701"/>
  <c r="L1701"/>
  <c r="K1701"/>
  <c r="J1701"/>
  <c r="M1700"/>
  <c r="L1700"/>
  <c r="K1700"/>
  <c r="J1700"/>
  <c r="M1699"/>
  <c r="L1699"/>
  <c r="K1699"/>
  <c r="J1699"/>
  <c r="M1698"/>
  <c r="L1698"/>
  <c r="K1698"/>
  <c r="J1698"/>
  <c r="M1697"/>
  <c r="L1697"/>
  <c r="K1697"/>
  <c r="J1697"/>
  <c r="M1696"/>
  <c r="L1696"/>
  <c r="K1696"/>
  <c r="J1696"/>
  <c r="M1695"/>
  <c r="L1695"/>
  <c r="K1695"/>
  <c r="J1695"/>
  <c r="M1694"/>
  <c r="L1694"/>
  <c r="K1694"/>
  <c r="J1694"/>
  <c r="M1693"/>
  <c r="L1693"/>
  <c r="K1693"/>
  <c r="J1693"/>
  <c r="M1692"/>
  <c r="L1692"/>
  <c r="K1692"/>
  <c r="J1692"/>
  <c r="J1681"/>
  <c r="K1681"/>
  <c r="L1681"/>
  <c r="M1681"/>
  <c r="J1682"/>
  <c r="K1682"/>
  <c r="L1682"/>
  <c r="M1682"/>
  <c r="J1683"/>
  <c r="K1683"/>
  <c r="L1683"/>
  <c r="M1683"/>
  <c r="J1684"/>
  <c r="K1684"/>
  <c r="L1684"/>
  <c r="M1684"/>
  <c r="J1685"/>
  <c r="K1685"/>
  <c r="L1685"/>
  <c r="M1685"/>
  <c r="J1686"/>
  <c r="K1686"/>
  <c r="L1686"/>
  <c r="M1686"/>
  <c r="J1687"/>
  <c r="K1687"/>
  <c r="L1687"/>
  <c r="M1687"/>
  <c r="J1688"/>
  <c r="K1688"/>
  <c r="L1688"/>
  <c r="M1688"/>
  <c r="J1689"/>
  <c r="K1689"/>
  <c r="L1689"/>
  <c r="M1689"/>
  <c r="M1680"/>
  <c r="L1680"/>
  <c r="K1680"/>
  <c r="J1680"/>
  <c r="M1679"/>
  <c r="L1679"/>
  <c r="K1679"/>
  <c r="J1679"/>
  <c r="M1678"/>
  <c r="L1678"/>
  <c r="K1678"/>
  <c r="J1678"/>
  <c r="J1642"/>
  <c r="K1642"/>
  <c r="L1642"/>
  <c r="M1642"/>
  <c r="J1643"/>
  <c r="K1643"/>
  <c r="L1643"/>
  <c r="M1643"/>
  <c r="J1644"/>
  <c r="K1644"/>
  <c r="L1644"/>
  <c r="M1644"/>
  <c r="J1645"/>
  <c r="K1645"/>
  <c r="L1645"/>
  <c r="M1645"/>
  <c r="J1646"/>
  <c r="K1646"/>
  <c r="L1646"/>
  <c r="M1646"/>
  <c r="J1647"/>
  <c r="K1647"/>
  <c r="L1647"/>
  <c r="M1647"/>
  <c r="J1648"/>
  <c r="K1648"/>
  <c r="L1648"/>
  <c r="M1648"/>
  <c r="J1649"/>
  <c r="K1649"/>
  <c r="L1649"/>
  <c r="M1649"/>
  <c r="J1650"/>
  <c r="K1650"/>
  <c r="L1650"/>
  <c r="M1650"/>
  <c r="J1651"/>
  <c r="K1651"/>
  <c r="L1651"/>
  <c r="M1651"/>
  <c r="J1652"/>
  <c r="K1652"/>
  <c r="L1652"/>
  <c r="M1652"/>
  <c r="J1653"/>
  <c r="K1653"/>
  <c r="L1653"/>
  <c r="M1653"/>
  <c r="J1654"/>
  <c r="K1654"/>
  <c r="L1654"/>
  <c r="M1654"/>
  <c r="J1655"/>
  <c r="K1655"/>
  <c r="L1655"/>
  <c r="M1655"/>
  <c r="J1656"/>
  <c r="K1656"/>
  <c r="L1656"/>
  <c r="M1656"/>
  <c r="J1657"/>
  <c r="K1657"/>
  <c r="L1657"/>
  <c r="M1657"/>
  <c r="J1658"/>
  <c r="K1658"/>
  <c r="L1658"/>
  <c r="M1658"/>
  <c r="J1659"/>
  <c r="K1659"/>
  <c r="L1659"/>
  <c r="M1659"/>
  <c r="J1660"/>
  <c r="K1660"/>
  <c r="L1660"/>
  <c r="M1660"/>
  <c r="J1661"/>
  <c r="K1661"/>
  <c r="L1661"/>
  <c r="M1661"/>
  <c r="J1662"/>
  <c r="K1662"/>
  <c r="L1662"/>
  <c r="M1662"/>
  <c r="J1663"/>
  <c r="K1663"/>
  <c r="L1663"/>
  <c r="M1663"/>
  <c r="J1664"/>
  <c r="K1664"/>
  <c r="L1664"/>
  <c r="M1664"/>
  <c r="J1665"/>
  <c r="K1665"/>
  <c r="L1665"/>
  <c r="M1665"/>
  <c r="J1666"/>
  <c r="K1666"/>
  <c r="L1666"/>
  <c r="M1666"/>
  <c r="J1667"/>
  <c r="K1667"/>
  <c r="L1667"/>
  <c r="M1667"/>
  <c r="J1668"/>
  <c r="K1668"/>
  <c r="L1668"/>
  <c r="M1668"/>
  <c r="J1669"/>
  <c r="K1669"/>
  <c r="L1669"/>
  <c r="M1669"/>
  <c r="J1670"/>
  <c r="K1670"/>
  <c r="L1670"/>
  <c r="M1670"/>
  <c r="J1671"/>
  <c r="K1671"/>
  <c r="L1671"/>
  <c r="M1671"/>
  <c r="J1672"/>
  <c r="K1672"/>
  <c r="L1672"/>
  <c r="M1672"/>
  <c r="J1673"/>
  <c r="K1673"/>
  <c r="L1673"/>
  <c r="M1673"/>
  <c r="J1674"/>
  <c r="K1674"/>
  <c r="L1674"/>
  <c r="M1674"/>
  <c r="J1675"/>
  <c r="K1675"/>
  <c r="L1675"/>
  <c r="M1675"/>
  <c r="M1641"/>
  <c r="L1641"/>
  <c r="K1641"/>
  <c r="J1641"/>
  <c r="M1640"/>
  <c r="L1640"/>
  <c r="K1640"/>
  <c r="J1640"/>
  <c r="M1639"/>
  <c r="L1639"/>
  <c r="K1639"/>
  <c r="J1639"/>
  <c r="J1597"/>
  <c r="K1597"/>
  <c r="L1597"/>
  <c r="M1597"/>
  <c r="J1598"/>
  <c r="K1598"/>
  <c r="L1598"/>
  <c r="M1598"/>
  <c r="J1599"/>
  <c r="K1599"/>
  <c r="L1599"/>
  <c r="M1599"/>
  <c r="J1600"/>
  <c r="K1600"/>
  <c r="L1600"/>
  <c r="M1600"/>
  <c r="J1601"/>
  <c r="K1601"/>
  <c r="L1601"/>
  <c r="M1601"/>
  <c r="J1602"/>
  <c r="K1602"/>
  <c r="L1602"/>
  <c r="M1602"/>
  <c r="J1603"/>
  <c r="K1603"/>
  <c r="L1603"/>
  <c r="M1603"/>
  <c r="J1604"/>
  <c r="K1604"/>
  <c r="L1604"/>
  <c r="M1604"/>
  <c r="J1605"/>
  <c r="K1605"/>
  <c r="L1605"/>
  <c r="M1605"/>
  <c r="J1606"/>
  <c r="K1606"/>
  <c r="L1606"/>
  <c r="M1606"/>
  <c r="J1607"/>
  <c r="K1607"/>
  <c r="L1607"/>
  <c r="M1607"/>
  <c r="J1608"/>
  <c r="K1608"/>
  <c r="L1608"/>
  <c r="M1608"/>
  <c r="J1609"/>
  <c r="K1609"/>
  <c r="L1609"/>
  <c r="M1609"/>
  <c r="J1610"/>
  <c r="K1610"/>
  <c r="L1610"/>
  <c r="M1610"/>
  <c r="J1611"/>
  <c r="K1611"/>
  <c r="L1611"/>
  <c r="M1611"/>
  <c r="J1612"/>
  <c r="K1612"/>
  <c r="L1612"/>
  <c r="M1612"/>
  <c r="J1613"/>
  <c r="K1613"/>
  <c r="L1613"/>
  <c r="M1613"/>
  <c r="J1614"/>
  <c r="K1614"/>
  <c r="L1614"/>
  <c r="M1614"/>
  <c r="J1615"/>
  <c r="K1615"/>
  <c r="L1615"/>
  <c r="M1615"/>
  <c r="J1616"/>
  <c r="K1616"/>
  <c r="L1616"/>
  <c r="M1616"/>
  <c r="J1617"/>
  <c r="K1617"/>
  <c r="L1617"/>
  <c r="M1617"/>
  <c r="J1618"/>
  <c r="K1618"/>
  <c r="L1618"/>
  <c r="M1618"/>
  <c r="J1619"/>
  <c r="K1619"/>
  <c r="L1619"/>
  <c r="M1619"/>
  <c r="J1620"/>
  <c r="K1620"/>
  <c r="L1620"/>
  <c r="M1620"/>
  <c r="J1621"/>
  <c r="K1621"/>
  <c r="L1621"/>
  <c r="M1621"/>
  <c r="J1622"/>
  <c r="K1622"/>
  <c r="L1622"/>
  <c r="M1622"/>
  <c r="J1623"/>
  <c r="K1623"/>
  <c r="L1623"/>
  <c r="M1623"/>
  <c r="J1624"/>
  <c r="K1624"/>
  <c r="L1624"/>
  <c r="M1624"/>
  <c r="J1625"/>
  <c r="K1625"/>
  <c r="L1625"/>
  <c r="M1625"/>
  <c r="J1626"/>
  <c r="K1626"/>
  <c r="L1626"/>
  <c r="M1626"/>
  <c r="J1627"/>
  <c r="K1627"/>
  <c r="L1627"/>
  <c r="M1627"/>
  <c r="J1628"/>
  <c r="K1628"/>
  <c r="L1628"/>
  <c r="M1628"/>
  <c r="J1629"/>
  <c r="K1629"/>
  <c r="L1629"/>
  <c r="M1629"/>
  <c r="J1630"/>
  <c r="K1630"/>
  <c r="L1630"/>
  <c r="M1630"/>
  <c r="J1631"/>
  <c r="K1631"/>
  <c r="L1631"/>
  <c r="M1631"/>
  <c r="J1632"/>
  <c r="K1632"/>
  <c r="L1632"/>
  <c r="M1632"/>
  <c r="J1633"/>
  <c r="K1633"/>
  <c r="L1633"/>
  <c r="M1633"/>
  <c r="J1634"/>
  <c r="K1634"/>
  <c r="L1634"/>
  <c r="M1634"/>
  <c r="J1635"/>
  <c r="K1635"/>
  <c r="L1635"/>
  <c r="M1635"/>
  <c r="J1636"/>
  <c r="K1636"/>
  <c r="L1636"/>
  <c r="M1636"/>
  <c r="M1596"/>
  <c r="L1596"/>
  <c r="K1596"/>
  <c r="J1596"/>
  <c r="M1595"/>
  <c r="L1595"/>
  <c r="K1595"/>
  <c r="J1595"/>
  <c r="M1594"/>
  <c r="L1594"/>
  <c r="K1594"/>
  <c r="J1594"/>
  <c r="J1577"/>
  <c r="K1577"/>
  <c r="L1577"/>
  <c r="M1577"/>
  <c r="J1578"/>
  <c r="K1578"/>
  <c r="L1578"/>
  <c r="M1578"/>
  <c r="J1579"/>
  <c r="K1579"/>
  <c r="L1579"/>
  <c r="M1579"/>
  <c r="J1580"/>
  <c r="K1580"/>
  <c r="L1580"/>
  <c r="M1580"/>
  <c r="J1581"/>
  <c r="K1581"/>
  <c r="L1581"/>
  <c r="M1581"/>
  <c r="J1582"/>
  <c r="K1582"/>
  <c r="L1582"/>
  <c r="M1582"/>
  <c r="J1583"/>
  <c r="K1583"/>
  <c r="L1583"/>
  <c r="M1583"/>
  <c r="J1584"/>
  <c r="K1584"/>
  <c r="L1584"/>
  <c r="M1584"/>
  <c r="J1585"/>
  <c r="K1585"/>
  <c r="L1585"/>
  <c r="M1585"/>
  <c r="J1586"/>
  <c r="K1586"/>
  <c r="L1586"/>
  <c r="M1586"/>
  <c r="J1587"/>
  <c r="K1587"/>
  <c r="L1587"/>
  <c r="M1587"/>
  <c r="J1588"/>
  <c r="K1588"/>
  <c r="L1588"/>
  <c r="M1588"/>
  <c r="J1589"/>
  <c r="K1589"/>
  <c r="L1589"/>
  <c r="M1589"/>
  <c r="J1590"/>
  <c r="K1590"/>
  <c r="L1590"/>
  <c r="M1590"/>
  <c r="J1591"/>
  <c r="K1591"/>
  <c r="L1591"/>
  <c r="M1591"/>
  <c r="M1576"/>
  <c r="L1576"/>
  <c r="K1576"/>
  <c r="J1576"/>
  <c r="M1575"/>
  <c r="L1575"/>
  <c r="K1575"/>
  <c r="J1575"/>
  <c r="M1574"/>
  <c r="L1574"/>
  <c r="K1574"/>
  <c r="J1574"/>
  <c r="M1573"/>
  <c r="L1573"/>
  <c r="K1573"/>
  <c r="J1573"/>
  <c r="M1572"/>
  <c r="L1572"/>
  <c r="K1572"/>
  <c r="J1572"/>
  <c r="M1571"/>
  <c r="L1571"/>
  <c r="K1571"/>
  <c r="J1571"/>
  <c r="M1570"/>
  <c r="L1570"/>
  <c r="K1570"/>
  <c r="J1570"/>
  <c r="M1569"/>
  <c r="L1569"/>
  <c r="K1569"/>
  <c r="J1569"/>
  <c r="M1568"/>
  <c r="L1568"/>
  <c r="K1568"/>
  <c r="J1568"/>
  <c r="M1567"/>
  <c r="L1567"/>
  <c r="K1567"/>
  <c r="J1567"/>
  <c r="M1566"/>
  <c r="L1566"/>
  <c r="K1566"/>
  <c r="J1566"/>
  <c r="M1565"/>
  <c r="L1565"/>
  <c r="K1565"/>
  <c r="J1565"/>
  <c r="M1564"/>
  <c r="L1564"/>
  <c r="K1564"/>
  <c r="J1564"/>
  <c r="M1563"/>
  <c r="L1563"/>
  <c r="K1563"/>
  <c r="J1563"/>
  <c r="M1562"/>
  <c r="L1562"/>
  <c r="K1562"/>
  <c r="J1562"/>
  <c r="M1561"/>
  <c r="L1561"/>
  <c r="K1561"/>
  <c r="J1561"/>
  <c r="M1560"/>
  <c r="L1560"/>
  <c r="K1560"/>
  <c r="J1560"/>
  <c r="M1559"/>
  <c r="L1559"/>
  <c r="K1559"/>
  <c r="J1559"/>
  <c r="M1558"/>
  <c r="L1558"/>
  <c r="K1558"/>
  <c r="J1558"/>
  <c r="M1557"/>
  <c r="L1557"/>
  <c r="K1557"/>
  <c r="J1557"/>
  <c r="M1556"/>
  <c r="L1556"/>
  <c r="K1556"/>
  <c r="J1556"/>
  <c r="M1555"/>
  <c r="L1555"/>
  <c r="K1555"/>
  <c r="J1555"/>
  <c r="M1554"/>
  <c r="L1554"/>
  <c r="K1554"/>
  <c r="J1554"/>
  <c r="M1553"/>
  <c r="L1553"/>
  <c r="K1553"/>
  <c r="J1553"/>
  <c r="M1552"/>
  <c r="L1552"/>
  <c r="K1552"/>
  <c r="J1552"/>
  <c r="M1551"/>
  <c r="L1551"/>
  <c r="K1551"/>
  <c r="J1551"/>
  <c r="M1550"/>
  <c r="L1550"/>
  <c r="K1550"/>
  <c r="J1550"/>
  <c r="M1549"/>
  <c r="L1549"/>
  <c r="K1549"/>
  <c r="J1549"/>
  <c r="M1548"/>
  <c r="L1548"/>
  <c r="K1548"/>
  <c r="J1548"/>
  <c r="J1520"/>
  <c r="K1520"/>
  <c r="L1520"/>
  <c r="M1520"/>
  <c r="J1521"/>
  <c r="K1521"/>
  <c r="L1521"/>
  <c r="M1521"/>
  <c r="J1522"/>
  <c r="K1522"/>
  <c r="L1522"/>
  <c r="M1522"/>
  <c r="J1523"/>
  <c r="K1523"/>
  <c r="L1523"/>
  <c r="M1523"/>
  <c r="J1524"/>
  <c r="K1524"/>
  <c r="L1524"/>
  <c r="M1524"/>
  <c r="J1525"/>
  <c r="K1525"/>
  <c r="L1525"/>
  <c r="M1525"/>
  <c r="J1526"/>
  <c r="K1526"/>
  <c r="L1526"/>
  <c r="M1526"/>
  <c r="J1527"/>
  <c r="K1527"/>
  <c r="L1527"/>
  <c r="M1527"/>
  <c r="J1528"/>
  <c r="K1528"/>
  <c r="L1528"/>
  <c r="M1528"/>
  <c r="J1529"/>
  <c r="K1529"/>
  <c r="L1529"/>
  <c r="M1529"/>
  <c r="J1530"/>
  <c r="K1530"/>
  <c r="L1530"/>
  <c r="M1530"/>
  <c r="J1531"/>
  <c r="K1531"/>
  <c r="L1531"/>
  <c r="M1531"/>
  <c r="J1532"/>
  <c r="K1532"/>
  <c r="L1532"/>
  <c r="M1532"/>
  <c r="J1533"/>
  <c r="K1533"/>
  <c r="L1533"/>
  <c r="M1533"/>
  <c r="J1534"/>
  <c r="K1534"/>
  <c r="L1534"/>
  <c r="M1534"/>
  <c r="J1535"/>
  <c r="K1535"/>
  <c r="L1535"/>
  <c r="M1535"/>
  <c r="J1536"/>
  <c r="K1536"/>
  <c r="L1536"/>
  <c r="M1536"/>
  <c r="J1537"/>
  <c r="K1537"/>
  <c r="L1537"/>
  <c r="M1537"/>
  <c r="J1538"/>
  <c r="K1538"/>
  <c r="L1538"/>
  <c r="M1538"/>
  <c r="J1539"/>
  <c r="K1539"/>
  <c r="L1539"/>
  <c r="M1539"/>
  <c r="J1540"/>
  <c r="K1540"/>
  <c r="L1540"/>
  <c r="M1540"/>
  <c r="J1541"/>
  <c r="K1541"/>
  <c r="L1541"/>
  <c r="M1541"/>
  <c r="J1542"/>
  <c r="K1542"/>
  <c r="L1542"/>
  <c r="M1542"/>
  <c r="J1543"/>
  <c r="K1543"/>
  <c r="L1543"/>
  <c r="M1543"/>
  <c r="J1544"/>
  <c r="K1544"/>
  <c r="L1544"/>
  <c r="M1544"/>
  <c r="J1545"/>
  <c r="K1545"/>
  <c r="L1545"/>
  <c r="M1545"/>
  <c r="M1519"/>
  <c r="L1519"/>
  <c r="K1519"/>
  <c r="J1519"/>
  <c r="M1518"/>
  <c r="L1518"/>
  <c r="K1518"/>
  <c r="J1518"/>
  <c r="M1517"/>
  <c r="L1517"/>
  <c r="K1517"/>
  <c r="J1517"/>
  <c r="J1443"/>
  <c r="K1443"/>
  <c r="L1443"/>
  <c r="M1443"/>
  <c r="J1444"/>
  <c r="K1444"/>
  <c r="L1444"/>
  <c r="M1444"/>
  <c r="J1445"/>
  <c r="K1445"/>
  <c r="L1445"/>
  <c r="M1445"/>
  <c r="J1446"/>
  <c r="K1446"/>
  <c r="L1446"/>
  <c r="M1446"/>
  <c r="J1447"/>
  <c r="K1447"/>
  <c r="L1447"/>
  <c r="M1447"/>
  <c r="J1448"/>
  <c r="K1448"/>
  <c r="L1448"/>
  <c r="M1448"/>
  <c r="J1449"/>
  <c r="K1449"/>
  <c r="L1449"/>
  <c r="M1449"/>
  <c r="J1450"/>
  <c r="K1450"/>
  <c r="L1450"/>
  <c r="M1450"/>
  <c r="J1451"/>
  <c r="K1451"/>
  <c r="L1451"/>
  <c r="M1451"/>
  <c r="J1452"/>
  <c r="K1452"/>
  <c r="L1452"/>
  <c r="M1452"/>
  <c r="J1453"/>
  <c r="K1453"/>
  <c r="L1453"/>
  <c r="M1453"/>
  <c r="J1454"/>
  <c r="K1454"/>
  <c r="L1454"/>
  <c r="M1454"/>
  <c r="J1455"/>
  <c r="K1455"/>
  <c r="L1455"/>
  <c r="M1455"/>
  <c r="J1456"/>
  <c r="K1456"/>
  <c r="L1456"/>
  <c r="M1456"/>
  <c r="J1457"/>
  <c r="K1457"/>
  <c r="L1457"/>
  <c r="M1457"/>
  <c r="J1458"/>
  <c r="K1458"/>
  <c r="L1458"/>
  <c r="M1458"/>
  <c r="J1459"/>
  <c r="K1459"/>
  <c r="L1459"/>
  <c r="M1459"/>
  <c r="J1460"/>
  <c r="K1460"/>
  <c r="L1460"/>
  <c r="M1460"/>
  <c r="J1461"/>
  <c r="K1461"/>
  <c r="L1461"/>
  <c r="M1461"/>
  <c r="J1462"/>
  <c r="K1462"/>
  <c r="L1462"/>
  <c r="M1462"/>
  <c r="J1463"/>
  <c r="K1463"/>
  <c r="L1463"/>
  <c r="M1463"/>
  <c r="J1464"/>
  <c r="K1464"/>
  <c r="L1464"/>
  <c r="M1464"/>
  <c r="J1465"/>
  <c r="K1465"/>
  <c r="L1465"/>
  <c r="M1465"/>
  <c r="J1466"/>
  <c r="K1466"/>
  <c r="L1466"/>
  <c r="M1466"/>
  <c r="J1467"/>
  <c r="K1467"/>
  <c r="L1467"/>
  <c r="M1467"/>
  <c r="J1468"/>
  <c r="K1468"/>
  <c r="L1468"/>
  <c r="M1468"/>
  <c r="J1469"/>
  <c r="K1469"/>
  <c r="L1469"/>
  <c r="M1469"/>
  <c r="J1470"/>
  <c r="K1470"/>
  <c r="L1470"/>
  <c r="M1470"/>
  <c r="J1471"/>
  <c r="K1471"/>
  <c r="L1471"/>
  <c r="M1471"/>
  <c r="J1472"/>
  <c r="K1472"/>
  <c r="L1472"/>
  <c r="M1472"/>
  <c r="J1473"/>
  <c r="K1473"/>
  <c r="L1473"/>
  <c r="M1473"/>
  <c r="J1474"/>
  <c r="K1474"/>
  <c r="L1474"/>
  <c r="M1474"/>
  <c r="J1475"/>
  <c r="K1475"/>
  <c r="L1475"/>
  <c r="M1475"/>
  <c r="J1476"/>
  <c r="K1476"/>
  <c r="L1476"/>
  <c r="M1476"/>
  <c r="J1477"/>
  <c r="K1477"/>
  <c r="L1477"/>
  <c r="M1477"/>
  <c r="J1478"/>
  <c r="K1478"/>
  <c r="L1478"/>
  <c r="M1478"/>
  <c r="J1479"/>
  <c r="K1479"/>
  <c r="L1479"/>
  <c r="M1479"/>
  <c r="J1480"/>
  <c r="K1480"/>
  <c r="L1480"/>
  <c r="M1480"/>
  <c r="J1481"/>
  <c r="K1481"/>
  <c r="L1481"/>
  <c r="M1481"/>
  <c r="J1482"/>
  <c r="K1482"/>
  <c r="L1482"/>
  <c r="M1482"/>
  <c r="J1483"/>
  <c r="K1483"/>
  <c r="L1483"/>
  <c r="M1483"/>
  <c r="J1484"/>
  <c r="K1484"/>
  <c r="L1484"/>
  <c r="M1484"/>
  <c r="J1485"/>
  <c r="K1485"/>
  <c r="L1485"/>
  <c r="M1485"/>
  <c r="J1486"/>
  <c r="K1486"/>
  <c r="L1486"/>
  <c r="M1486"/>
  <c r="J1487"/>
  <c r="K1487"/>
  <c r="L1487"/>
  <c r="M1487"/>
  <c r="J1488"/>
  <c r="K1488"/>
  <c r="L1488"/>
  <c r="M1488"/>
  <c r="J1489"/>
  <c r="K1489"/>
  <c r="L1489"/>
  <c r="M1489"/>
  <c r="J1490"/>
  <c r="K1490"/>
  <c r="L1490"/>
  <c r="M1490"/>
  <c r="J1491"/>
  <c r="K1491"/>
  <c r="L1491"/>
  <c r="M1491"/>
  <c r="J1492"/>
  <c r="K1492"/>
  <c r="L1492"/>
  <c r="M1492"/>
  <c r="J1493"/>
  <c r="K1493"/>
  <c r="L1493"/>
  <c r="M1493"/>
  <c r="J1494"/>
  <c r="K1494"/>
  <c r="L1494"/>
  <c r="M1494"/>
  <c r="J1495"/>
  <c r="K1495"/>
  <c r="L1495"/>
  <c r="M1495"/>
  <c r="J1496"/>
  <c r="K1496"/>
  <c r="L1496"/>
  <c r="M1496"/>
  <c r="J1497"/>
  <c r="K1497"/>
  <c r="L1497"/>
  <c r="M1497"/>
  <c r="J1498"/>
  <c r="K1498"/>
  <c r="L1498"/>
  <c r="M1498"/>
  <c r="J1499"/>
  <c r="K1499"/>
  <c r="L1499"/>
  <c r="M1499"/>
  <c r="J1500"/>
  <c r="K1500"/>
  <c r="L1500"/>
  <c r="M1500"/>
  <c r="J1501"/>
  <c r="K1501"/>
  <c r="L1501"/>
  <c r="M1501"/>
  <c r="J1502"/>
  <c r="K1502"/>
  <c r="L1502"/>
  <c r="M1502"/>
  <c r="J1503"/>
  <c r="K1503"/>
  <c r="L1503"/>
  <c r="M1503"/>
  <c r="J1504"/>
  <c r="K1504"/>
  <c r="L1504"/>
  <c r="M1504"/>
  <c r="J1505"/>
  <c r="K1505"/>
  <c r="L1505"/>
  <c r="M1505"/>
  <c r="J1506"/>
  <c r="K1506"/>
  <c r="L1506"/>
  <c r="M1506"/>
  <c r="J1507"/>
  <c r="K1507"/>
  <c r="L1507"/>
  <c r="M1507"/>
  <c r="J1508"/>
  <c r="K1508"/>
  <c r="L1508"/>
  <c r="M1508"/>
  <c r="J1509"/>
  <c r="K1509"/>
  <c r="L1509"/>
  <c r="M1509"/>
  <c r="J1510"/>
  <c r="K1510"/>
  <c r="L1510"/>
  <c r="M1510"/>
  <c r="J1511"/>
  <c r="K1511"/>
  <c r="L1511"/>
  <c r="M1511"/>
  <c r="J1512"/>
  <c r="K1512"/>
  <c r="L1512"/>
  <c r="M1512"/>
  <c r="J1513"/>
  <c r="K1513"/>
  <c r="L1513"/>
  <c r="M1513"/>
  <c r="J1514"/>
  <c r="K1514"/>
  <c r="L1514"/>
  <c r="M1514"/>
  <c r="M1442"/>
  <c r="L1442"/>
  <c r="K1442"/>
  <c r="J1442"/>
  <c r="M1441"/>
  <c r="L1441"/>
  <c r="K1441"/>
  <c r="J1441"/>
  <c r="J1349"/>
  <c r="K1349"/>
  <c r="L1349"/>
  <c r="M1349"/>
  <c r="J1350"/>
  <c r="K1350"/>
  <c r="L1350"/>
  <c r="M1350"/>
  <c r="J1351"/>
  <c r="K1351"/>
  <c r="L1351"/>
  <c r="M1351"/>
  <c r="J1352"/>
  <c r="K1352"/>
  <c r="L1352"/>
  <c r="M1352"/>
  <c r="J1353"/>
  <c r="K1353"/>
  <c r="L1353"/>
  <c r="M1353"/>
  <c r="J1354"/>
  <c r="K1354"/>
  <c r="L1354"/>
  <c r="M1354"/>
  <c r="J1355"/>
  <c r="K1355"/>
  <c r="L1355"/>
  <c r="M1355"/>
  <c r="J1356"/>
  <c r="K1356"/>
  <c r="L1356"/>
  <c r="M1356"/>
  <c r="J1357"/>
  <c r="K1357"/>
  <c r="L1357"/>
  <c r="M1357"/>
  <c r="J1358"/>
  <c r="K1358"/>
  <c r="L1358"/>
  <c r="M1358"/>
  <c r="J1359"/>
  <c r="K1359"/>
  <c r="L1359"/>
  <c r="M1359"/>
  <c r="J1360"/>
  <c r="K1360"/>
  <c r="L1360"/>
  <c r="M1360"/>
  <c r="J1361"/>
  <c r="K1361"/>
  <c r="L1361"/>
  <c r="M1361"/>
  <c r="J1362"/>
  <c r="K1362"/>
  <c r="L1362"/>
  <c r="M1362"/>
  <c r="J1363"/>
  <c r="K1363"/>
  <c r="L1363"/>
  <c r="M1363"/>
  <c r="J1364"/>
  <c r="K1364"/>
  <c r="L1364"/>
  <c r="M1364"/>
  <c r="J1365"/>
  <c r="K1365"/>
  <c r="L1365"/>
  <c r="M1365"/>
  <c r="J1366"/>
  <c r="K1366"/>
  <c r="L1366"/>
  <c r="M1366"/>
  <c r="J1367"/>
  <c r="K1367"/>
  <c r="L1367"/>
  <c r="M1367"/>
  <c r="J1368"/>
  <c r="K1368"/>
  <c r="L1368"/>
  <c r="M1368"/>
  <c r="J1369"/>
  <c r="K1369"/>
  <c r="L1369"/>
  <c r="M1369"/>
  <c r="J1370"/>
  <c r="K1370"/>
  <c r="L1370"/>
  <c r="M1370"/>
  <c r="J1371"/>
  <c r="K1371"/>
  <c r="L1371"/>
  <c r="M1371"/>
  <c r="J1372"/>
  <c r="K1372"/>
  <c r="L1372"/>
  <c r="M1372"/>
  <c r="J1373"/>
  <c r="K1373"/>
  <c r="L1373"/>
  <c r="M1373"/>
  <c r="J1374"/>
  <c r="K1374"/>
  <c r="L1374"/>
  <c r="M1374"/>
  <c r="J1375"/>
  <c r="K1375"/>
  <c r="L1375"/>
  <c r="M1375"/>
  <c r="J1376"/>
  <c r="K1376"/>
  <c r="L1376"/>
  <c r="M1376"/>
  <c r="J1377"/>
  <c r="K1377"/>
  <c r="L1377"/>
  <c r="M1377"/>
  <c r="J1378"/>
  <c r="K1378"/>
  <c r="L1378"/>
  <c r="M1378"/>
  <c r="J1379"/>
  <c r="K1379"/>
  <c r="L1379"/>
  <c r="M1379"/>
  <c r="J1380"/>
  <c r="K1380"/>
  <c r="L1380"/>
  <c r="M1380"/>
  <c r="J1381"/>
  <c r="K1381"/>
  <c r="L1381"/>
  <c r="M1381"/>
  <c r="J1382"/>
  <c r="K1382"/>
  <c r="L1382"/>
  <c r="M1382"/>
  <c r="J1383"/>
  <c r="K1383"/>
  <c r="L1383"/>
  <c r="M1383"/>
  <c r="J1384"/>
  <c r="K1384"/>
  <c r="L1384"/>
  <c r="M1384"/>
  <c r="J1385"/>
  <c r="K1385"/>
  <c r="L1385"/>
  <c r="M1385"/>
  <c r="J1386"/>
  <c r="K1386"/>
  <c r="L1386"/>
  <c r="M1386"/>
  <c r="J1387"/>
  <c r="K1387"/>
  <c r="L1387"/>
  <c r="M1387"/>
  <c r="J1388"/>
  <c r="K1388"/>
  <c r="L1388"/>
  <c r="M1388"/>
  <c r="J1389"/>
  <c r="K1389"/>
  <c r="L1389"/>
  <c r="M1389"/>
  <c r="J1390"/>
  <c r="K1390"/>
  <c r="L1390"/>
  <c r="M1390"/>
  <c r="J1391"/>
  <c r="K1391"/>
  <c r="L1391"/>
  <c r="M1391"/>
  <c r="J1392"/>
  <c r="K1392"/>
  <c r="L1392"/>
  <c r="M1392"/>
  <c r="J1393"/>
  <c r="K1393"/>
  <c r="L1393"/>
  <c r="M1393"/>
  <c r="J1394"/>
  <c r="K1394"/>
  <c r="L1394"/>
  <c r="M1394"/>
  <c r="J1395"/>
  <c r="K1395"/>
  <c r="L1395"/>
  <c r="M1395"/>
  <c r="J1396"/>
  <c r="K1396"/>
  <c r="L1396"/>
  <c r="M1396"/>
  <c r="J1397"/>
  <c r="K1397"/>
  <c r="L1397"/>
  <c r="M1397"/>
  <c r="J1398"/>
  <c r="K1398"/>
  <c r="L1398"/>
  <c r="M1398"/>
  <c r="J1399"/>
  <c r="K1399"/>
  <c r="L1399"/>
  <c r="M1399"/>
  <c r="J1400"/>
  <c r="K1400"/>
  <c r="L1400"/>
  <c r="M1400"/>
  <c r="J1401"/>
  <c r="K1401"/>
  <c r="L1401"/>
  <c r="M1401"/>
  <c r="J1402"/>
  <c r="K1402"/>
  <c r="L1402"/>
  <c r="M1402"/>
  <c r="J1403"/>
  <c r="K1403"/>
  <c r="L1403"/>
  <c r="M1403"/>
  <c r="J1404"/>
  <c r="K1404"/>
  <c r="L1404"/>
  <c r="M1404"/>
  <c r="J1405"/>
  <c r="K1405"/>
  <c r="L1405"/>
  <c r="M1405"/>
  <c r="J1406"/>
  <c r="K1406"/>
  <c r="L1406"/>
  <c r="M1406"/>
  <c r="J1407"/>
  <c r="K1407"/>
  <c r="L1407"/>
  <c r="M1407"/>
  <c r="J1408"/>
  <c r="K1408"/>
  <c r="L1408"/>
  <c r="M1408"/>
  <c r="J1409"/>
  <c r="K1409"/>
  <c r="L1409"/>
  <c r="M1409"/>
  <c r="J1410"/>
  <c r="K1410"/>
  <c r="L1410"/>
  <c r="M1410"/>
  <c r="J1411"/>
  <c r="K1411"/>
  <c r="L1411"/>
  <c r="M1411"/>
  <c r="J1412"/>
  <c r="K1412"/>
  <c r="L1412"/>
  <c r="M1412"/>
  <c r="J1413"/>
  <c r="K1413"/>
  <c r="L1413"/>
  <c r="M1413"/>
  <c r="J1414"/>
  <c r="K1414"/>
  <c r="L1414"/>
  <c r="M1414"/>
  <c r="J1415"/>
  <c r="K1415"/>
  <c r="L1415"/>
  <c r="M1415"/>
  <c r="J1416"/>
  <c r="K1416"/>
  <c r="L1416"/>
  <c r="M1416"/>
  <c r="J1417"/>
  <c r="K1417"/>
  <c r="L1417"/>
  <c r="M1417"/>
  <c r="J1418"/>
  <c r="K1418"/>
  <c r="L1418"/>
  <c r="M1418"/>
  <c r="J1419"/>
  <c r="K1419"/>
  <c r="L1419"/>
  <c r="M1419"/>
  <c r="J1420"/>
  <c r="K1420"/>
  <c r="L1420"/>
  <c r="M1420"/>
  <c r="J1421"/>
  <c r="K1421"/>
  <c r="L1421"/>
  <c r="M1421"/>
  <c r="J1422"/>
  <c r="K1422"/>
  <c r="L1422"/>
  <c r="M1422"/>
  <c r="J1423"/>
  <c r="K1423"/>
  <c r="L1423"/>
  <c r="M1423"/>
  <c r="J1424"/>
  <c r="K1424"/>
  <c r="L1424"/>
  <c r="M1424"/>
  <c r="J1425"/>
  <c r="K1425"/>
  <c r="L1425"/>
  <c r="M1425"/>
  <c r="J1426"/>
  <c r="K1426"/>
  <c r="L1426"/>
  <c r="M1426"/>
  <c r="J1427"/>
  <c r="K1427"/>
  <c r="L1427"/>
  <c r="M1427"/>
  <c r="J1428"/>
  <c r="K1428"/>
  <c r="L1428"/>
  <c r="M1428"/>
  <c r="J1429"/>
  <c r="K1429"/>
  <c r="L1429"/>
  <c r="M1429"/>
  <c r="J1430"/>
  <c r="K1430"/>
  <c r="L1430"/>
  <c r="M1430"/>
  <c r="J1431"/>
  <c r="K1431"/>
  <c r="L1431"/>
  <c r="M1431"/>
  <c r="J1432"/>
  <c r="K1432"/>
  <c r="L1432"/>
  <c r="M1432"/>
  <c r="J1433"/>
  <c r="K1433"/>
  <c r="L1433"/>
  <c r="M1433"/>
  <c r="J1434"/>
  <c r="K1434"/>
  <c r="L1434"/>
  <c r="M1434"/>
  <c r="J1435"/>
  <c r="K1435"/>
  <c r="L1435"/>
  <c r="M1435"/>
  <c r="J1436"/>
  <c r="K1436"/>
  <c r="L1436"/>
  <c r="M1436"/>
  <c r="J1437"/>
  <c r="K1437"/>
  <c r="L1437"/>
  <c r="M1437"/>
  <c r="J1438"/>
  <c r="K1438"/>
  <c r="L1438"/>
  <c r="M1438"/>
  <c r="M1348"/>
  <c r="L1348"/>
  <c r="K1348"/>
  <c r="J1348"/>
  <c r="M1347"/>
  <c r="L1347"/>
  <c r="K1347"/>
  <c r="J1347"/>
  <c r="M1346"/>
  <c r="L1346"/>
  <c r="K1346"/>
  <c r="J1346"/>
  <c r="M1345"/>
  <c r="L1345"/>
  <c r="K1345"/>
  <c r="J1345"/>
  <c r="M1344"/>
  <c r="L1344"/>
  <c r="K1344"/>
  <c r="J1344"/>
  <c r="M1343"/>
  <c r="L1343"/>
  <c r="K1343"/>
  <c r="J1343"/>
  <c r="M1342"/>
  <c r="L1342"/>
  <c r="K1342"/>
  <c r="J1342"/>
  <c r="M1341"/>
  <c r="L1341"/>
  <c r="K1341"/>
  <c r="J1341"/>
  <c r="M1340"/>
  <c r="L1340"/>
  <c r="K1340"/>
  <c r="J1340"/>
  <c r="M1339"/>
  <c r="L1339"/>
  <c r="K1339"/>
  <c r="J1339"/>
  <c r="M1338"/>
  <c r="L1338"/>
  <c r="K1338"/>
  <c r="J1338"/>
  <c r="M1337"/>
  <c r="L1337"/>
  <c r="K1337"/>
  <c r="J1337"/>
  <c r="M1336"/>
  <c r="L1336"/>
  <c r="K1336"/>
  <c r="J1336"/>
  <c r="M1335"/>
  <c r="L1335"/>
  <c r="K1335"/>
  <c r="J1335"/>
  <c r="M1334"/>
  <c r="L1334"/>
  <c r="K1334"/>
  <c r="J1334"/>
  <c r="M1333"/>
  <c r="L1333"/>
  <c r="K1333"/>
  <c r="J1333"/>
  <c r="M1332"/>
  <c r="L1332"/>
  <c r="K1332"/>
  <c r="J1332"/>
  <c r="M1331"/>
  <c r="L1331"/>
  <c r="K1331"/>
  <c r="J1331"/>
  <c r="M1330"/>
  <c r="L1330"/>
  <c r="K1330"/>
  <c r="J1330"/>
  <c r="M1329"/>
  <c r="L1329"/>
  <c r="K1329"/>
  <c r="J1329"/>
  <c r="M1328"/>
  <c r="L1328"/>
  <c r="K1328"/>
  <c r="J1328"/>
  <c r="M1327"/>
  <c r="L1327"/>
  <c r="K1327"/>
  <c r="J1327"/>
  <c r="M1326"/>
  <c r="L1326"/>
  <c r="K1326"/>
  <c r="J1326"/>
  <c r="M1325"/>
  <c r="L1325"/>
  <c r="K1325"/>
  <c r="J1325"/>
  <c r="M1324"/>
  <c r="L1324"/>
  <c r="K1324"/>
  <c r="J1324"/>
  <c r="M1323"/>
  <c r="L1323"/>
  <c r="K1323"/>
  <c r="J1323"/>
  <c r="M1322"/>
  <c r="L1322"/>
  <c r="K1322"/>
  <c r="J1322"/>
  <c r="M1321"/>
  <c r="L1321"/>
  <c r="K1321"/>
  <c r="J1321"/>
  <c r="M1320"/>
  <c r="L1320"/>
  <c r="K1320"/>
  <c r="J1320"/>
  <c r="M1319"/>
  <c r="L1319"/>
  <c r="K1319"/>
  <c r="J1319"/>
  <c r="M1318"/>
  <c r="L1318"/>
  <c r="K1318"/>
  <c r="J1318"/>
  <c r="M1317"/>
  <c r="L1317"/>
  <c r="K1317"/>
  <c r="J1317"/>
  <c r="M1316"/>
  <c r="L1316"/>
  <c r="K1316"/>
  <c r="J1316"/>
  <c r="M1315"/>
  <c r="L1315"/>
  <c r="K1315"/>
  <c r="J1315"/>
  <c r="M1314"/>
  <c r="L1314"/>
  <c r="K1314"/>
  <c r="J1314"/>
  <c r="M1313"/>
  <c r="L1313"/>
  <c r="K1313"/>
  <c r="J1313"/>
  <c r="M1312"/>
  <c r="L1312"/>
  <c r="K1312"/>
  <c r="J1312"/>
  <c r="M1311"/>
  <c r="L1311"/>
  <c r="K1311"/>
  <c r="J1311"/>
  <c r="M1310"/>
  <c r="L1310"/>
  <c r="K1310"/>
  <c r="J1310"/>
  <c r="M1309"/>
  <c r="L1309"/>
  <c r="K1309"/>
  <c r="J1309"/>
  <c r="J1269"/>
  <c r="K1269"/>
  <c r="L1269"/>
  <c r="M1269"/>
  <c r="J1270"/>
  <c r="K1270"/>
  <c r="L1270"/>
  <c r="M1270"/>
  <c r="J1271"/>
  <c r="K1271"/>
  <c r="L1271"/>
  <c r="M1271"/>
  <c r="J1272"/>
  <c r="K1272"/>
  <c r="L1272"/>
  <c r="M1272"/>
  <c r="J1273"/>
  <c r="K1273"/>
  <c r="L1273"/>
  <c r="M1273"/>
  <c r="J1274"/>
  <c r="K1274"/>
  <c r="L1274"/>
  <c r="M1274"/>
  <c r="J1275"/>
  <c r="K1275"/>
  <c r="L1275"/>
  <c r="M1275"/>
  <c r="J1276"/>
  <c r="K1276"/>
  <c r="L1276"/>
  <c r="M1276"/>
  <c r="J1277"/>
  <c r="K1277"/>
  <c r="L1277"/>
  <c r="M1277"/>
  <c r="J1278"/>
  <c r="K1278"/>
  <c r="L1278"/>
  <c r="M1278"/>
  <c r="J1279"/>
  <c r="K1279"/>
  <c r="L1279"/>
  <c r="M1279"/>
  <c r="J1280"/>
  <c r="K1280"/>
  <c r="L1280"/>
  <c r="M1280"/>
  <c r="J1281"/>
  <c r="K1281"/>
  <c r="L1281"/>
  <c r="M1281"/>
  <c r="J1282"/>
  <c r="K1282"/>
  <c r="L1282"/>
  <c r="M1282"/>
  <c r="J1283"/>
  <c r="K1283"/>
  <c r="L1283"/>
  <c r="M1283"/>
  <c r="J1284"/>
  <c r="K1284"/>
  <c r="L1284"/>
  <c r="M1284"/>
  <c r="J1285"/>
  <c r="K1285"/>
  <c r="L1285"/>
  <c r="M1285"/>
  <c r="J1286"/>
  <c r="K1286"/>
  <c r="L1286"/>
  <c r="M1286"/>
  <c r="J1287"/>
  <c r="K1287"/>
  <c r="L1287"/>
  <c r="M1287"/>
  <c r="J1288"/>
  <c r="K1288"/>
  <c r="L1288"/>
  <c r="M1288"/>
  <c r="J1289"/>
  <c r="K1289"/>
  <c r="L1289"/>
  <c r="M1289"/>
  <c r="J1290"/>
  <c r="K1290"/>
  <c r="L1290"/>
  <c r="M1290"/>
  <c r="J1291"/>
  <c r="K1291"/>
  <c r="L1291"/>
  <c r="M1291"/>
  <c r="J1292"/>
  <c r="K1292"/>
  <c r="L1292"/>
  <c r="M1292"/>
  <c r="J1293"/>
  <c r="K1293"/>
  <c r="L1293"/>
  <c r="M1293"/>
  <c r="J1294"/>
  <c r="K1294"/>
  <c r="L1294"/>
  <c r="M1294"/>
  <c r="J1295"/>
  <c r="K1295"/>
  <c r="L1295"/>
  <c r="M1295"/>
  <c r="J1296"/>
  <c r="K1296"/>
  <c r="L1296"/>
  <c r="M1296"/>
  <c r="J1297"/>
  <c r="K1297"/>
  <c r="L1297"/>
  <c r="M1297"/>
  <c r="J1298"/>
  <c r="K1298"/>
  <c r="L1298"/>
  <c r="M1298"/>
  <c r="J1299"/>
  <c r="K1299"/>
  <c r="L1299"/>
  <c r="M1299"/>
  <c r="J1300"/>
  <c r="K1300"/>
  <c r="L1300"/>
  <c r="M1300"/>
  <c r="J1301"/>
  <c r="K1301"/>
  <c r="L1301"/>
  <c r="M1301"/>
  <c r="J1302"/>
  <c r="K1302"/>
  <c r="L1302"/>
  <c r="M1302"/>
  <c r="J1303"/>
  <c r="K1303"/>
  <c r="L1303"/>
  <c r="M1303"/>
  <c r="J1304"/>
  <c r="K1304"/>
  <c r="L1304"/>
  <c r="M1304"/>
  <c r="J1305"/>
  <c r="K1305"/>
  <c r="L1305"/>
  <c r="M1305"/>
  <c r="J1306"/>
  <c r="K1306"/>
  <c r="L1306"/>
  <c r="M1306"/>
  <c r="M1268"/>
  <c r="L1268"/>
  <c r="K1268"/>
  <c r="J1268"/>
  <c r="M1267"/>
  <c r="L1267"/>
  <c r="K1267"/>
  <c r="J1267"/>
  <c r="J1231"/>
  <c r="K1231"/>
  <c r="L1231"/>
  <c r="M1231"/>
  <c r="J1232"/>
  <c r="K1232"/>
  <c r="L1232"/>
  <c r="M1232"/>
  <c r="J1233"/>
  <c r="K1233"/>
  <c r="L1233"/>
  <c r="M1233"/>
  <c r="J1234"/>
  <c r="K1234"/>
  <c r="L1234"/>
  <c r="M1234"/>
  <c r="J1235"/>
  <c r="K1235"/>
  <c r="L1235"/>
  <c r="M1235"/>
  <c r="J1236"/>
  <c r="K1236"/>
  <c r="L1236"/>
  <c r="M1236"/>
  <c r="J1237"/>
  <c r="K1237"/>
  <c r="L1237"/>
  <c r="M1237"/>
  <c r="J1238"/>
  <c r="K1238"/>
  <c r="L1238"/>
  <c r="M1238"/>
  <c r="J1239"/>
  <c r="K1239"/>
  <c r="L1239"/>
  <c r="M1239"/>
  <c r="J1240"/>
  <c r="K1240"/>
  <c r="L1240"/>
  <c r="M1240"/>
  <c r="J1241"/>
  <c r="K1241"/>
  <c r="L1241"/>
  <c r="M1241"/>
  <c r="J1242"/>
  <c r="K1242"/>
  <c r="L1242"/>
  <c r="M1242"/>
  <c r="J1243"/>
  <c r="K1243"/>
  <c r="L1243"/>
  <c r="M1243"/>
  <c r="J1244"/>
  <c r="K1244"/>
  <c r="L1244"/>
  <c r="M1244"/>
  <c r="J1245"/>
  <c r="K1245"/>
  <c r="L1245"/>
  <c r="M1245"/>
  <c r="J1246"/>
  <c r="K1246"/>
  <c r="L1246"/>
  <c r="M1246"/>
  <c r="J1247"/>
  <c r="K1247"/>
  <c r="L1247"/>
  <c r="M1247"/>
  <c r="J1248"/>
  <c r="K1248"/>
  <c r="L1248"/>
  <c r="M1248"/>
  <c r="J1249"/>
  <c r="K1249"/>
  <c r="L1249"/>
  <c r="M1249"/>
  <c r="J1250"/>
  <c r="K1250"/>
  <c r="L1250"/>
  <c r="M1250"/>
  <c r="J1251"/>
  <c r="K1251"/>
  <c r="L1251"/>
  <c r="M1251"/>
  <c r="J1252"/>
  <c r="K1252"/>
  <c r="L1252"/>
  <c r="M1252"/>
  <c r="J1253"/>
  <c r="K1253"/>
  <c r="L1253"/>
  <c r="M1253"/>
  <c r="J1254"/>
  <c r="K1254"/>
  <c r="L1254"/>
  <c r="M1254"/>
  <c r="J1255"/>
  <c r="K1255"/>
  <c r="L1255"/>
  <c r="M1255"/>
  <c r="J1256"/>
  <c r="K1256"/>
  <c r="L1256"/>
  <c r="M1256"/>
  <c r="J1257"/>
  <c r="K1257"/>
  <c r="L1257"/>
  <c r="M1257"/>
  <c r="J1258"/>
  <c r="K1258"/>
  <c r="L1258"/>
  <c r="M1258"/>
  <c r="J1259"/>
  <c r="K1259"/>
  <c r="L1259"/>
  <c r="M1259"/>
  <c r="J1260"/>
  <c r="K1260"/>
  <c r="L1260"/>
  <c r="M1260"/>
  <c r="J1261"/>
  <c r="K1261"/>
  <c r="L1261"/>
  <c r="M1261"/>
  <c r="J1262"/>
  <c r="K1262"/>
  <c r="L1262"/>
  <c r="M1262"/>
  <c r="J1263"/>
  <c r="K1263"/>
  <c r="L1263"/>
  <c r="M1263"/>
  <c r="J1264"/>
  <c r="K1264"/>
  <c r="L1264"/>
  <c r="M1264"/>
  <c r="M1230"/>
  <c r="L1230"/>
  <c r="K1230"/>
  <c r="J1230"/>
  <c r="M1229"/>
  <c r="L1229"/>
  <c r="K1229"/>
  <c r="J1229"/>
  <c r="J1108"/>
  <c r="K1108"/>
  <c r="L1108"/>
  <c r="M1108"/>
  <c r="J1109"/>
  <c r="K1109"/>
  <c r="L1109"/>
  <c r="M1109"/>
  <c r="J1110"/>
  <c r="K1110"/>
  <c r="L1110"/>
  <c r="M1110"/>
  <c r="J1111"/>
  <c r="K1111"/>
  <c r="L1111"/>
  <c r="M1111"/>
  <c r="J1112"/>
  <c r="K1112"/>
  <c r="L1112"/>
  <c r="M1112"/>
  <c r="J1113"/>
  <c r="K1113"/>
  <c r="L1113"/>
  <c r="M1113"/>
  <c r="J1114"/>
  <c r="K1114"/>
  <c r="L1114"/>
  <c r="M1114"/>
  <c r="J1115"/>
  <c r="K1115"/>
  <c r="L1115"/>
  <c r="M1115"/>
  <c r="J1116"/>
  <c r="K1116"/>
  <c r="L1116"/>
  <c r="M1116"/>
  <c r="J1117"/>
  <c r="K1117"/>
  <c r="L1117"/>
  <c r="M1117"/>
  <c r="J1118"/>
  <c r="K1118"/>
  <c r="L1118"/>
  <c r="M1118"/>
  <c r="J1119"/>
  <c r="K1119"/>
  <c r="L1119"/>
  <c r="M1119"/>
  <c r="J1120"/>
  <c r="K1120"/>
  <c r="L1120"/>
  <c r="M1120"/>
  <c r="J1121"/>
  <c r="K1121"/>
  <c r="L1121"/>
  <c r="M1121"/>
  <c r="J1122"/>
  <c r="K1122"/>
  <c r="L1122"/>
  <c r="M1122"/>
  <c r="J1123"/>
  <c r="K1123"/>
  <c r="L1123"/>
  <c r="M1123"/>
  <c r="J1124"/>
  <c r="K1124"/>
  <c r="L1124"/>
  <c r="M1124"/>
  <c r="J1125"/>
  <c r="K1125"/>
  <c r="L1125"/>
  <c r="M1125"/>
  <c r="J1126"/>
  <c r="K1126"/>
  <c r="L1126"/>
  <c r="M1126"/>
  <c r="J1127"/>
  <c r="K1127"/>
  <c r="L1127"/>
  <c r="M1127"/>
  <c r="J1128"/>
  <c r="K1128"/>
  <c r="L1128"/>
  <c r="M1128"/>
  <c r="J1129"/>
  <c r="K1129"/>
  <c r="L1129"/>
  <c r="M1129"/>
  <c r="J1130"/>
  <c r="K1130"/>
  <c r="L1130"/>
  <c r="M1130"/>
  <c r="J1131"/>
  <c r="K1131"/>
  <c r="L1131"/>
  <c r="M1131"/>
  <c r="J1132"/>
  <c r="K1132"/>
  <c r="L1132"/>
  <c r="M1132"/>
  <c r="J1133"/>
  <c r="K1133"/>
  <c r="L1133"/>
  <c r="M1133"/>
  <c r="J1134"/>
  <c r="K1134"/>
  <c r="L1134"/>
  <c r="M1134"/>
  <c r="J1135"/>
  <c r="K1135"/>
  <c r="L1135"/>
  <c r="M1135"/>
  <c r="J1136"/>
  <c r="K1136"/>
  <c r="L1136"/>
  <c r="M1136"/>
  <c r="J1137"/>
  <c r="K1137"/>
  <c r="L1137"/>
  <c r="M1137"/>
  <c r="J1138"/>
  <c r="K1138"/>
  <c r="L1138"/>
  <c r="M1138"/>
  <c r="J1139"/>
  <c r="K1139"/>
  <c r="L1139"/>
  <c r="M1139"/>
  <c r="J1140"/>
  <c r="K1140"/>
  <c r="L1140"/>
  <c r="M1140"/>
  <c r="J1141"/>
  <c r="K1141"/>
  <c r="L1141"/>
  <c r="M1141"/>
  <c r="J1142"/>
  <c r="K1142"/>
  <c r="L1142"/>
  <c r="M1142"/>
  <c r="J1143"/>
  <c r="K1143"/>
  <c r="L1143"/>
  <c r="M1143"/>
  <c r="J1144"/>
  <c r="K1144"/>
  <c r="L1144"/>
  <c r="M1144"/>
  <c r="J1145"/>
  <c r="K1145"/>
  <c r="L1145"/>
  <c r="M1145"/>
  <c r="J1146"/>
  <c r="K1146"/>
  <c r="L1146"/>
  <c r="M1146"/>
  <c r="J1147"/>
  <c r="K1147"/>
  <c r="L1147"/>
  <c r="M1147"/>
  <c r="J1148"/>
  <c r="K1148"/>
  <c r="L1148"/>
  <c r="M1148"/>
  <c r="J1149"/>
  <c r="K1149"/>
  <c r="L1149"/>
  <c r="M1149"/>
  <c r="J1150"/>
  <c r="K1150"/>
  <c r="L1150"/>
  <c r="M1150"/>
  <c r="J1151"/>
  <c r="K1151"/>
  <c r="L1151"/>
  <c r="M1151"/>
  <c r="J1152"/>
  <c r="K1152"/>
  <c r="L1152"/>
  <c r="M1152"/>
  <c r="J1153"/>
  <c r="K1153"/>
  <c r="L1153"/>
  <c r="M1153"/>
  <c r="J1154"/>
  <c r="K1154"/>
  <c r="L1154"/>
  <c r="M1154"/>
  <c r="J1155"/>
  <c r="K1155"/>
  <c r="L1155"/>
  <c r="M1155"/>
  <c r="J1156"/>
  <c r="K1156"/>
  <c r="L1156"/>
  <c r="M1156"/>
  <c r="J1157"/>
  <c r="K1157"/>
  <c r="L1157"/>
  <c r="M1157"/>
  <c r="J1158"/>
  <c r="K1158"/>
  <c r="L1158"/>
  <c r="M1158"/>
  <c r="J1159"/>
  <c r="K1159"/>
  <c r="L1159"/>
  <c r="M1159"/>
  <c r="J1160"/>
  <c r="K1160"/>
  <c r="L1160"/>
  <c r="M1160"/>
  <c r="J1161"/>
  <c r="K1161"/>
  <c r="L1161"/>
  <c r="M1161"/>
  <c r="J1162"/>
  <c r="K1162"/>
  <c r="L1162"/>
  <c r="M1162"/>
  <c r="J1163"/>
  <c r="K1163"/>
  <c r="L1163"/>
  <c r="M1163"/>
  <c r="J1164"/>
  <c r="K1164"/>
  <c r="L1164"/>
  <c r="M1164"/>
  <c r="J1165"/>
  <c r="K1165"/>
  <c r="L1165"/>
  <c r="M1165"/>
  <c r="J1166"/>
  <c r="K1166"/>
  <c r="L1166"/>
  <c r="M1166"/>
  <c r="J1167"/>
  <c r="K1167"/>
  <c r="L1167"/>
  <c r="M1167"/>
  <c r="J1168"/>
  <c r="K1168"/>
  <c r="L1168"/>
  <c r="M1168"/>
  <c r="J1169"/>
  <c r="K1169"/>
  <c r="L1169"/>
  <c r="M1169"/>
  <c r="J1170"/>
  <c r="K1170"/>
  <c r="L1170"/>
  <c r="M1170"/>
  <c r="J1171"/>
  <c r="K1171"/>
  <c r="L1171"/>
  <c r="M1171"/>
  <c r="J1172"/>
  <c r="K1172"/>
  <c r="L1172"/>
  <c r="M1172"/>
  <c r="J1173"/>
  <c r="K1173"/>
  <c r="L1173"/>
  <c r="M1173"/>
  <c r="J1174"/>
  <c r="K1174"/>
  <c r="L1174"/>
  <c r="M1174"/>
  <c r="J1175"/>
  <c r="K1175"/>
  <c r="L1175"/>
  <c r="M1175"/>
  <c r="J1176"/>
  <c r="K1176"/>
  <c r="L1176"/>
  <c r="M1176"/>
  <c r="J1177"/>
  <c r="K1177"/>
  <c r="L1177"/>
  <c r="M1177"/>
  <c r="J1178"/>
  <c r="K1178"/>
  <c r="L1178"/>
  <c r="M1178"/>
  <c r="J1179"/>
  <c r="K1179"/>
  <c r="L1179"/>
  <c r="M1179"/>
  <c r="J1180"/>
  <c r="K1180"/>
  <c r="L1180"/>
  <c r="M1180"/>
  <c r="J1181"/>
  <c r="K1181"/>
  <c r="L1181"/>
  <c r="M1181"/>
  <c r="J1182"/>
  <c r="K1182"/>
  <c r="L1182"/>
  <c r="M1182"/>
  <c r="J1183"/>
  <c r="K1183"/>
  <c r="L1183"/>
  <c r="M1183"/>
  <c r="J1184"/>
  <c r="K1184"/>
  <c r="L1184"/>
  <c r="M1184"/>
  <c r="J1185"/>
  <c r="K1185"/>
  <c r="L1185"/>
  <c r="M1185"/>
  <c r="J1186"/>
  <c r="K1186"/>
  <c r="L1186"/>
  <c r="M1186"/>
  <c r="J1187"/>
  <c r="K1187"/>
  <c r="L1187"/>
  <c r="M1187"/>
  <c r="J1188"/>
  <c r="K1188"/>
  <c r="L1188"/>
  <c r="M1188"/>
  <c r="J1189"/>
  <c r="K1189"/>
  <c r="L1189"/>
  <c r="M1189"/>
  <c r="J1190"/>
  <c r="K1190"/>
  <c r="L1190"/>
  <c r="M1190"/>
  <c r="J1191"/>
  <c r="K1191"/>
  <c r="L1191"/>
  <c r="M1191"/>
  <c r="J1192"/>
  <c r="K1192"/>
  <c r="L1192"/>
  <c r="M1192"/>
  <c r="J1193"/>
  <c r="K1193"/>
  <c r="L1193"/>
  <c r="M1193"/>
  <c r="J1194"/>
  <c r="K1194"/>
  <c r="L1194"/>
  <c r="M1194"/>
  <c r="J1195"/>
  <c r="K1195"/>
  <c r="L1195"/>
  <c r="M1195"/>
  <c r="J1196"/>
  <c r="K1196"/>
  <c r="L1196"/>
  <c r="M1196"/>
  <c r="J1197"/>
  <c r="K1197"/>
  <c r="L1197"/>
  <c r="M1197"/>
  <c r="J1198"/>
  <c r="K1198"/>
  <c r="L1198"/>
  <c r="M1198"/>
  <c r="J1199"/>
  <c r="K1199"/>
  <c r="L1199"/>
  <c r="M1199"/>
  <c r="J1200"/>
  <c r="K1200"/>
  <c r="L1200"/>
  <c r="M1200"/>
  <c r="J1201"/>
  <c r="K1201"/>
  <c r="L1201"/>
  <c r="M1201"/>
  <c r="J1202"/>
  <c r="K1202"/>
  <c r="L1202"/>
  <c r="M1202"/>
  <c r="J1203"/>
  <c r="K1203"/>
  <c r="L1203"/>
  <c r="M1203"/>
  <c r="J1204"/>
  <c r="K1204"/>
  <c r="L1204"/>
  <c r="M1204"/>
  <c r="J1205"/>
  <c r="K1205"/>
  <c r="L1205"/>
  <c r="M1205"/>
  <c r="J1206"/>
  <c r="K1206"/>
  <c r="L1206"/>
  <c r="M1206"/>
  <c r="J1207"/>
  <c r="K1207"/>
  <c r="L1207"/>
  <c r="M1207"/>
  <c r="J1208"/>
  <c r="K1208"/>
  <c r="L1208"/>
  <c r="M1208"/>
  <c r="J1209"/>
  <c r="K1209"/>
  <c r="L1209"/>
  <c r="M1209"/>
  <c r="J1210"/>
  <c r="K1210"/>
  <c r="L1210"/>
  <c r="M1210"/>
  <c r="J1211"/>
  <c r="K1211"/>
  <c r="L1211"/>
  <c r="M1211"/>
  <c r="J1212"/>
  <c r="K1212"/>
  <c r="L1212"/>
  <c r="M1212"/>
  <c r="J1213"/>
  <c r="K1213"/>
  <c r="L1213"/>
  <c r="M1213"/>
  <c r="J1214"/>
  <c r="K1214"/>
  <c r="L1214"/>
  <c r="M1214"/>
  <c r="J1215"/>
  <c r="K1215"/>
  <c r="L1215"/>
  <c r="M1215"/>
  <c r="J1216"/>
  <c r="K1216"/>
  <c r="L1216"/>
  <c r="M1216"/>
  <c r="J1217"/>
  <c r="K1217"/>
  <c r="L1217"/>
  <c r="M1217"/>
  <c r="J1218"/>
  <c r="K1218"/>
  <c r="L1218"/>
  <c r="M1218"/>
  <c r="J1219"/>
  <c r="K1219"/>
  <c r="L1219"/>
  <c r="M1219"/>
  <c r="J1220"/>
  <c r="K1220"/>
  <c r="L1220"/>
  <c r="M1220"/>
  <c r="J1221"/>
  <c r="K1221"/>
  <c r="L1221"/>
  <c r="M1221"/>
  <c r="J1222"/>
  <c r="K1222"/>
  <c r="L1222"/>
  <c r="M1222"/>
  <c r="J1223"/>
  <c r="K1223"/>
  <c r="L1223"/>
  <c r="M1223"/>
  <c r="J1224"/>
  <c r="K1224"/>
  <c r="L1224"/>
  <c r="M1224"/>
  <c r="J1225"/>
  <c r="K1225"/>
  <c r="L1225"/>
  <c r="M1225"/>
  <c r="J1226"/>
  <c r="K1226"/>
  <c r="L1226"/>
  <c r="M1226"/>
  <c r="M1107"/>
  <c r="L1107"/>
  <c r="K1107"/>
  <c r="J1107"/>
  <c r="M1106"/>
  <c r="L1106"/>
  <c r="K1106"/>
  <c r="J1106"/>
  <c r="M1105"/>
  <c r="L1105"/>
  <c r="K1105"/>
  <c r="J1105"/>
  <c r="M1104"/>
  <c r="L1104"/>
  <c r="K1104"/>
  <c r="J1104"/>
  <c r="M1103"/>
  <c r="L1103"/>
  <c r="K1103"/>
  <c r="J1103"/>
  <c r="M1102"/>
  <c r="L1102"/>
  <c r="K1102"/>
  <c r="J1102"/>
  <c r="M1101"/>
  <c r="L1101"/>
  <c r="K1101"/>
  <c r="J1101"/>
  <c r="M1100"/>
  <c r="L1100"/>
  <c r="K1100"/>
  <c r="J1100"/>
  <c r="M1099"/>
  <c r="L1099"/>
  <c r="K1099"/>
  <c r="J1099"/>
  <c r="M1098"/>
  <c r="L1098"/>
  <c r="K1098"/>
  <c r="J1098"/>
  <c r="M1097"/>
  <c r="L1097"/>
  <c r="K1097"/>
  <c r="J1097"/>
  <c r="M1096"/>
  <c r="L1096"/>
  <c r="K1096"/>
  <c r="J1096"/>
  <c r="M1095"/>
  <c r="L1095"/>
  <c r="K1095"/>
  <c r="J1095"/>
  <c r="M1094"/>
  <c r="L1094"/>
  <c r="K1094"/>
  <c r="J1094"/>
  <c r="M1093"/>
  <c r="L1093"/>
  <c r="K1093"/>
  <c r="J1093"/>
  <c r="M1092"/>
  <c r="L1092"/>
  <c r="K1092"/>
  <c r="J1092"/>
  <c r="M1091"/>
  <c r="L1091"/>
  <c r="K1091"/>
  <c r="J1091"/>
  <c r="M1090"/>
  <c r="L1090"/>
  <c r="K1090"/>
  <c r="J1090"/>
  <c r="M1089"/>
  <c r="L1089"/>
  <c r="K1089"/>
  <c r="J1089"/>
  <c r="M1088"/>
  <c r="L1088"/>
  <c r="K1088"/>
  <c r="J1088"/>
  <c r="M1087"/>
  <c r="L1087"/>
  <c r="K1087"/>
  <c r="J1087"/>
  <c r="M1086"/>
  <c r="L1086"/>
  <c r="K1086"/>
  <c r="J1086"/>
  <c r="M1085"/>
  <c r="L1085"/>
  <c r="K1085"/>
  <c r="J1085"/>
  <c r="M1084"/>
  <c r="L1084"/>
  <c r="K1084"/>
  <c r="J1084"/>
  <c r="M1083"/>
  <c r="L1083"/>
  <c r="K1083"/>
  <c r="J1083"/>
  <c r="M1082"/>
  <c r="L1082"/>
  <c r="K1082"/>
  <c r="J1082"/>
  <c r="M1081"/>
  <c r="L1081"/>
  <c r="K1081"/>
  <c r="J1081"/>
  <c r="M1080"/>
  <c r="L1080"/>
  <c r="K1080"/>
  <c r="J1080"/>
  <c r="M1079"/>
  <c r="L1079"/>
  <c r="K1079"/>
  <c r="J1079"/>
  <c r="M1078"/>
  <c r="L1078"/>
  <c r="K1078"/>
  <c r="J1078"/>
  <c r="M1077"/>
  <c r="L1077"/>
  <c r="K1077"/>
  <c r="J1077"/>
  <c r="M1076"/>
  <c r="L1076"/>
  <c r="K1076"/>
  <c r="J1076"/>
  <c r="M1075"/>
  <c r="L1075"/>
  <c r="K1075"/>
  <c r="J1075"/>
  <c r="M1074"/>
  <c r="L1074"/>
  <c r="K1074"/>
  <c r="J1074"/>
  <c r="M1073"/>
  <c r="L1073"/>
  <c r="K1073"/>
  <c r="J1073"/>
  <c r="M1072"/>
  <c r="L1072"/>
  <c r="K1072"/>
  <c r="J1072"/>
  <c r="M1071"/>
  <c r="L1071"/>
  <c r="K1071"/>
  <c r="J1071"/>
  <c r="M1070"/>
  <c r="L1070"/>
  <c r="K1070"/>
  <c r="J1070"/>
  <c r="M1069"/>
  <c r="L1069"/>
  <c r="K1069"/>
  <c r="J1069"/>
  <c r="M1068"/>
  <c r="L1068"/>
  <c r="K1068"/>
  <c r="J1068"/>
  <c r="M1067"/>
  <c r="L1067"/>
  <c r="K1067"/>
  <c r="J1067"/>
  <c r="M1066"/>
  <c r="L1066"/>
  <c r="K1066"/>
  <c r="J1066"/>
  <c r="M1065"/>
  <c r="L1065"/>
  <c r="K1065"/>
  <c r="J1065"/>
  <c r="M1064"/>
  <c r="L1064"/>
  <c r="K1064"/>
  <c r="J1064"/>
  <c r="M1063"/>
  <c r="L1063"/>
  <c r="K1063"/>
  <c r="J1063"/>
  <c r="M1062"/>
  <c r="L1062"/>
  <c r="K1062"/>
  <c r="J1062"/>
  <c r="M1061"/>
  <c r="L1061"/>
  <c r="K1061"/>
  <c r="J1061"/>
  <c r="M1060"/>
  <c r="L1060"/>
  <c r="K1060"/>
  <c r="J1060"/>
  <c r="M1059"/>
  <c r="L1059"/>
  <c r="K1059"/>
  <c r="J1059"/>
  <c r="M1058"/>
  <c r="L1058"/>
  <c r="K1058"/>
  <c r="J1058"/>
  <c r="M1057"/>
  <c r="L1057"/>
  <c r="K1057"/>
  <c r="J1057"/>
  <c r="M1056"/>
  <c r="L1056"/>
  <c r="K1056"/>
  <c r="J1056"/>
  <c r="M1055"/>
  <c r="L1055"/>
  <c r="K1055"/>
  <c r="J1055"/>
  <c r="M1054"/>
  <c r="L1054"/>
  <c r="K1054"/>
  <c r="J1054"/>
  <c r="M1053"/>
  <c r="L1053"/>
  <c r="K1053"/>
  <c r="J1053"/>
  <c r="M1052"/>
  <c r="L1052"/>
  <c r="K1052"/>
  <c r="J1052"/>
  <c r="M1051"/>
  <c r="L1051"/>
  <c r="K1051"/>
  <c r="J1051"/>
  <c r="M1050"/>
  <c r="L1050"/>
  <c r="K1050"/>
  <c r="J1050"/>
  <c r="M1049"/>
  <c r="L1049"/>
  <c r="K1049"/>
  <c r="J1049"/>
  <c r="M1048"/>
  <c r="L1048"/>
  <c r="K1048"/>
  <c r="J1048"/>
  <c r="M1047"/>
  <c r="L1047"/>
  <c r="K1047"/>
  <c r="J1047"/>
  <c r="M1046"/>
  <c r="L1046"/>
  <c r="K1046"/>
  <c r="J1046"/>
  <c r="M1045"/>
  <c r="L1045"/>
  <c r="K1045"/>
  <c r="J1045"/>
  <c r="M1044"/>
  <c r="L1044"/>
  <c r="K1044"/>
  <c r="J1044"/>
  <c r="M1043"/>
  <c r="L1043"/>
  <c r="K1043"/>
  <c r="J1043"/>
  <c r="M1042"/>
  <c r="L1042"/>
  <c r="K1042"/>
  <c r="J1042"/>
  <c r="M1041"/>
  <c r="L1041"/>
  <c r="K1041"/>
  <c r="J1041"/>
  <c r="M1040"/>
  <c r="L1040"/>
  <c r="K1040"/>
  <c r="J1040"/>
  <c r="M1039"/>
  <c r="L1039"/>
  <c r="K1039"/>
  <c r="J1039"/>
  <c r="M1038"/>
  <c r="L1038"/>
  <c r="K1038"/>
  <c r="J1038"/>
  <c r="M1037"/>
  <c r="L1037"/>
  <c r="K1037"/>
  <c r="J1037"/>
  <c r="M1036"/>
  <c r="L1036"/>
  <c r="K1036"/>
  <c r="J1036"/>
  <c r="M1035"/>
  <c r="L1035"/>
  <c r="K1035"/>
  <c r="J1035"/>
  <c r="M1034"/>
  <c r="L1034"/>
  <c r="K1034"/>
  <c r="J1034"/>
  <c r="M1033"/>
  <c r="L1033"/>
  <c r="K1033"/>
  <c r="J1033"/>
  <c r="M1032"/>
  <c r="L1032"/>
  <c r="K1032"/>
  <c r="J1032"/>
  <c r="M1031"/>
  <c r="L1031"/>
  <c r="K1031"/>
  <c r="J1031"/>
  <c r="M1030"/>
  <c r="L1030"/>
  <c r="K1030"/>
  <c r="J1030"/>
  <c r="M1029"/>
  <c r="L1029"/>
  <c r="K1029"/>
  <c r="J1029"/>
  <c r="M1028"/>
  <c r="L1028"/>
  <c r="K1028"/>
  <c r="J1028"/>
  <c r="M1027"/>
  <c r="L1027"/>
  <c r="K1027"/>
  <c r="J1027"/>
  <c r="M1026"/>
  <c r="L1026"/>
  <c r="K1026"/>
  <c r="J1026"/>
  <c r="M1025"/>
  <c r="L1025"/>
  <c r="K1025"/>
  <c r="J1025"/>
  <c r="M1024"/>
  <c r="L1024"/>
  <c r="K1024"/>
  <c r="J1024"/>
  <c r="M1023"/>
  <c r="L1023"/>
  <c r="K1023"/>
  <c r="J1023"/>
  <c r="M1022"/>
  <c r="L1022"/>
  <c r="K1022"/>
  <c r="J1022"/>
  <c r="M1021"/>
  <c r="L1021"/>
  <c r="K1021"/>
  <c r="J1021"/>
  <c r="M1020"/>
  <c r="L1020"/>
  <c r="K1020"/>
  <c r="J1020"/>
  <c r="J932"/>
  <c r="K932"/>
  <c r="L932"/>
  <c r="M932"/>
  <c r="J933"/>
  <c r="K933"/>
  <c r="L933"/>
  <c r="M933"/>
  <c r="J934"/>
  <c r="K934"/>
  <c r="L934"/>
  <c r="M934"/>
  <c r="J935"/>
  <c r="K935"/>
  <c r="L935"/>
  <c r="M935"/>
  <c r="J936"/>
  <c r="K936"/>
  <c r="L936"/>
  <c r="M936"/>
  <c r="J937"/>
  <c r="K937"/>
  <c r="L937"/>
  <c r="M937"/>
  <c r="J938"/>
  <c r="K938"/>
  <c r="L938"/>
  <c r="M938"/>
  <c r="J939"/>
  <c r="K939"/>
  <c r="L939"/>
  <c r="M939"/>
  <c r="J940"/>
  <c r="K940"/>
  <c r="L940"/>
  <c r="M940"/>
  <c r="J941"/>
  <c r="K941"/>
  <c r="L941"/>
  <c r="M941"/>
  <c r="J942"/>
  <c r="K942"/>
  <c r="L942"/>
  <c r="M942"/>
  <c r="J943"/>
  <c r="K943"/>
  <c r="L943"/>
  <c r="M943"/>
  <c r="J944"/>
  <c r="K944"/>
  <c r="L944"/>
  <c r="M944"/>
  <c r="J945"/>
  <c r="K945"/>
  <c r="L945"/>
  <c r="M945"/>
  <c r="J946"/>
  <c r="K946"/>
  <c r="L946"/>
  <c r="M946"/>
  <c r="J947"/>
  <c r="K947"/>
  <c r="L947"/>
  <c r="M947"/>
  <c r="J948"/>
  <c r="K948"/>
  <c r="L948"/>
  <c r="M948"/>
  <c r="J949"/>
  <c r="K949"/>
  <c r="L949"/>
  <c r="M949"/>
  <c r="J950"/>
  <c r="K950"/>
  <c r="L950"/>
  <c r="M950"/>
  <c r="J951"/>
  <c r="K951"/>
  <c r="L951"/>
  <c r="M951"/>
  <c r="J952"/>
  <c r="K952"/>
  <c r="L952"/>
  <c r="M952"/>
  <c r="J953"/>
  <c r="K953"/>
  <c r="L953"/>
  <c r="M953"/>
  <c r="J954"/>
  <c r="K954"/>
  <c r="L954"/>
  <c r="M954"/>
  <c r="J955"/>
  <c r="K955"/>
  <c r="L955"/>
  <c r="M955"/>
  <c r="J956"/>
  <c r="K956"/>
  <c r="L956"/>
  <c r="M956"/>
  <c r="J957"/>
  <c r="K957"/>
  <c r="L957"/>
  <c r="M957"/>
  <c r="J958"/>
  <c r="K958"/>
  <c r="L958"/>
  <c r="M958"/>
  <c r="J959"/>
  <c r="K959"/>
  <c r="L959"/>
  <c r="M959"/>
  <c r="J960"/>
  <c r="K960"/>
  <c r="L960"/>
  <c r="M960"/>
  <c r="J961"/>
  <c r="K961"/>
  <c r="L961"/>
  <c r="M961"/>
  <c r="J962"/>
  <c r="K962"/>
  <c r="L962"/>
  <c r="M962"/>
  <c r="J963"/>
  <c r="K963"/>
  <c r="L963"/>
  <c r="M963"/>
  <c r="J964"/>
  <c r="K964"/>
  <c r="L964"/>
  <c r="M964"/>
  <c r="J965"/>
  <c r="K965"/>
  <c r="L965"/>
  <c r="M965"/>
  <c r="J966"/>
  <c r="K966"/>
  <c r="L966"/>
  <c r="M966"/>
  <c r="J967"/>
  <c r="K967"/>
  <c r="L967"/>
  <c r="M967"/>
  <c r="J968"/>
  <c r="K968"/>
  <c r="L968"/>
  <c r="M968"/>
  <c r="J969"/>
  <c r="K969"/>
  <c r="L969"/>
  <c r="M969"/>
  <c r="J970"/>
  <c r="K970"/>
  <c r="L970"/>
  <c r="M970"/>
  <c r="J971"/>
  <c r="K971"/>
  <c r="L971"/>
  <c r="M971"/>
  <c r="J972"/>
  <c r="K972"/>
  <c r="L972"/>
  <c r="M972"/>
  <c r="J973"/>
  <c r="K973"/>
  <c r="L973"/>
  <c r="M973"/>
  <c r="J974"/>
  <c r="K974"/>
  <c r="L974"/>
  <c r="M974"/>
  <c r="J975"/>
  <c r="K975"/>
  <c r="L975"/>
  <c r="M975"/>
  <c r="J976"/>
  <c r="K976"/>
  <c r="L976"/>
  <c r="M976"/>
  <c r="J977"/>
  <c r="K977"/>
  <c r="L977"/>
  <c r="M977"/>
  <c r="J978"/>
  <c r="K978"/>
  <c r="L978"/>
  <c r="M978"/>
  <c r="J979"/>
  <c r="K979"/>
  <c r="L979"/>
  <c r="M979"/>
  <c r="J980"/>
  <c r="K980"/>
  <c r="L980"/>
  <c r="M980"/>
  <c r="J981"/>
  <c r="K981"/>
  <c r="L981"/>
  <c r="M981"/>
  <c r="J982"/>
  <c r="K982"/>
  <c r="L982"/>
  <c r="M982"/>
  <c r="J983"/>
  <c r="K983"/>
  <c r="L983"/>
  <c r="M983"/>
  <c r="J984"/>
  <c r="K984"/>
  <c r="L984"/>
  <c r="M984"/>
  <c r="J985"/>
  <c r="K985"/>
  <c r="L985"/>
  <c r="M985"/>
  <c r="J986"/>
  <c r="K986"/>
  <c r="L986"/>
  <c r="M986"/>
  <c r="J987"/>
  <c r="K987"/>
  <c r="L987"/>
  <c r="M987"/>
  <c r="J988"/>
  <c r="K988"/>
  <c r="L988"/>
  <c r="M988"/>
  <c r="J989"/>
  <c r="K989"/>
  <c r="L989"/>
  <c r="M989"/>
  <c r="J990"/>
  <c r="K990"/>
  <c r="L990"/>
  <c r="M990"/>
  <c r="J991"/>
  <c r="K991"/>
  <c r="L991"/>
  <c r="M991"/>
  <c r="J992"/>
  <c r="K992"/>
  <c r="L992"/>
  <c r="M992"/>
  <c r="J993"/>
  <c r="K993"/>
  <c r="L993"/>
  <c r="M993"/>
  <c r="J994"/>
  <c r="K994"/>
  <c r="L994"/>
  <c r="M994"/>
  <c r="J995"/>
  <c r="K995"/>
  <c r="L995"/>
  <c r="M995"/>
  <c r="J996"/>
  <c r="K996"/>
  <c r="L996"/>
  <c r="M996"/>
  <c r="J997"/>
  <c r="K997"/>
  <c r="L997"/>
  <c r="M997"/>
  <c r="J998"/>
  <c r="K998"/>
  <c r="L998"/>
  <c r="M998"/>
  <c r="J999"/>
  <c r="K999"/>
  <c r="L999"/>
  <c r="M999"/>
  <c r="J1000"/>
  <c r="K1000"/>
  <c r="L1000"/>
  <c r="M1000"/>
  <c r="J1001"/>
  <c r="K1001"/>
  <c r="L1001"/>
  <c r="M1001"/>
  <c r="J1002"/>
  <c r="K1002"/>
  <c r="L1002"/>
  <c r="M1002"/>
  <c r="J1003"/>
  <c r="K1003"/>
  <c r="L1003"/>
  <c r="M1003"/>
  <c r="J1004"/>
  <c r="K1004"/>
  <c r="L1004"/>
  <c r="M1004"/>
  <c r="J1005"/>
  <c r="K1005"/>
  <c r="L1005"/>
  <c r="M1005"/>
  <c r="J1006"/>
  <c r="K1006"/>
  <c r="L1006"/>
  <c r="M1006"/>
  <c r="J1007"/>
  <c r="K1007"/>
  <c r="L1007"/>
  <c r="M1007"/>
  <c r="J1008"/>
  <c r="K1008"/>
  <c r="L1008"/>
  <c r="M1008"/>
  <c r="J1009"/>
  <c r="K1009"/>
  <c r="L1009"/>
  <c r="M1009"/>
  <c r="J1010"/>
  <c r="K1010"/>
  <c r="L1010"/>
  <c r="M1010"/>
  <c r="J1011"/>
  <c r="K1011"/>
  <c r="L1011"/>
  <c r="M1011"/>
  <c r="J1012"/>
  <c r="K1012"/>
  <c r="L1012"/>
  <c r="M1012"/>
  <c r="J1013"/>
  <c r="K1013"/>
  <c r="L1013"/>
  <c r="M1013"/>
  <c r="J1014"/>
  <c r="K1014"/>
  <c r="L1014"/>
  <c r="M1014"/>
  <c r="J1015"/>
  <c r="K1015"/>
  <c r="L1015"/>
  <c r="M1015"/>
  <c r="J1016"/>
  <c r="K1016"/>
  <c r="L1016"/>
  <c r="M1016"/>
  <c r="J1017"/>
  <c r="K1017"/>
  <c r="L1017"/>
  <c r="M1017"/>
  <c r="M931"/>
  <c r="L931"/>
  <c r="K931"/>
  <c r="J931"/>
  <c r="M930"/>
  <c r="L930"/>
  <c r="K930"/>
  <c r="J930"/>
  <c r="J811"/>
  <c r="K811"/>
  <c r="L811"/>
  <c r="M811"/>
  <c r="J812"/>
  <c r="K812"/>
  <c r="L812"/>
  <c r="M812"/>
  <c r="J813"/>
  <c r="K813"/>
  <c r="L813"/>
  <c r="M813"/>
  <c r="J814"/>
  <c r="K814"/>
  <c r="L814"/>
  <c r="M814"/>
  <c r="J815"/>
  <c r="K815"/>
  <c r="L815"/>
  <c r="M815"/>
  <c r="J816"/>
  <c r="K816"/>
  <c r="L816"/>
  <c r="M816"/>
  <c r="J817"/>
  <c r="K817"/>
  <c r="L817"/>
  <c r="M817"/>
  <c r="J818"/>
  <c r="K818"/>
  <c r="L818"/>
  <c r="M818"/>
  <c r="J819"/>
  <c r="K819"/>
  <c r="L819"/>
  <c r="M819"/>
  <c r="J820"/>
  <c r="K820"/>
  <c r="L820"/>
  <c r="M820"/>
  <c r="J821"/>
  <c r="K821"/>
  <c r="L821"/>
  <c r="M821"/>
  <c r="J822"/>
  <c r="K822"/>
  <c r="L822"/>
  <c r="M822"/>
  <c r="J823"/>
  <c r="K823"/>
  <c r="L823"/>
  <c r="M823"/>
  <c r="J824"/>
  <c r="K824"/>
  <c r="L824"/>
  <c r="M824"/>
  <c r="J825"/>
  <c r="K825"/>
  <c r="L825"/>
  <c r="M825"/>
  <c r="J826"/>
  <c r="K826"/>
  <c r="L826"/>
  <c r="M826"/>
  <c r="J827"/>
  <c r="K827"/>
  <c r="L827"/>
  <c r="M827"/>
  <c r="J828"/>
  <c r="K828"/>
  <c r="L828"/>
  <c r="M828"/>
  <c r="J829"/>
  <c r="K829"/>
  <c r="L829"/>
  <c r="M829"/>
  <c r="J830"/>
  <c r="K830"/>
  <c r="L830"/>
  <c r="M830"/>
  <c r="J831"/>
  <c r="K831"/>
  <c r="L831"/>
  <c r="M831"/>
  <c r="J832"/>
  <c r="K832"/>
  <c r="L832"/>
  <c r="M832"/>
  <c r="J833"/>
  <c r="K833"/>
  <c r="L833"/>
  <c r="M833"/>
  <c r="J834"/>
  <c r="K834"/>
  <c r="L834"/>
  <c r="M834"/>
  <c r="J835"/>
  <c r="K835"/>
  <c r="L835"/>
  <c r="M835"/>
  <c r="J836"/>
  <c r="K836"/>
  <c r="L836"/>
  <c r="M836"/>
  <c r="J837"/>
  <c r="K837"/>
  <c r="L837"/>
  <c r="M837"/>
  <c r="J838"/>
  <c r="K838"/>
  <c r="L838"/>
  <c r="M838"/>
  <c r="J839"/>
  <c r="K839"/>
  <c r="L839"/>
  <c r="M839"/>
  <c r="J840"/>
  <c r="K840"/>
  <c r="L840"/>
  <c r="M840"/>
  <c r="J841"/>
  <c r="K841"/>
  <c r="L841"/>
  <c r="M841"/>
  <c r="J842"/>
  <c r="K842"/>
  <c r="L842"/>
  <c r="M842"/>
  <c r="J843"/>
  <c r="K843"/>
  <c r="L843"/>
  <c r="M843"/>
  <c r="J844"/>
  <c r="K844"/>
  <c r="L844"/>
  <c r="M844"/>
  <c r="J845"/>
  <c r="K845"/>
  <c r="L845"/>
  <c r="M845"/>
  <c r="J846"/>
  <c r="K846"/>
  <c r="L846"/>
  <c r="M846"/>
  <c r="J847"/>
  <c r="K847"/>
  <c r="L847"/>
  <c r="M847"/>
  <c r="J848"/>
  <c r="K848"/>
  <c r="L848"/>
  <c r="M848"/>
  <c r="J849"/>
  <c r="K849"/>
  <c r="L849"/>
  <c r="M849"/>
  <c r="J850"/>
  <c r="K850"/>
  <c r="L850"/>
  <c r="M850"/>
  <c r="J851"/>
  <c r="K851"/>
  <c r="L851"/>
  <c r="M851"/>
  <c r="J852"/>
  <c r="K852"/>
  <c r="L852"/>
  <c r="M852"/>
  <c r="J853"/>
  <c r="K853"/>
  <c r="L853"/>
  <c r="M853"/>
  <c r="J854"/>
  <c r="K854"/>
  <c r="L854"/>
  <c r="M854"/>
  <c r="J855"/>
  <c r="K855"/>
  <c r="L855"/>
  <c r="M855"/>
  <c r="J856"/>
  <c r="K856"/>
  <c r="L856"/>
  <c r="M856"/>
  <c r="J857"/>
  <c r="K857"/>
  <c r="L857"/>
  <c r="M857"/>
  <c r="J858"/>
  <c r="K858"/>
  <c r="L858"/>
  <c r="M858"/>
  <c r="J859"/>
  <c r="K859"/>
  <c r="L859"/>
  <c r="M859"/>
  <c r="J860"/>
  <c r="K860"/>
  <c r="L860"/>
  <c r="M860"/>
  <c r="J861"/>
  <c r="K861"/>
  <c r="L861"/>
  <c r="M861"/>
  <c r="J862"/>
  <c r="K862"/>
  <c r="L862"/>
  <c r="M862"/>
  <c r="J863"/>
  <c r="K863"/>
  <c r="L863"/>
  <c r="M863"/>
  <c r="J864"/>
  <c r="K864"/>
  <c r="L864"/>
  <c r="M864"/>
  <c r="J865"/>
  <c r="K865"/>
  <c r="L865"/>
  <c r="M865"/>
  <c r="J866"/>
  <c r="K866"/>
  <c r="L866"/>
  <c r="M866"/>
  <c r="J867"/>
  <c r="K867"/>
  <c r="L867"/>
  <c r="M867"/>
  <c r="J868"/>
  <c r="K868"/>
  <c r="L868"/>
  <c r="M868"/>
  <c r="J869"/>
  <c r="K869"/>
  <c r="L869"/>
  <c r="M869"/>
  <c r="J870"/>
  <c r="K870"/>
  <c r="L870"/>
  <c r="M870"/>
  <c r="J871"/>
  <c r="K871"/>
  <c r="L871"/>
  <c r="M871"/>
  <c r="J872"/>
  <c r="K872"/>
  <c r="L872"/>
  <c r="M872"/>
  <c r="J873"/>
  <c r="K873"/>
  <c r="L873"/>
  <c r="M873"/>
  <c r="J874"/>
  <c r="K874"/>
  <c r="L874"/>
  <c r="M874"/>
  <c r="J875"/>
  <c r="K875"/>
  <c r="L875"/>
  <c r="M875"/>
  <c r="J876"/>
  <c r="K876"/>
  <c r="L876"/>
  <c r="M876"/>
  <c r="J877"/>
  <c r="K877"/>
  <c r="L877"/>
  <c r="M877"/>
  <c r="J878"/>
  <c r="K878"/>
  <c r="L878"/>
  <c r="M878"/>
  <c r="J879"/>
  <c r="K879"/>
  <c r="L879"/>
  <c r="M879"/>
  <c r="J880"/>
  <c r="K880"/>
  <c r="L880"/>
  <c r="M880"/>
  <c r="J881"/>
  <c r="K881"/>
  <c r="L881"/>
  <c r="M881"/>
  <c r="J882"/>
  <c r="K882"/>
  <c r="L882"/>
  <c r="M882"/>
  <c r="J883"/>
  <c r="K883"/>
  <c r="L883"/>
  <c r="M883"/>
  <c r="J884"/>
  <c r="K884"/>
  <c r="L884"/>
  <c r="M884"/>
  <c r="J885"/>
  <c r="K885"/>
  <c r="L885"/>
  <c r="M885"/>
  <c r="J886"/>
  <c r="K886"/>
  <c r="L886"/>
  <c r="M886"/>
  <c r="J887"/>
  <c r="K887"/>
  <c r="L887"/>
  <c r="M887"/>
  <c r="J888"/>
  <c r="K888"/>
  <c r="L888"/>
  <c r="M888"/>
  <c r="J889"/>
  <c r="K889"/>
  <c r="L889"/>
  <c r="M889"/>
  <c r="J890"/>
  <c r="K890"/>
  <c r="L890"/>
  <c r="M890"/>
  <c r="J891"/>
  <c r="K891"/>
  <c r="L891"/>
  <c r="M891"/>
  <c r="J892"/>
  <c r="K892"/>
  <c r="L892"/>
  <c r="M892"/>
  <c r="J893"/>
  <c r="K893"/>
  <c r="L893"/>
  <c r="M893"/>
  <c r="J894"/>
  <c r="K894"/>
  <c r="L894"/>
  <c r="M894"/>
  <c r="J895"/>
  <c r="K895"/>
  <c r="L895"/>
  <c r="M895"/>
  <c r="J896"/>
  <c r="K896"/>
  <c r="L896"/>
  <c r="M896"/>
  <c r="J897"/>
  <c r="K897"/>
  <c r="L897"/>
  <c r="M897"/>
  <c r="J898"/>
  <c r="K898"/>
  <c r="L898"/>
  <c r="M898"/>
  <c r="J899"/>
  <c r="K899"/>
  <c r="L899"/>
  <c r="M899"/>
  <c r="J900"/>
  <c r="K900"/>
  <c r="L900"/>
  <c r="M900"/>
  <c r="J901"/>
  <c r="K901"/>
  <c r="L901"/>
  <c r="M901"/>
  <c r="J902"/>
  <c r="K902"/>
  <c r="L902"/>
  <c r="M902"/>
  <c r="J903"/>
  <c r="K903"/>
  <c r="L903"/>
  <c r="M903"/>
  <c r="J904"/>
  <c r="K904"/>
  <c r="L904"/>
  <c r="M904"/>
  <c r="J905"/>
  <c r="K905"/>
  <c r="L905"/>
  <c r="M905"/>
  <c r="J906"/>
  <c r="K906"/>
  <c r="L906"/>
  <c r="M906"/>
  <c r="J907"/>
  <c r="K907"/>
  <c r="L907"/>
  <c r="M907"/>
  <c r="J908"/>
  <c r="K908"/>
  <c r="L908"/>
  <c r="M908"/>
  <c r="J909"/>
  <c r="K909"/>
  <c r="L909"/>
  <c r="M909"/>
  <c r="J910"/>
  <c r="K910"/>
  <c r="L910"/>
  <c r="M910"/>
  <c r="J911"/>
  <c r="K911"/>
  <c r="L911"/>
  <c r="M911"/>
  <c r="J912"/>
  <c r="K912"/>
  <c r="L912"/>
  <c r="M912"/>
  <c r="J913"/>
  <c r="K913"/>
  <c r="L913"/>
  <c r="M913"/>
  <c r="J914"/>
  <c r="K914"/>
  <c r="L914"/>
  <c r="M914"/>
  <c r="J915"/>
  <c r="K915"/>
  <c r="L915"/>
  <c r="M915"/>
  <c r="J916"/>
  <c r="K916"/>
  <c r="L916"/>
  <c r="M916"/>
  <c r="J917"/>
  <c r="K917"/>
  <c r="L917"/>
  <c r="M917"/>
  <c r="J918"/>
  <c r="K918"/>
  <c r="L918"/>
  <c r="M918"/>
  <c r="J919"/>
  <c r="K919"/>
  <c r="L919"/>
  <c r="M919"/>
  <c r="J920"/>
  <c r="K920"/>
  <c r="L920"/>
  <c r="M920"/>
  <c r="J921"/>
  <c r="K921"/>
  <c r="L921"/>
  <c r="M921"/>
  <c r="J922"/>
  <c r="K922"/>
  <c r="L922"/>
  <c r="M922"/>
  <c r="J923"/>
  <c r="K923"/>
  <c r="L923"/>
  <c r="M923"/>
  <c r="J924"/>
  <c r="K924"/>
  <c r="L924"/>
  <c r="M924"/>
  <c r="J925"/>
  <c r="K925"/>
  <c r="L925"/>
  <c r="M925"/>
  <c r="J926"/>
  <c r="K926"/>
  <c r="L926"/>
  <c r="M926"/>
  <c r="J927"/>
  <c r="K927"/>
  <c r="L927"/>
  <c r="M927"/>
  <c r="M810"/>
  <c r="L810"/>
  <c r="K810"/>
  <c r="J810"/>
  <c r="M809"/>
  <c r="L809"/>
  <c r="K809"/>
  <c r="J809"/>
  <c r="J702"/>
  <c r="K702"/>
  <c r="L702"/>
  <c r="M702"/>
  <c r="J703"/>
  <c r="K703"/>
  <c r="L703"/>
  <c r="M703"/>
  <c r="J704"/>
  <c r="K704"/>
  <c r="L704"/>
  <c r="M704"/>
  <c r="J705"/>
  <c r="K705"/>
  <c r="L705"/>
  <c r="M705"/>
  <c r="J706"/>
  <c r="K706"/>
  <c r="L706"/>
  <c r="M706"/>
  <c r="J707"/>
  <c r="K707"/>
  <c r="L707"/>
  <c r="M707"/>
  <c r="J708"/>
  <c r="K708"/>
  <c r="L708"/>
  <c r="M708"/>
  <c r="J709"/>
  <c r="K709"/>
  <c r="L709"/>
  <c r="M709"/>
  <c r="J710"/>
  <c r="K710"/>
  <c r="L710"/>
  <c r="M710"/>
  <c r="J711"/>
  <c r="K711"/>
  <c r="L711"/>
  <c r="M711"/>
  <c r="J712"/>
  <c r="K712"/>
  <c r="L712"/>
  <c r="M712"/>
  <c r="J713"/>
  <c r="K713"/>
  <c r="L713"/>
  <c r="M713"/>
  <c r="J714"/>
  <c r="K714"/>
  <c r="L714"/>
  <c r="M714"/>
  <c r="J715"/>
  <c r="K715"/>
  <c r="L715"/>
  <c r="M715"/>
  <c r="J716"/>
  <c r="K716"/>
  <c r="L716"/>
  <c r="M716"/>
  <c r="J717"/>
  <c r="K717"/>
  <c r="L717"/>
  <c r="M717"/>
  <c r="J718"/>
  <c r="K718"/>
  <c r="L718"/>
  <c r="M718"/>
  <c r="J719"/>
  <c r="K719"/>
  <c r="L719"/>
  <c r="M719"/>
  <c r="J720"/>
  <c r="K720"/>
  <c r="L720"/>
  <c r="M720"/>
  <c r="J721"/>
  <c r="K721"/>
  <c r="L721"/>
  <c r="M721"/>
  <c r="J722"/>
  <c r="K722"/>
  <c r="L722"/>
  <c r="M722"/>
  <c r="J723"/>
  <c r="K723"/>
  <c r="L723"/>
  <c r="M723"/>
  <c r="J724"/>
  <c r="K724"/>
  <c r="L724"/>
  <c r="M724"/>
  <c r="J725"/>
  <c r="K725"/>
  <c r="L725"/>
  <c r="M725"/>
  <c r="J726"/>
  <c r="K726"/>
  <c r="L726"/>
  <c r="M726"/>
  <c r="J727"/>
  <c r="K727"/>
  <c r="L727"/>
  <c r="M727"/>
  <c r="J728"/>
  <c r="K728"/>
  <c r="L728"/>
  <c r="M728"/>
  <c r="J729"/>
  <c r="K729"/>
  <c r="L729"/>
  <c r="M729"/>
  <c r="J730"/>
  <c r="K730"/>
  <c r="L730"/>
  <c r="M730"/>
  <c r="J731"/>
  <c r="K731"/>
  <c r="L731"/>
  <c r="M731"/>
  <c r="J732"/>
  <c r="K732"/>
  <c r="L732"/>
  <c r="M732"/>
  <c r="J733"/>
  <c r="K733"/>
  <c r="L733"/>
  <c r="M733"/>
  <c r="J734"/>
  <c r="K734"/>
  <c r="L734"/>
  <c r="M734"/>
  <c r="J735"/>
  <c r="K735"/>
  <c r="L735"/>
  <c r="M735"/>
  <c r="J736"/>
  <c r="K736"/>
  <c r="L736"/>
  <c r="M736"/>
  <c r="J737"/>
  <c r="K737"/>
  <c r="L737"/>
  <c r="M737"/>
  <c r="J738"/>
  <c r="K738"/>
  <c r="L738"/>
  <c r="M738"/>
  <c r="J739"/>
  <c r="K739"/>
  <c r="L739"/>
  <c r="M739"/>
  <c r="J740"/>
  <c r="K740"/>
  <c r="L740"/>
  <c r="M740"/>
  <c r="J741"/>
  <c r="K741"/>
  <c r="L741"/>
  <c r="M741"/>
  <c r="J742"/>
  <c r="K742"/>
  <c r="L742"/>
  <c r="M742"/>
  <c r="J743"/>
  <c r="K743"/>
  <c r="L743"/>
  <c r="M743"/>
  <c r="J744"/>
  <c r="K744"/>
  <c r="L744"/>
  <c r="M744"/>
  <c r="J745"/>
  <c r="K745"/>
  <c r="L745"/>
  <c r="M745"/>
  <c r="J746"/>
  <c r="K746"/>
  <c r="L746"/>
  <c r="M746"/>
  <c r="J747"/>
  <c r="K747"/>
  <c r="L747"/>
  <c r="M747"/>
  <c r="J748"/>
  <c r="K748"/>
  <c r="L748"/>
  <c r="M748"/>
  <c r="J749"/>
  <c r="K749"/>
  <c r="L749"/>
  <c r="M749"/>
  <c r="J750"/>
  <c r="K750"/>
  <c r="L750"/>
  <c r="M750"/>
  <c r="J751"/>
  <c r="K751"/>
  <c r="L751"/>
  <c r="M751"/>
  <c r="J752"/>
  <c r="K752"/>
  <c r="L752"/>
  <c r="M752"/>
  <c r="J753"/>
  <c r="K753"/>
  <c r="L753"/>
  <c r="M753"/>
  <c r="J754"/>
  <c r="K754"/>
  <c r="L754"/>
  <c r="M754"/>
  <c r="J755"/>
  <c r="K755"/>
  <c r="L755"/>
  <c r="M755"/>
  <c r="J756"/>
  <c r="K756"/>
  <c r="L756"/>
  <c r="M756"/>
  <c r="J757"/>
  <c r="K757"/>
  <c r="L757"/>
  <c r="M757"/>
  <c r="J758"/>
  <c r="K758"/>
  <c r="L758"/>
  <c r="M758"/>
  <c r="J759"/>
  <c r="K759"/>
  <c r="L759"/>
  <c r="M759"/>
  <c r="J760"/>
  <c r="K760"/>
  <c r="L760"/>
  <c r="M760"/>
  <c r="J761"/>
  <c r="K761"/>
  <c r="L761"/>
  <c r="M761"/>
  <c r="J762"/>
  <c r="K762"/>
  <c r="L762"/>
  <c r="M762"/>
  <c r="J763"/>
  <c r="K763"/>
  <c r="L763"/>
  <c r="M763"/>
  <c r="J764"/>
  <c r="K764"/>
  <c r="L764"/>
  <c r="M764"/>
  <c r="J765"/>
  <c r="K765"/>
  <c r="L765"/>
  <c r="M765"/>
  <c r="J766"/>
  <c r="K766"/>
  <c r="L766"/>
  <c r="M766"/>
  <c r="J767"/>
  <c r="K767"/>
  <c r="L767"/>
  <c r="M767"/>
  <c r="J768"/>
  <c r="K768"/>
  <c r="L768"/>
  <c r="M768"/>
  <c r="J769"/>
  <c r="K769"/>
  <c r="L769"/>
  <c r="M769"/>
  <c r="J770"/>
  <c r="K770"/>
  <c r="L770"/>
  <c r="M770"/>
  <c r="J771"/>
  <c r="K771"/>
  <c r="L771"/>
  <c r="M771"/>
  <c r="J772"/>
  <c r="K772"/>
  <c r="L772"/>
  <c r="M772"/>
  <c r="J773"/>
  <c r="K773"/>
  <c r="L773"/>
  <c r="M773"/>
  <c r="J774"/>
  <c r="K774"/>
  <c r="L774"/>
  <c r="M774"/>
  <c r="J775"/>
  <c r="K775"/>
  <c r="L775"/>
  <c r="M775"/>
  <c r="J776"/>
  <c r="K776"/>
  <c r="L776"/>
  <c r="M776"/>
  <c r="J777"/>
  <c r="K777"/>
  <c r="L777"/>
  <c r="M777"/>
  <c r="J778"/>
  <c r="K778"/>
  <c r="L778"/>
  <c r="M778"/>
  <c r="J779"/>
  <c r="K779"/>
  <c r="L779"/>
  <c r="M779"/>
  <c r="J780"/>
  <c r="K780"/>
  <c r="L780"/>
  <c r="M780"/>
  <c r="J781"/>
  <c r="K781"/>
  <c r="L781"/>
  <c r="M781"/>
  <c r="J782"/>
  <c r="K782"/>
  <c r="L782"/>
  <c r="M782"/>
  <c r="J783"/>
  <c r="K783"/>
  <c r="L783"/>
  <c r="M783"/>
  <c r="J784"/>
  <c r="K784"/>
  <c r="L784"/>
  <c r="M784"/>
  <c r="J785"/>
  <c r="K785"/>
  <c r="L785"/>
  <c r="M785"/>
  <c r="J786"/>
  <c r="K786"/>
  <c r="L786"/>
  <c r="M786"/>
  <c r="J787"/>
  <c r="K787"/>
  <c r="L787"/>
  <c r="M787"/>
  <c r="J788"/>
  <c r="K788"/>
  <c r="L788"/>
  <c r="M788"/>
  <c r="J789"/>
  <c r="K789"/>
  <c r="L789"/>
  <c r="M789"/>
  <c r="J790"/>
  <c r="K790"/>
  <c r="L790"/>
  <c r="M790"/>
  <c r="J791"/>
  <c r="K791"/>
  <c r="L791"/>
  <c r="M791"/>
  <c r="J792"/>
  <c r="K792"/>
  <c r="L792"/>
  <c r="M792"/>
  <c r="J793"/>
  <c r="K793"/>
  <c r="L793"/>
  <c r="M793"/>
  <c r="J794"/>
  <c r="K794"/>
  <c r="L794"/>
  <c r="M794"/>
  <c r="J795"/>
  <c r="K795"/>
  <c r="L795"/>
  <c r="M795"/>
  <c r="J796"/>
  <c r="K796"/>
  <c r="L796"/>
  <c r="M796"/>
  <c r="J797"/>
  <c r="K797"/>
  <c r="L797"/>
  <c r="M797"/>
  <c r="J798"/>
  <c r="K798"/>
  <c r="L798"/>
  <c r="M798"/>
  <c r="J799"/>
  <c r="K799"/>
  <c r="L799"/>
  <c r="M799"/>
  <c r="J800"/>
  <c r="K800"/>
  <c r="L800"/>
  <c r="M800"/>
  <c r="J801"/>
  <c r="K801"/>
  <c r="L801"/>
  <c r="M801"/>
  <c r="J802"/>
  <c r="K802"/>
  <c r="L802"/>
  <c r="M802"/>
  <c r="J803"/>
  <c r="K803"/>
  <c r="L803"/>
  <c r="M803"/>
  <c r="J804"/>
  <c r="K804"/>
  <c r="L804"/>
  <c r="M804"/>
  <c r="J805"/>
  <c r="K805"/>
  <c r="L805"/>
  <c r="M805"/>
  <c r="J806"/>
  <c r="K806"/>
  <c r="L806"/>
  <c r="M806"/>
  <c r="M701"/>
  <c r="L701"/>
  <c r="K701"/>
  <c r="J701"/>
  <c r="M700"/>
  <c r="L700"/>
  <c r="K700"/>
  <c r="J700"/>
  <c r="M699"/>
  <c r="L699"/>
  <c r="K699"/>
  <c r="J699"/>
  <c r="J533"/>
  <c r="K533"/>
  <c r="L533"/>
  <c r="M533"/>
  <c r="J534"/>
  <c r="K534"/>
  <c r="L534"/>
  <c r="M534"/>
  <c r="J535"/>
  <c r="K535"/>
  <c r="L535"/>
  <c r="M535"/>
  <c r="J536"/>
  <c r="K536"/>
  <c r="L536"/>
  <c r="M536"/>
  <c r="J537"/>
  <c r="K537"/>
  <c r="L537"/>
  <c r="M537"/>
  <c r="J538"/>
  <c r="K538"/>
  <c r="L538"/>
  <c r="M538"/>
  <c r="J539"/>
  <c r="K539"/>
  <c r="L539"/>
  <c r="M539"/>
  <c r="J540"/>
  <c r="K540"/>
  <c r="L540"/>
  <c r="M540"/>
  <c r="J541"/>
  <c r="K541"/>
  <c r="L541"/>
  <c r="M541"/>
  <c r="J542"/>
  <c r="K542"/>
  <c r="L542"/>
  <c r="M542"/>
  <c r="J543"/>
  <c r="K543"/>
  <c r="L543"/>
  <c r="M543"/>
  <c r="J544"/>
  <c r="K544"/>
  <c r="L544"/>
  <c r="M544"/>
  <c r="J545"/>
  <c r="K545"/>
  <c r="L545"/>
  <c r="M545"/>
  <c r="J546"/>
  <c r="K546"/>
  <c r="L546"/>
  <c r="M546"/>
  <c r="J547"/>
  <c r="K547"/>
  <c r="L547"/>
  <c r="M547"/>
  <c r="J548"/>
  <c r="K548"/>
  <c r="L548"/>
  <c r="M548"/>
  <c r="J549"/>
  <c r="K549"/>
  <c r="L549"/>
  <c r="M549"/>
  <c r="J550"/>
  <c r="K550"/>
  <c r="L550"/>
  <c r="M550"/>
  <c r="J551"/>
  <c r="K551"/>
  <c r="L551"/>
  <c r="M551"/>
  <c r="J552"/>
  <c r="K552"/>
  <c r="L552"/>
  <c r="M552"/>
  <c r="J553"/>
  <c r="K553"/>
  <c r="L553"/>
  <c r="M553"/>
  <c r="J554"/>
  <c r="K554"/>
  <c r="L554"/>
  <c r="M554"/>
  <c r="J555"/>
  <c r="K555"/>
  <c r="L555"/>
  <c r="M555"/>
  <c r="J556"/>
  <c r="K556"/>
  <c r="L556"/>
  <c r="M556"/>
  <c r="J557"/>
  <c r="K557"/>
  <c r="L557"/>
  <c r="M557"/>
  <c r="J558"/>
  <c r="K558"/>
  <c r="L558"/>
  <c r="M558"/>
  <c r="J559"/>
  <c r="K559"/>
  <c r="L559"/>
  <c r="M559"/>
  <c r="J560"/>
  <c r="K560"/>
  <c r="L560"/>
  <c r="M560"/>
  <c r="J561"/>
  <c r="K561"/>
  <c r="L561"/>
  <c r="M561"/>
  <c r="J562"/>
  <c r="K562"/>
  <c r="L562"/>
  <c r="M562"/>
  <c r="J563"/>
  <c r="K563"/>
  <c r="L563"/>
  <c r="M563"/>
  <c r="J564"/>
  <c r="K564"/>
  <c r="L564"/>
  <c r="M564"/>
  <c r="J565"/>
  <c r="K565"/>
  <c r="L565"/>
  <c r="M565"/>
  <c r="J566"/>
  <c r="K566"/>
  <c r="L566"/>
  <c r="M566"/>
  <c r="J567"/>
  <c r="K567"/>
  <c r="L567"/>
  <c r="M567"/>
  <c r="J568"/>
  <c r="K568"/>
  <c r="L568"/>
  <c r="M568"/>
  <c r="J569"/>
  <c r="K569"/>
  <c r="L569"/>
  <c r="M569"/>
  <c r="J570"/>
  <c r="K570"/>
  <c r="L570"/>
  <c r="M570"/>
  <c r="J571"/>
  <c r="K571"/>
  <c r="L571"/>
  <c r="M571"/>
  <c r="J572"/>
  <c r="K572"/>
  <c r="L572"/>
  <c r="M572"/>
  <c r="J573"/>
  <c r="K573"/>
  <c r="L573"/>
  <c r="M573"/>
  <c r="J574"/>
  <c r="K574"/>
  <c r="L574"/>
  <c r="M574"/>
  <c r="J575"/>
  <c r="K575"/>
  <c r="L575"/>
  <c r="M575"/>
  <c r="J576"/>
  <c r="K576"/>
  <c r="L576"/>
  <c r="M576"/>
  <c r="J577"/>
  <c r="K577"/>
  <c r="L577"/>
  <c r="M577"/>
  <c r="J578"/>
  <c r="K578"/>
  <c r="L578"/>
  <c r="M578"/>
  <c r="J579"/>
  <c r="K579"/>
  <c r="L579"/>
  <c r="M579"/>
  <c r="J580"/>
  <c r="K580"/>
  <c r="L580"/>
  <c r="M580"/>
  <c r="J581"/>
  <c r="K581"/>
  <c r="L581"/>
  <c r="M581"/>
  <c r="J582"/>
  <c r="K582"/>
  <c r="L582"/>
  <c r="M582"/>
  <c r="J583"/>
  <c r="K583"/>
  <c r="L583"/>
  <c r="M583"/>
  <c r="J584"/>
  <c r="K584"/>
  <c r="L584"/>
  <c r="M584"/>
  <c r="J585"/>
  <c r="K585"/>
  <c r="L585"/>
  <c r="M585"/>
  <c r="J586"/>
  <c r="K586"/>
  <c r="L586"/>
  <c r="M586"/>
  <c r="J587"/>
  <c r="K587"/>
  <c r="L587"/>
  <c r="M587"/>
  <c r="J588"/>
  <c r="K588"/>
  <c r="L588"/>
  <c r="M588"/>
  <c r="J589"/>
  <c r="K589"/>
  <c r="L589"/>
  <c r="M589"/>
  <c r="J590"/>
  <c r="K590"/>
  <c r="L590"/>
  <c r="M590"/>
  <c r="J591"/>
  <c r="K591"/>
  <c r="L591"/>
  <c r="M591"/>
  <c r="J592"/>
  <c r="K592"/>
  <c r="L592"/>
  <c r="M592"/>
  <c r="J593"/>
  <c r="K593"/>
  <c r="L593"/>
  <c r="M593"/>
  <c r="J594"/>
  <c r="K594"/>
  <c r="L594"/>
  <c r="M594"/>
  <c r="J595"/>
  <c r="K595"/>
  <c r="L595"/>
  <c r="M595"/>
  <c r="J596"/>
  <c r="K596"/>
  <c r="L596"/>
  <c r="M596"/>
  <c r="J597"/>
  <c r="K597"/>
  <c r="L597"/>
  <c r="M597"/>
  <c r="J598"/>
  <c r="K598"/>
  <c r="L598"/>
  <c r="M598"/>
  <c r="J599"/>
  <c r="K599"/>
  <c r="L599"/>
  <c r="M599"/>
  <c r="J600"/>
  <c r="K600"/>
  <c r="L600"/>
  <c r="M600"/>
  <c r="J601"/>
  <c r="K601"/>
  <c r="L601"/>
  <c r="M601"/>
  <c r="J602"/>
  <c r="K602"/>
  <c r="L602"/>
  <c r="M602"/>
  <c r="J603"/>
  <c r="K603"/>
  <c r="L603"/>
  <c r="M603"/>
  <c r="J604"/>
  <c r="K604"/>
  <c r="L604"/>
  <c r="M604"/>
  <c r="J605"/>
  <c r="K605"/>
  <c r="L605"/>
  <c r="M605"/>
  <c r="J606"/>
  <c r="K606"/>
  <c r="L606"/>
  <c r="M606"/>
  <c r="J607"/>
  <c r="K607"/>
  <c r="L607"/>
  <c r="M607"/>
  <c r="J608"/>
  <c r="K608"/>
  <c r="L608"/>
  <c r="M608"/>
  <c r="J609"/>
  <c r="K609"/>
  <c r="L609"/>
  <c r="M609"/>
  <c r="J610"/>
  <c r="K610"/>
  <c r="L610"/>
  <c r="M610"/>
  <c r="J611"/>
  <c r="K611"/>
  <c r="L611"/>
  <c r="M611"/>
  <c r="J612"/>
  <c r="K612"/>
  <c r="L612"/>
  <c r="M612"/>
  <c r="J613"/>
  <c r="K613"/>
  <c r="L613"/>
  <c r="M613"/>
  <c r="J614"/>
  <c r="K614"/>
  <c r="L614"/>
  <c r="M614"/>
  <c r="J615"/>
  <c r="K615"/>
  <c r="L615"/>
  <c r="M615"/>
  <c r="J616"/>
  <c r="K616"/>
  <c r="L616"/>
  <c r="M616"/>
  <c r="J617"/>
  <c r="K617"/>
  <c r="L617"/>
  <c r="M617"/>
  <c r="J618"/>
  <c r="K618"/>
  <c r="L618"/>
  <c r="M618"/>
  <c r="J619"/>
  <c r="K619"/>
  <c r="L619"/>
  <c r="M619"/>
  <c r="J620"/>
  <c r="K620"/>
  <c r="L620"/>
  <c r="M620"/>
  <c r="J621"/>
  <c r="K621"/>
  <c r="L621"/>
  <c r="M621"/>
  <c r="J622"/>
  <c r="K622"/>
  <c r="L622"/>
  <c r="M622"/>
  <c r="J623"/>
  <c r="K623"/>
  <c r="L623"/>
  <c r="M623"/>
  <c r="J624"/>
  <c r="K624"/>
  <c r="L624"/>
  <c r="M624"/>
  <c r="J625"/>
  <c r="K625"/>
  <c r="L625"/>
  <c r="M625"/>
  <c r="J626"/>
  <c r="K626"/>
  <c r="L626"/>
  <c r="M626"/>
  <c r="J627"/>
  <c r="K627"/>
  <c r="L627"/>
  <c r="M627"/>
  <c r="J628"/>
  <c r="K628"/>
  <c r="L628"/>
  <c r="M628"/>
  <c r="J629"/>
  <c r="K629"/>
  <c r="L629"/>
  <c r="M629"/>
  <c r="J630"/>
  <c r="K630"/>
  <c r="L630"/>
  <c r="M630"/>
  <c r="J631"/>
  <c r="K631"/>
  <c r="L631"/>
  <c r="M631"/>
  <c r="J632"/>
  <c r="K632"/>
  <c r="L632"/>
  <c r="M632"/>
  <c r="J633"/>
  <c r="K633"/>
  <c r="L633"/>
  <c r="M633"/>
  <c r="J634"/>
  <c r="K634"/>
  <c r="L634"/>
  <c r="M634"/>
  <c r="J635"/>
  <c r="K635"/>
  <c r="L635"/>
  <c r="M635"/>
  <c r="J636"/>
  <c r="K636"/>
  <c r="L636"/>
  <c r="M636"/>
  <c r="J637"/>
  <c r="K637"/>
  <c r="L637"/>
  <c r="M637"/>
  <c r="J638"/>
  <c r="K638"/>
  <c r="L638"/>
  <c r="M638"/>
  <c r="J639"/>
  <c r="K639"/>
  <c r="L639"/>
  <c r="M639"/>
  <c r="J640"/>
  <c r="K640"/>
  <c r="L640"/>
  <c r="M640"/>
  <c r="J641"/>
  <c r="K641"/>
  <c r="L641"/>
  <c r="M641"/>
  <c r="J642"/>
  <c r="K642"/>
  <c r="L642"/>
  <c r="M642"/>
  <c r="J643"/>
  <c r="K643"/>
  <c r="L643"/>
  <c r="M643"/>
  <c r="J644"/>
  <c r="K644"/>
  <c r="L644"/>
  <c r="M644"/>
  <c r="J645"/>
  <c r="K645"/>
  <c r="L645"/>
  <c r="M645"/>
  <c r="J646"/>
  <c r="K646"/>
  <c r="L646"/>
  <c r="M646"/>
  <c r="J647"/>
  <c r="K647"/>
  <c r="L647"/>
  <c r="M647"/>
  <c r="J648"/>
  <c r="K648"/>
  <c r="L648"/>
  <c r="M648"/>
  <c r="J649"/>
  <c r="K649"/>
  <c r="L649"/>
  <c r="M649"/>
  <c r="J650"/>
  <c r="K650"/>
  <c r="L650"/>
  <c r="M650"/>
  <c r="J651"/>
  <c r="K651"/>
  <c r="L651"/>
  <c r="M651"/>
  <c r="J652"/>
  <c r="K652"/>
  <c r="L652"/>
  <c r="M652"/>
  <c r="J653"/>
  <c r="K653"/>
  <c r="L653"/>
  <c r="M653"/>
  <c r="J654"/>
  <c r="K654"/>
  <c r="L654"/>
  <c r="M654"/>
  <c r="J655"/>
  <c r="K655"/>
  <c r="L655"/>
  <c r="M655"/>
  <c r="J656"/>
  <c r="K656"/>
  <c r="L656"/>
  <c r="M656"/>
  <c r="J657"/>
  <c r="K657"/>
  <c r="L657"/>
  <c r="M657"/>
  <c r="J658"/>
  <c r="K658"/>
  <c r="L658"/>
  <c r="M658"/>
  <c r="J659"/>
  <c r="K659"/>
  <c r="L659"/>
  <c r="M659"/>
  <c r="J660"/>
  <c r="K660"/>
  <c r="L660"/>
  <c r="M660"/>
  <c r="J661"/>
  <c r="K661"/>
  <c r="L661"/>
  <c r="M661"/>
  <c r="J662"/>
  <c r="K662"/>
  <c r="L662"/>
  <c r="M662"/>
  <c r="J663"/>
  <c r="K663"/>
  <c r="L663"/>
  <c r="M663"/>
  <c r="J664"/>
  <c r="K664"/>
  <c r="L664"/>
  <c r="M664"/>
  <c r="J665"/>
  <c r="K665"/>
  <c r="L665"/>
  <c r="M665"/>
  <c r="J666"/>
  <c r="K666"/>
  <c r="L666"/>
  <c r="M666"/>
  <c r="J667"/>
  <c r="K667"/>
  <c r="L667"/>
  <c r="M667"/>
  <c r="J668"/>
  <c r="K668"/>
  <c r="L668"/>
  <c r="M668"/>
  <c r="J669"/>
  <c r="K669"/>
  <c r="L669"/>
  <c r="M669"/>
  <c r="J670"/>
  <c r="K670"/>
  <c r="L670"/>
  <c r="M670"/>
  <c r="J671"/>
  <c r="K671"/>
  <c r="L671"/>
  <c r="M671"/>
  <c r="J672"/>
  <c r="K672"/>
  <c r="L672"/>
  <c r="M672"/>
  <c r="J673"/>
  <c r="K673"/>
  <c r="L673"/>
  <c r="M673"/>
  <c r="J674"/>
  <c r="K674"/>
  <c r="L674"/>
  <c r="M674"/>
  <c r="J675"/>
  <c r="K675"/>
  <c r="L675"/>
  <c r="M675"/>
  <c r="J676"/>
  <c r="K676"/>
  <c r="L676"/>
  <c r="M676"/>
  <c r="J677"/>
  <c r="K677"/>
  <c r="L677"/>
  <c r="M677"/>
  <c r="J678"/>
  <c r="K678"/>
  <c r="L678"/>
  <c r="M678"/>
  <c r="J679"/>
  <c r="K679"/>
  <c r="L679"/>
  <c r="M679"/>
  <c r="J680"/>
  <c r="K680"/>
  <c r="L680"/>
  <c r="M680"/>
  <c r="J681"/>
  <c r="K681"/>
  <c r="L681"/>
  <c r="M681"/>
  <c r="J682"/>
  <c r="K682"/>
  <c r="L682"/>
  <c r="M682"/>
  <c r="J683"/>
  <c r="K683"/>
  <c r="L683"/>
  <c r="M683"/>
  <c r="J684"/>
  <c r="K684"/>
  <c r="L684"/>
  <c r="M684"/>
  <c r="J685"/>
  <c r="K685"/>
  <c r="L685"/>
  <c r="M685"/>
  <c r="J686"/>
  <c r="K686"/>
  <c r="L686"/>
  <c r="M686"/>
  <c r="J687"/>
  <c r="K687"/>
  <c r="L687"/>
  <c r="M687"/>
  <c r="J688"/>
  <c r="K688"/>
  <c r="L688"/>
  <c r="M688"/>
  <c r="J689"/>
  <c r="K689"/>
  <c r="L689"/>
  <c r="M689"/>
  <c r="J690"/>
  <c r="K690"/>
  <c r="L690"/>
  <c r="M690"/>
  <c r="J691"/>
  <c r="K691"/>
  <c r="L691"/>
  <c r="M691"/>
  <c r="J692"/>
  <c r="K692"/>
  <c r="L692"/>
  <c r="M692"/>
  <c r="J693"/>
  <c r="K693"/>
  <c r="L693"/>
  <c r="M693"/>
  <c r="J694"/>
  <c r="K694"/>
  <c r="L694"/>
  <c r="M694"/>
  <c r="J695"/>
  <c r="K695"/>
  <c r="L695"/>
  <c r="M695"/>
  <c r="J696"/>
  <c r="K696"/>
  <c r="L696"/>
  <c r="M696"/>
  <c r="M532"/>
  <c r="L532"/>
  <c r="K532"/>
  <c r="J532"/>
  <c r="M531"/>
  <c r="L531"/>
  <c r="K531"/>
  <c r="J531"/>
  <c r="M530"/>
  <c r="L530"/>
  <c r="K530"/>
  <c r="J530"/>
  <c r="M529"/>
  <c r="L529"/>
  <c r="K529"/>
  <c r="J529"/>
  <c r="J506"/>
  <c r="K506"/>
  <c r="L506"/>
  <c r="M506"/>
  <c r="J507"/>
  <c r="K507"/>
  <c r="L507"/>
  <c r="M507"/>
  <c r="J508"/>
  <c r="K508"/>
  <c r="L508"/>
  <c r="M508"/>
  <c r="J509"/>
  <c r="K509"/>
  <c r="L509"/>
  <c r="M509"/>
  <c r="J510"/>
  <c r="K510"/>
  <c r="L510"/>
  <c r="M510"/>
  <c r="J511"/>
  <c r="K511"/>
  <c r="L511"/>
  <c r="M511"/>
  <c r="J512"/>
  <c r="K512"/>
  <c r="L512"/>
  <c r="M512"/>
  <c r="J513"/>
  <c r="K513"/>
  <c r="L513"/>
  <c r="M513"/>
  <c r="J514"/>
  <c r="K514"/>
  <c r="L514"/>
  <c r="M514"/>
  <c r="J515"/>
  <c r="K515"/>
  <c r="L515"/>
  <c r="M515"/>
  <c r="J516"/>
  <c r="K516"/>
  <c r="L516"/>
  <c r="M516"/>
  <c r="J517"/>
  <c r="K517"/>
  <c r="L517"/>
  <c r="M517"/>
  <c r="J518"/>
  <c r="K518"/>
  <c r="L518"/>
  <c r="M518"/>
  <c r="J519"/>
  <c r="K519"/>
  <c r="L519"/>
  <c r="M519"/>
  <c r="J520"/>
  <c r="K520"/>
  <c r="L520"/>
  <c r="M520"/>
  <c r="J521"/>
  <c r="K521"/>
  <c r="L521"/>
  <c r="M521"/>
  <c r="J522"/>
  <c r="K522"/>
  <c r="L522"/>
  <c r="M522"/>
  <c r="J523"/>
  <c r="K523"/>
  <c r="L523"/>
  <c r="M523"/>
  <c r="J524"/>
  <c r="K524"/>
  <c r="L524"/>
  <c r="M524"/>
  <c r="J525"/>
  <c r="K525"/>
  <c r="L525"/>
  <c r="M525"/>
  <c r="J526"/>
  <c r="K526"/>
  <c r="L526"/>
  <c r="M526"/>
  <c r="M505"/>
  <c r="L505"/>
  <c r="K505"/>
  <c r="J505"/>
  <c r="M504"/>
  <c r="L504"/>
  <c r="K504"/>
  <c r="J504"/>
  <c r="M503"/>
  <c r="L503"/>
  <c r="K503"/>
  <c r="J503"/>
  <c r="M502"/>
  <c r="L502"/>
  <c r="K502"/>
  <c r="J502"/>
  <c r="M501"/>
  <c r="L501"/>
  <c r="K501"/>
  <c r="J501"/>
  <c r="M500"/>
  <c r="L500"/>
  <c r="K500"/>
  <c r="J500"/>
  <c r="M499"/>
  <c r="L499"/>
  <c r="K499"/>
  <c r="J499"/>
  <c r="M498"/>
  <c r="L498"/>
  <c r="K498"/>
  <c r="J498"/>
  <c r="M497"/>
  <c r="L497"/>
  <c r="K497"/>
  <c r="J497"/>
  <c r="M496"/>
  <c r="L496"/>
  <c r="K496"/>
  <c r="J496"/>
  <c r="M495"/>
  <c r="L495"/>
  <c r="K495"/>
  <c r="J495"/>
  <c r="M494"/>
  <c r="L494"/>
  <c r="K494"/>
  <c r="J494"/>
  <c r="J482"/>
  <c r="K482"/>
  <c r="L482"/>
  <c r="M482"/>
  <c r="J483"/>
  <c r="K483"/>
  <c r="L483"/>
  <c r="M483"/>
  <c r="J484"/>
  <c r="K484"/>
  <c r="L484"/>
  <c r="M484"/>
  <c r="J485"/>
  <c r="K485"/>
  <c r="L485"/>
  <c r="M485"/>
  <c r="J486"/>
  <c r="K486"/>
  <c r="L486"/>
  <c r="M486"/>
  <c r="J487"/>
  <c r="K487"/>
  <c r="L487"/>
  <c r="M487"/>
  <c r="J488"/>
  <c r="K488"/>
  <c r="L488"/>
  <c r="M488"/>
  <c r="J489"/>
  <c r="K489"/>
  <c r="L489"/>
  <c r="M489"/>
  <c r="J490"/>
  <c r="K490"/>
  <c r="L490"/>
  <c r="M490"/>
  <c r="J491"/>
  <c r="K491"/>
  <c r="L491"/>
  <c r="M491"/>
  <c r="M481"/>
  <c r="L481"/>
  <c r="K481"/>
  <c r="J481"/>
  <c r="M480"/>
  <c r="L480"/>
  <c r="K480"/>
  <c r="J480"/>
  <c r="J438"/>
  <c r="K438"/>
  <c r="L438"/>
  <c r="M438"/>
  <c r="J439"/>
  <c r="K439"/>
  <c r="L439"/>
  <c r="M439"/>
  <c r="J440"/>
  <c r="K440"/>
  <c r="L440"/>
  <c r="M440"/>
  <c r="J441"/>
  <c r="K441"/>
  <c r="L441"/>
  <c r="M441"/>
  <c r="J442"/>
  <c r="K442"/>
  <c r="L442"/>
  <c r="M442"/>
  <c r="J443"/>
  <c r="K443"/>
  <c r="L443"/>
  <c r="M443"/>
  <c r="J444"/>
  <c r="K444"/>
  <c r="L444"/>
  <c r="M444"/>
  <c r="J445"/>
  <c r="K445"/>
  <c r="L445"/>
  <c r="M445"/>
  <c r="J446"/>
  <c r="K446"/>
  <c r="L446"/>
  <c r="M446"/>
  <c r="J447"/>
  <c r="K447"/>
  <c r="L447"/>
  <c r="M447"/>
  <c r="J448"/>
  <c r="K448"/>
  <c r="L448"/>
  <c r="M448"/>
  <c r="J449"/>
  <c r="K449"/>
  <c r="L449"/>
  <c r="M449"/>
  <c r="J450"/>
  <c r="K450"/>
  <c r="L450"/>
  <c r="M450"/>
  <c r="J451"/>
  <c r="K451"/>
  <c r="L451"/>
  <c r="M451"/>
  <c r="J452"/>
  <c r="K452"/>
  <c r="L452"/>
  <c r="M452"/>
  <c r="J453"/>
  <c r="K453"/>
  <c r="L453"/>
  <c r="M453"/>
  <c r="J454"/>
  <c r="K454"/>
  <c r="L454"/>
  <c r="M454"/>
  <c r="J455"/>
  <c r="K455"/>
  <c r="L455"/>
  <c r="M455"/>
  <c r="J456"/>
  <c r="K456"/>
  <c r="L456"/>
  <c r="M456"/>
  <c r="J457"/>
  <c r="K457"/>
  <c r="L457"/>
  <c r="M457"/>
  <c r="J458"/>
  <c r="K458"/>
  <c r="L458"/>
  <c r="M458"/>
  <c r="J459"/>
  <c r="K459"/>
  <c r="L459"/>
  <c r="M459"/>
  <c r="J460"/>
  <c r="K460"/>
  <c r="L460"/>
  <c r="M460"/>
  <c r="J461"/>
  <c r="K461"/>
  <c r="L461"/>
  <c r="M461"/>
  <c r="J462"/>
  <c r="K462"/>
  <c r="L462"/>
  <c r="M462"/>
  <c r="J463"/>
  <c r="K463"/>
  <c r="L463"/>
  <c r="M463"/>
  <c r="J464"/>
  <c r="K464"/>
  <c r="L464"/>
  <c r="M464"/>
  <c r="J465"/>
  <c r="K465"/>
  <c r="L465"/>
  <c r="M465"/>
  <c r="J466"/>
  <c r="K466"/>
  <c r="L466"/>
  <c r="M466"/>
  <c r="J467"/>
  <c r="K467"/>
  <c r="L467"/>
  <c r="M467"/>
  <c r="J468"/>
  <c r="K468"/>
  <c r="L468"/>
  <c r="M468"/>
  <c r="J469"/>
  <c r="K469"/>
  <c r="L469"/>
  <c r="M469"/>
  <c r="J470"/>
  <c r="K470"/>
  <c r="L470"/>
  <c r="M470"/>
  <c r="J471"/>
  <c r="K471"/>
  <c r="L471"/>
  <c r="M471"/>
  <c r="J472"/>
  <c r="K472"/>
  <c r="L472"/>
  <c r="M472"/>
  <c r="J473"/>
  <c r="K473"/>
  <c r="L473"/>
  <c r="M473"/>
  <c r="J474"/>
  <c r="K474"/>
  <c r="L474"/>
  <c r="M474"/>
  <c r="J475"/>
  <c r="K475"/>
  <c r="L475"/>
  <c r="M475"/>
  <c r="J476"/>
  <c r="K476"/>
  <c r="L476"/>
  <c r="M476"/>
  <c r="J477"/>
  <c r="K477"/>
  <c r="L477"/>
  <c r="M477"/>
  <c r="M437"/>
  <c r="L437"/>
  <c r="K437"/>
  <c r="J437"/>
  <c r="M436"/>
  <c r="L436"/>
  <c r="K436"/>
  <c r="J436"/>
  <c r="M435"/>
  <c r="L435"/>
  <c r="K435"/>
  <c r="J435"/>
  <c r="M434"/>
  <c r="L434"/>
  <c r="K434"/>
  <c r="J434"/>
  <c r="M433"/>
  <c r="L433"/>
  <c r="K433"/>
  <c r="J433"/>
  <c r="M432"/>
  <c r="L432"/>
  <c r="K432"/>
  <c r="J432"/>
  <c r="J429"/>
  <c r="K429"/>
  <c r="L429"/>
  <c r="M429"/>
  <c r="M428"/>
  <c r="L428"/>
  <c r="K428"/>
  <c r="J428"/>
  <c r="M427"/>
  <c r="L427"/>
  <c r="K427"/>
  <c r="J427"/>
  <c r="M426"/>
  <c r="L426"/>
  <c r="K426"/>
  <c r="J426"/>
  <c r="M425"/>
  <c r="L425"/>
  <c r="K425"/>
  <c r="J425"/>
  <c r="M424"/>
  <c r="L424"/>
  <c r="K424"/>
  <c r="J424"/>
  <c r="J418"/>
  <c r="K418"/>
  <c r="L418"/>
  <c r="M418"/>
  <c r="J419"/>
  <c r="K419"/>
  <c r="L419"/>
  <c r="M419"/>
  <c r="J420"/>
  <c r="K420"/>
  <c r="L420"/>
  <c r="M420"/>
  <c r="J421"/>
  <c r="K421"/>
  <c r="L421"/>
  <c r="M421"/>
  <c r="M417"/>
  <c r="L417"/>
  <c r="K417"/>
  <c r="J417"/>
  <c r="J290"/>
  <c r="K290"/>
  <c r="L290"/>
  <c r="M290"/>
  <c r="J291"/>
  <c r="K291"/>
  <c r="L291"/>
  <c r="M291"/>
  <c r="J292"/>
  <c r="K292"/>
  <c r="L292"/>
  <c r="M292"/>
  <c r="J293"/>
  <c r="K293"/>
  <c r="L293"/>
  <c r="M293"/>
  <c r="J294"/>
  <c r="K294"/>
  <c r="L294"/>
  <c r="M294"/>
  <c r="J295"/>
  <c r="K295"/>
  <c r="L295"/>
  <c r="M295"/>
  <c r="J296"/>
  <c r="K296"/>
  <c r="L296"/>
  <c r="M296"/>
  <c r="J297"/>
  <c r="K297"/>
  <c r="L297"/>
  <c r="M297"/>
  <c r="J298"/>
  <c r="K298"/>
  <c r="L298"/>
  <c r="M298"/>
  <c r="J299"/>
  <c r="K299"/>
  <c r="L299"/>
  <c r="M299"/>
  <c r="J300"/>
  <c r="K300"/>
  <c r="L300"/>
  <c r="M300"/>
  <c r="J301"/>
  <c r="K301"/>
  <c r="L301"/>
  <c r="M301"/>
  <c r="J302"/>
  <c r="K302"/>
  <c r="L302"/>
  <c r="M302"/>
  <c r="J303"/>
  <c r="K303"/>
  <c r="L303"/>
  <c r="M303"/>
  <c r="J304"/>
  <c r="K304"/>
  <c r="L304"/>
  <c r="M304"/>
  <c r="J305"/>
  <c r="K305"/>
  <c r="L305"/>
  <c r="M305"/>
  <c r="J306"/>
  <c r="K306"/>
  <c r="L306"/>
  <c r="M306"/>
  <c r="J307"/>
  <c r="K307"/>
  <c r="L307"/>
  <c r="M307"/>
  <c r="J308"/>
  <c r="K308"/>
  <c r="L308"/>
  <c r="M308"/>
  <c r="J309"/>
  <c r="K309"/>
  <c r="L309"/>
  <c r="M309"/>
  <c r="J310"/>
  <c r="K310"/>
  <c r="L310"/>
  <c r="M310"/>
  <c r="J311"/>
  <c r="K311"/>
  <c r="L311"/>
  <c r="M311"/>
  <c r="J312"/>
  <c r="K312"/>
  <c r="L312"/>
  <c r="M312"/>
  <c r="J313"/>
  <c r="K313"/>
  <c r="L313"/>
  <c r="M313"/>
  <c r="J314"/>
  <c r="K314"/>
  <c r="L314"/>
  <c r="M314"/>
  <c r="J315"/>
  <c r="K315"/>
  <c r="L315"/>
  <c r="M315"/>
  <c r="J316"/>
  <c r="K316"/>
  <c r="L316"/>
  <c r="M316"/>
  <c r="J317"/>
  <c r="K317"/>
  <c r="L317"/>
  <c r="M317"/>
  <c r="J318"/>
  <c r="K318"/>
  <c r="L318"/>
  <c r="M318"/>
  <c r="J319"/>
  <c r="K319"/>
  <c r="L319"/>
  <c r="M319"/>
  <c r="J320"/>
  <c r="K320"/>
  <c r="L320"/>
  <c r="M320"/>
  <c r="J321"/>
  <c r="K321"/>
  <c r="L321"/>
  <c r="M321"/>
  <c r="J322"/>
  <c r="K322"/>
  <c r="L322"/>
  <c r="M322"/>
  <c r="J323"/>
  <c r="K323"/>
  <c r="L323"/>
  <c r="M323"/>
  <c r="J324"/>
  <c r="K324"/>
  <c r="L324"/>
  <c r="M324"/>
  <c r="J325"/>
  <c r="K325"/>
  <c r="L325"/>
  <c r="M325"/>
  <c r="J326"/>
  <c r="K326"/>
  <c r="L326"/>
  <c r="M326"/>
  <c r="J327"/>
  <c r="K327"/>
  <c r="L327"/>
  <c r="M327"/>
  <c r="J328"/>
  <c r="K328"/>
  <c r="L328"/>
  <c r="M328"/>
  <c r="J329"/>
  <c r="K329"/>
  <c r="L329"/>
  <c r="M329"/>
  <c r="J330"/>
  <c r="K330"/>
  <c r="L330"/>
  <c r="M330"/>
  <c r="J331"/>
  <c r="K331"/>
  <c r="L331"/>
  <c r="M331"/>
  <c r="J332"/>
  <c r="K332"/>
  <c r="L332"/>
  <c r="M332"/>
  <c r="J333"/>
  <c r="K333"/>
  <c r="L333"/>
  <c r="M333"/>
  <c r="J334"/>
  <c r="K334"/>
  <c r="L334"/>
  <c r="M334"/>
  <c r="J335"/>
  <c r="K335"/>
  <c r="L335"/>
  <c r="M335"/>
  <c r="J336"/>
  <c r="K336"/>
  <c r="L336"/>
  <c r="M336"/>
  <c r="J337"/>
  <c r="K337"/>
  <c r="L337"/>
  <c r="M337"/>
  <c r="J338"/>
  <c r="K338"/>
  <c r="L338"/>
  <c r="M338"/>
  <c r="J339"/>
  <c r="K339"/>
  <c r="L339"/>
  <c r="M339"/>
  <c r="J340"/>
  <c r="K340"/>
  <c r="L340"/>
  <c r="M340"/>
  <c r="J341"/>
  <c r="K341"/>
  <c r="L341"/>
  <c r="M341"/>
  <c r="J342"/>
  <c r="K342"/>
  <c r="L342"/>
  <c r="M342"/>
  <c r="J343"/>
  <c r="K343"/>
  <c r="L343"/>
  <c r="M343"/>
  <c r="J344"/>
  <c r="K344"/>
  <c r="L344"/>
  <c r="M344"/>
  <c r="J345"/>
  <c r="K345"/>
  <c r="L345"/>
  <c r="M345"/>
  <c r="J346"/>
  <c r="K346"/>
  <c r="L346"/>
  <c r="M346"/>
  <c r="J347"/>
  <c r="K347"/>
  <c r="L347"/>
  <c r="M347"/>
  <c r="J348"/>
  <c r="K348"/>
  <c r="L348"/>
  <c r="M348"/>
  <c r="J349"/>
  <c r="K349"/>
  <c r="L349"/>
  <c r="M349"/>
  <c r="J350"/>
  <c r="K350"/>
  <c r="L350"/>
  <c r="M350"/>
  <c r="J351"/>
  <c r="K351"/>
  <c r="L351"/>
  <c r="M351"/>
  <c r="J352"/>
  <c r="K352"/>
  <c r="L352"/>
  <c r="M352"/>
  <c r="J353"/>
  <c r="K353"/>
  <c r="L353"/>
  <c r="M353"/>
  <c r="J354"/>
  <c r="K354"/>
  <c r="L354"/>
  <c r="M354"/>
  <c r="J355"/>
  <c r="K355"/>
  <c r="L355"/>
  <c r="M355"/>
  <c r="J356"/>
  <c r="K356"/>
  <c r="L356"/>
  <c r="M356"/>
  <c r="J357"/>
  <c r="K357"/>
  <c r="L357"/>
  <c r="M357"/>
  <c r="J358"/>
  <c r="K358"/>
  <c r="L358"/>
  <c r="M358"/>
  <c r="J359"/>
  <c r="K359"/>
  <c r="L359"/>
  <c r="M359"/>
  <c r="J360"/>
  <c r="K360"/>
  <c r="L360"/>
  <c r="M360"/>
  <c r="J361"/>
  <c r="K361"/>
  <c r="L361"/>
  <c r="M361"/>
  <c r="J362"/>
  <c r="K362"/>
  <c r="L362"/>
  <c r="M362"/>
  <c r="J363"/>
  <c r="K363"/>
  <c r="L363"/>
  <c r="M363"/>
  <c r="J364"/>
  <c r="K364"/>
  <c r="L364"/>
  <c r="M364"/>
  <c r="J365"/>
  <c r="K365"/>
  <c r="L365"/>
  <c r="M365"/>
  <c r="J366"/>
  <c r="K366"/>
  <c r="L366"/>
  <c r="M366"/>
  <c r="J367"/>
  <c r="K367"/>
  <c r="L367"/>
  <c r="M367"/>
  <c r="J368"/>
  <c r="K368"/>
  <c r="L368"/>
  <c r="M368"/>
  <c r="J369"/>
  <c r="K369"/>
  <c r="L369"/>
  <c r="M369"/>
  <c r="J370"/>
  <c r="K370"/>
  <c r="L370"/>
  <c r="M370"/>
  <c r="J371"/>
  <c r="K371"/>
  <c r="L371"/>
  <c r="M371"/>
  <c r="J372"/>
  <c r="K372"/>
  <c r="L372"/>
  <c r="M372"/>
  <c r="J373"/>
  <c r="K373"/>
  <c r="L373"/>
  <c r="M373"/>
  <c r="J374"/>
  <c r="K374"/>
  <c r="L374"/>
  <c r="M374"/>
  <c r="J375"/>
  <c r="K375"/>
  <c r="L375"/>
  <c r="M375"/>
  <c r="J376"/>
  <c r="K376"/>
  <c r="L376"/>
  <c r="M376"/>
  <c r="J377"/>
  <c r="K377"/>
  <c r="L377"/>
  <c r="M377"/>
  <c r="J378"/>
  <c r="K378"/>
  <c r="L378"/>
  <c r="M378"/>
  <c r="J379"/>
  <c r="K379"/>
  <c r="L379"/>
  <c r="M379"/>
  <c r="J380"/>
  <c r="K380"/>
  <c r="L380"/>
  <c r="M380"/>
  <c r="J381"/>
  <c r="K381"/>
  <c r="L381"/>
  <c r="M381"/>
  <c r="J382"/>
  <c r="K382"/>
  <c r="L382"/>
  <c r="M382"/>
  <c r="J383"/>
  <c r="K383"/>
  <c r="L383"/>
  <c r="M383"/>
  <c r="J384"/>
  <c r="K384"/>
  <c r="L384"/>
  <c r="M384"/>
  <c r="J385"/>
  <c r="K385"/>
  <c r="L385"/>
  <c r="M385"/>
  <c r="J386"/>
  <c r="K386"/>
  <c r="L386"/>
  <c r="M386"/>
  <c r="J387"/>
  <c r="K387"/>
  <c r="L387"/>
  <c r="M387"/>
  <c r="J388"/>
  <c r="K388"/>
  <c r="L388"/>
  <c r="M388"/>
  <c r="J389"/>
  <c r="K389"/>
  <c r="L389"/>
  <c r="M389"/>
  <c r="J390"/>
  <c r="K390"/>
  <c r="L390"/>
  <c r="M390"/>
  <c r="J391"/>
  <c r="K391"/>
  <c r="L391"/>
  <c r="M391"/>
  <c r="J392"/>
  <c r="K392"/>
  <c r="L392"/>
  <c r="M392"/>
  <c r="J393"/>
  <c r="K393"/>
  <c r="L393"/>
  <c r="M393"/>
  <c r="J394"/>
  <c r="K394"/>
  <c r="L394"/>
  <c r="M394"/>
  <c r="J395"/>
  <c r="K395"/>
  <c r="L395"/>
  <c r="M395"/>
  <c r="J396"/>
  <c r="K396"/>
  <c r="L396"/>
  <c r="M396"/>
  <c r="J397"/>
  <c r="K397"/>
  <c r="L397"/>
  <c r="M397"/>
  <c r="J398"/>
  <c r="K398"/>
  <c r="L398"/>
  <c r="M398"/>
  <c r="J399"/>
  <c r="K399"/>
  <c r="L399"/>
  <c r="M399"/>
  <c r="J400"/>
  <c r="K400"/>
  <c r="L400"/>
  <c r="M400"/>
  <c r="J401"/>
  <c r="K401"/>
  <c r="L401"/>
  <c r="M401"/>
  <c r="J402"/>
  <c r="K402"/>
  <c r="L402"/>
  <c r="M402"/>
  <c r="J403"/>
  <c r="K403"/>
  <c r="L403"/>
  <c r="M403"/>
  <c r="J404"/>
  <c r="K404"/>
  <c r="L404"/>
  <c r="M404"/>
  <c r="J405"/>
  <c r="K405"/>
  <c r="L405"/>
  <c r="M405"/>
  <c r="J406"/>
  <c r="K406"/>
  <c r="L406"/>
  <c r="M406"/>
  <c r="J407"/>
  <c r="K407"/>
  <c r="L407"/>
  <c r="M407"/>
  <c r="J408"/>
  <c r="K408"/>
  <c r="L408"/>
  <c r="M408"/>
  <c r="J409"/>
  <c r="K409"/>
  <c r="L409"/>
  <c r="M409"/>
  <c r="J410"/>
  <c r="K410"/>
  <c r="L410"/>
  <c r="M410"/>
  <c r="J411"/>
  <c r="K411"/>
  <c r="L411"/>
  <c r="M411"/>
  <c r="J412"/>
  <c r="K412"/>
  <c r="L412"/>
  <c r="M412"/>
  <c r="J413"/>
  <c r="K413"/>
  <c r="L413"/>
  <c r="M413"/>
  <c r="J414"/>
  <c r="K414"/>
  <c r="L414"/>
  <c r="M414"/>
  <c r="M289"/>
  <c r="L289"/>
  <c r="K289"/>
  <c r="J289"/>
  <c r="J261"/>
  <c r="K261"/>
  <c r="L261"/>
  <c r="M261"/>
  <c r="J262"/>
  <c r="K262"/>
  <c r="L262"/>
  <c r="M262"/>
  <c r="J263"/>
  <c r="K263"/>
  <c r="L263"/>
  <c r="M263"/>
  <c r="J264"/>
  <c r="K264"/>
  <c r="L264"/>
  <c r="M264"/>
  <c r="J265"/>
  <c r="K265"/>
  <c r="L265"/>
  <c r="M265"/>
  <c r="J266"/>
  <c r="K266"/>
  <c r="L266"/>
  <c r="M266"/>
  <c r="J267"/>
  <c r="K267"/>
  <c r="L267"/>
  <c r="M267"/>
  <c r="J268"/>
  <c r="K268"/>
  <c r="L268"/>
  <c r="M268"/>
  <c r="J269"/>
  <c r="K269"/>
  <c r="L269"/>
  <c r="M269"/>
  <c r="J270"/>
  <c r="K270"/>
  <c r="L270"/>
  <c r="M270"/>
  <c r="J271"/>
  <c r="K271"/>
  <c r="L271"/>
  <c r="M271"/>
  <c r="J272"/>
  <c r="K272"/>
  <c r="L272"/>
  <c r="M272"/>
  <c r="J273"/>
  <c r="K273"/>
  <c r="L273"/>
  <c r="M273"/>
  <c r="J274"/>
  <c r="K274"/>
  <c r="L274"/>
  <c r="M274"/>
  <c r="J275"/>
  <c r="K275"/>
  <c r="L275"/>
  <c r="M275"/>
  <c r="J276"/>
  <c r="K276"/>
  <c r="L276"/>
  <c r="M276"/>
  <c r="J277"/>
  <c r="K277"/>
  <c r="L277"/>
  <c r="M277"/>
  <c r="J278"/>
  <c r="K278"/>
  <c r="L278"/>
  <c r="M278"/>
  <c r="J279"/>
  <c r="K279"/>
  <c r="L279"/>
  <c r="M279"/>
  <c r="J280"/>
  <c r="K280"/>
  <c r="L280"/>
  <c r="M280"/>
  <c r="J281"/>
  <c r="K281"/>
  <c r="L281"/>
  <c r="M281"/>
  <c r="J282"/>
  <c r="K282"/>
  <c r="L282"/>
  <c r="M282"/>
  <c r="J283"/>
  <c r="K283"/>
  <c r="L283"/>
  <c r="M283"/>
  <c r="J284"/>
  <c r="K284"/>
  <c r="L284"/>
  <c r="M284"/>
  <c r="J285"/>
  <c r="K285"/>
  <c r="L285"/>
  <c r="M285"/>
  <c r="J286"/>
  <c r="K286"/>
  <c r="L286"/>
  <c r="M286"/>
  <c r="M260"/>
  <c r="L260"/>
  <c r="K260"/>
  <c r="J260"/>
  <c r="M259"/>
  <c r="L259"/>
  <c r="K259"/>
  <c r="J259"/>
  <c r="M258"/>
  <c r="L258"/>
  <c r="K258"/>
  <c r="J258"/>
  <c r="M257"/>
  <c r="L257"/>
  <c r="K257"/>
  <c r="J257"/>
  <c r="M256"/>
  <c r="L256"/>
  <c r="K256"/>
  <c r="J256"/>
  <c r="M255"/>
  <c r="L255"/>
  <c r="K255"/>
  <c r="J255"/>
  <c r="M254"/>
  <c r="L254"/>
  <c r="K254"/>
  <c r="J254"/>
  <c r="M253"/>
  <c r="L253"/>
  <c r="K253"/>
  <c r="J253"/>
  <c r="M252"/>
  <c r="L252"/>
  <c r="K252"/>
  <c r="J252"/>
  <c r="M251"/>
  <c r="L251"/>
  <c r="K251"/>
  <c r="J251"/>
  <c r="M250"/>
  <c r="L250"/>
  <c r="K250"/>
  <c r="J250"/>
  <c r="M249"/>
  <c r="L249"/>
  <c r="K249"/>
  <c r="J249"/>
  <c r="M248"/>
  <c r="L248"/>
  <c r="K248"/>
  <c r="J248"/>
  <c r="M247"/>
  <c r="L247"/>
  <c r="K247"/>
  <c r="J247"/>
  <c r="M246"/>
  <c r="L246"/>
  <c r="K246"/>
  <c r="J246"/>
  <c r="M245"/>
  <c r="L245"/>
  <c r="K245"/>
  <c r="J245"/>
  <c r="M244"/>
  <c r="L244"/>
  <c r="K244"/>
  <c r="J244"/>
  <c r="J226"/>
  <c r="K226"/>
  <c r="L226"/>
  <c r="M226"/>
  <c r="J227"/>
  <c r="K227"/>
  <c r="L227"/>
  <c r="M227"/>
  <c r="J228"/>
  <c r="K228"/>
  <c r="L228"/>
  <c r="M228"/>
  <c r="J229"/>
  <c r="K229"/>
  <c r="L229"/>
  <c r="M229"/>
  <c r="J230"/>
  <c r="K230"/>
  <c r="L230"/>
  <c r="M230"/>
  <c r="J231"/>
  <c r="K231"/>
  <c r="L231"/>
  <c r="M231"/>
  <c r="J232"/>
  <c r="K232"/>
  <c r="L232"/>
  <c r="M232"/>
  <c r="J233"/>
  <c r="K233"/>
  <c r="L233"/>
  <c r="M233"/>
  <c r="J234"/>
  <c r="K234"/>
  <c r="L234"/>
  <c r="M234"/>
  <c r="J235"/>
  <c r="K235"/>
  <c r="L235"/>
  <c r="M235"/>
  <c r="J236"/>
  <c r="K236"/>
  <c r="L236"/>
  <c r="M236"/>
  <c r="J237"/>
  <c r="K237"/>
  <c r="L237"/>
  <c r="M237"/>
  <c r="J238"/>
  <c r="K238"/>
  <c r="L238"/>
  <c r="M238"/>
  <c r="J239"/>
  <c r="K239"/>
  <c r="L239"/>
  <c r="M239"/>
  <c r="J240"/>
  <c r="K240"/>
  <c r="L240"/>
  <c r="M240"/>
  <c r="J241"/>
  <c r="K241"/>
  <c r="L241"/>
  <c r="M241"/>
  <c r="M225"/>
  <c r="L225"/>
  <c r="K225"/>
  <c r="J225"/>
  <c r="J208"/>
  <c r="K208"/>
  <c r="L208"/>
  <c r="M208"/>
  <c r="J209"/>
  <c r="K209"/>
  <c r="L209"/>
  <c r="M209"/>
  <c r="J210"/>
  <c r="K210"/>
  <c r="L210"/>
  <c r="M210"/>
  <c r="J211"/>
  <c r="K211"/>
  <c r="L211"/>
  <c r="M211"/>
  <c r="J212"/>
  <c r="K212"/>
  <c r="L212"/>
  <c r="M212"/>
  <c r="J213"/>
  <c r="K213"/>
  <c r="L213"/>
  <c r="M213"/>
  <c r="J214"/>
  <c r="K214"/>
  <c r="L214"/>
  <c r="M214"/>
  <c r="J215"/>
  <c r="K215"/>
  <c r="L215"/>
  <c r="M215"/>
  <c r="J216"/>
  <c r="K216"/>
  <c r="L216"/>
  <c r="M216"/>
  <c r="J217"/>
  <c r="K217"/>
  <c r="L217"/>
  <c r="M217"/>
  <c r="J218"/>
  <c r="K218"/>
  <c r="L218"/>
  <c r="M218"/>
  <c r="J219"/>
  <c r="K219"/>
  <c r="L219"/>
  <c r="M219"/>
  <c r="J220"/>
  <c r="K220"/>
  <c r="L220"/>
  <c r="M220"/>
  <c r="J221"/>
  <c r="K221"/>
  <c r="L221"/>
  <c r="M221"/>
  <c r="J222"/>
  <c r="K222"/>
  <c r="L222"/>
  <c r="M222"/>
  <c r="J129"/>
  <c r="K129"/>
  <c r="L129"/>
  <c r="M129"/>
  <c r="J130"/>
  <c r="K130"/>
  <c r="L130"/>
  <c r="M130"/>
  <c r="J131"/>
  <c r="K131"/>
  <c r="L131"/>
  <c r="M131"/>
  <c r="J132"/>
  <c r="K132"/>
  <c r="L132"/>
  <c r="M132"/>
  <c r="J133"/>
  <c r="K133"/>
  <c r="L133"/>
  <c r="M133"/>
  <c r="J134"/>
  <c r="K134"/>
  <c r="L134"/>
  <c r="M134"/>
  <c r="J135"/>
  <c r="K135"/>
  <c r="L135"/>
  <c r="M135"/>
  <c r="J136"/>
  <c r="K136"/>
  <c r="L136"/>
  <c r="M136"/>
  <c r="J137"/>
  <c r="K137"/>
  <c r="L137"/>
  <c r="M137"/>
  <c r="J138"/>
  <c r="K138"/>
  <c r="L138"/>
  <c r="M138"/>
  <c r="J139"/>
  <c r="K139"/>
  <c r="L139"/>
  <c r="M139"/>
  <c r="J140"/>
  <c r="K140"/>
  <c r="L140"/>
  <c r="M140"/>
  <c r="J141"/>
  <c r="K141"/>
  <c r="L141"/>
  <c r="M141"/>
  <c r="J142"/>
  <c r="K142"/>
  <c r="L142"/>
  <c r="M142"/>
  <c r="J143"/>
  <c r="K143"/>
  <c r="L143"/>
  <c r="M143"/>
  <c r="J144"/>
  <c r="K144"/>
  <c r="L144"/>
  <c r="M144"/>
  <c r="J145"/>
  <c r="K145"/>
  <c r="L145"/>
  <c r="M145"/>
  <c r="J146"/>
  <c r="K146"/>
  <c r="L146"/>
  <c r="M146"/>
  <c r="J147"/>
  <c r="K147"/>
  <c r="L147"/>
  <c r="M147"/>
  <c r="J148"/>
  <c r="K148"/>
  <c r="L148"/>
  <c r="M148"/>
  <c r="J149"/>
  <c r="K149"/>
  <c r="L149"/>
  <c r="M149"/>
  <c r="J150"/>
  <c r="K150"/>
  <c r="L150"/>
  <c r="M150"/>
  <c r="J151"/>
  <c r="K151"/>
  <c r="L151"/>
  <c r="M151"/>
  <c r="J152"/>
  <c r="K152"/>
  <c r="L152"/>
  <c r="M152"/>
  <c r="J153"/>
  <c r="K153"/>
  <c r="L153"/>
  <c r="M153"/>
  <c r="J154"/>
  <c r="K154"/>
  <c r="L154"/>
  <c r="M154"/>
  <c r="J155"/>
  <c r="K155"/>
  <c r="L155"/>
  <c r="M155"/>
  <c r="J156"/>
  <c r="K156"/>
  <c r="L156"/>
  <c r="M156"/>
  <c r="J157"/>
  <c r="K157"/>
  <c r="L157"/>
  <c r="M157"/>
  <c r="J158"/>
  <c r="K158"/>
  <c r="L158"/>
  <c r="M158"/>
  <c r="J159"/>
  <c r="K159"/>
  <c r="L159"/>
  <c r="M159"/>
  <c r="J160"/>
  <c r="K160"/>
  <c r="L160"/>
  <c r="M160"/>
  <c r="J161"/>
  <c r="K161"/>
  <c r="L161"/>
  <c r="M161"/>
  <c r="J162"/>
  <c r="K162"/>
  <c r="L162"/>
  <c r="M162"/>
  <c r="J163"/>
  <c r="K163"/>
  <c r="L163"/>
  <c r="M163"/>
  <c r="J164"/>
  <c r="K164"/>
  <c r="L164"/>
  <c r="M164"/>
  <c r="J165"/>
  <c r="K165"/>
  <c r="L165"/>
  <c r="M165"/>
  <c r="J166"/>
  <c r="K166"/>
  <c r="L166"/>
  <c r="M166"/>
  <c r="J167"/>
  <c r="K167"/>
  <c r="L167"/>
  <c r="M167"/>
  <c r="J168"/>
  <c r="K168"/>
  <c r="L168"/>
  <c r="M168"/>
  <c r="J169"/>
  <c r="K169"/>
  <c r="L169"/>
  <c r="M169"/>
  <c r="J170"/>
  <c r="K170"/>
  <c r="L170"/>
  <c r="M170"/>
  <c r="J171"/>
  <c r="K171"/>
  <c r="L171"/>
  <c r="M171"/>
  <c r="J172"/>
  <c r="K172"/>
  <c r="L172"/>
  <c r="M172"/>
  <c r="J173"/>
  <c r="K173"/>
  <c r="L173"/>
  <c r="M173"/>
  <c r="J174"/>
  <c r="K174"/>
  <c r="L174"/>
  <c r="M174"/>
  <c r="J175"/>
  <c r="K175"/>
  <c r="L175"/>
  <c r="M175"/>
  <c r="J176"/>
  <c r="K176"/>
  <c r="L176"/>
  <c r="M176"/>
  <c r="J177"/>
  <c r="K177"/>
  <c r="L177"/>
  <c r="M177"/>
  <c r="J178"/>
  <c r="K178"/>
  <c r="L178"/>
  <c r="M178"/>
  <c r="J179"/>
  <c r="K179"/>
  <c r="L179"/>
  <c r="M179"/>
  <c r="J180"/>
  <c r="K180"/>
  <c r="L180"/>
  <c r="M180"/>
  <c r="J181"/>
  <c r="K181"/>
  <c r="L181"/>
  <c r="M181"/>
  <c r="J182"/>
  <c r="K182"/>
  <c r="L182"/>
  <c r="M182"/>
  <c r="J183"/>
  <c r="K183"/>
  <c r="L183"/>
  <c r="M183"/>
  <c r="J184"/>
  <c r="K184"/>
  <c r="L184"/>
  <c r="M184"/>
  <c r="J185"/>
  <c r="K185"/>
  <c r="L185"/>
  <c r="M185"/>
  <c r="J186"/>
  <c r="K186"/>
  <c r="L186"/>
  <c r="M186"/>
  <c r="J187"/>
  <c r="K187"/>
  <c r="L187"/>
  <c r="M187"/>
  <c r="J188"/>
  <c r="K188"/>
  <c r="L188"/>
  <c r="M188"/>
  <c r="J189"/>
  <c r="K189"/>
  <c r="L189"/>
  <c r="M189"/>
  <c r="J190"/>
  <c r="K190"/>
  <c r="L190"/>
  <c r="M190"/>
  <c r="J191"/>
  <c r="K191"/>
  <c r="L191"/>
  <c r="M191"/>
  <c r="J192"/>
  <c r="K192"/>
  <c r="L192"/>
  <c r="M192"/>
  <c r="J193"/>
  <c r="K193"/>
  <c r="L193"/>
  <c r="M193"/>
  <c r="J194"/>
  <c r="K194"/>
  <c r="L194"/>
  <c r="M194"/>
  <c r="J195"/>
  <c r="K195"/>
  <c r="L195"/>
  <c r="M195"/>
  <c r="J196"/>
  <c r="K196"/>
  <c r="L196"/>
  <c r="M196"/>
  <c r="J197"/>
  <c r="K197"/>
  <c r="L197"/>
  <c r="M197"/>
  <c r="J198"/>
  <c r="K198"/>
  <c r="L198"/>
  <c r="M198"/>
  <c r="J199"/>
  <c r="K199"/>
  <c r="L199"/>
  <c r="M199"/>
  <c r="J200"/>
  <c r="K200"/>
  <c r="L200"/>
  <c r="M200"/>
  <c r="J201"/>
  <c r="K201"/>
  <c r="L201"/>
  <c r="M201"/>
  <c r="J202"/>
  <c r="K202"/>
  <c r="L202"/>
  <c r="M202"/>
  <c r="J203"/>
  <c r="K203"/>
  <c r="L203"/>
  <c r="M203"/>
  <c r="J204"/>
  <c r="K204"/>
  <c r="L204"/>
  <c r="M204"/>
  <c r="J205"/>
  <c r="K205"/>
  <c r="L205"/>
  <c r="M205"/>
  <c r="J206"/>
  <c r="K206"/>
  <c r="L206"/>
  <c r="M206"/>
  <c r="J207"/>
  <c r="K207"/>
  <c r="L207"/>
  <c r="M207"/>
  <c r="M128"/>
  <c r="L128"/>
  <c r="K128"/>
  <c r="J128"/>
  <c r="J96"/>
  <c r="K96"/>
  <c r="L96"/>
  <c r="M96"/>
  <c r="J97"/>
  <c r="K97"/>
  <c r="L97"/>
  <c r="M97"/>
  <c r="J98"/>
  <c r="K98"/>
  <c r="L98"/>
  <c r="M98"/>
  <c r="J99"/>
  <c r="K99"/>
  <c r="L99"/>
  <c r="M99"/>
  <c r="J100"/>
  <c r="K100"/>
  <c r="L100"/>
  <c r="M100"/>
  <c r="J101"/>
  <c r="K101"/>
  <c r="L101"/>
  <c r="M101"/>
  <c r="J102"/>
  <c r="K102"/>
  <c r="L102"/>
  <c r="M102"/>
  <c r="J103"/>
  <c r="K103"/>
  <c r="L103"/>
  <c r="M103"/>
  <c r="J104"/>
  <c r="K104"/>
  <c r="L104"/>
  <c r="M104"/>
  <c r="J105"/>
  <c r="K105"/>
  <c r="L105"/>
  <c r="M105"/>
  <c r="J106"/>
  <c r="K106"/>
  <c r="L106"/>
  <c r="M106"/>
  <c r="J107"/>
  <c r="K107"/>
  <c r="L107"/>
  <c r="M107"/>
  <c r="J108"/>
  <c r="K108"/>
  <c r="L108"/>
  <c r="M108"/>
  <c r="J109"/>
  <c r="K109"/>
  <c r="L109"/>
  <c r="M109"/>
  <c r="J110"/>
  <c r="K110"/>
  <c r="L110"/>
  <c r="M110"/>
  <c r="J111"/>
  <c r="K111"/>
  <c r="L111"/>
  <c r="M111"/>
  <c r="J112"/>
  <c r="K112"/>
  <c r="L112"/>
  <c r="M112"/>
  <c r="J113"/>
  <c r="K113"/>
  <c r="L113"/>
  <c r="M113"/>
  <c r="J114"/>
  <c r="K114"/>
  <c r="L114"/>
  <c r="M114"/>
  <c r="J115"/>
  <c r="K115"/>
  <c r="L115"/>
  <c r="M115"/>
  <c r="J116"/>
  <c r="K116"/>
  <c r="L116"/>
  <c r="M116"/>
  <c r="J117"/>
  <c r="K117"/>
  <c r="L117"/>
  <c r="M117"/>
  <c r="J118"/>
  <c r="K118"/>
  <c r="L118"/>
  <c r="M118"/>
  <c r="J119"/>
  <c r="K119"/>
  <c r="L119"/>
  <c r="M119"/>
  <c r="J120"/>
  <c r="K120"/>
  <c r="L120"/>
  <c r="M120"/>
  <c r="J121"/>
  <c r="K121"/>
  <c r="L121"/>
  <c r="M121"/>
  <c r="J122"/>
  <c r="K122"/>
  <c r="L122"/>
  <c r="M122"/>
  <c r="J123"/>
  <c r="K123"/>
  <c r="L123"/>
  <c r="M123"/>
  <c r="J124"/>
  <c r="K124"/>
  <c r="L124"/>
  <c r="M124"/>
  <c r="J125"/>
  <c r="K125"/>
  <c r="L125"/>
  <c r="M125"/>
  <c r="M95"/>
  <c r="L95"/>
  <c r="K95"/>
  <c r="J95"/>
  <c r="M94"/>
  <c r="L94"/>
  <c r="K94"/>
  <c r="J94"/>
  <c r="M93"/>
  <c r="L93"/>
  <c r="K93"/>
  <c r="J93"/>
  <c r="M92"/>
  <c r="L92"/>
  <c r="K92"/>
  <c r="J92"/>
  <c r="M91"/>
  <c r="L91"/>
  <c r="K91"/>
  <c r="J91"/>
  <c r="M90"/>
  <c r="L90"/>
  <c r="K90"/>
  <c r="J90"/>
  <c r="M89"/>
  <c r="L89"/>
  <c r="K89"/>
  <c r="J89"/>
  <c r="M88"/>
  <c r="L88"/>
  <c r="K88"/>
  <c r="J88"/>
  <c r="M87"/>
  <c r="L87"/>
  <c r="K87"/>
  <c r="J87"/>
  <c r="M86"/>
  <c r="L86"/>
  <c r="K86"/>
  <c r="J86"/>
  <c r="M85"/>
  <c r="L85"/>
  <c r="K85"/>
  <c r="J85"/>
  <c r="M84"/>
  <c r="L84"/>
  <c r="K84"/>
  <c r="J84"/>
  <c r="M83"/>
  <c r="L83"/>
  <c r="K83"/>
  <c r="J83"/>
  <c r="M82"/>
  <c r="L82"/>
  <c r="K82"/>
  <c r="J82"/>
  <c r="M81"/>
  <c r="L81"/>
  <c r="K81"/>
  <c r="J81"/>
  <c r="M80"/>
  <c r="L80"/>
  <c r="K80"/>
  <c r="J80"/>
  <c r="M79"/>
  <c r="L79"/>
  <c r="K79"/>
  <c r="J79"/>
  <c r="M78"/>
  <c r="L78"/>
  <c r="K78"/>
  <c r="J78"/>
  <c r="M77"/>
  <c r="L77"/>
  <c r="K77"/>
  <c r="J77"/>
  <c r="M76"/>
  <c r="L76"/>
  <c r="K76"/>
  <c r="J76"/>
  <c r="M75"/>
  <c r="L75"/>
  <c r="K75"/>
  <c r="J75"/>
  <c r="M74"/>
  <c r="L74"/>
  <c r="K74"/>
  <c r="J74"/>
  <c r="M73"/>
  <c r="L73"/>
  <c r="K73"/>
  <c r="J73"/>
  <c r="M72"/>
  <c r="L72"/>
  <c r="K72"/>
  <c r="J72"/>
  <c r="M71"/>
  <c r="L71"/>
  <c r="K71"/>
  <c r="J71"/>
  <c r="M70"/>
  <c r="L70"/>
  <c r="K70"/>
  <c r="J70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M42"/>
  <c r="L42"/>
  <c r="K42"/>
  <c r="J42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J29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M19"/>
  <c r="L19"/>
  <c r="K19"/>
  <c r="J19"/>
  <c r="M18"/>
  <c r="L18"/>
  <c r="K18"/>
  <c r="J18"/>
  <c r="M17"/>
  <c r="L17"/>
  <c r="K17"/>
  <c r="J17"/>
  <c r="M16"/>
  <c r="L16"/>
  <c r="K16"/>
  <c r="J16"/>
  <c r="M15"/>
  <c r="L15"/>
  <c r="K15"/>
  <c r="J15"/>
  <c r="M14"/>
  <c r="L14"/>
  <c r="K14"/>
  <c r="J14"/>
  <c r="M13"/>
  <c r="L13"/>
  <c r="K13"/>
  <c r="J13"/>
  <c r="J5"/>
  <c r="K5"/>
  <c r="L5"/>
  <c r="M5"/>
  <c r="J6"/>
  <c r="K6"/>
  <c r="L6"/>
  <c r="M6"/>
  <c r="J7"/>
  <c r="K7"/>
  <c r="L7"/>
  <c r="M7"/>
  <c r="J8"/>
  <c r="K8"/>
  <c r="L8"/>
  <c r="M8"/>
  <c r="J9"/>
  <c r="K9"/>
  <c r="L9"/>
  <c r="M9"/>
  <c r="J10"/>
  <c r="K10"/>
  <c r="L10"/>
  <c r="M10"/>
  <c r="M4"/>
  <c r="L4"/>
  <c r="K4"/>
  <c r="J4"/>
  <c r="L2" i="118"/>
  <c r="M2"/>
  <c r="L3"/>
  <c r="M3"/>
  <c r="L4"/>
  <c r="M4"/>
  <c r="L5"/>
  <c r="M5"/>
  <c r="L6"/>
  <c r="M6"/>
  <c r="L7"/>
  <c r="M7"/>
  <c r="L8"/>
  <c r="M8"/>
  <c r="L9"/>
  <c r="M9"/>
  <c r="L10"/>
  <c r="M10"/>
  <c r="L11"/>
  <c r="M11"/>
  <c r="L12"/>
  <c r="M12"/>
  <c r="L13"/>
  <c r="M13"/>
  <c r="L14"/>
  <c r="M14"/>
  <c r="L15"/>
  <c r="M15"/>
  <c r="L16"/>
  <c r="M16"/>
  <c r="L17"/>
  <c r="M17"/>
  <c r="L18"/>
  <c r="M18"/>
  <c r="L19"/>
  <c r="M19"/>
  <c r="L20"/>
  <c r="M20"/>
  <c r="L21"/>
  <c r="M21"/>
  <c r="L22"/>
  <c r="M22"/>
  <c r="L23"/>
  <c r="M23"/>
  <c r="L24"/>
  <c r="M24"/>
  <c r="L25"/>
  <c r="M25"/>
  <c r="L26"/>
  <c r="M26"/>
  <c r="L27"/>
  <c r="M27"/>
  <c r="L28"/>
  <c r="M28"/>
  <c r="L29"/>
  <c r="M29"/>
  <c r="L30"/>
  <c r="M30"/>
  <c r="L31"/>
  <c r="M31"/>
  <c r="L32"/>
  <c r="M32"/>
  <c r="L33"/>
  <c r="M33"/>
  <c r="L34"/>
  <c r="M34"/>
  <c r="L35"/>
  <c r="M35"/>
  <c r="L36"/>
  <c r="M36"/>
  <c r="L37"/>
  <c r="M37"/>
  <c r="L38"/>
  <c r="M38"/>
  <c r="L39"/>
  <c r="M39"/>
  <c r="L40"/>
  <c r="M40"/>
  <c r="J2"/>
  <c r="K2"/>
  <c r="J3"/>
  <c r="K3"/>
  <c r="J4"/>
  <c r="K4"/>
  <c r="J5"/>
  <c r="K5"/>
  <c r="J6"/>
  <c r="K6"/>
  <c r="J7"/>
  <c r="K7"/>
  <c r="J8"/>
  <c r="K8"/>
  <c r="J9"/>
  <c r="K9"/>
  <c r="J10"/>
  <c r="K10"/>
  <c r="J11"/>
  <c r="K11"/>
  <c r="J12"/>
  <c r="K12"/>
  <c r="J13"/>
  <c r="K13"/>
  <c r="J14"/>
  <c r="K14"/>
  <c r="J15"/>
  <c r="K15"/>
  <c r="J16"/>
  <c r="K16"/>
  <c r="J17"/>
  <c r="K17"/>
  <c r="J18"/>
  <c r="K18"/>
  <c r="J19"/>
  <c r="K19"/>
  <c r="J20"/>
  <c r="K20"/>
  <c r="J21"/>
  <c r="K21"/>
  <c r="J22"/>
  <c r="K22"/>
  <c r="J23"/>
  <c r="K23"/>
  <c r="J24"/>
  <c r="K24"/>
  <c r="J25"/>
  <c r="K25"/>
  <c r="J26"/>
  <c r="K26"/>
  <c r="J27"/>
  <c r="K27"/>
  <c r="J28"/>
  <c r="K28"/>
  <c r="J29"/>
  <c r="K29"/>
  <c r="J30"/>
  <c r="K30"/>
  <c r="J31"/>
  <c r="K31"/>
  <c r="J32"/>
  <c r="K32"/>
  <c r="J33"/>
  <c r="K33"/>
  <c r="J34"/>
  <c r="K34"/>
  <c r="J35"/>
  <c r="K35"/>
  <c r="J36"/>
  <c r="K36"/>
  <c r="J37"/>
  <c r="K37"/>
  <c r="J38"/>
  <c r="K38"/>
  <c r="J39"/>
  <c r="K39"/>
  <c r="J40"/>
  <c r="K40"/>
  <c r="L1"/>
  <c r="M1"/>
  <c r="K1"/>
  <c r="J1"/>
  <c r="S2"/>
  <c r="S3"/>
  <c r="S4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1"/>
  <c r="X29" i="74"/>
  <c r="AF4" i="22"/>
  <c r="W4"/>
  <c r="Y4" l="1"/>
  <c r="Z4" s="1"/>
  <c r="S4"/>
  <c r="R4"/>
  <c r="Q4"/>
  <c r="P4"/>
  <c r="O4"/>
  <c r="M4"/>
  <c r="L4"/>
  <c r="K4"/>
  <c r="J4"/>
  <c r="AF3"/>
  <c r="W3"/>
  <c r="N4" l="1"/>
  <c r="Y3"/>
  <c r="Z3" s="1"/>
  <c r="S3"/>
  <c r="R3"/>
  <c r="Q3"/>
  <c r="P3"/>
  <c r="O3"/>
  <c r="M3"/>
  <c r="L3"/>
  <c r="K3"/>
  <c r="J3"/>
  <c r="X9"/>
  <c r="N3" l="1"/>
  <c r="AF33" i="74" l="1"/>
  <c r="AF13"/>
  <c r="AF40"/>
  <c r="AF48" i="114"/>
  <c r="AF47"/>
  <c r="AF154"/>
  <c r="AF150"/>
  <c r="AF155"/>
  <c r="AF46"/>
  <c r="AF45"/>
  <c r="AF151"/>
  <c r="AF173"/>
  <c r="AF170"/>
  <c r="AF44"/>
  <c r="AF169"/>
  <c r="AI65"/>
  <c r="AI67"/>
  <c r="AI66"/>
  <c r="AH65" l="1"/>
  <c r="AH67"/>
  <c r="AH66"/>
  <c r="AF171"/>
  <c r="AF164"/>
  <c r="AF167"/>
  <c r="AF41" i="74"/>
  <c r="AF15"/>
  <c r="AF35"/>
  <c r="AF14"/>
  <c r="AF174" i="114" l="1"/>
  <c r="AF54"/>
  <c r="AF168"/>
  <c r="AF53"/>
  <c r="AF157"/>
  <c r="AF52"/>
  <c r="AF147"/>
  <c r="AF172"/>
  <c r="AF180"/>
  <c r="AF51"/>
  <c r="AF50"/>
  <c r="AF49"/>
  <c r="AF178"/>
  <c r="AF176"/>
  <c r="AF148"/>
  <c r="AF183" l="1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59"/>
  <c r="AF260"/>
  <c r="AF261"/>
  <c r="AF262"/>
  <c r="AF263"/>
  <c r="AF264"/>
  <c r="AF265"/>
  <c r="AF266"/>
  <c r="AF269"/>
  <c r="AF270"/>
  <c r="AF271"/>
  <c r="AF272"/>
  <c r="AF273"/>
  <c r="AF274"/>
  <c r="AF275"/>
  <c r="AF276"/>
  <c r="AF277"/>
  <c r="AF280"/>
  <c r="AF281"/>
  <c r="AF282"/>
  <c r="AF283"/>
  <c r="AF284"/>
  <c r="AF285"/>
  <c r="AF286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1"/>
  <c r="AF312"/>
  <c r="AF313"/>
  <c r="AF314"/>
  <c r="AF315"/>
  <c r="AF316"/>
  <c r="AF317"/>
  <c r="AF318"/>
  <c r="AF319"/>
  <c r="AF320"/>
  <c r="AF321"/>
  <c r="AF322"/>
  <c r="AF323"/>
  <c r="AF324"/>
  <c r="AF325"/>
  <c r="AF326"/>
  <c r="AF327"/>
  <c r="AF328"/>
  <c r="AF331"/>
  <c r="AF332"/>
  <c r="AF333"/>
  <c r="AF334"/>
  <c r="AF335"/>
  <c r="AF336"/>
  <c r="AF337"/>
  <c r="AF338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61"/>
  <c r="AF362"/>
  <c r="AF182"/>
  <c r="AF177"/>
  <c r="AF181"/>
  <c r="AF56"/>
  <c r="AF57"/>
  <c r="AF58"/>
  <c r="AF158"/>
  <c r="AF59"/>
  <c r="AF153"/>
  <c r="AF60"/>
  <c r="AF61"/>
  <c r="AF62"/>
  <c r="AF63"/>
  <c r="AF64"/>
  <c r="AF65"/>
  <c r="AF66"/>
  <c r="AF67"/>
  <c r="AF152"/>
  <c r="AF161"/>
  <c r="AF68"/>
  <c r="AF69"/>
  <c r="AF70"/>
  <c r="AF162"/>
  <c r="AF159"/>
  <c r="AF71"/>
  <c r="AF175"/>
  <c r="AF149"/>
  <c r="AF72"/>
  <c r="AF73"/>
  <c r="AF74"/>
  <c r="AF75"/>
  <c r="AF76"/>
  <c r="AF77"/>
  <c r="AF78"/>
  <c r="AF79"/>
  <c r="AF80"/>
  <c r="AF81"/>
  <c r="AF82"/>
  <c r="AF83"/>
  <c r="AF156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66"/>
  <c r="AF116"/>
  <c r="AF117"/>
  <c r="AF118"/>
  <c r="AF119"/>
  <c r="AF120"/>
  <c r="AF121"/>
  <c r="AF122"/>
  <c r="AF123"/>
  <c r="AF124"/>
  <c r="AF125"/>
  <c r="AF179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65"/>
  <c r="AF142"/>
  <c r="AF55"/>
  <c r="AJ46" i="28"/>
  <c r="AF46"/>
  <c r="AI46"/>
  <c r="W46"/>
  <c r="AH46" l="1"/>
  <c r="Y46"/>
  <c r="Z46" s="1"/>
  <c r="V46"/>
  <c r="U46"/>
  <c r="R46"/>
  <c r="Q46"/>
  <c r="P46"/>
  <c r="O46"/>
  <c r="F46"/>
  <c r="E46"/>
  <c r="D46"/>
  <c r="C46"/>
  <c r="B46"/>
  <c r="A46"/>
  <c r="AJ47"/>
  <c r="AF47"/>
  <c r="W47"/>
  <c r="AI47"/>
  <c r="AH47" l="1"/>
  <c r="N46"/>
  <c r="Y47"/>
  <c r="Z47" s="1"/>
  <c r="V47"/>
  <c r="U47"/>
  <c r="R47"/>
  <c r="Q47"/>
  <c r="P47"/>
  <c r="O47"/>
  <c r="F47"/>
  <c r="E47"/>
  <c r="D47"/>
  <c r="C47"/>
  <c r="B47"/>
  <c r="A47"/>
  <c r="AJ1004" i="57"/>
  <c r="AI1004"/>
  <c r="W1004"/>
  <c r="N47" i="28" l="1"/>
  <c r="AH1004" i="57"/>
  <c r="AF1004"/>
  <c r="AA1004"/>
  <c r="Y1004" l="1"/>
  <c r="Z1004" s="1"/>
  <c r="V1004"/>
  <c r="T1004"/>
  <c r="U1004" s="1"/>
  <c r="R1004"/>
  <c r="Q1004"/>
  <c r="P1004"/>
  <c r="O1004"/>
  <c r="F1004"/>
  <c r="E1004"/>
  <c r="D1004"/>
  <c r="C1004"/>
  <c r="B1004"/>
  <c r="A1004"/>
  <c r="N1004" l="1"/>
  <c r="AF11" i="28"/>
  <c r="AF13"/>
  <c r="AF14"/>
  <c r="AF16"/>
  <c r="AF20"/>
  <c r="AF17"/>
  <c r="AF19"/>
  <c r="AF21"/>
  <c r="AF22"/>
  <c r="AF23"/>
  <c r="AF24"/>
  <c r="AF15"/>
  <c r="AF25"/>
  <c r="AF26"/>
  <c r="AF27"/>
  <c r="AF29"/>
  <c r="AF30"/>
  <c r="AF31"/>
  <c r="AF28"/>
  <c r="AF32"/>
  <c r="AF33"/>
  <c r="AF34"/>
  <c r="AF35"/>
  <c r="AF44" i="74"/>
  <c r="Y44" l="1"/>
  <c r="Z44" s="1"/>
  <c r="U44"/>
  <c r="AF43"/>
  <c r="Y43" l="1"/>
  <c r="Z43" s="1"/>
  <c r="U43"/>
  <c r="AF42"/>
  <c r="Y42" l="1"/>
  <c r="Z42" s="1"/>
  <c r="U42"/>
  <c r="Y153" i="114" l="1"/>
  <c r="Z153" s="1"/>
  <c r="U153"/>
  <c r="W59"/>
  <c r="AI59"/>
  <c r="AH59" l="1"/>
  <c r="Y59"/>
  <c r="Z59" s="1"/>
  <c r="U59"/>
  <c r="Y158" l="1"/>
  <c r="Z158" s="1"/>
  <c r="U158"/>
  <c r="W58"/>
  <c r="AI58"/>
  <c r="AH58" l="1"/>
  <c r="Y58"/>
  <c r="Z58" s="1"/>
  <c r="U58"/>
  <c r="AI57"/>
  <c r="W57"/>
  <c r="AH57" l="1"/>
  <c r="Y57"/>
  <c r="Z57" s="1"/>
  <c r="U57"/>
  <c r="AI56"/>
  <c r="W56"/>
  <c r="AH56" l="1"/>
  <c r="Y56"/>
  <c r="Z56" s="1"/>
  <c r="U56"/>
  <c r="Y181" l="1"/>
  <c r="Z181" s="1"/>
  <c r="U181"/>
  <c r="AM35" i="28"/>
  <c r="AM14"/>
  <c r="AM16"/>
  <c r="AM20"/>
  <c r="AM17"/>
  <c r="AM19"/>
  <c r="AM21"/>
  <c r="AM22"/>
  <c r="AM23"/>
  <c r="AM24"/>
  <c r="AM15"/>
  <c r="AM25"/>
  <c r="AM26"/>
  <c r="AM27"/>
  <c r="AM29"/>
  <c r="AM30"/>
  <c r="AM31"/>
  <c r="AM28"/>
  <c r="AM32"/>
  <c r="AM33"/>
  <c r="AM34"/>
  <c r="AM13"/>
  <c r="AH11" i="57"/>
  <c r="AH40"/>
  <c r="AH68"/>
  <c r="AH126"/>
  <c r="AH223"/>
  <c r="AH242"/>
  <c r="AH287"/>
  <c r="AH415"/>
  <c r="AH422"/>
  <c r="AH430"/>
  <c r="AH478"/>
  <c r="AH492"/>
  <c r="AH527"/>
  <c r="AH697"/>
  <c r="AH807"/>
  <c r="AH928"/>
  <c r="AH1018"/>
  <c r="AH1227"/>
  <c r="AH1265"/>
  <c r="AH1307"/>
  <c r="AH1439"/>
  <c r="AH1515"/>
  <c r="AH1546"/>
  <c r="AH1592"/>
  <c r="AH1637"/>
  <c r="AH1676"/>
  <c r="AH1690"/>
  <c r="AH1778"/>
  <c r="AH1805"/>
  <c r="AH1816"/>
  <c r="AH1822"/>
  <c r="Y189" i="114" l="1"/>
  <c r="Z189" s="1"/>
  <c r="U189"/>
  <c r="Y177" l="1"/>
  <c r="Z177" s="1"/>
  <c r="U177"/>
  <c r="AI55"/>
  <c r="W55"/>
  <c r="AH55" l="1"/>
  <c r="Y55"/>
  <c r="Z55" s="1"/>
  <c r="U55"/>
  <c r="Y185" l="1"/>
  <c r="Z185" s="1"/>
  <c r="U185"/>
  <c r="Y186" l="1"/>
  <c r="Z186" s="1"/>
  <c r="U186"/>
  <c r="Y190" l="1"/>
  <c r="Z190" s="1"/>
  <c r="U190"/>
  <c r="AJ49" i="28" l="1"/>
  <c r="AF49"/>
  <c r="AI49"/>
  <c r="W49"/>
  <c r="N541" i="57" l="1"/>
  <c r="N780"/>
  <c r="N754"/>
  <c r="N728"/>
  <c r="N1149"/>
  <c r="N1081"/>
  <c r="N821"/>
  <c r="N1011"/>
  <c r="N1007"/>
  <c r="N998"/>
  <c r="N1423"/>
  <c r="N1606"/>
  <c r="N1761"/>
  <c r="N553"/>
  <c r="N906"/>
  <c r="N975"/>
  <c r="N969"/>
  <c r="N967"/>
  <c r="N949"/>
  <c r="N945"/>
  <c r="N943"/>
  <c r="N941"/>
  <c r="N1033"/>
  <c r="N1031"/>
  <c r="N1247"/>
  <c r="N1239"/>
  <c r="N1237"/>
  <c r="N1233"/>
  <c r="N1436"/>
  <c r="N1424"/>
  <c r="N546"/>
  <c r="N540"/>
  <c r="N805"/>
  <c r="N797"/>
  <c r="N793"/>
  <c r="N779"/>
  <c r="N769"/>
  <c r="N925"/>
  <c r="N923"/>
  <c r="N909"/>
  <c r="N437"/>
  <c r="N686"/>
  <c r="N658"/>
  <c r="N582"/>
  <c r="N568"/>
  <c r="N1382"/>
  <c r="N1376"/>
  <c r="N1374"/>
  <c r="N1366"/>
  <c r="N1704"/>
  <c r="N1694"/>
  <c r="N1144"/>
  <c r="N1120"/>
  <c r="N1106"/>
  <c r="N1102"/>
  <c r="N1098"/>
  <c r="N1094"/>
  <c r="N1092"/>
  <c r="N1088"/>
  <c r="N1086"/>
  <c r="N1244"/>
  <c r="N804"/>
  <c r="N1739"/>
  <c r="N991"/>
  <c r="N981"/>
  <c r="N675"/>
  <c r="N613"/>
  <c r="N593"/>
  <c r="N962"/>
  <c r="N938"/>
  <c r="N888"/>
  <c r="N846"/>
  <c r="N1177"/>
  <c r="N1157"/>
  <c r="N1415"/>
  <c r="N1413"/>
  <c r="N1395"/>
  <c r="N1393"/>
  <c r="N1387"/>
  <c r="N1383"/>
  <c r="N1369"/>
  <c r="N1367"/>
  <c r="N1361"/>
  <c r="N1359"/>
  <c r="N1357"/>
  <c r="N1345"/>
  <c r="N1343"/>
  <c r="N1337"/>
  <c r="N1333"/>
  <c r="N1327"/>
  <c r="N1325"/>
  <c r="N1323"/>
  <c r="N1311"/>
  <c r="N1543"/>
  <c r="N1541"/>
  <c r="N1535"/>
  <c r="N1117"/>
  <c r="N1111"/>
  <c r="N1107"/>
  <c r="N1101"/>
  <c r="N1085"/>
  <c r="N1083"/>
  <c r="N1703"/>
  <c r="N1699"/>
  <c r="N1697"/>
  <c r="N1693"/>
  <c r="N887"/>
  <c r="N883"/>
  <c r="N881"/>
  <c r="N877"/>
  <c r="N863"/>
  <c r="N1362"/>
  <c r="N1358"/>
  <c r="N1354"/>
  <c r="N1350"/>
  <c r="N1530"/>
  <c r="N436"/>
  <c r="N429"/>
  <c r="N418"/>
  <c r="N693"/>
  <c r="N685"/>
  <c r="N681"/>
  <c r="N615"/>
  <c r="N583"/>
  <c r="N563"/>
  <c r="N555"/>
  <c r="N823"/>
  <c r="N1221"/>
  <c r="N1082"/>
  <c r="N1038"/>
  <c r="N1520"/>
  <c r="N1635"/>
  <c r="N1627"/>
  <c r="N1601"/>
  <c r="N1597"/>
  <c r="N1768"/>
  <c r="N1748"/>
  <c r="N549"/>
  <c r="N776"/>
  <c r="N774"/>
  <c r="N760"/>
  <c r="N756"/>
  <c r="N752"/>
  <c r="N744"/>
  <c r="N722"/>
  <c r="N916"/>
  <c r="N908"/>
  <c r="N900"/>
  <c r="N1143"/>
  <c r="N1139"/>
  <c r="N1129"/>
  <c r="N1125"/>
  <c r="N1032"/>
  <c r="N1024"/>
  <c r="N1260"/>
  <c r="N1256"/>
  <c r="N1437"/>
  <c r="N1429"/>
  <c r="N1425"/>
  <c r="N1696"/>
  <c r="N438"/>
  <c r="N427"/>
  <c r="N420"/>
  <c r="N687"/>
  <c r="N683"/>
  <c r="N669"/>
  <c r="N661"/>
  <c r="N657"/>
  <c r="N649"/>
  <c r="N633"/>
  <c r="N607"/>
  <c r="N988"/>
  <c r="N1058"/>
  <c r="N1522"/>
  <c r="N1629"/>
  <c r="N1621"/>
  <c r="N1617"/>
  <c r="N1611"/>
  <c r="N1774"/>
  <c r="N1766"/>
  <c r="N1754"/>
  <c r="N1750"/>
  <c r="N1742"/>
  <c r="N876"/>
  <c r="N870"/>
  <c r="N864"/>
  <c r="N858"/>
  <c r="N852"/>
  <c r="N29"/>
  <c r="N139"/>
  <c r="N233"/>
  <c r="N231"/>
  <c r="N331"/>
  <c r="N329"/>
  <c r="N453"/>
  <c r="N451"/>
  <c r="N447"/>
  <c r="N445"/>
  <c r="N439"/>
  <c r="N421"/>
  <c r="N688"/>
  <c r="N670"/>
  <c r="N668"/>
  <c r="N664"/>
  <c r="N660"/>
  <c r="N654"/>
  <c r="N644"/>
  <c r="N640"/>
  <c r="N638"/>
  <c r="N634"/>
  <c r="N630"/>
  <c r="N620"/>
  <c r="N787"/>
  <c r="N717"/>
  <c r="N927"/>
  <c r="N840"/>
  <c r="N836"/>
  <c r="N826"/>
  <c r="N822"/>
  <c r="N1014"/>
  <c r="N993"/>
  <c r="N1214"/>
  <c r="N1204"/>
  <c r="N1200"/>
  <c r="N1192"/>
  <c r="N1188"/>
  <c r="N1180"/>
  <c r="N1176"/>
  <c r="N1172"/>
  <c r="N1168"/>
  <c r="N1166"/>
  <c r="N1156"/>
  <c r="N1138"/>
  <c r="N1132"/>
  <c r="N1731"/>
  <c r="N1709"/>
  <c r="N1707"/>
  <c r="N901"/>
  <c r="N899"/>
  <c r="N959"/>
  <c r="N1112"/>
  <c r="N1538"/>
  <c r="N32"/>
  <c r="N130"/>
  <c r="N735"/>
  <c r="N872"/>
  <c r="N1147"/>
  <c r="N1108"/>
  <c r="N1021"/>
  <c r="N1261"/>
  <c r="N1253"/>
  <c r="N1241"/>
  <c r="N1734"/>
  <c r="N942"/>
  <c r="N1167"/>
  <c r="N1128"/>
  <c r="N1049"/>
  <c r="N1435"/>
  <c r="N1431"/>
  <c r="N1419"/>
  <c r="N1344"/>
  <c r="N1340"/>
  <c r="N1324"/>
  <c r="N1312"/>
  <c r="N1544"/>
  <c r="N1599"/>
  <c r="N609"/>
  <c r="N577"/>
  <c r="N771"/>
  <c r="N751"/>
  <c r="N1211"/>
  <c r="N1372"/>
  <c r="N1368"/>
  <c r="N653"/>
  <c r="N625"/>
  <c r="N621"/>
  <c r="N542"/>
  <c r="N534"/>
  <c r="N803"/>
  <c r="N799"/>
  <c r="N720"/>
  <c r="N920"/>
  <c r="N912"/>
  <c r="N861"/>
  <c r="N845"/>
  <c r="N837"/>
  <c r="N1219"/>
  <c r="N1030"/>
  <c r="N1022"/>
  <c r="N1262"/>
  <c r="N1246"/>
  <c r="N1412"/>
  <c r="N1408"/>
  <c r="N1400"/>
  <c r="N1396"/>
  <c r="N1529"/>
  <c r="N1521"/>
  <c r="N1628"/>
  <c r="N1608"/>
  <c r="N1596"/>
  <c r="N1775"/>
  <c r="N1767"/>
  <c r="N1747"/>
  <c r="N677"/>
  <c r="N618"/>
  <c r="N614"/>
  <c r="N610"/>
  <c r="N602"/>
  <c r="N586"/>
  <c r="N566"/>
  <c r="N768"/>
  <c r="N885"/>
  <c r="N1001"/>
  <c r="N1160"/>
  <c r="N1034"/>
  <c r="N1321"/>
  <c r="N1700"/>
  <c r="N830"/>
  <c r="N963"/>
  <c r="N1208"/>
  <c r="N140"/>
  <c r="N236"/>
  <c r="N328"/>
  <c r="N543"/>
  <c r="N535"/>
  <c r="N729"/>
  <c r="N721"/>
  <c r="N1153"/>
  <c r="N662"/>
  <c r="N551"/>
  <c r="N749"/>
  <c r="N940"/>
  <c r="N1173"/>
  <c r="N1169"/>
  <c r="N1165"/>
  <c r="N1059"/>
  <c r="N1055"/>
  <c r="N1417"/>
  <c r="N1409"/>
  <c r="N1338"/>
  <c r="N1334"/>
  <c r="N1326"/>
  <c r="N1318"/>
  <c r="N1314"/>
  <c r="N1201"/>
  <c r="N678"/>
  <c r="N643"/>
  <c r="N639"/>
  <c r="N631"/>
  <c r="N599"/>
  <c r="N591"/>
  <c r="N559"/>
  <c r="N761"/>
  <c r="N922"/>
  <c r="N914"/>
  <c r="N894"/>
  <c r="N987"/>
  <c r="N983"/>
  <c r="N1142"/>
  <c r="N1099"/>
  <c r="N35"/>
  <c r="N31"/>
  <c r="N137"/>
  <c r="N1414"/>
  <c r="N1406"/>
  <c r="N1402"/>
  <c r="N1394"/>
  <c r="N1523"/>
  <c r="N1634"/>
  <c r="N1618"/>
  <c r="N1598"/>
  <c r="N1769"/>
  <c r="N1753"/>
  <c r="N449"/>
  <c r="N659"/>
  <c r="N548"/>
  <c r="N785"/>
  <c r="N851"/>
  <c r="N1060"/>
  <c r="N1438"/>
  <c r="N1430"/>
  <c r="N679"/>
  <c r="N616"/>
  <c r="N608"/>
  <c r="N592"/>
  <c r="N584"/>
  <c r="N560"/>
  <c r="N770"/>
  <c r="N762"/>
  <c r="N1008"/>
  <c r="N1202"/>
  <c r="N1162"/>
  <c r="N1347"/>
  <c r="N1698"/>
  <c r="N38"/>
  <c r="N709"/>
  <c r="N703"/>
  <c r="N902"/>
  <c r="N1010"/>
  <c r="N957"/>
  <c r="N951"/>
  <c r="N1189"/>
  <c r="N1079"/>
  <c r="N1073"/>
  <c r="N1236"/>
  <c r="N1422"/>
  <c r="N1416"/>
  <c r="N1346"/>
  <c r="N1630"/>
  <c r="N1724"/>
  <c r="N732"/>
  <c r="N919"/>
  <c r="N1212"/>
  <c r="N1363"/>
  <c r="N134"/>
  <c r="N682"/>
  <c r="N636"/>
  <c r="N601"/>
  <c r="N589"/>
  <c r="N537"/>
  <c r="N773"/>
  <c r="N767"/>
  <c r="N755"/>
  <c r="N913"/>
  <c r="N878"/>
  <c r="N825"/>
  <c r="N968"/>
  <c r="N1148"/>
  <c r="N1136"/>
  <c r="N1119"/>
  <c r="N1096"/>
  <c r="N1090"/>
  <c r="N1084"/>
  <c r="N1043"/>
  <c r="N1026"/>
  <c r="N1264"/>
  <c r="N1258"/>
  <c r="N1252"/>
  <c r="N1433"/>
  <c r="N1427"/>
  <c r="N1404"/>
  <c r="N1398"/>
  <c r="N1322"/>
  <c r="N1600"/>
  <c r="N1777"/>
  <c r="N1771"/>
  <c r="N444"/>
  <c r="N676"/>
  <c r="N565"/>
  <c r="N784"/>
  <c r="N737"/>
  <c r="N731"/>
  <c r="N708"/>
  <c r="N889"/>
  <c r="N854"/>
  <c r="N1002"/>
  <c r="N979"/>
  <c r="N1205"/>
  <c r="N1159"/>
  <c r="N1130"/>
  <c r="N1124"/>
  <c r="N1072"/>
  <c r="N1066"/>
  <c r="N1037"/>
  <c r="N1235"/>
  <c r="N1380"/>
  <c r="N1339"/>
  <c r="N1534"/>
  <c r="N1528"/>
  <c r="N1623"/>
  <c r="N1705"/>
  <c r="N635"/>
  <c r="N990"/>
  <c r="N1170"/>
  <c r="N1118"/>
  <c r="N1025"/>
  <c r="N1257"/>
  <c r="N1426"/>
  <c r="N1397"/>
  <c r="N1605"/>
  <c r="N1770"/>
  <c r="N647"/>
  <c r="N235"/>
  <c r="N333"/>
  <c r="N606"/>
  <c r="N588"/>
  <c r="N530"/>
  <c r="N789"/>
  <c r="N719"/>
  <c r="N1199"/>
  <c r="N1141"/>
  <c r="N1385"/>
  <c r="N1764"/>
  <c r="N1746"/>
  <c r="N327"/>
  <c r="N600"/>
  <c r="N871"/>
  <c r="N629"/>
  <c r="N623"/>
  <c r="N713"/>
  <c r="N707"/>
  <c r="N882"/>
  <c r="N859"/>
  <c r="N853"/>
  <c r="N829"/>
  <c r="N978"/>
  <c r="N972"/>
  <c r="N1216"/>
  <c r="N1210"/>
  <c r="N1181"/>
  <c r="N1152"/>
  <c r="N1123"/>
  <c r="N1077"/>
  <c r="N1071"/>
  <c r="N1065"/>
  <c r="N1036"/>
  <c r="N1533"/>
  <c r="N1728"/>
  <c r="N1722"/>
  <c r="N772"/>
  <c r="N1164"/>
  <c r="N30"/>
  <c r="N138"/>
  <c r="N428"/>
  <c r="N663"/>
  <c r="N652"/>
  <c r="N617"/>
  <c r="N576"/>
  <c r="N570"/>
  <c r="N564"/>
  <c r="N558"/>
  <c r="N777"/>
  <c r="N736"/>
  <c r="N552"/>
  <c r="N800"/>
  <c r="N931"/>
  <c r="N1198"/>
  <c r="N1140"/>
  <c r="N1053"/>
  <c r="N1763"/>
  <c r="N1751"/>
  <c r="N1745"/>
  <c r="N234"/>
  <c r="N587"/>
  <c r="N806"/>
  <c r="N759"/>
  <c r="N718"/>
  <c r="N651"/>
  <c r="N628"/>
  <c r="N575"/>
  <c r="N569"/>
  <c r="N782"/>
  <c r="N747"/>
  <c r="N741"/>
  <c r="N712"/>
  <c r="N905"/>
  <c r="N828"/>
  <c r="N1000"/>
  <c r="N977"/>
  <c r="N954"/>
  <c r="N948"/>
  <c r="N1215"/>
  <c r="N1186"/>
  <c r="N1076"/>
  <c r="N1070"/>
  <c r="N1064"/>
  <c r="N1378"/>
  <c r="N1532"/>
  <c r="N1633"/>
  <c r="N1733"/>
  <c r="N1727"/>
  <c r="N1721"/>
  <c r="N1715"/>
  <c r="N645"/>
  <c r="N1116"/>
  <c r="N1087"/>
  <c r="N1319"/>
  <c r="N1609"/>
  <c r="N875"/>
  <c r="N869"/>
  <c r="N965"/>
  <c r="N1133"/>
  <c r="N1110"/>
  <c r="N441"/>
  <c r="N673"/>
  <c r="N781"/>
  <c r="N711"/>
  <c r="N904"/>
  <c r="N898"/>
  <c r="N857"/>
  <c r="N1006"/>
  <c r="N999"/>
  <c r="N976"/>
  <c r="N1220"/>
  <c r="N1191"/>
  <c r="N1075"/>
  <c r="N1069"/>
  <c r="N1418"/>
  <c r="N1377"/>
  <c r="N1348"/>
  <c r="N1726"/>
  <c r="N1714"/>
  <c r="N1708"/>
  <c r="N28"/>
  <c r="N435"/>
  <c r="N696"/>
  <c r="N684"/>
  <c r="N656"/>
  <c r="N562"/>
  <c r="N545"/>
  <c r="N763"/>
  <c r="N740"/>
  <c r="N734"/>
  <c r="N921"/>
  <c r="N886"/>
  <c r="N833"/>
  <c r="N1179"/>
  <c r="N1127"/>
  <c r="N1057"/>
  <c r="N1028"/>
  <c r="N1243"/>
  <c r="N1365"/>
  <c r="N1342"/>
  <c r="N1525"/>
  <c r="N1519"/>
  <c r="N1632"/>
  <c r="N1702"/>
  <c r="N632"/>
  <c r="N597"/>
  <c r="N1225"/>
  <c r="N1743"/>
  <c r="N330"/>
  <c r="N798"/>
  <c r="N868"/>
  <c r="N964"/>
  <c r="N1109"/>
  <c r="N1536"/>
  <c r="N1749"/>
  <c r="N926"/>
  <c r="N903"/>
  <c r="N856"/>
  <c r="N952"/>
  <c r="N1190"/>
  <c r="N1074"/>
  <c r="N1068"/>
  <c r="N1062"/>
  <c r="N1737"/>
  <c r="N1725"/>
  <c r="N1719"/>
  <c r="N452"/>
  <c r="N935"/>
  <c r="N1045"/>
  <c r="N1353"/>
  <c r="N39"/>
  <c r="N141"/>
  <c r="N434"/>
  <c r="N425"/>
  <c r="N695"/>
  <c r="N689"/>
  <c r="N637"/>
  <c r="N573"/>
  <c r="N561"/>
  <c r="N733"/>
  <c r="N844"/>
  <c r="N832"/>
  <c r="N986"/>
  <c r="N946"/>
  <c r="N1213"/>
  <c r="N1178"/>
  <c r="N1155"/>
  <c r="N1126"/>
  <c r="N1091"/>
  <c r="N1242"/>
  <c r="N1231"/>
  <c r="N1411"/>
  <c r="N1370"/>
  <c r="N1364"/>
  <c r="N1329"/>
  <c r="N1518"/>
  <c r="N1631"/>
  <c r="N1625"/>
  <c r="N1607"/>
  <c r="N1701"/>
  <c r="N1695"/>
  <c r="N232"/>
  <c r="N603"/>
  <c r="N533"/>
  <c r="N1196"/>
  <c r="N1755"/>
  <c r="N672"/>
  <c r="N710"/>
  <c r="N596"/>
  <c r="N791"/>
  <c r="N820"/>
  <c r="N814"/>
  <c r="N1016"/>
  <c r="N1224"/>
  <c r="N1195"/>
  <c r="N265" i="28"/>
  <c r="N305"/>
  <c r="N147"/>
  <c r="N123"/>
  <c r="N119"/>
  <c r="N115"/>
  <c r="N107"/>
  <c r="N99"/>
  <c r="N95"/>
  <c r="N91"/>
  <c r="N318"/>
  <c r="N306"/>
  <c r="N294"/>
  <c r="N282"/>
  <c r="N278"/>
  <c r="N87"/>
  <c r="N190"/>
  <c r="N241"/>
  <c r="N233"/>
  <c r="N221"/>
  <c r="N259"/>
  <c r="N243"/>
  <c r="N235"/>
  <c r="N264"/>
  <c r="N260"/>
  <c r="N308"/>
  <c r="N304"/>
  <c r="N284"/>
  <c r="N280"/>
  <c r="N193"/>
  <c r="N326"/>
  <c r="N227"/>
  <c r="N327"/>
  <c r="N323"/>
  <c r="N228"/>
  <c r="N220"/>
  <c r="N188"/>
  <c r="N144"/>
  <c r="N140"/>
  <c r="N132"/>
  <c r="N128"/>
  <c r="N124"/>
  <c r="N120"/>
  <c r="N116"/>
  <c r="N108"/>
  <c r="N104"/>
  <c r="N100"/>
  <c r="N96"/>
  <c r="N80"/>
  <c r="N76"/>
  <c r="N129"/>
  <c r="N261"/>
  <c r="N257"/>
  <c r="N230"/>
  <c r="N334"/>
  <c r="N330"/>
  <c r="N183"/>
  <c r="N179"/>
  <c r="N75"/>
  <c r="N71"/>
  <c r="N319"/>
  <c r="N315"/>
  <c r="N291"/>
  <c r="N196"/>
  <c r="N192"/>
  <c r="N212"/>
  <c r="N320"/>
  <c r="N292"/>
  <c r="N288"/>
  <c r="N185"/>
  <c r="N145"/>
  <c r="N141"/>
  <c r="N137"/>
  <c r="N133"/>
  <c r="N240"/>
  <c r="N208"/>
  <c r="N331"/>
  <c r="N216"/>
  <c r="N209"/>
  <c r="N321"/>
  <c r="N313"/>
  <c r="N309"/>
  <c r="N289"/>
  <c r="N285"/>
  <c r="N281"/>
  <c r="N186"/>
  <c r="N174"/>
  <c r="N130"/>
  <c r="N122"/>
  <c r="N106"/>
  <c r="N98"/>
  <c r="N94"/>
  <c r="N90"/>
  <c r="N86"/>
  <c r="N78"/>
  <c r="N74"/>
  <c r="N329"/>
  <c r="N242"/>
  <c r="N238"/>
  <c r="N234"/>
  <c r="N222"/>
  <c r="N218"/>
  <c r="N214"/>
  <c r="N206"/>
  <c r="N198"/>
  <c r="N262"/>
  <c r="N254"/>
  <c r="N290"/>
  <c r="N171"/>
  <c r="N163"/>
  <c r="N151"/>
  <c r="N231"/>
  <c r="N219"/>
  <c r="N203"/>
  <c r="N255"/>
  <c r="N251"/>
  <c r="N303"/>
  <c r="N283"/>
  <c r="N267"/>
  <c r="N333"/>
  <c r="N237"/>
  <c r="N299"/>
  <c r="N295"/>
  <c r="N245"/>
  <c r="N187"/>
  <c r="N168"/>
  <c r="N164"/>
  <c r="N253"/>
  <c r="N195"/>
  <c r="N176"/>
  <c r="N121"/>
  <c r="N105"/>
  <c r="N97"/>
  <c r="N81"/>
  <c r="N69"/>
  <c r="N65"/>
  <c r="N61"/>
  <c r="N207"/>
  <c r="N296"/>
  <c r="N250"/>
  <c r="N246"/>
  <c r="N223"/>
  <c r="N184"/>
  <c r="N169"/>
  <c r="N165"/>
  <c r="N161"/>
  <c r="N157"/>
  <c r="N153"/>
  <c r="N316"/>
  <c r="N312"/>
  <c r="N239"/>
  <c r="N200"/>
  <c r="N146"/>
  <c r="N324"/>
  <c r="N270"/>
  <c r="N266"/>
  <c r="N189"/>
  <c r="N170"/>
  <c r="N166"/>
  <c r="N162"/>
  <c r="N158"/>
  <c r="N67"/>
  <c r="N31"/>
  <c r="N35"/>
  <c r="N28"/>
  <c r="N332"/>
  <c r="N317"/>
  <c r="N236"/>
  <c r="N217"/>
  <c r="N213"/>
  <c r="N182"/>
  <c r="N143"/>
  <c r="N139"/>
  <c r="N135"/>
  <c r="N131"/>
  <c r="N127"/>
  <c r="N83"/>
  <c r="N286"/>
  <c r="N263"/>
  <c r="N275"/>
  <c r="N271"/>
  <c r="N248"/>
  <c r="N225"/>
  <c r="N167"/>
  <c r="N159"/>
  <c r="N314"/>
  <c r="N310"/>
  <c r="N302"/>
  <c r="N279"/>
  <c r="N194"/>
  <c r="N175"/>
  <c r="N88"/>
  <c r="N72"/>
  <c r="N37" i="57"/>
  <c r="N33"/>
  <c r="N136"/>
  <c r="N132"/>
  <c r="N332"/>
  <c r="N691"/>
  <c r="N666"/>
  <c r="N641"/>
  <c r="N612"/>
  <c r="N590"/>
  <c r="N579"/>
  <c r="N531"/>
  <c r="N801"/>
  <c r="N924"/>
  <c r="N838"/>
  <c r="N834"/>
  <c r="N1003"/>
  <c r="N966"/>
  <c r="N955"/>
  <c r="N944"/>
  <c r="N933"/>
  <c r="N1218"/>
  <c r="N1182"/>
  <c r="N1171"/>
  <c r="N1146"/>
  <c r="N1103"/>
  <c r="N1051"/>
  <c r="N1047"/>
  <c r="N1039"/>
  <c r="N1245"/>
  <c r="N1238"/>
  <c r="N1381"/>
  <c r="N1355"/>
  <c r="N1527"/>
  <c r="N1619"/>
  <c r="N1772"/>
  <c r="N1757"/>
  <c r="N1730"/>
  <c r="N572"/>
  <c r="N557"/>
  <c r="N539"/>
  <c r="N786"/>
  <c r="N775"/>
  <c r="N745"/>
  <c r="N715"/>
  <c r="N917"/>
  <c r="N891"/>
  <c r="N880"/>
  <c r="N842"/>
  <c r="N1012"/>
  <c r="N992"/>
  <c r="N937"/>
  <c r="N1175"/>
  <c r="N1161"/>
  <c r="N1310"/>
  <c r="N1542"/>
  <c r="N1765"/>
  <c r="N1738"/>
  <c r="N442"/>
  <c r="N674"/>
  <c r="N624"/>
  <c r="N605"/>
  <c r="N598"/>
  <c r="N594"/>
  <c r="N550"/>
  <c r="N794"/>
  <c r="N790"/>
  <c r="N764"/>
  <c r="N753"/>
  <c r="N730"/>
  <c r="N726"/>
  <c r="N704"/>
  <c r="N700"/>
  <c r="N910"/>
  <c r="N895"/>
  <c r="N884"/>
  <c r="N865"/>
  <c r="N850"/>
  <c r="N827"/>
  <c r="N816"/>
  <c r="N812"/>
  <c r="N996"/>
  <c r="N985"/>
  <c r="N974"/>
  <c r="N970"/>
  <c r="N1222"/>
  <c r="N1193"/>
  <c r="N1150"/>
  <c r="N1121"/>
  <c r="N1114"/>
  <c r="N1100"/>
  <c r="N1249"/>
  <c r="N1389"/>
  <c r="N1776"/>
  <c r="N1711"/>
  <c r="N1356"/>
  <c r="N1352"/>
  <c r="N1341"/>
  <c r="N1531"/>
  <c r="N1616"/>
  <c r="N1612"/>
  <c r="N1723"/>
  <c r="N34"/>
  <c r="N133"/>
  <c r="N237"/>
  <c r="N450"/>
  <c r="N446"/>
  <c r="N692"/>
  <c r="N667"/>
  <c r="N642"/>
  <c r="N580"/>
  <c r="N532"/>
  <c r="N802"/>
  <c r="N783"/>
  <c r="N757"/>
  <c r="N742"/>
  <c r="N738"/>
  <c r="N873"/>
  <c r="N839"/>
  <c r="N835"/>
  <c r="N831"/>
  <c r="N1005"/>
  <c r="N989"/>
  <c r="N956"/>
  <c r="N934"/>
  <c r="N1226"/>
  <c r="N1197"/>
  <c r="N1183"/>
  <c r="N1154"/>
  <c r="N1104"/>
  <c r="N1078"/>
  <c r="N1052"/>
  <c r="N1048"/>
  <c r="N1044"/>
  <c r="N1040"/>
  <c r="N1029"/>
  <c r="N1405"/>
  <c r="N1401"/>
  <c r="N1371"/>
  <c r="N1360"/>
  <c r="N1539"/>
  <c r="N1524"/>
  <c r="N1624"/>
  <c r="N1620"/>
  <c r="N1773"/>
  <c r="N1762"/>
  <c r="N1758"/>
  <c r="N671"/>
  <c r="N646"/>
  <c r="N554"/>
  <c r="N547"/>
  <c r="N536"/>
  <c r="N746"/>
  <c r="N716"/>
  <c r="N918"/>
  <c r="N907"/>
  <c r="N892"/>
  <c r="N862"/>
  <c r="N843"/>
  <c r="N824"/>
  <c r="N1013"/>
  <c r="N1009"/>
  <c r="N982"/>
  <c r="N1187"/>
  <c r="N1158"/>
  <c r="N1097"/>
  <c r="N1093"/>
  <c r="N1089"/>
  <c r="N1232"/>
  <c r="N1434"/>
  <c r="N1386"/>
  <c r="N1375"/>
  <c r="N1349"/>
  <c r="N1330"/>
  <c r="N432"/>
  <c r="N443"/>
  <c r="N650"/>
  <c r="N595"/>
  <c r="N795"/>
  <c r="N765"/>
  <c r="N750"/>
  <c r="N727"/>
  <c r="N723"/>
  <c r="N705"/>
  <c r="N701"/>
  <c r="N911"/>
  <c r="N896"/>
  <c r="N866"/>
  <c r="N847"/>
  <c r="N817"/>
  <c r="N813"/>
  <c r="N1017"/>
  <c r="N997"/>
  <c r="N971"/>
  <c r="N960"/>
  <c r="N1223"/>
  <c r="N1209"/>
  <c r="N1194"/>
  <c r="N1151"/>
  <c r="N1137"/>
  <c r="N1122"/>
  <c r="N1115"/>
  <c r="N1056"/>
  <c r="N1250"/>
  <c r="N1315"/>
  <c r="N1613"/>
  <c r="N1602"/>
  <c r="N1735"/>
  <c r="N1716"/>
  <c r="N1712"/>
  <c r="N855"/>
  <c r="N953"/>
  <c r="N1390"/>
  <c r="N334"/>
  <c r="N544"/>
  <c r="N758"/>
  <c r="N743"/>
  <c r="N739"/>
  <c r="N915"/>
  <c r="N874"/>
  <c r="N1067"/>
  <c r="N1063"/>
  <c r="N1254"/>
  <c r="N1379"/>
  <c r="N1636"/>
  <c r="N1720"/>
  <c r="N581"/>
  <c r="N1184"/>
  <c r="N1105"/>
  <c r="N1041"/>
  <c r="N1420"/>
  <c r="N1540"/>
  <c r="N1610"/>
  <c r="N1595"/>
  <c r="N1759"/>
  <c r="N1736"/>
  <c r="N1732"/>
  <c r="N1713"/>
  <c r="N440"/>
  <c r="N626"/>
  <c r="N622"/>
  <c r="N585"/>
  <c r="N574"/>
  <c r="N796"/>
  <c r="N792"/>
  <c r="N788"/>
  <c r="N766"/>
  <c r="N724"/>
  <c r="N706"/>
  <c r="N702"/>
  <c r="N897"/>
  <c r="N893"/>
  <c r="N867"/>
  <c r="N848"/>
  <c r="N818"/>
  <c r="N810"/>
  <c r="N994"/>
  <c r="N961"/>
  <c r="N950"/>
  <c r="N939"/>
  <c r="N1206"/>
  <c r="N1163"/>
  <c r="N1134"/>
  <c r="N1251"/>
  <c r="N1240"/>
  <c r="N1410"/>
  <c r="N1391"/>
  <c r="N1335"/>
  <c r="N1331"/>
  <c r="N1320"/>
  <c r="N1316"/>
  <c r="N1614"/>
  <c r="N1603"/>
  <c r="N1740"/>
  <c r="N1717"/>
  <c r="N1023"/>
  <c r="N1263"/>
  <c r="N1259"/>
  <c r="N1255"/>
  <c r="N36"/>
  <c r="N135"/>
  <c r="N131"/>
  <c r="N448"/>
  <c r="N690"/>
  <c r="N665"/>
  <c r="N611"/>
  <c r="N578"/>
  <c r="N567"/>
  <c r="N860"/>
  <c r="N980"/>
  <c r="N932"/>
  <c r="N1217"/>
  <c r="N1185"/>
  <c r="N1145"/>
  <c r="N1080"/>
  <c r="N1050"/>
  <c r="N1046"/>
  <c r="N1042"/>
  <c r="N1027"/>
  <c r="N1432"/>
  <c r="N1428"/>
  <c r="N1421"/>
  <c r="N1403"/>
  <c r="N1399"/>
  <c r="N1384"/>
  <c r="N1373"/>
  <c r="N1328"/>
  <c r="N1537"/>
  <c r="N1526"/>
  <c r="N1622"/>
  <c r="N1760"/>
  <c r="N1756"/>
  <c r="N1752"/>
  <c r="N1744"/>
  <c r="N1729"/>
  <c r="N1706"/>
  <c r="N433"/>
  <c r="N426"/>
  <c r="N419"/>
  <c r="N694"/>
  <c r="N680"/>
  <c r="N655"/>
  <c r="N648"/>
  <c r="N619"/>
  <c r="N604"/>
  <c r="N571"/>
  <c r="N556"/>
  <c r="N538"/>
  <c r="N778"/>
  <c r="N748"/>
  <c r="N714"/>
  <c r="N890"/>
  <c r="N879"/>
  <c r="N841"/>
  <c r="N958"/>
  <c r="N947"/>
  <c r="N936"/>
  <c r="N1203"/>
  <c r="N1174"/>
  <c r="N1131"/>
  <c r="N1095"/>
  <c r="N1054"/>
  <c r="N1230"/>
  <c r="N1407"/>
  <c r="N1332"/>
  <c r="N1313"/>
  <c r="N1545"/>
  <c r="N1626"/>
  <c r="N849"/>
  <c r="N819"/>
  <c r="N815"/>
  <c r="N811"/>
  <c r="N1015"/>
  <c r="N995"/>
  <c r="N984"/>
  <c r="N973"/>
  <c r="N1207"/>
  <c r="N1135"/>
  <c r="N1113"/>
  <c r="N1061"/>
  <c r="N1035"/>
  <c r="N1248"/>
  <c r="N1234"/>
  <c r="N1392"/>
  <c r="N1388"/>
  <c r="N1351"/>
  <c r="N1336"/>
  <c r="N1317"/>
  <c r="N1615"/>
  <c r="N1604"/>
  <c r="N1741"/>
  <c r="N1718"/>
  <c r="N1710"/>
  <c r="N627"/>
  <c r="N725"/>
  <c r="N287" i="28"/>
  <c r="N269"/>
  <c r="N244"/>
  <c r="N191"/>
  <c r="N173"/>
  <c r="N136"/>
  <c r="N102"/>
  <c r="N79"/>
  <c r="N298"/>
  <c r="N273"/>
  <c r="N202"/>
  <c r="N177"/>
  <c r="N27"/>
  <c r="N32"/>
  <c r="N277"/>
  <c r="N252"/>
  <c r="N181"/>
  <c r="N156"/>
  <c r="N152"/>
  <c r="N148"/>
  <c r="N125"/>
  <c r="N118"/>
  <c r="N114"/>
  <c r="N110"/>
  <c r="N274"/>
  <c r="N256"/>
  <c r="N249"/>
  <c r="N224"/>
  <c r="N210"/>
  <c r="N199"/>
  <c r="N178"/>
  <c r="N160"/>
  <c r="N126"/>
  <c r="N103"/>
  <c r="N92"/>
  <c r="N84"/>
  <c r="N73"/>
  <c r="N29"/>
  <c r="N33"/>
  <c r="N149"/>
  <c r="N142"/>
  <c r="N138"/>
  <c r="N134"/>
  <c r="N111"/>
  <c r="N77"/>
  <c r="N70"/>
  <c r="N66"/>
  <c r="N62"/>
  <c r="N328"/>
  <c r="N232"/>
  <c r="N93"/>
  <c r="N89"/>
  <c r="N85"/>
  <c r="N30"/>
  <c r="N34"/>
  <c r="N325"/>
  <c r="N307"/>
  <c r="N300"/>
  <c r="N229"/>
  <c r="N211"/>
  <c r="N204"/>
  <c r="N154"/>
  <c r="N150"/>
  <c r="N112"/>
  <c r="N63"/>
  <c r="N311"/>
  <c r="N293"/>
  <c r="N268"/>
  <c r="N215"/>
  <c r="N197"/>
  <c r="N172"/>
  <c r="N101"/>
  <c r="N82"/>
  <c r="N322"/>
  <c r="N297"/>
  <c r="N272"/>
  <c r="N258"/>
  <c r="N247"/>
  <c r="N226"/>
  <c r="N201"/>
  <c r="N301"/>
  <c r="N276"/>
  <c r="N205"/>
  <c r="N180"/>
  <c r="N155"/>
  <c r="N117"/>
  <c r="N113"/>
  <c r="N109"/>
  <c r="N68"/>
  <c r="N64"/>
  <c r="Y49"/>
  <c r="Z49" s="1"/>
  <c r="V49"/>
  <c r="U49"/>
  <c r="R49"/>
  <c r="Q49"/>
  <c r="P49"/>
  <c r="O49"/>
  <c r="F49"/>
  <c r="E49"/>
  <c r="D49"/>
  <c r="C49"/>
  <c r="B49"/>
  <c r="A49"/>
  <c r="AH49" s="1"/>
  <c r="AJ1348" i="57"/>
  <c r="AF1348"/>
  <c r="AA1348"/>
  <c r="AI1348"/>
  <c r="W1348"/>
  <c r="AH1348" l="1"/>
  <c r="N49" i="28"/>
  <c r="Y1348" i="57"/>
  <c r="Z1348" s="1"/>
  <c r="V1348"/>
  <c r="T1348"/>
  <c r="U1348" s="1"/>
  <c r="R1348"/>
  <c r="Q1348"/>
  <c r="P1348"/>
  <c r="O1348"/>
  <c r="F1348"/>
  <c r="E1348"/>
  <c r="D1348"/>
  <c r="C1348"/>
  <c r="B1348"/>
  <c r="A1348"/>
  <c r="AJ50" i="28"/>
  <c r="AF50"/>
  <c r="W50"/>
  <c r="AI50"/>
  <c r="Y50" l="1"/>
  <c r="Z50" s="1"/>
  <c r="V50"/>
  <c r="U50"/>
  <c r="R50"/>
  <c r="Q50"/>
  <c r="P50"/>
  <c r="O50"/>
  <c r="F50"/>
  <c r="E50"/>
  <c r="D50"/>
  <c r="C50"/>
  <c r="B50"/>
  <c r="A50"/>
  <c r="AH50" s="1"/>
  <c r="AJ1136" i="57"/>
  <c r="W1136"/>
  <c r="AI1136"/>
  <c r="AH1136" l="1"/>
  <c r="N50" i="28"/>
  <c r="AF1136" i="57"/>
  <c r="AA1136"/>
  <c r="Y1136" l="1"/>
  <c r="Z1136" s="1"/>
  <c r="V1136"/>
  <c r="T1136"/>
  <c r="U1136" s="1"/>
  <c r="R1136"/>
  <c r="Q1136"/>
  <c r="P1136"/>
  <c r="O1136"/>
  <c r="F1136"/>
  <c r="E1136"/>
  <c r="D1136"/>
  <c r="C1136"/>
  <c r="B1136"/>
  <c r="A1136"/>
  <c r="AF46" i="74"/>
  <c r="Y46" l="1"/>
  <c r="Z46" s="1"/>
  <c r="U46"/>
  <c r="AF16"/>
  <c r="AI16"/>
  <c r="W16"/>
  <c r="AH16" l="1"/>
  <c r="Y16"/>
  <c r="Z16" s="1"/>
  <c r="U16"/>
  <c r="AF45"/>
  <c r="Y45" l="1"/>
  <c r="Z45" s="1"/>
  <c r="U45"/>
  <c r="Y183" i="114" l="1"/>
  <c r="Z183" s="1"/>
  <c r="U183"/>
  <c r="Y194" l="1"/>
  <c r="Z194" s="1"/>
  <c r="U194"/>
  <c r="Y195" l="1"/>
  <c r="Z195" s="1"/>
  <c r="U195"/>
  <c r="Y192" l="1"/>
  <c r="Z192" s="1"/>
  <c r="U192"/>
  <c r="Y191" l="1"/>
  <c r="Z191" s="1"/>
  <c r="U191"/>
  <c r="AI60"/>
  <c r="W60"/>
  <c r="AH60" l="1"/>
  <c r="Y60"/>
  <c r="Z60" s="1"/>
  <c r="U60"/>
  <c r="Y193" l="1"/>
  <c r="Z193" s="1"/>
  <c r="U193"/>
  <c r="AJ1065" i="57" l="1"/>
  <c r="AJ1781"/>
  <c r="AJ1807"/>
  <c r="AJ949"/>
  <c r="AJ834"/>
  <c r="AJ1717"/>
  <c r="AJ580"/>
  <c r="AJ1105"/>
  <c r="AJ850"/>
  <c r="AJ588"/>
  <c r="AJ1113"/>
  <c r="AJ1733"/>
  <c r="AJ1121"/>
  <c r="AJ1481"/>
  <c r="AJ757"/>
  <c r="AJ866"/>
  <c r="AJ331"/>
  <c r="AJ339"/>
  <c r="AJ363"/>
  <c r="AJ522"/>
  <c r="AJ1129"/>
  <c r="AJ604"/>
  <c r="AJ467"/>
  <c r="AJ765"/>
  <c r="AJ612"/>
  <c r="AJ1138"/>
  <c r="AJ620"/>
  <c r="AJ1741"/>
  <c r="AJ981"/>
  <c r="AJ1285"/>
  <c r="AJ890"/>
  <c r="AJ773"/>
  <c r="AJ1790"/>
  <c r="AJ1489"/>
  <c r="AJ1497"/>
  <c r="AJ1505"/>
  <c r="AJ1584"/>
  <c r="AJ1625"/>
  <c r="AJ1662"/>
  <c r="AJ1629"/>
  <c r="AJ1634"/>
  <c r="AJ628"/>
  <c r="AJ1154"/>
  <c r="AJ1793"/>
  <c r="AJ1162"/>
  <c r="AJ781"/>
  <c r="AJ898"/>
  <c r="AJ1251"/>
  <c r="AJ989"/>
  <c r="AJ1750"/>
  <c r="AJ1667"/>
  <c r="AJ1178"/>
  <c r="AJ636"/>
  <c r="AJ1293"/>
  <c r="AJ644"/>
  <c r="AJ1194"/>
  <c r="AJ379"/>
  <c r="AJ1001"/>
  <c r="AJ660"/>
  <c r="AJ1798"/>
  <c r="AJ1347"/>
  <c r="AJ1006"/>
  <c r="AJ1353"/>
  <c r="AJ668"/>
  <c r="AJ400"/>
  <c r="AJ1356"/>
  <c r="AJ1765"/>
  <c r="AJ1202"/>
  <c r="AJ676"/>
  <c r="AJ1811"/>
  <c r="AJ1301"/>
  <c r="AJ1302"/>
  <c r="AJ1360"/>
  <c r="AJ1364"/>
  <c r="AJ685"/>
  <c r="AJ1210"/>
  <c r="AJ1259"/>
  <c r="AJ1771"/>
  <c r="AJ922"/>
  <c r="AJ1014"/>
  <c r="AJ1217"/>
  <c r="AJ1218"/>
  <c r="AJ926"/>
  <c r="AJ693"/>
  <c r="AJ1226"/>
  <c r="AJ805"/>
  <c r="AJ1372"/>
  <c r="AJ1377"/>
  <c r="AJ1671"/>
  <c r="AJ1380"/>
  <c r="AJ1388"/>
  <c r="AJ1395"/>
  <c r="AJ1802"/>
  <c r="AJ1396"/>
  <c r="AJ475"/>
  <c r="AJ1404"/>
  <c r="AJ1405"/>
  <c r="AJ1590"/>
  <c r="AJ1412"/>
  <c r="AJ1414"/>
  <c r="AJ1513"/>
  <c r="AJ806"/>
  <c r="AJ1420"/>
  <c r="AJ1684"/>
  <c r="AJ1428"/>
  <c r="AA1575"/>
  <c r="AA19" i="118"/>
  <c r="AA1657" i="57"/>
  <c r="AA1234"/>
  <c r="AA30" i="118"/>
  <c r="AA730" i="57"/>
  <c r="AA1238"/>
  <c r="AA313"/>
  <c r="AA1325"/>
  <c r="AA1717"/>
  <c r="AA1242"/>
  <c r="AA750"/>
  <c r="AA754"/>
  <c r="AA317"/>
  <c r="AA758"/>
  <c r="AA325"/>
  <c r="AA329"/>
  <c r="AA337"/>
  <c r="AA349"/>
  <c r="AA361"/>
  <c r="AA1329"/>
  <c r="AA365"/>
  <c r="AA373"/>
  <c r="AA466"/>
  <c r="AA490"/>
  <c r="AA766"/>
  <c r="AA1333"/>
  <c r="AA1583"/>
  <c r="AA1285"/>
  <c r="AA1337"/>
  <c r="AA774"/>
  <c r="AA1825"/>
  <c r="AA1587"/>
  <c r="AA1626"/>
  <c r="AA1665"/>
  <c r="AA1630"/>
  <c r="AA1634"/>
  <c r="AA1792"/>
  <c r="AA778"/>
  <c r="AA377"/>
  <c r="AA1250"/>
  <c r="AA782"/>
  <c r="AA1341"/>
  <c r="AA1293"/>
  <c r="AA1254"/>
  <c r="AA790"/>
  <c r="AA1796"/>
  <c r="AA38" i="118"/>
  <c r="AA1345" i="57"/>
  <c r="AA381"/>
  <c r="AA389"/>
  <c r="AA794"/>
  <c r="AA1297"/>
  <c r="AA397"/>
  <c r="AA1354"/>
  <c r="AA401"/>
  <c r="AA405"/>
  <c r="AA1301"/>
  <c r="AA1360"/>
  <c r="AA682"/>
  <c r="AA1669"/>
  <c r="AA1258"/>
  <c r="AA216"/>
  <c r="AA802"/>
  <c r="AA1773"/>
  <c r="AA409"/>
  <c r="AA1545"/>
  <c r="AA220"/>
  <c r="AA1305"/>
  <c r="AA413"/>
  <c r="AA1800"/>
  <c r="AA1673"/>
  <c r="AA1777"/>
  <c r="AA1682"/>
  <c r="AA1686"/>
  <c r="AA806"/>
  <c r="AJ135"/>
  <c r="AJ138"/>
  <c r="AJ142"/>
  <c r="AJ143"/>
  <c r="AJ153"/>
  <c r="AJ1022"/>
  <c r="AJ290"/>
  <c r="AJ228"/>
  <c r="AJ232"/>
  <c r="AJ236"/>
  <c r="AJ246"/>
  <c r="AJ247"/>
  <c r="AJ250"/>
  <c r="AJ294"/>
  <c r="AJ254"/>
  <c r="AJ258"/>
  <c r="AJ295"/>
  <c r="AJ296"/>
  <c r="AJ36"/>
  <c r="AJ300"/>
  <c r="AJ305"/>
  <c r="AJ1692"/>
  <c r="AJ306"/>
  <c r="AJ1445"/>
  <c r="AJ418"/>
  <c r="AJ421"/>
  <c r="AJ424"/>
  <c r="AJ425"/>
  <c r="AJ433"/>
  <c r="AJ434"/>
  <c r="AJ435"/>
  <c r="AJ441"/>
  <c r="AJ442"/>
  <c r="AJ443"/>
  <c r="AJ449"/>
  <c r="AJ450"/>
  <c r="AJ451"/>
  <c r="AJ457"/>
  <c r="AJ161"/>
  <c r="AJ1025"/>
  <c r="AJ461"/>
  <c r="AJ485"/>
  <c r="AJ486"/>
  <c r="AJ506"/>
  <c r="AJ508"/>
  <c r="AJ509"/>
  <c r="AJ510"/>
  <c r="AJ165"/>
  <c r="AJ513"/>
  <c r="AJ514"/>
  <c r="AJ529"/>
  <c r="AJ1028"/>
  <c r="AK1" i="118"/>
  <c r="AJ703" i="57"/>
  <c r="AJ536"/>
  <c r="AJ933"/>
  <c r="AJ1229"/>
  <c r="AJ1695"/>
  <c r="AJ1031"/>
  <c r="AJ706"/>
  <c r="AJ538"/>
  <c r="AJ710"/>
  <c r="AJ812"/>
  <c r="AJ1034"/>
  <c r="AJ711"/>
  <c r="AJ714"/>
  <c r="AJ715"/>
  <c r="AJ543"/>
  <c r="AK25" i="118"/>
  <c r="AJ1039" i="57"/>
  <c r="AJ1041"/>
  <c r="AJ721"/>
  <c r="AJ722"/>
  <c r="AJ1702"/>
  <c r="AJ544"/>
  <c r="AJ936"/>
  <c r="AJ723"/>
  <c r="AJ1319"/>
  <c r="AJ937"/>
  <c r="AJ939"/>
  <c r="AJ1047"/>
  <c r="AJ550"/>
  <c r="AJ1049"/>
  <c r="AJ818"/>
  <c r="AJ1050"/>
  <c r="AJ1271"/>
  <c r="AJ819"/>
  <c r="AJ820"/>
  <c r="AJ1447"/>
  <c r="AJ1824"/>
  <c r="AJ1453"/>
  <c r="AJ1460"/>
  <c r="AJ1461"/>
  <c r="AB7" i="118"/>
  <c r="AA129" i="57"/>
  <c r="AA500"/>
  <c r="AA141"/>
  <c r="AA143"/>
  <c r="AA145"/>
  <c r="AA147"/>
  <c r="AA149"/>
  <c r="AA504"/>
  <c r="AA699"/>
  <c r="AA152"/>
  <c r="AA153"/>
  <c r="AA1022"/>
  <c r="AA157"/>
  <c r="AA290"/>
  <c r="AA225"/>
  <c r="AA226"/>
  <c r="AA227"/>
  <c r="AA228"/>
  <c r="AA234"/>
  <c r="AA235"/>
  <c r="AA236"/>
  <c r="AA244"/>
  <c r="AA245"/>
  <c r="AA247"/>
  <c r="AA252"/>
  <c r="AA294"/>
  <c r="AA254"/>
  <c r="AA259"/>
  <c r="AA260"/>
  <c r="AA296"/>
  <c r="AA301"/>
  <c r="AA305"/>
  <c r="AA1692"/>
  <c r="AA306"/>
  <c r="AA37"/>
  <c r="AA310"/>
  <c r="AA417"/>
  <c r="AA418"/>
  <c r="AA421"/>
  <c r="AA425"/>
  <c r="AA429"/>
  <c r="AA432"/>
  <c r="AA435"/>
  <c r="AA440"/>
  <c r="AA443"/>
  <c r="AA448"/>
  <c r="AA451"/>
  <c r="AA456"/>
  <c r="AA161"/>
  <c r="AA1025"/>
  <c r="AA460"/>
  <c r="AA162"/>
  <c r="AA461"/>
  <c r="AA482"/>
  <c r="AA484"/>
  <c r="AA486"/>
  <c r="AA509"/>
  <c r="AA165"/>
  <c r="AA513"/>
  <c r="AA514"/>
  <c r="AA517"/>
  <c r="AA518"/>
  <c r="AA700"/>
  <c r="AA529"/>
  <c r="AA1693"/>
  <c r="AA930"/>
  <c r="AA2" i="118"/>
  <c r="AA1029" i="57"/>
  <c r="AA703"/>
  <c r="AA810"/>
  <c r="AA535"/>
  <c r="AA536"/>
  <c r="AA1229"/>
  <c r="AA704"/>
  <c r="AA1695"/>
  <c r="AA706"/>
  <c r="AA1697"/>
  <c r="AA708"/>
  <c r="AA538"/>
  <c r="AA710"/>
  <c r="AA812"/>
  <c r="AA1034"/>
  <c r="AA711"/>
  <c r="AA715"/>
  <c r="AA718"/>
  <c r="AA1038"/>
  <c r="AA543"/>
  <c r="AA934"/>
  <c r="AA1230"/>
  <c r="AA1041"/>
  <c r="AA1701"/>
  <c r="AA722"/>
  <c r="AA1045"/>
  <c r="AA544"/>
  <c r="AA723"/>
  <c r="AA937"/>
  <c r="AA1268"/>
  <c r="AA3" i="118"/>
  <c r="AA1049" i="57"/>
  <c r="AA724"/>
  <c r="AA1050"/>
  <c r="AA1053"/>
  <c r="AA1271"/>
  <c r="AA1708"/>
  <c r="AA820"/>
  <c r="AA520"/>
  <c r="AA941"/>
  <c r="AA1447"/>
  <c r="AA1321"/>
  <c r="AA1824"/>
  <c r="AA1453"/>
  <c r="AA1458"/>
  <c r="AA1459"/>
  <c r="AA1461"/>
  <c r="AA1466"/>
  <c r="AJ4"/>
  <c r="AA4"/>
  <c r="AJ1825"/>
  <c r="AJ1821"/>
  <c r="AJ1820"/>
  <c r="AJ1819"/>
  <c r="AJ1818"/>
  <c r="AJ1812"/>
  <c r="AJ1813"/>
  <c r="AJ1814"/>
  <c r="AJ1815"/>
  <c r="AJ1810"/>
  <c r="AJ1809"/>
  <c r="AJ1808"/>
  <c r="AJ1783"/>
  <c r="AJ1784"/>
  <c r="AJ1785"/>
  <c r="AJ1786"/>
  <c r="AJ1787"/>
  <c r="AJ1788"/>
  <c r="AJ1789"/>
  <c r="AJ1791"/>
  <c r="AJ1792"/>
  <c r="AJ1794"/>
  <c r="AJ1795"/>
  <c r="AJ1796"/>
  <c r="AJ1797"/>
  <c r="AJ1799"/>
  <c r="AJ1800"/>
  <c r="AJ1801"/>
  <c r="AJ1803"/>
  <c r="AJ1804"/>
  <c r="AJ1782"/>
  <c r="AJ1780"/>
  <c r="AJ1772"/>
  <c r="AJ1773"/>
  <c r="AJ1774"/>
  <c r="AJ1775"/>
  <c r="AJ1776"/>
  <c r="AJ1777"/>
  <c r="AJ1770"/>
  <c r="AJ1769"/>
  <c r="AJ1768"/>
  <c r="AJ1696"/>
  <c r="AJ1697"/>
  <c r="AJ1698"/>
  <c r="AJ1699"/>
  <c r="AJ1700"/>
  <c r="AJ1701"/>
  <c r="AJ1703"/>
  <c r="AJ1704"/>
  <c r="AJ1705"/>
  <c r="AJ1706"/>
  <c r="AJ1707"/>
  <c r="AJ1708"/>
  <c r="AJ1709"/>
  <c r="AJ1710"/>
  <c r="AJ1711"/>
  <c r="AJ1712"/>
  <c r="AJ1713"/>
  <c r="AJ1714"/>
  <c r="AJ1715"/>
  <c r="AJ1716"/>
  <c r="AJ1718"/>
  <c r="AJ1719"/>
  <c r="AJ1720"/>
  <c r="AJ1721"/>
  <c r="AJ1722"/>
  <c r="AJ1723"/>
  <c r="AJ1724"/>
  <c r="AJ1725"/>
  <c r="AJ1726"/>
  <c r="AJ1727"/>
  <c r="AJ1728"/>
  <c r="AJ1729"/>
  <c r="AJ1730"/>
  <c r="AJ1731"/>
  <c r="AJ1732"/>
  <c r="AJ1734"/>
  <c r="AJ1735"/>
  <c r="AJ1736"/>
  <c r="AJ1737"/>
  <c r="AJ1738"/>
  <c r="AJ1739"/>
  <c r="AJ1740"/>
  <c r="AJ1742"/>
  <c r="AJ1743"/>
  <c r="AJ1744"/>
  <c r="AJ1745"/>
  <c r="AJ1746"/>
  <c r="AJ1747"/>
  <c r="AJ1748"/>
  <c r="AJ1749"/>
  <c r="AJ1751"/>
  <c r="AJ1752"/>
  <c r="AJ1753"/>
  <c r="AJ1754"/>
  <c r="AJ1755"/>
  <c r="AJ1756"/>
  <c r="AJ1757"/>
  <c r="AJ1758"/>
  <c r="AJ1759"/>
  <c r="AJ1760"/>
  <c r="AJ1761"/>
  <c r="AJ1762"/>
  <c r="AJ1763"/>
  <c r="AJ1764"/>
  <c r="AJ1766"/>
  <c r="AJ1767"/>
  <c r="AJ1693"/>
  <c r="AJ1688"/>
  <c r="AJ1689"/>
  <c r="AJ1682"/>
  <c r="AJ1683"/>
  <c r="AJ1685"/>
  <c r="AJ1686"/>
  <c r="AJ1687"/>
  <c r="AJ1681"/>
  <c r="AJ1680"/>
  <c r="AJ1679"/>
  <c r="AJ1678"/>
  <c r="AJ1643"/>
  <c r="AJ1644"/>
  <c r="AJ1645"/>
  <c r="AJ1646"/>
  <c r="AJ1647"/>
  <c r="AJ1648"/>
  <c r="AJ1649"/>
  <c r="AJ1650"/>
  <c r="AJ1651"/>
  <c r="AJ1652"/>
  <c r="AJ1653"/>
  <c r="AJ1654"/>
  <c r="AJ1655"/>
  <c r="AJ1656"/>
  <c r="AJ1657"/>
  <c r="AJ1658"/>
  <c r="AJ1659"/>
  <c r="AJ1660"/>
  <c r="AJ1661"/>
  <c r="AJ1663"/>
  <c r="AJ1664"/>
  <c r="AJ1665"/>
  <c r="AJ1666"/>
  <c r="AJ1668"/>
  <c r="AJ1669"/>
  <c r="AJ1670"/>
  <c r="AJ1672"/>
  <c r="AJ1673"/>
  <c r="AJ1674"/>
  <c r="AJ1675"/>
  <c r="AJ1642"/>
  <c r="AJ1641"/>
  <c r="AJ1640"/>
  <c r="AJ1639"/>
  <c r="AJ1610"/>
  <c r="AJ1611"/>
  <c r="AJ1612"/>
  <c r="AJ1613"/>
  <c r="AJ1614"/>
  <c r="AJ1615"/>
  <c r="AJ1616"/>
  <c r="AJ1617"/>
  <c r="AJ1618"/>
  <c r="AJ1619"/>
  <c r="AJ1620"/>
  <c r="AJ1621"/>
  <c r="AJ1622"/>
  <c r="AJ1623"/>
  <c r="AJ1624"/>
  <c r="AJ1626"/>
  <c r="AJ1627"/>
  <c r="AJ1628"/>
  <c r="AJ1630"/>
  <c r="AJ1631"/>
  <c r="AJ1632"/>
  <c r="AJ1633"/>
  <c r="AJ1635"/>
  <c r="AJ1636"/>
  <c r="AJ1598"/>
  <c r="AJ1599"/>
  <c r="AJ1600"/>
  <c r="AJ1601"/>
  <c r="AJ1602"/>
  <c r="AJ1603"/>
  <c r="AJ1604"/>
  <c r="AJ1605"/>
  <c r="AJ1606"/>
  <c r="AJ1607"/>
  <c r="AJ1608"/>
  <c r="AJ1609"/>
  <c r="AJ1597"/>
  <c r="AJ1596"/>
  <c r="AJ1595"/>
  <c r="AJ1594"/>
  <c r="AJ1552"/>
  <c r="AJ1553"/>
  <c r="AJ1554"/>
  <c r="AJ1555"/>
  <c r="AJ1556"/>
  <c r="AJ1557"/>
  <c r="AJ1558"/>
  <c r="AJ1559"/>
  <c r="AJ1560"/>
  <c r="AJ1561"/>
  <c r="AJ1562"/>
  <c r="AJ1563"/>
  <c r="AJ1564"/>
  <c r="AJ1565"/>
  <c r="AJ1566"/>
  <c r="AJ1567"/>
  <c r="AJ1568"/>
  <c r="AJ1569"/>
  <c r="AJ1570"/>
  <c r="AJ1571"/>
  <c r="AJ1572"/>
  <c r="AJ1573"/>
  <c r="AJ1574"/>
  <c r="AJ1575"/>
  <c r="AJ1576"/>
  <c r="AJ1577"/>
  <c r="AJ1578"/>
  <c r="AJ1579"/>
  <c r="AJ1580"/>
  <c r="AJ1581"/>
  <c r="AJ1582"/>
  <c r="AJ1583"/>
  <c r="AJ1585"/>
  <c r="AJ1586"/>
  <c r="AJ1587"/>
  <c r="AJ1588"/>
  <c r="AJ1589"/>
  <c r="AJ1591"/>
  <c r="AJ1551"/>
  <c r="AJ1550"/>
  <c r="AJ1549"/>
  <c r="AJ1548"/>
  <c r="AJ1521"/>
  <c r="AJ1522"/>
  <c r="AJ1523"/>
  <c r="AJ1524"/>
  <c r="AJ1525"/>
  <c r="AJ1526"/>
  <c r="AJ1527"/>
  <c r="AJ1528"/>
  <c r="AJ1529"/>
  <c r="AJ1530"/>
  <c r="AJ1531"/>
  <c r="AJ1532"/>
  <c r="AJ1533"/>
  <c r="AJ1534"/>
  <c r="AJ1535"/>
  <c r="AJ1536"/>
  <c r="AJ1537"/>
  <c r="AJ1538"/>
  <c r="AJ1539"/>
  <c r="AJ1540"/>
  <c r="AJ1541"/>
  <c r="AJ1542"/>
  <c r="AJ1543"/>
  <c r="AJ1544"/>
  <c r="AJ1545"/>
  <c r="AJ1520"/>
  <c r="AJ1519"/>
  <c r="AJ1518"/>
  <c r="AJ1517"/>
  <c r="AJ1446"/>
  <c r="AJ1448"/>
  <c r="AJ1449"/>
  <c r="AJ1450"/>
  <c r="AJ1451"/>
  <c r="AJ1452"/>
  <c r="AJ1454"/>
  <c r="AJ1455"/>
  <c r="AJ1456"/>
  <c r="AJ1457"/>
  <c r="AJ1458"/>
  <c r="AJ1459"/>
  <c r="AJ1462"/>
  <c r="AJ1463"/>
  <c r="AJ1464"/>
  <c r="AJ1465"/>
  <c r="AJ1466"/>
  <c r="AJ1467"/>
  <c r="AJ1468"/>
  <c r="AJ1469"/>
  <c r="AJ1470"/>
  <c r="AJ1471"/>
  <c r="AJ1472"/>
  <c r="AJ1473"/>
  <c r="AJ1474"/>
  <c r="AJ1475"/>
  <c r="AJ1476"/>
  <c r="AJ1477"/>
  <c r="AJ1478"/>
  <c r="AJ1479"/>
  <c r="AJ1480"/>
  <c r="AJ1482"/>
  <c r="AJ1483"/>
  <c r="AJ1484"/>
  <c r="AJ1485"/>
  <c r="AJ1486"/>
  <c r="AJ1487"/>
  <c r="AJ1488"/>
  <c r="AJ1490"/>
  <c r="AJ1491"/>
  <c r="AJ1492"/>
  <c r="AJ1493"/>
  <c r="AJ1494"/>
  <c r="AJ1495"/>
  <c r="AJ1496"/>
  <c r="AJ1498"/>
  <c r="AJ1499"/>
  <c r="AJ1500"/>
  <c r="AJ1501"/>
  <c r="AJ1502"/>
  <c r="AJ1503"/>
  <c r="AJ1504"/>
  <c r="AJ1506"/>
  <c r="AJ1507"/>
  <c r="AJ1508"/>
  <c r="AJ1509"/>
  <c r="AJ1510"/>
  <c r="AJ1511"/>
  <c r="AJ1512"/>
  <c r="AJ1514"/>
  <c r="AJ1444"/>
  <c r="AJ1443"/>
  <c r="AJ1442"/>
  <c r="AJ1441"/>
  <c r="AJ1362"/>
  <c r="AJ1363"/>
  <c r="AJ1365"/>
  <c r="AJ1366"/>
  <c r="AJ1367"/>
  <c r="AJ1368"/>
  <c r="AJ1369"/>
  <c r="AJ1370"/>
  <c r="AJ1371"/>
  <c r="AJ1373"/>
  <c r="AJ1374"/>
  <c r="AJ1375"/>
  <c r="AJ1376"/>
  <c r="AJ1378"/>
  <c r="AJ1379"/>
  <c r="AJ1381"/>
  <c r="AJ1382"/>
  <c r="AJ1383"/>
  <c r="AJ1384"/>
  <c r="AJ1385"/>
  <c r="AJ1386"/>
  <c r="AJ1387"/>
  <c r="AJ1389"/>
  <c r="AJ1390"/>
  <c r="AJ1391"/>
  <c r="AJ1392"/>
  <c r="AJ1393"/>
  <c r="AJ1394"/>
  <c r="AJ1397"/>
  <c r="AJ1398"/>
  <c r="AJ1399"/>
  <c r="AJ1400"/>
  <c r="AJ1401"/>
  <c r="AJ1402"/>
  <c r="AJ1403"/>
  <c r="AJ1406"/>
  <c r="AJ1407"/>
  <c r="AJ1408"/>
  <c r="AJ1409"/>
  <c r="AJ1410"/>
  <c r="AJ1411"/>
  <c r="AJ1413"/>
  <c r="AJ1415"/>
  <c r="AJ1416"/>
  <c r="AJ1417"/>
  <c r="AJ1418"/>
  <c r="AJ1419"/>
  <c r="AJ1421"/>
  <c r="AJ1422"/>
  <c r="AJ1423"/>
  <c r="AJ1424"/>
  <c r="AJ1425"/>
  <c r="AJ1426"/>
  <c r="AJ1427"/>
  <c r="AJ1429"/>
  <c r="AJ1430"/>
  <c r="AJ1431"/>
  <c r="AJ1432"/>
  <c r="AJ1433"/>
  <c r="AJ1434"/>
  <c r="AJ1435"/>
  <c r="AJ1436"/>
  <c r="AJ1437"/>
  <c r="AJ1438"/>
  <c r="AJ1361"/>
  <c r="AJ1359"/>
  <c r="AJ1358"/>
  <c r="AJ1313"/>
  <c r="AJ1314"/>
  <c r="AJ1315"/>
  <c r="AJ1316"/>
  <c r="AJ1317"/>
  <c r="AJ1318"/>
  <c r="AJ1320"/>
  <c r="AJ1321"/>
  <c r="AJ1322"/>
  <c r="AJ1323"/>
  <c r="AJ1324"/>
  <c r="AJ1325"/>
  <c r="AJ1326"/>
  <c r="AJ1327"/>
  <c r="AJ1328"/>
  <c r="AJ1329"/>
  <c r="AJ1330"/>
  <c r="AJ1331"/>
  <c r="AJ1332"/>
  <c r="AJ1333"/>
  <c r="AJ1334"/>
  <c r="AJ1335"/>
  <c r="AJ1336"/>
  <c r="AJ1337"/>
  <c r="AJ1338"/>
  <c r="AJ1339"/>
  <c r="AJ1340"/>
  <c r="AJ1341"/>
  <c r="AJ1342"/>
  <c r="AJ1343"/>
  <c r="AJ1344"/>
  <c r="AJ1345"/>
  <c r="AJ1346"/>
  <c r="AJ1349"/>
  <c r="AJ1350"/>
  <c r="AJ1351"/>
  <c r="AJ1352"/>
  <c r="AJ1354"/>
  <c r="AJ1355"/>
  <c r="AJ1357"/>
  <c r="AJ1312"/>
  <c r="AJ1311"/>
  <c r="AJ1310"/>
  <c r="AJ1309"/>
  <c r="AJ1283"/>
  <c r="AJ1284"/>
  <c r="AJ1286"/>
  <c r="AJ1287"/>
  <c r="AJ1288"/>
  <c r="AJ1289"/>
  <c r="AJ1290"/>
  <c r="AJ1291"/>
  <c r="AJ1292"/>
  <c r="AJ1294"/>
  <c r="AJ1295"/>
  <c r="AJ1296"/>
  <c r="AJ1297"/>
  <c r="AJ1298"/>
  <c r="AJ1299"/>
  <c r="AJ1300"/>
  <c r="AJ1303"/>
  <c r="AJ1304"/>
  <c r="AJ1305"/>
  <c r="AJ1306"/>
  <c r="AJ1270"/>
  <c r="AJ1272"/>
  <c r="AJ1273"/>
  <c r="AJ1274"/>
  <c r="AJ1275"/>
  <c r="AJ1276"/>
  <c r="AJ1277"/>
  <c r="AJ1278"/>
  <c r="AJ1279"/>
  <c r="AJ1280"/>
  <c r="AJ1281"/>
  <c r="AJ1282"/>
  <c r="AJ1269"/>
  <c r="AJ1268"/>
  <c r="AJ1267"/>
  <c r="AJ1232"/>
  <c r="AJ1233"/>
  <c r="AJ1234"/>
  <c r="AJ1235"/>
  <c r="AJ1236"/>
  <c r="AJ1237"/>
  <c r="AJ1238"/>
  <c r="AJ1239"/>
  <c r="AJ1240"/>
  <c r="AJ1241"/>
  <c r="AJ1242"/>
  <c r="AJ1243"/>
  <c r="AJ1244"/>
  <c r="AJ1245"/>
  <c r="AJ1246"/>
  <c r="AJ1247"/>
  <c r="AJ1248"/>
  <c r="AJ1249"/>
  <c r="AJ1250"/>
  <c r="AJ1252"/>
  <c r="AJ1253"/>
  <c r="AJ1254"/>
  <c r="AJ1255"/>
  <c r="AJ1256"/>
  <c r="AJ1257"/>
  <c r="AJ1258"/>
  <c r="AJ1260"/>
  <c r="AJ1261"/>
  <c r="AJ1262"/>
  <c r="AJ1263"/>
  <c r="AJ1264"/>
  <c r="AJ1231"/>
  <c r="AJ1230"/>
  <c r="AJ1024"/>
  <c r="AJ1026"/>
  <c r="AJ1027"/>
  <c r="AJ1029"/>
  <c r="AJ1030"/>
  <c r="AJ1032"/>
  <c r="AJ1033"/>
  <c r="AJ1035"/>
  <c r="AJ1036"/>
  <c r="AJ1037"/>
  <c r="AJ1038"/>
  <c r="AJ1040"/>
  <c r="AJ1042"/>
  <c r="AJ1043"/>
  <c r="AJ1044"/>
  <c r="AJ1045"/>
  <c r="AJ1046"/>
  <c r="AJ1048"/>
  <c r="AJ1051"/>
  <c r="AJ1052"/>
  <c r="AJ1053"/>
  <c r="AJ1054"/>
  <c r="AJ1055"/>
  <c r="AJ1056"/>
  <c r="AJ1057"/>
  <c r="AJ1058"/>
  <c r="AJ1059"/>
  <c r="AJ1060"/>
  <c r="AJ1061"/>
  <c r="AJ1062"/>
  <c r="AJ1063"/>
  <c r="AJ1064"/>
  <c r="AJ1066"/>
  <c r="AJ1067"/>
  <c r="AJ1068"/>
  <c r="AJ1069"/>
  <c r="AJ1070"/>
  <c r="AJ1071"/>
  <c r="AJ1072"/>
  <c r="AJ1073"/>
  <c r="AJ1074"/>
  <c r="AJ1075"/>
  <c r="AJ1076"/>
  <c r="AJ1077"/>
  <c r="AJ1078"/>
  <c r="AJ1079"/>
  <c r="AJ1080"/>
  <c r="AJ1081"/>
  <c r="AJ1082"/>
  <c r="AJ1083"/>
  <c r="AJ1084"/>
  <c r="AJ1085"/>
  <c r="AJ1086"/>
  <c r="AJ1087"/>
  <c r="AJ1088"/>
  <c r="AJ1089"/>
  <c r="AJ1090"/>
  <c r="AJ1091"/>
  <c r="AJ1092"/>
  <c r="AJ1093"/>
  <c r="AJ1094"/>
  <c r="AJ1095"/>
  <c r="AJ1096"/>
  <c r="AJ1097"/>
  <c r="AJ1098"/>
  <c r="AJ1099"/>
  <c r="AJ1100"/>
  <c r="AJ1101"/>
  <c r="AJ1102"/>
  <c r="AJ1103"/>
  <c r="AJ1104"/>
  <c r="AJ1106"/>
  <c r="AJ1107"/>
  <c r="AJ1108"/>
  <c r="AJ1109"/>
  <c r="AJ1110"/>
  <c r="AJ1111"/>
  <c r="AJ1112"/>
  <c r="AJ1114"/>
  <c r="AJ1115"/>
  <c r="AJ1116"/>
  <c r="AJ1117"/>
  <c r="AJ1118"/>
  <c r="AJ1119"/>
  <c r="AJ1120"/>
  <c r="AJ1122"/>
  <c r="AJ1123"/>
  <c r="AJ1124"/>
  <c r="AJ1125"/>
  <c r="AJ1126"/>
  <c r="AJ1127"/>
  <c r="AJ1128"/>
  <c r="AJ1130"/>
  <c r="AJ1131"/>
  <c r="AJ1132"/>
  <c r="AJ1133"/>
  <c r="AJ1134"/>
  <c r="AJ1135"/>
  <c r="AJ1137"/>
  <c r="AJ1139"/>
  <c r="AJ1140"/>
  <c r="AJ1141"/>
  <c r="AJ1142"/>
  <c r="AJ1143"/>
  <c r="AJ1144"/>
  <c r="AJ1145"/>
  <c r="AJ1146"/>
  <c r="AJ1147"/>
  <c r="AJ1148"/>
  <c r="AJ1149"/>
  <c r="AJ1150"/>
  <c r="AJ1151"/>
  <c r="AJ1152"/>
  <c r="AJ1153"/>
  <c r="AJ1155"/>
  <c r="AJ1156"/>
  <c r="AJ1157"/>
  <c r="AJ1158"/>
  <c r="AJ1159"/>
  <c r="AJ1160"/>
  <c r="AJ1161"/>
  <c r="AJ1163"/>
  <c r="AJ1164"/>
  <c r="AJ1165"/>
  <c r="AJ1166"/>
  <c r="AJ1167"/>
  <c r="AJ1168"/>
  <c r="AJ1169"/>
  <c r="AJ1170"/>
  <c r="AJ1171"/>
  <c r="AJ1172"/>
  <c r="AJ1173"/>
  <c r="AJ1174"/>
  <c r="AJ1175"/>
  <c r="AJ1176"/>
  <c r="AJ1177"/>
  <c r="AJ1179"/>
  <c r="AJ1180"/>
  <c r="AJ1181"/>
  <c r="AJ1182"/>
  <c r="AJ1183"/>
  <c r="AJ1184"/>
  <c r="AJ1185"/>
  <c r="AJ1186"/>
  <c r="AJ1187"/>
  <c r="AJ1188"/>
  <c r="AJ1189"/>
  <c r="AJ1190"/>
  <c r="AJ1191"/>
  <c r="AJ1192"/>
  <c r="AJ1193"/>
  <c r="AJ1195"/>
  <c r="AJ1196"/>
  <c r="AJ1197"/>
  <c r="AJ1198"/>
  <c r="AJ1199"/>
  <c r="AJ1200"/>
  <c r="AJ1201"/>
  <c r="AJ1203"/>
  <c r="AJ1204"/>
  <c r="AJ1205"/>
  <c r="AJ1206"/>
  <c r="AJ1207"/>
  <c r="AJ1208"/>
  <c r="AJ1209"/>
  <c r="AJ1211"/>
  <c r="AJ1212"/>
  <c r="AJ1213"/>
  <c r="AJ1214"/>
  <c r="AJ1215"/>
  <c r="AJ1216"/>
  <c r="AJ1219"/>
  <c r="AJ1220"/>
  <c r="AJ1221"/>
  <c r="AJ1222"/>
  <c r="AJ1223"/>
  <c r="AJ1224"/>
  <c r="AJ1225"/>
  <c r="AJ1023"/>
  <c r="AJ1021"/>
  <c r="AJ1020"/>
  <c r="AJ934"/>
  <c r="AJ935"/>
  <c r="AJ938"/>
  <c r="AJ940"/>
  <c r="AJ941"/>
  <c r="AJ942"/>
  <c r="AJ943"/>
  <c r="AJ944"/>
  <c r="AJ945"/>
  <c r="AJ946"/>
  <c r="AJ947"/>
  <c r="AJ948"/>
  <c r="AJ950"/>
  <c r="AJ951"/>
  <c r="AJ952"/>
  <c r="AJ953"/>
  <c r="AJ954"/>
  <c r="AJ955"/>
  <c r="AJ956"/>
  <c r="AJ957"/>
  <c r="AJ958"/>
  <c r="AJ959"/>
  <c r="AJ960"/>
  <c r="AJ961"/>
  <c r="AJ962"/>
  <c r="AJ963"/>
  <c r="AJ964"/>
  <c r="AJ965"/>
  <c r="AJ966"/>
  <c r="AJ967"/>
  <c r="AJ968"/>
  <c r="AJ969"/>
  <c r="AJ970"/>
  <c r="AJ971"/>
  <c r="AJ972"/>
  <c r="AJ973"/>
  <c r="AJ974"/>
  <c r="AJ975"/>
  <c r="AJ976"/>
  <c r="AJ977"/>
  <c r="AJ978"/>
  <c r="AJ979"/>
  <c r="AJ980"/>
  <c r="AJ982"/>
  <c r="AJ983"/>
  <c r="AJ984"/>
  <c r="AJ985"/>
  <c r="AJ986"/>
  <c r="AJ987"/>
  <c r="AJ988"/>
  <c r="AJ990"/>
  <c r="AJ991"/>
  <c r="AJ992"/>
  <c r="AJ993"/>
  <c r="AJ994"/>
  <c r="AJ995"/>
  <c r="AJ996"/>
  <c r="AJ997"/>
  <c r="AJ998"/>
  <c r="AJ999"/>
  <c r="AJ1000"/>
  <c r="AJ1002"/>
  <c r="AJ1003"/>
  <c r="AJ1005"/>
  <c r="AJ1007"/>
  <c r="AJ1008"/>
  <c r="AJ1009"/>
  <c r="AJ1010"/>
  <c r="AJ1011"/>
  <c r="AJ1012"/>
  <c r="AJ1013"/>
  <c r="AJ1015"/>
  <c r="AJ1016"/>
  <c r="AJ1017"/>
  <c r="AJ932"/>
  <c r="AJ931"/>
  <c r="AJ930"/>
  <c r="AJ814"/>
  <c r="AJ815"/>
  <c r="AJ816"/>
  <c r="AJ817"/>
  <c r="AJ821"/>
  <c r="AJ822"/>
  <c r="AJ823"/>
  <c r="AJ824"/>
  <c r="AJ825"/>
  <c r="AJ826"/>
  <c r="AJ827"/>
  <c r="AJ828"/>
  <c r="AJ829"/>
  <c r="AJ830"/>
  <c r="AJ831"/>
  <c r="AJ832"/>
  <c r="AJ833"/>
  <c r="AJ835"/>
  <c r="AJ836"/>
  <c r="AJ837"/>
  <c r="AJ838"/>
  <c r="AJ839"/>
  <c r="AJ840"/>
  <c r="AJ841"/>
  <c r="AJ842"/>
  <c r="AJ843"/>
  <c r="AJ844"/>
  <c r="AJ845"/>
  <c r="AJ846"/>
  <c r="AJ847"/>
  <c r="AJ848"/>
  <c r="AJ849"/>
  <c r="AJ851"/>
  <c r="AJ852"/>
  <c r="AJ853"/>
  <c r="AJ854"/>
  <c r="AJ855"/>
  <c r="AJ856"/>
  <c r="AJ857"/>
  <c r="AJ858"/>
  <c r="AJ859"/>
  <c r="AJ860"/>
  <c r="AJ861"/>
  <c r="AJ862"/>
  <c r="AJ863"/>
  <c r="AJ864"/>
  <c r="AJ865"/>
  <c r="AJ867"/>
  <c r="AJ868"/>
  <c r="AJ869"/>
  <c r="AJ870"/>
  <c r="AJ871"/>
  <c r="AJ872"/>
  <c r="AJ873"/>
  <c r="AJ874"/>
  <c r="AJ875"/>
  <c r="AJ876"/>
  <c r="AJ877"/>
  <c r="AJ878"/>
  <c r="AJ879"/>
  <c r="AJ880"/>
  <c r="AJ881"/>
  <c r="AJ882"/>
  <c r="AJ883"/>
  <c r="AJ884"/>
  <c r="AJ885"/>
  <c r="AJ886"/>
  <c r="AJ887"/>
  <c r="AJ888"/>
  <c r="AJ889"/>
  <c r="AJ891"/>
  <c r="AJ892"/>
  <c r="AJ893"/>
  <c r="AJ894"/>
  <c r="AJ895"/>
  <c r="AJ896"/>
  <c r="AJ897"/>
  <c r="AJ899"/>
  <c r="AJ900"/>
  <c r="AJ901"/>
  <c r="AJ902"/>
  <c r="AJ903"/>
  <c r="AJ904"/>
  <c r="AJ905"/>
  <c r="AJ906"/>
  <c r="AJ907"/>
  <c r="AJ908"/>
  <c r="AJ909"/>
  <c r="AJ910"/>
  <c r="AJ911"/>
  <c r="AJ912"/>
  <c r="AJ913"/>
  <c r="AJ914"/>
  <c r="AJ915"/>
  <c r="AJ916"/>
  <c r="AJ917"/>
  <c r="AJ918"/>
  <c r="AJ919"/>
  <c r="AJ920"/>
  <c r="AJ921"/>
  <c r="AJ923"/>
  <c r="AJ924"/>
  <c r="AJ925"/>
  <c r="AJ927"/>
  <c r="AJ813"/>
  <c r="AJ811"/>
  <c r="AJ810"/>
  <c r="AJ809"/>
  <c r="AJ716"/>
  <c r="AJ717"/>
  <c r="AJ718"/>
  <c r="AJ719"/>
  <c r="AJ720"/>
  <c r="AJ724"/>
  <c r="AJ725"/>
  <c r="AJ726"/>
  <c r="AJ727"/>
  <c r="AJ728"/>
  <c r="AJ729"/>
  <c r="AJ730"/>
  <c r="AJ731"/>
  <c r="AJ732"/>
  <c r="AJ733"/>
  <c r="AJ734"/>
  <c r="AJ735"/>
  <c r="AJ736"/>
  <c r="AJ737"/>
  <c r="AJ738"/>
  <c r="AJ739"/>
  <c r="AJ740"/>
  <c r="AJ741"/>
  <c r="AJ742"/>
  <c r="AJ743"/>
  <c r="AJ744"/>
  <c r="AJ745"/>
  <c r="AJ746"/>
  <c r="AJ747"/>
  <c r="AJ748"/>
  <c r="AJ749"/>
  <c r="AJ750"/>
  <c r="AJ751"/>
  <c r="AJ752"/>
  <c r="AJ753"/>
  <c r="AJ754"/>
  <c r="AJ755"/>
  <c r="AJ756"/>
  <c r="AJ758"/>
  <c r="AJ759"/>
  <c r="AJ760"/>
  <c r="AJ761"/>
  <c r="AJ762"/>
  <c r="AJ763"/>
  <c r="AJ764"/>
  <c r="AJ766"/>
  <c r="AJ767"/>
  <c r="AJ768"/>
  <c r="AJ769"/>
  <c r="AJ770"/>
  <c r="AJ771"/>
  <c r="AJ772"/>
  <c r="AJ774"/>
  <c r="AJ775"/>
  <c r="AJ776"/>
  <c r="AJ777"/>
  <c r="AJ778"/>
  <c r="AJ779"/>
  <c r="AJ780"/>
  <c r="AJ782"/>
  <c r="AJ783"/>
  <c r="AJ784"/>
  <c r="AJ785"/>
  <c r="AJ786"/>
  <c r="AJ787"/>
  <c r="AJ788"/>
  <c r="AJ789"/>
  <c r="AJ790"/>
  <c r="AJ791"/>
  <c r="AJ792"/>
  <c r="AJ793"/>
  <c r="AJ794"/>
  <c r="AJ795"/>
  <c r="AJ796"/>
  <c r="AJ797"/>
  <c r="AJ798"/>
  <c r="AJ799"/>
  <c r="AJ800"/>
  <c r="AJ801"/>
  <c r="AJ802"/>
  <c r="AJ803"/>
  <c r="AJ804"/>
  <c r="AJ713"/>
  <c r="AJ712"/>
  <c r="AJ709"/>
  <c r="AJ708"/>
  <c r="AJ707"/>
  <c r="AJ705"/>
  <c r="AJ704"/>
  <c r="AJ702"/>
  <c r="AJ701"/>
  <c r="AJ700"/>
  <c r="AJ699"/>
  <c r="AJ682"/>
  <c r="AJ683"/>
  <c r="AJ684"/>
  <c r="AJ686"/>
  <c r="AJ687"/>
  <c r="AJ688"/>
  <c r="AJ689"/>
  <c r="AJ690"/>
  <c r="AJ691"/>
  <c r="AJ692"/>
  <c r="AJ694"/>
  <c r="AJ695"/>
  <c r="AJ696"/>
  <c r="AJ681"/>
  <c r="AJ680"/>
  <c r="AJ545"/>
  <c r="AJ546"/>
  <c r="AJ547"/>
  <c r="AJ548"/>
  <c r="AJ549"/>
  <c r="AJ551"/>
  <c r="AJ552"/>
  <c r="AJ553"/>
  <c r="AJ554"/>
  <c r="AJ555"/>
  <c r="AJ556"/>
  <c r="AJ557"/>
  <c r="AJ558"/>
  <c r="AJ559"/>
  <c r="AJ560"/>
  <c r="AJ561"/>
  <c r="AJ562"/>
  <c r="AJ563"/>
  <c r="AJ564"/>
  <c r="AJ565"/>
  <c r="AJ566"/>
  <c r="AJ567"/>
  <c r="AJ568"/>
  <c r="AJ569"/>
  <c r="AJ570"/>
  <c r="AJ571"/>
  <c r="AJ572"/>
  <c r="AJ573"/>
  <c r="AJ574"/>
  <c r="AJ575"/>
  <c r="AJ576"/>
  <c r="AJ577"/>
  <c r="AJ578"/>
  <c r="AJ579"/>
  <c r="AJ581"/>
  <c r="AJ582"/>
  <c r="AJ583"/>
  <c r="AJ584"/>
  <c r="AJ585"/>
  <c r="AJ586"/>
  <c r="AJ587"/>
  <c r="AJ589"/>
  <c r="AJ590"/>
  <c r="AJ591"/>
  <c r="AJ592"/>
  <c r="AJ593"/>
  <c r="AJ594"/>
  <c r="AJ595"/>
  <c r="AJ596"/>
  <c r="AJ597"/>
  <c r="AJ598"/>
  <c r="AJ599"/>
  <c r="AJ600"/>
  <c r="AJ601"/>
  <c r="AJ602"/>
  <c r="AJ603"/>
  <c r="AJ605"/>
  <c r="AJ606"/>
  <c r="AJ607"/>
  <c r="AJ608"/>
  <c r="AJ609"/>
  <c r="AJ610"/>
  <c r="AJ611"/>
  <c r="AJ613"/>
  <c r="AJ614"/>
  <c r="AJ615"/>
  <c r="AJ616"/>
  <c r="AJ617"/>
  <c r="AJ618"/>
  <c r="AJ619"/>
  <c r="AJ621"/>
  <c r="AJ622"/>
  <c r="AJ623"/>
  <c r="AJ624"/>
  <c r="AJ625"/>
  <c r="AJ626"/>
  <c r="AJ627"/>
  <c r="AJ629"/>
  <c r="AJ630"/>
  <c r="AJ631"/>
  <c r="AJ632"/>
  <c r="AJ633"/>
  <c r="AJ634"/>
  <c r="AJ635"/>
  <c r="AJ637"/>
  <c r="AJ638"/>
  <c r="AJ639"/>
  <c r="AJ640"/>
  <c r="AJ641"/>
  <c r="AJ642"/>
  <c r="AJ643"/>
  <c r="AJ645"/>
  <c r="AJ646"/>
  <c r="AJ647"/>
  <c r="AJ648"/>
  <c r="AJ649"/>
  <c r="AJ650"/>
  <c r="AJ651"/>
  <c r="AJ652"/>
  <c r="AJ653"/>
  <c r="AJ654"/>
  <c r="AJ655"/>
  <c r="AJ656"/>
  <c r="AJ657"/>
  <c r="AJ658"/>
  <c r="AJ659"/>
  <c r="AJ661"/>
  <c r="AJ662"/>
  <c r="AJ663"/>
  <c r="AJ664"/>
  <c r="AJ665"/>
  <c r="AJ666"/>
  <c r="AJ667"/>
  <c r="AJ669"/>
  <c r="AJ670"/>
  <c r="AJ671"/>
  <c r="AJ672"/>
  <c r="AJ673"/>
  <c r="AJ674"/>
  <c r="AJ675"/>
  <c r="AJ677"/>
  <c r="AJ678"/>
  <c r="AJ679"/>
  <c r="AJ539"/>
  <c r="AJ540"/>
  <c r="AJ541"/>
  <c r="AJ542"/>
  <c r="AJ537"/>
  <c r="AJ533"/>
  <c r="AJ534"/>
  <c r="AJ535"/>
  <c r="AJ531"/>
  <c r="AJ530"/>
  <c r="AJ507"/>
  <c r="AJ511"/>
  <c r="AJ512"/>
  <c r="AJ515"/>
  <c r="AJ516"/>
  <c r="AJ517"/>
  <c r="AJ518"/>
  <c r="AJ519"/>
  <c r="AJ520"/>
  <c r="AJ521"/>
  <c r="AJ523"/>
  <c r="AJ524"/>
  <c r="AJ525"/>
  <c r="AJ526"/>
  <c r="AJ505"/>
  <c r="AJ504"/>
  <c r="AJ503"/>
  <c r="AJ502"/>
  <c r="AJ501"/>
  <c r="AJ500"/>
  <c r="AJ499"/>
  <c r="AJ498"/>
  <c r="AJ497"/>
  <c r="AJ496"/>
  <c r="AJ495"/>
  <c r="AJ494"/>
  <c r="AJ487"/>
  <c r="AJ488"/>
  <c r="AJ489"/>
  <c r="AJ490"/>
  <c r="AJ491"/>
  <c r="AJ483"/>
  <c r="AJ484"/>
  <c r="AJ482"/>
  <c r="AJ481"/>
  <c r="AJ480"/>
  <c r="AJ438"/>
  <c r="AJ439"/>
  <c r="AJ440"/>
  <c r="AJ444"/>
  <c r="AJ445"/>
  <c r="AJ446"/>
  <c r="AJ447"/>
  <c r="AJ448"/>
  <c r="AJ452"/>
  <c r="AJ453"/>
  <c r="AJ454"/>
  <c r="AJ455"/>
  <c r="AJ456"/>
  <c r="AJ458"/>
  <c r="AJ459"/>
  <c r="AJ460"/>
  <c r="AJ462"/>
  <c r="AJ463"/>
  <c r="AJ464"/>
  <c r="AJ465"/>
  <c r="AJ466"/>
  <c r="AJ468"/>
  <c r="AJ469"/>
  <c r="AJ470"/>
  <c r="AJ471"/>
  <c r="AJ472"/>
  <c r="AJ473"/>
  <c r="AJ474"/>
  <c r="AJ476"/>
  <c r="AJ477"/>
  <c r="AJ437"/>
  <c r="AJ436"/>
  <c r="AJ432"/>
  <c r="AJ429"/>
  <c r="AJ428"/>
  <c r="AJ427"/>
  <c r="AJ426"/>
  <c r="AJ420"/>
  <c r="AJ419"/>
  <c r="AJ417"/>
  <c r="AJ320"/>
  <c r="AJ321"/>
  <c r="AJ322"/>
  <c r="AJ323"/>
  <c r="AJ324"/>
  <c r="AJ325"/>
  <c r="AJ326"/>
  <c r="AJ327"/>
  <c r="AJ328"/>
  <c r="AJ329"/>
  <c r="AJ330"/>
  <c r="AJ332"/>
  <c r="AJ333"/>
  <c r="AJ334"/>
  <c r="AJ335"/>
  <c r="AJ336"/>
  <c r="AJ337"/>
  <c r="AJ338"/>
  <c r="AJ340"/>
  <c r="AJ341"/>
  <c r="AJ342"/>
  <c r="AJ343"/>
  <c r="AJ344"/>
  <c r="AJ345"/>
  <c r="AJ346"/>
  <c r="AJ347"/>
  <c r="AJ348"/>
  <c r="AJ349"/>
  <c r="AJ350"/>
  <c r="AJ351"/>
  <c r="AJ352"/>
  <c r="AJ353"/>
  <c r="AJ354"/>
  <c r="AJ355"/>
  <c r="AJ356"/>
  <c r="AJ357"/>
  <c r="AJ358"/>
  <c r="AJ359"/>
  <c r="AJ360"/>
  <c r="AJ361"/>
  <c r="AJ362"/>
  <c r="AJ364"/>
  <c r="AJ365"/>
  <c r="AJ366"/>
  <c r="AJ367"/>
  <c r="AJ368"/>
  <c r="AJ369"/>
  <c r="AJ370"/>
  <c r="AJ371"/>
  <c r="AJ372"/>
  <c r="AJ373"/>
  <c r="AJ374"/>
  <c r="AJ375"/>
  <c r="AJ376"/>
  <c r="AJ377"/>
  <c r="AJ378"/>
  <c r="AJ380"/>
  <c r="AJ381"/>
  <c r="AJ382"/>
  <c r="AJ383"/>
  <c r="AJ384"/>
  <c r="AJ385"/>
  <c r="AJ386"/>
  <c r="AJ387"/>
  <c r="AJ388"/>
  <c r="AJ389"/>
  <c r="AJ390"/>
  <c r="AJ391"/>
  <c r="AJ392"/>
  <c r="AJ393"/>
  <c r="AJ394"/>
  <c r="AJ395"/>
  <c r="AJ396"/>
  <c r="AJ397"/>
  <c r="AJ398"/>
  <c r="AJ399"/>
  <c r="AJ401"/>
  <c r="AJ402"/>
  <c r="AJ403"/>
  <c r="AJ404"/>
  <c r="AJ405"/>
  <c r="AJ406"/>
  <c r="AJ407"/>
  <c r="AJ408"/>
  <c r="AJ409"/>
  <c r="AJ410"/>
  <c r="AJ411"/>
  <c r="AJ412"/>
  <c r="AJ413"/>
  <c r="AJ414"/>
  <c r="AJ301"/>
  <c r="AJ302"/>
  <c r="AJ303"/>
  <c r="AJ304"/>
  <c r="AJ307"/>
  <c r="AJ308"/>
  <c r="AJ309"/>
  <c r="AJ310"/>
  <c r="AJ311"/>
  <c r="AJ312"/>
  <c r="AJ313"/>
  <c r="AJ314"/>
  <c r="AJ315"/>
  <c r="AJ316"/>
  <c r="AJ317"/>
  <c r="AJ318"/>
  <c r="AJ319"/>
  <c r="AJ297"/>
  <c r="AJ298"/>
  <c r="AJ299"/>
  <c r="AJ293"/>
  <c r="AJ292"/>
  <c r="AJ291"/>
  <c r="AJ289"/>
  <c r="AJ265"/>
  <c r="AJ266"/>
  <c r="AJ267"/>
  <c r="AJ268"/>
  <c r="AJ269"/>
  <c r="AJ270"/>
  <c r="AJ271"/>
  <c r="AJ272"/>
  <c r="AJ273"/>
  <c r="AJ274"/>
  <c r="AJ275"/>
  <c r="AJ276"/>
  <c r="AJ277"/>
  <c r="AJ278"/>
  <c r="AJ279"/>
  <c r="AJ280"/>
  <c r="AJ281"/>
  <c r="AJ282"/>
  <c r="AJ283"/>
  <c r="AJ284"/>
  <c r="AJ285"/>
  <c r="AJ286"/>
  <c r="AJ261"/>
  <c r="AJ262"/>
  <c r="AJ263"/>
  <c r="AJ264"/>
  <c r="AJ260"/>
  <c r="AJ259"/>
  <c r="AJ257"/>
  <c r="AJ256"/>
  <c r="AJ255"/>
  <c r="AJ253"/>
  <c r="AJ252"/>
  <c r="AJ251"/>
  <c r="AJ249"/>
  <c r="AJ248"/>
  <c r="AJ245"/>
  <c r="AJ244"/>
  <c r="AJ240"/>
  <c r="AJ241"/>
  <c r="AJ239"/>
  <c r="AJ238"/>
  <c r="AJ237"/>
  <c r="AJ235"/>
  <c r="AJ234"/>
  <c r="AJ233"/>
  <c r="AJ231"/>
  <c r="AJ230"/>
  <c r="AJ229"/>
  <c r="AJ227"/>
  <c r="AJ226"/>
  <c r="AJ225"/>
  <c r="AJ220"/>
  <c r="AJ221"/>
  <c r="AJ222"/>
  <c r="AJ219"/>
  <c r="AJ210"/>
  <c r="AJ211"/>
  <c r="AJ212"/>
  <c r="AJ213"/>
  <c r="AJ214"/>
  <c r="AJ215"/>
  <c r="AJ216"/>
  <c r="AJ217"/>
  <c r="AJ218"/>
  <c r="AJ209"/>
  <c r="AJ208"/>
  <c r="AJ196"/>
  <c r="AJ197"/>
  <c r="AJ198"/>
  <c r="AJ199"/>
  <c r="AJ200"/>
  <c r="AJ201"/>
  <c r="AJ202"/>
  <c r="AJ203"/>
  <c r="AJ204"/>
  <c r="AJ205"/>
  <c r="AJ206"/>
  <c r="AJ207"/>
  <c r="AJ160"/>
  <c r="AJ162"/>
  <c r="AJ163"/>
  <c r="AJ164"/>
  <c r="AJ166"/>
  <c r="AJ167"/>
  <c r="AJ168"/>
  <c r="AJ169"/>
  <c r="AJ170"/>
  <c r="AJ171"/>
  <c r="AJ172"/>
  <c r="AJ173"/>
  <c r="AJ174"/>
  <c r="AJ175"/>
  <c r="AJ176"/>
  <c r="AJ177"/>
  <c r="AJ178"/>
  <c r="AJ179"/>
  <c r="AJ180"/>
  <c r="AJ181"/>
  <c r="AJ182"/>
  <c r="AJ183"/>
  <c r="AJ184"/>
  <c r="AJ185"/>
  <c r="AJ186"/>
  <c r="AJ187"/>
  <c r="AJ188"/>
  <c r="AJ189"/>
  <c r="AJ190"/>
  <c r="AJ191"/>
  <c r="AJ192"/>
  <c r="AJ193"/>
  <c r="AJ194"/>
  <c r="AJ195"/>
  <c r="AJ152"/>
  <c r="AJ154"/>
  <c r="AJ155"/>
  <c r="AJ156"/>
  <c r="AJ157"/>
  <c r="AJ158"/>
  <c r="AJ159"/>
  <c r="AJ151"/>
  <c r="AJ136"/>
  <c r="AJ137"/>
  <c r="AJ139"/>
  <c r="AJ140"/>
  <c r="AJ141"/>
  <c r="AJ144"/>
  <c r="AJ145"/>
  <c r="AJ146"/>
  <c r="AJ147"/>
  <c r="AJ148"/>
  <c r="AJ149"/>
  <c r="AJ150"/>
  <c r="AJ134"/>
  <c r="AJ131"/>
  <c r="AJ132"/>
  <c r="AJ133"/>
  <c r="AJ130"/>
  <c r="AJ129"/>
  <c r="AJ12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70"/>
  <c r="AJ67"/>
  <c r="AJ66"/>
  <c r="AJ65"/>
  <c r="AJ64"/>
  <c r="AJ63"/>
  <c r="AJ62"/>
  <c r="AJ61"/>
  <c r="AJ60"/>
  <c r="AJ59"/>
  <c r="AJ58"/>
  <c r="AJ57"/>
  <c r="AJ56"/>
  <c r="AJ55"/>
  <c r="AJ54"/>
  <c r="AJ53"/>
  <c r="AJ52"/>
  <c r="AJ51"/>
  <c r="AJ50"/>
  <c r="AJ49"/>
  <c r="AJ48"/>
  <c r="AJ47"/>
  <c r="AJ46"/>
  <c r="AJ45"/>
  <c r="AJ44"/>
  <c r="AJ43"/>
  <c r="AJ42"/>
  <c r="AJ37"/>
  <c r="AJ38"/>
  <c r="AJ39"/>
  <c r="AJ35"/>
  <c r="AJ20"/>
  <c r="AJ21"/>
  <c r="AJ22"/>
  <c r="AJ23"/>
  <c r="AJ24"/>
  <c r="AJ25"/>
  <c r="AJ26"/>
  <c r="AJ27"/>
  <c r="AJ28"/>
  <c r="AJ29"/>
  <c r="AJ30"/>
  <c r="AJ31"/>
  <c r="AJ32"/>
  <c r="AJ33"/>
  <c r="AJ34"/>
  <c r="AJ19"/>
  <c r="AJ18"/>
  <c r="AJ17"/>
  <c r="AJ16"/>
  <c r="AJ15"/>
  <c r="AJ14"/>
  <c r="AJ13"/>
  <c r="AJ5"/>
  <c r="AJ6"/>
  <c r="AJ7"/>
  <c r="AJ8"/>
  <c r="AJ9"/>
  <c r="AJ10"/>
  <c r="AA1819"/>
  <c r="AA1820"/>
  <c r="AA1821"/>
  <c r="AA1818"/>
  <c r="AA1812"/>
  <c r="AA1813"/>
  <c r="AA1814"/>
  <c r="AA1815"/>
  <c r="AA1811"/>
  <c r="AA1810"/>
  <c r="AA1809"/>
  <c r="AA1808"/>
  <c r="AA1807"/>
  <c r="AA1790"/>
  <c r="AA1791"/>
  <c r="AA1793"/>
  <c r="AA1794"/>
  <c r="AA1795"/>
  <c r="AA1797"/>
  <c r="AA1798"/>
  <c r="AA1799"/>
  <c r="AA1801"/>
  <c r="AA1802"/>
  <c r="AA1803"/>
  <c r="AA1804"/>
  <c r="AA1789"/>
  <c r="AA1788"/>
  <c r="AA1787"/>
  <c r="AA1786"/>
  <c r="AA1785"/>
  <c r="AA1784"/>
  <c r="AA1783"/>
  <c r="AA1782"/>
  <c r="AA1781"/>
  <c r="AA1780"/>
  <c r="AA1772"/>
  <c r="AA1774"/>
  <c r="AA1775"/>
  <c r="AA1776"/>
  <c r="AA1771"/>
  <c r="AA1770"/>
  <c r="AA1769"/>
  <c r="AA1768"/>
  <c r="AA1704"/>
  <c r="AA1705"/>
  <c r="AA1706"/>
  <c r="AA1707"/>
  <c r="AA1709"/>
  <c r="AA1710"/>
  <c r="AA1711"/>
  <c r="AA1712"/>
  <c r="AA1713"/>
  <c r="AA1714"/>
  <c r="AA1715"/>
  <c r="AA1716"/>
  <c r="AA1718"/>
  <c r="AA1720"/>
  <c r="AA1721"/>
  <c r="AA1722"/>
  <c r="AA1723"/>
  <c r="AA1724"/>
  <c r="AA1725"/>
  <c r="AA1726"/>
  <c r="AA1727"/>
  <c r="AA1728"/>
  <c r="AA1729"/>
  <c r="AA1730"/>
  <c r="AA1731"/>
  <c r="AA1732"/>
  <c r="AA1733"/>
  <c r="AA1734"/>
  <c r="AA1735"/>
  <c r="AA1736"/>
  <c r="AA1737"/>
  <c r="AA1738"/>
  <c r="AA1739"/>
  <c r="AA1740"/>
  <c r="AA1741"/>
  <c r="AA1742"/>
  <c r="AA1743"/>
  <c r="AA1744"/>
  <c r="AA1745"/>
  <c r="AA1746"/>
  <c r="AA1747"/>
  <c r="AA1748"/>
  <c r="AA1749"/>
  <c r="AA1750"/>
  <c r="AA1751"/>
  <c r="AA1752"/>
  <c r="AA1753"/>
  <c r="AA1754"/>
  <c r="AA1755"/>
  <c r="AA1756"/>
  <c r="AA1757"/>
  <c r="AA1758"/>
  <c r="AA1759"/>
  <c r="AA1760"/>
  <c r="AA1761"/>
  <c r="AA1762"/>
  <c r="AA1763"/>
  <c r="AA1764"/>
  <c r="AA1765"/>
  <c r="AA1766"/>
  <c r="AA1767"/>
  <c r="AA1703"/>
  <c r="AA1702"/>
  <c r="AA1700"/>
  <c r="AA1699"/>
  <c r="AA1698"/>
  <c r="AA1696"/>
  <c r="AA1679"/>
  <c r="AA1680"/>
  <c r="AA1681"/>
  <c r="AA1683"/>
  <c r="AA1684"/>
  <c r="AA1685"/>
  <c r="AA1687"/>
  <c r="AA1688"/>
  <c r="AA1689"/>
  <c r="AA1678"/>
  <c r="AA1646"/>
  <c r="AA1647"/>
  <c r="AA1648"/>
  <c r="AA1649"/>
  <c r="AA1650"/>
  <c r="AA1651"/>
  <c r="AA1652"/>
  <c r="AA1653"/>
  <c r="AA1654"/>
  <c r="AA1655"/>
  <c r="AA1656"/>
  <c r="AA1658"/>
  <c r="AA1659"/>
  <c r="AA1660"/>
  <c r="AA1661"/>
  <c r="AA1662"/>
  <c r="AA1663"/>
  <c r="AA1664"/>
  <c r="AA1666"/>
  <c r="AA1667"/>
  <c r="AA1668"/>
  <c r="AA1670"/>
  <c r="AA1671"/>
  <c r="AA1672"/>
  <c r="AA1674"/>
  <c r="AA1675"/>
  <c r="AA1645"/>
  <c r="AA1644"/>
  <c r="AA1643"/>
  <c r="AA1642"/>
  <c r="AA1641"/>
  <c r="AA1640"/>
  <c r="AA1639"/>
  <c r="AA1600"/>
  <c r="AA1601"/>
  <c r="AA1602"/>
  <c r="AA1603"/>
  <c r="AA1604"/>
  <c r="AA1605"/>
  <c r="AA1606"/>
  <c r="AA1607"/>
  <c r="AA1608"/>
  <c r="AA1609"/>
  <c r="AA1610"/>
  <c r="AA1611"/>
  <c r="AA1612"/>
  <c r="AA1613"/>
  <c r="AA1614"/>
  <c r="AA1615"/>
  <c r="AA1616"/>
  <c r="AA1617"/>
  <c r="AA1618"/>
  <c r="AA1619"/>
  <c r="AA1620"/>
  <c r="AA1621"/>
  <c r="AA1622"/>
  <c r="AA1623"/>
  <c r="AA1624"/>
  <c r="AA1625"/>
  <c r="AA1627"/>
  <c r="AA1628"/>
  <c r="AA1629"/>
  <c r="AA1631"/>
  <c r="AA1632"/>
  <c r="AA1633"/>
  <c r="AA1635"/>
  <c r="AA1636"/>
  <c r="AA1599"/>
  <c r="AA1598"/>
  <c r="AA1597"/>
  <c r="AA1596"/>
  <c r="AA1595"/>
  <c r="AA1594"/>
  <c r="AA1552"/>
  <c r="AA1553"/>
  <c r="AA1554"/>
  <c r="AA1555"/>
  <c r="AA1556"/>
  <c r="AA1557"/>
  <c r="AA1558"/>
  <c r="AA1559"/>
  <c r="AA1560"/>
  <c r="AA1561"/>
  <c r="AA1562"/>
  <c r="AA1563"/>
  <c r="AA1564"/>
  <c r="AA1565"/>
  <c r="AA1566"/>
  <c r="AA1567"/>
  <c r="AA1568"/>
  <c r="AA1569"/>
  <c r="AA1570"/>
  <c r="AA1571"/>
  <c r="AA1572"/>
  <c r="AA1573"/>
  <c r="AA1574"/>
  <c r="AA1576"/>
  <c r="AA1577"/>
  <c r="AA1578"/>
  <c r="AA1579"/>
  <c r="AA1580"/>
  <c r="AA1581"/>
  <c r="AA1582"/>
  <c r="AA1584"/>
  <c r="AA1585"/>
  <c r="AA1586"/>
  <c r="AA1588"/>
  <c r="AA1589"/>
  <c r="AA1590"/>
  <c r="AA1591"/>
  <c r="AA1551"/>
  <c r="AA1550"/>
  <c r="AA1549"/>
  <c r="AA1548"/>
  <c r="AA1522"/>
  <c r="AA1523"/>
  <c r="AA1524"/>
  <c r="AA1525"/>
  <c r="AA1526"/>
  <c r="AA1527"/>
  <c r="AA1528"/>
  <c r="AA1529"/>
  <c r="AA1530"/>
  <c r="AA1531"/>
  <c r="AA1532"/>
  <c r="AA1533"/>
  <c r="AA1534"/>
  <c r="AA1535"/>
  <c r="AA1536"/>
  <c r="AA1537"/>
  <c r="AA1538"/>
  <c r="AA1539"/>
  <c r="AA1540"/>
  <c r="AA1541"/>
  <c r="AA1542"/>
  <c r="AA1543"/>
  <c r="AA1544"/>
  <c r="AA1521"/>
  <c r="AA1520"/>
  <c r="AA1519"/>
  <c r="AA1518"/>
  <c r="AA1517"/>
  <c r="AA1444"/>
  <c r="AA1445"/>
  <c r="AA1446"/>
  <c r="AA1448"/>
  <c r="AA1449"/>
  <c r="AA1450"/>
  <c r="AA1451"/>
  <c r="AA1452"/>
  <c r="AA1454"/>
  <c r="AA1455"/>
  <c r="AA1456"/>
  <c r="AA1457"/>
  <c r="AA1460"/>
  <c r="AA1462"/>
  <c r="AA1463"/>
  <c r="AA1464"/>
  <c r="AA1465"/>
  <c r="AA1467"/>
  <c r="AA1468"/>
  <c r="AA1469"/>
  <c r="AA1470"/>
  <c r="AA1471"/>
  <c r="AA1472"/>
  <c r="AA1473"/>
  <c r="AA1474"/>
  <c r="AA1475"/>
  <c r="AA1476"/>
  <c r="AA1477"/>
  <c r="AA1478"/>
  <c r="AA1479"/>
  <c r="AA1480"/>
  <c r="AA1481"/>
  <c r="AA1482"/>
  <c r="AA1483"/>
  <c r="AA1484"/>
  <c r="AA1485"/>
  <c r="AA1486"/>
  <c r="AA1487"/>
  <c r="AA1488"/>
  <c r="AA1489"/>
  <c r="AA1490"/>
  <c r="AA1491"/>
  <c r="AA1492"/>
  <c r="AA1493"/>
  <c r="AA1494"/>
  <c r="AA1495"/>
  <c r="AA1496"/>
  <c r="AA1497"/>
  <c r="AA1498"/>
  <c r="AA1499"/>
  <c r="AA1500"/>
  <c r="AA1501"/>
  <c r="AA1502"/>
  <c r="AA1503"/>
  <c r="AA1504"/>
  <c r="AA1505"/>
  <c r="AA1506"/>
  <c r="AA1507"/>
  <c r="AA1508"/>
  <c r="AA1509"/>
  <c r="AA1510"/>
  <c r="AA1511"/>
  <c r="AA1512"/>
  <c r="AA1513"/>
  <c r="AA1514"/>
  <c r="AA1443"/>
  <c r="AA1442"/>
  <c r="AA1441"/>
  <c r="AA1359"/>
  <c r="AA1361"/>
  <c r="AA1362"/>
  <c r="AA1363"/>
  <c r="AA1364"/>
  <c r="AA1365"/>
  <c r="AA1366"/>
  <c r="AA1367"/>
  <c r="AA1368"/>
  <c r="AA1369"/>
  <c r="AA1370"/>
  <c r="AA1371"/>
  <c r="AA1372"/>
  <c r="AA1373"/>
  <c r="AA1374"/>
  <c r="AA1375"/>
  <c r="AA1376"/>
  <c r="AA1377"/>
  <c r="AA1378"/>
  <c r="AA1379"/>
  <c r="AA1380"/>
  <c r="AA1381"/>
  <c r="AA1382"/>
  <c r="AA1383"/>
  <c r="AA1384"/>
  <c r="AA1385"/>
  <c r="AA1386"/>
  <c r="AA1387"/>
  <c r="AA1388"/>
  <c r="AA1389"/>
  <c r="AA1390"/>
  <c r="AA1391"/>
  <c r="AA1392"/>
  <c r="AA1393"/>
  <c r="AA1394"/>
  <c r="AA1395"/>
  <c r="AA1396"/>
  <c r="AA1397"/>
  <c r="AA1398"/>
  <c r="AA1399"/>
  <c r="AA1400"/>
  <c r="AA1401"/>
  <c r="AA1402"/>
  <c r="AA1403"/>
  <c r="AA1404"/>
  <c r="AA1405"/>
  <c r="AA1406"/>
  <c r="AA1407"/>
  <c r="AA1408"/>
  <c r="AA1409"/>
  <c r="AA1410"/>
  <c r="AA1411"/>
  <c r="AA1412"/>
  <c r="AA1413"/>
  <c r="AA1414"/>
  <c r="AA1415"/>
  <c r="AA1416"/>
  <c r="AA1417"/>
  <c r="AA1418"/>
  <c r="AA1419"/>
  <c r="AA1420"/>
  <c r="AA1421"/>
  <c r="AA1422"/>
  <c r="AA1423"/>
  <c r="AA1424"/>
  <c r="AA1425"/>
  <c r="AA1426"/>
  <c r="AA1427"/>
  <c r="AA1428"/>
  <c r="AA1429"/>
  <c r="AA1430"/>
  <c r="AA1431"/>
  <c r="AA1432"/>
  <c r="AA1433"/>
  <c r="AA1434"/>
  <c r="AA1435"/>
  <c r="AA1436"/>
  <c r="AA1437"/>
  <c r="AA1438"/>
  <c r="AA1358"/>
  <c r="AA1314"/>
  <c r="AA1315"/>
  <c r="AA1316"/>
  <c r="AA1317"/>
  <c r="AA1318"/>
  <c r="AA1319"/>
  <c r="AA1320"/>
  <c r="AA1322"/>
  <c r="AA1323"/>
  <c r="AA1324"/>
  <c r="AA1326"/>
  <c r="AA1327"/>
  <c r="AA1328"/>
  <c r="AA1330"/>
  <c r="AA1331"/>
  <c r="AA1332"/>
  <c r="AA1334"/>
  <c r="AA1335"/>
  <c r="AA1336"/>
  <c r="AA1338"/>
  <c r="AA1339"/>
  <c r="AA1340"/>
  <c r="AA1342"/>
  <c r="AA1343"/>
  <c r="AA1344"/>
  <c r="AA1346"/>
  <c r="AA1347"/>
  <c r="AA1349"/>
  <c r="AA1350"/>
  <c r="AA1351"/>
  <c r="AA1352"/>
  <c r="AA1353"/>
  <c r="AA1355"/>
  <c r="AA1356"/>
  <c r="AA1357"/>
  <c r="AA1313"/>
  <c r="AA1312"/>
  <c r="AA1311"/>
  <c r="AA1310"/>
  <c r="AA1309"/>
  <c r="AA1269"/>
  <c r="AA1270"/>
  <c r="AA1272"/>
  <c r="AA1273"/>
  <c r="AA1274"/>
  <c r="AA1275"/>
  <c r="AA1276"/>
  <c r="AA1277"/>
  <c r="AA1278"/>
  <c r="AA1279"/>
  <c r="AA1280"/>
  <c r="AA1281"/>
  <c r="AA1282"/>
  <c r="AA1283"/>
  <c r="AA1284"/>
  <c r="AA1286"/>
  <c r="AA1287"/>
  <c r="AA1288"/>
  <c r="AA1289"/>
  <c r="AA1290"/>
  <c r="AA1291"/>
  <c r="AA1292"/>
  <c r="AA1294"/>
  <c r="AA1295"/>
  <c r="AA1296"/>
  <c r="AA1298"/>
  <c r="AA1299"/>
  <c r="AA1300"/>
  <c r="AA1302"/>
  <c r="AA1303"/>
  <c r="AA1304"/>
  <c r="AA1306"/>
  <c r="AA1267"/>
  <c r="AA1233"/>
  <c r="AA1235"/>
  <c r="AA1236"/>
  <c r="AA1237"/>
  <c r="AA1239"/>
  <c r="AA1240"/>
  <c r="AA1241"/>
  <c r="AA1243"/>
  <c r="AA1244"/>
  <c r="AA1245"/>
  <c r="AA1246"/>
  <c r="AA1247"/>
  <c r="AA1248"/>
  <c r="AA1249"/>
  <c r="AA1251"/>
  <c r="AA1252"/>
  <c r="AA1253"/>
  <c r="AA1255"/>
  <c r="AA1256"/>
  <c r="AA1257"/>
  <c r="AA1259"/>
  <c r="AA1260"/>
  <c r="AA1261"/>
  <c r="AA1262"/>
  <c r="AA1263"/>
  <c r="AA1264"/>
  <c r="AA1232"/>
  <c r="AA1231"/>
  <c r="AA1026"/>
  <c r="AA1027"/>
  <c r="AA1028"/>
  <c r="AA1030"/>
  <c r="AA1031"/>
  <c r="AA1032"/>
  <c r="AA1033"/>
  <c r="AA1035"/>
  <c r="AA1036"/>
  <c r="AA1037"/>
  <c r="AA1039"/>
  <c r="AA1040"/>
  <c r="AA1042"/>
  <c r="AA1043"/>
  <c r="AA1044"/>
  <c r="AA1046"/>
  <c r="AA1047"/>
  <c r="AA1048"/>
  <c r="AA1051"/>
  <c r="AA1052"/>
  <c r="AA1054"/>
  <c r="AA1055"/>
  <c r="AA1056"/>
  <c r="AA1057"/>
  <c r="AA1058"/>
  <c r="AA1059"/>
  <c r="AA1060"/>
  <c r="AA1061"/>
  <c r="AA1062"/>
  <c r="AA1063"/>
  <c r="AA1064"/>
  <c r="AA1065"/>
  <c r="AA1066"/>
  <c r="AA1067"/>
  <c r="AA1068"/>
  <c r="AA1069"/>
  <c r="AA1070"/>
  <c r="AA1071"/>
  <c r="AA1072"/>
  <c r="AA1073"/>
  <c r="AA1074"/>
  <c r="AA1075"/>
  <c r="AA1076"/>
  <c r="AA1077"/>
  <c r="AA1078"/>
  <c r="AA1079"/>
  <c r="AA1080"/>
  <c r="AA1081"/>
  <c r="AA1082"/>
  <c r="AA1083"/>
  <c r="AA1084"/>
  <c r="AA1085"/>
  <c r="AA1086"/>
  <c r="AA1087"/>
  <c r="AA1088"/>
  <c r="AA1089"/>
  <c r="AA1090"/>
  <c r="AA1091"/>
  <c r="AA1092"/>
  <c r="AA1093"/>
  <c r="AA1094"/>
  <c r="AA1095"/>
  <c r="AA1096"/>
  <c r="AA1097"/>
  <c r="AA1098"/>
  <c r="AA1099"/>
  <c r="AA1100"/>
  <c r="AA1101"/>
  <c r="AA1102"/>
  <c r="AA1103"/>
  <c r="AA1104"/>
  <c r="AA1105"/>
  <c r="AA1106"/>
  <c r="AA1107"/>
  <c r="AA1108"/>
  <c r="AA1109"/>
  <c r="AA1110"/>
  <c r="AA1111"/>
  <c r="AA1112"/>
  <c r="AA1113"/>
  <c r="AA1114"/>
  <c r="AA1115"/>
  <c r="AA1116"/>
  <c r="AA1117"/>
  <c r="AA1118"/>
  <c r="AA1119"/>
  <c r="AA1120"/>
  <c r="AA1121"/>
  <c r="AA1122"/>
  <c r="AA1123"/>
  <c r="AA1124"/>
  <c r="AA1125"/>
  <c r="AA1126"/>
  <c r="AA1127"/>
  <c r="AA1128"/>
  <c r="AA1129"/>
  <c r="AA1130"/>
  <c r="AA1131"/>
  <c r="AA1132"/>
  <c r="AA1133"/>
  <c r="AA1134"/>
  <c r="AA1135"/>
  <c r="AA1137"/>
  <c r="AA1138"/>
  <c r="AA1139"/>
  <c r="AA1140"/>
  <c r="AA1141"/>
  <c r="AA1142"/>
  <c r="AA1143"/>
  <c r="AA1144"/>
  <c r="AA1145"/>
  <c r="AA1146"/>
  <c r="AA1147"/>
  <c r="AA1148"/>
  <c r="AA1149"/>
  <c r="AA1150"/>
  <c r="AA1151"/>
  <c r="AA1152"/>
  <c r="AA1153"/>
  <c r="AA1154"/>
  <c r="AA1155"/>
  <c r="AA1156"/>
  <c r="AA1157"/>
  <c r="AA1158"/>
  <c r="AA1159"/>
  <c r="AA1160"/>
  <c r="AA1161"/>
  <c r="AA1162"/>
  <c r="AA1163"/>
  <c r="AA1164"/>
  <c r="AA1165"/>
  <c r="AA1166"/>
  <c r="AA1167"/>
  <c r="AA1168"/>
  <c r="AA1169"/>
  <c r="AA1170"/>
  <c r="AA1171"/>
  <c r="AA1172"/>
  <c r="AA1173"/>
  <c r="AA1174"/>
  <c r="AA1175"/>
  <c r="AA1176"/>
  <c r="AA1177"/>
  <c r="AA1178"/>
  <c r="AA1179"/>
  <c r="AA1180"/>
  <c r="AA1181"/>
  <c r="AA1182"/>
  <c r="AA1183"/>
  <c r="AA1184"/>
  <c r="AA1185"/>
  <c r="AA1186"/>
  <c r="AA1187"/>
  <c r="AA1188"/>
  <c r="AA1189"/>
  <c r="AA1190"/>
  <c r="AA1191"/>
  <c r="AA1192"/>
  <c r="AA1193"/>
  <c r="AA1194"/>
  <c r="AA1195"/>
  <c r="AA1196"/>
  <c r="AA1197"/>
  <c r="AA1198"/>
  <c r="AA1199"/>
  <c r="AA1200"/>
  <c r="AA1201"/>
  <c r="AA1202"/>
  <c r="AA1203"/>
  <c r="AA1204"/>
  <c r="AA1205"/>
  <c r="AB176" i="114"/>
  <c r="AA1206" i="57"/>
  <c r="AA1207"/>
  <c r="AA1208"/>
  <c r="AA1209"/>
  <c r="AA1210"/>
  <c r="AA1211"/>
  <c r="AA1212"/>
  <c r="AA1213"/>
  <c r="AA1214"/>
  <c r="AA1215"/>
  <c r="AA1216"/>
  <c r="AA1217"/>
  <c r="AA1218"/>
  <c r="AA1219"/>
  <c r="AA1220"/>
  <c r="AA1221"/>
  <c r="AA1222"/>
  <c r="AA1223"/>
  <c r="AA1224"/>
  <c r="AA1225"/>
  <c r="AA1226"/>
  <c r="AA1024"/>
  <c r="AA1023"/>
  <c r="AA1021"/>
  <c r="AA1020"/>
  <c r="AA936"/>
  <c r="AA938"/>
  <c r="AA939"/>
  <c r="AA940"/>
  <c r="AA942"/>
  <c r="AA943"/>
  <c r="AA944"/>
  <c r="AA945"/>
  <c r="AA946"/>
  <c r="AA947"/>
  <c r="AA948"/>
  <c r="AA949"/>
  <c r="AA950"/>
  <c r="AA951"/>
  <c r="AA952"/>
  <c r="AA953"/>
  <c r="AA954"/>
  <c r="AA955"/>
  <c r="AA956"/>
  <c r="AA957"/>
  <c r="AA958"/>
  <c r="AA959"/>
  <c r="AA960"/>
  <c r="AA961"/>
  <c r="AA962"/>
  <c r="AA963"/>
  <c r="AA964"/>
  <c r="AA965"/>
  <c r="AA966"/>
  <c r="AA967"/>
  <c r="AA968"/>
  <c r="AA969"/>
  <c r="AA970"/>
  <c r="AA971"/>
  <c r="AA972"/>
  <c r="AA973"/>
  <c r="AA974"/>
  <c r="AA975"/>
  <c r="AA976"/>
  <c r="AA977"/>
  <c r="AA978"/>
  <c r="AA979"/>
  <c r="AA980"/>
  <c r="AA981"/>
  <c r="AA982"/>
  <c r="AA983"/>
  <c r="AA984"/>
  <c r="AA985"/>
  <c r="AA986"/>
  <c r="AA987"/>
  <c r="AA988"/>
  <c r="AA989"/>
  <c r="AA990"/>
  <c r="AA991"/>
  <c r="AA992"/>
  <c r="AA993"/>
  <c r="AA994"/>
  <c r="AA995"/>
  <c r="AA996"/>
  <c r="AA997"/>
  <c r="AA998"/>
  <c r="AA999"/>
  <c r="AA1000"/>
  <c r="AA1001"/>
  <c r="AA1002"/>
  <c r="AA1003"/>
  <c r="AA1005"/>
  <c r="AA1006"/>
  <c r="AA1007"/>
  <c r="AA1008"/>
  <c r="AA1009"/>
  <c r="AA1010"/>
  <c r="AA1011"/>
  <c r="AA1012"/>
  <c r="AA1013"/>
  <c r="AA1014"/>
  <c r="AA1015"/>
  <c r="AA1016"/>
  <c r="AA1017"/>
  <c r="AA935"/>
  <c r="AA933"/>
  <c r="AA932"/>
  <c r="AA931"/>
  <c r="AA814"/>
  <c r="AA815"/>
  <c r="AA816"/>
  <c r="AA817"/>
  <c r="AA818"/>
  <c r="AA819"/>
  <c r="AA821"/>
  <c r="AA822"/>
  <c r="AA823"/>
  <c r="AA824"/>
  <c r="AA825"/>
  <c r="AA826"/>
  <c r="AA827"/>
  <c r="AA828"/>
  <c r="AA829"/>
  <c r="AA830"/>
  <c r="AA831"/>
  <c r="AA832"/>
  <c r="AA833"/>
  <c r="AA834"/>
  <c r="AA835"/>
  <c r="AA836"/>
  <c r="AA837"/>
  <c r="AA838"/>
  <c r="AA839"/>
  <c r="AA840"/>
  <c r="AA841"/>
  <c r="AA842"/>
  <c r="AA843"/>
  <c r="AA844"/>
  <c r="AA845"/>
  <c r="AA846"/>
  <c r="AA847"/>
  <c r="AA848"/>
  <c r="AA849"/>
  <c r="AA850"/>
  <c r="AA851"/>
  <c r="AA852"/>
  <c r="AA853"/>
  <c r="AA854"/>
  <c r="AA855"/>
  <c r="AA856"/>
  <c r="AA857"/>
  <c r="AA858"/>
  <c r="AA859"/>
  <c r="AA860"/>
  <c r="AA861"/>
  <c r="AA862"/>
  <c r="AA863"/>
  <c r="AA864"/>
  <c r="AA865"/>
  <c r="AA866"/>
  <c r="AA867"/>
  <c r="AA868"/>
  <c r="AA869"/>
  <c r="AA870"/>
  <c r="AA871"/>
  <c r="AA872"/>
  <c r="AA873"/>
  <c r="AA874"/>
  <c r="AA875"/>
  <c r="AA876"/>
  <c r="AA877"/>
  <c r="AA878"/>
  <c r="AA879"/>
  <c r="AA880"/>
  <c r="AA881"/>
  <c r="AA882"/>
  <c r="AA883"/>
  <c r="AA884"/>
  <c r="AA885"/>
  <c r="AA886"/>
  <c r="AA887"/>
  <c r="AA888"/>
  <c r="AA889"/>
  <c r="AA890"/>
  <c r="AA891"/>
  <c r="AA892"/>
  <c r="AA893"/>
  <c r="AA894"/>
  <c r="AA895"/>
  <c r="AA896"/>
  <c r="AA897"/>
  <c r="AA898"/>
  <c r="AA899"/>
  <c r="AA900"/>
  <c r="AA901"/>
  <c r="AA902"/>
  <c r="AA903"/>
  <c r="AA904"/>
  <c r="AA905"/>
  <c r="AA906"/>
  <c r="AA907"/>
  <c r="AA908"/>
  <c r="AA909"/>
  <c r="AA910"/>
  <c r="AA911"/>
  <c r="AA912"/>
  <c r="AA913"/>
  <c r="AA914"/>
  <c r="AA915"/>
  <c r="AA916"/>
  <c r="AA917"/>
  <c r="AA918"/>
  <c r="AA919"/>
  <c r="AA920"/>
  <c r="AA921"/>
  <c r="AA922"/>
  <c r="AA923"/>
  <c r="AA924"/>
  <c r="AA925"/>
  <c r="AA926"/>
  <c r="AA927"/>
  <c r="AA813"/>
  <c r="AA811"/>
  <c r="AA809"/>
  <c r="AA716"/>
  <c r="AA717"/>
  <c r="AA719"/>
  <c r="AA720"/>
  <c r="AA721"/>
  <c r="AA725"/>
  <c r="AA726"/>
  <c r="AA727"/>
  <c r="AA728"/>
  <c r="AA729"/>
  <c r="AA731"/>
  <c r="AA732"/>
  <c r="AA733"/>
  <c r="AA734"/>
  <c r="AA735"/>
  <c r="AA736"/>
  <c r="AA737"/>
  <c r="AA738"/>
  <c r="AA739"/>
  <c r="AA740"/>
  <c r="AA741"/>
  <c r="AA742"/>
  <c r="AA743"/>
  <c r="AA744"/>
  <c r="AA745"/>
  <c r="AA746"/>
  <c r="AA747"/>
  <c r="AA748"/>
  <c r="AA749"/>
  <c r="AA751"/>
  <c r="AA752"/>
  <c r="AA753"/>
  <c r="AA755"/>
  <c r="AA756"/>
  <c r="AA757"/>
  <c r="AA759"/>
  <c r="AA760"/>
  <c r="AA761"/>
  <c r="AA762"/>
  <c r="AA763"/>
  <c r="AA764"/>
  <c r="AA765"/>
  <c r="AA767"/>
  <c r="AA768"/>
  <c r="AA769"/>
  <c r="AA770"/>
  <c r="AA771"/>
  <c r="AA772"/>
  <c r="AA773"/>
  <c r="AA775"/>
  <c r="AA776"/>
  <c r="AA777"/>
  <c r="AA779"/>
  <c r="AA780"/>
  <c r="AA781"/>
  <c r="AA783"/>
  <c r="AA784"/>
  <c r="AA785"/>
  <c r="AA786"/>
  <c r="AA787"/>
  <c r="AA788"/>
  <c r="AA789"/>
  <c r="AA791"/>
  <c r="AA792"/>
  <c r="AA793"/>
  <c r="AA795"/>
  <c r="AA796"/>
  <c r="AA797"/>
  <c r="AA798"/>
  <c r="AA799"/>
  <c r="AA800"/>
  <c r="AA801"/>
  <c r="AA803"/>
  <c r="AA804"/>
  <c r="AA805"/>
  <c r="AA714"/>
  <c r="AA713"/>
  <c r="AA712"/>
  <c r="AA709"/>
  <c r="AA707"/>
  <c r="AA705"/>
  <c r="AA702"/>
  <c r="AA701"/>
  <c r="AA684"/>
  <c r="AA685"/>
  <c r="AA686"/>
  <c r="AA687"/>
  <c r="AA688"/>
  <c r="AA689"/>
  <c r="AA690"/>
  <c r="AA691"/>
  <c r="AA692"/>
  <c r="AA693"/>
  <c r="AA694"/>
  <c r="AA695"/>
  <c r="AA696"/>
  <c r="AA683"/>
  <c r="AA681"/>
  <c r="AA680"/>
  <c r="AA533"/>
  <c r="AA534"/>
  <c r="AA537"/>
  <c r="AA539"/>
  <c r="AA540"/>
  <c r="AA541"/>
  <c r="AA542"/>
  <c r="AA545"/>
  <c r="AA546"/>
  <c r="AA547"/>
  <c r="AA548"/>
  <c r="AA549"/>
  <c r="AA550"/>
  <c r="AA551"/>
  <c r="AA552"/>
  <c r="AA553"/>
  <c r="AA554"/>
  <c r="AA555"/>
  <c r="AA556"/>
  <c r="AB180" i="114"/>
  <c r="AA557" i="57"/>
  <c r="AA558"/>
  <c r="AA559"/>
  <c r="AA560"/>
  <c r="AA561"/>
  <c r="AA562"/>
  <c r="AA563"/>
  <c r="AA564"/>
  <c r="AA565"/>
  <c r="AA566"/>
  <c r="AA567"/>
  <c r="AA568"/>
  <c r="AA569"/>
  <c r="AA570"/>
  <c r="AA571"/>
  <c r="AA572"/>
  <c r="AA573"/>
  <c r="AA574"/>
  <c r="AA575"/>
  <c r="AA576"/>
  <c r="AA577"/>
  <c r="AA578"/>
  <c r="AA579"/>
  <c r="AA580"/>
  <c r="AA581"/>
  <c r="AA582"/>
  <c r="AA583"/>
  <c r="AA584"/>
  <c r="AA585"/>
  <c r="AA586"/>
  <c r="AA587"/>
  <c r="AA588"/>
  <c r="AA589"/>
  <c r="AA590"/>
  <c r="AA591"/>
  <c r="AA592"/>
  <c r="AA593"/>
  <c r="AA594"/>
  <c r="AB178" i="114"/>
  <c r="AA595" i="57"/>
  <c r="AA596"/>
  <c r="AA597"/>
  <c r="AA598"/>
  <c r="AA599"/>
  <c r="AA600"/>
  <c r="AA601"/>
  <c r="AA602"/>
  <c r="AA603"/>
  <c r="AA604"/>
  <c r="AA605"/>
  <c r="AA606"/>
  <c r="AA607"/>
  <c r="AA608"/>
  <c r="AA609"/>
  <c r="AA610"/>
  <c r="AA611"/>
  <c r="AA612"/>
  <c r="AA613"/>
  <c r="AA614"/>
  <c r="AA615"/>
  <c r="AA616"/>
  <c r="AA617"/>
  <c r="AA618"/>
  <c r="AA619"/>
  <c r="AA620"/>
  <c r="AA621"/>
  <c r="AA622"/>
  <c r="AA623"/>
  <c r="AA624"/>
  <c r="AA625"/>
  <c r="AA626"/>
  <c r="AA627"/>
  <c r="AA628"/>
  <c r="AA629"/>
  <c r="AA630"/>
  <c r="AA631"/>
  <c r="AA632"/>
  <c r="AA633"/>
  <c r="AA634"/>
  <c r="AA635"/>
  <c r="AA636"/>
  <c r="AA637"/>
  <c r="AA638"/>
  <c r="AA639"/>
  <c r="AA640"/>
  <c r="AA641"/>
  <c r="AA642"/>
  <c r="AA643"/>
  <c r="AA644"/>
  <c r="AA645"/>
  <c r="AA646"/>
  <c r="AA647"/>
  <c r="AA648"/>
  <c r="AA649"/>
  <c r="AA650"/>
  <c r="AA651"/>
  <c r="AA652"/>
  <c r="AA653"/>
  <c r="AA654"/>
  <c r="AA655"/>
  <c r="AA656"/>
  <c r="AA657"/>
  <c r="AA658"/>
  <c r="AA659"/>
  <c r="AA660"/>
  <c r="AA661"/>
  <c r="AA662"/>
  <c r="AA663"/>
  <c r="AA664"/>
  <c r="AA665"/>
  <c r="AA666"/>
  <c r="AA667"/>
  <c r="AA668"/>
  <c r="AA669"/>
  <c r="AA670"/>
  <c r="AA671"/>
  <c r="AA672"/>
  <c r="AA673"/>
  <c r="AA674"/>
  <c r="AA675"/>
  <c r="AA676"/>
  <c r="AA677"/>
  <c r="AA678"/>
  <c r="AA679"/>
  <c r="AA532"/>
  <c r="AA531"/>
  <c r="AA530"/>
  <c r="AA506"/>
  <c r="AA507"/>
  <c r="AA508"/>
  <c r="AA511"/>
  <c r="AA512"/>
  <c r="AA515"/>
  <c r="AA516"/>
  <c r="AA519"/>
  <c r="AA521"/>
  <c r="AA522"/>
  <c r="AA523"/>
  <c r="AA524"/>
  <c r="AA525"/>
  <c r="AA526"/>
  <c r="AA505"/>
  <c r="AA503"/>
  <c r="AA502"/>
  <c r="AA501"/>
  <c r="AA499"/>
  <c r="AA498"/>
  <c r="AA497"/>
  <c r="AA496"/>
  <c r="AA495"/>
  <c r="AA494"/>
  <c r="AA485"/>
  <c r="AA487"/>
  <c r="AA488"/>
  <c r="AA489"/>
  <c r="AA491"/>
  <c r="AA483"/>
  <c r="AA481"/>
  <c r="AA480"/>
  <c r="AA438"/>
  <c r="AA439"/>
  <c r="AA441"/>
  <c r="AA442"/>
  <c r="AA444"/>
  <c r="AA445"/>
  <c r="AA446"/>
  <c r="AA447"/>
  <c r="AA449"/>
  <c r="AA450"/>
  <c r="AA452"/>
  <c r="AA453"/>
  <c r="AA454"/>
  <c r="AA455"/>
  <c r="AA457"/>
  <c r="AA458"/>
  <c r="AA459"/>
  <c r="AA462"/>
  <c r="AA463"/>
  <c r="AA464"/>
  <c r="AA465"/>
  <c r="AA467"/>
  <c r="AA468"/>
  <c r="AA469"/>
  <c r="AA470"/>
  <c r="AA471"/>
  <c r="AA472"/>
  <c r="AA473"/>
  <c r="AA474"/>
  <c r="AA475"/>
  <c r="AA476"/>
  <c r="AA477"/>
  <c r="AA437"/>
  <c r="AA436"/>
  <c r="AA434"/>
  <c r="AA433"/>
  <c r="AA428"/>
  <c r="AA427"/>
  <c r="AA426"/>
  <c r="AA424"/>
  <c r="AA420"/>
  <c r="AA419"/>
  <c r="AA293"/>
  <c r="AA295"/>
  <c r="AA297"/>
  <c r="AA298"/>
  <c r="AA299"/>
  <c r="AA300"/>
  <c r="AA302"/>
  <c r="AA303"/>
  <c r="AA304"/>
  <c r="AA307"/>
  <c r="AA308"/>
  <c r="AA309"/>
  <c r="AA311"/>
  <c r="AA312"/>
  <c r="AA314"/>
  <c r="AA315"/>
  <c r="AA316"/>
  <c r="AA318"/>
  <c r="AA319"/>
  <c r="AA320"/>
  <c r="AA321"/>
  <c r="AA322"/>
  <c r="AA323"/>
  <c r="AA324"/>
  <c r="AA326"/>
  <c r="AA327"/>
  <c r="AA328"/>
  <c r="AA330"/>
  <c r="AA331"/>
  <c r="AA332"/>
  <c r="AA333"/>
  <c r="AA334"/>
  <c r="AA335"/>
  <c r="AA336"/>
  <c r="AA338"/>
  <c r="AA339"/>
  <c r="AA340"/>
  <c r="AA341"/>
  <c r="AA342"/>
  <c r="AA343"/>
  <c r="AA344"/>
  <c r="AA345"/>
  <c r="AA346"/>
  <c r="AA347"/>
  <c r="AA348"/>
  <c r="AA350"/>
  <c r="AA351"/>
  <c r="AA352"/>
  <c r="AA353"/>
  <c r="AA354"/>
  <c r="AA355"/>
  <c r="AA356"/>
  <c r="AA357"/>
  <c r="AA358"/>
  <c r="AA359"/>
  <c r="AA360"/>
  <c r="AA362"/>
  <c r="AA363"/>
  <c r="AA364"/>
  <c r="AA366"/>
  <c r="AA367"/>
  <c r="AA368"/>
  <c r="AA369"/>
  <c r="AA370"/>
  <c r="AA371"/>
  <c r="AA372"/>
  <c r="AA374"/>
  <c r="AA375"/>
  <c r="AA376"/>
  <c r="AA378"/>
  <c r="AA379"/>
  <c r="AA380"/>
  <c r="AA382"/>
  <c r="AA383"/>
  <c r="AA384"/>
  <c r="AA385"/>
  <c r="AA386"/>
  <c r="AA387"/>
  <c r="AA388"/>
  <c r="AA390"/>
  <c r="AA391"/>
  <c r="AA392"/>
  <c r="AA393"/>
  <c r="AA394"/>
  <c r="AA395"/>
  <c r="AA396"/>
  <c r="AA398"/>
  <c r="AA399"/>
  <c r="AA400"/>
  <c r="AA402"/>
  <c r="AA403"/>
  <c r="AA404"/>
  <c r="AA406"/>
  <c r="AA407"/>
  <c r="AA408"/>
  <c r="AA410"/>
  <c r="AA411"/>
  <c r="AA412"/>
  <c r="AA414"/>
  <c r="AA292"/>
  <c r="AA291"/>
  <c r="AA289"/>
  <c r="AA261"/>
  <c r="AA262"/>
  <c r="AA263"/>
  <c r="AA264"/>
  <c r="AA265"/>
  <c r="AA266"/>
  <c r="AA267"/>
  <c r="AA268"/>
  <c r="AA269"/>
  <c r="AA270"/>
  <c r="AA271"/>
  <c r="AA272"/>
  <c r="AA273"/>
  <c r="AA274"/>
  <c r="AA275"/>
  <c r="AA276"/>
  <c r="AA277"/>
  <c r="AA278"/>
  <c r="AA279"/>
  <c r="AA280"/>
  <c r="AA281"/>
  <c r="AA282"/>
  <c r="AA283"/>
  <c r="AA284"/>
  <c r="AA285"/>
  <c r="AA286"/>
  <c r="AA258"/>
  <c r="AA257"/>
  <c r="AA256"/>
  <c r="AA255"/>
  <c r="AA253"/>
  <c r="AA251"/>
  <c r="AA250"/>
  <c r="AA249"/>
  <c r="AA248"/>
  <c r="AA246"/>
  <c r="AA229"/>
  <c r="AA230"/>
  <c r="AA231"/>
  <c r="AA232"/>
  <c r="AA233"/>
  <c r="AA237"/>
  <c r="AA238"/>
  <c r="AA239"/>
  <c r="AA240"/>
  <c r="AA241"/>
  <c r="AA209"/>
  <c r="AA210"/>
  <c r="AA211"/>
  <c r="AA212"/>
  <c r="AA213"/>
  <c r="AA214"/>
  <c r="AA215"/>
  <c r="AA217"/>
  <c r="AA218"/>
  <c r="AA219"/>
  <c r="AA221"/>
  <c r="AA222"/>
  <c r="AA208"/>
  <c r="AA130"/>
  <c r="AA131"/>
  <c r="AA132"/>
  <c r="AA133"/>
  <c r="AA134"/>
  <c r="AA135"/>
  <c r="AA136"/>
  <c r="AA137"/>
  <c r="AA138"/>
  <c r="AA139"/>
  <c r="AA140"/>
  <c r="AA142"/>
  <c r="AA144"/>
  <c r="AA146"/>
  <c r="AA148"/>
  <c r="AA150"/>
  <c r="AA151"/>
  <c r="AA154"/>
  <c r="AA155"/>
  <c r="AA156"/>
  <c r="AA158"/>
  <c r="AA159"/>
  <c r="AA160"/>
  <c r="AA163"/>
  <c r="AA164"/>
  <c r="AA166"/>
  <c r="AA167"/>
  <c r="AA168"/>
  <c r="AA169"/>
  <c r="AA170"/>
  <c r="AA171"/>
  <c r="AA172"/>
  <c r="AA173"/>
  <c r="AA174"/>
  <c r="AA175"/>
  <c r="AA176"/>
  <c r="AA177"/>
  <c r="AA178"/>
  <c r="AA179"/>
  <c r="AA180"/>
  <c r="AA181"/>
  <c r="AA182"/>
  <c r="AA183"/>
  <c r="AA184"/>
  <c r="AA185"/>
  <c r="AA186"/>
  <c r="AA187"/>
  <c r="AA188"/>
  <c r="AA189"/>
  <c r="AA190"/>
  <c r="AA191"/>
  <c r="AA192"/>
  <c r="AA193"/>
  <c r="AA194"/>
  <c r="AA195"/>
  <c r="AA196"/>
  <c r="AA197"/>
  <c r="AA198"/>
  <c r="AA199"/>
  <c r="AA200"/>
  <c r="AA201"/>
  <c r="AA202"/>
  <c r="AA203"/>
  <c r="AA204"/>
  <c r="AA205"/>
  <c r="AA206"/>
  <c r="AA207"/>
  <c r="AA128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4"/>
  <c r="AA105"/>
  <c r="AA106"/>
  <c r="AA107"/>
  <c r="AA108"/>
  <c r="AA109"/>
  <c r="AA110"/>
  <c r="AA111"/>
  <c r="AA112"/>
  <c r="AA113"/>
  <c r="AA114"/>
  <c r="AA115"/>
  <c r="AA116"/>
  <c r="AA117"/>
  <c r="AA118"/>
  <c r="AA119"/>
  <c r="AA120"/>
  <c r="AA121"/>
  <c r="AA122"/>
  <c r="AA123"/>
  <c r="AA124"/>
  <c r="AA125"/>
  <c r="AA70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42"/>
  <c r="AK3" i="118"/>
  <c r="AK4"/>
  <c r="AK5"/>
  <c r="AK6"/>
  <c r="AK7"/>
  <c r="AK8"/>
  <c r="AK9"/>
  <c r="AK10"/>
  <c r="AK11"/>
  <c r="AK12"/>
  <c r="AK13"/>
  <c r="AK14"/>
  <c r="AK15"/>
  <c r="AK16"/>
  <c r="AK17"/>
  <c r="AK18"/>
  <c r="AK19"/>
  <c r="AK20"/>
  <c r="AK21"/>
  <c r="AK22"/>
  <c r="AK23"/>
  <c r="AK24"/>
  <c r="AK26"/>
  <c r="AK27"/>
  <c r="AK28"/>
  <c r="AK29"/>
  <c r="AK30"/>
  <c r="AK31"/>
  <c r="AK32"/>
  <c r="AK33"/>
  <c r="AK34"/>
  <c r="AK35"/>
  <c r="AK36"/>
  <c r="AK37"/>
  <c r="AK38"/>
  <c r="AK39"/>
  <c r="AK40"/>
  <c r="AA15" i="57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8"/>
  <c r="AA39"/>
  <c r="AA14"/>
  <c r="AA13"/>
  <c r="AA5"/>
  <c r="AA6"/>
  <c r="AA7"/>
  <c r="AA8"/>
  <c r="AA9"/>
  <c r="AA10"/>
  <c r="AB3" i="118"/>
  <c r="AB4"/>
  <c r="AB5"/>
  <c r="AB6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1"/>
  <c r="AA4"/>
  <c r="AA5"/>
  <c r="AA6"/>
  <c r="AA7"/>
  <c r="AA8"/>
  <c r="AA9"/>
  <c r="AA10"/>
  <c r="AA11"/>
  <c r="AA12"/>
  <c r="AA13"/>
  <c r="AA14"/>
  <c r="AA15"/>
  <c r="AA16"/>
  <c r="AA17"/>
  <c r="AA18"/>
  <c r="AA20"/>
  <c r="AA21"/>
  <c r="AA22"/>
  <c r="AA23"/>
  <c r="AA24"/>
  <c r="AA26"/>
  <c r="AA28"/>
  <c r="AA31"/>
  <c r="AA32"/>
  <c r="AA33"/>
  <c r="AA34"/>
  <c r="AA35"/>
  <c r="AA36"/>
  <c r="AA37"/>
  <c r="AA39"/>
  <c r="AA40"/>
  <c r="AA1"/>
  <c r="AF38" i="74"/>
  <c r="AB132" i="22" l="1"/>
  <c r="AJ1694" i="57"/>
  <c r="AK2" i="118"/>
  <c r="AJ532" i="57"/>
  <c r="AB2" i="118"/>
  <c r="AA29"/>
  <c r="AA510" i="57"/>
  <c r="AA1694"/>
  <c r="AA25" i="118"/>
  <c r="AA1719" i="57"/>
  <c r="AA27" i="118"/>
  <c r="Y38" i="74"/>
  <c r="Z38" s="1"/>
  <c r="U38"/>
  <c r="W65" i="114"/>
  <c r="W67"/>
  <c r="W66"/>
  <c r="Y152" l="1"/>
  <c r="Z152" s="1"/>
  <c r="U152"/>
  <c r="Y161"/>
  <c r="Z161" s="1"/>
  <c r="U161"/>
  <c r="Y65"/>
  <c r="Z65" s="1"/>
  <c r="U65"/>
  <c r="Y66"/>
  <c r="Z66" s="1"/>
  <c r="U66"/>
  <c r="U67"/>
  <c r="Y67"/>
  <c r="Z67" s="1"/>
  <c r="Y188" l="1"/>
  <c r="Z188" s="1"/>
  <c r="U188"/>
  <c r="W64"/>
  <c r="AI64"/>
  <c r="AH64" l="1"/>
  <c r="Y64"/>
  <c r="Z64" s="1"/>
  <c r="U64"/>
  <c r="AI63"/>
  <c r="W63"/>
  <c r="AH63" l="1"/>
  <c r="Y63"/>
  <c r="Z63" s="1"/>
  <c r="U63"/>
  <c r="AI62"/>
  <c r="W62"/>
  <c r="AH62" l="1"/>
  <c r="Y62"/>
  <c r="Z62" s="1"/>
  <c r="U62"/>
  <c r="AI61"/>
  <c r="W61"/>
  <c r="AH61" l="1"/>
  <c r="Y61"/>
  <c r="Z61" s="1"/>
  <c r="U61"/>
  <c r="U97" i="28" l="1"/>
  <c r="V97"/>
  <c r="U98"/>
  <c r="V98"/>
  <c r="U99"/>
  <c r="V99"/>
  <c r="U100"/>
  <c r="V100"/>
  <c r="U101"/>
  <c r="V101"/>
  <c r="U102"/>
  <c r="V102"/>
  <c r="U103"/>
  <c r="V103"/>
  <c r="U104"/>
  <c r="V104"/>
  <c r="U105"/>
  <c r="V105"/>
  <c r="U106"/>
  <c r="V106"/>
  <c r="U107"/>
  <c r="V107"/>
  <c r="U108"/>
  <c r="V108"/>
  <c r="U109"/>
  <c r="V109"/>
  <c r="U110"/>
  <c r="V110"/>
  <c r="U111"/>
  <c r="V111"/>
  <c r="U112"/>
  <c r="V112"/>
  <c r="U113"/>
  <c r="V113"/>
  <c r="U114"/>
  <c r="V114"/>
  <c r="U115"/>
  <c r="V115"/>
  <c r="U116"/>
  <c r="V116"/>
  <c r="U117"/>
  <c r="V117"/>
  <c r="U118"/>
  <c r="V118"/>
  <c r="U119"/>
  <c r="V119"/>
  <c r="U120"/>
  <c r="V120"/>
  <c r="U121"/>
  <c r="V121"/>
  <c r="U122"/>
  <c r="V122"/>
  <c r="U123"/>
  <c r="V123"/>
  <c r="U124"/>
  <c r="V124"/>
  <c r="U125"/>
  <c r="V125"/>
  <c r="U126"/>
  <c r="V126"/>
  <c r="U127"/>
  <c r="V127"/>
  <c r="U128"/>
  <c r="V128"/>
  <c r="U129"/>
  <c r="V129"/>
  <c r="U130"/>
  <c r="V130"/>
  <c r="U131"/>
  <c r="V131"/>
  <c r="U132"/>
  <c r="V132"/>
  <c r="U133"/>
  <c r="V133"/>
  <c r="U134"/>
  <c r="V134"/>
  <c r="U135"/>
  <c r="V135"/>
  <c r="U136"/>
  <c r="V136"/>
  <c r="U137"/>
  <c r="V137"/>
  <c r="U138"/>
  <c r="V138"/>
  <c r="U139"/>
  <c r="V139"/>
  <c r="U140"/>
  <c r="V140"/>
  <c r="U141"/>
  <c r="V141"/>
  <c r="U142"/>
  <c r="V142"/>
  <c r="U143"/>
  <c r="V143"/>
  <c r="U144"/>
  <c r="V144"/>
  <c r="U145"/>
  <c r="V145"/>
  <c r="U146"/>
  <c r="V146"/>
  <c r="U147"/>
  <c r="V147"/>
  <c r="U148"/>
  <c r="V148"/>
  <c r="U149"/>
  <c r="V149"/>
  <c r="U150"/>
  <c r="V150"/>
  <c r="U151"/>
  <c r="V151"/>
  <c r="U152"/>
  <c r="V152"/>
  <c r="U153"/>
  <c r="V153"/>
  <c r="U154"/>
  <c r="V154"/>
  <c r="U155"/>
  <c r="V155"/>
  <c r="U156"/>
  <c r="V156"/>
  <c r="U157"/>
  <c r="V157"/>
  <c r="U158"/>
  <c r="V158"/>
  <c r="U159"/>
  <c r="V159"/>
  <c r="U160"/>
  <c r="V160"/>
  <c r="U161"/>
  <c r="V161"/>
  <c r="U162"/>
  <c r="V162"/>
  <c r="U163"/>
  <c r="V163"/>
  <c r="U164"/>
  <c r="V164"/>
  <c r="U165"/>
  <c r="V165"/>
  <c r="U166"/>
  <c r="V166"/>
  <c r="U167"/>
  <c r="V167"/>
  <c r="U168"/>
  <c r="V168"/>
  <c r="U169"/>
  <c r="V169"/>
  <c r="U170"/>
  <c r="V170"/>
  <c r="U171"/>
  <c r="V171"/>
  <c r="U172"/>
  <c r="V172"/>
  <c r="U173"/>
  <c r="V173"/>
  <c r="U174"/>
  <c r="V174"/>
  <c r="U175"/>
  <c r="V175"/>
  <c r="U176"/>
  <c r="V176"/>
  <c r="U177"/>
  <c r="V177"/>
  <c r="U178"/>
  <c r="V178"/>
  <c r="U179"/>
  <c r="V179"/>
  <c r="U180"/>
  <c r="V180"/>
  <c r="U181"/>
  <c r="V181"/>
  <c r="U182"/>
  <c r="V182"/>
  <c r="U183"/>
  <c r="V183"/>
  <c r="U184"/>
  <c r="V184"/>
  <c r="U185"/>
  <c r="V185"/>
  <c r="U186"/>
  <c r="V186"/>
  <c r="U187"/>
  <c r="V187"/>
  <c r="U188"/>
  <c r="V188"/>
  <c r="U189"/>
  <c r="V189"/>
  <c r="U190"/>
  <c r="V190"/>
  <c r="U191"/>
  <c r="V191"/>
  <c r="U192"/>
  <c r="V192"/>
  <c r="U193"/>
  <c r="V193"/>
  <c r="U194"/>
  <c r="V194"/>
  <c r="U195"/>
  <c r="V195"/>
  <c r="U196"/>
  <c r="V196"/>
  <c r="U197"/>
  <c r="V197"/>
  <c r="U198"/>
  <c r="V198"/>
  <c r="U199"/>
  <c r="V199"/>
  <c r="U200"/>
  <c r="V200"/>
  <c r="U201"/>
  <c r="V201"/>
  <c r="U202"/>
  <c r="V202"/>
  <c r="U203"/>
  <c r="V203"/>
  <c r="U204"/>
  <c r="V204"/>
  <c r="U205"/>
  <c r="V205"/>
  <c r="U206"/>
  <c r="V206"/>
  <c r="U207"/>
  <c r="V207"/>
  <c r="U208"/>
  <c r="V208"/>
  <c r="U209"/>
  <c r="V209"/>
  <c r="U210"/>
  <c r="V210"/>
  <c r="U211"/>
  <c r="V211"/>
  <c r="U212"/>
  <c r="V212"/>
  <c r="U213"/>
  <c r="V213"/>
  <c r="U214"/>
  <c r="V214"/>
  <c r="U215"/>
  <c r="V215"/>
  <c r="U216"/>
  <c r="V216"/>
  <c r="U217"/>
  <c r="V217"/>
  <c r="U218"/>
  <c r="V218"/>
  <c r="U219"/>
  <c r="V219"/>
  <c r="U220"/>
  <c r="V220"/>
  <c r="U221"/>
  <c r="V221"/>
  <c r="U222"/>
  <c r="V222"/>
  <c r="U223"/>
  <c r="V223"/>
  <c r="U224"/>
  <c r="V224"/>
  <c r="U225"/>
  <c r="V225"/>
  <c r="U226"/>
  <c r="V226"/>
  <c r="U227"/>
  <c r="V227"/>
  <c r="U228"/>
  <c r="V228"/>
  <c r="U229"/>
  <c r="V229"/>
  <c r="U230"/>
  <c r="V230"/>
  <c r="U231"/>
  <c r="V231"/>
  <c r="U232"/>
  <c r="V232"/>
  <c r="U233"/>
  <c r="V233"/>
  <c r="U234"/>
  <c r="V234"/>
  <c r="U235"/>
  <c r="V235"/>
  <c r="U236"/>
  <c r="V236"/>
  <c r="U237"/>
  <c r="V237"/>
  <c r="U238"/>
  <c r="V238"/>
  <c r="U239"/>
  <c r="V239"/>
  <c r="U240"/>
  <c r="V240"/>
  <c r="U241"/>
  <c r="V241"/>
  <c r="U242"/>
  <c r="V242"/>
  <c r="U243"/>
  <c r="V243"/>
  <c r="U244"/>
  <c r="V244"/>
  <c r="U245"/>
  <c r="V245"/>
  <c r="U246"/>
  <c r="V246"/>
  <c r="U247"/>
  <c r="V247"/>
  <c r="U248"/>
  <c r="V248"/>
  <c r="U249"/>
  <c r="V249"/>
  <c r="U250"/>
  <c r="V250"/>
  <c r="U251"/>
  <c r="V251"/>
  <c r="U252"/>
  <c r="V252"/>
  <c r="U253"/>
  <c r="V253"/>
  <c r="U254"/>
  <c r="V254"/>
  <c r="U255"/>
  <c r="V255"/>
  <c r="U256"/>
  <c r="V256"/>
  <c r="U257"/>
  <c r="V257"/>
  <c r="U258"/>
  <c r="V258"/>
  <c r="U259"/>
  <c r="V259"/>
  <c r="U260"/>
  <c r="V260"/>
  <c r="U261"/>
  <c r="V261"/>
  <c r="U262"/>
  <c r="V262"/>
  <c r="U263"/>
  <c r="V263"/>
  <c r="U264"/>
  <c r="V264"/>
  <c r="U265"/>
  <c r="V265"/>
  <c r="U266"/>
  <c r="V266"/>
  <c r="U267"/>
  <c r="V267"/>
  <c r="U268"/>
  <c r="V268"/>
  <c r="U269"/>
  <c r="V269"/>
  <c r="U270"/>
  <c r="V270"/>
  <c r="U271"/>
  <c r="V271"/>
  <c r="U272"/>
  <c r="V272"/>
  <c r="U273"/>
  <c r="V273"/>
  <c r="U274"/>
  <c r="V274"/>
  <c r="U275"/>
  <c r="V275"/>
  <c r="U276"/>
  <c r="V276"/>
  <c r="U277"/>
  <c r="V277"/>
  <c r="U278"/>
  <c r="V278"/>
  <c r="U279"/>
  <c r="V279"/>
  <c r="U280"/>
  <c r="V280"/>
  <c r="U281"/>
  <c r="V281"/>
  <c r="U282"/>
  <c r="V282"/>
  <c r="U283"/>
  <c r="V283"/>
  <c r="U284"/>
  <c r="V284"/>
  <c r="U285"/>
  <c r="V285"/>
  <c r="U286"/>
  <c r="V286"/>
  <c r="U287"/>
  <c r="V287"/>
  <c r="U288"/>
  <c r="V288"/>
  <c r="U289"/>
  <c r="V289"/>
  <c r="U290"/>
  <c r="V290"/>
  <c r="U291"/>
  <c r="V291"/>
  <c r="U292"/>
  <c r="V292"/>
  <c r="U293"/>
  <c r="V293"/>
  <c r="U294"/>
  <c r="V294"/>
  <c r="U295"/>
  <c r="V295"/>
  <c r="U296"/>
  <c r="V296"/>
  <c r="U297"/>
  <c r="V297"/>
  <c r="U298"/>
  <c r="V298"/>
  <c r="U299"/>
  <c r="V299"/>
  <c r="U300"/>
  <c r="V300"/>
  <c r="U301"/>
  <c r="V301"/>
  <c r="U302"/>
  <c r="V302"/>
  <c r="U303"/>
  <c r="V303"/>
  <c r="U304"/>
  <c r="V304"/>
  <c r="U305"/>
  <c r="V305"/>
  <c r="U306"/>
  <c r="V306"/>
  <c r="U307"/>
  <c r="V307"/>
  <c r="U308"/>
  <c r="V308"/>
  <c r="U309"/>
  <c r="V309"/>
  <c r="U310"/>
  <c r="V310"/>
  <c r="U311"/>
  <c r="V311"/>
  <c r="U312"/>
  <c r="V312"/>
  <c r="U313"/>
  <c r="V313"/>
  <c r="U314"/>
  <c r="V314"/>
  <c r="U315"/>
  <c r="V315"/>
  <c r="U316"/>
  <c r="V316"/>
  <c r="U317"/>
  <c r="V317"/>
  <c r="U318"/>
  <c r="V318"/>
  <c r="U319"/>
  <c r="V319"/>
  <c r="U320"/>
  <c r="V320"/>
  <c r="U321"/>
  <c r="V321"/>
  <c r="U322"/>
  <c r="V322"/>
  <c r="U323"/>
  <c r="V323"/>
  <c r="U324"/>
  <c r="V324"/>
  <c r="U325"/>
  <c r="V325"/>
  <c r="U326"/>
  <c r="V326"/>
  <c r="U327"/>
  <c r="V327"/>
  <c r="U328"/>
  <c r="V328"/>
  <c r="U329"/>
  <c r="V329"/>
  <c r="U330"/>
  <c r="V330"/>
  <c r="U331"/>
  <c r="V331"/>
  <c r="U332"/>
  <c r="V332"/>
  <c r="U333"/>
  <c r="V333"/>
  <c r="U334"/>
  <c r="V334"/>
  <c r="U64"/>
  <c r="V64"/>
  <c r="U65"/>
  <c r="V65"/>
  <c r="U66"/>
  <c r="V66"/>
  <c r="U67"/>
  <c r="V67"/>
  <c r="U68"/>
  <c r="V68"/>
  <c r="U69"/>
  <c r="V69"/>
  <c r="U70"/>
  <c r="V70"/>
  <c r="U71"/>
  <c r="V71"/>
  <c r="U72"/>
  <c r="V72"/>
  <c r="U73"/>
  <c r="V73"/>
  <c r="U74"/>
  <c r="V74"/>
  <c r="U75"/>
  <c r="V75"/>
  <c r="U76"/>
  <c r="V76"/>
  <c r="U77"/>
  <c r="V77"/>
  <c r="U78"/>
  <c r="V78"/>
  <c r="U79"/>
  <c r="V79"/>
  <c r="U80"/>
  <c r="V80"/>
  <c r="U81"/>
  <c r="V81"/>
  <c r="U82"/>
  <c r="V82"/>
  <c r="U83"/>
  <c r="V83"/>
  <c r="U84"/>
  <c r="V84"/>
  <c r="U85"/>
  <c r="V85"/>
  <c r="U86"/>
  <c r="V86"/>
  <c r="U87"/>
  <c r="V87"/>
  <c r="U88"/>
  <c r="V88"/>
  <c r="U89"/>
  <c r="V89"/>
  <c r="U90"/>
  <c r="V90"/>
  <c r="U91"/>
  <c r="V91"/>
  <c r="U92"/>
  <c r="V92"/>
  <c r="U93"/>
  <c r="V93"/>
  <c r="U94"/>
  <c r="V94"/>
  <c r="U95"/>
  <c r="V95"/>
  <c r="U96"/>
  <c r="V96"/>
  <c r="V63"/>
  <c r="U63"/>
  <c r="V62"/>
  <c r="U62"/>
  <c r="V61"/>
  <c r="V60"/>
  <c r="V56"/>
  <c r="V53"/>
  <c r="V54"/>
  <c r="V51"/>
  <c r="V16"/>
  <c r="V20"/>
  <c r="V19"/>
  <c r="V17"/>
  <c r="V21"/>
  <c r="V22"/>
  <c r="V23"/>
  <c r="V15"/>
  <c r="V31"/>
  <c r="V29"/>
  <c r="V24"/>
  <c r="V27"/>
  <c r="V25"/>
  <c r="V26"/>
  <c r="V30"/>
  <c r="V28"/>
  <c r="V32"/>
  <c r="V33"/>
  <c r="V34"/>
  <c r="V35"/>
  <c r="V14"/>
  <c r="V13"/>
  <c r="A98"/>
  <c r="B98"/>
  <c r="C98"/>
  <c r="D98"/>
  <c r="E98"/>
  <c r="F98"/>
  <c r="A99"/>
  <c r="B99"/>
  <c r="C99"/>
  <c r="D99"/>
  <c r="E99"/>
  <c r="F99"/>
  <c r="A100"/>
  <c r="B100"/>
  <c r="C100"/>
  <c r="D100"/>
  <c r="E100"/>
  <c r="F100"/>
  <c r="A101"/>
  <c r="B101"/>
  <c r="C101"/>
  <c r="D101"/>
  <c r="E101"/>
  <c r="F101"/>
  <c r="A102"/>
  <c r="B102"/>
  <c r="C102"/>
  <c r="D102"/>
  <c r="E102"/>
  <c r="F102"/>
  <c r="A103"/>
  <c r="B103"/>
  <c r="C103"/>
  <c r="D103"/>
  <c r="E103"/>
  <c r="F103"/>
  <c r="A104"/>
  <c r="B104"/>
  <c r="C104"/>
  <c r="D104"/>
  <c r="E104"/>
  <c r="F104"/>
  <c r="A105"/>
  <c r="B105"/>
  <c r="C105"/>
  <c r="D105"/>
  <c r="E105"/>
  <c r="F105"/>
  <c r="A106"/>
  <c r="B106"/>
  <c r="C106"/>
  <c r="D106"/>
  <c r="E106"/>
  <c r="F106"/>
  <c r="A107"/>
  <c r="B107"/>
  <c r="C107"/>
  <c r="D107"/>
  <c r="E107"/>
  <c r="F107"/>
  <c r="A108"/>
  <c r="B108"/>
  <c r="C108"/>
  <c r="D108"/>
  <c r="E108"/>
  <c r="F108"/>
  <c r="A109"/>
  <c r="B109"/>
  <c r="C109"/>
  <c r="D109"/>
  <c r="E109"/>
  <c r="F109"/>
  <c r="A110"/>
  <c r="B110"/>
  <c r="C110"/>
  <c r="D110"/>
  <c r="E110"/>
  <c r="F110"/>
  <c r="A111"/>
  <c r="B111"/>
  <c r="C111"/>
  <c r="D111"/>
  <c r="E111"/>
  <c r="F111"/>
  <c r="A112"/>
  <c r="B112"/>
  <c r="C112"/>
  <c r="D112"/>
  <c r="E112"/>
  <c r="F112"/>
  <c r="A113"/>
  <c r="B113"/>
  <c r="C113"/>
  <c r="D113"/>
  <c r="E113"/>
  <c r="F113"/>
  <c r="A114"/>
  <c r="B114"/>
  <c r="C114"/>
  <c r="D114"/>
  <c r="E114"/>
  <c r="F114"/>
  <c r="A115"/>
  <c r="B115"/>
  <c r="C115"/>
  <c r="D115"/>
  <c r="E115"/>
  <c r="F115"/>
  <c r="A116"/>
  <c r="B116"/>
  <c r="C116"/>
  <c r="D116"/>
  <c r="E116"/>
  <c r="F116"/>
  <c r="A117"/>
  <c r="B117"/>
  <c r="C117"/>
  <c r="D117"/>
  <c r="E117"/>
  <c r="F117"/>
  <c r="A118"/>
  <c r="B118"/>
  <c r="C118"/>
  <c r="D118"/>
  <c r="E118"/>
  <c r="F118"/>
  <c r="A119"/>
  <c r="B119"/>
  <c r="C119"/>
  <c r="D119"/>
  <c r="E119"/>
  <c r="F119"/>
  <c r="A120"/>
  <c r="B120"/>
  <c r="C120"/>
  <c r="D120"/>
  <c r="E120"/>
  <c r="F120"/>
  <c r="A121"/>
  <c r="B121"/>
  <c r="C121"/>
  <c r="D121"/>
  <c r="E121"/>
  <c r="F121"/>
  <c r="A122"/>
  <c r="B122"/>
  <c r="C122"/>
  <c r="D122"/>
  <c r="E122"/>
  <c r="F122"/>
  <c r="A123"/>
  <c r="B123"/>
  <c r="C123"/>
  <c r="D123"/>
  <c r="E123"/>
  <c r="F123"/>
  <c r="A124"/>
  <c r="B124"/>
  <c r="C124"/>
  <c r="D124"/>
  <c r="E124"/>
  <c r="F124"/>
  <c r="A125"/>
  <c r="B125"/>
  <c r="C125"/>
  <c r="D125"/>
  <c r="E125"/>
  <c r="F125"/>
  <c r="A126"/>
  <c r="B126"/>
  <c r="C126"/>
  <c r="D126"/>
  <c r="E126"/>
  <c r="F126"/>
  <c r="A127"/>
  <c r="B127"/>
  <c r="C127"/>
  <c r="D127"/>
  <c r="E127"/>
  <c r="F127"/>
  <c r="A128"/>
  <c r="B128"/>
  <c r="C128"/>
  <c r="D128"/>
  <c r="E128"/>
  <c r="F128"/>
  <c r="A129"/>
  <c r="B129"/>
  <c r="C129"/>
  <c r="D129"/>
  <c r="E129"/>
  <c r="F129"/>
  <c r="A130"/>
  <c r="B130"/>
  <c r="C130"/>
  <c r="D130"/>
  <c r="E130"/>
  <c r="F130"/>
  <c r="A131"/>
  <c r="B131"/>
  <c r="C131"/>
  <c r="D131"/>
  <c r="E131"/>
  <c r="F131"/>
  <c r="A132"/>
  <c r="B132"/>
  <c r="C132"/>
  <c r="D132"/>
  <c r="E132"/>
  <c r="F132"/>
  <c r="A133"/>
  <c r="B133"/>
  <c r="C133"/>
  <c r="D133"/>
  <c r="E133"/>
  <c r="F133"/>
  <c r="A134"/>
  <c r="B134"/>
  <c r="C134"/>
  <c r="D134"/>
  <c r="E134"/>
  <c r="F134"/>
  <c r="A135"/>
  <c r="B135"/>
  <c r="C135"/>
  <c r="D135"/>
  <c r="E135"/>
  <c r="F135"/>
  <c r="A136"/>
  <c r="B136"/>
  <c r="C136"/>
  <c r="D136"/>
  <c r="E136"/>
  <c r="F136"/>
  <c r="A137"/>
  <c r="B137"/>
  <c r="C137"/>
  <c r="D137"/>
  <c r="E137"/>
  <c r="F137"/>
  <c r="A138"/>
  <c r="B138"/>
  <c r="C138"/>
  <c r="D138"/>
  <c r="E138"/>
  <c r="F138"/>
  <c r="A139"/>
  <c r="B139"/>
  <c r="C139"/>
  <c r="D139"/>
  <c r="E139"/>
  <c r="F139"/>
  <c r="A140"/>
  <c r="B140"/>
  <c r="C140"/>
  <c r="D140"/>
  <c r="E140"/>
  <c r="F140"/>
  <c r="A141"/>
  <c r="B141"/>
  <c r="C141"/>
  <c r="D141"/>
  <c r="E141"/>
  <c r="F141"/>
  <c r="A142"/>
  <c r="B142"/>
  <c r="C142"/>
  <c r="D142"/>
  <c r="E142"/>
  <c r="F142"/>
  <c r="A143"/>
  <c r="B143"/>
  <c r="C143"/>
  <c r="D143"/>
  <c r="E143"/>
  <c r="F143"/>
  <c r="A144"/>
  <c r="B144"/>
  <c r="C144"/>
  <c r="D144"/>
  <c r="E144"/>
  <c r="F144"/>
  <c r="A145"/>
  <c r="B145"/>
  <c r="C145"/>
  <c r="D145"/>
  <c r="E145"/>
  <c r="F145"/>
  <c r="A146"/>
  <c r="B146"/>
  <c r="C146"/>
  <c r="D146"/>
  <c r="E146"/>
  <c r="F146"/>
  <c r="A147"/>
  <c r="B147"/>
  <c r="C147"/>
  <c r="D147"/>
  <c r="E147"/>
  <c r="F147"/>
  <c r="A148"/>
  <c r="B148"/>
  <c r="C148"/>
  <c r="D148"/>
  <c r="E148"/>
  <c r="F148"/>
  <c r="A149"/>
  <c r="B149"/>
  <c r="C149"/>
  <c r="D149"/>
  <c r="E149"/>
  <c r="F149"/>
  <c r="A150"/>
  <c r="B150"/>
  <c r="C150"/>
  <c r="D150"/>
  <c r="E150"/>
  <c r="F150"/>
  <c r="A151"/>
  <c r="B151"/>
  <c r="C151"/>
  <c r="D151"/>
  <c r="E151"/>
  <c r="F151"/>
  <c r="A152"/>
  <c r="B152"/>
  <c r="C152"/>
  <c r="D152"/>
  <c r="E152"/>
  <c r="F152"/>
  <c r="A153"/>
  <c r="B153"/>
  <c r="C153"/>
  <c r="D153"/>
  <c r="E153"/>
  <c r="F153"/>
  <c r="A154"/>
  <c r="B154"/>
  <c r="C154"/>
  <c r="D154"/>
  <c r="E154"/>
  <c r="F154"/>
  <c r="A155"/>
  <c r="B155"/>
  <c r="C155"/>
  <c r="D155"/>
  <c r="E155"/>
  <c r="F155"/>
  <c r="A156"/>
  <c r="B156"/>
  <c r="C156"/>
  <c r="D156"/>
  <c r="E156"/>
  <c r="F156"/>
  <c r="A157"/>
  <c r="B157"/>
  <c r="C157"/>
  <c r="D157"/>
  <c r="E157"/>
  <c r="F157"/>
  <c r="A158"/>
  <c r="B158"/>
  <c r="C158"/>
  <c r="D158"/>
  <c r="E158"/>
  <c r="F158"/>
  <c r="A159"/>
  <c r="B159"/>
  <c r="C159"/>
  <c r="D159"/>
  <c r="E159"/>
  <c r="F159"/>
  <c r="A160"/>
  <c r="B160"/>
  <c r="C160"/>
  <c r="D160"/>
  <c r="E160"/>
  <c r="F160"/>
  <c r="A161"/>
  <c r="B161"/>
  <c r="C161"/>
  <c r="D161"/>
  <c r="E161"/>
  <c r="F161"/>
  <c r="A162"/>
  <c r="B162"/>
  <c r="C162"/>
  <c r="D162"/>
  <c r="E162"/>
  <c r="F162"/>
  <c r="A163"/>
  <c r="B163"/>
  <c r="C163"/>
  <c r="D163"/>
  <c r="E163"/>
  <c r="F163"/>
  <c r="A164"/>
  <c r="B164"/>
  <c r="C164"/>
  <c r="D164"/>
  <c r="E164"/>
  <c r="F164"/>
  <c r="A165"/>
  <c r="B165"/>
  <c r="C165"/>
  <c r="D165"/>
  <c r="E165"/>
  <c r="F165"/>
  <c r="A166"/>
  <c r="B166"/>
  <c r="C166"/>
  <c r="D166"/>
  <c r="E166"/>
  <c r="F166"/>
  <c r="A167"/>
  <c r="B167"/>
  <c r="C167"/>
  <c r="D167"/>
  <c r="E167"/>
  <c r="F167"/>
  <c r="A168"/>
  <c r="B168"/>
  <c r="C168"/>
  <c r="D168"/>
  <c r="E168"/>
  <c r="F168"/>
  <c r="A169"/>
  <c r="B169"/>
  <c r="C169"/>
  <c r="D169"/>
  <c r="E169"/>
  <c r="F169"/>
  <c r="A170"/>
  <c r="B170"/>
  <c r="C170"/>
  <c r="D170"/>
  <c r="E170"/>
  <c r="F170"/>
  <c r="A171"/>
  <c r="B171"/>
  <c r="C171"/>
  <c r="D171"/>
  <c r="E171"/>
  <c r="F171"/>
  <c r="A172"/>
  <c r="B172"/>
  <c r="C172"/>
  <c r="D172"/>
  <c r="E172"/>
  <c r="F172"/>
  <c r="A173"/>
  <c r="B173"/>
  <c r="C173"/>
  <c r="D173"/>
  <c r="E173"/>
  <c r="F173"/>
  <c r="A174"/>
  <c r="B174"/>
  <c r="C174"/>
  <c r="D174"/>
  <c r="E174"/>
  <c r="F174"/>
  <c r="A175"/>
  <c r="B175"/>
  <c r="C175"/>
  <c r="D175"/>
  <c r="E175"/>
  <c r="F175"/>
  <c r="A176"/>
  <c r="B176"/>
  <c r="C176"/>
  <c r="D176"/>
  <c r="E176"/>
  <c r="F176"/>
  <c r="A177"/>
  <c r="B177"/>
  <c r="C177"/>
  <c r="D177"/>
  <c r="E177"/>
  <c r="F177"/>
  <c r="A178"/>
  <c r="B178"/>
  <c r="C178"/>
  <c r="D178"/>
  <c r="E178"/>
  <c r="F178"/>
  <c r="A179"/>
  <c r="B179"/>
  <c r="C179"/>
  <c r="D179"/>
  <c r="E179"/>
  <c r="F179"/>
  <c r="A180"/>
  <c r="B180"/>
  <c r="C180"/>
  <c r="D180"/>
  <c r="E180"/>
  <c r="F180"/>
  <c r="A181"/>
  <c r="B181"/>
  <c r="C181"/>
  <c r="D181"/>
  <c r="E181"/>
  <c r="F181"/>
  <c r="A182"/>
  <c r="B182"/>
  <c r="C182"/>
  <c r="D182"/>
  <c r="E182"/>
  <c r="F182"/>
  <c r="A183"/>
  <c r="B183"/>
  <c r="C183"/>
  <c r="D183"/>
  <c r="E183"/>
  <c r="F183"/>
  <c r="A184"/>
  <c r="B184"/>
  <c r="C184"/>
  <c r="D184"/>
  <c r="E184"/>
  <c r="F184"/>
  <c r="A185"/>
  <c r="B185"/>
  <c r="C185"/>
  <c r="D185"/>
  <c r="E185"/>
  <c r="F185"/>
  <c r="A186"/>
  <c r="B186"/>
  <c r="C186"/>
  <c r="D186"/>
  <c r="E186"/>
  <c r="F186"/>
  <c r="A187"/>
  <c r="B187"/>
  <c r="C187"/>
  <c r="D187"/>
  <c r="E187"/>
  <c r="F187"/>
  <c r="A188"/>
  <c r="B188"/>
  <c r="C188"/>
  <c r="D188"/>
  <c r="E188"/>
  <c r="F188"/>
  <c r="A189"/>
  <c r="B189"/>
  <c r="C189"/>
  <c r="D189"/>
  <c r="E189"/>
  <c r="F189"/>
  <c r="A190"/>
  <c r="B190"/>
  <c r="C190"/>
  <c r="D190"/>
  <c r="E190"/>
  <c r="F190"/>
  <c r="A191"/>
  <c r="B191"/>
  <c r="C191"/>
  <c r="D191"/>
  <c r="E191"/>
  <c r="F191"/>
  <c r="A192"/>
  <c r="B192"/>
  <c r="C192"/>
  <c r="D192"/>
  <c r="E192"/>
  <c r="F192"/>
  <c r="A193"/>
  <c r="B193"/>
  <c r="C193"/>
  <c r="D193"/>
  <c r="E193"/>
  <c r="F193"/>
  <c r="A194"/>
  <c r="B194"/>
  <c r="C194"/>
  <c r="D194"/>
  <c r="E194"/>
  <c r="F194"/>
  <c r="A195"/>
  <c r="B195"/>
  <c r="C195"/>
  <c r="D195"/>
  <c r="E195"/>
  <c r="F195"/>
  <c r="A196"/>
  <c r="B196"/>
  <c r="C196"/>
  <c r="D196"/>
  <c r="E196"/>
  <c r="F196"/>
  <c r="A197"/>
  <c r="B197"/>
  <c r="C197"/>
  <c r="D197"/>
  <c r="E197"/>
  <c r="F197"/>
  <c r="A198"/>
  <c r="B198"/>
  <c r="C198"/>
  <c r="D198"/>
  <c r="E198"/>
  <c r="F198"/>
  <c r="A199"/>
  <c r="B199"/>
  <c r="C199"/>
  <c r="D199"/>
  <c r="E199"/>
  <c r="F199"/>
  <c r="A200"/>
  <c r="B200"/>
  <c r="C200"/>
  <c r="D200"/>
  <c r="E200"/>
  <c r="F200"/>
  <c r="A201"/>
  <c r="B201"/>
  <c r="C201"/>
  <c r="D201"/>
  <c r="E201"/>
  <c r="F201"/>
  <c r="A202"/>
  <c r="B202"/>
  <c r="C202"/>
  <c r="D202"/>
  <c r="E202"/>
  <c r="F202"/>
  <c r="A203"/>
  <c r="B203"/>
  <c r="C203"/>
  <c r="D203"/>
  <c r="E203"/>
  <c r="F203"/>
  <c r="A204"/>
  <c r="B204"/>
  <c r="C204"/>
  <c r="D204"/>
  <c r="E204"/>
  <c r="F204"/>
  <c r="A205"/>
  <c r="B205"/>
  <c r="C205"/>
  <c r="D205"/>
  <c r="E205"/>
  <c r="F205"/>
  <c r="A206"/>
  <c r="B206"/>
  <c r="C206"/>
  <c r="D206"/>
  <c r="E206"/>
  <c r="F206"/>
  <c r="A207"/>
  <c r="B207"/>
  <c r="C207"/>
  <c r="D207"/>
  <c r="E207"/>
  <c r="F207"/>
  <c r="A208"/>
  <c r="B208"/>
  <c r="C208"/>
  <c r="D208"/>
  <c r="E208"/>
  <c r="F208"/>
  <c r="A209"/>
  <c r="B209"/>
  <c r="C209"/>
  <c r="D209"/>
  <c r="E209"/>
  <c r="F209"/>
  <c r="A210"/>
  <c r="B210"/>
  <c r="C210"/>
  <c r="D210"/>
  <c r="E210"/>
  <c r="F210"/>
  <c r="A211"/>
  <c r="B211"/>
  <c r="C211"/>
  <c r="D211"/>
  <c r="E211"/>
  <c r="F211"/>
  <c r="A212"/>
  <c r="B212"/>
  <c r="C212"/>
  <c r="D212"/>
  <c r="E212"/>
  <c r="F212"/>
  <c r="A213"/>
  <c r="B213"/>
  <c r="C213"/>
  <c r="D213"/>
  <c r="E213"/>
  <c r="F213"/>
  <c r="A214"/>
  <c r="B214"/>
  <c r="C214"/>
  <c r="D214"/>
  <c r="E214"/>
  <c r="F214"/>
  <c r="A215"/>
  <c r="B215"/>
  <c r="C215"/>
  <c r="D215"/>
  <c r="E215"/>
  <c r="F215"/>
  <c r="A216"/>
  <c r="B216"/>
  <c r="C216"/>
  <c r="D216"/>
  <c r="E216"/>
  <c r="F216"/>
  <c r="A217"/>
  <c r="B217"/>
  <c r="C217"/>
  <c r="D217"/>
  <c r="E217"/>
  <c r="F217"/>
  <c r="A218"/>
  <c r="B218"/>
  <c r="C218"/>
  <c r="D218"/>
  <c r="E218"/>
  <c r="F218"/>
  <c r="A219"/>
  <c r="B219"/>
  <c r="C219"/>
  <c r="D219"/>
  <c r="E219"/>
  <c r="F219"/>
  <c r="A220"/>
  <c r="B220"/>
  <c r="C220"/>
  <c r="D220"/>
  <c r="E220"/>
  <c r="F220"/>
  <c r="A221"/>
  <c r="B221"/>
  <c r="C221"/>
  <c r="D221"/>
  <c r="E221"/>
  <c r="F221"/>
  <c r="A222"/>
  <c r="B222"/>
  <c r="C222"/>
  <c r="D222"/>
  <c r="E222"/>
  <c r="F222"/>
  <c r="A223"/>
  <c r="B223"/>
  <c r="C223"/>
  <c r="D223"/>
  <c r="E223"/>
  <c r="F223"/>
  <c r="A224"/>
  <c r="B224"/>
  <c r="C224"/>
  <c r="D224"/>
  <c r="E224"/>
  <c r="F224"/>
  <c r="A225"/>
  <c r="B225"/>
  <c r="C225"/>
  <c r="D225"/>
  <c r="E225"/>
  <c r="F225"/>
  <c r="A226"/>
  <c r="B226"/>
  <c r="C226"/>
  <c r="D226"/>
  <c r="E226"/>
  <c r="F226"/>
  <c r="A227"/>
  <c r="B227"/>
  <c r="C227"/>
  <c r="D227"/>
  <c r="E227"/>
  <c r="F227"/>
  <c r="A228"/>
  <c r="B228"/>
  <c r="C228"/>
  <c r="D228"/>
  <c r="E228"/>
  <c r="F228"/>
  <c r="A229"/>
  <c r="B229"/>
  <c r="C229"/>
  <c r="D229"/>
  <c r="E229"/>
  <c r="F229"/>
  <c r="A230"/>
  <c r="B230"/>
  <c r="C230"/>
  <c r="D230"/>
  <c r="E230"/>
  <c r="F230"/>
  <c r="A231"/>
  <c r="B231"/>
  <c r="C231"/>
  <c r="D231"/>
  <c r="E231"/>
  <c r="F231"/>
  <c r="A232"/>
  <c r="B232"/>
  <c r="C232"/>
  <c r="D232"/>
  <c r="E232"/>
  <c r="F232"/>
  <c r="A233"/>
  <c r="B233"/>
  <c r="C233"/>
  <c r="D233"/>
  <c r="E233"/>
  <c r="F233"/>
  <c r="A234"/>
  <c r="B234"/>
  <c r="C234"/>
  <c r="D234"/>
  <c r="E234"/>
  <c r="F234"/>
  <c r="A235"/>
  <c r="B235"/>
  <c r="C235"/>
  <c r="D235"/>
  <c r="E235"/>
  <c r="F235"/>
  <c r="A236"/>
  <c r="B236"/>
  <c r="C236"/>
  <c r="D236"/>
  <c r="E236"/>
  <c r="F236"/>
  <c r="A237"/>
  <c r="B237"/>
  <c r="C237"/>
  <c r="D237"/>
  <c r="E237"/>
  <c r="F237"/>
  <c r="A238"/>
  <c r="B238"/>
  <c r="C238"/>
  <c r="D238"/>
  <c r="E238"/>
  <c r="F238"/>
  <c r="A239"/>
  <c r="B239"/>
  <c r="C239"/>
  <c r="D239"/>
  <c r="E239"/>
  <c r="F239"/>
  <c r="A240"/>
  <c r="B240"/>
  <c r="C240"/>
  <c r="D240"/>
  <c r="E240"/>
  <c r="F240"/>
  <c r="A241"/>
  <c r="B241"/>
  <c r="C241"/>
  <c r="D241"/>
  <c r="E241"/>
  <c r="F241"/>
  <c r="A242"/>
  <c r="B242"/>
  <c r="C242"/>
  <c r="D242"/>
  <c r="E242"/>
  <c r="F242"/>
  <c r="A243"/>
  <c r="B243"/>
  <c r="C243"/>
  <c r="D243"/>
  <c r="E243"/>
  <c r="F243"/>
  <c r="A244"/>
  <c r="B244"/>
  <c r="C244"/>
  <c r="D244"/>
  <c r="E244"/>
  <c r="F244"/>
  <c r="A245"/>
  <c r="B245"/>
  <c r="C245"/>
  <c r="D245"/>
  <c r="E245"/>
  <c r="F245"/>
  <c r="A246"/>
  <c r="B246"/>
  <c r="C246"/>
  <c r="D246"/>
  <c r="E246"/>
  <c r="F246"/>
  <c r="A247"/>
  <c r="B247"/>
  <c r="C247"/>
  <c r="D247"/>
  <c r="E247"/>
  <c r="F247"/>
  <c r="A248"/>
  <c r="B248"/>
  <c r="C248"/>
  <c r="D248"/>
  <c r="E248"/>
  <c r="F248"/>
  <c r="A249"/>
  <c r="B249"/>
  <c r="C249"/>
  <c r="D249"/>
  <c r="E249"/>
  <c r="F249"/>
  <c r="A250"/>
  <c r="B250"/>
  <c r="C250"/>
  <c r="D250"/>
  <c r="E250"/>
  <c r="F250"/>
  <c r="A251"/>
  <c r="B251"/>
  <c r="C251"/>
  <c r="D251"/>
  <c r="E251"/>
  <c r="F251"/>
  <c r="A252"/>
  <c r="B252"/>
  <c r="C252"/>
  <c r="D252"/>
  <c r="E252"/>
  <c r="F252"/>
  <c r="A253"/>
  <c r="B253"/>
  <c r="C253"/>
  <c r="D253"/>
  <c r="E253"/>
  <c r="F253"/>
  <c r="A254"/>
  <c r="B254"/>
  <c r="C254"/>
  <c r="D254"/>
  <c r="E254"/>
  <c r="F254"/>
  <c r="A255"/>
  <c r="B255"/>
  <c r="C255"/>
  <c r="D255"/>
  <c r="E255"/>
  <c r="F255"/>
  <c r="A256"/>
  <c r="B256"/>
  <c r="C256"/>
  <c r="D256"/>
  <c r="E256"/>
  <c r="F256"/>
  <c r="A257"/>
  <c r="B257"/>
  <c r="C257"/>
  <c r="D257"/>
  <c r="E257"/>
  <c r="F257"/>
  <c r="A258"/>
  <c r="B258"/>
  <c r="C258"/>
  <c r="D258"/>
  <c r="E258"/>
  <c r="F258"/>
  <c r="A259"/>
  <c r="B259"/>
  <c r="C259"/>
  <c r="D259"/>
  <c r="E259"/>
  <c r="F259"/>
  <c r="A260"/>
  <c r="B260"/>
  <c r="C260"/>
  <c r="D260"/>
  <c r="E260"/>
  <c r="F260"/>
  <c r="A261"/>
  <c r="B261"/>
  <c r="C261"/>
  <c r="D261"/>
  <c r="E261"/>
  <c r="F261"/>
  <c r="A262"/>
  <c r="B262"/>
  <c r="C262"/>
  <c r="D262"/>
  <c r="E262"/>
  <c r="F262"/>
  <c r="A263"/>
  <c r="B263"/>
  <c r="C263"/>
  <c r="D263"/>
  <c r="E263"/>
  <c r="F263"/>
  <c r="A264"/>
  <c r="B264"/>
  <c r="C264"/>
  <c r="D264"/>
  <c r="E264"/>
  <c r="F264"/>
  <c r="A265"/>
  <c r="B265"/>
  <c r="C265"/>
  <c r="D265"/>
  <c r="E265"/>
  <c r="F265"/>
  <c r="A266"/>
  <c r="B266"/>
  <c r="C266"/>
  <c r="D266"/>
  <c r="E266"/>
  <c r="F266"/>
  <c r="A267"/>
  <c r="B267"/>
  <c r="C267"/>
  <c r="D267"/>
  <c r="E267"/>
  <c r="F267"/>
  <c r="A268"/>
  <c r="B268"/>
  <c r="C268"/>
  <c r="D268"/>
  <c r="E268"/>
  <c r="F268"/>
  <c r="A269"/>
  <c r="B269"/>
  <c r="C269"/>
  <c r="D269"/>
  <c r="E269"/>
  <c r="F269"/>
  <c r="A270"/>
  <c r="B270"/>
  <c r="C270"/>
  <c r="D270"/>
  <c r="E270"/>
  <c r="F270"/>
  <c r="A271"/>
  <c r="B271"/>
  <c r="C271"/>
  <c r="D271"/>
  <c r="E271"/>
  <c r="F271"/>
  <c r="A272"/>
  <c r="B272"/>
  <c r="C272"/>
  <c r="D272"/>
  <c r="E272"/>
  <c r="F272"/>
  <c r="A273"/>
  <c r="B273"/>
  <c r="C273"/>
  <c r="D273"/>
  <c r="E273"/>
  <c r="F273"/>
  <c r="A274"/>
  <c r="B274"/>
  <c r="C274"/>
  <c r="D274"/>
  <c r="E274"/>
  <c r="F274"/>
  <c r="A275"/>
  <c r="B275"/>
  <c r="C275"/>
  <c r="D275"/>
  <c r="E275"/>
  <c r="F275"/>
  <c r="A276"/>
  <c r="B276"/>
  <c r="C276"/>
  <c r="D276"/>
  <c r="E276"/>
  <c r="F276"/>
  <c r="A277"/>
  <c r="B277"/>
  <c r="C277"/>
  <c r="D277"/>
  <c r="E277"/>
  <c r="F277"/>
  <c r="A278"/>
  <c r="B278"/>
  <c r="C278"/>
  <c r="D278"/>
  <c r="E278"/>
  <c r="F278"/>
  <c r="A279"/>
  <c r="B279"/>
  <c r="C279"/>
  <c r="D279"/>
  <c r="E279"/>
  <c r="F279"/>
  <c r="A280"/>
  <c r="B280"/>
  <c r="C280"/>
  <c r="D280"/>
  <c r="E280"/>
  <c r="F280"/>
  <c r="A281"/>
  <c r="B281"/>
  <c r="C281"/>
  <c r="D281"/>
  <c r="E281"/>
  <c r="F281"/>
  <c r="A282"/>
  <c r="B282"/>
  <c r="C282"/>
  <c r="D282"/>
  <c r="E282"/>
  <c r="F282"/>
  <c r="A283"/>
  <c r="B283"/>
  <c r="C283"/>
  <c r="D283"/>
  <c r="E283"/>
  <c r="F283"/>
  <c r="A284"/>
  <c r="B284"/>
  <c r="C284"/>
  <c r="D284"/>
  <c r="E284"/>
  <c r="F284"/>
  <c r="A285"/>
  <c r="B285"/>
  <c r="C285"/>
  <c r="D285"/>
  <c r="E285"/>
  <c r="F285"/>
  <c r="A286"/>
  <c r="B286"/>
  <c r="C286"/>
  <c r="D286"/>
  <c r="E286"/>
  <c r="F286"/>
  <c r="A287"/>
  <c r="B287"/>
  <c r="C287"/>
  <c r="D287"/>
  <c r="E287"/>
  <c r="F287"/>
  <c r="A288"/>
  <c r="B288"/>
  <c r="C288"/>
  <c r="D288"/>
  <c r="E288"/>
  <c r="F288"/>
  <c r="A289"/>
  <c r="B289"/>
  <c r="C289"/>
  <c r="D289"/>
  <c r="E289"/>
  <c r="F289"/>
  <c r="A290"/>
  <c r="B290"/>
  <c r="C290"/>
  <c r="D290"/>
  <c r="E290"/>
  <c r="F290"/>
  <c r="A291"/>
  <c r="B291"/>
  <c r="C291"/>
  <c r="D291"/>
  <c r="E291"/>
  <c r="F291"/>
  <c r="A292"/>
  <c r="B292"/>
  <c r="C292"/>
  <c r="D292"/>
  <c r="E292"/>
  <c r="F292"/>
  <c r="A293"/>
  <c r="B293"/>
  <c r="C293"/>
  <c r="D293"/>
  <c r="E293"/>
  <c r="F293"/>
  <c r="A294"/>
  <c r="B294"/>
  <c r="C294"/>
  <c r="D294"/>
  <c r="E294"/>
  <c r="F294"/>
  <c r="A295"/>
  <c r="B295"/>
  <c r="C295"/>
  <c r="D295"/>
  <c r="E295"/>
  <c r="F295"/>
  <c r="A296"/>
  <c r="B296"/>
  <c r="C296"/>
  <c r="D296"/>
  <c r="E296"/>
  <c r="F296"/>
  <c r="A297"/>
  <c r="B297"/>
  <c r="C297"/>
  <c r="D297"/>
  <c r="E297"/>
  <c r="F297"/>
  <c r="A298"/>
  <c r="B298"/>
  <c r="C298"/>
  <c r="D298"/>
  <c r="E298"/>
  <c r="F298"/>
  <c r="A299"/>
  <c r="B299"/>
  <c r="C299"/>
  <c r="D299"/>
  <c r="E299"/>
  <c r="F299"/>
  <c r="A300"/>
  <c r="B300"/>
  <c r="C300"/>
  <c r="D300"/>
  <c r="E300"/>
  <c r="F300"/>
  <c r="A301"/>
  <c r="B301"/>
  <c r="C301"/>
  <c r="D301"/>
  <c r="E301"/>
  <c r="F301"/>
  <c r="A302"/>
  <c r="B302"/>
  <c r="C302"/>
  <c r="D302"/>
  <c r="E302"/>
  <c r="F302"/>
  <c r="A303"/>
  <c r="B303"/>
  <c r="C303"/>
  <c r="D303"/>
  <c r="E303"/>
  <c r="F303"/>
  <c r="A304"/>
  <c r="B304"/>
  <c r="C304"/>
  <c r="D304"/>
  <c r="E304"/>
  <c r="F304"/>
  <c r="A305"/>
  <c r="B305"/>
  <c r="C305"/>
  <c r="D305"/>
  <c r="E305"/>
  <c r="F305"/>
  <c r="A306"/>
  <c r="B306"/>
  <c r="C306"/>
  <c r="D306"/>
  <c r="E306"/>
  <c r="F306"/>
  <c r="A307"/>
  <c r="B307"/>
  <c r="C307"/>
  <c r="D307"/>
  <c r="E307"/>
  <c r="F307"/>
  <c r="A308"/>
  <c r="B308"/>
  <c r="C308"/>
  <c r="D308"/>
  <c r="E308"/>
  <c r="F308"/>
  <c r="A309"/>
  <c r="B309"/>
  <c r="C309"/>
  <c r="D309"/>
  <c r="E309"/>
  <c r="F309"/>
  <c r="A310"/>
  <c r="B310"/>
  <c r="C310"/>
  <c r="D310"/>
  <c r="E310"/>
  <c r="F310"/>
  <c r="A311"/>
  <c r="B311"/>
  <c r="C311"/>
  <c r="D311"/>
  <c r="E311"/>
  <c r="F311"/>
  <c r="A312"/>
  <c r="B312"/>
  <c r="C312"/>
  <c r="D312"/>
  <c r="E312"/>
  <c r="F312"/>
  <c r="A313"/>
  <c r="B313"/>
  <c r="C313"/>
  <c r="D313"/>
  <c r="E313"/>
  <c r="F313"/>
  <c r="A314"/>
  <c r="B314"/>
  <c r="C314"/>
  <c r="D314"/>
  <c r="E314"/>
  <c r="F314"/>
  <c r="A315"/>
  <c r="B315"/>
  <c r="C315"/>
  <c r="D315"/>
  <c r="E315"/>
  <c r="F315"/>
  <c r="A316"/>
  <c r="B316"/>
  <c r="C316"/>
  <c r="D316"/>
  <c r="E316"/>
  <c r="F316"/>
  <c r="A317"/>
  <c r="B317"/>
  <c r="C317"/>
  <c r="D317"/>
  <c r="E317"/>
  <c r="F317"/>
  <c r="A318"/>
  <c r="B318"/>
  <c r="C318"/>
  <c r="D318"/>
  <c r="E318"/>
  <c r="F318"/>
  <c r="A319"/>
  <c r="B319"/>
  <c r="C319"/>
  <c r="D319"/>
  <c r="E319"/>
  <c r="F319"/>
  <c r="A320"/>
  <c r="B320"/>
  <c r="C320"/>
  <c r="D320"/>
  <c r="E320"/>
  <c r="F320"/>
  <c r="A321"/>
  <c r="B321"/>
  <c r="C321"/>
  <c r="D321"/>
  <c r="E321"/>
  <c r="F321"/>
  <c r="A322"/>
  <c r="B322"/>
  <c r="C322"/>
  <c r="D322"/>
  <c r="E322"/>
  <c r="F322"/>
  <c r="A323"/>
  <c r="B323"/>
  <c r="C323"/>
  <c r="D323"/>
  <c r="E323"/>
  <c r="F323"/>
  <c r="A324"/>
  <c r="B324"/>
  <c r="C324"/>
  <c r="D324"/>
  <c r="E324"/>
  <c r="F324"/>
  <c r="A325"/>
  <c r="B325"/>
  <c r="C325"/>
  <c r="D325"/>
  <c r="E325"/>
  <c r="F325"/>
  <c r="A326"/>
  <c r="B326"/>
  <c r="C326"/>
  <c r="D326"/>
  <c r="E326"/>
  <c r="F326"/>
  <c r="A327"/>
  <c r="B327"/>
  <c r="C327"/>
  <c r="D327"/>
  <c r="E327"/>
  <c r="F327"/>
  <c r="A328"/>
  <c r="B328"/>
  <c r="C328"/>
  <c r="D328"/>
  <c r="E328"/>
  <c r="F328"/>
  <c r="A329"/>
  <c r="B329"/>
  <c r="C329"/>
  <c r="D329"/>
  <c r="E329"/>
  <c r="F329"/>
  <c r="A330"/>
  <c r="B330"/>
  <c r="C330"/>
  <c r="D330"/>
  <c r="E330"/>
  <c r="F330"/>
  <c r="A331"/>
  <c r="B331"/>
  <c r="C331"/>
  <c r="D331"/>
  <c r="E331"/>
  <c r="F331"/>
  <c r="A332"/>
  <c r="B332"/>
  <c r="C332"/>
  <c r="D332"/>
  <c r="E332"/>
  <c r="F332"/>
  <c r="A333"/>
  <c r="B333"/>
  <c r="C333"/>
  <c r="D333"/>
  <c r="E333"/>
  <c r="F333"/>
  <c r="A334"/>
  <c r="B334"/>
  <c r="C334"/>
  <c r="D334"/>
  <c r="E334"/>
  <c r="F334"/>
  <c r="A64"/>
  <c r="B64"/>
  <c r="C64"/>
  <c r="D64"/>
  <c r="E64"/>
  <c r="F64"/>
  <c r="A65"/>
  <c r="B65"/>
  <c r="C65"/>
  <c r="D65"/>
  <c r="E65"/>
  <c r="F65"/>
  <c r="A66"/>
  <c r="B66"/>
  <c r="C66"/>
  <c r="D66"/>
  <c r="E66"/>
  <c r="F66"/>
  <c r="A67"/>
  <c r="B67"/>
  <c r="C67"/>
  <c r="D67"/>
  <c r="E67"/>
  <c r="F67"/>
  <c r="A68"/>
  <c r="B68"/>
  <c r="C68"/>
  <c r="D68"/>
  <c r="E68"/>
  <c r="F68"/>
  <c r="A69"/>
  <c r="B69"/>
  <c r="C69"/>
  <c r="D69"/>
  <c r="E69"/>
  <c r="F69"/>
  <c r="A70"/>
  <c r="B70"/>
  <c r="C70"/>
  <c r="D70"/>
  <c r="E70"/>
  <c r="F70"/>
  <c r="A71"/>
  <c r="B71"/>
  <c r="C71"/>
  <c r="D71"/>
  <c r="E71"/>
  <c r="F71"/>
  <c r="A72"/>
  <c r="B72"/>
  <c r="C72"/>
  <c r="D72"/>
  <c r="E72"/>
  <c r="F72"/>
  <c r="A73"/>
  <c r="B73"/>
  <c r="C73"/>
  <c r="D73"/>
  <c r="E73"/>
  <c r="F73"/>
  <c r="A74"/>
  <c r="B74"/>
  <c r="C74"/>
  <c r="D74"/>
  <c r="E74"/>
  <c r="F74"/>
  <c r="A75"/>
  <c r="B75"/>
  <c r="C75"/>
  <c r="D75"/>
  <c r="E75"/>
  <c r="F75"/>
  <c r="A76"/>
  <c r="B76"/>
  <c r="C76"/>
  <c r="D76"/>
  <c r="E76"/>
  <c r="F76"/>
  <c r="A77"/>
  <c r="B77"/>
  <c r="C77"/>
  <c r="D77"/>
  <c r="E77"/>
  <c r="F77"/>
  <c r="A78"/>
  <c r="B78"/>
  <c r="C78"/>
  <c r="D78"/>
  <c r="E78"/>
  <c r="F78"/>
  <c r="A79"/>
  <c r="B79"/>
  <c r="C79"/>
  <c r="D79"/>
  <c r="E79"/>
  <c r="F79"/>
  <c r="A80"/>
  <c r="B80"/>
  <c r="C80"/>
  <c r="D80"/>
  <c r="E80"/>
  <c r="F80"/>
  <c r="A81"/>
  <c r="B81"/>
  <c r="C81"/>
  <c r="D81"/>
  <c r="E81"/>
  <c r="F81"/>
  <c r="A82"/>
  <c r="B82"/>
  <c r="C82"/>
  <c r="D82"/>
  <c r="E82"/>
  <c r="F82"/>
  <c r="A83"/>
  <c r="B83"/>
  <c r="C83"/>
  <c r="D83"/>
  <c r="E83"/>
  <c r="F83"/>
  <c r="A84"/>
  <c r="B84"/>
  <c r="C84"/>
  <c r="D84"/>
  <c r="E84"/>
  <c r="F84"/>
  <c r="A85"/>
  <c r="B85"/>
  <c r="C85"/>
  <c r="D85"/>
  <c r="E85"/>
  <c r="F85"/>
  <c r="A86"/>
  <c r="B86"/>
  <c r="C86"/>
  <c r="D86"/>
  <c r="E86"/>
  <c r="F86"/>
  <c r="A87"/>
  <c r="B87"/>
  <c r="C87"/>
  <c r="D87"/>
  <c r="E87"/>
  <c r="F87"/>
  <c r="A88"/>
  <c r="B88"/>
  <c r="C88"/>
  <c r="D88"/>
  <c r="E88"/>
  <c r="F88"/>
  <c r="A89"/>
  <c r="B89"/>
  <c r="C89"/>
  <c r="D89"/>
  <c r="E89"/>
  <c r="F89"/>
  <c r="A90"/>
  <c r="B90"/>
  <c r="C90"/>
  <c r="D90"/>
  <c r="E90"/>
  <c r="F90"/>
  <c r="A91"/>
  <c r="B91"/>
  <c r="C91"/>
  <c r="D91"/>
  <c r="E91"/>
  <c r="F91"/>
  <c r="A92"/>
  <c r="B92"/>
  <c r="C92"/>
  <c r="D92"/>
  <c r="E92"/>
  <c r="F92"/>
  <c r="A93"/>
  <c r="B93"/>
  <c r="C93"/>
  <c r="D93"/>
  <c r="E93"/>
  <c r="F93"/>
  <c r="A94"/>
  <c r="B94"/>
  <c r="C94"/>
  <c r="D94"/>
  <c r="E94"/>
  <c r="F94"/>
  <c r="A95"/>
  <c r="B95"/>
  <c r="C95"/>
  <c r="D95"/>
  <c r="E95"/>
  <c r="F95"/>
  <c r="A96"/>
  <c r="B96"/>
  <c r="C96"/>
  <c r="D96"/>
  <c r="E96"/>
  <c r="F96"/>
  <c r="A97"/>
  <c r="B97"/>
  <c r="C97"/>
  <c r="D97"/>
  <c r="E97"/>
  <c r="F97"/>
  <c r="F63"/>
  <c r="E63"/>
  <c r="D63"/>
  <c r="C63"/>
  <c r="B63"/>
  <c r="A63"/>
  <c r="F62"/>
  <c r="E62"/>
  <c r="D62"/>
  <c r="C62"/>
  <c r="B62"/>
  <c r="A62"/>
  <c r="F61"/>
  <c r="E61"/>
  <c r="D61"/>
  <c r="C61"/>
  <c r="B61"/>
  <c r="A61"/>
  <c r="F60"/>
  <c r="E60"/>
  <c r="D60"/>
  <c r="C60"/>
  <c r="B60"/>
  <c r="A60"/>
  <c r="F56"/>
  <c r="E56"/>
  <c r="D56"/>
  <c r="C56"/>
  <c r="B56"/>
  <c r="A56"/>
  <c r="F53"/>
  <c r="E53"/>
  <c r="D53"/>
  <c r="C53"/>
  <c r="B53"/>
  <c r="A53"/>
  <c r="F54"/>
  <c r="E54"/>
  <c r="D54"/>
  <c r="C54"/>
  <c r="B54"/>
  <c r="A54"/>
  <c r="F51"/>
  <c r="E51"/>
  <c r="D51"/>
  <c r="C51"/>
  <c r="B51"/>
  <c r="A51"/>
  <c r="A16"/>
  <c r="B16"/>
  <c r="C16"/>
  <c r="D16"/>
  <c r="E16"/>
  <c r="F16"/>
  <c r="A20"/>
  <c r="B20"/>
  <c r="C20"/>
  <c r="D20"/>
  <c r="E20"/>
  <c r="F20"/>
  <c r="A19"/>
  <c r="B19"/>
  <c r="C19"/>
  <c r="D19"/>
  <c r="E19"/>
  <c r="F19"/>
  <c r="A17"/>
  <c r="B17"/>
  <c r="C17"/>
  <c r="D17"/>
  <c r="E17"/>
  <c r="F17"/>
  <c r="A21"/>
  <c r="B21"/>
  <c r="C21"/>
  <c r="D21"/>
  <c r="E21"/>
  <c r="F21"/>
  <c r="A22"/>
  <c r="B22"/>
  <c r="C22"/>
  <c r="D22"/>
  <c r="E22"/>
  <c r="F22"/>
  <c r="A23"/>
  <c r="B23"/>
  <c r="C23"/>
  <c r="D23"/>
  <c r="E23"/>
  <c r="F23"/>
  <c r="A15"/>
  <c r="B15"/>
  <c r="C15"/>
  <c r="D15"/>
  <c r="E15"/>
  <c r="F15"/>
  <c r="A31"/>
  <c r="B31"/>
  <c r="C31"/>
  <c r="D31"/>
  <c r="E31"/>
  <c r="F31"/>
  <c r="A29"/>
  <c r="B29"/>
  <c r="C29"/>
  <c r="D29"/>
  <c r="E29"/>
  <c r="F29"/>
  <c r="A24"/>
  <c r="B24"/>
  <c r="C24"/>
  <c r="D24"/>
  <c r="E24"/>
  <c r="F24"/>
  <c r="A27"/>
  <c r="B27"/>
  <c r="C27"/>
  <c r="D27"/>
  <c r="E27"/>
  <c r="F27"/>
  <c r="A25"/>
  <c r="B25"/>
  <c r="C25"/>
  <c r="D25"/>
  <c r="E25"/>
  <c r="F25"/>
  <c r="A26"/>
  <c r="B26"/>
  <c r="C26"/>
  <c r="D26"/>
  <c r="E26"/>
  <c r="F26"/>
  <c r="A30"/>
  <c r="B30"/>
  <c r="C30"/>
  <c r="D30"/>
  <c r="E30"/>
  <c r="F30"/>
  <c r="A28"/>
  <c r="B28"/>
  <c r="C28"/>
  <c r="D28"/>
  <c r="E28"/>
  <c r="F28"/>
  <c r="A32"/>
  <c r="B32"/>
  <c r="C32"/>
  <c r="D32"/>
  <c r="E32"/>
  <c r="F32"/>
  <c r="A33"/>
  <c r="B33"/>
  <c r="C33"/>
  <c r="D33"/>
  <c r="E33"/>
  <c r="F33"/>
  <c r="A34"/>
  <c r="B34"/>
  <c r="C34"/>
  <c r="D34"/>
  <c r="E34"/>
  <c r="F34"/>
  <c r="A35"/>
  <c r="B35"/>
  <c r="C35"/>
  <c r="D35"/>
  <c r="E35"/>
  <c r="F35"/>
  <c r="F14"/>
  <c r="E14"/>
  <c r="D14"/>
  <c r="C14"/>
  <c r="B14"/>
  <c r="A14"/>
  <c r="F13"/>
  <c r="E13"/>
  <c r="D13"/>
  <c r="C13"/>
  <c r="B13"/>
  <c r="A13"/>
  <c r="V1825" i="57"/>
  <c r="T1825"/>
  <c r="V1824"/>
  <c r="T1824"/>
  <c r="V1821"/>
  <c r="T1821"/>
  <c r="V1820"/>
  <c r="T1820"/>
  <c r="V1819"/>
  <c r="T1819"/>
  <c r="V1818"/>
  <c r="T1818"/>
  <c r="T1810"/>
  <c r="V1810"/>
  <c r="T1811"/>
  <c r="V1811"/>
  <c r="T1812"/>
  <c r="V1812"/>
  <c r="T1813"/>
  <c r="V1813"/>
  <c r="T1814"/>
  <c r="V1814"/>
  <c r="T1815"/>
  <c r="V1815"/>
  <c r="V1809"/>
  <c r="T1809"/>
  <c r="V1808"/>
  <c r="T1808"/>
  <c r="V1807"/>
  <c r="T1807"/>
  <c r="T1790"/>
  <c r="V1790"/>
  <c r="T1791"/>
  <c r="V1791"/>
  <c r="T1792"/>
  <c r="V1792"/>
  <c r="T1793"/>
  <c r="V1793"/>
  <c r="T1794"/>
  <c r="V1794"/>
  <c r="T1795"/>
  <c r="V1795"/>
  <c r="T1796"/>
  <c r="V1796"/>
  <c r="T1797"/>
  <c r="V1797"/>
  <c r="T1798"/>
  <c r="V1798"/>
  <c r="T1799"/>
  <c r="V1799"/>
  <c r="T1800"/>
  <c r="V1800"/>
  <c r="T1801"/>
  <c r="V1801"/>
  <c r="T1802"/>
  <c r="V1802"/>
  <c r="T1803"/>
  <c r="V1803"/>
  <c r="T1804"/>
  <c r="V1804"/>
  <c r="V1789"/>
  <c r="T1789"/>
  <c r="V1788"/>
  <c r="T1788"/>
  <c r="V1787"/>
  <c r="T1787"/>
  <c r="V1786"/>
  <c r="T1786"/>
  <c r="V1785"/>
  <c r="T1785"/>
  <c r="V1784"/>
  <c r="T1784"/>
  <c r="V1783"/>
  <c r="T1783"/>
  <c r="V1782"/>
  <c r="T1782"/>
  <c r="V1781"/>
  <c r="T1781"/>
  <c r="V1780"/>
  <c r="T1780"/>
  <c r="T1771"/>
  <c r="V1771"/>
  <c r="T1772"/>
  <c r="V1772"/>
  <c r="T1773"/>
  <c r="V1773"/>
  <c r="T1774"/>
  <c r="V1774"/>
  <c r="T1775"/>
  <c r="V1775"/>
  <c r="T1776"/>
  <c r="V1776"/>
  <c r="T1777"/>
  <c r="V1777"/>
  <c r="V1770"/>
  <c r="T1770"/>
  <c r="V1769"/>
  <c r="T1769"/>
  <c r="V1768"/>
  <c r="T1768"/>
  <c r="T1766"/>
  <c r="V1766"/>
  <c r="T1767"/>
  <c r="V1767"/>
  <c r="T1704"/>
  <c r="V1704"/>
  <c r="T1705"/>
  <c r="V1705"/>
  <c r="T1706"/>
  <c r="V1706"/>
  <c r="T1707"/>
  <c r="V1707"/>
  <c r="T1708"/>
  <c r="V1708"/>
  <c r="T1709"/>
  <c r="V1709"/>
  <c r="T1710"/>
  <c r="V1710"/>
  <c r="T1711"/>
  <c r="V1711"/>
  <c r="T1712"/>
  <c r="V1712"/>
  <c r="T1713"/>
  <c r="V1713"/>
  <c r="T1714"/>
  <c r="V1714"/>
  <c r="T1715"/>
  <c r="V1715"/>
  <c r="T1716"/>
  <c r="V1716"/>
  <c r="T1717"/>
  <c r="V1717"/>
  <c r="T1718"/>
  <c r="V1718"/>
  <c r="T1719"/>
  <c r="V1719"/>
  <c r="T1720"/>
  <c r="V1720"/>
  <c r="T1721"/>
  <c r="V1721"/>
  <c r="T1722"/>
  <c r="V1722"/>
  <c r="T1723"/>
  <c r="V1723"/>
  <c r="T1724"/>
  <c r="V1724"/>
  <c r="T1725"/>
  <c r="V1725"/>
  <c r="T1726"/>
  <c r="V1726"/>
  <c r="T1727"/>
  <c r="V1727"/>
  <c r="T1728"/>
  <c r="V1728"/>
  <c r="T1729"/>
  <c r="V1729"/>
  <c r="T1730"/>
  <c r="V1730"/>
  <c r="T1731"/>
  <c r="V1731"/>
  <c r="T1732"/>
  <c r="V1732"/>
  <c r="T1733"/>
  <c r="V1733"/>
  <c r="T1734"/>
  <c r="V1734"/>
  <c r="T1735"/>
  <c r="V1735"/>
  <c r="T1736"/>
  <c r="V1736"/>
  <c r="T1737"/>
  <c r="V1737"/>
  <c r="T1738"/>
  <c r="V1738"/>
  <c r="T1739"/>
  <c r="V1739"/>
  <c r="T1740"/>
  <c r="V1740"/>
  <c r="T1741"/>
  <c r="V1741"/>
  <c r="T1742"/>
  <c r="V1742"/>
  <c r="T1743"/>
  <c r="V1743"/>
  <c r="T1744"/>
  <c r="V1744"/>
  <c r="T1745"/>
  <c r="V1745"/>
  <c r="T1746"/>
  <c r="V1746"/>
  <c r="T1747"/>
  <c r="V1747"/>
  <c r="T1748"/>
  <c r="V1748"/>
  <c r="T1749"/>
  <c r="V1749"/>
  <c r="T1750"/>
  <c r="V1750"/>
  <c r="T1751"/>
  <c r="V1751"/>
  <c r="T1752"/>
  <c r="V1752"/>
  <c r="T1753"/>
  <c r="V1753"/>
  <c r="T1754"/>
  <c r="V1754"/>
  <c r="T1755"/>
  <c r="V1755"/>
  <c r="T1756"/>
  <c r="V1756"/>
  <c r="T1757"/>
  <c r="V1757"/>
  <c r="T1758"/>
  <c r="V1758"/>
  <c r="T1759"/>
  <c r="V1759"/>
  <c r="T1760"/>
  <c r="V1760"/>
  <c r="T1761"/>
  <c r="V1761"/>
  <c r="T1762"/>
  <c r="V1762"/>
  <c r="T1763"/>
  <c r="V1763"/>
  <c r="T1764"/>
  <c r="V1764"/>
  <c r="T1765"/>
  <c r="V1765"/>
  <c r="V1703"/>
  <c r="T1703"/>
  <c r="V1702"/>
  <c r="T1702"/>
  <c r="V1701"/>
  <c r="T1701"/>
  <c r="V1700"/>
  <c r="T1700"/>
  <c r="V1699"/>
  <c r="T1699"/>
  <c r="V1698"/>
  <c r="T1698"/>
  <c r="V1697"/>
  <c r="T1697"/>
  <c r="V1696"/>
  <c r="T1696"/>
  <c r="V1695"/>
  <c r="T1695"/>
  <c r="V1694"/>
  <c r="T1694"/>
  <c r="V1693"/>
  <c r="T1693"/>
  <c r="V1692"/>
  <c r="T1692"/>
  <c r="T1681"/>
  <c r="V1681"/>
  <c r="T1682"/>
  <c r="V1682"/>
  <c r="T1683"/>
  <c r="V1683"/>
  <c r="T1684"/>
  <c r="V1684"/>
  <c r="T1685"/>
  <c r="V1685"/>
  <c r="T1686"/>
  <c r="V1686"/>
  <c r="T1687"/>
  <c r="V1687"/>
  <c r="T1688"/>
  <c r="V1688"/>
  <c r="T1689"/>
  <c r="V1689"/>
  <c r="V1680"/>
  <c r="T1680"/>
  <c r="V1679"/>
  <c r="T1679"/>
  <c r="V1678"/>
  <c r="T1678"/>
  <c r="T1643"/>
  <c r="V1643"/>
  <c r="T1644"/>
  <c r="V1644"/>
  <c r="T1645"/>
  <c r="V1645"/>
  <c r="T1646"/>
  <c r="V1646"/>
  <c r="T1647"/>
  <c r="V1647"/>
  <c r="T1648"/>
  <c r="V1648"/>
  <c r="T1649"/>
  <c r="V1649"/>
  <c r="T1650"/>
  <c r="V1650"/>
  <c r="T1651"/>
  <c r="V1651"/>
  <c r="T1652"/>
  <c r="V1652"/>
  <c r="T1653"/>
  <c r="V1653"/>
  <c r="T1654"/>
  <c r="V1654"/>
  <c r="T1655"/>
  <c r="V1655"/>
  <c r="T1656"/>
  <c r="V1656"/>
  <c r="T1657"/>
  <c r="V1657"/>
  <c r="T1658"/>
  <c r="V1658"/>
  <c r="T1659"/>
  <c r="V1659"/>
  <c r="T1660"/>
  <c r="V1660"/>
  <c r="T1661"/>
  <c r="V1661"/>
  <c r="T1662"/>
  <c r="V1662"/>
  <c r="T1663"/>
  <c r="V1663"/>
  <c r="T1664"/>
  <c r="V1664"/>
  <c r="T1665"/>
  <c r="V1665"/>
  <c r="T1666"/>
  <c r="V1666"/>
  <c r="T1667"/>
  <c r="V1667"/>
  <c r="T1668"/>
  <c r="V1668"/>
  <c r="T1669"/>
  <c r="V1669"/>
  <c r="T1670"/>
  <c r="V1670"/>
  <c r="T1671"/>
  <c r="V1671"/>
  <c r="T1672"/>
  <c r="V1672"/>
  <c r="T1673"/>
  <c r="V1673"/>
  <c r="T1674"/>
  <c r="V1674"/>
  <c r="T1675"/>
  <c r="V1675"/>
  <c r="V1642"/>
  <c r="T1642"/>
  <c r="V1641"/>
  <c r="T1641"/>
  <c r="V1640"/>
  <c r="T1640"/>
  <c r="V1639"/>
  <c r="T1639"/>
  <c r="T1610"/>
  <c r="V1610"/>
  <c r="T1611"/>
  <c r="V1611"/>
  <c r="T1612"/>
  <c r="V1612"/>
  <c r="T1613"/>
  <c r="V1613"/>
  <c r="T1614"/>
  <c r="V1614"/>
  <c r="T1615"/>
  <c r="V1615"/>
  <c r="T1616"/>
  <c r="V1616"/>
  <c r="T1617"/>
  <c r="V1617"/>
  <c r="T1618"/>
  <c r="V1618"/>
  <c r="T1619"/>
  <c r="V1619"/>
  <c r="T1620"/>
  <c r="V1620"/>
  <c r="T1621"/>
  <c r="V1621"/>
  <c r="T1622"/>
  <c r="V1622"/>
  <c r="T1623"/>
  <c r="V1623"/>
  <c r="T1624"/>
  <c r="V1624"/>
  <c r="T1625"/>
  <c r="V1625"/>
  <c r="T1626"/>
  <c r="V1626"/>
  <c r="T1627"/>
  <c r="V1627"/>
  <c r="T1628"/>
  <c r="V1628"/>
  <c r="T1629"/>
  <c r="V1629"/>
  <c r="T1630"/>
  <c r="V1630"/>
  <c r="T1631"/>
  <c r="V1631"/>
  <c r="T1632"/>
  <c r="V1632"/>
  <c r="T1633"/>
  <c r="V1633"/>
  <c r="T1634"/>
  <c r="V1634"/>
  <c r="T1635"/>
  <c r="V1635"/>
  <c r="T1636"/>
  <c r="V1636"/>
  <c r="T1597"/>
  <c r="V1597"/>
  <c r="T1598"/>
  <c r="V1598"/>
  <c r="T1599"/>
  <c r="V1599"/>
  <c r="T1600"/>
  <c r="V1600"/>
  <c r="T1601"/>
  <c r="V1601"/>
  <c r="T1602"/>
  <c r="V1602"/>
  <c r="T1603"/>
  <c r="V1603"/>
  <c r="T1604"/>
  <c r="V1604"/>
  <c r="T1605"/>
  <c r="V1605"/>
  <c r="T1606"/>
  <c r="V1606"/>
  <c r="T1607"/>
  <c r="V1607"/>
  <c r="T1608"/>
  <c r="V1608"/>
  <c r="T1609"/>
  <c r="V1609"/>
  <c r="V1596"/>
  <c r="T1596"/>
  <c r="V1595"/>
  <c r="T1595"/>
  <c r="V1594"/>
  <c r="T1594"/>
  <c r="T1577"/>
  <c r="V1577"/>
  <c r="T1578"/>
  <c r="V1578"/>
  <c r="T1579"/>
  <c r="V1579"/>
  <c r="T1580"/>
  <c r="V1580"/>
  <c r="T1581"/>
  <c r="V1581"/>
  <c r="T1582"/>
  <c r="V1582"/>
  <c r="T1583"/>
  <c r="V1583"/>
  <c r="T1584"/>
  <c r="V1584"/>
  <c r="T1585"/>
  <c r="V1585"/>
  <c r="T1586"/>
  <c r="V1586"/>
  <c r="T1587"/>
  <c r="V1587"/>
  <c r="T1588"/>
  <c r="V1588"/>
  <c r="T1589"/>
  <c r="V1589"/>
  <c r="T1590"/>
  <c r="V1590"/>
  <c r="T1591"/>
  <c r="V1591"/>
  <c r="V1576"/>
  <c r="T1576"/>
  <c r="V1575"/>
  <c r="T1575"/>
  <c r="V1574"/>
  <c r="T1574"/>
  <c r="V1573"/>
  <c r="T1573"/>
  <c r="V1572"/>
  <c r="T1572"/>
  <c r="V1571"/>
  <c r="T1571"/>
  <c r="V1570"/>
  <c r="T1570"/>
  <c r="V1569"/>
  <c r="T1569"/>
  <c r="V1568"/>
  <c r="T1568"/>
  <c r="V1567"/>
  <c r="T1567"/>
  <c r="V1566"/>
  <c r="T1566"/>
  <c r="V1565"/>
  <c r="T1565"/>
  <c r="V1564"/>
  <c r="T1564"/>
  <c r="V1563"/>
  <c r="T1563"/>
  <c r="V1562"/>
  <c r="T1562"/>
  <c r="V1561"/>
  <c r="T1561"/>
  <c r="V1560"/>
  <c r="T1560"/>
  <c r="V1559"/>
  <c r="T1559"/>
  <c r="V1558"/>
  <c r="T1558"/>
  <c r="V1557"/>
  <c r="T1557"/>
  <c r="V1556"/>
  <c r="T1556"/>
  <c r="V1555"/>
  <c r="T1555"/>
  <c r="V1554"/>
  <c r="T1554"/>
  <c r="V1553"/>
  <c r="T1553"/>
  <c r="V1552"/>
  <c r="T1552"/>
  <c r="V1551"/>
  <c r="T1551"/>
  <c r="V1550"/>
  <c r="T1550"/>
  <c r="V1549"/>
  <c r="T1549"/>
  <c r="V1548"/>
  <c r="T1548"/>
  <c r="T1520"/>
  <c r="V1520"/>
  <c r="T1521"/>
  <c r="V1521"/>
  <c r="T1522"/>
  <c r="V1522"/>
  <c r="T1523"/>
  <c r="V1523"/>
  <c r="T1524"/>
  <c r="V1524"/>
  <c r="T1525"/>
  <c r="V1525"/>
  <c r="T1526"/>
  <c r="V1526"/>
  <c r="T1527"/>
  <c r="V1527"/>
  <c r="T1528"/>
  <c r="V1528"/>
  <c r="T1529"/>
  <c r="V1529"/>
  <c r="T1530"/>
  <c r="V1530"/>
  <c r="T1531"/>
  <c r="V1531"/>
  <c r="T1532"/>
  <c r="V1532"/>
  <c r="T1533"/>
  <c r="V1533"/>
  <c r="T1534"/>
  <c r="V1534"/>
  <c r="T1535"/>
  <c r="V1535"/>
  <c r="T1536"/>
  <c r="V1536"/>
  <c r="T1537"/>
  <c r="V1537"/>
  <c r="T1538"/>
  <c r="V1538"/>
  <c r="T1539"/>
  <c r="V1539"/>
  <c r="T1540"/>
  <c r="V1540"/>
  <c r="T1541"/>
  <c r="V1541"/>
  <c r="T1542"/>
  <c r="V1542"/>
  <c r="T1543"/>
  <c r="V1543"/>
  <c r="T1544"/>
  <c r="V1544"/>
  <c r="T1545"/>
  <c r="V1545"/>
  <c r="V1519"/>
  <c r="T1519"/>
  <c r="V1518"/>
  <c r="T1518"/>
  <c r="V1517"/>
  <c r="T1517"/>
  <c r="T1508"/>
  <c r="V1508"/>
  <c r="T1509"/>
  <c r="V1509"/>
  <c r="T1510"/>
  <c r="V1510"/>
  <c r="T1511"/>
  <c r="V1511"/>
  <c r="T1512"/>
  <c r="U1512" s="1"/>
  <c r="V1512"/>
  <c r="T1513"/>
  <c r="V1513"/>
  <c r="T1514"/>
  <c r="V1514"/>
  <c r="T1444"/>
  <c r="V1444"/>
  <c r="T1445"/>
  <c r="V1445"/>
  <c r="T1446"/>
  <c r="V1446"/>
  <c r="T1447"/>
  <c r="V1447"/>
  <c r="T1448"/>
  <c r="V1448"/>
  <c r="T1449"/>
  <c r="V1449"/>
  <c r="T1450"/>
  <c r="V1450"/>
  <c r="T1451"/>
  <c r="V1451"/>
  <c r="T1452"/>
  <c r="V1452"/>
  <c r="T1453"/>
  <c r="V1453"/>
  <c r="T1454"/>
  <c r="V1454"/>
  <c r="T1455"/>
  <c r="V1455"/>
  <c r="T1456"/>
  <c r="V1456"/>
  <c r="T1457"/>
  <c r="V1457"/>
  <c r="T1458"/>
  <c r="V1458"/>
  <c r="T1459"/>
  <c r="V1459"/>
  <c r="T1460"/>
  <c r="V1460"/>
  <c r="T1461"/>
  <c r="V1461"/>
  <c r="T1462"/>
  <c r="V1462"/>
  <c r="T1463"/>
  <c r="V1463"/>
  <c r="T1464"/>
  <c r="V1464"/>
  <c r="T1465"/>
  <c r="V1465"/>
  <c r="T1466"/>
  <c r="V1466"/>
  <c r="T1467"/>
  <c r="V1467"/>
  <c r="T1468"/>
  <c r="V1468"/>
  <c r="T1469"/>
  <c r="V1469"/>
  <c r="T1470"/>
  <c r="V1470"/>
  <c r="T1471"/>
  <c r="V1471"/>
  <c r="T1472"/>
  <c r="V1472"/>
  <c r="T1473"/>
  <c r="V1473"/>
  <c r="T1474"/>
  <c r="V1474"/>
  <c r="T1475"/>
  <c r="V1475"/>
  <c r="T1476"/>
  <c r="V1476"/>
  <c r="T1477"/>
  <c r="V1477"/>
  <c r="T1478"/>
  <c r="V1478"/>
  <c r="T1479"/>
  <c r="V1479"/>
  <c r="T1480"/>
  <c r="V1480"/>
  <c r="T1481"/>
  <c r="V1481"/>
  <c r="T1482"/>
  <c r="V1482"/>
  <c r="T1483"/>
  <c r="V1483"/>
  <c r="T1484"/>
  <c r="V1484"/>
  <c r="T1485"/>
  <c r="V1485"/>
  <c r="T1486"/>
  <c r="V1486"/>
  <c r="T1487"/>
  <c r="V1487"/>
  <c r="T1488"/>
  <c r="V1488"/>
  <c r="T1489"/>
  <c r="V1489"/>
  <c r="T1490"/>
  <c r="V1490"/>
  <c r="T1491"/>
  <c r="V1491"/>
  <c r="T1492"/>
  <c r="V1492"/>
  <c r="T1493"/>
  <c r="V1493"/>
  <c r="T1494"/>
  <c r="V1494"/>
  <c r="T1495"/>
  <c r="V1495"/>
  <c r="T1496"/>
  <c r="V1496"/>
  <c r="T1497"/>
  <c r="V1497"/>
  <c r="T1498"/>
  <c r="V1498"/>
  <c r="T1499"/>
  <c r="V1499"/>
  <c r="T1500"/>
  <c r="V1500"/>
  <c r="T1501"/>
  <c r="V1501"/>
  <c r="T1502"/>
  <c r="V1502"/>
  <c r="T1503"/>
  <c r="V1503"/>
  <c r="T1504"/>
  <c r="V1504"/>
  <c r="T1505"/>
  <c r="V1505"/>
  <c r="T1506"/>
  <c r="V1506"/>
  <c r="T1507"/>
  <c r="V1507"/>
  <c r="V1443"/>
  <c r="T1443"/>
  <c r="V1442"/>
  <c r="T1442"/>
  <c r="V1441"/>
  <c r="T1441"/>
  <c r="T1361"/>
  <c r="V1361"/>
  <c r="T1362"/>
  <c r="V1362"/>
  <c r="T1363"/>
  <c r="V1363"/>
  <c r="T1364"/>
  <c r="V1364"/>
  <c r="T1365"/>
  <c r="V1365"/>
  <c r="T1366"/>
  <c r="V1366"/>
  <c r="T1367"/>
  <c r="V1367"/>
  <c r="T1368"/>
  <c r="V1368"/>
  <c r="T1369"/>
  <c r="V1369"/>
  <c r="T1370"/>
  <c r="V1370"/>
  <c r="T1371"/>
  <c r="V1371"/>
  <c r="T1372"/>
  <c r="V1372"/>
  <c r="T1373"/>
  <c r="V1373"/>
  <c r="T1374"/>
  <c r="V1374"/>
  <c r="T1375"/>
  <c r="V1375"/>
  <c r="T1376"/>
  <c r="V1376"/>
  <c r="T1377"/>
  <c r="V1377"/>
  <c r="T1378"/>
  <c r="V1378"/>
  <c r="T1379"/>
  <c r="V1379"/>
  <c r="T1380"/>
  <c r="V1380"/>
  <c r="T1381"/>
  <c r="V1381"/>
  <c r="T1382"/>
  <c r="V1382"/>
  <c r="T1383"/>
  <c r="V1383"/>
  <c r="T1384"/>
  <c r="V1384"/>
  <c r="T1385"/>
  <c r="V1385"/>
  <c r="T1386"/>
  <c r="V1386"/>
  <c r="T1387"/>
  <c r="V1387"/>
  <c r="T1388"/>
  <c r="V1388"/>
  <c r="T1389"/>
  <c r="V1389"/>
  <c r="T1390"/>
  <c r="V1390"/>
  <c r="T1391"/>
  <c r="V1391"/>
  <c r="T1392"/>
  <c r="V1392"/>
  <c r="T1393"/>
  <c r="V1393"/>
  <c r="T1394"/>
  <c r="V1394"/>
  <c r="T1395"/>
  <c r="V1395"/>
  <c r="T1396"/>
  <c r="V1396"/>
  <c r="T1397"/>
  <c r="V1397"/>
  <c r="T1398"/>
  <c r="V1398"/>
  <c r="T1399"/>
  <c r="V1399"/>
  <c r="T1400"/>
  <c r="V1400"/>
  <c r="T1401"/>
  <c r="V1401"/>
  <c r="T1402"/>
  <c r="V1402"/>
  <c r="T1403"/>
  <c r="V1403"/>
  <c r="T1404"/>
  <c r="V1404"/>
  <c r="T1405"/>
  <c r="V1405"/>
  <c r="T1406"/>
  <c r="V1406"/>
  <c r="T1407"/>
  <c r="V1407"/>
  <c r="T1408"/>
  <c r="V1408"/>
  <c r="T1409"/>
  <c r="V1409"/>
  <c r="T1410"/>
  <c r="V1410"/>
  <c r="T1411"/>
  <c r="V1411"/>
  <c r="T1412"/>
  <c r="V1412"/>
  <c r="T1413"/>
  <c r="V1413"/>
  <c r="T1414"/>
  <c r="V1414"/>
  <c r="T1415"/>
  <c r="V1415"/>
  <c r="T1416"/>
  <c r="V1416"/>
  <c r="T1417"/>
  <c r="V1417"/>
  <c r="T1418"/>
  <c r="V1418"/>
  <c r="T1419"/>
  <c r="V1419"/>
  <c r="T1420"/>
  <c r="V1420"/>
  <c r="T1421"/>
  <c r="V1421"/>
  <c r="T1422"/>
  <c r="V1422"/>
  <c r="T1423"/>
  <c r="V1423"/>
  <c r="T1424"/>
  <c r="V1424"/>
  <c r="T1425"/>
  <c r="V1425"/>
  <c r="T1426"/>
  <c r="V1426"/>
  <c r="T1427"/>
  <c r="V1427"/>
  <c r="T1428"/>
  <c r="V1428"/>
  <c r="T1429"/>
  <c r="V1429"/>
  <c r="T1430"/>
  <c r="V1430"/>
  <c r="T1431"/>
  <c r="V1431"/>
  <c r="T1432"/>
  <c r="V1432"/>
  <c r="T1433"/>
  <c r="V1433"/>
  <c r="T1434"/>
  <c r="V1434"/>
  <c r="T1435"/>
  <c r="V1435"/>
  <c r="T1436"/>
  <c r="V1436"/>
  <c r="T1437"/>
  <c r="V1437"/>
  <c r="T1438"/>
  <c r="V1438"/>
  <c r="V1360"/>
  <c r="T1360"/>
  <c r="V1359"/>
  <c r="T1359"/>
  <c r="V1358"/>
  <c r="T1358"/>
  <c r="T1312"/>
  <c r="V1312"/>
  <c r="T1313"/>
  <c r="V1313"/>
  <c r="T1314"/>
  <c r="V1314"/>
  <c r="T1315"/>
  <c r="V1315"/>
  <c r="T1316"/>
  <c r="V1316"/>
  <c r="T1317"/>
  <c r="V1317"/>
  <c r="T1318"/>
  <c r="V1318"/>
  <c r="T1319"/>
  <c r="V1319"/>
  <c r="T1320"/>
  <c r="V1320"/>
  <c r="T1321"/>
  <c r="V1321"/>
  <c r="T1322"/>
  <c r="V1322"/>
  <c r="T1323"/>
  <c r="V1323"/>
  <c r="T1324"/>
  <c r="V1324"/>
  <c r="T1325"/>
  <c r="V1325"/>
  <c r="T1326"/>
  <c r="V1326"/>
  <c r="T1327"/>
  <c r="V1327"/>
  <c r="T1328"/>
  <c r="V1328"/>
  <c r="T1329"/>
  <c r="V1329"/>
  <c r="T1330"/>
  <c r="V1330"/>
  <c r="T1331"/>
  <c r="V1331"/>
  <c r="T1332"/>
  <c r="V1332"/>
  <c r="T1333"/>
  <c r="V1333"/>
  <c r="T1334"/>
  <c r="V1334"/>
  <c r="T1335"/>
  <c r="V1335"/>
  <c r="T1336"/>
  <c r="V1336"/>
  <c r="T1337"/>
  <c r="V1337"/>
  <c r="T1338"/>
  <c r="V1338"/>
  <c r="T1339"/>
  <c r="V1339"/>
  <c r="T1340"/>
  <c r="V1340"/>
  <c r="T1341"/>
  <c r="V1341"/>
  <c r="T1342"/>
  <c r="V1342"/>
  <c r="T1343"/>
  <c r="V1343"/>
  <c r="T1344"/>
  <c r="V1344"/>
  <c r="T1345"/>
  <c r="V1345"/>
  <c r="T1346"/>
  <c r="V1346"/>
  <c r="T1347"/>
  <c r="V1347"/>
  <c r="T1349"/>
  <c r="V1349"/>
  <c r="T1350"/>
  <c r="V1350"/>
  <c r="T1351"/>
  <c r="V1351"/>
  <c r="T1352"/>
  <c r="V1352"/>
  <c r="T1353"/>
  <c r="V1353"/>
  <c r="T1354"/>
  <c r="V1354"/>
  <c r="T1355"/>
  <c r="V1355"/>
  <c r="T1356"/>
  <c r="V1356"/>
  <c r="T1357"/>
  <c r="V1357"/>
  <c r="V1311"/>
  <c r="T1311"/>
  <c r="V1310"/>
  <c r="T1310"/>
  <c r="V1309"/>
  <c r="T1309"/>
  <c r="T1303"/>
  <c r="V1303"/>
  <c r="T1304"/>
  <c r="V1304"/>
  <c r="T1305"/>
  <c r="V1305"/>
  <c r="T1306"/>
  <c r="V1306"/>
  <c r="V1302"/>
  <c r="T1302"/>
  <c r="V1301"/>
  <c r="T1301"/>
  <c r="V1300"/>
  <c r="T1300"/>
  <c r="V1299"/>
  <c r="T1299"/>
  <c r="V1298"/>
  <c r="T1298"/>
  <c r="V1297"/>
  <c r="T1297"/>
  <c r="V1296"/>
  <c r="T1296"/>
  <c r="V1295"/>
  <c r="T1295"/>
  <c r="V1294"/>
  <c r="T1294"/>
  <c r="V1293"/>
  <c r="T1293"/>
  <c r="V1292"/>
  <c r="T1292"/>
  <c r="V1291"/>
  <c r="T1291"/>
  <c r="V1290"/>
  <c r="T1290"/>
  <c r="V1289"/>
  <c r="T1289"/>
  <c r="V1288"/>
  <c r="T1288"/>
  <c r="V1287"/>
  <c r="T1287"/>
  <c r="V1286"/>
  <c r="T1286"/>
  <c r="V1285"/>
  <c r="T1285"/>
  <c r="V1284"/>
  <c r="T1284"/>
  <c r="V1283"/>
  <c r="T1283"/>
  <c r="V1282"/>
  <c r="T1282"/>
  <c r="V1281"/>
  <c r="T1281"/>
  <c r="V1280"/>
  <c r="T1280"/>
  <c r="V1279"/>
  <c r="T1279"/>
  <c r="V1278"/>
  <c r="T1278"/>
  <c r="V1277"/>
  <c r="T1277"/>
  <c r="V1276"/>
  <c r="T1276"/>
  <c r="V1275"/>
  <c r="T1275"/>
  <c r="V1274"/>
  <c r="T1274"/>
  <c r="V1273"/>
  <c r="T1273"/>
  <c r="V1272"/>
  <c r="T1272"/>
  <c r="V1271"/>
  <c r="T1271"/>
  <c r="V1270"/>
  <c r="T1270"/>
  <c r="V1269"/>
  <c r="T1269"/>
  <c r="V1268"/>
  <c r="T1268"/>
  <c r="V1267"/>
  <c r="T1267"/>
  <c r="T1230"/>
  <c r="V1230"/>
  <c r="T1231"/>
  <c r="V1231"/>
  <c r="T1232"/>
  <c r="V1232"/>
  <c r="T1233"/>
  <c r="V1233"/>
  <c r="T1234"/>
  <c r="V1234"/>
  <c r="T1235"/>
  <c r="V1235"/>
  <c r="T1236"/>
  <c r="V1236"/>
  <c r="T1237"/>
  <c r="V1237"/>
  <c r="T1238"/>
  <c r="V1238"/>
  <c r="T1239"/>
  <c r="V1239"/>
  <c r="T1240"/>
  <c r="V1240"/>
  <c r="T1241"/>
  <c r="V1241"/>
  <c r="T1242"/>
  <c r="V1242"/>
  <c r="T1243"/>
  <c r="V1243"/>
  <c r="T1244"/>
  <c r="V1244"/>
  <c r="T1245"/>
  <c r="V1245"/>
  <c r="T1246"/>
  <c r="V1246"/>
  <c r="T1247"/>
  <c r="V1247"/>
  <c r="T1248"/>
  <c r="V1248"/>
  <c r="T1249"/>
  <c r="V1249"/>
  <c r="T1250"/>
  <c r="V1250"/>
  <c r="T1251"/>
  <c r="V1251"/>
  <c r="T1252"/>
  <c r="V1252"/>
  <c r="T1253"/>
  <c r="V1253"/>
  <c r="T1254"/>
  <c r="V1254"/>
  <c r="T1255"/>
  <c r="V1255"/>
  <c r="T1256"/>
  <c r="V1256"/>
  <c r="T1257"/>
  <c r="V1257"/>
  <c r="T1258"/>
  <c r="V1258"/>
  <c r="T1259"/>
  <c r="V1259"/>
  <c r="T1260"/>
  <c r="V1260"/>
  <c r="T1261"/>
  <c r="V1261"/>
  <c r="T1262"/>
  <c r="V1262"/>
  <c r="T1263"/>
  <c r="V1263"/>
  <c r="T1264"/>
  <c r="V1264"/>
  <c r="V1229"/>
  <c r="T1229"/>
  <c r="T1213"/>
  <c r="V1213"/>
  <c r="T1214"/>
  <c r="V1214"/>
  <c r="T1215"/>
  <c r="V1215"/>
  <c r="T1216"/>
  <c r="V1216"/>
  <c r="T1217"/>
  <c r="V1217"/>
  <c r="T1218"/>
  <c r="V1218"/>
  <c r="T1219"/>
  <c r="V1219"/>
  <c r="T1220"/>
  <c r="V1220"/>
  <c r="T1221"/>
  <c r="V1221"/>
  <c r="T1222"/>
  <c r="V1222"/>
  <c r="T1223"/>
  <c r="V1223"/>
  <c r="T1224"/>
  <c r="V1224"/>
  <c r="T1225"/>
  <c r="V1225"/>
  <c r="T1226"/>
  <c r="V1226"/>
  <c r="T1022"/>
  <c r="V1022"/>
  <c r="T1023"/>
  <c r="V1023"/>
  <c r="T1024"/>
  <c r="V1024"/>
  <c r="T1025"/>
  <c r="V1025"/>
  <c r="T1026"/>
  <c r="V1026"/>
  <c r="T1027"/>
  <c r="V1027"/>
  <c r="T1028"/>
  <c r="V1028"/>
  <c r="T1029"/>
  <c r="V1029"/>
  <c r="T1030"/>
  <c r="V1030"/>
  <c r="T1031"/>
  <c r="V1031"/>
  <c r="T1032"/>
  <c r="V1032"/>
  <c r="T1033"/>
  <c r="V1033"/>
  <c r="T1034"/>
  <c r="V1034"/>
  <c r="T1035"/>
  <c r="V1035"/>
  <c r="T1036"/>
  <c r="V1036"/>
  <c r="T1037"/>
  <c r="V1037"/>
  <c r="T1038"/>
  <c r="V1038"/>
  <c r="T1039"/>
  <c r="V1039"/>
  <c r="T1040"/>
  <c r="V1040"/>
  <c r="T1041"/>
  <c r="V1041"/>
  <c r="T1042"/>
  <c r="V1042"/>
  <c r="T1043"/>
  <c r="V1043"/>
  <c r="T1044"/>
  <c r="V1044"/>
  <c r="T1045"/>
  <c r="V1045"/>
  <c r="T1046"/>
  <c r="V1046"/>
  <c r="T1047"/>
  <c r="V1047"/>
  <c r="T1048"/>
  <c r="V1048"/>
  <c r="T1049"/>
  <c r="V1049"/>
  <c r="T1050"/>
  <c r="V1050"/>
  <c r="T1051"/>
  <c r="V1051"/>
  <c r="T1052"/>
  <c r="V1052"/>
  <c r="T1053"/>
  <c r="V1053"/>
  <c r="T1054"/>
  <c r="V1054"/>
  <c r="T1055"/>
  <c r="V1055"/>
  <c r="T1056"/>
  <c r="V1056"/>
  <c r="T1057"/>
  <c r="V1057"/>
  <c r="T1058"/>
  <c r="V1058"/>
  <c r="T1059"/>
  <c r="V1059"/>
  <c r="T1060"/>
  <c r="V1060"/>
  <c r="T1061"/>
  <c r="V1061"/>
  <c r="T1062"/>
  <c r="V1062"/>
  <c r="T1063"/>
  <c r="V1063"/>
  <c r="T1064"/>
  <c r="V1064"/>
  <c r="T1065"/>
  <c r="V1065"/>
  <c r="T1066"/>
  <c r="V1066"/>
  <c r="T1067"/>
  <c r="V1067"/>
  <c r="T1068"/>
  <c r="V1068"/>
  <c r="T1069"/>
  <c r="V1069"/>
  <c r="T1070"/>
  <c r="V1070"/>
  <c r="T1071"/>
  <c r="V1071"/>
  <c r="T1072"/>
  <c r="V1072"/>
  <c r="T1073"/>
  <c r="V1073"/>
  <c r="T1074"/>
  <c r="V1074"/>
  <c r="T1075"/>
  <c r="V1075"/>
  <c r="T1076"/>
  <c r="V1076"/>
  <c r="T1077"/>
  <c r="V1077"/>
  <c r="T1078"/>
  <c r="V1078"/>
  <c r="T1079"/>
  <c r="V1079"/>
  <c r="T1080"/>
  <c r="V1080"/>
  <c r="T1081"/>
  <c r="V1081"/>
  <c r="T1082"/>
  <c r="V1082"/>
  <c r="T1083"/>
  <c r="V1083"/>
  <c r="T1084"/>
  <c r="V1084"/>
  <c r="T1085"/>
  <c r="V1085"/>
  <c r="T1086"/>
  <c r="V1086"/>
  <c r="T1087"/>
  <c r="V1087"/>
  <c r="T1088"/>
  <c r="V1088"/>
  <c r="T1089"/>
  <c r="V1089"/>
  <c r="T1090"/>
  <c r="V1090"/>
  <c r="T1091"/>
  <c r="V1091"/>
  <c r="T1092"/>
  <c r="V1092"/>
  <c r="T1093"/>
  <c r="V1093"/>
  <c r="T1094"/>
  <c r="V1094"/>
  <c r="T1095"/>
  <c r="V1095"/>
  <c r="T1096"/>
  <c r="V1096"/>
  <c r="T1097"/>
  <c r="V1097"/>
  <c r="T1098"/>
  <c r="V1098"/>
  <c r="T1099"/>
  <c r="V1099"/>
  <c r="T1100"/>
  <c r="V1100"/>
  <c r="T1101"/>
  <c r="V1101"/>
  <c r="T1102"/>
  <c r="V1102"/>
  <c r="T1103"/>
  <c r="V1103"/>
  <c r="T1104"/>
  <c r="V1104"/>
  <c r="T1105"/>
  <c r="V1105"/>
  <c r="T1106"/>
  <c r="V1106"/>
  <c r="T1107"/>
  <c r="V1107"/>
  <c r="T1108"/>
  <c r="V1108"/>
  <c r="T1109"/>
  <c r="V1109"/>
  <c r="T1110"/>
  <c r="V1110"/>
  <c r="T1111"/>
  <c r="V1111"/>
  <c r="T1112"/>
  <c r="V1112"/>
  <c r="T1113"/>
  <c r="V1113"/>
  <c r="T1114"/>
  <c r="V1114"/>
  <c r="T1115"/>
  <c r="V1115"/>
  <c r="T1116"/>
  <c r="V1116"/>
  <c r="T1117"/>
  <c r="V1117"/>
  <c r="T1118"/>
  <c r="V1118"/>
  <c r="T1119"/>
  <c r="V1119"/>
  <c r="T1120"/>
  <c r="V1120"/>
  <c r="T1121"/>
  <c r="V1121"/>
  <c r="T1122"/>
  <c r="V1122"/>
  <c r="T1123"/>
  <c r="V1123"/>
  <c r="T1124"/>
  <c r="V1124"/>
  <c r="T1125"/>
  <c r="V1125"/>
  <c r="T1126"/>
  <c r="V1126"/>
  <c r="T1127"/>
  <c r="V1127"/>
  <c r="T1128"/>
  <c r="V1128"/>
  <c r="T1129"/>
  <c r="V1129"/>
  <c r="T1130"/>
  <c r="V1130"/>
  <c r="T1131"/>
  <c r="V1131"/>
  <c r="T1132"/>
  <c r="V1132"/>
  <c r="T1133"/>
  <c r="V1133"/>
  <c r="T1134"/>
  <c r="V1134"/>
  <c r="T1135"/>
  <c r="V1135"/>
  <c r="T1137"/>
  <c r="V1137"/>
  <c r="T1138"/>
  <c r="V1138"/>
  <c r="T1139"/>
  <c r="V1139"/>
  <c r="T1140"/>
  <c r="V1140"/>
  <c r="T1141"/>
  <c r="V1141"/>
  <c r="T1142"/>
  <c r="V1142"/>
  <c r="T1143"/>
  <c r="V1143"/>
  <c r="T1144"/>
  <c r="V1144"/>
  <c r="T1145"/>
  <c r="V1145"/>
  <c r="T1146"/>
  <c r="V1146"/>
  <c r="T1147"/>
  <c r="V1147"/>
  <c r="T1148"/>
  <c r="V1148"/>
  <c r="T1149"/>
  <c r="V1149"/>
  <c r="T1150"/>
  <c r="V1150"/>
  <c r="T1151"/>
  <c r="V1151"/>
  <c r="T1152"/>
  <c r="V1152"/>
  <c r="T1153"/>
  <c r="V1153"/>
  <c r="T1154"/>
  <c r="V1154"/>
  <c r="T1155"/>
  <c r="V1155"/>
  <c r="T1156"/>
  <c r="V1156"/>
  <c r="T1157"/>
  <c r="V1157"/>
  <c r="T1158"/>
  <c r="V1158"/>
  <c r="T1159"/>
  <c r="V1159"/>
  <c r="T1160"/>
  <c r="V1160"/>
  <c r="T1161"/>
  <c r="V1161"/>
  <c r="T1162"/>
  <c r="V1162"/>
  <c r="T1163"/>
  <c r="V1163"/>
  <c r="T1164"/>
  <c r="V1164"/>
  <c r="T1165"/>
  <c r="V1165"/>
  <c r="T1166"/>
  <c r="V1166"/>
  <c r="T1167"/>
  <c r="V1167"/>
  <c r="T1168"/>
  <c r="V1168"/>
  <c r="T1169"/>
  <c r="V1169"/>
  <c r="T1170"/>
  <c r="V1170"/>
  <c r="T1171"/>
  <c r="V1171"/>
  <c r="T1172"/>
  <c r="V1172"/>
  <c r="T1173"/>
  <c r="V1173"/>
  <c r="T1174"/>
  <c r="V1174"/>
  <c r="T1175"/>
  <c r="V1175"/>
  <c r="T1176"/>
  <c r="V1176"/>
  <c r="T1177"/>
  <c r="V1177"/>
  <c r="T1178"/>
  <c r="V1178"/>
  <c r="T1179"/>
  <c r="V1179"/>
  <c r="T1180"/>
  <c r="V1180"/>
  <c r="T1181"/>
  <c r="V1181"/>
  <c r="T1182"/>
  <c r="V1182"/>
  <c r="T1183"/>
  <c r="V1183"/>
  <c r="T1184"/>
  <c r="V1184"/>
  <c r="T1185"/>
  <c r="V1185"/>
  <c r="T1186"/>
  <c r="V1186"/>
  <c r="T1187"/>
  <c r="V1187"/>
  <c r="T1188"/>
  <c r="V1188"/>
  <c r="T1189"/>
  <c r="V1189"/>
  <c r="T1190"/>
  <c r="V1190"/>
  <c r="T1191"/>
  <c r="V1191"/>
  <c r="T1192"/>
  <c r="V1192"/>
  <c r="T1193"/>
  <c r="V1193"/>
  <c r="T1194"/>
  <c r="V1194"/>
  <c r="T1195"/>
  <c r="V1195"/>
  <c r="T1196"/>
  <c r="V1196"/>
  <c r="T1197"/>
  <c r="V1197"/>
  <c r="T1198"/>
  <c r="V1198"/>
  <c r="T1199"/>
  <c r="V1199"/>
  <c r="T1200"/>
  <c r="V1200"/>
  <c r="T1201"/>
  <c r="V1201"/>
  <c r="T1202"/>
  <c r="V1202"/>
  <c r="T1203"/>
  <c r="V1203"/>
  <c r="T1204"/>
  <c r="V1204"/>
  <c r="T1205"/>
  <c r="V1205"/>
  <c r="T1206"/>
  <c r="V1206"/>
  <c r="T1207"/>
  <c r="V1207"/>
  <c r="T1208"/>
  <c r="V1208"/>
  <c r="T1209"/>
  <c r="V1209"/>
  <c r="T1210"/>
  <c r="V1210"/>
  <c r="T1211"/>
  <c r="V1211"/>
  <c r="T1212"/>
  <c r="V1212"/>
  <c r="V1021"/>
  <c r="T1021"/>
  <c r="V1020"/>
  <c r="T1020"/>
  <c r="T947"/>
  <c r="V947"/>
  <c r="T948"/>
  <c r="V948"/>
  <c r="T949"/>
  <c r="V949"/>
  <c r="T950"/>
  <c r="V950"/>
  <c r="T951"/>
  <c r="V951"/>
  <c r="T952"/>
  <c r="V952"/>
  <c r="T953"/>
  <c r="V953"/>
  <c r="T954"/>
  <c r="V954"/>
  <c r="T955"/>
  <c r="V955"/>
  <c r="T956"/>
  <c r="V956"/>
  <c r="T957"/>
  <c r="V957"/>
  <c r="T958"/>
  <c r="V958"/>
  <c r="T959"/>
  <c r="V959"/>
  <c r="T960"/>
  <c r="V960"/>
  <c r="T961"/>
  <c r="V961"/>
  <c r="T962"/>
  <c r="V962"/>
  <c r="T963"/>
  <c r="V963"/>
  <c r="T964"/>
  <c r="V964"/>
  <c r="T965"/>
  <c r="V965"/>
  <c r="T966"/>
  <c r="V966"/>
  <c r="T967"/>
  <c r="V967"/>
  <c r="T968"/>
  <c r="V968"/>
  <c r="T969"/>
  <c r="V969"/>
  <c r="T970"/>
  <c r="V970"/>
  <c r="T971"/>
  <c r="V971"/>
  <c r="T972"/>
  <c r="V972"/>
  <c r="T973"/>
  <c r="V973"/>
  <c r="T974"/>
  <c r="V974"/>
  <c r="T975"/>
  <c r="V975"/>
  <c r="T976"/>
  <c r="V976"/>
  <c r="T977"/>
  <c r="V977"/>
  <c r="T978"/>
  <c r="V978"/>
  <c r="T979"/>
  <c r="V979"/>
  <c r="T980"/>
  <c r="V980"/>
  <c r="T981"/>
  <c r="V981"/>
  <c r="T982"/>
  <c r="V982"/>
  <c r="T983"/>
  <c r="V983"/>
  <c r="T984"/>
  <c r="V984"/>
  <c r="T985"/>
  <c r="V985"/>
  <c r="T986"/>
  <c r="V986"/>
  <c r="T987"/>
  <c r="V987"/>
  <c r="T988"/>
  <c r="V988"/>
  <c r="T989"/>
  <c r="V989"/>
  <c r="T990"/>
  <c r="V990"/>
  <c r="T991"/>
  <c r="V991"/>
  <c r="T992"/>
  <c r="V992"/>
  <c r="T993"/>
  <c r="V993"/>
  <c r="T994"/>
  <c r="V994"/>
  <c r="T995"/>
  <c r="V995"/>
  <c r="T996"/>
  <c r="V996"/>
  <c r="T997"/>
  <c r="V997"/>
  <c r="T998"/>
  <c r="V998"/>
  <c r="T999"/>
  <c r="V999"/>
  <c r="T1000"/>
  <c r="V1000"/>
  <c r="T1001"/>
  <c r="V1001"/>
  <c r="T1002"/>
  <c r="V1002"/>
  <c r="T1003"/>
  <c r="V1003"/>
  <c r="T1005"/>
  <c r="V1005"/>
  <c r="T1006"/>
  <c r="V1006"/>
  <c r="T1007"/>
  <c r="V1007"/>
  <c r="T1008"/>
  <c r="V1008"/>
  <c r="T1009"/>
  <c r="V1009"/>
  <c r="T1010"/>
  <c r="V1010"/>
  <c r="T1011"/>
  <c r="V1011"/>
  <c r="T1012"/>
  <c r="V1012"/>
  <c r="T1013"/>
  <c r="V1013"/>
  <c r="T1014"/>
  <c r="V1014"/>
  <c r="T1015"/>
  <c r="V1015"/>
  <c r="T1016"/>
  <c r="V1016"/>
  <c r="T1017"/>
  <c r="V1017"/>
  <c r="T944"/>
  <c r="V944"/>
  <c r="T945"/>
  <c r="V945"/>
  <c r="T946"/>
  <c r="V946"/>
  <c r="T932"/>
  <c r="V932"/>
  <c r="T933"/>
  <c r="V933"/>
  <c r="T934"/>
  <c r="V934"/>
  <c r="T935"/>
  <c r="V935"/>
  <c r="T936"/>
  <c r="V936"/>
  <c r="T937"/>
  <c r="V937"/>
  <c r="T938"/>
  <c r="V938"/>
  <c r="T939"/>
  <c r="V939"/>
  <c r="T940"/>
  <c r="V940"/>
  <c r="T941"/>
  <c r="V941"/>
  <c r="T942"/>
  <c r="V942"/>
  <c r="T943"/>
  <c r="V943"/>
  <c r="V931"/>
  <c r="T931"/>
  <c r="V930"/>
  <c r="T930"/>
  <c r="T869"/>
  <c r="V869"/>
  <c r="T870"/>
  <c r="V870"/>
  <c r="T871"/>
  <c r="V871"/>
  <c r="T872"/>
  <c r="V872"/>
  <c r="T873"/>
  <c r="V873"/>
  <c r="T874"/>
  <c r="V874"/>
  <c r="T875"/>
  <c r="V875"/>
  <c r="T876"/>
  <c r="V876"/>
  <c r="T877"/>
  <c r="V877"/>
  <c r="T878"/>
  <c r="V878"/>
  <c r="T879"/>
  <c r="V879"/>
  <c r="T880"/>
  <c r="V880"/>
  <c r="T881"/>
  <c r="V881"/>
  <c r="T882"/>
  <c r="V882"/>
  <c r="T883"/>
  <c r="V883"/>
  <c r="T884"/>
  <c r="V884"/>
  <c r="T885"/>
  <c r="V885"/>
  <c r="T886"/>
  <c r="V886"/>
  <c r="T887"/>
  <c r="V887"/>
  <c r="T888"/>
  <c r="V888"/>
  <c r="T889"/>
  <c r="V889"/>
  <c r="T890"/>
  <c r="V890"/>
  <c r="T891"/>
  <c r="V891"/>
  <c r="T892"/>
  <c r="V892"/>
  <c r="T893"/>
  <c r="V893"/>
  <c r="T894"/>
  <c r="V894"/>
  <c r="T895"/>
  <c r="V895"/>
  <c r="T896"/>
  <c r="V896"/>
  <c r="T897"/>
  <c r="V897"/>
  <c r="T898"/>
  <c r="V898"/>
  <c r="T899"/>
  <c r="V899"/>
  <c r="T900"/>
  <c r="V900"/>
  <c r="T901"/>
  <c r="V901"/>
  <c r="T902"/>
  <c r="V902"/>
  <c r="T903"/>
  <c r="V903"/>
  <c r="T904"/>
  <c r="V904"/>
  <c r="T905"/>
  <c r="V905"/>
  <c r="T906"/>
  <c r="V906"/>
  <c r="T907"/>
  <c r="V907"/>
  <c r="T908"/>
  <c r="V908"/>
  <c r="T909"/>
  <c r="V909"/>
  <c r="T910"/>
  <c r="V910"/>
  <c r="T911"/>
  <c r="V911"/>
  <c r="T912"/>
  <c r="V912"/>
  <c r="T913"/>
  <c r="V913"/>
  <c r="T914"/>
  <c r="V914"/>
  <c r="T915"/>
  <c r="V915"/>
  <c r="T916"/>
  <c r="V916"/>
  <c r="T917"/>
  <c r="V917"/>
  <c r="T918"/>
  <c r="V918"/>
  <c r="T919"/>
  <c r="V919"/>
  <c r="T920"/>
  <c r="V920"/>
  <c r="T921"/>
  <c r="V921"/>
  <c r="T922"/>
  <c r="V922"/>
  <c r="T923"/>
  <c r="V923"/>
  <c r="T924"/>
  <c r="V924"/>
  <c r="T925"/>
  <c r="V925"/>
  <c r="T926"/>
  <c r="V926"/>
  <c r="T927"/>
  <c r="V927"/>
  <c r="T866"/>
  <c r="V866"/>
  <c r="T867"/>
  <c r="V867"/>
  <c r="T868"/>
  <c r="V868"/>
  <c r="T812"/>
  <c r="V812"/>
  <c r="T813"/>
  <c r="V813"/>
  <c r="T814"/>
  <c r="V814"/>
  <c r="T815"/>
  <c r="V815"/>
  <c r="T816"/>
  <c r="V816"/>
  <c r="T817"/>
  <c r="V817"/>
  <c r="T818"/>
  <c r="V818"/>
  <c r="T819"/>
  <c r="V819"/>
  <c r="T820"/>
  <c r="V820"/>
  <c r="T821"/>
  <c r="V821"/>
  <c r="T822"/>
  <c r="V822"/>
  <c r="T823"/>
  <c r="V823"/>
  <c r="T824"/>
  <c r="V824"/>
  <c r="T825"/>
  <c r="V825"/>
  <c r="T826"/>
  <c r="V826"/>
  <c r="T827"/>
  <c r="V827"/>
  <c r="T828"/>
  <c r="V828"/>
  <c r="T829"/>
  <c r="V829"/>
  <c r="T830"/>
  <c r="V830"/>
  <c r="T831"/>
  <c r="V831"/>
  <c r="T832"/>
  <c r="V832"/>
  <c r="T833"/>
  <c r="V833"/>
  <c r="T834"/>
  <c r="V834"/>
  <c r="T835"/>
  <c r="V835"/>
  <c r="T836"/>
  <c r="V836"/>
  <c r="T837"/>
  <c r="V837"/>
  <c r="T838"/>
  <c r="V838"/>
  <c r="T839"/>
  <c r="V839"/>
  <c r="T840"/>
  <c r="V840"/>
  <c r="T841"/>
  <c r="V841"/>
  <c r="T842"/>
  <c r="V842"/>
  <c r="T843"/>
  <c r="V843"/>
  <c r="T844"/>
  <c r="V844"/>
  <c r="T845"/>
  <c r="V845"/>
  <c r="T846"/>
  <c r="V846"/>
  <c r="T847"/>
  <c r="V847"/>
  <c r="T848"/>
  <c r="V848"/>
  <c r="T849"/>
  <c r="V849"/>
  <c r="T850"/>
  <c r="V850"/>
  <c r="T851"/>
  <c r="V851"/>
  <c r="T852"/>
  <c r="V852"/>
  <c r="T853"/>
  <c r="V853"/>
  <c r="T854"/>
  <c r="V854"/>
  <c r="T855"/>
  <c r="V855"/>
  <c r="T856"/>
  <c r="V856"/>
  <c r="T857"/>
  <c r="V857"/>
  <c r="T858"/>
  <c r="V858"/>
  <c r="T859"/>
  <c r="V859"/>
  <c r="T860"/>
  <c r="V860"/>
  <c r="T861"/>
  <c r="V861"/>
  <c r="T862"/>
  <c r="V862"/>
  <c r="T863"/>
  <c r="V863"/>
  <c r="T864"/>
  <c r="V864"/>
  <c r="T865"/>
  <c r="V865"/>
  <c r="V811"/>
  <c r="T811"/>
  <c r="V810"/>
  <c r="T810"/>
  <c r="V809"/>
  <c r="T809"/>
  <c r="T716"/>
  <c r="V716"/>
  <c r="T717"/>
  <c r="V717"/>
  <c r="T718"/>
  <c r="V718"/>
  <c r="T719"/>
  <c r="V719"/>
  <c r="T720"/>
  <c r="V720"/>
  <c r="T721"/>
  <c r="V721"/>
  <c r="T722"/>
  <c r="V722"/>
  <c r="T723"/>
  <c r="V723"/>
  <c r="T724"/>
  <c r="V724"/>
  <c r="T725"/>
  <c r="V725"/>
  <c r="T726"/>
  <c r="V726"/>
  <c r="T727"/>
  <c r="V727"/>
  <c r="T728"/>
  <c r="V728"/>
  <c r="T729"/>
  <c r="V729"/>
  <c r="T730"/>
  <c r="V730"/>
  <c r="T731"/>
  <c r="V731"/>
  <c r="T732"/>
  <c r="V732"/>
  <c r="T733"/>
  <c r="V733"/>
  <c r="T734"/>
  <c r="V734"/>
  <c r="T735"/>
  <c r="V735"/>
  <c r="T736"/>
  <c r="V736"/>
  <c r="T737"/>
  <c r="V737"/>
  <c r="T738"/>
  <c r="V738"/>
  <c r="T739"/>
  <c r="V739"/>
  <c r="T740"/>
  <c r="V740"/>
  <c r="T741"/>
  <c r="V741"/>
  <c r="T742"/>
  <c r="V742"/>
  <c r="T743"/>
  <c r="V743"/>
  <c r="T744"/>
  <c r="V744"/>
  <c r="T745"/>
  <c r="V745"/>
  <c r="T746"/>
  <c r="V746"/>
  <c r="T747"/>
  <c r="V747"/>
  <c r="T748"/>
  <c r="V748"/>
  <c r="T749"/>
  <c r="V749"/>
  <c r="T750"/>
  <c r="V750"/>
  <c r="T751"/>
  <c r="V751"/>
  <c r="T752"/>
  <c r="V752"/>
  <c r="T753"/>
  <c r="V753"/>
  <c r="T754"/>
  <c r="V754"/>
  <c r="T755"/>
  <c r="V755"/>
  <c r="T756"/>
  <c r="V756"/>
  <c r="T757"/>
  <c r="V757"/>
  <c r="T758"/>
  <c r="V758"/>
  <c r="T759"/>
  <c r="V759"/>
  <c r="T760"/>
  <c r="V760"/>
  <c r="T761"/>
  <c r="V761"/>
  <c r="T762"/>
  <c r="V762"/>
  <c r="T763"/>
  <c r="V763"/>
  <c r="T764"/>
  <c r="V764"/>
  <c r="T765"/>
  <c r="V765"/>
  <c r="T766"/>
  <c r="V766"/>
  <c r="T767"/>
  <c r="V767"/>
  <c r="T768"/>
  <c r="V768"/>
  <c r="T769"/>
  <c r="V769"/>
  <c r="T770"/>
  <c r="V770"/>
  <c r="T771"/>
  <c r="V771"/>
  <c r="T772"/>
  <c r="V772"/>
  <c r="T773"/>
  <c r="V773"/>
  <c r="T774"/>
  <c r="V774"/>
  <c r="T775"/>
  <c r="V775"/>
  <c r="T776"/>
  <c r="V776"/>
  <c r="T777"/>
  <c r="V777"/>
  <c r="T778"/>
  <c r="V778"/>
  <c r="T779"/>
  <c r="V779"/>
  <c r="T780"/>
  <c r="V780"/>
  <c r="T781"/>
  <c r="V781"/>
  <c r="T782"/>
  <c r="V782"/>
  <c r="T783"/>
  <c r="V783"/>
  <c r="T784"/>
  <c r="V784"/>
  <c r="T785"/>
  <c r="V785"/>
  <c r="T786"/>
  <c r="V786"/>
  <c r="T787"/>
  <c r="V787"/>
  <c r="T788"/>
  <c r="V788"/>
  <c r="T789"/>
  <c r="V789"/>
  <c r="T790"/>
  <c r="V790"/>
  <c r="T791"/>
  <c r="V791"/>
  <c r="T792"/>
  <c r="V792"/>
  <c r="T793"/>
  <c r="V793"/>
  <c r="T794"/>
  <c r="V794"/>
  <c r="T795"/>
  <c r="V795"/>
  <c r="T796"/>
  <c r="V796"/>
  <c r="T797"/>
  <c r="V797"/>
  <c r="T798"/>
  <c r="V798"/>
  <c r="T799"/>
  <c r="V799"/>
  <c r="T800"/>
  <c r="V800"/>
  <c r="T801"/>
  <c r="V801"/>
  <c r="T802"/>
  <c r="V802"/>
  <c r="T803"/>
  <c r="V803"/>
  <c r="T804"/>
  <c r="V804"/>
  <c r="T805"/>
  <c r="V805"/>
  <c r="T806"/>
  <c r="V806"/>
  <c r="V715"/>
  <c r="T715"/>
  <c r="V714"/>
  <c r="T714"/>
  <c r="V713"/>
  <c r="T713"/>
  <c r="V712"/>
  <c r="T712"/>
  <c r="V711"/>
  <c r="T711"/>
  <c r="V710"/>
  <c r="T710"/>
  <c r="V709"/>
  <c r="T709"/>
  <c r="V708"/>
  <c r="T708"/>
  <c r="V707"/>
  <c r="T707"/>
  <c r="V706"/>
  <c r="T706"/>
  <c r="V705"/>
  <c r="T705"/>
  <c r="V704"/>
  <c r="T704"/>
  <c r="V703"/>
  <c r="T703"/>
  <c r="V702"/>
  <c r="T702"/>
  <c r="V701"/>
  <c r="T701"/>
  <c r="V700"/>
  <c r="T700"/>
  <c r="V699"/>
  <c r="T699"/>
  <c r="T683"/>
  <c r="V683"/>
  <c r="T684"/>
  <c r="V684"/>
  <c r="T685"/>
  <c r="V685"/>
  <c r="T686"/>
  <c r="V686"/>
  <c r="T687"/>
  <c r="V687"/>
  <c r="T688"/>
  <c r="V688"/>
  <c r="T689"/>
  <c r="V689"/>
  <c r="T690"/>
  <c r="V690"/>
  <c r="T691"/>
  <c r="V691"/>
  <c r="T692"/>
  <c r="V692"/>
  <c r="T693"/>
  <c r="V693"/>
  <c r="T694"/>
  <c r="V694"/>
  <c r="T695"/>
  <c r="V695"/>
  <c r="T696"/>
  <c r="V696"/>
  <c r="V682"/>
  <c r="T682"/>
  <c r="V681"/>
  <c r="T681"/>
  <c r="V680"/>
  <c r="T680"/>
  <c r="T562"/>
  <c r="V562"/>
  <c r="T563"/>
  <c r="V563"/>
  <c r="T564"/>
  <c r="V564"/>
  <c r="T565"/>
  <c r="V565"/>
  <c r="T566"/>
  <c r="V566"/>
  <c r="T567"/>
  <c r="V567"/>
  <c r="T568"/>
  <c r="V568"/>
  <c r="T569"/>
  <c r="V569"/>
  <c r="T570"/>
  <c r="V570"/>
  <c r="T571"/>
  <c r="V571"/>
  <c r="T572"/>
  <c r="V572"/>
  <c r="T573"/>
  <c r="V573"/>
  <c r="T574"/>
  <c r="V574"/>
  <c r="T575"/>
  <c r="V575"/>
  <c r="T576"/>
  <c r="V576"/>
  <c r="T577"/>
  <c r="V577"/>
  <c r="T578"/>
  <c r="V578"/>
  <c r="T579"/>
  <c r="V579"/>
  <c r="T580"/>
  <c r="V580"/>
  <c r="T581"/>
  <c r="V581"/>
  <c r="T582"/>
  <c r="V582"/>
  <c r="T583"/>
  <c r="V583"/>
  <c r="T584"/>
  <c r="V584"/>
  <c r="T585"/>
  <c r="V585"/>
  <c r="T586"/>
  <c r="V586"/>
  <c r="T587"/>
  <c r="V587"/>
  <c r="T588"/>
  <c r="V588"/>
  <c r="T589"/>
  <c r="V589"/>
  <c r="T590"/>
  <c r="V590"/>
  <c r="T591"/>
  <c r="V591"/>
  <c r="T592"/>
  <c r="V592"/>
  <c r="T593"/>
  <c r="V593"/>
  <c r="T594"/>
  <c r="V594"/>
  <c r="T595"/>
  <c r="V595"/>
  <c r="T596"/>
  <c r="V596"/>
  <c r="T597"/>
  <c r="V597"/>
  <c r="T598"/>
  <c r="V598"/>
  <c r="T599"/>
  <c r="V599"/>
  <c r="T600"/>
  <c r="V600"/>
  <c r="T601"/>
  <c r="V601"/>
  <c r="T602"/>
  <c r="V602"/>
  <c r="T603"/>
  <c r="V603"/>
  <c r="T604"/>
  <c r="V604"/>
  <c r="T605"/>
  <c r="V605"/>
  <c r="T606"/>
  <c r="V606"/>
  <c r="T607"/>
  <c r="V607"/>
  <c r="T608"/>
  <c r="V608"/>
  <c r="T609"/>
  <c r="V609"/>
  <c r="T610"/>
  <c r="V610"/>
  <c r="T611"/>
  <c r="V611"/>
  <c r="T612"/>
  <c r="V612"/>
  <c r="T613"/>
  <c r="V613"/>
  <c r="T614"/>
  <c r="V614"/>
  <c r="T615"/>
  <c r="V615"/>
  <c r="T616"/>
  <c r="V616"/>
  <c r="T617"/>
  <c r="V617"/>
  <c r="T618"/>
  <c r="V618"/>
  <c r="T619"/>
  <c r="V619"/>
  <c r="T620"/>
  <c r="V620"/>
  <c r="T621"/>
  <c r="V621"/>
  <c r="T622"/>
  <c r="V622"/>
  <c r="T623"/>
  <c r="V623"/>
  <c r="T624"/>
  <c r="V624"/>
  <c r="T625"/>
  <c r="V625"/>
  <c r="T626"/>
  <c r="V626"/>
  <c r="T627"/>
  <c r="V627"/>
  <c r="T628"/>
  <c r="V628"/>
  <c r="T629"/>
  <c r="V629"/>
  <c r="T630"/>
  <c r="V630"/>
  <c r="T631"/>
  <c r="V631"/>
  <c r="T632"/>
  <c r="V632"/>
  <c r="T633"/>
  <c r="V633"/>
  <c r="T634"/>
  <c r="V634"/>
  <c r="T635"/>
  <c r="V635"/>
  <c r="T636"/>
  <c r="V636"/>
  <c r="T637"/>
  <c r="V637"/>
  <c r="T638"/>
  <c r="V638"/>
  <c r="T639"/>
  <c r="V639"/>
  <c r="T640"/>
  <c r="V640"/>
  <c r="T641"/>
  <c r="V641"/>
  <c r="T642"/>
  <c r="V642"/>
  <c r="T643"/>
  <c r="V643"/>
  <c r="T644"/>
  <c r="V644"/>
  <c r="T645"/>
  <c r="V645"/>
  <c r="T646"/>
  <c r="V646"/>
  <c r="T647"/>
  <c r="V647"/>
  <c r="T648"/>
  <c r="V648"/>
  <c r="T649"/>
  <c r="V649"/>
  <c r="T650"/>
  <c r="V650"/>
  <c r="T651"/>
  <c r="V651"/>
  <c r="T652"/>
  <c r="V652"/>
  <c r="T653"/>
  <c r="V653"/>
  <c r="T654"/>
  <c r="V654"/>
  <c r="T655"/>
  <c r="V655"/>
  <c r="T656"/>
  <c r="V656"/>
  <c r="T657"/>
  <c r="V657"/>
  <c r="T658"/>
  <c r="V658"/>
  <c r="T659"/>
  <c r="V659"/>
  <c r="T660"/>
  <c r="V660"/>
  <c r="T661"/>
  <c r="V661"/>
  <c r="T662"/>
  <c r="V662"/>
  <c r="T663"/>
  <c r="V663"/>
  <c r="T664"/>
  <c r="V664"/>
  <c r="T665"/>
  <c r="V665"/>
  <c r="T666"/>
  <c r="V666"/>
  <c r="T667"/>
  <c r="V667"/>
  <c r="T668"/>
  <c r="V668"/>
  <c r="T669"/>
  <c r="V669"/>
  <c r="T670"/>
  <c r="V670"/>
  <c r="T671"/>
  <c r="V671"/>
  <c r="T672"/>
  <c r="V672"/>
  <c r="T673"/>
  <c r="V673"/>
  <c r="T674"/>
  <c r="V674"/>
  <c r="T675"/>
  <c r="V675"/>
  <c r="T676"/>
  <c r="V676"/>
  <c r="T677"/>
  <c r="V677"/>
  <c r="T678"/>
  <c r="V678"/>
  <c r="T679"/>
  <c r="V679"/>
  <c r="V561"/>
  <c r="T561"/>
  <c r="V560"/>
  <c r="T560"/>
  <c r="V559"/>
  <c r="T559"/>
  <c r="V558"/>
  <c r="T558"/>
  <c r="V557"/>
  <c r="T557"/>
  <c r="V556"/>
  <c r="T556"/>
  <c r="V555"/>
  <c r="T555"/>
  <c r="V554"/>
  <c r="T554"/>
  <c r="V553"/>
  <c r="T553"/>
  <c r="V552"/>
  <c r="T552"/>
  <c r="V551"/>
  <c r="T551"/>
  <c r="V550"/>
  <c r="T550"/>
  <c r="V549"/>
  <c r="T549"/>
  <c r="V548"/>
  <c r="T548"/>
  <c r="V547"/>
  <c r="T547"/>
  <c r="V546"/>
  <c r="T546"/>
  <c r="V545"/>
  <c r="T545"/>
  <c r="V544"/>
  <c r="T544"/>
  <c r="V543"/>
  <c r="T543"/>
  <c r="V542"/>
  <c r="T542"/>
  <c r="V541"/>
  <c r="T541"/>
  <c r="V540"/>
  <c r="T540"/>
  <c r="V539"/>
  <c r="T539"/>
  <c r="V538"/>
  <c r="T538"/>
  <c r="V537"/>
  <c r="T537"/>
  <c r="V536"/>
  <c r="T536"/>
  <c r="V535"/>
  <c r="T535"/>
  <c r="V534"/>
  <c r="T534"/>
  <c r="V533"/>
  <c r="T533"/>
  <c r="V532"/>
  <c r="T532"/>
  <c r="V531"/>
  <c r="T531"/>
  <c r="V530"/>
  <c r="T530"/>
  <c r="V529"/>
  <c r="T529"/>
  <c r="T506"/>
  <c r="V506"/>
  <c r="T507"/>
  <c r="V507"/>
  <c r="T508"/>
  <c r="V508"/>
  <c r="T509"/>
  <c r="V509"/>
  <c r="T510"/>
  <c r="V510"/>
  <c r="T511"/>
  <c r="V511"/>
  <c r="T512"/>
  <c r="V512"/>
  <c r="T513"/>
  <c r="V513"/>
  <c r="T514"/>
  <c r="V514"/>
  <c r="T515"/>
  <c r="V515"/>
  <c r="T516"/>
  <c r="V516"/>
  <c r="T517"/>
  <c r="V517"/>
  <c r="T518"/>
  <c r="V518"/>
  <c r="T519"/>
  <c r="V519"/>
  <c r="T520"/>
  <c r="V520"/>
  <c r="T521"/>
  <c r="V521"/>
  <c r="T522"/>
  <c r="V522"/>
  <c r="T523"/>
  <c r="V523"/>
  <c r="T524"/>
  <c r="V524"/>
  <c r="T525"/>
  <c r="V525"/>
  <c r="T526"/>
  <c r="V526"/>
  <c r="V505"/>
  <c r="T505"/>
  <c r="V504"/>
  <c r="T504"/>
  <c r="V503"/>
  <c r="T503"/>
  <c r="V502"/>
  <c r="T502"/>
  <c r="V501"/>
  <c r="T501"/>
  <c r="V500"/>
  <c r="T500"/>
  <c r="V499"/>
  <c r="T499"/>
  <c r="V498"/>
  <c r="T498"/>
  <c r="V497"/>
  <c r="T497"/>
  <c r="V496"/>
  <c r="T496"/>
  <c r="V495"/>
  <c r="T495"/>
  <c r="V494"/>
  <c r="T494"/>
  <c r="T482"/>
  <c r="V482"/>
  <c r="T483"/>
  <c r="V483"/>
  <c r="T484"/>
  <c r="V484"/>
  <c r="T485"/>
  <c r="V485"/>
  <c r="T486"/>
  <c r="V486"/>
  <c r="T487"/>
  <c r="V487"/>
  <c r="T488"/>
  <c r="V488"/>
  <c r="T489"/>
  <c r="V489"/>
  <c r="T490"/>
  <c r="V490"/>
  <c r="T491"/>
  <c r="V491"/>
  <c r="V481"/>
  <c r="T481"/>
  <c r="V480"/>
  <c r="T480"/>
  <c r="T438"/>
  <c r="V438"/>
  <c r="T439"/>
  <c r="V439"/>
  <c r="T440"/>
  <c r="V440"/>
  <c r="T441"/>
  <c r="V441"/>
  <c r="T442"/>
  <c r="V442"/>
  <c r="T443"/>
  <c r="V443"/>
  <c r="T444"/>
  <c r="V444"/>
  <c r="T445"/>
  <c r="V445"/>
  <c r="T446"/>
  <c r="V446"/>
  <c r="T447"/>
  <c r="V447"/>
  <c r="T448"/>
  <c r="V448"/>
  <c r="T449"/>
  <c r="V449"/>
  <c r="T450"/>
  <c r="V450"/>
  <c r="T451"/>
  <c r="V451"/>
  <c r="T452"/>
  <c r="V452"/>
  <c r="T453"/>
  <c r="V453"/>
  <c r="T454"/>
  <c r="V454"/>
  <c r="T455"/>
  <c r="V455"/>
  <c r="T456"/>
  <c r="V456"/>
  <c r="T457"/>
  <c r="V457"/>
  <c r="T458"/>
  <c r="V458"/>
  <c r="T459"/>
  <c r="V459"/>
  <c r="T460"/>
  <c r="V460"/>
  <c r="T461"/>
  <c r="V461"/>
  <c r="T462"/>
  <c r="V462"/>
  <c r="T463"/>
  <c r="V463"/>
  <c r="T464"/>
  <c r="V464"/>
  <c r="T465"/>
  <c r="V465"/>
  <c r="T466"/>
  <c r="V466"/>
  <c r="T467"/>
  <c r="V467"/>
  <c r="T468"/>
  <c r="V468"/>
  <c r="T469"/>
  <c r="V469"/>
  <c r="T470"/>
  <c r="V470"/>
  <c r="T471"/>
  <c r="V471"/>
  <c r="T472"/>
  <c r="V472"/>
  <c r="T473"/>
  <c r="V473"/>
  <c r="T474"/>
  <c r="V474"/>
  <c r="T475"/>
  <c r="V475"/>
  <c r="T476"/>
  <c r="V476"/>
  <c r="T477"/>
  <c r="V477"/>
  <c r="V437"/>
  <c r="T437"/>
  <c r="V436"/>
  <c r="T436"/>
  <c r="V435"/>
  <c r="T435"/>
  <c r="V434"/>
  <c r="T434"/>
  <c r="V433"/>
  <c r="T433"/>
  <c r="V432"/>
  <c r="T432"/>
  <c r="T429"/>
  <c r="V429"/>
  <c r="V428"/>
  <c r="T428"/>
  <c r="V427"/>
  <c r="T427"/>
  <c r="V426"/>
  <c r="T426"/>
  <c r="V425"/>
  <c r="T425"/>
  <c r="V424"/>
  <c r="T424"/>
  <c r="T419"/>
  <c r="V419"/>
  <c r="T420"/>
  <c r="V420"/>
  <c r="T421"/>
  <c r="V421"/>
  <c r="V418"/>
  <c r="T418"/>
  <c r="V417"/>
  <c r="T417"/>
  <c r="T404"/>
  <c r="V404"/>
  <c r="T405"/>
  <c r="V405"/>
  <c r="T406"/>
  <c r="V406"/>
  <c r="T407"/>
  <c r="V407"/>
  <c r="T408"/>
  <c r="V408"/>
  <c r="T409"/>
  <c r="V409"/>
  <c r="T410"/>
  <c r="V410"/>
  <c r="T411"/>
  <c r="V411"/>
  <c r="T412"/>
  <c r="V412"/>
  <c r="T413"/>
  <c r="V413"/>
  <c r="T414"/>
  <c r="V414"/>
  <c r="T291"/>
  <c r="V291"/>
  <c r="T292"/>
  <c r="V292"/>
  <c r="T293"/>
  <c r="V293"/>
  <c r="T294"/>
  <c r="V294"/>
  <c r="T295"/>
  <c r="V295"/>
  <c r="T296"/>
  <c r="V296"/>
  <c r="T297"/>
  <c r="V297"/>
  <c r="T298"/>
  <c r="V298"/>
  <c r="T299"/>
  <c r="V299"/>
  <c r="T300"/>
  <c r="V300"/>
  <c r="T301"/>
  <c r="V301"/>
  <c r="T302"/>
  <c r="V302"/>
  <c r="T303"/>
  <c r="V303"/>
  <c r="T304"/>
  <c r="V304"/>
  <c r="T305"/>
  <c r="V305"/>
  <c r="T306"/>
  <c r="V306"/>
  <c r="T307"/>
  <c r="V307"/>
  <c r="T308"/>
  <c r="V308"/>
  <c r="T309"/>
  <c r="V309"/>
  <c r="T310"/>
  <c r="V310"/>
  <c r="T311"/>
  <c r="V311"/>
  <c r="T312"/>
  <c r="V312"/>
  <c r="T313"/>
  <c r="V313"/>
  <c r="T314"/>
  <c r="V314"/>
  <c r="T315"/>
  <c r="V315"/>
  <c r="T316"/>
  <c r="V316"/>
  <c r="T317"/>
  <c r="V317"/>
  <c r="T318"/>
  <c r="V318"/>
  <c r="T319"/>
  <c r="V319"/>
  <c r="T320"/>
  <c r="V320"/>
  <c r="T321"/>
  <c r="V321"/>
  <c r="T322"/>
  <c r="V322"/>
  <c r="T323"/>
  <c r="V323"/>
  <c r="T324"/>
  <c r="V324"/>
  <c r="T325"/>
  <c r="V325"/>
  <c r="T326"/>
  <c r="V326"/>
  <c r="T327"/>
  <c r="V327"/>
  <c r="T328"/>
  <c r="V328"/>
  <c r="T329"/>
  <c r="V329"/>
  <c r="T330"/>
  <c r="V330"/>
  <c r="T331"/>
  <c r="V331"/>
  <c r="T332"/>
  <c r="V332"/>
  <c r="T333"/>
  <c r="V333"/>
  <c r="T334"/>
  <c r="V334"/>
  <c r="T335"/>
  <c r="V335"/>
  <c r="T336"/>
  <c r="V336"/>
  <c r="T337"/>
  <c r="V337"/>
  <c r="T338"/>
  <c r="V338"/>
  <c r="T339"/>
  <c r="V339"/>
  <c r="T340"/>
  <c r="V340"/>
  <c r="T341"/>
  <c r="V341"/>
  <c r="T342"/>
  <c r="V342"/>
  <c r="T343"/>
  <c r="V343"/>
  <c r="T344"/>
  <c r="V344"/>
  <c r="T345"/>
  <c r="V345"/>
  <c r="T346"/>
  <c r="V346"/>
  <c r="T347"/>
  <c r="V347"/>
  <c r="T348"/>
  <c r="V348"/>
  <c r="T349"/>
  <c r="V349"/>
  <c r="T350"/>
  <c r="V350"/>
  <c r="T351"/>
  <c r="V351"/>
  <c r="T352"/>
  <c r="V352"/>
  <c r="T353"/>
  <c r="V353"/>
  <c r="T354"/>
  <c r="V354"/>
  <c r="T355"/>
  <c r="V355"/>
  <c r="T356"/>
  <c r="V356"/>
  <c r="T357"/>
  <c r="V357"/>
  <c r="T358"/>
  <c r="V358"/>
  <c r="T359"/>
  <c r="V359"/>
  <c r="T360"/>
  <c r="V360"/>
  <c r="T361"/>
  <c r="V361"/>
  <c r="T362"/>
  <c r="V362"/>
  <c r="T363"/>
  <c r="V363"/>
  <c r="T364"/>
  <c r="V364"/>
  <c r="T365"/>
  <c r="V365"/>
  <c r="T366"/>
  <c r="V366"/>
  <c r="T367"/>
  <c r="V367"/>
  <c r="T368"/>
  <c r="V368"/>
  <c r="T369"/>
  <c r="V369"/>
  <c r="T370"/>
  <c r="V370"/>
  <c r="T371"/>
  <c r="V371"/>
  <c r="T372"/>
  <c r="V372"/>
  <c r="T373"/>
  <c r="V373"/>
  <c r="T374"/>
  <c r="V374"/>
  <c r="T375"/>
  <c r="V375"/>
  <c r="T376"/>
  <c r="V376"/>
  <c r="T377"/>
  <c r="V377"/>
  <c r="T378"/>
  <c r="V378"/>
  <c r="T379"/>
  <c r="V379"/>
  <c r="T380"/>
  <c r="V380"/>
  <c r="T381"/>
  <c r="V381"/>
  <c r="T382"/>
  <c r="V382"/>
  <c r="T383"/>
  <c r="V383"/>
  <c r="T384"/>
  <c r="V384"/>
  <c r="T385"/>
  <c r="V385"/>
  <c r="T386"/>
  <c r="V386"/>
  <c r="T387"/>
  <c r="V387"/>
  <c r="T388"/>
  <c r="V388"/>
  <c r="T389"/>
  <c r="V389"/>
  <c r="T390"/>
  <c r="V390"/>
  <c r="T391"/>
  <c r="V391"/>
  <c r="T392"/>
  <c r="V392"/>
  <c r="T393"/>
  <c r="V393"/>
  <c r="T394"/>
  <c r="V394"/>
  <c r="T395"/>
  <c r="V395"/>
  <c r="T396"/>
  <c r="V396"/>
  <c r="T397"/>
  <c r="V397"/>
  <c r="T398"/>
  <c r="V398"/>
  <c r="T399"/>
  <c r="V399"/>
  <c r="T400"/>
  <c r="V400"/>
  <c r="T401"/>
  <c r="V401"/>
  <c r="T402"/>
  <c r="V402"/>
  <c r="T403"/>
  <c r="V403"/>
  <c r="V290"/>
  <c r="T290"/>
  <c r="V289"/>
  <c r="T289"/>
  <c r="T261"/>
  <c r="V261"/>
  <c r="T262"/>
  <c r="V262"/>
  <c r="T263"/>
  <c r="V263"/>
  <c r="T264"/>
  <c r="V264"/>
  <c r="T265"/>
  <c r="V265"/>
  <c r="T266"/>
  <c r="V266"/>
  <c r="T267"/>
  <c r="V267"/>
  <c r="T268"/>
  <c r="V268"/>
  <c r="T269"/>
  <c r="V269"/>
  <c r="T270"/>
  <c r="V270"/>
  <c r="T271"/>
  <c r="V271"/>
  <c r="T272"/>
  <c r="V272"/>
  <c r="T273"/>
  <c r="V273"/>
  <c r="T274"/>
  <c r="V274"/>
  <c r="T275"/>
  <c r="V275"/>
  <c r="T276"/>
  <c r="V276"/>
  <c r="T277"/>
  <c r="V277"/>
  <c r="T278"/>
  <c r="V278"/>
  <c r="T279"/>
  <c r="V279"/>
  <c r="T280"/>
  <c r="V280"/>
  <c r="T281"/>
  <c r="V281"/>
  <c r="T282"/>
  <c r="V282"/>
  <c r="T283"/>
  <c r="V283"/>
  <c r="T284"/>
  <c r="V284"/>
  <c r="T285"/>
  <c r="V285"/>
  <c r="T286"/>
  <c r="V286"/>
  <c r="V260"/>
  <c r="T260"/>
  <c r="V259"/>
  <c r="T259"/>
  <c r="V258"/>
  <c r="T258"/>
  <c r="V257"/>
  <c r="T257"/>
  <c r="V256"/>
  <c r="T256"/>
  <c r="V255"/>
  <c r="T255"/>
  <c r="V254"/>
  <c r="T254"/>
  <c r="V253"/>
  <c r="T253"/>
  <c r="V252"/>
  <c r="T252"/>
  <c r="V251"/>
  <c r="T251"/>
  <c r="V250"/>
  <c r="T250"/>
  <c r="V249"/>
  <c r="T249"/>
  <c r="V248"/>
  <c r="T248"/>
  <c r="V247"/>
  <c r="T247"/>
  <c r="V246"/>
  <c r="T246"/>
  <c r="V245"/>
  <c r="T245"/>
  <c r="V244"/>
  <c r="T244"/>
  <c r="T240"/>
  <c r="V240"/>
  <c r="T241"/>
  <c r="V241"/>
  <c r="V239"/>
  <c r="T239"/>
  <c r="V238"/>
  <c r="T238"/>
  <c r="V237"/>
  <c r="T237"/>
  <c r="V236"/>
  <c r="T236"/>
  <c r="V235"/>
  <c r="T235"/>
  <c r="V234"/>
  <c r="T234"/>
  <c r="V233"/>
  <c r="T233"/>
  <c r="V232"/>
  <c r="T232"/>
  <c r="V231"/>
  <c r="T231"/>
  <c r="V230"/>
  <c r="T230"/>
  <c r="V229"/>
  <c r="T229"/>
  <c r="V228"/>
  <c r="T228"/>
  <c r="V227"/>
  <c r="T227"/>
  <c r="V226"/>
  <c r="T226"/>
  <c r="V225"/>
  <c r="T225"/>
  <c r="T211"/>
  <c r="V211"/>
  <c r="T212"/>
  <c r="V212"/>
  <c r="T213"/>
  <c r="V213"/>
  <c r="T214"/>
  <c r="V214"/>
  <c r="T215"/>
  <c r="V215"/>
  <c r="T216"/>
  <c r="V216"/>
  <c r="T217"/>
  <c r="V217"/>
  <c r="T218"/>
  <c r="V218"/>
  <c r="T219"/>
  <c r="V219"/>
  <c r="T220"/>
  <c r="V220"/>
  <c r="T221"/>
  <c r="V221"/>
  <c r="T222"/>
  <c r="V222"/>
  <c r="V210"/>
  <c r="T210"/>
  <c r="V209"/>
  <c r="T209"/>
  <c r="V208"/>
  <c r="T208"/>
  <c r="T184"/>
  <c r="V184"/>
  <c r="T185"/>
  <c r="V185"/>
  <c r="T186"/>
  <c r="V186"/>
  <c r="T187"/>
  <c r="V187"/>
  <c r="T188"/>
  <c r="V188"/>
  <c r="T189"/>
  <c r="V189"/>
  <c r="T190"/>
  <c r="V190"/>
  <c r="T191"/>
  <c r="V191"/>
  <c r="T192"/>
  <c r="V192"/>
  <c r="T193"/>
  <c r="V193"/>
  <c r="T194"/>
  <c r="V194"/>
  <c r="T195"/>
  <c r="V195"/>
  <c r="T196"/>
  <c r="V196"/>
  <c r="T197"/>
  <c r="V197"/>
  <c r="T198"/>
  <c r="V198"/>
  <c r="T199"/>
  <c r="V199"/>
  <c r="T200"/>
  <c r="V200"/>
  <c r="T201"/>
  <c r="V201"/>
  <c r="T202"/>
  <c r="V202"/>
  <c r="T203"/>
  <c r="V203"/>
  <c r="T204"/>
  <c r="V204"/>
  <c r="T205"/>
  <c r="V205"/>
  <c r="T206"/>
  <c r="V206"/>
  <c r="T207"/>
  <c r="V207"/>
  <c r="V183"/>
  <c r="T183"/>
  <c r="V182"/>
  <c r="T182"/>
  <c r="V181"/>
  <c r="T181"/>
  <c r="V180"/>
  <c r="T180"/>
  <c r="V179"/>
  <c r="T179"/>
  <c r="V178"/>
  <c r="T178"/>
  <c r="V177"/>
  <c r="T177"/>
  <c r="V176"/>
  <c r="T176"/>
  <c r="V175"/>
  <c r="T175"/>
  <c r="V174"/>
  <c r="T174"/>
  <c r="V173"/>
  <c r="T173"/>
  <c r="V172"/>
  <c r="T172"/>
  <c r="V171"/>
  <c r="T171"/>
  <c r="V170"/>
  <c r="T170"/>
  <c r="V169"/>
  <c r="T169"/>
  <c r="V168"/>
  <c r="T168"/>
  <c r="V167"/>
  <c r="T167"/>
  <c r="V166"/>
  <c r="T166"/>
  <c r="V165"/>
  <c r="T165"/>
  <c r="V164"/>
  <c r="T164"/>
  <c r="V163"/>
  <c r="T163"/>
  <c r="V162"/>
  <c r="T162"/>
  <c r="V161"/>
  <c r="T161"/>
  <c r="V160"/>
  <c r="T160"/>
  <c r="V159"/>
  <c r="T159"/>
  <c r="V158"/>
  <c r="T158"/>
  <c r="V157"/>
  <c r="T157"/>
  <c r="V156"/>
  <c r="T156"/>
  <c r="V155"/>
  <c r="T155"/>
  <c r="V154"/>
  <c r="T154"/>
  <c r="V153"/>
  <c r="T153"/>
  <c r="V152"/>
  <c r="T152"/>
  <c r="V151"/>
  <c r="T151"/>
  <c r="V150"/>
  <c r="T150"/>
  <c r="V149"/>
  <c r="T149"/>
  <c r="V148"/>
  <c r="T148"/>
  <c r="V147"/>
  <c r="T147"/>
  <c r="V146"/>
  <c r="T146"/>
  <c r="V145"/>
  <c r="T145"/>
  <c r="V144"/>
  <c r="T144"/>
  <c r="V143"/>
  <c r="T143"/>
  <c r="V142"/>
  <c r="T142"/>
  <c r="V141"/>
  <c r="T141"/>
  <c r="V140"/>
  <c r="T140"/>
  <c r="V139"/>
  <c r="T139"/>
  <c r="V138"/>
  <c r="T138"/>
  <c r="V137"/>
  <c r="T137"/>
  <c r="V136"/>
  <c r="T136"/>
  <c r="V135"/>
  <c r="T135"/>
  <c r="V134"/>
  <c r="T134"/>
  <c r="V133"/>
  <c r="T133"/>
  <c r="V132"/>
  <c r="T132"/>
  <c r="V131"/>
  <c r="T131"/>
  <c r="V130"/>
  <c r="T130"/>
  <c r="V129"/>
  <c r="T129"/>
  <c r="V128"/>
  <c r="T128"/>
  <c r="T71"/>
  <c r="V71"/>
  <c r="T72"/>
  <c r="V72"/>
  <c r="T73"/>
  <c r="V73"/>
  <c r="T74"/>
  <c r="V74"/>
  <c r="T75"/>
  <c r="V75"/>
  <c r="T76"/>
  <c r="V76"/>
  <c r="T77"/>
  <c r="V77"/>
  <c r="T78"/>
  <c r="V78"/>
  <c r="T79"/>
  <c r="V79"/>
  <c r="T80"/>
  <c r="V80"/>
  <c r="T81"/>
  <c r="V81"/>
  <c r="T82"/>
  <c r="V82"/>
  <c r="T83"/>
  <c r="V83"/>
  <c r="T84"/>
  <c r="V84"/>
  <c r="T85"/>
  <c r="V85"/>
  <c r="T86"/>
  <c r="V86"/>
  <c r="T87"/>
  <c r="V87"/>
  <c r="T88"/>
  <c r="V88"/>
  <c r="T89"/>
  <c r="V89"/>
  <c r="T90"/>
  <c r="V90"/>
  <c r="T91"/>
  <c r="V91"/>
  <c r="T92"/>
  <c r="V92"/>
  <c r="T93"/>
  <c r="V93"/>
  <c r="T94"/>
  <c r="V94"/>
  <c r="T95"/>
  <c r="V95"/>
  <c r="T96"/>
  <c r="V96"/>
  <c r="T97"/>
  <c r="V97"/>
  <c r="T98"/>
  <c r="V98"/>
  <c r="T99"/>
  <c r="V99"/>
  <c r="T100"/>
  <c r="V100"/>
  <c r="T101"/>
  <c r="V101"/>
  <c r="T102"/>
  <c r="V102"/>
  <c r="T103"/>
  <c r="V103"/>
  <c r="T104"/>
  <c r="V104"/>
  <c r="T105"/>
  <c r="V105"/>
  <c r="T106"/>
  <c r="V106"/>
  <c r="T107"/>
  <c r="V107"/>
  <c r="T108"/>
  <c r="V108"/>
  <c r="T109"/>
  <c r="V109"/>
  <c r="T110"/>
  <c r="V110"/>
  <c r="T111"/>
  <c r="V111"/>
  <c r="T112"/>
  <c r="V112"/>
  <c r="T113"/>
  <c r="V113"/>
  <c r="T114"/>
  <c r="V114"/>
  <c r="T115"/>
  <c r="V115"/>
  <c r="T116"/>
  <c r="V116"/>
  <c r="T117"/>
  <c r="V117"/>
  <c r="T118"/>
  <c r="V118"/>
  <c r="T119"/>
  <c r="V119"/>
  <c r="T120"/>
  <c r="V120"/>
  <c r="T121"/>
  <c r="V121"/>
  <c r="T122"/>
  <c r="V122"/>
  <c r="T123"/>
  <c r="V123"/>
  <c r="T124"/>
  <c r="V124"/>
  <c r="T125"/>
  <c r="V125"/>
  <c r="V70"/>
  <c r="T70"/>
  <c r="V67"/>
  <c r="T67"/>
  <c r="V66"/>
  <c r="T66"/>
  <c r="V65"/>
  <c r="T65"/>
  <c r="V64"/>
  <c r="T64"/>
  <c r="V63"/>
  <c r="T63"/>
  <c r="V62"/>
  <c r="T62"/>
  <c r="V61"/>
  <c r="T61"/>
  <c r="V60"/>
  <c r="T60"/>
  <c r="V59"/>
  <c r="T59"/>
  <c r="V58"/>
  <c r="T58"/>
  <c r="V57"/>
  <c r="T57"/>
  <c r="V56"/>
  <c r="T56"/>
  <c r="V55"/>
  <c r="T55"/>
  <c r="V54"/>
  <c r="T54"/>
  <c r="V53"/>
  <c r="T53"/>
  <c r="V52"/>
  <c r="T52"/>
  <c r="V51"/>
  <c r="T51"/>
  <c r="V50"/>
  <c r="T50"/>
  <c r="V49"/>
  <c r="T49"/>
  <c r="V48"/>
  <c r="T48"/>
  <c r="V47"/>
  <c r="T47"/>
  <c r="V46"/>
  <c r="T46"/>
  <c r="V45"/>
  <c r="T45"/>
  <c r="V44"/>
  <c r="T44"/>
  <c r="V43"/>
  <c r="T43"/>
  <c r="V42"/>
  <c r="T42"/>
  <c r="T20"/>
  <c r="V20"/>
  <c r="T21"/>
  <c r="V21"/>
  <c r="T22"/>
  <c r="V22"/>
  <c r="T23"/>
  <c r="V23"/>
  <c r="T24"/>
  <c r="V24"/>
  <c r="T25"/>
  <c r="V25"/>
  <c r="T26"/>
  <c r="V26"/>
  <c r="T27"/>
  <c r="V27"/>
  <c r="T28"/>
  <c r="V28"/>
  <c r="T29"/>
  <c r="V29"/>
  <c r="T30"/>
  <c r="V30"/>
  <c r="T31"/>
  <c r="V31"/>
  <c r="T32"/>
  <c r="V32"/>
  <c r="T33"/>
  <c r="V33"/>
  <c r="T34"/>
  <c r="V34"/>
  <c r="T35"/>
  <c r="V35"/>
  <c r="T36"/>
  <c r="V36"/>
  <c r="T37"/>
  <c r="V37"/>
  <c r="T38"/>
  <c r="V38"/>
  <c r="T39"/>
  <c r="V39"/>
  <c r="V19"/>
  <c r="T19"/>
  <c r="V18"/>
  <c r="T18"/>
  <c r="V17"/>
  <c r="T17"/>
  <c r="V16"/>
  <c r="T16"/>
  <c r="V15"/>
  <c r="T15"/>
  <c r="V14"/>
  <c r="T14"/>
  <c r="V13"/>
  <c r="T13"/>
  <c r="T5"/>
  <c r="V5"/>
  <c r="T6"/>
  <c r="V6"/>
  <c r="T7"/>
  <c r="V7"/>
  <c r="T8"/>
  <c r="V8"/>
  <c r="T9"/>
  <c r="V9"/>
  <c r="T10"/>
  <c r="V10"/>
  <c r="V4"/>
  <c r="T4"/>
  <c r="F1825"/>
  <c r="E1825"/>
  <c r="D1825"/>
  <c r="C1825"/>
  <c r="B1825"/>
  <c r="A1825"/>
  <c r="F1824"/>
  <c r="E1824"/>
  <c r="D1824"/>
  <c r="C1824"/>
  <c r="B1824"/>
  <c r="A1824"/>
  <c r="A1821"/>
  <c r="B1821"/>
  <c r="C1821"/>
  <c r="D1821"/>
  <c r="E1821"/>
  <c r="F1821"/>
  <c r="F1820"/>
  <c r="E1820"/>
  <c r="D1820"/>
  <c r="C1820"/>
  <c r="B1820"/>
  <c r="A1820"/>
  <c r="F1819"/>
  <c r="E1819"/>
  <c r="D1819"/>
  <c r="C1819"/>
  <c r="B1819"/>
  <c r="A1819"/>
  <c r="F1818"/>
  <c r="E1818"/>
  <c r="D1818"/>
  <c r="C1818"/>
  <c r="B1818"/>
  <c r="A1818"/>
  <c r="A1812"/>
  <c r="B1812"/>
  <c r="C1812"/>
  <c r="D1812"/>
  <c r="E1812"/>
  <c r="F1812"/>
  <c r="A1813"/>
  <c r="B1813"/>
  <c r="C1813"/>
  <c r="D1813"/>
  <c r="E1813"/>
  <c r="F1813"/>
  <c r="A1814"/>
  <c r="B1814"/>
  <c r="C1814"/>
  <c r="D1814"/>
  <c r="E1814"/>
  <c r="F1814"/>
  <c r="A1815"/>
  <c r="B1815"/>
  <c r="C1815"/>
  <c r="D1815"/>
  <c r="E1815"/>
  <c r="F1815"/>
  <c r="F1811"/>
  <c r="E1811"/>
  <c r="D1811"/>
  <c r="C1811"/>
  <c r="B1811"/>
  <c r="A1811"/>
  <c r="F1810"/>
  <c r="E1810"/>
  <c r="D1810"/>
  <c r="C1810"/>
  <c r="B1810"/>
  <c r="A1810"/>
  <c r="F1809"/>
  <c r="E1809"/>
  <c r="D1809"/>
  <c r="C1809"/>
  <c r="B1809"/>
  <c r="A1809"/>
  <c r="F1808"/>
  <c r="E1808"/>
  <c r="D1808"/>
  <c r="C1808"/>
  <c r="B1808"/>
  <c r="A1808"/>
  <c r="F1807"/>
  <c r="E1807"/>
  <c r="D1807"/>
  <c r="C1807"/>
  <c r="B1807"/>
  <c r="A1807"/>
  <c r="A1790"/>
  <c r="B1790"/>
  <c r="C1790"/>
  <c r="D1790"/>
  <c r="E1790"/>
  <c r="F1790"/>
  <c r="A1791"/>
  <c r="B1791"/>
  <c r="C1791"/>
  <c r="D1791"/>
  <c r="E1791"/>
  <c r="F1791"/>
  <c r="A1792"/>
  <c r="B1792"/>
  <c r="C1792"/>
  <c r="D1792"/>
  <c r="E1792"/>
  <c r="F1792"/>
  <c r="A1793"/>
  <c r="B1793"/>
  <c r="C1793"/>
  <c r="D1793"/>
  <c r="E1793"/>
  <c r="F1793"/>
  <c r="A1794"/>
  <c r="B1794"/>
  <c r="C1794"/>
  <c r="D1794"/>
  <c r="E1794"/>
  <c r="F1794"/>
  <c r="A1795"/>
  <c r="B1795"/>
  <c r="C1795"/>
  <c r="D1795"/>
  <c r="E1795"/>
  <c r="F1795"/>
  <c r="A1796"/>
  <c r="B1796"/>
  <c r="C1796"/>
  <c r="D1796"/>
  <c r="E1796"/>
  <c r="F1796"/>
  <c r="A1797"/>
  <c r="B1797"/>
  <c r="C1797"/>
  <c r="D1797"/>
  <c r="E1797"/>
  <c r="F1797"/>
  <c r="A1798"/>
  <c r="B1798"/>
  <c r="C1798"/>
  <c r="D1798"/>
  <c r="E1798"/>
  <c r="F1798"/>
  <c r="A1799"/>
  <c r="B1799"/>
  <c r="C1799"/>
  <c r="D1799"/>
  <c r="E1799"/>
  <c r="F1799"/>
  <c r="A1800"/>
  <c r="B1800"/>
  <c r="C1800"/>
  <c r="D1800"/>
  <c r="E1800"/>
  <c r="F1800"/>
  <c r="A1801"/>
  <c r="B1801"/>
  <c r="C1801"/>
  <c r="D1801"/>
  <c r="E1801"/>
  <c r="F1801"/>
  <c r="A1802"/>
  <c r="B1802"/>
  <c r="C1802"/>
  <c r="D1802"/>
  <c r="E1802"/>
  <c r="F1802"/>
  <c r="A1803"/>
  <c r="B1803"/>
  <c r="C1803"/>
  <c r="D1803"/>
  <c r="E1803"/>
  <c r="F1803"/>
  <c r="A1804"/>
  <c r="B1804"/>
  <c r="C1804"/>
  <c r="D1804"/>
  <c r="E1804"/>
  <c r="F1804"/>
  <c r="F1789"/>
  <c r="E1789"/>
  <c r="D1789"/>
  <c r="C1789"/>
  <c r="B1789"/>
  <c r="A1789"/>
  <c r="F1788"/>
  <c r="E1788"/>
  <c r="D1788"/>
  <c r="C1788"/>
  <c r="B1788"/>
  <c r="A1788"/>
  <c r="F1787"/>
  <c r="E1787"/>
  <c r="D1787"/>
  <c r="C1787"/>
  <c r="B1787"/>
  <c r="A1787"/>
  <c r="F1786"/>
  <c r="E1786"/>
  <c r="D1786"/>
  <c r="C1786"/>
  <c r="B1786"/>
  <c r="A1786"/>
  <c r="F1785"/>
  <c r="E1785"/>
  <c r="D1785"/>
  <c r="C1785"/>
  <c r="B1785"/>
  <c r="A1785"/>
  <c r="F1784"/>
  <c r="E1784"/>
  <c r="D1784"/>
  <c r="C1784"/>
  <c r="B1784"/>
  <c r="A1784"/>
  <c r="F1783"/>
  <c r="E1783"/>
  <c r="D1783"/>
  <c r="C1783"/>
  <c r="B1783"/>
  <c r="A1783"/>
  <c r="F1782"/>
  <c r="E1782"/>
  <c r="D1782"/>
  <c r="C1782"/>
  <c r="B1782"/>
  <c r="A1782"/>
  <c r="F1781"/>
  <c r="E1781"/>
  <c r="D1781"/>
  <c r="C1781"/>
  <c r="B1781"/>
  <c r="A1781"/>
  <c r="F1780"/>
  <c r="E1780"/>
  <c r="D1780"/>
  <c r="C1780"/>
  <c r="B1780"/>
  <c r="A1780"/>
  <c r="A1771"/>
  <c r="B1771"/>
  <c r="C1771"/>
  <c r="D1771"/>
  <c r="E1771"/>
  <c r="F1771"/>
  <c r="A1772"/>
  <c r="B1772"/>
  <c r="C1772"/>
  <c r="D1772"/>
  <c r="E1772"/>
  <c r="F1772"/>
  <c r="A1773"/>
  <c r="B1773"/>
  <c r="C1773"/>
  <c r="D1773"/>
  <c r="E1773"/>
  <c r="F1773"/>
  <c r="A1774"/>
  <c r="B1774"/>
  <c r="C1774"/>
  <c r="D1774"/>
  <c r="E1774"/>
  <c r="F1774"/>
  <c r="A1775"/>
  <c r="B1775"/>
  <c r="C1775"/>
  <c r="D1775"/>
  <c r="E1775"/>
  <c r="F1775"/>
  <c r="A1776"/>
  <c r="B1776"/>
  <c r="C1776"/>
  <c r="D1776"/>
  <c r="E1776"/>
  <c r="F1776"/>
  <c r="A1777"/>
  <c r="B1777"/>
  <c r="C1777"/>
  <c r="D1777"/>
  <c r="E1777"/>
  <c r="F1777"/>
  <c r="F1770"/>
  <c r="E1770"/>
  <c r="D1770"/>
  <c r="C1770"/>
  <c r="B1770"/>
  <c r="A1770"/>
  <c r="F1769"/>
  <c r="E1769"/>
  <c r="D1769"/>
  <c r="C1769"/>
  <c r="B1769"/>
  <c r="A1769"/>
  <c r="F1768"/>
  <c r="E1768"/>
  <c r="D1768"/>
  <c r="C1768"/>
  <c r="B1768"/>
  <c r="A1768"/>
  <c r="A1704"/>
  <c r="B1704"/>
  <c r="C1704"/>
  <c r="D1704"/>
  <c r="E1704"/>
  <c r="F1704"/>
  <c r="A1705"/>
  <c r="B1705"/>
  <c r="C1705"/>
  <c r="D1705"/>
  <c r="E1705"/>
  <c r="F1705"/>
  <c r="A1706"/>
  <c r="B1706"/>
  <c r="C1706"/>
  <c r="D1706"/>
  <c r="E1706"/>
  <c r="F1706"/>
  <c r="A1707"/>
  <c r="B1707"/>
  <c r="C1707"/>
  <c r="D1707"/>
  <c r="E1707"/>
  <c r="F1707"/>
  <c r="A1708"/>
  <c r="B1708"/>
  <c r="C1708"/>
  <c r="D1708"/>
  <c r="E1708"/>
  <c r="F1708"/>
  <c r="A1709"/>
  <c r="B1709"/>
  <c r="C1709"/>
  <c r="D1709"/>
  <c r="E1709"/>
  <c r="F1709"/>
  <c r="A1710"/>
  <c r="B1710"/>
  <c r="C1710"/>
  <c r="D1710"/>
  <c r="E1710"/>
  <c r="F1710"/>
  <c r="A1711"/>
  <c r="B1711"/>
  <c r="C1711"/>
  <c r="D1711"/>
  <c r="E1711"/>
  <c r="F1711"/>
  <c r="A1712"/>
  <c r="B1712"/>
  <c r="C1712"/>
  <c r="D1712"/>
  <c r="E1712"/>
  <c r="F1712"/>
  <c r="A1713"/>
  <c r="B1713"/>
  <c r="C1713"/>
  <c r="D1713"/>
  <c r="E1713"/>
  <c r="F1713"/>
  <c r="A1714"/>
  <c r="B1714"/>
  <c r="C1714"/>
  <c r="D1714"/>
  <c r="E1714"/>
  <c r="F1714"/>
  <c r="A1715"/>
  <c r="B1715"/>
  <c r="C1715"/>
  <c r="D1715"/>
  <c r="E1715"/>
  <c r="F1715"/>
  <c r="A1716"/>
  <c r="B1716"/>
  <c r="C1716"/>
  <c r="D1716"/>
  <c r="E1716"/>
  <c r="F1716"/>
  <c r="A1717"/>
  <c r="B1717"/>
  <c r="C1717"/>
  <c r="D1717"/>
  <c r="E1717"/>
  <c r="F1717"/>
  <c r="A1718"/>
  <c r="B1718"/>
  <c r="C1718"/>
  <c r="D1718"/>
  <c r="E1718"/>
  <c r="F1718"/>
  <c r="A1719"/>
  <c r="B1719"/>
  <c r="C1719"/>
  <c r="D1719"/>
  <c r="E1719"/>
  <c r="F1719"/>
  <c r="A1720"/>
  <c r="B1720"/>
  <c r="C1720"/>
  <c r="D1720"/>
  <c r="E1720"/>
  <c r="F1720"/>
  <c r="A1721"/>
  <c r="B1721"/>
  <c r="C1721"/>
  <c r="D1721"/>
  <c r="E1721"/>
  <c r="F1721"/>
  <c r="A1722"/>
  <c r="B1722"/>
  <c r="C1722"/>
  <c r="D1722"/>
  <c r="E1722"/>
  <c r="F1722"/>
  <c r="A1723"/>
  <c r="B1723"/>
  <c r="C1723"/>
  <c r="D1723"/>
  <c r="E1723"/>
  <c r="F1723"/>
  <c r="A1724"/>
  <c r="B1724"/>
  <c r="C1724"/>
  <c r="D1724"/>
  <c r="E1724"/>
  <c r="F1724"/>
  <c r="A1725"/>
  <c r="B1725"/>
  <c r="C1725"/>
  <c r="D1725"/>
  <c r="E1725"/>
  <c r="F1725"/>
  <c r="A1726"/>
  <c r="B1726"/>
  <c r="C1726"/>
  <c r="D1726"/>
  <c r="E1726"/>
  <c r="F1726"/>
  <c r="A1727"/>
  <c r="B1727"/>
  <c r="C1727"/>
  <c r="D1727"/>
  <c r="E1727"/>
  <c r="F1727"/>
  <c r="A1728"/>
  <c r="B1728"/>
  <c r="C1728"/>
  <c r="D1728"/>
  <c r="E1728"/>
  <c r="F1728"/>
  <c r="A1729"/>
  <c r="B1729"/>
  <c r="C1729"/>
  <c r="D1729"/>
  <c r="E1729"/>
  <c r="F1729"/>
  <c r="A1730"/>
  <c r="B1730"/>
  <c r="C1730"/>
  <c r="D1730"/>
  <c r="E1730"/>
  <c r="F1730"/>
  <c r="A1731"/>
  <c r="B1731"/>
  <c r="C1731"/>
  <c r="D1731"/>
  <c r="E1731"/>
  <c r="F1731"/>
  <c r="A1732"/>
  <c r="B1732"/>
  <c r="C1732"/>
  <c r="D1732"/>
  <c r="E1732"/>
  <c r="F1732"/>
  <c r="A1733"/>
  <c r="B1733"/>
  <c r="C1733"/>
  <c r="D1733"/>
  <c r="E1733"/>
  <c r="F1733"/>
  <c r="A1734"/>
  <c r="B1734"/>
  <c r="C1734"/>
  <c r="D1734"/>
  <c r="E1734"/>
  <c r="F1734"/>
  <c r="A1735"/>
  <c r="B1735"/>
  <c r="C1735"/>
  <c r="D1735"/>
  <c r="E1735"/>
  <c r="F1735"/>
  <c r="A1736"/>
  <c r="B1736"/>
  <c r="C1736"/>
  <c r="D1736"/>
  <c r="E1736"/>
  <c r="F1736"/>
  <c r="A1737"/>
  <c r="B1737"/>
  <c r="C1737"/>
  <c r="D1737"/>
  <c r="E1737"/>
  <c r="F1737"/>
  <c r="A1738"/>
  <c r="B1738"/>
  <c r="C1738"/>
  <c r="D1738"/>
  <c r="E1738"/>
  <c r="F1738"/>
  <c r="A1739"/>
  <c r="B1739"/>
  <c r="C1739"/>
  <c r="D1739"/>
  <c r="E1739"/>
  <c r="F1739"/>
  <c r="A1740"/>
  <c r="B1740"/>
  <c r="C1740"/>
  <c r="D1740"/>
  <c r="E1740"/>
  <c r="F1740"/>
  <c r="A1741"/>
  <c r="B1741"/>
  <c r="C1741"/>
  <c r="D1741"/>
  <c r="E1741"/>
  <c r="F1741"/>
  <c r="A1742"/>
  <c r="B1742"/>
  <c r="C1742"/>
  <c r="D1742"/>
  <c r="E1742"/>
  <c r="F1742"/>
  <c r="A1743"/>
  <c r="B1743"/>
  <c r="C1743"/>
  <c r="D1743"/>
  <c r="E1743"/>
  <c r="F1743"/>
  <c r="A1744"/>
  <c r="B1744"/>
  <c r="C1744"/>
  <c r="D1744"/>
  <c r="E1744"/>
  <c r="F1744"/>
  <c r="A1745"/>
  <c r="B1745"/>
  <c r="C1745"/>
  <c r="D1745"/>
  <c r="E1745"/>
  <c r="F1745"/>
  <c r="A1746"/>
  <c r="B1746"/>
  <c r="C1746"/>
  <c r="D1746"/>
  <c r="E1746"/>
  <c r="F1746"/>
  <c r="A1747"/>
  <c r="B1747"/>
  <c r="C1747"/>
  <c r="D1747"/>
  <c r="E1747"/>
  <c r="F1747"/>
  <c r="A1748"/>
  <c r="B1748"/>
  <c r="C1748"/>
  <c r="D1748"/>
  <c r="E1748"/>
  <c r="F1748"/>
  <c r="A1749"/>
  <c r="B1749"/>
  <c r="C1749"/>
  <c r="D1749"/>
  <c r="E1749"/>
  <c r="F1749"/>
  <c r="A1750"/>
  <c r="B1750"/>
  <c r="C1750"/>
  <c r="D1750"/>
  <c r="E1750"/>
  <c r="F1750"/>
  <c r="A1751"/>
  <c r="B1751"/>
  <c r="C1751"/>
  <c r="D1751"/>
  <c r="E1751"/>
  <c r="F1751"/>
  <c r="A1752"/>
  <c r="B1752"/>
  <c r="C1752"/>
  <c r="D1752"/>
  <c r="E1752"/>
  <c r="F1752"/>
  <c r="A1753"/>
  <c r="B1753"/>
  <c r="C1753"/>
  <c r="D1753"/>
  <c r="E1753"/>
  <c r="F1753"/>
  <c r="A1754"/>
  <c r="B1754"/>
  <c r="C1754"/>
  <c r="D1754"/>
  <c r="E1754"/>
  <c r="F1754"/>
  <c r="A1755"/>
  <c r="B1755"/>
  <c r="C1755"/>
  <c r="D1755"/>
  <c r="E1755"/>
  <c r="F1755"/>
  <c r="A1756"/>
  <c r="B1756"/>
  <c r="C1756"/>
  <c r="D1756"/>
  <c r="E1756"/>
  <c r="F1756"/>
  <c r="A1757"/>
  <c r="B1757"/>
  <c r="C1757"/>
  <c r="D1757"/>
  <c r="E1757"/>
  <c r="F1757"/>
  <c r="A1758"/>
  <c r="B1758"/>
  <c r="C1758"/>
  <c r="D1758"/>
  <c r="E1758"/>
  <c r="F1758"/>
  <c r="A1759"/>
  <c r="B1759"/>
  <c r="C1759"/>
  <c r="D1759"/>
  <c r="E1759"/>
  <c r="F1759"/>
  <c r="A1760"/>
  <c r="B1760"/>
  <c r="C1760"/>
  <c r="D1760"/>
  <c r="E1760"/>
  <c r="F1760"/>
  <c r="A1761"/>
  <c r="B1761"/>
  <c r="C1761"/>
  <c r="D1761"/>
  <c r="E1761"/>
  <c r="F1761"/>
  <c r="A1762"/>
  <c r="B1762"/>
  <c r="C1762"/>
  <c r="D1762"/>
  <c r="E1762"/>
  <c r="F1762"/>
  <c r="A1763"/>
  <c r="B1763"/>
  <c r="C1763"/>
  <c r="D1763"/>
  <c r="E1763"/>
  <c r="F1763"/>
  <c r="A1764"/>
  <c r="B1764"/>
  <c r="C1764"/>
  <c r="D1764"/>
  <c r="E1764"/>
  <c r="F1764"/>
  <c r="A1765"/>
  <c r="B1765"/>
  <c r="C1765"/>
  <c r="D1765"/>
  <c r="E1765"/>
  <c r="F1765"/>
  <c r="A1766"/>
  <c r="B1766"/>
  <c r="C1766"/>
  <c r="D1766"/>
  <c r="E1766"/>
  <c r="F1766"/>
  <c r="A1767"/>
  <c r="B1767"/>
  <c r="C1767"/>
  <c r="D1767"/>
  <c r="E1767"/>
  <c r="F1767"/>
  <c r="F1703"/>
  <c r="E1703"/>
  <c r="D1703"/>
  <c r="C1703"/>
  <c r="B1703"/>
  <c r="A1703"/>
  <c r="F1702"/>
  <c r="E1702"/>
  <c r="D1702"/>
  <c r="C1702"/>
  <c r="B1702"/>
  <c r="A1702"/>
  <c r="F1701"/>
  <c r="E1701"/>
  <c r="D1701"/>
  <c r="C1701"/>
  <c r="B1701"/>
  <c r="A1701"/>
  <c r="F1700"/>
  <c r="E1700"/>
  <c r="D1700"/>
  <c r="C1700"/>
  <c r="B1700"/>
  <c r="A1700"/>
  <c r="F1699"/>
  <c r="E1699"/>
  <c r="D1699"/>
  <c r="C1699"/>
  <c r="B1699"/>
  <c r="A1699"/>
  <c r="F1698"/>
  <c r="E1698"/>
  <c r="D1698"/>
  <c r="C1698"/>
  <c r="B1698"/>
  <c r="A1698"/>
  <c r="F1697"/>
  <c r="E1697"/>
  <c r="D1697"/>
  <c r="C1697"/>
  <c r="B1697"/>
  <c r="A1697"/>
  <c r="F1696"/>
  <c r="E1696"/>
  <c r="D1696"/>
  <c r="C1696"/>
  <c r="B1696"/>
  <c r="A1696"/>
  <c r="F1695"/>
  <c r="E1695"/>
  <c r="D1695"/>
  <c r="C1695"/>
  <c r="B1695"/>
  <c r="A1695"/>
  <c r="F1694"/>
  <c r="E1694"/>
  <c r="D1694"/>
  <c r="C1694"/>
  <c r="B1694"/>
  <c r="A1694"/>
  <c r="F1693"/>
  <c r="E1693"/>
  <c r="D1693"/>
  <c r="C1693"/>
  <c r="B1693"/>
  <c r="A1693"/>
  <c r="F1692"/>
  <c r="E1692"/>
  <c r="D1692"/>
  <c r="C1692"/>
  <c r="B1692"/>
  <c r="A1692"/>
  <c r="A1682"/>
  <c r="B1682"/>
  <c r="C1682"/>
  <c r="D1682"/>
  <c r="E1682"/>
  <c r="F1682"/>
  <c r="A1683"/>
  <c r="B1683"/>
  <c r="C1683"/>
  <c r="D1683"/>
  <c r="E1683"/>
  <c r="F1683"/>
  <c r="A1684"/>
  <c r="B1684"/>
  <c r="C1684"/>
  <c r="D1684"/>
  <c r="E1684"/>
  <c r="F1684"/>
  <c r="A1685"/>
  <c r="B1685"/>
  <c r="C1685"/>
  <c r="D1685"/>
  <c r="E1685"/>
  <c r="F1685"/>
  <c r="A1686"/>
  <c r="B1686"/>
  <c r="C1686"/>
  <c r="D1686"/>
  <c r="E1686"/>
  <c r="F1686"/>
  <c r="A1687"/>
  <c r="B1687"/>
  <c r="C1687"/>
  <c r="D1687"/>
  <c r="E1687"/>
  <c r="F1687"/>
  <c r="A1688"/>
  <c r="B1688"/>
  <c r="C1688"/>
  <c r="D1688"/>
  <c r="E1688"/>
  <c r="F1688"/>
  <c r="A1689"/>
  <c r="B1689"/>
  <c r="C1689"/>
  <c r="D1689"/>
  <c r="E1689"/>
  <c r="F1689"/>
  <c r="F1681"/>
  <c r="E1681"/>
  <c r="D1681"/>
  <c r="C1681"/>
  <c r="B1681"/>
  <c r="A1681"/>
  <c r="F1680"/>
  <c r="E1680"/>
  <c r="D1680"/>
  <c r="C1680"/>
  <c r="B1680"/>
  <c r="A1680"/>
  <c r="F1679"/>
  <c r="E1679"/>
  <c r="D1679"/>
  <c r="C1679"/>
  <c r="B1679"/>
  <c r="A1679"/>
  <c r="F1678"/>
  <c r="E1678"/>
  <c r="D1678"/>
  <c r="C1678"/>
  <c r="B1678"/>
  <c r="A1678"/>
  <c r="A1643"/>
  <c r="B1643"/>
  <c r="C1643"/>
  <c r="D1643"/>
  <c r="E1643"/>
  <c r="F1643"/>
  <c r="A1644"/>
  <c r="B1644"/>
  <c r="C1644"/>
  <c r="D1644"/>
  <c r="E1644"/>
  <c r="F1644"/>
  <c r="A1645"/>
  <c r="B1645"/>
  <c r="C1645"/>
  <c r="D1645"/>
  <c r="E1645"/>
  <c r="F1645"/>
  <c r="A1646"/>
  <c r="B1646"/>
  <c r="C1646"/>
  <c r="D1646"/>
  <c r="E1646"/>
  <c r="F1646"/>
  <c r="A1647"/>
  <c r="B1647"/>
  <c r="C1647"/>
  <c r="D1647"/>
  <c r="E1647"/>
  <c r="F1647"/>
  <c r="A1648"/>
  <c r="B1648"/>
  <c r="C1648"/>
  <c r="D1648"/>
  <c r="E1648"/>
  <c r="F1648"/>
  <c r="A1649"/>
  <c r="B1649"/>
  <c r="C1649"/>
  <c r="D1649"/>
  <c r="E1649"/>
  <c r="F1649"/>
  <c r="A1650"/>
  <c r="B1650"/>
  <c r="C1650"/>
  <c r="D1650"/>
  <c r="E1650"/>
  <c r="F1650"/>
  <c r="A1651"/>
  <c r="B1651"/>
  <c r="C1651"/>
  <c r="D1651"/>
  <c r="E1651"/>
  <c r="F1651"/>
  <c r="A1652"/>
  <c r="B1652"/>
  <c r="C1652"/>
  <c r="D1652"/>
  <c r="E1652"/>
  <c r="F1652"/>
  <c r="A1653"/>
  <c r="B1653"/>
  <c r="C1653"/>
  <c r="D1653"/>
  <c r="E1653"/>
  <c r="F1653"/>
  <c r="A1654"/>
  <c r="B1654"/>
  <c r="C1654"/>
  <c r="D1654"/>
  <c r="E1654"/>
  <c r="F1654"/>
  <c r="A1655"/>
  <c r="B1655"/>
  <c r="C1655"/>
  <c r="D1655"/>
  <c r="E1655"/>
  <c r="F1655"/>
  <c r="A1656"/>
  <c r="B1656"/>
  <c r="C1656"/>
  <c r="D1656"/>
  <c r="E1656"/>
  <c r="F1656"/>
  <c r="A1657"/>
  <c r="B1657"/>
  <c r="C1657"/>
  <c r="D1657"/>
  <c r="E1657"/>
  <c r="F1657"/>
  <c r="A1658"/>
  <c r="B1658"/>
  <c r="C1658"/>
  <c r="D1658"/>
  <c r="E1658"/>
  <c r="F1658"/>
  <c r="A1659"/>
  <c r="B1659"/>
  <c r="C1659"/>
  <c r="D1659"/>
  <c r="E1659"/>
  <c r="F1659"/>
  <c r="A1660"/>
  <c r="B1660"/>
  <c r="C1660"/>
  <c r="D1660"/>
  <c r="E1660"/>
  <c r="F1660"/>
  <c r="A1661"/>
  <c r="B1661"/>
  <c r="C1661"/>
  <c r="D1661"/>
  <c r="E1661"/>
  <c r="F1661"/>
  <c r="A1662"/>
  <c r="B1662"/>
  <c r="C1662"/>
  <c r="D1662"/>
  <c r="E1662"/>
  <c r="F1662"/>
  <c r="A1663"/>
  <c r="B1663"/>
  <c r="C1663"/>
  <c r="D1663"/>
  <c r="E1663"/>
  <c r="F1663"/>
  <c r="A1664"/>
  <c r="B1664"/>
  <c r="C1664"/>
  <c r="D1664"/>
  <c r="E1664"/>
  <c r="F1664"/>
  <c r="A1665"/>
  <c r="B1665"/>
  <c r="C1665"/>
  <c r="D1665"/>
  <c r="E1665"/>
  <c r="F1665"/>
  <c r="A1666"/>
  <c r="B1666"/>
  <c r="C1666"/>
  <c r="D1666"/>
  <c r="E1666"/>
  <c r="F1666"/>
  <c r="A1667"/>
  <c r="B1667"/>
  <c r="C1667"/>
  <c r="D1667"/>
  <c r="E1667"/>
  <c r="F1667"/>
  <c r="A1668"/>
  <c r="B1668"/>
  <c r="C1668"/>
  <c r="D1668"/>
  <c r="E1668"/>
  <c r="F1668"/>
  <c r="A1669"/>
  <c r="B1669"/>
  <c r="C1669"/>
  <c r="D1669"/>
  <c r="E1669"/>
  <c r="F1669"/>
  <c r="A1670"/>
  <c r="B1670"/>
  <c r="C1670"/>
  <c r="D1670"/>
  <c r="E1670"/>
  <c r="F1670"/>
  <c r="A1671"/>
  <c r="B1671"/>
  <c r="C1671"/>
  <c r="D1671"/>
  <c r="E1671"/>
  <c r="F1671"/>
  <c r="A1672"/>
  <c r="B1672"/>
  <c r="C1672"/>
  <c r="D1672"/>
  <c r="E1672"/>
  <c r="F1672"/>
  <c r="A1673"/>
  <c r="B1673"/>
  <c r="C1673"/>
  <c r="D1673"/>
  <c r="E1673"/>
  <c r="F1673"/>
  <c r="A1674"/>
  <c r="B1674"/>
  <c r="C1674"/>
  <c r="D1674"/>
  <c r="E1674"/>
  <c r="F1674"/>
  <c r="A1675"/>
  <c r="B1675"/>
  <c r="C1675"/>
  <c r="D1675"/>
  <c r="E1675"/>
  <c r="F1675"/>
  <c r="F1642"/>
  <c r="E1642"/>
  <c r="D1642"/>
  <c r="C1642"/>
  <c r="B1642"/>
  <c r="A1642"/>
  <c r="F1641"/>
  <c r="E1641"/>
  <c r="D1641"/>
  <c r="C1641"/>
  <c r="B1641"/>
  <c r="A1641"/>
  <c r="F1640"/>
  <c r="E1640"/>
  <c r="D1640"/>
  <c r="C1640"/>
  <c r="B1640"/>
  <c r="A1640"/>
  <c r="F1639"/>
  <c r="E1639"/>
  <c r="D1639"/>
  <c r="C1639"/>
  <c r="B1639"/>
  <c r="A1639"/>
  <c r="A1598"/>
  <c r="B1598"/>
  <c r="C1598"/>
  <c r="D1598"/>
  <c r="E1598"/>
  <c r="F1598"/>
  <c r="A1599"/>
  <c r="B1599"/>
  <c r="C1599"/>
  <c r="D1599"/>
  <c r="E1599"/>
  <c r="F1599"/>
  <c r="A1600"/>
  <c r="B1600"/>
  <c r="C1600"/>
  <c r="D1600"/>
  <c r="E1600"/>
  <c r="F1600"/>
  <c r="A1601"/>
  <c r="B1601"/>
  <c r="C1601"/>
  <c r="D1601"/>
  <c r="E1601"/>
  <c r="F1601"/>
  <c r="A1602"/>
  <c r="B1602"/>
  <c r="C1602"/>
  <c r="D1602"/>
  <c r="E1602"/>
  <c r="F1602"/>
  <c r="A1603"/>
  <c r="B1603"/>
  <c r="C1603"/>
  <c r="D1603"/>
  <c r="E1603"/>
  <c r="F1603"/>
  <c r="A1604"/>
  <c r="B1604"/>
  <c r="C1604"/>
  <c r="D1604"/>
  <c r="E1604"/>
  <c r="F1604"/>
  <c r="A1605"/>
  <c r="B1605"/>
  <c r="C1605"/>
  <c r="D1605"/>
  <c r="E1605"/>
  <c r="F1605"/>
  <c r="A1606"/>
  <c r="B1606"/>
  <c r="C1606"/>
  <c r="D1606"/>
  <c r="E1606"/>
  <c r="F1606"/>
  <c r="A1607"/>
  <c r="B1607"/>
  <c r="C1607"/>
  <c r="D1607"/>
  <c r="E1607"/>
  <c r="F1607"/>
  <c r="A1608"/>
  <c r="B1608"/>
  <c r="C1608"/>
  <c r="D1608"/>
  <c r="E1608"/>
  <c r="F1608"/>
  <c r="A1609"/>
  <c r="B1609"/>
  <c r="C1609"/>
  <c r="D1609"/>
  <c r="E1609"/>
  <c r="F1609"/>
  <c r="A1610"/>
  <c r="B1610"/>
  <c r="C1610"/>
  <c r="D1610"/>
  <c r="E1610"/>
  <c r="F1610"/>
  <c r="A1611"/>
  <c r="B1611"/>
  <c r="C1611"/>
  <c r="D1611"/>
  <c r="E1611"/>
  <c r="F1611"/>
  <c r="A1612"/>
  <c r="B1612"/>
  <c r="C1612"/>
  <c r="D1612"/>
  <c r="E1612"/>
  <c r="F1612"/>
  <c r="A1613"/>
  <c r="B1613"/>
  <c r="C1613"/>
  <c r="D1613"/>
  <c r="E1613"/>
  <c r="F1613"/>
  <c r="A1614"/>
  <c r="B1614"/>
  <c r="C1614"/>
  <c r="D1614"/>
  <c r="E1614"/>
  <c r="F1614"/>
  <c r="A1615"/>
  <c r="B1615"/>
  <c r="C1615"/>
  <c r="D1615"/>
  <c r="E1615"/>
  <c r="F1615"/>
  <c r="A1616"/>
  <c r="B1616"/>
  <c r="C1616"/>
  <c r="D1616"/>
  <c r="E1616"/>
  <c r="F1616"/>
  <c r="A1617"/>
  <c r="B1617"/>
  <c r="C1617"/>
  <c r="D1617"/>
  <c r="E1617"/>
  <c r="F1617"/>
  <c r="A1618"/>
  <c r="B1618"/>
  <c r="C1618"/>
  <c r="D1618"/>
  <c r="E1618"/>
  <c r="F1618"/>
  <c r="A1619"/>
  <c r="B1619"/>
  <c r="C1619"/>
  <c r="D1619"/>
  <c r="E1619"/>
  <c r="F1619"/>
  <c r="A1620"/>
  <c r="B1620"/>
  <c r="C1620"/>
  <c r="D1620"/>
  <c r="E1620"/>
  <c r="F1620"/>
  <c r="A1621"/>
  <c r="B1621"/>
  <c r="C1621"/>
  <c r="D1621"/>
  <c r="E1621"/>
  <c r="F1621"/>
  <c r="A1622"/>
  <c r="B1622"/>
  <c r="C1622"/>
  <c r="D1622"/>
  <c r="E1622"/>
  <c r="F1622"/>
  <c r="A1623"/>
  <c r="B1623"/>
  <c r="C1623"/>
  <c r="D1623"/>
  <c r="E1623"/>
  <c r="F1623"/>
  <c r="A1624"/>
  <c r="B1624"/>
  <c r="C1624"/>
  <c r="D1624"/>
  <c r="E1624"/>
  <c r="F1624"/>
  <c r="A1625"/>
  <c r="B1625"/>
  <c r="C1625"/>
  <c r="D1625"/>
  <c r="E1625"/>
  <c r="F1625"/>
  <c r="A1626"/>
  <c r="B1626"/>
  <c r="C1626"/>
  <c r="D1626"/>
  <c r="E1626"/>
  <c r="F1626"/>
  <c r="A1627"/>
  <c r="B1627"/>
  <c r="C1627"/>
  <c r="D1627"/>
  <c r="E1627"/>
  <c r="F1627"/>
  <c r="A1628"/>
  <c r="B1628"/>
  <c r="C1628"/>
  <c r="D1628"/>
  <c r="E1628"/>
  <c r="F1628"/>
  <c r="A1629"/>
  <c r="B1629"/>
  <c r="C1629"/>
  <c r="D1629"/>
  <c r="E1629"/>
  <c r="F1629"/>
  <c r="A1630"/>
  <c r="B1630"/>
  <c r="C1630"/>
  <c r="D1630"/>
  <c r="E1630"/>
  <c r="F1630"/>
  <c r="A1631"/>
  <c r="B1631"/>
  <c r="C1631"/>
  <c r="D1631"/>
  <c r="E1631"/>
  <c r="F1631"/>
  <c r="A1632"/>
  <c r="B1632"/>
  <c r="C1632"/>
  <c r="D1632"/>
  <c r="E1632"/>
  <c r="F1632"/>
  <c r="A1633"/>
  <c r="B1633"/>
  <c r="C1633"/>
  <c r="D1633"/>
  <c r="E1633"/>
  <c r="F1633"/>
  <c r="A1634"/>
  <c r="B1634"/>
  <c r="C1634"/>
  <c r="D1634"/>
  <c r="E1634"/>
  <c r="F1634"/>
  <c r="A1635"/>
  <c r="B1635"/>
  <c r="C1635"/>
  <c r="D1635"/>
  <c r="E1635"/>
  <c r="F1635"/>
  <c r="A1636"/>
  <c r="B1636"/>
  <c r="C1636"/>
  <c r="D1636"/>
  <c r="E1636"/>
  <c r="F1636"/>
  <c r="A1597"/>
  <c r="B1597"/>
  <c r="C1597"/>
  <c r="D1597"/>
  <c r="E1597"/>
  <c r="F1597"/>
  <c r="F1596"/>
  <c r="E1596"/>
  <c r="D1596"/>
  <c r="C1596"/>
  <c r="B1596"/>
  <c r="A1596"/>
  <c r="F1595"/>
  <c r="E1595"/>
  <c r="D1595"/>
  <c r="C1595"/>
  <c r="B1595"/>
  <c r="A1595"/>
  <c r="F1594"/>
  <c r="E1594"/>
  <c r="D1594"/>
  <c r="C1594"/>
  <c r="B1594"/>
  <c r="A1594"/>
  <c r="A1577"/>
  <c r="B1577"/>
  <c r="C1577"/>
  <c r="D1577"/>
  <c r="E1577"/>
  <c r="F1577"/>
  <c r="A1578"/>
  <c r="B1578"/>
  <c r="C1578"/>
  <c r="D1578"/>
  <c r="E1578"/>
  <c r="F1578"/>
  <c r="A1579"/>
  <c r="B1579"/>
  <c r="C1579"/>
  <c r="D1579"/>
  <c r="E1579"/>
  <c r="F1579"/>
  <c r="A1580"/>
  <c r="B1580"/>
  <c r="C1580"/>
  <c r="D1580"/>
  <c r="E1580"/>
  <c r="F1580"/>
  <c r="A1581"/>
  <c r="B1581"/>
  <c r="C1581"/>
  <c r="D1581"/>
  <c r="E1581"/>
  <c r="F1581"/>
  <c r="A1582"/>
  <c r="B1582"/>
  <c r="C1582"/>
  <c r="D1582"/>
  <c r="E1582"/>
  <c r="F1582"/>
  <c r="A1583"/>
  <c r="B1583"/>
  <c r="C1583"/>
  <c r="D1583"/>
  <c r="E1583"/>
  <c r="F1583"/>
  <c r="A1584"/>
  <c r="B1584"/>
  <c r="C1584"/>
  <c r="D1584"/>
  <c r="E1584"/>
  <c r="F1584"/>
  <c r="A1585"/>
  <c r="B1585"/>
  <c r="C1585"/>
  <c r="D1585"/>
  <c r="E1585"/>
  <c r="F1585"/>
  <c r="A1586"/>
  <c r="B1586"/>
  <c r="C1586"/>
  <c r="D1586"/>
  <c r="E1586"/>
  <c r="F1586"/>
  <c r="A1587"/>
  <c r="B1587"/>
  <c r="C1587"/>
  <c r="D1587"/>
  <c r="E1587"/>
  <c r="F1587"/>
  <c r="A1588"/>
  <c r="B1588"/>
  <c r="C1588"/>
  <c r="D1588"/>
  <c r="E1588"/>
  <c r="F1588"/>
  <c r="A1589"/>
  <c r="B1589"/>
  <c r="C1589"/>
  <c r="D1589"/>
  <c r="E1589"/>
  <c r="F1589"/>
  <c r="A1590"/>
  <c r="B1590"/>
  <c r="C1590"/>
  <c r="D1590"/>
  <c r="E1590"/>
  <c r="F1590"/>
  <c r="A1591"/>
  <c r="B1591"/>
  <c r="C1591"/>
  <c r="D1591"/>
  <c r="E1591"/>
  <c r="F1591"/>
  <c r="F1576"/>
  <c r="E1576"/>
  <c r="D1576"/>
  <c r="C1576"/>
  <c r="B1576"/>
  <c r="A1576"/>
  <c r="F1575"/>
  <c r="E1575"/>
  <c r="D1575"/>
  <c r="C1575"/>
  <c r="B1575"/>
  <c r="A1575"/>
  <c r="F1574"/>
  <c r="E1574"/>
  <c r="D1574"/>
  <c r="C1574"/>
  <c r="B1574"/>
  <c r="A1574"/>
  <c r="F1573"/>
  <c r="E1573"/>
  <c r="D1573"/>
  <c r="C1573"/>
  <c r="B1573"/>
  <c r="A1573"/>
  <c r="F1572"/>
  <c r="E1572"/>
  <c r="D1572"/>
  <c r="C1572"/>
  <c r="B1572"/>
  <c r="A1572"/>
  <c r="F1571"/>
  <c r="E1571"/>
  <c r="D1571"/>
  <c r="C1571"/>
  <c r="B1571"/>
  <c r="A1571"/>
  <c r="F1570"/>
  <c r="E1570"/>
  <c r="D1570"/>
  <c r="C1570"/>
  <c r="B1570"/>
  <c r="A1570"/>
  <c r="F1569"/>
  <c r="E1569"/>
  <c r="D1569"/>
  <c r="C1569"/>
  <c r="B1569"/>
  <c r="A1569"/>
  <c r="F1568"/>
  <c r="E1568"/>
  <c r="D1568"/>
  <c r="C1568"/>
  <c r="B1568"/>
  <c r="A1568"/>
  <c r="F1567"/>
  <c r="E1567"/>
  <c r="D1567"/>
  <c r="C1567"/>
  <c r="B1567"/>
  <c r="A1567"/>
  <c r="F1566"/>
  <c r="E1566"/>
  <c r="D1566"/>
  <c r="C1566"/>
  <c r="B1566"/>
  <c r="A1566"/>
  <c r="F1565"/>
  <c r="E1565"/>
  <c r="D1565"/>
  <c r="C1565"/>
  <c r="B1565"/>
  <c r="A1565"/>
  <c r="F1564"/>
  <c r="E1564"/>
  <c r="D1564"/>
  <c r="C1564"/>
  <c r="B1564"/>
  <c r="A1564"/>
  <c r="F1563"/>
  <c r="E1563"/>
  <c r="D1563"/>
  <c r="C1563"/>
  <c r="B1563"/>
  <c r="A1563"/>
  <c r="F1562"/>
  <c r="E1562"/>
  <c r="D1562"/>
  <c r="C1562"/>
  <c r="B1562"/>
  <c r="A1562"/>
  <c r="F1561"/>
  <c r="E1561"/>
  <c r="D1561"/>
  <c r="C1561"/>
  <c r="B1561"/>
  <c r="A1561"/>
  <c r="F1560"/>
  <c r="E1560"/>
  <c r="D1560"/>
  <c r="C1560"/>
  <c r="B1560"/>
  <c r="A1560"/>
  <c r="F1559"/>
  <c r="E1559"/>
  <c r="D1559"/>
  <c r="C1559"/>
  <c r="B1559"/>
  <c r="A1559"/>
  <c r="F1558"/>
  <c r="E1558"/>
  <c r="D1558"/>
  <c r="C1558"/>
  <c r="B1558"/>
  <c r="A1558"/>
  <c r="F1557"/>
  <c r="E1557"/>
  <c r="D1557"/>
  <c r="C1557"/>
  <c r="B1557"/>
  <c r="A1557"/>
  <c r="F1556"/>
  <c r="E1556"/>
  <c r="D1556"/>
  <c r="C1556"/>
  <c r="B1556"/>
  <c r="A1556"/>
  <c r="F1555"/>
  <c r="E1555"/>
  <c r="D1555"/>
  <c r="C1555"/>
  <c r="B1555"/>
  <c r="A1555"/>
  <c r="F1554"/>
  <c r="E1554"/>
  <c r="D1554"/>
  <c r="C1554"/>
  <c r="B1554"/>
  <c r="A1554"/>
  <c r="F1553"/>
  <c r="E1553"/>
  <c r="D1553"/>
  <c r="C1553"/>
  <c r="B1553"/>
  <c r="A1553"/>
  <c r="F1552"/>
  <c r="E1552"/>
  <c r="D1552"/>
  <c r="C1552"/>
  <c r="B1552"/>
  <c r="A1552"/>
  <c r="F1551"/>
  <c r="E1551"/>
  <c r="D1551"/>
  <c r="C1551"/>
  <c r="B1551"/>
  <c r="A1551"/>
  <c r="F1550"/>
  <c r="E1550"/>
  <c r="D1550"/>
  <c r="C1550"/>
  <c r="B1550"/>
  <c r="A1550"/>
  <c r="F1549"/>
  <c r="E1549"/>
  <c r="D1549"/>
  <c r="C1549"/>
  <c r="B1549"/>
  <c r="A1549"/>
  <c r="F1548"/>
  <c r="E1548"/>
  <c r="D1548"/>
  <c r="C1548"/>
  <c r="B1548"/>
  <c r="A1548"/>
  <c r="A1521"/>
  <c r="B1521"/>
  <c r="C1521"/>
  <c r="D1521"/>
  <c r="E1521"/>
  <c r="F1521"/>
  <c r="A1522"/>
  <c r="B1522"/>
  <c r="C1522"/>
  <c r="D1522"/>
  <c r="E1522"/>
  <c r="F1522"/>
  <c r="A1523"/>
  <c r="B1523"/>
  <c r="C1523"/>
  <c r="D1523"/>
  <c r="E1523"/>
  <c r="F1523"/>
  <c r="A1524"/>
  <c r="B1524"/>
  <c r="C1524"/>
  <c r="D1524"/>
  <c r="E1524"/>
  <c r="F1524"/>
  <c r="A1525"/>
  <c r="B1525"/>
  <c r="C1525"/>
  <c r="D1525"/>
  <c r="E1525"/>
  <c r="F1525"/>
  <c r="A1526"/>
  <c r="B1526"/>
  <c r="C1526"/>
  <c r="D1526"/>
  <c r="E1526"/>
  <c r="F1526"/>
  <c r="A1527"/>
  <c r="B1527"/>
  <c r="C1527"/>
  <c r="D1527"/>
  <c r="E1527"/>
  <c r="F1527"/>
  <c r="A1528"/>
  <c r="B1528"/>
  <c r="C1528"/>
  <c r="D1528"/>
  <c r="E1528"/>
  <c r="F1528"/>
  <c r="A1529"/>
  <c r="B1529"/>
  <c r="C1529"/>
  <c r="D1529"/>
  <c r="E1529"/>
  <c r="F1529"/>
  <c r="A1530"/>
  <c r="B1530"/>
  <c r="C1530"/>
  <c r="D1530"/>
  <c r="E1530"/>
  <c r="F1530"/>
  <c r="A1531"/>
  <c r="B1531"/>
  <c r="C1531"/>
  <c r="D1531"/>
  <c r="E1531"/>
  <c r="F1531"/>
  <c r="A1532"/>
  <c r="B1532"/>
  <c r="C1532"/>
  <c r="D1532"/>
  <c r="E1532"/>
  <c r="F1532"/>
  <c r="A1533"/>
  <c r="B1533"/>
  <c r="C1533"/>
  <c r="D1533"/>
  <c r="E1533"/>
  <c r="F1533"/>
  <c r="A1534"/>
  <c r="B1534"/>
  <c r="C1534"/>
  <c r="D1534"/>
  <c r="E1534"/>
  <c r="F1534"/>
  <c r="A1535"/>
  <c r="B1535"/>
  <c r="C1535"/>
  <c r="D1535"/>
  <c r="E1535"/>
  <c r="F1535"/>
  <c r="A1536"/>
  <c r="B1536"/>
  <c r="C1536"/>
  <c r="D1536"/>
  <c r="E1536"/>
  <c r="F1536"/>
  <c r="A1537"/>
  <c r="B1537"/>
  <c r="C1537"/>
  <c r="D1537"/>
  <c r="E1537"/>
  <c r="F1537"/>
  <c r="A1538"/>
  <c r="B1538"/>
  <c r="C1538"/>
  <c r="D1538"/>
  <c r="E1538"/>
  <c r="F1538"/>
  <c r="A1539"/>
  <c r="B1539"/>
  <c r="C1539"/>
  <c r="D1539"/>
  <c r="E1539"/>
  <c r="F1539"/>
  <c r="A1540"/>
  <c r="B1540"/>
  <c r="C1540"/>
  <c r="D1540"/>
  <c r="E1540"/>
  <c r="F1540"/>
  <c r="A1541"/>
  <c r="B1541"/>
  <c r="C1541"/>
  <c r="D1541"/>
  <c r="E1541"/>
  <c r="F1541"/>
  <c r="A1542"/>
  <c r="B1542"/>
  <c r="C1542"/>
  <c r="D1542"/>
  <c r="E1542"/>
  <c r="F1542"/>
  <c r="A1543"/>
  <c r="B1543"/>
  <c r="C1543"/>
  <c r="D1543"/>
  <c r="E1543"/>
  <c r="F1543"/>
  <c r="A1544"/>
  <c r="B1544"/>
  <c r="C1544"/>
  <c r="D1544"/>
  <c r="E1544"/>
  <c r="F1544"/>
  <c r="A1545"/>
  <c r="B1545"/>
  <c r="C1545"/>
  <c r="D1545"/>
  <c r="E1545"/>
  <c r="F1545"/>
  <c r="F1520"/>
  <c r="E1520"/>
  <c r="D1520"/>
  <c r="C1520"/>
  <c r="B1520"/>
  <c r="A1520"/>
  <c r="F1519"/>
  <c r="E1519"/>
  <c r="D1519"/>
  <c r="C1519"/>
  <c r="B1519"/>
  <c r="A1519"/>
  <c r="F1518"/>
  <c r="E1518"/>
  <c r="D1518"/>
  <c r="C1518"/>
  <c r="B1518"/>
  <c r="A1518"/>
  <c r="F1517"/>
  <c r="E1517"/>
  <c r="D1517"/>
  <c r="C1517"/>
  <c r="B1517"/>
  <c r="A1517"/>
  <c r="A1444"/>
  <c r="B1444"/>
  <c r="C1444"/>
  <c r="D1444"/>
  <c r="E1444"/>
  <c r="F1444"/>
  <c r="A1445"/>
  <c r="B1445"/>
  <c r="C1445"/>
  <c r="D1445"/>
  <c r="E1445"/>
  <c r="F1445"/>
  <c r="A1446"/>
  <c r="B1446"/>
  <c r="C1446"/>
  <c r="D1446"/>
  <c r="E1446"/>
  <c r="F1446"/>
  <c r="A1447"/>
  <c r="B1447"/>
  <c r="C1447"/>
  <c r="D1447"/>
  <c r="E1447"/>
  <c r="F1447"/>
  <c r="A1448"/>
  <c r="B1448"/>
  <c r="C1448"/>
  <c r="D1448"/>
  <c r="E1448"/>
  <c r="F1448"/>
  <c r="A1449"/>
  <c r="B1449"/>
  <c r="C1449"/>
  <c r="D1449"/>
  <c r="E1449"/>
  <c r="F1449"/>
  <c r="A1450"/>
  <c r="B1450"/>
  <c r="C1450"/>
  <c r="D1450"/>
  <c r="E1450"/>
  <c r="F1450"/>
  <c r="A1451"/>
  <c r="B1451"/>
  <c r="C1451"/>
  <c r="D1451"/>
  <c r="E1451"/>
  <c r="F1451"/>
  <c r="A1452"/>
  <c r="B1452"/>
  <c r="C1452"/>
  <c r="D1452"/>
  <c r="E1452"/>
  <c r="F1452"/>
  <c r="A1453"/>
  <c r="B1453"/>
  <c r="C1453"/>
  <c r="D1453"/>
  <c r="E1453"/>
  <c r="F1453"/>
  <c r="A1454"/>
  <c r="B1454"/>
  <c r="C1454"/>
  <c r="D1454"/>
  <c r="E1454"/>
  <c r="F1454"/>
  <c r="A1455"/>
  <c r="B1455"/>
  <c r="C1455"/>
  <c r="D1455"/>
  <c r="E1455"/>
  <c r="F1455"/>
  <c r="A1456"/>
  <c r="B1456"/>
  <c r="C1456"/>
  <c r="D1456"/>
  <c r="E1456"/>
  <c r="F1456"/>
  <c r="A1457"/>
  <c r="B1457"/>
  <c r="C1457"/>
  <c r="D1457"/>
  <c r="E1457"/>
  <c r="F1457"/>
  <c r="A1458"/>
  <c r="B1458"/>
  <c r="C1458"/>
  <c r="D1458"/>
  <c r="E1458"/>
  <c r="F1458"/>
  <c r="A1459"/>
  <c r="B1459"/>
  <c r="C1459"/>
  <c r="D1459"/>
  <c r="E1459"/>
  <c r="F1459"/>
  <c r="A1460"/>
  <c r="B1460"/>
  <c r="C1460"/>
  <c r="D1460"/>
  <c r="E1460"/>
  <c r="F1460"/>
  <c r="A1461"/>
  <c r="B1461"/>
  <c r="C1461"/>
  <c r="D1461"/>
  <c r="E1461"/>
  <c r="F1461"/>
  <c r="A1462"/>
  <c r="B1462"/>
  <c r="C1462"/>
  <c r="D1462"/>
  <c r="E1462"/>
  <c r="F1462"/>
  <c r="A1463"/>
  <c r="B1463"/>
  <c r="C1463"/>
  <c r="D1463"/>
  <c r="E1463"/>
  <c r="F1463"/>
  <c r="A1464"/>
  <c r="B1464"/>
  <c r="C1464"/>
  <c r="D1464"/>
  <c r="E1464"/>
  <c r="F1464"/>
  <c r="A1465"/>
  <c r="B1465"/>
  <c r="C1465"/>
  <c r="D1465"/>
  <c r="E1465"/>
  <c r="F1465"/>
  <c r="A1466"/>
  <c r="B1466"/>
  <c r="C1466"/>
  <c r="D1466"/>
  <c r="E1466"/>
  <c r="F1466"/>
  <c r="A1467"/>
  <c r="B1467"/>
  <c r="C1467"/>
  <c r="D1467"/>
  <c r="E1467"/>
  <c r="F1467"/>
  <c r="A1468"/>
  <c r="B1468"/>
  <c r="C1468"/>
  <c r="D1468"/>
  <c r="E1468"/>
  <c r="F1468"/>
  <c r="A1469"/>
  <c r="B1469"/>
  <c r="C1469"/>
  <c r="D1469"/>
  <c r="E1469"/>
  <c r="F1469"/>
  <c r="A1470"/>
  <c r="B1470"/>
  <c r="C1470"/>
  <c r="D1470"/>
  <c r="E1470"/>
  <c r="F1470"/>
  <c r="A1471"/>
  <c r="B1471"/>
  <c r="C1471"/>
  <c r="D1471"/>
  <c r="E1471"/>
  <c r="F1471"/>
  <c r="A1472"/>
  <c r="B1472"/>
  <c r="C1472"/>
  <c r="D1472"/>
  <c r="E1472"/>
  <c r="F1472"/>
  <c r="A1473"/>
  <c r="B1473"/>
  <c r="C1473"/>
  <c r="D1473"/>
  <c r="E1473"/>
  <c r="F1473"/>
  <c r="A1474"/>
  <c r="B1474"/>
  <c r="C1474"/>
  <c r="D1474"/>
  <c r="E1474"/>
  <c r="F1474"/>
  <c r="A1475"/>
  <c r="B1475"/>
  <c r="C1475"/>
  <c r="D1475"/>
  <c r="E1475"/>
  <c r="F1475"/>
  <c r="A1476"/>
  <c r="B1476"/>
  <c r="C1476"/>
  <c r="D1476"/>
  <c r="E1476"/>
  <c r="F1476"/>
  <c r="A1477"/>
  <c r="B1477"/>
  <c r="C1477"/>
  <c r="D1477"/>
  <c r="E1477"/>
  <c r="F1477"/>
  <c r="A1478"/>
  <c r="B1478"/>
  <c r="C1478"/>
  <c r="D1478"/>
  <c r="E1478"/>
  <c r="F1478"/>
  <c r="A1479"/>
  <c r="B1479"/>
  <c r="C1479"/>
  <c r="D1479"/>
  <c r="E1479"/>
  <c r="F1479"/>
  <c r="A1480"/>
  <c r="B1480"/>
  <c r="C1480"/>
  <c r="D1480"/>
  <c r="E1480"/>
  <c r="F1480"/>
  <c r="A1481"/>
  <c r="B1481"/>
  <c r="C1481"/>
  <c r="D1481"/>
  <c r="E1481"/>
  <c r="F1481"/>
  <c r="A1482"/>
  <c r="B1482"/>
  <c r="C1482"/>
  <c r="D1482"/>
  <c r="E1482"/>
  <c r="F1482"/>
  <c r="A1483"/>
  <c r="B1483"/>
  <c r="C1483"/>
  <c r="D1483"/>
  <c r="E1483"/>
  <c r="F1483"/>
  <c r="A1484"/>
  <c r="B1484"/>
  <c r="C1484"/>
  <c r="D1484"/>
  <c r="E1484"/>
  <c r="F1484"/>
  <c r="A1485"/>
  <c r="B1485"/>
  <c r="C1485"/>
  <c r="D1485"/>
  <c r="E1485"/>
  <c r="F1485"/>
  <c r="A1486"/>
  <c r="B1486"/>
  <c r="C1486"/>
  <c r="D1486"/>
  <c r="E1486"/>
  <c r="F1486"/>
  <c r="A1487"/>
  <c r="B1487"/>
  <c r="C1487"/>
  <c r="D1487"/>
  <c r="E1487"/>
  <c r="F1487"/>
  <c r="A1488"/>
  <c r="B1488"/>
  <c r="C1488"/>
  <c r="D1488"/>
  <c r="E1488"/>
  <c r="F1488"/>
  <c r="A1489"/>
  <c r="B1489"/>
  <c r="C1489"/>
  <c r="D1489"/>
  <c r="E1489"/>
  <c r="F1489"/>
  <c r="A1490"/>
  <c r="B1490"/>
  <c r="C1490"/>
  <c r="D1490"/>
  <c r="E1490"/>
  <c r="F1490"/>
  <c r="A1491"/>
  <c r="B1491"/>
  <c r="C1491"/>
  <c r="D1491"/>
  <c r="E1491"/>
  <c r="F1491"/>
  <c r="A1492"/>
  <c r="B1492"/>
  <c r="C1492"/>
  <c r="D1492"/>
  <c r="E1492"/>
  <c r="F1492"/>
  <c r="A1493"/>
  <c r="B1493"/>
  <c r="C1493"/>
  <c r="D1493"/>
  <c r="E1493"/>
  <c r="F1493"/>
  <c r="A1494"/>
  <c r="B1494"/>
  <c r="C1494"/>
  <c r="D1494"/>
  <c r="E1494"/>
  <c r="F1494"/>
  <c r="A1495"/>
  <c r="B1495"/>
  <c r="C1495"/>
  <c r="D1495"/>
  <c r="E1495"/>
  <c r="F1495"/>
  <c r="A1496"/>
  <c r="B1496"/>
  <c r="C1496"/>
  <c r="D1496"/>
  <c r="E1496"/>
  <c r="F1496"/>
  <c r="A1497"/>
  <c r="B1497"/>
  <c r="C1497"/>
  <c r="D1497"/>
  <c r="E1497"/>
  <c r="F1497"/>
  <c r="A1498"/>
  <c r="B1498"/>
  <c r="C1498"/>
  <c r="D1498"/>
  <c r="E1498"/>
  <c r="F1498"/>
  <c r="A1499"/>
  <c r="B1499"/>
  <c r="C1499"/>
  <c r="D1499"/>
  <c r="E1499"/>
  <c r="F1499"/>
  <c r="A1500"/>
  <c r="B1500"/>
  <c r="C1500"/>
  <c r="D1500"/>
  <c r="E1500"/>
  <c r="F1500"/>
  <c r="A1501"/>
  <c r="B1501"/>
  <c r="C1501"/>
  <c r="D1501"/>
  <c r="E1501"/>
  <c r="F1501"/>
  <c r="A1502"/>
  <c r="B1502"/>
  <c r="C1502"/>
  <c r="D1502"/>
  <c r="E1502"/>
  <c r="F1502"/>
  <c r="A1503"/>
  <c r="B1503"/>
  <c r="C1503"/>
  <c r="D1503"/>
  <c r="E1503"/>
  <c r="F1503"/>
  <c r="A1504"/>
  <c r="B1504"/>
  <c r="C1504"/>
  <c r="D1504"/>
  <c r="E1504"/>
  <c r="F1504"/>
  <c r="A1505"/>
  <c r="B1505"/>
  <c r="C1505"/>
  <c r="D1505"/>
  <c r="E1505"/>
  <c r="F1505"/>
  <c r="A1506"/>
  <c r="B1506"/>
  <c r="C1506"/>
  <c r="D1506"/>
  <c r="E1506"/>
  <c r="F1506"/>
  <c r="A1507"/>
  <c r="B1507"/>
  <c r="C1507"/>
  <c r="D1507"/>
  <c r="E1507"/>
  <c r="F1507"/>
  <c r="A1508"/>
  <c r="B1508"/>
  <c r="C1508"/>
  <c r="D1508"/>
  <c r="E1508"/>
  <c r="F1508"/>
  <c r="A1509"/>
  <c r="B1509"/>
  <c r="C1509"/>
  <c r="D1509"/>
  <c r="E1509"/>
  <c r="F1509"/>
  <c r="A1510"/>
  <c r="B1510"/>
  <c r="C1510"/>
  <c r="D1510"/>
  <c r="E1510"/>
  <c r="F1510"/>
  <c r="A1511"/>
  <c r="B1511"/>
  <c r="C1511"/>
  <c r="D1511"/>
  <c r="E1511"/>
  <c r="F1511"/>
  <c r="A1512"/>
  <c r="B1512"/>
  <c r="C1512"/>
  <c r="D1512"/>
  <c r="E1512"/>
  <c r="F1512"/>
  <c r="A1513"/>
  <c r="B1513"/>
  <c r="C1513"/>
  <c r="D1513"/>
  <c r="E1513"/>
  <c r="F1513"/>
  <c r="A1514"/>
  <c r="B1514"/>
  <c r="C1514"/>
  <c r="D1514"/>
  <c r="E1514"/>
  <c r="F1514"/>
  <c r="F1443"/>
  <c r="E1443"/>
  <c r="D1443"/>
  <c r="C1443"/>
  <c r="B1443"/>
  <c r="A1443"/>
  <c r="F1442"/>
  <c r="E1442"/>
  <c r="D1442"/>
  <c r="C1442"/>
  <c r="B1442"/>
  <c r="A1442"/>
  <c r="F1441"/>
  <c r="E1441"/>
  <c r="D1441"/>
  <c r="C1441"/>
  <c r="B1441"/>
  <c r="A1441"/>
  <c r="A1362"/>
  <c r="B1362"/>
  <c r="C1362"/>
  <c r="D1362"/>
  <c r="E1362"/>
  <c r="F1362"/>
  <c r="A1363"/>
  <c r="B1363"/>
  <c r="C1363"/>
  <c r="D1363"/>
  <c r="E1363"/>
  <c r="F1363"/>
  <c r="A1364"/>
  <c r="B1364"/>
  <c r="C1364"/>
  <c r="D1364"/>
  <c r="E1364"/>
  <c r="F1364"/>
  <c r="A1365"/>
  <c r="B1365"/>
  <c r="C1365"/>
  <c r="D1365"/>
  <c r="E1365"/>
  <c r="F1365"/>
  <c r="A1366"/>
  <c r="B1366"/>
  <c r="C1366"/>
  <c r="D1366"/>
  <c r="E1366"/>
  <c r="F1366"/>
  <c r="A1367"/>
  <c r="B1367"/>
  <c r="C1367"/>
  <c r="D1367"/>
  <c r="E1367"/>
  <c r="F1367"/>
  <c r="A1368"/>
  <c r="B1368"/>
  <c r="C1368"/>
  <c r="D1368"/>
  <c r="E1368"/>
  <c r="F1368"/>
  <c r="A1369"/>
  <c r="B1369"/>
  <c r="C1369"/>
  <c r="D1369"/>
  <c r="E1369"/>
  <c r="F1369"/>
  <c r="A1370"/>
  <c r="B1370"/>
  <c r="C1370"/>
  <c r="D1370"/>
  <c r="E1370"/>
  <c r="F1370"/>
  <c r="A1371"/>
  <c r="B1371"/>
  <c r="C1371"/>
  <c r="D1371"/>
  <c r="E1371"/>
  <c r="F1371"/>
  <c r="A1372"/>
  <c r="B1372"/>
  <c r="C1372"/>
  <c r="D1372"/>
  <c r="E1372"/>
  <c r="F1372"/>
  <c r="A1373"/>
  <c r="B1373"/>
  <c r="C1373"/>
  <c r="D1373"/>
  <c r="E1373"/>
  <c r="F1373"/>
  <c r="A1374"/>
  <c r="B1374"/>
  <c r="C1374"/>
  <c r="D1374"/>
  <c r="E1374"/>
  <c r="F1374"/>
  <c r="A1375"/>
  <c r="B1375"/>
  <c r="C1375"/>
  <c r="D1375"/>
  <c r="E1375"/>
  <c r="F1375"/>
  <c r="A1376"/>
  <c r="B1376"/>
  <c r="C1376"/>
  <c r="D1376"/>
  <c r="E1376"/>
  <c r="F1376"/>
  <c r="A1377"/>
  <c r="B1377"/>
  <c r="C1377"/>
  <c r="D1377"/>
  <c r="E1377"/>
  <c r="F1377"/>
  <c r="A1378"/>
  <c r="B1378"/>
  <c r="C1378"/>
  <c r="D1378"/>
  <c r="E1378"/>
  <c r="F1378"/>
  <c r="A1379"/>
  <c r="B1379"/>
  <c r="C1379"/>
  <c r="D1379"/>
  <c r="E1379"/>
  <c r="F1379"/>
  <c r="A1380"/>
  <c r="B1380"/>
  <c r="C1380"/>
  <c r="D1380"/>
  <c r="E1380"/>
  <c r="F1380"/>
  <c r="A1381"/>
  <c r="B1381"/>
  <c r="C1381"/>
  <c r="D1381"/>
  <c r="E1381"/>
  <c r="F1381"/>
  <c r="A1382"/>
  <c r="B1382"/>
  <c r="C1382"/>
  <c r="D1382"/>
  <c r="E1382"/>
  <c r="F1382"/>
  <c r="A1383"/>
  <c r="B1383"/>
  <c r="C1383"/>
  <c r="D1383"/>
  <c r="E1383"/>
  <c r="F1383"/>
  <c r="A1384"/>
  <c r="B1384"/>
  <c r="C1384"/>
  <c r="D1384"/>
  <c r="E1384"/>
  <c r="F1384"/>
  <c r="A1385"/>
  <c r="B1385"/>
  <c r="C1385"/>
  <c r="D1385"/>
  <c r="E1385"/>
  <c r="F1385"/>
  <c r="A1386"/>
  <c r="B1386"/>
  <c r="C1386"/>
  <c r="D1386"/>
  <c r="E1386"/>
  <c r="F1386"/>
  <c r="A1387"/>
  <c r="B1387"/>
  <c r="C1387"/>
  <c r="D1387"/>
  <c r="E1387"/>
  <c r="F1387"/>
  <c r="A1388"/>
  <c r="B1388"/>
  <c r="C1388"/>
  <c r="D1388"/>
  <c r="E1388"/>
  <c r="F1388"/>
  <c r="A1389"/>
  <c r="B1389"/>
  <c r="C1389"/>
  <c r="D1389"/>
  <c r="E1389"/>
  <c r="F1389"/>
  <c r="A1390"/>
  <c r="B1390"/>
  <c r="C1390"/>
  <c r="D1390"/>
  <c r="E1390"/>
  <c r="F1390"/>
  <c r="A1391"/>
  <c r="B1391"/>
  <c r="C1391"/>
  <c r="D1391"/>
  <c r="E1391"/>
  <c r="F1391"/>
  <c r="A1392"/>
  <c r="B1392"/>
  <c r="C1392"/>
  <c r="D1392"/>
  <c r="E1392"/>
  <c r="F1392"/>
  <c r="A1393"/>
  <c r="B1393"/>
  <c r="C1393"/>
  <c r="D1393"/>
  <c r="E1393"/>
  <c r="F1393"/>
  <c r="A1394"/>
  <c r="B1394"/>
  <c r="C1394"/>
  <c r="D1394"/>
  <c r="E1394"/>
  <c r="F1394"/>
  <c r="A1395"/>
  <c r="B1395"/>
  <c r="C1395"/>
  <c r="D1395"/>
  <c r="E1395"/>
  <c r="F1395"/>
  <c r="A1396"/>
  <c r="B1396"/>
  <c r="C1396"/>
  <c r="D1396"/>
  <c r="E1396"/>
  <c r="F1396"/>
  <c r="A1397"/>
  <c r="B1397"/>
  <c r="C1397"/>
  <c r="D1397"/>
  <c r="E1397"/>
  <c r="F1397"/>
  <c r="A1398"/>
  <c r="B1398"/>
  <c r="C1398"/>
  <c r="D1398"/>
  <c r="E1398"/>
  <c r="F1398"/>
  <c r="A1399"/>
  <c r="B1399"/>
  <c r="C1399"/>
  <c r="D1399"/>
  <c r="E1399"/>
  <c r="F1399"/>
  <c r="A1400"/>
  <c r="B1400"/>
  <c r="C1400"/>
  <c r="D1400"/>
  <c r="E1400"/>
  <c r="F1400"/>
  <c r="A1401"/>
  <c r="B1401"/>
  <c r="C1401"/>
  <c r="D1401"/>
  <c r="E1401"/>
  <c r="F1401"/>
  <c r="A1402"/>
  <c r="B1402"/>
  <c r="C1402"/>
  <c r="D1402"/>
  <c r="E1402"/>
  <c r="F1402"/>
  <c r="A1403"/>
  <c r="B1403"/>
  <c r="C1403"/>
  <c r="D1403"/>
  <c r="E1403"/>
  <c r="F1403"/>
  <c r="A1404"/>
  <c r="B1404"/>
  <c r="C1404"/>
  <c r="D1404"/>
  <c r="E1404"/>
  <c r="F1404"/>
  <c r="A1405"/>
  <c r="B1405"/>
  <c r="C1405"/>
  <c r="D1405"/>
  <c r="E1405"/>
  <c r="F1405"/>
  <c r="A1406"/>
  <c r="B1406"/>
  <c r="C1406"/>
  <c r="D1406"/>
  <c r="E1406"/>
  <c r="F1406"/>
  <c r="A1407"/>
  <c r="B1407"/>
  <c r="C1407"/>
  <c r="D1407"/>
  <c r="E1407"/>
  <c r="F1407"/>
  <c r="A1408"/>
  <c r="B1408"/>
  <c r="C1408"/>
  <c r="D1408"/>
  <c r="E1408"/>
  <c r="F1408"/>
  <c r="A1409"/>
  <c r="B1409"/>
  <c r="C1409"/>
  <c r="D1409"/>
  <c r="E1409"/>
  <c r="F1409"/>
  <c r="A1410"/>
  <c r="B1410"/>
  <c r="C1410"/>
  <c r="D1410"/>
  <c r="E1410"/>
  <c r="F1410"/>
  <c r="A1411"/>
  <c r="B1411"/>
  <c r="C1411"/>
  <c r="D1411"/>
  <c r="E1411"/>
  <c r="F1411"/>
  <c r="A1412"/>
  <c r="B1412"/>
  <c r="C1412"/>
  <c r="D1412"/>
  <c r="E1412"/>
  <c r="F1412"/>
  <c r="A1413"/>
  <c r="B1413"/>
  <c r="C1413"/>
  <c r="D1413"/>
  <c r="E1413"/>
  <c r="F1413"/>
  <c r="A1414"/>
  <c r="B1414"/>
  <c r="C1414"/>
  <c r="D1414"/>
  <c r="E1414"/>
  <c r="F1414"/>
  <c r="A1415"/>
  <c r="B1415"/>
  <c r="C1415"/>
  <c r="D1415"/>
  <c r="E1415"/>
  <c r="F1415"/>
  <c r="A1416"/>
  <c r="B1416"/>
  <c r="C1416"/>
  <c r="D1416"/>
  <c r="E1416"/>
  <c r="F1416"/>
  <c r="A1417"/>
  <c r="B1417"/>
  <c r="C1417"/>
  <c r="D1417"/>
  <c r="E1417"/>
  <c r="F1417"/>
  <c r="A1418"/>
  <c r="B1418"/>
  <c r="C1418"/>
  <c r="D1418"/>
  <c r="E1418"/>
  <c r="F1418"/>
  <c r="A1419"/>
  <c r="B1419"/>
  <c r="C1419"/>
  <c r="D1419"/>
  <c r="E1419"/>
  <c r="F1419"/>
  <c r="A1420"/>
  <c r="B1420"/>
  <c r="C1420"/>
  <c r="D1420"/>
  <c r="E1420"/>
  <c r="F1420"/>
  <c r="A1421"/>
  <c r="B1421"/>
  <c r="C1421"/>
  <c r="D1421"/>
  <c r="E1421"/>
  <c r="F1421"/>
  <c r="A1422"/>
  <c r="B1422"/>
  <c r="C1422"/>
  <c r="D1422"/>
  <c r="E1422"/>
  <c r="F1422"/>
  <c r="A1423"/>
  <c r="B1423"/>
  <c r="C1423"/>
  <c r="D1423"/>
  <c r="E1423"/>
  <c r="F1423"/>
  <c r="A1424"/>
  <c r="B1424"/>
  <c r="C1424"/>
  <c r="D1424"/>
  <c r="E1424"/>
  <c r="F1424"/>
  <c r="A1425"/>
  <c r="B1425"/>
  <c r="C1425"/>
  <c r="D1425"/>
  <c r="E1425"/>
  <c r="F1425"/>
  <c r="A1426"/>
  <c r="B1426"/>
  <c r="C1426"/>
  <c r="D1426"/>
  <c r="E1426"/>
  <c r="F1426"/>
  <c r="A1427"/>
  <c r="B1427"/>
  <c r="C1427"/>
  <c r="D1427"/>
  <c r="E1427"/>
  <c r="F1427"/>
  <c r="A1428"/>
  <c r="B1428"/>
  <c r="C1428"/>
  <c r="D1428"/>
  <c r="E1428"/>
  <c r="F1428"/>
  <c r="A1429"/>
  <c r="B1429"/>
  <c r="C1429"/>
  <c r="D1429"/>
  <c r="E1429"/>
  <c r="F1429"/>
  <c r="A1430"/>
  <c r="B1430"/>
  <c r="C1430"/>
  <c r="D1430"/>
  <c r="E1430"/>
  <c r="F1430"/>
  <c r="A1431"/>
  <c r="B1431"/>
  <c r="C1431"/>
  <c r="D1431"/>
  <c r="E1431"/>
  <c r="F1431"/>
  <c r="A1432"/>
  <c r="B1432"/>
  <c r="C1432"/>
  <c r="D1432"/>
  <c r="E1432"/>
  <c r="F1432"/>
  <c r="A1433"/>
  <c r="B1433"/>
  <c r="C1433"/>
  <c r="D1433"/>
  <c r="E1433"/>
  <c r="F1433"/>
  <c r="A1434"/>
  <c r="B1434"/>
  <c r="C1434"/>
  <c r="D1434"/>
  <c r="E1434"/>
  <c r="F1434"/>
  <c r="A1435"/>
  <c r="B1435"/>
  <c r="C1435"/>
  <c r="D1435"/>
  <c r="E1435"/>
  <c r="F1435"/>
  <c r="A1436"/>
  <c r="B1436"/>
  <c r="C1436"/>
  <c r="D1436"/>
  <c r="E1436"/>
  <c r="F1436"/>
  <c r="A1437"/>
  <c r="B1437"/>
  <c r="C1437"/>
  <c r="D1437"/>
  <c r="E1437"/>
  <c r="F1437"/>
  <c r="A1438"/>
  <c r="B1438"/>
  <c r="C1438"/>
  <c r="D1438"/>
  <c r="E1438"/>
  <c r="F1438"/>
  <c r="F1361"/>
  <c r="E1361"/>
  <c r="D1361"/>
  <c r="C1361"/>
  <c r="B1361"/>
  <c r="A1361"/>
  <c r="F1360"/>
  <c r="E1360"/>
  <c r="D1360"/>
  <c r="C1360"/>
  <c r="B1360"/>
  <c r="A1360"/>
  <c r="F1359"/>
  <c r="E1359"/>
  <c r="D1359"/>
  <c r="C1359"/>
  <c r="B1359"/>
  <c r="A1359"/>
  <c r="F1358"/>
  <c r="E1358"/>
  <c r="D1358"/>
  <c r="C1358"/>
  <c r="B1358"/>
  <c r="A1358"/>
  <c r="A1313"/>
  <c r="B1313"/>
  <c r="C1313"/>
  <c r="D1313"/>
  <c r="E1313"/>
  <c r="F1313"/>
  <c r="A1314"/>
  <c r="B1314"/>
  <c r="C1314"/>
  <c r="D1314"/>
  <c r="E1314"/>
  <c r="F1314"/>
  <c r="A1315"/>
  <c r="B1315"/>
  <c r="C1315"/>
  <c r="D1315"/>
  <c r="E1315"/>
  <c r="F1315"/>
  <c r="A1316"/>
  <c r="B1316"/>
  <c r="C1316"/>
  <c r="D1316"/>
  <c r="E1316"/>
  <c r="F1316"/>
  <c r="A1317"/>
  <c r="B1317"/>
  <c r="C1317"/>
  <c r="D1317"/>
  <c r="E1317"/>
  <c r="F1317"/>
  <c r="A1318"/>
  <c r="B1318"/>
  <c r="C1318"/>
  <c r="D1318"/>
  <c r="E1318"/>
  <c r="F1318"/>
  <c r="A1319"/>
  <c r="B1319"/>
  <c r="C1319"/>
  <c r="D1319"/>
  <c r="E1319"/>
  <c r="F1319"/>
  <c r="A1320"/>
  <c r="B1320"/>
  <c r="C1320"/>
  <c r="D1320"/>
  <c r="E1320"/>
  <c r="F1320"/>
  <c r="A1321"/>
  <c r="B1321"/>
  <c r="C1321"/>
  <c r="D1321"/>
  <c r="E1321"/>
  <c r="F1321"/>
  <c r="A1322"/>
  <c r="B1322"/>
  <c r="C1322"/>
  <c r="D1322"/>
  <c r="E1322"/>
  <c r="F1322"/>
  <c r="A1323"/>
  <c r="B1323"/>
  <c r="C1323"/>
  <c r="D1323"/>
  <c r="E1323"/>
  <c r="F1323"/>
  <c r="A1324"/>
  <c r="B1324"/>
  <c r="C1324"/>
  <c r="D1324"/>
  <c r="E1324"/>
  <c r="F1324"/>
  <c r="A1325"/>
  <c r="B1325"/>
  <c r="C1325"/>
  <c r="D1325"/>
  <c r="E1325"/>
  <c r="F1325"/>
  <c r="A1326"/>
  <c r="B1326"/>
  <c r="C1326"/>
  <c r="D1326"/>
  <c r="E1326"/>
  <c r="F1326"/>
  <c r="A1327"/>
  <c r="B1327"/>
  <c r="C1327"/>
  <c r="D1327"/>
  <c r="E1327"/>
  <c r="F1327"/>
  <c r="A1328"/>
  <c r="B1328"/>
  <c r="C1328"/>
  <c r="D1328"/>
  <c r="E1328"/>
  <c r="F1328"/>
  <c r="A1329"/>
  <c r="B1329"/>
  <c r="C1329"/>
  <c r="D1329"/>
  <c r="E1329"/>
  <c r="F1329"/>
  <c r="A1330"/>
  <c r="B1330"/>
  <c r="C1330"/>
  <c r="D1330"/>
  <c r="E1330"/>
  <c r="F1330"/>
  <c r="A1331"/>
  <c r="B1331"/>
  <c r="C1331"/>
  <c r="D1331"/>
  <c r="E1331"/>
  <c r="F1331"/>
  <c r="A1332"/>
  <c r="B1332"/>
  <c r="C1332"/>
  <c r="D1332"/>
  <c r="E1332"/>
  <c r="F1332"/>
  <c r="A1333"/>
  <c r="B1333"/>
  <c r="C1333"/>
  <c r="D1333"/>
  <c r="E1333"/>
  <c r="F1333"/>
  <c r="A1334"/>
  <c r="B1334"/>
  <c r="C1334"/>
  <c r="D1334"/>
  <c r="E1334"/>
  <c r="F1334"/>
  <c r="A1335"/>
  <c r="B1335"/>
  <c r="C1335"/>
  <c r="D1335"/>
  <c r="E1335"/>
  <c r="F1335"/>
  <c r="A1336"/>
  <c r="B1336"/>
  <c r="C1336"/>
  <c r="D1336"/>
  <c r="E1336"/>
  <c r="F1336"/>
  <c r="A1337"/>
  <c r="B1337"/>
  <c r="C1337"/>
  <c r="D1337"/>
  <c r="E1337"/>
  <c r="F1337"/>
  <c r="A1338"/>
  <c r="B1338"/>
  <c r="C1338"/>
  <c r="D1338"/>
  <c r="E1338"/>
  <c r="F1338"/>
  <c r="A1339"/>
  <c r="B1339"/>
  <c r="C1339"/>
  <c r="D1339"/>
  <c r="E1339"/>
  <c r="F1339"/>
  <c r="A1340"/>
  <c r="B1340"/>
  <c r="C1340"/>
  <c r="D1340"/>
  <c r="E1340"/>
  <c r="F1340"/>
  <c r="A1341"/>
  <c r="B1341"/>
  <c r="C1341"/>
  <c r="D1341"/>
  <c r="E1341"/>
  <c r="F1341"/>
  <c r="A1342"/>
  <c r="B1342"/>
  <c r="C1342"/>
  <c r="D1342"/>
  <c r="E1342"/>
  <c r="F1342"/>
  <c r="A1343"/>
  <c r="B1343"/>
  <c r="C1343"/>
  <c r="D1343"/>
  <c r="E1343"/>
  <c r="F1343"/>
  <c r="A1344"/>
  <c r="B1344"/>
  <c r="C1344"/>
  <c r="D1344"/>
  <c r="E1344"/>
  <c r="F1344"/>
  <c r="A1345"/>
  <c r="B1345"/>
  <c r="C1345"/>
  <c r="D1345"/>
  <c r="E1345"/>
  <c r="F1345"/>
  <c r="A1346"/>
  <c r="B1346"/>
  <c r="C1346"/>
  <c r="D1346"/>
  <c r="E1346"/>
  <c r="F1346"/>
  <c r="A1347"/>
  <c r="B1347"/>
  <c r="C1347"/>
  <c r="D1347"/>
  <c r="E1347"/>
  <c r="F1347"/>
  <c r="A1349"/>
  <c r="B1349"/>
  <c r="C1349"/>
  <c r="D1349"/>
  <c r="E1349"/>
  <c r="F1349"/>
  <c r="A1350"/>
  <c r="B1350"/>
  <c r="C1350"/>
  <c r="D1350"/>
  <c r="E1350"/>
  <c r="F1350"/>
  <c r="A1351"/>
  <c r="B1351"/>
  <c r="C1351"/>
  <c r="D1351"/>
  <c r="E1351"/>
  <c r="F1351"/>
  <c r="A1352"/>
  <c r="B1352"/>
  <c r="C1352"/>
  <c r="D1352"/>
  <c r="E1352"/>
  <c r="F1352"/>
  <c r="A1353"/>
  <c r="B1353"/>
  <c r="C1353"/>
  <c r="D1353"/>
  <c r="E1353"/>
  <c r="F1353"/>
  <c r="A1354"/>
  <c r="B1354"/>
  <c r="C1354"/>
  <c r="D1354"/>
  <c r="E1354"/>
  <c r="F1354"/>
  <c r="A1355"/>
  <c r="B1355"/>
  <c r="C1355"/>
  <c r="D1355"/>
  <c r="E1355"/>
  <c r="F1355"/>
  <c r="A1356"/>
  <c r="B1356"/>
  <c r="C1356"/>
  <c r="D1356"/>
  <c r="E1356"/>
  <c r="F1356"/>
  <c r="A1357"/>
  <c r="B1357"/>
  <c r="C1357"/>
  <c r="D1357"/>
  <c r="E1357"/>
  <c r="F1357"/>
  <c r="F1312"/>
  <c r="E1312"/>
  <c r="D1312"/>
  <c r="C1312"/>
  <c r="B1312"/>
  <c r="A1312"/>
  <c r="F1311"/>
  <c r="E1311"/>
  <c r="D1311"/>
  <c r="C1311"/>
  <c r="B1311"/>
  <c r="A1311"/>
  <c r="F1310"/>
  <c r="E1310"/>
  <c r="D1310"/>
  <c r="C1310"/>
  <c r="B1310"/>
  <c r="A1310"/>
  <c r="F1309"/>
  <c r="E1309"/>
  <c r="D1309"/>
  <c r="C1309"/>
  <c r="B1309"/>
  <c r="A1309"/>
  <c r="A1272"/>
  <c r="B1272"/>
  <c r="C1272"/>
  <c r="D1272"/>
  <c r="E1272"/>
  <c r="F1272"/>
  <c r="A1273"/>
  <c r="B1273"/>
  <c r="C1273"/>
  <c r="D1273"/>
  <c r="E1273"/>
  <c r="F1273"/>
  <c r="A1274"/>
  <c r="B1274"/>
  <c r="C1274"/>
  <c r="D1274"/>
  <c r="E1274"/>
  <c r="F1274"/>
  <c r="A1275"/>
  <c r="B1275"/>
  <c r="C1275"/>
  <c r="D1275"/>
  <c r="E1275"/>
  <c r="F1275"/>
  <c r="A1276"/>
  <c r="B1276"/>
  <c r="C1276"/>
  <c r="D1276"/>
  <c r="E1276"/>
  <c r="F1276"/>
  <c r="A1277"/>
  <c r="B1277"/>
  <c r="C1277"/>
  <c r="D1277"/>
  <c r="E1277"/>
  <c r="F1277"/>
  <c r="A1278"/>
  <c r="B1278"/>
  <c r="C1278"/>
  <c r="D1278"/>
  <c r="E1278"/>
  <c r="F1278"/>
  <c r="A1279"/>
  <c r="B1279"/>
  <c r="C1279"/>
  <c r="D1279"/>
  <c r="E1279"/>
  <c r="F1279"/>
  <c r="A1280"/>
  <c r="B1280"/>
  <c r="C1280"/>
  <c r="D1280"/>
  <c r="E1280"/>
  <c r="F1280"/>
  <c r="A1281"/>
  <c r="B1281"/>
  <c r="C1281"/>
  <c r="D1281"/>
  <c r="E1281"/>
  <c r="F1281"/>
  <c r="A1282"/>
  <c r="B1282"/>
  <c r="C1282"/>
  <c r="D1282"/>
  <c r="E1282"/>
  <c r="F1282"/>
  <c r="A1283"/>
  <c r="B1283"/>
  <c r="C1283"/>
  <c r="D1283"/>
  <c r="E1283"/>
  <c r="F1283"/>
  <c r="A1284"/>
  <c r="B1284"/>
  <c r="C1284"/>
  <c r="D1284"/>
  <c r="E1284"/>
  <c r="F1284"/>
  <c r="A1285"/>
  <c r="B1285"/>
  <c r="C1285"/>
  <c r="D1285"/>
  <c r="E1285"/>
  <c r="F1285"/>
  <c r="A1286"/>
  <c r="B1286"/>
  <c r="C1286"/>
  <c r="D1286"/>
  <c r="E1286"/>
  <c r="F1286"/>
  <c r="A1287"/>
  <c r="B1287"/>
  <c r="C1287"/>
  <c r="D1287"/>
  <c r="E1287"/>
  <c r="F1287"/>
  <c r="A1288"/>
  <c r="B1288"/>
  <c r="C1288"/>
  <c r="D1288"/>
  <c r="E1288"/>
  <c r="F1288"/>
  <c r="A1289"/>
  <c r="B1289"/>
  <c r="C1289"/>
  <c r="D1289"/>
  <c r="E1289"/>
  <c r="F1289"/>
  <c r="A1290"/>
  <c r="B1290"/>
  <c r="C1290"/>
  <c r="D1290"/>
  <c r="E1290"/>
  <c r="F1290"/>
  <c r="A1291"/>
  <c r="B1291"/>
  <c r="C1291"/>
  <c r="D1291"/>
  <c r="E1291"/>
  <c r="F1291"/>
  <c r="A1292"/>
  <c r="B1292"/>
  <c r="C1292"/>
  <c r="D1292"/>
  <c r="E1292"/>
  <c r="F1292"/>
  <c r="A1293"/>
  <c r="B1293"/>
  <c r="C1293"/>
  <c r="D1293"/>
  <c r="E1293"/>
  <c r="F1293"/>
  <c r="A1294"/>
  <c r="B1294"/>
  <c r="C1294"/>
  <c r="D1294"/>
  <c r="E1294"/>
  <c r="F1294"/>
  <c r="A1295"/>
  <c r="B1295"/>
  <c r="C1295"/>
  <c r="D1295"/>
  <c r="E1295"/>
  <c r="F1295"/>
  <c r="A1296"/>
  <c r="B1296"/>
  <c r="C1296"/>
  <c r="D1296"/>
  <c r="E1296"/>
  <c r="F1296"/>
  <c r="A1297"/>
  <c r="B1297"/>
  <c r="C1297"/>
  <c r="D1297"/>
  <c r="E1297"/>
  <c r="F1297"/>
  <c r="A1298"/>
  <c r="B1298"/>
  <c r="C1298"/>
  <c r="D1298"/>
  <c r="E1298"/>
  <c r="F1298"/>
  <c r="A1299"/>
  <c r="B1299"/>
  <c r="C1299"/>
  <c r="D1299"/>
  <c r="E1299"/>
  <c r="F1299"/>
  <c r="A1300"/>
  <c r="B1300"/>
  <c r="C1300"/>
  <c r="D1300"/>
  <c r="E1300"/>
  <c r="F1300"/>
  <c r="A1301"/>
  <c r="B1301"/>
  <c r="C1301"/>
  <c r="D1301"/>
  <c r="E1301"/>
  <c r="F1301"/>
  <c r="A1302"/>
  <c r="B1302"/>
  <c r="C1302"/>
  <c r="D1302"/>
  <c r="E1302"/>
  <c r="F1302"/>
  <c r="A1303"/>
  <c r="B1303"/>
  <c r="C1303"/>
  <c r="D1303"/>
  <c r="E1303"/>
  <c r="F1303"/>
  <c r="A1304"/>
  <c r="B1304"/>
  <c r="C1304"/>
  <c r="D1304"/>
  <c r="E1304"/>
  <c r="F1304"/>
  <c r="A1305"/>
  <c r="B1305"/>
  <c r="C1305"/>
  <c r="D1305"/>
  <c r="E1305"/>
  <c r="F1305"/>
  <c r="A1306"/>
  <c r="B1306"/>
  <c r="C1306"/>
  <c r="D1306"/>
  <c r="E1306"/>
  <c r="F1306"/>
  <c r="F1271"/>
  <c r="E1271"/>
  <c r="D1271"/>
  <c r="C1271"/>
  <c r="B1271"/>
  <c r="A1271"/>
  <c r="F1270"/>
  <c r="E1270"/>
  <c r="D1270"/>
  <c r="C1270"/>
  <c r="B1270"/>
  <c r="A1270"/>
  <c r="F1269"/>
  <c r="E1269"/>
  <c r="D1269"/>
  <c r="C1269"/>
  <c r="B1269"/>
  <c r="A1269"/>
  <c r="F1268"/>
  <c r="E1268"/>
  <c r="D1268"/>
  <c r="C1268"/>
  <c r="B1268"/>
  <c r="A1268"/>
  <c r="F1267"/>
  <c r="E1267"/>
  <c r="D1267"/>
  <c r="C1267"/>
  <c r="B1267"/>
  <c r="A1267"/>
  <c r="A1233"/>
  <c r="B1233"/>
  <c r="C1233"/>
  <c r="D1233"/>
  <c r="E1233"/>
  <c r="F1233"/>
  <c r="A1234"/>
  <c r="B1234"/>
  <c r="C1234"/>
  <c r="D1234"/>
  <c r="E1234"/>
  <c r="F1234"/>
  <c r="A1235"/>
  <c r="B1235"/>
  <c r="C1235"/>
  <c r="D1235"/>
  <c r="E1235"/>
  <c r="F1235"/>
  <c r="A1236"/>
  <c r="B1236"/>
  <c r="C1236"/>
  <c r="D1236"/>
  <c r="E1236"/>
  <c r="F1236"/>
  <c r="A1237"/>
  <c r="B1237"/>
  <c r="C1237"/>
  <c r="D1237"/>
  <c r="E1237"/>
  <c r="F1237"/>
  <c r="A1238"/>
  <c r="B1238"/>
  <c r="C1238"/>
  <c r="D1238"/>
  <c r="E1238"/>
  <c r="F1238"/>
  <c r="A1239"/>
  <c r="B1239"/>
  <c r="C1239"/>
  <c r="D1239"/>
  <c r="E1239"/>
  <c r="F1239"/>
  <c r="A1240"/>
  <c r="B1240"/>
  <c r="C1240"/>
  <c r="D1240"/>
  <c r="E1240"/>
  <c r="F1240"/>
  <c r="A1241"/>
  <c r="B1241"/>
  <c r="C1241"/>
  <c r="D1241"/>
  <c r="E1241"/>
  <c r="F1241"/>
  <c r="A1242"/>
  <c r="B1242"/>
  <c r="C1242"/>
  <c r="D1242"/>
  <c r="E1242"/>
  <c r="F1242"/>
  <c r="A1243"/>
  <c r="B1243"/>
  <c r="C1243"/>
  <c r="D1243"/>
  <c r="E1243"/>
  <c r="F1243"/>
  <c r="A1244"/>
  <c r="B1244"/>
  <c r="C1244"/>
  <c r="D1244"/>
  <c r="E1244"/>
  <c r="F1244"/>
  <c r="A1245"/>
  <c r="B1245"/>
  <c r="C1245"/>
  <c r="D1245"/>
  <c r="E1245"/>
  <c r="F1245"/>
  <c r="A1246"/>
  <c r="B1246"/>
  <c r="C1246"/>
  <c r="D1246"/>
  <c r="E1246"/>
  <c r="F1246"/>
  <c r="A1247"/>
  <c r="B1247"/>
  <c r="C1247"/>
  <c r="D1247"/>
  <c r="E1247"/>
  <c r="F1247"/>
  <c r="A1248"/>
  <c r="B1248"/>
  <c r="C1248"/>
  <c r="D1248"/>
  <c r="E1248"/>
  <c r="F1248"/>
  <c r="A1249"/>
  <c r="B1249"/>
  <c r="C1249"/>
  <c r="D1249"/>
  <c r="E1249"/>
  <c r="F1249"/>
  <c r="A1250"/>
  <c r="B1250"/>
  <c r="C1250"/>
  <c r="D1250"/>
  <c r="E1250"/>
  <c r="F1250"/>
  <c r="A1251"/>
  <c r="B1251"/>
  <c r="C1251"/>
  <c r="D1251"/>
  <c r="E1251"/>
  <c r="F1251"/>
  <c r="A1252"/>
  <c r="B1252"/>
  <c r="C1252"/>
  <c r="D1252"/>
  <c r="E1252"/>
  <c r="F1252"/>
  <c r="A1253"/>
  <c r="B1253"/>
  <c r="C1253"/>
  <c r="D1253"/>
  <c r="E1253"/>
  <c r="F1253"/>
  <c r="A1254"/>
  <c r="B1254"/>
  <c r="C1254"/>
  <c r="D1254"/>
  <c r="E1254"/>
  <c r="F1254"/>
  <c r="A1255"/>
  <c r="B1255"/>
  <c r="C1255"/>
  <c r="D1255"/>
  <c r="E1255"/>
  <c r="F1255"/>
  <c r="A1256"/>
  <c r="B1256"/>
  <c r="C1256"/>
  <c r="D1256"/>
  <c r="E1256"/>
  <c r="F1256"/>
  <c r="A1257"/>
  <c r="B1257"/>
  <c r="C1257"/>
  <c r="D1257"/>
  <c r="E1257"/>
  <c r="F1257"/>
  <c r="A1258"/>
  <c r="B1258"/>
  <c r="C1258"/>
  <c r="D1258"/>
  <c r="E1258"/>
  <c r="F1258"/>
  <c r="A1259"/>
  <c r="B1259"/>
  <c r="C1259"/>
  <c r="D1259"/>
  <c r="E1259"/>
  <c r="F1259"/>
  <c r="A1260"/>
  <c r="B1260"/>
  <c r="C1260"/>
  <c r="D1260"/>
  <c r="E1260"/>
  <c r="F1260"/>
  <c r="A1261"/>
  <c r="B1261"/>
  <c r="C1261"/>
  <c r="D1261"/>
  <c r="E1261"/>
  <c r="F1261"/>
  <c r="A1262"/>
  <c r="B1262"/>
  <c r="C1262"/>
  <c r="D1262"/>
  <c r="E1262"/>
  <c r="F1262"/>
  <c r="A1263"/>
  <c r="B1263"/>
  <c r="C1263"/>
  <c r="D1263"/>
  <c r="E1263"/>
  <c r="F1263"/>
  <c r="A1264"/>
  <c r="B1264"/>
  <c r="C1264"/>
  <c r="D1264"/>
  <c r="E1264"/>
  <c r="F1264"/>
  <c r="F1232"/>
  <c r="E1232"/>
  <c r="D1232"/>
  <c r="C1232"/>
  <c r="B1232"/>
  <c r="A1232"/>
  <c r="F1231"/>
  <c r="E1231"/>
  <c r="D1231"/>
  <c r="C1231"/>
  <c r="B1231"/>
  <c r="A1231"/>
  <c r="F1230"/>
  <c r="E1230"/>
  <c r="D1230"/>
  <c r="C1230"/>
  <c r="B1230"/>
  <c r="A1230"/>
  <c r="F1229"/>
  <c r="E1229"/>
  <c r="D1229"/>
  <c r="C1229"/>
  <c r="B1229"/>
  <c r="A1229"/>
  <c r="A1023"/>
  <c r="B1023"/>
  <c r="C1023"/>
  <c r="D1023"/>
  <c r="E1023"/>
  <c r="F1023"/>
  <c r="A1024"/>
  <c r="B1024"/>
  <c r="C1024"/>
  <c r="D1024"/>
  <c r="E1024"/>
  <c r="F1024"/>
  <c r="A1025"/>
  <c r="B1025"/>
  <c r="C1025"/>
  <c r="D1025"/>
  <c r="E1025"/>
  <c r="F1025"/>
  <c r="A1026"/>
  <c r="B1026"/>
  <c r="C1026"/>
  <c r="D1026"/>
  <c r="E1026"/>
  <c r="F1026"/>
  <c r="A1027"/>
  <c r="B1027"/>
  <c r="C1027"/>
  <c r="D1027"/>
  <c r="E1027"/>
  <c r="F1027"/>
  <c r="A1028"/>
  <c r="B1028"/>
  <c r="C1028"/>
  <c r="D1028"/>
  <c r="E1028"/>
  <c r="F1028"/>
  <c r="A1029"/>
  <c r="B1029"/>
  <c r="C1029"/>
  <c r="D1029"/>
  <c r="E1029"/>
  <c r="F1029"/>
  <c r="A1030"/>
  <c r="B1030"/>
  <c r="C1030"/>
  <c r="D1030"/>
  <c r="E1030"/>
  <c r="F1030"/>
  <c r="A1031"/>
  <c r="B1031"/>
  <c r="C1031"/>
  <c r="D1031"/>
  <c r="E1031"/>
  <c r="F1031"/>
  <c r="A1032"/>
  <c r="B1032"/>
  <c r="C1032"/>
  <c r="D1032"/>
  <c r="E1032"/>
  <c r="F1032"/>
  <c r="A1033"/>
  <c r="B1033"/>
  <c r="C1033"/>
  <c r="D1033"/>
  <c r="E1033"/>
  <c r="F1033"/>
  <c r="A1034"/>
  <c r="B1034"/>
  <c r="C1034"/>
  <c r="D1034"/>
  <c r="E1034"/>
  <c r="F1034"/>
  <c r="A1035"/>
  <c r="B1035"/>
  <c r="C1035"/>
  <c r="D1035"/>
  <c r="E1035"/>
  <c r="F1035"/>
  <c r="A1036"/>
  <c r="B1036"/>
  <c r="C1036"/>
  <c r="D1036"/>
  <c r="E1036"/>
  <c r="F1036"/>
  <c r="A1037"/>
  <c r="B1037"/>
  <c r="C1037"/>
  <c r="D1037"/>
  <c r="E1037"/>
  <c r="F1037"/>
  <c r="A1038"/>
  <c r="B1038"/>
  <c r="C1038"/>
  <c r="D1038"/>
  <c r="E1038"/>
  <c r="F1038"/>
  <c r="A1039"/>
  <c r="B1039"/>
  <c r="C1039"/>
  <c r="D1039"/>
  <c r="E1039"/>
  <c r="F1039"/>
  <c r="A1040"/>
  <c r="B1040"/>
  <c r="C1040"/>
  <c r="D1040"/>
  <c r="E1040"/>
  <c r="F1040"/>
  <c r="A1041"/>
  <c r="B1041"/>
  <c r="C1041"/>
  <c r="D1041"/>
  <c r="E1041"/>
  <c r="F1041"/>
  <c r="A1042"/>
  <c r="B1042"/>
  <c r="C1042"/>
  <c r="D1042"/>
  <c r="E1042"/>
  <c r="F1042"/>
  <c r="A1043"/>
  <c r="B1043"/>
  <c r="C1043"/>
  <c r="D1043"/>
  <c r="E1043"/>
  <c r="F1043"/>
  <c r="A1044"/>
  <c r="B1044"/>
  <c r="C1044"/>
  <c r="D1044"/>
  <c r="E1044"/>
  <c r="F1044"/>
  <c r="A1045"/>
  <c r="B1045"/>
  <c r="C1045"/>
  <c r="D1045"/>
  <c r="E1045"/>
  <c r="F1045"/>
  <c r="A1046"/>
  <c r="B1046"/>
  <c r="C1046"/>
  <c r="D1046"/>
  <c r="E1046"/>
  <c r="F1046"/>
  <c r="A1047"/>
  <c r="B1047"/>
  <c r="C1047"/>
  <c r="D1047"/>
  <c r="E1047"/>
  <c r="F1047"/>
  <c r="A1048"/>
  <c r="B1048"/>
  <c r="C1048"/>
  <c r="D1048"/>
  <c r="E1048"/>
  <c r="F1048"/>
  <c r="A1049"/>
  <c r="B1049"/>
  <c r="C1049"/>
  <c r="D1049"/>
  <c r="E1049"/>
  <c r="F1049"/>
  <c r="A1050"/>
  <c r="B1050"/>
  <c r="C1050"/>
  <c r="D1050"/>
  <c r="E1050"/>
  <c r="F1050"/>
  <c r="A1051"/>
  <c r="B1051"/>
  <c r="C1051"/>
  <c r="D1051"/>
  <c r="E1051"/>
  <c r="F1051"/>
  <c r="A1052"/>
  <c r="B1052"/>
  <c r="C1052"/>
  <c r="D1052"/>
  <c r="E1052"/>
  <c r="F1052"/>
  <c r="A1053"/>
  <c r="B1053"/>
  <c r="C1053"/>
  <c r="D1053"/>
  <c r="E1053"/>
  <c r="F1053"/>
  <c r="A1054"/>
  <c r="B1054"/>
  <c r="C1054"/>
  <c r="D1054"/>
  <c r="E1054"/>
  <c r="F1054"/>
  <c r="A1055"/>
  <c r="B1055"/>
  <c r="C1055"/>
  <c r="D1055"/>
  <c r="E1055"/>
  <c r="F1055"/>
  <c r="A1056"/>
  <c r="B1056"/>
  <c r="C1056"/>
  <c r="D1056"/>
  <c r="E1056"/>
  <c r="F1056"/>
  <c r="A1057"/>
  <c r="B1057"/>
  <c r="C1057"/>
  <c r="D1057"/>
  <c r="E1057"/>
  <c r="F1057"/>
  <c r="A1058"/>
  <c r="B1058"/>
  <c r="C1058"/>
  <c r="D1058"/>
  <c r="E1058"/>
  <c r="F1058"/>
  <c r="A1059"/>
  <c r="B1059"/>
  <c r="C1059"/>
  <c r="D1059"/>
  <c r="E1059"/>
  <c r="F1059"/>
  <c r="A1060"/>
  <c r="B1060"/>
  <c r="C1060"/>
  <c r="D1060"/>
  <c r="E1060"/>
  <c r="F1060"/>
  <c r="A1061"/>
  <c r="B1061"/>
  <c r="C1061"/>
  <c r="D1061"/>
  <c r="E1061"/>
  <c r="F1061"/>
  <c r="A1062"/>
  <c r="B1062"/>
  <c r="C1062"/>
  <c r="D1062"/>
  <c r="E1062"/>
  <c r="F1062"/>
  <c r="A1063"/>
  <c r="B1063"/>
  <c r="C1063"/>
  <c r="D1063"/>
  <c r="E1063"/>
  <c r="F1063"/>
  <c r="A1064"/>
  <c r="B1064"/>
  <c r="C1064"/>
  <c r="D1064"/>
  <c r="E1064"/>
  <c r="F1064"/>
  <c r="A1065"/>
  <c r="B1065"/>
  <c r="C1065"/>
  <c r="D1065"/>
  <c r="E1065"/>
  <c r="F1065"/>
  <c r="A1066"/>
  <c r="B1066"/>
  <c r="C1066"/>
  <c r="D1066"/>
  <c r="E1066"/>
  <c r="F1066"/>
  <c r="A1067"/>
  <c r="B1067"/>
  <c r="C1067"/>
  <c r="D1067"/>
  <c r="E1067"/>
  <c r="F1067"/>
  <c r="A1068"/>
  <c r="B1068"/>
  <c r="C1068"/>
  <c r="D1068"/>
  <c r="E1068"/>
  <c r="F1068"/>
  <c r="A1069"/>
  <c r="B1069"/>
  <c r="C1069"/>
  <c r="D1069"/>
  <c r="E1069"/>
  <c r="F1069"/>
  <c r="A1070"/>
  <c r="B1070"/>
  <c r="C1070"/>
  <c r="D1070"/>
  <c r="E1070"/>
  <c r="F1070"/>
  <c r="A1071"/>
  <c r="B1071"/>
  <c r="C1071"/>
  <c r="D1071"/>
  <c r="E1071"/>
  <c r="F1071"/>
  <c r="A1072"/>
  <c r="B1072"/>
  <c r="C1072"/>
  <c r="D1072"/>
  <c r="E1072"/>
  <c r="F1072"/>
  <c r="A1073"/>
  <c r="B1073"/>
  <c r="C1073"/>
  <c r="D1073"/>
  <c r="E1073"/>
  <c r="F1073"/>
  <c r="A1074"/>
  <c r="B1074"/>
  <c r="C1074"/>
  <c r="D1074"/>
  <c r="E1074"/>
  <c r="F1074"/>
  <c r="A1075"/>
  <c r="B1075"/>
  <c r="C1075"/>
  <c r="D1075"/>
  <c r="E1075"/>
  <c r="F1075"/>
  <c r="A1076"/>
  <c r="B1076"/>
  <c r="C1076"/>
  <c r="D1076"/>
  <c r="E1076"/>
  <c r="F1076"/>
  <c r="A1077"/>
  <c r="B1077"/>
  <c r="C1077"/>
  <c r="D1077"/>
  <c r="E1077"/>
  <c r="F1077"/>
  <c r="A1078"/>
  <c r="B1078"/>
  <c r="C1078"/>
  <c r="D1078"/>
  <c r="E1078"/>
  <c r="F1078"/>
  <c r="A1079"/>
  <c r="B1079"/>
  <c r="C1079"/>
  <c r="D1079"/>
  <c r="E1079"/>
  <c r="F1079"/>
  <c r="A1080"/>
  <c r="B1080"/>
  <c r="C1080"/>
  <c r="D1080"/>
  <c r="E1080"/>
  <c r="F1080"/>
  <c r="A1081"/>
  <c r="B1081"/>
  <c r="C1081"/>
  <c r="D1081"/>
  <c r="E1081"/>
  <c r="F1081"/>
  <c r="A1082"/>
  <c r="B1082"/>
  <c r="C1082"/>
  <c r="D1082"/>
  <c r="E1082"/>
  <c r="F1082"/>
  <c r="A1083"/>
  <c r="B1083"/>
  <c r="C1083"/>
  <c r="D1083"/>
  <c r="E1083"/>
  <c r="F1083"/>
  <c r="A1084"/>
  <c r="B1084"/>
  <c r="C1084"/>
  <c r="D1084"/>
  <c r="E1084"/>
  <c r="F1084"/>
  <c r="A1085"/>
  <c r="B1085"/>
  <c r="C1085"/>
  <c r="D1085"/>
  <c r="E1085"/>
  <c r="F1085"/>
  <c r="A1086"/>
  <c r="B1086"/>
  <c r="C1086"/>
  <c r="D1086"/>
  <c r="E1086"/>
  <c r="F1086"/>
  <c r="A1087"/>
  <c r="B1087"/>
  <c r="C1087"/>
  <c r="D1087"/>
  <c r="E1087"/>
  <c r="F1087"/>
  <c r="A1088"/>
  <c r="B1088"/>
  <c r="C1088"/>
  <c r="D1088"/>
  <c r="E1088"/>
  <c r="F1088"/>
  <c r="A1089"/>
  <c r="B1089"/>
  <c r="C1089"/>
  <c r="D1089"/>
  <c r="E1089"/>
  <c r="F1089"/>
  <c r="A1090"/>
  <c r="B1090"/>
  <c r="C1090"/>
  <c r="D1090"/>
  <c r="E1090"/>
  <c r="F1090"/>
  <c r="A1091"/>
  <c r="B1091"/>
  <c r="C1091"/>
  <c r="D1091"/>
  <c r="E1091"/>
  <c r="F1091"/>
  <c r="A1092"/>
  <c r="B1092"/>
  <c r="C1092"/>
  <c r="D1092"/>
  <c r="E1092"/>
  <c r="F1092"/>
  <c r="A1093"/>
  <c r="B1093"/>
  <c r="C1093"/>
  <c r="D1093"/>
  <c r="E1093"/>
  <c r="F1093"/>
  <c r="A1094"/>
  <c r="B1094"/>
  <c r="C1094"/>
  <c r="D1094"/>
  <c r="E1094"/>
  <c r="F1094"/>
  <c r="A1095"/>
  <c r="B1095"/>
  <c r="C1095"/>
  <c r="D1095"/>
  <c r="E1095"/>
  <c r="F1095"/>
  <c r="A1096"/>
  <c r="B1096"/>
  <c r="C1096"/>
  <c r="D1096"/>
  <c r="E1096"/>
  <c r="F1096"/>
  <c r="A1097"/>
  <c r="B1097"/>
  <c r="C1097"/>
  <c r="D1097"/>
  <c r="E1097"/>
  <c r="F1097"/>
  <c r="A1098"/>
  <c r="B1098"/>
  <c r="C1098"/>
  <c r="D1098"/>
  <c r="E1098"/>
  <c r="F1098"/>
  <c r="A1099"/>
  <c r="B1099"/>
  <c r="C1099"/>
  <c r="D1099"/>
  <c r="E1099"/>
  <c r="F1099"/>
  <c r="A1100"/>
  <c r="B1100"/>
  <c r="C1100"/>
  <c r="D1100"/>
  <c r="E1100"/>
  <c r="F1100"/>
  <c r="A1101"/>
  <c r="B1101"/>
  <c r="C1101"/>
  <c r="D1101"/>
  <c r="E1101"/>
  <c r="F1101"/>
  <c r="A1102"/>
  <c r="B1102"/>
  <c r="C1102"/>
  <c r="D1102"/>
  <c r="E1102"/>
  <c r="F1102"/>
  <c r="A1103"/>
  <c r="B1103"/>
  <c r="C1103"/>
  <c r="D1103"/>
  <c r="E1103"/>
  <c r="F1103"/>
  <c r="A1104"/>
  <c r="B1104"/>
  <c r="C1104"/>
  <c r="D1104"/>
  <c r="E1104"/>
  <c r="F1104"/>
  <c r="A1105"/>
  <c r="B1105"/>
  <c r="C1105"/>
  <c r="D1105"/>
  <c r="E1105"/>
  <c r="F1105"/>
  <c r="A1106"/>
  <c r="B1106"/>
  <c r="C1106"/>
  <c r="D1106"/>
  <c r="E1106"/>
  <c r="F1106"/>
  <c r="A1107"/>
  <c r="B1107"/>
  <c r="C1107"/>
  <c r="D1107"/>
  <c r="E1107"/>
  <c r="F1107"/>
  <c r="A1108"/>
  <c r="B1108"/>
  <c r="C1108"/>
  <c r="D1108"/>
  <c r="E1108"/>
  <c r="F1108"/>
  <c r="A1109"/>
  <c r="B1109"/>
  <c r="C1109"/>
  <c r="D1109"/>
  <c r="E1109"/>
  <c r="F1109"/>
  <c r="A1110"/>
  <c r="B1110"/>
  <c r="C1110"/>
  <c r="D1110"/>
  <c r="E1110"/>
  <c r="F1110"/>
  <c r="A1111"/>
  <c r="B1111"/>
  <c r="C1111"/>
  <c r="D1111"/>
  <c r="E1111"/>
  <c r="F1111"/>
  <c r="A1112"/>
  <c r="B1112"/>
  <c r="C1112"/>
  <c r="D1112"/>
  <c r="E1112"/>
  <c r="F1112"/>
  <c r="A1113"/>
  <c r="B1113"/>
  <c r="C1113"/>
  <c r="D1113"/>
  <c r="E1113"/>
  <c r="F1113"/>
  <c r="A1114"/>
  <c r="B1114"/>
  <c r="C1114"/>
  <c r="D1114"/>
  <c r="E1114"/>
  <c r="F1114"/>
  <c r="A1115"/>
  <c r="B1115"/>
  <c r="C1115"/>
  <c r="D1115"/>
  <c r="E1115"/>
  <c r="F1115"/>
  <c r="A1116"/>
  <c r="B1116"/>
  <c r="C1116"/>
  <c r="D1116"/>
  <c r="E1116"/>
  <c r="F1116"/>
  <c r="A1117"/>
  <c r="B1117"/>
  <c r="C1117"/>
  <c r="D1117"/>
  <c r="E1117"/>
  <c r="F1117"/>
  <c r="A1118"/>
  <c r="B1118"/>
  <c r="C1118"/>
  <c r="D1118"/>
  <c r="E1118"/>
  <c r="F1118"/>
  <c r="A1119"/>
  <c r="B1119"/>
  <c r="C1119"/>
  <c r="D1119"/>
  <c r="E1119"/>
  <c r="F1119"/>
  <c r="A1120"/>
  <c r="B1120"/>
  <c r="C1120"/>
  <c r="D1120"/>
  <c r="E1120"/>
  <c r="F1120"/>
  <c r="A1121"/>
  <c r="B1121"/>
  <c r="C1121"/>
  <c r="D1121"/>
  <c r="E1121"/>
  <c r="F1121"/>
  <c r="A1122"/>
  <c r="B1122"/>
  <c r="C1122"/>
  <c r="D1122"/>
  <c r="E1122"/>
  <c r="F1122"/>
  <c r="A1123"/>
  <c r="B1123"/>
  <c r="C1123"/>
  <c r="D1123"/>
  <c r="E1123"/>
  <c r="F1123"/>
  <c r="A1124"/>
  <c r="B1124"/>
  <c r="C1124"/>
  <c r="D1124"/>
  <c r="E1124"/>
  <c r="F1124"/>
  <c r="A1125"/>
  <c r="B1125"/>
  <c r="C1125"/>
  <c r="D1125"/>
  <c r="E1125"/>
  <c r="F1125"/>
  <c r="A1126"/>
  <c r="B1126"/>
  <c r="C1126"/>
  <c r="D1126"/>
  <c r="E1126"/>
  <c r="F1126"/>
  <c r="A1127"/>
  <c r="B1127"/>
  <c r="C1127"/>
  <c r="D1127"/>
  <c r="E1127"/>
  <c r="F1127"/>
  <c r="A1128"/>
  <c r="B1128"/>
  <c r="C1128"/>
  <c r="D1128"/>
  <c r="E1128"/>
  <c r="F1128"/>
  <c r="A1129"/>
  <c r="B1129"/>
  <c r="C1129"/>
  <c r="D1129"/>
  <c r="E1129"/>
  <c r="F1129"/>
  <c r="A1130"/>
  <c r="B1130"/>
  <c r="C1130"/>
  <c r="D1130"/>
  <c r="E1130"/>
  <c r="F1130"/>
  <c r="A1131"/>
  <c r="B1131"/>
  <c r="C1131"/>
  <c r="D1131"/>
  <c r="E1131"/>
  <c r="F1131"/>
  <c r="A1132"/>
  <c r="B1132"/>
  <c r="C1132"/>
  <c r="D1132"/>
  <c r="E1132"/>
  <c r="F1132"/>
  <c r="A1133"/>
  <c r="B1133"/>
  <c r="C1133"/>
  <c r="D1133"/>
  <c r="E1133"/>
  <c r="F1133"/>
  <c r="A1134"/>
  <c r="B1134"/>
  <c r="C1134"/>
  <c r="D1134"/>
  <c r="E1134"/>
  <c r="F1134"/>
  <c r="A1135"/>
  <c r="B1135"/>
  <c r="C1135"/>
  <c r="D1135"/>
  <c r="E1135"/>
  <c r="F1135"/>
  <c r="A1137"/>
  <c r="B1137"/>
  <c r="C1137"/>
  <c r="D1137"/>
  <c r="E1137"/>
  <c r="F1137"/>
  <c r="A1138"/>
  <c r="B1138"/>
  <c r="C1138"/>
  <c r="D1138"/>
  <c r="E1138"/>
  <c r="F1138"/>
  <c r="A1139"/>
  <c r="B1139"/>
  <c r="C1139"/>
  <c r="D1139"/>
  <c r="E1139"/>
  <c r="F1139"/>
  <c r="A1140"/>
  <c r="B1140"/>
  <c r="C1140"/>
  <c r="D1140"/>
  <c r="E1140"/>
  <c r="F1140"/>
  <c r="A1141"/>
  <c r="B1141"/>
  <c r="C1141"/>
  <c r="D1141"/>
  <c r="E1141"/>
  <c r="F1141"/>
  <c r="A1142"/>
  <c r="B1142"/>
  <c r="C1142"/>
  <c r="D1142"/>
  <c r="E1142"/>
  <c r="F1142"/>
  <c r="A1143"/>
  <c r="B1143"/>
  <c r="C1143"/>
  <c r="D1143"/>
  <c r="E1143"/>
  <c r="F1143"/>
  <c r="A1144"/>
  <c r="B1144"/>
  <c r="C1144"/>
  <c r="D1144"/>
  <c r="E1144"/>
  <c r="F1144"/>
  <c r="A1145"/>
  <c r="B1145"/>
  <c r="C1145"/>
  <c r="D1145"/>
  <c r="E1145"/>
  <c r="F1145"/>
  <c r="A1146"/>
  <c r="B1146"/>
  <c r="C1146"/>
  <c r="D1146"/>
  <c r="E1146"/>
  <c r="F1146"/>
  <c r="A1147"/>
  <c r="B1147"/>
  <c r="C1147"/>
  <c r="D1147"/>
  <c r="E1147"/>
  <c r="F1147"/>
  <c r="A1148"/>
  <c r="B1148"/>
  <c r="C1148"/>
  <c r="D1148"/>
  <c r="E1148"/>
  <c r="F1148"/>
  <c r="A1149"/>
  <c r="B1149"/>
  <c r="C1149"/>
  <c r="D1149"/>
  <c r="E1149"/>
  <c r="F1149"/>
  <c r="A1150"/>
  <c r="B1150"/>
  <c r="C1150"/>
  <c r="D1150"/>
  <c r="E1150"/>
  <c r="F1150"/>
  <c r="A1151"/>
  <c r="B1151"/>
  <c r="C1151"/>
  <c r="D1151"/>
  <c r="E1151"/>
  <c r="F1151"/>
  <c r="A1152"/>
  <c r="B1152"/>
  <c r="C1152"/>
  <c r="D1152"/>
  <c r="E1152"/>
  <c r="F1152"/>
  <c r="A1153"/>
  <c r="B1153"/>
  <c r="C1153"/>
  <c r="D1153"/>
  <c r="E1153"/>
  <c r="F1153"/>
  <c r="A1154"/>
  <c r="B1154"/>
  <c r="C1154"/>
  <c r="D1154"/>
  <c r="E1154"/>
  <c r="F1154"/>
  <c r="A1155"/>
  <c r="B1155"/>
  <c r="C1155"/>
  <c r="D1155"/>
  <c r="E1155"/>
  <c r="F1155"/>
  <c r="A1156"/>
  <c r="B1156"/>
  <c r="C1156"/>
  <c r="D1156"/>
  <c r="E1156"/>
  <c r="F1156"/>
  <c r="A1157"/>
  <c r="B1157"/>
  <c r="C1157"/>
  <c r="D1157"/>
  <c r="E1157"/>
  <c r="F1157"/>
  <c r="A1158"/>
  <c r="B1158"/>
  <c r="C1158"/>
  <c r="D1158"/>
  <c r="E1158"/>
  <c r="F1158"/>
  <c r="A1159"/>
  <c r="B1159"/>
  <c r="C1159"/>
  <c r="D1159"/>
  <c r="E1159"/>
  <c r="F1159"/>
  <c r="A1160"/>
  <c r="B1160"/>
  <c r="C1160"/>
  <c r="D1160"/>
  <c r="E1160"/>
  <c r="F1160"/>
  <c r="A1161"/>
  <c r="B1161"/>
  <c r="C1161"/>
  <c r="D1161"/>
  <c r="E1161"/>
  <c r="F1161"/>
  <c r="A1162"/>
  <c r="B1162"/>
  <c r="C1162"/>
  <c r="D1162"/>
  <c r="E1162"/>
  <c r="F1162"/>
  <c r="A1163"/>
  <c r="B1163"/>
  <c r="C1163"/>
  <c r="D1163"/>
  <c r="E1163"/>
  <c r="F1163"/>
  <c r="A1164"/>
  <c r="B1164"/>
  <c r="C1164"/>
  <c r="D1164"/>
  <c r="E1164"/>
  <c r="F1164"/>
  <c r="A1165"/>
  <c r="B1165"/>
  <c r="C1165"/>
  <c r="D1165"/>
  <c r="E1165"/>
  <c r="F1165"/>
  <c r="A1166"/>
  <c r="B1166"/>
  <c r="C1166"/>
  <c r="D1166"/>
  <c r="E1166"/>
  <c r="F1166"/>
  <c r="A1167"/>
  <c r="B1167"/>
  <c r="C1167"/>
  <c r="D1167"/>
  <c r="E1167"/>
  <c r="F1167"/>
  <c r="A1168"/>
  <c r="B1168"/>
  <c r="C1168"/>
  <c r="D1168"/>
  <c r="E1168"/>
  <c r="F1168"/>
  <c r="A1169"/>
  <c r="B1169"/>
  <c r="C1169"/>
  <c r="D1169"/>
  <c r="E1169"/>
  <c r="F1169"/>
  <c r="A1170"/>
  <c r="B1170"/>
  <c r="C1170"/>
  <c r="D1170"/>
  <c r="E1170"/>
  <c r="F1170"/>
  <c r="A1171"/>
  <c r="B1171"/>
  <c r="C1171"/>
  <c r="D1171"/>
  <c r="E1171"/>
  <c r="F1171"/>
  <c r="A1172"/>
  <c r="B1172"/>
  <c r="C1172"/>
  <c r="D1172"/>
  <c r="E1172"/>
  <c r="F1172"/>
  <c r="A1173"/>
  <c r="B1173"/>
  <c r="C1173"/>
  <c r="D1173"/>
  <c r="E1173"/>
  <c r="F1173"/>
  <c r="A1174"/>
  <c r="B1174"/>
  <c r="C1174"/>
  <c r="D1174"/>
  <c r="E1174"/>
  <c r="F1174"/>
  <c r="A1175"/>
  <c r="B1175"/>
  <c r="C1175"/>
  <c r="D1175"/>
  <c r="E1175"/>
  <c r="F1175"/>
  <c r="A1176"/>
  <c r="B1176"/>
  <c r="C1176"/>
  <c r="D1176"/>
  <c r="E1176"/>
  <c r="F1176"/>
  <c r="A1177"/>
  <c r="B1177"/>
  <c r="C1177"/>
  <c r="D1177"/>
  <c r="E1177"/>
  <c r="F1177"/>
  <c r="A1178"/>
  <c r="B1178"/>
  <c r="C1178"/>
  <c r="D1178"/>
  <c r="E1178"/>
  <c r="F1178"/>
  <c r="A1179"/>
  <c r="B1179"/>
  <c r="C1179"/>
  <c r="D1179"/>
  <c r="E1179"/>
  <c r="F1179"/>
  <c r="A1180"/>
  <c r="B1180"/>
  <c r="C1180"/>
  <c r="D1180"/>
  <c r="E1180"/>
  <c r="F1180"/>
  <c r="A1181"/>
  <c r="B1181"/>
  <c r="C1181"/>
  <c r="D1181"/>
  <c r="E1181"/>
  <c r="F1181"/>
  <c r="A1182"/>
  <c r="B1182"/>
  <c r="C1182"/>
  <c r="D1182"/>
  <c r="E1182"/>
  <c r="F1182"/>
  <c r="A1183"/>
  <c r="B1183"/>
  <c r="C1183"/>
  <c r="D1183"/>
  <c r="E1183"/>
  <c r="F1183"/>
  <c r="A1184"/>
  <c r="B1184"/>
  <c r="C1184"/>
  <c r="D1184"/>
  <c r="E1184"/>
  <c r="F1184"/>
  <c r="A1185"/>
  <c r="B1185"/>
  <c r="C1185"/>
  <c r="D1185"/>
  <c r="E1185"/>
  <c r="F1185"/>
  <c r="A1186"/>
  <c r="B1186"/>
  <c r="C1186"/>
  <c r="D1186"/>
  <c r="E1186"/>
  <c r="F1186"/>
  <c r="A1187"/>
  <c r="B1187"/>
  <c r="C1187"/>
  <c r="D1187"/>
  <c r="E1187"/>
  <c r="F1187"/>
  <c r="A1188"/>
  <c r="B1188"/>
  <c r="C1188"/>
  <c r="D1188"/>
  <c r="E1188"/>
  <c r="F1188"/>
  <c r="A1189"/>
  <c r="B1189"/>
  <c r="C1189"/>
  <c r="D1189"/>
  <c r="E1189"/>
  <c r="F1189"/>
  <c r="A1190"/>
  <c r="B1190"/>
  <c r="C1190"/>
  <c r="D1190"/>
  <c r="E1190"/>
  <c r="F1190"/>
  <c r="A1191"/>
  <c r="B1191"/>
  <c r="C1191"/>
  <c r="D1191"/>
  <c r="E1191"/>
  <c r="F1191"/>
  <c r="A1192"/>
  <c r="B1192"/>
  <c r="C1192"/>
  <c r="D1192"/>
  <c r="E1192"/>
  <c r="F1192"/>
  <c r="A1193"/>
  <c r="B1193"/>
  <c r="C1193"/>
  <c r="D1193"/>
  <c r="E1193"/>
  <c r="F1193"/>
  <c r="A1194"/>
  <c r="B1194"/>
  <c r="C1194"/>
  <c r="D1194"/>
  <c r="E1194"/>
  <c r="F1194"/>
  <c r="A1195"/>
  <c r="B1195"/>
  <c r="C1195"/>
  <c r="D1195"/>
  <c r="E1195"/>
  <c r="F1195"/>
  <c r="A1196"/>
  <c r="B1196"/>
  <c r="C1196"/>
  <c r="D1196"/>
  <c r="E1196"/>
  <c r="F1196"/>
  <c r="A1197"/>
  <c r="B1197"/>
  <c r="C1197"/>
  <c r="D1197"/>
  <c r="E1197"/>
  <c r="F1197"/>
  <c r="A1198"/>
  <c r="B1198"/>
  <c r="C1198"/>
  <c r="D1198"/>
  <c r="E1198"/>
  <c r="F1198"/>
  <c r="A1199"/>
  <c r="B1199"/>
  <c r="C1199"/>
  <c r="D1199"/>
  <c r="E1199"/>
  <c r="F1199"/>
  <c r="A1200"/>
  <c r="B1200"/>
  <c r="C1200"/>
  <c r="D1200"/>
  <c r="E1200"/>
  <c r="F1200"/>
  <c r="A1201"/>
  <c r="B1201"/>
  <c r="C1201"/>
  <c r="D1201"/>
  <c r="E1201"/>
  <c r="F1201"/>
  <c r="A1202"/>
  <c r="B1202"/>
  <c r="C1202"/>
  <c r="D1202"/>
  <c r="E1202"/>
  <c r="F1202"/>
  <c r="A1203"/>
  <c r="B1203"/>
  <c r="C1203"/>
  <c r="D1203"/>
  <c r="E1203"/>
  <c r="F1203"/>
  <c r="A1204"/>
  <c r="B1204"/>
  <c r="C1204"/>
  <c r="D1204"/>
  <c r="E1204"/>
  <c r="F1204"/>
  <c r="A1205"/>
  <c r="B1205"/>
  <c r="C1205"/>
  <c r="D1205"/>
  <c r="E1205"/>
  <c r="F1205"/>
  <c r="A1206"/>
  <c r="B1206"/>
  <c r="C1206"/>
  <c r="D1206"/>
  <c r="E1206"/>
  <c r="F1206"/>
  <c r="A1207"/>
  <c r="B1207"/>
  <c r="C1207"/>
  <c r="D1207"/>
  <c r="E1207"/>
  <c r="F1207"/>
  <c r="A1208"/>
  <c r="B1208"/>
  <c r="C1208"/>
  <c r="D1208"/>
  <c r="E1208"/>
  <c r="F1208"/>
  <c r="A1209"/>
  <c r="B1209"/>
  <c r="C1209"/>
  <c r="D1209"/>
  <c r="E1209"/>
  <c r="F1209"/>
  <c r="A1210"/>
  <c r="B1210"/>
  <c r="C1210"/>
  <c r="D1210"/>
  <c r="E1210"/>
  <c r="F1210"/>
  <c r="A1211"/>
  <c r="B1211"/>
  <c r="C1211"/>
  <c r="D1211"/>
  <c r="E1211"/>
  <c r="F1211"/>
  <c r="A1212"/>
  <c r="B1212"/>
  <c r="C1212"/>
  <c r="D1212"/>
  <c r="E1212"/>
  <c r="F1212"/>
  <c r="A1213"/>
  <c r="B1213"/>
  <c r="C1213"/>
  <c r="D1213"/>
  <c r="E1213"/>
  <c r="F1213"/>
  <c r="A1214"/>
  <c r="B1214"/>
  <c r="C1214"/>
  <c r="D1214"/>
  <c r="E1214"/>
  <c r="F1214"/>
  <c r="A1215"/>
  <c r="B1215"/>
  <c r="C1215"/>
  <c r="D1215"/>
  <c r="E1215"/>
  <c r="F1215"/>
  <c r="A1216"/>
  <c r="B1216"/>
  <c r="C1216"/>
  <c r="D1216"/>
  <c r="E1216"/>
  <c r="F1216"/>
  <c r="A1217"/>
  <c r="B1217"/>
  <c r="C1217"/>
  <c r="D1217"/>
  <c r="E1217"/>
  <c r="F1217"/>
  <c r="A1218"/>
  <c r="B1218"/>
  <c r="C1218"/>
  <c r="D1218"/>
  <c r="E1218"/>
  <c r="F1218"/>
  <c r="A1219"/>
  <c r="B1219"/>
  <c r="C1219"/>
  <c r="D1219"/>
  <c r="E1219"/>
  <c r="F1219"/>
  <c r="A1220"/>
  <c r="B1220"/>
  <c r="C1220"/>
  <c r="D1220"/>
  <c r="E1220"/>
  <c r="F1220"/>
  <c r="A1221"/>
  <c r="B1221"/>
  <c r="C1221"/>
  <c r="D1221"/>
  <c r="E1221"/>
  <c r="F1221"/>
  <c r="A1222"/>
  <c r="B1222"/>
  <c r="C1222"/>
  <c r="D1222"/>
  <c r="E1222"/>
  <c r="F1222"/>
  <c r="A1223"/>
  <c r="B1223"/>
  <c r="C1223"/>
  <c r="D1223"/>
  <c r="E1223"/>
  <c r="F1223"/>
  <c r="A1224"/>
  <c r="B1224"/>
  <c r="C1224"/>
  <c r="D1224"/>
  <c r="E1224"/>
  <c r="F1224"/>
  <c r="A1225"/>
  <c r="B1225"/>
  <c r="C1225"/>
  <c r="D1225"/>
  <c r="E1225"/>
  <c r="F1225"/>
  <c r="A1226"/>
  <c r="B1226"/>
  <c r="C1226"/>
  <c r="D1226"/>
  <c r="E1226"/>
  <c r="F1226"/>
  <c r="F1022"/>
  <c r="E1022"/>
  <c r="D1022"/>
  <c r="C1022"/>
  <c r="B1022"/>
  <c r="A1022"/>
  <c r="F1021"/>
  <c r="E1021"/>
  <c r="D1021"/>
  <c r="C1021"/>
  <c r="B1021"/>
  <c r="A1021"/>
  <c r="F1020"/>
  <c r="E1020"/>
  <c r="D1020"/>
  <c r="C1020"/>
  <c r="B1020"/>
  <c r="A1020"/>
  <c r="A934"/>
  <c r="B934"/>
  <c r="C934"/>
  <c r="D934"/>
  <c r="E934"/>
  <c r="F934"/>
  <c r="A935"/>
  <c r="B935"/>
  <c r="C935"/>
  <c r="D935"/>
  <c r="E935"/>
  <c r="F935"/>
  <c r="A936"/>
  <c r="B936"/>
  <c r="C936"/>
  <c r="D936"/>
  <c r="E936"/>
  <c r="F936"/>
  <c r="A937"/>
  <c r="B937"/>
  <c r="C937"/>
  <c r="D937"/>
  <c r="E937"/>
  <c r="F937"/>
  <c r="A938"/>
  <c r="B938"/>
  <c r="C938"/>
  <c r="D938"/>
  <c r="E938"/>
  <c r="F938"/>
  <c r="A939"/>
  <c r="B939"/>
  <c r="C939"/>
  <c r="D939"/>
  <c r="E939"/>
  <c r="F939"/>
  <c r="A940"/>
  <c r="B940"/>
  <c r="C940"/>
  <c r="D940"/>
  <c r="E940"/>
  <c r="F940"/>
  <c r="A941"/>
  <c r="B941"/>
  <c r="C941"/>
  <c r="D941"/>
  <c r="E941"/>
  <c r="F941"/>
  <c r="A942"/>
  <c r="B942"/>
  <c r="C942"/>
  <c r="D942"/>
  <c r="E942"/>
  <c r="F942"/>
  <c r="A943"/>
  <c r="B943"/>
  <c r="C943"/>
  <c r="D943"/>
  <c r="E943"/>
  <c r="F943"/>
  <c r="A944"/>
  <c r="B944"/>
  <c r="C944"/>
  <c r="D944"/>
  <c r="E944"/>
  <c r="F944"/>
  <c r="A945"/>
  <c r="B945"/>
  <c r="C945"/>
  <c r="D945"/>
  <c r="E945"/>
  <c r="F945"/>
  <c r="A946"/>
  <c r="B946"/>
  <c r="C946"/>
  <c r="D946"/>
  <c r="E946"/>
  <c r="F946"/>
  <c r="A947"/>
  <c r="B947"/>
  <c r="C947"/>
  <c r="D947"/>
  <c r="E947"/>
  <c r="F947"/>
  <c r="A948"/>
  <c r="B948"/>
  <c r="C948"/>
  <c r="D948"/>
  <c r="E948"/>
  <c r="F948"/>
  <c r="A949"/>
  <c r="B949"/>
  <c r="C949"/>
  <c r="D949"/>
  <c r="E949"/>
  <c r="F949"/>
  <c r="A950"/>
  <c r="B950"/>
  <c r="C950"/>
  <c r="D950"/>
  <c r="E950"/>
  <c r="F950"/>
  <c r="A951"/>
  <c r="B951"/>
  <c r="C951"/>
  <c r="D951"/>
  <c r="E951"/>
  <c r="F951"/>
  <c r="A952"/>
  <c r="B952"/>
  <c r="C952"/>
  <c r="D952"/>
  <c r="E952"/>
  <c r="F952"/>
  <c r="A953"/>
  <c r="B953"/>
  <c r="C953"/>
  <c r="D953"/>
  <c r="E953"/>
  <c r="F953"/>
  <c r="A954"/>
  <c r="B954"/>
  <c r="C954"/>
  <c r="D954"/>
  <c r="E954"/>
  <c r="F954"/>
  <c r="A955"/>
  <c r="B955"/>
  <c r="C955"/>
  <c r="D955"/>
  <c r="E955"/>
  <c r="F955"/>
  <c r="A956"/>
  <c r="B956"/>
  <c r="C956"/>
  <c r="D956"/>
  <c r="E956"/>
  <c r="F956"/>
  <c r="A957"/>
  <c r="B957"/>
  <c r="C957"/>
  <c r="D957"/>
  <c r="E957"/>
  <c r="F957"/>
  <c r="A958"/>
  <c r="B958"/>
  <c r="C958"/>
  <c r="D958"/>
  <c r="E958"/>
  <c r="F958"/>
  <c r="A959"/>
  <c r="B959"/>
  <c r="C959"/>
  <c r="D959"/>
  <c r="E959"/>
  <c r="F959"/>
  <c r="A960"/>
  <c r="B960"/>
  <c r="C960"/>
  <c r="D960"/>
  <c r="E960"/>
  <c r="F960"/>
  <c r="A961"/>
  <c r="B961"/>
  <c r="C961"/>
  <c r="D961"/>
  <c r="E961"/>
  <c r="F961"/>
  <c r="A962"/>
  <c r="B962"/>
  <c r="C962"/>
  <c r="D962"/>
  <c r="E962"/>
  <c r="F962"/>
  <c r="A963"/>
  <c r="B963"/>
  <c r="C963"/>
  <c r="D963"/>
  <c r="E963"/>
  <c r="F963"/>
  <c r="A964"/>
  <c r="B964"/>
  <c r="C964"/>
  <c r="D964"/>
  <c r="E964"/>
  <c r="F964"/>
  <c r="A965"/>
  <c r="B965"/>
  <c r="C965"/>
  <c r="D965"/>
  <c r="E965"/>
  <c r="F965"/>
  <c r="A966"/>
  <c r="B966"/>
  <c r="C966"/>
  <c r="D966"/>
  <c r="E966"/>
  <c r="F966"/>
  <c r="A967"/>
  <c r="B967"/>
  <c r="C967"/>
  <c r="D967"/>
  <c r="E967"/>
  <c r="F967"/>
  <c r="A968"/>
  <c r="B968"/>
  <c r="C968"/>
  <c r="D968"/>
  <c r="E968"/>
  <c r="F968"/>
  <c r="A969"/>
  <c r="B969"/>
  <c r="C969"/>
  <c r="D969"/>
  <c r="E969"/>
  <c r="F969"/>
  <c r="A970"/>
  <c r="B970"/>
  <c r="C970"/>
  <c r="D970"/>
  <c r="E970"/>
  <c r="F970"/>
  <c r="A971"/>
  <c r="B971"/>
  <c r="C971"/>
  <c r="D971"/>
  <c r="E971"/>
  <c r="F971"/>
  <c r="A972"/>
  <c r="B972"/>
  <c r="C972"/>
  <c r="D972"/>
  <c r="E972"/>
  <c r="F972"/>
  <c r="A973"/>
  <c r="B973"/>
  <c r="C973"/>
  <c r="D973"/>
  <c r="E973"/>
  <c r="F973"/>
  <c r="A974"/>
  <c r="B974"/>
  <c r="C974"/>
  <c r="D974"/>
  <c r="E974"/>
  <c r="F974"/>
  <c r="A975"/>
  <c r="B975"/>
  <c r="C975"/>
  <c r="D975"/>
  <c r="E975"/>
  <c r="F975"/>
  <c r="A976"/>
  <c r="B976"/>
  <c r="C976"/>
  <c r="D976"/>
  <c r="E976"/>
  <c r="F976"/>
  <c r="A977"/>
  <c r="B977"/>
  <c r="C977"/>
  <c r="D977"/>
  <c r="E977"/>
  <c r="F977"/>
  <c r="A978"/>
  <c r="B978"/>
  <c r="C978"/>
  <c r="D978"/>
  <c r="E978"/>
  <c r="F978"/>
  <c r="A979"/>
  <c r="B979"/>
  <c r="C979"/>
  <c r="D979"/>
  <c r="E979"/>
  <c r="F979"/>
  <c r="A980"/>
  <c r="B980"/>
  <c r="C980"/>
  <c r="D980"/>
  <c r="E980"/>
  <c r="F980"/>
  <c r="A981"/>
  <c r="B981"/>
  <c r="C981"/>
  <c r="D981"/>
  <c r="E981"/>
  <c r="F981"/>
  <c r="A982"/>
  <c r="B982"/>
  <c r="C982"/>
  <c r="D982"/>
  <c r="E982"/>
  <c r="F982"/>
  <c r="A983"/>
  <c r="B983"/>
  <c r="C983"/>
  <c r="D983"/>
  <c r="E983"/>
  <c r="F983"/>
  <c r="A984"/>
  <c r="B984"/>
  <c r="C984"/>
  <c r="D984"/>
  <c r="E984"/>
  <c r="F984"/>
  <c r="A985"/>
  <c r="B985"/>
  <c r="C985"/>
  <c r="D985"/>
  <c r="E985"/>
  <c r="F985"/>
  <c r="A986"/>
  <c r="B986"/>
  <c r="C986"/>
  <c r="D986"/>
  <c r="E986"/>
  <c r="F986"/>
  <c r="A987"/>
  <c r="B987"/>
  <c r="C987"/>
  <c r="D987"/>
  <c r="E987"/>
  <c r="F987"/>
  <c r="A988"/>
  <c r="B988"/>
  <c r="C988"/>
  <c r="D988"/>
  <c r="E988"/>
  <c r="F988"/>
  <c r="A989"/>
  <c r="B989"/>
  <c r="C989"/>
  <c r="D989"/>
  <c r="E989"/>
  <c r="F989"/>
  <c r="A990"/>
  <c r="B990"/>
  <c r="C990"/>
  <c r="D990"/>
  <c r="E990"/>
  <c r="F990"/>
  <c r="A991"/>
  <c r="B991"/>
  <c r="C991"/>
  <c r="D991"/>
  <c r="E991"/>
  <c r="F991"/>
  <c r="A992"/>
  <c r="B992"/>
  <c r="C992"/>
  <c r="D992"/>
  <c r="E992"/>
  <c r="F992"/>
  <c r="A993"/>
  <c r="B993"/>
  <c r="C993"/>
  <c r="D993"/>
  <c r="E993"/>
  <c r="F993"/>
  <c r="A994"/>
  <c r="B994"/>
  <c r="C994"/>
  <c r="D994"/>
  <c r="E994"/>
  <c r="F994"/>
  <c r="A995"/>
  <c r="B995"/>
  <c r="C995"/>
  <c r="D995"/>
  <c r="E995"/>
  <c r="F995"/>
  <c r="A996"/>
  <c r="B996"/>
  <c r="C996"/>
  <c r="D996"/>
  <c r="E996"/>
  <c r="F996"/>
  <c r="A997"/>
  <c r="B997"/>
  <c r="C997"/>
  <c r="D997"/>
  <c r="E997"/>
  <c r="F997"/>
  <c r="A998"/>
  <c r="B998"/>
  <c r="C998"/>
  <c r="D998"/>
  <c r="E998"/>
  <c r="F998"/>
  <c r="A999"/>
  <c r="B999"/>
  <c r="C999"/>
  <c r="D999"/>
  <c r="E999"/>
  <c r="F999"/>
  <c r="A1000"/>
  <c r="B1000"/>
  <c r="C1000"/>
  <c r="D1000"/>
  <c r="E1000"/>
  <c r="F1000"/>
  <c r="A1001"/>
  <c r="B1001"/>
  <c r="C1001"/>
  <c r="D1001"/>
  <c r="E1001"/>
  <c r="F1001"/>
  <c r="A1002"/>
  <c r="B1002"/>
  <c r="C1002"/>
  <c r="D1002"/>
  <c r="E1002"/>
  <c r="F1002"/>
  <c r="A1003"/>
  <c r="B1003"/>
  <c r="C1003"/>
  <c r="D1003"/>
  <c r="E1003"/>
  <c r="F1003"/>
  <c r="A1005"/>
  <c r="B1005"/>
  <c r="C1005"/>
  <c r="D1005"/>
  <c r="E1005"/>
  <c r="F1005"/>
  <c r="A1006"/>
  <c r="B1006"/>
  <c r="C1006"/>
  <c r="D1006"/>
  <c r="E1006"/>
  <c r="F1006"/>
  <c r="A1007"/>
  <c r="B1007"/>
  <c r="C1007"/>
  <c r="D1007"/>
  <c r="E1007"/>
  <c r="F1007"/>
  <c r="A1008"/>
  <c r="B1008"/>
  <c r="C1008"/>
  <c r="D1008"/>
  <c r="E1008"/>
  <c r="F1008"/>
  <c r="A1009"/>
  <c r="B1009"/>
  <c r="C1009"/>
  <c r="D1009"/>
  <c r="E1009"/>
  <c r="F1009"/>
  <c r="A1010"/>
  <c r="B1010"/>
  <c r="C1010"/>
  <c r="D1010"/>
  <c r="E1010"/>
  <c r="F1010"/>
  <c r="A1011"/>
  <c r="B1011"/>
  <c r="C1011"/>
  <c r="D1011"/>
  <c r="E1011"/>
  <c r="F1011"/>
  <c r="A1012"/>
  <c r="B1012"/>
  <c r="C1012"/>
  <c r="D1012"/>
  <c r="E1012"/>
  <c r="F1012"/>
  <c r="A1013"/>
  <c r="B1013"/>
  <c r="C1013"/>
  <c r="D1013"/>
  <c r="E1013"/>
  <c r="F1013"/>
  <c r="A1014"/>
  <c r="B1014"/>
  <c r="C1014"/>
  <c r="D1014"/>
  <c r="E1014"/>
  <c r="F1014"/>
  <c r="A1015"/>
  <c r="B1015"/>
  <c r="C1015"/>
  <c r="D1015"/>
  <c r="E1015"/>
  <c r="F1015"/>
  <c r="A1016"/>
  <c r="B1016"/>
  <c r="C1016"/>
  <c r="D1016"/>
  <c r="E1016"/>
  <c r="F1016"/>
  <c r="A1017"/>
  <c r="B1017"/>
  <c r="C1017"/>
  <c r="D1017"/>
  <c r="E1017"/>
  <c r="F1017"/>
  <c r="F933"/>
  <c r="E933"/>
  <c r="D933"/>
  <c r="C933"/>
  <c r="B933"/>
  <c r="A933"/>
  <c r="F932"/>
  <c r="E932"/>
  <c r="D932"/>
  <c r="C932"/>
  <c r="B932"/>
  <c r="A932"/>
  <c r="F931"/>
  <c r="E931"/>
  <c r="D931"/>
  <c r="C931"/>
  <c r="B931"/>
  <c r="A931"/>
  <c r="F930"/>
  <c r="E930"/>
  <c r="D930"/>
  <c r="C930"/>
  <c r="B930"/>
  <c r="A930"/>
  <c r="A812"/>
  <c r="B812"/>
  <c r="C812"/>
  <c r="D812"/>
  <c r="E812"/>
  <c r="F812"/>
  <c r="A813"/>
  <c r="B813"/>
  <c r="C813"/>
  <c r="D813"/>
  <c r="E813"/>
  <c r="F813"/>
  <c r="A814"/>
  <c r="B814"/>
  <c r="C814"/>
  <c r="D814"/>
  <c r="E814"/>
  <c r="F814"/>
  <c r="A815"/>
  <c r="B815"/>
  <c r="C815"/>
  <c r="D815"/>
  <c r="E815"/>
  <c r="F815"/>
  <c r="A816"/>
  <c r="B816"/>
  <c r="C816"/>
  <c r="D816"/>
  <c r="E816"/>
  <c r="F816"/>
  <c r="A817"/>
  <c r="B817"/>
  <c r="C817"/>
  <c r="D817"/>
  <c r="E817"/>
  <c r="F817"/>
  <c r="A818"/>
  <c r="B818"/>
  <c r="C818"/>
  <c r="D818"/>
  <c r="E818"/>
  <c r="F818"/>
  <c r="A819"/>
  <c r="B819"/>
  <c r="C819"/>
  <c r="D819"/>
  <c r="E819"/>
  <c r="F819"/>
  <c r="A820"/>
  <c r="B820"/>
  <c r="C820"/>
  <c r="D820"/>
  <c r="E820"/>
  <c r="F820"/>
  <c r="A821"/>
  <c r="B821"/>
  <c r="C821"/>
  <c r="D821"/>
  <c r="E821"/>
  <c r="F821"/>
  <c r="A822"/>
  <c r="B822"/>
  <c r="C822"/>
  <c r="D822"/>
  <c r="E822"/>
  <c r="F822"/>
  <c r="A823"/>
  <c r="B823"/>
  <c r="C823"/>
  <c r="D823"/>
  <c r="E823"/>
  <c r="F823"/>
  <c r="A824"/>
  <c r="B824"/>
  <c r="C824"/>
  <c r="D824"/>
  <c r="E824"/>
  <c r="F824"/>
  <c r="A825"/>
  <c r="B825"/>
  <c r="C825"/>
  <c r="D825"/>
  <c r="E825"/>
  <c r="F825"/>
  <c r="A826"/>
  <c r="B826"/>
  <c r="C826"/>
  <c r="D826"/>
  <c r="E826"/>
  <c r="F826"/>
  <c r="A827"/>
  <c r="B827"/>
  <c r="C827"/>
  <c r="D827"/>
  <c r="E827"/>
  <c r="F827"/>
  <c r="A828"/>
  <c r="B828"/>
  <c r="C828"/>
  <c r="D828"/>
  <c r="E828"/>
  <c r="F828"/>
  <c r="A829"/>
  <c r="B829"/>
  <c r="C829"/>
  <c r="D829"/>
  <c r="E829"/>
  <c r="F829"/>
  <c r="A830"/>
  <c r="B830"/>
  <c r="C830"/>
  <c r="D830"/>
  <c r="E830"/>
  <c r="F830"/>
  <c r="A831"/>
  <c r="B831"/>
  <c r="C831"/>
  <c r="D831"/>
  <c r="E831"/>
  <c r="F831"/>
  <c r="A832"/>
  <c r="B832"/>
  <c r="C832"/>
  <c r="D832"/>
  <c r="E832"/>
  <c r="F832"/>
  <c r="A833"/>
  <c r="B833"/>
  <c r="C833"/>
  <c r="D833"/>
  <c r="E833"/>
  <c r="F833"/>
  <c r="A834"/>
  <c r="B834"/>
  <c r="C834"/>
  <c r="D834"/>
  <c r="E834"/>
  <c r="F834"/>
  <c r="A835"/>
  <c r="B835"/>
  <c r="C835"/>
  <c r="D835"/>
  <c r="E835"/>
  <c r="F835"/>
  <c r="A836"/>
  <c r="B836"/>
  <c r="C836"/>
  <c r="D836"/>
  <c r="E836"/>
  <c r="F836"/>
  <c r="A837"/>
  <c r="B837"/>
  <c r="C837"/>
  <c r="D837"/>
  <c r="E837"/>
  <c r="F837"/>
  <c r="A838"/>
  <c r="B838"/>
  <c r="C838"/>
  <c r="D838"/>
  <c r="E838"/>
  <c r="F838"/>
  <c r="A839"/>
  <c r="B839"/>
  <c r="C839"/>
  <c r="D839"/>
  <c r="E839"/>
  <c r="F839"/>
  <c r="A840"/>
  <c r="B840"/>
  <c r="C840"/>
  <c r="D840"/>
  <c r="E840"/>
  <c r="F840"/>
  <c r="A841"/>
  <c r="B841"/>
  <c r="C841"/>
  <c r="D841"/>
  <c r="E841"/>
  <c r="F841"/>
  <c r="A842"/>
  <c r="B842"/>
  <c r="C842"/>
  <c r="D842"/>
  <c r="E842"/>
  <c r="F842"/>
  <c r="A843"/>
  <c r="B843"/>
  <c r="C843"/>
  <c r="D843"/>
  <c r="E843"/>
  <c r="F843"/>
  <c r="A844"/>
  <c r="B844"/>
  <c r="C844"/>
  <c r="D844"/>
  <c r="E844"/>
  <c r="F844"/>
  <c r="A845"/>
  <c r="B845"/>
  <c r="C845"/>
  <c r="D845"/>
  <c r="E845"/>
  <c r="F845"/>
  <c r="A846"/>
  <c r="B846"/>
  <c r="C846"/>
  <c r="D846"/>
  <c r="E846"/>
  <c r="F846"/>
  <c r="A847"/>
  <c r="B847"/>
  <c r="C847"/>
  <c r="D847"/>
  <c r="E847"/>
  <c r="F847"/>
  <c r="A848"/>
  <c r="B848"/>
  <c r="C848"/>
  <c r="D848"/>
  <c r="E848"/>
  <c r="F848"/>
  <c r="A849"/>
  <c r="B849"/>
  <c r="C849"/>
  <c r="D849"/>
  <c r="E849"/>
  <c r="F849"/>
  <c r="A850"/>
  <c r="B850"/>
  <c r="C850"/>
  <c r="D850"/>
  <c r="E850"/>
  <c r="F850"/>
  <c r="A851"/>
  <c r="B851"/>
  <c r="C851"/>
  <c r="D851"/>
  <c r="E851"/>
  <c r="F851"/>
  <c r="A852"/>
  <c r="B852"/>
  <c r="C852"/>
  <c r="D852"/>
  <c r="E852"/>
  <c r="F852"/>
  <c r="A853"/>
  <c r="B853"/>
  <c r="C853"/>
  <c r="D853"/>
  <c r="E853"/>
  <c r="F853"/>
  <c r="A854"/>
  <c r="B854"/>
  <c r="C854"/>
  <c r="D854"/>
  <c r="E854"/>
  <c r="F854"/>
  <c r="A855"/>
  <c r="B855"/>
  <c r="C855"/>
  <c r="D855"/>
  <c r="E855"/>
  <c r="F855"/>
  <c r="A856"/>
  <c r="B856"/>
  <c r="C856"/>
  <c r="D856"/>
  <c r="E856"/>
  <c r="F856"/>
  <c r="A857"/>
  <c r="B857"/>
  <c r="C857"/>
  <c r="D857"/>
  <c r="E857"/>
  <c r="F857"/>
  <c r="A858"/>
  <c r="B858"/>
  <c r="C858"/>
  <c r="D858"/>
  <c r="E858"/>
  <c r="F858"/>
  <c r="A859"/>
  <c r="B859"/>
  <c r="C859"/>
  <c r="D859"/>
  <c r="E859"/>
  <c r="F859"/>
  <c r="A860"/>
  <c r="B860"/>
  <c r="C860"/>
  <c r="D860"/>
  <c r="E860"/>
  <c r="F860"/>
  <c r="A861"/>
  <c r="B861"/>
  <c r="C861"/>
  <c r="D861"/>
  <c r="E861"/>
  <c r="F861"/>
  <c r="A862"/>
  <c r="B862"/>
  <c r="C862"/>
  <c r="D862"/>
  <c r="E862"/>
  <c r="F862"/>
  <c r="A863"/>
  <c r="B863"/>
  <c r="C863"/>
  <c r="D863"/>
  <c r="E863"/>
  <c r="F863"/>
  <c r="A864"/>
  <c r="B864"/>
  <c r="C864"/>
  <c r="D864"/>
  <c r="E864"/>
  <c r="F864"/>
  <c r="A865"/>
  <c r="B865"/>
  <c r="C865"/>
  <c r="D865"/>
  <c r="E865"/>
  <c r="F865"/>
  <c r="A866"/>
  <c r="B866"/>
  <c r="C866"/>
  <c r="D866"/>
  <c r="E866"/>
  <c r="F866"/>
  <c r="A867"/>
  <c r="B867"/>
  <c r="C867"/>
  <c r="D867"/>
  <c r="E867"/>
  <c r="F867"/>
  <c r="A868"/>
  <c r="B868"/>
  <c r="C868"/>
  <c r="D868"/>
  <c r="E868"/>
  <c r="F868"/>
  <c r="A869"/>
  <c r="B869"/>
  <c r="C869"/>
  <c r="D869"/>
  <c r="E869"/>
  <c r="F869"/>
  <c r="A870"/>
  <c r="B870"/>
  <c r="C870"/>
  <c r="D870"/>
  <c r="E870"/>
  <c r="F870"/>
  <c r="A871"/>
  <c r="B871"/>
  <c r="C871"/>
  <c r="D871"/>
  <c r="E871"/>
  <c r="F871"/>
  <c r="A872"/>
  <c r="B872"/>
  <c r="C872"/>
  <c r="D872"/>
  <c r="E872"/>
  <c r="F872"/>
  <c r="A873"/>
  <c r="B873"/>
  <c r="C873"/>
  <c r="D873"/>
  <c r="E873"/>
  <c r="F873"/>
  <c r="A874"/>
  <c r="B874"/>
  <c r="C874"/>
  <c r="D874"/>
  <c r="E874"/>
  <c r="F874"/>
  <c r="A875"/>
  <c r="B875"/>
  <c r="C875"/>
  <c r="D875"/>
  <c r="E875"/>
  <c r="F875"/>
  <c r="A876"/>
  <c r="B876"/>
  <c r="C876"/>
  <c r="D876"/>
  <c r="E876"/>
  <c r="F876"/>
  <c r="A877"/>
  <c r="B877"/>
  <c r="C877"/>
  <c r="D877"/>
  <c r="E877"/>
  <c r="F877"/>
  <c r="A878"/>
  <c r="B878"/>
  <c r="C878"/>
  <c r="D878"/>
  <c r="E878"/>
  <c r="F878"/>
  <c r="A879"/>
  <c r="B879"/>
  <c r="C879"/>
  <c r="D879"/>
  <c r="E879"/>
  <c r="F879"/>
  <c r="A880"/>
  <c r="B880"/>
  <c r="C880"/>
  <c r="D880"/>
  <c r="E880"/>
  <c r="F880"/>
  <c r="A881"/>
  <c r="B881"/>
  <c r="C881"/>
  <c r="D881"/>
  <c r="E881"/>
  <c r="F881"/>
  <c r="A882"/>
  <c r="B882"/>
  <c r="C882"/>
  <c r="D882"/>
  <c r="E882"/>
  <c r="F882"/>
  <c r="A883"/>
  <c r="B883"/>
  <c r="C883"/>
  <c r="D883"/>
  <c r="E883"/>
  <c r="F883"/>
  <c r="A884"/>
  <c r="B884"/>
  <c r="C884"/>
  <c r="D884"/>
  <c r="E884"/>
  <c r="F884"/>
  <c r="A885"/>
  <c r="B885"/>
  <c r="C885"/>
  <c r="D885"/>
  <c r="E885"/>
  <c r="F885"/>
  <c r="A886"/>
  <c r="B886"/>
  <c r="C886"/>
  <c r="D886"/>
  <c r="E886"/>
  <c r="F886"/>
  <c r="A887"/>
  <c r="B887"/>
  <c r="C887"/>
  <c r="D887"/>
  <c r="E887"/>
  <c r="F887"/>
  <c r="A888"/>
  <c r="B888"/>
  <c r="C888"/>
  <c r="D888"/>
  <c r="E888"/>
  <c r="F888"/>
  <c r="A889"/>
  <c r="B889"/>
  <c r="C889"/>
  <c r="D889"/>
  <c r="E889"/>
  <c r="F889"/>
  <c r="A890"/>
  <c r="B890"/>
  <c r="C890"/>
  <c r="D890"/>
  <c r="E890"/>
  <c r="F890"/>
  <c r="A891"/>
  <c r="B891"/>
  <c r="C891"/>
  <c r="D891"/>
  <c r="E891"/>
  <c r="F891"/>
  <c r="A892"/>
  <c r="B892"/>
  <c r="C892"/>
  <c r="D892"/>
  <c r="E892"/>
  <c r="F892"/>
  <c r="A893"/>
  <c r="B893"/>
  <c r="C893"/>
  <c r="D893"/>
  <c r="E893"/>
  <c r="F893"/>
  <c r="A894"/>
  <c r="B894"/>
  <c r="C894"/>
  <c r="D894"/>
  <c r="E894"/>
  <c r="F894"/>
  <c r="A895"/>
  <c r="B895"/>
  <c r="C895"/>
  <c r="D895"/>
  <c r="E895"/>
  <c r="F895"/>
  <c r="A896"/>
  <c r="B896"/>
  <c r="C896"/>
  <c r="D896"/>
  <c r="E896"/>
  <c r="F896"/>
  <c r="A897"/>
  <c r="B897"/>
  <c r="C897"/>
  <c r="D897"/>
  <c r="E897"/>
  <c r="F897"/>
  <c r="A898"/>
  <c r="B898"/>
  <c r="C898"/>
  <c r="D898"/>
  <c r="E898"/>
  <c r="F898"/>
  <c r="A899"/>
  <c r="B899"/>
  <c r="C899"/>
  <c r="D899"/>
  <c r="E899"/>
  <c r="F899"/>
  <c r="A900"/>
  <c r="B900"/>
  <c r="C900"/>
  <c r="D900"/>
  <c r="E900"/>
  <c r="F900"/>
  <c r="A901"/>
  <c r="B901"/>
  <c r="C901"/>
  <c r="D901"/>
  <c r="E901"/>
  <c r="F901"/>
  <c r="A902"/>
  <c r="B902"/>
  <c r="C902"/>
  <c r="D902"/>
  <c r="E902"/>
  <c r="F902"/>
  <c r="A903"/>
  <c r="B903"/>
  <c r="C903"/>
  <c r="D903"/>
  <c r="E903"/>
  <c r="F903"/>
  <c r="A904"/>
  <c r="B904"/>
  <c r="C904"/>
  <c r="D904"/>
  <c r="E904"/>
  <c r="F904"/>
  <c r="A905"/>
  <c r="B905"/>
  <c r="C905"/>
  <c r="D905"/>
  <c r="E905"/>
  <c r="F905"/>
  <c r="A906"/>
  <c r="B906"/>
  <c r="C906"/>
  <c r="D906"/>
  <c r="E906"/>
  <c r="F906"/>
  <c r="A907"/>
  <c r="B907"/>
  <c r="C907"/>
  <c r="D907"/>
  <c r="E907"/>
  <c r="F907"/>
  <c r="A908"/>
  <c r="B908"/>
  <c r="C908"/>
  <c r="D908"/>
  <c r="E908"/>
  <c r="F908"/>
  <c r="A909"/>
  <c r="B909"/>
  <c r="C909"/>
  <c r="D909"/>
  <c r="E909"/>
  <c r="F909"/>
  <c r="A910"/>
  <c r="B910"/>
  <c r="C910"/>
  <c r="D910"/>
  <c r="E910"/>
  <c r="F910"/>
  <c r="A911"/>
  <c r="B911"/>
  <c r="C911"/>
  <c r="D911"/>
  <c r="E911"/>
  <c r="F911"/>
  <c r="A912"/>
  <c r="B912"/>
  <c r="C912"/>
  <c r="D912"/>
  <c r="E912"/>
  <c r="F912"/>
  <c r="A913"/>
  <c r="B913"/>
  <c r="C913"/>
  <c r="D913"/>
  <c r="E913"/>
  <c r="F913"/>
  <c r="A914"/>
  <c r="B914"/>
  <c r="C914"/>
  <c r="D914"/>
  <c r="E914"/>
  <c r="F914"/>
  <c r="A915"/>
  <c r="B915"/>
  <c r="C915"/>
  <c r="D915"/>
  <c r="E915"/>
  <c r="F915"/>
  <c r="A916"/>
  <c r="B916"/>
  <c r="C916"/>
  <c r="D916"/>
  <c r="E916"/>
  <c r="F916"/>
  <c r="A917"/>
  <c r="B917"/>
  <c r="C917"/>
  <c r="D917"/>
  <c r="E917"/>
  <c r="F917"/>
  <c r="A918"/>
  <c r="B918"/>
  <c r="C918"/>
  <c r="D918"/>
  <c r="E918"/>
  <c r="F918"/>
  <c r="A919"/>
  <c r="B919"/>
  <c r="C919"/>
  <c r="D919"/>
  <c r="E919"/>
  <c r="F919"/>
  <c r="A920"/>
  <c r="B920"/>
  <c r="C920"/>
  <c r="D920"/>
  <c r="E920"/>
  <c r="F920"/>
  <c r="A921"/>
  <c r="B921"/>
  <c r="C921"/>
  <c r="D921"/>
  <c r="E921"/>
  <c r="F921"/>
  <c r="A922"/>
  <c r="B922"/>
  <c r="C922"/>
  <c r="D922"/>
  <c r="E922"/>
  <c r="F922"/>
  <c r="A923"/>
  <c r="B923"/>
  <c r="C923"/>
  <c r="D923"/>
  <c r="E923"/>
  <c r="F923"/>
  <c r="A924"/>
  <c r="B924"/>
  <c r="C924"/>
  <c r="D924"/>
  <c r="E924"/>
  <c r="F924"/>
  <c r="A925"/>
  <c r="B925"/>
  <c r="C925"/>
  <c r="D925"/>
  <c r="E925"/>
  <c r="F925"/>
  <c r="A926"/>
  <c r="B926"/>
  <c r="C926"/>
  <c r="D926"/>
  <c r="E926"/>
  <c r="F926"/>
  <c r="A927"/>
  <c r="B927"/>
  <c r="C927"/>
  <c r="D927"/>
  <c r="E927"/>
  <c r="F927"/>
  <c r="F811"/>
  <c r="E811"/>
  <c r="D811"/>
  <c r="C811"/>
  <c r="B811"/>
  <c r="A811"/>
  <c r="F810"/>
  <c r="E810"/>
  <c r="D810"/>
  <c r="C810"/>
  <c r="B810"/>
  <c r="A810"/>
  <c r="F809"/>
  <c r="E809"/>
  <c r="D809"/>
  <c r="C809"/>
  <c r="B809"/>
  <c r="A809"/>
  <c r="A716"/>
  <c r="B716"/>
  <c r="C716"/>
  <c r="D716"/>
  <c r="E716"/>
  <c r="F716"/>
  <c r="A717"/>
  <c r="B717"/>
  <c r="C717"/>
  <c r="D717"/>
  <c r="E717"/>
  <c r="F717"/>
  <c r="A718"/>
  <c r="B718"/>
  <c r="C718"/>
  <c r="D718"/>
  <c r="E718"/>
  <c r="F718"/>
  <c r="A719"/>
  <c r="B719"/>
  <c r="C719"/>
  <c r="D719"/>
  <c r="E719"/>
  <c r="F719"/>
  <c r="A720"/>
  <c r="B720"/>
  <c r="C720"/>
  <c r="D720"/>
  <c r="E720"/>
  <c r="F720"/>
  <c r="A721"/>
  <c r="B721"/>
  <c r="C721"/>
  <c r="D721"/>
  <c r="E721"/>
  <c r="F721"/>
  <c r="A722"/>
  <c r="B722"/>
  <c r="C722"/>
  <c r="D722"/>
  <c r="E722"/>
  <c r="F722"/>
  <c r="A723"/>
  <c r="B723"/>
  <c r="C723"/>
  <c r="D723"/>
  <c r="E723"/>
  <c r="F723"/>
  <c r="A724"/>
  <c r="B724"/>
  <c r="C724"/>
  <c r="D724"/>
  <c r="E724"/>
  <c r="F724"/>
  <c r="A725"/>
  <c r="B725"/>
  <c r="C725"/>
  <c r="D725"/>
  <c r="E725"/>
  <c r="F725"/>
  <c r="A726"/>
  <c r="B726"/>
  <c r="C726"/>
  <c r="D726"/>
  <c r="E726"/>
  <c r="F726"/>
  <c r="A727"/>
  <c r="B727"/>
  <c r="C727"/>
  <c r="D727"/>
  <c r="E727"/>
  <c r="F727"/>
  <c r="A728"/>
  <c r="B728"/>
  <c r="C728"/>
  <c r="D728"/>
  <c r="E728"/>
  <c r="F728"/>
  <c r="A729"/>
  <c r="B729"/>
  <c r="C729"/>
  <c r="D729"/>
  <c r="E729"/>
  <c r="F729"/>
  <c r="A730"/>
  <c r="B730"/>
  <c r="C730"/>
  <c r="D730"/>
  <c r="E730"/>
  <c r="F730"/>
  <c r="A731"/>
  <c r="B731"/>
  <c r="C731"/>
  <c r="D731"/>
  <c r="E731"/>
  <c r="F731"/>
  <c r="A732"/>
  <c r="B732"/>
  <c r="C732"/>
  <c r="D732"/>
  <c r="E732"/>
  <c r="F732"/>
  <c r="A733"/>
  <c r="B733"/>
  <c r="C733"/>
  <c r="D733"/>
  <c r="E733"/>
  <c r="F733"/>
  <c r="A734"/>
  <c r="B734"/>
  <c r="C734"/>
  <c r="D734"/>
  <c r="E734"/>
  <c r="F734"/>
  <c r="A735"/>
  <c r="B735"/>
  <c r="C735"/>
  <c r="D735"/>
  <c r="E735"/>
  <c r="F735"/>
  <c r="A736"/>
  <c r="B736"/>
  <c r="C736"/>
  <c r="D736"/>
  <c r="E736"/>
  <c r="F736"/>
  <c r="A737"/>
  <c r="B737"/>
  <c r="C737"/>
  <c r="D737"/>
  <c r="E737"/>
  <c r="F737"/>
  <c r="A738"/>
  <c r="B738"/>
  <c r="C738"/>
  <c r="D738"/>
  <c r="E738"/>
  <c r="F738"/>
  <c r="A739"/>
  <c r="B739"/>
  <c r="C739"/>
  <c r="D739"/>
  <c r="E739"/>
  <c r="F739"/>
  <c r="A740"/>
  <c r="B740"/>
  <c r="C740"/>
  <c r="D740"/>
  <c r="E740"/>
  <c r="F740"/>
  <c r="A741"/>
  <c r="B741"/>
  <c r="C741"/>
  <c r="D741"/>
  <c r="E741"/>
  <c r="F741"/>
  <c r="A742"/>
  <c r="B742"/>
  <c r="C742"/>
  <c r="D742"/>
  <c r="E742"/>
  <c r="F742"/>
  <c r="A743"/>
  <c r="B743"/>
  <c r="C743"/>
  <c r="D743"/>
  <c r="E743"/>
  <c r="F743"/>
  <c r="A744"/>
  <c r="B744"/>
  <c r="C744"/>
  <c r="D744"/>
  <c r="E744"/>
  <c r="F744"/>
  <c r="A745"/>
  <c r="B745"/>
  <c r="C745"/>
  <c r="D745"/>
  <c r="E745"/>
  <c r="F745"/>
  <c r="A746"/>
  <c r="B746"/>
  <c r="C746"/>
  <c r="D746"/>
  <c r="E746"/>
  <c r="F746"/>
  <c r="A747"/>
  <c r="B747"/>
  <c r="C747"/>
  <c r="D747"/>
  <c r="E747"/>
  <c r="F747"/>
  <c r="A748"/>
  <c r="B748"/>
  <c r="C748"/>
  <c r="D748"/>
  <c r="E748"/>
  <c r="F748"/>
  <c r="A749"/>
  <c r="B749"/>
  <c r="C749"/>
  <c r="D749"/>
  <c r="E749"/>
  <c r="F749"/>
  <c r="A750"/>
  <c r="B750"/>
  <c r="C750"/>
  <c r="D750"/>
  <c r="E750"/>
  <c r="F750"/>
  <c r="A751"/>
  <c r="B751"/>
  <c r="C751"/>
  <c r="D751"/>
  <c r="E751"/>
  <c r="F751"/>
  <c r="A752"/>
  <c r="B752"/>
  <c r="C752"/>
  <c r="D752"/>
  <c r="E752"/>
  <c r="F752"/>
  <c r="A753"/>
  <c r="B753"/>
  <c r="C753"/>
  <c r="D753"/>
  <c r="E753"/>
  <c r="F753"/>
  <c r="A754"/>
  <c r="B754"/>
  <c r="C754"/>
  <c r="D754"/>
  <c r="E754"/>
  <c r="F754"/>
  <c r="A755"/>
  <c r="B755"/>
  <c r="C755"/>
  <c r="D755"/>
  <c r="E755"/>
  <c r="F755"/>
  <c r="A756"/>
  <c r="B756"/>
  <c r="C756"/>
  <c r="D756"/>
  <c r="E756"/>
  <c r="F756"/>
  <c r="A757"/>
  <c r="B757"/>
  <c r="C757"/>
  <c r="D757"/>
  <c r="E757"/>
  <c r="F757"/>
  <c r="A758"/>
  <c r="B758"/>
  <c r="C758"/>
  <c r="D758"/>
  <c r="E758"/>
  <c r="F758"/>
  <c r="A759"/>
  <c r="B759"/>
  <c r="C759"/>
  <c r="D759"/>
  <c r="E759"/>
  <c r="F759"/>
  <c r="A760"/>
  <c r="B760"/>
  <c r="C760"/>
  <c r="D760"/>
  <c r="E760"/>
  <c r="F760"/>
  <c r="A761"/>
  <c r="B761"/>
  <c r="C761"/>
  <c r="D761"/>
  <c r="E761"/>
  <c r="F761"/>
  <c r="A762"/>
  <c r="B762"/>
  <c r="C762"/>
  <c r="D762"/>
  <c r="E762"/>
  <c r="F762"/>
  <c r="A763"/>
  <c r="B763"/>
  <c r="C763"/>
  <c r="D763"/>
  <c r="E763"/>
  <c r="F763"/>
  <c r="A764"/>
  <c r="B764"/>
  <c r="C764"/>
  <c r="D764"/>
  <c r="E764"/>
  <c r="F764"/>
  <c r="A765"/>
  <c r="B765"/>
  <c r="C765"/>
  <c r="D765"/>
  <c r="E765"/>
  <c r="F765"/>
  <c r="A766"/>
  <c r="B766"/>
  <c r="C766"/>
  <c r="D766"/>
  <c r="E766"/>
  <c r="F766"/>
  <c r="A767"/>
  <c r="B767"/>
  <c r="C767"/>
  <c r="D767"/>
  <c r="E767"/>
  <c r="F767"/>
  <c r="A768"/>
  <c r="B768"/>
  <c r="C768"/>
  <c r="D768"/>
  <c r="E768"/>
  <c r="F768"/>
  <c r="A769"/>
  <c r="B769"/>
  <c r="C769"/>
  <c r="D769"/>
  <c r="E769"/>
  <c r="F769"/>
  <c r="A770"/>
  <c r="B770"/>
  <c r="C770"/>
  <c r="D770"/>
  <c r="E770"/>
  <c r="F770"/>
  <c r="A771"/>
  <c r="B771"/>
  <c r="C771"/>
  <c r="D771"/>
  <c r="E771"/>
  <c r="F771"/>
  <c r="A772"/>
  <c r="B772"/>
  <c r="C772"/>
  <c r="D772"/>
  <c r="E772"/>
  <c r="F772"/>
  <c r="A773"/>
  <c r="B773"/>
  <c r="C773"/>
  <c r="D773"/>
  <c r="E773"/>
  <c r="F773"/>
  <c r="A774"/>
  <c r="B774"/>
  <c r="C774"/>
  <c r="D774"/>
  <c r="E774"/>
  <c r="F774"/>
  <c r="A775"/>
  <c r="B775"/>
  <c r="C775"/>
  <c r="D775"/>
  <c r="E775"/>
  <c r="F775"/>
  <c r="A776"/>
  <c r="B776"/>
  <c r="C776"/>
  <c r="D776"/>
  <c r="E776"/>
  <c r="F776"/>
  <c r="A777"/>
  <c r="B777"/>
  <c r="C777"/>
  <c r="D777"/>
  <c r="E777"/>
  <c r="F777"/>
  <c r="A778"/>
  <c r="B778"/>
  <c r="C778"/>
  <c r="D778"/>
  <c r="E778"/>
  <c r="F778"/>
  <c r="A779"/>
  <c r="B779"/>
  <c r="C779"/>
  <c r="D779"/>
  <c r="E779"/>
  <c r="F779"/>
  <c r="A780"/>
  <c r="B780"/>
  <c r="C780"/>
  <c r="D780"/>
  <c r="E780"/>
  <c r="F780"/>
  <c r="A781"/>
  <c r="B781"/>
  <c r="C781"/>
  <c r="D781"/>
  <c r="E781"/>
  <c r="F781"/>
  <c r="A782"/>
  <c r="B782"/>
  <c r="C782"/>
  <c r="D782"/>
  <c r="E782"/>
  <c r="F782"/>
  <c r="A783"/>
  <c r="B783"/>
  <c r="C783"/>
  <c r="D783"/>
  <c r="E783"/>
  <c r="F783"/>
  <c r="A784"/>
  <c r="B784"/>
  <c r="C784"/>
  <c r="D784"/>
  <c r="E784"/>
  <c r="F784"/>
  <c r="A785"/>
  <c r="B785"/>
  <c r="C785"/>
  <c r="D785"/>
  <c r="E785"/>
  <c r="F785"/>
  <c r="A786"/>
  <c r="B786"/>
  <c r="C786"/>
  <c r="D786"/>
  <c r="E786"/>
  <c r="F786"/>
  <c r="A787"/>
  <c r="B787"/>
  <c r="C787"/>
  <c r="D787"/>
  <c r="E787"/>
  <c r="F787"/>
  <c r="A788"/>
  <c r="B788"/>
  <c r="C788"/>
  <c r="D788"/>
  <c r="E788"/>
  <c r="F788"/>
  <c r="A789"/>
  <c r="B789"/>
  <c r="C789"/>
  <c r="D789"/>
  <c r="E789"/>
  <c r="F789"/>
  <c r="A790"/>
  <c r="B790"/>
  <c r="C790"/>
  <c r="D790"/>
  <c r="E790"/>
  <c r="F790"/>
  <c r="A791"/>
  <c r="B791"/>
  <c r="C791"/>
  <c r="D791"/>
  <c r="E791"/>
  <c r="F791"/>
  <c r="A792"/>
  <c r="B792"/>
  <c r="C792"/>
  <c r="D792"/>
  <c r="E792"/>
  <c r="F792"/>
  <c r="A793"/>
  <c r="B793"/>
  <c r="C793"/>
  <c r="D793"/>
  <c r="E793"/>
  <c r="F793"/>
  <c r="A794"/>
  <c r="B794"/>
  <c r="C794"/>
  <c r="D794"/>
  <c r="E794"/>
  <c r="F794"/>
  <c r="A795"/>
  <c r="B795"/>
  <c r="C795"/>
  <c r="D795"/>
  <c r="E795"/>
  <c r="F795"/>
  <c r="A796"/>
  <c r="B796"/>
  <c r="C796"/>
  <c r="D796"/>
  <c r="E796"/>
  <c r="F796"/>
  <c r="A797"/>
  <c r="B797"/>
  <c r="C797"/>
  <c r="D797"/>
  <c r="E797"/>
  <c r="F797"/>
  <c r="A798"/>
  <c r="B798"/>
  <c r="C798"/>
  <c r="D798"/>
  <c r="E798"/>
  <c r="F798"/>
  <c r="A799"/>
  <c r="B799"/>
  <c r="C799"/>
  <c r="D799"/>
  <c r="E799"/>
  <c r="F799"/>
  <c r="A800"/>
  <c r="B800"/>
  <c r="C800"/>
  <c r="D800"/>
  <c r="E800"/>
  <c r="F800"/>
  <c r="A801"/>
  <c r="B801"/>
  <c r="C801"/>
  <c r="D801"/>
  <c r="E801"/>
  <c r="F801"/>
  <c r="A802"/>
  <c r="B802"/>
  <c r="C802"/>
  <c r="D802"/>
  <c r="E802"/>
  <c r="F802"/>
  <c r="A803"/>
  <c r="B803"/>
  <c r="C803"/>
  <c r="D803"/>
  <c r="E803"/>
  <c r="F803"/>
  <c r="A804"/>
  <c r="B804"/>
  <c r="C804"/>
  <c r="D804"/>
  <c r="E804"/>
  <c r="F804"/>
  <c r="A805"/>
  <c r="B805"/>
  <c r="C805"/>
  <c r="D805"/>
  <c r="E805"/>
  <c r="F805"/>
  <c r="A806"/>
  <c r="B806"/>
  <c r="C806"/>
  <c r="D806"/>
  <c r="E806"/>
  <c r="F806"/>
  <c r="F715"/>
  <c r="E715"/>
  <c r="D715"/>
  <c r="C715"/>
  <c r="B715"/>
  <c r="A715"/>
  <c r="F714"/>
  <c r="E714"/>
  <c r="D714"/>
  <c r="C714"/>
  <c r="B714"/>
  <c r="A714"/>
  <c r="F713"/>
  <c r="E713"/>
  <c r="D713"/>
  <c r="C713"/>
  <c r="B713"/>
  <c r="A713"/>
  <c r="F712"/>
  <c r="E712"/>
  <c r="D712"/>
  <c r="C712"/>
  <c r="B712"/>
  <c r="A712"/>
  <c r="F711"/>
  <c r="E711"/>
  <c r="D711"/>
  <c r="C711"/>
  <c r="B711"/>
  <c r="A711"/>
  <c r="F710"/>
  <c r="E710"/>
  <c r="D710"/>
  <c r="C710"/>
  <c r="B710"/>
  <c r="A710"/>
  <c r="F709"/>
  <c r="E709"/>
  <c r="D709"/>
  <c r="C709"/>
  <c r="B709"/>
  <c r="A709"/>
  <c r="F708"/>
  <c r="E708"/>
  <c r="D708"/>
  <c r="C708"/>
  <c r="B708"/>
  <c r="A708"/>
  <c r="F707"/>
  <c r="E707"/>
  <c r="D707"/>
  <c r="C707"/>
  <c r="B707"/>
  <c r="A707"/>
  <c r="F706"/>
  <c r="E706"/>
  <c r="D706"/>
  <c r="C706"/>
  <c r="B706"/>
  <c r="A706"/>
  <c r="F705"/>
  <c r="E705"/>
  <c r="D705"/>
  <c r="C705"/>
  <c r="B705"/>
  <c r="A705"/>
  <c r="F704"/>
  <c r="E704"/>
  <c r="D704"/>
  <c r="C704"/>
  <c r="B704"/>
  <c r="A704"/>
  <c r="F703"/>
  <c r="E703"/>
  <c r="D703"/>
  <c r="C703"/>
  <c r="B703"/>
  <c r="A703"/>
  <c r="F702"/>
  <c r="E702"/>
  <c r="D702"/>
  <c r="C702"/>
  <c r="B702"/>
  <c r="A702"/>
  <c r="F701"/>
  <c r="E701"/>
  <c r="D701"/>
  <c r="C701"/>
  <c r="B701"/>
  <c r="A701"/>
  <c r="F700"/>
  <c r="E700"/>
  <c r="D700"/>
  <c r="C700"/>
  <c r="B700"/>
  <c r="A700"/>
  <c r="F699"/>
  <c r="E699"/>
  <c r="D699"/>
  <c r="C699"/>
  <c r="B699"/>
  <c r="A699"/>
  <c r="A684"/>
  <c r="B684"/>
  <c r="C684"/>
  <c r="D684"/>
  <c r="E684"/>
  <c r="F684"/>
  <c r="A685"/>
  <c r="B685"/>
  <c r="C685"/>
  <c r="D685"/>
  <c r="E685"/>
  <c r="F685"/>
  <c r="A686"/>
  <c r="B686"/>
  <c r="C686"/>
  <c r="D686"/>
  <c r="E686"/>
  <c r="F686"/>
  <c r="A687"/>
  <c r="B687"/>
  <c r="C687"/>
  <c r="D687"/>
  <c r="E687"/>
  <c r="F687"/>
  <c r="A688"/>
  <c r="B688"/>
  <c r="C688"/>
  <c r="D688"/>
  <c r="E688"/>
  <c r="F688"/>
  <c r="A689"/>
  <c r="B689"/>
  <c r="C689"/>
  <c r="D689"/>
  <c r="E689"/>
  <c r="F689"/>
  <c r="A690"/>
  <c r="B690"/>
  <c r="C690"/>
  <c r="D690"/>
  <c r="E690"/>
  <c r="F690"/>
  <c r="A691"/>
  <c r="B691"/>
  <c r="C691"/>
  <c r="D691"/>
  <c r="E691"/>
  <c r="F691"/>
  <c r="A692"/>
  <c r="B692"/>
  <c r="C692"/>
  <c r="D692"/>
  <c r="E692"/>
  <c r="F692"/>
  <c r="A693"/>
  <c r="B693"/>
  <c r="C693"/>
  <c r="D693"/>
  <c r="E693"/>
  <c r="F693"/>
  <c r="A694"/>
  <c r="B694"/>
  <c r="C694"/>
  <c r="D694"/>
  <c r="E694"/>
  <c r="F694"/>
  <c r="A695"/>
  <c r="B695"/>
  <c r="C695"/>
  <c r="D695"/>
  <c r="E695"/>
  <c r="F695"/>
  <c r="A696"/>
  <c r="B696"/>
  <c r="C696"/>
  <c r="D696"/>
  <c r="E696"/>
  <c r="F696"/>
  <c r="F683"/>
  <c r="E683"/>
  <c r="D683"/>
  <c r="C683"/>
  <c r="B683"/>
  <c r="A683"/>
  <c r="F682"/>
  <c r="E682"/>
  <c r="D682"/>
  <c r="C682"/>
  <c r="B682"/>
  <c r="A682"/>
  <c r="F681"/>
  <c r="E681"/>
  <c r="D681"/>
  <c r="C681"/>
  <c r="B681"/>
  <c r="A681"/>
  <c r="F680"/>
  <c r="E680"/>
  <c r="D680"/>
  <c r="C680"/>
  <c r="B680"/>
  <c r="A680"/>
  <c r="A566"/>
  <c r="B566"/>
  <c r="C566"/>
  <c r="D566"/>
  <c r="E566"/>
  <c r="F566"/>
  <c r="A567"/>
  <c r="B567"/>
  <c r="C567"/>
  <c r="D567"/>
  <c r="E567"/>
  <c r="F567"/>
  <c r="A568"/>
  <c r="B568"/>
  <c r="C568"/>
  <c r="D568"/>
  <c r="E568"/>
  <c r="F568"/>
  <c r="A569"/>
  <c r="B569"/>
  <c r="C569"/>
  <c r="D569"/>
  <c r="E569"/>
  <c r="F569"/>
  <c r="A570"/>
  <c r="B570"/>
  <c r="C570"/>
  <c r="D570"/>
  <c r="E570"/>
  <c r="F570"/>
  <c r="A571"/>
  <c r="B571"/>
  <c r="C571"/>
  <c r="D571"/>
  <c r="E571"/>
  <c r="F571"/>
  <c r="A572"/>
  <c r="B572"/>
  <c r="C572"/>
  <c r="D572"/>
  <c r="E572"/>
  <c r="F572"/>
  <c r="A573"/>
  <c r="B573"/>
  <c r="C573"/>
  <c r="D573"/>
  <c r="E573"/>
  <c r="F573"/>
  <c r="A574"/>
  <c r="B574"/>
  <c r="C574"/>
  <c r="D574"/>
  <c r="E574"/>
  <c r="F574"/>
  <c r="A575"/>
  <c r="B575"/>
  <c r="C575"/>
  <c r="D575"/>
  <c r="E575"/>
  <c r="F575"/>
  <c r="A576"/>
  <c r="B576"/>
  <c r="C576"/>
  <c r="D576"/>
  <c r="E576"/>
  <c r="F576"/>
  <c r="A577"/>
  <c r="B577"/>
  <c r="C577"/>
  <c r="D577"/>
  <c r="E577"/>
  <c r="F577"/>
  <c r="A578"/>
  <c r="B578"/>
  <c r="C578"/>
  <c r="D578"/>
  <c r="E578"/>
  <c r="F578"/>
  <c r="A579"/>
  <c r="B579"/>
  <c r="C579"/>
  <c r="D579"/>
  <c r="E579"/>
  <c r="F579"/>
  <c r="A580"/>
  <c r="B580"/>
  <c r="C580"/>
  <c r="D580"/>
  <c r="E580"/>
  <c r="F580"/>
  <c r="A581"/>
  <c r="B581"/>
  <c r="C581"/>
  <c r="D581"/>
  <c r="E581"/>
  <c r="F581"/>
  <c r="A582"/>
  <c r="B582"/>
  <c r="C582"/>
  <c r="D582"/>
  <c r="E582"/>
  <c r="F582"/>
  <c r="A583"/>
  <c r="B583"/>
  <c r="C583"/>
  <c r="D583"/>
  <c r="E583"/>
  <c r="F583"/>
  <c r="A584"/>
  <c r="B584"/>
  <c r="C584"/>
  <c r="D584"/>
  <c r="E584"/>
  <c r="F584"/>
  <c r="A585"/>
  <c r="B585"/>
  <c r="C585"/>
  <c r="D585"/>
  <c r="E585"/>
  <c r="F585"/>
  <c r="A586"/>
  <c r="B586"/>
  <c r="C586"/>
  <c r="D586"/>
  <c r="E586"/>
  <c r="F586"/>
  <c r="A587"/>
  <c r="B587"/>
  <c r="C587"/>
  <c r="D587"/>
  <c r="E587"/>
  <c r="F587"/>
  <c r="A588"/>
  <c r="B588"/>
  <c r="C588"/>
  <c r="D588"/>
  <c r="E588"/>
  <c r="F588"/>
  <c r="A589"/>
  <c r="B589"/>
  <c r="C589"/>
  <c r="D589"/>
  <c r="E589"/>
  <c r="F589"/>
  <c r="A590"/>
  <c r="B590"/>
  <c r="C590"/>
  <c r="D590"/>
  <c r="E590"/>
  <c r="F590"/>
  <c r="A591"/>
  <c r="B591"/>
  <c r="C591"/>
  <c r="D591"/>
  <c r="E591"/>
  <c r="F591"/>
  <c r="A592"/>
  <c r="B592"/>
  <c r="C592"/>
  <c r="D592"/>
  <c r="E592"/>
  <c r="F592"/>
  <c r="A593"/>
  <c r="B593"/>
  <c r="C593"/>
  <c r="D593"/>
  <c r="E593"/>
  <c r="F593"/>
  <c r="A594"/>
  <c r="B594"/>
  <c r="C594"/>
  <c r="D594"/>
  <c r="E594"/>
  <c r="F594"/>
  <c r="A595"/>
  <c r="B595"/>
  <c r="C595"/>
  <c r="D595"/>
  <c r="E595"/>
  <c r="F595"/>
  <c r="A596"/>
  <c r="B596"/>
  <c r="C596"/>
  <c r="D596"/>
  <c r="E596"/>
  <c r="F596"/>
  <c r="A597"/>
  <c r="B597"/>
  <c r="C597"/>
  <c r="D597"/>
  <c r="E597"/>
  <c r="F597"/>
  <c r="A598"/>
  <c r="B598"/>
  <c r="C598"/>
  <c r="D598"/>
  <c r="E598"/>
  <c r="F598"/>
  <c r="A599"/>
  <c r="B599"/>
  <c r="C599"/>
  <c r="D599"/>
  <c r="E599"/>
  <c r="F599"/>
  <c r="A600"/>
  <c r="B600"/>
  <c r="C600"/>
  <c r="D600"/>
  <c r="E600"/>
  <c r="F600"/>
  <c r="A601"/>
  <c r="B601"/>
  <c r="C601"/>
  <c r="D601"/>
  <c r="E601"/>
  <c r="F601"/>
  <c r="A602"/>
  <c r="B602"/>
  <c r="C602"/>
  <c r="D602"/>
  <c r="E602"/>
  <c r="F602"/>
  <c r="A603"/>
  <c r="B603"/>
  <c r="C603"/>
  <c r="D603"/>
  <c r="E603"/>
  <c r="F603"/>
  <c r="A604"/>
  <c r="B604"/>
  <c r="C604"/>
  <c r="D604"/>
  <c r="E604"/>
  <c r="F604"/>
  <c r="A605"/>
  <c r="B605"/>
  <c r="C605"/>
  <c r="D605"/>
  <c r="E605"/>
  <c r="F605"/>
  <c r="A606"/>
  <c r="B606"/>
  <c r="C606"/>
  <c r="D606"/>
  <c r="E606"/>
  <c r="F606"/>
  <c r="A607"/>
  <c r="B607"/>
  <c r="C607"/>
  <c r="D607"/>
  <c r="E607"/>
  <c r="F607"/>
  <c r="A608"/>
  <c r="B608"/>
  <c r="C608"/>
  <c r="D608"/>
  <c r="E608"/>
  <c r="F608"/>
  <c r="A609"/>
  <c r="B609"/>
  <c r="C609"/>
  <c r="D609"/>
  <c r="E609"/>
  <c r="F609"/>
  <c r="A610"/>
  <c r="B610"/>
  <c r="C610"/>
  <c r="D610"/>
  <c r="E610"/>
  <c r="F610"/>
  <c r="A611"/>
  <c r="B611"/>
  <c r="C611"/>
  <c r="D611"/>
  <c r="E611"/>
  <c r="F611"/>
  <c r="A612"/>
  <c r="B612"/>
  <c r="C612"/>
  <c r="D612"/>
  <c r="E612"/>
  <c r="F612"/>
  <c r="A613"/>
  <c r="B613"/>
  <c r="C613"/>
  <c r="D613"/>
  <c r="E613"/>
  <c r="F613"/>
  <c r="A614"/>
  <c r="B614"/>
  <c r="C614"/>
  <c r="D614"/>
  <c r="E614"/>
  <c r="F614"/>
  <c r="A615"/>
  <c r="B615"/>
  <c r="C615"/>
  <c r="D615"/>
  <c r="E615"/>
  <c r="F615"/>
  <c r="A616"/>
  <c r="B616"/>
  <c r="C616"/>
  <c r="D616"/>
  <c r="E616"/>
  <c r="F616"/>
  <c r="A617"/>
  <c r="B617"/>
  <c r="C617"/>
  <c r="D617"/>
  <c r="E617"/>
  <c r="F617"/>
  <c r="A618"/>
  <c r="B618"/>
  <c r="C618"/>
  <c r="D618"/>
  <c r="E618"/>
  <c r="F618"/>
  <c r="A619"/>
  <c r="B619"/>
  <c r="C619"/>
  <c r="D619"/>
  <c r="E619"/>
  <c r="F619"/>
  <c r="A620"/>
  <c r="B620"/>
  <c r="C620"/>
  <c r="D620"/>
  <c r="E620"/>
  <c r="F620"/>
  <c r="A621"/>
  <c r="B621"/>
  <c r="C621"/>
  <c r="D621"/>
  <c r="E621"/>
  <c r="F621"/>
  <c r="A622"/>
  <c r="B622"/>
  <c r="C622"/>
  <c r="D622"/>
  <c r="E622"/>
  <c r="F622"/>
  <c r="A623"/>
  <c r="B623"/>
  <c r="C623"/>
  <c r="D623"/>
  <c r="E623"/>
  <c r="F623"/>
  <c r="A624"/>
  <c r="B624"/>
  <c r="C624"/>
  <c r="D624"/>
  <c r="E624"/>
  <c r="F624"/>
  <c r="A625"/>
  <c r="B625"/>
  <c r="C625"/>
  <c r="D625"/>
  <c r="E625"/>
  <c r="F625"/>
  <c r="A626"/>
  <c r="B626"/>
  <c r="C626"/>
  <c r="D626"/>
  <c r="E626"/>
  <c r="F626"/>
  <c r="A627"/>
  <c r="B627"/>
  <c r="C627"/>
  <c r="D627"/>
  <c r="E627"/>
  <c r="F627"/>
  <c r="A628"/>
  <c r="B628"/>
  <c r="C628"/>
  <c r="D628"/>
  <c r="E628"/>
  <c r="F628"/>
  <c r="A629"/>
  <c r="B629"/>
  <c r="C629"/>
  <c r="D629"/>
  <c r="E629"/>
  <c r="F629"/>
  <c r="A630"/>
  <c r="B630"/>
  <c r="C630"/>
  <c r="D630"/>
  <c r="E630"/>
  <c r="F630"/>
  <c r="A631"/>
  <c r="B631"/>
  <c r="C631"/>
  <c r="D631"/>
  <c r="E631"/>
  <c r="F631"/>
  <c r="A632"/>
  <c r="B632"/>
  <c r="C632"/>
  <c r="D632"/>
  <c r="E632"/>
  <c r="F632"/>
  <c r="A633"/>
  <c r="B633"/>
  <c r="C633"/>
  <c r="D633"/>
  <c r="E633"/>
  <c r="F633"/>
  <c r="A634"/>
  <c r="B634"/>
  <c r="C634"/>
  <c r="D634"/>
  <c r="E634"/>
  <c r="F634"/>
  <c r="A635"/>
  <c r="B635"/>
  <c r="C635"/>
  <c r="D635"/>
  <c r="E635"/>
  <c r="F635"/>
  <c r="A636"/>
  <c r="B636"/>
  <c r="C636"/>
  <c r="D636"/>
  <c r="E636"/>
  <c r="F636"/>
  <c r="A637"/>
  <c r="B637"/>
  <c r="C637"/>
  <c r="D637"/>
  <c r="E637"/>
  <c r="F637"/>
  <c r="A638"/>
  <c r="B638"/>
  <c r="C638"/>
  <c r="D638"/>
  <c r="E638"/>
  <c r="F638"/>
  <c r="A639"/>
  <c r="B639"/>
  <c r="C639"/>
  <c r="D639"/>
  <c r="E639"/>
  <c r="F639"/>
  <c r="A640"/>
  <c r="B640"/>
  <c r="C640"/>
  <c r="D640"/>
  <c r="E640"/>
  <c r="F640"/>
  <c r="A641"/>
  <c r="B641"/>
  <c r="C641"/>
  <c r="D641"/>
  <c r="E641"/>
  <c r="F641"/>
  <c r="A642"/>
  <c r="B642"/>
  <c r="C642"/>
  <c r="D642"/>
  <c r="E642"/>
  <c r="F642"/>
  <c r="A643"/>
  <c r="B643"/>
  <c r="C643"/>
  <c r="D643"/>
  <c r="E643"/>
  <c r="F643"/>
  <c r="A644"/>
  <c r="B644"/>
  <c r="C644"/>
  <c r="D644"/>
  <c r="E644"/>
  <c r="F644"/>
  <c r="A645"/>
  <c r="B645"/>
  <c r="C645"/>
  <c r="D645"/>
  <c r="E645"/>
  <c r="F645"/>
  <c r="A646"/>
  <c r="B646"/>
  <c r="C646"/>
  <c r="D646"/>
  <c r="E646"/>
  <c r="F646"/>
  <c r="A647"/>
  <c r="B647"/>
  <c r="C647"/>
  <c r="D647"/>
  <c r="E647"/>
  <c r="F647"/>
  <c r="A648"/>
  <c r="B648"/>
  <c r="C648"/>
  <c r="D648"/>
  <c r="E648"/>
  <c r="F648"/>
  <c r="A649"/>
  <c r="B649"/>
  <c r="C649"/>
  <c r="D649"/>
  <c r="E649"/>
  <c r="F649"/>
  <c r="A650"/>
  <c r="B650"/>
  <c r="C650"/>
  <c r="D650"/>
  <c r="E650"/>
  <c r="F650"/>
  <c r="A651"/>
  <c r="B651"/>
  <c r="C651"/>
  <c r="D651"/>
  <c r="E651"/>
  <c r="F651"/>
  <c r="A652"/>
  <c r="B652"/>
  <c r="C652"/>
  <c r="D652"/>
  <c r="E652"/>
  <c r="F652"/>
  <c r="A653"/>
  <c r="B653"/>
  <c r="C653"/>
  <c r="D653"/>
  <c r="E653"/>
  <c r="F653"/>
  <c r="A654"/>
  <c r="B654"/>
  <c r="C654"/>
  <c r="D654"/>
  <c r="E654"/>
  <c r="F654"/>
  <c r="A655"/>
  <c r="B655"/>
  <c r="C655"/>
  <c r="D655"/>
  <c r="E655"/>
  <c r="F655"/>
  <c r="A656"/>
  <c r="B656"/>
  <c r="C656"/>
  <c r="D656"/>
  <c r="E656"/>
  <c r="F656"/>
  <c r="A657"/>
  <c r="B657"/>
  <c r="C657"/>
  <c r="D657"/>
  <c r="E657"/>
  <c r="F657"/>
  <c r="A658"/>
  <c r="B658"/>
  <c r="C658"/>
  <c r="D658"/>
  <c r="E658"/>
  <c r="F658"/>
  <c r="A659"/>
  <c r="B659"/>
  <c r="C659"/>
  <c r="D659"/>
  <c r="E659"/>
  <c r="F659"/>
  <c r="A660"/>
  <c r="B660"/>
  <c r="C660"/>
  <c r="D660"/>
  <c r="E660"/>
  <c r="F660"/>
  <c r="A661"/>
  <c r="B661"/>
  <c r="C661"/>
  <c r="D661"/>
  <c r="E661"/>
  <c r="F661"/>
  <c r="A662"/>
  <c r="B662"/>
  <c r="C662"/>
  <c r="D662"/>
  <c r="E662"/>
  <c r="F662"/>
  <c r="A663"/>
  <c r="B663"/>
  <c r="C663"/>
  <c r="D663"/>
  <c r="E663"/>
  <c r="F663"/>
  <c r="A664"/>
  <c r="B664"/>
  <c r="C664"/>
  <c r="D664"/>
  <c r="E664"/>
  <c r="F664"/>
  <c r="A665"/>
  <c r="B665"/>
  <c r="C665"/>
  <c r="D665"/>
  <c r="E665"/>
  <c r="F665"/>
  <c r="A666"/>
  <c r="B666"/>
  <c r="C666"/>
  <c r="D666"/>
  <c r="E666"/>
  <c r="F666"/>
  <c r="A667"/>
  <c r="B667"/>
  <c r="C667"/>
  <c r="D667"/>
  <c r="E667"/>
  <c r="F667"/>
  <c r="A668"/>
  <c r="B668"/>
  <c r="C668"/>
  <c r="D668"/>
  <c r="E668"/>
  <c r="F668"/>
  <c r="A669"/>
  <c r="B669"/>
  <c r="C669"/>
  <c r="D669"/>
  <c r="E669"/>
  <c r="F669"/>
  <c r="A670"/>
  <c r="B670"/>
  <c r="C670"/>
  <c r="D670"/>
  <c r="E670"/>
  <c r="F670"/>
  <c r="A671"/>
  <c r="B671"/>
  <c r="C671"/>
  <c r="D671"/>
  <c r="E671"/>
  <c r="F671"/>
  <c r="A672"/>
  <c r="B672"/>
  <c r="C672"/>
  <c r="D672"/>
  <c r="E672"/>
  <c r="F672"/>
  <c r="A673"/>
  <c r="B673"/>
  <c r="C673"/>
  <c r="D673"/>
  <c r="E673"/>
  <c r="F673"/>
  <c r="A674"/>
  <c r="B674"/>
  <c r="C674"/>
  <c r="D674"/>
  <c r="E674"/>
  <c r="F674"/>
  <c r="A675"/>
  <c r="B675"/>
  <c r="C675"/>
  <c r="D675"/>
  <c r="E675"/>
  <c r="F675"/>
  <c r="A676"/>
  <c r="B676"/>
  <c r="C676"/>
  <c r="D676"/>
  <c r="E676"/>
  <c r="F676"/>
  <c r="A677"/>
  <c r="B677"/>
  <c r="C677"/>
  <c r="D677"/>
  <c r="E677"/>
  <c r="F677"/>
  <c r="A678"/>
  <c r="B678"/>
  <c r="C678"/>
  <c r="D678"/>
  <c r="E678"/>
  <c r="F678"/>
  <c r="A679"/>
  <c r="B679"/>
  <c r="C679"/>
  <c r="D679"/>
  <c r="E679"/>
  <c r="F679"/>
  <c r="A562"/>
  <c r="B562"/>
  <c r="C562"/>
  <c r="D562"/>
  <c r="E562"/>
  <c r="F562"/>
  <c r="A563"/>
  <c r="B563"/>
  <c r="C563"/>
  <c r="D563"/>
  <c r="E563"/>
  <c r="F563"/>
  <c r="A564"/>
  <c r="B564"/>
  <c r="C564"/>
  <c r="D564"/>
  <c r="E564"/>
  <c r="F564"/>
  <c r="A565"/>
  <c r="B565"/>
  <c r="C565"/>
  <c r="D565"/>
  <c r="E565"/>
  <c r="F565"/>
  <c r="F561"/>
  <c r="E561"/>
  <c r="D561"/>
  <c r="C561"/>
  <c r="B561"/>
  <c r="A561"/>
  <c r="F560"/>
  <c r="E560"/>
  <c r="D560"/>
  <c r="C560"/>
  <c r="B560"/>
  <c r="A560"/>
  <c r="F559"/>
  <c r="E559"/>
  <c r="D559"/>
  <c r="C559"/>
  <c r="B559"/>
  <c r="A559"/>
  <c r="F558"/>
  <c r="E558"/>
  <c r="D558"/>
  <c r="C558"/>
  <c r="B558"/>
  <c r="A558"/>
  <c r="F557"/>
  <c r="E557"/>
  <c r="D557"/>
  <c r="C557"/>
  <c r="B557"/>
  <c r="A557"/>
  <c r="F556"/>
  <c r="E556"/>
  <c r="D556"/>
  <c r="C556"/>
  <c r="B556"/>
  <c r="A556"/>
  <c r="F555"/>
  <c r="E555"/>
  <c r="D555"/>
  <c r="C555"/>
  <c r="B555"/>
  <c r="A555"/>
  <c r="F554"/>
  <c r="E554"/>
  <c r="D554"/>
  <c r="C554"/>
  <c r="B554"/>
  <c r="A554"/>
  <c r="F553"/>
  <c r="E553"/>
  <c r="D553"/>
  <c r="C553"/>
  <c r="B553"/>
  <c r="A553"/>
  <c r="F552"/>
  <c r="E552"/>
  <c r="D552"/>
  <c r="C552"/>
  <c r="B552"/>
  <c r="A552"/>
  <c r="F551"/>
  <c r="E551"/>
  <c r="D551"/>
  <c r="C551"/>
  <c r="B551"/>
  <c r="A551"/>
  <c r="F550"/>
  <c r="E550"/>
  <c r="D550"/>
  <c r="C550"/>
  <c r="B550"/>
  <c r="A550"/>
  <c r="F549"/>
  <c r="E549"/>
  <c r="D549"/>
  <c r="C549"/>
  <c r="B549"/>
  <c r="A549"/>
  <c r="F548"/>
  <c r="E548"/>
  <c r="D548"/>
  <c r="C548"/>
  <c r="B548"/>
  <c r="A548"/>
  <c r="F547"/>
  <c r="E547"/>
  <c r="D547"/>
  <c r="C547"/>
  <c r="B547"/>
  <c r="A547"/>
  <c r="F546"/>
  <c r="E546"/>
  <c r="D546"/>
  <c r="C546"/>
  <c r="B546"/>
  <c r="A546"/>
  <c r="F545"/>
  <c r="E545"/>
  <c r="D545"/>
  <c r="C545"/>
  <c r="B545"/>
  <c r="A545"/>
  <c r="F544"/>
  <c r="E544"/>
  <c r="D544"/>
  <c r="C544"/>
  <c r="B544"/>
  <c r="A544"/>
  <c r="F543"/>
  <c r="E543"/>
  <c r="D543"/>
  <c r="C543"/>
  <c r="B543"/>
  <c r="A543"/>
  <c r="F542"/>
  <c r="E542"/>
  <c r="D542"/>
  <c r="C542"/>
  <c r="B542"/>
  <c r="A542"/>
  <c r="F541"/>
  <c r="E541"/>
  <c r="D541"/>
  <c r="C541"/>
  <c r="B541"/>
  <c r="A541"/>
  <c r="F540"/>
  <c r="E540"/>
  <c r="D540"/>
  <c r="C540"/>
  <c r="B540"/>
  <c r="A540"/>
  <c r="F539"/>
  <c r="E539"/>
  <c r="D539"/>
  <c r="C539"/>
  <c r="B539"/>
  <c r="A539"/>
  <c r="F538"/>
  <c r="E538"/>
  <c r="D538"/>
  <c r="C538"/>
  <c r="B538"/>
  <c r="A538"/>
  <c r="F537"/>
  <c r="E537"/>
  <c r="D537"/>
  <c r="C537"/>
  <c r="B537"/>
  <c r="A537"/>
  <c r="F536"/>
  <c r="E536"/>
  <c r="D536"/>
  <c r="C536"/>
  <c r="B536"/>
  <c r="A536"/>
  <c r="F535"/>
  <c r="E535"/>
  <c r="D535"/>
  <c r="C535"/>
  <c r="B535"/>
  <c r="A535"/>
  <c r="F534"/>
  <c r="E534"/>
  <c r="D534"/>
  <c r="C534"/>
  <c r="B534"/>
  <c r="A534"/>
  <c r="F533"/>
  <c r="E533"/>
  <c r="D533"/>
  <c r="C533"/>
  <c r="B533"/>
  <c r="A533"/>
  <c r="F532"/>
  <c r="E532"/>
  <c r="D532"/>
  <c r="C532"/>
  <c r="B532"/>
  <c r="A532"/>
  <c r="F531"/>
  <c r="E531"/>
  <c r="D531"/>
  <c r="C531"/>
  <c r="B531"/>
  <c r="A531"/>
  <c r="F530"/>
  <c r="E530"/>
  <c r="D530"/>
  <c r="C530"/>
  <c r="B530"/>
  <c r="A530"/>
  <c r="F529"/>
  <c r="E529"/>
  <c r="D529"/>
  <c r="C529"/>
  <c r="B529"/>
  <c r="A529"/>
  <c r="A506"/>
  <c r="B506"/>
  <c r="C506"/>
  <c r="D506"/>
  <c r="E506"/>
  <c r="F506"/>
  <c r="A507"/>
  <c r="B507"/>
  <c r="C507"/>
  <c r="D507"/>
  <c r="E507"/>
  <c r="F507"/>
  <c r="A508"/>
  <c r="B508"/>
  <c r="C508"/>
  <c r="D508"/>
  <c r="E508"/>
  <c r="F508"/>
  <c r="A509"/>
  <c r="B509"/>
  <c r="C509"/>
  <c r="D509"/>
  <c r="E509"/>
  <c r="F509"/>
  <c r="A510"/>
  <c r="B510"/>
  <c r="C510"/>
  <c r="D510"/>
  <c r="E510"/>
  <c r="F510"/>
  <c r="A511"/>
  <c r="B511"/>
  <c r="C511"/>
  <c r="D511"/>
  <c r="E511"/>
  <c r="F511"/>
  <c r="A512"/>
  <c r="B512"/>
  <c r="C512"/>
  <c r="D512"/>
  <c r="E512"/>
  <c r="F512"/>
  <c r="A513"/>
  <c r="B513"/>
  <c r="C513"/>
  <c r="D513"/>
  <c r="E513"/>
  <c r="F513"/>
  <c r="A514"/>
  <c r="B514"/>
  <c r="C514"/>
  <c r="D514"/>
  <c r="E514"/>
  <c r="F514"/>
  <c r="A515"/>
  <c r="B515"/>
  <c r="C515"/>
  <c r="D515"/>
  <c r="E515"/>
  <c r="F515"/>
  <c r="A516"/>
  <c r="B516"/>
  <c r="C516"/>
  <c r="D516"/>
  <c r="E516"/>
  <c r="F516"/>
  <c r="A517"/>
  <c r="B517"/>
  <c r="C517"/>
  <c r="D517"/>
  <c r="E517"/>
  <c r="F517"/>
  <c r="A518"/>
  <c r="B518"/>
  <c r="C518"/>
  <c r="D518"/>
  <c r="E518"/>
  <c r="F518"/>
  <c r="A519"/>
  <c r="B519"/>
  <c r="C519"/>
  <c r="D519"/>
  <c r="E519"/>
  <c r="F519"/>
  <c r="A520"/>
  <c r="B520"/>
  <c r="C520"/>
  <c r="D520"/>
  <c r="E520"/>
  <c r="F520"/>
  <c r="A521"/>
  <c r="B521"/>
  <c r="C521"/>
  <c r="D521"/>
  <c r="E521"/>
  <c r="F521"/>
  <c r="A522"/>
  <c r="B522"/>
  <c r="C522"/>
  <c r="D522"/>
  <c r="E522"/>
  <c r="F522"/>
  <c r="A523"/>
  <c r="B523"/>
  <c r="C523"/>
  <c r="D523"/>
  <c r="E523"/>
  <c r="F523"/>
  <c r="A524"/>
  <c r="B524"/>
  <c r="C524"/>
  <c r="D524"/>
  <c r="E524"/>
  <c r="F524"/>
  <c r="A525"/>
  <c r="B525"/>
  <c r="C525"/>
  <c r="D525"/>
  <c r="E525"/>
  <c r="F525"/>
  <c r="A526"/>
  <c r="B526"/>
  <c r="C526"/>
  <c r="D526"/>
  <c r="E526"/>
  <c r="F526"/>
  <c r="F505"/>
  <c r="E505"/>
  <c r="D505"/>
  <c r="C505"/>
  <c r="B505"/>
  <c r="A505"/>
  <c r="F504"/>
  <c r="E504"/>
  <c r="D504"/>
  <c r="C504"/>
  <c r="B504"/>
  <c r="A504"/>
  <c r="F503"/>
  <c r="E503"/>
  <c r="D503"/>
  <c r="C503"/>
  <c r="B503"/>
  <c r="A503"/>
  <c r="F502"/>
  <c r="E502"/>
  <c r="D502"/>
  <c r="C502"/>
  <c r="B502"/>
  <c r="A502"/>
  <c r="F501"/>
  <c r="E501"/>
  <c r="D501"/>
  <c r="C501"/>
  <c r="B501"/>
  <c r="A501"/>
  <c r="F500"/>
  <c r="E500"/>
  <c r="D500"/>
  <c r="C500"/>
  <c r="B500"/>
  <c r="A500"/>
  <c r="F499"/>
  <c r="E499"/>
  <c r="D499"/>
  <c r="C499"/>
  <c r="B499"/>
  <c r="A499"/>
  <c r="F498"/>
  <c r="E498"/>
  <c r="D498"/>
  <c r="C498"/>
  <c r="B498"/>
  <c r="A498"/>
  <c r="F497"/>
  <c r="E497"/>
  <c r="D497"/>
  <c r="C497"/>
  <c r="B497"/>
  <c r="A497"/>
  <c r="F496"/>
  <c r="E496"/>
  <c r="D496"/>
  <c r="C496"/>
  <c r="B496"/>
  <c r="A496"/>
  <c r="F495"/>
  <c r="E495"/>
  <c r="D495"/>
  <c r="C495"/>
  <c r="B495"/>
  <c r="A495"/>
  <c r="F494"/>
  <c r="E494"/>
  <c r="D494"/>
  <c r="C494"/>
  <c r="B494"/>
  <c r="A494"/>
  <c r="A483"/>
  <c r="B483"/>
  <c r="C483"/>
  <c r="D483"/>
  <c r="E483"/>
  <c r="F483"/>
  <c r="A484"/>
  <c r="B484"/>
  <c r="C484"/>
  <c r="D484"/>
  <c r="E484"/>
  <c r="F484"/>
  <c r="A485"/>
  <c r="B485"/>
  <c r="C485"/>
  <c r="D485"/>
  <c r="E485"/>
  <c r="F485"/>
  <c r="A486"/>
  <c r="B486"/>
  <c r="C486"/>
  <c r="D486"/>
  <c r="E486"/>
  <c r="F486"/>
  <c r="A487"/>
  <c r="B487"/>
  <c r="C487"/>
  <c r="D487"/>
  <c r="E487"/>
  <c r="F487"/>
  <c r="A488"/>
  <c r="B488"/>
  <c r="C488"/>
  <c r="D488"/>
  <c r="E488"/>
  <c r="F488"/>
  <c r="A489"/>
  <c r="B489"/>
  <c r="C489"/>
  <c r="D489"/>
  <c r="E489"/>
  <c r="F489"/>
  <c r="A490"/>
  <c r="B490"/>
  <c r="C490"/>
  <c r="D490"/>
  <c r="E490"/>
  <c r="F490"/>
  <c r="A491"/>
  <c r="B491"/>
  <c r="C491"/>
  <c r="D491"/>
  <c r="E491"/>
  <c r="F491"/>
  <c r="F482"/>
  <c r="E482"/>
  <c r="D482"/>
  <c r="C482"/>
  <c r="B482"/>
  <c r="A482"/>
  <c r="F481"/>
  <c r="E481"/>
  <c r="D481"/>
  <c r="C481"/>
  <c r="B481"/>
  <c r="A481"/>
  <c r="F480"/>
  <c r="E480"/>
  <c r="D480"/>
  <c r="C480"/>
  <c r="B480"/>
  <c r="A480"/>
  <c r="A438"/>
  <c r="B438"/>
  <c r="C438"/>
  <c r="D438"/>
  <c r="E438"/>
  <c r="F438"/>
  <c r="A439"/>
  <c r="B439"/>
  <c r="C439"/>
  <c r="D439"/>
  <c r="E439"/>
  <c r="F439"/>
  <c r="A440"/>
  <c r="B440"/>
  <c r="C440"/>
  <c r="D440"/>
  <c r="E440"/>
  <c r="F440"/>
  <c r="A441"/>
  <c r="B441"/>
  <c r="C441"/>
  <c r="D441"/>
  <c r="E441"/>
  <c r="F441"/>
  <c r="A442"/>
  <c r="B442"/>
  <c r="C442"/>
  <c r="D442"/>
  <c r="E442"/>
  <c r="F442"/>
  <c r="A443"/>
  <c r="B443"/>
  <c r="C443"/>
  <c r="D443"/>
  <c r="E443"/>
  <c r="F443"/>
  <c r="A444"/>
  <c r="B444"/>
  <c r="C444"/>
  <c r="D444"/>
  <c r="E444"/>
  <c r="F444"/>
  <c r="A445"/>
  <c r="B445"/>
  <c r="C445"/>
  <c r="D445"/>
  <c r="E445"/>
  <c r="F445"/>
  <c r="A446"/>
  <c r="B446"/>
  <c r="C446"/>
  <c r="D446"/>
  <c r="E446"/>
  <c r="F446"/>
  <c r="A447"/>
  <c r="B447"/>
  <c r="C447"/>
  <c r="D447"/>
  <c r="E447"/>
  <c r="F447"/>
  <c r="A448"/>
  <c r="B448"/>
  <c r="C448"/>
  <c r="D448"/>
  <c r="E448"/>
  <c r="F448"/>
  <c r="A449"/>
  <c r="B449"/>
  <c r="C449"/>
  <c r="D449"/>
  <c r="E449"/>
  <c r="F449"/>
  <c r="A450"/>
  <c r="B450"/>
  <c r="C450"/>
  <c r="D450"/>
  <c r="E450"/>
  <c r="F450"/>
  <c r="A451"/>
  <c r="B451"/>
  <c r="C451"/>
  <c r="D451"/>
  <c r="E451"/>
  <c r="F451"/>
  <c r="A452"/>
  <c r="B452"/>
  <c r="C452"/>
  <c r="D452"/>
  <c r="E452"/>
  <c r="F452"/>
  <c r="A453"/>
  <c r="B453"/>
  <c r="C453"/>
  <c r="D453"/>
  <c r="E453"/>
  <c r="F453"/>
  <c r="A454"/>
  <c r="B454"/>
  <c r="C454"/>
  <c r="D454"/>
  <c r="E454"/>
  <c r="F454"/>
  <c r="A455"/>
  <c r="B455"/>
  <c r="C455"/>
  <c r="D455"/>
  <c r="E455"/>
  <c r="F455"/>
  <c r="A456"/>
  <c r="B456"/>
  <c r="C456"/>
  <c r="D456"/>
  <c r="E456"/>
  <c r="F456"/>
  <c r="A457"/>
  <c r="B457"/>
  <c r="C457"/>
  <c r="D457"/>
  <c r="E457"/>
  <c r="F457"/>
  <c r="A458"/>
  <c r="B458"/>
  <c r="C458"/>
  <c r="D458"/>
  <c r="E458"/>
  <c r="F458"/>
  <c r="A459"/>
  <c r="B459"/>
  <c r="C459"/>
  <c r="D459"/>
  <c r="E459"/>
  <c r="F459"/>
  <c r="A460"/>
  <c r="B460"/>
  <c r="C460"/>
  <c r="D460"/>
  <c r="E460"/>
  <c r="F460"/>
  <c r="A461"/>
  <c r="B461"/>
  <c r="C461"/>
  <c r="D461"/>
  <c r="E461"/>
  <c r="F461"/>
  <c r="A462"/>
  <c r="B462"/>
  <c r="C462"/>
  <c r="D462"/>
  <c r="E462"/>
  <c r="F462"/>
  <c r="A463"/>
  <c r="B463"/>
  <c r="C463"/>
  <c r="D463"/>
  <c r="E463"/>
  <c r="F463"/>
  <c r="A464"/>
  <c r="B464"/>
  <c r="C464"/>
  <c r="D464"/>
  <c r="E464"/>
  <c r="F464"/>
  <c r="A465"/>
  <c r="B465"/>
  <c r="C465"/>
  <c r="D465"/>
  <c r="E465"/>
  <c r="F465"/>
  <c r="A466"/>
  <c r="B466"/>
  <c r="C466"/>
  <c r="D466"/>
  <c r="E466"/>
  <c r="F466"/>
  <c r="A467"/>
  <c r="B467"/>
  <c r="C467"/>
  <c r="D467"/>
  <c r="E467"/>
  <c r="F467"/>
  <c r="A468"/>
  <c r="B468"/>
  <c r="C468"/>
  <c r="D468"/>
  <c r="E468"/>
  <c r="F468"/>
  <c r="A469"/>
  <c r="B469"/>
  <c r="C469"/>
  <c r="D469"/>
  <c r="E469"/>
  <c r="F469"/>
  <c r="A470"/>
  <c r="B470"/>
  <c r="C470"/>
  <c r="D470"/>
  <c r="E470"/>
  <c r="F470"/>
  <c r="A471"/>
  <c r="B471"/>
  <c r="C471"/>
  <c r="D471"/>
  <c r="E471"/>
  <c r="F471"/>
  <c r="A472"/>
  <c r="B472"/>
  <c r="C472"/>
  <c r="D472"/>
  <c r="E472"/>
  <c r="F472"/>
  <c r="A473"/>
  <c r="B473"/>
  <c r="C473"/>
  <c r="D473"/>
  <c r="E473"/>
  <c r="F473"/>
  <c r="A474"/>
  <c r="B474"/>
  <c r="C474"/>
  <c r="D474"/>
  <c r="E474"/>
  <c r="F474"/>
  <c r="A475"/>
  <c r="B475"/>
  <c r="C475"/>
  <c r="D475"/>
  <c r="E475"/>
  <c r="F475"/>
  <c r="A476"/>
  <c r="B476"/>
  <c r="C476"/>
  <c r="D476"/>
  <c r="E476"/>
  <c r="F476"/>
  <c r="A477"/>
  <c r="B477"/>
  <c r="C477"/>
  <c r="D477"/>
  <c r="E477"/>
  <c r="F477"/>
  <c r="F437"/>
  <c r="E437"/>
  <c r="D437"/>
  <c r="C437"/>
  <c r="B437"/>
  <c r="A437"/>
  <c r="F436"/>
  <c r="E436"/>
  <c r="D436"/>
  <c r="C436"/>
  <c r="B436"/>
  <c r="A436"/>
  <c r="F435"/>
  <c r="E435"/>
  <c r="D435"/>
  <c r="C435"/>
  <c r="B435"/>
  <c r="A435"/>
  <c r="F434"/>
  <c r="E434"/>
  <c r="D434"/>
  <c r="C434"/>
  <c r="B434"/>
  <c r="A434"/>
  <c r="F433"/>
  <c r="E433"/>
  <c r="D433"/>
  <c r="C433"/>
  <c r="B433"/>
  <c r="A433"/>
  <c r="F432"/>
  <c r="E432"/>
  <c r="D432"/>
  <c r="C432"/>
  <c r="B432"/>
  <c r="A432"/>
  <c r="A429"/>
  <c r="B429"/>
  <c r="C429"/>
  <c r="D429"/>
  <c r="E429"/>
  <c r="F429"/>
  <c r="F428"/>
  <c r="E428"/>
  <c r="D428"/>
  <c r="C428"/>
  <c r="B428"/>
  <c r="A428"/>
  <c r="F427"/>
  <c r="E427"/>
  <c r="D427"/>
  <c r="C427"/>
  <c r="B427"/>
  <c r="A427"/>
  <c r="F426"/>
  <c r="E426"/>
  <c r="D426"/>
  <c r="C426"/>
  <c r="B426"/>
  <c r="A426"/>
  <c r="F425"/>
  <c r="E425"/>
  <c r="D425"/>
  <c r="C425"/>
  <c r="B425"/>
  <c r="A425"/>
  <c r="F424"/>
  <c r="E424"/>
  <c r="D424"/>
  <c r="C424"/>
  <c r="B424"/>
  <c r="A424"/>
  <c r="A419"/>
  <c r="B419"/>
  <c r="C419"/>
  <c r="D419"/>
  <c r="E419"/>
  <c r="F419"/>
  <c r="A420"/>
  <c r="B420"/>
  <c r="C420"/>
  <c r="D420"/>
  <c r="E420"/>
  <c r="F420"/>
  <c r="A421"/>
  <c r="B421"/>
  <c r="C421"/>
  <c r="D421"/>
  <c r="E421"/>
  <c r="F421"/>
  <c r="F418"/>
  <c r="E418"/>
  <c r="D418"/>
  <c r="C418"/>
  <c r="B418"/>
  <c r="A418"/>
  <c r="F417"/>
  <c r="E417"/>
  <c r="D417"/>
  <c r="C417"/>
  <c r="B417"/>
  <c r="A417"/>
  <c r="A390"/>
  <c r="B390"/>
  <c r="C390"/>
  <c r="D390"/>
  <c r="E390"/>
  <c r="F390"/>
  <c r="A391"/>
  <c r="B391"/>
  <c r="C391"/>
  <c r="D391"/>
  <c r="E391"/>
  <c r="F391"/>
  <c r="A392"/>
  <c r="B392"/>
  <c r="C392"/>
  <c r="D392"/>
  <c r="E392"/>
  <c r="F392"/>
  <c r="A393"/>
  <c r="B393"/>
  <c r="C393"/>
  <c r="D393"/>
  <c r="E393"/>
  <c r="F393"/>
  <c r="A394"/>
  <c r="B394"/>
  <c r="C394"/>
  <c r="D394"/>
  <c r="E394"/>
  <c r="F394"/>
  <c r="A395"/>
  <c r="B395"/>
  <c r="C395"/>
  <c r="D395"/>
  <c r="E395"/>
  <c r="F395"/>
  <c r="A396"/>
  <c r="B396"/>
  <c r="C396"/>
  <c r="D396"/>
  <c r="E396"/>
  <c r="F396"/>
  <c r="A397"/>
  <c r="B397"/>
  <c r="C397"/>
  <c r="D397"/>
  <c r="E397"/>
  <c r="F397"/>
  <c r="A398"/>
  <c r="B398"/>
  <c r="C398"/>
  <c r="D398"/>
  <c r="E398"/>
  <c r="F398"/>
  <c r="A399"/>
  <c r="B399"/>
  <c r="C399"/>
  <c r="D399"/>
  <c r="E399"/>
  <c r="F399"/>
  <c r="A400"/>
  <c r="B400"/>
  <c r="C400"/>
  <c r="D400"/>
  <c r="E400"/>
  <c r="F400"/>
  <c r="A401"/>
  <c r="B401"/>
  <c r="C401"/>
  <c r="D401"/>
  <c r="E401"/>
  <c r="F401"/>
  <c r="A402"/>
  <c r="B402"/>
  <c r="C402"/>
  <c r="D402"/>
  <c r="E402"/>
  <c r="F402"/>
  <c r="A403"/>
  <c r="B403"/>
  <c r="C403"/>
  <c r="D403"/>
  <c r="E403"/>
  <c r="F403"/>
  <c r="A404"/>
  <c r="B404"/>
  <c r="C404"/>
  <c r="D404"/>
  <c r="E404"/>
  <c r="F404"/>
  <c r="A405"/>
  <c r="B405"/>
  <c r="C405"/>
  <c r="D405"/>
  <c r="E405"/>
  <c r="F405"/>
  <c r="A406"/>
  <c r="B406"/>
  <c r="C406"/>
  <c r="D406"/>
  <c r="E406"/>
  <c r="F406"/>
  <c r="A407"/>
  <c r="B407"/>
  <c r="C407"/>
  <c r="D407"/>
  <c r="E407"/>
  <c r="F407"/>
  <c r="A408"/>
  <c r="B408"/>
  <c r="C408"/>
  <c r="D408"/>
  <c r="E408"/>
  <c r="F408"/>
  <c r="A409"/>
  <c r="B409"/>
  <c r="C409"/>
  <c r="D409"/>
  <c r="E409"/>
  <c r="F409"/>
  <c r="A410"/>
  <c r="B410"/>
  <c r="C410"/>
  <c r="D410"/>
  <c r="E410"/>
  <c r="F410"/>
  <c r="A411"/>
  <c r="B411"/>
  <c r="C411"/>
  <c r="D411"/>
  <c r="E411"/>
  <c r="F411"/>
  <c r="A412"/>
  <c r="B412"/>
  <c r="C412"/>
  <c r="D412"/>
  <c r="E412"/>
  <c r="F412"/>
  <c r="A413"/>
  <c r="B413"/>
  <c r="C413"/>
  <c r="D413"/>
  <c r="E413"/>
  <c r="F413"/>
  <c r="A414"/>
  <c r="B414"/>
  <c r="C414"/>
  <c r="D414"/>
  <c r="E414"/>
  <c r="F414"/>
  <c r="A292"/>
  <c r="B292"/>
  <c r="C292"/>
  <c r="D292"/>
  <c r="E292"/>
  <c r="F292"/>
  <c r="A293"/>
  <c r="B293"/>
  <c r="C293"/>
  <c r="D293"/>
  <c r="E293"/>
  <c r="F293"/>
  <c r="A294"/>
  <c r="B294"/>
  <c r="C294"/>
  <c r="D294"/>
  <c r="E294"/>
  <c r="F294"/>
  <c r="A295"/>
  <c r="B295"/>
  <c r="C295"/>
  <c r="D295"/>
  <c r="E295"/>
  <c r="F295"/>
  <c r="A296"/>
  <c r="B296"/>
  <c r="C296"/>
  <c r="D296"/>
  <c r="E296"/>
  <c r="F296"/>
  <c r="A297"/>
  <c r="B297"/>
  <c r="C297"/>
  <c r="D297"/>
  <c r="E297"/>
  <c r="F297"/>
  <c r="A298"/>
  <c r="B298"/>
  <c r="C298"/>
  <c r="D298"/>
  <c r="E298"/>
  <c r="F298"/>
  <c r="A299"/>
  <c r="B299"/>
  <c r="C299"/>
  <c r="D299"/>
  <c r="E299"/>
  <c r="F299"/>
  <c r="A300"/>
  <c r="B300"/>
  <c r="C300"/>
  <c r="D300"/>
  <c r="E300"/>
  <c r="F300"/>
  <c r="A301"/>
  <c r="B301"/>
  <c r="C301"/>
  <c r="D301"/>
  <c r="E301"/>
  <c r="F301"/>
  <c r="A302"/>
  <c r="B302"/>
  <c r="C302"/>
  <c r="D302"/>
  <c r="E302"/>
  <c r="F302"/>
  <c r="A303"/>
  <c r="B303"/>
  <c r="C303"/>
  <c r="D303"/>
  <c r="E303"/>
  <c r="F303"/>
  <c r="A304"/>
  <c r="B304"/>
  <c r="C304"/>
  <c r="D304"/>
  <c r="E304"/>
  <c r="F304"/>
  <c r="A305"/>
  <c r="B305"/>
  <c r="C305"/>
  <c r="D305"/>
  <c r="E305"/>
  <c r="F305"/>
  <c r="A306"/>
  <c r="B306"/>
  <c r="C306"/>
  <c r="D306"/>
  <c r="E306"/>
  <c r="F306"/>
  <c r="A307"/>
  <c r="B307"/>
  <c r="C307"/>
  <c r="D307"/>
  <c r="E307"/>
  <c r="F307"/>
  <c r="A308"/>
  <c r="B308"/>
  <c r="C308"/>
  <c r="D308"/>
  <c r="E308"/>
  <c r="F308"/>
  <c r="A309"/>
  <c r="B309"/>
  <c r="C309"/>
  <c r="D309"/>
  <c r="E309"/>
  <c r="F309"/>
  <c r="A310"/>
  <c r="B310"/>
  <c r="C310"/>
  <c r="D310"/>
  <c r="E310"/>
  <c r="F310"/>
  <c r="A311"/>
  <c r="B311"/>
  <c r="C311"/>
  <c r="D311"/>
  <c r="E311"/>
  <c r="F311"/>
  <c r="A312"/>
  <c r="B312"/>
  <c r="C312"/>
  <c r="D312"/>
  <c r="E312"/>
  <c r="F312"/>
  <c r="A313"/>
  <c r="B313"/>
  <c r="C313"/>
  <c r="D313"/>
  <c r="E313"/>
  <c r="F313"/>
  <c r="A314"/>
  <c r="B314"/>
  <c r="C314"/>
  <c r="D314"/>
  <c r="E314"/>
  <c r="F314"/>
  <c r="A315"/>
  <c r="B315"/>
  <c r="C315"/>
  <c r="D315"/>
  <c r="E315"/>
  <c r="F315"/>
  <c r="A316"/>
  <c r="B316"/>
  <c r="C316"/>
  <c r="D316"/>
  <c r="E316"/>
  <c r="F316"/>
  <c r="A317"/>
  <c r="B317"/>
  <c r="C317"/>
  <c r="D317"/>
  <c r="E317"/>
  <c r="F317"/>
  <c r="A318"/>
  <c r="B318"/>
  <c r="C318"/>
  <c r="D318"/>
  <c r="E318"/>
  <c r="F318"/>
  <c r="A319"/>
  <c r="B319"/>
  <c r="C319"/>
  <c r="D319"/>
  <c r="E319"/>
  <c r="F319"/>
  <c r="A320"/>
  <c r="B320"/>
  <c r="C320"/>
  <c r="D320"/>
  <c r="E320"/>
  <c r="F320"/>
  <c r="A321"/>
  <c r="B321"/>
  <c r="C321"/>
  <c r="D321"/>
  <c r="E321"/>
  <c r="F321"/>
  <c r="A322"/>
  <c r="B322"/>
  <c r="C322"/>
  <c r="D322"/>
  <c r="E322"/>
  <c r="F322"/>
  <c r="A323"/>
  <c r="B323"/>
  <c r="C323"/>
  <c r="D323"/>
  <c r="E323"/>
  <c r="F323"/>
  <c r="A324"/>
  <c r="B324"/>
  <c r="C324"/>
  <c r="D324"/>
  <c r="E324"/>
  <c r="F324"/>
  <c r="A325"/>
  <c r="B325"/>
  <c r="C325"/>
  <c r="D325"/>
  <c r="E325"/>
  <c r="F325"/>
  <c r="A326"/>
  <c r="B326"/>
  <c r="C326"/>
  <c r="D326"/>
  <c r="E326"/>
  <c r="F326"/>
  <c r="A327"/>
  <c r="B327"/>
  <c r="C327"/>
  <c r="D327"/>
  <c r="E327"/>
  <c r="F327"/>
  <c r="A328"/>
  <c r="B328"/>
  <c r="C328"/>
  <c r="D328"/>
  <c r="E328"/>
  <c r="F328"/>
  <c r="A329"/>
  <c r="B329"/>
  <c r="C329"/>
  <c r="D329"/>
  <c r="E329"/>
  <c r="F329"/>
  <c r="A330"/>
  <c r="B330"/>
  <c r="C330"/>
  <c r="D330"/>
  <c r="E330"/>
  <c r="F330"/>
  <c r="A331"/>
  <c r="B331"/>
  <c r="C331"/>
  <c r="D331"/>
  <c r="E331"/>
  <c r="F331"/>
  <c r="A332"/>
  <c r="B332"/>
  <c r="C332"/>
  <c r="D332"/>
  <c r="E332"/>
  <c r="F332"/>
  <c r="A333"/>
  <c r="B333"/>
  <c r="C333"/>
  <c r="D333"/>
  <c r="E333"/>
  <c r="F333"/>
  <c r="A334"/>
  <c r="B334"/>
  <c r="C334"/>
  <c r="D334"/>
  <c r="E334"/>
  <c r="F334"/>
  <c r="A335"/>
  <c r="B335"/>
  <c r="C335"/>
  <c r="D335"/>
  <c r="E335"/>
  <c r="F335"/>
  <c r="A336"/>
  <c r="B336"/>
  <c r="C336"/>
  <c r="D336"/>
  <c r="E336"/>
  <c r="F336"/>
  <c r="A337"/>
  <c r="B337"/>
  <c r="C337"/>
  <c r="D337"/>
  <c r="E337"/>
  <c r="F337"/>
  <c r="A338"/>
  <c r="B338"/>
  <c r="C338"/>
  <c r="D338"/>
  <c r="E338"/>
  <c r="F338"/>
  <c r="A339"/>
  <c r="B339"/>
  <c r="C339"/>
  <c r="D339"/>
  <c r="E339"/>
  <c r="F339"/>
  <c r="A340"/>
  <c r="B340"/>
  <c r="C340"/>
  <c r="D340"/>
  <c r="E340"/>
  <c r="F340"/>
  <c r="A341"/>
  <c r="B341"/>
  <c r="C341"/>
  <c r="D341"/>
  <c r="E341"/>
  <c r="F341"/>
  <c r="A342"/>
  <c r="B342"/>
  <c r="C342"/>
  <c r="D342"/>
  <c r="E342"/>
  <c r="F342"/>
  <c r="A343"/>
  <c r="B343"/>
  <c r="C343"/>
  <c r="D343"/>
  <c r="E343"/>
  <c r="F343"/>
  <c r="A344"/>
  <c r="B344"/>
  <c r="C344"/>
  <c r="D344"/>
  <c r="E344"/>
  <c r="F344"/>
  <c r="A345"/>
  <c r="B345"/>
  <c r="C345"/>
  <c r="D345"/>
  <c r="E345"/>
  <c r="F345"/>
  <c r="A346"/>
  <c r="B346"/>
  <c r="C346"/>
  <c r="D346"/>
  <c r="E346"/>
  <c r="F346"/>
  <c r="A347"/>
  <c r="B347"/>
  <c r="C347"/>
  <c r="D347"/>
  <c r="E347"/>
  <c r="F347"/>
  <c r="A348"/>
  <c r="B348"/>
  <c r="C348"/>
  <c r="D348"/>
  <c r="E348"/>
  <c r="F348"/>
  <c r="A349"/>
  <c r="B349"/>
  <c r="C349"/>
  <c r="D349"/>
  <c r="E349"/>
  <c r="F349"/>
  <c r="A350"/>
  <c r="B350"/>
  <c r="C350"/>
  <c r="D350"/>
  <c r="E350"/>
  <c r="F350"/>
  <c r="A351"/>
  <c r="B351"/>
  <c r="C351"/>
  <c r="D351"/>
  <c r="E351"/>
  <c r="F351"/>
  <c r="A352"/>
  <c r="B352"/>
  <c r="C352"/>
  <c r="D352"/>
  <c r="E352"/>
  <c r="F352"/>
  <c r="A353"/>
  <c r="B353"/>
  <c r="C353"/>
  <c r="D353"/>
  <c r="E353"/>
  <c r="F353"/>
  <c r="A354"/>
  <c r="B354"/>
  <c r="C354"/>
  <c r="D354"/>
  <c r="E354"/>
  <c r="F354"/>
  <c r="A355"/>
  <c r="B355"/>
  <c r="C355"/>
  <c r="D355"/>
  <c r="E355"/>
  <c r="F355"/>
  <c r="A356"/>
  <c r="B356"/>
  <c r="C356"/>
  <c r="D356"/>
  <c r="E356"/>
  <c r="F356"/>
  <c r="A357"/>
  <c r="B357"/>
  <c r="C357"/>
  <c r="D357"/>
  <c r="E357"/>
  <c r="F357"/>
  <c r="A358"/>
  <c r="B358"/>
  <c r="C358"/>
  <c r="D358"/>
  <c r="E358"/>
  <c r="F358"/>
  <c r="A359"/>
  <c r="B359"/>
  <c r="C359"/>
  <c r="D359"/>
  <c r="E359"/>
  <c r="F359"/>
  <c r="A360"/>
  <c r="B360"/>
  <c r="C360"/>
  <c r="D360"/>
  <c r="E360"/>
  <c r="F360"/>
  <c r="A361"/>
  <c r="B361"/>
  <c r="C361"/>
  <c r="D361"/>
  <c r="E361"/>
  <c r="F361"/>
  <c r="A362"/>
  <c r="B362"/>
  <c r="C362"/>
  <c r="D362"/>
  <c r="E362"/>
  <c r="F362"/>
  <c r="A363"/>
  <c r="B363"/>
  <c r="C363"/>
  <c r="D363"/>
  <c r="E363"/>
  <c r="F363"/>
  <c r="A364"/>
  <c r="B364"/>
  <c r="C364"/>
  <c r="D364"/>
  <c r="E364"/>
  <c r="F364"/>
  <c r="A365"/>
  <c r="B365"/>
  <c r="C365"/>
  <c r="D365"/>
  <c r="E365"/>
  <c r="F365"/>
  <c r="A366"/>
  <c r="B366"/>
  <c r="C366"/>
  <c r="D366"/>
  <c r="E366"/>
  <c r="F366"/>
  <c r="A367"/>
  <c r="B367"/>
  <c r="C367"/>
  <c r="D367"/>
  <c r="E367"/>
  <c r="F367"/>
  <c r="A368"/>
  <c r="B368"/>
  <c r="C368"/>
  <c r="D368"/>
  <c r="E368"/>
  <c r="F368"/>
  <c r="A369"/>
  <c r="B369"/>
  <c r="C369"/>
  <c r="D369"/>
  <c r="E369"/>
  <c r="F369"/>
  <c r="A370"/>
  <c r="B370"/>
  <c r="C370"/>
  <c r="D370"/>
  <c r="E370"/>
  <c r="F370"/>
  <c r="A371"/>
  <c r="B371"/>
  <c r="C371"/>
  <c r="D371"/>
  <c r="E371"/>
  <c r="F371"/>
  <c r="A372"/>
  <c r="B372"/>
  <c r="C372"/>
  <c r="D372"/>
  <c r="E372"/>
  <c r="F372"/>
  <c r="A373"/>
  <c r="B373"/>
  <c r="C373"/>
  <c r="D373"/>
  <c r="E373"/>
  <c r="F373"/>
  <c r="A374"/>
  <c r="B374"/>
  <c r="C374"/>
  <c r="D374"/>
  <c r="E374"/>
  <c r="F374"/>
  <c r="A375"/>
  <c r="B375"/>
  <c r="C375"/>
  <c r="D375"/>
  <c r="E375"/>
  <c r="F375"/>
  <c r="A376"/>
  <c r="B376"/>
  <c r="C376"/>
  <c r="D376"/>
  <c r="E376"/>
  <c r="F376"/>
  <c r="A377"/>
  <c r="B377"/>
  <c r="C377"/>
  <c r="D377"/>
  <c r="E377"/>
  <c r="F377"/>
  <c r="A378"/>
  <c r="B378"/>
  <c r="C378"/>
  <c r="D378"/>
  <c r="E378"/>
  <c r="F378"/>
  <c r="A379"/>
  <c r="B379"/>
  <c r="C379"/>
  <c r="D379"/>
  <c r="E379"/>
  <c r="F379"/>
  <c r="A380"/>
  <c r="B380"/>
  <c r="C380"/>
  <c r="D380"/>
  <c r="E380"/>
  <c r="F380"/>
  <c r="A381"/>
  <c r="B381"/>
  <c r="C381"/>
  <c r="D381"/>
  <c r="E381"/>
  <c r="F381"/>
  <c r="A382"/>
  <c r="B382"/>
  <c r="C382"/>
  <c r="D382"/>
  <c r="E382"/>
  <c r="F382"/>
  <c r="A383"/>
  <c r="B383"/>
  <c r="C383"/>
  <c r="D383"/>
  <c r="E383"/>
  <c r="F383"/>
  <c r="A384"/>
  <c r="B384"/>
  <c r="C384"/>
  <c r="D384"/>
  <c r="E384"/>
  <c r="F384"/>
  <c r="A385"/>
  <c r="B385"/>
  <c r="C385"/>
  <c r="D385"/>
  <c r="E385"/>
  <c r="F385"/>
  <c r="A386"/>
  <c r="B386"/>
  <c r="C386"/>
  <c r="D386"/>
  <c r="E386"/>
  <c r="F386"/>
  <c r="A387"/>
  <c r="B387"/>
  <c r="C387"/>
  <c r="D387"/>
  <c r="E387"/>
  <c r="F387"/>
  <c r="A388"/>
  <c r="B388"/>
  <c r="C388"/>
  <c r="D388"/>
  <c r="E388"/>
  <c r="F388"/>
  <c r="A389"/>
  <c r="B389"/>
  <c r="C389"/>
  <c r="D389"/>
  <c r="E389"/>
  <c r="F389"/>
  <c r="F291"/>
  <c r="E291"/>
  <c r="D291"/>
  <c r="C291"/>
  <c r="B291"/>
  <c r="A291"/>
  <c r="F290"/>
  <c r="E290"/>
  <c r="D290"/>
  <c r="C290"/>
  <c r="B290"/>
  <c r="A290"/>
  <c r="F289"/>
  <c r="E289"/>
  <c r="D289"/>
  <c r="C289"/>
  <c r="B289"/>
  <c r="A289"/>
  <c r="A261"/>
  <c r="B261"/>
  <c r="C261"/>
  <c r="D261"/>
  <c r="E261"/>
  <c r="F261"/>
  <c r="A262"/>
  <c r="B262"/>
  <c r="C262"/>
  <c r="D262"/>
  <c r="E262"/>
  <c r="F262"/>
  <c r="A263"/>
  <c r="B263"/>
  <c r="C263"/>
  <c r="D263"/>
  <c r="E263"/>
  <c r="F263"/>
  <c r="A264"/>
  <c r="B264"/>
  <c r="C264"/>
  <c r="D264"/>
  <c r="E264"/>
  <c r="F264"/>
  <c r="A265"/>
  <c r="B265"/>
  <c r="C265"/>
  <c r="D265"/>
  <c r="E265"/>
  <c r="F265"/>
  <c r="A266"/>
  <c r="B266"/>
  <c r="C266"/>
  <c r="D266"/>
  <c r="E266"/>
  <c r="F266"/>
  <c r="A267"/>
  <c r="B267"/>
  <c r="C267"/>
  <c r="D267"/>
  <c r="E267"/>
  <c r="F267"/>
  <c r="A268"/>
  <c r="B268"/>
  <c r="C268"/>
  <c r="D268"/>
  <c r="E268"/>
  <c r="F268"/>
  <c r="A269"/>
  <c r="B269"/>
  <c r="C269"/>
  <c r="D269"/>
  <c r="E269"/>
  <c r="F269"/>
  <c r="A270"/>
  <c r="B270"/>
  <c r="C270"/>
  <c r="D270"/>
  <c r="E270"/>
  <c r="F270"/>
  <c r="A271"/>
  <c r="B271"/>
  <c r="C271"/>
  <c r="D271"/>
  <c r="E271"/>
  <c r="F271"/>
  <c r="A272"/>
  <c r="B272"/>
  <c r="C272"/>
  <c r="D272"/>
  <c r="E272"/>
  <c r="F272"/>
  <c r="A273"/>
  <c r="B273"/>
  <c r="C273"/>
  <c r="D273"/>
  <c r="E273"/>
  <c r="F273"/>
  <c r="A274"/>
  <c r="B274"/>
  <c r="C274"/>
  <c r="D274"/>
  <c r="E274"/>
  <c r="F274"/>
  <c r="A275"/>
  <c r="B275"/>
  <c r="C275"/>
  <c r="D275"/>
  <c r="E275"/>
  <c r="F275"/>
  <c r="A276"/>
  <c r="B276"/>
  <c r="C276"/>
  <c r="D276"/>
  <c r="E276"/>
  <c r="F276"/>
  <c r="A277"/>
  <c r="B277"/>
  <c r="C277"/>
  <c r="D277"/>
  <c r="E277"/>
  <c r="F277"/>
  <c r="A278"/>
  <c r="B278"/>
  <c r="C278"/>
  <c r="D278"/>
  <c r="E278"/>
  <c r="F278"/>
  <c r="A279"/>
  <c r="B279"/>
  <c r="C279"/>
  <c r="D279"/>
  <c r="E279"/>
  <c r="F279"/>
  <c r="A280"/>
  <c r="B280"/>
  <c r="C280"/>
  <c r="D280"/>
  <c r="E280"/>
  <c r="F280"/>
  <c r="A281"/>
  <c r="B281"/>
  <c r="C281"/>
  <c r="D281"/>
  <c r="E281"/>
  <c r="F281"/>
  <c r="A282"/>
  <c r="B282"/>
  <c r="C282"/>
  <c r="D282"/>
  <c r="E282"/>
  <c r="F282"/>
  <c r="A283"/>
  <c r="B283"/>
  <c r="C283"/>
  <c r="D283"/>
  <c r="E283"/>
  <c r="F283"/>
  <c r="A284"/>
  <c r="B284"/>
  <c r="C284"/>
  <c r="D284"/>
  <c r="E284"/>
  <c r="F284"/>
  <c r="A285"/>
  <c r="B285"/>
  <c r="C285"/>
  <c r="D285"/>
  <c r="E285"/>
  <c r="F285"/>
  <c r="A286"/>
  <c r="B286"/>
  <c r="C286"/>
  <c r="D286"/>
  <c r="E286"/>
  <c r="F286"/>
  <c r="F260"/>
  <c r="E260"/>
  <c r="D260"/>
  <c r="C260"/>
  <c r="B260"/>
  <c r="A260"/>
  <c r="F259"/>
  <c r="E259"/>
  <c r="D259"/>
  <c r="C259"/>
  <c r="B259"/>
  <c r="A259"/>
  <c r="F258"/>
  <c r="E258"/>
  <c r="D258"/>
  <c r="C258"/>
  <c r="B258"/>
  <c r="A258"/>
  <c r="F257"/>
  <c r="E257"/>
  <c r="D257"/>
  <c r="C257"/>
  <c r="B257"/>
  <c r="A257"/>
  <c r="F256"/>
  <c r="E256"/>
  <c r="D256"/>
  <c r="C256"/>
  <c r="B256"/>
  <c r="A256"/>
  <c r="F255"/>
  <c r="E255"/>
  <c r="D255"/>
  <c r="C255"/>
  <c r="B255"/>
  <c r="A255"/>
  <c r="F254"/>
  <c r="E254"/>
  <c r="D254"/>
  <c r="C254"/>
  <c r="B254"/>
  <c r="A254"/>
  <c r="F253"/>
  <c r="E253"/>
  <c r="D253"/>
  <c r="C253"/>
  <c r="B253"/>
  <c r="A253"/>
  <c r="F252"/>
  <c r="E252"/>
  <c r="D252"/>
  <c r="C252"/>
  <c r="B252"/>
  <c r="A252"/>
  <c r="F251"/>
  <c r="E251"/>
  <c r="D251"/>
  <c r="C251"/>
  <c r="B251"/>
  <c r="A251"/>
  <c r="F250"/>
  <c r="E250"/>
  <c r="D250"/>
  <c r="C250"/>
  <c r="B250"/>
  <c r="A250"/>
  <c r="F249"/>
  <c r="E249"/>
  <c r="D249"/>
  <c r="C249"/>
  <c r="B249"/>
  <c r="A249"/>
  <c r="F248"/>
  <c r="E248"/>
  <c r="D248"/>
  <c r="C248"/>
  <c r="B248"/>
  <c r="A248"/>
  <c r="F247"/>
  <c r="E247"/>
  <c r="D247"/>
  <c r="C247"/>
  <c r="B247"/>
  <c r="A247"/>
  <c r="F246"/>
  <c r="E246"/>
  <c r="D246"/>
  <c r="C246"/>
  <c r="B246"/>
  <c r="A246"/>
  <c r="F245"/>
  <c r="E245"/>
  <c r="D245"/>
  <c r="C245"/>
  <c r="B245"/>
  <c r="A245"/>
  <c r="F244"/>
  <c r="E244"/>
  <c r="D244"/>
  <c r="C244"/>
  <c r="B244"/>
  <c r="A244"/>
  <c r="A240"/>
  <c r="B240"/>
  <c r="C240"/>
  <c r="D240"/>
  <c r="E240"/>
  <c r="F240"/>
  <c r="A241"/>
  <c r="B241"/>
  <c r="C241"/>
  <c r="D241"/>
  <c r="E241"/>
  <c r="F241"/>
  <c r="F239"/>
  <c r="E239"/>
  <c r="D239"/>
  <c r="C239"/>
  <c r="B239"/>
  <c r="A239"/>
  <c r="F238"/>
  <c r="E238"/>
  <c r="D238"/>
  <c r="C238"/>
  <c r="B238"/>
  <c r="A238"/>
  <c r="F237"/>
  <c r="E237"/>
  <c r="D237"/>
  <c r="C237"/>
  <c r="B237"/>
  <c r="A237"/>
  <c r="F236"/>
  <c r="E236"/>
  <c r="D236"/>
  <c r="C236"/>
  <c r="B236"/>
  <c r="A236"/>
  <c r="F235"/>
  <c r="E235"/>
  <c r="D235"/>
  <c r="C235"/>
  <c r="B235"/>
  <c r="A235"/>
  <c r="F234"/>
  <c r="E234"/>
  <c r="D234"/>
  <c r="C234"/>
  <c r="B234"/>
  <c r="A234"/>
  <c r="F233"/>
  <c r="E233"/>
  <c r="D233"/>
  <c r="C233"/>
  <c r="B233"/>
  <c r="A233"/>
  <c r="F232"/>
  <c r="E232"/>
  <c r="D232"/>
  <c r="C232"/>
  <c r="B232"/>
  <c r="A232"/>
  <c r="F231"/>
  <c r="E231"/>
  <c r="D231"/>
  <c r="C231"/>
  <c r="B231"/>
  <c r="A231"/>
  <c r="F230"/>
  <c r="E230"/>
  <c r="D230"/>
  <c r="C230"/>
  <c r="B230"/>
  <c r="A230"/>
  <c r="F229"/>
  <c r="E229"/>
  <c r="D229"/>
  <c r="C229"/>
  <c r="B229"/>
  <c r="A229"/>
  <c r="F228"/>
  <c r="E228"/>
  <c r="D228"/>
  <c r="C228"/>
  <c r="B228"/>
  <c r="A228"/>
  <c r="F227"/>
  <c r="E227"/>
  <c r="D227"/>
  <c r="C227"/>
  <c r="B227"/>
  <c r="A227"/>
  <c r="F226"/>
  <c r="E226"/>
  <c r="D226"/>
  <c r="C226"/>
  <c r="B226"/>
  <c r="A226"/>
  <c r="F225"/>
  <c r="E225"/>
  <c r="D225"/>
  <c r="C225"/>
  <c r="B225"/>
  <c r="A225"/>
  <c r="A211"/>
  <c r="B211"/>
  <c r="C211"/>
  <c r="D211"/>
  <c r="E211"/>
  <c r="F211"/>
  <c r="A212"/>
  <c r="B212"/>
  <c r="C212"/>
  <c r="D212"/>
  <c r="E212"/>
  <c r="F212"/>
  <c r="A213"/>
  <c r="B213"/>
  <c r="C213"/>
  <c r="D213"/>
  <c r="E213"/>
  <c r="F213"/>
  <c r="A214"/>
  <c r="B214"/>
  <c r="C214"/>
  <c r="D214"/>
  <c r="E214"/>
  <c r="F214"/>
  <c r="A215"/>
  <c r="B215"/>
  <c r="C215"/>
  <c r="D215"/>
  <c r="E215"/>
  <c r="F215"/>
  <c r="A216"/>
  <c r="B216"/>
  <c r="C216"/>
  <c r="D216"/>
  <c r="E216"/>
  <c r="F216"/>
  <c r="A217"/>
  <c r="B217"/>
  <c r="C217"/>
  <c r="D217"/>
  <c r="E217"/>
  <c r="F217"/>
  <c r="A218"/>
  <c r="B218"/>
  <c r="C218"/>
  <c r="D218"/>
  <c r="E218"/>
  <c r="F218"/>
  <c r="A219"/>
  <c r="B219"/>
  <c r="C219"/>
  <c r="D219"/>
  <c r="E219"/>
  <c r="F219"/>
  <c r="A220"/>
  <c r="B220"/>
  <c r="C220"/>
  <c r="D220"/>
  <c r="E220"/>
  <c r="F220"/>
  <c r="A221"/>
  <c r="B221"/>
  <c r="C221"/>
  <c r="D221"/>
  <c r="E221"/>
  <c r="F221"/>
  <c r="A222"/>
  <c r="B222"/>
  <c r="C222"/>
  <c r="D222"/>
  <c r="E222"/>
  <c r="F222"/>
  <c r="F210"/>
  <c r="E210"/>
  <c r="D210"/>
  <c r="C210"/>
  <c r="B210"/>
  <c r="A210"/>
  <c r="F209"/>
  <c r="E209"/>
  <c r="D209"/>
  <c r="C209"/>
  <c r="B209"/>
  <c r="A209"/>
  <c r="F208"/>
  <c r="E208"/>
  <c r="D208"/>
  <c r="C208"/>
  <c r="B208"/>
  <c r="A208"/>
  <c r="A131"/>
  <c r="B131"/>
  <c r="C131"/>
  <c r="D131"/>
  <c r="E131"/>
  <c r="F131"/>
  <c r="A132"/>
  <c r="B132"/>
  <c r="C132"/>
  <c r="D132"/>
  <c r="E132"/>
  <c r="F132"/>
  <c r="A133"/>
  <c r="B133"/>
  <c r="C133"/>
  <c r="D133"/>
  <c r="E133"/>
  <c r="F133"/>
  <c r="A134"/>
  <c r="B134"/>
  <c r="C134"/>
  <c r="D134"/>
  <c r="E134"/>
  <c r="F134"/>
  <c r="A135"/>
  <c r="B135"/>
  <c r="C135"/>
  <c r="D135"/>
  <c r="E135"/>
  <c r="F135"/>
  <c r="A136"/>
  <c r="B136"/>
  <c r="C136"/>
  <c r="D136"/>
  <c r="E136"/>
  <c r="F136"/>
  <c r="A137"/>
  <c r="B137"/>
  <c r="C137"/>
  <c r="D137"/>
  <c r="E137"/>
  <c r="F137"/>
  <c r="A138"/>
  <c r="B138"/>
  <c r="C138"/>
  <c r="D138"/>
  <c r="E138"/>
  <c r="F138"/>
  <c r="A139"/>
  <c r="B139"/>
  <c r="C139"/>
  <c r="D139"/>
  <c r="E139"/>
  <c r="F139"/>
  <c r="A140"/>
  <c r="B140"/>
  <c r="C140"/>
  <c r="D140"/>
  <c r="E140"/>
  <c r="F140"/>
  <c r="A141"/>
  <c r="B141"/>
  <c r="C141"/>
  <c r="D141"/>
  <c r="E141"/>
  <c r="F141"/>
  <c r="A142"/>
  <c r="B142"/>
  <c r="C142"/>
  <c r="D142"/>
  <c r="E142"/>
  <c r="F142"/>
  <c r="A143"/>
  <c r="B143"/>
  <c r="C143"/>
  <c r="D143"/>
  <c r="E143"/>
  <c r="F143"/>
  <c r="A144"/>
  <c r="B144"/>
  <c r="C144"/>
  <c r="D144"/>
  <c r="E144"/>
  <c r="F144"/>
  <c r="A145"/>
  <c r="B145"/>
  <c r="C145"/>
  <c r="D145"/>
  <c r="E145"/>
  <c r="F145"/>
  <c r="A146"/>
  <c r="B146"/>
  <c r="C146"/>
  <c r="D146"/>
  <c r="E146"/>
  <c r="F146"/>
  <c r="A147"/>
  <c r="B147"/>
  <c r="C147"/>
  <c r="D147"/>
  <c r="E147"/>
  <c r="F147"/>
  <c r="A148"/>
  <c r="B148"/>
  <c r="C148"/>
  <c r="D148"/>
  <c r="E148"/>
  <c r="F148"/>
  <c r="A149"/>
  <c r="B149"/>
  <c r="C149"/>
  <c r="D149"/>
  <c r="E149"/>
  <c r="F149"/>
  <c r="A150"/>
  <c r="B150"/>
  <c r="C150"/>
  <c r="D150"/>
  <c r="E150"/>
  <c r="F150"/>
  <c r="A151"/>
  <c r="B151"/>
  <c r="C151"/>
  <c r="D151"/>
  <c r="E151"/>
  <c r="F151"/>
  <c r="A152"/>
  <c r="B152"/>
  <c r="C152"/>
  <c r="D152"/>
  <c r="E152"/>
  <c r="F152"/>
  <c r="A153"/>
  <c r="B153"/>
  <c r="C153"/>
  <c r="D153"/>
  <c r="E153"/>
  <c r="F153"/>
  <c r="A154"/>
  <c r="B154"/>
  <c r="C154"/>
  <c r="D154"/>
  <c r="E154"/>
  <c r="F154"/>
  <c r="A155"/>
  <c r="B155"/>
  <c r="C155"/>
  <c r="D155"/>
  <c r="E155"/>
  <c r="F155"/>
  <c r="A156"/>
  <c r="B156"/>
  <c r="C156"/>
  <c r="D156"/>
  <c r="E156"/>
  <c r="F156"/>
  <c r="A157"/>
  <c r="B157"/>
  <c r="C157"/>
  <c r="D157"/>
  <c r="E157"/>
  <c r="F157"/>
  <c r="A158"/>
  <c r="B158"/>
  <c r="C158"/>
  <c r="D158"/>
  <c r="E158"/>
  <c r="F158"/>
  <c r="A159"/>
  <c r="B159"/>
  <c r="C159"/>
  <c r="D159"/>
  <c r="E159"/>
  <c r="F159"/>
  <c r="A160"/>
  <c r="B160"/>
  <c r="C160"/>
  <c r="D160"/>
  <c r="E160"/>
  <c r="F160"/>
  <c r="A161"/>
  <c r="B161"/>
  <c r="C161"/>
  <c r="D161"/>
  <c r="E161"/>
  <c r="F161"/>
  <c r="A162"/>
  <c r="B162"/>
  <c r="C162"/>
  <c r="D162"/>
  <c r="E162"/>
  <c r="F162"/>
  <c r="A163"/>
  <c r="B163"/>
  <c r="C163"/>
  <c r="D163"/>
  <c r="E163"/>
  <c r="F163"/>
  <c r="A164"/>
  <c r="B164"/>
  <c r="C164"/>
  <c r="D164"/>
  <c r="E164"/>
  <c r="F164"/>
  <c r="A165"/>
  <c r="B165"/>
  <c r="C165"/>
  <c r="D165"/>
  <c r="E165"/>
  <c r="F165"/>
  <c r="A166"/>
  <c r="B166"/>
  <c r="C166"/>
  <c r="D166"/>
  <c r="E166"/>
  <c r="F166"/>
  <c r="A167"/>
  <c r="B167"/>
  <c r="C167"/>
  <c r="D167"/>
  <c r="E167"/>
  <c r="F167"/>
  <c r="A168"/>
  <c r="B168"/>
  <c r="C168"/>
  <c r="D168"/>
  <c r="E168"/>
  <c r="F168"/>
  <c r="A169"/>
  <c r="B169"/>
  <c r="C169"/>
  <c r="D169"/>
  <c r="E169"/>
  <c r="F169"/>
  <c r="A170"/>
  <c r="B170"/>
  <c r="C170"/>
  <c r="D170"/>
  <c r="E170"/>
  <c r="F170"/>
  <c r="A171"/>
  <c r="B171"/>
  <c r="C171"/>
  <c r="D171"/>
  <c r="E171"/>
  <c r="F171"/>
  <c r="A172"/>
  <c r="B172"/>
  <c r="C172"/>
  <c r="D172"/>
  <c r="E172"/>
  <c r="F172"/>
  <c r="A173"/>
  <c r="B173"/>
  <c r="C173"/>
  <c r="D173"/>
  <c r="E173"/>
  <c r="F173"/>
  <c r="A174"/>
  <c r="B174"/>
  <c r="C174"/>
  <c r="D174"/>
  <c r="E174"/>
  <c r="F174"/>
  <c r="A175"/>
  <c r="B175"/>
  <c r="C175"/>
  <c r="D175"/>
  <c r="E175"/>
  <c r="F175"/>
  <c r="A176"/>
  <c r="B176"/>
  <c r="C176"/>
  <c r="D176"/>
  <c r="E176"/>
  <c r="F176"/>
  <c r="A177"/>
  <c r="B177"/>
  <c r="C177"/>
  <c r="D177"/>
  <c r="E177"/>
  <c r="F177"/>
  <c r="A178"/>
  <c r="B178"/>
  <c r="C178"/>
  <c r="D178"/>
  <c r="E178"/>
  <c r="F178"/>
  <c r="A179"/>
  <c r="B179"/>
  <c r="C179"/>
  <c r="D179"/>
  <c r="E179"/>
  <c r="F179"/>
  <c r="A180"/>
  <c r="B180"/>
  <c r="C180"/>
  <c r="D180"/>
  <c r="E180"/>
  <c r="F180"/>
  <c r="A181"/>
  <c r="B181"/>
  <c r="C181"/>
  <c r="D181"/>
  <c r="E181"/>
  <c r="F181"/>
  <c r="A182"/>
  <c r="B182"/>
  <c r="C182"/>
  <c r="D182"/>
  <c r="E182"/>
  <c r="F182"/>
  <c r="A183"/>
  <c r="B183"/>
  <c r="C183"/>
  <c r="D183"/>
  <c r="E183"/>
  <c r="F183"/>
  <c r="A184"/>
  <c r="B184"/>
  <c r="C184"/>
  <c r="D184"/>
  <c r="E184"/>
  <c r="F184"/>
  <c r="A185"/>
  <c r="B185"/>
  <c r="C185"/>
  <c r="D185"/>
  <c r="E185"/>
  <c r="F185"/>
  <c r="A186"/>
  <c r="B186"/>
  <c r="C186"/>
  <c r="D186"/>
  <c r="E186"/>
  <c r="F186"/>
  <c r="A187"/>
  <c r="B187"/>
  <c r="C187"/>
  <c r="D187"/>
  <c r="E187"/>
  <c r="F187"/>
  <c r="A188"/>
  <c r="B188"/>
  <c r="C188"/>
  <c r="D188"/>
  <c r="E188"/>
  <c r="F188"/>
  <c r="A189"/>
  <c r="B189"/>
  <c r="C189"/>
  <c r="D189"/>
  <c r="E189"/>
  <c r="F189"/>
  <c r="A190"/>
  <c r="B190"/>
  <c r="C190"/>
  <c r="D190"/>
  <c r="E190"/>
  <c r="F190"/>
  <c r="A191"/>
  <c r="B191"/>
  <c r="C191"/>
  <c r="D191"/>
  <c r="E191"/>
  <c r="F191"/>
  <c r="A192"/>
  <c r="B192"/>
  <c r="C192"/>
  <c r="D192"/>
  <c r="E192"/>
  <c r="F192"/>
  <c r="A193"/>
  <c r="B193"/>
  <c r="C193"/>
  <c r="D193"/>
  <c r="E193"/>
  <c r="F193"/>
  <c r="A194"/>
  <c r="B194"/>
  <c r="C194"/>
  <c r="D194"/>
  <c r="E194"/>
  <c r="F194"/>
  <c r="A195"/>
  <c r="B195"/>
  <c r="C195"/>
  <c r="D195"/>
  <c r="E195"/>
  <c r="F195"/>
  <c r="A196"/>
  <c r="B196"/>
  <c r="C196"/>
  <c r="D196"/>
  <c r="E196"/>
  <c r="F196"/>
  <c r="A197"/>
  <c r="B197"/>
  <c r="C197"/>
  <c r="D197"/>
  <c r="E197"/>
  <c r="F197"/>
  <c r="A198"/>
  <c r="B198"/>
  <c r="C198"/>
  <c r="D198"/>
  <c r="E198"/>
  <c r="F198"/>
  <c r="A199"/>
  <c r="B199"/>
  <c r="C199"/>
  <c r="D199"/>
  <c r="E199"/>
  <c r="F199"/>
  <c r="A200"/>
  <c r="B200"/>
  <c r="C200"/>
  <c r="D200"/>
  <c r="E200"/>
  <c r="F200"/>
  <c r="A201"/>
  <c r="B201"/>
  <c r="C201"/>
  <c r="D201"/>
  <c r="E201"/>
  <c r="F201"/>
  <c r="A202"/>
  <c r="B202"/>
  <c r="C202"/>
  <c r="D202"/>
  <c r="E202"/>
  <c r="F202"/>
  <c r="A203"/>
  <c r="B203"/>
  <c r="C203"/>
  <c r="D203"/>
  <c r="E203"/>
  <c r="F203"/>
  <c r="A204"/>
  <c r="B204"/>
  <c r="C204"/>
  <c r="D204"/>
  <c r="E204"/>
  <c r="F204"/>
  <c r="A205"/>
  <c r="B205"/>
  <c r="C205"/>
  <c r="D205"/>
  <c r="E205"/>
  <c r="F205"/>
  <c r="A206"/>
  <c r="B206"/>
  <c r="C206"/>
  <c r="D206"/>
  <c r="E206"/>
  <c r="F206"/>
  <c r="A207"/>
  <c r="B207"/>
  <c r="C207"/>
  <c r="D207"/>
  <c r="E207"/>
  <c r="F207"/>
  <c r="F130"/>
  <c r="E130"/>
  <c r="D130"/>
  <c r="C130"/>
  <c r="B130"/>
  <c r="A130"/>
  <c r="F129"/>
  <c r="E129"/>
  <c r="D129"/>
  <c r="C129"/>
  <c r="B129"/>
  <c r="A129"/>
  <c r="F128"/>
  <c r="E128"/>
  <c r="D128"/>
  <c r="C128"/>
  <c r="B128"/>
  <c r="A128"/>
  <c r="A71"/>
  <c r="B71"/>
  <c r="C71"/>
  <c r="D71"/>
  <c r="E71"/>
  <c r="F71"/>
  <c r="A72"/>
  <c r="B72"/>
  <c r="C72"/>
  <c r="D72"/>
  <c r="E72"/>
  <c r="F72"/>
  <c r="A73"/>
  <c r="B73"/>
  <c r="C73"/>
  <c r="D73"/>
  <c r="E73"/>
  <c r="F73"/>
  <c r="A74"/>
  <c r="B74"/>
  <c r="C74"/>
  <c r="D74"/>
  <c r="E74"/>
  <c r="F74"/>
  <c r="A75"/>
  <c r="B75"/>
  <c r="C75"/>
  <c r="D75"/>
  <c r="E75"/>
  <c r="F75"/>
  <c r="A76"/>
  <c r="B76"/>
  <c r="C76"/>
  <c r="D76"/>
  <c r="E76"/>
  <c r="F76"/>
  <c r="A77"/>
  <c r="B77"/>
  <c r="C77"/>
  <c r="D77"/>
  <c r="E77"/>
  <c r="F77"/>
  <c r="A78"/>
  <c r="B78"/>
  <c r="C78"/>
  <c r="D78"/>
  <c r="E78"/>
  <c r="F78"/>
  <c r="A79"/>
  <c r="B79"/>
  <c r="C79"/>
  <c r="D79"/>
  <c r="E79"/>
  <c r="F79"/>
  <c r="A80"/>
  <c r="B80"/>
  <c r="C80"/>
  <c r="D80"/>
  <c r="E80"/>
  <c r="F80"/>
  <c r="A81"/>
  <c r="B81"/>
  <c r="C81"/>
  <c r="D81"/>
  <c r="E81"/>
  <c r="F81"/>
  <c r="A82"/>
  <c r="B82"/>
  <c r="C82"/>
  <c r="D82"/>
  <c r="E82"/>
  <c r="F82"/>
  <c r="A83"/>
  <c r="B83"/>
  <c r="C83"/>
  <c r="D83"/>
  <c r="E83"/>
  <c r="F83"/>
  <c r="A84"/>
  <c r="B84"/>
  <c r="C84"/>
  <c r="D84"/>
  <c r="E84"/>
  <c r="F84"/>
  <c r="A85"/>
  <c r="B85"/>
  <c r="C85"/>
  <c r="D85"/>
  <c r="E85"/>
  <c r="F85"/>
  <c r="A86"/>
  <c r="B86"/>
  <c r="C86"/>
  <c r="D86"/>
  <c r="E86"/>
  <c r="F86"/>
  <c r="A87"/>
  <c r="B87"/>
  <c r="C87"/>
  <c r="D87"/>
  <c r="E87"/>
  <c r="F87"/>
  <c r="A88"/>
  <c r="B88"/>
  <c r="C88"/>
  <c r="D88"/>
  <c r="E88"/>
  <c r="F88"/>
  <c r="A89"/>
  <c r="B89"/>
  <c r="C89"/>
  <c r="D89"/>
  <c r="E89"/>
  <c r="F89"/>
  <c r="A90"/>
  <c r="B90"/>
  <c r="C90"/>
  <c r="D90"/>
  <c r="E90"/>
  <c r="F90"/>
  <c r="A91"/>
  <c r="B91"/>
  <c r="C91"/>
  <c r="D91"/>
  <c r="E91"/>
  <c r="F91"/>
  <c r="A92"/>
  <c r="B92"/>
  <c r="C92"/>
  <c r="D92"/>
  <c r="E92"/>
  <c r="F92"/>
  <c r="A93"/>
  <c r="B93"/>
  <c r="C93"/>
  <c r="D93"/>
  <c r="E93"/>
  <c r="F93"/>
  <c r="A94"/>
  <c r="B94"/>
  <c r="C94"/>
  <c r="D94"/>
  <c r="E94"/>
  <c r="F94"/>
  <c r="A95"/>
  <c r="B95"/>
  <c r="C95"/>
  <c r="D95"/>
  <c r="E95"/>
  <c r="F95"/>
  <c r="A96"/>
  <c r="B96"/>
  <c r="C96"/>
  <c r="D96"/>
  <c r="E96"/>
  <c r="F96"/>
  <c r="A97"/>
  <c r="B97"/>
  <c r="C97"/>
  <c r="D97"/>
  <c r="E97"/>
  <c r="F97"/>
  <c r="A98"/>
  <c r="B98"/>
  <c r="C98"/>
  <c r="D98"/>
  <c r="E98"/>
  <c r="F98"/>
  <c r="A99"/>
  <c r="B99"/>
  <c r="C99"/>
  <c r="D99"/>
  <c r="E99"/>
  <c r="F99"/>
  <c r="A100"/>
  <c r="B100"/>
  <c r="C100"/>
  <c r="D100"/>
  <c r="E100"/>
  <c r="F100"/>
  <c r="A101"/>
  <c r="B101"/>
  <c r="C101"/>
  <c r="D101"/>
  <c r="E101"/>
  <c r="F101"/>
  <c r="A102"/>
  <c r="B102"/>
  <c r="C102"/>
  <c r="D102"/>
  <c r="E102"/>
  <c r="F102"/>
  <c r="A103"/>
  <c r="B103"/>
  <c r="C103"/>
  <c r="D103"/>
  <c r="E103"/>
  <c r="F103"/>
  <c r="A104"/>
  <c r="B104"/>
  <c r="C104"/>
  <c r="D104"/>
  <c r="E104"/>
  <c r="F104"/>
  <c r="A105"/>
  <c r="B105"/>
  <c r="C105"/>
  <c r="D105"/>
  <c r="E105"/>
  <c r="F105"/>
  <c r="A106"/>
  <c r="B106"/>
  <c r="C106"/>
  <c r="D106"/>
  <c r="E106"/>
  <c r="F106"/>
  <c r="A107"/>
  <c r="B107"/>
  <c r="C107"/>
  <c r="D107"/>
  <c r="E107"/>
  <c r="F107"/>
  <c r="A108"/>
  <c r="B108"/>
  <c r="C108"/>
  <c r="D108"/>
  <c r="E108"/>
  <c r="F108"/>
  <c r="A109"/>
  <c r="B109"/>
  <c r="C109"/>
  <c r="D109"/>
  <c r="E109"/>
  <c r="F109"/>
  <c r="A110"/>
  <c r="B110"/>
  <c r="C110"/>
  <c r="D110"/>
  <c r="E110"/>
  <c r="F110"/>
  <c r="A111"/>
  <c r="B111"/>
  <c r="C111"/>
  <c r="D111"/>
  <c r="E111"/>
  <c r="F111"/>
  <c r="A112"/>
  <c r="B112"/>
  <c r="C112"/>
  <c r="D112"/>
  <c r="E112"/>
  <c r="F112"/>
  <c r="A113"/>
  <c r="B113"/>
  <c r="C113"/>
  <c r="D113"/>
  <c r="E113"/>
  <c r="F113"/>
  <c r="A114"/>
  <c r="B114"/>
  <c r="C114"/>
  <c r="D114"/>
  <c r="E114"/>
  <c r="F114"/>
  <c r="A115"/>
  <c r="B115"/>
  <c r="C115"/>
  <c r="D115"/>
  <c r="E115"/>
  <c r="F115"/>
  <c r="A116"/>
  <c r="B116"/>
  <c r="C116"/>
  <c r="D116"/>
  <c r="E116"/>
  <c r="F116"/>
  <c r="A117"/>
  <c r="B117"/>
  <c r="C117"/>
  <c r="D117"/>
  <c r="E117"/>
  <c r="F117"/>
  <c r="A118"/>
  <c r="B118"/>
  <c r="C118"/>
  <c r="D118"/>
  <c r="E118"/>
  <c r="F118"/>
  <c r="A119"/>
  <c r="B119"/>
  <c r="C119"/>
  <c r="D119"/>
  <c r="E119"/>
  <c r="F119"/>
  <c r="A120"/>
  <c r="B120"/>
  <c r="C120"/>
  <c r="D120"/>
  <c r="E120"/>
  <c r="F120"/>
  <c r="A121"/>
  <c r="B121"/>
  <c r="C121"/>
  <c r="D121"/>
  <c r="E121"/>
  <c r="F121"/>
  <c r="A122"/>
  <c r="B122"/>
  <c r="C122"/>
  <c r="D122"/>
  <c r="E122"/>
  <c r="F122"/>
  <c r="A123"/>
  <c r="B123"/>
  <c r="C123"/>
  <c r="D123"/>
  <c r="E123"/>
  <c r="F123"/>
  <c r="A124"/>
  <c r="B124"/>
  <c r="C124"/>
  <c r="D124"/>
  <c r="E124"/>
  <c r="F124"/>
  <c r="A125"/>
  <c r="B125"/>
  <c r="C125"/>
  <c r="D125"/>
  <c r="E125"/>
  <c r="F125"/>
  <c r="F70"/>
  <c r="E70"/>
  <c r="D70"/>
  <c r="C70"/>
  <c r="B70"/>
  <c r="A70"/>
  <c r="A46"/>
  <c r="B46"/>
  <c r="C46"/>
  <c r="D46"/>
  <c r="E46"/>
  <c r="F46"/>
  <c r="A47"/>
  <c r="B47"/>
  <c r="C47"/>
  <c r="D47"/>
  <c r="E47"/>
  <c r="F47"/>
  <c r="A48"/>
  <c r="B48"/>
  <c r="C48"/>
  <c r="D48"/>
  <c r="E48"/>
  <c r="F48"/>
  <c r="A49"/>
  <c r="B49"/>
  <c r="C49"/>
  <c r="D49"/>
  <c r="E49"/>
  <c r="F49"/>
  <c r="A50"/>
  <c r="B50"/>
  <c r="C50"/>
  <c r="D50"/>
  <c r="E50"/>
  <c r="F50"/>
  <c r="A51"/>
  <c r="B51"/>
  <c r="C51"/>
  <c r="D51"/>
  <c r="E51"/>
  <c r="F51"/>
  <c r="A52"/>
  <c r="B52"/>
  <c r="C52"/>
  <c r="D52"/>
  <c r="E52"/>
  <c r="F52"/>
  <c r="A53"/>
  <c r="B53"/>
  <c r="C53"/>
  <c r="D53"/>
  <c r="E53"/>
  <c r="F53"/>
  <c r="A54"/>
  <c r="B54"/>
  <c r="C54"/>
  <c r="D54"/>
  <c r="E54"/>
  <c r="F54"/>
  <c r="A55"/>
  <c r="B55"/>
  <c r="C55"/>
  <c r="D55"/>
  <c r="E55"/>
  <c r="F55"/>
  <c r="A56"/>
  <c r="B56"/>
  <c r="C56"/>
  <c r="D56"/>
  <c r="E56"/>
  <c r="F56"/>
  <c r="A57"/>
  <c r="B57"/>
  <c r="C57"/>
  <c r="D57"/>
  <c r="E57"/>
  <c r="F57"/>
  <c r="A58"/>
  <c r="B58"/>
  <c r="C58"/>
  <c r="D58"/>
  <c r="E58"/>
  <c r="F58"/>
  <c r="A59"/>
  <c r="B59"/>
  <c r="C59"/>
  <c r="D59"/>
  <c r="E59"/>
  <c r="F59"/>
  <c r="A60"/>
  <c r="B60"/>
  <c r="C60"/>
  <c r="D60"/>
  <c r="E60"/>
  <c r="F60"/>
  <c r="A61"/>
  <c r="B61"/>
  <c r="C61"/>
  <c r="D61"/>
  <c r="E61"/>
  <c r="F61"/>
  <c r="A62"/>
  <c r="B62"/>
  <c r="C62"/>
  <c r="D62"/>
  <c r="E62"/>
  <c r="F62"/>
  <c r="A63"/>
  <c r="B63"/>
  <c r="C63"/>
  <c r="D63"/>
  <c r="E63"/>
  <c r="F63"/>
  <c r="A64"/>
  <c r="B64"/>
  <c r="C64"/>
  <c r="D64"/>
  <c r="E64"/>
  <c r="F64"/>
  <c r="A65"/>
  <c r="B65"/>
  <c r="C65"/>
  <c r="D65"/>
  <c r="E65"/>
  <c r="F65"/>
  <c r="A66"/>
  <c r="B66"/>
  <c r="C66"/>
  <c r="D66"/>
  <c r="E66"/>
  <c r="F66"/>
  <c r="A67"/>
  <c r="B67"/>
  <c r="C67"/>
  <c r="D67"/>
  <c r="E67"/>
  <c r="F67"/>
  <c r="F45"/>
  <c r="E45"/>
  <c r="D45"/>
  <c r="C45"/>
  <c r="B45"/>
  <c r="A45"/>
  <c r="F44"/>
  <c r="E44"/>
  <c r="D44"/>
  <c r="C44"/>
  <c r="B44"/>
  <c r="A44"/>
  <c r="F43"/>
  <c r="E43"/>
  <c r="D43"/>
  <c r="C43"/>
  <c r="B43"/>
  <c r="A43"/>
  <c r="F42"/>
  <c r="E42"/>
  <c r="D42"/>
  <c r="C42"/>
  <c r="B42"/>
  <c r="A42"/>
  <c r="A20"/>
  <c r="B20"/>
  <c r="C20"/>
  <c r="D20"/>
  <c r="E20"/>
  <c r="F20"/>
  <c r="A21"/>
  <c r="B21"/>
  <c r="C21"/>
  <c r="D21"/>
  <c r="E21"/>
  <c r="F21"/>
  <c r="A22"/>
  <c r="B22"/>
  <c r="C22"/>
  <c r="D22"/>
  <c r="E22"/>
  <c r="F22"/>
  <c r="A23"/>
  <c r="B23"/>
  <c r="C23"/>
  <c r="D23"/>
  <c r="E23"/>
  <c r="F23"/>
  <c r="A24"/>
  <c r="B24"/>
  <c r="C24"/>
  <c r="D24"/>
  <c r="E24"/>
  <c r="F24"/>
  <c r="A25"/>
  <c r="B25"/>
  <c r="C25"/>
  <c r="D25"/>
  <c r="E25"/>
  <c r="F25"/>
  <c r="A26"/>
  <c r="B26"/>
  <c r="C26"/>
  <c r="D26"/>
  <c r="E26"/>
  <c r="F26"/>
  <c r="A27"/>
  <c r="B27"/>
  <c r="C27"/>
  <c r="D27"/>
  <c r="E27"/>
  <c r="F27"/>
  <c r="A28"/>
  <c r="B28"/>
  <c r="C28"/>
  <c r="D28"/>
  <c r="E28"/>
  <c r="F28"/>
  <c r="A29"/>
  <c r="B29"/>
  <c r="C29"/>
  <c r="D29"/>
  <c r="E29"/>
  <c r="F29"/>
  <c r="A30"/>
  <c r="B30"/>
  <c r="C30"/>
  <c r="D30"/>
  <c r="E30"/>
  <c r="F30"/>
  <c r="A31"/>
  <c r="B31"/>
  <c r="C31"/>
  <c r="D31"/>
  <c r="E31"/>
  <c r="F31"/>
  <c r="A32"/>
  <c r="B32"/>
  <c r="C32"/>
  <c r="D32"/>
  <c r="E32"/>
  <c r="F32"/>
  <c r="A33"/>
  <c r="B33"/>
  <c r="C33"/>
  <c r="D33"/>
  <c r="E33"/>
  <c r="F33"/>
  <c r="A34"/>
  <c r="B34"/>
  <c r="C34"/>
  <c r="D34"/>
  <c r="E34"/>
  <c r="F34"/>
  <c r="A35"/>
  <c r="B35"/>
  <c r="C35"/>
  <c r="D35"/>
  <c r="E35"/>
  <c r="F35"/>
  <c r="A36"/>
  <c r="B36"/>
  <c r="C36"/>
  <c r="D36"/>
  <c r="E36"/>
  <c r="F36"/>
  <c r="A37"/>
  <c r="B37"/>
  <c r="C37"/>
  <c r="D37"/>
  <c r="E37"/>
  <c r="F37"/>
  <c r="A38"/>
  <c r="B38"/>
  <c r="C38"/>
  <c r="D38"/>
  <c r="E38"/>
  <c r="F38"/>
  <c r="A39"/>
  <c r="B39"/>
  <c r="C39"/>
  <c r="D39"/>
  <c r="E39"/>
  <c r="F39"/>
  <c r="F19"/>
  <c r="E19"/>
  <c r="D19"/>
  <c r="C19"/>
  <c r="B19"/>
  <c r="A19"/>
  <c r="F18"/>
  <c r="E18"/>
  <c r="D18"/>
  <c r="C18"/>
  <c r="B18"/>
  <c r="A18"/>
  <c r="F17"/>
  <c r="E17"/>
  <c r="D17"/>
  <c r="C17"/>
  <c r="B17"/>
  <c r="A17"/>
  <c r="F16"/>
  <c r="E16"/>
  <c r="D16"/>
  <c r="C16"/>
  <c r="B16"/>
  <c r="A16"/>
  <c r="F15"/>
  <c r="E15"/>
  <c r="D15"/>
  <c r="C15"/>
  <c r="B15"/>
  <c r="A15"/>
  <c r="F14"/>
  <c r="E14"/>
  <c r="D14"/>
  <c r="C14"/>
  <c r="B14"/>
  <c r="A14"/>
  <c r="F13"/>
  <c r="E13"/>
  <c r="D13"/>
  <c r="C13"/>
  <c r="B13"/>
  <c r="A13"/>
  <c r="A5"/>
  <c r="B5"/>
  <c r="C5"/>
  <c r="D5"/>
  <c r="E5"/>
  <c r="F5"/>
  <c r="A6"/>
  <c r="B6"/>
  <c r="C6"/>
  <c r="D6"/>
  <c r="E6"/>
  <c r="F6"/>
  <c r="A7"/>
  <c r="B7"/>
  <c r="C7"/>
  <c r="D7"/>
  <c r="E7"/>
  <c r="F7"/>
  <c r="A8"/>
  <c r="B8"/>
  <c r="C8"/>
  <c r="D8"/>
  <c r="E8"/>
  <c r="F8"/>
  <c r="A9"/>
  <c r="B9"/>
  <c r="C9"/>
  <c r="D9"/>
  <c r="E9"/>
  <c r="F9"/>
  <c r="A10"/>
  <c r="B10"/>
  <c r="C10"/>
  <c r="D10"/>
  <c r="E10"/>
  <c r="F10"/>
  <c r="F4"/>
  <c r="E4"/>
  <c r="D4"/>
  <c r="C4"/>
  <c r="B4"/>
  <c r="A4"/>
  <c r="V2" i="118" l="1"/>
  <c r="V3"/>
  <c r="V4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1"/>
  <c r="T1"/>
  <c r="T3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2"/>
  <c r="F2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1"/>
  <c r="E1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2"/>
  <c r="D1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2"/>
  <c r="C1"/>
  <c r="C2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"/>
  <c r="B3"/>
  <c r="B2"/>
  <c r="B1"/>
  <c r="A1"/>
  <c r="A2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N1" i="28"/>
  <c r="AO1"/>
  <c r="AM1"/>
  <c r="AP1"/>
  <c r="AF34" i="74" l="1"/>
  <c r="Y34" l="1"/>
  <c r="Z34" s="1"/>
  <c r="U34"/>
  <c r="AF54"/>
  <c r="Y54" l="1"/>
  <c r="Z54" s="1"/>
  <c r="U54"/>
  <c r="AF19"/>
  <c r="AI19"/>
  <c r="W19"/>
  <c r="AH19" l="1"/>
  <c r="Y19"/>
  <c r="Z19" s="1"/>
  <c r="U19"/>
  <c r="AF52"/>
  <c r="Y52" l="1"/>
  <c r="Z52" s="1"/>
  <c r="U52"/>
  <c r="AF47"/>
  <c r="Y47" l="1"/>
  <c r="Z47" s="1"/>
  <c r="U47"/>
  <c r="AF50"/>
  <c r="Y50" l="1"/>
  <c r="Z50" s="1"/>
  <c r="U50"/>
  <c r="AF18"/>
  <c r="W18"/>
  <c r="AI18"/>
  <c r="AH18" l="1"/>
  <c r="Y18"/>
  <c r="Z18" s="1"/>
  <c r="U18"/>
  <c r="AF36"/>
  <c r="Y36" l="1"/>
  <c r="Z36" s="1"/>
  <c r="U36"/>
  <c r="AF48"/>
  <c r="Y48" l="1"/>
  <c r="Z48" s="1"/>
  <c r="U48"/>
  <c r="AF53"/>
  <c r="Y53" l="1"/>
  <c r="Z53" s="1"/>
  <c r="U53"/>
  <c r="AF17"/>
  <c r="W17"/>
  <c r="AI17"/>
  <c r="AH17" l="1"/>
  <c r="Y17"/>
  <c r="Z17" s="1"/>
  <c r="U17"/>
  <c r="AF49" l="1"/>
  <c r="Y49" l="1"/>
  <c r="Z49" s="1"/>
  <c r="U49"/>
  <c r="AF949" i="57"/>
  <c r="W949"/>
  <c r="AI949"/>
  <c r="AH949" l="1"/>
  <c r="U949"/>
  <c r="Y949"/>
  <c r="Z949" s="1"/>
  <c r="R949"/>
  <c r="Q949"/>
  <c r="P949"/>
  <c r="O949"/>
  <c r="AI84" i="114"/>
  <c r="W84"/>
  <c r="AH84" l="1"/>
  <c r="Y84"/>
  <c r="Z84" s="1"/>
  <c r="U84"/>
  <c r="AF1651" i="57"/>
  <c r="AI1651"/>
  <c r="W1651"/>
  <c r="AH1651" l="1"/>
  <c r="U1651"/>
  <c r="Y1651"/>
  <c r="Z1651" s="1"/>
  <c r="R1651"/>
  <c r="Q1651"/>
  <c r="P1651"/>
  <c r="O1651"/>
  <c r="AF653"/>
  <c r="AI653"/>
  <c r="W653"/>
  <c r="AH653" l="1"/>
  <c r="U653"/>
  <c r="N1651"/>
  <c r="Y653"/>
  <c r="Z653" s="1"/>
  <c r="R653"/>
  <c r="Q653"/>
  <c r="P653"/>
  <c r="O653"/>
  <c r="AI669"/>
  <c r="AH669" l="1"/>
  <c r="AF669"/>
  <c r="W669"/>
  <c r="U669" l="1"/>
  <c r="Y669"/>
  <c r="Z669" s="1"/>
  <c r="R669"/>
  <c r="Q669"/>
  <c r="P669"/>
  <c r="O669"/>
  <c r="AF579"/>
  <c r="W579"/>
  <c r="AI579"/>
  <c r="AH579" l="1"/>
  <c r="U579"/>
  <c r="Y579"/>
  <c r="Z579" s="1"/>
  <c r="R579"/>
  <c r="Q579"/>
  <c r="P579"/>
  <c r="O579"/>
  <c r="AF545"/>
  <c r="W545"/>
  <c r="AI545"/>
  <c r="AH545" l="1"/>
  <c r="U545"/>
  <c r="Y545"/>
  <c r="Z545" s="1"/>
  <c r="R545"/>
  <c r="Q545"/>
  <c r="P545"/>
  <c r="O545"/>
  <c r="Y156" i="114" l="1"/>
  <c r="Z156" s="1"/>
  <c r="U156"/>
  <c r="Y207" l="1"/>
  <c r="Z207" s="1"/>
  <c r="U207"/>
  <c r="W83"/>
  <c r="AI83"/>
  <c r="AH83" l="1"/>
  <c r="Y83"/>
  <c r="Z83" s="1"/>
  <c r="U83"/>
  <c r="Y210" l="1"/>
  <c r="Z210" s="1"/>
  <c r="U210"/>
  <c r="AI82"/>
  <c r="W82"/>
  <c r="AH82" l="1"/>
  <c r="Y82"/>
  <c r="Z82" s="1"/>
  <c r="U82"/>
  <c r="AI278" i="57"/>
  <c r="AH278" l="1"/>
  <c r="AF278"/>
  <c r="W278"/>
  <c r="U278" l="1"/>
  <c r="Y278"/>
  <c r="Z278" s="1"/>
  <c r="R278"/>
  <c r="Q278"/>
  <c r="P278"/>
  <c r="O278"/>
  <c r="AF1226"/>
  <c r="W1226"/>
  <c r="AI1226"/>
  <c r="AH1226" l="1"/>
  <c r="U1226"/>
  <c r="N278"/>
  <c r="Y1226"/>
  <c r="Z1226" s="1"/>
  <c r="R1226"/>
  <c r="Q1226"/>
  <c r="P1226"/>
  <c r="O1226"/>
  <c r="AF647"/>
  <c r="AI647"/>
  <c r="W647"/>
  <c r="Y157" i="114" l="1"/>
  <c r="Z157" s="1"/>
  <c r="AH647" i="57"/>
  <c r="U647"/>
  <c r="Y647"/>
  <c r="Z647" s="1"/>
  <c r="R647"/>
  <c r="Q647"/>
  <c r="P647"/>
  <c r="O647"/>
  <c r="AF676"/>
  <c r="W676"/>
  <c r="AI676"/>
  <c r="U35" i="74" l="1"/>
  <c r="Y35"/>
  <c r="Z35" s="1"/>
  <c r="U157" i="114"/>
  <c r="AH676" i="57"/>
  <c r="U676"/>
  <c r="Y676"/>
  <c r="Z676" s="1"/>
  <c r="R676"/>
  <c r="Q676"/>
  <c r="P676"/>
  <c r="O676"/>
  <c r="AF1700"/>
  <c r="AI1700"/>
  <c r="W1700"/>
  <c r="AH1700" l="1"/>
  <c r="U1700"/>
  <c r="Y1700"/>
  <c r="Z1700" s="1"/>
  <c r="R1700"/>
  <c r="Q1700"/>
  <c r="P1700"/>
  <c r="O1700"/>
  <c r="AI81" i="114"/>
  <c r="W81"/>
  <c r="AH81" l="1"/>
  <c r="Y81"/>
  <c r="Z81" s="1"/>
  <c r="U81"/>
  <c r="AI80"/>
  <c r="W80"/>
  <c r="AH80" l="1"/>
  <c r="Y80"/>
  <c r="Z80" s="1"/>
  <c r="U80"/>
  <c r="Y204" l="1"/>
  <c r="Z204" s="1"/>
  <c r="U204"/>
  <c r="Y209" l="1"/>
  <c r="Z209" s="1"/>
  <c r="U209"/>
  <c r="Y187" l="1"/>
  <c r="Z187" s="1"/>
  <c r="U187"/>
  <c r="AI134" i="57"/>
  <c r="AH134" l="1"/>
  <c r="AF134"/>
  <c r="W134"/>
  <c r="U134" l="1"/>
  <c r="Y134"/>
  <c r="Z134" s="1"/>
  <c r="R134"/>
  <c r="Q134"/>
  <c r="P134"/>
  <c r="O134"/>
  <c r="AF715"/>
  <c r="W715"/>
  <c r="AI715"/>
  <c r="AH715" l="1"/>
  <c r="U715"/>
  <c r="Y715"/>
  <c r="Z715" s="1"/>
  <c r="R715"/>
  <c r="Q715"/>
  <c r="P715"/>
  <c r="O715"/>
  <c r="AF1220"/>
  <c r="W1220"/>
  <c r="AI1220"/>
  <c r="Y174" i="114" l="1"/>
  <c r="Z174" s="1"/>
  <c r="AH1220" i="57"/>
  <c r="U1220"/>
  <c r="Y1220"/>
  <c r="Z1220" s="1"/>
  <c r="R1220"/>
  <c r="Q1220"/>
  <c r="P1220"/>
  <c r="O1220"/>
  <c r="AF563"/>
  <c r="W563"/>
  <c r="AI563"/>
  <c r="U37" i="74" l="1"/>
  <c r="Y37"/>
  <c r="Z37" s="1"/>
  <c r="U160" i="114"/>
  <c r="Y160"/>
  <c r="Z160" s="1"/>
  <c r="U41" i="74"/>
  <c r="Y41"/>
  <c r="Z41" s="1"/>
  <c r="U174" i="114"/>
  <c r="AH563" i="57"/>
  <c r="U563"/>
  <c r="Y563"/>
  <c r="Z563" s="1"/>
  <c r="R563"/>
  <c r="Q563"/>
  <c r="P563"/>
  <c r="O563"/>
  <c r="AF644"/>
  <c r="AI644"/>
  <c r="W644"/>
  <c r="AH644" l="1"/>
  <c r="U644"/>
  <c r="Y644"/>
  <c r="Z644" s="1"/>
  <c r="R644"/>
  <c r="Q644"/>
  <c r="P644"/>
  <c r="O644"/>
  <c r="Y205" i="114" l="1"/>
  <c r="Z205" s="1"/>
  <c r="U205"/>
  <c r="Y196" l="1"/>
  <c r="Z196" s="1"/>
  <c r="U196"/>
  <c r="Y201" l="1"/>
  <c r="Z201" s="1"/>
  <c r="U201"/>
  <c r="AI79"/>
  <c r="W79"/>
  <c r="AH79" l="1"/>
  <c r="Y79"/>
  <c r="Z79" s="1"/>
  <c r="U79"/>
  <c r="AI78"/>
  <c r="W78"/>
  <c r="AH78" l="1"/>
  <c r="Y78"/>
  <c r="Z78" s="1"/>
  <c r="U78"/>
  <c r="AI1022" i="57"/>
  <c r="AH1022" l="1"/>
  <c r="AF1022"/>
  <c r="W1022"/>
  <c r="U1022" l="1"/>
  <c r="Y1022"/>
  <c r="Z1022" s="1"/>
  <c r="R1022"/>
  <c r="Q1022"/>
  <c r="P1022"/>
  <c r="O1022"/>
  <c r="AF870"/>
  <c r="W870"/>
  <c r="AI870"/>
  <c r="AH870" l="1"/>
  <c r="U870"/>
  <c r="Y870"/>
  <c r="Z870" s="1"/>
  <c r="R870"/>
  <c r="Q870"/>
  <c r="P870"/>
  <c r="O870"/>
  <c r="AF936"/>
  <c r="AI936"/>
  <c r="W936"/>
  <c r="AH936" l="1"/>
  <c r="U936"/>
  <c r="Y936"/>
  <c r="Z936" s="1"/>
  <c r="R936"/>
  <c r="Q936"/>
  <c r="P936"/>
  <c r="O936"/>
  <c r="AF736"/>
  <c r="W736"/>
  <c r="AI736"/>
  <c r="AH736" l="1"/>
  <c r="U736"/>
  <c r="Y736"/>
  <c r="Z736" s="1"/>
  <c r="R736"/>
  <c r="Q736"/>
  <c r="P736"/>
  <c r="O736"/>
  <c r="AF813"/>
  <c r="W813"/>
  <c r="AI813"/>
  <c r="AH813" l="1"/>
  <c r="U813"/>
  <c r="Y813"/>
  <c r="Z813" s="1"/>
  <c r="R813"/>
  <c r="Q813"/>
  <c r="P813"/>
  <c r="O813"/>
  <c r="AI77" i="114"/>
  <c r="W77"/>
  <c r="AH77" l="1"/>
  <c r="Y77"/>
  <c r="Z77" s="1"/>
  <c r="U77"/>
  <c r="W76"/>
  <c r="AI76"/>
  <c r="AH76" l="1"/>
  <c r="Y76"/>
  <c r="Z76" s="1"/>
  <c r="U76"/>
  <c r="W75"/>
  <c r="AI75"/>
  <c r="AH75" l="1"/>
  <c r="Y75"/>
  <c r="Z75" s="1"/>
  <c r="U75"/>
  <c r="W74"/>
  <c r="AI74"/>
  <c r="AH74" l="1"/>
  <c r="Y74"/>
  <c r="Z74" s="1"/>
  <c r="U74"/>
  <c r="AI73"/>
  <c r="W73"/>
  <c r="AH73" l="1"/>
  <c r="Y73"/>
  <c r="Z73" s="1"/>
  <c r="U73"/>
  <c r="AI1065" i="57"/>
  <c r="AH1065" l="1"/>
  <c r="AF1065"/>
  <c r="W1065"/>
  <c r="U1065" l="1"/>
  <c r="Y1065"/>
  <c r="Z1065" s="1"/>
  <c r="R1065"/>
  <c r="Q1065"/>
  <c r="P1065"/>
  <c r="O1065"/>
  <c r="AF275"/>
  <c r="AI275"/>
  <c r="W275"/>
  <c r="AH275" l="1"/>
  <c r="U275"/>
  <c r="Y275"/>
  <c r="Z275" s="1"/>
  <c r="R275"/>
  <c r="Q275"/>
  <c r="P275"/>
  <c r="O275"/>
  <c r="AF687"/>
  <c r="W687"/>
  <c r="AI687"/>
  <c r="W47" i="114" l="1"/>
  <c r="AI47"/>
  <c r="AH47" s="1"/>
  <c r="AH687" i="57"/>
  <c r="U687"/>
  <c r="N275"/>
  <c r="Y687"/>
  <c r="Z687" s="1"/>
  <c r="R687"/>
  <c r="Q687"/>
  <c r="P687"/>
  <c r="O687"/>
  <c r="AF950"/>
  <c r="AI950"/>
  <c r="W950"/>
  <c r="U47" i="114" l="1"/>
  <c r="Y47"/>
  <c r="Z47" s="1"/>
  <c r="AH950" i="57"/>
  <c r="U950"/>
  <c r="Y950"/>
  <c r="Z950" s="1"/>
  <c r="R950"/>
  <c r="Q950"/>
  <c r="P950"/>
  <c r="O950"/>
  <c r="AF1396"/>
  <c r="W1396"/>
  <c r="AI1396"/>
  <c r="AH1396" l="1"/>
  <c r="U1396"/>
  <c r="Y1396"/>
  <c r="Z1396" s="1"/>
  <c r="R1396"/>
  <c r="Q1396"/>
  <c r="P1396"/>
  <c r="O1396"/>
  <c r="AI72" i="114"/>
  <c r="W72"/>
  <c r="AH72" l="1"/>
  <c r="Y72"/>
  <c r="Z72" s="1"/>
  <c r="U72"/>
  <c r="Y149" l="1"/>
  <c r="Z149" s="1"/>
  <c r="U149"/>
  <c r="Y175" l="1"/>
  <c r="Z175" s="1"/>
  <c r="U175"/>
  <c r="AI71"/>
  <c r="W71"/>
  <c r="AH71" l="1"/>
  <c r="Y71"/>
  <c r="Z71" s="1"/>
  <c r="U71"/>
  <c r="Y182" l="1"/>
  <c r="Z182" s="1"/>
  <c r="U182"/>
  <c r="AI712" i="57"/>
  <c r="AI46" i="114" l="1"/>
  <c r="AH46" s="1"/>
  <c r="AI13" i="74"/>
  <c r="AH13" s="1"/>
  <c r="AH712" i="57"/>
  <c r="AF712"/>
  <c r="W712"/>
  <c r="W13" i="74" l="1"/>
  <c r="W46" i="114"/>
  <c r="U712" i="57"/>
  <c r="Y712"/>
  <c r="Z712" s="1"/>
  <c r="R712"/>
  <c r="Q712"/>
  <c r="P712"/>
  <c r="O712"/>
  <c r="AF1029"/>
  <c r="W1029"/>
  <c r="AI1029"/>
  <c r="U13" i="74" l="1"/>
  <c r="Y13"/>
  <c r="Z13" s="1"/>
  <c r="U46" i="114"/>
  <c r="Y46"/>
  <c r="Z46" s="1"/>
  <c r="AH1029" i="57"/>
  <c r="U1029"/>
  <c r="Y1029"/>
  <c r="Z1029" s="1"/>
  <c r="R1029"/>
  <c r="Q1029"/>
  <c r="P1029"/>
  <c r="O1029"/>
  <c r="AF599"/>
  <c r="W599"/>
  <c r="AI599"/>
  <c r="AH599" l="1"/>
  <c r="U599"/>
  <c r="Y599"/>
  <c r="Z599" s="1"/>
  <c r="R599"/>
  <c r="Q599"/>
  <c r="P599"/>
  <c r="O599"/>
  <c r="AF1236"/>
  <c r="W1236"/>
  <c r="AI1236"/>
  <c r="AH1236" l="1"/>
  <c r="U1236"/>
  <c r="Y1236"/>
  <c r="Z1236" s="1"/>
  <c r="R1236"/>
  <c r="Q1236"/>
  <c r="P1236"/>
  <c r="O1236"/>
  <c r="AF543"/>
  <c r="W543"/>
  <c r="AI543"/>
  <c r="AH543" l="1"/>
  <c r="U543"/>
  <c r="Y543"/>
  <c r="Z543" s="1"/>
  <c r="R543"/>
  <c r="Q543"/>
  <c r="P543"/>
  <c r="O543"/>
  <c r="Y159" i="114" l="1"/>
  <c r="Z159" s="1"/>
  <c r="U159"/>
  <c r="Y162" l="1"/>
  <c r="Z162" s="1"/>
  <c r="U162"/>
  <c r="AI70"/>
  <c r="W70"/>
  <c r="AH70" l="1"/>
  <c r="Y70"/>
  <c r="Z70" s="1"/>
  <c r="U70"/>
  <c r="W69"/>
  <c r="AI69"/>
  <c r="AH69" l="1"/>
  <c r="Y69"/>
  <c r="Z69" s="1"/>
  <c r="U69"/>
  <c r="Y197" l="1"/>
  <c r="Z197" s="1"/>
  <c r="U197"/>
  <c r="AI1205" i="57"/>
  <c r="AI31" i="114" l="1"/>
  <c r="AH31" s="1"/>
  <c r="AH1205" i="57"/>
  <c r="AF1205"/>
  <c r="W1205"/>
  <c r="W31" i="114" l="1"/>
  <c r="Y176"/>
  <c r="Z176" s="1"/>
  <c r="U1205" i="57"/>
  <c r="Y1205"/>
  <c r="Z1205" s="1"/>
  <c r="R1205"/>
  <c r="Q1205"/>
  <c r="P1205"/>
  <c r="O1205"/>
  <c r="AF580"/>
  <c r="W580"/>
  <c r="AI580"/>
  <c r="W35" i="114" l="1"/>
  <c r="AI35"/>
  <c r="AH35" s="1"/>
  <c r="U31"/>
  <c r="Y31"/>
  <c r="Z31" s="1"/>
  <c r="U169"/>
  <c r="Y169"/>
  <c r="Z169" s="1"/>
  <c r="U176"/>
  <c r="AH580" i="57"/>
  <c r="U580"/>
  <c r="Y580"/>
  <c r="Z580" s="1"/>
  <c r="R580"/>
  <c r="Q580"/>
  <c r="P580"/>
  <c r="O580"/>
  <c r="AF600"/>
  <c r="AI600"/>
  <c r="W600"/>
  <c r="U35" i="114" l="1"/>
  <c r="Y35"/>
  <c r="Z35" s="1"/>
  <c r="U170"/>
  <c r="Y170"/>
  <c r="Z170" s="1"/>
  <c r="AH600" i="57"/>
  <c r="U600"/>
  <c r="Y600"/>
  <c r="Z600" s="1"/>
  <c r="R600"/>
  <c r="Q600"/>
  <c r="P600"/>
  <c r="O600"/>
  <c r="AF728"/>
  <c r="W728"/>
  <c r="AI728"/>
  <c r="U40" i="74" l="1"/>
  <c r="Y40"/>
  <c r="Z40" s="1"/>
  <c r="U173" i="114"/>
  <c r="Y173"/>
  <c r="Z173" s="1"/>
  <c r="AH728" i="57"/>
  <c r="U728"/>
  <c r="Y728"/>
  <c r="Z728" s="1"/>
  <c r="R728"/>
  <c r="Q728"/>
  <c r="P728"/>
  <c r="O728"/>
  <c r="AF551"/>
  <c r="AI551"/>
  <c r="W551"/>
  <c r="AH551" l="1"/>
  <c r="U551"/>
  <c r="Y551"/>
  <c r="Z551" s="1"/>
  <c r="R551"/>
  <c r="Q551"/>
  <c r="P551"/>
  <c r="O551"/>
  <c r="Y208" i="114" l="1"/>
  <c r="Z208" s="1"/>
  <c r="U208"/>
  <c r="W68"/>
  <c r="AI68"/>
  <c r="AH68" l="1"/>
  <c r="Y68"/>
  <c r="Z68" s="1"/>
  <c r="U68"/>
  <c r="Y199" l="1"/>
  <c r="Z199" s="1"/>
  <c r="U199"/>
  <c r="Y198" l="1"/>
  <c r="Z198" s="1"/>
  <c r="U198"/>
  <c r="Y184" l="1"/>
  <c r="Z184" s="1"/>
  <c r="U184"/>
  <c r="X267" l="1"/>
  <c r="W267"/>
  <c r="R1365" i="57"/>
  <c r="Q1365"/>
  <c r="P1365"/>
  <c r="O1365"/>
  <c r="AF16" i="22"/>
  <c r="W16"/>
  <c r="N17" i="28" l="1"/>
  <c r="Y16" i="22"/>
  <c r="Z16" s="1"/>
  <c r="U16"/>
  <c r="S16"/>
  <c r="R16"/>
  <c r="Q16"/>
  <c r="P16"/>
  <c r="O16"/>
  <c r="W17" i="28"/>
  <c r="AP17"/>
  <c r="AO17"/>
  <c r="AL17"/>
  <c r="AK17" l="1"/>
  <c r="U17"/>
  <c r="AI17"/>
  <c r="Y17"/>
  <c r="Z17" s="1"/>
  <c r="R17"/>
  <c r="Q17"/>
  <c r="P17"/>
  <c r="O17"/>
  <c r="AF60" i="74" l="1"/>
  <c r="Y60" l="1"/>
  <c r="Z60" s="1"/>
  <c r="U60"/>
  <c r="AF20"/>
  <c r="W20"/>
  <c r="AI20"/>
  <c r="AH20" l="1"/>
  <c r="Y20"/>
  <c r="Z20" s="1"/>
  <c r="U20"/>
  <c r="AF1100" i="57"/>
  <c r="W1100"/>
  <c r="AI1100"/>
  <c r="AH1100" l="1"/>
  <c r="U1100"/>
  <c r="Y1100"/>
  <c r="Z1100" s="1"/>
  <c r="R1100"/>
  <c r="Q1100"/>
  <c r="P1100"/>
  <c r="O1100"/>
  <c r="AF1361"/>
  <c r="W1361"/>
  <c r="AI1361"/>
  <c r="AH1361" l="1"/>
  <c r="U1361"/>
  <c r="Y1361"/>
  <c r="Z1361" s="1"/>
  <c r="R1361"/>
  <c r="Q1361"/>
  <c r="P1361"/>
  <c r="O1361"/>
  <c r="AF693"/>
  <c r="W693"/>
  <c r="AI693"/>
  <c r="AH693" l="1"/>
  <c r="U693"/>
  <c r="Y693"/>
  <c r="Z693" s="1"/>
  <c r="R693"/>
  <c r="Q693"/>
  <c r="P693"/>
  <c r="O693"/>
  <c r="AF743"/>
  <c r="AI743"/>
  <c r="W743"/>
  <c r="AH743" l="1"/>
  <c r="U743"/>
  <c r="Y743"/>
  <c r="Z743" s="1"/>
  <c r="R743"/>
  <c r="Q743"/>
  <c r="P743"/>
  <c r="O743"/>
  <c r="Y223" i="114" l="1"/>
  <c r="Z223" s="1"/>
  <c r="U223"/>
  <c r="Y200" l="1"/>
  <c r="Z200" s="1"/>
  <c r="U200"/>
  <c r="AI96"/>
  <c r="W96"/>
  <c r="AH96" l="1"/>
  <c r="Y96"/>
  <c r="Z96" s="1"/>
  <c r="U96"/>
  <c r="AI95"/>
  <c r="W95"/>
  <c r="AH95" l="1"/>
  <c r="Y95"/>
  <c r="Z95" s="1"/>
  <c r="U95"/>
  <c r="AI1201" i="57"/>
  <c r="AH1201" l="1"/>
  <c r="AF1201"/>
  <c r="W1201"/>
  <c r="U1201" l="1"/>
  <c r="Y1201"/>
  <c r="Z1201" s="1"/>
  <c r="R1201"/>
  <c r="Q1201"/>
  <c r="P1201"/>
  <c r="O1201"/>
  <c r="AF668"/>
  <c r="W668"/>
  <c r="AI668"/>
  <c r="AH668" l="1"/>
  <c r="U668"/>
  <c r="Y668"/>
  <c r="Z668" s="1"/>
  <c r="R668"/>
  <c r="Q668"/>
  <c r="P668"/>
  <c r="O668"/>
  <c r="AF293"/>
  <c r="W293"/>
  <c r="AI293"/>
  <c r="AH293" l="1"/>
  <c r="U293"/>
  <c r="Y293"/>
  <c r="Z293" s="1"/>
  <c r="R293"/>
  <c r="Q293"/>
  <c r="P293"/>
  <c r="O293"/>
  <c r="AF765"/>
  <c r="W765"/>
  <c r="AI765"/>
  <c r="AH765" l="1"/>
  <c r="U765"/>
  <c r="N293"/>
  <c r="Y765"/>
  <c r="Z765" s="1"/>
  <c r="R765"/>
  <c r="Q765"/>
  <c r="P765"/>
  <c r="O765"/>
  <c r="AF1183"/>
  <c r="W1183"/>
  <c r="AI1183"/>
  <c r="AH1183" l="1"/>
  <c r="U1183"/>
  <c r="Y1183"/>
  <c r="Z1183" s="1"/>
  <c r="R1183"/>
  <c r="Q1183"/>
  <c r="P1183"/>
  <c r="O1183"/>
  <c r="W94" i="114"/>
  <c r="AI94"/>
  <c r="AH94" l="1"/>
  <c r="Y94"/>
  <c r="Z94" s="1"/>
  <c r="U94"/>
  <c r="W93"/>
  <c r="AI93"/>
  <c r="AH93" l="1"/>
  <c r="Y93"/>
  <c r="Z93" s="1"/>
  <c r="U93"/>
  <c r="W92"/>
  <c r="AI92"/>
  <c r="AH92" l="1"/>
  <c r="Y92"/>
  <c r="Z92" s="1"/>
  <c r="U92"/>
  <c r="AI91"/>
  <c r="W91"/>
  <c r="AH91" l="1"/>
  <c r="Y91"/>
  <c r="Z91" s="1"/>
  <c r="U91"/>
  <c r="AI90"/>
  <c r="W90"/>
  <c r="AH90" l="1"/>
  <c r="Y90"/>
  <c r="Z90" s="1"/>
  <c r="U90"/>
  <c r="AI607" i="57"/>
  <c r="AH607" l="1"/>
  <c r="AF607"/>
  <c r="W607"/>
  <c r="U607" l="1"/>
  <c r="Y607"/>
  <c r="Z607" s="1"/>
  <c r="R607"/>
  <c r="Q607"/>
  <c r="P607"/>
  <c r="O607"/>
  <c r="AF1523"/>
  <c r="AI1523"/>
  <c r="W1523"/>
  <c r="AH1523" l="1"/>
  <c r="U1523"/>
  <c r="Y1523"/>
  <c r="Z1523" s="1"/>
  <c r="R1523"/>
  <c r="Q1523"/>
  <c r="P1523"/>
  <c r="O1523"/>
  <c r="AF1518"/>
  <c r="W1518"/>
  <c r="AI1518"/>
  <c r="AH1518" l="1"/>
  <c r="U1518"/>
  <c r="Y1518"/>
  <c r="Z1518" s="1"/>
  <c r="R1518"/>
  <c r="Q1518"/>
  <c r="P1518"/>
  <c r="O1518"/>
  <c r="AF546"/>
  <c r="AI546"/>
  <c r="W546"/>
  <c r="AH546" l="1"/>
  <c r="U546"/>
  <c r="Y546"/>
  <c r="Z546" s="1"/>
  <c r="R546"/>
  <c r="Q546"/>
  <c r="P546"/>
  <c r="O546"/>
  <c r="AF780"/>
  <c r="W780"/>
  <c r="AI780"/>
  <c r="AH780" l="1"/>
  <c r="U780"/>
  <c r="Y780"/>
  <c r="Z780" s="1"/>
  <c r="R780"/>
  <c r="Q780"/>
  <c r="P780"/>
  <c r="O780"/>
  <c r="W89" i="114"/>
  <c r="AI89"/>
  <c r="AH89" l="1"/>
  <c r="Y89"/>
  <c r="Z89" s="1"/>
  <c r="U89"/>
  <c r="W88"/>
  <c r="AI88"/>
  <c r="AH88" l="1"/>
  <c r="Y88"/>
  <c r="Z88" s="1"/>
  <c r="U88"/>
  <c r="AI87"/>
  <c r="W87"/>
  <c r="AH87" l="1"/>
  <c r="Y87"/>
  <c r="Z87" s="1"/>
  <c r="U87"/>
  <c r="W86"/>
  <c r="AI86"/>
  <c r="AH86" l="1"/>
  <c r="Y86"/>
  <c r="Z86" s="1"/>
  <c r="U86"/>
  <c r="AI85"/>
  <c r="W85"/>
  <c r="AH85" l="1"/>
  <c r="Y85"/>
  <c r="Z85" s="1"/>
  <c r="U85"/>
  <c r="AF58" i="22" l="1"/>
  <c r="X58"/>
  <c r="W58"/>
  <c r="Y58" l="1"/>
  <c r="Z58" s="1"/>
  <c r="S58"/>
  <c r="R58"/>
  <c r="Q58"/>
  <c r="P58"/>
  <c r="O58"/>
  <c r="M58"/>
  <c r="L58"/>
  <c r="K58"/>
  <c r="J58"/>
  <c r="AF57"/>
  <c r="X57"/>
  <c r="X59" s="1"/>
  <c r="W57"/>
  <c r="N58" l="1"/>
  <c r="W59"/>
  <c r="Y57"/>
  <c r="Z57" s="1"/>
  <c r="S57"/>
  <c r="R57"/>
  <c r="Q57"/>
  <c r="P57"/>
  <c r="O57"/>
  <c r="M57"/>
  <c r="L57"/>
  <c r="K57"/>
  <c r="J57"/>
  <c r="AM26" i="118"/>
  <c r="AM25"/>
  <c r="AM20"/>
  <c r="AM9"/>
  <c r="AM27"/>
  <c r="AM15"/>
  <c r="AM35"/>
  <c r="AM40"/>
  <c r="AL18"/>
  <c r="AL1"/>
  <c r="AL26"/>
  <c r="AM37"/>
  <c r="AL6"/>
  <c r="AM16"/>
  <c r="AL11"/>
  <c r="AM12"/>
  <c r="AM22"/>
  <c r="AL33"/>
  <c r="AL35"/>
  <c r="AL31"/>
  <c r="AL20"/>
  <c r="AM13"/>
  <c r="AL30"/>
  <c r="AL10"/>
  <c r="AM2"/>
  <c r="AM17"/>
  <c r="AM6"/>
  <c r="AL24"/>
  <c r="AL28"/>
  <c r="AL14"/>
  <c r="AM24"/>
  <c r="AM1"/>
  <c r="AM38"/>
  <c r="AL3"/>
  <c r="AL17"/>
  <c r="AL34"/>
  <c r="AM32"/>
  <c r="AL22"/>
  <c r="AL32"/>
  <c r="AL36"/>
  <c r="AM39"/>
  <c r="AM4"/>
  <c r="AM7"/>
  <c r="AL5"/>
  <c r="AL40"/>
  <c r="AM34"/>
  <c r="AL37"/>
  <c r="AM10"/>
  <c r="AL25"/>
  <c r="AL7"/>
  <c r="AM3"/>
  <c r="AL13"/>
  <c r="AL12"/>
  <c r="AL15"/>
  <c r="AL23"/>
  <c r="AL38"/>
  <c r="AM21"/>
  <c r="AL29"/>
  <c r="AM28"/>
  <c r="AL19"/>
  <c r="AL4"/>
  <c r="AL21"/>
  <c r="AM8"/>
  <c r="AL9"/>
  <c r="AM14"/>
  <c r="AM30"/>
  <c r="AL16"/>
  <c r="AM5"/>
  <c r="AM31"/>
  <c r="AM11"/>
  <c r="AL27"/>
  <c r="AL39"/>
  <c r="AM33"/>
  <c r="AL8"/>
  <c r="AM19"/>
  <c r="AM18"/>
  <c r="AM23"/>
  <c r="AM36"/>
  <c r="AL2"/>
  <c r="AM29"/>
  <c r="N57" i="22" l="1"/>
  <c r="AC59"/>
  <c r="Y59"/>
  <c r="M573"/>
  <c r="L573"/>
  <c r="K573"/>
  <c r="J573"/>
  <c r="M572"/>
  <c r="L572"/>
  <c r="K572"/>
  <c r="J572"/>
  <c r="M571"/>
  <c r="L571"/>
  <c r="K571"/>
  <c r="J571"/>
  <c r="M570"/>
  <c r="L570"/>
  <c r="K570"/>
  <c r="J570"/>
  <c r="M569"/>
  <c r="L569"/>
  <c r="K569"/>
  <c r="J569"/>
  <c r="M568"/>
  <c r="L568"/>
  <c r="K568"/>
  <c r="J568"/>
  <c r="M567"/>
  <c r="L567"/>
  <c r="K567"/>
  <c r="J567"/>
  <c r="J561"/>
  <c r="K561"/>
  <c r="L561"/>
  <c r="M561"/>
  <c r="J562"/>
  <c r="K562"/>
  <c r="L562"/>
  <c r="M562"/>
  <c r="J563"/>
  <c r="K563"/>
  <c r="L563"/>
  <c r="M563"/>
  <c r="J564"/>
  <c r="K564"/>
  <c r="L564"/>
  <c r="M564"/>
  <c r="M560"/>
  <c r="L560"/>
  <c r="K560"/>
  <c r="J560"/>
  <c r="M559"/>
  <c r="L559"/>
  <c r="K559"/>
  <c r="J559"/>
  <c r="M558"/>
  <c r="L558"/>
  <c r="K558"/>
  <c r="J558"/>
  <c r="J555"/>
  <c r="K555"/>
  <c r="L555"/>
  <c r="M555"/>
  <c r="M554"/>
  <c r="L554"/>
  <c r="K554"/>
  <c r="J554"/>
  <c r="M553"/>
  <c r="L553"/>
  <c r="K553"/>
  <c r="J553"/>
  <c r="M550"/>
  <c r="L550"/>
  <c r="K550"/>
  <c r="J550"/>
  <c r="M549"/>
  <c r="L549"/>
  <c r="K549"/>
  <c r="J549"/>
  <c r="J538"/>
  <c r="K538"/>
  <c r="L538"/>
  <c r="M538"/>
  <c r="J539"/>
  <c r="K539"/>
  <c r="L539"/>
  <c r="M539"/>
  <c r="J540"/>
  <c r="K540"/>
  <c r="L540"/>
  <c r="M540"/>
  <c r="J541"/>
  <c r="K541"/>
  <c r="L541"/>
  <c r="M541"/>
  <c r="J542"/>
  <c r="K542"/>
  <c r="L542"/>
  <c r="M542"/>
  <c r="J543"/>
  <c r="K543"/>
  <c r="L543"/>
  <c r="M543"/>
  <c r="J544"/>
  <c r="K544"/>
  <c r="L544"/>
  <c r="M544"/>
  <c r="J545"/>
  <c r="K545"/>
  <c r="L545"/>
  <c r="M545"/>
  <c r="J546"/>
  <c r="K546"/>
  <c r="L546"/>
  <c r="M546"/>
  <c r="M537"/>
  <c r="L537"/>
  <c r="K537"/>
  <c r="J537"/>
  <c r="J531"/>
  <c r="K531"/>
  <c r="L531"/>
  <c r="M531"/>
  <c r="J532"/>
  <c r="K532"/>
  <c r="L532"/>
  <c r="M532"/>
  <c r="J533"/>
  <c r="K533"/>
  <c r="L533"/>
  <c r="M533"/>
  <c r="J534"/>
  <c r="K534"/>
  <c r="L534"/>
  <c r="M534"/>
  <c r="M530"/>
  <c r="L530"/>
  <c r="K530"/>
  <c r="J530"/>
  <c r="M529"/>
  <c r="L529"/>
  <c r="K529"/>
  <c r="J529"/>
  <c r="M528"/>
  <c r="L528"/>
  <c r="K528"/>
  <c r="J528"/>
  <c r="M527"/>
  <c r="L527"/>
  <c r="K527"/>
  <c r="J527"/>
  <c r="M526"/>
  <c r="L526"/>
  <c r="K526"/>
  <c r="J526"/>
  <c r="M525"/>
  <c r="L525"/>
  <c r="K525"/>
  <c r="J525"/>
  <c r="M522"/>
  <c r="L522"/>
  <c r="K522"/>
  <c r="J522"/>
  <c r="M521"/>
  <c r="L521"/>
  <c r="K521"/>
  <c r="J521"/>
  <c r="M520"/>
  <c r="L520"/>
  <c r="K520"/>
  <c r="J520"/>
  <c r="M519"/>
  <c r="L519"/>
  <c r="K519"/>
  <c r="J519"/>
  <c r="M518"/>
  <c r="L518"/>
  <c r="K518"/>
  <c r="J518"/>
  <c r="M517"/>
  <c r="L517"/>
  <c r="K517"/>
  <c r="J517"/>
  <c r="J512"/>
  <c r="K512"/>
  <c r="L512"/>
  <c r="M512"/>
  <c r="J513"/>
  <c r="K513"/>
  <c r="L513"/>
  <c r="M513"/>
  <c r="J514"/>
  <c r="K514"/>
  <c r="L514"/>
  <c r="M514"/>
  <c r="M511"/>
  <c r="L511"/>
  <c r="K511"/>
  <c r="J511"/>
  <c r="M510"/>
  <c r="L510"/>
  <c r="K510"/>
  <c r="J510"/>
  <c r="M509"/>
  <c r="L509"/>
  <c r="K509"/>
  <c r="J509"/>
  <c r="J506"/>
  <c r="K506"/>
  <c r="L506"/>
  <c r="M506"/>
  <c r="M505"/>
  <c r="L505"/>
  <c r="K505"/>
  <c r="J505"/>
  <c r="M504"/>
  <c r="L504"/>
  <c r="K504"/>
  <c r="J504"/>
  <c r="M501"/>
  <c r="L501"/>
  <c r="K501"/>
  <c r="J501"/>
  <c r="M500"/>
  <c r="L500"/>
  <c r="K500"/>
  <c r="J500"/>
  <c r="M499"/>
  <c r="L499"/>
  <c r="K499"/>
  <c r="J499"/>
  <c r="M498"/>
  <c r="L498"/>
  <c r="K498"/>
  <c r="J498"/>
  <c r="M497"/>
  <c r="L497"/>
  <c r="K497"/>
  <c r="J497"/>
  <c r="M487"/>
  <c r="L487"/>
  <c r="K487"/>
  <c r="J487"/>
  <c r="M486"/>
  <c r="L486"/>
  <c r="K486"/>
  <c r="J486"/>
  <c r="M483"/>
  <c r="L483"/>
  <c r="K483"/>
  <c r="J483"/>
  <c r="M482"/>
  <c r="L482"/>
  <c r="K482"/>
  <c r="J482"/>
  <c r="M481"/>
  <c r="L481"/>
  <c r="K481"/>
  <c r="J481"/>
  <c r="M480"/>
  <c r="L480"/>
  <c r="K480"/>
  <c r="J480"/>
  <c r="M477"/>
  <c r="L477"/>
  <c r="K477"/>
  <c r="J477"/>
  <c r="M476"/>
  <c r="L476"/>
  <c r="K476"/>
  <c r="J476"/>
  <c r="M473"/>
  <c r="L473"/>
  <c r="K473"/>
  <c r="J473"/>
  <c r="M472"/>
  <c r="L472"/>
  <c r="K472"/>
  <c r="J472"/>
  <c r="M471"/>
  <c r="L471"/>
  <c r="K471"/>
  <c r="J471"/>
  <c r="M470"/>
  <c r="L470"/>
  <c r="K470"/>
  <c r="J470"/>
  <c r="J467"/>
  <c r="K467"/>
  <c r="L467"/>
  <c r="M467"/>
  <c r="M466"/>
  <c r="L466"/>
  <c r="K466"/>
  <c r="J466"/>
  <c r="M463"/>
  <c r="L463"/>
  <c r="K463"/>
  <c r="J463"/>
  <c r="M460"/>
  <c r="L460"/>
  <c r="K460"/>
  <c r="J460"/>
  <c r="M459"/>
  <c r="L459"/>
  <c r="K459"/>
  <c r="J459"/>
  <c r="M458"/>
  <c r="L458"/>
  <c r="K458"/>
  <c r="J458"/>
  <c r="M457"/>
  <c r="L457"/>
  <c r="K457"/>
  <c r="J457"/>
  <c r="M454"/>
  <c r="L454"/>
  <c r="K454"/>
  <c r="J454"/>
  <c r="M453"/>
  <c r="L453"/>
  <c r="K453"/>
  <c r="J453"/>
  <c r="M452"/>
  <c r="L452"/>
  <c r="K452"/>
  <c r="J452"/>
  <c r="M451"/>
  <c r="L451"/>
  <c r="K451"/>
  <c r="J451"/>
  <c r="M450"/>
  <c r="L450"/>
  <c r="K450"/>
  <c r="J450"/>
  <c r="J447"/>
  <c r="K447"/>
  <c r="L447"/>
  <c r="M447"/>
  <c r="M446"/>
  <c r="L446"/>
  <c r="K446"/>
  <c r="J446"/>
  <c r="M445"/>
  <c r="L445"/>
  <c r="K445"/>
  <c r="J445"/>
  <c r="M444"/>
  <c r="L444"/>
  <c r="K444"/>
  <c r="J444"/>
  <c r="M443"/>
  <c r="L443"/>
  <c r="K443"/>
  <c r="J443"/>
  <c r="J438"/>
  <c r="K438"/>
  <c r="L438"/>
  <c r="M438"/>
  <c r="J439"/>
  <c r="K439"/>
  <c r="L439"/>
  <c r="M439"/>
  <c r="J440"/>
  <c r="K440"/>
  <c r="L440"/>
  <c r="M440"/>
  <c r="M437"/>
  <c r="L437"/>
  <c r="K437"/>
  <c r="J437"/>
  <c r="M434"/>
  <c r="L434"/>
  <c r="K434"/>
  <c r="J434"/>
  <c r="M433"/>
  <c r="L433"/>
  <c r="K433"/>
  <c r="J433"/>
  <c r="M432"/>
  <c r="L432"/>
  <c r="K432"/>
  <c r="J432"/>
  <c r="M429"/>
  <c r="L429"/>
  <c r="K429"/>
  <c r="J429"/>
  <c r="M426"/>
  <c r="L426"/>
  <c r="K426"/>
  <c r="J426"/>
  <c r="J419"/>
  <c r="K419"/>
  <c r="L419"/>
  <c r="M419"/>
  <c r="M418"/>
  <c r="L418"/>
  <c r="K418"/>
  <c r="J418"/>
  <c r="M417"/>
  <c r="L417"/>
  <c r="K417"/>
  <c r="J417"/>
  <c r="M416"/>
  <c r="L416"/>
  <c r="K416"/>
  <c r="J416"/>
  <c r="J399"/>
  <c r="K399"/>
  <c r="L399"/>
  <c r="M399"/>
  <c r="J400"/>
  <c r="K400"/>
  <c r="L400"/>
  <c r="M400"/>
  <c r="J401"/>
  <c r="K401"/>
  <c r="L401"/>
  <c r="M401"/>
  <c r="J402"/>
  <c r="K402"/>
  <c r="L402"/>
  <c r="M402"/>
  <c r="J406"/>
  <c r="K406"/>
  <c r="L406"/>
  <c r="M406"/>
  <c r="J407"/>
  <c r="K407"/>
  <c r="L407"/>
  <c r="M407"/>
  <c r="J408"/>
  <c r="K408"/>
  <c r="L408"/>
  <c r="M408"/>
  <c r="M398"/>
  <c r="L398"/>
  <c r="K398"/>
  <c r="J398"/>
  <c r="M397"/>
  <c r="L397"/>
  <c r="K397"/>
  <c r="J397"/>
  <c r="M396"/>
  <c r="L396"/>
  <c r="K396"/>
  <c r="J396"/>
  <c r="M395"/>
  <c r="L395"/>
  <c r="K395"/>
  <c r="J395"/>
  <c r="M394"/>
  <c r="L394"/>
  <c r="K394"/>
  <c r="J394"/>
  <c r="M393"/>
  <c r="L393"/>
  <c r="K393"/>
  <c r="J393"/>
  <c r="M392"/>
  <c r="L392"/>
  <c r="K392"/>
  <c r="J392"/>
  <c r="M391"/>
  <c r="L391"/>
  <c r="K391"/>
  <c r="J391"/>
  <c r="M390"/>
  <c r="L390"/>
  <c r="K390"/>
  <c r="J390"/>
  <c r="M389"/>
  <c r="L389"/>
  <c r="K389"/>
  <c r="J389"/>
  <c r="M388"/>
  <c r="L388"/>
  <c r="K388"/>
  <c r="J388"/>
  <c r="M387"/>
  <c r="L387"/>
  <c r="K387"/>
  <c r="J387"/>
  <c r="M386"/>
  <c r="L386"/>
  <c r="K386"/>
  <c r="J386"/>
  <c r="M385"/>
  <c r="L385"/>
  <c r="K385"/>
  <c r="J385"/>
  <c r="M384"/>
  <c r="L384"/>
  <c r="K384"/>
  <c r="J384"/>
  <c r="M383"/>
  <c r="L383"/>
  <c r="K383"/>
  <c r="J383"/>
  <c r="M382"/>
  <c r="L382"/>
  <c r="K382"/>
  <c r="J382"/>
  <c r="J362"/>
  <c r="K362"/>
  <c r="L362"/>
  <c r="M362"/>
  <c r="J363"/>
  <c r="K363"/>
  <c r="L363"/>
  <c r="M363"/>
  <c r="J364"/>
  <c r="K364"/>
  <c r="L364"/>
  <c r="M364"/>
  <c r="J365"/>
  <c r="K365"/>
  <c r="L365"/>
  <c r="M365"/>
  <c r="J366"/>
  <c r="K366"/>
  <c r="L366"/>
  <c r="M366"/>
  <c r="J367"/>
  <c r="K367"/>
  <c r="L367"/>
  <c r="M367"/>
  <c r="J368"/>
  <c r="K368"/>
  <c r="L368"/>
  <c r="M368"/>
  <c r="J369"/>
  <c r="K369"/>
  <c r="L369"/>
  <c r="M369"/>
  <c r="J370"/>
  <c r="K370"/>
  <c r="L370"/>
  <c r="M370"/>
  <c r="J371"/>
  <c r="K371"/>
  <c r="L371"/>
  <c r="M371"/>
  <c r="J372"/>
  <c r="K372"/>
  <c r="L372"/>
  <c r="M372"/>
  <c r="J373"/>
  <c r="K373"/>
  <c r="L373"/>
  <c r="M373"/>
  <c r="J374"/>
  <c r="K374"/>
  <c r="L374"/>
  <c r="M374"/>
  <c r="J375"/>
  <c r="K375"/>
  <c r="L375"/>
  <c r="M375"/>
  <c r="J376"/>
  <c r="K376"/>
  <c r="L376"/>
  <c r="M376"/>
  <c r="J377"/>
  <c r="K377"/>
  <c r="L377"/>
  <c r="M377"/>
  <c r="M361"/>
  <c r="L361"/>
  <c r="K361"/>
  <c r="J361"/>
  <c r="J332"/>
  <c r="K332"/>
  <c r="L332"/>
  <c r="M332"/>
  <c r="J333"/>
  <c r="K333"/>
  <c r="L333"/>
  <c r="M333"/>
  <c r="J334"/>
  <c r="K334"/>
  <c r="L334"/>
  <c r="M334"/>
  <c r="J335"/>
  <c r="K335"/>
  <c r="L335"/>
  <c r="M335"/>
  <c r="J336"/>
  <c r="K336"/>
  <c r="L336"/>
  <c r="M336"/>
  <c r="J337"/>
  <c r="K337"/>
  <c r="L337"/>
  <c r="M337"/>
  <c r="J338"/>
  <c r="K338"/>
  <c r="L338"/>
  <c r="M338"/>
  <c r="J339"/>
  <c r="K339"/>
  <c r="L339"/>
  <c r="M339"/>
  <c r="J340"/>
  <c r="K340"/>
  <c r="L340"/>
  <c r="M340"/>
  <c r="J341"/>
  <c r="K341"/>
  <c r="L341"/>
  <c r="M341"/>
  <c r="J342"/>
  <c r="K342"/>
  <c r="L342"/>
  <c r="M342"/>
  <c r="J343"/>
  <c r="K343"/>
  <c r="L343"/>
  <c r="M343"/>
  <c r="J344"/>
  <c r="K344"/>
  <c r="L344"/>
  <c r="M344"/>
  <c r="J345"/>
  <c r="K345"/>
  <c r="L345"/>
  <c r="M345"/>
  <c r="J346"/>
  <c r="K346"/>
  <c r="L346"/>
  <c r="M346"/>
  <c r="J347"/>
  <c r="K347"/>
  <c r="L347"/>
  <c r="M347"/>
  <c r="J348"/>
  <c r="K348"/>
  <c r="L348"/>
  <c r="M348"/>
  <c r="J349"/>
  <c r="K349"/>
  <c r="L349"/>
  <c r="M349"/>
  <c r="J350"/>
  <c r="K350"/>
  <c r="L350"/>
  <c r="M350"/>
  <c r="J351"/>
  <c r="K351"/>
  <c r="L351"/>
  <c r="M351"/>
  <c r="J352"/>
  <c r="K352"/>
  <c r="L352"/>
  <c r="M352"/>
  <c r="J353"/>
  <c r="K353"/>
  <c r="L353"/>
  <c r="M353"/>
  <c r="J354"/>
  <c r="K354"/>
  <c r="L354"/>
  <c r="M354"/>
  <c r="J355"/>
  <c r="K355"/>
  <c r="L355"/>
  <c r="M355"/>
  <c r="J356"/>
  <c r="K356"/>
  <c r="L356"/>
  <c r="M356"/>
  <c r="M331"/>
  <c r="L331"/>
  <c r="K331"/>
  <c r="J331"/>
  <c r="J267"/>
  <c r="K267"/>
  <c r="L267"/>
  <c r="M267"/>
  <c r="J268"/>
  <c r="K268"/>
  <c r="L268"/>
  <c r="M268"/>
  <c r="J269"/>
  <c r="K269"/>
  <c r="L269"/>
  <c r="M269"/>
  <c r="J270"/>
  <c r="K270"/>
  <c r="L270"/>
  <c r="M270"/>
  <c r="J271"/>
  <c r="K271"/>
  <c r="L271"/>
  <c r="M271"/>
  <c r="J272"/>
  <c r="K272"/>
  <c r="L272"/>
  <c r="M272"/>
  <c r="J273"/>
  <c r="K273"/>
  <c r="L273"/>
  <c r="M273"/>
  <c r="J274"/>
  <c r="K274"/>
  <c r="L274"/>
  <c r="M274"/>
  <c r="J275"/>
  <c r="K275"/>
  <c r="L275"/>
  <c r="M275"/>
  <c r="J276"/>
  <c r="K276"/>
  <c r="L276"/>
  <c r="M276"/>
  <c r="J277"/>
  <c r="K277"/>
  <c r="L277"/>
  <c r="M277"/>
  <c r="J278"/>
  <c r="K278"/>
  <c r="L278"/>
  <c r="M278"/>
  <c r="J279"/>
  <c r="K279"/>
  <c r="L279"/>
  <c r="M279"/>
  <c r="J280"/>
  <c r="K280"/>
  <c r="L280"/>
  <c r="M280"/>
  <c r="J281"/>
  <c r="K281"/>
  <c r="L281"/>
  <c r="M281"/>
  <c r="J282"/>
  <c r="K282"/>
  <c r="L282"/>
  <c r="M282"/>
  <c r="J283"/>
  <c r="K283"/>
  <c r="L283"/>
  <c r="M283"/>
  <c r="J284"/>
  <c r="K284"/>
  <c r="L284"/>
  <c r="M284"/>
  <c r="J285"/>
  <c r="K285"/>
  <c r="L285"/>
  <c r="M285"/>
  <c r="J286"/>
  <c r="K286"/>
  <c r="L286"/>
  <c r="M286"/>
  <c r="J287"/>
  <c r="K287"/>
  <c r="L287"/>
  <c r="M287"/>
  <c r="J288"/>
  <c r="K288"/>
  <c r="L288"/>
  <c r="M288"/>
  <c r="J289"/>
  <c r="K289"/>
  <c r="L289"/>
  <c r="M289"/>
  <c r="J290"/>
  <c r="K290"/>
  <c r="L290"/>
  <c r="M290"/>
  <c r="J291"/>
  <c r="K291"/>
  <c r="L291"/>
  <c r="M291"/>
  <c r="J292"/>
  <c r="K292"/>
  <c r="L292"/>
  <c r="M292"/>
  <c r="J293"/>
  <c r="K293"/>
  <c r="L293"/>
  <c r="M293"/>
  <c r="J294"/>
  <c r="K294"/>
  <c r="L294"/>
  <c r="M294"/>
  <c r="J295"/>
  <c r="K295"/>
  <c r="L295"/>
  <c r="M295"/>
  <c r="J296"/>
  <c r="K296"/>
  <c r="L296"/>
  <c r="M296"/>
  <c r="J297"/>
  <c r="K297"/>
  <c r="L297"/>
  <c r="M297"/>
  <c r="J298"/>
  <c r="K298"/>
  <c r="L298"/>
  <c r="M298"/>
  <c r="J299"/>
  <c r="K299"/>
  <c r="L299"/>
  <c r="M299"/>
  <c r="J300"/>
  <c r="K300"/>
  <c r="L300"/>
  <c r="M300"/>
  <c r="J301"/>
  <c r="K301"/>
  <c r="L301"/>
  <c r="M301"/>
  <c r="J302"/>
  <c r="K302"/>
  <c r="L302"/>
  <c r="M302"/>
  <c r="J303"/>
  <c r="K303"/>
  <c r="L303"/>
  <c r="M303"/>
  <c r="J304"/>
  <c r="K304"/>
  <c r="L304"/>
  <c r="M304"/>
  <c r="J305"/>
  <c r="K305"/>
  <c r="L305"/>
  <c r="M305"/>
  <c r="J306"/>
  <c r="K306"/>
  <c r="L306"/>
  <c r="M306"/>
  <c r="J307"/>
  <c r="K307"/>
  <c r="L307"/>
  <c r="M307"/>
  <c r="J308"/>
  <c r="K308"/>
  <c r="L308"/>
  <c r="M308"/>
  <c r="J309"/>
  <c r="K309"/>
  <c r="L309"/>
  <c r="M309"/>
  <c r="J310"/>
  <c r="K310"/>
  <c r="L310"/>
  <c r="M310"/>
  <c r="J311"/>
  <c r="K311"/>
  <c r="L311"/>
  <c r="M311"/>
  <c r="J312"/>
  <c r="K312"/>
  <c r="L312"/>
  <c r="M312"/>
  <c r="J313"/>
  <c r="K313"/>
  <c r="L313"/>
  <c r="M313"/>
  <c r="J314"/>
  <c r="K314"/>
  <c r="L314"/>
  <c r="M314"/>
  <c r="J315"/>
  <c r="K315"/>
  <c r="L315"/>
  <c r="M315"/>
  <c r="J316"/>
  <c r="K316"/>
  <c r="L316"/>
  <c r="M316"/>
  <c r="J317"/>
  <c r="K317"/>
  <c r="L317"/>
  <c r="M317"/>
  <c r="J318"/>
  <c r="K318"/>
  <c r="L318"/>
  <c r="M318"/>
  <c r="J319"/>
  <c r="K319"/>
  <c r="L319"/>
  <c r="M319"/>
  <c r="J320"/>
  <c r="K320"/>
  <c r="L320"/>
  <c r="M320"/>
  <c r="J321"/>
  <c r="K321"/>
  <c r="L321"/>
  <c r="M321"/>
  <c r="J322"/>
  <c r="K322"/>
  <c r="L322"/>
  <c r="M322"/>
  <c r="J323"/>
  <c r="K323"/>
  <c r="L323"/>
  <c r="M323"/>
  <c r="J324"/>
  <c r="K324"/>
  <c r="L324"/>
  <c r="M324"/>
  <c r="J325"/>
  <c r="K325"/>
  <c r="L325"/>
  <c r="M325"/>
  <c r="J326"/>
  <c r="K326"/>
  <c r="L326"/>
  <c r="M326"/>
  <c r="M266"/>
  <c r="L266"/>
  <c r="K266"/>
  <c r="J266"/>
  <c r="J203"/>
  <c r="K203"/>
  <c r="L203"/>
  <c r="M203"/>
  <c r="J204"/>
  <c r="K204"/>
  <c r="L204"/>
  <c r="M204"/>
  <c r="J205"/>
  <c r="K205"/>
  <c r="L205"/>
  <c r="M205"/>
  <c r="J206"/>
  <c r="K206"/>
  <c r="L206"/>
  <c r="M206"/>
  <c r="J207"/>
  <c r="K207"/>
  <c r="L207"/>
  <c r="M207"/>
  <c r="J208"/>
  <c r="K208"/>
  <c r="L208"/>
  <c r="M208"/>
  <c r="J209"/>
  <c r="K209"/>
  <c r="L209"/>
  <c r="M209"/>
  <c r="J210"/>
  <c r="K210"/>
  <c r="L210"/>
  <c r="M210"/>
  <c r="J211"/>
  <c r="K211"/>
  <c r="L211"/>
  <c r="M211"/>
  <c r="J212"/>
  <c r="K212"/>
  <c r="L212"/>
  <c r="M212"/>
  <c r="J213"/>
  <c r="K213"/>
  <c r="L213"/>
  <c r="M213"/>
  <c r="J214"/>
  <c r="K214"/>
  <c r="L214"/>
  <c r="M214"/>
  <c r="J215"/>
  <c r="K215"/>
  <c r="L215"/>
  <c r="M215"/>
  <c r="J216"/>
  <c r="K216"/>
  <c r="L216"/>
  <c r="M216"/>
  <c r="J217"/>
  <c r="K217"/>
  <c r="L217"/>
  <c r="M217"/>
  <c r="J218"/>
  <c r="K218"/>
  <c r="L218"/>
  <c r="M218"/>
  <c r="J219"/>
  <c r="K219"/>
  <c r="L219"/>
  <c r="M219"/>
  <c r="J220"/>
  <c r="K220"/>
  <c r="L220"/>
  <c r="M220"/>
  <c r="J221"/>
  <c r="K221"/>
  <c r="L221"/>
  <c r="M221"/>
  <c r="J222"/>
  <c r="K222"/>
  <c r="L222"/>
  <c r="M222"/>
  <c r="J223"/>
  <c r="K223"/>
  <c r="L223"/>
  <c r="M223"/>
  <c r="J224"/>
  <c r="K224"/>
  <c r="L224"/>
  <c r="M224"/>
  <c r="J225"/>
  <c r="K225"/>
  <c r="L225"/>
  <c r="M225"/>
  <c r="J226"/>
  <c r="K226"/>
  <c r="L226"/>
  <c r="M226"/>
  <c r="J227"/>
  <c r="K227"/>
  <c r="L227"/>
  <c r="M227"/>
  <c r="J228"/>
  <c r="K228"/>
  <c r="L228"/>
  <c r="M228"/>
  <c r="J229"/>
  <c r="K229"/>
  <c r="L229"/>
  <c r="M229"/>
  <c r="J230"/>
  <c r="K230"/>
  <c r="L230"/>
  <c r="M230"/>
  <c r="J231"/>
  <c r="K231"/>
  <c r="L231"/>
  <c r="M231"/>
  <c r="J232"/>
  <c r="K232"/>
  <c r="L232"/>
  <c r="M232"/>
  <c r="J233"/>
  <c r="K233"/>
  <c r="L233"/>
  <c r="M233"/>
  <c r="J234"/>
  <c r="K234"/>
  <c r="L234"/>
  <c r="M234"/>
  <c r="J235"/>
  <c r="K235"/>
  <c r="L235"/>
  <c r="M235"/>
  <c r="J236"/>
  <c r="K236"/>
  <c r="L236"/>
  <c r="M236"/>
  <c r="J237"/>
  <c r="K237"/>
  <c r="L237"/>
  <c r="M237"/>
  <c r="J238"/>
  <c r="K238"/>
  <c r="L238"/>
  <c r="M238"/>
  <c r="J239"/>
  <c r="K239"/>
  <c r="L239"/>
  <c r="M239"/>
  <c r="J240"/>
  <c r="K240"/>
  <c r="L240"/>
  <c r="M240"/>
  <c r="J241"/>
  <c r="K241"/>
  <c r="L241"/>
  <c r="M241"/>
  <c r="J242"/>
  <c r="K242"/>
  <c r="L242"/>
  <c r="M242"/>
  <c r="J243"/>
  <c r="K243"/>
  <c r="L243"/>
  <c r="M243"/>
  <c r="J244"/>
  <c r="K244"/>
  <c r="L244"/>
  <c r="M244"/>
  <c r="J245"/>
  <c r="K245"/>
  <c r="L245"/>
  <c r="M245"/>
  <c r="J246"/>
  <c r="K246"/>
  <c r="L246"/>
  <c r="M246"/>
  <c r="J247"/>
  <c r="K247"/>
  <c r="L247"/>
  <c r="M247"/>
  <c r="J248"/>
  <c r="K248"/>
  <c r="L248"/>
  <c r="M248"/>
  <c r="J249"/>
  <c r="K249"/>
  <c r="L249"/>
  <c r="M249"/>
  <c r="J250"/>
  <c r="K250"/>
  <c r="L250"/>
  <c r="M250"/>
  <c r="J251"/>
  <c r="K251"/>
  <c r="L251"/>
  <c r="M251"/>
  <c r="J252"/>
  <c r="K252"/>
  <c r="L252"/>
  <c r="M252"/>
  <c r="J253"/>
  <c r="K253"/>
  <c r="L253"/>
  <c r="M253"/>
  <c r="J254"/>
  <c r="K254"/>
  <c r="L254"/>
  <c r="M254"/>
  <c r="J255"/>
  <c r="K255"/>
  <c r="L255"/>
  <c r="M255"/>
  <c r="J256"/>
  <c r="K256"/>
  <c r="L256"/>
  <c r="M256"/>
  <c r="J257"/>
  <c r="K257"/>
  <c r="L257"/>
  <c r="M257"/>
  <c r="J258"/>
  <c r="K258"/>
  <c r="L258"/>
  <c r="M258"/>
  <c r="J259"/>
  <c r="K259"/>
  <c r="L259"/>
  <c r="M259"/>
  <c r="J260"/>
  <c r="K260"/>
  <c r="L260"/>
  <c r="M260"/>
  <c r="J261"/>
  <c r="K261"/>
  <c r="L261"/>
  <c r="M261"/>
  <c r="M202"/>
  <c r="L202"/>
  <c r="K202"/>
  <c r="J202"/>
  <c r="M197"/>
  <c r="L197"/>
  <c r="K197"/>
  <c r="J197"/>
  <c r="M196"/>
  <c r="L196"/>
  <c r="K196"/>
  <c r="J196"/>
  <c r="M195"/>
  <c r="L195"/>
  <c r="K195"/>
  <c r="J195"/>
  <c r="J186"/>
  <c r="K186"/>
  <c r="L186"/>
  <c r="M186"/>
  <c r="J187"/>
  <c r="K187"/>
  <c r="L187"/>
  <c r="M187"/>
  <c r="J188"/>
  <c r="K188"/>
  <c r="L188"/>
  <c r="M188"/>
  <c r="J189"/>
  <c r="K189"/>
  <c r="L189"/>
  <c r="M189"/>
  <c r="J190"/>
  <c r="K190"/>
  <c r="L190"/>
  <c r="M190"/>
  <c r="M185"/>
  <c r="L185"/>
  <c r="K185"/>
  <c r="J185"/>
  <c r="M171"/>
  <c r="L171"/>
  <c r="K171"/>
  <c r="J171"/>
  <c r="J181"/>
  <c r="K181"/>
  <c r="L181"/>
  <c r="M181"/>
  <c r="M180"/>
  <c r="L180"/>
  <c r="K180"/>
  <c r="J180"/>
  <c r="M179"/>
  <c r="L179"/>
  <c r="K179"/>
  <c r="J179"/>
  <c r="M178"/>
  <c r="L178"/>
  <c r="K178"/>
  <c r="J178"/>
  <c r="M177"/>
  <c r="L177"/>
  <c r="K177"/>
  <c r="J177"/>
  <c r="M176"/>
  <c r="L176"/>
  <c r="K176"/>
  <c r="J176"/>
  <c r="M175"/>
  <c r="L175"/>
  <c r="K175"/>
  <c r="J175"/>
  <c r="J163"/>
  <c r="K163"/>
  <c r="L163"/>
  <c r="M163"/>
  <c r="J164"/>
  <c r="K164"/>
  <c r="L164"/>
  <c r="M164"/>
  <c r="J165"/>
  <c r="K165"/>
  <c r="L165"/>
  <c r="M165"/>
  <c r="J166"/>
  <c r="K166"/>
  <c r="L166"/>
  <c r="M166"/>
  <c r="J167"/>
  <c r="K167"/>
  <c r="L167"/>
  <c r="M167"/>
  <c r="M162"/>
  <c r="L162"/>
  <c r="K162"/>
  <c r="J162"/>
  <c r="M158"/>
  <c r="L158"/>
  <c r="K158"/>
  <c r="J158"/>
  <c r="M154"/>
  <c r="L154"/>
  <c r="K154"/>
  <c r="J154"/>
  <c r="J140"/>
  <c r="K140"/>
  <c r="L140"/>
  <c r="M140"/>
  <c r="J141"/>
  <c r="K141"/>
  <c r="L141"/>
  <c r="M141"/>
  <c r="J142"/>
  <c r="K142"/>
  <c r="L142"/>
  <c r="M142"/>
  <c r="J143"/>
  <c r="K143"/>
  <c r="L143"/>
  <c r="M143"/>
  <c r="J144"/>
  <c r="K144"/>
  <c r="L144"/>
  <c r="M144"/>
  <c r="J145"/>
  <c r="K145"/>
  <c r="L145"/>
  <c r="M145"/>
  <c r="J146"/>
  <c r="K146"/>
  <c r="L146"/>
  <c r="M146"/>
  <c r="J147"/>
  <c r="K147"/>
  <c r="L147"/>
  <c r="M147"/>
  <c r="J148"/>
  <c r="K148"/>
  <c r="L148"/>
  <c r="M148"/>
  <c r="J149"/>
  <c r="K149"/>
  <c r="L149"/>
  <c r="M149"/>
  <c r="J150"/>
  <c r="K150"/>
  <c r="L150"/>
  <c r="M150"/>
  <c r="M139"/>
  <c r="L139"/>
  <c r="K139"/>
  <c r="J139"/>
  <c r="M134"/>
  <c r="L134"/>
  <c r="K134"/>
  <c r="J134"/>
  <c r="J125"/>
  <c r="K125"/>
  <c r="L125"/>
  <c r="M125"/>
  <c r="J126"/>
  <c r="K126"/>
  <c r="L126"/>
  <c r="M126"/>
  <c r="J127"/>
  <c r="K127"/>
  <c r="L127"/>
  <c r="M127"/>
  <c r="M124"/>
  <c r="L124"/>
  <c r="K124"/>
  <c r="J124"/>
  <c r="M120"/>
  <c r="L120"/>
  <c r="K120"/>
  <c r="J120"/>
  <c r="M119"/>
  <c r="L119"/>
  <c r="K119"/>
  <c r="J119"/>
  <c r="M115"/>
  <c r="L115"/>
  <c r="K115"/>
  <c r="J115"/>
  <c r="M114"/>
  <c r="L114"/>
  <c r="K114"/>
  <c r="J114"/>
  <c r="M113"/>
  <c r="L113"/>
  <c r="K113"/>
  <c r="J113"/>
  <c r="M109"/>
  <c r="L109"/>
  <c r="K109"/>
  <c r="J109"/>
  <c r="J99"/>
  <c r="K99"/>
  <c r="L99"/>
  <c r="M99"/>
  <c r="J100"/>
  <c r="K100"/>
  <c r="L100"/>
  <c r="M100"/>
  <c r="J101"/>
  <c r="K101"/>
  <c r="L101"/>
  <c r="M101"/>
  <c r="J102"/>
  <c r="K102"/>
  <c r="L102"/>
  <c r="M102"/>
  <c r="J103"/>
  <c r="K103"/>
  <c r="L103"/>
  <c r="M103"/>
  <c r="J104"/>
  <c r="K104"/>
  <c r="L104"/>
  <c r="M104"/>
  <c r="J105"/>
  <c r="K105"/>
  <c r="L105"/>
  <c r="M105"/>
  <c r="M98"/>
  <c r="L98"/>
  <c r="K98"/>
  <c r="J98"/>
  <c r="M93"/>
  <c r="L93"/>
  <c r="K93"/>
  <c r="J93"/>
  <c r="M92"/>
  <c r="L92"/>
  <c r="K92"/>
  <c r="J92"/>
  <c r="M88"/>
  <c r="L88"/>
  <c r="K88"/>
  <c r="J88"/>
  <c r="M84"/>
  <c r="L84"/>
  <c r="K84"/>
  <c r="J84"/>
  <c r="M83"/>
  <c r="L83"/>
  <c r="K83"/>
  <c r="J83"/>
  <c r="M82"/>
  <c r="L82"/>
  <c r="K82"/>
  <c r="J82"/>
  <c r="M78"/>
  <c r="L78"/>
  <c r="K78"/>
  <c r="J78"/>
  <c r="M77"/>
  <c r="L77"/>
  <c r="K77"/>
  <c r="J77"/>
  <c r="M73"/>
  <c r="L73"/>
  <c r="K73"/>
  <c r="J73"/>
  <c r="M69"/>
  <c r="L69"/>
  <c r="K69"/>
  <c r="J69"/>
  <c r="J63"/>
  <c r="K63"/>
  <c r="L63"/>
  <c r="M63"/>
  <c r="J64"/>
  <c r="K64"/>
  <c r="L64"/>
  <c r="M64"/>
  <c r="J65"/>
  <c r="K65"/>
  <c r="L65"/>
  <c r="M65"/>
  <c r="M62"/>
  <c r="L62"/>
  <c r="K62"/>
  <c r="J62"/>
  <c r="M2"/>
  <c r="L2"/>
  <c r="K2"/>
  <c r="J2"/>
  <c r="M53"/>
  <c r="L53"/>
  <c r="K53"/>
  <c r="J53"/>
  <c r="M49"/>
  <c r="L49"/>
  <c r="K49"/>
  <c r="J49"/>
  <c r="M45"/>
  <c r="L45"/>
  <c r="K45"/>
  <c r="J45"/>
  <c r="M44"/>
  <c r="L44"/>
  <c r="K44"/>
  <c r="J44"/>
  <c r="M43"/>
  <c r="L43"/>
  <c r="K43"/>
  <c r="J43"/>
  <c r="M39"/>
  <c r="L39"/>
  <c r="K39"/>
  <c r="J39"/>
  <c r="M38"/>
  <c r="L38"/>
  <c r="K38"/>
  <c r="J38"/>
  <c r="M37"/>
  <c r="L37"/>
  <c r="K37"/>
  <c r="J37"/>
  <c r="M36"/>
  <c r="L36"/>
  <c r="K36"/>
  <c r="J36"/>
  <c r="M32"/>
  <c r="L32"/>
  <c r="K32"/>
  <c r="J32"/>
  <c r="M31"/>
  <c r="L31"/>
  <c r="K31"/>
  <c r="J31"/>
  <c r="M30"/>
  <c r="L30"/>
  <c r="K30"/>
  <c r="J30"/>
  <c r="M29"/>
  <c r="L29"/>
  <c r="K29"/>
  <c r="J29"/>
  <c r="J22"/>
  <c r="K22"/>
  <c r="L22"/>
  <c r="M22"/>
  <c r="J23"/>
  <c r="K23"/>
  <c r="L23"/>
  <c r="M23"/>
  <c r="J24"/>
  <c r="K24"/>
  <c r="L24"/>
  <c r="M24"/>
  <c r="J25"/>
  <c r="K25"/>
  <c r="L25"/>
  <c r="M25"/>
  <c r="M21"/>
  <c r="L21"/>
  <c r="K21"/>
  <c r="J21"/>
  <c r="M20"/>
  <c r="L20"/>
  <c r="K20"/>
  <c r="J20"/>
  <c r="N16" i="118"/>
  <c r="N18"/>
  <c r="N19"/>
  <c r="N20"/>
  <c r="AF56" i="74"/>
  <c r="N23" i="118" l="1"/>
  <c r="N38"/>
  <c r="N21"/>
  <c r="N22"/>
  <c r="N25"/>
  <c r="N15"/>
  <c r="N11"/>
  <c r="N10"/>
  <c r="N31"/>
  <c r="N37"/>
  <c r="N36"/>
  <c r="N35"/>
  <c r="N32"/>
  <c r="N8"/>
  <c r="N7"/>
  <c r="N30"/>
  <c r="N33"/>
  <c r="N28"/>
  <c r="N4"/>
  <c r="N14"/>
  <c r="N34"/>
  <c r="N5"/>
  <c r="N27"/>
  <c r="N29"/>
  <c r="N3"/>
  <c r="N2"/>
  <c r="N1"/>
  <c r="N13"/>
  <c r="N24"/>
  <c r="N39"/>
  <c r="N12"/>
  <c r="N6"/>
  <c r="N40"/>
  <c r="N1309" i="57"/>
  <c r="N1454"/>
  <c r="N1494"/>
  <c r="N1498"/>
  <c r="N1502"/>
  <c r="N1504"/>
  <c r="N1506"/>
  <c r="N1508"/>
  <c r="N1510"/>
  <c r="N1512"/>
  <c r="N1514"/>
  <c r="N1548"/>
  <c r="N1554"/>
  <c r="N1562"/>
  <c r="N1566"/>
  <c r="N1570"/>
  <c r="N1574"/>
  <c r="N1640"/>
  <c r="N1678"/>
  <c r="N1680"/>
  <c r="N1692"/>
  <c r="N408"/>
  <c r="N402"/>
  <c r="N400"/>
  <c r="N396"/>
  <c r="N394"/>
  <c r="N392"/>
  <c r="N390"/>
  <c r="N388"/>
  <c r="N386"/>
  <c r="N382"/>
  <c r="N380"/>
  <c r="N378"/>
  <c r="N372"/>
  <c r="N368"/>
  <c r="N366"/>
  <c r="N364"/>
  <c r="N362"/>
  <c r="N358"/>
  <c r="N356"/>
  <c r="N199"/>
  <c r="N197"/>
  <c r="N216"/>
  <c r="N1443"/>
  <c r="N1447"/>
  <c r="N1451"/>
  <c r="N1453"/>
  <c r="N1455"/>
  <c r="N1457"/>
  <c r="N1465"/>
  <c r="N1469"/>
  <c r="N1471"/>
  <c r="N1475"/>
  <c r="N1477"/>
  <c r="N355"/>
  <c r="N26" i="118"/>
  <c r="N26" i="57"/>
  <c r="N165"/>
  <c r="N167"/>
  <c r="N354"/>
  <c r="N350"/>
  <c r="N475"/>
  <c r="N459"/>
  <c r="N1294"/>
  <c r="N1288"/>
  <c r="N1807"/>
  <c r="N1809"/>
  <c r="N1819"/>
  <c r="N86"/>
  <c r="N78"/>
  <c r="N407"/>
  <c r="N383"/>
  <c r="N379"/>
  <c r="N359"/>
  <c r="N14"/>
  <c r="N16"/>
  <c r="N18"/>
  <c r="N48"/>
  <c r="N50"/>
  <c r="N54"/>
  <c r="N56"/>
  <c r="N58"/>
  <c r="N60"/>
  <c r="N62"/>
  <c r="N64"/>
  <c r="N66"/>
  <c r="N70"/>
  <c r="N142"/>
  <c r="N164"/>
  <c r="N1299"/>
  <c r="N1275"/>
  <c r="N1273"/>
  <c r="N1589"/>
  <c r="N1782"/>
  <c r="N1786"/>
  <c r="N162" i="22"/>
  <c r="N177"/>
  <c r="N195"/>
  <c r="N1668" i="57"/>
  <c r="N1664"/>
  <c r="N1656"/>
  <c r="N91"/>
  <c r="N87"/>
  <c r="N289"/>
  <c r="N291"/>
  <c r="N309"/>
  <c r="N313"/>
  <c r="N315"/>
  <c r="N317"/>
  <c r="N319"/>
  <c r="N321"/>
  <c r="N323"/>
  <c r="N325"/>
  <c r="N519"/>
  <c r="N1580"/>
  <c r="N1578"/>
  <c r="N1803"/>
  <c r="N1799"/>
  <c r="N1797"/>
  <c r="N1795"/>
  <c r="N1793"/>
  <c r="N1791"/>
  <c r="N1815"/>
  <c r="N1813"/>
  <c r="N1821"/>
  <c r="N13"/>
  <c r="N17"/>
  <c r="N43"/>
  <c r="N45"/>
  <c r="N47"/>
  <c r="N49"/>
  <c r="N51"/>
  <c r="N53"/>
  <c r="N55"/>
  <c r="N57"/>
  <c r="N59"/>
  <c r="N61"/>
  <c r="N63"/>
  <c r="N65"/>
  <c r="N67"/>
  <c r="N206"/>
  <c r="N204"/>
  <c r="N198"/>
  <c r="N194"/>
  <c r="N221"/>
  <c r="N217"/>
  <c r="N213"/>
  <c r="N211"/>
  <c r="N240"/>
  <c r="N285"/>
  <c r="N294"/>
  <c r="N308"/>
  <c r="N1581"/>
  <c r="N1802"/>
  <c r="N1798"/>
  <c r="N1794"/>
  <c r="N1790"/>
  <c r="N1812"/>
  <c r="N205" i="22"/>
  <c r="N326"/>
  <c r="N322"/>
  <c r="N318"/>
  <c r="N302"/>
  <c r="N290"/>
  <c r="N286"/>
  <c r="N282"/>
  <c r="N274"/>
  <c r="N270"/>
  <c r="N349"/>
  <c r="N341"/>
  <c r="N337"/>
  <c r="N333"/>
  <c r="N376"/>
  <c r="N364"/>
  <c r="N408"/>
  <c r="N533"/>
  <c r="N546"/>
  <c r="N554"/>
  <c r="N560"/>
  <c r="N570"/>
  <c r="N85" i="57"/>
  <c r="N83"/>
  <c r="N81"/>
  <c r="N79"/>
  <c r="N75"/>
  <c r="N73"/>
  <c r="N71"/>
  <c r="N146"/>
  <c r="N304"/>
  <c r="N346"/>
  <c r="N340"/>
  <c r="N338"/>
  <c r="N477"/>
  <c r="N1306"/>
  <c r="N1302"/>
  <c r="N9" i="118"/>
  <c r="N129" i="57"/>
  <c r="N209"/>
  <c r="N276"/>
  <c r="N272"/>
  <c r="N268"/>
  <c r="N266"/>
  <c r="N484"/>
  <c r="N482"/>
  <c r="N526"/>
  <c r="N520"/>
  <c r="N516"/>
  <c r="N514"/>
  <c r="N1229"/>
  <c r="N1296"/>
  <c r="N1667"/>
  <c r="N27"/>
  <c r="N25"/>
  <c r="N116"/>
  <c r="N112"/>
  <c r="N110"/>
  <c r="N108"/>
  <c r="N106"/>
  <c r="N104"/>
  <c r="N102"/>
  <c r="N100"/>
  <c r="N98"/>
  <c r="N96"/>
  <c r="N94"/>
  <c r="N145"/>
  <c r="N147"/>
  <c r="N149"/>
  <c r="N153"/>
  <c r="N155"/>
  <c r="N157"/>
  <c r="N161"/>
  <c r="N163"/>
  <c r="N401"/>
  <c r="N397"/>
  <c r="N393"/>
  <c r="N391"/>
  <c r="N389"/>
  <c r="N387"/>
  <c r="N1497"/>
  <c r="N1499"/>
  <c r="N1501"/>
  <c r="N299"/>
  <c r="N349"/>
  <c r="N347"/>
  <c r="N339"/>
  <c r="N337"/>
  <c r="N335"/>
  <c r="N476"/>
  <c r="N472"/>
  <c r="N468"/>
  <c r="N464"/>
  <c r="N462"/>
  <c r="N456"/>
  <c r="N454"/>
  <c r="N210"/>
  <c r="N273"/>
  <c r="N271"/>
  <c r="N511"/>
  <c r="N1291"/>
  <c r="N1289"/>
  <c r="N1287"/>
  <c r="N1590"/>
  <c r="N1584"/>
  <c r="N17" i="118"/>
  <c r="N121" i="57"/>
  <c r="N113"/>
  <c r="N109"/>
  <c r="N1448"/>
  <c r="N1458"/>
  <c r="N1460"/>
  <c r="N1472"/>
  <c r="N1478"/>
  <c r="N115"/>
  <c r="N111"/>
  <c r="N107"/>
  <c r="N74"/>
  <c r="N72"/>
  <c r="N170"/>
  <c r="N195"/>
  <c r="N265"/>
  <c r="N261"/>
  <c r="N381"/>
  <c r="N377"/>
  <c r="N375"/>
  <c r="N373"/>
  <c r="N371"/>
  <c r="N367"/>
  <c r="N363"/>
  <c r="N361"/>
  <c r="N357"/>
  <c r="N473"/>
  <c r="N471"/>
  <c r="N469"/>
  <c r="N463"/>
  <c r="N461"/>
  <c r="N103"/>
  <c r="N101"/>
  <c r="N99"/>
  <c r="N97"/>
  <c r="N95"/>
  <c r="N202"/>
  <c r="N200"/>
  <c r="N220"/>
  <c r="N218"/>
  <c r="N212"/>
  <c r="N241"/>
  <c r="N239"/>
  <c r="N286"/>
  <c r="N284"/>
  <c r="N1673"/>
  <c r="N1671"/>
  <c r="N1669"/>
  <c r="N89"/>
  <c r="N227"/>
  <c r="N245"/>
  <c r="N249"/>
  <c r="N253"/>
  <c r="N257"/>
  <c r="N270"/>
  <c r="N306"/>
  <c r="N398"/>
  <c r="N114"/>
  <c r="N310"/>
  <c r="N312"/>
  <c r="N318"/>
  <c r="N320"/>
  <c r="N322"/>
  <c r="N324"/>
  <c r="N326"/>
  <c r="N370"/>
  <c r="N466"/>
  <c r="N458"/>
  <c r="N480"/>
  <c r="N494"/>
  <c r="N498"/>
  <c r="N502"/>
  <c r="N42"/>
  <c r="N46"/>
  <c r="N122"/>
  <c r="N118"/>
  <c r="N92"/>
  <c r="N144"/>
  <c r="N148"/>
  <c r="N156"/>
  <c r="N160"/>
  <c r="N417"/>
  <c r="N10"/>
  <c r="N6"/>
  <c r="N24"/>
  <c r="N90"/>
  <c r="N88"/>
  <c r="N84"/>
  <c r="N166"/>
  <c r="N207"/>
  <c r="N205"/>
  <c r="N203"/>
  <c r="N277"/>
  <c r="N297"/>
  <c r="N301"/>
  <c r="N305"/>
  <c r="N413"/>
  <c r="N411"/>
  <c r="N409"/>
  <c r="N352"/>
  <c r="N348"/>
  <c r="N336"/>
  <c r="N489"/>
  <c r="N485"/>
  <c r="N483"/>
  <c r="N525"/>
  <c r="N515"/>
  <c r="N513"/>
  <c r="N699"/>
  <c r="N1276"/>
  <c r="N1272"/>
  <c r="N1655"/>
  <c r="N1643"/>
  <c r="N1686"/>
  <c r="N1682"/>
  <c r="N510"/>
  <c r="N1442"/>
  <c r="N1459"/>
  <c r="N1479"/>
  <c r="N1481"/>
  <c r="N1485"/>
  <c r="N1487"/>
  <c r="N1489"/>
  <c r="N1491"/>
  <c r="N1493"/>
  <c r="N1587"/>
  <c r="N930"/>
  <c r="N1020"/>
  <c r="N1268"/>
  <c r="N1297"/>
  <c r="N1446"/>
  <c r="N1503"/>
  <c r="N1555"/>
  <c r="N1557"/>
  <c r="N1559"/>
  <c r="N1563"/>
  <c r="N1565"/>
  <c r="N1567"/>
  <c r="N1569"/>
  <c r="N1571"/>
  <c r="N1573"/>
  <c r="N1575"/>
  <c r="N1666"/>
  <c r="N1662"/>
  <c r="N545" i="22"/>
  <c r="N1285" i="57"/>
  <c r="N1283"/>
  <c r="N1470"/>
  <c r="N1588"/>
  <c r="N1586"/>
  <c r="N1654"/>
  <c r="N1650"/>
  <c r="N1646"/>
  <c r="N1642"/>
  <c r="N1689"/>
  <c r="N1685"/>
  <c r="N1681"/>
  <c r="N538" i="22"/>
  <c r="N561"/>
  <c r="N1292" i="57"/>
  <c r="N1665"/>
  <c r="N1657"/>
  <c r="N173"/>
  <c r="N7"/>
  <c r="N22"/>
  <c r="N193"/>
  <c r="N189"/>
  <c r="N185"/>
  <c r="N222"/>
  <c r="N228"/>
  <c r="N246"/>
  <c r="N250"/>
  <c r="N254"/>
  <c r="N258"/>
  <c r="N281"/>
  <c r="N290"/>
  <c r="N298"/>
  <c r="N302"/>
  <c r="N405"/>
  <c r="N353"/>
  <c r="N424"/>
  <c r="N495"/>
  <c r="N499"/>
  <c r="N503"/>
  <c r="N521"/>
  <c r="N506"/>
  <c r="N1462"/>
  <c r="N1466"/>
  <c r="N1558"/>
  <c r="N1582"/>
  <c r="N1675"/>
  <c r="N1653"/>
  <c r="N1649"/>
  <c r="N1645"/>
  <c r="N1688"/>
  <c r="N1684"/>
  <c r="N1810"/>
  <c r="N1820"/>
  <c r="N1267"/>
  <c r="N1473"/>
  <c r="N1496"/>
  <c r="N124"/>
  <c r="N120"/>
  <c r="N76"/>
  <c r="N152"/>
  <c r="N171"/>
  <c r="N175"/>
  <c r="N179"/>
  <c r="N183"/>
  <c r="N215"/>
  <c r="N274"/>
  <c r="N263"/>
  <c r="N342"/>
  <c r="N491"/>
  <c r="N487"/>
  <c r="N518"/>
  <c r="N1304"/>
  <c r="N1300"/>
  <c r="N1282"/>
  <c r="N1278"/>
  <c r="N1274"/>
  <c r="N1270"/>
  <c r="N1500"/>
  <c r="N1550"/>
  <c r="N1780"/>
  <c r="N1784"/>
  <c r="N1788"/>
  <c r="N19"/>
  <c r="N4"/>
  <c r="N80"/>
  <c r="N219"/>
  <c r="N267"/>
  <c r="N376"/>
  <c r="N365"/>
  <c r="N474"/>
  <c r="N470"/>
  <c r="N455"/>
  <c r="N1293"/>
  <c r="N1450"/>
  <c r="N1461"/>
  <c r="N1480"/>
  <c r="N1484"/>
  <c r="N1488"/>
  <c r="N1492"/>
  <c r="N1507"/>
  <c r="N1511"/>
  <c r="N1517"/>
  <c r="N1579"/>
  <c r="N1641"/>
  <c r="N1672"/>
  <c r="N1661"/>
  <c r="N177"/>
  <c r="N8"/>
  <c r="N23"/>
  <c r="N201"/>
  <c r="N190"/>
  <c r="N186"/>
  <c r="N282"/>
  <c r="N316"/>
  <c r="N406"/>
  <c r="N369"/>
  <c r="N522"/>
  <c r="N507"/>
  <c r="N1286"/>
  <c r="N1561"/>
  <c r="N1583"/>
  <c r="N1825"/>
  <c r="N125"/>
  <c r="N117"/>
  <c r="N77"/>
  <c r="N143"/>
  <c r="N151"/>
  <c r="N159"/>
  <c r="N174"/>
  <c r="N178"/>
  <c r="N182"/>
  <c r="N264"/>
  <c r="N414"/>
  <c r="N410"/>
  <c r="N395"/>
  <c r="N343"/>
  <c r="N467"/>
  <c r="N488"/>
  <c r="N1305"/>
  <c r="N1301"/>
  <c r="N1290"/>
  <c r="N1279"/>
  <c r="N1271"/>
  <c r="N1449"/>
  <c r="N1476"/>
  <c r="N1483"/>
  <c r="N1495"/>
  <c r="N1549"/>
  <c r="N1553"/>
  <c r="N1591"/>
  <c r="N1594"/>
  <c r="N1658"/>
  <c r="N1783"/>
  <c r="N1787"/>
  <c r="N169"/>
  <c r="N9"/>
  <c r="N5"/>
  <c r="N20"/>
  <c r="N52"/>
  <c r="N128"/>
  <c r="N162"/>
  <c r="N191"/>
  <c r="N187"/>
  <c r="N226"/>
  <c r="N230"/>
  <c r="N238"/>
  <c r="N244"/>
  <c r="N248"/>
  <c r="N252"/>
  <c r="N256"/>
  <c r="N260"/>
  <c r="N283"/>
  <c r="N279"/>
  <c r="N292"/>
  <c r="N296"/>
  <c r="N300"/>
  <c r="N311"/>
  <c r="N403"/>
  <c r="N399"/>
  <c r="N384"/>
  <c r="N351"/>
  <c r="N460"/>
  <c r="N497"/>
  <c r="N501"/>
  <c r="N505"/>
  <c r="N523"/>
  <c r="N508"/>
  <c r="N1445"/>
  <c r="N1456"/>
  <c r="N1464"/>
  <c r="N1468"/>
  <c r="N1808"/>
  <c r="N1818"/>
  <c r="N1824"/>
  <c r="N481"/>
  <c r="N512"/>
  <c r="N1298"/>
  <c r="N1441"/>
  <c r="N1552"/>
  <c r="N1556"/>
  <c r="N1560"/>
  <c r="N1564"/>
  <c r="N1568"/>
  <c r="N1572"/>
  <c r="N1576"/>
  <c r="N1647"/>
  <c r="N1800"/>
  <c r="N1796"/>
  <c r="N1792"/>
  <c r="N1814"/>
  <c r="N1659"/>
  <c r="N150"/>
  <c r="N154"/>
  <c r="N307"/>
  <c r="N374"/>
  <c r="N344"/>
  <c r="N529"/>
  <c r="N1280"/>
  <c r="N1452"/>
  <c r="N1482"/>
  <c r="N1486"/>
  <c r="N1490"/>
  <c r="N1505"/>
  <c r="N1509"/>
  <c r="N1513"/>
  <c r="N1577"/>
  <c r="N1639"/>
  <c r="N1670"/>
  <c r="N1663"/>
  <c r="N1679"/>
  <c r="N1804"/>
  <c r="N44"/>
  <c r="N21"/>
  <c r="N82"/>
  <c r="N192"/>
  <c r="N188"/>
  <c r="N184"/>
  <c r="N225"/>
  <c r="N229"/>
  <c r="N247"/>
  <c r="N251"/>
  <c r="N255"/>
  <c r="N259"/>
  <c r="N280"/>
  <c r="N269"/>
  <c r="N295"/>
  <c r="N303"/>
  <c r="N314"/>
  <c r="N404"/>
  <c r="N385"/>
  <c r="N457"/>
  <c r="N496"/>
  <c r="N500"/>
  <c r="N504"/>
  <c r="N524"/>
  <c r="N509"/>
  <c r="N809"/>
  <c r="N1295"/>
  <c r="N1284"/>
  <c r="N1444"/>
  <c r="N1463"/>
  <c r="N1467"/>
  <c r="N1585"/>
  <c r="N1674"/>
  <c r="N1652"/>
  <c r="N1648"/>
  <c r="N1644"/>
  <c r="N1687"/>
  <c r="N1683"/>
  <c r="N1811"/>
  <c r="N158"/>
  <c r="N15"/>
  <c r="N123"/>
  <c r="N119"/>
  <c r="N105"/>
  <c r="N93"/>
  <c r="N168"/>
  <c r="N172"/>
  <c r="N176"/>
  <c r="N180"/>
  <c r="N196"/>
  <c r="N214"/>
  <c r="N262"/>
  <c r="N412"/>
  <c r="N360"/>
  <c r="N345"/>
  <c r="N341"/>
  <c r="N465"/>
  <c r="N490"/>
  <c r="N486"/>
  <c r="N517"/>
  <c r="N1303"/>
  <c r="N1281"/>
  <c r="N1277"/>
  <c r="N1269"/>
  <c r="N1474"/>
  <c r="N1551"/>
  <c r="N1660"/>
  <c r="N1781"/>
  <c r="N1785"/>
  <c r="N1789"/>
  <c r="N1801"/>
  <c r="N181"/>
  <c r="N51" i="28"/>
  <c r="N60"/>
  <c r="N24"/>
  <c r="N15"/>
  <c r="N56"/>
  <c r="N14"/>
  <c r="N53"/>
  <c r="N21"/>
  <c r="N22"/>
  <c r="N16"/>
  <c r="N25"/>
  <c r="N54"/>
  <c r="N23"/>
  <c r="N20"/>
  <c r="N13"/>
  <c r="N26"/>
  <c r="N19"/>
  <c r="N284" i="22"/>
  <c r="N540"/>
  <c r="N563"/>
  <c r="N244"/>
  <c r="N232"/>
  <c r="N228"/>
  <c r="N216"/>
  <c r="N305"/>
  <c r="N301"/>
  <c r="N297"/>
  <c r="N293"/>
  <c r="N289"/>
  <c r="N285"/>
  <c r="N348"/>
  <c r="N336"/>
  <c r="N332"/>
  <c r="N375"/>
  <c r="N371"/>
  <c r="N367"/>
  <c r="N407"/>
  <c r="N400"/>
  <c r="N440"/>
  <c r="N418"/>
  <c r="N432"/>
  <c r="N444"/>
  <c r="N450"/>
  <c r="N454"/>
  <c r="N460"/>
  <c r="N470"/>
  <c r="N476"/>
  <c r="N482"/>
  <c r="N105"/>
  <c r="N101"/>
  <c r="N125"/>
  <c r="N149"/>
  <c r="N145"/>
  <c r="N141"/>
  <c r="N257"/>
  <c r="N249"/>
  <c r="N266"/>
  <c r="N553"/>
  <c r="N254"/>
  <c r="N230"/>
  <c r="N214"/>
  <c r="N315"/>
  <c r="N311"/>
  <c r="N283"/>
  <c r="N279"/>
  <c r="N350"/>
  <c r="N338"/>
  <c r="N334"/>
  <c r="N377"/>
  <c r="N402"/>
  <c r="N438"/>
  <c r="N251"/>
  <c r="N235"/>
  <c r="N231"/>
  <c r="N219"/>
  <c r="N211"/>
  <c r="N207"/>
  <c r="N203"/>
  <c r="N324"/>
  <c r="N497"/>
  <c r="N256"/>
  <c r="N248"/>
  <c r="N253"/>
  <c r="N241"/>
  <c r="N221"/>
  <c r="N250"/>
  <c r="N226"/>
  <c r="N307"/>
  <c r="N303"/>
  <c r="N550"/>
  <c r="N558"/>
  <c r="N568"/>
  <c r="N227"/>
  <c r="N308"/>
  <c r="N355"/>
  <c r="N374"/>
  <c r="N501"/>
  <c r="N509"/>
  <c r="N519"/>
  <c r="N525"/>
  <c r="N240"/>
  <c r="N277"/>
  <c r="N383"/>
  <c r="N245"/>
  <c r="N234"/>
  <c r="N278"/>
  <c r="N353"/>
  <c r="N372"/>
  <c r="N242"/>
  <c r="N208"/>
  <c r="N325"/>
  <c r="N321"/>
  <c r="N317"/>
  <c r="N309"/>
  <c r="N382"/>
  <c r="N559"/>
  <c r="N569"/>
  <c r="N573"/>
  <c r="N537"/>
  <c r="N20"/>
  <c r="N31"/>
  <c r="N38"/>
  <c r="N45"/>
  <c r="N62"/>
  <c r="N69"/>
  <c r="N84"/>
  <c r="N98"/>
  <c r="N109"/>
  <c r="N119"/>
  <c r="N158"/>
  <c r="N176"/>
  <c r="N180"/>
  <c r="N202"/>
  <c r="N534"/>
  <c r="N23"/>
  <c r="N102"/>
  <c r="N126"/>
  <c r="N150"/>
  <c r="N146"/>
  <c r="N142"/>
  <c r="N165"/>
  <c r="N190"/>
  <c r="N186"/>
  <c r="N224"/>
  <c r="N220"/>
  <c r="N271"/>
  <c r="N346"/>
  <c r="N373"/>
  <c r="N306"/>
  <c r="N247"/>
  <c r="N314"/>
  <c r="N310"/>
  <c r="N361"/>
  <c r="N30"/>
  <c r="N154"/>
  <c r="N175"/>
  <c r="N179"/>
  <c r="N185"/>
  <c r="N197"/>
  <c r="N236"/>
  <c r="N213"/>
  <c r="N276"/>
  <c r="N272"/>
  <c r="N268"/>
  <c r="N347"/>
  <c r="N343"/>
  <c r="N339"/>
  <c r="N335"/>
  <c r="N531"/>
  <c r="N259"/>
  <c r="N225"/>
  <c r="N299"/>
  <c r="N295"/>
  <c r="N291"/>
  <c r="N280"/>
  <c r="N384"/>
  <c r="N549"/>
  <c r="N567"/>
  <c r="N571"/>
  <c r="N229"/>
  <c r="N529"/>
  <c r="N541"/>
  <c r="N555"/>
  <c r="N564"/>
  <c r="N82"/>
  <c r="N114"/>
  <c r="N124"/>
  <c r="N134"/>
  <c r="N25"/>
  <c r="N148"/>
  <c r="N144"/>
  <c r="N140"/>
  <c r="N167"/>
  <c r="N163"/>
  <c r="N188"/>
  <c r="N260"/>
  <c r="N222"/>
  <c r="N344"/>
  <c r="N29"/>
  <c r="N36"/>
  <c r="N43"/>
  <c r="N53"/>
  <c r="N77"/>
  <c r="N92"/>
  <c r="N532"/>
  <c r="Z59"/>
  <c r="AD59"/>
  <c r="N64"/>
  <c r="N104"/>
  <c r="N100"/>
  <c r="N238"/>
  <c r="N212"/>
  <c r="N388"/>
  <c r="N392"/>
  <c r="N396"/>
  <c r="N513"/>
  <c r="N304"/>
  <c r="N275"/>
  <c r="N267"/>
  <c r="N354"/>
  <c r="N363"/>
  <c r="N542"/>
  <c r="N21"/>
  <c r="N32"/>
  <c r="N39"/>
  <c r="N49"/>
  <c r="N73"/>
  <c r="N88"/>
  <c r="N113"/>
  <c r="N120"/>
  <c r="N164"/>
  <c r="N181"/>
  <c r="N189"/>
  <c r="N261"/>
  <c r="N246"/>
  <c r="N209"/>
  <c r="N417"/>
  <c r="N429"/>
  <c r="N437"/>
  <c r="N443"/>
  <c r="N453"/>
  <c r="N459"/>
  <c r="N473"/>
  <c r="N481"/>
  <c r="N487"/>
  <c r="N500"/>
  <c r="N518"/>
  <c r="N522"/>
  <c r="N528"/>
  <c r="N539"/>
  <c r="N562"/>
  <c r="N22"/>
  <c r="N65"/>
  <c r="N239"/>
  <c r="N323"/>
  <c r="N319"/>
  <c r="N351"/>
  <c r="N340"/>
  <c r="N387"/>
  <c r="N391"/>
  <c r="N395"/>
  <c r="N401"/>
  <c r="N447"/>
  <c r="N467"/>
  <c r="N506"/>
  <c r="N514"/>
  <c r="N543"/>
  <c r="N258"/>
  <c r="N243"/>
  <c r="N217"/>
  <c r="N206"/>
  <c r="N312"/>
  <c r="N298"/>
  <c r="N294"/>
  <c r="N368"/>
  <c r="N572"/>
  <c r="N210"/>
  <c r="N320"/>
  <c r="N316"/>
  <c r="N416"/>
  <c r="N426"/>
  <c r="N434"/>
  <c r="N446"/>
  <c r="N452"/>
  <c r="N458"/>
  <c r="N466"/>
  <c r="N472"/>
  <c r="N480"/>
  <c r="N486"/>
  <c r="N499"/>
  <c r="N505"/>
  <c r="N511"/>
  <c r="N517"/>
  <c r="N521"/>
  <c r="N527"/>
  <c r="N386"/>
  <c r="N390"/>
  <c r="N394"/>
  <c r="N398"/>
  <c r="N255"/>
  <c r="N218"/>
  <c r="N287"/>
  <c r="N273"/>
  <c r="N269"/>
  <c r="N356"/>
  <c r="N352"/>
  <c r="N345"/>
  <c r="N365"/>
  <c r="N544"/>
  <c r="N369"/>
  <c r="N37"/>
  <c r="N44"/>
  <c r="N2"/>
  <c r="N78"/>
  <c r="N83"/>
  <c r="N93"/>
  <c r="N115"/>
  <c r="N139"/>
  <c r="N147"/>
  <c r="N143"/>
  <c r="N166"/>
  <c r="N187"/>
  <c r="N233"/>
  <c r="N313"/>
  <c r="N433"/>
  <c r="N445"/>
  <c r="N451"/>
  <c r="N457"/>
  <c r="N463"/>
  <c r="N471"/>
  <c r="N477"/>
  <c r="N483"/>
  <c r="N498"/>
  <c r="N504"/>
  <c r="N510"/>
  <c r="N520"/>
  <c r="N526"/>
  <c r="N530"/>
  <c r="N24"/>
  <c r="N63"/>
  <c r="N103"/>
  <c r="N99"/>
  <c r="N127"/>
  <c r="N252"/>
  <c r="N237"/>
  <c r="N215"/>
  <c r="N288"/>
  <c r="N281"/>
  <c r="N331"/>
  <c r="N342"/>
  <c r="N385"/>
  <c r="N389"/>
  <c r="N393"/>
  <c r="N397"/>
  <c r="N406"/>
  <c r="N399"/>
  <c r="N419"/>
  <c r="N439"/>
  <c r="N512"/>
  <c r="N366"/>
  <c r="N362"/>
  <c r="N178"/>
  <c r="N171"/>
  <c r="N196"/>
  <c r="N223"/>
  <c r="N204"/>
  <c r="N300"/>
  <c r="N296"/>
  <c r="N292"/>
  <c r="N370"/>
  <c r="Y56" i="74"/>
  <c r="Z56" s="1"/>
  <c r="U56"/>
  <c r="AF59"/>
  <c r="Y59" l="1"/>
  <c r="Z59" s="1"/>
  <c r="U59"/>
  <c r="AF823" i="57"/>
  <c r="AI823"/>
  <c r="W823"/>
  <c r="AH823" l="1"/>
  <c r="U823"/>
  <c r="Y823"/>
  <c r="Z823" s="1"/>
  <c r="R823"/>
  <c r="Q823"/>
  <c r="P823"/>
  <c r="O823"/>
  <c r="AF1221"/>
  <c r="W1221"/>
  <c r="AI1221"/>
  <c r="AH1221" l="1"/>
  <c r="U1221"/>
  <c r="Y1221"/>
  <c r="Z1221" s="1"/>
  <c r="R1221"/>
  <c r="Q1221"/>
  <c r="P1221"/>
  <c r="O1221"/>
  <c r="Y219" i="114" l="1"/>
  <c r="Z219" s="1"/>
  <c r="U219"/>
  <c r="Y212" l="1"/>
  <c r="Z212" s="1"/>
  <c r="U212"/>
  <c r="W103"/>
  <c r="AI103"/>
  <c r="AH103" l="1"/>
  <c r="Y103"/>
  <c r="Z103" s="1"/>
  <c r="U103"/>
  <c r="AI102"/>
  <c r="W102"/>
  <c r="AH102" l="1"/>
  <c r="Y102"/>
  <c r="Z102" s="1"/>
  <c r="U102"/>
  <c r="AF339" i="57"/>
  <c r="W339"/>
  <c r="AI339"/>
  <c r="AH339" l="1"/>
  <c r="U339"/>
  <c r="Y339"/>
  <c r="Z339" s="1"/>
  <c r="R339"/>
  <c r="Q339"/>
  <c r="P339"/>
  <c r="O339"/>
  <c r="AF652"/>
  <c r="AI652"/>
  <c r="W652"/>
  <c r="AH652" l="1"/>
  <c r="U652"/>
  <c r="Y652"/>
  <c r="Z652" s="1"/>
  <c r="R652"/>
  <c r="Q652"/>
  <c r="P652"/>
  <c r="O652"/>
  <c r="AF205"/>
  <c r="W205"/>
  <c r="AI205"/>
  <c r="AH205" l="1"/>
  <c r="U205"/>
  <c r="Y205"/>
  <c r="Z205" s="1"/>
  <c r="R205"/>
  <c r="Q205"/>
  <c r="P205"/>
  <c r="O205"/>
  <c r="Y217" i="114" l="1"/>
  <c r="Z217" s="1"/>
  <c r="U217"/>
  <c r="Y230" l="1"/>
  <c r="Z230" s="1"/>
  <c r="U230"/>
  <c r="Y222" l="1"/>
  <c r="Z222" s="1"/>
  <c r="U222"/>
  <c r="W101"/>
  <c r="AI101"/>
  <c r="AH101" l="1"/>
  <c r="Y101"/>
  <c r="Z101" s="1"/>
  <c r="U101"/>
  <c r="W100"/>
  <c r="AI100"/>
  <c r="AH100" l="1"/>
  <c r="Y100"/>
  <c r="Z100" s="1"/>
  <c r="U100"/>
  <c r="AF556" i="57"/>
  <c r="AI556"/>
  <c r="W556"/>
  <c r="Y180" i="114" l="1"/>
  <c r="Z180" s="1"/>
  <c r="AH556" i="57"/>
  <c r="U556"/>
  <c r="Y556"/>
  <c r="Z556" s="1"/>
  <c r="R556"/>
  <c r="Q556"/>
  <c r="P556"/>
  <c r="O556"/>
  <c r="AF933"/>
  <c r="AI933"/>
  <c r="W933"/>
  <c r="U180" i="114" l="1"/>
  <c r="AH933" i="57"/>
  <c r="U933"/>
  <c r="Y933"/>
  <c r="Z933" s="1"/>
  <c r="R933"/>
  <c r="Q933"/>
  <c r="P933"/>
  <c r="O933"/>
  <c r="AF577"/>
  <c r="AI577"/>
  <c r="W577"/>
  <c r="AH577" l="1"/>
  <c r="U577"/>
  <c r="Y577"/>
  <c r="Z577" s="1"/>
  <c r="R577"/>
  <c r="Q577"/>
  <c r="P577"/>
  <c r="O577"/>
  <c r="AF642"/>
  <c r="AI642"/>
  <c r="W642"/>
  <c r="AH642" l="1"/>
  <c r="U642"/>
  <c r="Y642"/>
  <c r="Z642" s="1"/>
  <c r="R642"/>
  <c r="Q642"/>
  <c r="P642"/>
  <c r="O642"/>
  <c r="Y215" i="114" l="1"/>
  <c r="Z215" s="1"/>
  <c r="U215"/>
  <c r="AI99"/>
  <c r="W99"/>
  <c r="AH99" l="1"/>
  <c r="Y99"/>
  <c r="Z99" s="1"/>
  <c r="U99"/>
  <c r="AI98"/>
  <c r="W98"/>
  <c r="AH98" l="1"/>
  <c r="Y98"/>
  <c r="Z98" s="1"/>
  <c r="U98"/>
  <c r="AI97"/>
  <c r="W97"/>
  <c r="AH97" l="1"/>
  <c r="Y97"/>
  <c r="Z97" s="1"/>
  <c r="U97"/>
  <c r="Y220" l="1"/>
  <c r="Z220" s="1"/>
  <c r="U220"/>
  <c r="AF134" i="22"/>
  <c r="Y66" i="74" l="1"/>
  <c r="Z66" s="1"/>
  <c r="AC66"/>
  <c r="Y134" i="22"/>
  <c r="Z134" s="1"/>
  <c r="S134"/>
  <c r="R134"/>
  <c r="Q134"/>
  <c r="P134"/>
  <c r="O134"/>
  <c r="J15" i="21"/>
  <c r="I15"/>
  <c r="M11"/>
  <c r="K11"/>
  <c r="L11" s="1"/>
  <c r="AJ30" i="118"/>
  <c r="W30"/>
  <c r="AI30" l="1"/>
  <c r="U30"/>
  <c r="AD66" i="74"/>
  <c r="N11" i="21"/>
  <c r="Y30" i="118"/>
  <c r="Z30" s="1"/>
  <c r="R30"/>
  <c r="Q30"/>
  <c r="P30"/>
  <c r="O30"/>
  <c r="O559" i="22"/>
  <c r="Q559"/>
  <c r="P559"/>
  <c r="R559"/>
  <c r="O560"/>
  <c r="Q560"/>
  <c r="P560"/>
  <c r="R560"/>
  <c r="O561"/>
  <c r="Q561"/>
  <c r="P561"/>
  <c r="R561"/>
  <c r="O562"/>
  <c r="Q562"/>
  <c r="P562"/>
  <c r="R562"/>
  <c r="O563"/>
  <c r="Q563"/>
  <c r="P563"/>
  <c r="R563"/>
  <c r="O564"/>
  <c r="Q564"/>
  <c r="P564"/>
  <c r="R564"/>
  <c r="O567"/>
  <c r="Q567"/>
  <c r="P567"/>
  <c r="R567"/>
  <c r="O568"/>
  <c r="Q568"/>
  <c r="P568"/>
  <c r="R568"/>
  <c r="O569"/>
  <c r="Q569"/>
  <c r="P569"/>
  <c r="R569"/>
  <c r="O570"/>
  <c r="Q570"/>
  <c r="P570"/>
  <c r="R570"/>
  <c r="O571"/>
  <c r="Q571"/>
  <c r="P571"/>
  <c r="R571"/>
  <c r="O572"/>
  <c r="Q572"/>
  <c r="P572"/>
  <c r="R572"/>
  <c r="O573"/>
  <c r="Q573"/>
  <c r="P573"/>
  <c r="R573"/>
  <c r="R558"/>
  <c r="P558"/>
  <c r="Q558"/>
  <c r="O558"/>
  <c r="O555"/>
  <c r="Q555"/>
  <c r="P555"/>
  <c r="R555"/>
  <c r="R554"/>
  <c r="P554"/>
  <c r="Q554"/>
  <c r="O554"/>
  <c r="R553"/>
  <c r="P553"/>
  <c r="Q553"/>
  <c r="O553"/>
  <c r="R550"/>
  <c r="P550"/>
  <c r="Q550"/>
  <c r="O550"/>
  <c r="R549"/>
  <c r="P549"/>
  <c r="Q549"/>
  <c r="O549"/>
  <c r="O546"/>
  <c r="Q546"/>
  <c r="P546"/>
  <c r="R546"/>
  <c r="O543"/>
  <c r="Q543"/>
  <c r="P543"/>
  <c r="R543"/>
  <c r="O544"/>
  <c r="Q544"/>
  <c r="P544"/>
  <c r="R544"/>
  <c r="O545"/>
  <c r="Q545"/>
  <c r="P545"/>
  <c r="R545"/>
  <c r="R542"/>
  <c r="P542"/>
  <c r="Q542"/>
  <c r="O542"/>
  <c r="R541"/>
  <c r="P541"/>
  <c r="Q541"/>
  <c r="O541"/>
  <c r="R540"/>
  <c r="P540"/>
  <c r="Q540"/>
  <c r="O540"/>
  <c r="R539"/>
  <c r="P539"/>
  <c r="Q539"/>
  <c r="O539"/>
  <c r="R538"/>
  <c r="P538"/>
  <c r="Q538"/>
  <c r="O538"/>
  <c r="R537"/>
  <c r="P537"/>
  <c r="Q537"/>
  <c r="O537"/>
  <c r="R534"/>
  <c r="P534"/>
  <c r="Q534"/>
  <c r="O534"/>
  <c r="R533"/>
  <c r="P533"/>
  <c r="Q533"/>
  <c r="O533"/>
  <c r="R532"/>
  <c r="P532"/>
  <c r="Q532"/>
  <c r="O532"/>
  <c r="R531"/>
  <c r="P531"/>
  <c r="Q531"/>
  <c r="O531"/>
  <c r="R530"/>
  <c r="P530"/>
  <c r="Q530"/>
  <c r="O530"/>
  <c r="R529"/>
  <c r="P529"/>
  <c r="Q529"/>
  <c r="O529"/>
  <c r="R528"/>
  <c r="P528"/>
  <c r="Q528"/>
  <c r="O528"/>
  <c r="R527"/>
  <c r="P527"/>
  <c r="Q527"/>
  <c r="O527"/>
  <c r="R526"/>
  <c r="P526"/>
  <c r="Q526"/>
  <c r="O526"/>
  <c r="R525"/>
  <c r="P525"/>
  <c r="Q525"/>
  <c r="O525"/>
  <c r="R522"/>
  <c r="P522"/>
  <c r="Q522"/>
  <c r="O522"/>
  <c r="R521"/>
  <c r="P521"/>
  <c r="Q521"/>
  <c r="O521"/>
  <c r="R520"/>
  <c r="P520"/>
  <c r="Q520"/>
  <c r="O520"/>
  <c r="R519"/>
  <c r="P519"/>
  <c r="Q519"/>
  <c r="O519"/>
  <c r="R518"/>
  <c r="P518"/>
  <c r="Q518"/>
  <c r="O518"/>
  <c r="R517"/>
  <c r="P517"/>
  <c r="Q517"/>
  <c r="O517"/>
  <c r="O511"/>
  <c r="Q511"/>
  <c r="P511"/>
  <c r="R511"/>
  <c r="O512"/>
  <c r="Q512"/>
  <c r="P512"/>
  <c r="R512"/>
  <c r="O513"/>
  <c r="Q513"/>
  <c r="P513"/>
  <c r="R513"/>
  <c r="O514"/>
  <c r="Q514"/>
  <c r="P514"/>
  <c r="R514"/>
  <c r="R510"/>
  <c r="P510"/>
  <c r="Q510"/>
  <c r="O510"/>
  <c r="R509"/>
  <c r="P509"/>
  <c r="Q509"/>
  <c r="O509"/>
  <c r="R506"/>
  <c r="P506"/>
  <c r="Q506"/>
  <c r="O506"/>
  <c r="R505"/>
  <c r="P505"/>
  <c r="Q505"/>
  <c r="O505"/>
  <c r="R504"/>
  <c r="P504"/>
  <c r="Q504"/>
  <c r="O504"/>
  <c r="R501"/>
  <c r="P501"/>
  <c r="Q501"/>
  <c r="O501"/>
  <c r="R500"/>
  <c r="P500"/>
  <c r="Q500"/>
  <c r="O500"/>
  <c r="R499"/>
  <c r="P499"/>
  <c r="Q499"/>
  <c r="O499"/>
  <c r="R498"/>
  <c r="P498"/>
  <c r="Q498"/>
  <c r="O498"/>
  <c r="R497"/>
  <c r="P497"/>
  <c r="Q497"/>
  <c r="O497"/>
  <c r="R487"/>
  <c r="P487"/>
  <c r="Q487"/>
  <c r="O487"/>
  <c r="R486"/>
  <c r="P486"/>
  <c r="Q486"/>
  <c r="O486"/>
  <c r="O477"/>
  <c r="Q477"/>
  <c r="P477"/>
  <c r="R477"/>
  <c r="R476"/>
  <c r="P476"/>
  <c r="Q476"/>
  <c r="O476"/>
  <c r="R483"/>
  <c r="P483"/>
  <c r="Q483"/>
  <c r="O483"/>
  <c r="R482"/>
  <c r="P482"/>
  <c r="Q482"/>
  <c r="O482"/>
  <c r="R481"/>
  <c r="P481"/>
  <c r="Q481"/>
  <c r="O481"/>
  <c r="R480"/>
  <c r="P480"/>
  <c r="Q480"/>
  <c r="O480"/>
  <c r="O471"/>
  <c r="Q471"/>
  <c r="P471"/>
  <c r="R471"/>
  <c r="O472"/>
  <c r="Q472"/>
  <c r="P472"/>
  <c r="R472"/>
  <c r="O473"/>
  <c r="Q473"/>
  <c r="P473"/>
  <c r="R473"/>
  <c r="R470"/>
  <c r="P470"/>
  <c r="Q470"/>
  <c r="O470"/>
  <c r="R467"/>
  <c r="P467"/>
  <c r="Q467"/>
  <c r="O467"/>
  <c r="R466"/>
  <c r="P466"/>
  <c r="Q466"/>
  <c r="O466"/>
  <c r="R463"/>
  <c r="P463"/>
  <c r="Q463"/>
  <c r="O463"/>
  <c r="R460"/>
  <c r="P460"/>
  <c r="Q460"/>
  <c r="O460"/>
  <c r="R459"/>
  <c r="P459"/>
  <c r="Q459"/>
  <c r="O459"/>
  <c r="R458"/>
  <c r="P458"/>
  <c r="Q458"/>
  <c r="O458"/>
  <c r="R457"/>
  <c r="P457"/>
  <c r="Q457"/>
  <c r="O457"/>
  <c r="R454"/>
  <c r="P454"/>
  <c r="Q454"/>
  <c r="O454"/>
  <c r="R453"/>
  <c r="P453"/>
  <c r="Q453"/>
  <c r="O453"/>
  <c r="R452"/>
  <c r="P452"/>
  <c r="Q452"/>
  <c r="O452"/>
  <c r="R451"/>
  <c r="P451"/>
  <c r="Q451"/>
  <c r="O451"/>
  <c r="R450"/>
  <c r="P450"/>
  <c r="Q450"/>
  <c r="O450"/>
  <c r="O447"/>
  <c r="Q447"/>
  <c r="P447"/>
  <c r="R447"/>
  <c r="R446"/>
  <c r="P446"/>
  <c r="Q446"/>
  <c r="O446"/>
  <c r="R445"/>
  <c r="P445"/>
  <c r="Q445"/>
  <c r="O445"/>
  <c r="R444"/>
  <c r="P444"/>
  <c r="Q444"/>
  <c r="O444"/>
  <c r="R443"/>
  <c r="P443"/>
  <c r="Q443"/>
  <c r="O443"/>
  <c r="O440"/>
  <c r="Q440"/>
  <c r="P440"/>
  <c r="R440"/>
  <c r="O438"/>
  <c r="Q438"/>
  <c r="P438"/>
  <c r="R438"/>
  <c r="O439"/>
  <c r="Q439"/>
  <c r="P439"/>
  <c r="R439"/>
  <c r="R437"/>
  <c r="P437"/>
  <c r="Q437"/>
  <c r="O437"/>
  <c r="R434"/>
  <c r="P434"/>
  <c r="Q434"/>
  <c r="O434"/>
  <c r="R433"/>
  <c r="P433"/>
  <c r="Q433"/>
  <c r="O433"/>
  <c r="R432"/>
  <c r="P432"/>
  <c r="Q432"/>
  <c r="O432"/>
  <c r="R429"/>
  <c r="P429"/>
  <c r="Q429"/>
  <c r="O429"/>
  <c r="R426"/>
  <c r="P426"/>
  <c r="Q426"/>
  <c r="O426"/>
  <c r="O419"/>
  <c r="Q419"/>
  <c r="P419"/>
  <c r="R419"/>
  <c r="R418"/>
  <c r="P418"/>
  <c r="Q418"/>
  <c r="O418"/>
  <c r="R417"/>
  <c r="P417"/>
  <c r="Q417"/>
  <c r="O417"/>
  <c r="R416"/>
  <c r="P416"/>
  <c r="Q416"/>
  <c r="O416"/>
  <c r="R408"/>
  <c r="P408"/>
  <c r="Q408"/>
  <c r="O408"/>
  <c r="R407"/>
  <c r="P407"/>
  <c r="Q407"/>
  <c r="O407"/>
  <c r="R406"/>
  <c r="P406"/>
  <c r="Q406"/>
  <c r="O406"/>
  <c r="O399"/>
  <c r="Q399"/>
  <c r="P399"/>
  <c r="R399"/>
  <c r="O400"/>
  <c r="Q400"/>
  <c r="P400"/>
  <c r="R400"/>
  <c r="O401"/>
  <c r="Q401"/>
  <c r="P401"/>
  <c r="R401"/>
  <c r="O402"/>
  <c r="Q402"/>
  <c r="P402"/>
  <c r="R402"/>
  <c r="R398"/>
  <c r="P398"/>
  <c r="Q398"/>
  <c r="O398"/>
  <c r="R397"/>
  <c r="P397"/>
  <c r="Q397"/>
  <c r="O397"/>
  <c r="R396"/>
  <c r="P396"/>
  <c r="Q396"/>
  <c r="O396"/>
  <c r="R395"/>
  <c r="P395"/>
  <c r="Q395"/>
  <c r="O395"/>
  <c r="R394"/>
  <c r="P394"/>
  <c r="Q394"/>
  <c r="O394"/>
  <c r="R393"/>
  <c r="P393"/>
  <c r="Q393"/>
  <c r="O393"/>
  <c r="R392"/>
  <c r="P392"/>
  <c r="Q392"/>
  <c r="O392"/>
  <c r="R391"/>
  <c r="P391"/>
  <c r="Q391"/>
  <c r="O391"/>
  <c r="R390"/>
  <c r="P390"/>
  <c r="Q390"/>
  <c r="O390"/>
  <c r="R389"/>
  <c r="P389"/>
  <c r="Q389"/>
  <c r="O389"/>
  <c r="R388"/>
  <c r="P388"/>
  <c r="Q388"/>
  <c r="O388"/>
  <c r="R387"/>
  <c r="P387"/>
  <c r="Q387"/>
  <c r="O387"/>
  <c r="R386"/>
  <c r="P386"/>
  <c r="Q386"/>
  <c r="O386"/>
  <c r="R385"/>
  <c r="P385"/>
  <c r="Q385"/>
  <c r="O385"/>
  <c r="R384"/>
  <c r="P384"/>
  <c r="Q384"/>
  <c r="O384"/>
  <c r="R383"/>
  <c r="P383"/>
  <c r="Q383"/>
  <c r="O383"/>
  <c r="R382"/>
  <c r="P382"/>
  <c r="Q382"/>
  <c r="O382"/>
  <c r="O365"/>
  <c r="Q365"/>
  <c r="P365"/>
  <c r="R365"/>
  <c r="O366"/>
  <c r="Q366"/>
  <c r="P366"/>
  <c r="R366"/>
  <c r="O367"/>
  <c r="Q367"/>
  <c r="P367"/>
  <c r="R367"/>
  <c r="O368"/>
  <c r="Q368"/>
  <c r="P368"/>
  <c r="R368"/>
  <c r="O369"/>
  <c r="Q369"/>
  <c r="P369"/>
  <c r="R369"/>
  <c r="O370"/>
  <c r="Q370"/>
  <c r="P370"/>
  <c r="R370"/>
  <c r="O371"/>
  <c r="Q371"/>
  <c r="P371"/>
  <c r="R371"/>
  <c r="O372"/>
  <c r="Q372"/>
  <c r="P372"/>
  <c r="R372"/>
  <c r="O373"/>
  <c r="Q373"/>
  <c r="P373"/>
  <c r="R373"/>
  <c r="O374"/>
  <c r="Q374"/>
  <c r="P374"/>
  <c r="R374"/>
  <c r="O375"/>
  <c r="Q375"/>
  <c r="P375"/>
  <c r="R375"/>
  <c r="O376"/>
  <c r="Q376"/>
  <c r="P376"/>
  <c r="R376"/>
  <c r="O377"/>
  <c r="Q377"/>
  <c r="P377"/>
  <c r="R377"/>
  <c r="R364"/>
  <c r="P364"/>
  <c r="Q364"/>
  <c r="O364"/>
  <c r="R363"/>
  <c r="P363"/>
  <c r="Q363"/>
  <c r="O363"/>
  <c r="R362"/>
  <c r="P362"/>
  <c r="Q362"/>
  <c r="O362"/>
  <c r="R361"/>
  <c r="P361"/>
  <c r="Q361"/>
  <c r="O361"/>
  <c r="O332"/>
  <c r="Q332"/>
  <c r="P332"/>
  <c r="R332"/>
  <c r="O333"/>
  <c r="Q333"/>
  <c r="P333"/>
  <c r="R333"/>
  <c r="O334"/>
  <c r="Q334"/>
  <c r="P334"/>
  <c r="R334"/>
  <c r="O335"/>
  <c r="Q335"/>
  <c r="P335"/>
  <c r="R335"/>
  <c r="O336"/>
  <c r="Q336"/>
  <c r="P336"/>
  <c r="R336"/>
  <c r="O337"/>
  <c r="Q337"/>
  <c r="P337"/>
  <c r="R337"/>
  <c r="O338"/>
  <c r="Q338"/>
  <c r="P338"/>
  <c r="R338"/>
  <c r="O339"/>
  <c r="Q339"/>
  <c r="P339"/>
  <c r="R339"/>
  <c r="O340"/>
  <c r="Q340"/>
  <c r="P340"/>
  <c r="R340"/>
  <c r="O341"/>
  <c r="Q341"/>
  <c r="P341"/>
  <c r="R341"/>
  <c r="O342"/>
  <c r="Q342"/>
  <c r="P342"/>
  <c r="R342"/>
  <c r="O343"/>
  <c r="Q343"/>
  <c r="P343"/>
  <c r="R343"/>
  <c r="O344"/>
  <c r="Q344"/>
  <c r="P344"/>
  <c r="R344"/>
  <c r="O345"/>
  <c r="Q345"/>
  <c r="P345"/>
  <c r="R345"/>
  <c r="O346"/>
  <c r="Q346"/>
  <c r="P346"/>
  <c r="R346"/>
  <c r="O347"/>
  <c r="Q347"/>
  <c r="P347"/>
  <c r="R347"/>
  <c r="O348"/>
  <c r="Q348"/>
  <c r="P348"/>
  <c r="R348"/>
  <c r="O349"/>
  <c r="Q349"/>
  <c r="P349"/>
  <c r="R349"/>
  <c r="O350"/>
  <c r="Q350"/>
  <c r="P350"/>
  <c r="R350"/>
  <c r="O351"/>
  <c r="Q351"/>
  <c r="P351"/>
  <c r="R351"/>
  <c r="O352"/>
  <c r="Q352"/>
  <c r="P352"/>
  <c r="R352"/>
  <c r="O353"/>
  <c r="Q353"/>
  <c r="P353"/>
  <c r="R353"/>
  <c r="O354"/>
  <c r="Q354"/>
  <c r="P354"/>
  <c r="R354"/>
  <c r="O355"/>
  <c r="Q355"/>
  <c r="P355"/>
  <c r="R355"/>
  <c r="O356"/>
  <c r="Q356"/>
  <c r="P356"/>
  <c r="R356"/>
  <c r="R331"/>
  <c r="P331"/>
  <c r="Q331"/>
  <c r="O331"/>
  <c r="O267"/>
  <c r="Q267"/>
  <c r="P267"/>
  <c r="R267"/>
  <c r="O268"/>
  <c r="Q268"/>
  <c r="P268"/>
  <c r="R268"/>
  <c r="O269"/>
  <c r="Q269"/>
  <c r="P269"/>
  <c r="R269"/>
  <c r="O270"/>
  <c r="Q270"/>
  <c r="P270"/>
  <c r="R270"/>
  <c r="O271"/>
  <c r="Q271"/>
  <c r="P271"/>
  <c r="R271"/>
  <c r="O272"/>
  <c r="Q272"/>
  <c r="P272"/>
  <c r="R272"/>
  <c r="O273"/>
  <c r="Q273"/>
  <c r="P273"/>
  <c r="R273"/>
  <c r="O274"/>
  <c r="Q274"/>
  <c r="P274"/>
  <c r="R274"/>
  <c r="O275"/>
  <c r="Q275"/>
  <c r="P275"/>
  <c r="R275"/>
  <c r="O276"/>
  <c r="Q276"/>
  <c r="P276"/>
  <c r="R276"/>
  <c r="O277"/>
  <c r="Q277"/>
  <c r="P277"/>
  <c r="R277"/>
  <c r="O278"/>
  <c r="Q278"/>
  <c r="P278"/>
  <c r="R278"/>
  <c r="O279"/>
  <c r="Q279"/>
  <c r="P279"/>
  <c r="R279"/>
  <c r="O280"/>
  <c r="Q280"/>
  <c r="P280"/>
  <c r="R280"/>
  <c r="O281"/>
  <c r="Q281"/>
  <c r="P281"/>
  <c r="R281"/>
  <c r="O282"/>
  <c r="Q282"/>
  <c r="P282"/>
  <c r="R282"/>
  <c r="O283"/>
  <c r="Q283"/>
  <c r="P283"/>
  <c r="R283"/>
  <c r="O284"/>
  <c r="Q284"/>
  <c r="P284"/>
  <c r="R284"/>
  <c r="O285"/>
  <c r="Q285"/>
  <c r="P285"/>
  <c r="R285"/>
  <c r="O286"/>
  <c r="Q286"/>
  <c r="P286"/>
  <c r="R286"/>
  <c r="O287"/>
  <c r="Q287"/>
  <c r="P287"/>
  <c r="R287"/>
  <c r="O288"/>
  <c r="Q288"/>
  <c r="P288"/>
  <c r="R288"/>
  <c r="O289"/>
  <c r="Q289"/>
  <c r="P289"/>
  <c r="R289"/>
  <c r="O290"/>
  <c r="Q290"/>
  <c r="P290"/>
  <c r="R290"/>
  <c r="O291"/>
  <c r="Q291"/>
  <c r="P291"/>
  <c r="R291"/>
  <c r="O292"/>
  <c r="Q292"/>
  <c r="P292"/>
  <c r="R292"/>
  <c r="O293"/>
  <c r="Q293"/>
  <c r="P293"/>
  <c r="R293"/>
  <c r="O294"/>
  <c r="Q294"/>
  <c r="P294"/>
  <c r="R294"/>
  <c r="O295"/>
  <c r="Q295"/>
  <c r="P295"/>
  <c r="R295"/>
  <c r="O296"/>
  <c r="Q296"/>
  <c r="P296"/>
  <c r="R296"/>
  <c r="O297"/>
  <c r="Q297"/>
  <c r="P297"/>
  <c r="R297"/>
  <c r="O298"/>
  <c r="Q298"/>
  <c r="P298"/>
  <c r="R298"/>
  <c r="O299"/>
  <c r="Q299"/>
  <c r="P299"/>
  <c r="R299"/>
  <c r="O300"/>
  <c r="Q300"/>
  <c r="P300"/>
  <c r="R300"/>
  <c r="O301"/>
  <c r="Q301"/>
  <c r="P301"/>
  <c r="R301"/>
  <c r="O302"/>
  <c r="Q302"/>
  <c r="P302"/>
  <c r="R302"/>
  <c r="O303"/>
  <c r="Q303"/>
  <c r="P303"/>
  <c r="R303"/>
  <c r="O304"/>
  <c r="Q304"/>
  <c r="P304"/>
  <c r="R304"/>
  <c r="O305"/>
  <c r="Q305"/>
  <c r="P305"/>
  <c r="R305"/>
  <c r="O306"/>
  <c r="Q306"/>
  <c r="P306"/>
  <c r="R306"/>
  <c r="O307"/>
  <c r="Q307"/>
  <c r="P307"/>
  <c r="R307"/>
  <c r="O308"/>
  <c r="Q308"/>
  <c r="P308"/>
  <c r="R308"/>
  <c r="O309"/>
  <c r="Q309"/>
  <c r="P309"/>
  <c r="R309"/>
  <c r="O310"/>
  <c r="Q310"/>
  <c r="P310"/>
  <c r="R310"/>
  <c r="O311"/>
  <c r="Q311"/>
  <c r="P311"/>
  <c r="R311"/>
  <c r="O312"/>
  <c r="Q312"/>
  <c r="P312"/>
  <c r="R312"/>
  <c r="O313"/>
  <c r="Q313"/>
  <c r="P313"/>
  <c r="R313"/>
  <c r="O314"/>
  <c r="Q314"/>
  <c r="P314"/>
  <c r="R314"/>
  <c r="O315"/>
  <c r="Q315"/>
  <c r="P315"/>
  <c r="R315"/>
  <c r="O316"/>
  <c r="Q316"/>
  <c r="P316"/>
  <c r="R316"/>
  <c r="O317"/>
  <c r="Q317"/>
  <c r="P317"/>
  <c r="R317"/>
  <c r="O318"/>
  <c r="Q318"/>
  <c r="P318"/>
  <c r="R318"/>
  <c r="O319"/>
  <c r="Q319"/>
  <c r="P319"/>
  <c r="R319"/>
  <c r="O320"/>
  <c r="Q320"/>
  <c r="P320"/>
  <c r="R320"/>
  <c r="O321"/>
  <c r="Q321"/>
  <c r="P321"/>
  <c r="R321"/>
  <c r="O322"/>
  <c r="Q322"/>
  <c r="P322"/>
  <c r="R322"/>
  <c r="O323"/>
  <c r="Q323"/>
  <c r="P323"/>
  <c r="R323"/>
  <c r="O324"/>
  <c r="Q324"/>
  <c r="P324"/>
  <c r="R324"/>
  <c r="O325"/>
  <c r="Q325"/>
  <c r="P325"/>
  <c r="R325"/>
  <c r="O326"/>
  <c r="Q326"/>
  <c r="P326"/>
  <c r="R326"/>
  <c r="R266"/>
  <c r="P266"/>
  <c r="Q266"/>
  <c r="O266"/>
  <c r="O208"/>
  <c r="Q208"/>
  <c r="P208"/>
  <c r="R208"/>
  <c r="O209"/>
  <c r="Q209"/>
  <c r="P209"/>
  <c r="R209"/>
  <c r="O210"/>
  <c r="Q210"/>
  <c r="P210"/>
  <c r="R210"/>
  <c r="O211"/>
  <c r="Q211"/>
  <c r="P211"/>
  <c r="R211"/>
  <c r="O212"/>
  <c r="Q212"/>
  <c r="P212"/>
  <c r="R212"/>
  <c r="O213"/>
  <c r="Q213"/>
  <c r="P213"/>
  <c r="R213"/>
  <c r="O214"/>
  <c r="Q214"/>
  <c r="P214"/>
  <c r="R214"/>
  <c r="O215"/>
  <c r="Q215"/>
  <c r="P215"/>
  <c r="R215"/>
  <c r="O216"/>
  <c r="Q216"/>
  <c r="P216"/>
  <c r="R216"/>
  <c r="O217"/>
  <c r="Q217"/>
  <c r="P217"/>
  <c r="R217"/>
  <c r="O218"/>
  <c r="Q218"/>
  <c r="P218"/>
  <c r="R218"/>
  <c r="O219"/>
  <c r="Q219"/>
  <c r="P219"/>
  <c r="R219"/>
  <c r="O220"/>
  <c r="Q220"/>
  <c r="P220"/>
  <c r="R220"/>
  <c r="O221"/>
  <c r="Q221"/>
  <c r="P221"/>
  <c r="R221"/>
  <c r="O222"/>
  <c r="Q222"/>
  <c r="P222"/>
  <c r="R222"/>
  <c r="O223"/>
  <c r="Q223"/>
  <c r="P223"/>
  <c r="R223"/>
  <c r="O224"/>
  <c r="Q224"/>
  <c r="P224"/>
  <c r="R224"/>
  <c r="O225"/>
  <c r="Q225"/>
  <c r="P225"/>
  <c r="R225"/>
  <c r="O226"/>
  <c r="Q226"/>
  <c r="P226"/>
  <c r="R226"/>
  <c r="O227"/>
  <c r="Q227"/>
  <c r="P227"/>
  <c r="R227"/>
  <c r="O228"/>
  <c r="Q228"/>
  <c r="P228"/>
  <c r="R228"/>
  <c r="O229"/>
  <c r="Q229"/>
  <c r="P229"/>
  <c r="R229"/>
  <c r="O230"/>
  <c r="Q230"/>
  <c r="P230"/>
  <c r="R230"/>
  <c r="O231"/>
  <c r="Q231"/>
  <c r="P231"/>
  <c r="R231"/>
  <c r="O232"/>
  <c r="Q232"/>
  <c r="P232"/>
  <c r="R232"/>
  <c r="O233"/>
  <c r="Q233"/>
  <c r="P233"/>
  <c r="R233"/>
  <c r="O234"/>
  <c r="Q234"/>
  <c r="P234"/>
  <c r="R234"/>
  <c r="O235"/>
  <c r="Q235"/>
  <c r="P235"/>
  <c r="R235"/>
  <c r="O236"/>
  <c r="Q236"/>
  <c r="P236"/>
  <c r="R236"/>
  <c r="O237"/>
  <c r="Q237"/>
  <c r="P237"/>
  <c r="R237"/>
  <c r="O238"/>
  <c r="Q238"/>
  <c r="P238"/>
  <c r="R238"/>
  <c r="O239"/>
  <c r="Q239"/>
  <c r="P239"/>
  <c r="R239"/>
  <c r="O240"/>
  <c r="Q240"/>
  <c r="P240"/>
  <c r="R240"/>
  <c r="O241"/>
  <c r="Q241"/>
  <c r="P241"/>
  <c r="R241"/>
  <c r="O242"/>
  <c r="Q242"/>
  <c r="P242"/>
  <c r="R242"/>
  <c r="O243"/>
  <c r="Q243"/>
  <c r="P243"/>
  <c r="R243"/>
  <c r="O244"/>
  <c r="Q244"/>
  <c r="P244"/>
  <c r="R244"/>
  <c r="O245"/>
  <c r="Q245"/>
  <c r="P245"/>
  <c r="R245"/>
  <c r="O246"/>
  <c r="Q246"/>
  <c r="P246"/>
  <c r="R246"/>
  <c r="O247"/>
  <c r="Q247"/>
  <c r="P247"/>
  <c r="R247"/>
  <c r="O248"/>
  <c r="Q248"/>
  <c r="P248"/>
  <c r="R248"/>
  <c r="O249"/>
  <c r="Q249"/>
  <c r="P249"/>
  <c r="R249"/>
  <c r="O250"/>
  <c r="Q250"/>
  <c r="P250"/>
  <c r="R250"/>
  <c r="O251"/>
  <c r="Q251"/>
  <c r="P251"/>
  <c r="R251"/>
  <c r="O252"/>
  <c r="Q252"/>
  <c r="P252"/>
  <c r="R252"/>
  <c r="O253"/>
  <c r="Q253"/>
  <c r="P253"/>
  <c r="R253"/>
  <c r="O254"/>
  <c r="Q254"/>
  <c r="P254"/>
  <c r="R254"/>
  <c r="O255"/>
  <c r="Q255"/>
  <c r="P255"/>
  <c r="R255"/>
  <c r="O256"/>
  <c r="Q256"/>
  <c r="P256"/>
  <c r="R256"/>
  <c r="O257"/>
  <c r="Q257"/>
  <c r="P257"/>
  <c r="R257"/>
  <c r="O258"/>
  <c r="Q258"/>
  <c r="P258"/>
  <c r="R258"/>
  <c r="O259"/>
  <c r="Q259"/>
  <c r="P259"/>
  <c r="R259"/>
  <c r="O260"/>
  <c r="Q260"/>
  <c r="P260"/>
  <c r="R260"/>
  <c r="O261"/>
  <c r="Q261"/>
  <c r="P261"/>
  <c r="R261"/>
  <c r="R197"/>
  <c r="P197"/>
  <c r="Q197"/>
  <c r="O197"/>
  <c r="R196"/>
  <c r="P196"/>
  <c r="Q196"/>
  <c r="O196"/>
  <c r="R195"/>
  <c r="P195"/>
  <c r="Q195"/>
  <c r="O195"/>
  <c r="R207"/>
  <c r="P207"/>
  <c r="Q207"/>
  <c r="O207"/>
  <c r="R206"/>
  <c r="P206"/>
  <c r="Q206"/>
  <c r="O206"/>
  <c r="R205"/>
  <c r="P205"/>
  <c r="Q205"/>
  <c r="O205"/>
  <c r="R204"/>
  <c r="P204"/>
  <c r="Q204"/>
  <c r="O204"/>
  <c r="R203"/>
  <c r="P203"/>
  <c r="Q203"/>
  <c r="O203"/>
  <c r="R202"/>
  <c r="P202"/>
  <c r="Q202"/>
  <c r="O202"/>
  <c r="O186"/>
  <c r="Q186"/>
  <c r="P186"/>
  <c r="R186"/>
  <c r="O187"/>
  <c r="Q187"/>
  <c r="P187"/>
  <c r="R187"/>
  <c r="O188"/>
  <c r="Q188"/>
  <c r="P188"/>
  <c r="R188"/>
  <c r="O189"/>
  <c r="Q189"/>
  <c r="P189"/>
  <c r="R189"/>
  <c r="O190"/>
  <c r="Q190"/>
  <c r="P190"/>
  <c r="R190"/>
  <c r="R185"/>
  <c r="P185"/>
  <c r="Q185"/>
  <c r="O185"/>
  <c r="R171"/>
  <c r="P171"/>
  <c r="Q171"/>
  <c r="O171"/>
  <c r="O181"/>
  <c r="Q181"/>
  <c r="P181"/>
  <c r="R181"/>
  <c r="R180"/>
  <c r="P180"/>
  <c r="Q180"/>
  <c r="O180"/>
  <c r="R179"/>
  <c r="P179"/>
  <c r="Q179"/>
  <c r="O179"/>
  <c r="R178"/>
  <c r="P178"/>
  <c r="Q178"/>
  <c r="O178"/>
  <c r="R177"/>
  <c r="P177"/>
  <c r="Q177"/>
  <c r="O177"/>
  <c r="R176"/>
  <c r="P176"/>
  <c r="Q176"/>
  <c r="O176"/>
  <c r="R175"/>
  <c r="P175"/>
  <c r="Q175"/>
  <c r="O175"/>
  <c r="O163"/>
  <c r="Q163"/>
  <c r="P163"/>
  <c r="R163"/>
  <c r="O164"/>
  <c r="Q164"/>
  <c r="P164"/>
  <c r="R164"/>
  <c r="O165"/>
  <c r="Q165"/>
  <c r="P165"/>
  <c r="R165"/>
  <c r="O166"/>
  <c r="Q166"/>
  <c r="P166"/>
  <c r="R166"/>
  <c r="O167"/>
  <c r="Q167"/>
  <c r="P167"/>
  <c r="R167"/>
  <c r="R162"/>
  <c r="P162"/>
  <c r="Q162"/>
  <c r="O162"/>
  <c r="R158"/>
  <c r="P158"/>
  <c r="Q158"/>
  <c r="O158"/>
  <c r="R154"/>
  <c r="P154"/>
  <c r="Q154"/>
  <c r="O154"/>
  <c r="O143"/>
  <c r="Q143"/>
  <c r="P143"/>
  <c r="R143"/>
  <c r="O144"/>
  <c r="Q144"/>
  <c r="P144"/>
  <c r="R144"/>
  <c r="O145"/>
  <c r="Q145"/>
  <c r="P145"/>
  <c r="R145"/>
  <c r="O146"/>
  <c r="Q146"/>
  <c r="P146"/>
  <c r="R146"/>
  <c r="O147"/>
  <c r="Q147"/>
  <c r="P147"/>
  <c r="R147"/>
  <c r="O148"/>
  <c r="Q148"/>
  <c r="P148"/>
  <c r="R148"/>
  <c r="O149"/>
  <c r="Q149"/>
  <c r="P149"/>
  <c r="R149"/>
  <c r="O150"/>
  <c r="Q150"/>
  <c r="P150"/>
  <c r="R150"/>
  <c r="R142"/>
  <c r="P142"/>
  <c r="Q142"/>
  <c r="O142"/>
  <c r="R141"/>
  <c r="P141"/>
  <c r="Q141"/>
  <c r="O141"/>
  <c r="R140"/>
  <c r="P140"/>
  <c r="Q140"/>
  <c r="O140"/>
  <c r="R139"/>
  <c r="P139"/>
  <c r="Q139"/>
  <c r="O139"/>
  <c r="R109"/>
  <c r="P109"/>
  <c r="Q109"/>
  <c r="O109"/>
  <c r="R115"/>
  <c r="P115"/>
  <c r="Q115"/>
  <c r="O115"/>
  <c r="R114"/>
  <c r="P114"/>
  <c r="Q114"/>
  <c r="O114"/>
  <c r="R113"/>
  <c r="P113"/>
  <c r="Q113"/>
  <c r="O113"/>
  <c r="R120"/>
  <c r="P120"/>
  <c r="Q120"/>
  <c r="O120"/>
  <c r="R119"/>
  <c r="P119"/>
  <c r="Q119"/>
  <c r="O119"/>
  <c r="R127"/>
  <c r="P127"/>
  <c r="Q127"/>
  <c r="O127"/>
  <c r="R126"/>
  <c r="P126"/>
  <c r="Q126"/>
  <c r="O126"/>
  <c r="R125"/>
  <c r="P125"/>
  <c r="Q125"/>
  <c r="O125"/>
  <c r="R124"/>
  <c r="P124"/>
  <c r="Q124"/>
  <c r="O124"/>
  <c r="O99"/>
  <c r="Q99"/>
  <c r="P99"/>
  <c r="R99"/>
  <c r="O100"/>
  <c r="Q100"/>
  <c r="P100"/>
  <c r="R100"/>
  <c r="O101"/>
  <c r="Q101"/>
  <c r="P101"/>
  <c r="R101"/>
  <c r="O102"/>
  <c r="Q102"/>
  <c r="P102"/>
  <c r="R102"/>
  <c r="O103"/>
  <c r="Q103"/>
  <c r="P103"/>
  <c r="R103"/>
  <c r="O104"/>
  <c r="Q104"/>
  <c r="P104"/>
  <c r="R104"/>
  <c r="O105"/>
  <c r="Q105"/>
  <c r="P105"/>
  <c r="R105"/>
  <c r="R98"/>
  <c r="P98"/>
  <c r="Q98"/>
  <c r="O98"/>
  <c r="R93"/>
  <c r="P93"/>
  <c r="Q93"/>
  <c r="O93"/>
  <c r="R92"/>
  <c r="P92"/>
  <c r="Q92"/>
  <c r="O92"/>
  <c r="R88"/>
  <c r="P88"/>
  <c r="Q88"/>
  <c r="O88"/>
  <c r="R84"/>
  <c r="P84"/>
  <c r="Q84"/>
  <c r="O84"/>
  <c r="R83"/>
  <c r="P83"/>
  <c r="Q83"/>
  <c r="O83"/>
  <c r="R82"/>
  <c r="P82"/>
  <c r="Q82"/>
  <c r="O82"/>
  <c r="O36"/>
  <c r="Q36"/>
  <c r="P36"/>
  <c r="R36"/>
  <c r="O37"/>
  <c r="Q37"/>
  <c r="P37"/>
  <c r="R37"/>
  <c r="O38"/>
  <c r="Q38"/>
  <c r="P38"/>
  <c r="R38"/>
  <c r="O39"/>
  <c r="Q39"/>
  <c r="P39"/>
  <c r="R39"/>
  <c r="R78"/>
  <c r="P78"/>
  <c r="Q78"/>
  <c r="O78"/>
  <c r="R77"/>
  <c r="P77"/>
  <c r="Q77"/>
  <c r="O77"/>
  <c r="R73"/>
  <c r="P73"/>
  <c r="Q73"/>
  <c r="O73"/>
  <c r="R69"/>
  <c r="P69"/>
  <c r="Q69"/>
  <c r="O69"/>
  <c r="R65"/>
  <c r="P65"/>
  <c r="Q65"/>
  <c r="O65"/>
  <c r="R64"/>
  <c r="P64"/>
  <c r="Q64"/>
  <c r="O64"/>
  <c r="R63"/>
  <c r="P63"/>
  <c r="Q63"/>
  <c r="O63"/>
  <c r="R62"/>
  <c r="P62"/>
  <c r="Q62"/>
  <c r="O62"/>
  <c r="R2"/>
  <c r="P2"/>
  <c r="Q2"/>
  <c r="O2"/>
  <c r="R53"/>
  <c r="P53"/>
  <c r="Q53"/>
  <c r="O53"/>
  <c r="R49"/>
  <c r="P49"/>
  <c r="Q49"/>
  <c r="O49"/>
  <c r="R45"/>
  <c r="P45"/>
  <c r="Q45"/>
  <c r="O45"/>
  <c r="R44"/>
  <c r="P44"/>
  <c r="Q44"/>
  <c r="O44"/>
  <c r="R43"/>
  <c r="P43"/>
  <c r="Q43"/>
  <c r="O43"/>
  <c r="R32"/>
  <c r="P32"/>
  <c r="Q32"/>
  <c r="O32"/>
  <c r="R31"/>
  <c r="P31"/>
  <c r="Q31"/>
  <c r="O31"/>
  <c r="R30"/>
  <c r="P30"/>
  <c r="Q30"/>
  <c r="O30"/>
  <c r="R29"/>
  <c r="P29"/>
  <c r="Q29"/>
  <c r="O29"/>
  <c r="O21"/>
  <c r="Q21"/>
  <c r="P21"/>
  <c r="R21"/>
  <c r="O22"/>
  <c r="Q22"/>
  <c r="P22"/>
  <c r="R22"/>
  <c r="O23"/>
  <c r="Q23"/>
  <c r="P23"/>
  <c r="R23"/>
  <c r="O24"/>
  <c r="Q24"/>
  <c r="P24"/>
  <c r="R24"/>
  <c r="O25"/>
  <c r="Q25"/>
  <c r="P25"/>
  <c r="R25"/>
  <c r="R20"/>
  <c r="P20"/>
  <c r="Q20"/>
  <c r="O20"/>
  <c r="O64" i="28"/>
  <c r="Q64"/>
  <c r="P64"/>
  <c r="R64"/>
  <c r="O65"/>
  <c r="Q65"/>
  <c r="P65"/>
  <c r="R65"/>
  <c r="O66"/>
  <c r="Q66"/>
  <c r="P66"/>
  <c r="R66"/>
  <c r="O67"/>
  <c r="Q67"/>
  <c r="P67"/>
  <c r="R67"/>
  <c r="O68"/>
  <c r="Q68"/>
  <c r="P68"/>
  <c r="R68"/>
  <c r="O69"/>
  <c r="Q69"/>
  <c r="P69"/>
  <c r="R69"/>
  <c r="O70"/>
  <c r="Q70"/>
  <c r="P70"/>
  <c r="R70"/>
  <c r="O71"/>
  <c r="Q71"/>
  <c r="P71"/>
  <c r="R71"/>
  <c r="O72"/>
  <c r="Q72"/>
  <c r="P72"/>
  <c r="R72"/>
  <c r="O73"/>
  <c r="Q73"/>
  <c r="P73"/>
  <c r="R73"/>
  <c r="O74"/>
  <c r="Q74"/>
  <c r="P74"/>
  <c r="R74"/>
  <c r="O75"/>
  <c r="Q75"/>
  <c r="P75"/>
  <c r="R75"/>
  <c r="O76"/>
  <c r="Q76"/>
  <c r="P76"/>
  <c r="R76"/>
  <c r="O77"/>
  <c r="Q77"/>
  <c r="P77"/>
  <c r="R77"/>
  <c r="O78"/>
  <c r="Q78"/>
  <c r="P78"/>
  <c r="R78"/>
  <c r="O79"/>
  <c r="Q79"/>
  <c r="P79"/>
  <c r="R79"/>
  <c r="O80"/>
  <c r="Q80"/>
  <c r="P80"/>
  <c r="R80"/>
  <c r="O81"/>
  <c r="Q81"/>
  <c r="P81"/>
  <c r="R81"/>
  <c r="O82"/>
  <c r="Q82"/>
  <c r="P82"/>
  <c r="R82"/>
  <c r="O83"/>
  <c r="Q83"/>
  <c r="P83"/>
  <c r="R83"/>
  <c r="O84"/>
  <c r="Q84"/>
  <c r="P84"/>
  <c r="R84"/>
  <c r="O85"/>
  <c r="Q85"/>
  <c r="P85"/>
  <c r="R85"/>
  <c r="O86"/>
  <c r="Q86"/>
  <c r="P86"/>
  <c r="R86"/>
  <c r="O87"/>
  <c r="Q87"/>
  <c r="P87"/>
  <c r="R87"/>
  <c r="O88"/>
  <c r="Q88"/>
  <c r="P88"/>
  <c r="R88"/>
  <c r="O89"/>
  <c r="Q89"/>
  <c r="P89"/>
  <c r="R89"/>
  <c r="O90"/>
  <c r="Q90"/>
  <c r="P90"/>
  <c r="R90"/>
  <c r="O91"/>
  <c r="Q91"/>
  <c r="P91"/>
  <c r="R91"/>
  <c r="O92"/>
  <c r="Q92"/>
  <c r="P92"/>
  <c r="R92"/>
  <c r="O93"/>
  <c r="Q93"/>
  <c r="P93"/>
  <c r="R93"/>
  <c r="O94"/>
  <c r="Q94"/>
  <c r="P94"/>
  <c r="R94"/>
  <c r="O95"/>
  <c r="Q95"/>
  <c r="P95"/>
  <c r="R95"/>
  <c r="O96"/>
  <c r="Q96"/>
  <c r="P96"/>
  <c r="R96"/>
  <c r="O97"/>
  <c r="Q97"/>
  <c r="P97"/>
  <c r="R97"/>
  <c r="O98"/>
  <c r="Q98"/>
  <c r="P98"/>
  <c r="R98"/>
  <c r="O99"/>
  <c r="Q99"/>
  <c r="P99"/>
  <c r="R99"/>
  <c r="O100"/>
  <c r="Q100"/>
  <c r="P100"/>
  <c r="R100"/>
  <c r="O101"/>
  <c r="Q101"/>
  <c r="P101"/>
  <c r="R101"/>
  <c r="O102"/>
  <c r="Q102"/>
  <c r="P102"/>
  <c r="R102"/>
  <c r="O103"/>
  <c r="Q103"/>
  <c r="P103"/>
  <c r="R103"/>
  <c r="O104"/>
  <c r="Q104"/>
  <c r="P104"/>
  <c r="R104"/>
  <c r="O105"/>
  <c r="Q105"/>
  <c r="P105"/>
  <c r="R105"/>
  <c r="O106"/>
  <c r="Q106"/>
  <c r="P106"/>
  <c r="R106"/>
  <c r="O107"/>
  <c r="Q107"/>
  <c r="P107"/>
  <c r="R107"/>
  <c r="O108"/>
  <c r="Q108"/>
  <c r="P108"/>
  <c r="R108"/>
  <c r="O109"/>
  <c r="Q109"/>
  <c r="P109"/>
  <c r="R109"/>
  <c r="O110"/>
  <c r="Q110"/>
  <c r="P110"/>
  <c r="R110"/>
  <c r="O111"/>
  <c r="Q111"/>
  <c r="P111"/>
  <c r="R111"/>
  <c r="O112"/>
  <c r="Q112"/>
  <c r="P112"/>
  <c r="R112"/>
  <c r="O113"/>
  <c r="Q113"/>
  <c r="P113"/>
  <c r="R113"/>
  <c r="O114"/>
  <c r="Q114"/>
  <c r="P114"/>
  <c r="R114"/>
  <c r="O115"/>
  <c r="Q115"/>
  <c r="P115"/>
  <c r="R115"/>
  <c r="O116"/>
  <c r="Q116"/>
  <c r="P116"/>
  <c r="R116"/>
  <c r="O117"/>
  <c r="Q117"/>
  <c r="P117"/>
  <c r="R117"/>
  <c r="O118"/>
  <c r="Q118"/>
  <c r="P118"/>
  <c r="R118"/>
  <c r="O119"/>
  <c r="Q119"/>
  <c r="P119"/>
  <c r="R119"/>
  <c r="O120"/>
  <c r="Q120"/>
  <c r="P120"/>
  <c r="R120"/>
  <c r="O121"/>
  <c r="Q121"/>
  <c r="P121"/>
  <c r="R121"/>
  <c r="O122"/>
  <c r="Q122"/>
  <c r="P122"/>
  <c r="R122"/>
  <c r="O123"/>
  <c r="Q123"/>
  <c r="P123"/>
  <c r="R123"/>
  <c r="O124"/>
  <c r="Q124"/>
  <c r="P124"/>
  <c r="R124"/>
  <c r="O125"/>
  <c r="Q125"/>
  <c r="P125"/>
  <c r="R125"/>
  <c r="O126"/>
  <c r="Q126"/>
  <c r="P126"/>
  <c r="R126"/>
  <c r="O127"/>
  <c r="Q127"/>
  <c r="P127"/>
  <c r="R127"/>
  <c r="O128"/>
  <c r="Q128"/>
  <c r="P128"/>
  <c r="R128"/>
  <c r="O129"/>
  <c r="Q129"/>
  <c r="P129"/>
  <c r="R129"/>
  <c r="O130"/>
  <c r="Q130"/>
  <c r="P130"/>
  <c r="R130"/>
  <c r="O131"/>
  <c r="Q131"/>
  <c r="P131"/>
  <c r="R131"/>
  <c r="O132"/>
  <c r="Q132"/>
  <c r="P132"/>
  <c r="R132"/>
  <c r="O133"/>
  <c r="Q133"/>
  <c r="P133"/>
  <c r="R133"/>
  <c r="O134"/>
  <c r="Q134"/>
  <c r="P134"/>
  <c r="R134"/>
  <c r="O135"/>
  <c r="Q135"/>
  <c r="P135"/>
  <c r="R135"/>
  <c r="O136"/>
  <c r="Q136"/>
  <c r="P136"/>
  <c r="R136"/>
  <c r="O137"/>
  <c r="Q137"/>
  <c r="P137"/>
  <c r="R137"/>
  <c r="O138"/>
  <c r="Q138"/>
  <c r="P138"/>
  <c r="R138"/>
  <c r="O139"/>
  <c r="Q139"/>
  <c r="P139"/>
  <c r="R139"/>
  <c r="O140"/>
  <c r="Q140"/>
  <c r="P140"/>
  <c r="R140"/>
  <c r="O141"/>
  <c r="Q141"/>
  <c r="P141"/>
  <c r="R141"/>
  <c r="O142"/>
  <c r="Q142"/>
  <c r="P142"/>
  <c r="R142"/>
  <c r="O143"/>
  <c r="Q143"/>
  <c r="P143"/>
  <c r="R143"/>
  <c r="O144"/>
  <c r="Q144"/>
  <c r="P144"/>
  <c r="R144"/>
  <c r="O145"/>
  <c r="Q145"/>
  <c r="P145"/>
  <c r="R145"/>
  <c r="O146"/>
  <c r="Q146"/>
  <c r="P146"/>
  <c r="R146"/>
  <c r="O147"/>
  <c r="Q147"/>
  <c r="P147"/>
  <c r="R147"/>
  <c r="O148"/>
  <c r="Q148"/>
  <c r="P148"/>
  <c r="R148"/>
  <c r="O149"/>
  <c r="Q149"/>
  <c r="P149"/>
  <c r="R149"/>
  <c r="O150"/>
  <c r="Q150"/>
  <c r="P150"/>
  <c r="R150"/>
  <c r="O151"/>
  <c r="Q151"/>
  <c r="P151"/>
  <c r="R151"/>
  <c r="O152"/>
  <c r="Q152"/>
  <c r="P152"/>
  <c r="R152"/>
  <c r="O153"/>
  <c r="Q153"/>
  <c r="P153"/>
  <c r="R153"/>
  <c r="O154"/>
  <c r="Q154"/>
  <c r="P154"/>
  <c r="R154"/>
  <c r="O155"/>
  <c r="Q155"/>
  <c r="P155"/>
  <c r="R155"/>
  <c r="O156"/>
  <c r="Q156"/>
  <c r="P156"/>
  <c r="R156"/>
  <c r="O157"/>
  <c r="Q157"/>
  <c r="P157"/>
  <c r="R157"/>
  <c r="O158"/>
  <c r="Q158"/>
  <c r="P158"/>
  <c r="R158"/>
  <c r="O159"/>
  <c r="Q159"/>
  <c r="P159"/>
  <c r="R159"/>
  <c r="O160"/>
  <c r="Q160"/>
  <c r="P160"/>
  <c r="R160"/>
  <c r="O161"/>
  <c r="Q161"/>
  <c r="P161"/>
  <c r="R161"/>
  <c r="O162"/>
  <c r="Q162"/>
  <c r="P162"/>
  <c r="R162"/>
  <c r="O163"/>
  <c r="Q163"/>
  <c r="P163"/>
  <c r="R163"/>
  <c r="O164"/>
  <c r="Q164"/>
  <c r="P164"/>
  <c r="R164"/>
  <c r="O165"/>
  <c r="Q165"/>
  <c r="P165"/>
  <c r="R165"/>
  <c r="O166"/>
  <c r="Q166"/>
  <c r="P166"/>
  <c r="R166"/>
  <c r="O167"/>
  <c r="Q167"/>
  <c r="P167"/>
  <c r="R167"/>
  <c r="O168"/>
  <c r="Q168"/>
  <c r="P168"/>
  <c r="R168"/>
  <c r="O169"/>
  <c r="Q169"/>
  <c r="P169"/>
  <c r="R169"/>
  <c r="O170"/>
  <c r="Q170"/>
  <c r="P170"/>
  <c r="R170"/>
  <c r="O171"/>
  <c r="Q171"/>
  <c r="P171"/>
  <c r="R171"/>
  <c r="O172"/>
  <c r="Q172"/>
  <c r="P172"/>
  <c r="R172"/>
  <c r="O173"/>
  <c r="Q173"/>
  <c r="P173"/>
  <c r="R173"/>
  <c r="O174"/>
  <c r="Q174"/>
  <c r="P174"/>
  <c r="R174"/>
  <c r="O175"/>
  <c r="Q175"/>
  <c r="P175"/>
  <c r="R175"/>
  <c r="O176"/>
  <c r="Q176"/>
  <c r="P176"/>
  <c r="R176"/>
  <c r="O177"/>
  <c r="Q177"/>
  <c r="P177"/>
  <c r="R177"/>
  <c r="O178"/>
  <c r="Q178"/>
  <c r="P178"/>
  <c r="R178"/>
  <c r="O179"/>
  <c r="Q179"/>
  <c r="P179"/>
  <c r="R179"/>
  <c r="O180"/>
  <c r="Q180"/>
  <c r="P180"/>
  <c r="R180"/>
  <c r="O181"/>
  <c r="Q181"/>
  <c r="P181"/>
  <c r="R181"/>
  <c r="O182"/>
  <c r="Q182"/>
  <c r="P182"/>
  <c r="R182"/>
  <c r="O183"/>
  <c r="Q183"/>
  <c r="P183"/>
  <c r="R183"/>
  <c r="O184"/>
  <c r="Q184"/>
  <c r="P184"/>
  <c r="R184"/>
  <c r="O185"/>
  <c r="Q185"/>
  <c r="P185"/>
  <c r="R185"/>
  <c r="O186"/>
  <c r="Q186"/>
  <c r="P186"/>
  <c r="R186"/>
  <c r="O187"/>
  <c r="Q187"/>
  <c r="P187"/>
  <c r="R187"/>
  <c r="O188"/>
  <c r="Q188"/>
  <c r="P188"/>
  <c r="R188"/>
  <c r="O189"/>
  <c r="Q189"/>
  <c r="P189"/>
  <c r="R189"/>
  <c r="O190"/>
  <c r="Q190"/>
  <c r="P190"/>
  <c r="R190"/>
  <c r="O191"/>
  <c r="Q191"/>
  <c r="P191"/>
  <c r="R191"/>
  <c r="O192"/>
  <c r="Q192"/>
  <c r="P192"/>
  <c r="R192"/>
  <c r="O193"/>
  <c r="Q193"/>
  <c r="P193"/>
  <c r="R193"/>
  <c r="O194"/>
  <c r="Q194"/>
  <c r="P194"/>
  <c r="R194"/>
  <c r="O195"/>
  <c r="Q195"/>
  <c r="P195"/>
  <c r="R195"/>
  <c r="O196"/>
  <c r="Q196"/>
  <c r="P196"/>
  <c r="R196"/>
  <c r="O197"/>
  <c r="Q197"/>
  <c r="P197"/>
  <c r="R197"/>
  <c r="O198"/>
  <c r="Q198"/>
  <c r="P198"/>
  <c r="R198"/>
  <c r="O199"/>
  <c r="Q199"/>
  <c r="P199"/>
  <c r="R199"/>
  <c r="O200"/>
  <c r="Q200"/>
  <c r="P200"/>
  <c r="R200"/>
  <c r="O201"/>
  <c r="Q201"/>
  <c r="P201"/>
  <c r="R201"/>
  <c r="O202"/>
  <c r="Q202"/>
  <c r="P202"/>
  <c r="R202"/>
  <c r="O203"/>
  <c r="Q203"/>
  <c r="P203"/>
  <c r="R203"/>
  <c r="O204"/>
  <c r="Q204"/>
  <c r="P204"/>
  <c r="R204"/>
  <c r="O205"/>
  <c r="Q205"/>
  <c r="P205"/>
  <c r="R205"/>
  <c r="O206"/>
  <c r="Q206"/>
  <c r="P206"/>
  <c r="R206"/>
  <c r="O207"/>
  <c r="Q207"/>
  <c r="P207"/>
  <c r="R207"/>
  <c r="O208"/>
  <c r="Q208"/>
  <c r="P208"/>
  <c r="R208"/>
  <c r="O209"/>
  <c r="Q209"/>
  <c r="P209"/>
  <c r="R209"/>
  <c r="O210"/>
  <c r="Q210"/>
  <c r="P210"/>
  <c r="R210"/>
  <c r="O211"/>
  <c r="Q211"/>
  <c r="P211"/>
  <c r="R211"/>
  <c r="O212"/>
  <c r="Q212"/>
  <c r="P212"/>
  <c r="R212"/>
  <c r="O213"/>
  <c r="Q213"/>
  <c r="P213"/>
  <c r="R213"/>
  <c r="O214"/>
  <c r="Q214"/>
  <c r="P214"/>
  <c r="R214"/>
  <c r="O215"/>
  <c r="Q215"/>
  <c r="P215"/>
  <c r="R215"/>
  <c r="O216"/>
  <c r="Q216"/>
  <c r="P216"/>
  <c r="R216"/>
  <c r="O217"/>
  <c r="Q217"/>
  <c r="P217"/>
  <c r="R217"/>
  <c r="O218"/>
  <c r="Q218"/>
  <c r="P218"/>
  <c r="R218"/>
  <c r="O219"/>
  <c r="Q219"/>
  <c r="P219"/>
  <c r="R219"/>
  <c r="O220"/>
  <c r="Q220"/>
  <c r="P220"/>
  <c r="R220"/>
  <c r="O221"/>
  <c r="Q221"/>
  <c r="P221"/>
  <c r="R221"/>
  <c r="O222"/>
  <c r="Q222"/>
  <c r="P222"/>
  <c r="R222"/>
  <c r="O223"/>
  <c r="Q223"/>
  <c r="P223"/>
  <c r="R223"/>
  <c r="O224"/>
  <c r="Q224"/>
  <c r="P224"/>
  <c r="R224"/>
  <c r="O225"/>
  <c r="Q225"/>
  <c r="P225"/>
  <c r="R225"/>
  <c r="O226"/>
  <c r="Q226"/>
  <c r="P226"/>
  <c r="R226"/>
  <c r="O227"/>
  <c r="Q227"/>
  <c r="P227"/>
  <c r="R227"/>
  <c r="O228"/>
  <c r="Q228"/>
  <c r="P228"/>
  <c r="R228"/>
  <c r="O229"/>
  <c r="Q229"/>
  <c r="P229"/>
  <c r="R229"/>
  <c r="O230"/>
  <c r="Q230"/>
  <c r="P230"/>
  <c r="R230"/>
  <c r="O231"/>
  <c r="Q231"/>
  <c r="P231"/>
  <c r="R231"/>
  <c r="O232"/>
  <c r="Q232"/>
  <c r="P232"/>
  <c r="R232"/>
  <c r="O233"/>
  <c r="Q233"/>
  <c r="P233"/>
  <c r="R233"/>
  <c r="O234"/>
  <c r="Q234"/>
  <c r="P234"/>
  <c r="R234"/>
  <c r="O235"/>
  <c r="Q235"/>
  <c r="P235"/>
  <c r="R235"/>
  <c r="O236"/>
  <c r="Q236"/>
  <c r="P236"/>
  <c r="R236"/>
  <c r="O237"/>
  <c r="Q237"/>
  <c r="P237"/>
  <c r="R237"/>
  <c r="O238"/>
  <c r="Q238"/>
  <c r="P238"/>
  <c r="R238"/>
  <c r="O239"/>
  <c r="Q239"/>
  <c r="P239"/>
  <c r="R239"/>
  <c r="O240"/>
  <c r="Q240"/>
  <c r="P240"/>
  <c r="R240"/>
  <c r="O241"/>
  <c r="Q241"/>
  <c r="P241"/>
  <c r="R241"/>
  <c r="O242"/>
  <c r="Q242"/>
  <c r="P242"/>
  <c r="R242"/>
  <c r="O243"/>
  <c r="Q243"/>
  <c r="P243"/>
  <c r="R243"/>
  <c r="O244"/>
  <c r="Q244"/>
  <c r="P244"/>
  <c r="R244"/>
  <c r="O245"/>
  <c r="Q245"/>
  <c r="P245"/>
  <c r="R245"/>
  <c r="O246"/>
  <c r="Q246"/>
  <c r="P246"/>
  <c r="R246"/>
  <c r="O247"/>
  <c r="Q247"/>
  <c r="P247"/>
  <c r="R247"/>
  <c r="O248"/>
  <c r="Q248"/>
  <c r="P248"/>
  <c r="R248"/>
  <c r="O249"/>
  <c r="Q249"/>
  <c r="P249"/>
  <c r="R249"/>
  <c r="O250"/>
  <c r="Q250"/>
  <c r="P250"/>
  <c r="R250"/>
  <c r="O251"/>
  <c r="Q251"/>
  <c r="P251"/>
  <c r="R251"/>
  <c r="O252"/>
  <c r="Q252"/>
  <c r="P252"/>
  <c r="R252"/>
  <c r="O253"/>
  <c r="Q253"/>
  <c r="P253"/>
  <c r="R253"/>
  <c r="O254"/>
  <c r="Q254"/>
  <c r="P254"/>
  <c r="R254"/>
  <c r="O255"/>
  <c r="Q255"/>
  <c r="P255"/>
  <c r="R255"/>
  <c r="O256"/>
  <c r="Q256"/>
  <c r="P256"/>
  <c r="R256"/>
  <c r="O257"/>
  <c r="Q257"/>
  <c r="P257"/>
  <c r="R257"/>
  <c r="O258"/>
  <c r="Q258"/>
  <c r="P258"/>
  <c r="R258"/>
  <c r="O259"/>
  <c r="Q259"/>
  <c r="P259"/>
  <c r="R259"/>
  <c r="O260"/>
  <c r="Q260"/>
  <c r="P260"/>
  <c r="R260"/>
  <c r="O261"/>
  <c r="Q261"/>
  <c r="P261"/>
  <c r="R261"/>
  <c r="O262"/>
  <c r="Q262"/>
  <c r="P262"/>
  <c r="R262"/>
  <c r="O263"/>
  <c r="Q263"/>
  <c r="P263"/>
  <c r="R263"/>
  <c r="O264"/>
  <c r="Q264"/>
  <c r="P264"/>
  <c r="R264"/>
  <c r="O265"/>
  <c r="Q265"/>
  <c r="P265"/>
  <c r="R265"/>
  <c r="O266"/>
  <c r="Q266"/>
  <c r="P266"/>
  <c r="R266"/>
  <c r="O267"/>
  <c r="Q267"/>
  <c r="P267"/>
  <c r="R267"/>
  <c r="O268"/>
  <c r="Q268"/>
  <c r="P268"/>
  <c r="R268"/>
  <c r="O269"/>
  <c r="Q269"/>
  <c r="P269"/>
  <c r="R269"/>
  <c r="O270"/>
  <c r="Q270"/>
  <c r="P270"/>
  <c r="R270"/>
  <c r="O271"/>
  <c r="Q271"/>
  <c r="P271"/>
  <c r="R271"/>
  <c r="O272"/>
  <c r="Q272"/>
  <c r="P272"/>
  <c r="R272"/>
  <c r="O273"/>
  <c r="Q273"/>
  <c r="P273"/>
  <c r="R273"/>
  <c r="O274"/>
  <c r="Q274"/>
  <c r="P274"/>
  <c r="R274"/>
  <c r="O275"/>
  <c r="Q275"/>
  <c r="P275"/>
  <c r="R275"/>
  <c r="O276"/>
  <c r="Q276"/>
  <c r="P276"/>
  <c r="R276"/>
  <c r="O277"/>
  <c r="Q277"/>
  <c r="P277"/>
  <c r="R277"/>
  <c r="O278"/>
  <c r="Q278"/>
  <c r="P278"/>
  <c r="R278"/>
  <c r="O279"/>
  <c r="Q279"/>
  <c r="P279"/>
  <c r="R279"/>
  <c r="O280"/>
  <c r="Q280"/>
  <c r="P280"/>
  <c r="R280"/>
  <c r="O281"/>
  <c r="Q281"/>
  <c r="P281"/>
  <c r="R281"/>
  <c r="O282"/>
  <c r="Q282"/>
  <c r="P282"/>
  <c r="R282"/>
  <c r="O283"/>
  <c r="Q283"/>
  <c r="P283"/>
  <c r="R283"/>
  <c r="O284"/>
  <c r="Q284"/>
  <c r="P284"/>
  <c r="R284"/>
  <c r="O285"/>
  <c r="Q285"/>
  <c r="P285"/>
  <c r="R285"/>
  <c r="O286"/>
  <c r="Q286"/>
  <c r="P286"/>
  <c r="R286"/>
  <c r="O287"/>
  <c r="Q287"/>
  <c r="P287"/>
  <c r="R287"/>
  <c r="O288"/>
  <c r="Q288"/>
  <c r="P288"/>
  <c r="R288"/>
  <c r="O289"/>
  <c r="Q289"/>
  <c r="P289"/>
  <c r="R289"/>
  <c r="O290"/>
  <c r="Q290"/>
  <c r="P290"/>
  <c r="R290"/>
  <c r="O291"/>
  <c r="Q291"/>
  <c r="P291"/>
  <c r="R291"/>
  <c r="O292"/>
  <c r="Q292"/>
  <c r="P292"/>
  <c r="R292"/>
  <c r="O293"/>
  <c r="Q293"/>
  <c r="P293"/>
  <c r="R293"/>
  <c r="O294"/>
  <c r="Q294"/>
  <c r="P294"/>
  <c r="R294"/>
  <c r="O295"/>
  <c r="Q295"/>
  <c r="P295"/>
  <c r="R295"/>
  <c r="O296"/>
  <c r="Q296"/>
  <c r="P296"/>
  <c r="R296"/>
  <c r="O297"/>
  <c r="Q297"/>
  <c r="P297"/>
  <c r="R297"/>
  <c r="O298"/>
  <c r="Q298"/>
  <c r="P298"/>
  <c r="R298"/>
  <c r="O299"/>
  <c r="Q299"/>
  <c r="P299"/>
  <c r="R299"/>
  <c r="O300"/>
  <c r="Q300"/>
  <c r="P300"/>
  <c r="R300"/>
  <c r="O301"/>
  <c r="Q301"/>
  <c r="P301"/>
  <c r="R301"/>
  <c r="O302"/>
  <c r="Q302"/>
  <c r="P302"/>
  <c r="R302"/>
  <c r="O303"/>
  <c r="Q303"/>
  <c r="P303"/>
  <c r="R303"/>
  <c r="O304"/>
  <c r="Q304"/>
  <c r="P304"/>
  <c r="R304"/>
  <c r="O305"/>
  <c r="Q305"/>
  <c r="P305"/>
  <c r="R305"/>
  <c r="O306"/>
  <c r="Q306"/>
  <c r="P306"/>
  <c r="R306"/>
  <c r="O307"/>
  <c r="Q307"/>
  <c r="P307"/>
  <c r="R307"/>
  <c r="O308"/>
  <c r="Q308"/>
  <c r="P308"/>
  <c r="R308"/>
  <c r="O309"/>
  <c r="Q309"/>
  <c r="P309"/>
  <c r="R309"/>
  <c r="O310"/>
  <c r="Q310"/>
  <c r="P310"/>
  <c r="R310"/>
  <c r="O311"/>
  <c r="Q311"/>
  <c r="P311"/>
  <c r="R311"/>
  <c r="O312"/>
  <c r="Q312"/>
  <c r="P312"/>
  <c r="R312"/>
  <c r="O313"/>
  <c r="Q313"/>
  <c r="P313"/>
  <c r="R313"/>
  <c r="O314"/>
  <c r="Q314"/>
  <c r="P314"/>
  <c r="R314"/>
  <c r="O315"/>
  <c r="Q315"/>
  <c r="P315"/>
  <c r="R315"/>
  <c r="O316"/>
  <c r="Q316"/>
  <c r="P316"/>
  <c r="R316"/>
  <c r="O317"/>
  <c r="Q317"/>
  <c r="P317"/>
  <c r="R317"/>
  <c r="O318"/>
  <c r="Q318"/>
  <c r="P318"/>
  <c r="R318"/>
  <c r="O319"/>
  <c r="Q319"/>
  <c r="P319"/>
  <c r="R319"/>
  <c r="O320"/>
  <c r="Q320"/>
  <c r="P320"/>
  <c r="R320"/>
  <c r="O321"/>
  <c r="Q321"/>
  <c r="P321"/>
  <c r="R321"/>
  <c r="O322"/>
  <c r="Q322"/>
  <c r="P322"/>
  <c r="R322"/>
  <c r="O323"/>
  <c r="Q323"/>
  <c r="P323"/>
  <c r="R323"/>
  <c r="O324"/>
  <c r="Q324"/>
  <c r="P324"/>
  <c r="R324"/>
  <c r="O325"/>
  <c r="Q325"/>
  <c r="P325"/>
  <c r="R325"/>
  <c r="O326"/>
  <c r="Q326"/>
  <c r="P326"/>
  <c r="R326"/>
  <c r="O327"/>
  <c r="Q327"/>
  <c r="P327"/>
  <c r="R327"/>
  <c r="O328"/>
  <c r="Q328"/>
  <c r="P328"/>
  <c r="R328"/>
  <c r="O329"/>
  <c r="Q329"/>
  <c r="P329"/>
  <c r="R329"/>
  <c r="O330"/>
  <c r="Q330"/>
  <c r="P330"/>
  <c r="R330"/>
  <c r="O331"/>
  <c r="Q331"/>
  <c r="P331"/>
  <c r="R331"/>
  <c r="O332"/>
  <c r="Q332"/>
  <c r="P332"/>
  <c r="R332"/>
  <c r="O333"/>
  <c r="Q333"/>
  <c r="P333"/>
  <c r="R333"/>
  <c r="O334"/>
  <c r="Q334"/>
  <c r="P334"/>
  <c r="R334"/>
  <c r="R63"/>
  <c r="P63"/>
  <c r="Q63"/>
  <c r="O63"/>
  <c r="O61"/>
  <c r="Q61"/>
  <c r="P61"/>
  <c r="R61"/>
  <c r="O62"/>
  <c r="Q62"/>
  <c r="P62"/>
  <c r="R62"/>
  <c r="R60"/>
  <c r="P60"/>
  <c r="Q60"/>
  <c r="O60"/>
  <c r="R56"/>
  <c r="P56"/>
  <c r="Q56"/>
  <c r="O56"/>
  <c r="R53"/>
  <c r="P53"/>
  <c r="Q53"/>
  <c r="O53"/>
  <c r="R54"/>
  <c r="P54"/>
  <c r="Q54"/>
  <c r="O54"/>
  <c r="R51"/>
  <c r="P51"/>
  <c r="Q51"/>
  <c r="O51"/>
  <c r="O16"/>
  <c r="Q16"/>
  <c r="P16"/>
  <c r="R16"/>
  <c r="O20"/>
  <c r="Q20"/>
  <c r="P20"/>
  <c r="R20"/>
  <c r="O24"/>
  <c r="Q24"/>
  <c r="P24"/>
  <c r="R24"/>
  <c r="O19"/>
  <c r="Q19"/>
  <c r="P19"/>
  <c r="R19"/>
  <c r="O21"/>
  <c r="Q21"/>
  <c r="P21"/>
  <c r="R21"/>
  <c r="O22"/>
  <c r="Q22"/>
  <c r="P22"/>
  <c r="R22"/>
  <c r="O23"/>
  <c r="Q23"/>
  <c r="P23"/>
  <c r="R23"/>
  <c r="O15"/>
  <c r="Q15"/>
  <c r="P15"/>
  <c r="R15"/>
  <c r="O31"/>
  <c r="Q31"/>
  <c r="P31"/>
  <c r="R31"/>
  <c r="O25"/>
  <c r="Q25"/>
  <c r="P25"/>
  <c r="R25"/>
  <c r="O26"/>
  <c r="Q26"/>
  <c r="P26"/>
  <c r="R26"/>
  <c r="O29"/>
  <c r="Q29"/>
  <c r="P29"/>
  <c r="R29"/>
  <c r="O30"/>
  <c r="Q30"/>
  <c r="P30"/>
  <c r="R30"/>
  <c r="O27"/>
  <c r="Q27"/>
  <c r="P27"/>
  <c r="R27"/>
  <c r="O28"/>
  <c r="Q28"/>
  <c r="P28"/>
  <c r="R28"/>
  <c r="O32"/>
  <c r="Q32"/>
  <c r="P32"/>
  <c r="R32"/>
  <c r="O33"/>
  <c r="Q33"/>
  <c r="P33"/>
  <c r="R33"/>
  <c r="O34"/>
  <c r="Q34"/>
  <c r="P34"/>
  <c r="R34"/>
  <c r="O35"/>
  <c r="Q35"/>
  <c r="P35"/>
  <c r="R35"/>
  <c r="R14"/>
  <c r="P14"/>
  <c r="Q14"/>
  <c r="O14"/>
  <c r="R13"/>
  <c r="P13"/>
  <c r="Q13"/>
  <c r="O13"/>
  <c r="R1825" i="57"/>
  <c r="P1825"/>
  <c r="Q1825"/>
  <c r="O1825"/>
  <c r="R1824"/>
  <c r="P1824"/>
  <c r="Q1824"/>
  <c r="O1824"/>
  <c r="O1820"/>
  <c r="Q1820"/>
  <c r="P1820"/>
  <c r="R1820"/>
  <c r="O1821"/>
  <c r="Q1821"/>
  <c r="P1821"/>
  <c r="R1821"/>
  <c r="R1819"/>
  <c r="P1819"/>
  <c r="Q1819"/>
  <c r="O1819"/>
  <c r="R1818"/>
  <c r="P1818"/>
  <c r="Q1818"/>
  <c r="O1818"/>
  <c r="O1810"/>
  <c r="Q1810"/>
  <c r="P1810"/>
  <c r="R1810"/>
  <c r="O1811"/>
  <c r="Q1811"/>
  <c r="P1811"/>
  <c r="R1811"/>
  <c r="O1812"/>
  <c r="Q1812"/>
  <c r="P1812"/>
  <c r="R1812"/>
  <c r="O1813"/>
  <c r="Q1813"/>
  <c r="P1813"/>
  <c r="R1813"/>
  <c r="O1814"/>
  <c r="Q1814"/>
  <c r="P1814"/>
  <c r="R1814"/>
  <c r="O1815"/>
  <c r="Q1815"/>
  <c r="P1815"/>
  <c r="R1815"/>
  <c r="R1809"/>
  <c r="P1809"/>
  <c r="Q1809"/>
  <c r="O1809"/>
  <c r="R1808"/>
  <c r="P1808"/>
  <c r="Q1808"/>
  <c r="O1808"/>
  <c r="R1807"/>
  <c r="P1807"/>
  <c r="Q1807"/>
  <c r="O1807"/>
  <c r="O1790"/>
  <c r="Q1790"/>
  <c r="P1790"/>
  <c r="R1790"/>
  <c r="O1791"/>
  <c r="Q1791"/>
  <c r="P1791"/>
  <c r="R1791"/>
  <c r="O1792"/>
  <c r="Q1792"/>
  <c r="P1792"/>
  <c r="R1792"/>
  <c r="O1793"/>
  <c r="Q1793"/>
  <c r="P1793"/>
  <c r="R1793"/>
  <c r="O1794"/>
  <c r="Q1794"/>
  <c r="P1794"/>
  <c r="R1794"/>
  <c r="O1795"/>
  <c r="Q1795"/>
  <c r="P1795"/>
  <c r="R1795"/>
  <c r="O1796"/>
  <c r="Q1796"/>
  <c r="P1796"/>
  <c r="R1796"/>
  <c r="O1797"/>
  <c r="Q1797"/>
  <c r="P1797"/>
  <c r="R1797"/>
  <c r="O1798"/>
  <c r="Q1798"/>
  <c r="P1798"/>
  <c r="R1798"/>
  <c r="O1799"/>
  <c r="Q1799"/>
  <c r="P1799"/>
  <c r="R1799"/>
  <c r="O1800"/>
  <c r="Q1800"/>
  <c r="P1800"/>
  <c r="R1800"/>
  <c r="O1801"/>
  <c r="Q1801"/>
  <c r="P1801"/>
  <c r="R1801"/>
  <c r="O1802"/>
  <c r="Q1802"/>
  <c r="P1802"/>
  <c r="R1802"/>
  <c r="O1803"/>
  <c r="Q1803"/>
  <c r="P1803"/>
  <c r="R1803"/>
  <c r="O1804"/>
  <c r="Q1804"/>
  <c r="P1804"/>
  <c r="R1804"/>
  <c r="R1789"/>
  <c r="P1789"/>
  <c r="Q1789"/>
  <c r="O1789"/>
  <c r="R1788"/>
  <c r="P1788"/>
  <c r="Q1788"/>
  <c r="O1788"/>
  <c r="R1787"/>
  <c r="P1787"/>
  <c r="Q1787"/>
  <c r="O1787"/>
  <c r="R1786"/>
  <c r="P1786"/>
  <c r="Q1786"/>
  <c r="O1786"/>
  <c r="R1785"/>
  <c r="P1785"/>
  <c r="Q1785"/>
  <c r="O1785"/>
  <c r="R1784"/>
  <c r="P1784"/>
  <c r="Q1784"/>
  <c r="O1784"/>
  <c r="R1783"/>
  <c r="P1783"/>
  <c r="Q1783"/>
  <c r="O1783"/>
  <c r="R1782"/>
  <c r="P1782"/>
  <c r="Q1782"/>
  <c r="O1782"/>
  <c r="R1781"/>
  <c r="P1781"/>
  <c r="Q1781"/>
  <c r="O1781"/>
  <c r="R1780"/>
  <c r="P1780"/>
  <c r="Q1780"/>
  <c r="O1780"/>
  <c r="O1773"/>
  <c r="Q1773"/>
  <c r="P1773"/>
  <c r="R1773"/>
  <c r="O1774"/>
  <c r="Q1774"/>
  <c r="P1774"/>
  <c r="R1774"/>
  <c r="O1775"/>
  <c r="Q1775"/>
  <c r="P1775"/>
  <c r="R1775"/>
  <c r="O1776"/>
  <c r="Q1776"/>
  <c r="P1776"/>
  <c r="R1776"/>
  <c r="O1777"/>
  <c r="Q1777"/>
  <c r="P1777"/>
  <c r="R1777"/>
  <c r="R1772"/>
  <c r="P1772"/>
  <c r="Q1772"/>
  <c r="O1772"/>
  <c r="R1771"/>
  <c r="P1771"/>
  <c r="Q1771"/>
  <c r="O1771"/>
  <c r="R1770"/>
  <c r="P1770"/>
  <c r="Q1770"/>
  <c r="O1770"/>
  <c r="R1769"/>
  <c r="P1769"/>
  <c r="Q1769"/>
  <c r="O1769"/>
  <c r="R1768"/>
  <c r="P1768"/>
  <c r="Q1768"/>
  <c r="O1768"/>
  <c r="O1704"/>
  <c r="Q1704"/>
  <c r="P1704"/>
  <c r="R1704"/>
  <c r="O1705"/>
  <c r="Q1705"/>
  <c r="P1705"/>
  <c r="R1705"/>
  <c r="O1706"/>
  <c r="Q1706"/>
  <c r="P1706"/>
  <c r="R1706"/>
  <c r="O1707"/>
  <c r="Q1707"/>
  <c r="P1707"/>
  <c r="R1707"/>
  <c r="O1708"/>
  <c r="Q1708"/>
  <c r="P1708"/>
  <c r="R1708"/>
  <c r="O1709"/>
  <c r="Q1709"/>
  <c r="P1709"/>
  <c r="R1709"/>
  <c r="O1710"/>
  <c r="Q1710"/>
  <c r="P1710"/>
  <c r="R1710"/>
  <c r="O1711"/>
  <c r="Q1711"/>
  <c r="P1711"/>
  <c r="R1711"/>
  <c r="O1712"/>
  <c r="Q1712"/>
  <c r="P1712"/>
  <c r="R1712"/>
  <c r="O1713"/>
  <c r="Q1713"/>
  <c r="P1713"/>
  <c r="R1713"/>
  <c r="O1714"/>
  <c r="Q1714"/>
  <c r="P1714"/>
  <c r="R1714"/>
  <c r="O1715"/>
  <c r="Q1715"/>
  <c r="P1715"/>
  <c r="R1715"/>
  <c r="O1716"/>
  <c r="Q1716"/>
  <c r="P1716"/>
  <c r="R1716"/>
  <c r="O1717"/>
  <c r="Q1717"/>
  <c r="P1717"/>
  <c r="R1717"/>
  <c r="O1718"/>
  <c r="Q1718"/>
  <c r="P1718"/>
  <c r="R1718"/>
  <c r="O1719"/>
  <c r="Q1719"/>
  <c r="P1719"/>
  <c r="R1719"/>
  <c r="O1720"/>
  <c r="Q1720"/>
  <c r="P1720"/>
  <c r="R1720"/>
  <c r="O1721"/>
  <c r="Q1721"/>
  <c r="P1721"/>
  <c r="R1721"/>
  <c r="O1722"/>
  <c r="Q1722"/>
  <c r="P1722"/>
  <c r="R1722"/>
  <c r="O1723"/>
  <c r="Q1723"/>
  <c r="P1723"/>
  <c r="R1723"/>
  <c r="O1724"/>
  <c r="Q1724"/>
  <c r="P1724"/>
  <c r="R1724"/>
  <c r="O1725"/>
  <c r="Q1725"/>
  <c r="P1725"/>
  <c r="R1725"/>
  <c r="O1726"/>
  <c r="Q1726"/>
  <c r="P1726"/>
  <c r="R1726"/>
  <c r="O1727"/>
  <c r="Q1727"/>
  <c r="P1727"/>
  <c r="R1727"/>
  <c r="O1728"/>
  <c r="Q1728"/>
  <c r="P1728"/>
  <c r="R1728"/>
  <c r="O1729"/>
  <c r="Q1729"/>
  <c r="P1729"/>
  <c r="R1729"/>
  <c r="O1730"/>
  <c r="Q1730"/>
  <c r="P1730"/>
  <c r="R1730"/>
  <c r="O1731"/>
  <c r="Q1731"/>
  <c r="P1731"/>
  <c r="R1731"/>
  <c r="O1732"/>
  <c r="Q1732"/>
  <c r="P1732"/>
  <c r="R1732"/>
  <c r="O1733"/>
  <c r="Q1733"/>
  <c r="P1733"/>
  <c r="R1733"/>
  <c r="O1734"/>
  <c r="Q1734"/>
  <c r="P1734"/>
  <c r="R1734"/>
  <c r="O1735"/>
  <c r="Q1735"/>
  <c r="P1735"/>
  <c r="R1735"/>
  <c r="O1736"/>
  <c r="Q1736"/>
  <c r="P1736"/>
  <c r="R1736"/>
  <c r="O1737"/>
  <c r="Q1737"/>
  <c r="P1737"/>
  <c r="R1737"/>
  <c r="O1738"/>
  <c r="Q1738"/>
  <c r="P1738"/>
  <c r="R1738"/>
  <c r="O1739"/>
  <c r="Q1739"/>
  <c r="P1739"/>
  <c r="R1739"/>
  <c r="O1740"/>
  <c r="Q1740"/>
  <c r="P1740"/>
  <c r="R1740"/>
  <c r="O1741"/>
  <c r="Q1741"/>
  <c r="P1741"/>
  <c r="R1741"/>
  <c r="O1742"/>
  <c r="Q1742"/>
  <c r="P1742"/>
  <c r="R1742"/>
  <c r="O1743"/>
  <c r="Q1743"/>
  <c r="P1743"/>
  <c r="R1743"/>
  <c r="O1744"/>
  <c r="Q1744"/>
  <c r="P1744"/>
  <c r="R1744"/>
  <c r="O1745"/>
  <c r="Q1745"/>
  <c r="P1745"/>
  <c r="R1745"/>
  <c r="O1746"/>
  <c r="Q1746"/>
  <c r="P1746"/>
  <c r="R1746"/>
  <c r="O1747"/>
  <c r="Q1747"/>
  <c r="P1747"/>
  <c r="R1747"/>
  <c r="O1748"/>
  <c r="Q1748"/>
  <c r="P1748"/>
  <c r="R1748"/>
  <c r="O1749"/>
  <c r="Q1749"/>
  <c r="P1749"/>
  <c r="R1749"/>
  <c r="O1750"/>
  <c r="Q1750"/>
  <c r="P1750"/>
  <c r="R1750"/>
  <c r="O1751"/>
  <c r="Q1751"/>
  <c r="P1751"/>
  <c r="R1751"/>
  <c r="O1752"/>
  <c r="Q1752"/>
  <c r="P1752"/>
  <c r="R1752"/>
  <c r="O1753"/>
  <c r="Q1753"/>
  <c r="P1753"/>
  <c r="R1753"/>
  <c r="O1754"/>
  <c r="Q1754"/>
  <c r="P1754"/>
  <c r="R1754"/>
  <c r="O1755"/>
  <c r="Q1755"/>
  <c r="P1755"/>
  <c r="R1755"/>
  <c r="O1756"/>
  <c r="Q1756"/>
  <c r="P1756"/>
  <c r="R1756"/>
  <c r="O1757"/>
  <c r="Q1757"/>
  <c r="P1757"/>
  <c r="R1757"/>
  <c r="O1758"/>
  <c r="Q1758"/>
  <c r="P1758"/>
  <c r="R1758"/>
  <c r="O1759"/>
  <c r="Q1759"/>
  <c r="P1759"/>
  <c r="R1759"/>
  <c r="O1760"/>
  <c r="Q1760"/>
  <c r="P1760"/>
  <c r="R1760"/>
  <c r="O1761"/>
  <c r="Q1761"/>
  <c r="P1761"/>
  <c r="R1761"/>
  <c r="O1762"/>
  <c r="Q1762"/>
  <c r="P1762"/>
  <c r="R1762"/>
  <c r="O1763"/>
  <c r="Q1763"/>
  <c r="P1763"/>
  <c r="R1763"/>
  <c r="O1764"/>
  <c r="Q1764"/>
  <c r="P1764"/>
  <c r="R1764"/>
  <c r="O1765"/>
  <c r="Q1765"/>
  <c r="P1765"/>
  <c r="R1765"/>
  <c r="O1766"/>
  <c r="Q1766"/>
  <c r="P1766"/>
  <c r="R1766"/>
  <c r="O1767"/>
  <c r="Q1767"/>
  <c r="P1767"/>
  <c r="R1767"/>
  <c r="R1703"/>
  <c r="P1703"/>
  <c r="Q1703"/>
  <c r="O1703"/>
  <c r="R1702"/>
  <c r="P1702"/>
  <c r="Q1702"/>
  <c r="O1702"/>
  <c r="R1701"/>
  <c r="P1701"/>
  <c r="Q1701"/>
  <c r="O1701"/>
  <c r="R1699"/>
  <c r="P1699"/>
  <c r="Q1699"/>
  <c r="O1699"/>
  <c r="R1698"/>
  <c r="P1698"/>
  <c r="Q1698"/>
  <c r="O1698"/>
  <c r="R1697"/>
  <c r="P1697"/>
  <c r="Q1697"/>
  <c r="O1697"/>
  <c r="R1696"/>
  <c r="P1696"/>
  <c r="Q1696"/>
  <c r="O1696"/>
  <c r="R1695"/>
  <c r="P1695"/>
  <c r="Q1695"/>
  <c r="O1695"/>
  <c r="R1694"/>
  <c r="P1694"/>
  <c r="Q1694"/>
  <c r="O1694"/>
  <c r="R1693"/>
  <c r="P1693"/>
  <c r="Q1693"/>
  <c r="O1693"/>
  <c r="R1692"/>
  <c r="P1692"/>
  <c r="Q1692"/>
  <c r="O1692"/>
  <c r="O1680"/>
  <c r="Q1680"/>
  <c r="P1680"/>
  <c r="R1680"/>
  <c r="O1681"/>
  <c r="Q1681"/>
  <c r="P1681"/>
  <c r="R1681"/>
  <c r="O1682"/>
  <c r="Q1682"/>
  <c r="P1682"/>
  <c r="R1682"/>
  <c r="O1683"/>
  <c r="Q1683"/>
  <c r="P1683"/>
  <c r="R1683"/>
  <c r="O1684"/>
  <c r="Q1684"/>
  <c r="P1684"/>
  <c r="R1684"/>
  <c r="O1685"/>
  <c r="Q1685"/>
  <c r="P1685"/>
  <c r="R1685"/>
  <c r="O1686"/>
  <c r="Q1686"/>
  <c r="P1686"/>
  <c r="R1686"/>
  <c r="O1687"/>
  <c r="Q1687"/>
  <c r="P1687"/>
  <c r="R1687"/>
  <c r="O1688"/>
  <c r="Q1688"/>
  <c r="P1688"/>
  <c r="R1688"/>
  <c r="O1689"/>
  <c r="Q1689"/>
  <c r="P1689"/>
  <c r="R1689"/>
  <c r="R1679"/>
  <c r="P1679"/>
  <c r="Q1679"/>
  <c r="O1679"/>
  <c r="R1678"/>
  <c r="P1678"/>
  <c r="Q1678"/>
  <c r="O1678"/>
  <c r="O1644"/>
  <c r="Q1644"/>
  <c r="P1644"/>
  <c r="R1644"/>
  <c r="O1645"/>
  <c r="Q1645"/>
  <c r="P1645"/>
  <c r="R1645"/>
  <c r="O1646"/>
  <c r="Q1646"/>
  <c r="P1646"/>
  <c r="R1646"/>
  <c r="O1647"/>
  <c r="Q1647"/>
  <c r="P1647"/>
  <c r="R1647"/>
  <c r="O1648"/>
  <c r="Q1648"/>
  <c r="P1648"/>
  <c r="R1648"/>
  <c r="O1649"/>
  <c r="Q1649"/>
  <c r="P1649"/>
  <c r="R1649"/>
  <c r="O1650"/>
  <c r="Q1650"/>
  <c r="P1650"/>
  <c r="R1650"/>
  <c r="O1652"/>
  <c r="Q1652"/>
  <c r="P1652"/>
  <c r="R1652"/>
  <c r="O1653"/>
  <c r="Q1653"/>
  <c r="P1653"/>
  <c r="R1653"/>
  <c r="O1654"/>
  <c r="Q1654"/>
  <c r="P1654"/>
  <c r="R1654"/>
  <c r="O1655"/>
  <c r="Q1655"/>
  <c r="P1655"/>
  <c r="R1655"/>
  <c r="O1656"/>
  <c r="Q1656"/>
  <c r="P1656"/>
  <c r="R1656"/>
  <c r="O1657"/>
  <c r="Q1657"/>
  <c r="P1657"/>
  <c r="R1657"/>
  <c r="O1658"/>
  <c r="Q1658"/>
  <c r="P1658"/>
  <c r="R1658"/>
  <c r="O1659"/>
  <c r="Q1659"/>
  <c r="P1659"/>
  <c r="R1659"/>
  <c r="O1660"/>
  <c r="Q1660"/>
  <c r="P1660"/>
  <c r="R1660"/>
  <c r="O1661"/>
  <c r="Q1661"/>
  <c r="P1661"/>
  <c r="R1661"/>
  <c r="O1662"/>
  <c r="Q1662"/>
  <c r="P1662"/>
  <c r="R1662"/>
  <c r="O1663"/>
  <c r="Q1663"/>
  <c r="P1663"/>
  <c r="R1663"/>
  <c r="O1664"/>
  <c r="Q1664"/>
  <c r="P1664"/>
  <c r="R1664"/>
  <c r="O1665"/>
  <c r="Q1665"/>
  <c r="P1665"/>
  <c r="R1665"/>
  <c r="O1666"/>
  <c r="Q1666"/>
  <c r="P1666"/>
  <c r="R1666"/>
  <c r="O1667"/>
  <c r="Q1667"/>
  <c r="P1667"/>
  <c r="R1667"/>
  <c r="O1668"/>
  <c r="Q1668"/>
  <c r="P1668"/>
  <c r="R1668"/>
  <c r="O1669"/>
  <c r="Q1669"/>
  <c r="P1669"/>
  <c r="R1669"/>
  <c r="O1670"/>
  <c r="Q1670"/>
  <c r="P1670"/>
  <c r="R1670"/>
  <c r="O1671"/>
  <c r="Q1671"/>
  <c r="P1671"/>
  <c r="R1671"/>
  <c r="O1672"/>
  <c r="Q1672"/>
  <c r="P1672"/>
  <c r="R1672"/>
  <c r="O1673"/>
  <c r="Q1673"/>
  <c r="P1673"/>
  <c r="R1673"/>
  <c r="O1674"/>
  <c r="Q1674"/>
  <c r="P1674"/>
  <c r="R1674"/>
  <c r="O1675"/>
  <c r="Q1675"/>
  <c r="P1675"/>
  <c r="R1675"/>
  <c r="R1643"/>
  <c r="P1643"/>
  <c r="Q1643"/>
  <c r="O1643"/>
  <c r="R1642"/>
  <c r="P1642"/>
  <c r="Q1642"/>
  <c r="O1642"/>
  <c r="R1641"/>
  <c r="P1641"/>
  <c r="Q1641"/>
  <c r="O1641"/>
  <c r="R1640"/>
  <c r="P1640"/>
  <c r="Q1640"/>
  <c r="O1640"/>
  <c r="R1639"/>
  <c r="P1639"/>
  <c r="Q1639"/>
  <c r="O1639"/>
  <c r="O1599"/>
  <c r="Q1599"/>
  <c r="P1599"/>
  <c r="R1599"/>
  <c r="O1600"/>
  <c r="Q1600"/>
  <c r="P1600"/>
  <c r="R1600"/>
  <c r="O1601"/>
  <c r="Q1601"/>
  <c r="P1601"/>
  <c r="R1601"/>
  <c r="O1602"/>
  <c r="Q1602"/>
  <c r="P1602"/>
  <c r="R1602"/>
  <c r="O1603"/>
  <c r="Q1603"/>
  <c r="P1603"/>
  <c r="R1603"/>
  <c r="O1604"/>
  <c r="Q1604"/>
  <c r="P1604"/>
  <c r="R1604"/>
  <c r="O1605"/>
  <c r="Q1605"/>
  <c r="P1605"/>
  <c r="R1605"/>
  <c r="O1606"/>
  <c r="Q1606"/>
  <c r="P1606"/>
  <c r="R1606"/>
  <c r="O1607"/>
  <c r="Q1607"/>
  <c r="P1607"/>
  <c r="R1607"/>
  <c r="O1608"/>
  <c r="Q1608"/>
  <c r="P1608"/>
  <c r="R1608"/>
  <c r="O1609"/>
  <c r="Q1609"/>
  <c r="P1609"/>
  <c r="R1609"/>
  <c r="O1610"/>
  <c r="Q1610"/>
  <c r="P1610"/>
  <c r="R1610"/>
  <c r="O1611"/>
  <c r="Q1611"/>
  <c r="P1611"/>
  <c r="R1611"/>
  <c r="O1612"/>
  <c r="Q1612"/>
  <c r="P1612"/>
  <c r="R1612"/>
  <c r="O1613"/>
  <c r="Q1613"/>
  <c r="P1613"/>
  <c r="R1613"/>
  <c r="O1614"/>
  <c r="Q1614"/>
  <c r="P1614"/>
  <c r="R1614"/>
  <c r="O1615"/>
  <c r="Q1615"/>
  <c r="P1615"/>
  <c r="R1615"/>
  <c r="O1616"/>
  <c r="Q1616"/>
  <c r="P1616"/>
  <c r="R1616"/>
  <c r="O1617"/>
  <c r="Q1617"/>
  <c r="P1617"/>
  <c r="R1617"/>
  <c r="O1618"/>
  <c r="Q1618"/>
  <c r="P1618"/>
  <c r="R1618"/>
  <c r="O1619"/>
  <c r="Q1619"/>
  <c r="P1619"/>
  <c r="R1619"/>
  <c r="O1620"/>
  <c r="Q1620"/>
  <c r="P1620"/>
  <c r="R1620"/>
  <c r="O1621"/>
  <c r="Q1621"/>
  <c r="P1621"/>
  <c r="R1621"/>
  <c r="O1622"/>
  <c r="Q1622"/>
  <c r="P1622"/>
  <c r="R1622"/>
  <c r="O1623"/>
  <c r="Q1623"/>
  <c r="P1623"/>
  <c r="R1623"/>
  <c r="O1624"/>
  <c r="Q1624"/>
  <c r="P1624"/>
  <c r="R1624"/>
  <c r="O1625"/>
  <c r="Q1625"/>
  <c r="P1625"/>
  <c r="R1625"/>
  <c r="O1626"/>
  <c r="Q1626"/>
  <c r="P1626"/>
  <c r="R1626"/>
  <c r="O1627"/>
  <c r="Q1627"/>
  <c r="P1627"/>
  <c r="R1627"/>
  <c r="O1628"/>
  <c r="Q1628"/>
  <c r="P1628"/>
  <c r="R1628"/>
  <c r="O1629"/>
  <c r="Q1629"/>
  <c r="P1629"/>
  <c r="R1629"/>
  <c r="O1630"/>
  <c r="Q1630"/>
  <c r="P1630"/>
  <c r="R1630"/>
  <c r="O1631"/>
  <c r="Q1631"/>
  <c r="P1631"/>
  <c r="R1631"/>
  <c r="O1632"/>
  <c r="Q1632"/>
  <c r="P1632"/>
  <c r="R1632"/>
  <c r="O1633"/>
  <c r="Q1633"/>
  <c r="P1633"/>
  <c r="R1633"/>
  <c r="O1634"/>
  <c r="Q1634"/>
  <c r="P1634"/>
  <c r="R1634"/>
  <c r="O1635"/>
  <c r="Q1635"/>
  <c r="P1635"/>
  <c r="R1635"/>
  <c r="O1636"/>
  <c r="Q1636"/>
  <c r="P1636"/>
  <c r="R1636"/>
  <c r="R1598"/>
  <c r="P1598"/>
  <c r="Q1598"/>
  <c r="O1598"/>
  <c r="R1597"/>
  <c r="P1597"/>
  <c r="Q1597"/>
  <c r="O1597"/>
  <c r="R1596"/>
  <c r="P1596"/>
  <c r="Q1596"/>
  <c r="O1596"/>
  <c r="R1595"/>
  <c r="P1595"/>
  <c r="Q1595"/>
  <c r="O1595"/>
  <c r="R1594"/>
  <c r="P1594"/>
  <c r="Q1594"/>
  <c r="O1594"/>
  <c r="O1554"/>
  <c r="Q1554"/>
  <c r="P1554"/>
  <c r="R1554"/>
  <c r="O1555"/>
  <c r="Q1555"/>
  <c r="P1555"/>
  <c r="R1555"/>
  <c r="O1556"/>
  <c r="Q1556"/>
  <c r="P1556"/>
  <c r="R1556"/>
  <c r="O1557"/>
  <c r="Q1557"/>
  <c r="P1557"/>
  <c r="R1557"/>
  <c r="O1558"/>
  <c r="Q1558"/>
  <c r="P1558"/>
  <c r="R1558"/>
  <c r="O1559"/>
  <c r="Q1559"/>
  <c r="P1559"/>
  <c r="R1559"/>
  <c r="O1560"/>
  <c r="Q1560"/>
  <c r="P1560"/>
  <c r="R1560"/>
  <c r="O1561"/>
  <c r="Q1561"/>
  <c r="P1561"/>
  <c r="R1561"/>
  <c r="O1562"/>
  <c r="Q1562"/>
  <c r="P1562"/>
  <c r="R1562"/>
  <c r="O1563"/>
  <c r="Q1563"/>
  <c r="P1563"/>
  <c r="R1563"/>
  <c r="O1564"/>
  <c r="Q1564"/>
  <c r="P1564"/>
  <c r="R1564"/>
  <c r="O1565"/>
  <c r="Q1565"/>
  <c r="P1565"/>
  <c r="R1565"/>
  <c r="O1566"/>
  <c r="Q1566"/>
  <c r="P1566"/>
  <c r="R1566"/>
  <c r="O1567"/>
  <c r="Q1567"/>
  <c r="P1567"/>
  <c r="R1567"/>
  <c r="O1568"/>
  <c r="Q1568"/>
  <c r="P1568"/>
  <c r="R1568"/>
  <c r="O1569"/>
  <c r="Q1569"/>
  <c r="P1569"/>
  <c r="R1569"/>
  <c r="O1570"/>
  <c r="Q1570"/>
  <c r="P1570"/>
  <c r="R1570"/>
  <c r="O1571"/>
  <c r="Q1571"/>
  <c r="P1571"/>
  <c r="R1571"/>
  <c r="O1572"/>
  <c r="Q1572"/>
  <c r="P1572"/>
  <c r="R1572"/>
  <c r="O1573"/>
  <c r="Q1573"/>
  <c r="P1573"/>
  <c r="R1573"/>
  <c r="O1574"/>
  <c r="Q1574"/>
  <c r="P1574"/>
  <c r="R1574"/>
  <c r="O1575"/>
  <c r="Q1575"/>
  <c r="P1575"/>
  <c r="R1575"/>
  <c r="O1576"/>
  <c r="Q1576"/>
  <c r="P1576"/>
  <c r="R1576"/>
  <c r="O1577"/>
  <c r="Q1577"/>
  <c r="P1577"/>
  <c r="R1577"/>
  <c r="O1578"/>
  <c r="Q1578"/>
  <c r="P1578"/>
  <c r="R1578"/>
  <c r="O1579"/>
  <c r="Q1579"/>
  <c r="P1579"/>
  <c r="R1579"/>
  <c r="O1580"/>
  <c r="Q1580"/>
  <c r="P1580"/>
  <c r="R1580"/>
  <c r="O1581"/>
  <c r="Q1581"/>
  <c r="P1581"/>
  <c r="R1581"/>
  <c r="O1582"/>
  <c r="Q1582"/>
  <c r="P1582"/>
  <c r="R1582"/>
  <c r="O1583"/>
  <c r="Q1583"/>
  <c r="P1583"/>
  <c r="R1583"/>
  <c r="O1584"/>
  <c r="Q1584"/>
  <c r="P1584"/>
  <c r="R1584"/>
  <c r="O1585"/>
  <c r="Q1585"/>
  <c r="P1585"/>
  <c r="R1585"/>
  <c r="O1586"/>
  <c r="Q1586"/>
  <c r="P1586"/>
  <c r="R1586"/>
  <c r="O1587"/>
  <c r="Q1587"/>
  <c r="P1587"/>
  <c r="R1587"/>
  <c r="O1588"/>
  <c r="Q1588"/>
  <c r="P1588"/>
  <c r="R1588"/>
  <c r="O1589"/>
  <c r="Q1589"/>
  <c r="P1589"/>
  <c r="R1589"/>
  <c r="O1590"/>
  <c r="Q1590"/>
  <c r="P1590"/>
  <c r="R1590"/>
  <c r="O1591"/>
  <c r="Q1591"/>
  <c r="P1591"/>
  <c r="R1591"/>
  <c r="R1553"/>
  <c r="P1553"/>
  <c r="Q1553"/>
  <c r="O1553"/>
  <c r="R1552"/>
  <c r="P1552"/>
  <c r="Q1552"/>
  <c r="O1552"/>
  <c r="R1551"/>
  <c r="P1551"/>
  <c r="Q1551"/>
  <c r="O1551"/>
  <c r="R1550"/>
  <c r="P1550"/>
  <c r="Q1550"/>
  <c r="O1550"/>
  <c r="R1549"/>
  <c r="P1549"/>
  <c r="Q1549"/>
  <c r="O1549"/>
  <c r="R1548"/>
  <c r="P1548"/>
  <c r="Q1548"/>
  <c r="O1548"/>
  <c r="O1521"/>
  <c r="Q1521"/>
  <c r="P1521"/>
  <c r="R1521"/>
  <c r="O1522"/>
  <c r="Q1522"/>
  <c r="P1522"/>
  <c r="R1522"/>
  <c r="O1524"/>
  <c r="Q1524"/>
  <c r="P1524"/>
  <c r="R1524"/>
  <c r="O1525"/>
  <c r="Q1525"/>
  <c r="P1525"/>
  <c r="R1525"/>
  <c r="O1526"/>
  <c r="Q1526"/>
  <c r="P1526"/>
  <c r="R1526"/>
  <c r="O1527"/>
  <c r="Q1527"/>
  <c r="P1527"/>
  <c r="R1527"/>
  <c r="O1528"/>
  <c r="Q1528"/>
  <c r="P1528"/>
  <c r="R1528"/>
  <c r="O1529"/>
  <c r="Q1529"/>
  <c r="P1529"/>
  <c r="R1529"/>
  <c r="O1530"/>
  <c r="Q1530"/>
  <c r="P1530"/>
  <c r="R1530"/>
  <c r="O1531"/>
  <c r="Q1531"/>
  <c r="P1531"/>
  <c r="R1531"/>
  <c r="O1532"/>
  <c r="Q1532"/>
  <c r="P1532"/>
  <c r="R1532"/>
  <c r="O1533"/>
  <c r="Q1533"/>
  <c r="P1533"/>
  <c r="R1533"/>
  <c r="O1534"/>
  <c r="Q1534"/>
  <c r="P1534"/>
  <c r="R1534"/>
  <c r="O1535"/>
  <c r="Q1535"/>
  <c r="P1535"/>
  <c r="R1535"/>
  <c r="O1536"/>
  <c r="Q1536"/>
  <c r="P1536"/>
  <c r="R1536"/>
  <c r="O1537"/>
  <c r="Q1537"/>
  <c r="P1537"/>
  <c r="R1537"/>
  <c r="O1538"/>
  <c r="Q1538"/>
  <c r="P1538"/>
  <c r="R1538"/>
  <c r="O1539"/>
  <c r="Q1539"/>
  <c r="P1539"/>
  <c r="R1539"/>
  <c r="O1540"/>
  <c r="Q1540"/>
  <c r="P1540"/>
  <c r="R1540"/>
  <c r="O1541"/>
  <c r="Q1541"/>
  <c r="P1541"/>
  <c r="R1541"/>
  <c r="O1542"/>
  <c r="Q1542"/>
  <c r="P1542"/>
  <c r="R1542"/>
  <c r="O1543"/>
  <c r="Q1543"/>
  <c r="P1543"/>
  <c r="R1543"/>
  <c r="O1544"/>
  <c r="Q1544"/>
  <c r="P1544"/>
  <c r="R1544"/>
  <c r="O1545"/>
  <c r="Q1545"/>
  <c r="P1545"/>
  <c r="R1545"/>
  <c r="R1520"/>
  <c r="P1520"/>
  <c r="Q1520"/>
  <c r="O1520"/>
  <c r="R1519"/>
  <c r="P1519"/>
  <c r="Q1519"/>
  <c r="O1519"/>
  <c r="R1517"/>
  <c r="P1517"/>
  <c r="Q1517"/>
  <c r="O1517"/>
  <c r="O1445"/>
  <c r="Q1445"/>
  <c r="P1445"/>
  <c r="R1445"/>
  <c r="O1446"/>
  <c r="Q1446"/>
  <c r="P1446"/>
  <c r="R1446"/>
  <c r="O1447"/>
  <c r="Q1447"/>
  <c r="P1447"/>
  <c r="R1447"/>
  <c r="O1448"/>
  <c r="Q1448"/>
  <c r="P1448"/>
  <c r="R1448"/>
  <c r="O1449"/>
  <c r="Q1449"/>
  <c r="P1449"/>
  <c r="R1449"/>
  <c r="O1450"/>
  <c r="Q1450"/>
  <c r="P1450"/>
  <c r="R1450"/>
  <c r="O1451"/>
  <c r="Q1451"/>
  <c r="P1451"/>
  <c r="R1451"/>
  <c r="O1452"/>
  <c r="Q1452"/>
  <c r="P1452"/>
  <c r="R1452"/>
  <c r="O1453"/>
  <c r="Q1453"/>
  <c r="P1453"/>
  <c r="R1453"/>
  <c r="O1454"/>
  <c r="Q1454"/>
  <c r="P1454"/>
  <c r="R1454"/>
  <c r="O1455"/>
  <c r="Q1455"/>
  <c r="P1455"/>
  <c r="R1455"/>
  <c r="O1456"/>
  <c r="Q1456"/>
  <c r="P1456"/>
  <c r="R1456"/>
  <c r="O1457"/>
  <c r="Q1457"/>
  <c r="P1457"/>
  <c r="R1457"/>
  <c r="O1458"/>
  <c r="Q1458"/>
  <c r="P1458"/>
  <c r="R1458"/>
  <c r="O1459"/>
  <c r="Q1459"/>
  <c r="P1459"/>
  <c r="R1459"/>
  <c r="O1460"/>
  <c r="Q1460"/>
  <c r="P1460"/>
  <c r="R1460"/>
  <c r="O1461"/>
  <c r="Q1461"/>
  <c r="P1461"/>
  <c r="R1461"/>
  <c r="O1462"/>
  <c r="Q1462"/>
  <c r="P1462"/>
  <c r="R1462"/>
  <c r="O1463"/>
  <c r="Q1463"/>
  <c r="P1463"/>
  <c r="R1463"/>
  <c r="O1464"/>
  <c r="Q1464"/>
  <c r="P1464"/>
  <c r="R1464"/>
  <c r="O1465"/>
  <c r="Q1465"/>
  <c r="P1465"/>
  <c r="R1465"/>
  <c r="O1466"/>
  <c r="Q1466"/>
  <c r="P1466"/>
  <c r="R1466"/>
  <c r="O1467"/>
  <c r="Q1467"/>
  <c r="P1467"/>
  <c r="R1467"/>
  <c r="O1468"/>
  <c r="Q1468"/>
  <c r="P1468"/>
  <c r="R1468"/>
  <c r="O1469"/>
  <c r="Q1469"/>
  <c r="P1469"/>
  <c r="R1469"/>
  <c r="O1470"/>
  <c r="Q1470"/>
  <c r="P1470"/>
  <c r="R1470"/>
  <c r="O1471"/>
  <c r="Q1471"/>
  <c r="P1471"/>
  <c r="R1471"/>
  <c r="O1472"/>
  <c r="Q1472"/>
  <c r="P1472"/>
  <c r="R1472"/>
  <c r="O1473"/>
  <c r="Q1473"/>
  <c r="P1473"/>
  <c r="R1473"/>
  <c r="O1474"/>
  <c r="Q1474"/>
  <c r="P1474"/>
  <c r="R1474"/>
  <c r="O1475"/>
  <c r="Q1475"/>
  <c r="P1475"/>
  <c r="R1475"/>
  <c r="O1476"/>
  <c r="Q1476"/>
  <c r="P1476"/>
  <c r="R1476"/>
  <c r="O1477"/>
  <c r="Q1477"/>
  <c r="P1477"/>
  <c r="R1477"/>
  <c r="O1478"/>
  <c r="Q1478"/>
  <c r="P1478"/>
  <c r="R1478"/>
  <c r="O1479"/>
  <c r="Q1479"/>
  <c r="P1479"/>
  <c r="R1479"/>
  <c r="O1480"/>
  <c r="Q1480"/>
  <c r="P1480"/>
  <c r="R1480"/>
  <c r="O1481"/>
  <c r="Q1481"/>
  <c r="P1481"/>
  <c r="R1481"/>
  <c r="O1482"/>
  <c r="Q1482"/>
  <c r="P1482"/>
  <c r="R1482"/>
  <c r="O1483"/>
  <c r="Q1483"/>
  <c r="P1483"/>
  <c r="R1483"/>
  <c r="O1484"/>
  <c r="Q1484"/>
  <c r="P1484"/>
  <c r="R1484"/>
  <c r="O1485"/>
  <c r="Q1485"/>
  <c r="P1485"/>
  <c r="R1485"/>
  <c r="O1486"/>
  <c r="Q1486"/>
  <c r="P1486"/>
  <c r="R1486"/>
  <c r="O1487"/>
  <c r="Q1487"/>
  <c r="P1487"/>
  <c r="R1487"/>
  <c r="O1488"/>
  <c r="Q1488"/>
  <c r="P1488"/>
  <c r="R1488"/>
  <c r="O1489"/>
  <c r="Q1489"/>
  <c r="P1489"/>
  <c r="R1489"/>
  <c r="O1490"/>
  <c r="Q1490"/>
  <c r="P1490"/>
  <c r="R1490"/>
  <c r="O1491"/>
  <c r="Q1491"/>
  <c r="P1491"/>
  <c r="R1491"/>
  <c r="O1492"/>
  <c r="Q1492"/>
  <c r="P1492"/>
  <c r="R1492"/>
  <c r="O1493"/>
  <c r="Q1493"/>
  <c r="P1493"/>
  <c r="R1493"/>
  <c r="O1494"/>
  <c r="Q1494"/>
  <c r="P1494"/>
  <c r="R1494"/>
  <c r="O1495"/>
  <c r="Q1495"/>
  <c r="P1495"/>
  <c r="R1495"/>
  <c r="O1496"/>
  <c r="Q1496"/>
  <c r="P1496"/>
  <c r="R1496"/>
  <c r="O1497"/>
  <c r="Q1497"/>
  <c r="P1497"/>
  <c r="R1497"/>
  <c r="O1498"/>
  <c r="Q1498"/>
  <c r="P1498"/>
  <c r="R1498"/>
  <c r="O1499"/>
  <c r="Q1499"/>
  <c r="P1499"/>
  <c r="R1499"/>
  <c r="O1500"/>
  <c r="Q1500"/>
  <c r="P1500"/>
  <c r="R1500"/>
  <c r="O1501"/>
  <c r="Q1501"/>
  <c r="P1501"/>
  <c r="R1501"/>
  <c r="O1502"/>
  <c r="Q1502"/>
  <c r="P1502"/>
  <c r="R1502"/>
  <c r="O1503"/>
  <c r="Q1503"/>
  <c r="P1503"/>
  <c r="R1503"/>
  <c r="O1504"/>
  <c r="Q1504"/>
  <c r="P1504"/>
  <c r="R1504"/>
  <c r="O1505"/>
  <c r="Q1505"/>
  <c r="P1505"/>
  <c r="R1505"/>
  <c r="O1506"/>
  <c r="Q1506"/>
  <c r="P1506"/>
  <c r="R1506"/>
  <c r="O1507"/>
  <c r="Q1507"/>
  <c r="P1507"/>
  <c r="R1507"/>
  <c r="O1508"/>
  <c r="Q1508"/>
  <c r="P1508"/>
  <c r="R1508"/>
  <c r="O1509"/>
  <c r="Q1509"/>
  <c r="P1509"/>
  <c r="R1509"/>
  <c r="O1510"/>
  <c r="Q1510"/>
  <c r="P1510"/>
  <c r="R1510"/>
  <c r="O1511"/>
  <c r="Q1511"/>
  <c r="P1511"/>
  <c r="R1511"/>
  <c r="O1512"/>
  <c r="Q1512"/>
  <c r="P1512"/>
  <c r="R1512"/>
  <c r="O1513"/>
  <c r="Q1513"/>
  <c r="P1513"/>
  <c r="R1513"/>
  <c r="O1514"/>
  <c r="Q1514"/>
  <c r="P1514"/>
  <c r="R1514"/>
  <c r="R1444"/>
  <c r="P1444"/>
  <c r="Q1444"/>
  <c r="O1444"/>
  <c r="R1443"/>
  <c r="P1443"/>
  <c r="Q1443"/>
  <c r="O1443"/>
  <c r="R1442"/>
  <c r="P1442"/>
  <c r="Q1442"/>
  <c r="O1442"/>
  <c r="R1441"/>
  <c r="P1441"/>
  <c r="Q1441"/>
  <c r="O1441"/>
  <c r="O1372"/>
  <c r="Q1372"/>
  <c r="P1372"/>
  <c r="R1372"/>
  <c r="O1373"/>
  <c r="Q1373"/>
  <c r="P1373"/>
  <c r="R1373"/>
  <c r="O1374"/>
  <c r="Q1374"/>
  <c r="P1374"/>
  <c r="R1374"/>
  <c r="O1375"/>
  <c r="Q1375"/>
  <c r="P1375"/>
  <c r="R1375"/>
  <c r="O1376"/>
  <c r="Q1376"/>
  <c r="P1376"/>
  <c r="R1376"/>
  <c r="O1377"/>
  <c r="Q1377"/>
  <c r="P1377"/>
  <c r="R1377"/>
  <c r="O1378"/>
  <c r="Q1378"/>
  <c r="P1378"/>
  <c r="R1378"/>
  <c r="O1379"/>
  <c r="Q1379"/>
  <c r="P1379"/>
  <c r="R1379"/>
  <c r="O1380"/>
  <c r="Q1380"/>
  <c r="P1380"/>
  <c r="R1380"/>
  <c r="O1381"/>
  <c r="Q1381"/>
  <c r="P1381"/>
  <c r="R1381"/>
  <c r="O1382"/>
  <c r="Q1382"/>
  <c r="P1382"/>
  <c r="R1382"/>
  <c r="O1383"/>
  <c r="Q1383"/>
  <c r="P1383"/>
  <c r="R1383"/>
  <c r="O1384"/>
  <c r="Q1384"/>
  <c r="P1384"/>
  <c r="R1384"/>
  <c r="O1385"/>
  <c r="Q1385"/>
  <c r="P1385"/>
  <c r="R1385"/>
  <c r="O1386"/>
  <c r="Q1386"/>
  <c r="P1386"/>
  <c r="R1386"/>
  <c r="O1387"/>
  <c r="Q1387"/>
  <c r="P1387"/>
  <c r="R1387"/>
  <c r="O1388"/>
  <c r="Q1388"/>
  <c r="P1388"/>
  <c r="R1388"/>
  <c r="O1389"/>
  <c r="Q1389"/>
  <c r="P1389"/>
  <c r="R1389"/>
  <c r="O1390"/>
  <c r="Q1390"/>
  <c r="P1390"/>
  <c r="R1390"/>
  <c r="O1391"/>
  <c r="Q1391"/>
  <c r="P1391"/>
  <c r="R1391"/>
  <c r="O1392"/>
  <c r="Q1392"/>
  <c r="P1392"/>
  <c r="R1392"/>
  <c r="O1393"/>
  <c r="Q1393"/>
  <c r="P1393"/>
  <c r="R1393"/>
  <c r="O1394"/>
  <c r="Q1394"/>
  <c r="P1394"/>
  <c r="R1394"/>
  <c r="O1395"/>
  <c r="Q1395"/>
  <c r="P1395"/>
  <c r="R1395"/>
  <c r="O1397"/>
  <c r="Q1397"/>
  <c r="P1397"/>
  <c r="R1397"/>
  <c r="O1398"/>
  <c r="Q1398"/>
  <c r="P1398"/>
  <c r="R1398"/>
  <c r="O1399"/>
  <c r="Q1399"/>
  <c r="P1399"/>
  <c r="R1399"/>
  <c r="O1400"/>
  <c r="Q1400"/>
  <c r="P1400"/>
  <c r="R1400"/>
  <c r="O1401"/>
  <c r="Q1401"/>
  <c r="P1401"/>
  <c r="R1401"/>
  <c r="O1402"/>
  <c r="Q1402"/>
  <c r="P1402"/>
  <c r="R1402"/>
  <c r="O1403"/>
  <c r="Q1403"/>
  <c r="P1403"/>
  <c r="R1403"/>
  <c r="O1404"/>
  <c r="Q1404"/>
  <c r="P1404"/>
  <c r="R1404"/>
  <c r="O1405"/>
  <c r="Q1405"/>
  <c r="P1405"/>
  <c r="R1405"/>
  <c r="O1406"/>
  <c r="Q1406"/>
  <c r="P1406"/>
  <c r="R1406"/>
  <c r="O1407"/>
  <c r="Q1407"/>
  <c r="P1407"/>
  <c r="R1407"/>
  <c r="O1408"/>
  <c r="Q1408"/>
  <c r="P1408"/>
  <c r="R1408"/>
  <c r="O1409"/>
  <c r="Q1409"/>
  <c r="P1409"/>
  <c r="R1409"/>
  <c r="O1410"/>
  <c r="Q1410"/>
  <c r="P1410"/>
  <c r="R1410"/>
  <c r="O1411"/>
  <c r="Q1411"/>
  <c r="P1411"/>
  <c r="R1411"/>
  <c r="O1412"/>
  <c r="Q1412"/>
  <c r="P1412"/>
  <c r="R1412"/>
  <c r="O1413"/>
  <c r="Q1413"/>
  <c r="P1413"/>
  <c r="R1413"/>
  <c r="O1414"/>
  <c r="Q1414"/>
  <c r="P1414"/>
  <c r="R1414"/>
  <c r="O1415"/>
  <c r="Q1415"/>
  <c r="P1415"/>
  <c r="R1415"/>
  <c r="O1416"/>
  <c r="Q1416"/>
  <c r="P1416"/>
  <c r="R1416"/>
  <c r="O1417"/>
  <c r="Q1417"/>
  <c r="P1417"/>
  <c r="R1417"/>
  <c r="O1418"/>
  <c r="Q1418"/>
  <c r="P1418"/>
  <c r="R1418"/>
  <c r="O1419"/>
  <c r="Q1419"/>
  <c r="P1419"/>
  <c r="R1419"/>
  <c r="O1420"/>
  <c r="Q1420"/>
  <c r="P1420"/>
  <c r="R1420"/>
  <c r="O1421"/>
  <c r="Q1421"/>
  <c r="P1421"/>
  <c r="R1421"/>
  <c r="O1422"/>
  <c r="Q1422"/>
  <c r="P1422"/>
  <c r="R1422"/>
  <c r="O1423"/>
  <c r="Q1423"/>
  <c r="P1423"/>
  <c r="R1423"/>
  <c r="O1424"/>
  <c r="Q1424"/>
  <c r="P1424"/>
  <c r="R1424"/>
  <c r="O1425"/>
  <c r="Q1425"/>
  <c r="P1425"/>
  <c r="R1425"/>
  <c r="O1426"/>
  <c r="Q1426"/>
  <c r="P1426"/>
  <c r="R1426"/>
  <c r="O1427"/>
  <c r="Q1427"/>
  <c r="P1427"/>
  <c r="R1427"/>
  <c r="O1428"/>
  <c r="Q1428"/>
  <c r="P1428"/>
  <c r="R1428"/>
  <c r="O1429"/>
  <c r="Q1429"/>
  <c r="P1429"/>
  <c r="R1429"/>
  <c r="O1430"/>
  <c r="Q1430"/>
  <c r="P1430"/>
  <c r="R1430"/>
  <c r="O1431"/>
  <c r="Q1431"/>
  <c r="P1431"/>
  <c r="R1431"/>
  <c r="O1432"/>
  <c r="Q1432"/>
  <c r="P1432"/>
  <c r="R1432"/>
  <c r="O1433"/>
  <c r="Q1433"/>
  <c r="P1433"/>
  <c r="R1433"/>
  <c r="O1434"/>
  <c r="Q1434"/>
  <c r="P1434"/>
  <c r="R1434"/>
  <c r="O1435"/>
  <c r="Q1435"/>
  <c r="P1435"/>
  <c r="R1435"/>
  <c r="O1436"/>
  <c r="Q1436"/>
  <c r="P1436"/>
  <c r="R1436"/>
  <c r="O1437"/>
  <c r="Q1437"/>
  <c r="P1437"/>
  <c r="R1437"/>
  <c r="O1438"/>
  <c r="Q1438"/>
  <c r="P1438"/>
  <c r="R1438"/>
  <c r="R1371"/>
  <c r="P1371"/>
  <c r="Q1371"/>
  <c r="O1371"/>
  <c r="R1370"/>
  <c r="P1370"/>
  <c r="Q1370"/>
  <c r="O1370"/>
  <c r="R1369"/>
  <c r="P1369"/>
  <c r="Q1369"/>
  <c r="O1369"/>
  <c r="R1368"/>
  <c r="P1368"/>
  <c r="Q1368"/>
  <c r="O1368"/>
  <c r="R1367"/>
  <c r="P1367"/>
  <c r="Q1367"/>
  <c r="O1367"/>
  <c r="R1366"/>
  <c r="P1366"/>
  <c r="Q1366"/>
  <c r="O1366"/>
  <c r="O1363"/>
  <c r="Q1363"/>
  <c r="P1363"/>
  <c r="R1363"/>
  <c r="O1364"/>
  <c r="Q1364"/>
  <c r="P1364"/>
  <c r="R1364"/>
  <c r="R1362"/>
  <c r="P1362"/>
  <c r="Q1362"/>
  <c r="O1362"/>
  <c r="R1360"/>
  <c r="P1360"/>
  <c r="Q1360"/>
  <c r="O1360"/>
  <c r="R1359"/>
  <c r="P1359"/>
  <c r="Q1359"/>
  <c r="O1359"/>
  <c r="R1358"/>
  <c r="P1358"/>
  <c r="Q1358"/>
  <c r="O1358"/>
  <c r="O1316"/>
  <c r="Q1316"/>
  <c r="P1316"/>
  <c r="R1316"/>
  <c r="O1317"/>
  <c r="Q1317"/>
  <c r="P1317"/>
  <c r="R1317"/>
  <c r="O1318"/>
  <c r="Q1318"/>
  <c r="P1318"/>
  <c r="R1318"/>
  <c r="O1319"/>
  <c r="Q1319"/>
  <c r="P1319"/>
  <c r="R1319"/>
  <c r="O1320"/>
  <c r="Q1320"/>
  <c r="P1320"/>
  <c r="R1320"/>
  <c r="O1321"/>
  <c r="Q1321"/>
  <c r="P1321"/>
  <c r="R1321"/>
  <c r="O1322"/>
  <c r="Q1322"/>
  <c r="P1322"/>
  <c r="R1322"/>
  <c r="O1323"/>
  <c r="Q1323"/>
  <c r="P1323"/>
  <c r="R1323"/>
  <c r="O1324"/>
  <c r="Q1324"/>
  <c r="P1324"/>
  <c r="R1324"/>
  <c r="O1325"/>
  <c r="Q1325"/>
  <c r="P1325"/>
  <c r="R1325"/>
  <c r="O1326"/>
  <c r="Q1326"/>
  <c r="P1326"/>
  <c r="R1326"/>
  <c r="O1327"/>
  <c r="Q1327"/>
  <c r="P1327"/>
  <c r="R1327"/>
  <c r="O1328"/>
  <c r="Q1328"/>
  <c r="P1328"/>
  <c r="R1328"/>
  <c r="O1329"/>
  <c r="Q1329"/>
  <c r="P1329"/>
  <c r="R1329"/>
  <c r="O1330"/>
  <c r="Q1330"/>
  <c r="P1330"/>
  <c r="R1330"/>
  <c r="O1331"/>
  <c r="Q1331"/>
  <c r="P1331"/>
  <c r="R1331"/>
  <c r="O1332"/>
  <c r="Q1332"/>
  <c r="P1332"/>
  <c r="R1332"/>
  <c r="O1333"/>
  <c r="Q1333"/>
  <c r="P1333"/>
  <c r="R1333"/>
  <c r="O1334"/>
  <c r="Q1334"/>
  <c r="P1334"/>
  <c r="R1334"/>
  <c r="O1335"/>
  <c r="Q1335"/>
  <c r="P1335"/>
  <c r="R1335"/>
  <c r="O1336"/>
  <c r="Q1336"/>
  <c r="P1336"/>
  <c r="R1336"/>
  <c r="O1337"/>
  <c r="Q1337"/>
  <c r="P1337"/>
  <c r="R1337"/>
  <c r="O1338"/>
  <c r="Q1338"/>
  <c r="P1338"/>
  <c r="R1338"/>
  <c r="O1339"/>
  <c r="Q1339"/>
  <c r="P1339"/>
  <c r="R1339"/>
  <c r="O1340"/>
  <c r="Q1340"/>
  <c r="P1340"/>
  <c r="R1340"/>
  <c r="O1341"/>
  <c r="Q1341"/>
  <c r="P1341"/>
  <c r="R1341"/>
  <c r="O1342"/>
  <c r="Q1342"/>
  <c r="P1342"/>
  <c r="R1342"/>
  <c r="O1343"/>
  <c r="Q1343"/>
  <c r="P1343"/>
  <c r="R1343"/>
  <c r="O1344"/>
  <c r="Q1344"/>
  <c r="P1344"/>
  <c r="R1344"/>
  <c r="O1345"/>
  <c r="Q1345"/>
  <c r="P1345"/>
  <c r="R1345"/>
  <c r="O1346"/>
  <c r="Q1346"/>
  <c r="P1346"/>
  <c r="R1346"/>
  <c r="O1347"/>
  <c r="Q1347"/>
  <c r="P1347"/>
  <c r="R1347"/>
  <c r="O1349"/>
  <c r="Q1349"/>
  <c r="P1349"/>
  <c r="R1349"/>
  <c r="O1350"/>
  <c r="Q1350"/>
  <c r="P1350"/>
  <c r="R1350"/>
  <c r="O1351"/>
  <c r="Q1351"/>
  <c r="P1351"/>
  <c r="R1351"/>
  <c r="O1352"/>
  <c r="Q1352"/>
  <c r="P1352"/>
  <c r="R1352"/>
  <c r="O1353"/>
  <c r="Q1353"/>
  <c r="P1353"/>
  <c r="R1353"/>
  <c r="O1354"/>
  <c r="Q1354"/>
  <c r="P1354"/>
  <c r="R1354"/>
  <c r="O1355"/>
  <c r="Q1355"/>
  <c r="P1355"/>
  <c r="R1355"/>
  <c r="O1356"/>
  <c r="Q1356"/>
  <c r="P1356"/>
  <c r="R1356"/>
  <c r="O1357"/>
  <c r="Q1357"/>
  <c r="P1357"/>
  <c r="R1357"/>
  <c r="R1315"/>
  <c r="P1315"/>
  <c r="Q1315"/>
  <c r="O1315"/>
  <c r="R1314"/>
  <c r="P1314"/>
  <c r="Q1314"/>
  <c r="O1314"/>
  <c r="R1313"/>
  <c r="P1313"/>
  <c r="Q1313"/>
  <c r="O1313"/>
  <c r="R1312"/>
  <c r="P1312"/>
  <c r="Q1312"/>
  <c r="O1312"/>
  <c r="R1311"/>
  <c r="P1311"/>
  <c r="Q1311"/>
  <c r="O1311"/>
  <c r="R1310"/>
  <c r="P1310"/>
  <c r="Q1310"/>
  <c r="O1310"/>
  <c r="R1309"/>
  <c r="P1309"/>
  <c r="Q1309"/>
  <c r="O1309"/>
  <c r="O1303"/>
  <c r="Q1303"/>
  <c r="P1303"/>
  <c r="R1303"/>
  <c r="O1304"/>
  <c r="Q1304"/>
  <c r="P1304"/>
  <c r="R1304"/>
  <c r="O1305"/>
  <c r="Q1305"/>
  <c r="P1305"/>
  <c r="R1305"/>
  <c r="O1306"/>
  <c r="Q1306"/>
  <c r="P1306"/>
  <c r="R1306"/>
  <c r="R1302"/>
  <c r="P1302"/>
  <c r="Q1302"/>
  <c r="O1302"/>
  <c r="R1301"/>
  <c r="P1301"/>
  <c r="Q1301"/>
  <c r="O1301"/>
  <c r="R1300"/>
  <c r="P1300"/>
  <c r="Q1300"/>
  <c r="O1300"/>
  <c r="R1299"/>
  <c r="P1299"/>
  <c r="Q1299"/>
  <c r="O1299"/>
  <c r="R1298"/>
  <c r="P1298"/>
  <c r="Q1298"/>
  <c r="O1298"/>
  <c r="R1297"/>
  <c r="P1297"/>
  <c r="Q1297"/>
  <c r="O1297"/>
  <c r="R1296"/>
  <c r="P1296"/>
  <c r="Q1296"/>
  <c r="O1296"/>
  <c r="R1295"/>
  <c r="P1295"/>
  <c r="Q1295"/>
  <c r="O1295"/>
  <c r="R1294"/>
  <c r="P1294"/>
  <c r="Q1294"/>
  <c r="O1294"/>
  <c r="R1293"/>
  <c r="P1293"/>
  <c r="Q1293"/>
  <c r="O1293"/>
  <c r="R1292"/>
  <c r="P1292"/>
  <c r="Q1292"/>
  <c r="O1292"/>
  <c r="R1291"/>
  <c r="P1291"/>
  <c r="Q1291"/>
  <c r="O1291"/>
  <c r="R1290"/>
  <c r="P1290"/>
  <c r="Q1290"/>
  <c r="O1290"/>
  <c r="R1289"/>
  <c r="P1289"/>
  <c r="Q1289"/>
  <c r="O1289"/>
  <c r="R1288"/>
  <c r="P1288"/>
  <c r="Q1288"/>
  <c r="O1288"/>
  <c r="R1287"/>
  <c r="P1287"/>
  <c r="Q1287"/>
  <c r="O1287"/>
  <c r="R1286"/>
  <c r="P1286"/>
  <c r="Q1286"/>
  <c r="O1286"/>
  <c r="R1285"/>
  <c r="P1285"/>
  <c r="Q1285"/>
  <c r="O1285"/>
  <c r="R1284"/>
  <c r="P1284"/>
  <c r="Q1284"/>
  <c r="O1284"/>
  <c r="R1283"/>
  <c r="P1283"/>
  <c r="Q1283"/>
  <c r="O1283"/>
  <c r="R1282"/>
  <c r="P1282"/>
  <c r="Q1282"/>
  <c r="O1282"/>
  <c r="R1281"/>
  <c r="P1281"/>
  <c r="Q1281"/>
  <c r="O1281"/>
  <c r="R1280"/>
  <c r="P1280"/>
  <c r="Q1280"/>
  <c r="O1280"/>
  <c r="R1279"/>
  <c r="P1279"/>
  <c r="Q1279"/>
  <c r="O1279"/>
  <c r="R1278"/>
  <c r="P1278"/>
  <c r="Q1278"/>
  <c r="O1278"/>
  <c r="R1277"/>
  <c r="P1277"/>
  <c r="Q1277"/>
  <c r="O1277"/>
  <c r="R1276"/>
  <c r="P1276"/>
  <c r="Q1276"/>
  <c r="O1276"/>
  <c r="R1275"/>
  <c r="P1275"/>
  <c r="Q1275"/>
  <c r="O1275"/>
  <c r="R1274"/>
  <c r="P1274"/>
  <c r="Q1274"/>
  <c r="O1274"/>
  <c r="R1273"/>
  <c r="P1273"/>
  <c r="Q1273"/>
  <c r="O1273"/>
  <c r="R1272"/>
  <c r="P1272"/>
  <c r="Q1272"/>
  <c r="O1272"/>
  <c r="R1271"/>
  <c r="P1271"/>
  <c r="Q1271"/>
  <c r="O1271"/>
  <c r="R1270"/>
  <c r="P1270"/>
  <c r="Q1270"/>
  <c r="O1270"/>
  <c r="R1269"/>
  <c r="P1269"/>
  <c r="Q1269"/>
  <c r="O1269"/>
  <c r="R1268"/>
  <c r="P1268"/>
  <c r="Q1268"/>
  <c r="O1268"/>
  <c r="R1267"/>
  <c r="P1267"/>
  <c r="Q1267"/>
  <c r="O1267"/>
  <c r="O1234"/>
  <c r="Q1234"/>
  <c r="P1234"/>
  <c r="R1234"/>
  <c r="O1235"/>
  <c r="Q1235"/>
  <c r="P1235"/>
  <c r="R1235"/>
  <c r="O1237"/>
  <c r="Q1237"/>
  <c r="P1237"/>
  <c r="R1237"/>
  <c r="O1238"/>
  <c r="Q1238"/>
  <c r="P1238"/>
  <c r="R1238"/>
  <c r="O1239"/>
  <c r="Q1239"/>
  <c r="P1239"/>
  <c r="R1239"/>
  <c r="O1240"/>
  <c r="Q1240"/>
  <c r="P1240"/>
  <c r="R1240"/>
  <c r="O1241"/>
  <c r="Q1241"/>
  <c r="P1241"/>
  <c r="R1241"/>
  <c r="O1242"/>
  <c r="Q1242"/>
  <c r="P1242"/>
  <c r="R1242"/>
  <c r="O1243"/>
  <c r="Q1243"/>
  <c r="P1243"/>
  <c r="R1243"/>
  <c r="O1244"/>
  <c r="Q1244"/>
  <c r="P1244"/>
  <c r="R1244"/>
  <c r="O1245"/>
  <c r="Q1245"/>
  <c r="P1245"/>
  <c r="R1245"/>
  <c r="O1246"/>
  <c r="Q1246"/>
  <c r="P1246"/>
  <c r="R1246"/>
  <c r="O1247"/>
  <c r="Q1247"/>
  <c r="P1247"/>
  <c r="R1247"/>
  <c r="O1248"/>
  <c r="Q1248"/>
  <c r="P1248"/>
  <c r="R1248"/>
  <c r="O1249"/>
  <c r="Q1249"/>
  <c r="P1249"/>
  <c r="R1249"/>
  <c r="O1250"/>
  <c r="Q1250"/>
  <c r="P1250"/>
  <c r="R1250"/>
  <c r="O1251"/>
  <c r="Q1251"/>
  <c r="P1251"/>
  <c r="R1251"/>
  <c r="O1252"/>
  <c r="Q1252"/>
  <c r="P1252"/>
  <c r="R1252"/>
  <c r="O1253"/>
  <c r="Q1253"/>
  <c r="P1253"/>
  <c r="R1253"/>
  <c r="O1254"/>
  <c r="Q1254"/>
  <c r="P1254"/>
  <c r="R1254"/>
  <c r="O1255"/>
  <c r="Q1255"/>
  <c r="P1255"/>
  <c r="R1255"/>
  <c r="O1256"/>
  <c r="Q1256"/>
  <c r="P1256"/>
  <c r="R1256"/>
  <c r="O1257"/>
  <c r="Q1257"/>
  <c r="P1257"/>
  <c r="R1257"/>
  <c r="O1258"/>
  <c r="Q1258"/>
  <c r="P1258"/>
  <c r="R1258"/>
  <c r="O1259"/>
  <c r="Q1259"/>
  <c r="P1259"/>
  <c r="R1259"/>
  <c r="O1260"/>
  <c r="Q1260"/>
  <c r="P1260"/>
  <c r="R1260"/>
  <c r="O1261"/>
  <c r="Q1261"/>
  <c r="P1261"/>
  <c r="R1261"/>
  <c r="O1262"/>
  <c r="Q1262"/>
  <c r="P1262"/>
  <c r="R1262"/>
  <c r="O1263"/>
  <c r="Q1263"/>
  <c r="P1263"/>
  <c r="R1263"/>
  <c r="O1264"/>
  <c r="Q1264"/>
  <c r="P1264"/>
  <c r="R1264"/>
  <c r="R1233"/>
  <c r="P1233"/>
  <c r="Q1233"/>
  <c r="O1233"/>
  <c r="R1232"/>
  <c r="P1232"/>
  <c r="Q1232"/>
  <c r="O1232"/>
  <c r="R1231"/>
  <c r="P1231"/>
  <c r="Q1231"/>
  <c r="O1231"/>
  <c r="R1230"/>
  <c r="P1230"/>
  <c r="Q1230"/>
  <c r="O1230"/>
  <c r="R1229"/>
  <c r="P1229"/>
  <c r="Q1229"/>
  <c r="O1229"/>
  <c r="O1024"/>
  <c r="Q1024"/>
  <c r="P1024"/>
  <c r="R1024"/>
  <c r="O1025"/>
  <c r="Q1025"/>
  <c r="P1025"/>
  <c r="R1025"/>
  <c r="O1026"/>
  <c r="Q1026"/>
  <c r="P1026"/>
  <c r="R1026"/>
  <c r="O1027"/>
  <c r="Q1027"/>
  <c r="P1027"/>
  <c r="R1027"/>
  <c r="O1028"/>
  <c r="Q1028"/>
  <c r="P1028"/>
  <c r="R1028"/>
  <c r="O1030"/>
  <c r="Q1030"/>
  <c r="P1030"/>
  <c r="R1030"/>
  <c r="O1031"/>
  <c r="Q1031"/>
  <c r="P1031"/>
  <c r="R1031"/>
  <c r="O1032"/>
  <c r="Q1032"/>
  <c r="P1032"/>
  <c r="R1032"/>
  <c r="O1033"/>
  <c r="Q1033"/>
  <c r="P1033"/>
  <c r="R1033"/>
  <c r="O1034"/>
  <c r="Q1034"/>
  <c r="P1034"/>
  <c r="R1034"/>
  <c r="O1035"/>
  <c r="Q1035"/>
  <c r="P1035"/>
  <c r="R1035"/>
  <c r="O1036"/>
  <c r="Q1036"/>
  <c r="P1036"/>
  <c r="R1036"/>
  <c r="O1037"/>
  <c r="Q1037"/>
  <c r="P1037"/>
  <c r="R1037"/>
  <c r="O1038"/>
  <c r="Q1038"/>
  <c r="P1038"/>
  <c r="R1038"/>
  <c r="O1039"/>
  <c r="Q1039"/>
  <c r="P1039"/>
  <c r="R1039"/>
  <c r="O1040"/>
  <c r="Q1040"/>
  <c r="P1040"/>
  <c r="R1040"/>
  <c r="O1041"/>
  <c r="Q1041"/>
  <c r="P1041"/>
  <c r="R1041"/>
  <c r="O1042"/>
  <c r="Q1042"/>
  <c r="P1042"/>
  <c r="R1042"/>
  <c r="O1043"/>
  <c r="Q1043"/>
  <c r="P1043"/>
  <c r="R1043"/>
  <c r="O1044"/>
  <c r="Q1044"/>
  <c r="P1044"/>
  <c r="R1044"/>
  <c r="O1045"/>
  <c r="Q1045"/>
  <c r="P1045"/>
  <c r="R1045"/>
  <c r="O1046"/>
  <c r="Q1046"/>
  <c r="P1046"/>
  <c r="R1046"/>
  <c r="O1047"/>
  <c r="Q1047"/>
  <c r="P1047"/>
  <c r="R1047"/>
  <c r="O1048"/>
  <c r="Q1048"/>
  <c r="P1048"/>
  <c r="R1048"/>
  <c r="O1049"/>
  <c r="Q1049"/>
  <c r="P1049"/>
  <c r="R1049"/>
  <c r="O1050"/>
  <c r="Q1050"/>
  <c r="P1050"/>
  <c r="R1050"/>
  <c r="O1051"/>
  <c r="Q1051"/>
  <c r="P1051"/>
  <c r="R1051"/>
  <c r="O1052"/>
  <c r="Q1052"/>
  <c r="P1052"/>
  <c r="R1052"/>
  <c r="O1053"/>
  <c r="Q1053"/>
  <c r="P1053"/>
  <c r="R1053"/>
  <c r="O1054"/>
  <c r="Q1054"/>
  <c r="P1054"/>
  <c r="R1054"/>
  <c r="O1055"/>
  <c r="Q1055"/>
  <c r="P1055"/>
  <c r="R1055"/>
  <c r="O1056"/>
  <c r="Q1056"/>
  <c r="P1056"/>
  <c r="R1056"/>
  <c r="O1057"/>
  <c r="Q1057"/>
  <c r="P1057"/>
  <c r="R1057"/>
  <c r="O1058"/>
  <c r="Q1058"/>
  <c r="P1058"/>
  <c r="R1058"/>
  <c r="O1059"/>
  <c r="Q1059"/>
  <c r="P1059"/>
  <c r="R1059"/>
  <c r="O1060"/>
  <c r="Q1060"/>
  <c r="P1060"/>
  <c r="R1060"/>
  <c r="O1061"/>
  <c r="Q1061"/>
  <c r="P1061"/>
  <c r="R1061"/>
  <c r="O1062"/>
  <c r="Q1062"/>
  <c r="P1062"/>
  <c r="R1062"/>
  <c r="O1063"/>
  <c r="Q1063"/>
  <c r="P1063"/>
  <c r="R1063"/>
  <c r="O1064"/>
  <c r="Q1064"/>
  <c r="P1064"/>
  <c r="R1064"/>
  <c r="O1066"/>
  <c r="Q1066"/>
  <c r="P1066"/>
  <c r="R1066"/>
  <c r="O1067"/>
  <c r="Q1067"/>
  <c r="P1067"/>
  <c r="R1067"/>
  <c r="O1068"/>
  <c r="Q1068"/>
  <c r="P1068"/>
  <c r="R1068"/>
  <c r="O1069"/>
  <c r="Q1069"/>
  <c r="P1069"/>
  <c r="R1069"/>
  <c r="O1070"/>
  <c r="Q1070"/>
  <c r="P1070"/>
  <c r="R1070"/>
  <c r="O1071"/>
  <c r="Q1071"/>
  <c r="P1071"/>
  <c r="R1071"/>
  <c r="O1072"/>
  <c r="Q1072"/>
  <c r="P1072"/>
  <c r="R1072"/>
  <c r="O1073"/>
  <c r="Q1073"/>
  <c r="P1073"/>
  <c r="R1073"/>
  <c r="O1074"/>
  <c r="Q1074"/>
  <c r="P1074"/>
  <c r="R1074"/>
  <c r="O1075"/>
  <c r="Q1075"/>
  <c r="P1075"/>
  <c r="R1075"/>
  <c r="O1076"/>
  <c r="Q1076"/>
  <c r="P1076"/>
  <c r="R1076"/>
  <c r="O1077"/>
  <c r="Q1077"/>
  <c r="P1077"/>
  <c r="R1077"/>
  <c r="O1078"/>
  <c r="Q1078"/>
  <c r="P1078"/>
  <c r="R1078"/>
  <c r="O1079"/>
  <c r="Q1079"/>
  <c r="P1079"/>
  <c r="R1079"/>
  <c r="O1080"/>
  <c r="Q1080"/>
  <c r="P1080"/>
  <c r="R1080"/>
  <c r="O1081"/>
  <c r="Q1081"/>
  <c r="P1081"/>
  <c r="R1081"/>
  <c r="O1082"/>
  <c r="Q1082"/>
  <c r="P1082"/>
  <c r="R1082"/>
  <c r="O1083"/>
  <c r="Q1083"/>
  <c r="P1083"/>
  <c r="R1083"/>
  <c r="O1084"/>
  <c r="Q1084"/>
  <c r="P1084"/>
  <c r="R1084"/>
  <c r="O1085"/>
  <c r="Q1085"/>
  <c r="P1085"/>
  <c r="R1085"/>
  <c r="O1086"/>
  <c r="Q1086"/>
  <c r="P1086"/>
  <c r="R1086"/>
  <c r="O1087"/>
  <c r="Q1087"/>
  <c r="P1087"/>
  <c r="R1087"/>
  <c r="O1088"/>
  <c r="Q1088"/>
  <c r="P1088"/>
  <c r="R1088"/>
  <c r="O1089"/>
  <c r="Q1089"/>
  <c r="P1089"/>
  <c r="R1089"/>
  <c r="O1090"/>
  <c r="Q1090"/>
  <c r="P1090"/>
  <c r="R1090"/>
  <c r="O1091"/>
  <c r="Q1091"/>
  <c r="P1091"/>
  <c r="R1091"/>
  <c r="O1092"/>
  <c r="Q1092"/>
  <c r="P1092"/>
  <c r="R1092"/>
  <c r="O1093"/>
  <c r="Q1093"/>
  <c r="P1093"/>
  <c r="R1093"/>
  <c r="O1094"/>
  <c r="Q1094"/>
  <c r="P1094"/>
  <c r="R1094"/>
  <c r="O1095"/>
  <c r="Q1095"/>
  <c r="P1095"/>
  <c r="R1095"/>
  <c r="O1096"/>
  <c r="Q1096"/>
  <c r="P1096"/>
  <c r="R1096"/>
  <c r="O1097"/>
  <c r="Q1097"/>
  <c r="P1097"/>
  <c r="R1097"/>
  <c r="O1098"/>
  <c r="Q1098"/>
  <c r="P1098"/>
  <c r="R1098"/>
  <c r="O1099"/>
  <c r="Q1099"/>
  <c r="P1099"/>
  <c r="R1099"/>
  <c r="O1101"/>
  <c r="Q1101"/>
  <c r="P1101"/>
  <c r="R1101"/>
  <c r="O1102"/>
  <c r="Q1102"/>
  <c r="P1102"/>
  <c r="R1102"/>
  <c r="O1103"/>
  <c r="Q1103"/>
  <c r="P1103"/>
  <c r="R1103"/>
  <c r="O1104"/>
  <c r="Q1104"/>
  <c r="P1104"/>
  <c r="R1104"/>
  <c r="O1105"/>
  <c r="Q1105"/>
  <c r="P1105"/>
  <c r="R1105"/>
  <c r="O1106"/>
  <c r="Q1106"/>
  <c r="P1106"/>
  <c r="R1106"/>
  <c r="O1107"/>
  <c r="Q1107"/>
  <c r="P1107"/>
  <c r="R1107"/>
  <c r="O1108"/>
  <c r="Q1108"/>
  <c r="P1108"/>
  <c r="R1108"/>
  <c r="O1109"/>
  <c r="Q1109"/>
  <c r="P1109"/>
  <c r="R1109"/>
  <c r="O1110"/>
  <c r="Q1110"/>
  <c r="P1110"/>
  <c r="R1110"/>
  <c r="O1111"/>
  <c r="Q1111"/>
  <c r="P1111"/>
  <c r="R1111"/>
  <c r="O1112"/>
  <c r="Q1112"/>
  <c r="P1112"/>
  <c r="R1112"/>
  <c r="O1113"/>
  <c r="Q1113"/>
  <c r="P1113"/>
  <c r="R1113"/>
  <c r="O1114"/>
  <c r="Q1114"/>
  <c r="P1114"/>
  <c r="R1114"/>
  <c r="O1115"/>
  <c r="Q1115"/>
  <c r="P1115"/>
  <c r="R1115"/>
  <c r="O1116"/>
  <c r="Q1116"/>
  <c r="P1116"/>
  <c r="R1116"/>
  <c r="O1117"/>
  <c r="Q1117"/>
  <c r="P1117"/>
  <c r="R1117"/>
  <c r="O1118"/>
  <c r="Q1118"/>
  <c r="P1118"/>
  <c r="R1118"/>
  <c r="O1119"/>
  <c r="Q1119"/>
  <c r="P1119"/>
  <c r="R1119"/>
  <c r="O1120"/>
  <c r="Q1120"/>
  <c r="P1120"/>
  <c r="R1120"/>
  <c r="O1121"/>
  <c r="Q1121"/>
  <c r="P1121"/>
  <c r="R1121"/>
  <c r="O1122"/>
  <c r="Q1122"/>
  <c r="P1122"/>
  <c r="R1122"/>
  <c r="O1123"/>
  <c r="Q1123"/>
  <c r="P1123"/>
  <c r="R1123"/>
  <c r="O1124"/>
  <c r="Q1124"/>
  <c r="P1124"/>
  <c r="R1124"/>
  <c r="O1125"/>
  <c r="Q1125"/>
  <c r="P1125"/>
  <c r="R1125"/>
  <c r="O1126"/>
  <c r="Q1126"/>
  <c r="P1126"/>
  <c r="R1126"/>
  <c r="O1127"/>
  <c r="Q1127"/>
  <c r="P1127"/>
  <c r="R1127"/>
  <c r="O1128"/>
  <c r="Q1128"/>
  <c r="P1128"/>
  <c r="R1128"/>
  <c r="O1129"/>
  <c r="Q1129"/>
  <c r="P1129"/>
  <c r="R1129"/>
  <c r="O1130"/>
  <c r="Q1130"/>
  <c r="P1130"/>
  <c r="R1130"/>
  <c r="O1131"/>
  <c r="Q1131"/>
  <c r="P1131"/>
  <c r="R1131"/>
  <c r="O1132"/>
  <c r="Q1132"/>
  <c r="P1132"/>
  <c r="R1132"/>
  <c r="O1133"/>
  <c r="Q1133"/>
  <c r="P1133"/>
  <c r="R1133"/>
  <c r="O1134"/>
  <c r="Q1134"/>
  <c r="P1134"/>
  <c r="R1134"/>
  <c r="O1135"/>
  <c r="Q1135"/>
  <c r="P1135"/>
  <c r="R1135"/>
  <c r="O1137"/>
  <c r="Q1137"/>
  <c r="P1137"/>
  <c r="R1137"/>
  <c r="O1138"/>
  <c r="Q1138"/>
  <c r="P1138"/>
  <c r="R1138"/>
  <c r="O1139"/>
  <c r="Q1139"/>
  <c r="P1139"/>
  <c r="R1139"/>
  <c r="O1140"/>
  <c r="Q1140"/>
  <c r="P1140"/>
  <c r="R1140"/>
  <c r="O1141"/>
  <c r="Q1141"/>
  <c r="P1141"/>
  <c r="R1141"/>
  <c r="O1142"/>
  <c r="Q1142"/>
  <c r="P1142"/>
  <c r="R1142"/>
  <c r="O1143"/>
  <c r="Q1143"/>
  <c r="P1143"/>
  <c r="R1143"/>
  <c r="O1144"/>
  <c r="Q1144"/>
  <c r="P1144"/>
  <c r="R1144"/>
  <c r="O1145"/>
  <c r="Q1145"/>
  <c r="P1145"/>
  <c r="R1145"/>
  <c r="O1146"/>
  <c r="Q1146"/>
  <c r="P1146"/>
  <c r="R1146"/>
  <c r="O1147"/>
  <c r="Q1147"/>
  <c r="P1147"/>
  <c r="R1147"/>
  <c r="O1148"/>
  <c r="Q1148"/>
  <c r="P1148"/>
  <c r="R1148"/>
  <c r="O1149"/>
  <c r="Q1149"/>
  <c r="P1149"/>
  <c r="R1149"/>
  <c r="O1150"/>
  <c r="Q1150"/>
  <c r="P1150"/>
  <c r="R1150"/>
  <c r="O1151"/>
  <c r="Q1151"/>
  <c r="P1151"/>
  <c r="R1151"/>
  <c r="O1152"/>
  <c r="Q1152"/>
  <c r="P1152"/>
  <c r="R1152"/>
  <c r="O1153"/>
  <c r="Q1153"/>
  <c r="P1153"/>
  <c r="R1153"/>
  <c r="O1154"/>
  <c r="Q1154"/>
  <c r="P1154"/>
  <c r="R1154"/>
  <c r="O1155"/>
  <c r="Q1155"/>
  <c r="P1155"/>
  <c r="R1155"/>
  <c r="O1156"/>
  <c r="Q1156"/>
  <c r="P1156"/>
  <c r="R1156"/>
  <c r="O1157"/>
  <c r="Q1157"/>
  <c r="P1157"/>
  <c r="R1157"/>
  <c r="O1158"/>
  <c r="Q1158"/>
  <c r="P1158"/>
  <c r="R1158"/>
  <c r="O1159"/>
  <c r="Q1159"/>
  <c r="P1159"/>
  <c r="R1159"/>
  <c r="O1160"/>
  <c r="Q1160"/>
  <c r="P1160"/>
  <c r="R1160"/>
  <c r="O1161"/>
  <c r="Q1161"/>
  <c r="P1161"/>
  <c r="R1161"/>
  <c r="O1162"/>
  <c r="Q1162"/>
  <c r="P1162"/>
  <c r="R1162"/>
  <c r="O1163"/>
  <c r="Q1163"/>
  <c r="P1163"/>
  <c r="R1163"/>
  <c r="O1164"/>
  <c r="Q1164"/>
  <c r="P1164"/>
  <c r="R1164"/>
  <c r="O1165"/>
  <c r="Q1165"/>
  <c r="P1165"/>
  <c r="R1165"/>
  <c r="O1166"/>
  <c r="Q1166"/>
  <c r="P1166"/>
  <c r="R1166"/>
  <c r="O1167"/>
  <c r="Q1167"/>
  <c r="P1167"/>
  <c r="R1167"/>
  <c r="O1168"/>
  <c r="Q1168"/>
  <c r="P1168"/>
  <c r="R1168"/>
  <c r="O1169"/>
  <c r="Q1169"/>
  <c r="P1169"/>
  <c r="R1169"/>
  <c r="O1170"/>
  <c r="Q1170"/>
  <c r="P1170"/>
  <c r="R1170"/>
  <c r="O1171"/>
  <c r="Q1171"/>
  <c r="P1171"/>
  <c r="R1171"/>
  <c r="O1172"/>
  <c r="Q1172"/>
  <c r="P1172"/>
  <c r="R1172"/>
  <c r="O1173"/>
  <c r="Q1173"/>
  <c r="P1173"/>
  <c r="R1173"/>
  <c r="O1174"/>
  <c r="Q1174"/>
  <c r="P1174"/>
  <c r="R1174"/>
  <c r="O1175"/>
  <c r="Q1175"/>
  <c r="P1175"/>
  <c r="R1175"/>
  <c r="O1176"/>
  <c r="Q1176"/>
  <c r="P1176"/>
  <c r="R1176"/>
  <c r="O1177"/>
  <c r="Q1177"/>
  <c r="P1177"/>
  <c r="R1177"/>
  <c r="O1178"/>
  <c r="Q1178"/>
  <c r="P1178"/>
  <c r="R1178"/>
  <c r="O1179"/>
  <c r="Q1179"/>
  <c r="P1179"/>
  <c r="R1179"/>
  <c r="O1180"/>
  <c r="Q1180"/>
  <c r="P1180"/>
  <c r="R1180"/>
  <c r="O1181"/>
  <c r="Q1181"/>
  <c r="P1181"/>
  <c r="R1181"/>
  <c r="O1182"/>
  <c r="Q1182"/>
  <c r="P1182"/>
  <c r="R1182"/>
  <c r="O1184"/>
  <c r="Q1184"/>
  <c r="P1184"/>
  <c r="R1184"/>
  <c r="O1185"/>
  <c r="Q1185"/>
  <c r="P1185"/>
  <c r="R1185"/>
  <c r="O1186"/>
  <c r="Q1186"/>
  <c r="P1186"/>
  <c r="R1186"/>
  <c r="O1187"/>
  <c r="Q1187"/>
  <c r="P1187"/>
  <c r="R1187"/>
  <c r="O1188"/>
  <c r="Q1188"/>
  <c r="P1188"/>
  <c r="R1188"/>
  <c r="O1189"/>
  <c r="Q1189"/>
  <c r="P1189"/>
  <c r="R1189"/>
  <c r="O1190"/>
  <c r="Q1190"/>
  <c r="P1190"/>
  <c r="R1190"/>
  <c r="O1191"/>
  <c r="Q1191"/>
  <c r="P1191"/>
  <c r="R1191"/>
  <c r="O1192"/>
  <c r="Q1192"/>
  <c r="P1192"/>
  <c r="R1192"/>
  <c r="O1193"/>
  <c r="Q1193"/>
  <c r="P1193"/>
  <c r="R1193"/>
  <c r="O1194"/>
  <c r="Q1194"/>
  <c r="P1194"/>
  <c r="R1194"/>
  <c r="O1195"/>
  <c r="Q1195"/>
  <c r="P1195"/>
  <c r="R1195"/>
  <c r="O1196"/>
  <c r="Q1196"/>
  <c r="P1196"/>
  <c r="R1196"/>
  <c r="O1197"/>
  <c r="Q1197"/>
  <c r="P1197"/>
  <c r="R1197"/>
  <c r="O1198"/>
  <c r="Q1198"/>
  <c r="P1198"/>
  <c r="R1198"/>
  <c r="O1199"/>
  <c r="Q1199"/>
  <c r="P1199"/>
  <c r="R1199"/>
  <c r="O1200"/>
  <c r="Q1200"/>
  <c r="P1200"/>
  <c r="R1200"/>
  <c r="O1202"/>
  <c r="Q1202"/>
  <c r="P1202"/>
  <c r="R1202"/>
  <c r="O1203"/>
  <c r="Q1203"/>
  <c r="P1203"/>
  <c r="R1203"/>
  <c r="O1204"/>
  <c r="Q1204"/>
  <c r="P1204"/>
  <c r="R1204"/>
  <c r="O1206"/>
  <c r="Q1206"/>
  <c r="P1206"/>
  <c r="R1206"/>
  <c r="O1207"/>
  <c r="Q1207"/>
  <c r="P1207"/>
  <c r="R1207"/>
  <c r="O1208"/>
  <c r="Q1208"/>
  <c r="P1208"/>
  <c r="R1208"/>
  <c r="O1209"/>
  <c r="Q1209"/>
  <c r="P1209"/>
  <c r="R1209"/>
  <c r="O1210"/>
  <c r="Q1210"/>
  <c r="P1210"/>
  <c r="R1210"/>
  <c r="O1211"/>
  <c r="Q1211"/>
  <c r="P1211"/>
  <c r="R1211"/>
  <c r="O1212"/>
  <c r="Q1212"/>
  <c r="P1212"/>
  <c r="R1212"/>
  <c r="O1213"/>
  <c r="Q1213"/>
  <c r="P1213"/>
  <c r="R1213"/>
  <c r="O1214"/>
  <c r="Q1214"/>
  <c r="P1214"/>
  <c r="R1214"/>
  <c r="O1215"/>
  <c r="Q1215"/>
  <c r="P1215"/>
  <c r="R1215"/>
  <c r="O1216"/>
  <c r="Q1216"/>
  <c r="P1216"/>
  <c r="R1216"/>
  <c r="O1217"/>
  <c r="Q1217"/>
  <c r="P1217"/>
  <c r="R1217"/>
  <c r="O1218"/>
  <c r="Q1218"/>
  <c r="P1218"/>
  <c r="R1218"/>
  <c r="O1219"/>
  <c r="Q1219"/>
  <c r="P1219"/>
  <c r="R1219"/>
  <c r="O1222"/>
  <c r="Q1222"/>
  <c r="P1222"/>
  <c r="R1222"/>
  <c r="O1223"/>
  <c r="Q1223"/>
  <c r="P1223"/>
  <c r="R1223"/>
  <c r="O1224"/>
  <c r="Q1224"/>
  <c r="P1224"/>
  <c r="R1224"/>
  <c r="O1225"/>
  <c r="Q1225"/>
  <c r="P1225"/>
  <c r="R1225"/>
  <c r="R1023"/>
  <c r="P1023"/>
  <c r="Q1023"/>
  <c r="O1023"/>
  <c r="R1021"/>
  <c r="P1021"/>
  <c r="Q1021"/>
  <c r="O1021"/>
  <c r="R1020"/>
  <c r="P1020"/>
  <c r="Q1020"/>
  <c r="O1020"/>
  <c r="O934"/>
  <c r="Q934"/>
  <c r="P934"/>
  <c r="R934"/>
  <c r="O935"/>
  <c r="Q935"/>
  <c r="P935"/>
  <c r="R935"/>
  <c r="O937"/>
  <c r="Q937"/>
  <c r="P937"/>
  <c r="R937"/>
  <c r="O938"/>
  <c r="Q938"/>
  <c r="P938"/>
  <c r="R938"/>
  <c r="O939"/>
  <c r="Q939"/>
  <c r="P939"/>
  <c r="R939"/>
  <c r="O940"/>
  <c r="Q940"/>
  <c r="P940"/>
  <c r="R940"/>
  <c r="O941"/>
  <c r="Q941"/>
  <c r="P941"/>
  <c r="R941"/>
  <c r="O942"/>
  <c r="Q942"/>
  <c r="P942"/>
  <c r="R942"/>
  <c r="O943"/>
  <c r="Q943"/>
  <c r="P943"/>
  <c r="R943"/>
  <c r="O944"/>
  <c r="Q944"/>
  <c r="P944"/>
  <c r="R944"/>
  <c r="O945"/>
  <c r="Q945"/>
  <c r="P945"/>
  <c r="R945"/>
  <c r="O946"/>
  <c r="Q946"/>
  <c r="P946"/>
  <c r="R946"/>
  <c r="O947"/>
  <c r="Q947"/>
  <c r="P947"/>
  <c r="R947"/>
  <c r="O948"/>
  <c r="Q948"/>
  <c r="P948"/>
  <c r="R948"/>
  <c r="O951"/>
  <c r="Q951"/>
  <c r="P951"/>
  <c r="R951"/>
  <c r="O952"/>
  <c r="Q952"/>
  <c r="P952"/>
  <c r="R952"/>
  <c r="O953"/>
  <c r="Q953"/>
  <c r="P953"/>
  <c r="R953"/>
  <c r="O954"/>
  <c r="Q954"/>
  <c r="P954"/>
  <c r="R954"/>
  <c r="O955"/>
  <c r="Q955"/>
  <c r="P955"/>
  <c r="R955"/>
  <c r="O956"/>
  <c r="Q956"/>
  <c r="P956"/>
  <c r="R956"/>
  <c r="O957"/>
  <c r="Q957"/>
  <c r="P957"/>
  <c r="R957"/>
  <c r="O958"/>
  <c r="Q958"/>
  <c r="P958"/>
  <c r="R958"/>
  <c r="O959"/>
  <c r="Q959"/>
  <c r="P959"/>
  <c r="R959"/>
  <c r="O960"/>
  <c r="Q960"/>
  <c r="P960"/>
  <c r="R960"/>
  <c r="O961"/>
  <c r="Q961"/>
  <c r="P961"/>
  <c r="R961"/>
  <c r="O962"/>
  <c r="Q962"/>
  <c r="P962"/>
  <c r="R962"/>
  <c r="O963"/>
  <c r="Q963"/>
  <c r="P963"/>
  <c r="R963"/>
  <c r="O964"/>
  <c r="Q964"/>
  <c r="P964"/>
  <c r="R964"/>
  <c r="O965"/>
  <c r="Q965"/>
  <c r="P965"/>
  <c r="R965"/>
  <c r="O966"/>
  <c r="Q966"/>
  <c r="P966"/>
  <c r="R966"/>
  <c r="O967"/>
  <c r="Q967"/>
  <c r="P967"/>
  <c r="R967"/>
  <c r="O968"/>
  <c r="Q968"/>
  <c r="P968"/>
  <c r="R968"/>
  <c r="O969"/>
  <c r="Q969"/>
  <c r="P969"/>
  <c r="R969"/>
  <c r="O970"/>
  <c r="Q970"/>
  <c r="P970"/>
  <c r="R970"/>
  <c r="O971"/>
  <c r="Q971"/>
  <c r="P971"/>
  <c r="R971"/>
  <c r="O972"/>
  <c r="Q972"/>
  <c r="P972"/>
  <c r="R972"/>
  <c r="O973"/>
  <c r="Q973"/>
  <c r="P973"/>
  <c r="R973"/>
  <c r="O974"/>
  <c r="Q974"/>
  <c r="P974"/>
  <c r="R974"/>
  <c r="O975"/>
  <c r="Q975"/>
  <c r="P975"/>
  <c r="R975"/>
  <c r="O976"/>
  <c r="Q976"/>
  <c r="P976"/>
  <c r="R976"/>
  <c r="O977"/>
  <c r="Q977"/>
  <c r="P977"/>
  <c r="R977"/>
  <c r="O978"/>
  <c r="Q978"/>
  <c r="P978"/>
  <c r="R978"/>
  <c r="O979"/>
  <c r="Q979"/>
  <c r="P979"/>
  <c r="R979"/>
  <c r="O980"/>
  <c r="Q980"/>
  <c r="P980"/>
  <c r="R980"/>
  <c r="O981"/>
  <c r="Q981"/>
  <c r="P981"/>
  <c r="R981"/>
  <c r="O982"/>
  <c r="Q982"/>
  <c r="P982"/>
  <c r="R982"/>
  <c r="O983"/>
  <c r="Q983"/>
  <c r="P983"/>
  <c r="R983"/>
  <c r="O984"/>
  <c r="Q984"/>
  <c r="P984"/>
  <c r="R984"/>
  <c r="O985"/>
  <c r="Q985"/>
  <c r="P985"/>
  <c r="R985"/>
  <c r="O986"/>
  <c r="Q986"/>
  <c r="P986"/>
  <c r="R986"/>
  <c r="O987"/>
  <c r="Q987"/>
  <c r="P987"/>
  <c r="R987"/>
  <c r="O988"/>
  <c r="Q988"/>
  <c r="P988"/>
  <c r="R988"/>
  <c r="O989"/>
  <c r="Q989"/>
  <c r="P989"/>
  <c r="R989"/>
  <c r="O990"/>
  <c r="Q990"/>
  <c r="P990"/>
  <c r="R990"/>
  <c r="O991"/>
  <c r="Q991"/>
  <c r="P991"/>
  <c r="R991"/>
  <c r="O992"/>
  <c r="Q992"/>
  <c r="P992"/>
  <c r="R992"/>
  <c r="O993"/>
  <c r="Q993"/>
  <c r="P993"/>
  <c r="R993"/>
  <c r="O994"/>
  <c r="Q994"/>
  <c r="P994"/>
  <c r="R994"/>
  <c r="O995"/>
  <c r="Q995"/>
  <c r="P995"/>
  <c r="R995"/>
  <c r="O996"/>
  <c r="Q996"/>
  <c r="P996"/>
  <c r="R996"/>
  <c r="O997"/>
  <c r="Q997"/>
  <c r="P997"/>
  <c r="R997"/>
  <c r="O998"/>
  <c r="Q998"/>
  <c r="P998"/>
  <c r="R998"/>
  <c r="O999"/>
  <c r="Q999"/>
  <c r="P999"/>
  <c r="R999"/>
  <c r="O1000"/>
  <c r="Q1000"/>
  <c r="P1000"/>
  <c r="R1000"/>
  <c r="O1001"/>
  <c r="Q1001"/>
  <c r="P1001"/>
  <c r="R1001"/>
  <c r="O1002"/>
  <c r="Q1002"/>
  <c r="P1002"/>
  <c r="R1002"/>
  <c r="O1003"/>
  <c r="Q1003"/>
  <c r="P1003"/>
  <c r="R1003"/>
  <c r="O1005"/>
  <c r="Q1005"/>
  <c r="P1005"/>
  <c r="R1005"/>
  <c r="O1006"/>
  <c r="Q1006"/>
  <c r="P1006"/>
  <c r="R1006"/>
  <c r="O1007"/>
  <c r="Q1007"/>
  <c r="P1007"/>
  <c r="R1007"/>
  <c r="O1008"/>
  <c r="Q1008"/>
  <c r="P1008"/>
  <c r="R1008"/>
  <c r="O1009"/>
  <c r="Q1009"/>
  <c r="P1009"/>
  <c r="R1009"/>
  <c r="O1010"/>
  <c r="Q1010"/>
  <c r="P1010"/>
  <c r="R1010"/>
  <c r="O1011"/>
  <c r="Q1011"/>
  <c r="P1011"/>
  <c r="R1011"/>
  <c r="O1012"/>
  <c r="Q1012"/>
  <c r="P1012"/>
  <c r="R1012"/>
  <c r="O1013"/>
  <c r="Q1013"/>
  <c r="P1013"/>
  <c r="R1013"/>
  <c r="O1014"/>
  <c r="Q1014"/>
  <c r="P1014"/>
  <c r="R1014"/>
  <c r="O1015"/>
  <c r="Q1015"/>
  <c r="P1015"/>
  <c r="R1015"/>
  <c r="O1016"/>
  <c r="Q1016"/>
  <c r="P1016"/>
  <c r="R1016"/>
  <c r="O1017"/>
  <c r="Q1017"/>
  <c r="P1017"/>
  <c r="R1017"/>
  <c r="R932"/>
  <c r="P932"/>
  <c r="Q932"/>
  <c r="O932"/>
  <c r="R931"/>
  <c r="P931"/>
  <c r="Q931"/>
  <c r="O931"/>
  <c r="R930"/>
  <c r="P930"/>
  <c r="Q930"/>
  <c r="O930"/>
  <c r="O812"/>
  <c r="Q812"/>
  <c r="P812"/>
  <c r="R812"/>
  <c r="O814"/>
  <c r="Q814"/>
  <c r="P814"/>
  <c r="R814"/>
  <c r="O815"/>
  <c r="Q815"/>
  <c r="P815"/>
  <c r="R815"/>
  <c r="O816"/>
  <c r="Q816"/>
  <c r="P816"/>
  <c r="R816"/>
  <c r="O817"/>
  <c r="Q817"/>
  <c r="P817"/>
  <c r="R817"/>
  <c r="O818"/>
  <c r="Q818"/>
  <c r="P818"/>
  <c r="R818"/>
  <c r="O819"/>
  <c r="Q819"/>
  <c r="P819"/>
  <c r="R819"/>
  <c r="O820"/>
  <c r="Q820"/>
  <c r="P820"/>
  <c r="R820"/>
  <c r="O821"/>
  <c r="Q821"/>
  <c r="P821"/>
  <c r="R821"/>
  <c r="O822"/>
  <c r="Q822"/>
  <c r="P822"/>
  <c r="R822"/>
  <c r="O824"/>
  <c r="Q824"/>
  <c r="P824"/>
  <c r="R824"/>
  <c r="O825"/>
  <c r="Q825"/>
  <c r="P825"/>
  <c r="R825"/>
  <c r="O826"/>
  <c r="Q826"/>
  <c r="P826"/>
  <c r="R826"/>
  <c r="O827"/>
  <c r="Q827"/>
  <c r="P827"/>
  <c r="R827"/>
  <c r="O828"/>
  <c r="Q828"/>
  <c r="P828"/>
  <c r="R828"/>
  <c r="O829"/>
  <c r="Q829"/>
  <c r="P829"/>
  <c r="R829"/>
  <c r="O830"/>
  <c r="Q830"/>
  <c r="P830"/>
  <c r="R830"/>
  <c r="O831"/>
  <c r="Q831"/>
  <c r="P831"/>
  <c r="R831"/>
  <c r="O832"/>
  <c r="Q832"/>
  <c r="P832"/>
  <c r="R832"/>
  <c r="O833"/>
  <c r="Q833"/>
  <c r="P833"/>
  <c r="R833"/>
  <c r="O834"/>
  <c r="Q834"/>
  <c r="P834"/>
  <c r="R834"/>
  <c r="O835"/>
  <c r="Q835"/>
  <c r="P835"/>
  <c r="R835"/>
  <c r="O836"/>
  <c r="Q836"/>
  <c r="P836"/>
  <c r="R836"/>
  <c r="O837"/>
  <c r="Q837"/>
  <c r="P837"/>
  <c r="R837"/>
  <c r="O838"/>
  <c r="Q838"/>
  <c r="P838"/>
  <c r="R838"/>
  <c r="O839"/>
  <c r="Q839"/>
  <c r="P839"/>
  <c r="R839"/>
  <c r="O840"/>
  <c r="Q840"/>
  <c r="P840"/>
  <c r="R840"/>
  <c r="O841"/>
  <c r="Q841"/>
  <c r="P841"/>
  <c r="R841"/>
  <c r="O842"/>
  <c r="Q842"/>
  <c r="P842"/>
  <c r="R842"/>
  <c r="O843"/>
  <c r="Q843"/>
  <c r="P843"/>
  <c r="R843"/>
  <c r="O844"/>
  <c r="Q844"/>
  <c r="P844"/>
  <c r="R844"/>
  <c r="O845"/>
  <c r="Q845"/>
  <c r="P845"/>
  <c r="R845"/>
  <c r="O846"/>
  <c r="Q846"/>
  <c r="P846"/>
  <c r="R846"/>
  <c r="O847"/>
  <c r="Q847"/>
  <c r="P847"/>
  <c r="R847"/>
  <c r="O848"/>
  <c r="Q848"/>
  <c r="P848"/>
  <c r="R848"/>
  <c r="O849"/>
  <c r="Q849"/>
  <c r="P849"/>
  <c r="R849"/>
  <c r="O850"/>
  <c r="Q850"/>
  <c r="P850"/>
  <c r="R850"/>
  <c r="O851"/>
  <c r="Q851"/>
  <c r="P851"/>
  <c r="R851"/>
  <c r="O852"/>
  <c r="Q852"/>
  <c r="P852"/>
  <c r="R852"/>
  <c r="O853"/>
  <c r="Q853"/>
  <c r="P853"/>
  <c r="R853"/>
  <c r="O854"/>
  <c r="Q854"/>
  <c r="P854"/>
  <c r="R854"/>
  <c r="O855"/>
  <c r="Q855"/>
  <c r="P855"/>
  <c r="R855"/>
  <c r="O856"/>
  <c r="Q856"/>
  <c r="P856"/>
  <c r="R856"/>
  <c r="O857"/>
  <c r="Q857"/>
  <c r="P857"/>
  <c r="R857"/>
  <c r="O858"/>
  <c r="Q858"/>
  <c r="P858"/>
  <c r="R858"/>
  <c r="O859"/>
  <c r="Q859"/>
  <c r="P859"/>
  <c r="R859"/>
  <c r="O860"/>
  <c r="Q860"/>
  <c r="P860"/>
  <c r="R860"/>
  <c r="O861"/>
  <c r="Q861"/>
  <c r="P861"/>
  <c r="R861"/>
  <c r="O862"/>
  <c r="Q862"/>
  <c r="P862"/>
  <c r="R862"/>
  <c r="O863"/>
  <c r="Q863"/>
  <c r="P863"/>
  <c r="R863"/>
  <c r="O864"/>
  <c r="Q864"/>
  <c r="P864"/>
  <c r="R864"/>
  <c r="O865"/>
  <c r="Q865"/>
  <c r="P865"/>
  <c r="R865"/>
  <c r="O866"/>
  <c r="Q866"/>
  <c r="P866"/>
  <c r="R866"/>
  <c r="O867"/>
  <c r="Q867"/>
  <c r="P867"/>
  <c r="R867"/>
  <c r="O868"/>
  <c r="Q868"/>
  <c r="P868"/>
  <c r="R868"/>
  <c r="O869"/>
  <c r="Q869"/>
  <c r="P869"/>
  <c r="R869"/>
  <c r="O871"/>
  <c r="Q871"/>
  <c r="P871"/>
  <c r="R871"/>
  <c r="O872"/>
  <c r="Q872"/>
  <c r="P872"/>
  <c r="R872"/>
  <c r="O873"/>
  <c r="Q873"/>
  <c r="P873"/>
  <c r="R873"/>
  <c r="O874"/>
  <c r="Q874"/>
  <c r="P874"/>
  <c r="R874"/>
  <c r="O875"/>
  <c r="Q875"/>
  <c r="P875"/>
  <c r="R875"/>
  <c r="O876"/>
  <c r="Q876"/>
  <c r="P876"/>
  <c r="R876"/>
  <c r="O877"/>
  <c r="Q877"/>
  <c r="P877"/>
  <c r="R877"/>
  <c r="O878"/>
  <c r="Q878"/>
  <c r="P878"/>
  <c r="R878"/>
  <c r="O879"/>
  <c r="Q879"/>
  <c r="P879"/>
  <c r="R879"/>
  <c r="O880"/>
  <c r="Q880"/>
  <c r="P880"/>
  <c r="R880"/>
  <c r="O881"/>
  <c r="Q881"/>
  <c r="P881"/>
  <c r="R881"/>
  <c r="O882"/>
  <c r="Q882"/>
  <c r="P882"/>
  <c r="R882"/>
  <c r="O883"/>
  <c r="Q883"/>
  <c r="P883"/>
  <c r="R883"/>
  <c r="O884"/>
  <c r="Q884"/>
  <c r="P884"/>
  <c r="R884"/>
  <c r="O885"/>
  <c r="Q885"/>
  <c r="P885"/>
  <c r="R885"/>
  <c r="O886"/>
  <c r="Q886"/>
  <c r="P886"/>
  <c r="R886"/>
  <c r="O887"/>
  <c r="Q887"/>
  <c r="P887"/>
  <c r="R887"/>
  <c r="O888"/>
  <c r="Q888"/>
  <c r="P888"/>
  <c r="R888"/>
  <c r="O889"/>
  <c r="Q889"/>
  <c r="P889"/>
  <c r="R889"/>
  <c r="O890"/>
  <c r="Q890"/>
  <c r="P890"/>
  <c r="R890"/>
  <c r="O891"/>
  <c r="Q891"/>
  <c r="P891"/>
  <c r="R891"/>
  <c r="O892"/>
  <c r="Q892"/>
  <c r="P892"/>
  <c r="R892"/>
  <c r="O893"/>
  <c r="Q893"/>
  <c r="P893"/>
  <c r="R893"/>
  <c r="O894"/>
  <c r="Q894"/>
  <c r="P894"/>
  <c r="R894"/>
  <c r="O895"/>
  <c r="Q895"/>
  <c r="P895"/>
  <c r="R895"/>
  <c r="O896"/>
  <c r="Q896"/>
  <c r="P896"/>
  <c r="R896"/>
  <c r="O897"/>
  <c r="Q897"/>
  <c r="P897"/>
  <c r="R897"/>
  <c r="O898"/>
  <c r="Q898"/>
  <c r="P898"/>
  <c r="R898"/>
  <c r="O899"/>
  <c r="Q899"/>
  <c r="P899"/>
  <c r="R899"/>
  <c r="O900"/>
  <c r="Q900"/>
  <c r="P900"/>
  <c r="R900"/>
  <c r="O901"/>
  <c r="Q901"/>
  <c r="P901"/>
  <c r="R901"/>
  <c r="O902"/>
  <c r="Q902"/>
  <c r="P902"/>
  <c r="R902"/>
  <c r="O903"/>
  <c r="Q903"/>
  <c r="P903"/>
  <c r="R903"/>
  <c r="O904"/>
  <c r="Q904"/>
  <c r="P904"/>
  <c r="R904"/>
  <c r="O905"/>
  <c r="Q905"/>
  <c r="P905"/>
  <c r="R905"/>
  <c r="O906"/>
  <c r="Q906"/>
  <c r="P906"/>
  <c r="R906"/>
  <c r="O907"/>
  <c r="Q907"/>
  <c r="P907"/>
  <c r="R907"/>
  <c r="O908"/>
  <c r="Q908"/>
  <c r="P908"/>
  <c r="R908"/>
  <c r="O909"/>
  <c r="Q909"/>
  <c r="P909"/>
  <c r="R909"/>
  <c r="O910"/>
  <c r="Q910"/>
  <c r="P910"/>
  <c r="R910"/>
  <c r="O911"/>
  <c r="Q911"/>
  <c r="P911"/>
  <c r="R911"/>
  <c r="O912"/>
  <c r="Q912"/>
  <c r="P912"/>
  <c r="R912"/>
  <c r="O913"/>
  <c r="Q913"/>
  <c r="P913"/>
  <c r="R913"/>
  <c r="O914"/>
  <c r="Q914"/>
  <c r="P914"/>
  <c r="R914"/>
  <c r="O915"/>
  <c r="Q915"/>
  <c r="P915"/>
  <c r="R915"/>
  <c r="O916"/>
  <c r="Q916"/>
  <c r="P916"/>
  <c r="R916"/>
  <c r="O917"/>
  <c r="Q917"/>
  <c r="P917"/>
  <c r="R917"/>
  <c r="O918"/>
  <c r="Q918"/>
  <c r="P918"/>
  <c r="R918"/>
  <c r="O919"/>
  <c r="Q919"/>
  <c r="P919"/>
  <c r="R919"/>
  <c r="O920"/>
  <c r="Q920"/>
  <c r="P920"/>
  <c r="R920"/>
  <c r="O921"/>
  <c r="Q921"/>
  <c r="P921"/>
  <c r="R921"/>
  <c r="O922"/>
  <c r="Q922"/>
  <c r="P922"/>
  <c r="R922"/>
  <c r="O923"/>
  <c r="Q923"/>
  <c r="P923"/>
  <c r="R923"/>
  <c r="O924"/>
  <c r="Q924"/>
  <c r="P924"/>
  <c r="R924"/>
  <c r="O925"/>
  <c r="Q925"/>
  <c r="P925"/>
  <c r="R925"/>
  <c r="O926"/>
  <c r="Q926"/>
  <c r="P926"/>
  <c r="R926"/>
  <c r="O927"/>
  <c r="Q927"/>
  <c r="P927"/>
  <c r="R927"/>
  <c r="R811"/>
  <c r="P811"/>
  <c r="Q811"/>
  <c r="O811"/>
  <c r="R810"/>
  <c r="P810"/>
  <c r="Q810"/>
  <c r="O810"/>
  <c r="R809"/>
  <c r="P809"/>
  <c r="Q809"/>
  <c r="O809"/>
  <c r="O716"/>
  <c r="Q716"/>
  <c r="P716"/>
  <c r="R716"/>
  <c r="O717"/>
  <c r="Q717"/>
  <c r="P717"/>
  <c r="R717"/>
  <c r="O718"/>
  <c r="Q718"/>
  <c r="P718"/>
  <c r="R718"/>
  <c r="O719"/>
  <c r="Q719"/>
  <c r="P719"/>
  <c r="R719"/>
  <c r="O720"/>
  <c r="Q720"/>
  <c r="P720"/>
  <c r="R720"/>
  <c r="O721"/>
  <c r="Q721"/>
  <c r="P721"/>
  <c r="R721"/>
  <c r="O722"/>
  <c r="Q722"/>
  <c r="P722"/>
  <c r="R722"/>
  <c r="O723"/>
  <c r="Q723"/>
  <c r="P723"/>
  <c r="R723"/>
  <c r="O724"/>
  <c r="Q724"/>
  <c r="P724"/>
  <c r="R724"/>
  <c r="O725"/>
  <c r="Q725"/>
  <c r="P725"/>
  <c r="R725"/>
  <c r="O726"/>
  <c r="Q726"/>
  <c r="P726"/>
  <c r="R726"/>
  <c r="O727"/>
  <c r="Q727"/>
  <c r="P727"/>
  <c r="R727"/>
  <c r="O729"/>
  <c r="Q729"/>
  <c r="P729"/>
  <c r="R729"/>
  <c r="O730"/>
  <c r="Q730"/>
  <c r="P730"/>
  <c r="R730"/>
  <c r="O731"/>
  <c r="Q731"/>
  <c r="P731"/>
  <c r="R731"/>
  <c r="O732"/>
  <c r="Q732"/>
  <c r="P732"/>
  <c r="R732"/>
  <c r="O733"/>
  <c r="Q733"/>
  <c r="P733"/>
  <c r="R733"/>
  <c r="O734"/>
  <c r="Q734"/>
  <c r="P734"/>
  <c r="R734"/>
  <c r="O735"/>
  <c r="Q735"/>
  <c r="P735"/>
  <c r="R735"/>
  <c r="O737"/>
  <c r="Q737"/>
  <c r="P737"/>
  <c r="R737"/>
  <c r="O738"/>
  <c r="Q738"/>
  <c r="P738"/>
  <c r="R738"/>
  <c r="O739"/>
  <c r="Q739"/>
  <c r="P739"/>
  <c r="R739"/>
  <c r="O740"/>
  <c r="Q740"/>
  <c r="P740"/>
  <c r="R740"/>
  <c r="O741"/>
  <c r="Q741"/>
  <c r="P741"/>
  <c r="R741"/>
  <c r="O742"/>
  <c r="Q742"/>
  <c r="P742"/>
  <c r="R742"/>
  <c r="O744"/>
  <c r="Q744"/>
  <c r="P744"/>
  <c r="R744"/>
  <c r="O745"/>
  <c r="Q745"/>
  <c r="P745"/>
  <c r="R745"/>
  <c r="O746"/>
  <c r="Q746"/>
  <c r="P746"/>
  <c r="R746"/>
  <c r="O747"/>
  <c r="Q747"/>
  <c r="P747"/>
  <c r="R747"/>
  <c r="O748"/>
  <c r="Q748"/>
  <c r="P748"/>
  <c r="R748"/>
  <c r="O749"/>
  <c r="Q749"/>
  <c r="P749"/>
  <c r="R749"/>
  <c r="O750"/>
  <c r="Q750"/>
  <c r="P750"/>
  <c r="R750"/>
  <c r="O751"/>
  <c r="Q751"/>
  <c r="P751"/>
  <c r="R751"/>
  <c r="O752"/>
  <c r="Q752"/>
  <c r="P752"/>
  <c r="R752"/>
  <c r="O753"/>
  <c r="Q753"/>
  <c r="P753"/>
  <c r="R753"/>
  <c r="O754"/>
  <c r="Q754"/>
  <c r="P754"/>
  <c r="R754"/>
  <c r="O755"/>
  <c r="Q755"/>
  <c r="P755"/>
  <c r="R755"/>
  <c r="O756"/>
  <c r="Q756"/>
  <c r="P756"/>
  <c r="R756"/>
  <c r="O757"/>
  <c r="Q757"/>
  <c r="P757"/>
  <c r="R757"/>
  <c r="O758"/>
  <c r="Q758"/>
  <c r="P758"/>
  <c r="R758"/>
  <c r="O759"/>
  <c r="Q759"/>
  <c r="P759"/>
  <c r="R759"/>
  <c r="O760"/>
  <c r="Q760"/>
  <c r="P760"/>
  <c r="R760"/>
  <c r="O761"/>
  <c r="Q761"/>
  <c r="P761"/>
  <c r="R761"/>
  <c r="O762"/>
  <c r="Q762"/>
  <c r="P762"/>
  <c r="R762"/>
  <c r="O763"/>
  <c r="Q763"/>
  <c r="P763"/>
  <c r="R763"/>
  <c r="O764"/>
  <c r="Q764"/>
  <c r="P764"/>
  <c r="R764"/>
  <c r="O766"/>
  <c r="Q766"/>
  <c r="P766"/>
  <c r="R766"/>
  <c r="O767"/>
  <c r="Q767"/>
  <c r="P767"/>
  <c r="R767"/>
  <c r="O768"/>
  <c r="Q768"/>
  <c r="P768"/>
  <c r="R768"/>
  <c r="O769"/>
  <c r="Q769"/>
  <c r="P769"/>
  <c r="R769"/>
  <c r="O770"/>
  <c r="Q770"/>
  <c r="P770"/>
  <c r="R770"/>
  <c r="O771"/>
  <c r="Q771"/>
  <c r="P771"/>
  <c r="R771"/>
  <c r="O772"/>
  <c r="Q772"/>
  <c r="P772"/>
  <c r="R772"/>
  <c r="O773"/>
  <c r="Q773"/>
  <c r="P773"/>
  <c r="R773"/>
  <c r="O774"/>
  <c r="Q774"/>
  <c r="P774"/>
  <c r="R774"/>
  <c r="O775"/>
  <c r="Q775"/>
  <c r="P775"/>
  <c r="R775"/>
  <c r="O776"/>
  <c r="Q776"/>
  <c r="P776"/>
  <c r="R776"/>
  <c r="O777"/>
  <c r="Q777"/>
  <c r="P777"/>
  <c r="R777"/>
  <c r="O778"/>
  <c r="Q778"/>
  <c r="P778"/>
  <c r="R778"/>
  <c r="O779"/>
  <c r="Q779"/>
  <c r="P779"/>
  <c r="R779"/>
  <c r="O781"/>
  <c r="Q781"/>
  <c r="P781"/>
  <c r="R781"/>
  <c r="O782"/>
  <c r="Q782"/>
  <c r="P782"/>
  <c r="R782"/>
  <c r="O783"/>
  <c r="Q783"/>
  <c r="P783"/>
  <c r="R783"/>
  <c r="O784"/>
  <c r="Q784"/>
  <c r="P784"/>
  <c r="R784"/>
  <c r="O785"/>
  <c r="Q785"/>
  <c r="P785"/>
  <c r="R785"/>
  <c r="O786"/>
  <c r="Q786"/>
  <c r="P786"/>
  <c r="R786"/>
  <c r="O787"/>
  <c r="Q787"/>
  <c r="P787"/>
  <c r="R787"/>
  <c r="O788"/>
  <c r="Q788"/>
  <c r="P788"/>
  <c r="R788"/>
  <c r="O789"/>
  <c r="Q789"/>
  <c r="P789"/>
  <c r="R789"/>
  <c r="O790"/>
  <c r="Q790"/>
  <c r="P790"/>
  <c r="R790"/>
  <c r="O791"/>
  <c r="Q791"/>
  <c r="P791"/>
  <c r="R791"/>
  <c r="O792"/>
  <c r="Q792"/>
  <c r="P792"/>
  <c r="R792"/>
  <c r="O793"/>
  <c r="Q793"/>
  <c r="P793"/>
  <c r="R793"/>
  <c r="O794"/>
  <c r="Q794"/>
  <c r="P794"/>
  <c r="R794"/>
  <c r="O795"/>
  <c r="Q795"/>
  <c r="P795"/>
  <c r="R795"/>
  <c r="O796"/>
  <c r="Q796"/>
  <c r="P796"/>
  <c r="R796"/>
  <c r="O797"/>
  <c r="Q797"/>
  <c r="P797"/>
  <c r="R797"/>
  <c r="O798"/>
  <c r="Q798"/>
  <c r="P798"/>
  <c r="R798"/>
  <c r="O799"/>
  <c r="Q799"/>
  <c r="P799"/>
  <c r="R799"/>
  <c r="O800"/>
  <c r="Q800"/>
  <c r="P800"/>
  <c r="R800"/>
  <c r="O801"/>
  <c r="Q801"/>
  <c r="P801"/>
  <c r="R801"/>
  <c r="O802"/>
  <c r="Q802"/>
  <c r="P802"/>
  <c r="R802"/>
  <c r="O803"/>
  <c r="Q803"/>
  <c r="P803"/>
  <c r="R803"/>
  <c r="O804"/>
  <c r="Q804"/>
  <c r="P804"/>
  <c r="R804"/>
  <c r="O805"/>
  <c r="Q805"/>
  <c r="P805"/>
  <c r="R805"/>
  <c r="O806"/>
  <c r="Q806"/>
  <c r="P806"/>
  <c r="R806"/>
  <c r="R714"/>
  <c r="P714"/>
  <c r="Q714"/>
  <c r="O714"/>
  <c r="R713"/>
  <c r="P713"/>
  <c r="Q713"/>
  <c r="O713"/>
  <c r="R711"/>
  <c r="P711"/>
  <c r="Q711"/>
  <c r="O711"/>
  <c r="R710"/>
  <c r="P710"/>
  <c r="Q710"/>
  <c r="O710"/>
  <c r="R709"/>
  <c r="P709"/>
  <c r="Q709"/>
  <c r="O709"/>
  <c r="R708"/>
  <c r="P708"/>
  <c r="Q708"/>
  <c r="O708"/>
  <c r="R707"/>
  <c r="P707"/>
  <c r="Q707"/>
  <c r="O707"/>
  <c r="R706"/>
  <c r="P706"/>
  <c r="Q706"/>
  <c r="O706"/>
  <c r="R705"/>
  <c r="P705"/>
  <c r="Q705"/>
  <c r="O705"/>
  <c r="R704"/>
  <c r="P704"/>
  <c r="Q704"/>
  <c r="O704"/>
  <c r="R703"/>
  <c r="P703"/>
  <c r="Q703"/>
  <c r="O703"/>
  <c r="R702"/>
  <c r="P702"/>
  <c r="Q702"/>
  <c r="O702"/>
  <c r="R701"/>
  <c r="P701"/>
  <c r="Q701"/>
  <c r="O701"/>
  <c r="R700"/>
  <c r="P700"/>
  <c r="Q700"/>
  <c r="O700"/>
  <c r="R699"/>
  <c r="P699"/>
  <c r="Q699"/>
  <c r="O699"/>
  <c r="O681"/>
  <c r="Q681"/>
  <c r="P681"/>
  <c r="R681"/>
  <c r="O682"/>
  <c r="Q682"/>
  <c r="P682"/>
  <c r="R682"/>
  <c r="O683"/>
  <c r="Q683"/>
  <c r="P683"/>
  <c r="R683"/>
  <c r="O684"/>
  <c r="Q684"/>
  <c r="P684"/>
  <c r="R684"/>
  <c r="O685"/>
  <c r="Q685"/>
  <c r="P685"/>
  <c r="R685"/>
  <c r="O686"/>
  <c r="Q686"/>
  <c r="P686"/>
  <c r="R686"/>
  <c r="O688"/>
  <c r="Q688"/>
  <c r="P688"/>
  <c r="R688"/>
  <c r="O689"/>
  <c r="Q689"/>
  <c r="P689"/>
  <c r="R689"/>
  <c r="O690"/>
  <c r="Q690"/>
  <c r="P690"/>
  <c r="R690"/>
  <c r="O691"/>
  <c r="Q691"/>
  <c r="P691"/>
  <c r="R691"/>
  <c r="O692"/>
  <c r="Q692"/>
  <c r="P692"/>
  <c r="R692"/>
  <c r="O694"/>
  <c r="Q694"/>
  <c r="P694"/>
  <c r="R694"/>
  <c r="O695"/>
  <c r="Q695"/>
  <c r="P695"/>
  <c r="R695"/>
  <c r="O696"/>
  <c r="Q696"/>
  <c r="P696"/>
  <c r="R696"/>
  <c r="R680"/>
  <c r="P680"/>
  <c r="Q680"/>
  <c r="O680"/>
  <c r="O534"/>
  <c r="Q534"/>
  <c r="P534"/>
  <c r="R534"/>
  <c r="O535"/>
  <c r="Q535"/>
  <c r="P535"/>
  <c r="R535"/>
  <c r="O536"/>
  <c r="Q536"/>
  <c r="P536"/>
  <c r="R536"/>
  <c r="O537"/>
  <c r="Q537"/>
  <c r="P537"/>
  <c r="R537"/>
  <c r="O538"/>
  <c r="Q538"/>
  <c r="P538"/>
  <c r="R538"/>
  <c r="O539"/>
  <c r="Q539"/>
  <c r="P539"/>
  <c r="R539"/>
  <c r="O540"/>
  <c r="Q540"/>
  <c r="P540"/>
  <c r="R540"/>
  <c r="O541"/>
  <c r="Q541"/>
  <c r="P541"/>
  <c r="R541"/>
  <c r="O542"/>
  <c r="Q542"/>
  <c r="P542"/>
  <c r="R542"/>
  <c r="O544"/>
  <c r="Q544"/>
  <c r="P544"/>
  <c r="R544"/>
  <c r="O547"/>
  <c r="Q547"/>
  <c r="P547"/>
  <c r="R547"/>
  <c r="O548"/>
  <c r="Q548"/>
  <c r="P548"/>
  <c r="R548"/>
  <c r="O549"/>
  <c r="Q549"/>
  <c r="P549"/>
  <c r="R549"/>
  <c r="O550"/>
  <c r="Q550"/>
  <c r="P550"/>
  <c r="R550"/>
  <c r="O552"/>
  <c r="Q552"/>
  <c r="P552"/>
  <c r="R552"/>
  <c r="O553"/>
  <c r="Q553"/>
  <c r="P553"/>
  <c r="R553"/>
  <c r="O554"/>
  <c r="Q554"/>
  <c r="P554"/>
  <c r="R554"/>
  <c r="O555"/>
  <c r="Q555"/>
  <c r="P555"/>
  <c r="R555"/>
  <c r="O557"/>
  <c r="Q557"/>
  <c r="P557"/>
  <c r="R557"/>
  <c r="O558"/>
  <c r="Q558"/>
  <c r="P558"/>
  <c r="R558"/>
  <c r="O559"/>
  <c r="Q559"/>
  <c r="P559"/>
  <c r="R559"/>
  <c r="O560"/>
  <c r="Q560"/>
  <c r="P560"/>
  <c r="R560"/>
  <c r="O561"/>
  <c r="Q561"/>
  <c r="P561"/>
  <c r="R561"/>
  <c r="O562"/>
  <c r="Q562"/>
  <c r="P562"/>
  <c r="R562"/>
  <c r="O564"/>
  <c r="Q564"/>
  <c r="P564"/>
  <c r="R564"/>
  <c r="O565"/>
  <c r="Q565"/>
  <c r="P565"/>
  <c r="R565"/>
  <c r="O566"/>
  <c r="Q566"/>
  <c r="P566"/>
  <c r="R566"/>
  <c r="O567"/>
  <c r="Q567"/>
  <c r="P567"/>
  <c r="R567"/>
  <c r="O568"/>
  <c r="Q568"/>
  <c r="P568"/>
  <c r="R568"/>
  <c r="O569"/>
  <c r="Q569"/>
  <c r="P569"/>
  <c r="R569"/>
  <c r="O570"/>
  <c r="Q570"/>
  <c r="P570"/>
  <c r="R570"/>
  <c r="O571"/>
  <c r="Q571"/>
  <c r="P571"/>
  <c r="R571"/>
  <c r="O572"/>
  <c r="Q572"/>
  <c r="P572"/>
  <c r="R572"/>
  <c r="O573"/>
  <c r="Q573"/>
  <c r="P573"/>
  <c r="R573"/>
  <c r="O574"/>
  <c r="Q574"/>
  <c r="P574"/>
  <c r="R574"/>
  <c r="O575"/>
  <c r="Q575"/>
  <c r="P575"/>
  <c r="R575"/>
  <c r="O576"/>
  <c r="Q576"/>
  <c r="P576"/>
  <c r="R576"/>
  <c r="O578"/>
  <c r="Q578"/>
  <c r="P578"/>
  <c r="R578"/>
  <c r="O581"/>
  <c r="Q581"/>
  <c r="P581"/>
  <c r="R581"/>
  <c r="O582"/>
  <c r="Q582"/>
  <c r="P582"/>
  <c r="R582"/>
  <c r="O583"/>
  <c r="Q583"/>
  <c r="P583"/>
  <c r="R583"/>
  <c r="O584"/>
  <c r="Q584"/>
  <c r="P584"/>
  <c r="R584"/>
  <c r="O585"/>
  <c r="Q585"/>
  <c r="P585"/>
  <c r="R585"/>
  <c r="O586"/>
  <c r="Q586"/>
  <c r="P586"/>
  <c r="R586"/>
  <c r="O587"/>
  <c r="Q587"/>
  <c r="P587"/>
  <c r="R587"/>
  <c r="O588"/>
  <c r="Q588"/>
  <c r="P588"/>
  <c r="R588"/>
  <c r="O589"/>
  <c r="Q589"/>
  <c r="P589"/>
  <c r="R589"/>
  <c r="O590"/>
  <c r="Q590"/>
  <c r="P590"/>
  <c r="R590"/>
  <c r="O591"/>
  <c r="Q591"/>
  <c r="P591"/>
  <c r="R591"/>
  <c r="O592"/>
  <c r="Q592"/>
  <c r="P592"/>
  <c r="R592"/>
  <c r="O593"/>
  <c r="Q593"/>
  <c r="P593"/>
  <c r="R593"/>
  <c r="O594"/>
  <c r="Q594"/>
  <c r="P594"/>
  <c r="R594"/>
  <c r="O595"/>
  <c r="Q595"/>
  <c r="P595"/>
  <c r="R595"/>
  <c r="O596"/>
  <c r="Q596"/>
  <c r="P596"/>
  <c r="R596"/>
  <c r="O597"/>
  <c r="Q597"/>
  <c r="P597"/>
  <c r="R597"/>
  <c r="O598"/>
  <c r="Q598"/>
  <c r="P598"/>
  <c r="R598"/>
  <c r="O601"/>
  <c r="Q601"/>
  <c r="P601"/>
  <c r="R601"/>
  <c r="O602"/>
  <c r="Q602"/>
  <c r="P602"/>
  <c r="R602"/>
  <c r="O603"/>
  <c r="Q603"/>
  <c r="P603"/>
  <c r="R603"/>
  <c r="O604"/>
  <c r="Q604"/>
  <c r="P604"/>
  <c r="R604"/>
  <c r="O605"/>
  <c r="Q605"/>
  <c r="P605"/>
  <c r="R605"/>
  <c r="O606"/>
  <c r="Q606"/>
  <c r="P606"/>
  <c r="R606"/>
  <c r="O608"/>
  <c r="Q608"/>
  <c r="P608"/>
  <c r="R608"/>
  <c r="O609"/>
  <c r="Q609"/>
  <c r="P609"/>
  <c r="R609"/>
  <c r="O610"/>
  <c r="Q610"/>
  <c r="P610"/>
  <c r="R610"/>
  <c r="O611"/>
  <c r="Q611"/>
  <c r="P611"/>
  <c r="R611"/>
  <c r="O612"/>
  <c r="Q612"/>
  <c r="P612"/>
  <c r="R612"/>
  <c r="O613"/>
  <c r="Q613"/>
  <c r="P613"/>
  <c r="R613"/>
  <c r="O614"/>
  <c r="Q614"/>
  <c r="P614"/>
  <c r="R614"/>
  <c r="O615"/>
  <c r="Q615"/>
  <c r="P615"/>
  <c r="R615"/>
  <c r="O616"/>
  <c r="Q616"/>
  <c r="P616"/>
  <c r="R616"/>
  <c r="O617"/>
  <c r="Q617"/>
  <c r="P617"/>
  <c r="R617"/>
  <c r="O618"/>
  <c r="Q618"/>
  <c r="P618"/>
  <c r="R618"/>
  <c r="O619"/>
  <c r="Q619"/>
  <c r="P619"/>
  <c r="R619"/>
  <c r="O620"/>
  <c r="Q620"/>
  <c r="P620"/>
  <c r="R620"/>
  <c r="O621"/>
  <c r="Q621"/>
  <c r="P621"/>
  <c r="R621"/>
  <c r="O622"/>
  <c r="Q622"/>
  <c r="P622"/>
  <c r="R622"/>
  <c r="O623"/>
  <c r="Q623"/>
  <c r="P623"/>
  <c r="R623"/>
  <c r="O624"/>
  <c r="Q624"/>
  <c r="P624"/>
  <c r="R624"/>
  <c r="O625"/>
  <c r="Q625"/>
  <c r="P625"/>
  <c r="R625"/>
  <c r="O626"/>
  <c r="Q626"/>
  <c r="P626"/>
  <c r="R626"/>
  <c r="O627"/>
  <c r="Q627"/>
  <c r="P627"/>
  <c r="R627"/>
  <c r="O628"/>
  <c r="Q628"/>
  <c r="P628"/>
  <c r="R628"/>
  <c r="O629"/>
  <c r="Q629"/>
  <c r="P629"/>
  <c r="R629"/>
  <c r="O630"/>
  <c r="Q630"/>
  <c r="P630"/>
  <c r="R630"/>
  <c r="O631"/>
  <c r="Q631"/>
  <c r="P631"/>
  <c r="R631"/>
  <c r="O632"/>
  <c r="Q632"/>
  <c r="P632"/>
  <c r="R632"/>
  <c r="O633"/>
  <c r="Q633"/>
  <c r="P633"/>
  <c r="R633"/>
  <c r="O634"/>
  <c r="Q634"/>
  <c r="P634"/>
  <c r="R634"/>
  <c r="O635"/>
  <c r="Q635"/>
  <c r="P635"/>
  <c r="R635"/>
  <c r="O636"/>
  <c r="Q636"/>
  <c r="P636"/>
  <c r="R636"/>
  <c r="O637"/>
  <c r="Q637"/>
  <c r="P637"/>
  <c r="R637"/>
  <c r="O638"/>
  <c r="Q638"/>
  <c r="P638"/>
  <c r="R638"/>
  <c r="O639"/>
  <c r="Q639"/>
  <c r="P639"/>
  <c r="R639"/>
  <c r="O640"/>
  <c r="Q640"/>
  <c r="P640"/>
  <c r="R640"/>
  <c r="O641"/>
  <c r="Q641"/>
  <c r="P641"/>
  <c r="R641"/>
  <c r="O643"/>
  <c r="Q643"/>
  <c r="P643"/>
  <c r="R643"/>
  <c r="O645"/>
  <c r="Q645"/>
  <c r="P645"/>
  <c r="R645"/>
  <c r="O646"/>
  <c r="Q646"/>
  <c r="P646"/>
  <c r="R646"/>
  <c r="O648"/>
  <c r="Q648"/>
  <c r="P648"/>
  <c r="R648"/>
  <c r="O649"/>
  <c r="Q649"/>
  <c r="P649"/>
  <c r="R649"/>
  <c r="O650"/>
  <c r="Q650"/>
  <c r="P650"/>
  <c r="R650"/>
  <c r="O651"/>
  <c r="Q651"/>
  <c r="P651"/>
  <c r="R651"/>
  <c r="O654"/>
  <c r="Q654"/>
  <c r="P654"/>
  <c r="R654"/>
  <c r="O655"/>
  <c r="Q655"/>
  <c r="P655"/>
  <c r="R655"/>
  <c r="O656"/>
  <c r="Q656"/>
  <c r="P656"/>
  <c r="R656"/>
  <c r="O657"/>
  <c r="Q657"/>
  <c r="P657"/>
  <c r="R657"/>
  <c r="O658"/>
  <c r="Q658"/>
  <c r="P658"/>
  <c r="R658"/>
  <c r="O659"/>
  <c r="Q659"/>
  <c r="P659"/>
  <c r="R659"/>
  <c r="O660"/>
  <c r="Q660"/>
  <c r="P660"/>
  <c r="R660"/>
  <c r="O661"/>
  <c r="Q661"/>
  <c r="P661"/>
  <c r="R661"/>
  <c r="O662"/>
  <c r="Q662"/>
  <c r="P662"/>
  <c r="R662"/>
  <c r="O663"/>
  <c r="Q663"/>
  <c r="P663"/>
  <c r="R663"/>
  <c r="O664"/>
  <c r="Q664"/>
  <c r="P664"/>
  <c r="R664"/>
  <c r="O665"/>
  <c r="Q665"/>
  <c r="P665"/>
  <c r="R665"/>
  <c r="O666"/>
  <c r="Q666"/>
  <c r="P666"/>
  <c r="R666"/>
  <c r="O667"/>
  <c r="Q667"/>
  <c r="P667"/>
  <c r="R667"/>
  <c r="O670"/>
  <c r="Q670"/>
  <c r="P670"/>
  <c r="R670"/>
  <c r="O671"/>
  <c r="Q671"/>
  <c r="P671"/>
  <c r="R671"/>
  <c r="O672"/>
  <c r="Q672"/>
  <c r="P672"/>
  <c r="R672"/>
  <c r="O673"/>
  <c r="Q673"/>
  <c r="P673"/>
  <c r="R673"/>
  <c r="O674"/>
  <c r="Q674"/>
  <c r="P674"/>
  <c r="R674"/>
  <c r="O675"/>
  <c r="Q675"/>
  <c r="P675"/>
  <c r="R675"/>
  <c r="O677"/>
  <c r="Q677"/>
  <c r="P677"/>
  <c r="R677"/>
  <c r="O678"/>
  <c r="Q678"/>
  <c r="P678"/>
  <c r="R678"/>
  <c r="O679"/>
  <c r="Q679"/>
  <c r="P679"/>
  <c r="R679"/>
  <c r="R533"/>
  <c r="P533"/>
  <c r="Q533"/>
  <c r="O533"/>
  <c r="R532"/>
  <c r="P532"/>
  <c r="Q532"/>
  <c r="O532"/>
  <c r="R531"/>
  <c r="P531"/>
  <c r="Q531"/>
  <c r="O531"/>
  <c r="R530"/>
  <c r="P530"/>
  <c r="Q530"/>
  <c r="O530"/>
  <c r="R529"/>
  <c r="P529"/>
  <c r="Q529"/>
  <c r="O529"/>
  <c r="O506"/>
  <c r="Q506"/>
  <c r="P506"/>
  <c r="R506"/>
  <c r="O507"/>
  <c r="Q507"/>
  <c r="P507"/>
  <c r="R507"/>
  <c r="O508"/>
  <c r="Q508"/>
  <c r="P508"/>
  <c r="R508"/>
  <c r="O509"/>
  <c r="Q509"/>
  <c r="P509"/>
  <c r="R509"/>
  <c r="O510"/>
  <c r="Q510"/>
  <c r="P510"/>
  <c r="R510"/>
  <c r="O511"/>
  <c r="Q511"/>
  <c r="P511"/>
  <c r="R511"/>
  <c r="O512"/>
  <c r="Q512"/>
  <c r="P512"/>
  <c r="R512"/>
  <c r="O513"/>
  <c r="Q513"/>
  <c r="P513"/>
  <c r="R513"/>
  <c r="O514"/>
  <c r="Q514"/>
  <c r="P514"/>
  <c r="R514"/>
  <c r="O515"/>
  <c r="Q515"/>
  <c r="P515"/>
  <c r="R515"/>
  <c r="O516"/>
  <c r="Q516"/>
  <c r="P516"/>
  <c r="R516"/>
  <c r="O517"/>
  <c r="Q517"/>
  <c r="P517"/>
  <c r="R517"/>
  <c r="O518"/>
  <c r="Q518"/>
  <c r="P518"/>
  <c r="R518"/>
  <c r="O519"/>
  <c r="Q519"/>
  <c r="P519"/>
  <c r="R519"/>
  <c r="O520"/>
  <c r="Q520"/>
  <c r="P520"/>
  <c r="R520"/>
  <c r="O521"/>
  <c r="Q521"/>
  <c r="P521"/>
  <c r="R521"/>
  <c r="O522"/>
  <c r="Q522"/>
  <c r="P522"/>
  <c r="R522"/>
  <c r="O523"/>
  <c r="Q523"/>
  <c r="P523"/>
  <c r="R523"/>
  <c r="O524"/>
  <c r="Q524"/>
  <c r="P524"/>
  <c r="R524"/>
  <c r="O525"/>
  <c r="Q525"/>
  <c r="P525"/>
  <c r="R525"/>
  <c r="O526"/>
  <c r="Q526"/>
  <c r="P526"/>
  <c r="R526"/>
  <c r="R505"/>
  <c r="P505"/>
  <c r="Q505"/>
  <c r="O505"/>
  <c r="R504"/>
  <c r="P504"/>
  <c r="Q504"/>
  <c r="O504"/>
  <c r="R503"/>
  <c r="P503"/>
  <c r="Q503"/>
  <c r="O503"/>
  <c r="R502"/>
  <c r="P502"/>
  <c r="Q502"/>
  <c r="O502"/>
  <c r="R501"/>
  <c r="P501"/>
  <c r="Q501"/>
  <c r="O501"/>
  <c r="R500"/>
  <c r="P500"/>
  <c r="Q500"/>
  <c r="O500"/>
  <c r="R499"/>
  <c r="P499"/>
  <c r="Q499"/>
  <c r="O499"/>
  <c r="R498"/>
  <c r="P498"/>
  <c r="Q498"/>
  <c r="O498"/>
  <c r="R497"/>
  <c r="P497"/>
  <c r="Q497"/>
  <c r="O497"/>
  <c r="R496"/>
  <c r="P496"/>
  <c r="Q496"/>
  <c r="O496"/>
  <c r="R495"/>
  <c r="P495"/>
  <c r="Q495"/>
  <c r="O495"/>
  <c r="R494"/>
  <c r="P494"/>
  <c r="Q494"/>
  <c r="O494"/>
  <c r="O485"/>
  <c r="Q485"/>
  <c r="P485"/>
  <c r="R485"/>
  <c r="O486"/>
  <c r="Q486"/>
  <c r="P486"/>
  <c r="R486"/>
  <c r="O487"/>
  <c r="Q487"/>
  <c r="P487"/>
  <c r="R487"/>
  <c r="O488"/>
  <c r="Q488"/>
  <c r="P488"/>
  <c r="R488"/>
  <c r="O489"/>
  <c r="Q489"/>
  <c r="P489"/>
  <c r="R489"/>
  <c r="O490"/>
  <c r="Q490"/>
  <c r="P490"/>
  <c r="R490"/>
  <c r="O491"/>
  <c r="Q491"/>
  <c r="P491"/>
  <c r="R491"/>
  <c r="R484"/>
  <c r="P484"/>
  <c r="Q484"/>
  <c r="O484"/>
  <c r="R483"/>
  <c r="P483"/>
  <c r="Q483"/>
  <c r="O483"/>
  <c r="R482"/>
  <c r="P482"/>
  <c r="Q482"/>
  <c r="O482"/>
  <c r="R481"/>
  <c r="P481"/>
  <c r="Q481"/>
  <c r="O481"/>
  <c r="R480"/>
  <c r="P480"/>
  <c r="Q480"/>
  <c r="O480"/>
  <c r="O438"/>
  <c r="Q438"/>
  <c r="P438"/>
  <c r="R438"/>
  <c r="O439"/>
  <c r="Q439"/>
  <c r="P439"/>
  <c r="R439"/>
  <c r="O440"/>
  <c r="Q440"/>
  <c r="P440"/>
  <c r="R440"/>
  <c r="O441"/>
  <c r="Q441"/>
  <c r="P441"/>
  <c r="R441"/>
  <c r="O442"/>
  <c r="Q442"/>
  <c r="P442"/>
  <c r="R442"/>
  <c r="O443"/>
  <c r="Q443"/>
  <c r="P443"/>
  <c r="R443"/>
  <c r="O444"/>
  <c r="Q444"/>
  <c r="P444"/>
  <c r="R444"/>
  <c r="O445"/>
  <c r="Q445"/>
  <c r="P445"/>
  <c r="R445"/>
  <c r="O446"/>
  <c r="Q446"/>
  <c r="P446"/>
  <c r="R446"/>
  <c r="O447"/>
  <c r="Q447"/>
  <c r="P447"/>
  <c r="R447"/>
  <c r="O448"/>
  <c r="Q448"/>
  <c r="P448"/>
  <c r="R448"/>
  <c r="O449"/>
  <c r="Q449"/>
  <c r="P449"/>
  <c r="R449"/>
  <c r="O450"/>
  <c r="Q450"/>
  <c r="P450"/>
  <c r="R450"/>
  <c r="O451"/>
  <c r="Q451"/>
  <c r="P451"/>
  <c r="R451"/>
  <c r="O452"/>
  <c r="Q452"/>
  <c r="P452"/>
  <c r="R452"/>
  <c r="O453"/>
  <c r="Q453"/>
  <c r="P453"/>
  <c r="R453"/>
  <c r="O454"/>
  <c r="Q454"/>
  <c r="P454"/>
  <c r="R454"/>
  <c r="O455"/>
  <c r="Q455"/>
  <c r="P455"/>
  <c r="R455"/>
  <c r="O456"/>
  <c r="Q456"/>
  <c r="P456"/>
  <c r="R456"/>
  <c r="O457"/>
  <c r="Q457"/>
  <c r="P457"/>
  <c r="R457"/>
  <c r="O458"/>
  <c r="Q458"/>
  <c r="P458"/>
  <c r="R458"/>
  <c r="O459"/>
  <c r="Q459"/>
  <c r="P459"/>
  <c r="R459"/>
  <c r="O460"/>
  <c r="Q460"/>
  <c r="P460"/>
  <c r="R460"/>
  <c r="O461"/>
  <c r="Q461"/>
  <c r="P461"/>
  <c r="R461"/>
  <c r="O462"/>
  <c r="Q462"/>
  <c r="P462"/>
  <c r="R462"/>
  <c r="O463"/>
  <c r="Q463"/>
  <c r="P463"/>
  <c r="R463"/>
  <c r="O464"/>
  <c r="Q464"/>
  <c r="P464"/>
  <c r="R464"/>
  <c r="O465"/>
  <c r="Q465"/>
  <c r="P465"/>
  <c r="R465"/>
  <c r="O466"/>
  <c r="Q466"/>
  <c r="P466"/>
  <c r="R466"/>
  <c r="O467"/>
  <c r="Q467"/>
  <c r="P467"/>
  <c r="R467"/>
  <c r="O468"/>
  <c r="Q468"/>
  <c r="P468"/>
  <c r="R468"/>
  <c r="O469"/>
  <c r="Q469"/>
  <c r="P469"/>
  <c r="R469"/>
  <c r="O470"/>
  <c r="Q470"/>
  <c r="P470"/>
  <c r="R470"/>
  <c r="O471"/>
  <c r="Q471"/>
  <c r="P471"/>
  <c r="R471"/>
  <c r="O472"/>
  <c r="Q472"/>
  <c r="P472"/>
  <c r="R472"/>
  <c r="O473"/>
  <c r="Q473"/>
  <c r="P473"/>
  <c r="R473"/>
  <c r="O474"/>
  <c r="Q474"/>
  <c r="P474"/>
  <c r="R474"/>
  <c r="O475"/>
  <c r="Q475"/>
  <c r="P475"/>
  <c r="R475"/>
  <c r="O476"/>
  <c r="Q476"/>
  <c r="P476"/>
  <c r="R476"/>
  <c r="O477"/>
  <c r="Q477"/>
  <c r="P477"/>
  <c r="R477"/>
  <c r="R437"/>
  <c r="P437"/>
  <c r="Q437"/>
  <c r="O437"/>
  <c r="R436"/>
  <c r="P436"/>
  <c r="Q436"/>
  <c r="O436"/>
  <c r="R435"/>
  <c r="P435"/>
  <c r="Q435"/>
  <c r="O435"/>
  <c r="R434"/>
  <c r="P434"/>
  <c r="Q434"/>
  <c r="O434"/>
  <c r="R433"/>
  <c r="P433"/>
  <c r="Q433"/>
  <c r="O433"/>
  <c r="R432"/>
  <c r="P432"/>
  <c r="Q432"/>
  <c r="O432"/>
  <c r="O425"/>
  <c r="Q425"/>
  <c r="P425"/>
  <c r="R425"/>
  <c r="O426"/>
  <c r="Q426"/>
  <c r="P426"/>
  <c r="R426"/>
  <c r="O427"/>
  <c r="Q427"/>
  <c r="P427"/>
  <c r="R427"/>
  <c r="O428"/>
  <c r="Q428"/>
  <c r="P428"/>
  <c r="R428"/>
  <c r="O429"/>
  <c r="Q429"/>
  <c r="P429"/>
  <c r="R429"/>
  <c r="R424"/>
  <c r="P424"/>
  <c r="Q424"/>
  <c r="O424"/>
  <c r="R421"/>
  <c r="P421"/>
  <c r="Q421"/>
  <c r="O421"/>
  <c r="R420"/>
  <c r="P420"/>
  <c r="Q420"/>
  <c r="O420"/>
  <c r="R419"/>
  <c r="P419"/>
  <c r="Q419"/>
  <c r="O419"/>
  <c r="R418"/>
  <c r="P418"/>
  <c r="Q418"/>
  <c r="O418"/>
  <c r="R417"/>
  <c r="P417"/>
  <c r="Q417"/>
  <c r="O417"/>
  <c r="O292"/>
  <c r="Q292"/>
  <c r="P292"/>
  <c r="R292"/>
  <c r="O294"/>
  <c r="Q294"/>
  <c r="P294"/>
  <c r="R294"/>
  <c r="O295"/>
  <c r="Q295"/>
  <c r="P295"/>
  <c r="R295"/>
  <c r="O296"/>
  <c r="Q296"/>
  <c r="P296"/>
  <c r="R296"/>
  <c r="O297"/>
  <c r="Q297"/>
  <c r="P297"/>
  <c r="R297"/>
  <c r="O298"/>
  <c r="Q298"/>
  <c r="P298"/>
  <c r="R298"/>
  <c r="O299"/>
  <c r="Q299"/>
  <c r="P299"/>
  <c r="R299"/>
  <c r="O300"/>
  <c r="Q300"/>
  <c r="P300"/>
  <c r="R300"/>
  <c r="O301"/>
  <c r="Q301"/>
  <c r="P301"/>
  <c r="R301"/>
  <c r="O302"/>
  <c r="Q302"/>
  <c r="P302"/>
  <c r="R302"/>
  <c r="O303"/>
  <c r="Q303"/>
  <c r="P303"/>
  <c r="R303"/>
  <c r="O304"/>
  <c r="Q304"/>
  <c r="P304"/>
  <c r="R304"/>
  <c r="O305"/>
  <c r="Q305"/>
  <c r="P305"/>
  <c r="R305"/>
  <c r="O306"/>
  <c r="Q306"/>
  <c r="P306"/>
  <c r="R306"/>
  <c r="O307"/>
  <c r="Q307"/>
  <c r="P307"/>
  <c r="R307"/>
  <c r="O308"/>
  <c r="Q308"/>
  <c r="P308"/>
  <c r="R308"/>
  <c r="O309"/>
  <c r="Q309"/>
  <c r="P309"/>
  <c r="R309"/>
  <c r="O310"/>
  <c r="Q310"/>
  <c r="P310"/>
  <c r="R310"/>
  <c r="O311"/>
  <c r="Q311"/>
  <c r="P311"/>
  <c r="R311"/>
  <c r="O312"/>
  <c r="Q312"/>
  <c r="P312"/>
  <c r="R312"/>
  <c r="O313"/>
  <c r="Q313"/>
  <c r="P313"/>
  <c r="R313"/>
  <c r="O314"/>
  <c r="Q314"/>
  <c r="P314"/>
  <c r="R314"/>
  <c r="O315"/>
  <c r="Q315"/>
  <c r="P315"/>
  <c r="R315"/>
  <c r="O316"/>
  <c r="Q316"/>
  <c r="P316"/>
  <c r="R316"/>
  <c r="O317"/>
  <c r="Q317"/>
  <c r="P317"/>
  <c r="R317"/>
  <c r="O318"/>
  <c r="Q318"/>
  <c r="P318"/>
  <c r="R318"/>
  <c r="O319"/>
  <c r="Q319"/>
  <c r="P319"/>
  <c r="R319"/>
  <c r="O320"/>
  <c r="Q320"/>
  <c r="P320"/>
  <c r="R320"/>
  <c r="O321"/>
  <c r="Q321"/>
  <c r="P321"/>
  <c r="R321"/>
  <c r="O322"/>
  <c r="Q322"/>
  <c r="P322"/>
  <c r="R322"/>
  <c r="O323"/>
  <c r="Q323"/>
  <c r="P323"/>
  <c r="R323"/>
  <c r="O324"/>
  <c r="Q324"/>
  <c r="P324"/>
  <c r="R324"/>
  <c r="O325"/>
  <c r="Q325"/>
  <c r="P325"/>
  <c r="R325"/>
  <c r="O326"/>
  <c r="Q326"/>
  <c r="P326"/>
  <c r="R326"/>
  <c r="O327"/>
  <c r="Q327"/>
  <c r="P327"/>
  <c r="R327"/>
  <c r="O328"/>
  <c r="Q328"/>
  <c r="P328"/>
  <c r="R328"/>
  <c r="O329"/>
  <c r="Q329"/>
  <c r="P329"/>
  <c r="R329"/>
  <c r="O330"/>
  <c r="Q330"/>
  <c r="P330"/>
  <c r="R330"/>
  <c r="O331"/>
  <c r="Q331"/>
  <c r="P331"/>
  <c r="R331"/>
  <c r="O332"/>
  <c r="Q332"/>
  <c r="P332"/>
  <c r="R332"/>
  <c r="O333"/>
  <c r="Q333"/>
  <c r="P333"/>
  <c r="R333"/>
  <c r="O334"/>
  <c r="Q334"/>
  <c r="P334"/>
  <c r="R334"/>
  <c r="O335"/>
  <c r="Q335"/>
  <c r="P335"/>
  <c r="R335"/>
  <c r="O336"/>
  <c r="Q336"/>
  <c r="P336"/>
  <c r="R336"/>
  <c r="O337"/>
  <c r="Q337"/>
  <c r="P337"/>
  <c r="R337"/>
  <c r="O338"/>
  <c r="Q338"/>
  <c r="P338"/>
  <c r="R338"/>
  <c r="O340"/>
  <c r="Q340"/>
  <c r="P340"/>
  <c r="R340"/>
  <c r="O341"/>
  <c r="Q341"/>
  <c r="P341"/>
  <c r="R341"/>
  <c r="O342"/>
  <c r="Q342"/>
  <c r="P342"/>
  <c r="R342"/>
  <c r="O343"/>
  <c r="Q343"/>
  <c r="P343"/>
  <c r="R343"/>
  <c r="O344"/>
  <c r="Q344"/>
  <c r="P344"/>
  <c r="R344"/>
  <c r="O345"/>
  <c r="Q345"/>
  <c r="P345"/>
  <c r="R345"/>
  <c r="O346"/>
  <c r="Q346"/>
  <c r="P346"/>
  <c r="R346"/>
  <c r="O347"/>
  <c r="Q347"/>
  <c r="P347"/>
  <c r="R347"/>
  <c r="O348"/>
  <c r="Q348"/>
  <c r="P348"/>
  <c r="R348"/>
  <c r="O349"/>
  <c r="Q349"/>
  <c r="P349"/>
  <c r="R349"/>
  <c r="O350"/>
  <c r="Q350"/>
  <c r="P350"/>
  <c r="R350"/>
  <c r="O351"/>
  <c r="Q351"/>
  <c r="P351"/>
  <c r="R351"/>
  <c r="O352"/>
  <c r="Q352"/>
  <c r="P352"/>
  <c r="R352"/>
  <c r="O353"/>
  <c r="Q353"/>
  <c r="P353"/>
  <c r="R353"/>
  <c r="O354"/>
  <c r="Q354"/>
  <c r="P354"/>
  <c r="R354"/>
  <c r="O355"/>
  <c r="Q355"/>
  <c r="P355"/>
  <c r="R355"/>
  <c r="O356"/>
  <c r="Q356"/>
  <c r="P356"/>
  <c r="R356"/>
  <c r="O357"/>
  <c r="Q357"/>
  <c r="P357"/>
  <c r="R357"/>
  <c r="O358"/>
  <c r="Q358"/>
  <c r="P358"/>
  <c r="R358"/>
  <c r="O359"/>
  <c r="Q359"/>
  <c r="P359"/>
  <c r="R359"/>
  <c r="O360"/>
  <c r="Q360"/>
  <c r="P360"/>
  <c r="R360"/>
  <c r="O361"/>
  <c r="Q361"/>
  <c r="P361"/>
  <c r="R361"/>
  <c r="O362"/>
  <c r="Q362"/>
  <c r="P362"/>
  <c r="R362"/>
  <c r="O363"/>
  <c r="Q363"/>
  <c r="P363"/>
  <c r="R363"/>
  <c r="O364"/>
  <c r="Q364"/>
  <c r="P364"/>
  <c r="R364"/>
  <c r="O365"/>
  <c r="Q365"/>
  <c r="P365"/>
  <c r="R365"/>
  <c r="O366"/>
  <c r="Q366"/>
  <c r="P366"/>
  <c r="R366"/>
  <c r="O367"/>
  <c r="Q367"/>
  <c r="P367"/>
  <c r="R367"/>
  <c r="O368"/>
  <c r="Q368"/>
  <c r="P368"/>
  <c r="R368"/>
  <c r="O369"/>
  <c r="Q369"/>
  <c r="P369"/>
  <c r="R369"/>
  <c r="O370"/>
  <c r="Q370"/>
  <c r="P370"/>
  <c r="R370"/>
  <c r="O371"/>
  <c r="Q371"/>
  <c r="P371"/>
  <c r="R371"/>
  <c r="O372"/>
  <c r="Q372"/>
  <c r="P372"/>
  <c r="R372"/>
  <c r="O373"/>
  <c r="Q373"/>
  <c r="P373"/>
  <c r="R373"/>
  <c r="O374"/>
  <c r="Q374"/>
  <c r="P374"/>
  <c r="R374"/>
  <c r="O375"/>
  <c r="Q375"/>
  <c r="P375"/>
  <c r="R375"/>
  <c r="O376"/>
  <c r="Q376"/>
  <c r="P376"/>
  <c r="R376"/>
  <c r="O377"/>
  <c r="Q377"/>
  <c r="P377"/>
  <c r="R377"/>
  <c r="O378"/>
  <c r="Q378"/>
  <c r="P378"/>
  <c r="R378"/>
  <c r="O379"/>
  <c r="Q379"/>
  <c r="P379"/>
  <c r="R379"/>
  <c r="O380"/>
  <c r="Q380"/>
  <c r="P380"/>
  <c r="R380"/>
  <c r="O381"/>
  <c r="Q381"/>
  <c r="P381"/>
  <c r="R381"/>
  <c r="O382"/>
  <c r="Q382"/>
  <c r="P382"/>
  <c r="R382"/>
  <c r="O383"/>
  <c r="Q383"/>
  <c r="P383"/>
  <c r="R383"/>
  <c r="O384"/>
  <c r="Q384"/>
  <c r="P384"/>
  <c r="R384"/>
  <c r="O385"/>
  <c r="Q385"/>
  <c r="P385"/>
  <c r="R385"/>
  <c r="O386"/>
  <c r="Q386"/>
  <c r="P386"/>
  <c r="R386"/>
  <c r="O387"/>
  <c r="Q387"/>
  <c r="P387"/>
  <c r="R387"/>
  <c r="O388"/>
  <c r="Q388"/>
  <c r="P388"/>
  <c r="R388"/>
  <c r="O389"/>
  <c r="Q389"/>
  <c r="P389"/>
  <c r="R389"/>
  <c r="O390"/>
  <c r="Q390"/>
  <c r="P390"/>
  <c r="R390"/>
  <c r="O391"/>
  <c r="Q391"/>
  <c r="P391"/>
  <c r="R391"/>
  <c r="O392"/>
  <c r="Q392"/>
  <c r="P392"/>
  <c r="R392"/>
  <c r="O393"/>
  <c r="Q393"/>
  <c r="P393"/>
  <c r="R393"/>
  <c r="O394"/>
  <c r="Q394"/>
  <c r="P394"/>
  <c r="R394"/>
  <c r="O395"/>
  <c r="Q395"/>
  <c r="P395"/>
  <c r="R395"/>
  <c r="O396"/>
  <c r="Q396"/>
  <c r="P396"/>
  <c r="R396"/>
  <c r="O397"/>
  <c r="Q397"/>
  <c r="P397"/>
  <c r="R397"/>
  <c r="O398"/>
  <c r="Q398"/>
  <c r="P398"/>
  <c r="R398"/>
  <c r="O399"/>
  <c r="Q399"/>
  <c r="P399"/>
  <c r="R399"/>
  <c r="O400"/>
  <c r="Q400"/>
  <c r="P400"/>
  <c r="R400"/>
  <c r="O401"/>
  <c r="Q401"/>
  <c r="P401"/>
  <c r="R401"/>
  <c r="O402"/>
  <c r="Q402"/>
  <c r="P402"/>
  <c r="R402"/>
  <c r="O403"/>
  <c r="Q403"/>
  <c r="P403"/>
  <c r="R403"/>
  <c r="O404"/>
  <c r="Q404"/>
  <c r="P404"/>
  <c r="R404"/>
  <c r="O405"/>
  <c r="Q405"/>
  <c r="P405"/>
  <c r="R405"/>
  <c r="O406"/>
  <c r="Q406"/>
  <c r="P406"/>
  <c r="R406"/>
  <c r="O407"/>
  <c r="Q407"/>
  <c r="P407"/>
  <c r="R407"/>
  <c r="O408"/>
  <c r="Q408"/>
  <c r="P408"/>
  <c r="R408"/>
  <c r="O409"/>
  <c r="Q409"/>
  <c r="P409"/>
  <c r="R409"/>
  <c r="O410"/>
  <c r="Q410"/>
  <c r="P410"/>
  <c r="R410"/>
  <c r="O411"/>
  <c r="Q411"/>
  <c r="P411"/>
  <c r="R411"/>
  <c r="O412"/>
  <c r="Q412"/>
  <c r="P412"/>
  <c r="R412"/>
  <c r="O413"/>
  <c r="Q413"/>
  <c r="P413"/>
  <c r="R413"/>
  <c r="O414"/>
  <c r="Q414"/>
  <c r="P414"/>
  <c r="R414"/>
  <c r="R291"/>
  <c r="P291"/>
  <c r="Q291"/>
  <c r="O291"/>
  <c r="R290"/>
  <c r="P290"/>
  <c r="Q290"/>
  <c r="O290"/>
  <c r="R289"/>
  <c r="P289"/>
  <c r="Q289"/>
  <c r="O289"/>
  <c r="O261"/>
  <c r="Q261"/>
  <c r="P261"/>
  <c r="R261"/>
  <c r="O262"/>
  <c r="Q262"/>
  <c r="P262"/>
  <c r="R262"/>
  <c r="O263"/>
  <c r="Q263"/>
  <c r="P263"/>
  <c r="R263"/>
  <c r="O264"/>
  <c r="Q264"/>
  <c r="P264"/>
  <c r="R264"/>
  <c r="O265"/>
  <c r="Q265"/>
  <c r="P265"/>
  <c r="R265"/>
  <c r="O266"/>
  <c r="Q266"/>
  <c r="P266"/>
  <c r="R266"/>
  <c r="O267"/>
  <c r="Q267"/>
  <c r="P267"/>
  <c r="R267"/>
  <c r="O268"/>
  <c r="Q268"/>
  <c r="P268"/>
  <c r="R268"/>
  <c r="O269"/>
  <c r="Q269"/>
  <c r="P269"/>
  <c r="R269"/>
  <c r="O270"/>
  <c r="Q270"/>
  <c r="P270"/>
  <c r="R270"/>
  <c r="O271"/>
  <c r="Q271"/>
  <c r="P271"/>
  <c r="R271"/>
  <c r="O272"/>
  <c r="Q272"/>
  <c r="P272"/>
  <c r="R272"/>
  <c r="O273"/>
  <c r="Q273"/>
  <c r="P273"/>
  <c r="R273"/>
  <c r="O274"/>
  <c r="Q274"/>
  <c r="P274"/>
  <c r="R274"/>
  <c r="O276"/>
  <c r="Q276"/>
  <c r="P276"/>
  <c r="R276"/>
  <c r="O277"/>
  <c r="Q277"/>
  <c r="P277"/>
  <c r="R277"/>
  <c r="O279"/>
  <c r="Q279"/>
  <c r="P279"/>
  <c r="R279"/>
  <c r="O280"/>
  <c r="Q280"/>
  <c r="P280"/>
  <c r="R280"/>
  <c r="O281"/>
  <c r="Q281"/>
  <c r="P281"/>
  <c r="R281"/>
  <c r="O282"/>
  <c r="Q282"/>
  <c r="P282"/>
  <c r="R282"/>
  <c r="O283"/>
  <c r="Q283"/>
  <c r="P283"/>
  <c r="R283"/>
  <c r="O284"/>
  <c r="Q284"/>
  <c r="P284"/>
  <c r="R284"/>
  <c r="O285"/>
  <c r="Q285"/>
  <c r="P285"/>
  <c r="R285"/>
  <c r="O286"/>
  <c r="Q286"/>
  <c r="P286"/>
  <c r="R286"/>
  <c r="R260"/>
  <c r="P260"/>
  <c r="Q260"/>
  <c r="O260"/>
  <c r="R259"/>
  <c r="P259"/>
  <c r="Q259"/>
  <c r="O259"/>
  <c r="R258"/>
  <c r="P258"/>
  <c r="Q258"/>
  <c r="O258"/>
  <c r="R257"/>
  <c r="P257"/>
  <c r="Q257"/>
  <c r="O257"/>
  <c r="R256"/>
  <c r="P256"/>
  <c r="Q256"/>
  <c r="O256"/>
  <c r="R255"/>
  <c r="P255"/>
  <c r="Q255"/>
  <c r="O255"/>
  <c r="R254"/>
  <c r="P254"/>
  <c r="Q254"/>
  <c r="O254"/>
  <c r="R253"/>
  <c r="P253"/>
  <c r="Q253"/>
  <c r="O253"/>
  <c r="R252"/>
  <c r="P252"/>
  <c r="Q252"/>
  <c r="O252"/>
  <c r="R251"/>
  <c r="P251"/>
  <c r="Q251"/>
  <c r="O251"/>
  <c r="R250"/>
  <c r="P250"/>
  <c r="Q250"/>
  <c r="O250"/>
  <c r="R249"/>
  <c r="P249"/>
  <c r="Q249"/>
  <c r="O249"/>
  <c r="R248"/>
  <c r="P248"/>
  <c r="Q248"/>
  <c r="O248"/>
  <c r="R247"/>
  <c r="P247"/>
  <c r="Q247"/>
  <c r="O247"/>
  <c r="R246"/>
  <c r="P246"/>
  <c r="Q246"/>
  <c r="O246"/>
  <c r="R245"/>
  <c r="P245"/>
  <c r="Q245"/>
  <c r="O245"/>
  <c r="R244"/>
  <c r="P244"/>
  <c r="Q244"/>
  <c r="O244"/>
  <c r="O240"/>
  <c r="Q240"/>
  <c r="P240"/>
  <c r="R240"/>
  <c r="O241"/>
  <c r="Q241"/>
  <c r="P241"/>
  <c r="R241"/>
  <c r="R239"/>
  <c r="P239"/>
  <c r="Q239"/>
  <c r="O239"/>
  <c r="R238"/>
  <c r="P238"/>
  <c r="Q238"/>
  <c r="O238"/>
  <c r="R237"/>
  <c r="P237"/>
  <c r="Q237"/>
  <c r="O237"/>
  <c r="R236"/>
  <c r="P236"/>
  <c r="Q236"/>
  <c r="O236"/>
  <c r="R235"/>
  <c r="P235"/>
  <c r="Q235"/>
  <c r="O235"/>
  <c r="R234"/>
  <c r="P234"/>
  <c r="Q234"/>
  <c r="O234"/>
  <c r="R233"/>
  <c r="P233"/>
  <c r="Q233"/>
  <c r="O233"/>
  <c r="R232"/>
  <c r="P232"/>
  <c r="Q232"/>
  <c r="O232"/>
  <c r="R231"/>
  <c r="P231"/>
  <c r="Q231"/>
  <c r="O231"/>
  <c r="R230"/>
  <c r="P230"/>
  <c r="Q230"/>
  <c r="O230"/>
  <c r="R229"/>
  <c r="P229"/>
  <c r="Q229"/>
  <c r="O229"/>
  <c r="R228"/>
  <c r="P228"/>
  <c r="Q228"/>
  <c r="O228"/>
  <c r="R227"/>
  <c r="P227"/>
  <c r="Q227"/>
  <c r="O227"/>
  <c r="R226"/>
  <c r="P226"/>
  <c r="Q226"/>
  <c r="O226"/>
  <c r="R225"/>
  <c r="P225"/>
  <c r="Q225"/>
  <c r="O225"/>
  <c r="O211"/>
  <c r="Q211"/>
  <c r="P211"/>
  <c r="R211"/>
  <c r="O212"/>
  <c r="Q212"/>
  <c r="P212"/>
  <c r="R212"/>
  <c r="O213"/>
  <c r="Q213"/>
  <c r="P213"/>
  <c r="R213"/>
  <c r="O214"/>
  <c r="Q214"/>
  <c r="P214"/>
  <c r="R214"/>
  <c r="O215"/>
  <c r="Q215"/>
  <c r="P215"/>
  <c r="R215"/>
  <c r="O216"/>
  <c r="Q216"/>
  <c r="P216"/>
  <c r="R216"/>
  <c r="O217"/>
  <c r="Q217"/>
  <c r="P217"/>
  <c r="R217"/>
  <c r="O218"/>
  <c r="Q218"/>
  <c r="P218"/>
  <c r="R218"/>
  <c r="O219"/>
  <c r="Q219"/>
  <c r="P219"/>
  <c r="R219"/>
  <c r="O220"/>
  <c r="Q220"/>
  <c r="P220"/>
  <c r="R220"/>
  <c r="O221"/>
  <c r="Q221"/>
  <c r="P221"/>
  <c r="R221"/>
  <c r="O222"/>
  <c r="Q222"/>
  <c r="P222"/>
  <c r="R222"/>
  <c r="R210"/>
  <c r="P210"/>
  <c r="Q210"/>
  <c r="O210"/>
  <c r="R209"/>
  <c r="P209"/>
  <c r="Q209"/>
  <c r="O209"/>
  <c r="R208"/>
  <c r="P208"/>
  <c r="Q208"/>
  <c r="O208"/>
  <c r="O130"/>
  <c r="Q130"/>
  <c r="P130"/>
  <c r="R130"/>
  <c r="O131"/>
  <c r="Q131"/>
  <c r="P131"/>
  <c r="R131"/>
  <c r="O132"/>
  <c r="Q132"/>
  <c r="P132"/>
  <c r="R132"/>
  <c r="O133"/>
  <c r="Q133"/>
  <c r="P133"/>
  <c r="R133"/>
  <c r="O135"/>
  <c r="Q135"/>
  <c r="P135"/>
  <c r="R135"/>
  <c r="O136"/>
  <c r="Q136"/>
  <c r="P136"/>
  <c r="R136"/>
  <c r="O137"/>
  <c r="Q137"/>
  <c r="P137"/>
  <c r="R137"/>
  <c r="O138"/>
  <c r="Q138"/>
  <c r="P138"/>
  <c r="R138"/>
  <c r="O139"/>
  <c r="Q139"/>
  <c r="P139"/>
  <c r="R139"/>
  <c r="O140"/>
  <c r="Q140"/>
  <c r="P140"/>
  <c r="R140"/>
  <c r="O141"/>
  <c r="Q141"/>
  <c r="P141"/>
  <c r="R141"/>
  <c r="O142"/>
  <c r="Q142"/>
  <c r="P142"/>
  <c r="R142"/>
  <c r="O143"/>
  <c r="Q143"/>
  <c r="P143"/>
  <c r="R143"/>
  <c r="O144"/>
  <c r="Q144"/>
  <c r="P144"/>
  <c r="R144"/>
  <c r="O145"/>
  <c r="Q145"/>
  <c r="P145"/>
  <c r="R145"/>
  <c r="O146"/>
  <c r="Q146"/>
  <c r="P146"/>
  <c r="R146"/>
  <c r="O147"/>
  <c r="Q147"/>
  <c r="P147"/>
  <c r="R147"/>
  <c r="O148"/>
  <c r="Q148"/>
  <c r="P148"/>
  <c r="R148"/>
  <c r="O149"/>
  <c r="Q149"/>
  <c r="P149"/>
  <c r="R149"/>
  <c r="O150"/>
  <c r="Q150"/>
  <c r="P150"/>
  <c r="R150"/>
  <c r="O151"/>
  <c r="Q151"/>
  <c r="P151"/>
  <c r="R151"/>
  <c r="O152"/>
  <c r="Q152"/>
  <c r="P152"/>
  <c r="R152"/>
  <c r="O153"/>
  <c r="Q153"/>
  <c r="P153"/>
  <c r="R153"/>
  <c r="O154"/>
  <c r="Q154"/>
  <c r="P154"/>
  <c r="R154"/>
  <c r="O155"/>
  <c r="Q155"/>
  <c r="P155"/>
  <c r="R155"/>
  <c r="O156"/>
  <c r="Q156"/>
  <c r="P156"/>
  <c r="R156"/>
  <c r="O157"/>
  <c r="Q157"/>
  <c r="P157"/>
  <c r="R157"/>
  <c r="O158"/>
  <c r="Q158"/>
  <c r="P158"/>
  <c r="R158"/>
  <c r="O159"/>
  <c r="Q159"/>
  <c r="P159"/>
  <c r="R159"/>
  <c r="O160"/>
  <c r="Q160"/>
  <c r="P160"/>
  <c r="R160"/>
  <c r="O161"/>
  <c r="Q161"/>
  <c r="P161"/>
  <c r="R161"/>
  <c r="O162"/>
  <c r="Q162"/>
  <c r="P162"/>
  <c r="R162"/>
  <c r="O163"/>
  <c r="Q163"/>
  <c r="P163"/>
  <c r="R163"/>
  <c r="O164"/>
  <c r="Q164"/>
  <c r="P164"/>
  <c r="R164"/>
  <c r="O165"/>
  <c r="Q165"/>
  <c r="P165"/>
  <c r="R165"/>
  <c r="O166"/>
  <c r="Q166"/>
  <c r="P166"/>
  <c r="R166"/>
  <c r="O167"/>
  <c r="Q167"/>
  <c r="P167"/>
  <c r="R167"/>
  <c r="O168"/>
  <c r="Q168"/>
  <c r="P168"/>
  <c r="R168"/>
  <c r="O169"/>
  <c r="Q169"/>
  <c r="P169"/>
  <c r="R169"/>
  <c r="O170"/>
  <c r="Q170"/>
  <c r="P170"/>
  <c r="R170"/>
  <c r="O171"/>
  <c r="Q171"/>
  <c r="P171"/>
  <c r="R171"/>
  <c r="O172"/>
  <c r="Q172"/>
  <c r="P172"/>
  <c r="R172"/>
  <c r="O173"/>
  <c r="Q173"/>
  <c r="P173"/>
  <c r="R173"/>
  <c r="O174"/>
  <c r="Q174"/>
  <c r="P174"/>
  <c r="R174"/>
  <c r="O175"/>
  <c r="Q175"/>
  <c r="P175"/>
  <c r="R175"/>
  <c r="O176"/>
  <c r="Q176"/>
  <c r="P176"/>
  <c r="R176"/>
  <c r="O177"/>
  <c r="Q177"/>
  <c r="P177"/>
  <c r="R177"/>
  <c r="O178"/>
  <c r="Q178"/>
  <c r="P178"/>
  <c r="R178"/>
  <c r="O179"/>
  <c r="Q179"/>
  <c r="P179"/>
  <c r="R179"/>
  <c r="O180"/>
  <c r="Q180"/>
  <c r="P180"/>
  <c r="R180"/>
  <c r="O181"/>
  <c r="Q181"/>
  <c r="P181"/>
  <c r="R181"/>
  <c r="O182"/>
  <c r="Q182"/>
  <c r="P182"/>
  <c r="R182"/>
  <c r="O183"/>
  <c r="Q183"/>
  <c r="P183"/>
  <c r="R183"/>
  <c r="O184"/>
  <c r="Q184"/>
  <c r="P184"/>
  <c r="R184"/>
  <c r="O185"/>
  <c r="Q185"/>
  <c r="P185"/>
  <c r="R185"/>
  <c r="O186"/>
  <c r="Q186"/>
  <c r="P186"/>
  <c r="R186"/>
  <c r="O187"/>
  <c r="Q187"/>
  <c r="P187"/>
  <c r="R187"/>
  <c r="O188"/>
  <c r="Q188"/>
  <c r="P188"/>
  <c r="R188"/>
  <c r="O189"/>
  <c r="Q189"/>
  <c r="P189"/>
  <c r="R189"/>
  <c r="O190"/>
  <c r="Q190"/>
  <c r="P190"/>
  <c r="R190"/>
  <c r="O191"/>
  <c r="Q191"/>
  <c r="P191"/>
  <c r="R191"/>
  <c r="O192"/>
  <c r="Q192"/>
  <c r="P192"/>
  <c r="R192"/>
  <c r="O193"/>
  <c r="Q193"/>
  <c r="P193"/>
  <c r="R193"/>
  <c r="O194"/>
  <c r="Q194"/>
  <c r="P194"/>
  <c r="R194"/>
  <c r="O195"/>
  <c r="Q195"/>
  <c r="P195"/>
  <c r="R195"/>
  <c r="O196"/>
  <c r="Q196"/>
  <c r="P196"/>
  <c r="R196"/>
  <c r="O197"/>
  <c r="Q197"/>
  <c r="P197"/>
  <c r="R197"/>
  <c r="O198"/>
  <c r="Q198"/>
  <c r="P198"/>
  <c r="R198"/>
  <c r="O199"/>
  <c r="Q199"/>
  <c r="P199"/>
  <c r="R199"/>
  <c r="O200"/>
  <c r="Q200"/>
  <c r="P200"/>
  <c r="R200"/>
  <c r="O201"/>
  <c r="Q201"/>
  <c r="P201"/>
  <c r="R201"/>
  <c r="O202"/>
  <c r="Q202"/>
  <c r="P202"/>
  <c r="R202"/>
  <c r="O203"/>
  <c r="Q203"/>
  <c r="P203"/>
  <c r="R203"/>
  <c r="O204"/>
  <c r="Q204"/>
  <c r="P204"/>
  <c r="R204"/>
  <c r="O206"/>
  <c r="Q206"/>
  <c r="P206"/>
  <c r="R206"/>
  <c r="O207"/>
  <c r="Q207"/>
  <c r="P207"/>
  <c r="R207"/>
  <c r="R129"/>
  <c r="P129"/>
  <c r="Q129"/>
  <c r="O129"/>
  <c r="R128"/>
  <c r="P128"/>
  <c r="Q128"/>
  <c r="O128"/>
  <c r="O71"/>
  <c r="Q71"/>
  <c r="P71"/>
  <c r="R71"/>
  <c r="O72"/>
  <c r="Q72"/>
  <c r="P72"/>
  <c r="R72"/>
  <c r="O73"/>
  <c r="Q73"/>
  <c r="P73"/>
  <c r="R73"/>
  <c r="O74"/>
  <c r="Q74"/>
  <c r="P74"/>
  <c r="R74"/>
  <c r="O75"/>
  <c r="Q75"/>
  <c r="P75"/>
  <c r="R75"/>
  <c r="O76"/>
  <c r="Q76"/>
  <c r="P76"/>
  <c r="R76"/>
  <c r="O77"/>
  <c r="Q77"/>
  <c r="P77"/>
  <c r="R77"/>
  <c r="O78"/>
  <c r="Q78"/>
  <c r="P78"/>
  <c r="R78"/>
  <c r="O79"/>
  <c r="Q79"/>
  <c r="P79"/>
  <c r="R79"/>
  <c r="O80"/>
  <c r="Q80"/>
  <c r="P80"/>
  <c r="R80"/>
  <c r="O81"/>
  <c r="Q81"/>
  <c r="P81"/>
  <c r="R81"/>
  <c r="O82"/>
  <c r="Q82"/>
  <c r="P82"/>
  <c r="R82"/>
  <c r="O83"/>
  <c r="Q83"/>
  <c r="P83"/>
  <c r="R83"/>
  <c r="O84"/>
  <c r="Q84"/>
  <c r="P84"/>
  <c r="R84"/>
  <c r="O85"/>
  <c r="Q85"/>
  <c r="P85"/>
  <c r="R85"/>
  <c r="O86"/>
  <c r="Q86"/>
  <c r="P86"/>
  <c r="R86"/>
  <c r="O87"/>
  <c r="Q87"/>
  <c r="P87"/>
  <c r="R87"/>
  <c r="O88"/>
  <c r="Q88"/>
  <c r="P88"/>
  <c r="R88"/>
  <c r="O89"/>
  <c r="Q89"/>
  <c r="P89"/>
  <c r="R89"/>
  <c r="O90"/>
  <c r="Q90"/>
  <c r="P90"/>
  <c r="R90"/>
  <c r="O91"/>
  <c r="Q91"/>
  <c r="P91"/>
  <c r="R91"/>
  <c r="O92"/>
  <c r="Q92"/>
  <c r="P92"/>
  <c r="R92"/>
  <c r="O93"/>
  <c r="Q93"/>
  <c r="P93"/>
  <c r="R93"/>
  <c r="O94"/>
  <c r="Q94"/>
  <c r="P94"/>
  <c r="R94"/>
  <c r="O95"/>
  <c r="Q95"/>
  <c r="P95"/>
  <c r="R95"/>
  <c r="O96"/>
  <c r="Q96"/>
  <c r="P96"/>
  <c r="R96"/>
  <c r="O97"/>
  <c r="Q97"/>
  <c r="P97"/>
  <c r="R97"/>
  <c r="O98"/>
  <c r="Q98"/>
  <c r="P98"/>
  <c r="R98"/>
  <c r="O99"/>
  <c r="Q99"/>
  <c r="P99"/>
  <c r="R99"/>
  <c r="O100"/>
  <c r="Q100"/>
  <c r="P100"/>
  <c r="R100"/>
  <c r="O101"/>
  <c r="Q101"/>
  <c r="P101"/>
  <c r="R101"/>
  <c r="O102"/>
  <c r="Q102"/>
  <c r="P102"/>
  <c r="R102"/>
  <c r="O103"/>
  <c r="Q103"/>
  <c r="P103"/>
  <c r="R103"/>
  <c r="O104"/>
  <c r="Q104"/>
  <c r="P104"/>
  <c r="R104"/>
  <c r="O105"/>
  <c r="Q105"/>
  <c r="P105"/>
  <c r="R105"/>
  <c r="O106"/>
  <c r="Q106"/>
  <c r="P106"/>
  <c r="R106"/>
  <c r="O107"/>
  <c r="Q107"/>
  <c r="P107"/>
  <c r="R107"/>
  <c r="O108"/>
  <c r="Q108"/>
  <c r="P108"/>
  <c r="R108"/>
  <c r="O109"/>
  <c r="Q109"/>
  <c r="P109"/>
  <c r="R109"/>
  <c r="O110"/>
  <c r="Q110"/>
  <c r="P110"/>
  <c r="R110"/>
  <c r="O111"/>
  <c r="Q111"/>
  <c r="P111"/>
  <c r="R111"/>
  <c r="O112"/>
  <c r="Q112"/>
  <c r="P112"/>
  <c r="R112"/>
  <c r="O113"/>
  <c r="Q113"/>
  <c r="P113"/>
  <c r="R113"/>
  <c r="O114"/>
  <c r="Q114"/>
  <c r="P114"/>
  <c r="R114"/>
  <c r="O115"/>
  <c r="Q115"/>
  <c r="P115"/>
  <c r="R115"/>
  <c r="O116"/>
  <c r="Q116"/>
  <c r="P116"/>
  <c r="R116"/>
  <c r="O117"/>
  <c r="Q117"/>
  <c r="P117"/>
  <c r="R117"/>
  <c r="O118"/>
  <c r="Q118"/>
  <c r="P118"/>
  <c r="R118"/>
  <c r="O119"/>
  <c r="Q119"/>
  <c r="P119"/>
  <c r="R119"/>
  <c r="O120"/>
  <c r="Q120"/>
  <c r="P120"/>
  <c r="R120"/>
  <c r="O121"/>
  <c r="Q121"/>
  <c r="P121"/>
  <c r="R121"/>
  <c r="O122"/>
  <c r="Q122"/>
  <c r="P122"/>
  <c r="R122"/>
  <c r="O123"/>
  <c r="Q123"/>
  <c r="P123"/>
  <c r="R123"/>
  <c r="O124"/>
  <c r="Q124"/>
  <c r="P124"/>
  <c r="R124"/>
  <c r="O125"/>
  <c r="Q125"/>
  <c r="P125"/>
  <c r="R125"/>
  <c r="R70"/>
  <c r="P70"/>
  <c r="Q70"/>
  <c r="O70"/>
  <c r="R67"/>
  <c r="P67"/>
  <c r="Q67"/>
  <c r="O67"/>
  <c r="R66"/>
  <c r="P66"/>
  <c r="Q66"/>
  <c r="O66"/>
  <c r="R65"/>
  <c r="P65"/>
  <c r="Q65"/>
  <c r="O65"/>
  <c r="R64"/>
  <c r="P64"/>
  <c r="Q64"/>
  <c r="O64"/>
  <c r="R63"/>
  <c r="P63"/>
  <c r="Q63"/>
  <c r="O63"/>
  <c r="R62"/>
  <c r="P62"/>
  <c r="Q62"/>
  <c r="O62"/>
  <c r="R61"/>
  <c r="P61"/>
  <c r="Q61"/>
  <c r="O61"/>
  <c r="R60"/>
  <c r="P60"/>
  <c r="Q60"/>
  <c r="O60"/>
  <c r="R59"/>
  <c r="P59"/>
  <c r="Q59"/>
  <c r="O59"/>
  <c r="R58"/>
  <c r="P58"/>
  <c r="Q58"/>
  <c r="O58"/>
  <c r="R57"/>
  <c r="P57"/>
  <c r="Q57"/>
  <c r="O57"/>
  <c r="R56"/>
  <c r="P56"/>
  <c r="Q56"/>
  <c r="O56"/>
  <c r="R55"/>
  <c r="P55"/>
  <c r="Q55"/>
  <c r="O55"/>
  <c r="R54"/>
  <c r="P54"/>
  <c r="Q54"/>
  <c r="O54"/>
  <c r="R53"/>
  <c r="P53"/>
  <c r="Q53"/>
  <c r="O53"/>
  <c r="R52"/>
  <c r="P52"/>
  <c r="Q52"/>
  <c r="O52"/>
  <c r="R51"/>
  <c r="P51"/>
  <c r="Q51"/>
  <c r="O51"/>
  <c r="R50"/>
  <c r="P50"/>
  <c r="Q50"/>
  <c r="O50"/>
  <c r="R49"/>
  <c r="P49"/>
  <c r="Q49"/>
  <c r="O49"/>
  <c r="R48"/>
  <c r="P48"/>
  <c r="Q48"/>
  <c r="O48"/>
  <c r="R47"/>
  <c r="P47"/>
  <c r="Q47"/>
  <c r="O47"/>
  <c r="R46"/>
  <c r="P46"/>
  <c r="Q46"/>
  <c r="O46"/>
  <c r="R45"/>
  <c r="P45"/>
  <c r="Q45"/>
  <c r="O45"/>
  <c r="R44"/>
  <c r="P44"/>
  <c r="Q44"/>
  <c r="O44"/>
  <c r="R43"/>
  <c r="P43"/>
  <c r="Q43"/>
  <c r="O43"/>
  <c r="R42"/>
  <c r="P42"/>
  <c r="Q42"/>
  <c r="O42"/>
  <c r="O20"/>
  <c r="Q20"/>
  <c r="P20"/>
  <c r="R20"/>
  <c r="O21"/>
  <c r="Q21"/>
  <c r="P21"/>
  <c r="R21"/>
  <c r="O22"/>
  <c r="Q22"/>
  <c r="P22"/>
  <c r="R22"/>
  <c r="O23"/>
  <c r="Q23"/>
  <c r="P23"/>
  <c r="R23"/>
  <c r="O24"/>
  <c r="Q24"/>
  <c r="P24"/>
  <c r="R24"/>
  <c r="O25"/>
  <c r="Q25"/>
  <c r="P25"/>
  <c r="R25"/>
  <c r="O26"/>
  <c r="Q26"/>
  <c r="P26"/>
  <c r="R26"/>
  <c r="O27"/>
  <c r="Q27"/>
  <c r="P27"/>
  <c r="R27"/>
  <c r="O28"/>
  <c r="Q28"/>
  <c r="P28"/>
  <c r="R28"/>
  <c r="O29"/>
  <c r="Q29"/>
  <c r="P29"/>
  <c r="R29"/>
  <c r="O30"/>
  <c r="Q30"/>
  <c r="P30"/>
  <c r="R30"/>
  <c r="O31"/>
  <c r="Q31"/>
  <c r="P31"/>
  <c r="R31"/>
  <c r="O32"/>
  <c r="Q32"/>
  <c r="P32"/>
  <c r="R32"/>
  <c r="O33"/>
  <c r="Q33"/>
  <c r="P33"/>
  <c r="R33"/>
  <c r="O34"/>
  <c r="Q34"/>
  <c r="P34"/>
  <c r="R34"/>
  <c r="O35"/>
  <c r="Q35"/>
  <c r="P35"/>
  <c r="R35"/>
  <c r="O36"/>
  <c r="Q36"/>
  <c r="P36"/>
  <c r="R36"/>
  <c r="O37"/>
  <c r="Q37"/>
  <c r="P37"/>
  <c r="R37"/>
  <c r="O38"/>
  <c r="Q38"/>
  <c r="P38"/>
  <c r="R38"/>
  <c r="O39"/>
  <c r="Q39"/>
  <c r="P39"/>
  <c r="R39"/>
  <c r="R19"/>
  <c r="P19"/>
  <c r="Q19"/>
  <c r="O19"/>
  <c r="R18"/>
  <c r="P18"/>
  <c r="Q18"/>
  <c r="O18"/>
  <c r="R17"/>
  <c r="P17"/>
  <c r="Q17"/>
  <c r="O17"/>
  <c r="R16"/>
  <c r="P16"/>
  <c r="Q16"/>
  <c r="O16"/>
  <c r="R15"/>
  <c r="P15"/>
  <c r="Q15"/>
  <c r="O15"/>
  <c r="R14"/>
  <c r="P14"/>
  <c r="Q14"/>
  <c r="O14"/>
  <c r="R13"/>
  <c r="P13"/>
  <c r="Q13"/>
  <c r="O13"/>
  <c r="R10"/>
  <c r="P10"/>
  <c r="Q10"/>
  <c r="O10"/>
  <c r="R9"/>
  <c r="P9"/>
  <c r="Q9"/>
  <c r="O9"/>
  <c r="R8"/>
  <c r="P8"/>
  <c r="Q8"/>
  <c r="O8"/>
  <c r="R7"/>
  <c r="P7"/>
  <c r="Q7"/>
  <c r="O7"/>
  <c r="R6"/>
  <c r="P6"/>
  <c r="Q6"/>
  <c r="O6"/>
  <c r="R5"/>
  <c r="P5"/>
  <c r="Q5"/>
  <c r="O5"/>
  <c r="R4"/>
  <c r="P4"/>
  <c r="Q4"/>
  <c r="O4"/>
  <c r="O8" i="118"/>
  <c r="Q8"/>
  <c r="P8"/>
  <c r="R8"/>
  <c r="O9"/>
  <c r="Q9"/>
  <c r="P9"/>
  <c r="R9"/>
  <c r="O10"/>
  <c r="Q10"/>
  <c r="P10"/>
  <c r="R10"/>
  <c r="O11"/>
  <c r="Q11"/>
  <c r="P11"/>
  <c r="R11"/>
  <c r="O12"/>
  <c r="Q12"/>
  <c r="P12"/>
  <c r="R12"/>
  <c r="O13"/>
  <c r="Q13"/>
  <c r="P13"/>
  <c r="R13"/>
  <c r="O14"/>
  <c r="Q14"/>
  <c r="P14"/>
  <c r="R14"/>
  <c r="O15"/>
  <c r="Q15"/>
  <c r="P15"/>
  <c r="R15"/>
  <c r="O16"/>
  <c r="Q16"/>
  <c r="P16"/>
  <c r="R16"/>
  <c r="O17"/>
  <c r="Q17"/>
  <c r="P17"/>
  <c r="R17"/>
  <c r="O18"/>
  <c r="Q18"/>
  <c r="P18"/>
  <c r="R18"/>
  <c r="O19"/>
  <c r="Q19"/>
  <c r="P19"/>
  <c r="R19"/>
  <c r="O20"/>
  <c r="Q20"/>
  <c r="P20"/>
  <c r="R20"/>
  <c r="O21"/>
  <c r="Q21"/>
  <c r="P21"/>
  <c r="R21"/>
  <c r="O22"/>
  <c r="Q22"/>
  <c r="P22"/>
  <c r="R22"/>
  <c r="O23"/>
  <c r="Q23"/>
  <c r="P23"/>
  <c r="R23"/>
  <c r="O24"/>
  <c r="Q24"/>
  <c r="P24"/>
  <c r="R24"/>
  <c r="O25"/>
  <c r="Q25"/>
  <c r="P25"/>
  <c r="R25"/>
  <c r="O26"/>
  <c r="Q26"/>
  <c r="P26"/>
  <c r="R26"/>
  <c r="O27"/>
  <c r="Q27"/>
  <c r="P27"/>
  <c r="R27"/>
  <c r="O28"/>
  <c r="Q28"/>
  <c r="P28"/>
  <c r="R28"/>
  <c r="O29"/>
  <c r="Q29"/>
  <c r="P29"/>
  <c r="R29"/>
  <c r="O31"/>
  <c r="Q31"/>
  <c r="P31"/>
  <c r="R31"/>
  <c r="O32"/>
  <c r="Q32"/>
  <c r="P32"/>
  <c r="R32"/>
  <c r="O33"/>
  <c r="Q33"/>
  <c r="P33"/>
  <c r="R33"/>
  <c r="O34"/>
  <c r="Q34"/>
  <c r="P34"/>
  <c r="R34"/>
  <c r="O35"/>
  <c r="Q35"/>
  <c r="P35"/>
  <c r="R35"/>
  <c r="O36"/>
  <c r="Q36"/>
  <c r="P36"/>
  <c r="R36"/>
  <c r="O37"/>
  <c r="Q37"/>
  <c r="P37"/>
  <c r="R37"/>
  <c r="O38"/>
  <c r="Q38"/>
  <c r="P38"/>
  <c r="R38"/>
  <c r="O39"/>
  <c r="Q39"/>
  <c r="P39"/>
  <c r="R39"/>
  <c r="O40"/>
  <c r="Q40"/>
  <c r="P40"/>
  <c r="R40"/>
  <c r="R7"/>
  <c r="P7"/>
  <c r="Q7"/>
  <c r="O7"/>
  <c r="R6"/>
  <c r="P6"/>
  <c r="Q6"/>
  <c r="O6"/>
  <c r="R5"/>
  <c r="P5"/>
  <c r="Q5"/>
  <c r="O5"/>
  <c r="R4"/>
  <c r="P4"/>
  <c r="Q4"/>
  <c r="O4"/>
  <c r="R3"/>
  <c r="P3"/>
  <c r="Q3"/>
  <c r="O3"/>
  <c r="R2"/>
  <c r="P2"/>
  <c r="Q2"/>
  <c r="O2"/>
  <c r="R1"/>
  <c r="P1"/>
  <c r="Q1"/>
  <c r="O1"/>
  <c r="AF21" i="74"/>
  <c r="W21"/>
  <c r="AI21"/>
  <c r="AH21" l="1"/>
  <c r="Y21"/>
  <c r="Z21" s="1"/>
  <c r="U21"/>
  <c r="AF58" l="1"/>
  <c r="Y58" l="1"/>
  <c r="Z58" s="1"/>
  <c r="U58"/>
  <c r="AF65"/>
  <c r="Y65" l="1"/>
  <c r="Z65" s="1"/>
  <c r="U65"/>
  <c r="AF61"/>
  <c r="Y61" l="1"/>
  <c r="Z61" s="1"/>
  <c r="U61"/>
  <c r="AF1688" i="57" l="1"/>
  <c r="W1688"/>
  <c r="AI1688"/>
  <c r="AH1688" l="1"/>
  <c r="U1688"/>
  <c r="Y1688"/>
  <c r="Z1688" s="1"/>
  <c r="Y216" i="114" l="1"/>
  <c r="Z216" s="1"/>
  <c r="U216"/>
  <c r="W106"/>
  <c r="AI106"/>
  <c r="AH106" l="1"/>
  <c r="Y106"/>
  <c r="Z106" s="1"/>
  <c r="U106"/>
  <c r="Y221" l="1"/>
  <c r="Z221" s="1"/>
  <c r="U221"/>
  <c r="AF279" i="57"/>
  <c r="W279"/>
  <c r="AI279"/>
  <c r="AI54" i="114" l="1"/>
  <c r="AH54" s="1"/>
  <c r="W54"/>
  <c r="Y54" s="1"/>
  <c r="Z54" s="1"/>
  <c r="AH279" i="57"/>
  <c r="U279"/>
  <c r="Y279"/>
  <c r="Z279" s="1"/>
  <c r="W368"/>
  <c r="W39" i="114" l="1"/>
  <c r="U54"/>
  <c r="U368" i="57"/>
  <c r="Y368"/>
  <c r="Z368" s="1"/>
  <c r="AF368"/>
  <c r="AI711"/>
  <c r="AI368"/>
  <c r="AI39" i="114" l="1"/>
  <c r="AH39" s="1"/>
  <c r="U39"/>
  <c r="Y39"/>
  <c r="Z39" s="1"/>
  <c r="AH368" i="57"/>
  <c r="AH711"/>
  <c r="AF711"/>
  <c r="W711"/>
  <c r="U711" l="1"/>
  <c r="Y711"/>
  <c r="Z711" s="1"/>
  <c r="AF631"/>
  <c r="AI631"/>
  <c r="W631"/>
  <c r="U33" i="74" l="1"/>
  <c r="Y33"/>
  <c r="Z33" s="1"/>
  <c r="U154" i="114"/>
  <c r="Y154"/>
  <c r="Z154" s="1"/>
  <c r="AH631" i="57"/>
  <c r="U631"/>
  <c r="Y631"/>
  <c r="Z631" s="1"/>
  <c r="AF110"/>
  <c r="AI110"/>
  <c r="W110"/>
  <c r="U155" i="114" l="1"/>
  <c r="Y155"/>
  <c r="Z155" s="1"/>
  <c r="AH110" i="57"/>
  <c r="U110"/>
  <c r="Y110"/>
  <c r="Z110" s="1"/>
  <c r="AF1697"/>
  <c r="W1697"/>
  <c r="AI1697"/>
  <c r="AH1697" l="1"/>
  <c r="U1697"/>
  <c r="Y1697"/>
  <c r="Z1697" s="1"/>
  <c r="W105" i="114"/>
  <c r="AI105"/>
  <c r="AH105" l="1"/>
  <c r="Y105"/>
  <c r="Z105" s="1"/>
  <c r="U105"/>
  <c r="W104"/>
  <c r="AI104"/>
  <c r="AH104" l="1"/>
  <c r="Y104"/>
  <c r="Z104" s="1"/>
  <c r="U104"/>
  <c r="Y233" l="1"/>
  <c r="Z233" s="1"/>
  <c r="U233"/>
  <c r="Y228" l="1"/>
  <c r="Z228" s="1"/>
  <c r="U228"/>
  <c r="Y206" l="1"/>
  <c r="Z206" s="1"/>
  <c r="U206"/>
  <c r="X78" i="74"/>
  <c r="W78"/>
  <c r="Y243" i="114" l="1"/>
  <c r="Z243" s="1"/>
  <c r="U243"/>
  <c r="AF1135" i="57"/>
  <c r="AP14" i="28"/>
  <c r="AP21"/>
  <c r="AP28"/>
  <c r="AP27"/>
  <c r="AP30"/>
  <c r="AP32"/>
  <c r="AP16"/>
  <c r="AP33"/>
  <c r="AP26"/>
  <c r="AP22"/>
  <c r="AI1135" i="57"/>
  <c r="AP29" i="28"/>
  <c r="AP34"/>
  <c r="AP13"/>
  <c r="AP20"/>
  <c r="AP35"/>
  <c r="AP24"/>
  <c r="AP19"/>
  <c r="AP23"/>
  <c r="AP31"/>
  <c r="AP25"/>
  <c r="AP15"/>
  <c r="W1135" i="57"/>
  <c r="AH1135" l="1"/>
  <c r="U1135"/>
  <c r="Y1135"/>
  <c r="Z1135" s="1"/>
  <c r="AF51" i="28"/>
  <c r="W51"/>
  <c r="AI51"/>
  <c r="U51" l="1"/>
  <c r="AH51"/>
  <c r="Y51"/>
  <c r="Z51" s="1"/>
  <c r="AF680" i="57"/>
  <c r="W680"/>
  <c r="AI680"/>
  <c r="AH680" l="1"/>
  <c r="U680"/>
  <c r="Y680"/>
  <c r="Z680" s="1"/>
  <c r="AF54" i="28"/>
  <c r="AI54"/>
  <c r="U54" l="1"/>
  <c r="AH54"/>
  <c r="Y54"/>
  <c r="Z54" s="1"/>
  <c r="AO14"/>
  <c r="AO24"/>
  <c r="AO31"/>
  <c r="AO35"/>
  <c r="AO13"/>
  <c r="AO15"/>
  <c r="AO27"/>
  <c r="AO32"/>
  <c r="AO20"/>
  <c r="AO33"/>
  <c r="AO23"/>
  <c r="AO34"/>
  <c r="AO22"/>
  <c r="AO25"/>
  <c r="AO26"/>
  <c r="AO28"/>
  <c r="AO30"/>
  <c r="AO29"/>
  <c r="AO16"/>
  <c r="AO21"/>
  <c r="AO19"/>
  <c r="AF22" i="74" l="1"/>
  <c r="W22"/>
  <c r="AI22"/>
  <c r="AH22" l="1"/>
  <c r="Y22"/>
  <c r="Z22" s="1"/>
  <c r="U22"/>
  <c r="AF62"/>
  <c r="Y62" l="1"/>
  <c r="Z62" s="1"/>
  <c r="U62"/>
  <c r="AF632" i="57"/>
  <c r="W632"/>
  <c r="AI632"/>
  <c r="AH632" l="1"/>
  <c r="U632"/>
  <c r="Y632"/>
  <c r="Z632" s="1"/>
  <c r="AF1694"/>
  <c r="AI1694"/>
  <c r="W1694"/>
  <c r="AH1694" l="1"/>
  <c r="U1694"/>
  <c r="Y1694"/>
  <c r="Z1694" s="1"/>
  <c r="Y246" i="114" l="1"/>
  <c r="Z246" s="1"/>
  <c r="U246"/>
  <c r="Y213" l="1"/>
  <c r="Z213" s="1"/>
  <c r="U213"/>
  <c r="AI110"/>
  <c r="W110"/>
  <c r="AH110" l="1"/>
  <c r="Y110"/>
  <c r="Z110" s="1"/>
  <c r="U110"/>
  <c r="AF42" i="57"/>
  <c r="AF43"/>
  <c r="AF44"/>
  <c r="AF45"/>
  <c r="AF46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47"/>
  <c r="AF564"/>
  <c r="AI564"/>
  <c r="W564"/>
  <c r="AH564" l="1"/>
  <c r="U564"/>
  <c r="Y564"/>
  <c r="Z564" s="1"/>
  <c r="AI47"/>
  <c r="W47"/>
  <c r="AH47" l="1"/>
  <c r="U47"/>
  <c r="Y47"/>
  <c r="Z47" s="1"/>
  <c r="AF550" l="1"/>
  <c r="W550"/>
  <c r="AI550"/>
  <c r="AH550" l="1"/>
  <c r="U550"/>
  <c r="Y550"/>
  <c r="Z550" s="1"/>
  <c r="AF640"/>
  <c r="AI640"/>
  <c r="W640"/>
  <c r="AH640" l="1"/>
  <c r="U640"/>
  <c r="Y640"/>
  <c r="Z640" s="1"/>
  <c r="W109" i="114"/>
  <c r="AI109"/>
  <c r="AH109" l="1"/>
  <c r="Y109"/>
  <c r="Z109" s="1"/>
  <c r="U109"/>
  <c r="AI108"/>
  <c r="W108"/>
  <c r="AH108" l="1"/>
  <c r="Y108"/>
  <c r="Z108" s="1"/>
  <c r="U108"/>
  <c r="Y242" l="1"/>
  <c r="Z242" s="1"/>
  <c r="U242"/>
  <c r="AI107"/>
  <c r="W107"/>
  <c r="AH107" l="1"/>
  <c r="Y107"/>
  <c r="Z107" s="1"/>
  <c r="U107"/>
  <c r="Y229" l="1"/>
  <c r="Z229" s="1"/>
  <c r="U229"/>
  <c r="AN7" i="28"/>
  <c r="AN8"/>
  <c r="AO8"/>
  <c r="AP6"/>
  <c r="AN2"/>
  <c r="AM6"/>
  <c r="AP7"/>
  <c r="AP2"/>
  <c r="AO7"/>
  <c r="AP4"/>
  <c r="AO6"/>
  <c r="AM5"/>
  <c r="AM8"/>
  <c r="AO2"/>
  <c r="AP5"/>
  <c r="AN6"/>
  <c r="AO3"/>
  <c r="AP9"/>
  <c r="AP3"/>
  <c r="AM4"/>
  <c r="AN4"/>
  <c r="AM9"/>
  <c r="AN5"/>
  <c r="AO4"/>
  <c r="AO9"/>
  <c r="AM3"/>
  <c r="AN3"/>
  <c r="AM2"/>
  <c r="AO5"/>
  <c r="AP8"/>
  <c r="AN9"/>
  <c r="AM7"/>
  <c r="AF63" i="74" l="1"/>
  <c r="Y63" l="1"/>
  <c r="Z63" s="1"/>
  <c r="U63"/>
  <c r="AF69"/>
  <c r="Y69" l="1"/>
  <c r="Z69" s="1"/>
  <c r="U69"/>
  <c r="AF70"/>
  <c r="Y70" l="1"/>
  <c r="Z70" s="1"/>
  <c r="U70"/>
  <c r="AF68"/>
  <c r="Y68" l="1"/>
  <c r="Z68" s="1"/>
  <c r="U68"/>
  <c r="AF1062" i="57"/>
  <c r="W1062"/>
  <c r="AI1062"/>
  <c r="AH1062" l="1"/>
  <c r="U1062"/>
  <c r="Y1062"/>
  <c r="Z1062" s="1"/>
  <c r="AF603" l="1"/>
  <c r="W603"/>
  <c r="AI603"/>
  <c r="AH603" l="1"/>
  <c r="U603"/>
  <c r="Y603"/>
  <c r="Z603" s="1"/>
  <c r="AF1128"/>
  <c r="AI1128"/>
  <c r="W1128"/>
  <c r="AH1128" l="1"/>
  <c r="U1128"/>
  <c r="Y1128"/>
  <c r="Z1128" s="1"/>
  <c r="AF1520"/>
  <c r="AI1520"/>
  <c r="W1520"/>
  <c r="AH1520" l="1"/>
  <c r="U1520"/>
  <c r="Y1520"/>
  <c r="Z1520" s="1"/>
  <c r="Y202" i="114" l="1"/>
  <c r="Z202" s="1"/>
  <c r="U202"/>
  <c r="Y245" l="1"/>
  <c r="Z245" s="1"/>
  <c r="U245"/>
  <c r="Y244" l="1"/>
  <c r="Z244" s="1"/>
  <c r="U244"/>
  <c r="Y238" l="1"/>
  <c r="Z238" s="1"/>
  <c r="U238"/>
  <c r="AF1401" i="57"/>
  <c r="AI1401"/>
  <c r="W1401"/>
  <c r="AH1401" l="1"/>
  <c r="U1401"/>
  <c r="Y1401"/>
  <c r="Z1401" s="1"/>
  <c r="AF1535"/>
  <c r="AI1535"/>
  <c r="W1535"/>
  <c r="W50" i="114" l="1"/>
  <c r="Y50" s="1"/>
  <c r="Z50" s="1"/>
  <c r="AI50"/>
  <c r="AH50" s="1"/>
  <c r="AH1535" i="57"/>
  <c r="U1535"/>
  <c r="Y1535"/>
  <c r="Z1535" s="1"/>
  <c r="AF452"/>
  <c r="W452"/>
  <c r="AI452"/>
  <c r="U50" i="114" l="1"/>
  <c r="AH452" i="57"/>
  <c r="U452"/>
  <c r="Y452"/>
  <c r="Z452" s="1"/>
  <c r="AF1035" l="1"/>
  <c r="W1035"/>
  <c r="AI1035"/>
  <c r="AH1035" l="1"/>
  <c r="U1035"/>
  <c r="Y1035"/>
  <c r="Z1035" s="1"/>
  <c r="AI114" i="114"/>
  <c r="W114"/>
  <c r="AH114" l="1"/>
  <c r="Y114"/>
  <c r="Z114" s="1"/>
  <c r="U114"/>
  <c r="Y231" l="1"/>
  <c r="Z231" s="1"/>
  <c r="U231"/>
  <c r="W113"/>
  <c r="AI113"/>
  <c r="AH113" l="1"/>
  <c r="Y113"/>
  <c r="Z113" s="1"/>
  <c r="U113"/>
  <c r="W112"/>
  <c r="AI112"/>
  <c r="AH112" l="1"/>
  <c r="Y112"/>
  <c r="Z112" s="1"/>
  <c r="U112"/>
  <c r="AF209" i="57"/>
  <c r="W209"/>
  <c r="AI209"/>
  <c r="AH209" l="1"/>
  <c r="U209"/>
  <c r="Y209"/>
  <c r="Z209" s="1"/>
  <c r="AF655"/>
  <c r="AI655"/>
  <c r="W655"/>
  <c r="AH655" l="1"/>
  <c r="U655"/>
  <c r="Y655"/>
  <c r="Z655" s="1"/>
  <c r="AF487" l="1"/>
  <c r="AI487"/>
  <c r="W487"/>
  <c r="AH487" l="1"/>
  <c r="U487"/>
  <c r="Y487"/>
  <c r="Z487" s="1"/>
  <c r="Y247" i="114" l="1"/>
  <c r="Z247" s="1"/>
  <c r="U247"/>
  <c r="Y239" l="1"/>
  <c r="Z239" s="1"/>
  <c r="U239"/>
  <c r="Y224" l="1"/>
  <c r="Z224" s="1"/>
  <c r="U224"/>
  <c r="Y236" l="1"/>
  <c r="Z236" s="1"/>
  <c r="U236"/>
  <c r="AI111"/>
  <c r="W111"/>
  <c r="AH111" l="1"/>
  <c r="Y111"/>
  <c r="Z111" s="1"/>
  <c r="U111"/>
  <c r="W151" i="22"/>
  <c r="AF142"/>
  <c r="X142"/>
  <c r="Y142" s="1"/>
  <c r="Z142" s="1"/>
  <c r="S142"/>
  <c r="AF141"/>
  <c r="X141"/>
  <c r="Y141" s="1"/>
  <c r="Z141" s="1"/>
  <c r="S141"/>
  <c r="AF140"/>
  <c r="X140"/>
  <c r="Y140" s="1"/>
  <c r="Z140" s="1"/>
  <c r="S140"/>
  <c r="AF139"/>
  <c r="X139"/>
  <c r="Y139" s="1"/>
  <c r="Z139" s="1"/>
  <c r="S139"/>
  <c r="AF1365" i="57"/>
  <c r="AI1365"/>
  <c r="W1365"/>
  <c r="AH1365" l="1"/>
  <c r="U1365"/>
  <c r="Y1365"/>
  <c r="Z1365" s="1"/>
  <c r="AI208"/>
  <c r="AH208" l="1"/>
  <c r="AF208"/>
  <c r="N208"/>
  <c r="W208"/>
  <c r="U208" l="1"/>
  <c r="Y208"/>
  <c r="Z208" s="1"/>
  <c r="AF1768"/>
  <c r="AI1768"/>
  <c r="W1768"/>
  <c r="AH1768" l="1"/>
  <c r="U1768"/>
  <c r="Y1768"/>
  <c r="Z1768" s="1"/>
  <c r="AF1364"/>
  <c r="W1364"/>
  <c r="AI1364"/>
  <c r="AH1364" l="1"/>
  <c r="U1364"/>
  <c r="Y1364"/>
  <c r="Z1364" s="1"/>
  <c r="AF53" i="28"/>
  <c r="AI53"/>
  <c r="U53" l="1"/>
  <c r="AH53"/>
  <c r="Y53"/>
  <c r="Z53" s="1"/>
  <c r="AF56"/>
  <c r="AI56"/>
  <c r="U56" l="1"/>
  <c r="AH56"/>
  <c r="Y56"/>
  <c r="Z56" s="1"/>
  <c r="AF977" i="57" l="1"/>
  <c r="W977"/>
  <c r="AI977"/>
  <c r="AH977" l="1"/>
  <c r="U977"/>
  <c r="Y977"/>
  <c r="Z977" s="1"/>
  <c r="AF381" l="1"/>
  <c r="AI381"/>
  <c r="W381"/>
  <c r="AH381" l="1"/>
  <c r="U381"/>
  <c r="Y381"/>
  <c r="Z381" s="1"/>
  <c r="Y251" i="114" l="1"/>
  <c r="Z251" s="1"/>
  <c r="U251"/>
  <c r="Y253" l="1"/>
  <c r="Z253" s="1"/>
  <c r="U253"/>
  <c r="Y252" l="1"/>
  <c r="Z252" s="1"/>
  <c r="U252"/>
  <c r="Y249" l="1"/>
  <c r="Z249" s="1"/>
  <c r="U249"/>
  <c r="AI115"/>
  <c r="W115"/>
  <c r="AH115" l="1"/>
  <c r="Y115"/>
  <c r="Z115" s="1"/>
  <c r="U115"/>
  <c r="AF71" i="74"/>
  <c r="Y71" l="1"/>
  <c r="Z71" s="1"/>
  <c r="U71"/>
  <c r="AF1094" i="57"/>
  <c r="W1094"/>
  <c r="AI1094"/>
  <c r="AH1094" l="1"/>
  <c r="U1094"/>
  <c r="Y1094"/>
  <c r="Z1094" s="1"/>
  <c r="AF1393"/>
  <c r="W1393"/>
  <c r="AI1393"/>
  <c r="AH1393" l="1"/>
  <c r="U1393"/>
  <c r="Y1393"/>
  <c r="Z1393" s="1"/>
  <c r="AF626"/>
  <c r="W626"/>
  <c r="AI626"/>
  <c r="W37" i="114" l="1"/>
  <c r="AI37"/>
  <c r="AH37" s="1"/>
  <c r="AH626" i="57"/>
  <c r="U626"/>
  <c r="Y626"/>
  <c r="Z626" s="1"/>
  <c r="AF595"/>
  <c r="W595"/>
  <c r="AI595"/>
  <c r="U37" i="114" l="1"/>
  <c r="Y37"/>
  <c r="Z37" s="1"/>
  <c r="AH595" i="57"/>
  <c r="U595"/>
  <c r="Y595"/>
  <c r="Z595" s="1"/>
  <c r="Y250" i="114" l="1"/>
  <c r="Z250" s="1"/>
  <c r="U250"/>
  <c r="Y225" l="1"/>
  <c r="Z225" s="1"/>
  <c r="U225"/>
  <c r="W119"/>
  <c r="AI119"/>
  <c r="AH119" l="1"/>
  <c r="Y119"/>
  <c r="Z119" s="1"/>
  <c r="U119"/>
  <c r="W118"/>
  <c r="AI118"/>
  <c r="AH118" l="1"/>
  <c r="Y118"/>
  <c r="Z118" s="1"/>
  <c r="U118"/>
  <c r="AF774" i="57"/>
  <c r="W774"/>
  <c r="AI774"/>
  <c r="AH774" l="1"/>
  <c r="U774"/>
  <c r="Y774"/>
  <c r="Z774" s="1"/>
  <c r="AF1820"/>
  <c r="W1820"/>
  <c r="AI1820"/>
  <c r="AH1820" l="1"/>
  <c r="U1820"/>
  <c r="Y1820"/>
  <c r="Z1820" s="1"/>
  <c r="AF679"/>
  <c r="W679"/>
  <c r="AI679"/>
  <c r="AH679" l="1"/>
  <c r="U679"/>
  <c r="Y679"/>
  <c r="Z679" s="1"/>
  <c r="AF677"/>
  <c r="AI677"/>
  <c r="W677"/>
  <c r="AH677" l="1"/>
  <c r="U677"/>
  <c r="Y677"/>
  <c r="Z677" s="1"/>
  <c r="AF853"/>
  <c r="W853"/>
  <c r="AI853"/>
  <c r="AH853" l="1"/>
  <c r="U853"/>
  <c r="Y853"/>
  <c r="Z853" s="1"/>
  <c r="AI117" i="114"/>
  <c r="W117"/>
  <c r="AH117" l="1"/>
  <c r="Y117"/>
  <c r="Z117" s="1"/>
  <c r="U117"/>
  <c r="W116"/>
  <c r="AI116"/>
  <c r="AH116" l="1"/>
  <c r="Y116"/>
  <c r="Z116" s="1"/>
  <c r="U116"/>
  <c r="Y166" l="1"/>
  <c r="Z166" s="1"/>
  <c r="U166"/>
  <c r="Y241" l="1"/>
  <c r="Z241" s="1"/>
  <c r="U241"/>
  <c r="Y255" l="1"/>
  <c r="Z255" s="1"/>
  <c r="U255"/>
  <c r="AJ20" i="118"/>
  <c r="W20"/>
  <c r="AI20" l="1"/>
  <c r="U20"/>
  <c r="Y20"/>
  <c r="Z20" s="1"/>
  <c r="AF23" i="74"/>
  <c r="AI23"/>
  <c r="W23"/>
  <c r="AH23" l="1"/>
  <c r="Y23"/>
  <c r="Z23" s="1"/>
  <c r="U23"/>
  <c r="AF72"/>
  <c r="Y72" l="1"/>
  <c r="Z72" s="1"/>
  <c r="U72"/>
  <c r="AF64"/>
  <c r="Y64" l="1"/>
  <c r="Z64" s="1"/>
  <c r="U64"/>
  <c r="AF939" i="57"/>
  <c r="W939"/>
  <c r="AI939"/>
  <c r="AH939" l="1"/>
  <c r="U939"/>
  <c r="Y939"/>
  <c r="Z939" s="1"/>
  <c r="W129" i="114"/>
  <c r="AI129"/>
  <c r="AH129" l="1"/>
  <c r="Y129"/>
  <c r="Z129" s="1"/>
  <c r="U129"/>
  <c r="AF871" i="57"/>
  <c r="W871"/>
  <c r="AI871"/>
  <c r="AH871" l="1"/>
  <c r="U871"/>
  <c r="Y871"/>
  <c r="Z871" s="1"/>
  <c r="AF682"/>
  <c r="AI682"/>
  <c r="W682"/>
  <c r="AH682" l="1"/>
  <c r="U682"/>
  <c r="Y682"/>
  <c r="Z682" s="1"/>
  <c r="AF692" l="1"/>
  <c r="W692"/>
  <c r="AI692"/>
  <c r="AH692" l="1"/>
  <c r="U692"/>
  <c r="Y692"/>
  <c r="Z692" s="1"/>
  <c r="AI128" i="114"/>
  <c r="W128"/>
  <c r="AH128" l="1"/>
  <c r="Y128"/>
  <c r="Z128" s="1"/>
  <c r="U128"/>
  <c r="Y256" l="1"/>
  <c r="Z256" s="1"/>
  <c r="U256"/>
  <c r="Y248" l="1"/>
  <c r="Z248" s="1"/>
  <c r="U248"/>
  <c r="AI127"/>
  <c r="W127"/>
  <c r="AH127" l="1"/>
  <c r="Y127"/>
  <c r="Z127" s="1"/>
  <c r="U127"/>
  <c r="W126"/>
  <c r="AI126"/>
  <c r="AH126" l="1"/>
  <c r="Y126"/>
  <c r="Z126" s="1"/>
  <c r="U126"/>
  <c r="AF1180" i="57"/>
  <c r="AI1180"/>
  <c r="W1180"/>
  <c r="AH1180" l="1"/>
  <c r="U1180"/>
  <c r="Y1180"/>
  <c r="Z1180" s="1"/>
  <c r="AF912"/>
  <c r="W912"/>
  <c r="AI912"/>
  <c r="AH912" l="1"/>
  <c r="U912"/>
  <c r="Y912"/>
  <c r="Z912" s="1"/>
  <c r="AF1326" l="1"/>
  <c r="AI1326"/>
  <c r="W1326"/>
  <c r="AH1326" l="1"/>
  <c r="U1326"/>
  <c r="Y1326"/>
  <c r="Z1326" s="1"/>
  <c r="AF883"/>
  <c r="W883"/>
  <c r="AI883"/>
  <c r="AH883" l="1"/>
  <c r="U883"/>
  <c r="Y883"/>
  <c r="Z883" s="1"/>
  <c r="Y179" i="114" l="1"/>
  <c r="Z179" s="1"/>
  <c r="U179"/>
  <c r="AI125"/>
  <c r="W125"/>
  <c r="AH125" l="1"/>
  <c r="Y125"/>
  <c r="Z125" s="1"/>
  <c r="U125"/>
  <c r="Y218" l="1"/>
  <c r="Z218" s="1"/>
  <c r="U218"/>
  <c r="AI124"/>
  <c r="W124"/>
  <c r="AH124" l="1"/>
  <c r="Y124"/>
  <c r="Z124" s="1"/>
  <c r="U124"/>
  <c r="W123"/>
  <c r="AI123"/>
  <c r="AH123" l="1"/>
  <c r="Y123"/>
  <c r="Z123" s="1"/>
  <c r="U123"/>
  <c r="AF581" i="57"/>
  <c r="W581"/>
  <c r="AI581"/>
  <c r="AH581" l="1"/>
  <c r="U581"/>
  <c r="Y581"/>
  <c r="Z581" s="1"/>
  <c r="AF491"/>
  <c r="AI491"/>
  <c r="W491"/>
  <c r="AH491" l="1"/>
  <c r="U491"/>
  <c r="Y491"/>
  <c r="Z491" s="1"/>
  <c r="AF656"/>
  <c r="W656"/>
  <c r="AI656"/>
  <c r="AH656" l="1"/>
  <c r="U656"/>
  <c r="Y656"/>
  <c r="Z656" s="1"/>
  <c r="AF747"/>
  <c r="W747"/>
  <c r="AI747"/>
  <c r="AH747" l="1"/>
  <c r="U747"/>
  <c r="Y747"/>
  <c r="Z747" s="1"/>
  <c r="AF906"/>
  <c r="AI906"/>
  <c r="W906"/>
  <c r="AH906" l="1"/>
  <c r="U906"/>
  <c r="Y906"/>
  <c r="Z906" s="1"/>
  <c r="Y232" i="114" l="1"/>
  <c r="Z232" s="1"/>
  <c r="U232"/>
  <c r="AI122"/>
  <c r="W122"/>
  <c r="AH122" l="1"/>
  <c r="Y122"/>
  <c r="Z122" s="1"/>
  <c r="U122"/>
  <c r="AI121"/>
  <c r="W121"/>
  <c r="AH121" l="1"/>
  <c r="Y121"/>
  <c r="Z121" s="1"/>
  <c r="U121"/>
  <c r="W120"/>
  <c r="AI120"/>
  <c r="AH120" l="1"/>
  <c r="Y120"/>
  <c r="Z120" s="1"/>
  <c r="U120"/>
  <c r="Y237" l="1"/>
  <c r="Z237" s="1"/>
  <c r="U237"/>
  <c r="AF147" i="22"/>
  <c r="X147"/>
  <c r="Y147" s="1"/>
  <c r="Z147" s="1"/>
  <c r="S147"/>
  <c r="AF146"/>
  <c r="X146"/>
  <c r="Y146" s="1"/>
  <c r="Z146" s="1"/>
  <c r="S146"/>
  <c r="AF145"/>
  <c r="X145"/>
  <c r="Y145" s="1"/>
  <c r="Z145" s="1"/>
  <c r="S145"/>
  <c r="AF144"/>
  <c r="X144"/>
  <c r="Y144" s="1"/>
  <c r="Z144" s="1"/>
  <c r="S144"/>
  <c r="AF143"/>
  <c r="X143"/>
  <c r="S143"/>
  <c r="AI25" i="74"/>
  <c r="AH25" l="1"/>
  <c r="Y143" i="22"/>
  <c r="Z143" s="1"/>
  <c r="AF25" i="74"/>
  <c r="W25"/>
  <c r="Y25" l="1"/>
  <c r="Z25" s="1"/>
  <c r="U25"/>
  <c r="AF362" i="57" l="1"/>
  <c r="AI362"/>
  <c r="W362"/>
  <c r="AH362" l="1"/>
  <c r="U362"/>
  <c r="Y362"/>
  <c r="Z362" s="1"/>
  <c r="AF222"/>
  <c r="W222"/>
  <c r="AI222"/>
  <c r="AH222" l="1"/>
  <c r="U222"/>
  <c r="Y222"/>
  <c r="Z222" s="1"/>
  <c r="AF777"/>
  <c r="W777"/>
  <c r="AI777"/>
  <c r="AH777" l="1"/>
  <c r="U777"/>
  <c r="Y777"/>
  <c r="Z777" s="1"/>
  <c r="AI139" i="114"/>
  <c r="W139"/>
  <c r="AH139" l="1"/>
  <c r="Y139"/>
  <c r="Z139" s="1"/>
  <c r="U139"/>
  <c r="W138"/>
  <c r="AI138"/>
  <c r="AH138" l="1"/>
  <c r="Y138"/>
  <c r="Z138" s="1"/>
  <c r="U138"/>
  <c r="W137"/>
  <c r="AI137"/>
  <c r="AH137" l="1"/>
  <c r="Y137"/>
  <c r="Z137" s="1"/>
  <c r="U137"/>
  <c r="Y257" l="1"/>
  <c r="Z257" s="1"/>
  <c r="U257"/>
  <c r="AF157" i="57"/>
  <c r="AI157"/>
  <c r="W157"/>
  <c r="AH157" l="1"/>
  <c r="U157"/>
  <c r="Y157"/>
  <c r="Z157" s="1"/>
  <c r="AF414"/>
  <c r="W414"/>
  <c r="AI414"/>
  <c r="AH414" l="1"/>
  <c r="U414"/>
  <c r="Y414"/>
  <c r="Z414" s="1"/>
  <c r="AF960"/>
  <c r="W960"/>
  <c r="AI960"/>
  <c r="AH960" l="1"/>
  <c r="U960"/>
  <c r="Y960"/>
  <c r="Z960" s="1"/>
  <c r="AF537"/>
  <c r="W537"/>
  <c r="AI537"/>
  <c r="AH537" l="1"/>
  <c r="U537"/>
  <c r="Y537"/>
  <c r="Z537" s="1"/>
  <c r="AF822"/>
  <c r="W822"/>
  <c r="AI822"/>
  <c r="AH822" l="1"/>
  <c r="U822"/>
  <c r="Y822"/>
  <c r="Z822" s="1"/>
  <c r="Y240" i="114" l="1"/>
  <c r="Z240" s="1"/>
  <c r="U240"/>
  <c r="W136"/>
  <c r="AI136"/>
  <c r="AH136" l="1"/>
  <c r="Y136"/>
  <c r="Z136" s="1"/>
  <c r="U136"/>
  <c r="W135"/>
  <c r="AI135"/>
  <c r="AH135" l="1"/>
  <c r="Y135"/>
  <c r="Z135" s="1"/>
  <c r="U135"/>
  <c r="W134"/>
  <c r="AI134"/>
  <c r="AH134" l="1"/>
  <c r="Y134"/>
  <c r="Z134" s="1"/>
  <c r="U134"/>
  <c r="W133"/>
  <c r="AI133"/>
  <c r="AH133" l="1"/>
  <c r="Y133"/>
  <c r="Z133" s="1"/>
  <c r="U133"/>
  <c r="AF73" i="74"/>
  <c r="Y73" l="1"/>
  <c r="Z73" s="1"/>
  <c r="U73"/>
  <c r="AF55"/>
  <c r="Y55" l="1"/>
  <c r="Z55" s="1"/>
  <c r="U55"/>
  <c r="AF24"/>
  <c r="W24"/>
  <c r="AI24"/>
  <c r="AH24" l="1"/>
  <c r="Y24"/>
  <c r="Z24" s="1"/>
  <c r="U24"/>
  <c r="AF51"/>
  <c r="Y51" l="1"/>
  <c r="Z51" s="1"/>
  <c r="U51"/>
  <c r="AF1416" i="57" l="1"/>
  <c r="W1416"/>
  <c r="AI1416"/>
  <c r="AH1416" l="1"/>
  <c r="U1416"/>
  <c r="Y1416"/>
  <c r="Z1416" s="1"/>
  <c r="W132" i="114"/>
  <c r="AI132"/>
  <c r="AH132" l="1"/>
  <c r="Y132"/>
  <c r="Z132" s="1"/>
  <c r="U132"/>
  <c r="Y254" l="1"/>
  <c r="Z254" s="1"/>
  <c r="U254"/>
  <c r="Y258" l="1"/>
  <c r="Z258" s="1"/>
  <c r="U258"/>
  <c r="Y260" l="1"/>
  <c r="Z260" s="1"/>
  <c r="U260"/>
  <c r="AF552" i="57" l="1"/>
  <c r="W552"/>
  <c r="AI552"/>
  <c r="AH552" l="1"/>
  <c r="U552"/>
  <c r="Y552"/>
  <c r="Z552" s="1"/>
  <c r="Y211" i="114" l="1"/>
  <c r="Z211" s="1"/>
  <c r="U211"/>
  <c r="AI131"/>
  <c r="W131"/>
  <c r="AH131" l="1"/>
  <c r="Y131"/>
  <c r="Z131" s="1"/>
  <c r="U131"/>
  <c r="Y259" l="1"/>
  <c r="Z259" s="1"/>
  <c r="U259"/>
  <c r="AF547" i="57"/>
  <c r="W547"/>
  <c r="AI547"/>
  <c r="W14" i="74" l="1"/>
  <c r="AI14"/>
  <c r="AH14" s="1"/>
  <c r="AI52" i="114"/>
  <c r="AH52" s="1"/>
  <c r="W52"/>
  <c r="Y52" s="1"/>
  <c r="Z52" s="1"/>
  <c r="AH547" i="57"/>
  <c r="U547"/>
  <c r="Y547"/>
  <c r="Z547" s="1"/>
  <c r="AF898"/>
  <c r="W898"/>
  <c r="AI898"/>
  <c r="U14" i="74" l="1"/>
  <c r="Y14"/>
  <c r="Z14" s="1"/>
  <c r="U52" i="114"/>
  <c r="AH898" i="57"/>
  <c r="U898"/>
  <c r="Y898"/>
  <c r="Z898" s="1"/>
  <c r="AI130" i="114"/>
  <c r="W130"/>
  <c r="AH130" l="1"/>
  <c r="Y130"/>
  <c r="Z130" s="1"/>
  <c r="U130"/>
  <c r="Y203" l="1"/>
  <c r="Z203" s="1"/>
  <c r="U203"/>
  <c r="AF75" i="74" l="1"/>
  <c r="Y75" l="1"/>
  <c r="Z75" s="1"/>
  <c r="U75"/>
  <c r="AF39"/>
  <c r="Y39" l="1"/>
  <c r="Z39" s="1"/>
  <c r="U39"/>
  <c r="AF57"/>
  <c r="Y57" l="1"/>
  <c r="Z57" s="1"/>
  <c r="U57"/>
  <c r="AF76"/>
  <c r="Y76" l="1"/>
  <c r="Z76" s="1"/>
  <c r="U76"/>
  <c r="W58" i="57"/>
  <c r="AI58"/>
  <c r="AH58" l="1"/>
  <c r="U58"/>
  <c r="Y58"/>
  <c r="Z58" s="1"/>
  <c r="Y261" i="114" l="1"/>
  <c r="Z261" s="1"/>
  <c r="U261"/>
  <c r="AF659" i="57" l="1"/>
  <c r="AI659"/>
  <c r="W659"/>
  <c r="AH659" l="1"/>
  <c r="U659"/>
  <c r="Y659"/>
  <c r="Z659" s="1"/>
  <c r="AF1026"/>
  <c r="W1026"/>
  <c r="AI1026"/>
  <c r="AH1026" l="1"/>
  <c r="U1026"/>
  <c r="Y1026"/>
  <c r="Z1026" s="1"/>
  <c r="AF1131"/>
  <c r="AI1131"/>
  <c r="W1131"/>
  <c r="AH1131" l="1"/>
  <c r="U1131"/>
  <c r="Y1131"/>
  <c r="Z1131" s="1"/>
  <c r="AI142" i="114"/>
  <c r="W142"/>
  <c r="AH142" l="1"/>
  <c r="Y142"/>
  <c r="Z142" s="1"/>
  <c r="U142"/>
  <c r="Y165" l="1"/>
  <c r="Z165" s="1"/>
  <c r="U165"/>
  <c r="Y214" l="1"/>
  <c r="Z214" s="1"/>
  <c r="U214"/>
  <c r="Y226" l="1"/>
  <c r="Z226" s="1"/>
  <c r="U226"/>
  <c r="AF1106" i="57"/>
  <c r="W1106"/>
  <c r="AI1106"/>
  <c r="AH1106" l="1"/>
  <c r="U1106"/>
  <c r="Y1106"/>
  <c r="Z1106" s="1"/>
  <c r="Y227" i="114" l="1"/>
  <c r="Z227" s="1"/>
  <c r="U227"/>
  <c r="Y262" l="1"/>
  <c r="Z262" s="1"/>
  <c r="U262"/>
  <c r="AI141"/>
  <c r="W141"/>
  <c r="AH141" l="1"/>
  <c r="Y141"/>
  <c r="Z141" s="1"/>
  <c r="U141"/>
  <c r="AF629" i="57" l="1"/>
  <c r="AI629"/>
  <c r="W629"/>
  <c r="AH629" l="1"/>
  <c r="U629"/>
  <c r="Y629"/>
  <c r="Z629" s="1"/>
  <c r="AF791"/>
  <c r="AI791"/>
  <c r="W791"/>
  <c r="AH791" l="1"/>
  <c r="U791"/>
  <c r="Y791"/>
  <c r="Z791" s="1"/>
  <c r="AI140" i="114"/>
  <c r="W140"/>
  <c r="AH140" l="1"/>
  <c r="Y140"/>
  <c r="Z140" s="1"/>
  <c r="U140"/>
  <c r="Y234" l="1"/>
  <c r="AC234"/>
  <c r="Y263"/>
  <c r="Z263" s="1"/>
  <c r="U263"/>
  <c r="X149" i="22"/>
  <c r="AC78" i="74"/>
  <c r="Z234" i="114" l="1"/>
  <c r="AD234"/>
  <c r="Y78" i="74"/>
  <c r="AF77"/>
  <c r="Y77"/>
  <c r="Z77" s="1"/>
  <c r="U77"/>
  <c r="Z78" l="1"/>
  <c r="AD78"/>
  <c r="AF26" l="1"/>
  <c r="W26"/>
  <c r="AI26"/>
  <c r="AH26" l="1"/>
  <c r="Y26"/>
  <c r="Z26" s="1"/>
  <c r="U26"/>
  <c r="AF74"/>
  <c r="Y74" l="1"/>
  <c r="Z74" s="1"/>
  <c r="U74"/>
  <c r="Y264" i="114" l="1"/>
  <c r="Z264" s="1"/>
  <c r="U264"/>
  <c r="X148" i="22"/>
  <c r="AF150"/>
  <c r="X150"/>
  <c r="Y150" s="1"/>
  <c r="Z150" s="1"/>
  <c r="S150"/>
  <c r="AF149"/>
  <c r="Y149"/>
  <c r="Z149" s="1"/>
  <c r="S149"/>
  <c r="AF148"/>
  <c r="S148"/>
  <c r="AF61" i="28"/>
  <c r="U61" l="1"/>
  <c r="X151" i="22"/>
  <c r="Y148"/>
  <c r="Z148" s="1"/>
  <c r="Y61" i="28"/>
  <c r="Z61" s="1"/>
  <c r="AF60"/>
  <c r="W1358" i="57"/>
  <c r="U60" i="28" l="1"/>
  <c r="U1358" i="57"/>
  <c r="AC151" i="22"/>
  <c r="Y151"/>
  <c r="Y60" i="28"/>
  <c r="Z60" s="1"/>
  <c r="AF1766" i="57"/>
  <c r="W1766"/>
  <c r="AI1766"/>
  <c r="AH1766" l="1"/>
  <c r="U1766"/>
  <c r="Z151" i="22"/>
  <c r="AD151"/>
  <c r="Y1766" i="57"/>
  <c r="Z1766" s="1"/>
  <c r="AF1358"/>
  <c r="AI1358"/>
  <c r="AH1358" l="1"/>
  <c r="Y1358"/>
  <c r="Z1358" s="1"/>
  <c r="AF62" i="28"/>
  <c r="Y62" l="1"/>
  <c r="Z62" s="1"/>
  <c r="AF320" i="57"/>
  <c r="AI320"/>
  <c r="W320"/>
  <c r="AH320" l="1"/>
  <c r="U320"/>
  <c r="Y320"/>
  <c r="Z320" s="1"/>
  <c r="AF27" i="74"/>
  <c r="AI27"/>
  <c r="W27"/>
  <c r="AH27" l="1"/>
  <c r="Y27"/>
  <c r="Z27" s="1"/>
  <c r="U27"/>
  <c r="AC267" i="114" l="1"/>
  <c r="Y267" l="1"/>
  <c r="Z267" s="1"/>
  <c r="Y266"/>
  <c r="Z266" s="1"/>
  <c r="U266"/>
  <c r="Y265"/>
  <c r="Z265" s="1"/>
  <c r="U265"/>
  <c r="AF1821" i="57"/>
  <c r="AI1821"/>
  <c r="W1821"/>
  <c r="AI51" i="114" l="1"/>
  <c r="AH51" s="1"/>
  <c r="W51"/>
  <c r="Y51" s="1"/>
  <c r="Z51" s="1"/>
  <c r="AH1821" i="57"/>
  <c r="U1821"/>
  <c r="AD267" i="114"/>
  <c r="Y1821" i="57"/>
  <c r="Z1821" s="1"/>
  <c r="U51" i="114" l="1"/>
  <c r="AF457" i="57"/>
  <c r="W457"/>
  <c r="AI457"/>
  <c r="AH457" l="1"/>
  <c r="U457"/>
  <c r="Y457"/>
  <c r="Z457" s="1"/>
  <c r="AF28" i="74" l="1"/>
  <c r="AI28"/>
  <c r="W28"/>
  <c r="AH28" l="1"/>
  <c r="Y28"/>
  <c r="Z28" s="1"/>
  <c r="U28"/>
  <c r="AF911" i="57"/>
  <c r="AI911"/>
  <c r="W911"/>
  <c r="AH911" l="1"/>
  <c r="U911"/>
  <c r="Y911"/>
  <c r="Z911" s="1"/>
  <c r="X278" i="114" l="1"/>
  <c r="W278"/>
  <c r="AF1188" i="57"/>
  <c r="W1188"/>
  <c r="AI1188"/>
  <c r="AH1188" l="1"/>
  <c r="U1188"/>
  <c r="Y1188"/>
  <c r="Z1188" s="1"/>
  <c r="AF80" i="74" l="1"/>
  <c r="Y80" l="1"/>
  <c r="Z80" s="1"/>
  <c r="U80"/>
  <c r="AF476" i="57" l="1"/>
  <c r="AI476"/>
  <c r="W476"/>
  <c r="AH476" l="1"/>
  <c r="U476"/>
  <c r="Y476"/>
  <c r="Z476" s="1"/>
  <c r="AF648"/>
  <c r="W648"/>
  <c r="AI648"/>
  <c r="AH648" l="1"/>
  <c r="U648"/>
  <c r="Y648"/>
  <c r="Z648" s="1"/>
  <c r="Y269" i="114" l="1"/>
  <c r="Z269" s="1"/>
  <c r="U269"/>
  <c r="Y270" l="1"/>
  <c r="Z270" s="1"/>
  <c r="U270"/>
  <c r="S546" i="22" l="1"/>
  <c r="S550"/>
  <c r="S549"/>
  <c r="S555"/>
  <c r="S554"/>
  <c r="S553"/>
  <c r="S559"/>
  <c r="S560"/>
  <c r="S561"/>
  <c r="S562"/>
  <c r="S563"/>
  <c r="S564"/>
  <c r="S558"/>
  <c r="S573"/>
  <c r="S572"/>
  <c r="S571"/>
  <c r="S570"/>
  <c r="S569"/>
  <c r="S568"/>
  <c r="S567"/>
  <c r="S545"/>
  <c r="S544"/>
  <c r="S543"/>
  <c r="S542"/>
  <c r="S541"/>
  <c r="S540"/>
  <c r="S539"/>
  <c r="S538"/>
  <c r="S537"/>
  <c r="S531"/>
  <c r="S532"/>
  <c r="S533"/>
  <c r="S534"/>
  <c r="S530"/>
  <c r="S529"/>
  <c r="S528"/>
  <c r="S527"/>
  <c r="S526"/>
  <c r="S525"/>
  <c r="S520"/>
  <c r="S521"/>
  <c r="S522"/>
  <c r="S519"/>
  <c r="S518"/>
  <c r="S517"/>
  <c r="S506"/>
  <c r="S505"/>
  <c r="S504"/>
  <c r="S514"/>
  <c r="S513"/>
  <c r="S512"/>
  <c r="S511"/>
  <c r="S510"/>
  <c r="S509"/>
  <c r="S499"/>
  <c r="S500"/>
  <c r="S501"/>
  <c r="S498"/>
  <c r="S497"/>
  <c r="S487"/>
  <c r="S486"/>
  <c r="S483"/>
  <c r="S482"/>
  <c r="S481"/>
  <c r="S480"/>
  <c r="S477"/>
  <c r="S476"/>
  <c r="S470"/>
  <c r="S467"/>
  <c r="S466"/>
  <c r="S463"/>
  <c r="S473"/>
  <c r="S472"/>
  <c r="S471"/>
  <c r="S460"/>
  <c r="S459"/>
  <c r="S458"/>
  <c r="S457"/>
  <c r="S454"/>
  <c r="S453"/>
  <c r="S452"/>
  <c r="S451"/>
  <c r="S450"/>
  <c r="S447"/>
  <c r="S446"/>
  <c r="S445"/>
  <c r="S444"/>
  <c r="S443"/>
  <c r="S440"/>
  <c r="S439"/>
  <c r="S438"/>
  <c r="S437"/>
  <c r="S433"/>
  <c r="S434"/>
  <c r="S432"/>
  <c r="S429"/>
  <c r="S426"/>
  <c r="S417"/>
  <c r="S418"/>
  <c r="S419"/>
  <c r="S416"/>
  <c r="S408"/>
  <c r="S407"/>
  <c r="S406"/>
  <c r="S399"/>
  <c r="S400"/>
  <c r="S401"/>
  <c r="S402"/>
  <c r="S398"/>
  <c r="S397"/>
  <c r="S396"/>
  <c r="S395"/>
  <c r="S394"/>
  <c r="S393"/>
  <c r="S392"/>
  <c r="S391"/>
  <c r="S390"/>
  <c r="S389"/>
  <c r="S388"/>
  <c r="S387"/>
  <c r="S386"/>
  <c r="S385"/>
  <c r="S384"/>
  <c r="S383"/>
  <c r="S382"/>
  <c r="S362"/>
  <c r="S363"/>
  <c r="S364"/>
  <c r="S365"/>
  <c r="S366"/>
  <c r="S367"/>
  <c r="S368"/>
  <c r="S369"/>
  <c r="S370"/>
  <c r="S371"/>
  <c r="S372"/>
  <c r="S373"/>
  <c r="S374"/>
  <c r="S375"/>
  <c r="S376"/>
  <c r="S377"/>
  <c r="S361"/>
  <c r="S332"/>
  <c r="S333"/>
  <c r="S334"/>
  <c r="S335"/>
  <c r="S336"/>
  <c r="S337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S356"/>
  <c r="S331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266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04"/>
  <c r="S203"/>
  <c r="S202"/>
  <c r="S196"/>
  <c r="S197"/>
  <c r="S195"/>
  <c r="S190"/>
  <c r="S189"/>
  <c r="S188"/>
  <c r="S187"/>
  <c r="S186"/>
  <c r="S185"/>
  <c r="S176"/>
  <c r="S177"/>
  <c r="S178"/>
  <c r="S179"/>
  <c r="S180"/>
  <c r="S181"/>
  <c r="S175"/>
  <c r="S171"/>
  <c r="S163"/>
  <c r="S164"/>
  <c r="S165"/>
  <c r="S166"/>
  <c r="S167"/>
  <c r="S162"/>
  <c r="S158"/>
  <c r="S154"/>
  <c r="S125"/>
  <c r="S126"/>
  <c r="S127"/>
  <c r="S124"/>
  <c r="S120"/>
  <c r="S119"/>
  <c r="S115"/>
  <c r="S114"/>
  <c r="S113"/>
  <c r="S109"/>
  <c r="S101"/>
  <c r="S102"/>
  <c r="S103"/>
  <c r="S104"/>
  <c r="S105"/>
  <c r="S100"/>
  <c r="S99"/>
  <c r="S98"/>
  <c r="S93"/>
  <c r="S92"/>
  <c r="S88"/>
  <c r="S84"/>
  <c r="S83"/>
  <c r="S82"/>
  <c r="S36"/>
  <c r="S37"/>
  <c r="S38"/>
  <c r="S39"/>
  <c r="S78"/>
  <c r="S77"/>
  <c r="S73"/>
  <c r="S69"/>
  <c r="S49"/>
  <c r="S65"/>
  <c r="S64"/>
  <c r="S63"/>
  <c r="S62"/>
  <c r="S2"/>
  <c r="S53"/>
  <c r="S45"/>
  <c r="S44"/>
  <c r="S43"/>
  <c r="S32"/>
  <c r="S31"/>
  <c r="S30"/>
  <c r="S29"/>
  <c r="S21"/>
  <c r="S22"/>
  <c r="S23"/>
  <c r="S24"/>
  <c r="S25"/>
  <c r="S20"/>
  <c r="X96" i="74" l="1"/>
  <c r="W96"/>
  <c r="AF510" i="57"/>
  <c r="AI510"/>
  <c r="W510"/>
  <c r="AH510" l="1"/>
  <c r="U510"/>
  <c r="Y510"/>
  <c r="Z510" s="1"/>
  <c r="W29" i="118"/>
  <c r="AJ29"/>
  <c r="AI29" l="1"/>
  <c r="U29"/>
  <c r="Y29"/>
  <c r="Z29" s="1"/>
  <c r="AF594" i="57"/>
  <c r="W594"/>
  <c r="AI594"/>
  <c r="W44" i="114" l="1"/>
  <c r="AI44"/>
  <c r="AH44" s="1"/>
  <c r="Y178"/>
  <c r="Z178" s="1"/>
  <c r="AH594" i="57"/>
  <c r="U594"/>
  <c r="Y594"/>
  <c r="Z594" s="1"/>
  <c r="AF83" i="74"/>
  <c r="U44" i="114" l="1"/>
  <c r="Y44"/>
  <c r="Z44" s="1"/>
  <c r="U178"/>
  <c r="Y83" i="74"/>
  <c r="Z83" s="1"/>
  <c r="U83"/>
  <c r="AF1773" i="57"/>
  <c r="AI1773"/>
  <c r="W1773"/>
  <c r="AH1773" l="1"/>
  <c r="U1773"/>
  <c r="Y1773"/>
  <c r="Z1773" s="1"/>
  <c r="Y271" i="114" l="1"/>
  <c r="Z271" s="1"/>
  <c r="U271"/>
  <c r="AI12" i="28"/>
  <c r="W15"/>
  <c r="W14"/>
  <c r="W29"/>
  <c r="W28"/>
  <c r="W33"/>
  <c r="W20"/>
  <c r="W22"/>
  <c r="W23"/>
  <c r="W24"/>
  <c r="W25"/>
  <c r="W32"/>
  <c r="W34"/>
  <c r="W21"/>
  <c r="W26"/>
  <c r="W16"/>
  <c r="W19"/>
  <c r="W30"/>
  <c r="W31"/>
  <c r="W35"/>
  <c r="AJ40" i="118"/>
  <c r="W27" i="28"/>
  <c r="W40" i="118"/>
  <c r="AI40" l="1"/>
  <c r="U30" i="28"/>
  <c r="U21"/>
  <c r="U31"/>
  <c r="U14"/>
  <c r="U20"/>
  <c r="U23"/>
  <c r="U19"/>
  <c r="U40" i="118"/>
  <c r="U26" i="28"/>
  <c r="U28"/>
  <c r="U16"/>
  <c r="U15"/>
  <c r="U32"/>
  <c r="U33"/>
  <c r="U29"/>
  <c r="U25"/>
  <c r="U22"/>
  <c r="U27"/>
  <c r="U34"/>
  <c r="U24"/>
  <c r="U35"/>
  <c r="Y19"/>
  <c r="Z19" s="1"/>
  <c r="Y23"/>
  <c r="Z23" s="1"/>
  <c r="Y22"/>
  <c r="Z22" s="1"/>
  <c r="Y31"/>
  <c r="Z31" s="1"/>
  <c r="Y25"/>
  <c r="Z25" s="1"/>
  <c r="Y26"/>
  <c r="Z26" s="1"/>
  <c r="Y27"/>
  <c r="Z27" s="1"/>
  <c r="Y24"/>
  <c r="Z24" s="1"/>
  <c r="Y30"/>
  <c r="Z30" s="1"/>
  <c r="Y28"/>
  <c r="Z28" s="1"/>
  <c r="Y40" i="118"/>
  <c r="Z40" s="1"/>
  <c r="AJ39"/>
  <c r="W39"/>
  <c r="AI39" l="1"/>
  <c r="U39"/>
  <c r="Y39"/>
  <c r="Z39" s="1"/>
  <c r="AJ38"/>
  <c r="W38"/>
  <c r="AI38" l="1"/>
  <c r="U38"/>
  <c r="Y38"/>
  <c r="Z38" s="1"/>
  <c r="AJ37"/>
  <c r="W37"/>
  <c r="AI37" l="1"/>
  <c r="U37"/>
  <c r="Y37"/>
  <c r="Z37" s="1"/>
  <c r="AJ36"/>
  <c r="W36"/>
  <c r="AI36" l="1"/>
  <c r="U36"/>
  <c r="Y36"/>
  <c r="Z36" s="1"/>
  <c r="AJ35"/>
  <c r="W35"/>
  <c r="AI35" l="1"/>
  <c r="U35"/>
  <c r="Y35"/>
  <c r="Z35" s="1"/>
  <c r="W34"/>
  <c r="AJ34"/>
  <c r="AI34" l="1"/>
  <c r="U34"/>
  <c r="Y34"/>
  <c r="Z34" s="1"/>
  <c r="W33"/>
  <c r="AJ33"/>
  <c r="AI33" l="1"/>
  <c r="U33"/>
  <c r="Y33"/>
  <c r="Z33" s="1"/>
  <c r="AJ32"/>
  <c r="W32"/>
  <c r="AI32" l="1"/>
  <c r="U32"/>
  <c r="Y32"/>
  <c r="Z32" s="1"/>
  <c r="W31"/>
  <c r="AJ31"/>
  <c r="AI31" l="1"/>
  <c r="U31"/>
  <c r="Y31"/>
  <c r="Z31" s="1"/>
  <c r="W28"/>
  <c r="AJ28"/>
  <c r="AI28" l="1"/>
  <c r="U28"/>
  <c r="Y28"/>
  <c r="Z28" s="1"/>
  <c r="W27"/>
  <c r="AJ27"/>
  <c r="AI27" l="1"/>
  <c r="U27"/>
  <c r="Y27"/>
  <c r="Z27" s="1"/>
  <c r="AJ26"/>
  <c r="W26"/>
  <c r="AI26" l="1"/>
  <c r="U26"/>
  <c r="Y26"/>
  <c r="Z26" s="1"/>
  <c r="W25"/>
  <c r="AJ25"/>
  <c r="AI25" l="1"/>
  <c r="U25"/>
  <c r="Y25"/>
  <c r="Z25" s="1"/>
  <c r="AJ24"/>
  <c r="W24"/>
  <c r="AI24" l="1"/>
  <c r="U24"/>
  <c r="Y24"/>
  <c r="Z24" s="1"/>
  <c r="W23"/>
  <c r="AJ23"/>
  <c r="AI23" l="1"/>
  <c r="U23"/>
  <c r="Y23"/>
  <c r="Z23" s="1"/>
  <c r="AJ22"/>
  <c r="W22"/>
  <c r="AI22" l="1"/>
  <c r="U22"/>
  <c r="Y22"/>
  <c r="Z22" s="1"/>
  <c r="AJ21"/>
  <c r="W21"/>
  <c r="AI21" l="1"/>
  <c r="U21"/>
  <c r="Y21"/>
  <c r="Z21" s="1"/>
  <c r="AJ19"/>
  <c r="W19"/>
  <c r="AI19" l="1"/>
  <c r="U19"/>
  <c r="Y19"/>
  <c r="Z19" s="1"/>
  <c r="AJ18"/>
  <c r="W18"/>
  <c r="AI18" l="1"/>
  <c r="U18"/>
  <c r="Y18"/>
  <c r="Z18" s="1"/>
  <c r="AJ17"/>
  <c r="W17"/>
  <c r="AI17" l="1"/>
  <c r="U17"/>
  <c r="Y17"/>
  <c r="Z17" s="1"/>
  <c r="AJ16"/>
  <c r="W16"/>
  <c r="AI16" l="1"/>
  <c r="U16"/>
  <c r="Y16"/>
  <c r="Z16" s="1"/>
  <c r="AJ15"/>
  <c r="W15"/>
  <c r="AI15" l="1"/>
  <c r="U15"/>
  <c r="Y15"/>
  <c r="Z15" s="1"/>
  <c r="W14"/>
  <c r="AJ14"/>
  <c r="AI14" l="1"/>
  <c r="U14"/>
  <c r="Y14"/>
  <c r="Z14" s="1"/>
  <c r="AJ13"/>
  <c r="W13"/>
  <c r="AI13" l="1"/>
  <c r="U13"/>
  <c r="Y13"/>
  <c r="Z13" s="1"/>
  <c r="W12"/>
  <c r="AJ12"/>
  <c r="AI12" l="1"/>
  <c r="U12"/>
  <c r="Y12"/>
  <c r="Z12" s="1"/>
  <c r="AJ11"/>
  <c r="W11"/>
  <c r="AI11" l="1"/>
  <c r="U11"/>
  <c r="Y11"/>
  <c r="Z11" s="1"/>
  <c r="AJ10"/>
  <c r="W10"/>
  <c r="AI10" l="1"/>
  <c r="U10"/>
  <c r="Y10"/>
  <c r="Z10" s="1"/>
  <c r="W9"/>
  <c r="AJ9"/>
  <c r="AI9" l="1"/>
  <c r="U9"/>
  <c r="Y9"/>
  <c r="Z9" s="1"/>
  <c r="AJ8"/>
  <c r="W8"/>
  <c r="AI8" l="1"/>
  <c r="U8"/>
  <c r="Y8"/>
  <c r="Z8" s="1"/>
  <c r="AJ7"/>
  <c r="W7"/>
  <c r="AI7" l="1"/>
  <c r="U7"/>
  <c r="Y7"/>
  <c r="Z7" s="1"/>
  <c r="AJ6"/>
  <c r="W6"/>
  <c r="AI6" l="1"/>
  <c r="U6"/>
  <c r="Y6"/>
  <c r="Z6" s="1"/>
  <c r="W5"/>
  <c r="AJ5"/>
  <c r="AI5" l="1"/>
  <c r="U5"/>
  <c r="Y5"/>
  <c r="Z5" s="1"/>
  <c r="W4"/>
  <c r="AJ4"/>
  <c r="AI4" l="1"/>
  <c r="U4"/>
  <c r="Y4"/>
  <c r="Z4" s="1"/>
  <c r="AJ3"/>
  <c r="W3"/>
  <c r="AI3" l="1"/>
  <c r="U3"/>
  <c r="Y3"/>
  <c r="Z3" s="1"/>
  <c r="AJ2"/>
  <c r="W2"/>
  <c r="AI2" l="1"/>
  <c r="U2"/>
  <c r="Y2"/>
  <c r="Z2" s="1"/>
  <c r="W1"/>
  <c r="AJ1"/>
  <c r="AI1" l="1"/>
  <c r="U1"/>
  <c r="Y1"/>
  <c r="Z1" s="1"/>
  <c r="AF745" i="57" l="1"/>
  <c r="AI745"/>
  <c r="W745"/>
  <c r="AH745" l="1"/>
  <c r="U745"/>
  <c r="Y745"/>
  <c r="Z745" s="1"/>
  <c r="AF81" i="74" l="1"/>
  <c r="Y81" l="1"/>
  <c r="Z81" s="1"/>
  <c r="U81"/>
  <c r="AF84"/>
  <c r="Y84" l="1"/>
  <c r="Z84" s="1"/>
  <c r="U84"/>
  <c r="AF82"/>
  <c r="Y82" l="1"/>
  <c r="Z82" s="1"/>
  <c r="U82"/>
  <c r="AF1386" i="57"/>
  <c r="AI1386"/>
  <c r="W1386"/>
  <c r="Y168" i="114" l="1"/>
  <c r="Z168" s="1"/>
  <c r="AH1386" i="57"/>
  <c r="U1386"/>
  <c r="Y1386"/>
  <c r="Z1386" s="1"/>
  <c r="AF615"/>
  <c r="W615"/>
  <c r="AI615"/>
  <c r="U168" i="114" l="1"/>
  <c r="AH615" i="57"/>
  <c r="U615"/>
  <c r="Y615"/>
  <c r="Z615" s="1"/>
  <c r="AF1431" l="1"/>
  <c r="W1431"/>
  <c r="AI1431"/>
  <c r="AH1431" l="1"/>
  <c r="U1431"/>
  <c r="Y1431"/>
  <c r="Z1431" s="1"/>
  <c r="Y274" i="114" l="1"/>
  <c r="Z274" s="1"/>
  <c r="U274"/>
  <c r="AF85" i="74" l="1"/>
  <c r="Y85" l="1"/>
  <c r="Z85" s="1"/>
  <c r="U85"/>
  <c r="AF1120" i="57"/>
  <c r="W1120"/>
  <c r="AI1120"/>
  <c r="AH1120" l="1"/>
  <c r="U1120"/>
  <c r="Y1120"/>
  <c r="Z1120" s="1"/>
  <c r="AF880"/>
  <c r="W880"/>
  <c r="AI880"/>
  <c r="AH880" l="1"/>
  <c r="U880"/>
  <c r="Y880"/>
  <c r="Z880" s="1"/>
  <c r="AF332"/>
  <c r="W332"/>
  <c r="AI332"/>
  <c r="AH332" l="1"/>
  <c r="U332"/>
  <c r="Y332"/>
  <c r="Z332" s="1"/>
  <c r="Y275" i="114" l="1"/>
  <c r="Z275" s="1"/>
  <c r="U275"/>
  <c r="Y272" l="1"/>
  <c r="Z272" s="1"/>
  <c r="U272"/>
  <c r="AF1615" i="57"/>
  <c r="W1615"/>
  <c r="AI1615"/>
  <c r="AH1615" l="1"/>
  <c r="U1615"/>
  <c r="Y1615"/>
  <c r="Z1615" s="1"/>
  <c r="AF379" l="1"/>
  <c r="AI379"/>
  <c r="W379"/>
  <c r="AH379" l="1"/>
  <c r="U379"/>
  <c r="Y379"/>
  <c r="Z379" s="1"/>
  <c r="AF696"/>
  <c r="W696"/>
  <c r="AI696"/>
  <c r="W41" i="114" l="1"/>
  <c r="AI41"/>
  <c r="AH41" s="1"/>
  <c r="AH696" i="57"/>
  <c r="U696"/>
  <c r="Y696"/>
  <c r="Z696" s="1"/>
  <c r="AF370"/>
  <c r="AI370"/>
  <c r="W370"/>
  <c r="U41" i="114" l="1"/>
  <c r="Y41"/>
  <c r="Z41" s="1"/>
  <c r="AH370" i="57"/>
  <c r="U370"/>
  <c r="Y370"/>
  <c r="Z370" s="1"/>
  <c r="AF921" l="1"/>
  <c r="W921"/>
  <c r="AI921"/>
  <c r="AH921" l="1"/>
  <c r="U921"/>
  <c r="Y921"/>
  <c r="Z921" s="1"/>
  <c r="AF621"/>
  <c r="W621"/>
  <c r="AI621"/>
  <c r="AH621" l="1"/>
  <c r="U621"/>
  <c r="Y621"/>
  <c r="Z621" s="1"/>
  <c r="AF582"/>
  <c r="W582"/>
  <c r="AI582"/>
  <c r="W32" i="114" l="1"/>
  <c r="AI32"/>
  <c r="AH32" s="1"/>
  <c r="AH582" i="57"/>
  <c r="U582"/>
  <c r="Y582"/>
  <c r="Z582" s="1"/>
  <c r="U32" i="114" l="1"/>
  <c r="Y32"/>
  <c r="Z32" s="1"/>
  <c r="AF561" i="57"/>
  <c r="W561"/>
  <c r="AI561"/>
  <c r="AH561" l="1"/>
  <c r="U561"/>
  <c r="Y561"/>
  <c r="Z561" s="1"/>
  <c r="AF432" l="1"/>
  <c r="W432"/>
  <c r="AI432"/>
  <c r="AH432" l="1"/>
  <c r="U432"/>
  <c r="Y432"/>
  <c r="Z432" s="1"/>
  <c r="W18"/>
  <c r="AI18"/>
  <c r="AH18" l="1"/>
  <c r="U18"/>
  <c r="Y18"/>
  <c r="Z18" s="1"/>
  <c r="AF1210" l="1"/>
  <c r="AI1210"/>
  <c r="W1210"/>
  <c r="AH1210" l="1"/>
  <c r="U1210"/>
  <c r="Y1210"/>
  <c r="Z1210" s="1"/>
  <c r="AF654"/>
  <c r="W654"/>
  <c r="AI654"/>
  <c r="AI34" i="114" l="1"/>
  <c r="AH34" s="1"/>
  <c r="W34"/>
  <c r="Y172"/>
  <c r="Z172" s="1"/>
  <c r="AH654" i="57"/>
  <c r="U654"/>
  <c r="Y654"/>
  <c r="Z654" s="1"/>
  <c r="U34" i="114" l="1"/>
  <c r="Y34"/>
  <c r="Z34" s="1"/>
  <c r="U172"/>
  <c r="AF1528" i="57"/>
  <c r="W1528"/>
  <c r="AI1528"/>
  <c r="AH1528" l="1"/>
  <c r="U1528"/>
  <c r="Y1528"/>
  <c r="Z1528" s="1"/>
  <c r="AF934" l="1"/>
  <c r="W934"/>
  <c r="AI934"/>
  <c r="AH934" l="1"/>
  <c r="U934"/>
  <c r="Y934"/>
  <c r="Z934" s="1"/>
  <c r="AF944"/>
  <c r="W944"/>
  <c r="AI944"/>
  <c r="AH944" l="1"/>
  <c r="U944"/>
  <c r="Y944"/>
  <c r="Z944" s="1"/>
  <c r="AF1340" l="1"/>
  <c r="W1340"/>
  <c r="AI1340"/>
  <c r="AH1340" l="1"/>
  <c r="U1340"/>
  <c r="Y1340"/>
  <c r="Z1340" s="1"/>
  <c r="AF1610" l="1"/>
  <c r="AI1610"/>
  <c r="W1610"/>
  <c r="AH1610" l="1"/>
  <c r="U1610"/>
  <c r="Y1610"/>
  <c r="Z1610" s="1"/>
  <c r="AF1613" l="1"/>
  <c r="W1613"/>
  <c r="AI1613"/>
  <c r="AH1613" l="1"/>
  <c r="U1613"/>
  <c r="Y1613"/>
  <c r="Z1613" s="1"/>
  <c r="AF1622"/>
  <c r="W1622"/>
  <c r="AI1622"/>
  <c r="AH1622" l="1"/>
  <c r="U1622"/>
  <c r="Y1622"/>
  <c r="Z1622" s="1"/>
  <c r="AF1614"/>
  <c r="W1614"/>
  <c r="AI1614"/>
  <c r="AH1614" l="1"/>
  <c r="U1614"/>
  <c r="Y1614"/>
  <c r="Z1614" s="1"/>
  <c r="AF1628"/>
  <c r="W1628"/>
  <c r="AI1628"/>
  <c r="AH1628" l="1"/>
  <c r="U1628"/>
  <c r="Y1628"/>
  <c r="Z1628" s="1"/>
  <c r="AF1611" l="1"/>
  <c r="AI1611"/>
  <c r="W1611"/>
  <c r="AH1611" l="1"/>
  <c r="U1611"/>
  <c r="Y1611"/>
  <c r="Z1611" s="1"/>
  <c r="AF1612"/>
  <c r="AI1612"/>
  <c r="W1612"/>
  <c r="AH1612" l="1"/>
  <c r="U1612"/>
  <c r="Y1612"/>
  <c r="Z1612" s="1"/>
  <c r="AF1621"/>
  <c r="AI1621"/>
  <c r="W1621"/>
  <c r="AH1621" l="1"/>
  <c r="U1621"/>
  <c r="Y1621"/>
  <c r="Z1621" s="1"/>
  <c r="AF1616"/>
  <c r="W1616"/>
  <c r="AI1616"/>
  <c r="AH1616" l="1"/>
  <c r="U1616"/>
  <c r="Y1616"/>
  <c r="Z1616" s="1"/>
  <c r="AF714" l="1"/>
  <c r="W714"/>
  <c r="AI714"/>
  <c r="AH714" l="1"/>
  <c r="U714"/>
  <c r="Y714"/>
  <c r="Z714" s="1"/>
  <c r="W42"/>
  <c r="AI42"/>
  <c r="AI3" i="114" l="1"/>
  <c r="AH3" s="1"/>
  <c r="W3"/>
  <c r="W4"/>
  <c r="AI4"/>
  <c r="AH4" s="1"/>
  <c r="AI49"/>
  <c r="AH49" s="1"/>
  <c r="W49"/>
  <c r="U49" s="1"/>
  <c r="AH42" i="57"/>
  <c r="U42"/>
  <c r="Y42"/>
  <c r="Z42" s="1"/>
  <c r="W43"/>
  <c r="AI43"/>
  <c r="Y3" i="114" l="1"/>
  <c r="Z3" s="1"/>
  <c r="U3"/>
  <c r="U4"/>
  <c r="Y4"/>
  <c r="Z4" s="1"/>
  <c r="Y49"/>
  <c r="Z49" s="1"/>
  <c r="AH43" i="57"/>
  <c r="U43"/>
  <c r="Y43"/>
  <c r="Z43" s="1"/>
  <c r="AF532" l="1"/>
  <c r="AI532"/>
  <c r="W532"/>
  <c r="AH532" l="1"/>
  <c r="U532"/>
  <c r="Y532"/>
  <c r="Z532" s="1"/>
  <c r="AF549" l="1"/>
  <c r="W549"/>
  <c r="AI549"/>
  <c r="AH549" l="1"/>
  <c r="U549"/>
  <c r="Y549"/>
  <c r="Z549" s="1"/>
  <c r="AF530"/>
  <c r="W530"/>
  <c r="AI530"/>
  <c r="Y147" i="114" l="1"/>
  <c r="Z147" s="1"/>
  <c r="AH530" i="57"/>
  <c r="U530"/>
  <c r="Y530"/>
  <c r="Z530" s="1"/>
  <c r="U147" i="114" l="1"/>
  <c r="AF588" i="57"/>
  <c r="W588"/>
  <c r="AI588"/>
  <c r="AH588" l="1"/>
  <c r="U588"/>
  <c r="Y588"/>
  <c r="Z588" s="1"/>
  <c r="AF86" i="74" l="1"/>
  <c r="Y86" l="1"/>
  <c r="Z86" s="1"/>
  <c r="U86"/>
  <c r="Y276" i="114" l="1"/>
  <c r="Z276" s="1"/>
  <c r="U276"/>
  <c r="X33" i="28"/>
  <c r="Y33" s="1"/>
  <c r="Z33" s="1"/>
  <c r="X115" i="22"/>
  <c r="X114"/>
  <c r="X113"/>
  <c r="AF90" i="74" l="1"/>
  <c r="Y90" l="1"/>
  <c r="Z90" s="1"/>
  <c r="U90"/>
  <c r="AF605" i="57" l="1"/>
  <c r="AI605"/>
  <c r="W605"/>
  <c r="AH605" l="1"/>
  <c r="U605"/>
  <c r="Y605"/>
  <c r="Z605" s="1"/>
  <c r="U167" i="114" l="1"/>
  <c r="Y167"/>
  <c r="Z167" s="1"/>
  <c r="AF735" i="57"/>
  <c r="W735"/>
  <c r="AI735"/>
  <c r="AH735" l="1"/>
  <c r="U735"/>
  <c r="Y735"/>
  <c r="Z735" s="1"/>
  <c r="AF1790" l="1"/>
  <c r="W1790"/>
  <c r="AI1790"/>
  <c r="AH1790" l="1"/>
  <c r="U1790"/>
  <c r="Y1790"/>
  <c r="Z1790" s="1"/>
  <c r="AF1306"/>
  <c r="W1306"/>
  <c r="AI1306"/>
  <c r="AH1306" l="1"/>
  <c r="U1306"/>
  <c r="Y1306"/>
  <c r="Z1306" s="1"/>
  <c r="Y273" i="114" l="1"/>
  <c r="Z273" s="1"/>
  <c r="U273"/>
  <c r="Y277" l="1"/>
  <c r="Z277" s="1"/>
  <c r="U277"/>
  <c r="AF1145" i="57" l="1"/>
  <c r="W1145"/>
  <c r="AI1145"/>
  <c r="AH1145" l="1"/>
  <c r="U1145"/>
  <c r="Y1145"/>
  <c r="Z1145" s="1"/>
  <c r="AF1051"/>
  <c r="W1051"/>
  <c r="AI1051"/>
  <c r="AH1051" l="1"/>
  <c r="U1051"/>
  <c r="Y1051"/>
  <c r="Z1051" s="1"/>
  <c r="AF1757" l="1"/>
  <c r="W1757"/>
  <c r="AI1757"/>
  <c r="AH1757" l="1"/>
  <c r="U1757"/>
  <c r="Y1757"/>
  <c r="Z1757" s="1"/>
  <c r="AF917" l="1"/>
  <c r="AI917"/>
  <c r="W917"/>
  <c r="AH917" l="1"/>
  <c r="U917"/>
  <c r="Y917"/>
  <c r="Z917" s="1"/>
  <c r="AF1066"/>
  <c r="W1066"/>
  <c r="AI1066"/>
  <c r="AH1066" l="1"/>
  <c r="U1066"/>
  <c r="Y1066"/>
  <c r="Z1066" s="1"/>
  <c r="X329" i="114" l="1"/>
  <c r="W329"/>
  <c r="X142" i="74"/>
  <c r="W142"/>
  <c r="AF64" i="28"/>
  <c r="Y64" l="1"/>
  <c r="Z64" s="1"/>
  <c r="AF283" i="57"/>
  <c r="W283"/>
  <c r="AI283"/>
  <c r="AH283" l="1"/>
  <c r="U283"/>
  <c r="Y283"/>
  <c r="Z283" s="1"/>
  <c r="AF649" l="1"/>
  <c r="W649"/>
  <c r="AI649"/>
  <c r="AH649" l="1"/>
  <c r="U649"/>
  <c r="Y649"/>
  <c r="Z649" s="1"/>
  <c r="AF93" i="74" l="1"/>
  <c r="Y93" l="1"/>
  <c r="Z93" s="1"/>
  <c r="U93"/>
  <c r="AF616" i="57" l="1"/>
  <c r="AI616"/>
  <c r="W616"/>
  <c r="AH616" l="1"/>
  <c r="U616"/>
  <c r="Y616"/>
  <c r="Z616" s="1"/>
  <c r="W1060"/>
  <c r="U1060" l="1"/>
  <c r="Y1060"/>
  <c r="Z1060" s="1"/>
  <c r="AF1060"/>
  <c r="AI1060"/>
  <c r="AH1060" l="1"/>
  <c r="AF1391"/>
  <c r="AI1391"/>
  <c r="W1391"/>
  <c r="AH1391" l="1"/>
  <c r="U1391"/>
  <c r="Y1391"/>
  <c r="Z1391" s="1"/>
  <c r="AF1575"/>
  <c r="W1575"/>
  <c r="AI1575"/>
  <c r="AH1575" l="1"/>
  <c r="U1575"/>
  <c r="Y1575"/>
  <c r="Z1575" s="1"/>
  <c r="U164" i="114" l="1"/>
  <c r="Y164"/>
  <c r="Z164" s="1"/>
  <c r="AF95" i="74"/>
  <c r="Y95" l="1"/>
  <c r="Z95" s="1"/>
  <c r="U95"/>
  <c r="AF91"/>
  <c r="Y91" l="1"/>
  <c r="Z91" s="1"/>
  <c r="U91"/>
  <c r="AF88"/>
  <c r="Y88" l="1"/>
  <c r="Z88" s="1"/>
  <c r="U88"/>
  <c r="AF553" i="57" l="1"/>
  <c r="W553"/>
  <c r="AI553"/>
  <c r="AH553" l="1"/>
  <c r="U553"/>
  <c r="Y553"/>
  <c r="Z553" s="1"/>
  <c r="AF383"/>
  <c r="W383"/>
  <c r="AI383"/>
  <c r="AH383" l="1"/>
  <c r="U383"/>
  <c r="Y383"/>
  <c r="Z383" s="1"/>
  <c r="AF635"/>
  <c r="W635"/>
  <c r="AI635"/>
  <c r="AH635" l="1"/>
  <c r="U635"/>
  <c r="Y635"/>
  <c r="Z635" s="1"/>
  <c r="AF92" i="74" l="1"/>
  <c r="Y92" l="1"/>
  <c r="Z92" s="1"/>
  <c r="U92"/>
  <c r="AF840" i="57" l="1"/>
  <c r="W840"/>
  <c r="AI840"/>
  <c r="AH840" l="1"/>
  <c r="U840"/>
  <c r="Y840"/>
  <c r="Z840" s="1"/>
  <c r="AI845"/>
  <c r="AH845" l="1"/>
  <c r="AF845"/>
  <c r="W845"/>
  <c r="U845" l="1"/>
  <c r="Y845"/>
  <c r="Z845" s="1"/>
  <c r="AF1293"/>
  <c r="AI1293"/>
  <c r="W1293"/>
  <c r="AH1293" l="1"/>
  <c r="U1293"/>
  <c r="Y1293"/>
  <c r="Z1293" s="1"/>
  <c r="AF99" i="74" l="1"/>
  <c r="Y99" l="1"/>
  <c r="Z99" s="1"/>
  <c r="U99"/>
  <c r="AF100" l="1"/>
  <c r="Y100" l="1"/>
  <c r="Z100" s="1"/>
  <c r="U100"/>
  <c r="AF89" l="1"/>
  <c r="Y89" l="1"/>
  <c r="Z89" s="1"/>
  <c r="U89"/>
  <c r="AF94" l="1"/>
  <c r="Y94" l="1"/>
  <c r="Z94" s="1"/>
  <c r="U94"/>
  <c r="AF1356" i="57" l="1"/>
  <c r="W1356"/>
  <c r="AI1356"/>
  <c r="AH1356" l="1"/>
  <c r="U1356"/>
  <c r="Y1356"/>
  <c r="Z1356" s="1"/>
  <c r="AF98" i="74" l="1"/>
  <c r="Y98" l="1"/>
  <c r="Z98" s="1"/>
  <c r="U98"/>
  <c r="AF87"/>
  <c r="Y87" l="1"/>
  <c r="Z87" s="1"/>
  <c r="U87"/>
  <c r="AF352" i="57" l="1"/>
  <c r="AI352"/>
  <c r="W352"/>
  <c r="AH352" l="1"/>
  <c r="U352"/>
  <c r="Y352"/>
  <c r="Z352" s="1"/>
  <c r="Y280" i="114" l="1"/>
  <c r="Z280" s="1"/>
  <c r="U280"/>
  <c r="AF724" i="57" l="1"/>
  <c r="W724"/>
  <c r="AI724"/>
  <c r="AH724" l="1"/>
  <c r="U724"/>
  <c r="Y724"/>
  <c r="Z724" s="1"/>
  <c r="AF101" i="74" l="1"/>
  <c r="Y101" l="1"/>
  <c r="Z101" s="1"/>
  <c r="U101"/>
  <c r="AF1508" i="57"/>
  <c r="AI1508"/>
  <c r="W1508"/>
  <c r="AH1508" l="1"/>
  <c r="U1508"/>
  <c r="Y1508"/>
  <c r="Z1508" s="1"/>
  <c r="AF63" i="28"/>
  <c r="Y63" l="1"/>
  <c r="Z63" s="1"/>
  <c r="AF1540" i="57"/>
  <c r="W1540"/>
  <c r="AI1540"/>
  <c r="AH1540" l="1"/>
  <c r="U1540"/>
  <c r="Y1540"/>
  <c r="Z1540" s="1"/>
  <c r="Y284" i="114" l="1"/>
  <c r="Z284" s="1"/>
  <c r="U284"/>
  <c r="X564" i="22"/>
  <c r="X563"/>
  <c r="X562"/>
  <c r="X561"/>
  <c r="X560"/>
  <c r="X559"/>
  <c r="X555"/>
  <c r="X554"/>
  <c r="X553"/>
  <c r="X551"/>
  <c r="X540"/>
  <c r="X539"/>
  <c r="X538"/>
  <c r="X537"/>
  <c r="X535"/>
  <c r="X523"/>
  <c r="X513"/>
  <c r="X509"/>
  <c r="X507"/>
  <c r="X502"/>
  <c r="X495"/>
  <c r="X486"/>
  <c r="X488" s="1"/>
  <c r="X484"/>
  <c r="X478"/>
  <c r="X471"/>
  <c r="X470"/>
  <c r="X468"/>
  <c r="X457"/>
  <c r="X461" s="1"/>
  <c r="X451"/>
  <c r="X455" s="1"/>
  <c r="X447"/>
  <c r="X444"/>
  <c r="X443"/>
  <c r="X441"/>
  <c r="X432"/>
  <c r="X435" s="1"/>
  <c r="X426"/>
  <c r="X423"/>
  <c r="X420"/>
  <c r="X409"/>
  <c r="X403"/>
  <c r="X375"/>
  <c r="X374"/>
  <c r="X373"/>
  <c r="X372"/>
  <c r="X351"/>
  <c r="X350"/>
  <c r="X347"/>
  <c r="X306"/>
  <c r="X305"/>
  <c r="X304"/>
  <c r="X303"/>
  <c r="X302"/>
  <c r="X299"/>
  <c r="X298"/>
  <c r="X295"/>
  <c r="X284"/>
  <c r="X283"/>
  <c r="X282"/>
  <c r="X281"/>
  <c r="X280"/>
  <c r="X279"/>
  <c r="X278"/>
  <c r="X272"/>
  <c r="X271"/>
  <c r="X262"/>
  <c r="X198"/>
  <c r="X191"/>
  <c r="X181"/>
  <c r="X180"/>
  <c r="X179"/>
  <c r="X178"/>
  <c r="X177"/>
  <c r="X176"/>
  <c r="X175"/>
  <c r="X172"/>
  <c r="X167"/>
  <c r="X166"/>
  <c r="X165"/>
  <c r="X164"/>
  <c r="X162"/>
  <c r="X159"/>
  <c r="X154"/>
  <c r="X155" s="1"/>
  <c r="X25"/>
  <c r="X24"/>
  <c r="X23"/>
  <c r="X22"/>
  <c r="X21"/>
  <c r="X20"/>
  <c r="X127"/>
  <c r="X126"/>
  <c r="X125"/>
  <c r="X124"/>
  <c r="X103"/>
  <c r="X102"/>
  <c r="X120"/>
  <c r="X119"/>
  <c r="X84"/>
  <c r="X83"/>
  <c r="X82"/>
  <c r="X94"/>
  <c r="X109"/>
  <c r="X110" s="1"/>
  <c r="X74"/>
  <c r="X50"/>
  <c r="X78"/>
  <c r="X79" s="1"/>
  <c r="X45"/>
  <c r="X44"/>
  <c r="X43"/>
  <c r="X53"/>
  <c r="X54" s="1"/>
  <c r="X39"/>
  <c r="X38"/>
  <c r="X37"/>
  <c r="X36"/>
  <c r="X70"/>
  <c r="X65"/>
  <c r="X64"/>
  <c r="X63"/>
  <c r="X89"/>
  <c r="X2"/>
  <c r="X5" s="1"/>
  <c r="F5" s="1"/>
  <c r="X32"/>
  <c r="X31"/>
  <c r="X30"/>
  <c r="X29"/>
  <c r="X17"/>
  <c r="X13"/>
  <c r="X35" i="28"/>
  <c r="Y35" s="1"/>
  <c r="Z35" s="1"/>
  <c r="X34"/>
  <c r="Y34" s="1"/>
  <c r="Z34" s="1"/>
  <c r="X32"/>
  <c r="Y32" s="1"/>
  <c r="Z32" s="1"/>
  <c r="X29"/>
  <c r="Y29" s="1"/>
  <c r="Z29" s="1"/>
  <c r="X21"/>
  <c r="Y21" s="1"/>
  <c r="Z21" s="1"/>
  <c r="X20"/>
  <c r="Y20" s="1"/>
  <c r="Z20" s="1"/>
  <c r="X16"/>
  <c r="Y16" s="1"/>
  <c r="Z16" s="1"/>
  <c r="Y15"/>
  <c r="Z15" s="1"/>
  <c r="X14"/>
  <c r="Y14" s="1"/>
  <c r="Z14" s="1"/>
  <c r="X13"/>
  <c r="X26" i="22" l="1"/>
  <c r="X116"/>
  <c r="X474"/>
  <c r="X106"/>
  <c r="X40"/>
  <c r="X46"/>
  <c r="X565"/>
  <c r="X66"/>
  <c r="X85"/>
  <c r="X128"/>
  <c r="X515"/>
  <c r="X448"/>
  <c r="X168"/>
  <c r="X121"/>
  <c r="X357"/>
  <c r="X33"/>
  <c r="X182"/>
  <c r="X378"/>
  <c r="X547"/>
  <c r="X327"/>
  <c r="X556"/>
  <c r="R422"/>
  <c r="AF105" i="74" l="1"/>
  <c r="Y105" l="1"/>
  <c r="Z105" s="1"/>
  <c r="U105"/>
  <c r="AF103"/>
  <c r="Y103" l="1"/>
  <c r="Z103" s="1"/>
  <c r="U103"/>
  <c r="AF1078" i="57"/>
  <c r="W1078"/>
  <c r="AI1078"/>
  <c r="AH1078" l="1"/>
  <c r="U1078"/>
  <c r="Y1078"/>
  <c r="Z1078" s="1"/>
  <c r="AF1719"/>
  <c r="W1719"/>
  <c r="AI1719"/>
  <c r="AH1719" l="1"/>
  <c r="U1719"/>
  <c r="Y1719"/>
  <c r="Z1719" s="1"/>
  <c r="AF244"/>
  <c r="AI244"/>
  <c r="W244"/>
  <c r="AH244" l="1"/>
  <c r="U244"/>
  <c r="Y244"/>
  <c r="Z244" s="1"/>
  <c r="Y281" i="114" l="1"/>
  <c r="Z281" s="1"/>
  <c r="U281"/>
  <c r="Y282" l="1"/>
  <c r="Z282" s="1"/>
  <c r="U282"/>
  <c r="AF107" i="74" l="1"/>
  <c r="Y107" l="1"/>
  <c r="Z107" s="1"/>
  <c r="U107"/>
  <c r="AF104"/>
  <c r="Y104" l="1"/>
  <c r="Z104" s="1"/>
  <c r="U104"/>
  <c r="AF273" i="57"/>
  <c r="W273"/>
  <c r="AI273"/>
  <c r="AH273" l="1"/>
  <c r="U273"/>
  <c r="Y273"/>
  <c r="Z273" s="1"/>
  <c r="Y283" i="114" l="1"/>
  <c r="Z283" s="1"/>
  <c r="U283"/>
  <c r="AF207" i="57"/>
  <c r="AI207"/>
  <c r="W207"/>
  <c r="AH207" l="1"/>
  <c r="U207"/>
  <c r="Y207"/>
  <c r="Z207" s="1"/>
  <c r="AF65" i="28"/>
  <c r="Y65" l="1"/>
  <c r="Z65" s="1"/>
  <c r="AF591" i="57"/>
  <c r="W591"/>
  <c r="AI591"/>
  <c r="AH591" l="1"/>
  <c r="U591"/>
  <c r="Y591"/>
  <c r="Z591" s="1"/>
  <c r="AF106" i="74" l="1"/>
  <c r="Y106" l="1"/>
  <c r="Z106" s="1"/>
  <c r="U106"/>
  <c r="AF109"/>
  <c r="Y109" l="1"/>
  <c r="Z109" s="1"/>
  <c r="U109"/>
  <c r="AF1116" i="57" l="1"/>
  <c r="W1116"/>
  <c r="AI1116"/>
  <c r="AH1116" l="1"/>
  <c r="U1116"/>
  <c r="Y1116"/>
  <c r="Z1116" s="1"/>
  <c r="AF1763"/>
  <c r="W1763"/>
  <c r="AI1763"/>
  <c r="AH1763" l="1"/>
  <c r="U1763"/>
  <c r="Y1763"/>
  <c r="Z1763" s="1"/>
  <c r="Y288" i="114" l="1"/>
  <c r="Z288" s="1"/>
  <c r="U288"/>
  <c r="Y285" l="1"/>
  <c r="Z285" s="1"/>
  <c r="U285"/>
  <c r="Y289" l="1"/>
  <c r="Z289" s="1"/>
  <c r="U289"/>
  <c r="AF562" i="57" l="1"/>
  <c r="W562"/>
  <c r="AI562"/>
  <c r="AH562" l="1"/>
  <c r="U562"/>
  <c r="Y562"/>
  <c r="Z562" s="1"/>
  <c r="AF112" i="74"/>
  <c r="Y112" l="1"/>
  <c r="Z112" s="1"/>
  <c r="U112"/>
  <c r="AF110"/>
  <c r="Y110" l="1"/>
  <c r="Z110" s="1"/>
  <c r="U110"/>
  <c r="AF113"/>
  <c r="Y113" l="1"/>
  <c r="Z113" s="1"/>
  <c r="U113"/>
  <c r="AF1214" i="57" l="1"/>
  <c r="W1214"/>
  <c r="AI1214"/>
  <c r="AH1214" l="1"/>
  <c r="U1214"/>
  <c r="Y1214"/>
  <c r="Z1214" s="1"/>
  <c r="Y286" i="114" l="1"/>
  <c r="Z286" s="1"/>
  <c r="U286"/>
  <c r="Y287" l="1"/>
  <c r="Z287" s="1"/>
  <c r="U287"/>
  <c r="Y295" l="1"/>
  <c r="Z295" s="1"/>
  <c r="U295"/>
  <c r="Y290" l="1"/>
  <c r="Z290" s="1"/>
  <c r="U290"/>
  <c r="AF753" i="57"/>
  <c r="W753"/>
  <c r="AI753"/>
  <c r="AH753" l="1"/>
  <c r="U753"/>
  <c r="Y753"/>
  <c r="Z753" s="1"/>
  <c r="AF521"/>
  <c r="W521"/>
  <c r="AI521"/>
  <c r="AH521" l="1"/>
  <c r="U521"/>
  <c r="Y521"/>
  <c r="Z521" s="1"/>
  <c r="AF891"/>
  <c r="AI891"/>
  <c r="W891"/>
  <c r="AH891" l="1"/>
  <c r="U891"/>
  <c r="Y891"/>
  <c r="Z891" s="1"/>
  <c r="AF392"/>
  <c r="W392"/>
  <c r="AI392"/>
  <c r="AH392" l="1"/>
  <c r="U392"/>
  <c r="Y392"/>
  <c r="Z392" s="1"/>
  <c r="AF66" i="28"/>
  <c r="Y66" l="1"/>
  <c r="Z66" s="1"/>
  <c r="AF67"/>
  <c r="Y67" l="1"/>
  <c r="Z67" s="1"/>
  <c r="AF68"/>
  <c r="Y68" l="1"/>
  <c r="Z68" s="1"/>
  <c r="AF69"/>
  <c r="Y69" l="1"/>
  <c r="Z69" s="1"/>
  <c r="AF116" i="74" l="1"/>
  <c r="Y116" l="1"/>
  <c r="Z116" s="1"/>
  <c r="U116"/>
  <c r="U301" i="114"/>
  <c r="Y301"/>
  <c r="Z301" s="1"/>
  <c r="AF70" i="28" l="1"/>
  <c r="Y70" l="1"/>
  <c r="Z70" s="1"/>
  <c r="AF1363" i="57"/>
  <c r="W1363"/>
  <c r="AI1363"/>
  <c r="AH1363" l="1"/>
  <c r="U1363"/>
  <c r="Y1363"/>
  <c r="Z1363" s="1"/>
  <c r="AF1730"/>
  <c r="W1730"/>
  <c r="AI1730"/>
  <c r="AH1730" l="1"/>
  <c r="U1730"/>
  <c r="Y1730"/>
  <c r="Z1730" s="1"/>
  <c r="AF114" i="74"/>
  <c r="Y114" l="1"/>
  <c r="Z114" s="1"/>
  <c r="U114"/>
  <c r="AF115"/>
  <c r="Y115" l="1"/>
  <c r="Z115" s="1"/>
  <c r="U115"/>
  <c r="AF657" i="57" l="1"/>
  <c r="AI657"/>
  <c r="W657"/>
  <c r="AI33" i="114" l="1"/>
  <c r="AH33" s="1"/>
  <c r="W33"/>
  <c r="AH657" i="57"/>
  <c r="U657"/>
  <c r="Y657"/>
  <c r="Z657" s="1"/>
  <c r="U33" i="114" l="1"/>
  <c r="Y33"/>
  <c r="Z33" s="1"/>
  <c r="AF1758" i="57"/>
  <c r="W1758"/>
  <c r="AI1758"/>
  <c r="AH1758" l="1"/>
  <c r="U1758"/>
  <c r="Y1758"/>
  <c r="Z1758" s="1"/>
  <c r="AF219"/>
  <c r="AI219"/>
  <c r="W219"/>
  <c r="AH219" l="1"/>
  <c r="U219"/>
  <c r="Y219"/>
  <c r="Z219" s="1"/>
  <c r="Y303" i="114" l="1"/>
  <c r="Z303" s="1"/>
  <c r="U303"/>
  <c r="Y296" l="1"/>
  <c r="Z296" s="1"/>
  <c r="U296"/>
  <c r="Y302" l="1"/>
  <c r="Z302" s="1"/>
  <c r="U302"/>
  <c r="AF117" i="74" l="1"/>
  <c r="Y117" l="1"/>
  <c r="Z117" s="1"/>
  <c r="U117"/>
  <c r="AF119"/>
  <c r="Y119" l="1"/>
  <c r="Z119" s="1"/>
  <c r="U119"/>
  <c r="AF111"/>
  <c r="Y111" l="1"/>
  <c r="Z111" s="1"/>
  <c r="U111"/>
  <c r="AF102"/>
  <c r="Y102" l="1"/>
  <c r="Z102" s="1"/>
  <c r="U102"/>
  <c r="AF123"/>
  <c r="Y123" l="1"/>
  <c r="Z123" s="1"/>
  <c r="U123"/>
  <c r="AF121"/>
  <c r="Y121" l="1"/>
  <c r="Z121" s="1"/>
  <c r="U121"/>
  <c r="AF118"/>
  <c r="Y118" l="1"/>
  <c r="Z118" s="1"/>
  <c r="U118"/>
  <c r="AF1176" i="57"/>
  <c r="W1176"/>
  <c r="AI1176"/>
  <c r="AH1176" l="1"/>
  <c r="U1176"/>
  <c r="Y1176"/>
  <c r="Z1176" s="1"/>
  <c r="AF1749" l="1"/>
  <c r="AI1749"/>
  <c r="W1749"/>
  <c r="AH1749" l="1"/>
  <c r="U1749"/>
  <c r="Y1749"/>
  <c r="Z1749" s="1"/>
  <c r="Y305" i="114" l="1"/>
  <c r="Z305" s="1"/>
  <c r="U305"/>
  <c r="Y299" l="1"/>
  <c r="Z299" s="1"/>
  <c r="U299"/>
  <c r="Y294" l="1"/>
  <c r="Z294" s="1"/>
  <c r="U294"/>
  <c r="Y293" l="1"/>
  <c r="Z293" s="1"/>
  <c r="U293"/>
  <c r="Y298" l="1"/>
  <c r="Z298" s="1"/>
  <c r="U298"/>
  <c r="Y300" l="1"/>
  <c r="Z300" s="1"/>
  <c r="U300"/>
  <c r="Y297" l="1"/>
  <c r="Z297" s="1"/>
  <c r="U297"/>
  <c r="AF796" i="57"/>
  <c r="W796"/>
  <c r="AI796"/>
  <c r="AH796" l="1"/>
  <c r="U796"/>
  <c r="Y796"/>
  <c r="Z796" s="1"/>
  <c r="AF108" i="74"/>
  <c r="Y108" l="1"/>
  <c r="Z108" s="1"/>
  <c r="U108"/>
  <c r="Y307" i="114" l="1"/>
  <c r="Z307" s="1"/>
  <c r="U307"/>
  <c r="AF358" i="57" l="1"/>
  <c r="AI358"/>
  <c r="W358"/>
  <c r="AH358" l="1"/>
  <c r="U358"/>
  <c r="Y358"/>
  <c r="Z358" s="1"/>
  <c r="AF71" i="28"/>
  <c r="Y71" l="1"/>
  <c r="Z71" s="1"/>
  <c r="AF1720" i="57"/>
  <c r="W1720"/>
  <c r="AI1720"/>
  <c r="AH1720" l="1"/>
  <c r="U1720"/>
  <c r="Y1720"/>
  <c r="Z1720" s="1"/>
  <c r="AF125" i="74"/>
  <c r="Y125" l="1"/>
  <c r="Z125" s="1"/>
  <c r="U125"/>
  <c r="AF124"/>
  <c r="Y124" l="1"/>
  <c r="Z124" s="1"/>
  <c r="U124"/>
  <c r="AF126" l="1"/>
  <c r="Y126" l="1"/>
  <c r="Z126" s="1"/>
  <c r="U126"/>
  <c r="U308" i="114" l="1"/>
  <c r="Y308"/>
  <c r="Z308" s="1"/>
  <c r="Y306"/>
  <c r="Z306" s="1"/>
  <c r="U306"/>
  <c r="U291"/>
  <c r="Y291"/>
  <c r="Z291" s="1"/>
  <c r="Y311"/>
  <c r="Z311" s="1"/>
  <c r="U311"/>
  <c r="AF1526" i="57" l="1"/>
  <c r="W1526"/>
  <c r="AI1526"/>
  <c r="AH1526" l="1"/>
  <c r="U1526"/>
  <c r="Y1526"/>
  <c r="Z1526" s="1"/>
  <c r="AF120" i="74" l="1"/>
  <c r="Y120" l="1"/>
  <c r="Z120" s="1"/>
  <c r="U120"/>
  <c r="Y312" i="114" l="1"/>
  <c r="Z312" s="1"/>
  <c r="U312"/>
  <c r="Y314" l="1"/>
  <c r="Z314" s="1"/>
  <c r="U314"/>
  <c r="AF1609" i="57"/>
  <c r="AI1609"/>
  <c r="W1609"/>
  <c r="AH1609" l="1"/>
  <c r="U1609"/>
  <c r="Y1609"/>
  <c r="Z1609" s="1"/>
  <c r="AF742"/>
  <c r="W742"/>
  <c r="AI742"/>
  <c r="AH742" l="1"/>
  <c r="U742"/>
  <c r="Y742"/>
  <c r="Z742" s="1"/>
  <c r="AF73" i="28"/>
  <c r="Y73" l="1"/>
  <c r="Z73" s="1"/>
  <c r="AF72"/>
  <c r="Y72" l="1"/>
  <c r="Z72" s="1"/>
  <c r="Y315" i="114" l="1"/>
  <c r="Z315" s="1"/>
  <c r="U315"/>
  <c r="Y317" l="1"/>
  <c r="Z317" s="1"/>
  <c r="U317"/>
  <c r="AF1534" i="57" l="1"/>
  <c r="AI1534"/>
  <c r="W1534"/>
  <c r="W8" i="22" l="1"/>
  <c r="W18" i="28"/>
  <c r="W11" i="74"/>
  <c r="AI11"/>
  <c r="AH11" s="1"/>
  <c r="AI38" i="114"/>
  <c r="AH38" s="1"/>
  <c r="W38"/>
  <c r="AH1534" i="57"/>
  <c r="U1534"/>
  <c r="Y1534"/>
  <c r="Z1534" s="1"/>
  <c r="Y8" i="22" l="1"/>
  <c r="Z8" s="1"/>
  <c r="U8"/>
  <c r="W9"/>
  <c r="Y18" i="28"/>
  <c r="Z18" s="1"/>
  <c r="AI18"/>
  <c r="U18"/>
  <c r="Y11" i="74"/>
  <c r="Z11" s="1"/>
  <c r="U11"/>
  <c r="U38" i="114"/>
  <c r="Y38"/>
  <c r="Z38" s="1"/>
  <c r="AF129" i="74"/>
  <c r="Y9" i="22" l="1"/>
  <c r="AC9"/>
  <c r="Y129" i="74"/>
  <c r="Z129" s="1"/>
  <c r="U129"/>
  <c r="Z9" i="22" l="1"/>
  <c r="AD9"/>
  <c r="AF130" i="74"/>
  <c r="Y130" l="1"/>
  <c r="Z130" s="1"/>
  <c r="U130"/>
  <c r="AF196" i="57"/>
  <c r="W196"/>
  <c r="AI196"/>
  <c r="AH196" l="1"/>
  <c r="U196"/>
  <c r="Y196"/>
  <c r="Z196" s="1"/>
  <c r="AF74" i="28"/>
  <c r="Y74" l="1"/>
  <c r="Z74" s="1"/>
  <c r="AF1555" i="57"/>
  <c r="AI1555"/>
  <c r="W1555"/>
  <c r="AH1555" l="1"/>
  <c r="U1555"/>
  <c r="Y1555"/>
  <c r="Z1555" s="1"/>
  <c r="AF132" i="74" l="1"/>
  <c r="Y132" l="1"/>
  <c r="Z132" s="1"/>
  <c r="U132"/>
  <c r="AF131"/>
  <c r="Y131" l="1"/>
  <c r="Z131" s="1"/>
  <c r="U131"/>
  <c r="Y316" i="114" l="1"/>
  <c r="Z316" s="1"/>
  <c r="U316"/>
  <c r="Y309" l="1"/>
  <c r="Z309" s="1"/>
  <c r="U309"/>
  <c r="AF214" i="57"/>
  <c r="W214"/>
  <c r="AI214"/>
  <c r="AH214" l="1"/>
  <c r="U214"/>
  <c r="Y214"/>
  <c r="Z214" s="1"/>
  <c r="AF1381"/>
  <c r="W1381"/>
  <c r="AI1381"/>
  <c r="AH1381" l="1"/>
  <c r="U1381"/>
  <c r="Y1381"/>
  <c r="Z1381" s="1"/>
  <c r="AF601"/>
  <c r="W601"/>
  <c r="AI601"/>
  <c r="AH601" l="1"/>
  <c r="U601"/>
  <c r="Y601"/>
  <c r="Z601" s="1"/>
  <c r="AF1812"/>
  <c r="AI1812"/>
  <c r="W1812"/>
  <c r="AH1812" l="1"/>
  <c r="U1812"/>
  <c r="Y1812"/>
  <c r="Z1812" s="1"/>
  <c r="AF75" i="28"/>
  <c r="Y75" l="1"/>
  <c r="Z75" s="1"/>
  <c r="AF76"/>
  <c r="Y76" l="1"/>
  <c r="Z76" s="1"/>
  <c r="AF77"/>
  <c r="Y77" l="1"/>
  <c r="Z77" s="1"/>
  <c r="AF78"/>
  <c r="Y78" l="1"/>
  <c r="Z78" s="1"/>
  <c r="AI399" i="57"/>
  <c r="AH399" l="1"/>
  <c r="AF651"/>
  <c r="W651"/>
  <c r="AI651"/>
  <c r="AH651" l="1"/>
  <c r="U651"/>
  <c r="Y651"/>
  <c r="Z651" s="1"/>
  <c r="AF122" i="74" l="1"/>
  <c r="Y122" l="1"/>
  <c r="Z122" s="1"/>
  <c r="U122"/>
  <c r="AF127" l="1"/>
  <c r="Y127" l="1"/>
  <c r="Z127" s="1"/>
  <c r="U127"/>
  <c r="Y313" i="114" l="1"/>
  <c r="Z313" s="1"/>
  <c r="U313"/>
  <c r="Y310" l="1"/>
  <c r="Z310" s="1"/>
  <c r="U310"/>
  <c r="AF133" i="74" l="1"/>
  <c r="Y133" l="1"/>
  <c r="Z133" s="1"/>
  <c r="U133"/>
  <c r="AF571" i="57" l="1"/>
  <c r="W571"/>
  <c r="AI571"/>
  <c r="AH571" l="1"/>
  <c r="U571"/>
  <c r="Y571"/>
  <c r="Z571" s="1"/>
  <c r="Y318" i="114" l="1"/>
  <c r="Z318" s="1"/>
  <c r="U318"/>
  <c r="AF1283" i="57" l="1"/>
  <c r="W1283"/>
  <c r="AI1283"/>
  <c r="AH1283" l="1"/>
  <c r="U1283"/>
  <c r="Y1283"/>
  <c r="Z1283" s="1"/>
  <c r="AF136" i="74"/>
  <c r="Y136" l="1"/>
  <c r="Z136" s="1"/>
  <c r="U136"/>
  <c r="Y319" i="114" l="1"/>
  <c r="Z319" s="1"/>
  <c r="U319"/>
  <c r="K12" i="21"/>
  <c r="M12"/>
  <c r="AF154" i="22"/>
  <c r="N12" i="21" l="1"/>
  <c r="L12"/>
  <c r="Y142" i="74"/>
  <c r="Z142" s="1"/>
  <c r="AC142"/>
  <c r="Y154" i="22"/>
  <c r="Z154" s="1"/>
  <c r="W155"/>
  <c r="AD142" i="74" l="1"/>
  <c r="Y155" i="22"/>
  <c r="AC155"/>
  <c r="Z155" l="1"/>
  <c r="AD155"/>
  <c r="AF1109" i="57" l="1"/>
  <c r="AI1109"/>
  <c r="W1109"/>
  <c r="AH1109" l="1"/>
  <c r="U1109"/>
  <c r="Y1109"/>
  <c r="Z1109" s="1"/>
  <c r="AF138" i="74" l="1"/>
  <c r="Y138" l="1"/>
  <c r="Z138" s="1"/>
  <c r="U138"/>
  <c r="AF137"/>
  <c r="Y137" l="1"/>
  <c r="Z137" s="1"/>
  <c r="U137"/>
  <c r="AF514" i="57" l="1"/>
  <c r="W514"/>
  <c r="AI514"/>
  <c r="AH514" l="1"/>
  <c r="U514"/>
  <c r="Y514"/>
  <c r="Z514" s="1"/>
  <c r="W186" i="74" l="1"/>
  <c r="X170"/>
  <c r="W170"/>
  <c r="AF144" l="1"/>
  <c r="Y144" l="1"/>
  <c r="Z144" s="1"/>
  <c r="U144"/>
  <c r="W159" i="22" l="1"/>
  <c r="AF158"/>
  <c r="Y158"/>
  <c r="Z158" s="1"/>
  <c r="Y159" l="1"/>
  <c r="Z159" s="1"/>
  <c r="AC159"/>
  <c r="AD159" l="1"/>
  <c r="AF145" i="74" l="1"/>
  <c r="Y145" l="1"/>
  <c r="Z145" s="1"/>
  <c r="U145"/>
  <c r="AF140"/>
  <c r="Y140" l="1"/>
  <c r="Z140" s="1"/>
  <c r="U140"/>
  <c r="Y326" i="114" l="1"/>
  <c r="Z326" s="1"/>
  <c r="U326"/>
  <c r="Y331" l="1"/>
  <c r="Z331" s="1"/>
  <c r="U331"/>
  <c r="Y332" l="1"/>
  <c r="Z332" s="1"/>
  <c r="U332"/>
  <c r="Y328" l="1"/>
  <c r="Z328" s="1"/>
  <c r="U328"/>
  <c r="AF1301" i="57"/>
  <c r="W1301"/>
  <c r="AI1301"/>
  <c r="AH1301" l="1"/>
  <c r="U1301"/>
  <c r="Y1301"/>
  <c r="Z1301" s="1"/>
  <c r="AF930"/>
  <c r="AI930"/>
  <c r="W930"/>
  <c r="AH930" l="1"/>
  <c r="U930"/>
  <c r="Y930"/>
  <c r="Z930" s="1"/>
  <c r="AF80" i="28"/>
  <c r="Y80" l="1"/>
  <c r="Z80" s="1"/>
  <c r="AF79"/>
  <c r="Y79" l="1"/>
  <c r="Z79" s="1"/>
  <c r="AF146" i="74" l="1"/>
  <c r="Y146" l="1"/>
  <c r="Z146" s="1"/>
  <c r="U146"/>
  <c r="AF349" i="57" l="1"/>
  <c r="W349"/>
  <c r="AI349"/>
  <c r="AH349" l="1"/>
  <c r="U349"/>
  <c r="Y349"/>
  <c r="Z349" s="1"/>
  <c r="AF141" i="74"/>
  <c r="Y141" l="1"/>
  <c r="Z141" s="1"/>
  <c r="U141"/>
  <c r="Y324" i="114" l="1"/>
  <c r="Z324" s="1"/>
  <c r="U324"/>
  <c r="W168" i="22"/>
  <c r="K13" i="21"/>
  <c r="M13"/>
  <c r="L13" l="1"/>
  <c r="K15"/>
  <c r="N13"/>
  <c r="AF147" i="74" l="1"/>
  <c r="Y147" l="1"/>
  <c r="Z147" s="1"/>
  <c r="U147"/>
  <c r="AF135"/>
  <c r="Y135" l="1"/>
  <c r="Z135" s="1"/>
  <c r="U135"/>
  <c r="AF139"/>
  <c r="Y139" l="1"/>
  <c r="Z139" s="1"/>
  <c r="U139"/>
  <c r="AF1042" i="57" l="1"/>
  <c r="W1042"/>
  <c r="AI1042"/>
  <c r="AH1042" l="1"/>
  <c r="U1042"/>
  <c r="Y1042"/>
  <c r="Z1042" s="1"/>
  <c r="Y320" i="114" l="1"/>
  <c r="Z320" s="1"/>
  <c r="U320"/>
  <c r="X359" l="1"/>
  <c r="W359"/>
  <c r="Y333"/>
  <c r="AF149" i="74" l="1"/>
  <c r="Y149" l="1"/>
  <c r="Z149" s="1"/>
  <c r="U149"/>
  <c r="Z333" i="114" l="1"/>
  <c r="U333"/>
  <c r="W35" i="57"/>
  <c r="U35" l="1"/>
  <c r="AF148" i="74"/>
  <c r="Y148" l="1"/>
  <c r="Z148" s="1"/>
  <c r="U148"/>
  <c r="AF150"/>
  <c r="Y150" l="1"/>
  <c r="Z150" s="1"/>
  <c r="U150"/>
  <c r="Y334" i="114" l="1"/>
  <c r="Z334" s="1"/>
  <c r="U334"/>
  <c r="Y322" l="1"/>
  <c r="Z322" s="1"/>
  <c r="U322"/>
  <c r="AF1545" i="57" l="1"/>
  <c r="W1545"/>
  <c r="AI1545"/>
  <c r="AH1545" l="1"/>
  <c r="U1545"/>
  <c r="Y1545"/>
  <c r="Z1545" s="1"/>
  <c r="AF1202"/>
  <c r="AI1202"/>
  <c r="W1202"/>
  <c r="AH1202" l="1"/>
  <c r="U1202"/>
  <c r="Y1202"/>
  <c r="Z1202" s="1"/>
  <c r="AF673"/>
  <c r="W673"/>
  <c r="AI673"/>
  <c r="AH673" l="1"/>
  <c r="U673"/>
  <c r="Y673"/>
  <c r="Z673" s="1"/>
  <c r="AF84" i="28"/>
  <c r="Y84" l="1"/>
  <c r="Z84" s="1"/>
  <c r="AF82"/>
  <c r="Y82" l="1"/>
  <c r="Z82" s="1"/>
  <c r="AF81"/>
  <c r="Y81" l="1"/>
  <c r="Z81" s="1"/>
  <c r="AF153" i="74" l="1"/>
  <c r="Y153" l="1"/>
  <c r="Z153" s="1"/>
  <c r="U153"/>
  <c r="Y336" i="114" l="1"/>
  <c r="Z336" s="1"/>
  <c r="U336"/>
  <c r="Y335" l="1"/>
  <c r="Z335" s="1"/>
  <c r="U335"/>
  <c r="AF109" i="57" l="1"/>
  <c r="AI109"/>
  <c r="W109"/>
  <c r="AH109" l="1"/>
  <c r="U109"/>
  <c r="Y109"/>
  <c r="Z109" s="1"/>
  <c r="AL25" i="28"/>
  <c r="AK25" l="1"/>
  <c r="AI25"/>
  <c r="Y292" i="114" l="1"/>
  <c r="Z292" s="1"/>
  <c r="U292"/>
  <c r="AF814" i="57"/>
  <c r="W814"/>
  <c r="AI814"/>
  <c r="AH814" l="1"/>
  <c r="U814"/>
  <c r="Y814"/>
  <c r="Z814" s="1"/>
  <c r="AF83" i="28"/>
  <c r="Y83" l="1"/>
  <c r="Z83" s="1"/>
  <c r="AF156" i="74" l="1"/>
  <c r="Y156" l="1"/>
  <c r="Z156" s="1"/>
  <c r="U156"/>
  <c r="Y327" i="114" l="1"/>
  <c r="Z327" s="1"/>
  <c r="U327"/>
  <c r="Y342" l="1"/>
  <c r="Z342" s="1"/>
  <c r="U342"/>
  <c r="Y341" l="1"/>
  <c r="Z341" s="1"/>
  <c r="U341"/>
  <c r="Y337" l="1"/>
  <c r="Z337" s="1"/>
  <c r="U337"/>
  <c r="AF154" i="74"/>
  <c r="Y154" l="1"/>
  <c r="Z154" s="1"/>
  <c r="U154"/>
  <c r="Y343" i="114" l="1"/>
  <c r="Z343" s="1"/>
  <c r="U343"/>
  <c r="Y339" l="1"/>
  <c r="Z339" s="1"/>
  <c r="U339"/>
  <c r="U338" l="1"/>
  <c r="Y338"/>
  <c r="Z338" s="1"/>
  <c r="AF151" i="74" l="1"/>
  <c r="Y151" l="1"/>
  <c r="Z151" s="1"/>
  <c r="U151"/>
  <c r="AF157"/>
  <c r="Y157" l="1"/>
  <c r="Z157" s="1"/>
  <c r="U157"/>
  <c r="AF155"/>
  <c r="Y155" l="1"/>
  <c r="Z155" s="1"/>
  <c r="U155"/>
  <c r="AF134"/>
  <c r="Y134" l="1"/>
  <c r="Z134" s="1"/>
  <c r="U134"/>
  <c r="Y340" i="114" l="1"/>
  <c r="Z340" s="1"/>
  <c r="U340"/>
  <c r="Y304" l="1"/>
  <c r="Z304" s="1"/>
  <c r="U304"/>
  <c r="Y323" l="1"/>
  <c r="Z323" s="1"/>
  <c r="U323"/>
  <c r="Y344" l="1"/>
  <c r="Z344" s="1"/>
  <c r="U344"/>
  <c r="AF152" i="74" l="1"/>
  <c r="Y152" l="1"/>
  <c r="Z152" s="1"/>
  <c r="U152"/>
  <c r="AF962" i="57" l="1"/>
  <c r="AI962"/>
  <c r="W962"/>
  <c r="AH962" l="1"/>
  <c r="U962"/>
  <c r="Y962"/>
  <c r="Z962" s="1"/>
  <c r="Y348" i="114" l="1"/>
  <c r="Z348" s="1"/>
  <c r="U348"/>
  <c r="Y346" l="1"/>
  <c r="Z346" s="1"/>
  <c r="U346"/>
  <c r="Y347" l="1"/>
  <c r="Z347" s="1"/>
  <c r="U347"/>
  <c r="Y345" l="1"/>
  <c r="Z345" s="1"/>
  <c r="U345"/>
  <c r="AI35" i="57"/>
  <c r="AH35" l="1"/>
  <c r="Y35"/>
  <c r="Z35" s="1"/>
  <c r="AF265" l="1"/>
  <c r="W265"/>
  <c r="AI265"/>
  <c r="AH265" l="1"/>
  <c r="U265"/>
  <c r="Y265"/>
  <c r="Z265" s="1"/>
  <c r="AF159" i="74" l="1"/>
  <c r="Y96" l="1"/>
  <c r="AC96"/>
  <c r="Y159"/>
  <c r="Z159" s="1"/>
  <c r="U159"/>
  <c r="Z96" l="1"/>
  <c r="AD96"/>
  <c r="Y353" i="114" l="1"/>
  <c r="Z353" s="1"/>
  <c r="U353"/>
  <c r="Y352" l="1"/>
  <c r="Z352" s="1"/>
  <c r="U352"/>
  <c r="Y351" l="1"/>
  <c r="Z351" s="1"/>
  <c r="U351"/>
  <c r="Y321" l="1"/>
  <c r="Z321" s="1"/>
  <c r="U321"/>
  <c r="AC278" l="1"/>
  <c r="Y278"/>
  <c r="Y325"/>
  <c r="Z325" s="1"/>
  <c r="U325"/>
  <c r="AD278" l="1"/>
  <c r="Z278"/>
  <c r="Y329"/>
  <c r="AC329"/>
  <c r="Y350"/>
  <c r="Z350" s="1"/>
  <c r="U350"/>
  <c r="AF399" i="57"/>
  <c r="W399"/>
  <c r="U399" l="1"/>
  <c r="AD329" i="114"/>
  <c r="Z329"/>
  <c r="Y399" i="57"/>
  <c r="Z399" s="1"/>
  <c r="AF85" i="28" l="1"/>
  <c r="Y85" l="1"/>
  <c r="Z85" s="1"/>
  <c r="AF166" i="74" l="1"/>
  <c r="Y166" l="1"/>
  <c r="Z166" s="1"/>
  <c r="U166"/>
  <c r="AF165"/>
  <c r="Y165" l="1"/>
  <c r="Z165" s="1"/>
  <c r="U165"/>
  <c r="AF158"/>
  <c r="Y158" l="1"/>
  <c r="Z158" s="1"/>
  <c r="U158"/>
  <c r="X186" l="1"/>
  <c r="X363" i="114"/>
  <c r="W363"/>
  <c r="U361"/>
  <c r="Y361"/>
  <c r="Z361" s="1"/>
  <c r="U362"/>
  <c r="Y362"/>
  <c r="Z362" s="1"/>
  <c r="AF184" i="74"/>
  <c r="Y184"/>
  <c r="Z184" s="1"/>
  <c r="U184"/>
  <c r="AF183"/>
  <c r="Y183"/>
  <c r="Z183" s="1"/>
  <c r="U183"/>
  <c r="AF182"/>
  <c r="Y182"/>
  <c r="Z182" s="1"/>
  <c r="U182"/>
  <c r="AF181"/>
  <c r="Y181"/>
  <c r="Z181" s="1"/>
  <c r="U181"/>
  <c r="AF180"/>
  <c r="Y180"/>
  <c r="Z180" s="1"/>
  <c r="U180"/>
  <c r="AF179"/>
  <c r="Y179"/>
  <c r="Z179" s="1"/>
  <c r="U179"/>
  <c r="AF178"/>
  <c r="Y178"/>
  <c r="Z178" s="1"/>
  <c r="U178"/>
  <c r="AF177"/>
  <c r="Y177"/>
  <c r="Z177" s="1"/>
  <c r="U177"/>
  <c r="AF176"/>
  <c r="Y176"/>
  <c r="Z176" s="1"/>
  <c r="U176"/>
  <c r="AF175"/>
  <c r="Y175"/>
  <c r="Z175" s="1"/>
  <c r="U175"/>
  <c r="AF174"/>
  <c r="Y174"/>
  <c r="Z174" s="1"/>
  <c r="U174"/>
  <c r="AF173"/>
  <c r="Y173"/>
  <c r="Z173" s="1"/>
  <c r="U173"/>
  <c r="AF172"/>
  <c r="Y172"/>
  <c r="Z172" s="1"/>
  <c r="U172"/>
  <c r="Y354" i="114" l="1"/>
  <c r="Z354" s="1"/>
  <c r="U354"/>
  <c r="Y358" l="1"/>
  <c r="Z358" s="1"/>
  <c r="U358"/>
  <c r="Y359" l="1"/>
  <c r="AC359"/>
  <c r="AD359" l="1"/>
  <c r="Z359"/>
  <c r="AF161" i="74" l="1"/>
  <c r="Y161" l="1"/>
  <c r="Z161" s="1"/>
  <c r="U161"/>
  <c r="AF160"/>
  <c r="Y160" l="1"/>
  <c r="Z160" s="1"/>
  <c r="U160"/>
  <c r="AF164"/>
  <c r="Y164" l="1"/>
  <c r="Z164" s="1"/>
  <c r="U164"/>
  <c r="AF168" l="1"/>
  <c r="Y168" l="1"/>
  <c r="Z168" s="1"/>
  <c r="U168"/>
  <c r="AF167"/>
  <c r="Y167" l="1"/>
  <c r="Z167" s="1"/>
  <c r="U167"/>
  <c r="AF1409" i="57" l="1"/>
  <c r="AI1409"/>
  <c r="W1409"/>
  <c r="AH1409" l="1"/>
  <c r="U1409"/>
  <c r="Y1409"/>
  <c r="Z1409" s="1"/>
  <c r="Y349" i="114" l="1"/>
  <c r="Z349" s="1"/>
  <c r="U349"/>
  <c r="Y357" l="1"/>
  <c r="Z357" s="1"/>
  <c r="U357"/>
  <c r="Y356" l="1"/>
  <c r="Z356" s="1"/>
  <c r="U356"/>
  <c r="Y355" l="1"/>
  <c r="Z355" s="1"/>
  <c r="U355"/>
  <c r="AF439" i="57" l="1"/>
  <c r="W439"/>
  <c r="AI439"/>
  <c r="AH439" l="1"/>
  <c r="U439"/>
  <c r="Y439"/>
  <c r="Z439" s="1"/>
  <c r="AF169" i="74"/>
  <c r="Y169" l="1"/>
  <c r="Z169" s="1"/>
  <c r="U169"/>
  <c r="AF1736" i="57" l="1"/>
  <c r="W1736"/>
  <c r="AI1736"/>
  <c r="AH1736" l="1"/>
  <c r="U1736"/>
  <c r="Y1736"/>
  <c r="Z1736" s="1"/>
  <c r="AF662"/>
  <c r="AI662"/>
  <c r="W662"/>
  <c r="AH662" l="1"/>
  <c r="U662"/>
  <c r="Y662"/>
  <c r="Z662" s="1"/>
  <c r="AF162" i="74" l="1"/>
  <c r="Y162" l="1"/>
  <c r="Z162" s="1"/>
  <c r="U162"/>
  <c r="AF151" i="57" l="1"/>
  <c r="W151"/>
  <c r="AI151"/>
  <c r="AH151" l="1"/>
  <c r="U151"/>
  <c r="Y151"/>
  <c r="Z151" s="1"/>
  <c r="AF744"/>
  <c r="AI744"/>
  <c r="W744"/>
  <c r="AH744" l="1"/>
  <c r="U744"/>
  <c r="Y744"/>
  <c r="Z744" s="1"/>
  <c r="AF633" l="1"/>
  <c r="AI633"/>
  <c r="W633"/>
  <c r="AH633" l="1"/>
  <c r="U633"/>
  <c r="Y633"/>
  <c r="Z633" s="1"/>
  <c r="AF961"/>
  <c r="W961"/>
  <c r="AI961"/>
  <c r="AH961" l="1"/>
  <c r="U961"/>
  <c r="Y961"/>
  <c r="Z961" s="1"/>
  <c r="AF1129" l="1"/>
  <c r="W1129"/>
  <c r="AI1129"/>
  <c r="AH1129" l="1"/>
  <c r="U1129"/>
  <c r="Y1129"/>
  <c r="Z1129" s="1"/>
  <c r="AF1663" l="1"/>
  <c r="W1663"/>
  <c r="AI1663"/>
  <c r="AH1663" l="1"/>
  <c r="U1663"/>
  <c r="Y1663"/>
  <c r="Z1663" s="1"/>
  <c r="AF555"/>
  <c r="W555"/>
  <c r="AI555"/>
  <c r="AH555" l="1"/>
  <c r="U555"/>
  <c r="Y555"/>
  <c r="Z555" s="1"/>
  <c r="AF1574" l="1"/>
  <c r="AI1574"/>
  <c r="W1574"/>
  <c r="AH1574" l="1"/>
  <c r="U1574"/>
  <c r="Y1574"/>
  <c r="Z1574" s="1"/>
  <c r="AF674"/>
  <c r="W674"/>
  <c r="AI674"/>
  <c r="AH674" l="1"/>
  <c r="U674"/>
  <c r="Y674"/>
  <c r="Z674" s="1"/>
  <c r="AF660"/>
  <c r="W660"/>
  <c r="AI660"/>
  <c r="AH660" l="1"/>
  <c r="U660"/>
  <c r="Y660"/>
  <c r="Z660" s="1"/>
  <c r="AF1219" l="1"/>
  <c r="AI1219"/>
  <c r="W1219"/>
  <c r="AH1219" l="1"/>
  <c r="U1219"/>
  <c r="Y1219"/>
  <c r="Z1219" s="1"/>
  <c r="AF945" l="1"/>
  <c r="AI945"/>
  <c r="W945"/>
  <c r="AH945" l="1"/>
  <c r="U945"/>
  <c r="Y945"/>
  <c r="Z945" s="1"/>
  <c r="AF260" l="1"/>
  <c r="AI260"/>
  <c r="W260"/>
  <c r="AH260" l="1"/>
  <c r="U260"/>
  <c r="Y260"/>
  <c r="Z260" s="1"/>
  <c r="AF1783"/>
  <c r="W1783"/>
  <c r="AI1783"/>
  <c r="AH1783" l="1"/>
  <c r="U1783"/>
  <c r="Y1783"/>
  <c r="Z1783" s="1"/>
  <c r="AF1441"/>
  <c r="W1441"/>
  <c r="AI1441"/>
  <c r="AH1441" l="1"/>
  <c r="U1441"/>
  <c r="Y1441"/>
  <c r="Z1441" s="1"/>
  <c r="AF300" l="1"/>
  <c r="W300"/>
  <c r="AI300"/>
  <c r="AH300" l="1"/>
  <c r="U300"/>
  <c r="Y300"/>
  <c r="Z300" s="1"/>
  <c r="AL13" i="28"/>
  <c r="W13"/>
  <c r="AK13" l="1"/>
  <c r="U13"/>
  <c r="Y13"/>
  <c r="Z13" s="1"/>
  <c r="AI13"/>
  <c r="AF163" i="74" l="1"/>
  <c r="Y163" l="1"/>
  <c r="Z163" s="1"/>
  <c r="U163"/>
  <c r="Y170" l="1"/>
  <c r="AC170"/>
  <c r="Z170" l="1"/>
  <c r="AD170"/>
  <c r="AF1203" i="57"/>
  <c r="AI1203"/>
  <c r="W1203"/>
  <c r="AH1203" l="1"/>
  <c r="U1203"/>
  <c r="Y1203"/>
  <c r="Z1203" s="1"/>
  <c r="AF868"/>
  <c r="W868"/>
  <c r="AI868"/>
  <c r="AH868" l="1"/>
  <c r="U868"/>
  <c r="Y868"/>
  <c r="Z868" s="1"/>
  <c r="AF520" l="1"/>
  <c r="AI520"/>
  <c r="W520"/>
  <c r="AH520" l="1"/>
  <c r="U520"/>
  <c r="Y520"/>
  <c r="Z520" s="1"/>
  <c r="AF557"/>
  <c r="W557"/>
  <c r="AI557"/>
  <c r="AH557" l="1"/>
  <c r="U557"/>
  <c r="Y557"/>
  <c r="Z557" s="1"/>
  <c r="AF1785" l="1"/>
  <c r="W1785"/>
  <c r="AI1785"/>
  <c r="AH1785" l="1"/>
  <c r="U1785"/>
  <c r="Y1785"/>
  <c r="Z1785" s="1"/>
  <c r="AF643" l="1"/>
  <c r="W643"/>
  <c r="AI643"/>
  <c r="AH643" l="1"/>
  <c r="U643"/>
  <c r="Y643"/>
  <c r="Z643" s="1"/>
  <c r="AF1186" l="1"/>
  <c r="W1186"/>
  <c r="AI1186"/>
  <c r="AH1186" l="1"/>
  <c r="U1186"/>
  <c r="Y1186"/>
  <c r="Z1186" s="1"/>
  <c r="AF1776" l="1"/>
  <c r="W1776"/>
  <c r="AI1776"/>
  <c r="AH1776" l="1"/>
  <c r="U1776"/>
  <c r="Y1776"/>
  <c r="Z1776" s="1"/>
  <c r="AF185" i="74" l="1"/>
  <c r="Y185" l="1"/>
  <c r="Z185" s="1"/>
  <c r="U185"/>
  <c r="AF340" i="57" l="1"/>
  <c r="AI340"/>
  <c r="W340"/>
  <c r="AH340" l="1"/>
  <c r="U340"/>
  <c r="Y340"/>
  <c r="Z340" s="1"/>
  <c r="AF993"/>
  <c r="AI993"/>
  <c r="W993"/>
  <c r="AH993" l="1"/>
  <c r="U993"/>
  <c r="Y993"/>
  <c r="Z993" s="1"/>
  <c r="AF1092" l="1"/>
  <c r="AI1092"/>
  <c r="W1092"/>
  <c r="AH1092" l="1"/>
  <c r="U1092"/>
  <c r="Y1092"/>
  <c r="Z1092" s="1"/>
  <c r="AF1738"/>
  <c r="W1738"/>
  <c r="AI1738"/>
  <c r="AH1738" l="1"/>
  <c r="U1738"/>
  <c r="Y1738"/>
  <c r="Z1738" s="1"/>
  <c r="AF636" l="1"/>
  <c r="W636"/>
  <c r="AI636"/>
  <c r="W45" i="114" l="1"/>
  <c r="AI45"/>
  <c r="AH45" s="1"/>
  <c r="AH636" i="57"/>
  <c r="U636"/>
  <c r="Y636"/>
  <c r="Z636" s="1"/>
  <c r="U45" i="114" l="1"/>
  <c r="Y45"/>
  <c r="Z45" s="1"/>
  <c r="Y186" i="74"/>
  <c r="Z186" s="1"/>
  <c r="AC186"/>
  <c r="AD186" l="1"/>
  <c r="AF198" i="57"/>
  <c r="W198"/>
  <c r="AI198"/>
  <c r="AH198" l="1"/>
  <c r="U198"/>
  <c r="Y198"/>
  <c r="Z198" s="1"/>
  <c r="AF1537" l="1"/>
  <c r="W1537"/>
  <c r="AI1537"/>
  <c r="AH1537" l="1"/>
  <c r="U1537"/>
  <c r="Y1537"/>
  <c r="Z1537" s="1"/>
  <c r="AF1198" l="1"/>
  <c r="W1198"/>
  <c r="AI1198"/>
  <c r="AH1198" l="1"/>
  <c r="U1198"/>
  <c r="Y1198"/>
  <c r="Z1198" s="1"/>
  <c r="AC363" i="114" l="1"/>
  <c r="Y363"/>
  <c r="Z363" l="1"/>
  <c r="AD363"/>
  <c r="AF860" i="57" l="1"/>
  <c r="AI860"/>
  <c r="W860"/>
  <c r="AH860" l="1"/>
  <c r="U860"/>
  <c r="Y860"/>
  <c r="Z860" s="1"/>
  <c r="AI1641"/>
  <c r="AH1641" l="1"/>
  <c r="AF1641"/>
  <c r="W1641"/>
  <c r="U1641" l="1"/>
  <c r="Y1641"/>
  <c r="Z1641" s="1"/>
  <c r="W57"/>
  <c r="AI57"/>
  <c r="AH57" l="1"/>
  <c r="U57"/>
  <c r="Y57"/>
  <c r="Z57" s="1"/>
  <c r="AF913" l="1"/>
  <c r="AI913"/>
  <c r="W913"/>
  <c r="AH913" l="1"/>
  <c r="U913"/>
  <c r="Y913"/>
  <c r="Z913" s="1"/>
  <c r="AF1673" l="1"/>
  <c r="W1673"/>
  <c r="AI1673"/>
  <c r="AH1673" l="1"/>
  <c r="U1673"/>
  <c r="Y1673"/>
  <c r="Z1673" s="1"/>
  <c r="AF1346" l="1"/>
  <c r="AI1346"/>
  <c r="W1346"/>
  <c r="AH1346" l="1"/>
  <c r="U1346"/>
  <c r="Y1346"/>
  <c r="Z1346" s="1"/>
  <c r="AF1544" l="1"/>
  <c r="W1544"/>
  <c r="AI1544"/>
  <c r="AH1544" l="1"/>
  <c r="U1544"/>
  <c r="Y1544"/>
  <c r="Z1544" s="1"/>
  <c r="AF1420"/>
  <c r="W1420"/>
  <c r="AI1420"/>
  <c r="U150" i="114" l="1"/>
  <c r="Y150"/>
  <c r="Z150" s="1"/>
  <c r="AH1420" i="57"/>
  <c r="U1420"/>
  <c r="Y1420"/>
  <c r="Z1420" s="1"/>
  <c r="AF330" l="1"/>
  <c r="W330"/>
  <c r="AI330"/>
  <c r="AH330" l="1"/>
  <c r="U330"/>
  <c r="Y330"/>
  <c r="Z330" s="1"/>
  <c r="AF338"/>
  <c r="W338"/>
  <c r="AI338"/>
  <c r="AH338" l="1"/>
  <c r="U338"/>
  <c r="Y338"/>
  <c r="Z338" s="1"/>
  <c r="AF1721"/>
  <c r="W1721"/>
  <c r="AI1721"/>
  <c r="AH1721" l="1"/>
  <c r="U1721"/>
  <c r="Y1721"/>
  <c r="Z1721" s="1"/>
  <c r="AF1241" l="1"/>
  <c r="W1241"/>
  <c r="AI1241"/>
  <c r="AH1241" l="1"/>
  <c r="U1241"/>
  <c r="Y1241"/>
  <c r="Z1241" s="1"/>
  <c r="AF856" l="1"/>
  <c r="AI856"/>
  <c r="W856"/>
  <c r="AH856" l="1"/>
  <c r="U856"/>
  <c r="Y856"/>
  <c r="Z856" s="1"/>
  <c r="AF516" l="1"/>
  <c r="AI516"/>
  <c r="W516"/>
  <c r="AH516" l="1"/>
  <c r="U516"/>
  <c r="Y516"/>
  <c r="Z516" s="1"/>
  <c r="AF128" i="74" l="1"/>
  <c r="U128" l="1"/>
  <c r="Y128"/>
  <c r="Z128" s="1"/>
  <c r="AF1818" i="57" l="1"/>
  <c r="W1818"/>
  <c r="AI1818"/>
  <c r="AH1818" l="1"/>
  <c r="U1818"/>
  <c r="Y1818"/>
  <c r="Z1818" s="1"/>
  <c r="AF87" i="28"/>
  <c r="AF86"/>
  <c r="Y87" l="1"/>
  <c r="Z87" s="1"/>
  <c r="Y86"/>
  <c r="Z86" s="1"/>
  <c r="AF843" i="57" l="1"/>
  <c r="W843"/>
  <c r="AI843"/>
  <c r="AH843" l="1"/>
  <c r="U843"/>
  <c r="Y843"/>
  <c r="Z843" s="1"/>
  <c r="AF1800" l="1"/>
  <c r="W1800"/>
  <c r="AI1800"/>
  <c r="AH1800" l="1"/>
  <c r="U1800"/>
  <c r="Y1800"/>
  <c r="Z1800" s="1"/>
  <c r="AF964" l="1"/>
  <c r="W964"/>
  <c r="AI964"/>
  <c r="AH964" l="1"/>
  <c r="U964"/>
  <c r="Y964"/>
  <c r="Z964" s="1"/>
  <c r="AI719"/>
  <c r="AI748"/>
  <c r="AI717"/>
  <c r="AI716"/>
  <c r="AI749"/>
  <c r="AI746"/>
  <c r="AI720"/>
  <c r="AI718"/>
  <c r="Y148" i="114" l="1"/>
  <c r="Z148" s="1"/>
  <c r="U148"/>
  <c r="AH720" i="57"/>
  <c r="AH746"/>
  <c r="AH719"/>
  <c r="AH717"/>
  <c r="AH716"/>
  <c r="AH749"/>
  <c r="AH748"/>
  <c r="AH718"/>
  <c r="AF882"/>
  <c r="AI882"/>
  <c r="W882"/>
  <c r="AH882" l="1"/>
  <c r="U882"/>
  <c r="Y882"/>
  <c r="Z882" s="1"/>
  <c r="AF996" l="1"/>
  <c r="AI996"/>
  <c r="W996"/>
  <c r="AH996" l="1"/>
  <c r="U996"/>
  <c r="Y996"/>
  <c r="Z996" s="1"/>
  <c r="AF1751"/>
  <c r="W1751"/>
  <c r="AI1751"/>
  <c r="AH1751" l="1"/>
  <c r="U1751"/>
  <c r="Y1751"/>
  <c r="Z1751" s="1"/>
  <c r="AF617" l="1"/>
  <c r="W617"/>
  <c r="AI617"/>
  <c r="AH617" l="1"/>
  <c r="U617"/>
  <c r="Y617"/>
  <c r="Z617" s="1"/>
  <c r="AF1001" l="1"/>
  <c r="AI1001"/>
  <c r="W1001"/>
  <c r="AH1001" l="1"/>
  <c r="U1001"/>
  <c r="Y1001"/>
  <c r="Z1001" s="1"/>
  <c r="O15" i="21" l="1"/>
  <c r="AF717" i="57" l="1"/>
  <c r="W717"/>
  <c r="U717" l="1"/>
  <c r="Y717"/>
  <c r="Z717" s="1"/>
  <c r="AF815" l="1"/>
  <c r="W815"/>
  <c r="AI815"/>
  <c r="AH815" l="1"/>
  <c r="U815"/>
  <c r="Y815"/>
  <c r="Z815" s="1"/>
  <c r="AF846"/>
  <c r="W846"/>
  <c r="AI846"/>
  <c r="AH846" l="1"/>
  <c r="U846"/>
  <c r="Y846"/>
  <c r="Z846" s="1"/>
  <c r="AF630" l="1"/>
  <c r="AI630"/>
  <c r="W630"/>
  <c r="AH630" l="1"/>
  <c r="U630"/>
  <c r="Y630"/>
  <c r="Z630" s="1"/>
  <c r="AF1578" l="1"/>
  <c r="AI1578"/>
  <c r="W1578"/>
  <c r="AH1578" l="1"/>
  <c r="U1578"/>
  <c r="Y1578"/>
  <c r="Z1578" s="1"/>
  <c r="AF468"/>
  <c r="AI468"/>
  <c r="W468"/>
  <c r="AH468" l="1"/>
  <c r="U468"/>
  <c r="Y468"/>
  <c r="Z468" s="1"/>
  <c r="AF675"/>
  <c r="AI675"/>
  <c r="W675"/>
  <c r="AH675" l="1"/>
  <c r="U675"/>
  <c r="Y675"/>
  <c r="Z675" s="1"/>
  <c r="AF90" i="28"/>
  <c r="Y90" l="1"/>
  <c r="Z90" s="1"/>
  <c r="AF88"/>
  <c r="Y88" l="1"/>
  <c r="Z88" s="1"/>
  <c r="AF89"/>
  <c r="Y89" l="1"/>
  <c r="Z89" s="1"/>
  <c r="AF720" i="57" l="1"/>
  <c r="W720"/>
  <c r="U720" l="1"/>
  <c r="Y720"/>
  <c r="Z720" s="1"/>
  <c r="AF202"/>
  <c r="W202"/>
  <c r="AI202"/>
  <c r="AH202" l="1"/>
  <c r="U202"/>
  <c r="Y202"/>
  <c r="Z202" s="1"/>
  <c r="AF1709" l="1"/>
  <c r="AI1709"/>
  <c r="W1709"/>
  <c r="AH1709" l="1"/>
  <c r="U1709"/>
  <c r="Y1709"/>
  <c r="Z1709" s="1"/>
  <c r="AF586"/>
  <c r="W586"/>
  <c r="AI586"/>
  <c r="AH586" l="1"/>
  <c r="U586"/>
  <c r="Y586"/>
  <c r="Z586" s="1"/>
  <c r="AF1630"/>
  <c r="AI1630"/>
  <c r="W1630"/>
  <c r="AH1630" l="1"/>
  <c r="U1630"/>
  <c r="Y1630"/>
  <c r="Z1630" s="1"/>
  <c r="AF1224" l="1"/>
  <c r="W1224"/>
  <c r="AI1224"/>
  <c r="AH1224" l="1"/>
  <c r="U1224"/>
  <c r="Y1224"/>
  <c r="Z1224" s="1"/>
  <c r="AF925" l="1"/>
  <c r="W925"/>
  <c r="AI925"/>
  <c r="AH925" l="1"/>
  <c r="U925"/>
  <c r="Y925"/>
  <c r="Z925" s="1"/>
  <c r="AF670"/>
  <c r="AI670"/>
  <c r="W670"/>
  <c r="AH670" l="1"/>
  <c r="U670"/>
  <c r="Y670"/>
  <c r="Z670" s="1"/>
  <c r="AF1636"/>
  <c r="AI1636"/>
  <c r="W1636"/>
  <c r="AH1636" l="1"/>
  <c r="U1636"/>
  <c r="Y1636"/>
  <c r="Z1636" s="1"/>
  <c r="AF1755" l="1"/>
  <c r="AI1755"/>
  <c r="W1755"/>
  <c r="AH1755" l="1"/>
  <c r="U1755"/>
  <c r="Y1755"/>
  <c r="Z1755" s="1"/>
  <c r="AF1196"/>
  <c r="W1196"/>
  <c r="AI1196"/>
  <c r="AH1196" l="1"/>
  <c r="U1196"/>
  <c r="Y1196"/>
  <c r="Z1196" s="1"/>
  <c r="AF592"/>
  <c r="W592"/>
  <c r="AI592"/>
  <c r="AH592" l="1"/>
  <c r="U592"/>
  <c r="Y592"/>
  <c r="Z592" s="1"/>
  <c r="AF858"/>
  <c r="W858"/>
  <c r="AI858"/>
  <c r="AH858" l="1"/>
  <c r="U858"/>
  <c r="Y858"/>
  <c r="Z858" s="1"/>
  <c r="AF941" l="1"/>
  <c r="AI941"/>
  <c r="W941"/>
  <c r="AH941" l="1"/>
  <c r="U941"/>
  <c r="Y941"/>
  <c r="Z941" s="1"/>
  <c r="AF1782" l="1"/>
  <c r="W1782"/>
  <c r="AI1782"/>
  <c r="AH1782" l="1"/>
  <c r="U1782"/>
  <c r="Y1782"/>
  <c r="Z1782" s="1"/>
  <c r="AF1725" l="1"/>
  <c r="W1725"/>
  <c r="AI1725"/>
  <c r="AH1725" l="1"/>
  <c r="U1725"/>
  <c r="Y1725"/>
  <c r="Z1725" s="1"/>
  <c r="AF247"/>
  <c r="AI247"/>
  <c r="W247"/>
  <c r="AH247" l="1"/>
  <c r="U247"/>
  <c r="Y247"/>
  <c r="Z247" s="1"/>
  <c r="AF535"/>
  <c r="W535"/>
  <c r="AI535"/>
  <c r="AH535" l="1"/>
  <c r="U535"/>
  <c r="Y535"/>
  <c r="Z535" s="1"/>
  <c r="AF1031" l="1"/>
  <c r="AI1031"/>
  <c r="W1031"/>
  <c r="AH1031" l="1"/>
  <c r="U1031"/>
  <c r="Y1031"/>
  <c r="Z1031" s="1"/>
  <c r="AF539"/>
  <c r="AI539"/>
  <c r="W539"/>
  <c r="AH539" l="1"/>
  <c r="U539"/>
  <c r="Y539"/>
  <c r="Z539" s="1"/>
  <c r="AF1795" l="1"/>
  <c r="AI1795"/>
  <c r="W1795"/>
  <c r="AH1795" l="1"/>
  <c r="U1795"/>
  <c r="Y1795"/>
  <c r="Z1795" s="1"/>
  <c r="AF1200" l="1"/>
  <c r="AI1200"/>
  <c r="W1200"/>
  <c r="AH1200" l="1"/>
  <c r="U1200"/>
  <c r="Y1200"/>
  <c r="Z1200" s="1"/>
  <c r="AF302"/>
  <c r="W302"/>
  <c r="AI302"/>
  <c r="AH302" l="1"/>
  <c r="U302"/>
  <c r="Y302"/>
  <c r="Z302" s="1"/>
  <c r="AF1731" l="1"/>
  <c r="AI1731"/>
  <c r="W1731"/>
  <c r="AH1731" l="1"/>
  <c r="U1731"/>
  <c r="Y1731"/>
  <c r="Z1731" s="1"/>
  <c r="AF1699" l="1"/>
  <c r="W1699"/>
  <c r="AI1699"/>
  <c r="AH1699" l="1"/>
  <c r="U1699"/>
  <c r="Y1699"/>
  <c r="Z1699" s="1"/>
  <c r="AF1162"/>
  <c r="W1162"/>
  <c r="AI1162"/>
  <c r="AH1162" l="1"/>
  <c r="U1162"/>
  <c r="Y1162"/>
  <c r="Z1162" s="1"/>
  <c r="AI1754"/>
  <c r="AI1743"/>
  <c r="AI1739"/>
  <c r="AI1746"/>
  <c r="AI1748"/>
  <c r="AI1742"/>
  <c r="AI1745"/>
  <c r="AI1734"/>
  <c r="AI1744"/>
  <c r="AI1741"/>
  <c r="AI1702"/>
  <c r="AI1750"/>
  <c r="AI1747"/>
  <c r="AI1735"/>
  <c r="AI1701"/>
  <c r="AI1737"/>
  <c r="AI1753"/>
  <c r="AI1752"/>
  <c r="AI1698"/>
  <c r="AI1740"/>
  <c r="AI1733"/>
  <c r="AH1746" l="1"/>
  <c r="AH1745"/>
  <c r="AH1747"/>
  <c r="AH1701"/>
  <c r="AH1754"/>
  <c r="AH1748"/>
  <c r="AH1750"/>
  <c r="AH1752"/>
  <c r="AH1753"/>
  <c r="AH1734"/>
  <c r="AH1737"/>
  <c r="AH1740"/>
  <c r="AH1743"/>
  <c r="AH1698"/>
  <c r="AH1702"/>
  <c r="AH1733"/>
  <c r="AH1735"/>
  <c r="AH1739"/>
  <c r="AH1741"/>
  <c r="AH1742"/>
  <c r="AH1744"/>
  <c r="AF1825"/>
  <c r="W1825"/>
  <c r="AI1825"/>
  <c r="AH1825" l="1"/>
  <c r="U1825"/>
  <c r="Y1825"/>
  <c r="Z1825" s="1"/>
  <c r="AF1824"/>
  <c r="AI1824"/>
  <c r="W1824"/>
  <c r="AH1824" l="1"/>
  <c r="U1824"/>
  <c r="Y1824"/>
  <c r="Z1824" s="1"/>
  <c r="AF1819" l="1"/>
  <c r="W1819"/>
  <c r="AI1819"/>
  <c r="AH1819" l="1"/>
  <c r="U1819"/>
  <c r="Y1819"/>
  <c r="Z1819" s="1"/>
  <c r="AF1815" l="1"/>
  <c r="AI1815"/>
  <c r="W1815"/>
  <c r="AH1815" l="1"/>
  <c r="U1815"/>
  <c r="Y1815"/>
  <c r="Z1815" s="1"/>
  <c r="AF1814"/>
  <c r="W1814"/>
  <c r="AI1814"/>
  <c r="AH1814" l="1"/>
  <c r="U1814"/>
  <c r="Y1814"/>
  <c r="Z1814" s="1"/>
  <c r="AF1813"/>
  <c r="AI1813"/>
  <c r="W1813"/>
  <c r="AH1813" l="1"/>
  <c r="U1813"/>
  <c r="Y1813"/>
  <c r="Z1813" s="1"/>
  <c r="AF1811"/>
  <c r="W1811"/>
  <c r="AI1811"/>
  <c r="AH1811" l="1"/>
  <c r="U1811"/>
  <c r="Y1811"/>
  <c r="Z1811" s="1"/>
  <c r="AF1810"/>
  <c r="AI1810"/>
  <c r="W1810"/>
  <c r="AH1810" l="1"/>
  <c r="U1810"/>
  <c r="Y1810"/>
  <c r="Z1810" s="1"/>
  <c r="AF1809"/>
  <c r="AI1809"/>
  <c r="W1809"/>
  <c r="AH1809" l="1"/>
  <c r="U1809"/>
  <c r="Y1809"/>
  <c r="Z1809" s="1"/>
  <c r="AF1808"/>
  <c r="W1808"/>
  <c r="AI1808"/>
  <c r="AH1808" l="1"/>
  <c r="U1808"/>
  <c r="Y1808"/>
  <c r="Z1808" s="1"/>
  <c r="AF1807"/>
  <c r="AI1807"/>
  <c r="W1807"/>
  <c r="AH1807" l="1"/>
  <c r="U1807"/>
  <c r="Y1807"/>
  <c r="Z1807" s="1"/>
  <c r="AF1804"/>
  <c r="W1804"/>
  <c r="AI1804"/>
  <c r="AH1804" l="1"/>
  <c r="U1804"/>
  <c r="Y1804"/>
  <c r="Z1804" s="1"/>
  <c r="AF1803"/>
  <c r="W1803"/>
  <c r="AI1803"/>
  <c r="AH1803" l="1"/>
  <c r="U1803"/>
  <c r="Y1803"/>
  <c r="Z1803" s="1"/>
  <c r="AF1802"/>
  <c r="W1802"/>
  <c r="AI1802"/>
  <c r="AH1802" l="1"/>
  <c r="U1802"/>
  <c r="Y1802"/>
  <c r="Z1802" s="1"/>
  <c r="AF1801"/>
  <c r="W1801"/>
  <c r="AI1801"/>
  <c r="AH1801" l="1"/>
  <c r="U1801"/>
  <c r="Y1801"/>
  <c r="Z1801" s="1"/>
  <c r="AF1799" l="1"/>
  <c r="AI1799"/>
  <c r="W1799"/>
  <c r="AH1799" l="1"/>
  <c r="U1799"/>
  <c r="Y1799"/>
  <c r="Z1799" s="1"/>
  <c r="AF1798"/>
  <c r="W1798"/>
  <c r="AI1798"/>
  <c r="AH1798" l="1"/>
  <c r="U1798"/>
  <c r="Y1798"/>
  <c r="Z1798" s="1"/>
  <c r="AF1797"/>
  <c r="W1797"/>
  <c r="AI1797"/>
  <c r="AH1797" l="1"/>
  <c r="U1797"/>
  <c r="Y1797"/>
  <c r="Z1797" s="1"/>
  <c r="AF1796"/>
  <c r="W1796"/>
  <c r="AI1796"/>
  <c r="AH1796" l="1"/>
  <c r="U1796"/>
  <c r="Y1796"/>
  <c r="Z1796" s="1"/>
  <c r="AF1794"/>
  <c r="AI1794"/>
  <c r="W1794"/>
  <c r="AH1794" l="1"/>
  <c r="U1794"/>
  <c r="Y1794"/>
  <c r="Z1794" s="1"/>
  <c r="AF1793"/>
  <c r="AI1793"/>
  <c r="W1793"/>
  <c r="AH1793" l="1"/>
  <c r="U1793"/>
  <c r="Y1793"/>
  <c r="Z1793" s="1"/>
  <c r="AF1792"/>
  <c r="W1792"/>
  <c r="AI1792"/>
  <c r="AH1792" l="1"/>
  <c r="U1792"/>
  <c r="Y1792"/>
  <c r="Z1792" s="1"/>
  <c r="AF1791"/>
  <c r="W1791"/>
  <c r="AI1791"/>
  <c r="AH1791" l="1"/>
  <c r="U1791"/>
  <c r="Y1791"/>
  <c r="Z1791" s="1"/>
  <c r="AF1789" l="1"/>
  <c r="W1789"/>
  <c r="AI1789"/>
  <c r="AH1789" l="1"/>
  <c r="U1789"/>
  <c r="Y1789"/>
  <c r="Z1789" s="1"/>
  <c r="AF1788"/>
  <c r="W1788"/>
  <c r="AI1788"/>
  <c r="AH1788" l="1"/>
  <c r="U1788"/>
  <c r="Y1788"/>
  <c r="Z1788" s="1"/>
  <c r="AF1787"/>
  <c r="W1787"/>
  <c r="AI1787"/>
  <c r="AH1787" l="1"/>
  <c r="U1787"/>
  <c r="Y1787"/>
  <c r="Z1787" s="1"/>
  <c r="AF1786" l="1"/>
  <c r="W1786"/>
  <c r="AI1786"/>
  <c r="AH1786" l="1"/>
  <c r="U1786"/>
  <c r="Y1786"/>
  <c r="Z1786" s="1"/>
  <c r="AF1784" l="1"/>
  <c r="W1784"/>
  <c r="AI1784"/>
  <c r="AH1784" l="1"/>
  <c r="U1784"/>
  <c r="Y1784"/>
  <c r="Z1784" s="1"/>
  <c r="AF1781" l="1"/>
  <c r="AI1781"/>
  <c r="W1781"/>
  <c r="AH1781" l="1"/>
  <c r="U1781"/>
  <c r="Y1781"/>
  <c r="Z1781" s="1"/>
  <c r="AF1780"/>
  <c r="W1780"/>
  <c r="AI1780"/>
  <c r="AH1780" l="1"/>
  <c r="U1780"/>
  <c r="Y1780"/>
  <c r="Z1780" s="1"/>
  <c r="AF1777"/>
  <c r="W1777"/>
  <c r="AI1777"/>
  <c r="AH1777" l="1"/>
  <c r="U1777"/>
  <c r="Y1777"/>
  <c r="Z1777" s="1"/>
  <c r="AF1775" l="1"/>
  <c r="W1775"/>
  <c r="AI1775"/>
  <c r="AH1775" l="1"/>
  <c r="U1775"/>
  <c r="Y1775"/>
  <c r="Z1775" s="1"/>
  <c r="AF1774"/>
  <c r="W1774"/>
  <c r="AI1774"/>
  <c r="AH1774" l="1"/>
  <c r="U1774"/>
  <c r="Y1774"/>
  <c r="Z1774" s="1"/>
  <c r="AF1772" l="1"/>
  <c r="W1772"/>
  <c r="AI1772"/>
  <c r="AH1772" l="1"/>
  <c r="U1772"/>
  <c r="Y1772"/>
  <c r="Z1772" s="1"/>
  <c r="AF1771"/>
  <c r="AI1771"/>
  <c r="W1771"/>
  <c r="AH1771" l="1"/>
  <c r="U1771"/>
  <c r="Y1771"/>
  <c r="Z1771" s="1"/>
  <c r="AF1770"/>
  <c r="AI1770"/>
  <c r="W1770"/>
  <c r="AH1770" l="1"/>
  <c r="U1770"/>
  <c r="Y1770"/>
  <c r="Z1770" s="1"/>
  <c r="AF1769"/>
  <c r="W1769"/>
  <c r="AI1769"/>
  <c r="AH1769" l="1"/>
  <c r="U1769"/>
  <c r="Y1769"/>
  <c r="Z1769" s="1"/>
  <c r="AF1767"/>
  <c r="W1767"/>
  <c r="AI1767"/>
  <c r="AH1767" l="1"/>
  <c r="U1767"/>
  <c r="Y1767"/>
  <c r="Z1767" s="1"/>
  <c r="AF1765"/>
  <c r="W1765"/>
  <c r="AI1765"/>
  <c r="AH1765" l="1"/>
  <c r="U1765"/>
  <c r="Y1765"/>
  <c r="Z1765" s="1"/>
  <c r="AF1764"/>
  <c r="AI1764"/>
  <c r="W1764"/>
  <c r="AH1764" l="1"/>
  <c r="U1764"/>
  <c r="Y1764"/>
  <c r="Z1764" s="1"/>
  <c r="AF1762" l="1"/>
  <c r="AI1762"/>
  <c r="W1762"/>
  <c r="AH1762" l="1"/>
  <c r="U1762"/>
  <c r="Y1762"/>
  <c r="Z1762" s="1"/>
  <c r="AF1761"/>
  <c r="W1761"/>
  <c r="AI1761"/>
  <c r="AH1761" l="1"/>
  <c r="U1761"/>
  <c r="Y1761"/>
  <c r="Z1761" s="1"/>
  <c r="AF1760"/>
  <c r="AI1760"/>
  <c r="W1760"/>
  <c r="AH1760" l="1"/>
  <c r="U1760"/>
  <c r="Y1760"/>
  <c r="Z1760" s="1"/>
  <c r="AF1759"/>
  <c r="AI1759"/>
  <c r="W1759"/>
  <c r="AH1759" l="1"/>
  <c r="U1759"/>
  <c r="Y1759"/>
  <c r="Z1759" s="1"/>
  <c r="AF1756" l="1"/>
  <c r="W1756"/>
  <c r="AI1756"/>
  <c r="AH1756" l="1"/>
  <c r="U1756"/>
  <c r="Y1756"/>
  <c r="Z1756" s="1"/>
  <c r="AF1754" l="1"/>
  <c r="W1754"/>
  <c r="U1754" l="1"/>
  <c r="Y1754"/>
  <c r="Z1754" s="1"/>
  <c r="AF1753"/>
  <c r="W1753"/>
  <c r="U1753" l="1"/>
  <c r="Y1753"/>
  <c r="Z1753" s="1"/>
  <c r="AF1752"/>
  <c r="W1752"/>
  <c r="U1752" l="1"/>
  <c r="Y1752"/>
  <c r="Z1752" s="1"/>
  <c r="AF1750" l="1"/>
  <c r="W1750"/>
  <c r="U1750" l="1"/>
  <c r="Y1750"/>
  <c r="Z1750" s="1"/>
  <c r="AF1748" l="1"/>
  <c r="W1748"/>
  <c r="U1748" l="1"/>
  <c r="Y1748"/>
  <c r="Z1748" s="1"/>
  <c r="AF1747"/>
  <c r="W1747"/>
  <c r="U1747" l="1"/>
  <c r="Y1747"/>
  <c r="Z1747" s="1"/>
  <c r="AF1746"/>
  <c r="W1746"/>
  <c r="U1746" l="1"/>
  <c r="Y1746"/>
  <c r="Z1746" s="1"/>
  <c r="AF1745"/>
  <c r="W1745"/>
  <c r="U1745" l="1"/>
  <c r="Y1745"/>
  <c r="Z1745" s="1"/>
  <c r="AF1744"/>
  <c r="W1744"/>
  <c r="U1744" l="1"/>
  <c r="Y1744"/>
  <c r="Z1744" s="1"/>
  <c r="AF1743"/>
  <c r="W1743"/>
  <c r="U1743" l="1"/>
  <c r="Y1743"/>
  <c r="Z1743" s="1"/>
  <c r="AF1742"/>
  <c r="W1742"/>
  <c r="U1742" l="1"/>
  <c r="Y1742"/>
  <c r="Z1742" s="1"/>
  <c r="AF1741"/>
  <c r="W1741"/>
  <c r="U1741" l="1"/>
  <c r="Y1741"/>
  <c r="Z1741" s="1"/>
  <c r="AF1740"/>
  <c r="W1740"/>
  <c r="U1740" l="1"/>
  <c r="Y1740"/>
  <c r="Z1740" s="1"/>
  <c r="AF1739"/>
  <c r="W1739"/>
  <c r="U1739" l="1"/>
  <c r="Y1739"/>
  <c r="Z1739" s="1"/>
  <c r="AF1737" l="1"/>
  <c r="W1737"/>
  <c r="U1737" l="1"/>
  <c r="Y1737"/>
  <c r="Z1737" s="1"/>
  <c r="AF1735" l="1"/>
  <c r="W1735"/>
  <c r="U1735" l="1"/>
  <c r="Y1735"/>
  <c r="Z1735" s="1"/>
  <c r="AF1734"/>
  <c r="W1734"/>
  <c r="U1734" l="1"/>
  <c r="Y1734"/>
  <c r="Z1734" s="1"/>
  <c r="AF1733"/>
  <c r="W1733"/>
  <c r="U1733" l="1"/>
  <c r="Y1733"/>
  <c r="Z1733" s="1"/>
  <c r="AF1732"/>
  <c r="AI1732"/>
  <c r="W1732"/>
  <c r="AH1732" l="1"/>
  <c r="U1732"/>
  <c r="Y1732"/>
  <c r="Z1732" s="1"/>
  <c r="AF1729" l="1"/>
  <c r="AI1729"/>
  <c r="W1729"/>
  <c r="AH1729" l="1"/>
  <c r="U1729"/>
  <c r="Y1729"/>
  <c r="Z1729" s="1"/>
  <c r="AF1728"/>
  <c r="AI1728"/>
  <c r="W1728"/>
  <c r="AH1728" l="1"/>
  <c r="U1728"/>
  <c r="Y1728"/>
  <c r="Z1728" s="1"/>
  <c r="AF1727"/>
  <c r="AI1727"/>
  <c r="W1727"/>
  <c r="AH1727" l="1"/>
  <c r="U1727"/>
  <c r="Y1727"/>
  <c r="Z1727" s="1"/>
  <c r="AF1726"/>
  <c r="AI1726"/>
  <c r="W1726"/>
  <c r="AH1726" l="1"/>
  <c r="U1726"/>
  <c r="Y1726"/>
  <c r="Z1726" s="1"/>
  <c r="AF1724" l="1"/>
  <c r="W1724"/>
  <c r="AI1724"/>
  <c r="AH1724" l="1"/>
  <c r="U1724"/>
  <c r="Y1724"/>
  <c r="Z1724" s="1"/>
  <c r="AF1723"/>
  <c r="W1723"/>
  <c r="AI1723"/>
  <c r="AH1723" l="1"/>
  <c r="U1723"/>
  <c r="Y1723"/>
  <c r="Z1723" s="1"/>
  <c r="AF1722"/>
  <c r="W1722"/>
  <c r="AI1722"/>
  <c r="AH1722" l="1"/>
  <c r="U1722"/>
  <c r="Y1722"/>
  <c r="Z1722" s="1"/>
  <c r="AF1718" l="1"/>
  <c r="W1718"/>
  <c r="AI1718"/>
  <c r="AH1718" l="1"/>
  <c r="U1718"/>
  <c r="Y1718"/>
  <c r="Z1718" s="1"/>
  <c r="AF1717"/>
  <c r="W1717"/>
  <c r="AI1717"/>
  <c r="AH1717" l="1"/>
  <c r="U1717"/>
  <c r="Y1717"/>
  <c r="Z1717" s="1"/>
  <c r="AF1716"/>
  <c r="W1716"/>
  <c r="AI1716"/>
  <c r="AH1716" l="1"/>
  <c r="U1716"/>
  <c r="Y1716"/>
  <c r="Z1716" s="1"/>
  <c r="AF1715"/>
  <c r="AI1715"/>
  <c r="W1715"/>
  <c r="AH1715" l="1"/>
  <c r="U1715"/>
  <c r="Y1715"/>
  <c r="Z1715" s="1"/>
  <c r="AF1714"/>
  <c r="W1714"/>
  <c r="AI1714"/>
  <c r="AH1714" l="1"/>
  <c r="U1714"/>
  <c r="Y1714"/>
  <c r="Z1714" s="1"/>
  <c r="AF1713"/>
  <c r="W1713"/>
  <c r="AI1713"/>
  <c r="AH1713" l="1"/>
  <c r="U1713"/>
  <c r="Y1713"/>
  <c r="Z1713" s="1"/>
  <c r="AF1712"/>
  <c r="W1712"/>
  <c r="AI1712"/>
  <c r="AH1712" l="1"/>
  <c r="U1712"/>
  <c r="Y1712"/>
  <c r="Z1712" s="1"/>
  <c r="AF1711"/>
  <c r="AI1711"/>
  <c r="W1711"/>
  <c r="AH1711" l="1"/>
  <c r="U1711"/>
  <c r="Y1711"/>
  <c r="Z1711" s="1"/>
  <c r="AF1710"/>
  <c r="AI1710"/>
  <c r="W1710"/>
  <c r="AH1710" l="1"/>
  <c r="U1710"/>
  <c r="Y1710"/>
  <c r="Z1710" s="1"/>
  <c r="AF1708" l="1"/>
  <c r="AI1708"/>
  <c r="W1708"/>
  <c r="AH1708" l="1"/>
  <c r="U1708"/>
  <c r="Y1708"/>
  <c r="Z1708" s="1"/>
  <c r="AF1707"/>
  <c r="W1707"/>
  <c r="AI1707"/>
  <c r="AH1707" l="1"/>
  <c r="U1707"/>
  <c r="Y1707"/>
  <c r="Z1707" s="1"/>
  <c r="AF1706"/>
  <c r="W1706"/>
  <c r="AI1706"/>
  <c r="AH1706" l="1"/>
  <c r="U1706"/>
  <c r="Y1706"/>
  <c r="Z1706" s="1"/>
  <c r="AF1705"/>
  <c r="AI1705"/>
  <c r="W1705"/>
  <c r="AH1705" l="1"/>
  <c r="U1705"/>
  <c r="Y1705"/>
  <c r="Z1705" s="1"/>
  <c r="AF1704"/>
  <c r="W1704"/>
  <c r="AI1704"/>
  <c r="AH1704" l="1"/>
  <c r="U1704"/>
  <c r="Y1704"/>
  <c r="Z1704" s="1"/>
  <c r="AF1703"/>
  <c r="W1703"/>
  <c r="AI1703"/>
  <c r="AH1703" l="1"/>
  <c r="U1703"/>
  <c r="Y1703"/>
  <c r="Z1703" s="1"/>
  <c r="AF1702"/>
  <c r="W1702"/>
  <c r="U1702" l="1"/>
  <c r="Y1702"/>
  <c r="Z1702" s="1"/>
  <c r="AF1701"/>
  <c r="W1701"/>
  <c r="U1701" l="1"/>
  <c r="Y1701"/>
  <c r="Z1701" s="1"/>
  <c r="AF1698" l="1"/>
  <c r="W1698"/>
  <c r="U1698" l="1"/>
  <c r="Y1698"/>
  <c r="Z1698" s="1"/>
  <c r="AF1696" l="1"/>
  <c r="AI1696"/>
  <c r="W1696"/>
  <c r="AH1696" l="1"/>
  <c r="U1696"/>
  <c r="Y1696"/>
  <c r="Z1696" s="1"/>
  <c r="AF1695"/>
  <c r="W1695"/>
  <c r="AI1695"/>
  <c r="AH1695" l="1"/>
  <c r="U1695"/>
  <c r="Y1695"/>
  <c r="Z1695" s="1"/>
  <c r="AF1693" l="1"/>
  <c r="W1693"/>
  <c r="AI1693"/>
  <c r="AH1693" l="1"/>
  <c r="U1693"/>
  <c r="Y1693"/>
  <c r="Z1693" s="1"/>
  <c r="AF1692"/>
  <c r="AI1692"/>
  <c r="W1692"/>
  <c r="AH1692" l="1"/>
  <c r="U1692"/>
  <c r="Y1692"/>
  <c r="Z1692" s="1"/>
  <c r="AF1689"/>
  <c r="W1689"/>
  <c r="AI1689"/>
  <c r="AH1689" l="1"/>
  <c r="U1689"/>
  <c r="Y1689"/>
  <c r="Z1689" s="1"/>
  <c r="AF1687" l="1"/>
  <c r="W1687"/>
  <c r="AI1687"/>
  <c r="AH1687" l="1"/>
  <c r="U1687"/>
  <c r="Y1687"/>
  <c r="Z1687" s="1"/>
  <c r="AF1686"/>
  <c r="W1686"/>
  <c r="AI1686"/>
  <c r="AH1686" l="1"/>
  <c r="U1686"/>
  <c r="Y1686"/>
  <c r="Z1686" s="1"/>
  <c r="AF1685"/>
  <c r="W1685"/>
  <c r="AI1685"/>
  <c r="AH1685" l="1"/>
  <c r="U1685"/>
  <c r="Y1685"/>
  <c r="Z1685" s="1"/>
  <c r="AF1684"/>
  <c r="AI1684"/>
  <c r="W1684"/>
  <c r="AH1684" l="1"/>
  <c r="U1684"/>
  <c r="Y1684"/>
  <c r="Z1684" s="1"/>
  <c r="AF1683"/>
  <c r="AI1683"/>
  <c r="W1683"/>
  <c r="AH1683" l="1"/>
  <c r="U1683"/>
  <c r="Y1683"/>
  <c r="Z1683" s="1"/>
  <c r="AF1682"/>
  <c r="W1682"/>
  <c r="AI1682"/>
  <c r="AH1682" l="1"/>
  <c r="U1682"/>
  <c r="Y1682"/>
  <c r="Z1682" s="1"/>
  <c r="AF1681"/>
  <c r="W1681"/>
  <c r="AI1681"/>
  <c r="AH1681" l="1"/>
  <c r="U1681"/>
  <c r="Y1681"/>
  <c r="Z1681" s="1"/>
  <c r="AF1680"/>
  <c r="AI1680"/>
  <c r="W1680"/>
  <c r="AH1680" l="1"/>
  <c r="U1680"/>
  <c r="Y1680"/>
  <c r="Z1680" s="1"/>
  <c r="AF1679"/>
  <c r="W1679"/>
  <c r="AI1679"/>
  <c r="AH1679" l="1"/>
  <c r="U1679"/>
  <c r="Y1679"/>
  <c r="Z1679" s="1"/>
  <c r="AF1678"/>
  <c r="W1678"/>
  <c r="AI1678"/>
  <c r="AH1678" l="1"/>
  <c r="U1678"/>
  <c r="Y1678"/>
  <c r="Z1678" s="1"/>
  <c r="AF1675"/>
  <c r="W1675"/>
  <c r="AI1675"/>
  <c r="AH1675" l="1"/>
  <c r="U1675"/>
  <c r="Y1675"/>
  <c r="Z1675" s="1"/>
  <c r="AF1674"/>
  <c r="AI1674"/>
  <c r="W1674"/>
  <c r="AH1674" l="1"/>
  <c r="U1674"/>
  <c r="Y1674"/>
  <c r="Z1674" s="1"/>
  <c r="AF1672" l="1"/>
  <c r="W1672"/>
  <c r="AI1672"/>
  <c r="AH1672" l="1"/>
  <c r="U1672"/>
  <c r="Y1672"/>
  <c r="Z1672" s="1"/>
  <c r="AF1671"/>
  <c r="W1671"/>
  <c r="AI1671"/>
  <c r="AH1671" l="1"/>
  <c r="U1671"/>
  <c r="Y1671"/>
  <c r="Z1671" s="1"/>
  <c r="AF1670"/>
  <c r="W1670"/>
  <c r="AI1670"/>
  <c r="AH1670" l="1"/>
  <c r="U1670"/>
  <c r="Y1670"/>
  <c r="Z1670" s="1"/>
  <c r="AF1669"/>
  <c r="W1669"/>
  <c r="AI1669"/>
  <c r="AH1669" l="1"/>
  <c r="U1669"/>
  <c r="Y1669"/>
  <c r="Z1669" s="1"/>
  <c r="AF1668"/>
  <c r="AI1668"/>
  <c r="W1668"/>
  <c r="AH1668" l="1"/>
  <c r="U1668"/>
  <c r="Y1668"/>
  <c r="Z1668" s="1"/>
  <c r="AF1667"/>
  <c r="AI1667"/>
  <c r="W1667"/>
  <c r="AH1667" l="1"/>
  <c r="U1667"/>
  <c r="Y1667"/>
  <c r="Z1667" s="1"/>
  <c r="AF1666"/>
  <c r="AI1666"/>
  <c r="W1666"/>
  <c r="AH1666" l="1"/>
  <c r="U1666"/>
  <c r="Y1666"/>
  <c r="Z1666" s="1"/>
  <c r="AF1665"/>
  <c r="AI1665"/>
  <c r="W1665"/>
  <c r="AH1665" l="1"/>
  <c r="U1665"/>
  <c r="Y1665"/>
  <c r="Z1665" s="1"/>
  <c r="AF1664"/>
  <c r="W1664"/>
  <c r="AI1664"/>
  <c r="AH1664" l="1"/>
  <c r="U1664"/>
  <c r="Y1664"/>
  <c r="Z1664" s="1"/>
  <c r="AF1662" l="1"/>
  <c r="W1662"/>
  <c r="AI1662"/>
  <c r="AH1662" l="1"/>
  <c r="U1662"/>
  <c r="Y1662"/>
  <c r="Z1662" s="1"/>
  <c r="AF1661"/>
  <c r="W1661"/>
  <c r="AI1661"/>
  <c r="AH1661" l="1"/>
  <c r="U1661"/>
  <c r="Y1661"/>
  <c r="Z1661" s="1"/>
  <c r="AF1660"/>
  <c r="W1660"/>
  <c r="AI1660"/>
  <c r="AH1660" l="1"/>
  <c r="U1660"/>
  <c r="Y1660"/>
  <c r="Z1660" s="1"/>
  <c r="AF1659"/>
  <c r="W1659"/>
  <c r="AI1659"/>
  <c r="AH1659" l="1"/>
  <c r="U1659"/>
  <c r="Y1659"/>
  <c r="Z1659" s="1"/>
  <c r="AF1658"/>
  <c r="AI1658"/>
  <c r="W1658"/>
  <c r="AH1658" l="1"/>
  <c r="U1658"/>
  <c r="Y1658"/>
  <c r="Z1658" s="1"/>
  <c r="AF1657"/>
  <c r="W1657"/>
  <c r="AI1657"/>
  <c r="AH1657" l="1"/>
  <c r="U1657"/>
  <c r="Y1657"/>
  <c r="Z1657" s="1"/>
  <c r="AF1656"/>
  <c r="W1656"/>
  <c r="AI1656"/>
  <c r="AH1656" l="1"/>
  <c r="U1656"/>
  <c r="Y1656"/>
  <c r="Z1656" s="1"/>
  <c r="AF1655"/>
  <c r="W1655"/>
  <c r="AI1655"/>
  <c r="AH1655" l="1"/>
  <c r="U1655"/>
  <c r="Y1655"/>
  <c r="Z1655" s="1"/>
  <c r="AF1654"/>
  <c r="W1654"/>
  <c r="AI1654"/>
  <c r="AH1654" l="1"/>
  <c r="U1654"/>
  <c r="Y1654"/>
  <c r="Z1654" s="1"/>
  <c r="AF1653"/>
  <c r="AI1653"/>
  <c r="W1653"/>
  <c r="AH1653" l="1"/>
  <c r="U1653"/>
  <c r="Y1653"/>
  <c r="Z1653" s="1"/>
  <c r="AF1652"/>
  <c r="AI1652"/>
  <c r="W1652"/>
  <c r="AH1652" l="1"/>
  <c r="U1652"/>
  <c r="Y1652"/>
  <c r="Z1652" s="1"/>
  <c r="AF1650" l="1"/>
  <c r="W1650"/>
  <c r="AI1650"/>
  <c r="AH1650" l="1"/>
  <c r="U1650"/>
  <c r="Y1650"/>
  <c r="Z1650" s="1"/>
  <c r="AF1649"/>
  <c r="W1649"/>
  <c r="AI1649"/>
  <c r="AH1649" l="1"/>
  <c r="U1649"/>
  <c r="Y1649"/>
  <c r="Z1649" s="1"/>
  <c r="AF1648"/>
  <c r="W1648"/>
  <c r="AI1648"/>
  <c r="AH1648" l="1"/>
  <c r="U1648"/>
  <c r="Y1648"/>
  <c r="Z1648" s="1"/>
  <c r="AF1647"/>
  <c r="AI1647"/>
  <c r="W1647"/>
  <c r="AH1647" l="1"/>
  <c r="U1647"/>
  <c r="Y1647"/>
  <c r="Z1647" s="1"/>
  <c r="AF1646"/>
  <c r="W1646"/>
  <c r="AI1646"/>
  <c r="AH1646" l="1"/>
  <c r="U1646"/>
  <c r="Y1646"/>
  <c r="Z1646" s="1"/>
  <c r="AF1645"/>
  <c r="W1645"/>
  <c r="AI1645"/>
  <c r="AH1645" l="1"/>
  <c r="U1645"/>
  <c r="Y1645"/>
  <c r="Z1645" s="1"/>
  <c r="AF1644"/>
  <c r="W1644"/>
  <c r="AI1644"/>
  <c r="AH1644" l="1"/>
  <c r="U1644"/>
  <c r="Y1644"/>
  <c r="Z1644" s="1"/>
  <c r="AF1643"/>
  <c r="W1643"/>
  <c r="AI1643"/>
  <c r="AH1643" l="1"/>
  <c r="U1643"/>
  <c r="Y1643"/>
  <c r="Z1643" s="1"/>
  <c r="AF1642"/>
  <c r="W1642"/>
  <c r="AI1642"/>
  <c r="AH1642" l="1"/>
  <c r="U1642"/>
  <c r="Y1642"/>
  <c r="Z1642" s="1"/>
  <c r="AF1640" l="1"/>
  <c r="W1640"/>
  <c r="AI1640"/>
  <c r="AH1640" l="1"/>
  <c r="U1640"/>
  <c r="Y1640"/>
  <c r="Z1640" s="1"/>
  <c r="AF1639"/>
  <c r="W1639"/>
  <c r="AI1639"/>
  <c r="AH1639" l="1"/>
  <c r="U1639"/>
  <c r="Y1639"/>
  <c r="Z1639" s="1"/>
  <c r="AF1635" l="1"/>
  <c r="W1635"/>
  <c r="AI1635"/>
  <c r="AH1635" l="1"/>
  <c r="U1635"/>
  <c r="Y1635"/>
  <c r="Z1635" s="1"/>
  <c r="AF1634"/>
  <c r="W1634"/>
  <c r="AI1634"/>
  <c r="AH1634" l="1"/>
  <c r="U1634"/>
  <c r="Y1634"/>
  <c r="Z1634" s="1"/>
  <c r="AF1633"/>
  <c r="W1633"/>
  <c r="AI1633"/>
  <c r="AH1633" l="1"/>
  <c r="U1633"/>
  <c r="Y1633"/>
  <c r="Z1633" s="1"/>
  <c r="AF1632"/>
  <c r="W1632"/>
  <c r="AI1632"/>
  <c r="AH1632" l="1"/>
  <c r="U1632"/>
  <c r="Y1632"/>
  <c r="Z1632" s="1"/>
  <c r="AF1631"/>
  <c r="W1631"/>
  <c r="AI1631"/>
  <c r="AH1631" l="1"/>
  <c r="U1631"/>
  <c r="Y1631"/>
  <c r="Z1631" s="1"/>
  <c r="AF1629" l="1"/>
  <c r="W1629"/>
  <c r="AI1629"/>
  <c r="AH1629" l="1"/>
  <c r="U1629"/>
  <c r="Y1629"/>
  <c r="Z1629" s="1"/>
  <c r="AF1627" l="1"/>
  <c r="W1627"/>
  <c r="AI1627"/>
  <c r="AH1627" l="1"/>
  <c r="U1627"/>
  <c r="Y1627"/>
  <c r="Z1627" s="1"/>
  <c r="AF1626"/>
  <c r="W1626"/>
  <c r="AI1626"/>
  <c r="AH1626" l="1"/>
  <c r="U1626"/>
  <c r="Y1626"/>
  <c r="Z1626" s="1"/>
  <c r="AF1625"/>
  <c r="AI1625"/>
  <c r="W1625"/>
  <c r="AH1625" l="1"/>
  <c r="U1625"/>
  <c r="Y1625"/>
  <c r="Z1625" s="1"/>
  <c r="AF1624"/>
  <c r="AI1624"/>
  <c r="W1624"/>
  <c r="AH1624" l="1"/>
  <c r="U1624"/>
  <c r="Y1624"/>
  <c r="Z1624" s="1"/>
  <c r="AF1623"/>
  <c r="AI1623"/>
  <c r="W1623"/>
  <c r="AH1623" l="1"/>
  <c r="U1623"/>
  <c r="Y1623"/>
  <c r="Z1623" s="1"/>
  <c r="AF1620" l="1"/>
  <c r="W1620"/>
  <c r="AI1620"/>
  <c r="AH1620" l="1"/>
  <c r="U1620"/>
  <c r="Y1620"/>
  <c r="Z1620" s="1"/>
  <c r="AF1619"/>
  <c r="AI1619"/>
  <c r="W1619"/>
  <c r="AH1619" l="1"/>
  <c r="U1619"/>
  <c r="Y1619"/>
  <c r="Z1619" s="1"/>
  <c r="AF1618"/>
  <c r="W1618"/>
  <c r="AI1618"/>
  <c r="AH1618" l="1"/>
  <c r="U1618"/>
  <c r="Y1618"/>
  <c r="Z1618" s="1"/>
  <c r="AF1617"/>
  <c r="W1617"/>
  <c r="AI1617"/>
  <c r="AH1617" l="1"/>
  <c r="U1617"/>
  <c r="Y1617"/>
  <c r="Z1617" s="1"/>
  <c r="AF1608" l="1"/>
  <c r="AI1608"/>
  <c r="W1608"/>
  <c r="AH1608" l="1"/>
  <c r="U1608"/>
  <c r="Y1608"/>
  <c r="Z1608" s="1"/>
  <c r="AF1607"/>
  <c r="AI1607"/>
  <c r="W1607"/>
  <c r="AH1607" l="1"/>
  <c r="U1607"/>
  <c r="Y1607"/>
  <c r="Z1607" s="1"/>
  <c r="AF1606"/>
  <c r="W1606"/>
  <c r="AI1606"/>
  <c r="AH1606" l="1"/>
  <c r="U1606"/>
  <c r="Y1606"/>
  <c r="Z1606" s="1"/>
  <c r="AF1605"/>
  <c r="W1605"/>
  <c r="AI1605"/>
  <c r="AH1605" l="1"/>
  <c r="U1605"/>
  <c r="Y1605"/>
  <c r="Z1605" s="1"/>
  <c r="AF1604"/>
  <c r="W1604"/>
  <c r="AI1604"/>
  <c r="AH1604" l="1"/>
  <c r="U1604"/>
  <c r="Y1604"/>
  <c r="Z1604" s="1"/>
  <c r="AF1603"/>
  <c r="AI1603"/>
  <c r="W1603"/>
  <c r="AH1603" l="1"/>
  <c r="U1603"/>
  <c r="Y1603"/>
  <c r="Z1603" s="1"/>
  <c r="AF1602"/>
  <c r="AI1602"/>
  <c r="W1602"/>
  <c r="AH1602" l="1"/>
  <c r="U1602"/>
  <c r="Y1602"/>
  <c r="Z1602" s="1"/>
  <c r="AF1601"/>
  <c r="AI1601"/>
  <c r="W1601"/>
  <c r="AH1601" l="1"/>
  <c r="U1601"/>
  <c r="Y1601"/>
  <c r="Z1601" s="1"/>
  <c r="AF1600"/>
  <c r="AI1600"/>
  <c r="W1600"/>
  <c r="AH1600" l="1"/>
  <c r="U1600"/>
  <c r="Y1600"/>
  <c r="Z1600" s="1"/>
  <c r="AF1599"/>
  <c r="W1599"/>
  <c r="AI1599"/>
  <c r="AH1599" l="1"/>
  <c r="U1599"/>
  <c r="Y1599"/>
  <c r="Z1599" s="1"/>
  <c r="AF1598" l="1"/>
  <c r="W1598"/>
  <c r="AI1598"/>
  <c r="AH1598" l="1"/>
  <c r="U1598"/>
  <c r="Y1598"/>
  <c r="Z1598" s="1"/>
  <c r="AF1597"/>
  <c r="W1597"/>
  <c r="AI1597"/>
  <c r="AH1597" l="1"/>
  <c r="U1597"/>
  <c r="Y1597"/>
  <c r="Z1597" s="1"/>
  <c r="AF1596"/>
  <c r="W1596"/>
  <c r="AI1596"/>
  <c r="AH1596" l="1"/>
  <c r="U1596"/>
  <c r="Y1596"/>
  <c r="Z1596" s="1"/>
  <c r="AF1595"/>
  <c r="W1595"/>
  <c r="AI1595"/>
  <c r="AH1595" l="1"/>
  <c r="U1595"/>
  <c r="Y1595"/>
  <c r="Z1595" s="1"/>
  <c r="AF1594"/>
  <c r="W1594"/>
  <c r="AI1594"/>
  <c r="AH1594" l="1"/>
  <c r="U1594"/>
  <c r="Y1594"/>
  <c r="Z1594" s="1"/>
  <c r="AF1591"/>
  <c r="W1591"/>
  <c r="AI1591"/>
  <c r="AH1591" l="1"/>
  <c r="U1591"/>
  <c r="Y1591"/>
  <c r="Z1591" s="1"/>
  <c r="AF1590"/>
  <c r="W1590"/>
  <c r="AI1590"/>
  <c r="AH1590" l="1"/>
  <c r="U1590"/>
  <c r="Y1590"/>
  <c r="Z1590" s="1"/>
  <c r="AF1589"/>
  <c r="W1589"/>
  <c r="AI1589"/>
  <c r="AH1589" l="1"/>
  <c r="U1589"/>
  <c r="Y1589"/>
  <c r="Z1589" s="1"/>
  <c r="AF1588"/>
  <c r="AI1588"/>
  <c r="W1588"/>
  <c r="AH1588" l="1"/>
  <c r="U1588"/>
  <c r="Y1588"/>
  <c r="Z1588" s="1"/>
  <c r="AF1587"/>
  <c r="AI1587"/>
  <c r="W1587"/>
  <c r="AH1587" l="1"/>
  <c r="U1587"/>
  <c r="Y1587"/>
  <c r="Z1587" s="1"/>
  <c r="AF1586"/>
  <c r="W1586"/>
  <c r="AI1586"/>
  <c r="AH1586" l="1"/>
  <c r="U1586"/>
  <c r="Y1586"/>
  <c r="Z1586" s="1"/>
  <c r="AF1585"/>
  <c r="AI1585"/>
  <c r="W1585"/>
  <c r="AH1585" l="1"/>
  <c r="U1585"/>
  <c r="Y1585"/>
  <c r="Z1585" s="1"/>
  <c r="AF1584"/>
  <c r="W1584"/>
  <c r="AI1584"/>
  <c r="AH1584" l="1"/>
  <c r="U1584"/>
  <c r="Y1584"/>
  <c r="Z1584" s="1"/>
  <c r="AF1583"/>
  <c r="AI1583"/>
  <c r="W1583"/>
  <c r="AH1583" l="1"/>
  <c r="U1583"/>
  <c r="Y1583"/>
  <c r="Z1583" s="1"/>
  <c r="AF1582"/>
  <c r="W1582"/>
  <c r="AI1582"/>
  <c r="AH1582" l="1"/>
  <c r="U1582"/>
  <c r="Y1582"/>
  <c r="Z1582" s="1"/>
  <c r="AF1581"/>
  <c r="W1581"/>
  <c r="AI1581"/>
  <c r="AH1581" l="1"/>
  <c r="U1581"/>
  <c r="Y1581"/>
  <c r="Z1581" s="1"/>
  <c r="AF1580"/>
  <c r="W1580"/>
  <c r="AI1580"/>
  <c r="AH1580" l="1"/>
  <c r="U1580"/>
  <c r="Y1580"/>
  <c r="Z1580" s="1"/>
  <c r="AF1579"/>
  <c r="W1579"/>
  <c r="AI1579"/>
  <c r="AH1579" l="1"/>
  <c r="U1579"/>
  <c r="Y1579"/>
  <c r="Z1579" s="1"/>
  <c r="AF1577" l="1"/>
  <c r="W1577"/>
  <c r="AI1577"/>
  <c r="AH1577" l="1"/>
  <c r="U1577"/>
  <c r="Y1577"/>
  <c r="Z1577" s="1"/>
  <c r="AF1576"/>
  <c r="W1576"/>
  <c r="AI1576"/>
  <c r="AH1576" l="1"/>
  <c r="U1576"/>
  <c r="Y1576"/>
  <c r="Z1576" s="1"/>
  <c r="AF1573" l="1"/>
  <c r="AI1573"/>
  <c r="W1573"/>
  <c r="AH1573" l="1"/>
  <c r="U1573"/>
  <c r="Y1573"/>
  <c r="Z1573" s="1"/>
  <c r="AF1572"/>
  <c r="W1572"/>
  <c r="AI1572"/>
  <c r="AH1572" l="1"/>
  <c r="U1572"/>
  <c r="Y1572"/>
  <c r="Z1572" s="1"/>
  <c r="AF1571"/>
  <c r="W1571"/>
  <c r="AI1571"/>
  <c r="AH1571" l="1"/>
  <c r="U1571"/>
  <c r="Y1571"/>
  <c r="Z1571" s="1"/>
  <c r="AF1570"/>
  <c r="W1570"/>
  <c r="AI1570"/>
  <c r="AH1570" l="1"/>
  <c r="U1570"/>
  <c r="Y1570"/>
  <c r="Z1570" s="1"/>
  <c r="AF1569"/>
  <c r="W1569"/>
  <c r="AI1569"/>
  <c r="AH1569" l="1"/>
  <c r="U1569"/>
  <c r="Y1569"/>
  <c r="Z1569" s="1"/>
  <c r="AF1568"/>
  <c r="W1568"/>
  <c r="AI1568"/>
  <c r="AH1568" l="1"/>
  <c r="U1568"/>
  <c r="Y1568"/>
  <c r="Z1568" s="1"/>
  <c r="AF1567"/>
  <c r="AI1567"/>
  <c r="W1567"/>
  <c r="AH1567" l="1"/>
  <c r="U1567"/>
  <c r="Y1567"/>
  <c r="Z1567" s="1"/>
  <c r="AF1566"/>
  <c r="W1566"/>
  <c r="AI1566"/>
  <c r="AH1566" l="1"/>
  <c r="U1566"/>
  <c r="Y1566"/>
  <c r="Z1566" s="1"/>
  <c r="AF1565"/>
  <c r="W1565"/>
  <c r="AI1565"/>
  <c r="AH1565" l="1"/>
  <c r="U1565"/>
  <c r="Y1565"/>
  <c r="Z1565" s="1"/>
  <c r="AF1564"/>
  <c r="AI1564"/>
  <c r="W1564"/>
  <c r="AH1564" l="1"/>
  <c r="U1564"/>
  <c r="Y1564"/>
  <c r="Z1564" s="1"/>
  <c r="AF1563"/>
  <c r="W1563"/>
  <c r="AI1563"/>
  <c r="AH1563" l="1"/>
  <c r="U1563"/>
  <c r="Y1563"/>
  <c r="Z1563" s="1"/>
  <c r="AF1562"/>
  <c r="W1562"/>
  <c r="AI1562"/>
  <c r="AH1562" l="1"/>
  <c r="U1562"/>
  <c r="Y1562"/>
  <c r="Z1562" s="1"/>
  <c r="AF1561"/>
  <c r="W1561"/>
  <c r="AI1561"/>
  <c r="AH1561" l="1"/>
  <c r="U1561"/>
  <c r="Y1561"/>
  <c r="Z1561" s="1"/>
  <c r="AF1560"/>
  <c r="W1560"/>
  <c r="AI1560"/>
  <c r="AH1560" l="1"/>
  <c r="U1560"/>
  <c r="Y1560"/>
  <c r="Z1560" s="1"/>
  <c r="AF1559"/>
  <c r="AI1559"/>
  <c r="W1559"/>
  <c r="AH1559" l="1"/>
  <c r="U1559"/>
  <c r="Y1559"/>
  <c r="Z1559" s="1"/>
  <c r="AF1558"/>
  <c r="AI1558"/>
  <c r="W1558"/>
  <c r="AH1558" l="1"/>
  <c r="U1558"/>
  <c r="Y1558"/>
  <c r="Z1558" s="1"/>
  <c r="AF1557"/>
  <c r="AI1557"/>
  <c r="W1557"/>
  <c r="AH1557" l="1"/>
  <c r="U1557"/>
  <c r="Y1557"/>
  <c r="Z1557" s="1"/>
  <c r="AF1556"/>
  <c r="AI1556"/>
  <c r="W1556"/>
  <c r="AH1556" l="1"/>
  <c r="U1556"/>
  <c r="Y1556"/>
  <c r="Z1556" s="1"/>
  <c r="AF1554" l="1"/>
  <c r="W1554"/>
  <c r="AI1554"/>
  <c r="AH1554" l="1"/>
  <c r="U1554"/>
  <c r="Y1554"/>
  <c r="Z1554" s="1"/>
  <c r="AF1553"/>
  <c r="W1553"/>
  <c r="AI1553"/>
  <c r="AH1553" l="1"/>
  <c r="U1553"/>
  <c r="Y1553"/>
  <c r="Z1553" s="1"/>
  <c r="AF1552"/>
  <c r="AI1552"/>
  <c r="W1552"/>
  <c r="AH1552" l="1"/>
  <c r="U1552"/>
  <c r="Y1552"/>
  <c r="Z1552" s="1"/>
  <c r="AF1551"/>
  <c r="AI1551"/>
  <c r="W1551"/>
  <c r="AH1551" l="1"/>
  <c r="U1551"/>
  <c r="Y1551"/>
  <c r="Z1551" s="1"/>
  <c r="AF1550"/>
  <c r="W1550"/>
  <c r="AI1550"/>
  <c r="AH1550" l="1"/>
  <c r="U1550"/>
  <c r="Y1550"/>
  <c r="Z1550" s="1"/>
  <c r="AF1549"/>
  <c r="W1549"/>
  <c r="AI1549"/>
  <c r="AH1549" l="1"/>
  <c r="U1549"/>
  <c r="Y1549"/>
  <c r="Z1549" s="1"/>
  <c r="AF1548"/>
  <c r="AI1548"/>
  <c r="W1548"/>
  <c r="AH1548" l="1"/>
  <c r="U1548"/>
  <c r="Y1548"/>
  <c r="Z1548" s="1"/>
  <c r="AF1543" l="1"/>
  <c r="AI1543"/>
  <c r="W1543"/>
  <c r="AH1543" l="1"/>
  <c r="U1543"/>
  <c r="Y1543"/>
  <c r="Z1543" s="1"/>
  <c r="AF1542"/>
  <c r="AI1542"/>
  <c r="W1542"/>
  <c r="AH1542" l="1"/>
  <c r="U1542"/>
  <c r="Y1542"/>
  <c r="Z1542" s="1"/>
  <c r="AF1541"/>
  <c r="W1541"/>
  <c r="AI1541"/>
  <c r="AH1541" l="1"/>
  <c r="U1541"/>
  <c r="Y1541"/>
  <c r="Z1541" s="1"/>
  <c r="AF1539" l="1"/>
  <c r="W1539"/>
  <c r="AI1539"/>
  <c r="AH1539" l="1"/>
  <c r="U1539"/>
  <c r="Y1539"/>
  <c r="Z1539" s="1"/>
  <c r="AF1538"/>
  <c r="W1538"/>
  <c r="AI1538"/>
  <c r="AH1538" l="1"/>
  <c r="U1538"/>
  <c r="Y1538"/>
  <c r="Z1538" s="1"/>
  <c r="AF1536" l="1"/>
  <c r="W1536"/>
  <c r="AI1536"/>
  <c r="AH1536" l="1"/>
  <c r="U1536"/>
  <c r="Y1536"/>
  <c r="Z1536" s="1"/>
  <c r="AF1533" l="1"/>
  <c r="AI1533"/>
  <c r="W1533"/>
  <c r="AH1533" l="1"/>
  <c r="U1533"/>
  <c r="Y1533"/>
  <c r="Z1533" s="1"/>
  <c r="AF1532"/>
  <c r="W1532"/>
  <c r="AI1532"/>
  <c r="AH1532" l="1"/>
  <c r="U1532"/>
  <c r="Y1532"/>
  <c r="Z1532" s="1"/>
  <c r="AF1531"/>
  <c r="W1531"/>
  <c r="AI1531"/>
  <c r="AH1531" l="1"/>
  <c r="U1531"/>
  <c r="Y1531"/>
  <c r="Z1531" s="1"/>
  <c r="AF1530"/>
  <c r="W1530"/>
  <c r="AI1530"/>
  <c r="AH1530" l="1"/>
  <c r="U1530"/>
  <c r="Y1530"/>
  <c r="Z1530" s="1"/>
  <c r="AF1529"/>
  <c r="AI1529"/>
  <c r="W1529"/>
  <c r="AH1529" l="1"/>
  <c r="U1529"/>
  <c r="Y1529"/>
  <c r="Z1529" s="1"/>
  <c r="AF1527" l="1"/>
  <c r="W1527"/>
  <c r="AI1527"/>
  <c r="AH1527" l="1"/>
  <c r="U1527"/>
  <c r="Y1527"/>
  <c r="Z1527" s="1"/>
  <c r="AF1525" l="1"/>
  <c r="W1525"/>
  <c r="AI1525"/>
  <c r="AH1525" l="1"/>
  <c r="U1525"/>
  <c r="Y1525"/>
  <c r="Z1525" s="1"/>
  <c r="AF1524"/>
  <c r="W1524"/>
  <c r="AI1524"/>
  <c r="AH1524" l="1"/>
  <c r="U1524"/>
  <c r="Y1524"/>
  <c r="Z1524" s="1"/>
  <c r="AF1522" l="1"/>
  <c r="W1522"/>
  <c r="AI1522"/>
  <c r="AH1522" l="1"/>
  <c r="U1522"/>
  <c r="Y1522"/>
  <c r="Z1522" s="1"/>
  <c r="AF1521"/>
  <c r="AI1521"/>
  <c r="W1521"/>
  <c r="AH1521" l="1"/>
  <c r="U1521"/>
  <c r="Y1521"/>
  <c r="Z1521" s="1"/>
  <c r="AF1519" l="1"/>
  <c r="AI1519"/>
  <c r="W1519"/>
  <c r="AH1519" l="1"/>
  <c r="U1519"/>
  <c r="Y1519"/>
  <c r="Z1519" s="1"/>
  <c r="AF1517" l="1"/>
  <c r="W1517"/>
  <c r="AI1517"/>
  <c r="AH1517" l="1"/>
  <c r="U1517"/>
  <c r="Y1517"/>
  <c r="Z1517" s="1"/>
  <c r="AF1514"/>
  <c r="W1514"/>
  <c r="AI1514"/>
  <c r="AH1514" l="1"/>
  <c r="U1514"/>
  <c r="Y1514"/>
  <c r="Z1514" s="1"/>
  <c r="AF1513"/>
  <c r="AI1513"/>
  <c r="W1513"/>
  <c r="AH1513" l="1"/>
  <c r="U1513"/>
  <c r="Y1513"/>
  <c r="Z1513" s="1"/>
  <c r="AF1512"/>
  <c r="Y1512"/>
  <c r="Z1512" s="1"/>
  <c r="AF1511"/>
  <c r="AI1512"/>
  <c r="AI1511"/>
  <c r="W1511"/>
  <c r="AH1512" l="1"/>
  <c r="AH1511"/>
  <c r="U1511"/>
  <c r="Y1511"/>
  <c r="Z1511" s="1"/>
  <c r="AF1510"/>
  <c r="AI1510"/>
  <c r="W1510"/>
  <c r="AH1510" l="1"/>
  <c r="U1510"/>
  <c r="Y1510"/>
  <c r="Z1510" s="1"/>
  <c r="AF1509"/>
  <c r="W1509"/>
  <c r="AI1509"/>
  <c r="AH1509" l="1"/>
  <c r="U1509"/>
  <c r="Y1509"/>
  <c r="Z1509" s="1"/>
  <c r="AF1507" l="1"/>
  <c r="AI1507"/>
  <c r="W1507"/>
  <c r="AH1507" l="1"/>
  <c r="U1507"/>
  <c r="Y1507"/>
  <c r="Z1507" s="1"/>
  <c r="AF1506"/>
  <c r="W1506"/>
  <c r="AI1506"/>
  <c r="AH1506" l="1"/>
  <c r="U1506"/>
  <c r="Y1506"/>
  <c r="Z1506" s="1"/>
  <c r="AF1505"/>
  <c r="AI1505"/>
  <c r="W1505"/>
  <c r="AH1505" l="1"/>
  <c r="U1505"/>
  <c r="Y1505"/>
  <c r="Z1505" s="1"/>
  <c r="AF1504"/>
  <c r="W1504"/>
  <c r="AI1504"/>
  <c r="AH1504" l="1"/>
  <c r="U1504"/>
  <c r="Y1504"/>
  <c r="Z1504" s="1"/>
  <c r="AF1503"/>
  <c r="AI1503"/>
  <c r="W1503"/>
  <c r="AH1503" l="1"/>
  <c r="U1503"/>
  <c r="Y1503"/>
  <c r="Z1503" s="1"/>
  <c r="AF1502"/>
  <c r="W1502"/>
  <c r="AI1502"/>
  <c r="AH1502" l="1"/>
  <c r="U1502"/>
  <c r="Y1502"/>
  <c r="Z1502" s="1"/>
  <c r="AF1501"/>
  <c r="W1501"/>
  <c r="AI1501"/>
  <c r="AH1501" l="1"/>
  <c r="U1501"/>
  <c r="Y1501"/>
  <c r="Z1501" s="1"/>
  <c r="AF1500"/>
  <c r="AI1500"/>
  <c r="W1500"/>
  <c r="AH1500" l="1"/>
  <c r="U1500"/>
  <c r="Y1500"/>
  <c r="Z1500" s="1"/>
  <c r="AF1499"/>
  <c r="AI1499"/>
  <c r="W1499"/>
  <c r="AH1499" l="1"/>
  <c r="U1499"/>
  <c r="Y1499"/>
  <c r="Z1499" s="1"/>
  <c r="AF1498"/>
  <c r="W1498"/>
  <c r="AI1498"/>
  <c r="AH1498" l="1"/>
  <c r="U1498"/>
  <c r="Y1498"/>
  <c r="Z1498" s="1"/>
  <c r="AF1497"/>
  <c r="AI1497"/>
  <c r="W1497"/>
  <c r="AH1497" l="1"/>
  <c r="U1497"/>
  <c r="Y1497"/>
  <c r="Z1497" s="1"/>
  <c r="AF1496"/>
  <c r="W1496"/>
  <c r="AI1496"/>
  <c r="AH1496" l="1"/>
  <c r="U1496"/>
  <c r="Y1496"/>
  <c r="Z1496" s="1"/>
  <c r="AF1495"/>
  <c r="W1495"/>
  <c r="AI1495"/>
  <c r="AH1495" l="1"/>
  <c r="U1495"/>
  <c r="Y1495"/>
  <c r="Z1495" s="1"/>
  <c r="AF1494"/>
  <c r="AI1494"/>
  <c r="W1494"/>
  <c r="AH1494" l="1"/>
  <c r="U1494"/>
  <c r="Y1494"/>
  <c r="Z1494" s="1"/>
  <c r="AF1493"/>
  <c r="W1493"/>
  <c r="AI1493"/>
  <c r="AH1493" l="1"/>
  <c r="U1493"/>
  <c r="Y1493"/>
  <c r="Z1493" s="1"/>
  <c r="AF1492"/>
  <c r="W1492"/>
  <c r="AI1492"/>
  <c r="AH1492" l="1"/>
  <c r="U1492"/>
  <c r="Y1492"/>
  <c r="Z1492" s="1"/>
  <c r="AF1491"/>
  <c r="W1491"/>
  <c r="AI1491"/>
  <c r="AH1491" l="1"/>
  <c r="U1491"/>
  <c r="Y1491"/>
  <c r="Z1491" s="1"/>
  <c r="AF1490"/>
  <c r="W1490"/>
  <c r="AI1490"/>
  <c r="AH1490" l="1"/>
  <c r="U1490"/>
  <c r="Y1490"/>
  <c r="Z1490" s="1"/>
  <c r="AF1489"/>
  <c r="AI1489"/>
  <c r="W1489"/>
  <c r="AH1489" l="1"/>
  <c r="U1489"/>
  <c r="Y1489"/>
  <c r="Z1489" s="1"/>
  <c r="AF1488"/>
  <c r="AI1488"/>
  <c r="W1488"/>
  <c r="AH1488" l="1"/>
  <c r="U1488"/>
  <c r="Y1488"/>
  <c r="Z1488" s="1"/>
  <c r="AF1487"/>
  <c r="AI1487"/>
  <c r="W1487"/>
  <c r="AH1487" l="1"/>
  <c r="U1487"/>
  <c r="Y1487"/>
  <c r="Z1487" s="1"/>
  <c r="AF1486"/>
  <c r="W1486"/>
  <c r="AI1486"/>
  <c r="AH1486" l="1"/>
  <c r="U1486"/>
  <c r="Y1486"/>
  <c r="Z1486" s="1"/>
  <c r="AF1485"/>
  <c r="AI1485"/>
  <c r="W1485"/>
  <c r="AH1485" l="1"/>
  <c r="U1485"/>
  <c r="Y1485"/>
  <c r="Z1485" s="1"/>
  <c r="AF1484"/>
  <c r="AI1484"/>
  <c r="W1484"/>
  <c r="AH1484" l="1"/>
  <c r="U1484"/>
  <c r="Y1484"/>
  <c r="Z1484" s="1"/>
  <c r="AF1483"/>
  <c r="AI1483"/>
  <c r="W1483"/>
  <c r="AH1483" l="1"/>
  <c r="U1483"/>
  <c r="Y1483"/>
  <c r="Z1483" s="1"/>
  <c r="AF1482"/>
  <c r="W1482"/>
  <c r="AI1482"/>
  <c r="AH1482" l="1"/>
  <c r="U1482"/>
  <c r="Y1482"/>
  <c r="Z1482" s="1"/>
  <c r="AF1481"/>
  <c r="W1481"/>
  <c r="AI1481"/>
  <c r="AH1481" l="1"/>
  <c r="U1481"/>
  <c r="Y1481"/>
  <c r="Z1481" s="1"/>
  <c r="AF1480"/>
  <c r="W1480"/>
  <c r="AI1480"/>
  <c r="AH1480" l="1"/>
  <c r="U1480"/>
  <c r="Y1480"/>
  <c r="Z1480" s="1"/>
  <c r="AF1479"/>
  <c r="W1479"/>
  <c r="AI1479"/>
  <c r="AH1479" l="1"/>
  <c r="U1479"/>
  <c r="Y1479"/>
  <c r="Z1479" s="1"/>
  <c r="AF1478"/>
  <c r="W1478"/>
  <c r="AI1478"/>
  <c r="AH1478" l="1"/>
  <c r="U1478"/>
  <c r="Y1478"/>
  <c r="Z1478" s="1"/>
  <c r="AF1477"/>
  <c r="W1477"/>
  <c r="AI1477"/>
  <c r="AH1477" l="1"/>
  <c r="U1477"/>
  <c r="Y1477"/>
  <c r="Z1477" s="1"/>
  <c r="AF1476"/>
  <c r="W1476"/>
  <c r="AI1476"/>
  <c r="AH1476" l="1"/>
  <c r="U1476"/>
  <c r="Y1476"/>
  <c r="Z1476" s="1"/>
  <c r="AF1475"/>
  <c r="W1475"/>
  <c r="AI1475"/>
  <c r="AH1475" l="1"/>
  <c r="U1475"/>
  <c r="Y1475"/>
  <c r="Z1475" s="1"/>
  <c r="AF1474"/>
  <c r="AI1474"/>
  <c r="W1474"/>
  <c r="AH1474" l="1"/>
  <c r="U1474"/>
  <c r="Y1474"/>
  <c r="Z1474" s="1"/>
  <c r="AF1473"/>
  <c r="AI1473"/>
  <c r="W1473"/>
  <c r="AH1473" l="1"/>
  <c r="U1473"/>
  <c r="Y1473"/>
  <c r="Z1473" s="1"/>
  <c r="AF1472"/>
  <c r="W1472"/>
  <c r="AI1472"/>
  <c r="AH1472" l="1"/>
  <c r="U1472"/>
  <c r="Y1472"/>
  <c r="Z1472" s="1"/>
  <c r="AF1471"/>
  <c r="W1471"/>
  <c r="AI1471"/>
  <c r="AH1471" l="1"/>
  <c r="U1471"/>
  <c r="Y1471"/>
  <c r="Z1471" s="1"/>
  <c r="AF1470"/>
  <c r="W1470"/>
  <c r="AI1470"/>
  <c r="AH1470" l="1"/>
  <c r="U1470"/>
  <c r="Y1470"/>
  <c r="Z1470" s="1"/>
  <c r="AF1469"/>
  <c r="AI1469"/>
  <c r="W1469"/>
  <c r="AH1469" l="1"/>
  <c r="U1469"/>
  <c r="Y1469"/>
  <c r="Z1469" s="1"/>
  <c r="AF1468"/>
  <c r="W1468"/>
  <c r="AI1468"/>
  <c r="AH1468" l="1"/>
  <c r="U1468"/>
  <c r="Y1468"/>
  <c r="Z1468" s="1"/>
  <c r="AF1467"/>
  <c r="W1467"/>
  <c r="AI1467"/>
  <c r="AH1467" l="1"/>
  <c r="U1467"/>
  <c r="Y1467"/>
  <c r="Z1467" s="1"/>
  <c r="AF1466"/>
  <c r="W1466"/>
  <c r="AI1466"/>
  <c r="AH1466" l="1"/>
  <c r="U1466"/>
  <c r="Y1466"/>
  <c r="Z1466" s="1"/>
  <c r="AF1465"/>
  <c r="W1465"/>
  <c r="AI1465"/>
  <c r="AH1465" l="1"/>
  <c r="U1465"/>
  <c r="Y1465"/>
  <c r="Z1465" s="1"/>
  <c r="AF1464"/>
  <c r="AI1464"/>
  <c r="W1464"/>
  <c r="AH1464" l="1"/>
  <c r="U1464"/>
  <c r="Y1464"/>
  <c r="Z1464" s="1"/>
  <c r="AF1463"/>
  <c r="AI1463"/>
  <c r="W1463"/>
  <c r="AH1463" l="1"/>
  <c r="U1463"/>
  <c r="Y1463"/>
  <c r="Z1463" s="1"/>
  <c r="AF1462"/>
  <c r="W1462"/>
  <c r="AI1462"/>
  <c r="AH1462" l="1"/>
  <c r="U1462"/>
  <c r="Y1462"/>
  <c r="Z1462" s="1"/>
  <c r="AF1461"/>
  <c r="W1461"/>
  <c r="AI1461"/>
  <c r="AH1461" l="1"/>
  <c r="U1461"/>
  <c r="Y1461"/>
  <c r="Z1461" s="1"/>
  <c r="AF1460"/>
  <c r="W1460"/>
  <c r="AI1460"/>
  <c r="AH1460" l="1"/>
  <c r="U1460"/>
  <c r="Y1460"/>
  <c r="Z1460" s="1"/>
  <c r="AF1459"/>
  <c r="W1459"/>
  <c r="AI1459"/>
  <c r="AH1459" l="1"/>
  <c r="U1459"/>
  <c r="Y1459"/>
  <c r="Z1459" s="1"/>
  <c r="AF1458"/>
  <c r="W1458"/>
  <c r="AI1458"/>
  <c r="AH1458" l="1"/>
  <c r="U1458"/>
  <c r="Y1458"/>
  <c r="Z1458" s="1"/>
  <c r="AF1457"/>
  <c r="W1457"/>
  <c r="AI1457"/>
  <c r="AH1457" l="1"/>
  <c r="U1457"/>
  <c r="Y1457"/>
  <c r="Z1457" s="1"/>
  <c r="AF1456"/>
  <c r="AI1456"/>
  <c r="W1456"/>
  <c r="AH1456" l="1"/>
  <c r="U1456"/>
  <c r="Y1456"/>
  <c r="Z1456" s="1"/>
  <c r="AF1455"/>
  <c r="W1455"/>
  <c r="AI1455"/>
  <c r="AH1455" l="1"/>
  <c r="U1455"/>
  <c r="Y1455"/>
  <c r="Z1455" s="1"/>
  <c r="AF1454"/>
  <c r="W1454"/>
  <c r="AI1454"/>
  <c r="AH1454" l="1"/>
  <c r="U1454"/>
  <c r="Y1454"/>
  <c r="Z1454" s="1"/>
  <c r="AF1453"/>
  <c r="AI1453"/>
  <c r="W1453"/>
  <c r="AH1453" l="1"/>
  <c r="U1453"/>
  <c r="Y1453"/>
  <c r="Z1453" s="1"/>
  <c r="AF1452"/>
  <c r="W1452"/>
  <c r="AI1452"/>
  <c r="AH1452" l="1"/>
  <c r="U1452"/>
  <c r="Y1452"/>
  <c r="Z1452" s="1"/>
  <c r="AF1451"/>
  <c r="AI1451"/>
  <c r="W1451"/>
  <c r="AH1451" l="1"/>
  <c r="U1451"/>
  <c r="Y1451"/>
  <c r="Z1451" s="1"/>
  <c r="AF1450"/>
  <c r="W1450"/>
  <c r="AI1450"/>
  <c r="AH1450" l="1"/>
  <c r="U1450"/>
  <c r="Y1450"/>
  <c r="Z1450" s="1"/>
  <c r="AF1449"/>
  <c r="AI1449"/>
  <c r="W1449"/>
  <c r="AH1449" l="1"/>
  <c r="U1449"/>
  <c r="Y1449"/>
  <c r="Z1449" s="1"/>
  <c r="AF1448"/>
  <c r="AI1448"/>
  <c r="W1448"/>
  <c r="AH1448" l="1"/>
  <c r="U1448"/>
  <c r="Y1448"/>
  <c r="Z1448" s="1"/>
  <c r="AF1447"/>
  <c r="W1447"/>
  <c r="AI1447"/>
  <c r="AH1447" l="1"/>
  <c r="U1447"/>
  <c r="Y1447"/>
  <c r="Z1447" s="1"/>
  <c r="AF1446"/>
  <c r="AI1446"/>
  <c r="W1446"/>
  <c r="AH1446" l="1"/>
  <c r="U1446"/>
  <c r="Y1446"/>
  <c r="Z1446" s="1"/>
  <c r="AF1445"/>
  <c r="AI1445"/>
  <c r="W1445"/>
  <c r="AH1445" l="1"/>
  <c r="U1445"/>
  <c r="Y1445"/>
  <c r="Z1445" s="1"/>
  <c r="AF1444"/>
  <c r="W1444"/>
  <c r="AI1444"/>
  <c r="AH1444" l="1"/>
  <c r="U1444"/>
  <c r="Y1444"/>
  <c r="Z1444" s="1"/>
  <c r="AF1443"/>
  <c r="W1443"/>
  <c r="AI1443"/>
  <c r="AH1443" l="1"/>
  <c r="U1443"/>
  <c r="Y1443"/>
  <c r="Z1443" s="1"/>
  <c r="AF1442"/>
  <c r="AI1442"/>
  <c r="W1442"/>
  <c r="AH1442" l="1"/>
  <c r="U1442"/>
  <c r="Y1442"/>
  <c r="Z1442" s="1"/>
  <c r="AF1438" l="1"/>
  <c r="W1438"/>
  <c r="AI1438"/>
  <c r="AH1438" l="1"/>
  <c r="U1438"/>
  <c r="Y1438"/>
  <c r="Z1438" s="1"/>
  <c r="AF1437"/>
  <c r="AI1437"/>
  <c r="W1437"/>
  <c r="AH1437" l="1"/>
  <c r="U1437"/>
  <c r="Y1437"/>
  <c r="Z1437" s="1"/>
  <c r="AF1436"/>
  <c r="AI1436"/>
  <c r="W1436"/>
  <c r="AH1436" l="1"/>
  <c r="U1436"/>
  <c r="Y1436"/>
  <c r="Z1436" s="1"/>
  <c r="AF1435"/>
  <c r="W1435"/>
  <c r="AI1435"/>
  <c r="AH1435" l="1"/>
  <c r="U1435"/>
  <c r="Y1435"/>
  <c r="Z1435" s="1"/>
  <c r="AF1434"/>
  <c r="W1434"/>
  <c r="AI1434"/>
  <c r="AH1434" l="1"/>
  <c r="U1434"/>
  <c r="Y1434"/>
  <c r="Z1434" s="1"/>
  <c r="AF1433"/>
  <c r="W1433"/>
  <c r="AI1433"/>
  <c r="AH1433" l="1"/>
  <c r="U1433"/>
  <c r="Y1433"/>
  <c r="Z1433" s="1"/>
  <c r="AF1432"/>
  <c r="W1432"/>
  <c r="AI1432"/>
  <c r="AH1432" l="1"/>
  <c r="U1432"/>
  <c r="Y1432"/>
  <c r="Z1432" s="1"/>
  <c r="AF1430" l="1"/>
  <c r="AI1430"/>
  <c r="W1430"/>
  <c r="AH1430" l="1"/>
  <c r="U1430"/>
  <c r="Y1430"/>
  <c r="Z1430" s="1"/>
  <c r="AF1429"/>
  <c r="AI1429"/>
  <c r="W1429"/>
  <c r="AH1429" l="1"/>
  <c r="U1429"/>
  <c r="Y1429"/>
  <c r="Z1429" s="1"/>
  <c r="AF1428"/>
  <c r="W1428"/>
  <c r="AI1428"/>
  <c r="AH1428" l="1"/>
  <c r="U1428"/>
  <c r="Y1428"/>
  <c r="Z1428" s="1"/>
  <c r="AF1427"/>
  <c r="AI1427"/>
  <c r="W1427"/>
  <c r="AH1427" l="1"/>
  <c r="U1427"/>
  <c r="Y1427"/>
  <c r="Z1427" s="1"/>
  <c r="AF1426"/>
  <c r="W1426"/>
  <c r="AI1426"/>
  <c r="AH1426" l="1"/>
  <c r="U1426"/>
  <c r="Y1426"/>
  <c r="Z1426" s="1"/>
  <c r="AF1425"/>
  <c r="AI1425"/>
  <c r="W1425"/>
  <c r="AH1425" l="1"/>
  <c r="U1425"/>
  <c r="Y1425"/>
  <c r="Z1425" s="1"/>
  <c r="AF1424"/>
  <c r="AI1424"/>
  <c r="W1424"/>
  <c r="AH1424" l="1"/>
  <c r="U1424"/>
  <c r="Y1424"/>
  <c r="Z1424" s="1"/>
  <c r="AF1423"/>
  <c r="W1423"/>
  <c r="AI1423"/>
  <c r="AH1423" l="1"/>
  <c r="U1423"/>
  <c r="Y1423"/>
  <c r="Z1423" s="1"/>
  <c r="AF1422"/>
  <c r="W1422"/>
  <c r="AI1422"/>
  <c r="AH1422" l="1"/>
  <c r="U1422"/>
  <c r="Y1422"/>
  <c r="Z1422" s="1"/>
  <c r="AF1421"/>
  <c r="W1421"/>
  <c r="AI1421"/>
  <c r="AH1421" l="1"/>
  <c r="U1421"/>
  <c r="Y1421"/>
  <c r="Z1421" s="1"/>
  <c r="AF1419" l="1"/>
  <c r="W1419"/>
  <c r="AI1419"/>
  <c r="AH1419" l="1"/>
  <c r="U1419"/>
  <c r="Y1419"/>
  <c r="Z1419" s="1"/>
  <c r="AF1418"/>
  <c r="AI1418"/>
  <c r="W1418"/>
  <c r="AH1418" l="1"/>
  <c r="U1418"/>
  <c r="Y1418"/>
  <c r="Z1418" s="1"/>
  <c r="AF1417"/>
  <c r="W1417"/>
  <c r="AI1417"/>
  <c r="AH1417" l="1"/>
  <c r="U1417"/>
  <c r="Y1417"/>
  <c r="Z1417" s="1"/>
  <c r="AF1415" l="1"/>
  <c r="W1415"/>
  <c r="AI1415"/>
  <c r="AH1415" l="1"/>
  <c r="U1415"/>
  <c r="Y1415"/>
  <c r="Z1415" s="1"/>
  <c r="AF1414"/>
  <c r="W1414"/>
  <c r="AI1414"/>
  <c r="AH1414" l="1"/>
  <c r="U1414"/>
  <c r="Y1414"/>
  <c r="Z1414" s="1"/>
  <c r="AF1413"/>
  <c r="AI1413"/>
  <c r="W1413"/>
  <c r="AH1413" l="1"/>
  <c r="U1413"/>
  <c r="Y1413"/>
  <c r="Z1413" s="1"/>
  <c r="AF1412"/>
  <c r="W1412"/>
  <c r="AI1412"/>
  <c r="AH1412" l="1"/>
  <c r="U1412"/>
  <c r="Y1412"/>
  <c r="Z1412" s="1"/>
  <c r="AF1411"/>
  <c r="W1411"/>
  <c r="AI1411"/>
  <c r="AH1411" l="1"/>
  <c r="U1411"/>
  <c r="Y1411"/>
  <c r="Z1411" s="1"/>
  <c r="AF1410"/>
  <c r="W1410"/>
  <c r="AI1410"/>
  <c r="AH1410" l="1"/>
  <c r="U1410"/>
  <c r="Y1410"/>
  <c r="Z1410" s="1"/>
  <c r="AF1408" l="1"/>
  <c r="AI1408"/>
  <c r="W1408"/>
  <c r="AH1408" l="1"/>
  <c r="U1408"/>
  <c r="Y1408"/>
  <c r="Z1408" s="1"/>
  <c r="AF1407"/>
  <c r="AI1407"/>
  <c r="W1407"/>
  <c r="AH1407" l="1"/>
  <c r="U1407"/>
  <c r="Y1407"/>
  <c r="Z1407" s="1"/>
  <c r="AF1406"/>
  <c r="W1406"/>
  <c r="AI1406"/>
  <c r="AH1406" l="1"/>
  <c r="U1406"/>
  <c r="Y1406"/>
  <c r="Z1406" s="1"/>
  <c r="AF1405"/>
  <c r="W1405"/>
  <c r="AI1405"/>
  <c r="AH1405" l="1"/>
  <c r="U1405"/>
  <c r="Y1405"/>
  <c r="Z1405" s="1"/>
  <c r="AF1404"/>
  <c r="W1404"/>
  <c r="AI1404"/>
  <c r="AH1404" l="1"/>
  <c r="U1404"/>
  <c r="Y1404"/>
  <c r="Z1404" s="1"/>
  <c r="AF1403"/>
  <c r="W1403"/>
  <c r="AI1403"/>
  <c r="AH1403" l="1"/>
  <c r="U1403"/>
  <c r="Y1403"/>
  <c r="Z1403" s="1"/>
  <c r="AF1402"/>
  <c r="AI1402"/>
  <c r="W1402"/>
  <c r="AH1402" l="1"/>
  <c r="U1402"/>
  <c r="Y1402"/>
  <c r="Z1402" s="1"/>
  <c r="AF1400" l="1"/>
  <c r="AI1400"/>
  <c r="W1400"/>
  <c r="AH1400" l="1"/>
  <c r="U1400"/>
  <c r="Y1400"/>
  <c r="Z1400" s="1"/>
  <c r="AF1399"/>
  <c r="W1399"/>
  <c r="AI1399"/>
  <c r="AH1399" l="1"/>
  <c r="U1399"/>
  <c r="Y1399"/>
  <c r="Z1399" s="1"/>
  <c r="AF1398"/>
  <c r="AI1398"/>
  <c r="W1398"/>
  <c r="AH1398" l="1"/>
  <c r="U1398"/>
  <c r="Y1398"/>
  <c r="Z1398" s="1"/>
  <c r="AF1397"/>
  <c r="AI1397"/>
  <c r="W1397"/>
  <c r="AH1397" l="1"/>
  <c r="U1397"/>
  <c r="Y1397"/>
  <c r="Z1397" s="1"/>
  <c r="AF1395" l="1"/>
  <c r="W1395"/>
  <c r="AI1395"/>
  <c r="AH1395" l="1"/>
  <c r="U1395"/>
  <c r="Y1395"/>
  <c r="Z1395" s="1"/>
  <c r="AF1394"/>
  <c r="W1394"/>
  <c r="AI1394"/>
  <c r="AH1394" l="1"/>
  <c r="U1394"/>
  <c r="Y1394"/>
  <c r="Z1394" s="1"/>
  <c r="AF1392" l="1"/>
  <c r="W1392"/>
  <c r="AI1392"/>
  <c r="AH1392" l="1"/>
  <c r="U1392"/>
  <c r="Y1392"/>
  <c r="Z1392" s="1"/>
  <c r="AF1390" l="1"/>
  <c r="AI1390"/>
  <c r="W1390"/>
  <c r="AH1390" l="1"/>
  <c r="U1390"/>
  <c r="Y1390"/>
  <c r="Z1390" s="1"/>
  <c r="AF1389"/>
  <c r="W1389"/>
  <c r="AI1389"/>
  <c r="AH1389" l="1"/>
  <c r="U1389"/>
  <c r="Y1389"/>
  <c r="Z1389" s="1"/>
  <c r="AF1388"/>
  <c r="AI1388"/>
  <c r="W1388"/>
  <c r="AH1388" l="1"/>
  <c r="U1388"/>
  <c r="Y1388"/>
  <c r="Z1388" s="1"/>
  <c r="AF1387"/>
  <c r="AI1387"/>
  <c r="W1387"/>
  <c r="AH1387" l="1"/>
  <c r="U1387"/>
  <c r="Y1387"/>
  <c r="Z1387" s="1"/>
  <c r="AF1385" l="1"/>
  <c r="W1385"/>
  <c r="AI1385"/>
  <c r="AH1385" l="1"/>
  <c r="U1385"/>
  <c r="Y1385"/>
  <c r="Z1385" s="1"/>
  <c r="AF1384"/>
  <c r="W1384"/>
  <c r="AI1384"/>
  <c r="AH1384" l="1"/>
  <c r="U1384"/>
  <c r="Y1384"/>
  <c r="Z1384" s="1"/>
  <c r="AF1383"/>
  <c r="AI1383"/>
  <c r="W1383"/>
  <c r="AH1383" l="1"/>
  <c r="U1383"/>
  <c r="Y1383"/>
  <c r="Z1383" s="1"/>
  <c r="AF1382"/>
  <c r="AI1382"/>
  <c r="W1382"/>
  <c r="AH1382" l="1"/>
  <c r="U1382"/>
  <c r="Y1382"/>
  <c r="Z1382" s="1"/>
  <c r="AF1380"/>
  <c r="W1380"/>
  <c r="AI1380"/>
  <c r="AH1380" l="1"/>
  <c r="U1380"/>
  <c r="Y1380"/>
  <c r="Z1380" s="1"/>
  <c r="AF1379"/>
  <c r="AI1379"/>
  <c r="W1379"/>
  <c r="AH1379" l="1"/>
  <c r="U1379"/>
  <c r="Y1379"/>
  <c r="Z1379" s="1"/>
  <c r="AF1378" l="1"/>
  <c r="W1378"/>
  <c r="AI1378"/>
  <c r="AH1378" l="1"/>
  <c r="U1378"/>
  <c r="Y1378"/>
  <c r="Z1378" s="1"/>
  <c r="AF1377"/>
  <c r="AI1377"/>
  <c r="W1377"/>
  <c r="AH1377" l="1"/>
  <c r="U1377"/>
  <c r="Y1377"/>
  <c r="Z1377" s="1"/>
  <c r="AF1376"/>
  <c r="W1376"/>
  <c r="AI1376"/>
  <c r="AH1376" l="1"/>
  <c r="U1376"/>
  <c r="Y1376"/>
  <c r="Z1376" s="1"/>
  <c r="AF1375"/>
  <c r="W1375"/>
  <c r="AI1375"/>
  <c r="AH1375" l="1"/>
  <c r="U1375"/>
  <c r="Y1375"/>
  <c r="Z1375" s="1"/>
  <c r="AF1374"/>
  <c r="W1374"/>
  <c r="AI1374"/>
  <c r="AH1374" l="1"/>
  <c r="U1374"/>
  <c r="Y1374"/>
  <c r="Z1374" s="1"/>
  <c r="AF1373"/>
  <c r="AI1373"/>
  <c r="W1373"/>
  <c r="AH1373" l="1"/>
  <c r="U1373"/>
  <c r="Y1373"/>
  <c r="Z1373" s="1"/>
  <c r="AF1372"/>
  <c r="W1372"/>
  <c r="AI1372"/>
  <c r="AH1372" l="1"/>
  <c r="U1372"/>
  <c r="Y1372"/>
  <c r="Z1372" s="1"/>
  <c r="AF1371"/>
  <c r="W1371"/>
  <c r="AI1371"/>
  <c r="AH1371" l="1"/>
  <c r="U1371"/>
  <c r="Y1371"/>
  <c r="Z1371" s="1"/>
  <c r="AF1370"/>
  <c r="AI1370"/>
  <c r="W1370"/>
  <c r="AH1370" l="1"/>
  <c r="U1370"/>
  <c r="Y1370"/>
  <c r="Z1370" s="1"/>
  <c r="AF1369"/>
  <c r="AI1369"/>
  <c r="W1369"/>
  <c r="AH1369" l="1"/>
  <c r="U1369"/>
  <c r="Y1369"/>
  <c r="Z1369" s="1"/>
  <c r="AF1368"/>
  <c r="AI1368"/>
  <c r="W1368"/>
  <c r="AH1368" l="1"/>
  <c r="U1368"/>
  <c r="Y1368"/>
  <c r="Z1368" s="1"/>
  <c r="AF1367"/>
  <c r="W1367"/>
  <c r="AI1367"/>
  <c r="AH1367" l="1"/>
  <c r="U1367"/>
  <c r="Y1367"/>
  <c r="Z1367" s="1"/>
  <c r="AF1366"/>
  <c r="W1366"/>
  <c r="AI1366"/>
  <c r="AH1366" l="1"/>
  <c r="U1366"/>
  <c r="Y1366"/>
  <c r="Z1366" s="1"/>
  <c r="AF1362" l="1"/>
  <c r="W1362"/>
  <c r="AI1362"/>
  <c r="AH1362" l="1"/>
  <c r="U1362"/>
  <c r="Y1362"/>
  <c r="Z1362" s="1"/>
  <c r="AF1360" l="1"/>
  <c r="AI1360"/>
  <c r="W1360"/>
  <c r="AH1360" l="1"/>
  <c r="U1360"/>
  <c r="Y1360"/>
  <c r="Z1360" s="1"/>
  <c r="AF1359"/>
  <c r="AI1359"/>
  <c r="W1359"/>
  <c r="AH1359" l="1"/>
  <c r="U1359"/>
  <c r="Y1359"/>
  <c r="Z1359" s="1"/>
  <c r="AF1357"/>
  <c r="W1357"/>
  <c r="AI1357"/>
  <c r="AH1357" l="1"/>
  <c r="U1357"/>
  <c r="Y1357"/>
  <c r="Z1357" s="1"/>
  <c r="AF1355" l="1"/>
  <c r="W1355"/>
  <c r="AI1355"/>
  <c r="AH1355" l="1"/>
  <c r="U1355"/>
  <c r="Y1355"/>
  <c r="Z1355" s="1"/>
  <c r="AF1354"/>
  <c r="W1354"/>
  <c r="AI1354"/>
  <c r="AH1354" l="1"/>
  <c r="U1354"/>
  <c r="Y1354"/>
  <c r="Z1354" s="1"/>
  <c r="AF1353"/>
  <c r="W1353"/>
  <c r="AI1353"/>
  <c r="AH1353" l="1"/>
  <c r="U1353"/>
  <c r="Y1353"/>
  <c r="Z1353" s="1"/>
  <c r="AF1352"/>
  <c r="AI1352"/>
  <c r="W1352"/>
  <c r="AH1352" l="1"/>
  <c r="U1352"/>
  <c r="Y1352"/>
  <c r="Z1352" s="1"/>
  <c r="AF1351"/>
  <c r="AI1351"/>
  <c r="W1351"/>
  <c r="AH1351" l="1"/>
  <c r="U1351"/>
  <c r="Y1351"/>
  <c r="Z1351" s="1"/>
  <c r="AF1350"/>
  <c r="AI1350"/>
  <c r="W1350"/>
  <c r="AH1350" l="1"/>
  <c r="U1350"/>
  <c r="Y1350"/>
  <c r="Z1350" s="1"/>
  <c r="AF1349"/>
  <c r="W1349"/>
  <c r="AI1349"/>
  <c r="AH1349" l="1"/>
  <c r="U1349"/>
  <c r="Y1349"/>
  <c r="Z1349" s="1"/>
  <c r="AF1347"/>
  <c r="W1347"/>
  <c r="AI1347"/>
  <c r="AH1347" l="1"/>
  <c r="U1347"/>
  <c r="Y1347"/>
  <c r="Z1347" s="1"/>
  <c r="AF1345" l="1"/>
  <c r="AI1345"/>
  <c r="W1345"/>
  <c r="AH1345" l="1"/>
  <c r="U1345"/>
  <c r="Y1345"/>
  <c r="Z1345" s="1"/>
  <c r="AF1344"/>
  <c r="AI1344"/>
  <c r="W1344"/>
  <c r="AH1344" l="1"/>
  <c r="U1344"/>
  <c r="Y1344"/>
  <c r="Z1344" s="1"/>
  <c r="AF1343"/>
  <c r="AI1343"/>
  <c r="W1343"/>
  <c r="AH1343" l="1"/>
  <c r="U1343"/>
  <c r="Y1343"/>
  <c r="Z1343" s="1"/>
  <c r="AF1342"/>
  <c r="AI1342"/>
  <c r="W1342"/>
  <c r="AH1342" l="1"/>
  <c r="U1342"/>
  <c r="Y1342"/>
  <c r="Z1342" s="1"/>
  <c r="AF1341"/>
  <c r="AI1341"/>
  <c r="W1341"/>
  <c r="AH1341" l="1"/>
  <c r="U1341"/>
  <c r="Y1341"/>
  <c r="Z1341" s="1"/>
  <c r="AF1339" l="1"/>
  <c r="W1339"/>
  <c r="AI1339"/>
  <c r="AH1339" l="1"/>
  <c r="U1339"/>
  <c r="Y1339"/>
  <c r="Z1339" s="1"/>
  <c r="AF1338"/>
  <c r="AI1338"/>
  <c r="W1338"/>
  <c r="AH1338" l="1"/>
  <c r="U1338"/>
  <c r="Y1338"/>
  <c r="Z1338" s="1"/>
  <c r="AF1337"/>
  <c r="W1337"/>
  <c r="AI1337"/>
  <c r="AH1337" l="1"/>
  <c r="U1337"/>
  <c r="Y1337"/>
  <c r="Z1337" s="1"/>
  <c r="AF1336"/>
  <c r="AI1336"/>
  <c r="W1336"/>
  <c r="AH1336" l="1"/>
  <c r="U1336"/>
  <c r="Y1336"/>
  <c r="Z1336" s="1"/>
  <c r="AF1335"/>
  <c r="AI1335"/>
  <c r="W1335"/>
  <c r="AH1335" l="1"/>
  <c r="U1335"/>
  <c r="Y1335"/>
  <c r="Z1335" s="1"/>
  <c r="AF1334"/>
  <c r="AI1334"/>
  <c r="W1334"/>
  <c r="AH1334" l="1"/>
  <c r="U1334"/>
  <c r="Y1334"/>
  <c r="Z1334" s="1"/>
  <c r="AF1333"/>
  <c r="AI1333"/>
  <c r="W1333"/>
  <c r="AH1333" l="1"/>
  <c r="U1333"/>
  <c r="Y1333"/>
  <c r="Z1333" s="1"/>
  <c r="AF1332"/>
  <c r="W1332"/>
  <c r="AI1332"/>
  <c r="AH1332" l="1"/>
  <c r="U1332"/>
  <c r="Y1332"/>
  <c r="Z1332" s="1"/>
  <c r="AF1331"/>
  <c r="W1331"/>
  <c r="AI1331"/>
  <c r="AH1331" l="1"/>
  <c r="U1331"/>
  <c r="Y1331"/>
  <c r="Z1331" s="1"/>
  <c r="AF1330"/>
  <c r="W1330"/>
  <c r="AI1330"/>
  <c r="AH1330" l="1"/>
  <c r="U1330"/>
  <c r="Y1330"/>
  <c r="Z1330" s="1"/>
  <c r="AF1329"/>
  <c r="AI1329"/>
  <c r="W1329"/>
  <c r="AH1329" l="1"/>
  <c r="U1329"/>
  <c r="Y1329"/>
  <c r="Z1329" s="1"/>
  <c r="AF1328"/>
  <c r="W1328"/>
  <c r="AI1328"/>
  <c r="AH1328" l="1"/>
  <c r="U1328"/>
  <c r="Y1328"/>
  <c r="Z1328" s="1"/>
  <c r="AF1327"/>
  <c r="W1327"/>
  <c r="AI1327"/>
  <c r="AH1327" l="1"/>
  <c r="U1327"/>
  <c r="Y1327"/>
  <c r="Z1327" s="1"/>
  <c r="AF1325" l="1"/>
  <c r="AI1325"/>
  <c r="W1325"/>
  <c r="AH1325" l="1"/>
  <c r="U1325"/>
  <c r="Y1325"/>
  <c r="Z1325" s="1"/>
  <c r="AF1324"/>
  <c r="W1324"/>
  <c r="AI1324"/>
  <c r="AH1324" l="1"/>
  <c r="U1324"/>
  <c r="Y1324"/>
  <c r="Z1324" s="1"/>
  <c r="AF1323"/>
  <c r="W1323"/>
  <c r="AI1323"/>
  <c r="AH1323" l="1"/>
  <c r="U1323"/>
  <c r="Y1323"/>
  <c r="Z1323" s="1"/>
  <c r="AF1322"/>
  <c r="W1322"/>
  <c r="AI1322"/>
  <c r="AH1322" l="1"/>
  <c r="U1322"/>
  <c r="Y1322"/>
  <c r="Z1322" s="1"/>
  <c r="AF1321"/>
  <c r="AI1321"/>
  <c r="W1321"/>
  <c r="AH1321" l="1"/>
  <c r="U1321"/>
  <c r="Y1321"/>
  <c r="Z1321" s="1"/>
  <c r="AF1320"/>
  <c r="AI1320"/>
  <c r="W1320"/>
  <c r="AH1320" l="1"/>
  <c r="U1320"/>
  <c r="Y1320"/>
  <c r="Z1320" s="1"/>
  <c r="AF1319"/>
  <c r="W1319"/>
  <c r="AI1319"/>
  <c r="AH1319" l="1"/>
  <c r="U1319"/>
  <c r="Y1319"/>
  <c r="Z1319" s="1"/>
  <c r="AF1318"/>
  <c r="W1318"/>
  <c r="AI1318"/>
  <c r="AH1318" l="1"/>
  <c r="U1318"/>
  <c r="Y1318"/>
  <c r="Z1318" s="1"/>
  <c r="AF1317"/>
  <c r="AI1317"/>
  <c r="W1317"/>
  <c r="AH1317" l="1"/>
  <c r="U1317"/>
  <c r="Y1317"/>
  <c r="Z1317" s="1"/>
  <c r="AF1316"/>
  <c r="W1316"/>
  <c r="AI1316"/>
  <c r="AH1316" l="1"/>
  <c r="U1316"/>
  <c r="Y1316"/>
  <c r="Z1316" s="1"/>
  <c r="AF1315"/>
  <c r="W1315"/>
  <c r="AI1315"/>
  <c r="AH1315" l="1"/>
  <c r="U1315"/>
  <c r="Y1315"/>
  <c r="Z1315" s="1"/>
  <c r="AF1314"/>
  <c r="W1314"/>
  <c r="AI1314"/>
  <c r="AH1314" l="1"/>
  <c r="U1314"/>
  <c r="Y1314"/>
  <c r="Z1314" s="1"/>
  <c r="AF1313"/>
  <c r="W1313"/>
  <c r="AI1313"/>
  <c r="AH1313" l="1"/>
  <c r="U1313"/>
  <c r="Y1313"/>
  <c r="Z1313" s="1"/>
  <c r="AF1312"/>
  <c r="AI1312"/>
  <c r="W1312"/>
  <c r="AH1312" l="1"/>
  <c r="U1312"/>
  <c r="Y1312"/>
  <c r="Z1312" s="1"/>
  <c r="AF1311"/>
  <c r="AI1311"/>
  <c r="W1311"/>
  <c r="AH1311" l="1"/>
  <c r="U1311"/>
  <c r="Y1311"/>
  <c r="Z1311" s="1"/>
  <c r="AF1310"/>
  <c r="AI1310"/>
  <c r="W1310"/>
  <c r="AH1310" l="1"/>
  <c r="U1310"/>
  <c r="Y1310"/>
  <c r="Z1310" s="1"/>
  <c r="AF1309"/>
  <c r="AI1309"/>
  <c r="W1309"/>
  <c r="AH1309" l="1"/>
  <c r="U1309"/>
  <c r="Y1309"/>
  <c r="Z1309" s="1"/>
  <c r="AF1305" l="1"/>
  <c r="W1305"/>
  <c r="AI1305"/>
  <c r="AH1305" l="1"/>
  <c r="U1305"/>
  <c r="Y1305"/>
  <c r="Z1305" s="1"/>
  <c r="AF1304"/>
  <c r="AI1304"/>
  <c r="W1304"/>
  <c r="AH1304" l="1"/>
  <c r="U1304"/>
  <c r="Y1304"/>
  <c r="Z1304" s="1"/>
  <c r="AF1303"/>
  <c r="W1303"/>
  <c r="AI1303"/>
  <c r="AH1303" l="1"/>
  <c r="U1303"/>
  <c r="Y1303"/>
  <c r="Z1303" s="1"/>
  <c r="AF1302"/>
  <c r="W1302"/>
  <c r="AI1302"/>
  <c r="AH1302" l="1"/>
  <c r="U1302"/>
  <c r="Y1302"/>
  <c r="Z1302" s="1"/>
  <c r="AF1300" l="1"/>
  <c r="W1300"/>
  <c r="AI1300"/>
  <c r="AH1300" l="1"/>
  <c r="U1300"/>
  <c r="Y1300"/>
  <c r="Z1300" s="1"/>
  <c r="AF1299"/>
  <c r="W1299"/>
  <c r="AI1299"/>
  <c r="AH1299" l="1"/>
  <c r="U1299"/>
  <c r="Y1299"/>
  <c r="Z1299" s="1"/>
  <c r="AF1298"/>
  <c r="W1298"/>
  <c r="AI1298"/>
  <c r="AH1298" l="1"/>
  <c r="U1298"/>
  <c r="Y1298"/>
  <c r="Z1298" s="1"/>
  <c r="AF1297"/>
  <c r="W1297"/>
  <c r="AI1297"/>
  <c r="AH1297" l="1"/>
  <c r="U1297"/>
  <c r="Y1297"/>
  <c r="Z1297" s="1"/>
  <c r="AF1296"/>
  <c r="AI1296"/>
  <c r="W1296"/>
  <c r="AH1296" l="1"/>
  <c r="U1296"/>
  <c r="Y1296"/>
  <c r="Z1296" s="1"/>
  <c r="AF1295"/>
  <c r="AI1295"/>
  <c r="W1295"/>
  <c r="AH1295" l="1"/>
  <c r="U1295"/>
  <c r="Y1295"/>
  <c r="Z1295" s="1"/>
  <c r="AF1294"/>
  <c r="W1294"/>
  <c r="AI1294"/>
  <c r="AH1294" l="1"/>
  <c r="U1294"/>
  <c r="Y1294"/>
  <c r="Z1294" s="1"/>
  <c r="AF1292" l="1"/>
  <c r="W1292"/>
  <c r="AI1292"/>
  <c r="AH1292" l="1"/>
  <c r="U1292"/>
  <c r="Y1292"/>
  <c r="Z1292" s="1"/>
  <c r="AF1291"/>
  <c r="AI1291"/>
  <c r="W1291"/>
  <c r="AH1291" l="1"/>
  <c r="U1291"/>
  <c r="Y1291"/>
  <c r="Z1291" s="1"/>
  <c r="AF1290"/>
  <c r="W1290"/>
  <c r="AI1290"/>
  <c r="AH1290" l="1"/>
  <c r="U1290"/>
  <c r="Y1290"/>
  <c r="Z1290" s="1"/>
  <c r="AF1289"/>
  <c r="AI1289"/>
  <c r="W1289"/>
  <c r="AH1289" l="1"/>
  <c r="U1289"/>
  <c r="Y1289"/>
  <c r="Z1289" s="1"/>
  <c r="AF1288"/>
  <c r="W1288"/>
  <c r="AI1288"/>
  <c r="AH1288" l="1"/>
  <c r="U1288"/>
  <c r="Y1288"/>
  <c r="Z1288" s="1"/>
  <c r="AF1287"/>
  <c r="W1287"/>
  <c r="AI1287"/>
  <c r="AH1287" l="1"/>
  <c r="U1287"/>
  <c r="Y1287"/>
  <c r="Z1287" s="1"/>
  <c r="AF1286"/>
  <c r="W1286"/>
  <c r="AI1286"/>
  <c r="AH1286" l="1"/>
  <c r="U1286"/>
  <c r="Y1286"/>
  <c r="Z1286" s="1"/>
  <c r="AF1285"/>
  <c r="W1285"/>
  <c r="AI1285"/>
  <c r="AH1285" l="1"/>
  <c r="U1285"/>
  <c r="Y1285"/>
  <c r="Z1285" s="1"/>
  <c r="AF1284"/>
  <c r="AI1284"/>
  <c r="W1284"/>
  <c r="AH1284" l="1"/>
  <c r="U1284"/>
  <c r="Y1284"/>
  <c r="Z1284" s="1"/>
  <c r="AF1282" l="1"/>
  <c r="AI1282"/>
  <c r="W1282"/>
  <c r="AH1282" l="1"/>
  <c r="U1282"/>
  <c r="Y1282"/>
  <c r="Z1282" s="1"/>
  <c r="AF1281"/>
  <c r="W1281"/>
  <c r="AI1281"/>
  <c r="AH1281" l="1"/>
  <c r="U1281"/>
  <c r="Y1281"/>
  <c r="Z1281" s="1"/>
  <c r="AF1280"/>
  <c r="W1280"/>
  <c r="AI1280"/>
  <c r="AH1280" l="1"/>
  <c r="U1280"/>
  <c r="Y1280"/>
  <c r="Z1280" s="1"/>
  <c r="AF1279"/>
  <c r="W1279"/>
  <c r="AI1279"/>
  <c r="AH1279" l="1"/>
  <c r="U1279"/>
  <c r="Y1279"/>
  <c r="Z1279" s="1"/>
  <c r="AF1278"/>
  <c r="W1278"/>
  <c r="AI1278"/>
  <c r="AH1278" l="1"/>
  <c r="U1278"/>
  <c r="Y1278"/>
  <c r="Z1278" s="1"/>
  <c r="AF1277"/>
  <c r="AI1277"/>
  <c r="W1277"/>
  <c r="AH1277" l="1"/>
  <c r="U1277"/>
  <c r="Y1277"/>
  <c r="Z1277" s="1"/>
  <c r="AF1276"/>
  <c r="W1276"/>
  <c r="AI1276"/>
  <c r="AH1276" l="1"/>
  <c r="U1276"/>
  <c r="Y1276"/>
  <c r="Z1276" s="1"/>
  <c r="AF1275"/>
  <c r="W1275"/>
  <c r="AI1275"/>
  <c r="AH1275" l="1"/>
  <c r="U1275"/>
  <c r="Y1275"/>
  <c r="Z1275" s="1"/>
  <c r="AF1274"/>
  <c r="AI1274"/>
  <c r="W1274"/>
  <c r="AH1274" l="1"/>
  <c r="U1274"/>
  <c r="Y1274"/>
  <c r="Z1274" s="1"/>
  <c r="AF1273"/>
  <c r="W1273"/>
  <c r="AI1273"/>
  <c r="AH1273" l="1"/>
  <c r="U1273"/>
  <c r="Y1273"/>
  <c r="Z1273" s="1"/>
  <c r="AF1272"/>
  <c r="AI1272"/>
  <c r="W1272"/>
  <c r="AH1272" l="1"/>
  <c r="U1272"/>
  <c r="Y1272"/>
  <c r="Z1272" s="1"/>
  <c r="AF1271"/>
  <c r="W1271"/>
  <c r="AI1271"/>
  <c r="AH1271" l="1"/>
  <c r="U1271"/>
  <c r="Y1271"/>
  <c r="Z1271" s="1"/>
  <c r="AF1270"/>
  <c r="AI1270"/>
  <c r="W1270"/>
  <c r="AH1270" l="1"/>
  <c r="U1270"/>
  <c r="Y1270"/>
  <c r="Z1270" s="1"/>
  <c r="AF1269"/>
  <c r="W1269"/>
  <c r="AI1269"/>
  <c r="AH1269" l="1"/>
  <c r="U1269"/>
  <c r="Y1269"/>
  <c r="Z1269" s="1"/>
  <c r="AF1268"/>
  <c r="W1268"/>
  <c r="AI1268"/>
  <c r="AH1268" l="1"/>
  <c r="U1268"/>
  <c r="Y1268"/>
  <c r="Z1268" s="1"/>
  <c r="AF1267"/>
  <c r="W1267"/>
  <c r="AI1267"/>
  <c r="AH1267" l="1"/>
  <c r="U1267"/>
  <c r="Y1267"/>
  <c r="Z1267" s="1"/>
  <c r="AF1264"/>
  <c r="W1264"/>
  <c r="AI1264"/>
  <c r="AH1264" l="1"/>
  <c r="U1264"/>
  <c r="Y1264"/>
  <c r="Z1264" s="1"/>
  <c r="AF1263"/>
  <c r="W1263"/>
  <c r="AI1263"/>
  <c r="AH1263" l="1"/>
  <c r="U1263"/>
  <c r="Y1263"/>
  <c r="Z1263" s="1"/>
  <c r="AF1262"/>
  <c r="W1262"/>
  <c r="AI1262"/>
  <c r="AH1262" l="1"/>
  <c r="U1262"/>
  <c r="Y1262"/>
  <c r="Z1262" s="1"/>
  <c r="AF1261"/>
  <c r="W1261"/>
  <c r="AI1261"/>
  <c r="AH1261" l="1"/>
  <c r="U1261"/>
  <c r="Y1261"/>
  <c r="Z1261" s="1"/>
  <c r="AF1260"/>
  <c r="AI1260"/>
  <c r="W1260"/>
  <c r="AH1260" l="1"/>
  <c r="U1260"/>
  <c r="Y1260"/>
  <c r="Z1260" s="1"/>
  <c r="AF1259"/>
  <c r="AI1259"/>
  <c r="W1259"/>
  <c r="AH1259" l="1"/>
  <c r="U1259"/>
  <c r="Y1259"/>
  <c r="Z1259" s="1"/>
  <c r="AF1258"/>
  <c r="AI1258"/>
  <c r="W1258"/>
  <c r="AH1258" l="1"/>
  <c r="U1258"/>
  <c r="Y1258"/>
  <c r="Z1258" s="1"/>
  <c r="AF1257"/>
  <c r="W1257"/>
  <c r="AI1257"/>
  <c r="AH1257" l="1"/>
  <c r="U1257"/>
  <c r="Y1257"/>
  <c r="Z1257" s="1"/>
  <c r="AF1256"/>
  <c r="AI1256"/>
  <c r="W1256"/>
  <c r="AH1256" l="1"/>
  <c r="U1256"/>
  <c r="Y1256"/>
  <c r="Z1256" s="1"/>
  <c r="AF1255"/>
  <c r="W1255"/>
  <c r="AI1255"/>
  <c r="AH1255" l="1"/>
  <c r="U1255"/>
  <c r="Y1255"/>
  <c r="Z1255" s="1"/>
  <c r="AF1254"/>
  <c r="W1254"/>
  <c r="AI1254"/>
  <c r="AH1254" l="1"/>
  <c r="U1254"/>
  <c r="Y1254"/>
  <c r="Z1254" s="1"/>
  <c r="AF1253"/>
  <c r="AI1253"/>
  <c r="W1253"/>
  <c r="AH1253" l="1"/>
  <c r="U1253"/>
  <c r="Y1253"/>
  <c r="Z1253" s="1"/>
  <c r="AF1252"/>
  <c r="W1252"/>
  <c r="AI1252"/>
  <c r="AH1252" l="1"/>
  <c r="U1252"/>
  <c r="Y1252"/>
  <c r="Z1252" s="1"/>
  <c r="AF1251"/>
  <c r="W1251"/>
  <c r="AI1251"/>
  <c r="AH1251" l="1"/>
  <c r="U1251"/>
  <c r="Y1251"/>
  <c r="Z1251" s="1"/>
  <c r="AF1250"/>
  <c r="AI1250"/>
  <c r="W1250"/>
  <c r="AH1250" l="1"/>
  <c r="U1250"/>
  <c r="Y1250"/>
  <c r="Z1250" s="1"/>
  <c r="AF1249"/>
  <c r="AI1249"/>
  <c r="W1249"/>
  <c r="AH1249" l="1"/>
  <c r="U1249"/>
  <c r="Y1249"/>
  <c r="Z1249" s="1"/>
  <c r="AF1248"/>
  <c r="W1248"/>
  <c r="AI1248"/>
  <c r="AH1248" l="1"/>
  <c r="U1248"/>
  <c r="Y1248"/>
  <c r="Z1248" s="1"/>
  <c r="AF1247"/>
  <c r="AI1247"/>
  <c r="W1247"/>
  <c r="AH1247" l="1"/>
  <c r="U1247"/>
  <c r="Y1247"/>
  <c r="Z1247" s="1"/>
  <c r="AF1246"/>
  <c r="W1246"/>
  <c r="AI1246"/>
  <c r="AH1246" l="1"/>
  <c r="U1246"/>
  <c r="Y1246"/>
  <c r="Z1246" s="1"/>
  <c r="AF1245"/>
  <c r="AI1245"/>
  <c r="W1245"/>
  <c r="AH1245" l="1"/>
  <c r="U1245"/>
  <c r="Y1245"/>
  <c r="Z1245" s="1"/>
  <c r="AF1244"/>
  <c r="AI1244"/>
  <c r="W1244"/>
  <c r="AH1244" l="1"/>
  <c r="U1244"/>
  <c r="Y1244"/>
  <c r="Z1244" s="1"/>
  <c r="AF1243"/>
  <c r="W1243"/>
  <c r="AI1243"/>
  <c r="AH1243" l="1"/>
  <c r="U1243"/>
  <c r="Y1243"/>
  <c r="Z1243" s="1"/>
  <c r="AF1242"/>
  <c r="W1242"/>
  <c r="AI1242"/>
  <c r="AH1242" l="1"/>
  <c r="U1242"/>
  <c r="Y1242"/>
  <c r="Z1242" s="1"/>
  <c r="AF1240" l="1"/>
  <c r="W1240"/>
  <c r="AI1240"/>
  <c r="AH1240" l="1"/>
  <c r="U1240"/>
  <c r="Y1240"/>
  <c r="Z1240" s="1"/>
  <c r="AF1239"/>
  <c r="W1239"/>
  <c r="AI1239"/>
  <c r="AH1239" l="1"/>
  <c r="U1239"/>
  <c r="Y1239"/>
  <c r="Z1239" s="1"/>
  <c r="AF1238"/>
  <c r="AI1238"/>
  <c r="W1238"/>
  <c r="AH1238" l="1"/>
  <c r="U1238"/>
  <c r="Y1238"/>
  <c r="Z1238" s="1"/>
  <c r="AF1237"/>
  <c r="AI1237"/>
  <c r="W1237"/>
  <c r="AH1237" l="1"/>
  <c r="U1237"/>
  <c r="Y1237"/>
  <c r="Z1237" s="1"/>
  <c r="AF1235" l="1"/>
  <c r="W1235"/>
  <c r="AI1235"/>
  <c r="AH1235" l="1"/>
  <c r="U1235"/>
  <c r="Y1235"/>
  <c r="Z1235" s="1"/>
  <c r="AF1234"/>
  <c r="W1234"/>
  <c r="AI1234"/>
  <c r="AH1234" l="1"/>
  <c r="U1234"/>
  <c r="Y1234"/>
  <c r="Z1234" s="1"/>
  <c r="AF1233"/>
  <c r="W1233"/>
  <c r="AI1233"/>
  <c r="AH1233" l="1"/>
  <c r="U1233"/>
  <c r="Y1233"/>
  <c r="Z1233" s="1"/>
  <c r="AF1232"/>
  <c r="W1232"/>
  <c r="AI1232"/>
  <c r="AH1232" l="1"/>
  <c r="U1232"/>
  <c r="Y1232"/>
  <c r="Z1232" s="1"/>
  <c r="AF1231"/>
  <c r="AI1231"/>
  <c r="W1231"/>
  <c r="AH1231" l="1"/>
  <c r="U1231"/>
  <c r="Y1231"/>
  <c r="Z1231" s="1"/>
  <c r="AF1230"/>
  <c r="W1230"/>
  <c r="AI1230"/>
  <c r="AH1230" l="1"/>
  <c r="U1230"/>
  <c r="Y1230"/>
  <c r="Z1230" s="1"/>
  <c r="AF1229"/>
  <c r="AI1229"/>
  <c r="W1229"/>
  <c r="AH1229" l="1"/>
  <c r="U1229"/>
  <c r="Y1229"/>
  <c r="Z1229" s="1"/>
  <c r="AF1225" l="1"/>
  <c r="AI1225"/>
  <c r="W1225"/>
  <c r="AH1225" l="1"/>
  <c r="U1225"/>
  <c r="Y1225"/>
  <c r="Z1225" s="1"/>
  <c r="AF1223" l="1"/>
  <c r="W1223"/>
  <c r="AI1223"/>
  <c r="AH1223" l="1"/>
  <c r="U1223"/>
  <c r="Y1223"/>
  <c r="Z1223" s="1"/>
  <c r="AF1222"/>
  <c r="W1222"/>
  <c r="AI1222"/>
  <c r="AH1222" l="1"/>
  <c r="U1222"/>
  <c r="Y1222"/>
  <c r="Z1222" s="1"/>
  <c r="AF1218" l="1"/>
  <c r="W1218"/>
  <c r="AI1218"/>
  <c r="AH1218" l="1"/>
  <c r="U1218"/>
  <c r="Y1218"/>
  <c r="Z1218" s="1"/>
  <c r="AF1217"/>
  <c r="W1217"/>
  <c r="AI1217"/>
  <c r="AH1217" l="1"/>
  <c r="U1217"/>
  <c r="Y1217"/>
  <c r="Z1217" s="1"/>
  <c r="AF1216"/>
  <c r="W1216"/>
  <c r="AI1216"/>
  <c r="AH1216" l="1"/>
  <c r="U1216"/>
  <c r="Y1216"/>
  <c r="Z1216" s="1"/>
  <c r="AF1215"/>
  <c r="AI1215"/>
  <c r="W1215"/>
  <c r="AH1215" l="1"/>
  <c r="U1215"/>
  <c r="Y1215"/>
  <c r="Z1215" s="1"/>
  <c r="AF1213" l="1"/>
  <c r="W1213"/>
  <c r="AI1213"/>
  <c r="AH1213" l="1"/>
  <c r="U1213"/>
  <c r="Y1213"/>
  <c r="Z1213" s="1"/>
  <c r="AF1212"/>
  <c r="AI1212"/>
  <c r="W1212"/>
  <c r="AH1212" l="1"/>
  <c r="U1212"/>
  <c r="Y1212"/>
  <c r="Z1212" s="1"/>
  <c r="AF1211"/>
  <c r="W1211"/>
  <c r="AI1211"/>
  <c r="AH1211" l="1"/>
  <c r="U1211"/>
  <c r="Y1211"/>
  <c r="Z1211" s="1"/>
  <c r="AF1209" l="1"/>
  <c r="W1209"/>
  <c r="AI1209"/>
  <c r="AH1209" l="1"/>
  <c r="U1209"/>
  <c r="Y1209"/>
  <c r="Z1209" s="1"/>
  <c r="AF1208"/>
  <c r="W1208"/>
  <c r="AI1208"/>
  <c r="AH1208" l="1"/>
  <c r="U1208"/>
  <c r="Y1208"/>
  <c r="Z1208" s="1"/>
  <c r="AF1207"/>
  <c r="W1207"/>
  <c r="AI1207"/>
  <c r="AH1207" l="1"/>
  <c r="U1207"/>
  <c r="Y1207"/>
  <c r="Z1207" s="1"/>
  <c r="AF1206"/>
  <c r="AI1206"/>
  <c r="W1206"/>
  <c r="AH1206" l="1"/>
  <c r="U1206"/>
  <c r="Y1206"/>
  <c r="Z1206" s="1"/>
  <c r="AF1204" l="1"/>
  <c r="W1204"/>
  <c r="AI1204"/>
  <c r="AH1204" l="1"/>
  <c r="U1204"/>
  <c r="Y1204"/>
  <c r="Z1204" s="1"/>
  <c r="AF1199" l="1"/>
  <c r="W1199"/>
  <c r="AI1199"/>
  <c r="AH1199" l="1"/>
  <c r="U1199"/>
  <c r="Y1199"/>
  <c r="Z1199" s="1"/>
  <c r="AF1197" l="1"/>
  <c r="W1197"/>
  <c r="AI1197"/>
  <c r="AH1197" l="1"/>
  <c r="U1197"/>
  <c r="Y1197"/>
  <c r="Z1197" s="1"/>
  <c r="AF1195" l="1"/>
  <c r="AI1195"/>
  <c r="W1195"/>
  <c r="AH1195" l="1"/>
  <c r="U1195"/>
  <c r="Y1195"/>
  <c r="Z1195" s="1"/>
  <c r="AF1194"/>
  <c r="W1194"/>
  <c r="AI1194"/>
  <c r="AH1194" l="1"/>
  <c r="U1194"/>
  <c r="Y1194"/>
  <c r="Z1194" s="1"/>
  <c r="AF1193"/>
  <c r="AI1193"/>
  <c r="W1193"/>
  <c r="AH1193" l="1"/>
  <c r="U1193"/>
  <c r="Y1193"/>
  <c r="Z1193" s="1"/>
  <c r="AF1192"/>
  <c r="W1192"/>
  <c r="AI1192"/>
  <c r="AH1192" l="1"/>
  <c r="U1192"/>
  <c r="Y1192"/>
  <c r="Z1192" s="1"/>
  <c r="AF1191"/>
  <c r="W1191"/>
  <c r="AI1191"/>
  <c r="AH1191" l="1"/>
  <c r="U1191"/>
  <c r="Y1191"/>
  <c r="Z1191" s="1"/>
  <c r="AF1190"/>
  <c r="W1190"/>
  <c r="AI1190"/>
  <c r="AH1190" l="1"/>
  <c r="U1190"/>
  <c r="Y1190"/>
  <c r="Z1190" s="1"/>
  <c r="AF1189"/>
  <c r="AI1189"/>
  <c r="W1189"/>
  <c r="AH1189" l="1"/>
  <c r="U1189"/>
  <c r="Y1189"/>
  <c r="Z1189" s="1"/>
  <c r="AF1187" l="1"/>
  <c r="W1187"/>
  <c r="AI1187"/>
  <c r="AH1187" l="1"/>
  <c r="U1187"/>
  <c r="Y1187"/>
  <c r="Z1187" s="1"/>
  <c r="AF1185" l="1"/>
  <c r="W1185"/>
  <c r="AI1185"/>
  <c r="AH1185" l="1"/>
  <c r="U1185"/>
  <c r="Y1185"/>
  <c r="Z1185" s="1"/>
  <c r="AF1184"/>
  <c r="AI1184"/>
  <c r="W1184"/>
  <c r="AH1184" l="1"/>
  <c r="U1184"/>
  <c r="Y1184"/>
  <c r="Z1184" s="1"/>
  <c r="AF1182" l="1"/>
  <c r="W1182"/>
  <c r="AI1182"/>
  <c r="AH1182" l="1"/>
  <c r="U1182"/>
  <c r="Y1182"/>
  <c r="Z1182" s="1"/>
  <c r="AF1181"/>
  <c r="W1181"/>
  <c r="AI1181"/>
  <c r="AH1181" l="1"/>
  <c r="U1181"/>
  <c r="Y1181"/>
  <c r="Z1181" s="1"/>
  <c r="AF1179" l="1"/>
  <c r="W1179"/>
  <c r="AI1179"/>
  <c r="AH1179" l="1"/>
  <c r="U1179"/>
  <c r="Y1179"/>
  <c r="Z1179" s="1"/>
  <c r="AF1178"/>
  <c r="W1178"/>
  <c r="AI1178"/>
  <c r="AH1178" l="1"/>
  <c r="U1178"/>
  <c r="Y1178"/>
  <c r="Z1178" s="1"/>
  <c r="AF1177"/>
  <c r="W1177"/>
  <c r="AI1177"/>
  <c r="AH1177" l="1"/>
  <c r="U1177"/>
  <c r="Y1177"/>
  <c r="Z1177" s="1"/>
  <c r="AF1175" l="1"/>
  <c r="W1175"/>
  <c r="AI1175"/>
  <c r="AH1175" l="1"/>
  <c r="U1175"/>
  <c r="Y1175"/>
  <c r="Z1175" s="1"/>
  <c r="AF1174"/>
  <c r="AI1174"/>
  <c r="W1174"/>
  <c r="AH1174" l="1"/>
  <c r="U1174"/>
  <c r="Y1174"/>
  <c r="Z1174" s="1"/>
  <c r="AF1173"/>
  <c r="AI1173"/>
  <c r="W1173"/>
  <c r="AH1173" l="1"/>
  <c r="U1173"/>
  <c r="Y1173"/>
  <c r="Z1173" s="1"/>
  <c r="AF1172"/>
  <c r="AI1172"/>
  <c r="W1172"/>
  <c r="AH1172" l="1"/>
  <c r="U1172"/>
  <c r="Y1172"/>
  <c r="Z1172" s="1"/>
  <c r="AF1171"/>
  <c r="W1171"/>
  <c r="AI1171"/>
  <c r="AH1171" l="1"/>
  <c r="U1171"/>
  <c r="Y1171"/>
  <c r="Z1171" s="1"/>
  <c r="AF1170"/>
  <c r="AI1170"/>
  <c r="W1170"/>
  <c r="AH1170" l="1"/>
  <c r="U1170"/>
  <c r="Y1170"/>
  <c r="Z1170" s="1"/>
  <c r="AF1169"/>
  <c r="AI1169"/>
  <c r="W1169"/>
  <c r="AH1169" l="1"/>
  <c r="U1169"/>
  <c r="Y1169"/>
  <c r="Z1169" s="1"/>
  <c r="AF1168"/>
  <c r="AI1168"/>
  <c r="W1168"/>
  <c r="AH1168" l="1"/>
  <c r="U1168"/>
  <c r="Y1168"/>
  <c r="Z1168" s="1"/>
  <c r="AF1167"/>
  <c r="W1167"/>
  <c r="AI1167"/>
  <c r="AH1167" l="1"/>
  <c r="U1167"/>
  <c r="Y1167"/>
  <c r="Z1167" s="1"/>
  <c r="AF1166"/>
  <c r="AI1166"/>
  <c r="W1166"/>
  <c r="AH1166" l="1"/>
  <c r="U1166"/>
  <c r="Y1166"/>
  <c r="Z1166" s="1"/>
  <c r="AF1165"/>
  <c r="AI1165"/>
  <c r="W1165"/>
  <c r="AH1165" l="1"/>
  <c r="U1165"/>
  <c r="Y1165"/>
  <c r="Z1165" s="1"/>
  <c r="AF1164"/>
  <c r="W1164"/>
  <c r="AI1164"/>
  <c r="AH1164" l="1"/>
  <c r="U1164"/>
  <c r="Y1164"/>
  <c r="Z1164" s="1"/>
  <c r="AF1163"/>
  <c r="W1163"/>
  <c r="AI1163"/>
  <c r="AH1163" l="1"/>
  <c r="U1163"/>
  <c r="Y1163"/>
  <c r="Z1163" s="1"/>
  <c r="AF1161"/>
  <c r="AI1161"/>
  <c r="W1161"/>
  <c r="AH1161" l="1"/>
  <c r="U1161"/>
  <c r="Y1161"/>
  <c r="Z1161" s="1"/>
  <c r="AF1160"/>
  <c r="AI1160"/>
  <c r="W1160"/>
  <c r="AH1160" l="1"/>
  <c r="U1160"/>
  <c r="Y1160"/>
  <c r="Z1160" s="1"/>
  <c r="AF1159"/>
  <c r="W1159"/>
  <c r="AI1159"/>
  <c r="AH1159" l="1"/>
  <c r="U1159"/>
  <c r="Y1159"/>
  <c r="Z1159" s="1"/>
  <c r="AF1158"/>
  <c r="W1158"/>
  <c r="AI1158"/>
  <c r="AH1158" l="1"/>
  <c r="U1158"/>
  <c r="Y1158"/>
  <c r="Z1158" s="1"/>
  <c r="AF1157"/>
  <c r="W1157"/>
  <c r="AI1157"/>
  <c r="AH1157" l="1"/>
  <c r="U1157"/>
  <c r="Y1157"/>
  <c r="Z1157" s="1"/>
  <c r="AF1156"/>
  <c r="AI1156"/>
  <c r="W1156"/>
  <c r="AH1156" l="1"/>
  <c r="U1156"/>
  <c r="Y1156"/>
  <c r="Z1156" s="1"/>
  <c r="AF1155"/>
  <c r="W1155"/>
  <c r="AI1155"/>
  <c r="AH1155" l="1"/>
  <c r="U1155"/>
  <c r="Y1155"/>
  <c r="Z1155" s="1"/>
  <c r="AF1154"/>
  <c r="AI1154"/>
  <c r="W1154"/>
  <c r="AH1154" l="1"/>
  <c r="U1154"/>
  <c r="Y1154"/>
  <c r="Z1154" s="1"/>
  <c r="AF1153"/>
  <c r="AI1153"/>
  <c r="W1153"/>
  <c r="AH1153" l="1"/>
  <c r="U1153"/>
  <c r="Y1153"/>
  <c r="Z1153" s="1"/>
  <c r="AF1152"/>
  <c r="AI1152"/>
  <c r="W1152"/>
  <c r="AH1152" l="1"/>
  <c r="U1152"/>
  <c r="Y1152"/>
  <c r="Z1152" s="1"/>
  <c r="AF1151"/>
  <c r="W1151"/>
  <c r="AI1151"/>
  <c r="AH1151" l="1"/>
  <c r="U1151"/>
  <c r="Y1151"/>
  <c r="Z1151" s="1"/>
  <c r="AF1150"/>
  <c r="W1150"/>
  <c r="AI1150"/>
  <c r="AH1150" l="1"/>
  <c r="U1150"/>
  <c r="Y1150"/>
  <c r="Z1150" s="1"/>
  <c r="AF1149"/>
  <c r="AI1149"/>
  <c r="W1149"/>
  <c r="AH1149" l="1"/>
  <c r="U1149"/>
  <c r="Y1149"/>
  <c r="Z1149" s="1"/>
  <c r="AF1148"/>
  <c r="W1148"/>
  <c r="AI1148"/>
  <c r="AH1148" l="1"/>
  <c r="U1148"/>
  <c r="Y1148"/>
  <c r="Z1148" s="1"/>
  <c r="AF1147"/>
  <c r="W1147"/>
  <c r="AI1147"/>
  <c r="AH1147" l="1"/>
  <c r="U1147"/>
  <c r="Y1147"/>
  <c r="Z1147" s="1"/>
  <c r="AF1146"/>
  <c r="W1146"/>
  <c r="AI1146"/>
  <c r="AH1146" l="1"/>
  <c r="U1146"/>
  <c r="Y1146"/>
  <c r="Z1146" s="1"/>
  <c r="AF1144" l="1"/>
  <c r="W1144"/>
  <c r="AI1144"/>
  <c r="AH1144" l="1"/>
  <c r="U1144"/>
  <c r="Y1144"/>
  <c r="Z1144" s="1"/>
  <c r="AF1143"/>
  <c r="W1143"/>
  <c r="AI1143"/>
  <c r="AH1143" l="1"/>
  <c r="U1143"/>
  <c r="Y1143"/>
  <c r="Z1143" s="1"/>
  <c r="AF1142"/>
  <c r="AI1142"/>
  <c r="W1142"/>
  <c r="AH1142" l="1"/>
  <c r="U1142"/>
  <c r="Y1142"/>
  <c r="Z1142" s="1"/>
  <c r="AF1141"/>
  <c r="W1141"/>
  <c r="AI1141"/>
  <c r="AH1141" l="1"/>
  <c r="U1141"/>
  <c r="Y1141"/>
  <c r="Z1141" s="1"/>
  <c r="AF1140"/>
  <c r="AI1140"/>
  <c r="W1140"/>
  <c r="AH1140" l="1"/>
  <c r="U1140"/>
  <c r="Y1140"/>
  <c r="Z1140" s="1"/>
  <c r="AF1139"/>
  <c r="W1139"/>
  <c r="AI1139"/>
  <c r="AH1139" l="1"/>
  <c r="U1139"/>
  <c r="Y1139"/>
  <c r="Z1139" s="1"/>
  <c r="AF1138"/>
  <c r="W1138"/>
  <c r="AI1138"/>
  <c r="AH1138" l="1"/>
  <c r="U1138"/>
  <c r="Y1138"/>
  <c r="Z1138" s="1"/>
  <c r="AF1137"/>
  <c r="W1137"/>
  <c r="AI1137"/>
  <c r="AH1137" l="1"/>
  <c r="U1137"/>
  <c r="Y1137"/>
  <c r="Z1137" s="1"/>
  <c r="AF1134" l="1"/>
  <c r="W1134"/>
  <c r="AI1134"/>
  <c r="AH1134" l="1"/>
  <c r="U1134"/>
  <c r="Y1134"/>
  <c r="Z1134" s="1"/>
  <c r="AF1133"/>
  <c r="AI1133"/>
  <c r="W1133"/>
  <c r="AH1133" l="1"/>
  <c r="U1133"/>
  <c r="Y1133"/>
  <c r="Z1133" s="1"/>
  <c r="AF1132"/>
  <c r="W1132"/>
  <c r="AI1132"/>
  <c r="AH1132" l="1"/>
  <c r="U1132"/>
  <c r="Y1132"/>
  <c r="Z1132" s="1"/>
  <c r="AF1130" l="1"/>
  <c r="W1130"/>
  <c r="AI1130"/>
  <c r="AH1130" l="1"/>
  <c r="U1130"/>
  <c r="Y1130"/>
  <c r="Z1130" s="1"/>
  <c r="AF1127" l="1"/>
  <c r="W1127"/>
  <c r="AI1127"/>
  <c r="AH1127" l="1"/>
  <c r="U1127"/>
  <c r="Y1127"/>
  <c r="Z1127" s="1"/>
  <c r="AF1126"/>
  <c r="W1126"/>
  <c r="AI1126"/>
  <c r="AH1126" l="1"/>
  <c r="U1126"/>
  <c r="Y1126"/>
  <c r="Z1126" s="1"/>
  <c r="AF1125"/>
  <c r="W1125"/>
  <c r="AI1125"/>
  <c r="AH1125" l="1"/>
  <c r="U1125"/>
  <c r="Y1125"/>
  <c r="Z1125" s="1"/>
  <c r="AF1124"/>
  <c r="W1124"/>
  <c r="AI1124"/>
  <c r="AH1124" l="1"/>
  <c r="U1124"/>
  <c r="Y1124"/>
  <c r="Z1124" s="1"/>
  <c r="AF1123"/>
  <c r="W1123"/>
  <c r="AI1123"/>
  <c r="AH1123" l="1"/>
  <c r="U1123"/>
  <c r="Y1123"/>
  <c r="Z1123" s="1"/>
  <c r="AF1122"/>
  <c r="AI1122"/>
  <c r="W1122"/>
  <c r="AH1122" l="1"/>
  <c r="U1122"/>
  <c r="Y1122"/>
  <c r="Z1122" s="1"/>
  <c r="AF1121"/>
  <c r="W1121"/>
  <c r="AI1121"/>
  <c r="AH1121" l="1"/>
  <c r="U1121"/>
  <c r="Y1121"/>
  <c r="Z1121" s="1"/>
  <c r="AF1119" l="1"/>
  <c r="AI1119"/>
  <c r="W1119"/>
  <c r="AH1119" l="1"/>
  <c r="U1119"/>
  <c r="Y1119"/>
  <c r="Z1119" s="1"/>
  <c r="AF1118"/>
  <c r="W1118"/>
  <c r="AI1118"/>
  <c r="AH1118" l="1"/>
  <c r="U1118"/>
  <c r="Y1118"/>
  <c r="Z1118" s="1"/>
  <c r="AF1117"/>
  <c r="AI1117"/>
  <c r="W1117"/>
  <c r="AH1117" l="1"/>
  <c r="U1117"/>
  <c r="Y1117"/>
  <c r="Z1117" s="1"/>
  <c r="AF1115" l="1"/>
  <c r="AI1115"/>
  <c r="W1115"/>
  <c r="AH1115" l="1"/>
  <c r="U1115"/>
  <c r="Y1115"/>
  <c r="Z1115" s="1"/>
  <c r="AF1114"/>
  <c r="AI1114"/>
  <c r="W1114"/>
  <c r="AH1114" l="1"/>
  <c r="U1114"/>
  <c r="Y1114"/>
  <c r="Z1114" s="1"/>
  <c r="AF1113"/>
  <c r="W1113"/>
  <c r="AI1113"/>
  <c r="AH1113" l="1"/>
  <c r="U1113"/>
  <c r="Y1113"/>
  <c r="Z1113" s="1"/>
  <c r="AF1112"/>
  <c r="W1112"/>
  <c r="AI1112"/>
  <c r="AH1112" l="1"/>
  <c r="U1112"/>
  <c r="Y1112"/>
  <c r="Z1112" s="1"/>
  <c r="AF1111"/>
  <c r="W1111"/>
  <c r="AI1111"/>
  <c r="AH1111" l="1"/>
  <c r="U1111"/>
  <c r="Y1111"/>
  <c r="Z1111" s="1"/>
  <c r="AF1110"/>
  <c r="W1110"/>
  <c r="AI1110"/>
  <c r="AH1110" l="1"/>
  <c r="U1110"/>
  <c r="Y1110"/>
  <c r="Z1110" s="1"/>
  <c r="AF1108" l="1"/>
  <c r="AI1108"/>
  <c r="W1108"/>
  <c r="AH1108" l="1"/>
  <c r="U1108"/>
  <c r="Y1108"/>
  <c r="Z1108" s="1"/>
  <c r="AF1107"/>
  <c r="W1107"/>
  <c r="AI1107"/>
  <c r="AH1107" l="1"/>
  <c r="U1107"/>
  <c r="Y1107"/>
  <c r="Z1107" s="1"/>
  <c r="AF1105" l="1"/>
  <c r="W1105"/>
  <c r="AI1105"/>
  <c r="AH1105" l="1"/>
  <c r="U1105"/>
  <c r="Y1105"/>
  <c r="Z1105" s="1"/>
  <c r="AF1104"/>
  <c r="AI1104"/>
  <c r="W1104"/>
  <c r="AH1104" l="1"/>
  <c r="U1104"/>
  <c r="Y1104"/>
  <c r="Z1104" s="1"/>
  <c r="AF1103"/>
  <c r="AI1103"/>
  <c r="W1103"/>
  <c r="AH1103" l="1"/>
  <c r="U1103"/>
  <c r="Y1103"/>
  <c r="Z1103" s="1"/>
  <c r="AF1102"/>
  <c r="W1102"/>
  <c r="AI1102"/>
  <c r="AH1102" l="1"/>
  <c r="U1102"/>
  <c r="Y1102"/>
  <c r="Z1102" s="1"/>
  <c r="AF1101"/>
  <c r="AI1101"/>
  <c r="W1101"/>
  <c r="AH1101" l="1"/>
  <c r="U1101"/>
  <c r="Y1101"/>
  <c r="Z1101" s="1"/>
  <c r="AF1099" l="1"/>
  <c r="AI1099"/>
  <c r="W1099"/>
  <c r="AH1099" l="1"/>
  <c r="U1099"/>
  <c r="Y1099"/>
  <c r="Z1099" s="1"/>
  <c r="AF1098"/>
  <c r="W1098"/>
  <c r="AI1098"/>
  <c r="AH1098" l="1"/>
  <c r="U1098"/>
  <c r="Y1098"/>
  <c r="Z1098" s="1"/>
  <c r="AF1097"/>
  <c r="W1097"/>
  <c r="AI1097"/>
  <c r="AH1097" l="1"/>
  <c r="U1097"/>
  <c r="Y1097"/>
  <c r="Z1097" s="1"/>
  <c r="AF1096"/>
  <c r="W1096"/>
  <c r="AI1096"/>
  <c r="AH1096" l="1"/>
  <c r="U1096"/>
  <c r="Y1096"/>
  <c r="Z1096" s="1"/>
  <c r="AF1095"/>
  <c r="AI1095"/>
  <c r="W1095"/>
  <c r="AH1095" l="1"/>
  <c r="U1095"/>
  <c r="Y1095"/>
  <c r="Z1095" s="1"/>
  <c r="AF1093" l="1"/>
  <c r="AI1093"/>
  <c r="W1093"/>
  <c r="AH1093" l="1"/>
  <c r="U1093"/>
  <c r="Y1093"/>
  <c r="Z1093" s="1"/>
  <c r="AF1091" l="1"/>
  <c r="AI1091"/>
  <c r="W1091"/>
  <c r="AH1091" l="1"/>
  <c r="U1091"/>
  <c r="Y1091"/>
  <c r="Z1091" s="1"/>
  <c r="AF1090"/>
  <c r="W1090"/>
  <c r="AI1090"/>
  <c r="AH1090" l="1"/>
  <c r="U1090"/>
  <c r="Y1090"/>
  <c r="Z1090" s="1"/>
  <c r="AF1089"/>
  <c r="W1089"/>
  <c r="AI1089"/>
  <c r="AH1089" l="1"/>
  <c r="U1089"/>
  <c r="Y1089"/>
  <c r="Z1089" s="1"/>
  <c r="AF1088"/>
  <c r="W1088"/>
  <c r="AI1088"/>
  <c r="AH1088" l="1"/>
  <c r="U1088"/>
  <c r="Y1088"/>
  <c r="Z1088" s="1"/>
  <c r="AF1087"/>
  <c r="W1087"/>
  <c r="AI1087"/>
  <c r="AH1087" l="1"/>
  <c r="U1087"/>
  <c r="Y1087"/>
  <c r="Z1087" s="1"/>
  <c r="AF1086"/>
  <c r="AI1086"/>
  <c r="W1086"/>
  <c r="AH1086" l="1"/>
  <c r="U1086"/>
  <c r="Y1086"/>
  <c r="Z1086" s="1"/>
  <c r="AF1085"/>
  <c r="AI1085"/>
  <c r="W1085"/>
  <c r="AH1085" l="1"/>
  <c r="U1085"/>
  <c r="Y1085"/>
  <c r="Z1085" s="1"/>
  <c r="AF1084"/>
  <c r="AI1084"/>
  <c r="W1084"/>
  <c r="AH1084" l="1"/>
  <c r="U1084"/>
  <c r="Y1084"/>
  <c r="Z1084" s="1"/>
  <c r="AF1083"/>
  <c r="W1083"/>
  <c r="AI1083"/>
  <c r="AH1083" l="1"/>
  <c r="U1083"/>
  <c r="Y1083"/>
  <c r="Z1083" s="1"/>
  <c r="AF1082"/>
  <c r="AI1082"/>
  <c r="W1082"/>
  <c r="AH1082" l="1"/>
  <c r="U1082"/>
  <c r="Y1082"/>
  <c r="Z1082" s="1"/>
  <c r="AF1081"/>
  <c r="W1081"/>
  <c r="AI1081"/>
  <c r="AH1081" l="1"/>
  <c r="U1081"/>
  <c r="Y1081"/>
  <c r="Z1081" s="1"/>
  <c r="AF1080"/>
  <c r="AI1080"/>
  <c r="W1080"/>
  <c r="AH1080" l="1"/>
  <c r="U1080"/>
  <c r="Y1080"/>
  <c r="Z1080" s="1"/>
  <c r="AF1079"/>
  <c r="W1079"/>
  <c r="AI1079"/>
  <c r="AH1079" l="1"/>
  <c r="U1079"/>
  <c r="Y1079"/>
  <c r="Z1079" s="1"/>
  <c r="AF1077" l="1"/>
  <c r="AI1077"/>
  <c r="W1077"/>
  <c r="AH1077" l="1"/>
  <c r="U1077"/>
  <c r="Y1077"/>
  <c r="Z1077" s="1"/>
  <c r="AF1076"/>
  <c r="AI1076"/>
  <c r="W1076"/>
  <c r="AH1076" l="1"/>
  <c r="U1076"/>
  <c r="Y1076"/>
  <c r="Z1076" s="1"/>
  <c r="AF1075"/>
  <c r="W1075"/>
  <c r="AI1075"/>
  <c r="AH1075" l="1"/>
  <c r="U1075"/>
  <c r="Y1075"/>
  <c r="Z1075" s="1"/>
  <c r="AF1074"/>
  <c r="W1074"/>
  <c r="AI1074"/>
  <c r="AH1074" l="1"/>
  <c r="U1074"/>
  <c r="Y1074"/>
  <c r="Z1074" s="1"/>
  <c r="AF1073" l="1"/>
  <c r="AI1073"/>
  <c r="W1073"/>
  <c r="AH1073" l="1"/>
  <c r="U1073"/>
  <c r="Y1073"/>
  <c r="Z1073" s="1"/>
  <c r="AF1072"/>
  <c r="AI1072"/>
  <c r="W1072"/>
  <c r="AH1072" l="1"/>
  <c r="U1072"/>
  <c r="Y1072"/>
  <c r="Z1072" s="1"/>
  <c r="AF1071"/>
  <c r="W1071"/>
  <c r="AI1071"/>
  <c r="AH1071" l="1"/>
  <c r="U1071"/>
  <c r="Y1071"/>
  <c r="Z1071" s="1"/>
  <c r="AF1070"/>
  <c r="W1070"/>
  <c r="AI1070"/>
  <c r="AH1070" l="1"/>
  <c r="U1070"/>
  <c r="Y1070"/>
  <c r="Z1070" s="1"/>
  <c r="AF1069"/>
  <c r="AI1069"/>
  <c r="W1069"/>
  <c r="AH1069" l="1"/>
  <c r="U1069"/>
  <c r="Y1069"/>
  <c r="Z1069" s="1"/>
  <c r="AF1068"/>
  <c r="AI1068"/>
  <c r="W1068"/>
  <c r="AH1068" l="1"/>
  <c r="U1068"/>
  <c r="Y1068"/>
  <c r="Z1068" s="1"/>
  <c r="AF1067"/>
  <c r="AI1067"/>
  <c r="W1067"/>
  <c r="AH1067" l="1"/>
  <c r="U1067"/>
  <c r="Y1067"/>
  <c r="Z1067" s="1"/>
  <c r="AF1064" l="1"/>
  <c r="W1064"/>
  <c r="AI1064"/>
  <c r="AH1064" l="1"/>
  <c r="U1064"/>
  <c r="Y1064"/>
  <c r="Z1064" s="1"/>
  <c r="AF1063"/>
  <c r="W1063"/>
  <c r="AI1063"/>
  <c r="AH1063" l="1"/>
  <c r="U1063"/>
  <c r="Y1063"/>
  <c r="Z1063" s="1"/>
  <c r="AF1061" l="1"/>
  <c r="W1061"/>
  <c r="AI1061"/>
  <c r="AH1061" l="1"/>
  <c r="U1061"/>
  <c r="Y1061"/>
  <c r="Z1061" s="1"/>
  <c r="AF1059" l="1"/>
  <c r="W1059"/>
  <c r="AI1059"/>
  <c r="AH1059" l="1"/>
  <c r="U1059"/>
  <c r="Y1059"/>
  <c r="Z1059" s="1"/>
  <c r="AF1058"/>
  <c r="W1058"/>
  <c r="AI1058"/>
  <c r="AH1058" l="1"/>
  <c r="U1058"/>
  <c r="Y1058"/>
  <c r="Z1058" s="1"/>
  <c r="AF1057"/>
  <c r="W1057"/>
  <c r="AI1057"/>
  <c r="AH1057" l="1"/>
  <c r="U1057"/>
  <c r="Y1057"/>
  <c r="Z1057" s="1"/>
  <c r="AF1056"/>
  <c r="W1056"/>
  <c r="AI1056"/>
  <c r="AH1056" l="1"/>
  <c r="U1056"/>
  <c r="Y1056"/>
  <c r="Z1056" s="1"/>
  <c r="AF1055"/>
  <c r="W1055"/>
  <c r="AI1055"/>
  <c r="AH1055" l="1"/>
  <c r="U1055"/>
  <c r="Y1055"/>
  <c r="Z1055" s="1"/>
  <c r="AF1054"/>
  <c r="W1054"/>
  <c r="AI1054"/>
  <c r="AH1054" l="1"/>
  <c r="U1054"/>
  <c r="Y1054"/>
  <c r="Z1054" s="1"/>
  <c r="AF1053"/>
  <c r="W1053"/>
  <c r="AI1053"/>
  <c r="AH1053" l="1"/>
  <c r="U1053"/>
  <c r="Y1053"/>
  <c r="Z1053" s="1"/>
  <c r="AF1052"/>
  <c r="W1052"/>
  <c r="AI1052"/>
  <c r="AH1052" l="1"/>
  <c r="U1052"/>
  <c r="Y1052"/>
  <c r="Z1052" s="1"/>
  <c r="AF1050" l="1"/>
  <c r="AI1050"/>
  <c r="W1050"/>
  <c r="AH1050" l="1"/>
  <c r="U1050"/>
  <c r="Y1050"/>
  <c r="Z1050" s="1"/>
  <c r="AF1049"/>
  <c r="W1049"/>
  <c r="AI1049"/>
  <c r="AH1049" l="1"/>
  <c r="U1049"/>
  <c r="Y1049"/>
  <c r="Z1049" s="1"/>
  <c r="AF1048"/>
  <c r="W1048"/>
  <c r="AI1048"/>
  <c r="AH1048" l="1"/>
  <c r="U1048"/>
  <c r="Y1048"/>
  <c r="Z1048" s="1"/>
  <c r="AF1047"/>
  <c r="AI1047"/>
  <c r="W1047"/>
  <c r="AH1047" l="1"/>
  <c r="U1047"/>
  <c r="Y1047"/>
  <c r="Z1047" s="1"/>
  <c r="AF1046" l="1"/>
  <c r="W1046"/>
  <c r="AI1046"/>
  <c r="AH1046" l="1"/>
  <c r="U1046"/>
  <c r="Y1046"/>
  <c r="Z1046" s="1"/>
  <c r="AF1045"/>
  <c r="W1045"/>
  <c r="AI1045"/>
  <c r="AH1045" l="1"/>
  <c r="U1045"/>
  <c r="Y1045"/>
  <c r="Z1045" s="1"/>
  <c r="AF1044"/>
  <c r="AI1044"/>
  <c r="W1044"/>
  <c r="AH1044" l="1"/>
  <c r="U1044"/>
  <c r="Y1044"/>
  <c r="Z1044" s="1"/>
  <c r="AF1043"/>
  <c r="AI1043"/>
  <c r="W1043"/>
  <c r="AH1043" l="1"/>
  <c r="U1043"/>
  <c r="Y1043"/>
  <c r="Z1043" s="1"/>
  <c r="AF1041" l="1"/>
  <c r="W1041"/>
  <c r="AI1041"/>
  <c r="AH1041" l="1"/>
  <c r="U1041"/>
  <c r="Y1041"/>
  <c r="Z1041" s="1"/>
  <c r="AF1040"/>
  <c r="W1040"/>
  <c r="AI1040"/>
  <c r="AH1040" l="1"/>
  <c r="U1040"/>
  <c r="Y1040"/>
  <c r="Z1040" s="1"/>
  <c r="AF1039"/>
  <c r="W1039"/>
  <c r="AI1039"/>
  <c r="AH1039" l="1"/>
  <c r="U1039"/>
  <c r="Y1039"/>
  <c r="Z1039" s="1"/>
  <c r="AF1038"/>
  <c r="W1038"/>
  <c r="AI1038"/>
  <c r="AH1038" l="1"/>
  <c r="U1038"/>
  <c r="Y1038"/>
  <c r="Z1038" s="1"/>
  <c r="AF1037"/>
  <c r="W1037"/>
  <c r="AI1037"/>
  <c r="AH1037" l="1"/>
  <c r="U1037"/>
  <c r="Y1037"/>
  <c r="Z1037" s="1"/>
  <c r="AF1036"/>
  <c r="AI1036"/>
  <c r="W1036"/>
  <c r="AH1036" l="1"/>
  <c r="U1036"/>
  <c r="Y1036"/>
  <c r="Z1036" s="1"/>
  <c r="AF1034" l="1"/>
  <c r="AI1034"/>
  <c r="W1034"/>
  <c r="AH1034" l="1"/>
  <c r="U1034"/>
  <c r="Y1034"/>
  <c r="Z1034" s="1"/>
  <c r="AF1033"/>
  <c r="W1033"/>
  <c r="AI1033"/>
  <c r="AH1033" l="1"/>
  <c r="U1033"/>
  <c r="Y1033"/>
  <c r="Z1033" s="1"/>
  <c r="AF1032"/>
  <c r="AI1032"/>
  <c r="W1032"/>
  <c r="AH1032" l="1"/>
  <c r="U1032"/>
  <c r="Y1032"/>
  <c r="Z1032" s="1"/>
  <c r="AF1030" l="1"/>
  <c r="AI1030"/>
  <c r="W1030"/>
  <c r="AH1030" l="1"/>
  <c r="U1030"/>
  <c r="Y1030"/>
  <c r="Z1030" s="1"/>
  <c r="AF1028" l="1"/>
  <c r="W1028"/>
  <c r="AI1028"/>
  <c r="AH1028" l="1"/>
  <c r="U1028"/>
  <c r="Y1028"/>
  <c r="Z1028" s="1"/>
  <c r="AF1027"/>
  <c r="W1027"/>
  <c r="AI1027"/>
  <c r="AH1027" l="1"/>
  <c r="U1027"/>
  <c r="Y1027"/>
  <c r="Z1027" s="1"/>
  <c r="AF1025" l="1"/>
  <c r="AI1025"/>
  <c r="W1025"/>
  <c r="AI36" i="114" l="1"/>
  <c r="AH36" s="1"/>
  <c r="W36"/>
  <c r="AH1025" i="57"/>
  <c r="U1025"/>
  <c r="Y1025"/>
  <c r="Z1025" s="1"/>
  <c r="AF1024"/>
  <c r="W1024"/>
  <c r="AI1024"/>
  <c r="U36" i="114" l="1"/>
  <c r="Y36"/>
  <c r="Z36" s="1"/>
  <c r="AH1024" i="57"/>
  <c r="U1024"/>
  <c r="Y1024"/>
  <c r="Z1024" s="1"/>
  <c r="AF1023"/>
  <c r="W1023"/>
  <c r="AI1023"/>
  <c r="AH1023" l="1"/>
  <c r="U1023"/>
  <c r="Y1023"/>
  <c r="Z1023" s="1"/>
  <c r="AF1021" l="1"/>
  <c r="W1021"/>
  <c r="AI1021"/>
  <c r="AH1021" l="1"/>
  <c r="U1021"/>
  <c r="Y1021"/>
  <c r="Z1021" s="1"/>
  <c r="AF1020"/>
  <c r="AI1020"/>
  <c r="W1020"/>
  <c r="AH1020" l="1"/>
  <c r="U1020"/>
  <c r="Y1020"/>
  <c r="Z1020" s="1"/>
  <c r="AF1017"/>
  <c r="AI1017"/>
  <c r="W1017"/>
  <c r="AH1017" l="1"/>
  <c r="U1017"/>
  <c r="Y1017"/>
  <c r="Z1017" s="1"/>
  <c r="AF1016"/>
  <c r="W1016"/>
  <c r="AI1016"/>
  <c r="AH1016" l="1"/>
  <c r="U1016"/>
  <c r="Y1016"/>
  <c r="Z1016" s="1"/>
  <c r="AF1015"/>
  <c r="W1015"/>
  <c r="AI1015"/>
  <c r="AH1015" l="1"/>
  <c r="U1015"/>
  <c r="Y1015"/>
  <c r="Z1015" s="1"/>
  <c r="AF1014"/>
  <c r="W1014"/>
  <c r="AI1014"/>
  <c r="AH1014" l="1"/>
  <c r="U1014"/>
  <c r="Y1014"/>
  <c r="Z1014" s="1"/>
  <c r="AF1013"/>
  <c r="W1013"/>
  <c r="AI1013"/>
  <c r="AH1013" l="1"/>
  <c r="U1013"/>
  <c r="Y1013"/>
  <c r="Z1013" s="1"/>
  <c r="AF1012"/>
  <c r="W1012"/>
  <c r="AI1012"/>
  <c r="AH1012" l="1"/>
  <c r="U1012"/>
  <c r="Y1012"/>
  <c r="Z1012" s="1"/>
  <c r="AF1011"/>
  <c r="W1011"/>
  <c r="AI1011"/>
  <c r="AH1011" l="1"/>
  <c r="U1011"/>
  <c r="Y1011"/>
  <c r="Z1011" s="1"/>
  <c r="AF1010"/>
  <c r="AI1010"/>
  <c r="W1010"/>
  <c r="AH1010" l="1"/>
  <c r="U1010"/>
  <c r="Y1010"/>
  <c r="Z1010" s="1"/>
  <c r="AF1009"/>
  <c r="W1009"/>
  <c r="AI1009"/>
  <c r="AH1009" l="1"/>
  <c r="U1009"/>
  <c r="Y1009"/>
  <c r="Z1009" s="1"/>
  <c r="AF1008"/>
  <c r="W1008"/>
  <c r="AI1008"/>
  <c r="AH1008" l="1"/>
  <c r="U1008"/>
  <c r="Y1008"/>
  <c r="Z1008" s="1"/>
  <c r="AF1007"/>
  <c r="W1007"/>
  <c r="AI1007"/>
  <c r="AH1007" l="1"/>
  <c r="U1007"/>
  <c r="Y1007"/>
  <c r="Z1007" s="1"/>
  <c r="AF1006"/>
  <c r="AI1006"/>
  <c r="W1006"/>
  <c r="AH1006" l="1"/>
  <c r="U1006"/>
  <c r="Y1006"/>
  <c r="Z1006" s="1"/>
  <c r="AF1005"/>
  <c r="AI1005"/>
  <c r="W1005"/>
  <c r="AH1005" l="1"/>
  <c r="U1005"/>
  <c r="Y1005"/>
  <c r="Z1005" s="1"/>
  <c r="AF1003"/>
  <c r="W1003"/>
  <c r="AI1003"/>
  <c r="AH1003" l="1"/>
  <c r="U1003"/>
  <c r="Y1003"/>
  <c r="Z1003" s="1"/>
  <c r="AF1002"/>
  <c r="W1002"/>
  <c r="AI1002"/>
  <c r="AH1002" l="1"/>
  <c r="U1002"/>
  <c r="Y1002"/>
  <c r="Z1002" s="1"/>
  <c r="AF1000" l="1"/>
  <c r="W1000"/>
  <c r="AI1000"/>
  <c r="AH1000" l="1"/>
  <c r="U1000"/>
  <c r="Y1000"/>
  <c r="Z1000" s="1"/>
  <c r="AF999"/>
  <c r="W999"/>
  <c r="AI999"/>
  <c r="AH999" l="1"/>
  <c r="U999"/>
  <c r="Y999"/>
  <c r="Z999" s="1"/>
  <c r="AF998"/>
  <c r="AI998"/>
  <c r="W998"/>
  <c r="AH998" l="1"/>
  <c r="U998"/>
  <c r="Y998"/>
  <c r="Z998" s="1"/>
  <c r="AF997"/>
  <c r="W997"/>
  <c r="AI997"/>
  <c r="AH997" l="1"/>
  <c r="U997"/>
  <c r="Y997"/>
  <c r="Z997" s="1"/>
  <c r="AF995" l="1"/>
  <c r="W995"/>
  <c r="AI995"/>
  <c r="AH995" l="1"/>
  <c r="U995"/>
  <c r="Y995"/>
  <c r="Z995" s="1"/>
  <c r="AF994"/>
  <c r="AI994"/>
  <c r="W994"/>
  <c r="AH994" l="1"/>
  <c r="U994"/>
  <c r="Y994"/>
  <c r="Z994" s="1"/>
  <c r="AF992" l="1"/>
  <c r="W992"/>
  <c r="AI992"/>
  <c r="AH992" l="1"/>
  <c r="U992"/>
  <c r="Y992"/>
  <c r="Z992" s="1"/>
  <c r="AF991"/>
  <c r="W991"/>
  <c r="AI991"/>
  <c r="AH991" l="1"/>
  <c r="U991"/>
  <c r="Y991"/>
  <c r="Z991" s="1"/>
  <c r="AF990"/>
  <c r="AI990"/>
  <c r="W990"/>
  <c r="AH990" l="1"/>
  <c r="U990"/>
  <c r="Y990"/>
  <c r="Z990" s="1"/>
  <c r="AF989"/>
  <c r="W989"/>
  <c r="AI989"/>
  <c r="AH989" l="1"/>
  <c r="U989"/>
  <c r="Y989"/>
  <c r="Z989" s="1"/>
  <c r="AF988"/>
  <c r="W988"/>
  <c r="AI988"/>
  <c r="AH988" l="1"/>
  <c r="U988"/>
  <c r="Y988"/>
  <c r="Z988" s="1"/>
  <c r="AF987"/>
  <c r="W987"/>
  <c r="AI987"/>
  <c r="AH987" l="1"/>
  <c r="U987"/>
  <c r="Y987"/>
  <c r="Z987" s="1"/>
  <c r="AF986"/>
  <c r="W986"/>
  <c r="AI986"/>
  <c r="AH986" l="1"/>
  <c r="U986"/>
  <c r="Y986"/>
  <c r="Z986" s="1"/>
  <c r="AF985"/>
  <c r="W985"/>
  <c r="AI985"/>
  <c r="AH985" l="1"/>
  <c r="U985"/>
  <c r="Y985"/>
  <c r="Z985" s="1"/>
  <c r="AF984"/>
  <c r="W984"/>
  <c r="AI984"/>
  <c r="AH984" l="1"/>
  <c r="U984"/>
  <c r="Y984"/>
  <c r="Z984" s="1"/>
  <c r="AF983"/>
  <c r="AI983"/>
  <c r="W983"/>
  <c r="AH983" l="1"/>
  <c r="U983"/>
  <c r="Y983"/>
  <c r="Z983" s="1"/>
  <c r="AF982"/>
  <c r="W982"/>
  <c r="AI982"/>
  <c r="AH982" l="1"/>
  <c r="U982"/>
  <c r="Y982"/>
  <c r="Z982" s="1"/>
  <c r="AF981"/>
  <c r="AI981"/>
  <c r="W981"/>
  <c r="AH981" l="1"/>
  <c r="U981"/>
  <c r="Y981"/>
  <c r="Z981" s="1"/>
  <c r="AF980"/>
  <c r="W980"/>
  <c r="AI980"/>
  <c r="AH980" l="1"/>
  <c r="U980"/>
  <c r="Y980"/>
  <c r="Z980" s="1"/>
  <c r="AF979"/>
  <c r="W979"/>
  <c r="AI979"/>
  <c r="AH979" l="1"/>
  <c r="U979"/>
  <c r="Y979"/>
  <c r="Z979" s="1"/>
  <c r="AF978"/>
  <c r="AI978"/>
  <c r="W978"/>
  <c r="AH978" l="1"/>
  <c r="U978"/>
  <c r="Y978"/>
  <c r="Z978" s="1"/>
  <c r="AF976" l="1"/>
  <c r="AI976"/>
  <c r="W976"/>
  <c r="AH976" l="1"/>
  <c r="U976"/>
  <c r="Y976"/>
  <c r="Z976" s="1"/>
  <c r="AF975"/>
  <c r="AI975"/>
  <c r="W975"/>
  <c r="AH975" l="1"/>
  <c r="U975"/>
  <c r="Y975"/>
  <c r="Z975" s="1"/>
  <c r="AF974"/>
  <c r="W974"/>
  <c r="AI974"/>
  <c r="AH974" l="1"/>
  <c r="U974"/>
  <c r="Y974"/>
  <c r="Z974" s="1"/>
  <c r="AF973"/>
  <c r="AI973"/>
  <c r="W973"/>
  <c r="AH973" l="1"/>
  <c r="U973"/>
  <c r="Y973"/>
  <c r="Z973" s="1"/>
  <c r="AF972"/>
  <c r="W972"/>
  <c r="AI972"/>
  <c r="AH972" l="1"/>
  <c r="U972"/>
  <c r="Y972"/>
  <c r="Z972" s="1"/>
  <c r="AF971"/>
  <c r="AI971"/>
  <c r="W971"/>
  <c r="AH971" l="1"/>
  <c r="U971"/>
  <c r="Y971"/>
  <c r="Z971" s="1"/>
  <c r="AF970"/>
  <c r="AI970"/>
  <c r="W970"/>
  <c r="AH970" l="1"/>
  <c r="U970"/>
  <c r="Y970"/>
  <c r="Z970" s="1"/>
  <c r="AF969"/>
  <c r="W969"/>
  <c r="AI969"/>
  <c r="AH969" l="1"/>
  <c r="U969"/>
  <c r="Y969"/>
  <c r="Z969" s="1"/>
  <c r="AF968"/>
  <c r="AI968"/>
  <c r="W968"/>
  <c r="AH968" l="1"/>
  <c r="U968"/>
  <c r="Y968"/>
  <c r="Z968" s="1"/>
  <c r="AF967"/>
  <c r="W967"/>
  <c r="AI967"/>
  <c r="AH967" l="1"/>
  <c r="U967"/>
  <c r="Y967"/>
  <c r="Z967" s="1"/>
  <c r="AF966"/>
  <c r="W966"/>
  <c r="AI966"/>
  <c r="AH966" l="1"/>
  <c r="U966"/>
  <c r="Y966"/>
  <c r="Z966" s="1"/>
  <c r="AF965"/>
  <c r="W965"/>
  <c r="AI965"/>
  <c r="AH965" l="1"/>
  <c r="U965"/>
  <c r="Y965"/>
  <c r="Z965" s="1"/>
  <c r="AF963" l="1"/>
  <c r="AI963"/>
  <c r="W963"/>
  <c r="AH963" l="1"/>
  <c r="U963"/>
  <c r="Y963"/>
  <c r="Z963" s="1"/>
  <c r="AF959" l="1"/>
  <c r="W959"/>
  <c r="AI959"/>
  <c r="AH959" l="1"/>
  <c r="U959"/>
  <c r="Y959"/>
  <c r="Z959" s="1"/>
  <c r="AF958"/>
  <c r="W958"/>
  <c r="AI958"/>
  <c r="AH958" l="1"/>
  <c r="U958"/>
  <c r="Y958"/>
  <c r="Z958" s="1"/>
  <c r="AF957"/>
  <c r="AI957"/>
  <c r="W957"/>
  <c r="AH957" l="1"/>
  <c r="U957"/>
  <c r="Y957"/>
  <c r="Z957" s="1"/>
  <c r="AF956"/>
  <c r="W956"/>
  <c r="AI956"/>
  <c r="AH956" l="1"/>
  <c r="U956"/>
  <c r="Y956"/>
  <c r="Z956" s="1"/>
  <c r="AF955"/>
  <c r="W955"/>
  <c r="AI955"/>
  <c r="AH955" l="1"/>
  <c r="U955"/>
  <c r="Y955"/>
  <c r="Z955" s="1"/>
  <c r="AF954"/>
  <c r="W954"/>
  <c r="AI954"/>
  <c r="AH954" l="1"/>
  <c r="U954"/>
  <c r="Y954"/>
  <c r="Z954" s="1"/>
  <c r="AF953"/>
  <c r="AI953"/>
  <c r="W953"/>
  <c r="AH953" l="1"/>
  <c r="U953"/>
  <c r="Y953"/>
  <c r="Z953" s="1"/>
  <c r="AF952"/>
  <c r="W952"/>
  <c r="AI952"/>
  <c r="AH952" l="1"/>
  <c r="U952"/>
  <c r="Y952"/>
  <c r="Z952" s="1"/>
  <c r="AF951"/>
  <c r="AI951"/>
  <c r="W951"/>
  <c r="AH951" l="1"/>
  <c r="U951"/>
  <c r="Y951"/>
  <c r="Z951" s="1"/>
  <c r="AF948" l="1"/>
  <c r="W948"/>
  <c r="AI948"/>
  <c r="AH948" l="1"/>
  <c r="U948"/>
  <c r="Y948"/>
  <c r="Z948" s="1"/>
  <c r="AF947"/>
  <c r="W947"/>
  <c r="AI947"/>
  <c r="AH947" l="1"/>
  <c r="U947"/>
  <c r="Y947"/>
  <c r="Z947" s="1"/>
  <c r="AF946"/>
  <c r="W946"/>
  <c r="AI946"/>
  <c r="AH946" l="1"/>
  <c r="U946"/>
  <c r="Y946"/>
  <c r="Z946" s="1"/>
  <c r="AF943" l="1"/>
  <c r="W943"/>
  <c r="AI943"/>
  <c r="AH943" l="1"/>
  <c r="U943"/>
  <c r="Y943"/>
  <c r="Z943" s="1"/>
  <c r="AF942"/>
  <c r="AI942"/>
  <c r="W942"/>
  <c r="AH942" l="1"/>
  <c r="U942"/>
  <c r="Y942"/>
  <c r="Z942" s="1"/>
  <c r="AF940" l="1"/>
  <c r="W940"/>
  <c r="AI940"/>
  <c r="AH940" l="1"/>
  <c r="U940"/>
  <c r="Y940"/>
  <c r="Z940" s="1"/>
  <c r="AF938" l="1"/>
  <c r="W938"/>
  <c r="AI938"/>
  <c r="AH938" l="1"/>
  <c r="U938"/>
  <c r="Y938"/>
  <c r="Z938" s="1"/>
  <c r="AF937"/>
  <c r="AI937"/>
  <c r="W937"/>
  <c r="AH937" l="1"/>
  <c r="U937"/>
  <c r="Y937"/>
  <c r="Z937" s="1"/>
  <c r="AF935" l="1"/>
  <c r="W935"/>
  <c r="AI935"/>
  <c r="AH935" l="1"/>
  <c r="U935"/>
  <c r="Y935"/>
  <c r="Z935" s="1"/>
  <c r="AF932" l="1"/>
  <c r="W932"/>
  <c r="AI932"/>
  <c r="AH932" l="1"/>
  <c r="U932"/>
  <c r="Y932"/>
  <c r="Z932" s="1"/>
  <c r="AF931"/>
  <c r="W931"/>
  <c r="AI931"/>
  <c r="AH931" l="1"/>
  <c r="U931"/>
  <c r="Y931"/>
  <c r="Z931" s="1"/>
  <c r="AF927" l="1"/>
  <c r="W927"/>
  <c r="AI927"/>
  <c r="AH927" l="1"/>
  <c r="U927"/>
  <c r="Y927"/>
  <c r="Z927" s="1"/>
  <c r="AF926"/>
  <c r="W926"/>
  <c r="AI926"/>
  <c r="AH926" l="1"/>
  <c r="U926"/>
  <c r="Y926"/>
  <c r="Z926" s="1"/>
  <c r="AF924" l="1"/>
  <c r="W924"/>
  <c r="AI924"/>
  <c r="AH924" l="1"/>
  <c r="U924"/>
  <c r="Y924"/>
  <c r="Z924" s="1"/>
  <c r="AF923"/>
  <c r="AI923"/>
  <c r="W923"/>
  <c r="AH923" l="1"/>
  <c r="U923"/>
  <c r="Y923"/>
  <c r="Z923" s="1"/>
  <c r="AF922"/>
  <c r="W922"/>
  <c r="AI922"/>
  <c r="AH922" l="1"/>
  <c r="U922"/>
  <c r="Y922"/>
  <c r="Z922" s="1"/>
  <c r="AF920" l="1"/>
  <c r="AI920"/>
  <c r="W920"/>
  <c r="AH920" l="1"/>
  <c r="U920"/>
  <c r="Y920"/>
  <c r="Z920" s="1"/>
  <c r="AF919"/>
  <c r="W919"/>
  <c r="AI919"/>
  <c r="AH919" l="1"/>
  <c r="U919"/>
  <c r="Y919"/>
  <c r="Z919" s="1"/>
  <c r="AF918"/>
  <c r="W918"/>
  <c r="AI918"/>
  <c r="AH918" l="1"/>
  <c r="U918"/>
  <c r="Y918"/>
  <c r="Z918" s="1"/>
  <c r="AF916" l="1"/>
  <c r="AI916"/>
  <c r="W916"/>
  <c r="AH916" l="1"/>
  <c r="U916"/>
  <c r="Y916"/>
  <c r="Z916" s="1"/>
  <c r="AF915"/>
  <c r="AI915"/>
  <c r="W915"/>
  <c r="AH915" l="1"/>
  <c r="U915"/>
  <c r="Y915"/>
  <c r="Z915" s="1"/>
  <c r="AF914"/>
  <c r="AI914"/>
  <c r="W914"/>
  <c r="AH914" l="1"/>
  <c r="U914"/>
  <c r="Y914"/>
  <c r="Z914" s="1"/>
  <c r="AF910" l="1"/>
  <c r="AI910"/>
  <c r="W910"/>
  <c r="AH910" l="1"/>
  <c r="U910"/>
  <c r="Y910"/>
  <c r="Z910" s="1"/>
  <c r="AF909"/>
  <c r="AI909"/>
  <c r="W909"/>
  <c r="AH909" l="1"/>
  <c r="U909"/>
  <c r="Y909"/>
  <c r="Z909" s="1"/>
  <c r="AF908"/>
  <c r="W908"/>
  <c r="AI908"/>
  <c r="AH908" l="1"/>
  <c r="U908"/>
  <c r="Y908"/>
  <c r="Z908" s="1"/>
  <c r="AF907"/>
  <c r="W907"/>
  <c r="AI907"/>
  <c r="AH907" l="1"/>
  <c r="U907"/>
  <c r="Y907"/>
  <c r="Z907" s="1"/>
  <c r="AF905" l="1"/>
  <c r="AI905"/>
  <c r="W905"/>
  <c r="AH905" l="1"/>
  <c r="U905"/>
  <c r="Y905"/>
  <c r="Z905" s="1"/>
  <c r="AF904"/>
  <c r="W904"/>
  <c r="AI904"/>
  <c r="AH904" l="1"/>
  <c r="U904"/>
  <c r="Y904"/>
  <c r="Z904" s="1"/>
  <c r="AF903"/>
  <c r="AI903"/>
  <c r="W903"/>
  <c r="AH903" l="1"/>
  <c r="U903"/>
  <c r="Y903"/>
  <c r="Z903" s="1"/>
  <c r="AF902"/>
  <c r="W902"/>
  <c r="AI902"/>
  <c r="AH902" l="1"/>
  <c r="U902"/>
  <c r="Y902"/>
  <c r="Z902" s="1"/>
  <c r="AF901"/>
  <c r="W901"/>
  <c r="AI901"/>
  <c r="AH901" l="1"/>
  <c r="U901"/>
  <c r="Y901"/>
  <c r="Z901" s="1"/>
  <c r="AF900"/>
  <c r="AI900"/>
  <c r="W900"/>
  <c r="AH900" l="1"/>
  <c r="U900"/>
  <c r="Y900"/>
  <c r="Z900" s="1"/>
  <c r="AF899"/>
  <c r="W899"/>
  <c r="AI899"/>
  <c r="AH899" l="1"/>
  <c r="U899"/>
  <c r="Y899"/>
  <c r="Z899" s="1"/>
  <c r="AF897" l="1"/>
  <c r="AI897"/>
  <c r="W897"/>
  <c r="AH897" l="1"/>
  <c r="U897"/>
  <c r="Y897"/>
  <c r="Z897" s="1"/>
  <c r="AF896"/>
  <c r="W896"/>
  <c r="AI896"/>
  <c r="AH896" l="1"/>
  <c r="U896"/>
  <c r="Y896"/>
  <c r="Z896" s="1"/>
  <c r="AF895"/>
  <c r="W895"/>
  <c r="AI895"/>
  <c r="AH895" l="1"/>
  <c r="U895"/>
  <c r="Y895"/>
  <c r="Z895" s="1"/>
  <c r="AF894"/>
  <c r="AI894"/>
  <c r="W894"/>
  <c r="AH894" l="1"/>
  <c r="U894"/>
  <c r="Y894"/>
  <c r="Z894" s="1"/>
  <c r="AF893"/>
  <c r="W893"/>
  <c r="AI893"/>
  <c r="AH893" l="1"/>
  <c r="U893"/>
  <c r="Y893"/>
  <c r="Z893" s="1"/>
  <c r="AF892"/>
  <c r="AI892"/>
  <c r="W892"/>
  <c r="AH892" l="1"/>
  <c r="U892"/>
  <c r="Y892"/>
  <c r="Z892" s="1"/>
  <c r="AF890" l="1"/>
  <c r="W890"/>
  <c r="AI890"/>
  <c r="AH890" l="1"/>
  <c r="U890"/>
  <c r="Y890"/>
  <c r="Z890" s="1"/>
  <c r="AF889"/>
  <c r="W889"/>
  <c r="AI889"/>
  <c r="AH889" l="1"/>
  <c r="U889"/>
  <c r="Y889"/>
  <c r="Z889" s="1"/>
  <c r="AF888"/>
  <c r="W888"/>
  <c r="AI888"/>
  <c r="AH888" l="1"/>
  <c r="U888"/>
  <c r="Y888"/>
  <c r="Z888" s="1"/>
  <c r="AF887"/>
  <c r="W887"/>
  <c r="AI887"/>
  <c r="AH887" l="1"/>
  <c r="U887"/>
  <c r="Y887"/>
  <c r="Z887" s="1"/>
  <c r="AF886"/>
  <c r="W886"/>
  <c r="AI886"/>
  <c r="AH886" l="1"/>
  <c r="U886"/>
  <c r="Y886"/>
  <c r="Z886" s="1"/>
  <c r="AF885"/>
  <c r="W885"/>
  <c r="AI885"/>
  <c r="AH885" l="1"/>
  <c r="U885"/>
  <c r="Y885"/>
  <c r="Z885" s="1"/>
  <c r="AF884"/>
  <c r="AI884"/>
  <c r="W884"/>
  <c r="AH884" l="1"/>
  <c r="U884"/>
  <c r="Y884"/>
  <c r="Z884" s="1"/>
  <c r="AF881" l="1"/>
  <c r="W881"/>
  <c r="AI881"/>
  <c r="AH881" l="1"/>
  <c r="U881"/>
  <c r="Y881"/>
  <c r="Z881" s="1"/>
  <c r="AF879" l="1"/>
  <c r="W879"/>
  <c r="AI879"/>
  <c r="AH879" l="1"/>
  <c r="U879"/>
  <c r="Y879"/>
  <c r="Z879" s="1"/>
  <c r="AF878"/>
  <c r="AI878"/>
  <c r="W878"/>
  <c r="AH878" l="1"/>
  <c r="U878"/>
  <c r="Y878"/>
  <c r="Z878" s="1"/>
  <c r="AF877"/>
  <c r="AI877"/>
  <c r="W877"/>
  <c r="AH877" l="1"/>
  <c r="U877"/>
  <c r="Y877"/>
  <c r="Z877" s="1"/>
  <c r="AF876"/>
  <c r="W876"/>
  <c r="AI876"/>
  <c r="AH876" l="1"/>
  <c r="U876"/>
  <c r="Y876"/>
  <c r="Z876" s="1"/>
  <c r="AF875"/>
  <c r="AI875"/>
  <c r="W875"/>
  <c r="AH875" l="1"/>
  <c r="U875"/>
  <c r="Y875"/>
  <c r="Z875" s="1"/>
  <c r="AF874"/>
  <c r="W874"/>
  <c r="AI874"/>
  <c r="AH874" l="1"/>
  <c r="U874"/>
  <c r="Y874"/>
  <c r="Z874" s="1"/>
  <c r="AF873"/>
  <c r="W873"/>
  <c r="AI873"/>
  <c r="AH873" l="1"/>
  <c r="U873"/>
  <c r="Y873"/>
  <c r="Z873" s="1"/>
  <c r="AF872"/>
  <c r="AI872"/>
  <c r="W872"/>
  <c r="AH872" l="1"/>
  <c r="U872"/>
  <c r="Y872"/>
  <c r="Z872" s="1"/>
  <c r="AF869" l="1"/>
  <c r="AI869"/>
  <c r="W869"/>
  <c r="AH869" l="1"/>
  <c r="U869"/>
  <c r="Y869"/>
  <c r="Z869" s="1"/>
  <c r="AF867" l="1"/>
  <c r="W867"/>
  <c r="AI867"/>
  <c r="AH867" l="1"/>
  <c r="U867"/>
  <c r="Y867"/>
  <c r="Z867" s="1"/>
  <c r="AF866"/>
  <c r="AI866"/>
  <c r="W866"/>
  <c r="AH866" l="1"/>
  <c r="U866"/>
  <c r="Y866"/>
  <c r="Z866" s="1"/>
  <c r="AF865"/>
  <c r="AI865"/>
  <c r="W865"/>
  <c r="AH865" l="1"/>
  <c r="U865"/>
  <c r="Y865"/>
  <c r="Z865" s="1"/>
  <c r="AF864"/>
  <c r="AI864"/>
  <c r="W864"/>
  <c r="AH864" l="1"/>
  <c r="U864"/>
  <c r="Y864"/>
  <c r="Z864" s="1"/>
  <c r="AF863"/>
  <c r="AI863"/>
  <c r="W863"/>
  <c r="AH863" l="1"/>
  <c r="U863"/>
  <c r="Y863"/>
  <c r="Z863" s="1"/>
  <c r="AF862"/>
  <c r="W862"/>
  <c r="AI862"/>
  <c r="AH862" l="1"/>
  <c r="U862"/>
  <c r="Y862"/>
  <c r="Z862" s="1"/>
  <c r="AF861"/>
  <c r="AI861"/>
  <c r="W861"/>
  <c r="AH861" l="1"/>
  <c r="U861"/>
  <c r="Y861"/>
  <c r="Z861" s="1"/>
  <c r="AF859" l="1"/>
  <c r="W859"/>
  <c r="AI859"/>
  <c r="AH859" l="1"/>
  <c r="U859"/>
  <c r="Y859"/>
  <c r="Z859" s="1"/>
  <c r="AF857" l="1"/>
  <c r="W857"/>
  <c r="AI857"/>
  <c r="AH857" l="1"/>
  <c r="U857"/>
  <c r="Y857"/>
  <c r="Z857" s="1"/>
  <c r="AF855" l="1"/>
  <c r="W855"/>
  <c r="AI855"/>
  <c r="AH855" l="1"/>
  <c r="U855"/>
  <c r="Y855"/>
  <c r="Z855" s="1"/>
  <c r="AF854"/>
  <c r="AI854"/>
  <c r="W854"/>
  <c r="AH854" l="1"/>
  <c r="U854"/>
  <c r="Y854"/>
  <c r="Z854" s="1"/>
  <c r="AF852" l="1"/>
  <c r="W852"/>
  <c r="AI852"/>
  <c r="AH852" l="1"/>
  <c r="U852"/>
  <c r="Y852"/>
  <c r="Z852" s="1"/>
  <c r="AF851"/>
  <c r="W851"/>
  <c r="AI851"/>
  <c r="AH851" l="1"/>
  <c r="U851"/>
  <c r="Y851"/>
  <c r="Z851" s="1"/>
  <c r="AF850"/>
  <c r="AI850"/>
  <c r="W850"/>
  <c r="AH850" l="1"/>
  <c r="U850"/>
  <c r="Y850"/>
  <c r="Z850" s="1"/>
  <c r="AF849"/>
  <c r="AI849"/>
  <c r="W849"/>
  <c r="AH849" l="1"/>
  <c r="U849"/>
  <c r="Y849"/>
  <c r="Z849" s="1"/>
  <c r="AF848"/>
  <c r="AI848"/>
  <c r="W848"/>
  <c r="AH848" l="1"/>
  <c r="U848"/>
  <c r="Y848"/>
  <c r="Z848" s="1"/>
  <c r="AF847"/>
  <c r="W847"/>
  <c r="AI847"/>
  <c r="AH847" l="1"/>
  <c r="U847"/>
  <c r="Y847"/>
  <c r="Z847" s="1"/>
  <c r="AF844"/>
  <c r="AI844"/>
  <c r="W844"/>
  <c r="AH844" l="1"/>
  <c r="U844"/>
  <c r="Y844"/>
  <c r="Z844" s="1"/>
  <c r="AF842" l="1"/>
  <c r="AI842"/>
  <c r="W842"/>
  <c r="AH842" l="1"/>
  <c r="U842"/>
  <c r="Y842"/>
  <c r="Z842" s="1"/>
  <c r="AF841"/>
  <c r="W841"/>
  <c r="AI841"/>
  <c r="AH841" l="1"/>
  <c r="U841"/>
  <c r="Y841"/>
  <c r="Z841" s="1"/>
  <c r="AF839" l="1"/>
  <c r="W839"/>
  <c r="AI839"/>
  <c r="AH839" l="1"/>
  <c r="U839"/>
  <c r="Y839"/>
  <c r="Z839" s="1"/>
  <c r="AF838"/>
  <c r="W838"/>
  <c r="AI838"/>
  <c r="AH838" l="1"/>
  <c r="U838"/>
  <c r="Y838"/>
  <c r="Z838" s="1"/>
  <c r="AF837"/>
  <c r="W837"/>
  <c r="AI837"/>
  <c r="AH837" l="1"/>
  <c r="U837"/>
  <c r="Y837"/>
  <c r="Z837" s="1"/>
  <c r="AF836"/>
  <c r="W836"/>
  <c r="AI836"/>
  <c r="AH836" l="1"/>
  <c r="U836"/>
  <c r="Y836"/>
  <c r="Z836" s="1"/>
  <c r="AF835"/>
  <c r="AI835"/>
  <c r="W835"/>
  <c r="AH835" l="1"/>
  <c r="U835"/>
  <c r="Y835"/>
  <c r="Z835" s="1"/>
  <c r="AF834"/>
  <c r="W834"/>
  <c r="AI834"/>
  <c r="AH834" l="1"/>
  <c r="U834"/>
  <c r="Y834"/>
  <c r="Z834" s="1"/>
  <c r="AF833"/>
  <c r="W833"/>
  <c r="AI833"/>
  <c r="AH833" l="1"/>
  <c r="U833"/>
  <c r="Y833"/>
  <c r="Z833" s="1"/>
  <c r="AF832"/>
  <c r="AI832"/>
  <c r="W832"/>
  <c r="AH832" l="1"/>
  <c r="U832"/>
  <c r="Y832"/>
  <c r="Z832" s="1"/>
  <c r="AF831"/>
  <c r="AI831"/>
  <c r="W831"/>
  <c r="AH831" l="1"/>
  <c r="U831"/>
  <c r="Y831"/>
  <c r="Z831" s="1"/>
  <c r="AF830"/>
  <c r="AI830"/>
  <c r="W830"/>
  <c r="AH830" l="1"/>
  <c r="U830"/>
  <c r="Y830"/>
  <c r="Z830" s="1"/>
  <c r="AF829"/>
  <c r="W829"/>
  <c r="AI829"/>
  <c r="AH829" l="1"/>
  <c r="U829"/>
  <c r="Y829"/>
  <c r="Z829" s="1"/>
  <c r="AF828"/>
  <c r="W828"/>
  <c r="AI828"/>
  <c r="AH828" l="1"/>
  <c r="U828"/>
  <c r="Y828"/>
  <c r="Z828" s="1"/>
  <c r="AF827"/>
  <c r="AI827"/>
  <c r="W827"/>
  <c r="AH827" l="1"/>
  <c r="U827"/>
  <c r="Y827"/>
  <c r="Z827" s="1"/>
  <c r="AF826"/>
  <c r="W826"/>
  <c r="AI826"/>
  <c r="AH826" l="1"/>
  <c r="U826"/>
  <c r="Y826"/>
  <c r="Z826" s="1"/>
  <c r="AF825"/>
  <c r="AI825"/>
  <c r="W825"/>
  <c r="AH825" l="1"/>
  <c r="U825"/>
  <c r="Y825"/>
  <c r="Z825" s="1"/>
  <c r="AF824"/>
  <c r="W824"/>
  <c r="AI824"/>
  <c r="AH824" l="1"/>
  <c r="U824"/>
  <c r="Y824"/>
  <c r="Z824" s="1"/>
  <c r="AF821" l="1"/>
  <c r="W821"/>
  <c r="AI821"/>
  <c r="AH821" l="1"/>
  <c r="U821"/>
  <c r="Y821"/>
  <c r="Z821" s="1"/>
  <c r="AF820"/>
  <c r="W820"/>
  <c r="AI820"/>
  <c r="AH820" l="1"/>
  <c r="U820"/>
  <c r="Y820"/>
  <c r="Z820" s="1"/>
  <c r="AF819"/>
  <c r="AI819"/>
  <c r="W819"/>
  <c r="AH819" l="1"/>
  <c r="U819"/>
  <c r="Y819"/>
  <c r="Z819" s="1"/>
  <c r="AF818"/>
  <c r="W818"/>
  <c r="AI818"/>
  <c r="AH818" l="1"/>
  <c r="U818"/>
  <c r="Y818"/>
  <c r="Z818" s="1"/>
  <c r="AF817"/>
  <c r="W817"/>
  <c r="AI817"/>
  <c r="AH817" l="1"/>
  <c r="U817"/>
  <c r="Y817"/>
  <c r="Z817" s="1"/>
  <c r="AF816"/>
  <c r="AI816"/>
  <c r="W816"/>
  <c r="AH816" l="1"/>
  <c r="U816"/>
  <c r="Y816"/>
  <c r="Z816" s="1"/>
  <c r="AF812" l="1"/>
  <c r="AI812"/>
  <c r="W812"/>
  <c r="AH812" l="1"/>
  <c r="U812"/>
  <c r="Y812"/>
  <c r="Z812" s="1"/>
  <c r="AF811"/>
  <c r="AI811"/>
  <c r="W811"/>
  <c r="AH811" l="1"/>
  <c r="U811"/>
  <c r="Y811"/>
  <c r="Z811" s="1"/>
  <c r="AF810"/>
  <c r="AI810"/>
  <c r="W810"/>
  <c r="AH810" l="1"/>
  <c r="U810"/>
  <c r="Y810"/>
  <c r="Z810" s="1"/>
  <c r="AF809"/>
  <c r="W809"/>
  <c r="AI809"/>
  <c r="AH809" l="1"/>
  <c r="U809"/>
  <c r="Y809"/>
  <c r="Z809" s="1"/>
  <c r="AF806"/>
  <c r="W806"/>
  <c r="AI806"/>
  <c r="AH806" l="1"/>
  <c r="U806"/>
  <c r="Y806"/>
  <c r="Z806" s="1"/>
  <c r="AF805"/>
  <c r="W805"/>
  <c r="AI805"/>
  <c r="AH805" l="1"/>
  <c r="U805"/>
  <c r="Y805"/>
  <c r="Z805" s="1"/>
  <c r="AF804"/>
  <c r="W804"/>
  <c r="AI804"/>
  <c r="AH804" l="1"/>
  <c r="U804"/>
  <c r="Y804"/>
  <c r="Z804" s="1"/>
  <c r="AF803"/>
  <c r="AI803"/>
  <c r="W803"/>
  <c r="AH803" l="1"/>
  <c r="U803"/>
  <c r="Y803"/>
  <c r="Z803" s="1"/>
  <c r="AF802"/>
  <c r="W802"/>
  <c r="AI802"/>
  <c r="AH802" l="1"/>
  <c r="U802"/>
  <c r="Y802"/>
  <c r="Z802" s="1"/>
  <c r="AF801"/>
  <c r="AI801"/>
  <c r="W801"/>
  <c r="AH801" l="1"/>
  <c r="U801"/>
  <c r="Y801"/>
  <c r="Z801" s="1"/>
  <c r="AF800"/>
  <c r="W800"/>
  <c r="AI800"/>
  <c r="U151" i="114" l="1"/>
  <c r="Y151"/>
  <c r="Z151" s="1"/>
  <c r="AH800" i="57"/>
  <c r="U800"/>
  <c r="Y800"/>
  <c r="Z800" s="1"/>
  <c r="AF799"/>
  <c r="W799"/>
  <c r="AI799"/>
  <c r="AH799" l="1"/>
  <c r="U799"/>
  <c r="Y799"/>
  <c r="Z799" s="1"/>
  <c r="AF798"/>
  <c r="W798"/>
  <c r="AI798"/>
  <c r="AH798" l="1"/>
  <c r="U798"/>
  <c r="Y798"/>
  <c r="Z798" s="1"/>
  <c r="AF797"/>
  <c r="AI797"/>
  <c r="W797"/>
  <c r="AH797" l="1"/>
  <c r="U797"/>
  <c r="Y797"/>
  <c r="Z797" s="1"/>
  <c r="AF795" l="1"/>
  <c r="W795"/>
  <c r="AI795"/>
  <c r="AH795" l="1"/>
  <c r="U795"/>
  <c r="Y795"/>
  <c r="Z795" s="1"/>
  <c r="AF794"/>
  <c r="AI794"/>
  <c r="W794"/>
  <c r="AH794" l="1"/>
  <c r="U794"/>
  <c r="Y794"/>
  <c r="Z794" s="1"/>
  <c r="AF793"/>
  <c r="W793"/>
  <c r="AI793"/>
  <c r="AH793" l="1"/>
  <c r="U793"/>
  <c r="Y793"/>
  <c r="Z793" s="1"/>
  <c r="AF792"/>
  <c r="AI792"/>
  <c r="W792"/>
  <c r="AH792" l="1"/>
  <c r="U792"/>
  <c r="Y792"/>
  <c r="Z792" s="1"/>
  <c r="AF790" l="1"/>
  <c r="W790"/>
  <c r="AI790"/>
  <c r="AH790" l="1"/>
  <c r="U790"/>
  <c r="Y790"/>
  <c r="Z790" s="1"/>
  <c r="AF789"/>
  <c r="W789"/>
  <c r="AI789"/>
  <c r="AH789" l="1"/>
  <c r="U789"/>
  <c r="Y789"/>
  <c r="Z789" s="1"/>
  <c r="AF788"/>
  <c r="AI788"/>
  <c r="W788"/>
  <c r="AH788" l="1"/>
  <c r="U788"/>
  <c r="Y788"/>
  <c r="Z788" s="1"/>
  <c r="AF787"/>
  <c r="W787"/>
  <c r="AI787"/>
  <c r="AH787" l="1"/>
  <c r="U787"/>
  <c r="Y787"/>
  <c r="Z787" s="1"/>
  <c r="AF786"/>
  <c r="W786"/>
  <c r="AI786"/>
  <c r="AH786" l="1"/>
  <c r="U786"/>
  <c r="Y786"/>
  <c r="Z786" s="1"/>
  <c r="AF785"/>
  <c r="AI785"/>
  <c r="W785"/>
  <c r="AH785" l="1"/>
  <c r="U785"/>
  <c r="Y785"/>
  <c r="Z785" s="1"/>
  <c r="AF784"/>
  <c r="W784"/>
  <c r="AI784"/>
  <c r="AH784" l="1"/>
  <c r="U784"/>
  <c r="Y784"/>
  <c r="Z784" s="1"/>
  <c r="AF783" l="1"/>
  <c r="AI783"/>
  <c r="W783"/>
  <c r="AH783" l="1"/>
  <c r="U783"/>
  <c r="Y783"/>
  <c r="Z783" s="1"/>
  <c r="AF782"/>
  <c r="AI782"/>
  <c r="W782"/>
  <c r="AH782" l="1"/>
  <c r="U782"/>
  <c r="Y782"/>
  <c r="Z782" s="1"/>
  <c r="AF781"/>
  <c r="AI781"/>
  <c r="W781"/>
  <c r="AH781" l="1"/>
  <c r="U781"/>
  <c r="Y781"/>
  <c r="Z781" s="1"/>
  <c r="AF779" l="1"/>
  <c r="AI779"/>
  <c r="W779"/>
  <c r="AH779" l="1"/>
  <c r="U779"/>
  <c r="Y779"/>
  <c r="Z779" s="1"/>
  <c r="AF778"/>
  <c r="W778"/>
  <c r="AI778"/>
  <c r="AH778" l="1"/>
  <c r="U778"/>
  <c r="Y778"/>
  <c r="Z778" s="1"/>
  <c r="AF776" l="1"/>
  <c r="AI776"/>
  <c r="W776"/>
  <c r="AH776" l="1"/>
  <c r="U776"/>
  <c r="Y776"/>
  <c r="Z776" s="1"/>
  <c r="AF775"/>
  <c r="W775"/>
  <c r="AI775"/>
  <c r="AH775" l="1"/>
  <c r="U775"/>
  <c r="Y775"/>
  <c r="Z775" s="1"/>
  <c r="AF773" l="1"/>
  <c r="W773"/>
  <c r="AI773"/>
  <c r="AH773" l="1"/>
  <c r="U773"/>
  <c r="Y773"/>
  <c r="Z773" s="1"/>
  <c r="AF772"/>
  <c r="W772"/>
  <c r="AI772"/>
  <c r="AH772" l="1"/>
  <c r="U772"/>
  <c r="Y772"/>
  <c r="Z772" s="1"/>
  <c r="AF771"/>
  <c r="AI771"/>
  <c r="W771"/>
  <c r="AH771" l="1"/>
  <c r="U771"/>
  <c r="Y771"/>
  <c r="Z771" s="1"/>
  <c r="AF770"/>
  <c r="AI770"/>
  <c r="W770"/>
  <c r="AH770" l="1"/>
  <c r="U770"/>
  <c r="Y770"/>
  <c r="Z770" s="1"/>
  <c r="AF769"/>
  <c r="W769"/>
  <c r="AI769"/>
  <c r="AH769" l="1"/>
  <c r="U769"/>
  <c r="Y769"/>
  <c r="Z769" s="1"/>
  <c r="AF768"/>
  <c r="W768"/>
  <c r="AI768"/>
  <c r="AH768" l="1"/>
  <c r="U768"/>
  <c r="Y768"/>
  <c r="Z768" s="1"/>
  <c r="AF767"/>
  <c r="W767"/>
  <c r="AI767"/>
  <c r="AH767" l="1"/>
  <c r="U767"/>
  <c r="Y767"/>
  <c r="Z767" s="1"/>
  <c r="AF766"/>
  <c r="AI766"/>
  <c r="W766"/>
  <c r="AH766" l="1"/>
  <c r="U766"/>
  <c r="Y766"/>
  <c r="Z766" s="1"/>
  <c r="AF764" l="1"/>
  <c r="W764"/>
  <c r="AI764"/>
  <c r="AH764" l="1"/>
  <c r="U764"/>
  <c r="Y764"/>
  <c r="Z764" s="1"/>
  <c r="AF763"/>
  <c r="AI763"/>
  <c r="W763"/>
  <c r="AH763" l="1"/>
  <c r="U763"/>
  <c r="Y763"/>
  <c r="Z763" s="1"/>
  <c r="AF762"/>
  <c r="W762"/>
  <c r="AI762"/>
  <c r="AH762" l="1"/>
  <c r="U762"/>
  <c r="Y762"/>
  <c r="Z762" s="1"/>
  <c r="AF761"/>
  <c r="W761"/>
  <c r="AI761"/>
  <c r="AH761" l="1"/>
  <c r="U761"/>
  <c r="Y761"/>
  <c r="Z761" s="1"/>
  <c r="AF760"/>
  <c r="AI760"/>
  <c r="W760"/>
  <c r="AH760" l="1"/>
  <c r="U760"/>
  <c r="Y760"/>
  <c r="Z760" s="1"/>
  <c r="AF759"/>
  <c r="W759"/>
  <c r="AI759"/>
  <c r="AH759" l="1"/>
  <c r="U759"/>
  <c r="Y759"/>
  <c r="Z759" s="1"/>
  <c r="AF758"/>
  <c r="W758"/>
  <c r="AI758"/>
  <c r="AH758" l="1"/>
  <c r="U758"/>
  <c r="Y758"/>
  <c r="Z758" s="1"/>
  <c r="AF757"/>
  <c r="AI757"/>
  <c r="W757"/>
  <c r="AH757" l="1"/>
  <c r="U757"/>
  <c r="Y757"/>
  <c r="Z757" s="1"/>
  <c r="AF756"/>
  <c r="AI756"/>
  <c r="W756"/>
  <c r="AH756" l="1"/>
  <c r="U756"/>
  <c r="Y756"/>
  <c r="Z756" s="1"/>
  <c r="AF755"/>
  <c r="AI755"/>
  <c r="W755"/>
  <c r="AH755" l="1"/>
  <c r="U755"/>
  <c r="Y755"/>
  <c r="Z755" s="1"/>
  <c r="AF754"/>
  <c r="W754"/>
  <c r="AI754"/>
  <c r="AH754" l="1"/>
  <c r="U754"/>
  <c r="Y754"/>
  <c r="Z754" s="1"/>
  <c r="AF752" l="1"/>
  <c r="W752"/>
  <c r="AI752"/>
  <c r="AH752" l="1"/>
  <c r="U752"/>
  <c r="Y752"/>
  <c r="Z752" s="1"/>
  <c r="AF751"/>
  <c r="AI751"/>
  <c r="W751"/>
  <c r="AH751" l="1"/>
  <c r="U751"/>
  <c r="Y751"/>
  <c r="Z751" s="1"/>
  <c r="AF750"/>
  <c r="W750"/>
  <c r="AI750"/>
  <c r="AH750" l="1"/>
  <c r="U750"/>
  <c r="Y750"/>
  <c r="Z750" s="1"/>
  <c r="AF749"/>
  <c r="W749"/>
  <c r="U749" l="1"/>
  <c r="Y749"/>
  <c r="Z749" s="1"/>
  <c r="AF748"/>
  <c r="W748"/>
  <c r="U748" l="1"/>
  <c r="Y748"/>
  <c r="Z748" s="1"/>
  <c r="AF746" l="1"/>
  <c r="W746"/>
  <c r="U746" l="1"/>
  <c r="Y746"/>
  <c r="Z746" s="1"/>
  <c r="AF741" l="1"/>
  <c r="AI741"/>
  <c r="W741"/>
  <c r="AH741" l="1"/>
  <c r="U741"/>
  <c r="Y741"/>
  <c r="Z741" s="1"/>
  <c r="AF740"/>
  <c r="AI740"/>
  <c r="W740"/>
  <c r="AH740" l="1"/>
  <c r="U740"/>
  <c r="Y740"/>
  <c r="Z740" s="1"/>
  <c r="AF739"/>
  <c r="W739"/>
  <c r="AI739"/>
  <c r="AH739" l="1"/>
  <c r="U739"/>
  <c r="Y739"/>
  <c r="Z739" s="1"/>
  <c r="AF738"/>
  <c r="W738"/>
  <c r="AI738"/>
  <c r="AH738" l="1"/>
  <c r="U738"/>
  <c r="Y738"/>
  <c r="Z738" s="1"/>
  <c r="AF737"/>
  <c r="W737"/>
  <c r="AI737"/>
  <c r="AH737" l="1"/>
  <c r="U737"/>
  <c r="Y737"/>
  <c r="Z737" s="1"/>
  <c r="AF734" l="1"/>
  <c r="W734"/>
  <c r="AI734"/>
  <c r="AH734" l="1"/>
  <c r="U734"/>
  <c r="Y734"/>
  <c r="Z734" s="1"/>
  <c r="AF733"/>
  <c r="W733"/>
  <c r="AI733"/>
  <c r="AH733" l="1"/>
  <c r="U733"/>
  <c r="Y733"/>
  <c r="Z733" s="1"/>
  <c r="AF732"/>
  <c r="W732"/>
  <c r="AI732"/>
  <c r="AH732" l="1"/>
  <c r="U732"/>
  <c r="Y732"/>
  <c r="Z732" s="1"/>
  <c r="AF731"/>
  <c r="AI731"/>
  <c r="W731"/>
  <c r="AH731" l="1"/>
  <c r="U731"/>
  <c r="Y731"/>
  <c r="Z731" s="1"/>
  <c r="AF730"/>
  <c r="W730"/>
  <c r="AI730"/>
  <c r="AH730" l="1"/>
  <c r="U730"/>
  <c r="Y730"/>
  <c r="Z730" s="1"/>
  <c r="AF729"/>
  <c r="W729"/>
  <c r="AI729"/>
  <c r="AH729" l="1"/>
  <c r="U729"/>
  <c r="Y729"/>
  <c r="Z729" s="1"/>
  <c r="AF727" l="1"/>
  <c r="W727"/>
  <c r="AI727"/>
  <c r="AH727" l="1"/>
  <c r="U727"/>
  <c r="Y727"/>
  <c r="Z727" s="1"/>
  <c r="AF726"/>
  <c r="AI726"/>
  <c r="W726"/>
  <c r="AH726" l="1"/>
  <c r="U726"/>
  <c r="Y726"/>
  <c r="Z726" s="1"/>
  <c r="AF725"/>
  <c r="W725"/>
  <c r="AI725"/>
  <c r="AH725" l="1"/>
  <c r="U725"/>
  <c r="Y725"/>
  <c r="Z725" s="1"/>
  <c r="AF723" l="1"/>
  <c r="W723"/>
  <c r="AI723"/>
  <c r="AH723" l="1"/>
  <c r="U723"/>
  <c r="Y723"/>
  <c r="Z723" s="1"/>
  <c r="AF722"/>
  <c r="AI722"/>
  <c r="W722"/>
  <c r="AH722" l="1"/>
  <c r="U722"/>
  <c r="Y722"/>
  <c r="Z722" s="1"/>
  <c r="AF721"/>
  <c r="AI721"/>
  <c r="W721"/>
  <c r="AH721" l="1"/>
  <c r="U721"/>
  <c r="Y721"/>
  <c r="Z721" s="1"/>
  <c r="AF719" l="1"/>
  <c r="W719"/>
  <c r="U719" l="1"/>
  <c r="Y719"/>
  <c r="Z719" s="1"/>
  <c r="AF718"/>
  <c r="W718"/>
  <c r="U718" l="1"/>
  <c r="Y718"/>
  <c r="Z718" s="1"/>
  <c r="AF716" l="1"/>
  <c r="W716"/>
  <c r="U716" l="1"/>
  <c r="Y716"/>
  <c r="Z716" s="1"/>
  <c r="AF713" l="1"/>
  <c r="W713"/>
  <c r="AI713"/>
  <c r="AH713" l="1"/>
  <c r="U713"/>
  <c r="Y713"/>
  <c r="Z713" s="1"/>
  <c r="AF710" l="1"/>
  <c r="AI710"/>
  <c r="W710"/>
  <c r="AH710" l="1"/>
  <c r="U710"/>
  <c r="Y710"/>
  <c r="Z710" s="1"/>
  <c r="AF709"/>
  <c r="AI709"/>
  <c r="W709"/>
  <c r="AH709" l="1"/>
  <c r="U709"/>
  <c r="Y709"/>
  <c r="Z709" s="1"/>
  <c r="AF708"/>
  <c r="W708"/>
  <c r="AI708"/>
  <c r="AH708" l="1"/>
  <c r="U708"/>
  <c r="Y708"/>
  <c r="Z708" s="1"/>
  <c r="AF707"/>
  <c r="W707"/>
  <c r="AI707"/>
  <c r="AH707" l="1"/>
  <c r="U707"/>
  <c r="Y707"/>
  <c r="Z707" s="1"/>
  <c r="AF706"/>
  <c r="W706"/>
  <c r="AI706"/>
  <c r="AH706" l="1"/>
  <c r="U706"/>
  <c r="Y706"/>
  <c r="Z706" s="1"/>
  <c r="AF705"/>
  <c r="AI705"/>
  <c r="W705"/>
  <c r="AH705" l="1"/>
  <c r="U705"/>
  <c r="Y705"/>
  <c r="Z705" s="1"/>
  <c r="AF704"/>
  <c r="W704"/>
  <c r="AI704"/>
  <c r="AH704" l="1"/>
  <c r="U704"/>
  <c r="Y704"/>
  <c r="Z704" s="1"/>
  <c r="AF703"/>
  <c r="AI703"/>
  <c r="W703"/>
  <c r="AH703" l="1"/>
  <c r="U703"/>
  <c r="Y703"/>
  <c r="Z703" s="1"/>
  <c r="AF702"/>
  <c r="AI702"/>
  <c r="W702"/>
  <c r="AH702" l="1"/>
  <c r="U702"/>
  <c r="Y702"/>
  <c r="Z702" s="1"/>
  <c r="AF701"/>
  <c r="AI701"/>
  <c r="W701"/>
  <c r="AH701" l="1"/>
  <c r="U701"/>
  <c r="Y701"/>
  <c r="Z701" s="1"/>
  <c r="AF700"/>
  <c r="W700"/>
  <c r="AI700"/>
  <c r="AH700" l="1"/>
  <c r="U700"/>
  <c r="Y700"/>
  <c r="Z700" s="1"/>
  <c r="AF699"/>
  <c r="AI699"/>
  <c r="W699"/>
  <c r="AH699" l="1"/>
  <c r="U699"/>
  <c r="Y699"/>
  <c r="Z699" s="1"/>
  <c r="AF695"/>
  <c r="W695"/>
  <c r="AI695"/>
  <c r="AH695" l="1"/>
  <c r="U695"/>
  <c r="Y695"/>
  <c r="Z695" s="1"/>
  <c r="AF694"/>
  <c r="W694"/>
  <c r="AI694"/>
  <c r="AH694" l="1"/>
  <c r="U694"/>
  <c r="Y694"/>
  <c r="Z694" s="1"/>
  <c r="AF691" l="1"/>
  <c r="W691"/>
  <c r="AI691"/>
  <c r="AH691" l="1"/>
  <c r="U691"/>
  <c r="Y691"/>
  <c r="Z691" s="1"/>
  <c r="AF690"/>
  <c r="W690"/>
  <c r="AI690"/>
  <c r="AH690" l="1"/>
  <c r="U690"/>
  <c r="Y690"/>
  <c r="Z690" s="1"/>
  <c r="AF689"/>
  <c r="W689"/>
  <c r="AI689"/>
  <c r="AH689" l="1"/>
  <c r="U689"/>
  <c r="Y689"/>
  <c r="Z689" s="1"/>
  <c r="AF688"/>
  <c r="AI688"/>
  <c r="W688"/>
  <c r="AH688" l="1"/>
  <c r="U688"/>
  <c r="Y688"/>
  <c r="Z688" s="1"/>
  <c r="AF686" l="1"/>
  <c r="W686"/>
  <c r="AI686"/>
  <c r="AH686" l="1"/>
  <c r="U686"/>
  <c r="Y686"/>
  <c r="Z686" s="1"/>
  <c r="AF685"/>
  <c r="W685"/>
  <c r="AI685"/>
  <c r="AH685" l="1"/>
  <c r="U685"/>
  <c r="Y685"/>
  <c r="Z685" s="1"/>
  <c r="AF684"/>
  <c r="W684"/>
  <c r="AI684"/>
  <c r="AH684" l="1"/>
  <c r="U684"/>
  <c r="Y684"/>
  <c r="Z684" s="1"/>
  <c r="AF683"/>
  <c r="AI683"/>
  <c r="W683"/>
  <c r="AH683" l="1"/>
  <c r="U683"/>
  <c r="Y683"/>
  <c r="Z683" s="1"/>
  <c r="AF681" l="1"/>
  <c r="AI681"/>
  <c r="W681"/>
  <c r="AH681" l="1"/>
  <c r="U681"/>
  <c r="Y681"/>
  <c r="Z681" s="1"/>
  <c r="AF678" l="1"/>
  <c r="AI678"/>
  <c r="W678"/>
  <c r="AH678" l="1"/>
  <c r="U678"/>
  <c r="Y678"/>
  <c r="Z678" s="1"/>
  <c r="AF672" l="1"/>
  <c r="AI672"/>
  <c r="W672"/>
  <c r="AH672" l="1"/>
  <c r="U672"/>
  <c r="Y672"/>
  <c r="Z672" s="1"/>
  <c r="AF671"/>
  <c r="W671"/>
  <c r="AI671"/>
  <c r="AH671" l="1"/>
  <c r="U671"/>
  <c r="Y671"/>
  <c r="Z671" s="1"/>
  <c r="AF667" l="1"/>
  <c r="W667"/>
  <c r="AI667"/>
  <c r="AH667" l="1"/>
  <c r="U667"/>
  <c r="Y667"/>
  <c r="Z667" s="1"/>
  <c r="AF666"/>
  <c r="W666"/>
  <c r="AI666"/>
  <c r="AH666" l="1"/>
  <c r="U666"/>
  <c r="Y666"/>
  <c r="Z666" s="1"/>
  <c r="AF665"/>
  <c r="W665"/>
  <c r="AI665"/>
  <c r="AH665" l="1"/>
  <c r="U665"/>
  <c r="Y665"/>
  <c r="Z665" s="1"/>
  <c r="AF664"/>
  <c r="W664"/>
  <c r="AI664"/>
  <c r="AH664" l="1"/>
  <c r="U664"/>
  <c r="Y664"/>
  <c r="Z664" s="1"/>
  <c r="AF663"/>
  <c r="AI663"/>
  <c r="W663"/>
  <c r="AH663" l="1"/>
  <c r="U663"/>
  <c r="Y663"/>
  <c r="Z663" s="1"/>
  <c r="AF661" l="1"/>
  <c r="W661"/>
  <c r="AI661"/>
  <c r="AH661" l="1"/>
  <c r="U661"/>
  <c r="Y661"/>
  <c r="Z661" s="1"/>
  <c r="AF658" l="1"/>
  <c r="W658"/>
  <c r="AI658"/>
  <c r="AH658" l="1"/>
  <c r="U658"/>
  <c r="Y658"/>
  <c r="Z658" s="1"/>
  <c r="AF650" l="1"/>
  <c r="W650"/>
  <c r="AI650"/>
  <c r="AH650" l="1"/>
  <c r="U650"/>
  <c r="Y650"/>
  <c r="Z650" s="1"/>
  <c r="AF646" l="1"/>
  <c r="W646"/>
  <c r="AI646"/>
  <c r="AH646" l="1"/>
  <c r="U646"/>
  <c r="Y646"/>
  <c r="Z646" s="1"/>
  <c r="AF645"/>
  <c r="AI645"/>
  <c r="W645"/>
  <c r="AH645" l="1"/>
  <c r="U645"/>
  <c r="Y645"/>
  <c r="Z645" s="1"/>
  <c r="AF641" l="1"/>
  <c r="W641"/>
  <c r="AI641"/>
  <c r="AH641" l="1"/>
  <c r="U641"/>
  <c r="Y641"/>
  <c r="Z641" s="1"/>
  <c r="AF639" l="1"/>
  <c r="W639"/>
  <c r="AI639"/>
  <c r="AH639" l="1"/>
  <c r="U639"/>
  <c r="Y639"/>
  <c r="Z639" s="1"/>
  <c r="AF638"/>
  <c r="W638"/>
  <c r="AI638"/>
  <c r="AH638" l="1"/>
  <c r="U638"/>
  <c r="Y638"/>
  <c r="Z638" s="1"/>
  <c r="AF637"/>
  <c r="AI637"/>
  <c r="W637"/>
  <c r="AH637" l="1"/>
  <c r="U637"/>
  <c r="Y637"/>
  <c r="Z637" s="1"/>
  <c r="AF634" l="1"/>
  <c r="AI634"/>
  <c r="W634"/>
  <c r="AH634" l="1"/>
  <c r="U634"/>
  <c r="Y634"/>
  <c r="Z634" s="1"/>
  <c r="AF628" l="1"/>
  <c r="AI628"/>
  <c r="W628"/>
  <c r="AH628" l="1"/>
  <c r="U628"/>
  <c r="Y628"/>
  <c r="Z628" s="1"/>
  <c r="AF627"/>
  <c r="W627"/>
  <c r="AI627"/>
  <c r="AH627" l="1"/>
  <c r="U627"/>
  <c r="Y627"/>
  <c r="Z627" s="1"/>
  <c r="AF625" l="1"/>
  <c r="W625"/>
  <c r="AI625"/>
  <c r="AH625" l="1"/>
  <c r="U625"/>
  <c r="Y625"/>
  <c r="Z625" s="1"/>
  <c r="AF624"/>
  <c r="AI624"/>
  <c r="W624"/>
  <c r="AH624" l="1"/>
  <c r="U624"/>
  <c r="Y624"/>
  <c r="Z624" s="1"/>
  <c r="AF623"/>
  <c r="W623"/>
  <c r="AI623"/>
  <c r="AH623" l="1"/>
  <c r="U623"/>
  <c r="Y623"/>
  <c r="Z623" s="1"/>
  <c r="AF622"/>
  <c r="AI622"/>
  <c r="W622"/>
  <c r="AH622" l="1"/>
  <c r="U622"/>
  <c r="Y622"/>
  <c r="Z622" s="1"/>
  <c r="AF620" l="1"/>
  <c r="AI620"/>
  <c r="W620"/>
  <c r="AH620" l="1"/>
  <c r="U620"/>
  <c r="Y620"/>
  <c r="Z620" s="1"/>
  <c r="AF619"/>
  <c r="AI619"/>
  <c r="W619"/>
  <c r="AH619" l="1"/>
  <c r="U619"/>
  <c r="Y619"/>
  <c r="Z619" s="1"/>
  <c r="AF618"/>
  <c r="W618"/>
  <c r="AI618"/>
  <c r="AH618" l="1"/>
  <c r="U618"/>
  <c r="Y618"/>
  <c r="Z618" s="1"/>
  <c r="AF614" l="1"/>
  <c r="W614"/>
  <c r="AI614"/>
  <c r="AH614" l="1"/>
  <c r="U614"/>
  <c r="Y614"/>
  <c r="Z614" s="1"/>
  <c r="AF613"/>
  <c r="AI613"/>
  <c r="W613"/>
  <c r="AH613" l="1"/>
  <c r="U613"/>
  <c r="Y613"/>
  <c r="Z613" s="1"/>
  <c r="AF612"/>
  <c r="W612"/>
  <c r="AI612"/>
  <c r="AH612" l="1"/>
  <c r="U612"/>
  <c r="Y612"/>
  <c r="Z612" s="1"/>
  <c r="AF611"/>
  <c r="W611"/>
  <c r="AI611"/>
  <c r="AH611" l="1"/>
  <c r="U611"/>
  <c r="Y611"/>
  <c r="Z611" s="1"/>
  <c r="AF610"/>
  <c r="W610"/>
  <c r="AI610"/>
  <c r="AH610" l="1"/>
  <c r="U610"/>
  <c r="Y610"/>
  <c r="Z610" s="1"/>
  <c r="AF609"/>
  <c r="W609"/>
  <c r="AI609"/>
  <c r="AH609" l="1"/>
  <c r="U609"/>
  <c r="Y609"/>
  <c r="Z609" s="1"/>
  <c r="AF608"/>
  <c r="W608"/>
  <c r="AI608"/>
  <c r="AH608" l="1"/>
  <c r="U608"/>
  <c r="Y608"/>
  <c r="Z608" s="1"/>
  <c r="AF606" l="1"/>
  <c r="AI606"/>
  <c r="W606"/>
  <c r="AH606" l="1"/>
  <c r="U606"/>
  <c r="Y606"/>
  <c r="Z606" s="1"/>
  <c r="AF604" l="1"/>
  <c r="W604"/>
  <c r="AI604"/>
  <c r="AH604" l="1"/>
  <c r="U604"/>
  <c r="Y604"/>
  <c r="Z604" s="1"/>
  <c r="AF602" l="1"/>
  <c r="W602"/>
  <c r="AI602"/>
  <c r="AH602" l="1"/>
  <c r="U602"/>
  <c r="Y602"/>
  <c r="Z602" s="1"/>
  <c r="AF598" l="1"/>
  <c r="AI598"/>
  <c r="W598"/>
  <c r="AH598" l="1"/>
  <c r="U598"/>
  <c r="Y598"/>
  <c r="Z598" s="1"/>
  <c r="AF597"/>
  <c r="AI597"/>
  <c r="W597"/>
  <c r="AH597" l="1"/>
  <c r="U597"/>
  <c r="Y597"/>
  <c r="Z597" s="1"/>
  <c r="AF596"/>
  <c r="W596"/>
  <c r="AI596"/>
  <c r="AH596" l="1"/>
  <c r="U596"/>
  <c r="Y596"/>
  <c r="Z596" s="1"/>
  <c r="AF593" l="1"/>
  <c r="AI593"/>
  <c r="W593"/>
  <c r="AH593" l="1"/>
  <c r="U593"/>
  <c r="Y593"/>
  <c r="Z593" s="1"/>
  <c r="AF590" l="1"/>
  <c r="W590"/>
  <c r="AI590"/>
  <c r="AH590" l="1"/>
  <c r="U590"/>
  <c r="Y590"/>
  <c r="Z590" s="1"/>
  <c r="AF589"/>
  <c r="W589"/>
  <c r="AI589"/>
  <c r="AH589" l="1"/>
  <c r="U589"/>
  <c r="Y589"/>
  <c r="Z589" s="1"/>
  <c r="AF587" l="1"/>
  <c r="AI587"/>
  <c r="W587"/>
  <c r="AH587" l="1"/>
  <c r="U587"/>
  <c r="Y587"/>
  <c r="Z587" s="1"/>
  <c r="AF585" l="1"/>
  <c r="AI585"/>
  <c r="W585"/>
  <c r="AH585" l="1"/>
  <c r="U585"/>
  <c r="Y585"/>
  <c r="Z585" s="1"/>
  <c r="AF584"/>
  <c r="AI584"/>
  <c r="W584"/>
  <c r="AH584" l="1"/>
  <c r="U584"/>
  <c r="Y584"/>
  <c r="Z584" s="1"/>
  <c r="AF583"/>
  <c r="AI583"/>
  <c r="W583"/>
  <c r="W12" i="74" l="1"/>
  <c r="AI12"/>
  <c r="AH12" s="1"/>
  <c r="AI40" i="114"/>
  <c r="AH40" s="1"/>
  <c r="W40"/>
  <c r="AH583" i="57"/>
  <c r="U583"/>
  <c r="Y583"/>
  <c r="Z583" s="1"/>
  <c r="U12" i="74" l="1"/>
  <c r="Y12"/>
  <c r="Z12" s="1"/>
  <c r="U40" i="114"/>
  <c r="Y40"/>
  <c r="Z40" s="1"/>
  <c r="AF578" i="57"/>
  <c r="W578"/>
  <c r="AI578"/>
  <c r="AH578" l="1"/>
  <c r="U578"/>
  <c r="Y578"/>
  <c r="Z578" s="1"/>
  <c r="AF576" l="1"/>
  <c r="AI576"/>
  <c r="W576"/>
  <c r="AH576" l="1"/>
  <c r="U576"/>
  <c r="Y576"/>
  <c r="Z576" s="1"/>
  <c r="AF575"/>
  <c r="AI575"/>
  <c r="W575"/>
  <c r="AH575" l="1"/>
  <c r="U575"/>
  <c r="Y575"/>
  <c r="Z575" s="1"/>
  <c r="AF574"/>
  <c r="AI574"/>
  <c r="W574"/>
  <c r="AH574" l="1"/>
  <c r="U574"/>
  <c r="Y574"/>
  <c r="Z574" s="1"/>
  <c r="AF573"/>
  <c r="W573"/>
  <c r="AI573"/>
  <c r="AH573" l="1"/>
  <c r="U573"/>
  <c r="Y573"/>
  <c r="Z573" s="1"/>
  <c r="AF572"/>
  <c r="AI572"/>
  <c r="W572"/>
  <c r="AH572" l="1"/>
  <c r="U572"/>
  <c r="Y572"/>
  <c r="Z572" s="1"/>
  <c r="AF570" l="1"/>
  <c r="AI570"/>
  <c r="W570"/>
  <c r="AH570" l="1"/>
  <c r="U570"/>
  <c r="Y570"/>
  <c r="Z570" s="1"/>
  <c r="AF569"/>
  <c r="AI569"/>
  <c r="W569"/>
  <c r="AH569" l="1"/>
  <c r="U569"/>
  <c r="Y569"/>
  <c r="Z569" s="1"/>
  <c r="AF568"/>
  <c r="AI568"/>
  <c r="W568"/>
  <c r="AH568" l="1"/>
  <c r="U568"/>
  <c r="Y568"/>
  <c r="Z568" s="1"/>
  <c r="AF567"/>
  <c r="W567"/>
  <c r="AI567"/>
  <c r="AH567" l="1"/>
  <c r="U567"/>
  <c r="Y567"/>
  <c r="Z567" s="1"/>
  <c r="AF566"/>
  <c r="AI566"/>
  <c r="W566"/>
  <c r="AH566" l="1"/>
  <c r="U566"/>
  <c r="Y566"/>
  <c r="Z566" s="1"/>
  <c r="AF565"/>
  <c r="AI565"/>
  <c r="W565"/>
  <c r="AH565" l="1"/>
  <c r="U565"/>
  <c r="Y565"/>
  <c r="Z565" s="1"/>
  <c r="AF560" l="1"/>
  <c r="AI560"/>
  <c r="W560"/>
  <c r="AH560" l="1"/>
  <c r="U560"/>
  <c r="Y560"/>
  <c r="Z560" s="1"/>
  <c r="AF559"/>
  <c r="AI559"/>
  <c r="W559"/>
  <c r="AH559" l="1"/>
  <c r="U559"/>
  <c r="Y559"/>
  <c r="Z559" s="1"/>
  <c r="AF558"/>
  <c r="W558"/>
  <c r="AI558"/>
  <c r="AH558" l="1"/>
  <c r="U558"/>
  <c r="Y558"/>
  <c r="Z558" s="1"/>
  <c r="AF554" l="1"/>
  <c r="AI554"/>
  <c r="W554"/>
  <c r="AH554" l="1"/>
  <c r="U554"/>
  <c r="Y554"/>
  <c r="Z554" s="1"/>
  <c r="AF548" l="1"/>
  <c r="W548"/>
  <c r="AI548"/>
  <c r="AH548" l="1"/>
  <c r="U548"/>
  <c r="Y548"/>
  <c r="Z548" s="1"/>
  <c r="AF544" l="1"/>
  <c r="W544"/>
  <c r="AI544"/>
  <c r="AH544" l="1"/>
  <c r="U544"/>
  <c r="Y544"/>
  <c r="Z544" s="1"/>
  <c r="AF542" l="1"/>
  <c r="W542"/>
  <c r="AI542"/>
  <c r="AH542" l="1"/>
  <c r="U542"/>
  <c r="Y542"/>
  <c r="Z542" s="1"/>
  <c r="AF541"/>
  <c r="AI541"/>
  <c r="W541"/>
  <c r="AH541" l="1"/>
  <c r="U541"/>
  <c r="Y541"/>
  <c r="Z541" s="1"/>
  <c r="AF540"/>
  <c r="AI540"/>
  <c r="W540"/>
  <c r="AH540" l="1"/>
  <c r="U540"/>
  <c r="Y540"/>
  <c r="Z540" s="1"/>
  <c r="AF538" l="1"/>
  <c r="W538"/>
  <c r="AI538"/>
  <c r="AH538" l="1"/>
  <c r="U538"/>
  <c r="Y538"/>
  <c r="Z538" s="1"/>
  <c r="AF536" l="1"/>
  <c r="AI536"/>
  <c r="W536"/>
  <c r="AH536" l="1"/>
  <c r="U536"/>
  <c r="Y536"/>
  <c r="Z536" s="1"/>
  <c r="AF534" l="1"/>
  <c r="AI534"/>
  <c r="W534"/>
  <c r="AH534" l="1"/>
  <c r="U534"/>
  <c r="Y534"/>
  <c r="Z534" s="1"/>
  <c r="AF533"/>
  <c r="AI533"/>
  <c r="W533"/>
  <c r="AH533" l="1"/>
  <c r="U533"/>
  <c r="Y533"/>
  <c r="Z533" s="1"/>
  <c r="AF531" l="1"/>
  <c r="W531"/>
  <c r="AI531"/>
  <c r="AH531" l="1"/>
  <c r="U531"/>
  <c r="Y531"/>
  <c r="Z531" s="1"/>
  <c r="AF529" l="1"/>
  <c r="W529"/>
  <c r="AI529"/>
  <c r="AH529" l="1"/>
  <c r="U529"/>
  <c r="Y529"/>
  <c r="Z529" s="1"/>
  <c r="AF526"/>
  <c r="AI526"/>
  <c r="W526"/>
  <c r="AH526" l="1"/>
  <c r="U526"/>
  <c r="Y526"/>
  <c r="Z526" s="1"/>
  <c r="AF525"/>
  <c r="W525"/>
  <c r="AI525"/>
  <c r="AH525" l="1"/>
  <c r="U525"/>
  <c r="Y525"/>
  <c r="Z525" s="1"/>
  <c r="AF524"/>
  <c r="W524"/>
  <c r="AI524"/>
  <c r="AH524" l="1"/>
  <c r="U524"/>
  <c r="Y524"/>
  <c r="Z524" s="1"/>
  <c r="AF523"/>
  <c r="W523"/>
  <c r="AI523"/>
  <c r="AH523" l="1"/>
  <c r="U523"/>
  <c r="Y523"/>
  <c r="Z523" s="1"/>
  <c r="AF522"/>
  <c r="W522"/>
  <c r="AI522"/>
  <c r="AH522" l="1"/>
  <c r="U522"/>
  <c r="Y522"/>
  <c r="Z522" s="1"/>
  <c r="AF519" l="1"/>
  <c r="W519"/>
  <c r="AI519"/>
  <c r="AH519" l="1"/>
  <c r="U519"/>
  <c r="Y519"/>
  <c r="Z519" s="1"/>
  <c r="AF518"/>
  <c r="W518"/>
  <c r="AI518"/>
  <c r="AH518" l="1"/>
  <c r="U518"/>
  <c r="Y518"/>
  <c r="Z518" s="1"/>
  <c r="AF517"/>
  <c r="W517"/>
  <c r="AI517"/>
  <c r="AH517" l="1"/>
  <c r="U517"/>
  <c r="Y517"/>
  <c r="Z517" s="1"/>
  <c r="AF515" l="1"/>
  <c r="AI515"/>
  <c r="W515"/>
  <c r="AH515" l="1"/>
  <c r="U515"/>
  <c r="Y515"/>
  <c r="Z515" s="1"/>
  <c r="AF513" l="1"/>
  <c r="W513"/>
  <c r="AI513"/>
  <c r="AH513" l="1"/>
  <c r="U513"/>
  <c r="Y513"/>
  <c r="Z513" s="1"/>
  <c r="AF512"/>
  <c r="W512"/>
  <c r="AI512"/>
  <c r="AH512" l="1"/>
  <c r="U512"/>
  <c r="Y512"/>
  <c r="Z512" s="1"/>
  <c r="AF511"/>
  <c r="W511"/>
  <c r="AI511"/>
  <c r="AH511" l="1"/>
  <c r="U511"/>
  <c r="Y511"/>
  <c r="Z511" s="1"/>
  <c r="AF509" l="1"/>
  <c r="AI509"/>
  <c r="W509"/>
  <c r="AH509" l="1"/>
  <c r="U509"/>
  <c r="Y509"/>
  <c r="Z509" s="1"/>
  <c r="AF508"/>
  <c r="W508"/>
  <c r="AI508"/>
  <c r="AH508" l="1"/>
  <c r="U508"/>
  <c r="Y508"/>
  <c r="Z508" s="1"/>
  <c r="AF507"/>
  <c r="W507"/>
  <c r="AI507"/>
  <c r="AH507" l="1"/>
  <c r="U507"/>
  <c r="Y507"/>
  <c r="Z507" s="1"/>
  <c r="AF506"/>
  <c r="AI506"/>
  <c r="W506"/>
  <c r="AH506" l="1"/>
  <c r="U506"/>
  <c r="Y506"/>
  <c r="Z506" s="1"/>
  <c r="AF505" l="1"/>
  <c r="AI505"/>
  <c r="W505"/>
  <c r="AH505" l="1"/>
  <c r="U505"/>
  <c r="Y505"/>
  <c r="Z505" s="1"/>
  <c r="AF504"/>
  <c r="AI504"/>
  <c r="W504"/>
  <c r="AH504" l="1"/>
  <c r="U504"/>
  <c r="Y504"/>
  <c r="Z504" s="1"/>
  <c r="AF503"/>
  <c r="AI503"/>
  <c r="W503"/>
  <c r="AH503" l="1"/>
  <c r="U503"/>
  <c r="Y503"/>
  <c r="Z503" s="1"/>
  <c r="AF502"/>
  <c r="W502"/>
  <c r="AI502"/>
  <c r="AH502" l="1"/>
  <c r="U502"/>
  <c r="Y502"/>
  <c r="Z502" s="1"/>
  <c r="AF501"/>
  <c r="AI501"/>
  <c r="W501"/>
  <c r="AH501" l="1"/>
  <c r="U501"/>
  <c r="Y501"/>
  <c r="Z501" s="1"/>
  <c r="AF500"/>
  <c r="AI500"/>
  <c r="W500"/>
  <c r="AH500" l="1"/>
  <c r="U500"/>
  <c r="Y500"/>
  <c r="Z500" s="1"/>
  <c r="AF499"/>
  <c r="W499"/>
  <c r="AI499"/>
  <c r="AH499" l="1"/>
  <c r="U499"/>
  <c r="Y499"/>
  <c r="Z499" s="1"/>
  <c r="AF498"/>
  <c r="W498"/>
  <c r="AI498"/>
  <c r="AH498" l="1"/>
  <c r="U498"/>
  <c r="Y498"/>
  <c r="Z498" s="1"/>
  <c r="AF497"/>
  <c r="W497"/>
  <c r="AI497"/>
  <c r="AH497" l="1"/>
  <c r="U497"/>
  <c r="Y497"/>
  <c r="Z497" s="1"/>
  <c r="AF496"/>
  <c r="W496"/>
  <c r="AI496"/>
  <c r="AH496" l="1"/>
  <c r="U496"/>
  <c r="Y496"/>
  <c r="Z496" s="1"/>
  <c r="AF495"/>
  <c r="W495"/>
  <c r="AI495"/>
  <c r="AH495" l="1"/>
  <c r="U495"/>
  <c r="Y495"/>
  <c r="Z495" s="1"/>
  <c r="AF494"/>
  <c r="W494"/>
  <c r="AI494"/>
  <c r="AH494" l="1"/>
  <c r="U494"/>
  <c r="Y494"/>
  <c r="Z494" s="1"/>
  <c r="AF490" l="1"/>
  <c r="W490"/>
  <c r="AI490"/>
  <c r="AH490" l="1"/>
  <c r="U490"/>
  <c r="Y490"/>
  <c r="Z490" s="1"/>
  <c r="AF489"/>
  <c r="W489"/>
  <c r="AI489"/>
  <c r="AH489" l="1"/>
  <c r="U489"/>
  <c r="Y489"/>
  <c r="Z489" s="1"/>
  <c r="AF488"/>
  <c r="AI488"/>
  <c r="W488"/>
  <c r="AH488" l="1"/>
  <c r="U488"/>
  <c r="Y488"/>
  <c r="Z488" s="1"/>
  <c r="AF486" l="1"/>
  <c r="AI486"/>
  <c r="W486"/>
  <c r="AH486" l="1"/>
  <c r="U486"/>
  <c r="Y486"/>
  <c r="Z486" s="1"/>
  <c r="AF485"/>
  <c r="W485"/>
  <c r="AI485"/>
  <c r="AH485" l="1"/>
  <c r="U485"/>
  <c r="Y485"/>
  <c r="Z485" s="1"/>
  <c r="AF484"/>
  <c r="AI484"/>
  <c r="W484"/>
  <c r="AH484" l="1"/>
  <c r="U484"/>
  <c r="Y484"/>
  <c r="Z484" s="1"/>
  <c r="AF483"/>
  <c r="AI483"/>
  <c r="W483"/>
  <c r="AH483" l="1"/>
  <c r="U483"/>
  <c r="Y483"/>
  <c r="Z483" s="1"/>
  <c r="AF482"/>
  <c r="W482"/>
  <c r="AI482"/>
  <c r="AH482" l="1"/>
  <c r="U482"/>
  <c r="Y482"/>
  <c r="Z482" s="1"/>
  <c r="AF481"/>
  <c r="AI481"/>
  <c r="W481"/>
  <c r="AH481" l="1"/>
  <c r="U481"/>
  <c r="Y481"/>
  <c r="Z481" s="1"/>
  <c r="AF480"/>
  <c r="W480"/>
  <c r="AI480"/>
  <c r="AH480" l="1"/>
  <c r="U480"/>
  <c r="Y480"/>
  <c r="Z480" s="1"/>
  <c r="AF477"/>
  <c r="W477"/>
  <c r="AI477"/>
  <c r="AH477" l="1"/>
  <c r="U477"/>
  <c r="Y477"/>
  <c r="Z477" s="1"/>
  <c r="AF475" l="1"/>
  <c r="W475"/>
  <c r="AI475"/>
  <c r="AH475" l="1"/>
  <c r="U475"/>
  <c r="Y475"/>
  <c r="Z475" s="1"/>
  <c r="AF474"/>
  <c r="W474"/>
  <c r="AI474"/>
  <c r="AH474" l="1"/>
  <c r="U474"/>
  <c r="Y474"/>
  <c r="Z474" s="1"/>
  <c r="AF473"/>
  <c r="W473"/>
  <c r="AI473"/>
  <c r="AH473" l="1"/>
  <c r="U473"/>
  <c r="Y473"/>
  <c r="Z473" s="1"/>
  <c r="AF472"/>
  <c r="AI472"/>
  <c r="W472"/>
  <c r="AH472" l="1"/>
  <c r="U472"/>
  <c r="Y472"/>
  <c r="Z472" s="1"/>
  <c r="AF471"/>
  <c r="W471"/>
  <c r="AI471"/>
  <c r="AH471" l="1"/>
  <c r="U471"/>
  <c r="Y471"/>
  <c r="Z471" s="1"/>
  <c r="AF470"/>
  <c r="AI470"/>
  <c r="W470"/>
  <c r="AH470" l="1"/>
  <c r="U470"/>
  <c r="Y470"/>
  <c r="Z470" s="1"/>
  <c r="AF469"/>
  <c r="W469"/>
  <c r="AI469"/>
  <c r="AH469" l="1"/>
  <c r="U469"/>
  <c r="Y469"/>
  <c r="Z469" s="1"/>
  <c r="AF467" l="1"/>
  <c r="AI467"/>
  <c r="W467"/>
  <c r="AH467" l="1"/>
  <c r="U467"/>
  <c r="Y467"/>
  <c r="Z467" s="1"/>
  <c r="AF466"/>
  <c r="W466"/>
  <c r="AI466"/>
  <c r="AH466" l="1"/>
  <c r="U466"/>
  <c r="Y466"/>
  <c r="Z466" s="1"/>
  <c r="AF465"/>
  <c r="W465"/>
  <c r="AI465"/>
  <c r="AH465" l="1"/>
  <c r="U465"/>
  <c r="Y465"/>
  <c r="Z465" s="1"/>
  <c r="AF464"/>
  <c r="AI464"/>
  <c r="W464"/>
  <c r="AH464" l="1"/>
  <c r="U464"/>
  <c r="Y464"/>
  <c r="Z464" s="1"/>
  <c r="AF463"/>
  <c r="W463"/>
  <c r="AI463"/>
  <c r="AH463" l="1"/>
  <c r="U463"/>
  <c r="Y463"/>
  <c r="Z463" s="1"/>
  <c r="AF462"/>
  <c r="W462"/>
  <c r="AI462"/>
  <c r="AH462" l="1"/>
  <c r="U462"/>
  <c r="Y462"/>
  <c r="Z462" s="1"/>
  <c r="AF461"/>
  <c r="W461"/>
  <c r="AI461"/>
  <c r="U163" i="114" l="1"/>
  <c r="Y163"/>
  <c r="Z163" s="1"/>
  <c r="U171"/>
  <c r="Y171"/>
  <c r="Z171" s="1"/>
  <c r="AH461" i="57"/>
  <c r="U461"/>
  <c r="Y461"/>
  <c r="Z461" s="1"/>
  <c r="AF460"/>
  <c r="W460"/>
  <c r="AI460"/>
  <c r="AH460" l="1"/>
  <c r="U460"/>
  <c r="Y460"/>
  <c r="Z460" s="1"/>
  <c r="AF459"/>
  <c r="AI459"/>
  <c r="W459"/>
  <c r="AH459" l="1"/>
  <c r="U459"/>
  <c r="Y459"/>
  <c r="Z459" s="1"/>
  <c r="AF458"/>
  <c r="W458"/>
  <c r="AI458"/>
  <c r="AH458" l="1"/>
  <c r="U458"/>
  <c r="Y458"/>
  <c r="Z458" s="1"/>
  <c r="AF456" l="1"/>
  <c r="AI456"/>
  <c r="W456"/>
  <c r="AH456" l="1"/>
  <c r="U456"/>
  <c r="Y456"/>
  <c r="Z456" s="1"/>
  <c r="AF455"/>
  <c r="AI455"/>
  <c r="W455"/>
  <c r="AH455" l="1"/>
  <c r="U455"/>
  <c r="Y455"/>
  <c r="Z455" s="1"/>
  <c r="AF454"/>
  <c r="W454"/>
  <c r="AI454"/>
  <c r="AH454" l="1"/>
  <c r="U454"/>
  <c r="Y454"/>
  <c r="Z454" s="1"/>
  <c r="AF453"/>
  <c r="W453"/>
  <c r="AI453"/>
  <c r="AH453" l="1"/>
  <c r="U453"/>
  <c r="Y453"/>
  <c r="Z453" s="1"/>
  <c r="AF451" l="1"/>
  <c r="W451"/>
  <c r="AI451"/>
  <c r="AH451" l="1"/>
  <c r="U451"/>
  <c r="Y451"/>
  <c r="Z451" s="1"/>
  <c r="AF450"/>
  <c r="W450"/>
  <c r="AI450"/>
  <c r="AH450" l="1"/>
  <c r="U450"/>
  <c r="Y450"/>
  <c r="Z450" s="1"/>
  <c r="AF449"/>
  <c r="AI449"/>
  <c r="W449"/>
  <c r="AH449" l="1"/>
  <c r="U449"/>
  <c r="Y449"/>
  <c r="Z449" s="1"/>
  <c r="AF448"/>
  <c r="AI448"/>
  <c r="W448"/>
  <c r="AH448" l="1"/>
  <c r="U448"/>
  <c r="Y448"/>
  <c r="Z448" s="1"/>
  <c r="AF447"/>
  <c r="AI447"/>
  <c r="W447"/>
  <c r="AH447" l="1"/>
  <c r="U447"/>
  <c r="Y447"/>
  <c r="Z447" s="1"/>
  <c r="AF446"/>
  <c r="AI446"/>
  <c r="W446"/>
  <c r="AH446" l="1"/>
  <c r="U446"/>
  <c r="Y446"/>
  <c r="Z446" s="1"/>
  <c r="AF445"/>
  <c r="AI445"/>
  <c r="W445"/>
  <c r="AH445" l="1"/>
  <c r="U445"/>
  <c r="Y445"/>
  <c r="Z445" s="1"/>
  <c r="AF444"/>
  <c r="AI444"/>
  <c r="W444"/>
  <c r="AH444" l="1"/>
  <c r="U444"/>
  <c r="Y444"/>
  <c r="Z444" s="1"/>
  <c r="AF443"/>
  <c r="W443"/>
  <c r="AI443"/>
  <c r="AH443" l="1"/>
  <c r="U443"/>
  <c r="Y443"/>
  <c r="Z443" s="1"/>
  <c r="AF442"/>
  <c r="AI442"/>
  <c r="W442"/>
  <c r="AH442" l="1"/>
  <c r="U442"/>
  <c r="Y442"/>
  <c r="Z442" s="1"/>
  <c r="AF441"/>
  <c r="AI441"/>
  <c r="W441"/>
  <c r="AH441" l="1"/>
  <c r="U441"/>
  <c r="Y441"/>
  <c r="Z441" s="1"/>
  <c r="AF440"/>
  <c r="AI440"/>
  <c r="W440"/>
  <c r="AH440" l="1"/>
  <c r="U440"/>
  <c r="Y440"/>
  <c r="Z440" s="1"/>
  <c r="AF438" l="1"/>
  <c r="AI438"/>
  <c r="W438"/>
  <c r="AH438" l="1"/>
  <c r="U438"/>
  <c r="Y438"/>
  <c r="Z438" s="1"/>
  <c r="AF437"/>
  <c r="W437"/>
  <c r="AI437"/>
  <c r="AH437" l="1"/>
  <c r="U437"/>
  <c r="Y437"/>
  <c r="Z437" s="1"/>
  <c r="AF436"/>
  <c r="W436"/>
  <c r="AI436"/>
  <c r="AH436" l="1"/>
  <c r="U436"/>
  <c r="Y436"/>
  <c r="Z436" s="1"/>
  <c r="AF435"/>
  <c r="W435"/>
  <c r="AI435"/>
  <c r="AH435" l="1"/>
  <c r="U435"/>
  <c r="Y435"/>
  <c r="Z435" s="1"/>
  <c r="AF434"/>
  <c r="W434"/>
  <c r="AI434"/>
  <c r="AH434" l="1"/>
  <c r="U434"/>
  <c r="Y434"/>
  <c r="Z434" s="1"/>
  <c r="AF433"/>
  <c r="AI433"/>
  <c r="W433"/>
  <c r="AH433" l="1"/>
  <c r="U433"/>
  <c r="Y433"/>
  <c r="Z433" s="1"/>
  <c r="AF429" l="1"/>
  <c r="AI429"/>
  <c r="W429"/>
  <c r="AH429" l="1"/>
  <c r="U429"/>
  <c r="Y429"/>
  <c r="Z429" s="1"/>
  <c r="AF428"/>
  <c r="AI428"/>
  <c r="W428"/>
  <c r="AH428" l="1"/>
  <c r="U428"/>
  <c r="Y428"/>
  <c r="Z428" s="1"/>
  <c r="AF427"/>
  <c r="AI427"/>
  <c r="W427"/>
  <c r="AH427" l="1"/>
  <c r="U427"/>
  <c r="Y427"/>
  <c r="Z427" s="1"/>
  <c r="AF426"/>
  <c r="W426"/>
  <c r="AI426"/>
  <c r="AH426" l="1"/>
  <c r="U426"/>
  <c r="Y426"/>
  <c r="Z426" s="1"/>
  <c r="AF425"/>
  <c r="W425"/>
  <c r="AI425"/>
  <c r="AH425" l="1"/>
  <c r="U425"/>
  <c r="Y425"/>
  <c r="Z425" s="1"/>
  <c r="AF424"/>
  <c r="W424"/>
  <c r="AI424"/>
  <c r="AH424" l="1"/>
  <c r="U424"/>
  <c r="Y424"/>
  <c r="Z424" s="1"/>
  <c r="AF421"/>
  <c r="W421"/>
  <c r="AI421"/>
  <c r="AH421" l="1"/>
  <c r="U421"/>
  <c r="Y421"/>
  <c r="Z421" s="1"/>
  <c r="AF420"/>
  <c r="W420"/>
  <c r="AI420"/>
  <c r="AH420" l="1"/>
  <c r="U420"/>
  <c r="Y420"/>
  <c r="Z420" s="1"/>
  <c r="AF419"/>
  <c r="AI419"/>
  <c r="W419"/>
  <c r="AH419" l="1"/>
  <c r="U419"/>
  <c r="Y419"/>
  <c r="Z419" s="1"/>
  <c r="AF418"/>
  <c r="AI418"/>
  <c r="W418"/>
  <c r="AH418" l="1"/>
  <c r="U418"/>
  <c r="Y418"/>
  <c r="Z418" s="1"/>
  <c r="AF417"/>
  <c r="W417"/>
  <c r="AI417"/>
  <c r="AH417" l="1"/>
  <c r="U417"/>
  <c r="Y417"/>
  <c r="Z417" s="1"/>
  <c r="AF413" l="1"/>
  <c r="W413"/>
  <c r="AI413"/>
  <c r="AH413" l="1"/>
  <c r="U413"/>
  <c r="Y413"/>
  <c r="Z413" s="1"/>
  <c r="AF412"/>
  <c r="W412"/>
  <c r="AI412"/>
  <c r="AH412" l="1"/>
  <c r="U412"/>
  <c r="Y412"/>
  <c r="Z412" s="1"/>
  <c r="AF411"/>
  <c r="W411"/>
  <c r="AI411"/>
  <c r="AH411" l="1"/>
  <c r="U411"/>
  <c r="Y411"/>
  <c r="Z411" s="1"/>
  <c r="AF410"/>
  <c r="W410"/>
  <c r="AI410"/>
  <c r="AH410" l="1"/>
  <c r="U410"/>
  <c r="Y410"/>
  <c r="Z410" s="1"/>
  <c r="AF409"/>
  <c r="AI409"/>
  <c r="W409"/>
  <c r="AH409" l="1"/>
  <c r="U409"/>
  <c r="Y409"/>
  <c r="Z409" s="1"/>
  <c r="AF408"/>
  <c r="AI408"/>
  <c r="W408"/>
  <c r="AH408" l="1"/>
  <c r="U408"/>
  <c r="Y408"/>
  <c r="Z408" s="1"/>
  <c r="AF407"/>
  <c r="W407"/>
  <c r="AI407"/>
  <c r="AH407" l="1"/>
  <c r="U407"/>
  <c r="Y407"/>
  <c r="Z407" s="1"/>
  <c r="AF406"/>
  <c r="AI406"/>
  <c r="W406"/>
  <c r="AH406" l="1"/>
  <c r="U406"/>
  <c r="Y406"/>
  <c r="Z406" s="1"/>
  <c r="AF405"/>
  <c r="W405"/>
  <c r="AI405"/>
  <c r="AH405" l="1"/>
  <c r="U405"/>
  <c r="Y405"/>
  <c r="Z405" s="1"/>
  <c r="AF404"/>
  <c r="AI404"/>
  <c r="W404"/>
  <c r="AI48" i="114" l="1"/>
  <c r="AH48" s="1"/>
  <c r="W48"/>
  <c r="AH404" i="57"/>
  <c r="U404"/>
  <c r="Y404"/>
  <c r="Z404" s="1"/>
  <c r="AF403"/>
  <c r="W403"/>
  <c r="AI403"/>
  <c r="U48" i="114" l="1"/>
  <c r="Y48"/>
  <c r="Z48" s="1"/>
  <c r="AH403" i="57"/>
  <c r="U403"/>
  <c r="Y403"/>
  <c r="Z403" s="1"/>
  <c r="AF402"/>
  <c r="AI402"/>
  <c r="W402"/>
  <c r="AH402" l="1"/>
  <c r="U402"/>
  <c r="Y402"/>
  <c r="Z402" s="1"/>
  <c r="AF401"/>
  <c r="AI401"/>
  <c r="W401"/>
  <c r="AH401" l="1"/>
  <c r="U401"/>
  <c r="Y401"/>
  <c r="Z401" s="1"/>
  <c r="AF400"/>
  <c r="W400"/>
  <c r="AI400"/>
  <c r="AH400" l="1"/>
  <c r="U400"/>
  <c r="Y400"/>
  <c r="Z400" s="1"/>
  <c r="AF398" l="1"/>
  <c r="W398"/>
  <c r="AI398"/>
  <c r="AH398" l="1"/>
  <c r="U398"/>
  <c r="Y398"/>
  <c r="Z398" s="1"/>
  <c r="AF397"/>
  <c r="AI397"/>
  <c r="W397"/>
  <c r="AH397" l="1"/>
  <c r="U397"/>
  <c r="Y397"/>
  <c r="Z397" s="1"/>
  <c r="AF396"/>
  <c r="W396"/>
  <c r="AI396"/>
  <c r="AH396" l="1"/>
  <c r="U396"/>
  <c r="Y396"/>
  <c r="Z396" s="1"/>
  <c r="AF395"/>
  <c r="W395"/>
  <c r="AI395"/>
  <c r="AH395" l="1"/>
  <c r="U395"/>
  <c r="Y395"/>
  <c r="Z395" s="1"/>
  <c r="AF394"/>
  <c r="AI394"/>
  <c r="W394"/>
  <c r="AH394" l="1"/>
  <c r="U394"/>
  <c r="Y394"/>
  <c r="Z394" s="1"/>
  <c r="AF393"/>
  <c r="W393"/>
  <c r="AI393"/>
  <c r="AH393" l="1"/>
  <c r="U393"/>
  <c r="Y393"/>
  <c r="Z393" s="1"/>
  <c r="AF391" l="1"/>
  <c r="W391"/>
  <c r="AI391"/>
  <c r="AH391" l="1"/>
  <c r="U391"/>
  <c r="Y391"/>
  <c r="Z391" s="1"/>
  <c r="AF390"/>
  <c r="W390"/>
  <c r="AI390"/>
  <c r="AH390" l="1"/>
  <c r="U390"/>
  <c r="Y390"/>
  <c r="Z390" s="1"/>
  <c r="AF389"/>
  <c r="W389"/>
  <c r="AI389"/>
  <c r="AH389" l="1"/>
  <c r="U389"/>
  <c r="Y389"/>
  <c r="Z389" s="1"/>
  <c r="AF388"/>
  <c r="W388"/>
  <c r="AI388"/>
  <c r="AH388" l="1"/>
  <c r="U388"/>
  <c r="Y388"/>
  <c r="Z388" s="1"/>
  <c r="AF387"/>
  <c r="W387"/>
  <c r="AI387"/>
  <c r="AH387" l="1"/>
  <c r="U387"/>
  <c r="Y387"/>
  <c r="Z387" s="1"/>
  <c r="AF386"/>
  <c r="W386"/>
  <c r="AI386"/>
  <c r="AH386" l="1"/>
  <c r="U386"/>
  <c r="Y386"/>
  <c r="Z386" s="1"/>
  <c r="AF385"/>
  <c r="AI385"/>
  <c r="W385"/>
  <c r="AH385" l="1"/>
  <c r="U385"/>
  <c r="Y385"/>
  <c r="Z385" s="1"/>
  <c r="AF384"/>
  <c r="W384"/>
  <c r="AI384"/>
  <c r="AH384" l="1"/>
  <c r="U384"/>
  <c r="Y384"/>
  <c r="Z384" s="1"/>
  <c r="AF382" l="1"/>
  <c r="AI382"/>
  <c r="W382"/>
  <c r="AH382" l="1"/>
  <c r="U382"/>
  <c r="Y382"/>
  <c r="Z382" s="1"/>
  <c r="AF380"/>
  <c r="AI380"/>
  <c r="W380"/>
  <c r="AH380" l="1"/>
  <c r="U380"/>
  <c r="Y380"/>
  <c r="Z380" s="1"/>
  <c r="AF378" l="1"/>
  <c r="AI378"/>
  <c r="W378"/>
  <c r="AH378" l="1"/>
  <c r="U378"/>
  <c r="Y378"/>
  <c r="Z378" s="1"/>
  <c r="AF377"/>
  <c r="W377"/>
  <c r="AI377"/>
  <c r="AH377" l="1"/>
  <c r="U377"/>
  <c r="Y377"/>
  <c r="Z377" s="1"/>
  <c r="AF376"/>
  <c r="W376"/>
  <c r="AI376"/>
  <c r="AH376" l="1"/>
  <c r="U376"/>
  <c r="Y376"/>
  <c r="Z376" s="1"/>
  <c r="AF375"/>
  <c r="AI375"/>
  <c r="W375"/>
  <c r="AH375" l="1"/>
  <c r="U375"/>
  <c r="Y375"/>
  <c r="Z375" s="1"/>
  <c r="AF374"/>
  <c r="W374"/>
  <c r="AI374"/>
  <c r="AH374" l="1"/>
  <c r="U374"/>
  <c r="Y374"/>
  <c r="Z374" s="1"/>
  <c r="AF373"/>
  <c r="AI373"/>
  <c r="W373"/>
  <c r="AH373" l="1"/>
  <c r="U373"/>
  <c r="Y373"/>
  <c r="Z373" s="1"/>
  <c r="AF372"/>
  <c r="W372"/>
  <c r="AI372"/>
  <c r="AH372" l="1"/>
  <c r="U372"/>
  <c r="Y372"/>
  <c r="Z372" s="1"/>
  <c r="AF371"/>
  <c r="W371"/>
  <c r="AI371"/>
  <c r="AH371" l="1"/>
  <c r="U371"/>
  <c r="Y371"/>
  <c r="Z371" s="1"/>
  <c r="AF369" l="1"/>
  <c r="AI369"/>
  <c r="W369"/>
  <c r="AH369" l="1"/>
  <c r="U369"/>
  <c r="Y369"/>
  <c r="Z369" s="1"/>
  <c r="AF367" l="1"/>
  <c r="W367"/>
  <c r="AI367"/>
  <c r="AH367" l="1"/>
  <c r="U367"/>
  <c r="Y367"/>
  <c r="Z367" s="1"/>
  <c r="AF366"/>
  <c r="AI366"/>
  <c r="W366"/>
  <c r="AH366" l="1"/>
  <c r="U366"/>
  <c r="Y366"/>
  <c r="Z366" s="1"/>
  <c r="AF365"/>
  <c r="W365"/>
  <c r="AI365"/>
  <c r="AH365" l="1"/>
  <c r="U365"/>
  <c r="Y365"/>
  <c r="Z365" s="1"/>
  <c r="AF364"/>
  <c r="AI364"/>
  <c r="W364"/>
  <c r="AH364" l="1"/>
  <c r="U364"/>
  <c r="Y364"/>
  <c r="Z364" s="1"/>
  <c r="AF363"/>
  <c r="AI363"/>
  <c r="W363"/>
  <c r="AH363" l="1"/>
  <c r="U363"/>
  <c r="Y363"/>
  <c r="Z363" s="1"/>
  <c r="AF361" l="1"/>
  <c r="AI361"/>
  <c r="W361"/>
  <c r="AH361" l="1"/>
  <c r="U361"/>
  <c r="Y361"/>
  <c r="Z361" s="1"/>
  <c r="AF360"/>
  <c r="W360"/>
  <c r="AI360"/>
  <c r="AH360" l="1"/>
  <c r="U360"/>
  <c r="Y360"/>
  <c r="Z360" s="1"/>
  <c r="AF359"/>
  <c r="AI359"/>
  <c r="W359"/>
  <c r="AH359" l="1"/>
  <c r="U359"/>
  <c r="Y359"/>
  <c r="Z359" s="1"/>
  <c r="AF357" l="1"/>
  <c r="W357"/>
  <c r="AI357"/>
  <c r="AH357" l="1"/>
  <c r="U357"/>
  <c r="Y357"/>
  <c r="Z357" s="1"/>
  <c r="AF356"/>
  <c r="AI356"/>
  <c r="W356"/>
  <c r="AH356" l="1"/>
  <c r="U356"/>
  <c r="Y356"/>
  <c r="Z356" s="1"/>
  <c r="AF355"/>
  <c r="W355"/>
  <c r="AI355"/>
  <c r="AH355" l="1"/>
  <c r="U355"/>
  <c r="Y355"/>
  <c r="Z355" s="1"/>
  <c r="AF354"/>
  <c r="W354"/>
  <c r="AI354"/>
  <c r="AH354" l="1"/>
  <c r="U354"/>
  <c r="Y354"/>
  <c r="Z354" s="1"/>
  <c r="AF353"/>
  <c r="W353"/>
  <c r="AI353"/>
  <c r="AH353" l="1"/>
  <c r="U353"/>
  <c r="Y353"/>
  <c r="Z353" s="1"/>
  <c r="AF351" l="1"/>
  <c r="W351"/>
  <c r="AI351"/>
  <c r="AH351" l="1"/>
  <c r="U351"/>
  <c r="Y351"/>
  <c r="Z351" s="1"/>
  <c r="AF350"/>
  <c r="W350"/>
  <c r="AI350"/>
  <c r="AH350" l="1"/>
  <c r="U350"/>
  <c r="Y350"/>
  <c r="Z350" s="1"/>
  <c r="AF348" l="1"/>
  <c r="AI348"/>
  <c r="W348"/>
  <c r="AH348" l="1"/>
  <c r="U348"/>
  <c r="Y348"/>
  <c r="Z348" s="1"/>
  <c r="AF347"/>
  <c r="W347"/>
  <c r="AI347"/>
  <c r="AH347" l="1"/>
  <c r="U347"/>
  <c r="Y347"/>
  <c r="Z347" s="1"/>
  <c r="AF346"/>
  <c r="W346"/>
  <c r="AI346"/>
  <c r="AH346" l="1"/>
  <c r="U346"/>
  <c r="Y346"/>
  <c r="Z346" s="1"/>
  <c r="AF345"/>
  <c r="AI345"/>
  <c r="W345"/>
  <c r="AH345" l="1"/>
  <c r="U345"/>
  <c r="Y345"/>
  <c r="Z345" s="1"/>
  <c r="AF344"/>
  <c r="AI344"/>
  <c r="W344"/>
  <c r="AH344" l="1"/>
  <c r="U344"/>
  <c r="Y344"/>
  <c r="Z344" s="1"/>
  <c r="AF343"/>
  <c r="W343"/>
  <c r="AI343"/>
  <c r="AH343" l="1"/>
  <c r="U343"/>
  <c r="Y343"/>
  <c r="Z343" s="1"/>
  <c r="AF342"/>
  <c r="W342"/>
  <c r="AI342"/>
  <c r="AH342" l="1"/>
  <c r="U342"/>
  <c r="Y342"/>
  <c r="Z342" s="1"/>
  <c r="AF341"/>
  <c r="W341"/>
  <c r="AI341"/>
  <c r="AH341" l="1"/>
  <c r="U341"/>
  <c r="Y341"/>
  <c r="Z341" s="1"/>
  <c r="AF337" l="1"/>
  <c r="W337"/>
  <c r="AI337"/>
  <c r="AH337" l="1"/>
  <c r="U337"/>
  <c r="Y337"/>
  <c r="Z337" s="1"/>
  <c r="AF336"/>
  <c r="W336"/>
  <c r="AI336"/>
  <c r="AH336" l="1"/>
  <c r="U336"/>
  <c r="Y336"/>
  <c r="Z336" s="1"/>
  <c r="AF335"/>
  <c r="W335"/>
  <c r="AI335"/>
  <c r="AH335" l="1"/>
  <c r="U335"/>
  <c r="Y335"/>
  <c r="Z335" s="1"/>
  <c r="AF334"/>
  <c r="W334"/>
  <c r="AI334"/>
  <c r="AH334" l="1"/>
  <c r="U334"/>
  <c r="Y334"/>
  <c r="Z334" s="1"/>
  <c r="AF333"/>
  <c r="W333"/>
  <c r="AI333"/>
  <c r="AH333" l="1"/>
  <c r="U333"/>
  <c r="Y333"/>
  <c r="Z333" s="1"/>
  <c r="AF331" l="1"/>
  <c r="W331"/>
  <c r="AI331"/>
  <c r="AH331" l="1"/>
  <c r="U331"/>
  <c r="Y331"/>
  <c r="Z331" s="1"/>
  <c r="AF329" l="1"/>
  <c r="W329"/>
  <c r="AI329"/>
  <c r="AH329" l="1"/>
  <c r="U329"/>
  <c r="Y329"/>
  <c r="Z329" s="1"/>
  <c r="AF328"/>
  <c r="W328"/>
  <c r="AI328"/>
  <c r="AH328" l="1"/>
  <c r="U328"/>
  <c r="Y328"/>
  <c r="Z328" s="1"/>
  <c r="AF327"/>
  <c r="W327"/>
  <c r="AI327"/>
  <c r="AH327" l="1"/>
  <c r="U327"/>
  <c r="Y327"/>
  <c r="Z327" s="1"/>
  <c r="AF326"/>
  <c r="W326"/>
  <c r="AI326"/>
  <c r="AH326" l="1"/>
  <c r="U326"/>
  <c r="Y326"/>
  <c r="Z326" s="1"/>
  <c r="AF325"/>
  <c r="W325"/>
  <c r="AI325"/>
  <c r="AH325" l="1"/>
  <c r="U325"/>
  <c r="Y325"/>
  <c r="Z325" s="1"/>
  <c r="AF324"/>
  <c r="W324"/>
  <c r="AI324"/>
  <c r="AH324" l="1"/>
  <c r="U324"/>
  <c r="Y324"/>
  <c r="Z324" s="1"/>
  <c r="AF323"/>
  <c r="W323"/>
  <c r="AI323"/>
  <c r="AH323" l="1"/>
  <c r="U323"/>
  <c r="Y323"/>
  <c r="Z323" s="1"/>
  <c r="AF322"/>
  <c r="AI322"/>
  <c r="W322"/>
  <c r="AH322" l="1"/>
  <c r="U322"/>
  <c r="Y322"/>
  <c r="Z322" s="1"/>
  <c r="AF321"/>
  <c r="AI321"/>
  <c r="W321"/>
  <c r="AH321" l="1"/>
  <c r="U321"/>
  <c r="Y321"/>
  <c r="Z321" s="1"/>
  <c r="AF319" l="1"/>
  <c r="W319"/>
  <c r="AI319"/>
  <c r="AH319" l="1"/>
  <c r="U319"/>
  <c r="Y319"/>
  <c r="Z319" s="1"/>
  <c r="AF318"/>
  <c r="W318"/>
  <c r="AI318"/>
  <c r="AH318" l="1"/>
  <c r="U318"/>
  <c r="Y318"/>
  <c r="Z318" s="1"/>
  <c r="AF317"/>
  <c r="AI317"/>
  <c r="W317"/>
  <c r="AH317" l="1"/>
  <c r="U317"/>
  <c r="Y317"/>
  <c r="Z317" s="1"/>
  <c r="AF316"/>
  <c r="W316"/>
  <c r="AI316"/>
  <c r="AH316" l="1"/>
  <c r="U316"/>
  <c r="Y316"/>
  <c r="Z316" s="1"/>
  <c r="AF315"/>
  <c r="W315"/>
  <c r="AI315"/>
  <c r="AH315" l="1"/>
  <c r="U315"/>
  <c r="Y315"/>
  <c r="Z315" s="1"/>
  <c r="AF314"/>
  <c r="W314"/>
  <c r="AI314"/>
  <c r="AH314" l="1"/>
  <c r="U314"/>
  <c r="Y314"/>
  <c r="Z314" s="1"/>
  <c r="AF313"/>
  <c r="W313"/>
  <c r="AI313"/>
  <c r="AH313" l="1"/>
  <c r="U313"/>
  <c r="Y313"/>
  <c r="Z313" s="1"/>
  <c r="AF312"/>
  <c r="W312"/>
  <c r="AI312"/>
  <c r="AH312" l="1"/>
  <c r="U312"/>
  <c r="Y312"/>
  <c r="Z312" s="1"/>
  <c r="AF311"/>
  <c r="AI311"/>
  <c r="W311"/>
  <c r="AH311" l="1"/>
  <c r="U311"/>
  <c r="Y311"/>
  <c r="Z311" s="1"/>
  <c r="AF310"/>
  <c r="AI310"/>
  <c r="W310"/>
  <c r="AH310" l="1"/>
  <c r="U310"/>
  <c r="Y310"/>
  <c r="Z310" s="1"/>
  <c r="AF309"/>
  <c r="W309"/>
  <c r="AI309"/>
  <c r="AH309" l="1"/>
  <c r="U309"/>
  <c r="Y309"/>
  <c r="Z309" s="1"/>
  <c r="AF308"/>
  <c r="AI308"/>
  <c r="W308"/>
  <c r="AH308" l="1"/>
  <c r="U308"/>
  <c r="Y308"/>
  <c r="Z308" s="1"/>
  <c r="AF307"/>
  <c r="AI307"/>
  <c r="W307"/>
  <c r="AH307" l="1"/>
  <c r="U307"/>
  <c r="Y307"/>
  <c r="Z307" s="1"/>
  <c r="AF306"/>
  <c r="W306"/>
  <c r="AI306"/>
  <c r="AH306" l="1"/>
  <c r="U306"/>
  <c r="Y306"/>
  <c r="Z306" s="1"/>
  <c r="AF305"/>
  <c r="W305"/>
  <c r="AI305"/>
  <c r="AH305" l="1"/>
  <c r="U305"/>
  <c r="Y305"/>
  <c r="Z305" s="1"/>
  <c r="AF304"/>
  <c r="W304"/>
  <c r="AI304"/>
  <c r="AH304" l="1"/>
  <c r="U304"/>
  <c r="Y304"/>
  <c r="Z304" s="1"/>
  <c r="AF303"/>
  <c r="W303"/>
  <c r="AI303"/>
  <c r="AH303" l="1"/>
  <c r="U303"/>
  <c r="Y303"/>
  <c r="Z303" s="1"/>
  <c r="AF301"/>
  <c r="W301"/>
  <c r="AI301"/>
  <c r="AH301" l="1"/>
  <c r="U301"/>
  <c r="Y301"/>
  <c r="Z301" s="1"/>
  <c r="AF299" l="1"/>
  <c r="W299"/>
  <c r="AI299"/>
  <c r="AH299" l="1"/>
  <c r="U299"/>
  <c r="Y299"/>
  <c r="Z299" s="1"/>
  <c r="AF298"/>
  <c r="AI298"/>
  <c r="W298"/>
  <c r="AH298" l="1"/>
  <c r="U298"/>
  <c r="Y298"/>
  <c r="Z298" s="1"/>
  <c r="AF297"/>
  <c r="W297"/>
  <c r="AI297"/>
  <c r="AH297" l="1"/>
  <c r="U297"/>
  <c r="Y297"/>
  <c r="Z297" s="1"/>
  <c r="AF296"/>
  <c r="W296"/>
  <c r="AI296"/>
  <c r="AH296" l="1"/>
  <c r="U296"/>
  <c r="Y296"/>
  <c r="Z296" s="1"/>
  <c r="AF295"/>
  <c r="W295"/>
  <c r="AI295"/>
  <c r="AH295" l="1"/>
  <c r="U295"/>
  <c r="Y295"/>
  <c r="Z295" s="1"/>
  <c r="AF294"/>
  <c r="W294"/>
  <c r="AI294"/>
  <c r="AH294" l="1"/>
  <c r="U294"/>
  <c r="Y294"/>
  <c r="Z294" s="1"/>
  <c r="AF292" l="1"/>
  <c r="W292"/>
  <c r="AI292"/>
  <c r="AH292" l="1"/>
  <c r="U292"/>
  <c r="Y292"/>
  <c r="Z292" s="1"/>
  <c r="AF291"/>
  <c r="W291"/>
  <c r="AI291"/>
  <c r="AH291" l="1"/>
  <c r="U291"/>
  <c r="Y291"/>
  <c r="Z291" s="1"/>
  <c r="AF290"/>
  <c r="W290"/>
  <c r="AI290"/>
  <c r="AH290" l="1"/>
  <c r="U290"/>
  <c r="Y290"/>
  <c r="Z290" s="1"/>
  <c r="AF289"/>
  <c r="W289"/>
  <c r="AI289"/>
  <c r="AH289" l="1"/>
  <c r="U289"/>
  <c r="Y289"/>
  <c r="Z289" s="1"/>
  <c r="AF286"/>
  <c r="W286"/>
  <c r="AI286"/>
  <c r="AH286" l="1"/>
  <c r="U286"/>
  <c r="Y286"/>
  <c r="Z286" s="1"/>
  <c r="AF285"/>
  <c r="W285"/>
  <c r="AI285"/>
  <c r="AH285" l="1"/>
  <c r="U285"/>
  <c r="Y285"/>
  <c r="Z285" s="1"/>
  <c r="AF284"/>
  <c r="W284"/>
  <c r="AI284"/>
  <c r="AH284" l="1"/>
  <c r="U284"/>
  <c r="Y284"/>
  <c r="Z284" s="1"/>
  <c r="AF282"/>
  <c r="W282"/>
  <c r="AI282"/>
  <c r="AH282" l="1"/>
  <c r="U282"/>
  <c r="Y282"/>
  <c r="Z282" s="1"/>
  <c r="AF281"/>
  <c r="AI281"/>
  <c r="W281"/>
  <c r="AH281" l="1"/>
  <c r="U281"/>
  <c r="Y281"/>
  <c r="Z281" s="1"/>
  <c r="AF280"/>
  <c r="AI280"/>
  <c r="W280"/>
  <c r="AH280" l="1"/>
  <c r="U280"/>
  <c r="Y280"/>
  <c r="Z280" s="1"/>
  <c r="AF277" l="1"/>
  <c r="AI277"/>
  <c r="W277"/>
  <c r="AH277" l="1"/>
  <c r="U277"/>
  <c r="Y277"/>
  <c r="Z277" s="1"/>
  <c r="AF276"/>
  <c r="W276"/>
  <c r="AI276"/>
  <c r="AH276" l="1"/>
  <c r="U276"/>
  <c r="Y276"/>
  <c r="Z276" s="1"/>
  <c r="AF274" l="1"/>
  <c r="W274"/>
  <c r="AI274"/>
  <c r="AH274" l="1"/>
  <c r="U274"/>
  <c r="Y274"/>
  <c r="Z274" s="1"/>
  <c r="AF272" l="1"/>
  <c r="W272"/>
  <c r="AI272"/>
  <c r="AH272" l="1"/>
  <c r="U272"/>
  <c r="Y272"/>
  <c r="Z272" s="1"/>
  <c r="AF271"/>
  <c r="W271"/>
  <c r="AI271"/>
  <c r="AH271" l="1"/>
  <c r="U271"/>
  <c r="Y271"/>
  <c r="Z271" s="1"/>
  <c r="AF270"/>
  <c r="W270"/>
  <c r="AI270"/>
  <c r="AH270" l="1"/>
  <c r="U270"/>
  <c r="Y270"/>
  <c r="Z270" s="1"/>
  <c r="AF269"/>
  <c r="W269"/>
  <c r="AI269"/>
  <c r="AH269" l="1"/>
  <c r="U269"/>
  <c r="Y269"/>
  <c r="Z269" s="1"/>
  <c r="AF268"/>
  <c r="AI268"/>
  <c r="W268"/>
  <c r="AH268" l="1"/>
  <c r="U268"/>
  <c r="Y268"/>
  <c r="Z268" s="1"/>
  <c r="AF267"/>
  <c r="AI267"/>
  <c r="W267"/>
  <c r="AH267" l="1"/>
  <c r="U267"/>
  <c r="Y267"/>
  <c r="Z267" s="1"/>
  <c r="AF266"/>
  <c r="W266"/>
  <c r="AI266"/>
  <c r="AH266" l="1"/>
  <c r="U266"/>
  <c r="Y266"/>
  <c r="Z266" s="1"/>
  <c r="AF264" l="1"/>
  <c r="AI264"/>
  <c r="W264"/>
  <c r="AH264" l="1"/>
  <c r="U264"/>
  <c r="Y264"/>
  <c r="Z264" s="1"/>
  <c r="AF263"/>
  <c r="AI263"/>
  <c r="W263"/>
  <c r="AH263" l="1"/>
  <c r="U263"/>
  <c r="Y263"/>
  <c r="Z263" s="1"/>
  <c r="AF262"/>
  <c r="W262"/>
  <c r="AI262"/>
  <c r="AH262" l="1"/>
  <c r="U262"/>
  <c r="Y262"/>
  <c r="Z262" s="1"/>
  <c r="AF261"/>
  <c r="AI261"/>
  <c r="W261"/>
  <c r="AH261" l="1"/>
  <c r="U261"/>
  <c r="Y261"/>
  <c r="Z261" s="1"/>
  <c r="AF259" l="1"/>
  <c r="W259"/>
  <c r="AI259"/>
  <c r="AH259" l="1"/>
  <c r="U259"/>
  <c r="Y259"/>
  <c r="Z259" s="1"/>
  <c r="AF258"/>
  <c r="AI258"/>
  <c r="W258"/>
  <c r="AH258" l="1"/>
  <c r="U258"/>
  <c r="Y258"/>
  <c r="Z258" s="1"/>
  <c r="AF257"/>
  <c r="W257"/>
  <c r="AI257"/>
  <c r="AH257" l="1"/>
  <c r="U257"/>
  <c r="Y257"/>
  <c r="Z257" s="1"/>
  <c r="AF256"/>
  <c r="W256"/>
  <c r="AI256"/>
  <c r="AH256" l="1"/>
  <c r="U256"/>
  <c r="Y256"/>
  <c r="Z256" s="1"/>
  <c r="AF255" l="1"/>
  <c r="W255"/>
  <c r="AI255"/>
  <c r="AH255" l="1"/>
  <c r="U255"/>
  <c r="Y255"/>
  <c r="Z255" s="1"/>
  <c r="AF254"/>
  <c r="W254"/>
  <c r="AI254"/>
  <c r="AH254" l="1"/>
  <c r="U254"/>
  <c r="Y254"/>
  <c r="Z254" s="1"/>
  <c r="AF253"/>
  <c r="W253"/>
  <c r="AI253"/>
  <c r="AH253" l="1"/>
  <c r="U253"/>
  <c r="Y253"/>
  <c r="Z253" s="1"/>
  <c r="AF252"/>
  <c r="W252"/>
  <c r="AI252"/>
  <c r="AH252" l="1"/>
  <c r="U252"/>
  <c r="Y252"/>
  <c r="Z252" s="1"/>
  <c r="AF251"/>
  <c r="W251"/>
  <c r="AI251"/>
  <c r="AH251" l="1"/>
  <c r="U251"/>
  <c r="Y251"/>
  <c r="Z251" s="1"/>
  <c r="AF250"/>
  <c r="W250"/>
  <c r="AI250"/>
  <c r="AH250" l="1"/>
  <c r="U250"/>
  <c r="Y250"/>
  <c r="Z250" s="1"/>
  <c r="AF249"/>
  <c r="W249"/>
  <c r="AI249"/>
  <c r="AH249" l="1"/>
  <c r="U249"/>
  <c r="Y249"/>
  <c r="Z249" s="1"/>
  <c r="AF248"/>
  <c r="AI248"/>
  <c r="W248"/>
  <c r="AH248" l="1"/>
  <c r="U248"/>
  <c r="Y248"/>
  <c r="Z248" s="1"/>
  <c r="AF246" l="1"/>
  <c r="W246"/>
  <c r="AI246"/>
  <c r="AH246" l="1"/>
  <c r="U246"/>
  <c r="Y246"/>
  <c r="Z246" s="1"/>
  <c r="AF245"/>
  <c r="AI245"/>
  <c r="W245"/>
  <c r="AH245" l="1"/>
  <c r="U245"/>
  <c r="Y245"/>
  <c r="Z245" s="1"/>
  <c r="AF241" l="1"/>
  <c r="W241"/>
  <c r="AI241"/>
  <c r="AH241" l="1"/>
  <c r="U241"/>
  <c r="Y241"/>
  <c r="Z241" s="1"/>
  <c r="AF240"/>
  <c r="AI240"/>
  <c r="W240"/>
  <c r="AH240" l="1"/>
  <c r="U240"/>
  <c r="Y240"/>
  <c r="Z240" s="1"/>
  <c r="AF239"/>
  <c r="W239"/>
  <c r="AI239"/>
  <c r="AH239" l="1"/>
  <c r="U239"/>
  <c r="Y239"/>
  <c r="Z239" s="1"/>
  <c r="AF238"/>
  <c r="W238"/>
  <c r="AI238"/>
  <c r="AH238" l="1"/>
  <c r="U238"/>
  <c r="Y238"/>
  <c r="Z238" s="1"/>
  <c r="AF237"/>
  <c r="W237"/>
  <c r="AI237"/>
  <c r="AH237" l="1"/>
  <c r="U237"/>
  <c r="Y237"/>
  <c r="Z237" s="1"/>
  <c r="AF236"/>
  <c r="W236"/>
  <c r="AI236"/>
  <c r="AH236" l="1"/>
  <c r="U236"/>
  <c r="Y236"/>
  <c r="Z236" s="1"/>
  <c r="AF235"/>
  <c r="W235"/>
  <c r="AI235"/>
  <c r="AH235" l="1"/>
  <c r="U235"/>
  <c r="Y235"/>
  <c r="Z235" s="1"/>
  <c r="AF234"/>
  <c r="AI234"/>
  <c r="W234"/>
  <c r="AH234" l="1"/>
  <c r="U234"/>
  <c r="Y234"/>
  <c r="Z234" s="1"/>
  <c r="AF233"/>
  <c r="W233"/>
  <c r="AI233"/>
  <c r="AH233" l="1"/>
  <c r="U233"/>
  <c r="Y233"/>
  <c r="Z233" s="1"/>
  <c r="AF232"/>
  <c r="AI232"/>
  <c r="W232"/>
  <c r="AH232" l="1"/>
  <c r="U232"/>
  <c r="Y232"/>
  <c r="Z232" s="1"/>
  <c r="AF231"/>
  <c r="W231"/>
  <c r="AI231"/>
  <c r="AH231" l="1"/>
  <c r="U231"/>
  <c r="Y231"/>
  <c r="Z231" s="1"/>
  <c r="AF230"/>
  <c r="W230"/>
  <c r="AI230"/>
  <c r="AH230" l="1"/>
  <c r="U230"/>
  <c r="Y230"/>
  <c r="Z230" s="1"/>
  <c r="AF229"/>
  <c r="W229"/>
  <c r="AI229"/>
  <c r="AH229" l="1"/>
  <c r="U229"/>
  <c r="Y229"/>
  <c r="Z229" s="1"/>
  <c r="AF228"/>
  <c r="W228"/>
  <c r="AI228"/>
  <c r="AH228" l="1"/>
  <c r="U228"/>
  <c r="Y228"/>
  <c r="Z228" s="1"/>
  <c r="AF227"/>
  <c r="AI227"/>
  <c r="W227"/>
  <c r="AH227" l="1"/>
  <c r="U227"/>
  <c r="Y227"/>
  <c r="Z227" s="1"/>
  <c r="AF226"/>
  <c r="AI226"/>
  <c r="W226"/>
  <c r="AH226" l="1"/>
  <c r="U226"/>
  <c r="Y226"/>
  <c r="Z226" s="1"/>
  <c r="AF225"/>
  <c r="W225"/>
  <c r="AI225"/>
  <c r="AH225" l="1"/>
  <c r="U225"/>
  <c r="Y225"/>
  <c r="Z225" s="1"/>
  <c r="AF221" l="1"/>
  <c r="AI221"/>
  <c r="W221"/>
  <c r="AH221" l="1"/>
  <c r="U221"/>
  <c r="Y221"/>
  <c r="Z221" s="1"/>
  <c r="AF220"/>
  <c r="W220"/>
  <c r="AI220"/>
  <c r="AH220" l="1"/>
  <c r="U220"/>
  <c r="Y220"/>
  <c r="Z220" s="1"/>
  <c r="AF218" l="1"/>
  <c r="W218"/>
  <c r="AI218"/>
  <c r="AH218" l="1"/>
  <c r="U218"/>
  <c r="Y218"/>
  <c r="Z218" s="1"/>
  <c r="AF217"/>
  <c r="AI217"/>
  <c r="W217"/>
  <c r="AH217" l="1"/>
  <c r="U217"/>
  <c r="Y217"/>
  <c r="Z217" s="1"/>
  <c r="AF216"/>
  <c r="W216"/>
  <c r="AI216"/>
  <c r="AH216" l="1"/>
  <c r="U216"/>
  <c r="Y216"/>
  <c r="Z216" s="1"/>
  <c r="AF215"/>
  <c r="W215"/>
  <c r="AI215"/>
  <c r="AH215" l="1"/>
  <c r="U215"/>
  <c r="Y215"/>
  <c r="Z215" s="1"/>
  <c r="AF213"/>
  <c r="AI213"/>
  <c r="W213"/>
  <c r="AH213" l="1"/>
  <c r="U213"/>
  <c r="Y213"/>
  <c r="Z213" s="1"/>
  <c r="AF212"/>
  <c r="W212"/>
  <c r="AI212"/>
  <c r="AH212" l="1"/>
  <c r="U212"/>
  <c r="Y212"/>
  <c r="Z212" s="1"/>
  <c r="AF211"/>
  <c r="AI211"/>
  <c r="W211"/>
  <c r="AH211" l="1"/>
  <c r="U211"/>
  <c r="Y211"/>
  <c r="Z211" s="1"/>
  <c r="AF210"/>
  <c r="AI210"/>
  <c r="W210"/>
  <c r="AH210" l="1"/>
  <c r="U210"/>
  <c r="Y210"/>
  <c r="Z210" s="1"/>
  <c r="AF206" l="1"/>
  <c r="W206"/>
  <c r="AI206"/>
  <c r="AH206" l="1"/>
  <c r="U206"/>
  <c r="Y206"/>
  <c r="Z206" s="1"/>
  <c r="AF204" l="1"/>
  <c r="W204"/>
  <c r="AI204"/>
  <c r="AH204" l="1"/>
  <c r="U204"/>
  <c r="Y204"/>
  <c r="Z204" s="1"/>
  <c r="AF203"/>
  <c r="AI203"/>
  <c r="W203"/>
  <c r="AH203" l="1"/>
  <c r="U203"/>
  <c r="Y203"/>
  <c r="Z203" s="1"/>
  <c r="AF201" l="1"/>
  <c r="W201"/>
  <c r="AI201"/>
  <c r="AH201" l="1"/>
  <c r="U201"/>
  <c r="Y201"/>
  <c r="Z201" s="1"/>
  <c r="AF200"/>
  <c r="W200"/>
  <c r="AI200"/>
  <c r="AH200" l="1"/>
  <c r="U200"/>
  <c r="Y200"/>
  <c r="Z200" s="1"/>
  <c r="AF199"/>
  <c r="W199"/>
  <c r="AI199"/>
  <c r="AH199" l="1"/>
  <c r="U199"/>
  <c r="Y199"/>
  <c r="Z199" s="1"/>
  <c r="AF197" l="1"/>
  <c r="W197"/>
  <c r="AI197"/>
  <c r="AH197" l="1"/>
  <c r="U197"/>
  <c r="Y197"/>
  <c r="Z197" s="1"/>
  <c r="AF195"/>
  <c r="W195"/>
  <c r="AI195"/>
  <c r="AH195" l="1"/>
  <c r="U195"/>
  <c r="Y195"/>
  <c r="Z195" s="1"/>
  <c r="AF194"/>
  <c r="W194"/>
  <c r="AI194"/>
  <c r="AH194" l="1"/>
  <c r="U194"/>
  <c r="Y194"/>
  <c r="Z194" s="1"/>
  <c r="AF193"/>
  <c r="AI193"/>
  <c r="W193"/>
  <c r="AH193" l="1"/>
  <c r="U193"/>
  <c r="Y193"/>
  <c r="Z193" s="1"/>
  <c r="AF192"/>
  <c r="W192"/>
  <c r="AI192"/>
  <c r="AH192" l="1"/>
  <c r="U192"/>
  <c r="Y192"/>
  <c r="Z192" s="1"/>
  <c r="AF191"/>
  <c r="W191"/>
  <c r="AI191"/>
  <c r="AH191" l="1"/>
  <c r="U191"/>
  <c r="Y191"/>
  <c r="Z191" s="1"/>
  <c r="AF190"/>
  <c r="W190"/>
  <c r="AI190"/>
  <c r="AH190" l="1"/>
  <c r="U190"/>
  <c r="Y190"/>
  <c r="Z190" s="1"/>
  <c r="AF189"/>
  <c r="AI189"/>
  <c r="W189"/>
  <c r="AH189" l="1"/>
  <c r="U189"/>
  <c r="Y189"/>
  <c r="Z189" s="1"/>
  <c r="AF188"/>
  <c r="AI188"/>
  <c r="W188"/>
  <c r="AH188" l="1"/>
  <c r="U188"/>
  <c r="Y188"/>
  <c r="Z188" s="1"/>
  <c r="AF187"/>
  <c r="AI187"/>
  <c r="W187"/>
  <c r="AH187" l="1"/>
  <c r="U187"/>
  <c r="Y187"/>
  <c r="Z187" s="1"/>
  <c r="AF186"/>
  <c r="W186"/>
  <c r="AI186"/>
  <c r="AH186" l="1"/>
  <c r="U186"/>
  <c r="Y186"/>
  <c r="Z186" s="1"/>
  <c r="AF185"/>
  <c r="W185"/>
  <c r="AI185"/>
  <c r="AH185" l="1"/>
  <c r="U185"/>
  <c r="Y185"/>
  <c r="Z185" s="1"/>
  <c r="AF184"/>
  <c r="W184"/>
  <c r="AI184"/>
  <c r="AH184" l="1"/>
  <c r="U184"/>
  <c r="Y184"/>
  <c r="Z184" s="1"/>
  <c r="AF183"/>
  <c r="AI183"/>
  <c r="W183"/>
  <c r="AH183" l="1"/>
  <c r="U183"/>
  <c r="Y183"/>
  <c r="Z183" s="1"/>
  <c r="AF182"/>
  <c r="W182"/>
  <c r="AI182"/>
  <c r="AH182" l="1"/>
  <c r="U182"/>
  <c r="Y182"/>
  <c r="Z182" s="1"/>
  <c r="AF181"/>
  <c r="W181"/>
  <c r="AI181"/>
  <c r="AH181" l="1"/>
  <c r="U181"/>
  <c r="Y181"/>
  <c r="Z181" s="1"/>
  <c r="AF180"/>
  <c r="W180"/>
  <c r="AI180"/>
  <c r="AH180" l="1"/>
  <c r="U180"/>
  <c r="Y180"/>
  <c r="Z180" s="1"/>
  <c r="AF179"/>
  <c r="W179"/>
  <c r="AI179"/>
  <c r="AH179" l="1"/>
  <c r="U179"/>
  <c r="Y179"/>
  <c r="Z179" s="1"/>
  <c r="AF178"/>
  <c r="W178"/>
  <c r="AI178"/>
  <c r="AH178" l="1"/>
  <c r="U178"/>
  <c r="Y178"/>
  <c r="Z178" s="1"/>
  <c r="AF177"/>
  <c r="AI177"/>
  <c r="W177"/>
  <c r="AH177" l="1"/>
  <c r="U177"/>
  <c r="Y177"/>
  <c r="Z177" s="1"/>
  <c r="AF176"/>
  <c r="W176"/>
  <c r="AI176"/>
  <c r="AH176" l="1"/>
  <c r="U176"/>
  <c r="Y176"/>
  <c r="Z176" s="1"/>
  <c r="AF175"/>
  <c r="AI175"/>
  <c r="W175"/>
  <c r="AH175" l="1"/>
  <c r="U175"/>
  <c r="Y175"/>
  <c r="Z175" s="1"/>
  <c r="AF174"/>
  <c r="W174"/>
  <c r="AI174"/>
  <c r="AH174" l="1"/>
  <c r="U174"/>
  <c r="Y174"/>
  <c r="Z174" s="1"/>
  <c r="AF173"/>
  <c r="AI173"/>
  <c r="W173"/>
  <c r="AH173" l="1"/>
  <c r="U173"/>
  <c r="Y173"/>
  <c r="Z173" s="1"/>
  <c r="AF172"/>
  <c r="AI172"/>
  <c r="W172"/>
  <c r="AH172" l="1"/>
  <c r="U172"/>
  <c r="Y172"/>
  <c r="Z172" s="1"/>
  <c r="AF171"/>
  <c r="AI171"/>
  <c r="W171"/>
  <c r="AH171" l="1"/>
  <c r="U171"/>
  <c r="Y171"/>
  <c r="Z171" s="1"/>
  <c r="AF170"/>
  <c r="W170"/>
  <c r="AI170"/>
  <c r="AH170" l="1"/>
  <c r="U170"/>
  <c r="Y170"/>
  <c r="Z170" s="1"/>
  <c r="AF169"/>
  <c r="AI169"/>
  <c r="W169"/>
  <c r="AH169" l="1"/>
  <c r="U169"/>
  <c r="Y169"/>
  <c r="Z169" s="1"/>
  <c r="AF168"/>
  <c r="W168"/>
  <c r="AI168"/>
  <c r="AH168" l="1"/>
  <c r="U168"/>
  <c r="Y168"/>
  <c r="Z168" s="1"/>
  <c r="AF167"/>
  <c r="W167"/>
  <c r="AI167"/>
  <c r="AH167" l="1"/>
  <c r="U167"/>
  <c r="Y167"/>
  <c r="Z167" s="1"/>
  <c r="AF166"/>
  <c r="AI166"/>
  <c r="W166"/>
  <c r="AH166" l="1"/>
  <c r="U166"/>
  <c r="Y166"/>
  <c r="Z166" s="1"/>
  <c r="AF165"/>
  <c r="W165"/>
  <c r="AI165"/>
  <c r="AH165" l="1"/>
  <c r="U165"/>
  <c r="Y165"/>
  <c r="Z165" s="1"/>
  <c r="AF164"/>
  <c r="W164"/>
  <c r="AI164"/>
  <c r="AH164" l="1"/>
  <c r="U164"/>
  <c r="Y164"/>
  <c r="Z164" s="1"/>
  <c r="AF163"/>
  <c r="W163"/>
  <c r="AI163"/>
  <c r="AH163" l="1"/>
  <c r="U163"/>
  <c r="Y163"/>
  <c r="Z163" s="1"/>
  <c r="AF162"/>
  <c r="W162"/>
  <c r="AI162"/>
  <c r="AH162" l="1"/>
  <c r="U162"/>
  <c r="Y162"/>
  <c r="Z162" s="1"/>
  <c r="AF161"/>
  <c r="AI161"/>
  <c r="W161"/>
  <c r="AH161" l="1"/>
  <c r="U161"/>
  <c r="Y161"/>
  <c r="Z161" s="1"/>
  <c r="AF160"/>
  <c r="AI160"/>
  <c r="W160"/>
  <c r="AI42" i="114" l="1"/>
  <c r="AH42" s="1"/>
  <c r="W42"/>
  <c r="AH160" i="57"/>
  <c r="U160"/>
  <c r="Y160"/>
  <c r="Z160" s="1"/>
  <c r="AF159"/>
  <c r="W159"/>
  <c r="AI159"/>
  <c r="U42" i="114" l="1"/>
  <c r="Y42"/>
  <c r="Z42" s="1"/>
  <c r="AH159" i="57"/>
  <c r="U159"/>
  <c r="Y159"/>
  <c r="Z159" s="1"/>
  <c r="AF158"/>
  <c r="W158"/>
  <c r="AI158"/>
  <c r="AH158" l="1"/>
  <c r="U158"/>
  <c r="Y158"/>
  <c r="Z158" s="1"/>
  <c r="AF156" l="1"/>
  <c r="W156"/>
  <c r="AI156"/>
  <c r="AH156" l="1"/>
  <c r="U156"/>
  <c r="Y156"/>
  <c r="Z156" s="1"/>
  <c r="AF155"/>
  <c r="W155"/>
  <c r="AI155"/>
  <c r="AH155" l="1"/>
  <c r="U155"/>
  <c r="Y155"/>
  <c r="Z155" s="1"/>
  <c r="AF154"/>
  <c r="W154"/>
  <c r="AI154"/>
  <c r="AH154" l="1"/>
  <c r="U154"/>
  <c r="Y154"/>
  <c r="Z154" s="1"/>
  <c r="AF153"/>
  <c r="W153"/>
  <c r="AI153"/>
  <c r="AH153" l="1"/>
  <c r="U153"/>
  <c r="Y153"/>
  <c r="Z153" s="1"/>
  <c r="AF152"/>
  <c r="W152"/>
  <c r="AI152"/>
  <c r="AH152" l="1"/>
  <c r="U152"/>
  <c r="Y152"/>
  <c r="Z152" s="1"/>
  <c r="AF150" l="1"/>
  <c r="AI150"/>
  <c r="W150"/>
  <c r="AH150" l="1"/>
  <c r="U150"/>
  <c r="Y150"/>
  <c r="Z150" s="1"/>
  <c r="AF149"/>
  <c r="W149"/>
  <c r="AI149"/>
  <c r="AH149" l="1"/>
  <c r="U149"/>
  <c r="Y149"/>
  <c r="Z149" s="1"/>
  <c r="AF148"/>
  <c r="AI148"/>
  <c r="W148"/>
  <c r="AH148" l="1"/>
  <c r="U148"/>
  <c r="Y148"/>
  <c r="Z148" s="1"/>
  <c r="AF147"/>
  <c r="AI147"/>
  <c r="W147"/>
  <c r="AH147" l="1"/>
  <c r="U147"/>
  <c r="Y147"/>
  <c r="Z147" s="1"/>
  <c r="AF146"/>
  <c r="AI146"/>
  <c r="W146"/>
  <c r="AH146" l="1"/>
  <c r="U146"/>
  <c r="Y146"/>
  <c r="Z146" s="1"/>
  <c r="AF145"/>
  <c r="W145"/>
  <c r="AI145"/>
  <c r="AH145" l="1"/>
  <c r="U145"/>
  <c r="Y145"/>
  <c r="Z145" s="1"/>
  <c r="AF144"/>
  <c r="W144"/>
  <c r="AI144"/>
  <c r="AH144" l="1"/>
  <c r="U144"/>
  <c r="Y144"/>
  <c r="Z144" s="1"/>
  <c r="AF143"/>
  <c r="W143"/>
  <c r="AI143"/>
  <c r="AH143" l="1"/>
  <c r="U143"/>
  <c r="Y143"/>
  <c r="Z143" s="1"/>
  <c r="AF142"/>
  <c r="W142"/>
  <c r="AI142"/>
  <c r="AH142" l="1"/>
  <c r="U142"/>
  <c r="Y142"/>
  <c r="Z142" s="1"/>
  <c r="AF141"/>
  <c r="W141"/>
  <c r="AI141"/>
  <c r="AH141" l="1"/>
  <c r="U141"/>
  <c r="Y141"/>
  <c r="Z141" s="1"/>
  <c r="AF140"/>
  <c r="AI140"/>
  <c r="W140"/>
  <c r="AH140" l="1"/>
  <c r="U140"/>
  <c r="Y140"/>
  <c r="Z140" s="1"/>
  <c r="AF139"/>
  <c r="AI139"/>
  <c r="W139"/>
  <c r="AH139" l="1"/>
  <c r="U139"/>
  <c r="Y139"/>
  <c r="Z139" s="1"/>
  <c r="AF138"/>
  <c r="W138"/>
  <c r="AI138"/>
  <c r="AH138" l="1"/>
  <c r="U138"/>
  <c r="Y138"/>
  <c r="Z138" s="1"/>
  <c r="AF137"/>
  <c r="W137"/>
  <c r="AI137"/>
  <c r="AH137" l="1"/>
  <c r="U137"/>
  <c r="Y137"/>
  <c r="Z137" s="1"/>
  <c r="AF136"/>
  <c r="W136"/>
  <c r="AI136"/>
  <c r="AH136" l="1"/>
  <c r="U136"/>
  <c r="Y136"/>
  <c r="Z136" s="1"/>
  <c r="AF135"/>
  <c r="AI135"/>
  <c r="W135"/>
  <c r="AH135" l="1"/>
  <c r="U135"/>
  <c r="Y135"/>
  <c r="Z135" s="1"/>
  <c r="AF133" l="1"/>
  <c r="W133"/>
  <c r="AI133"/>
  <c r="AH133" l="1"/>
  <c r="U133"/>
  <c r="Y133"/>
  <c r="Z133" s="1"/>
  <c r="AF132"/>
  <c r="W132"/>
  <c r="AI132"/>
  <c r="AH132" l="1"/>
  <c r="U132"/>
  <c r="Y132"/>
  <c r="Z132" s="1"/>
  <c r="AF131"/>
  <c r="AI131"/>
  <c r="W131"/>
  <c r="AH131" l="1"/>
  <c r="U131"/>
  <c r="Y131"/>
  <c r="Z131" s="1"/>
  <c r="AF130"/>
  <c r="W130"/>
  <c r="AI130"/>
  <c r="AH130" l="1"/>
  <c r="U130"/>
  <c r="Y130"/>
  <c r="Z130" s="1"/>
  <c r="AF129"/>
  <c r="W129"/>
  <c r="AI129"/>
  <c r="AH129" l="1"/>
  <c r="U129"/>
  <c r="Y129"/>
  <c r="Z129" s="1"/>
  <c r="AF128"/>
  <c r="AI128"/>
  <c r="W128"/>
  <c r="AH128" l="1"/>
  <c r="U128"/>
  <c r="Y128"/>
  <c r="Z128" s="1"/>
  <c r="AF125"/>
  <c r="W125"/>
  <c r="AI125"/>
  <c r="AH125" l="1"/>
  <c r="U125"/>
  <c r="Y125"/>
  <c r="Z125" s="1"/>
  <c r="AF124"/>
  <c r="W124"/>
  <c r="AI124"/>
  <c r="AH124" l="1"/>
  <c r="U124"/>
  <c r="Y124"/>
  <c r="Z124" s="1"/>
  <c r="AF123"/>
  <c r="AI123"/>
  <c r="W123"/>
  <c r="AH123" l="1"/>
  <c r="U123"/>
  <c r="Y123"/>
  <c r="Z123" s="1"/>
  <c r="AF122"/>
  <c r="AI122"/>
  <c r="W122"/>
  <c r="AH122" l="1"/>
  <c r="U122"/>
  <c r="Y122"/>
  <c r="Z122" s="1"/>
  <c r="AF121"/>
  <c r="AI121"/>
  <c r="W121"/>
  <c r="AH121" l="1"/>
  <c r="U121"/>
  <c r="Y121"/>
  <c r="Z121" s="1"/>
  <c r="AF120"/>
  <c r="W120"/>
  <c r="AI120"/>
  <c r="AH120" l="1"/>
  <c r="U120"/>
  <c r="Y120"/>
  <c r="Z120" s="1"/>
  <c r="AF119"/>
  <c r="AI119"/>
  <c r="W119"/>
  <c r="AH119" l="1"/>
  <c r="U119"/>
  <c r="Y119"/>
  <c r="Z119" s="1"/>
  <c r="AF118"/>
  <c r="W118"/>
  <c r="AI118"/>
  <c r="AH118" l="1"/>
  <c r="U118"/>
  <c r="Y118"/>
  <c r="Z118" s="1"/>
  <c r="AF117"/>
  <c r="AI117"/>
  <c r="W117"/>
  <c r="AH117" l="1"/>
  <c r="U117"/>
  <c r="Y117"/>
  <c r="Z117" s="1"/>
  <c r="AF116"/>
  <c r="W116"/>
  <c r="AI116"/>
  <c r="AH116" l="1"/>
  <c r="U116"/>
  <c r="Y116"/>
  <c r="Z116" s="1"/>
  <c r="AF115"/>
  <c r="AI115"/>
  <c r="W115"/>
  <c r="AH115" l="1"/>
  <c r="U115"/>
  <c r="Y115"/>
  <c r="Z115" s="1"/>
  <c r="AF114"/>
  <c r="W114"/>
  <c r="AI114"/>
  <c r="AH114" l="1"/>
  <c r="U114"/>
  <c r="Y114"/>
  <c r="Z114" s="1"/>
  <c r="AF113"/>
  <c r="W113"/>
  <c r="AI113"/>
  <c r="AH113" l="1"/>
  <c r="U113"/>
  <c r="Y113"/>
  <c r="Z113" s="1"/>
  <c r="AF112"/>
  <c r="W112"/>
  <c r="AI112"/>
  <c r="AH112" l="1"/>
  <c r="U112"/>
  <c r="Y112"/>
  <c r="Z112" s="1"/>
  <c r="AF111"/>
  <c r="W111"/>
  <c r="AI111"/>
  <c r="AH111" l="1"/>
  <c r="U111"/>
  <c r="Y111"/>
  <c r="Z111" s="1"/>
  <c r="AF108" l="1"/>
  <c r="W108"/>
  <c r="AI108"/>
  <c r="AH108" l="1"/>
  <c r="U108"/>
  <c r="Y108"/>
  <c r="Z108" s="1"/>
  <c r="AF107"/>
  <c r="AI107"/>
  <c r="W107"/>
  <c r="AH107" l="1"/>
  <c r="U107"/>
  <c r="Y107"/>
  <c r="Z107" s="1"/>
  <c r="AF106"/>
  <c r="W106"/>
  <c r="AI106"/>
  <c r="AH106" l="1"/>
  <c r="U106"/>
  <c r="Y106"/>
  <c r="Z106" s="1"/>
  <c r="AF105"/>
  <c r="W105"/>
  <c r="AI105"/>
  <c r="AH105" l="1"/>
  <c r="U105"/>
  <c r="Y105"/>
  <c r="Z105" s="1"/>
  <c r="AF104"/>
  <c r="AI104"/>
  <c r="W104"/>
  <c r="AH104" l="1"/>
  <c r="U104"/>
  <c r="Y104"/>
  <c r="Z104" s="1"/>
  <c r="AF103"/>
  <c r="W103"/>
  <c r="AI103"/>
  <c r="AH103" l="1"/>
  <c r="U103"/>
  <c r="Y103"/>
  <c r="Z103" s="1"/>
  <c r="AF102"/>
  <c r="AI102"/>
  <c r="W102"/>
  <c r="AH102" l="1"/>
  <c r="U102"/>
  <c r="Y102"/>
  <c r="Z102" s="1"/>
  <c r="AF101"/>
  <c r="AI101"/>
  <c r="W101"/>
  <c r="AH101" l="1"/>
  <c r="U101"/>
  <c r="Y101"/>
  <c r="Z101" s="1"/>
  <c r="AF100"/>
  <c r="AI100"/>
  <c r="W100"/>
  <c r="AH100" l="1"/>
  <c r="U100"/>
  <c r="Y100"/>
  <c r="Z100" s="1"/>
  <c r="AF99"/>
  <c r="AI99"/>
  <c r="W99"/>
  <c r="AH99" l="1"/>
  <c r="U99"/>
  <c r="Y99"/>
  <c r="Z99" s="1"/>
  <c r="AF98"/>
  <c r="W98"/>
  <c r="AI98"/>
  <c r="AH98" l="1"/>
  <c r="U98"/>
  <c r="Y98"/>
  <c r="Z98" s="1"/>
  <c r="AF97"/>
  <c r="W97"/>
  <c r="AI97"/>
  <c r="AH97" l="1"/>
  <c r="U97"/>
  <c r="Y97"/>
  <c r="Z97" s="1"/>
  <c r="AF96"/>
  <c r="AI96"/>
  <c r="W96"/>
  <c r="AH96" l="1"/>
  <c r="U96"/>
  <c r="Y96"/>
  <c r="Z96" s="1"/>
  <c r="AF95"/>
  <c r="AI95"/>
  <c r="W95"/>
  <c r="AH95" l="1"/>
  <c r="U95"/>
  <c r="Y95"/>
  <c r="Z95" s="1"/>
  <c r="AF94"/>
  <c r="AI94"/>
  <c r="W94"/>
  <c r="AH94" l="1"/>
  <c r="U94"/>
  <c r="Y94"/>
  <c r="Z94" s="1"/>
  <c r="AF93"/>
  <c r="AI93"/>
  <c r="W93"/>
  <c r="AH93" l="1"/>
  <c r="U93"/>
  <c r="Y93"/>
  <c r="Z93" s="1"/>
  <c r="AF92"/>
  <c r="W92"/>
  <c r="AI92"/>
  <c r="AH92" l="1"/>
  <c r="U92"/>
  <c r="Y92"/>
  <c r="Z92" s="1"/>
  <c r="AF91"/>
  <c r="W91"/>
  <c r="AI91"/>
  <c r="AH91" l="1"/>
  <c r="U91"/>
  <c r="Y91"/>
  <c r="Z91" s="1"/>
  <c r="AF90"/>
  <c r="AI90"/>
  <c r="W90"/>
  <c r="AH90" l="1"/>
  <c r="U90"/>
  <c r="Y90"/>
  <c r="Z90" s="1"/>
  <c r="AF89"/>
  <c r="W89"/>
  <c r="AI89"/>
  <c r="AH89" l="1"/>
  <c r="U89"/>
  <c r="Y89"/>
  <c r="Z89" s="1"/>
  <c r="AF88"/>
  <c r="AI88"/>
  <c r="W88"/>
  <c r="AH88" l="1"/>
  <c r="U88"/>
  <c r="Y88"/>
  <c r="Z88" s="1"/>
  <c r="AF87"/>
  <c r="AI87"/>
  <c r="W87"/>
  <c r="AH87" l="1"/>
  <c r="U87"/>
  <c r="Y87"/>
  <c r="Z87" s="1"/>
  <c r="AF86"/>
  <c r="AI86"/>
  <c r="W86"/>
  <c r="AH86" l="1"/>
  <c r="U86"/>
  <c r="Y86"/>
  <c r="Z86" s="1"/>
  <c r="AF85"/>
  <c r="AI85"/>
  <c r="W85"/>
  <c r="AH85" l="1"/>
  <c r="U85"/>
  <c r="Y85"/>
  <c r="Z85" s="1"/>
  <c r="AF84"/>
  <c r="W84"/>
  <c r="AI84"/>
  <c r="AH84" l="1"/>
  <c r="U84"/>
  <c r="Y84"/>
  <c r="Z84" s="1"/>
  <c r="AF83"/>
  <c r="AI83"/>
  <c r="W83"/>
  <c r="AH83" l="1"/>
  <c r="U83"/>
  <c r="Y83"/>
  <c r="Z83" s="1"/>
  <c r="AF82"/>
  <c r="W82"/>
  <c r="AI82"/>
  <c r="AH82" l="1"/>
  <c r="U82"/>
  <c r="Y82"/>
  <c r="Z82" s="1"/>
  <c r="AF81"/>
  <c r="W81"/>
  <c r="AI81"/>
  <c r="AH81" l="1"/>
  <c r="U81"/>
  <c r="Y81"/>
  <c r="Z81" s="1"/>
  <c r="AF80"/>
  <c r="AI80"/>
  <c r="W80"/>
  <c r="AH80" l="1"/>
  <c r="U80"/>
  <c r="Y80"/>
  <c r="Z80" s="1"/>
  <c r="AF79"/>
  <c r="AI79"/>
  <c r="W79"/>
  <c r="AH79" l="1"/>
  <c r="U79"/>
  <c r="Y79"/>
  <c r="Z79" s="1"/>
  <c r="AF78"/>
  <c r="W78"/>
  <c r="AI78"/>
  <c r="AH78" l="1"/>
  <c r="U78"/>
  <c r="Y78"/>
  <c r="Z78" s="1"/>
  <c r="AF77"/>
  <c r="AI77"/>
  <c r="W77"/>
  <c r="AH77" l="1"/>
  <c r="U77"/>
  <c r="Y77"/>
  <c r="Z77" s="1"/>
  <c r="AF76"/>
  <c r="W76"/>
  <c r="AI76"/>
  <c r="AH76" l="1"/>
  <c r="U76"/>
  <c r="Y76"/>
  <c r="Z76" s="1"/>
  <c r="AF75"/>
  <c r="AI75"/>
  <c r="W75"/>
  <c r="AH75" l="1"/>
  <c r="U75"/>
  <c r="Y75"/>
  <c r="Z75" s="1"/>
  <c r="AF74"/>
  <c r="W74"/>
  <c r="AI74"/>
  <c r="AH74" l="1"/>
  <c r="U74"/>
  <c r="Y74"/>
  <c r="Z74" s="1"/>
  <c r="AF73"/>
  <c r="AI73"/>
  <c r="W73"/>
  <c r="AH73" l="1"/>
  <c r="U73"/>
  <c r="Y73"/>
  <c r="Z73" s="1"/>
  <c r="AF72"/>
  <c r="W72"/>
  <c r="AI72"/>
  <c r="AH72" l="1"/>
  <c r="U72"/>
  <c r="Y72"/>
  <c r="Z72" s="1"/>
  <c r="AF71"/>
  <c r="W71"/>
  <c r="AI71"/>
  <c r="AH71" l="1"/>
  <c r="U71"/>
  <c r="Y71"/>
  <c r="Z71" s="1"/>
  <c r="AF70"/>
  <c r="W70"/>
  <c r="AI70"/>
  <c r="AH70" l="1"/>
  <c r="U70"/>
  <c r="Y70"/>
  <c r="Z70" s="1"/>
  <c r="W67"/>
  <c r="AI67"/>
  <c r="AH67" l="1"/>
  <c r="U67"/>
  <c r="Y67"/>
  <c r="Z67" s="1"/>
  <c r="AI66"/>
  <c r="W66"/>
  <c r="AH66" l="1"/>
  <c r="U66"/>
  <c r="Y66"/>
  <c r="Z66" s="1"/>
  <c r="W65"/>
  <c r="AI65"/>
  <c r="AH65" l="1"/>
  <c r="U65"/>
  <c r="Y65"/>
  <c r="Z65" s="1"/>
  <c r="AI64"/>
  <c r="W64"/>
  <c r="AH64" l="1"/>
  <c r="U64"/>
  <c r="Y64"/>
  <c r="Z64" s="1"/>
  <c r="AI63"/>
  <c r="W63"/>
  <c r="AH63" l="1"/>
  <c r="U63"/>
  <c r="Y63"/>
  <c r="Z63" s="1"/>
  <c r="W62"/>
  <c r="AI62"/>
  <c r="AH62" l="1"/>
  <c r="U62"/>
  <c r="Y62"/>
  <c r="Z62" s="1"/>
  <c r="W61"/>
  <c r="AI61"/>
  <c r="AH61" l="1"/>
  <c r="U61"/>
  <c r="Y61"/>
  <c r="Z61" s="1"/>
  <c r="W60"/>
  <c r="AI60"/>
  <c r="AH60" l="1"/>
  <c r="U60"/>
  <c r="Y60"/>
  <c r="Z60" s="1"/>
  <c r="AI59"/>
  <c r="W59"/>
  <c r="AH59" l="1"/>
  <c r="U59"/>
  <c r="Y59"/>
  <c r="Z59" s="1"/>
  <c r="W56"/>
  <c r="AI56"/>
  <c r="AH56" l="1"/>
  <c r="U56"/>
  <c r="Y56"/>
  <c r="Z56" s="1"/>
  <c r="W55"/>
  <c r="AI55"/>
  <c r="AH55" l="1"/>
  <c r="U55"/>
  <c r="Y55"/>
  <c r="Z55" s="1"/>
  <c r="W54"/>
  <c r="AI54"/>
  <c r="AH54" l="1"/>
  <c r="U54"/>
  <c r="Y54"/>
  <c r="Z54" s="1"/>
  <c r="AI53"/>
  <c r="W53"/>
  <c r="AH53" l="1"/>
  <c r="U53"/>
  <c r="Y53"/>
  <c r="Z53" s="1"/>
  <c r="AI52"/>
  <c r="W52"/>
  <c r="AH52" l="1"/>
  <c r="U52"/>
  <c r="Y52"/>
  <c r="Z52" s="1"/>
  <c r="W51"/>
  <c r="AI51"/>
  <c r="AH51" l="1"/>
  <c r="U51"/>
  <c r="Y51"/>
  <c r="Z51" s="1"/>
  <c r="AI50"/>
  <c r="W50"/>
  <c r="AH50" l="1"/>
  <c r="U50"/>
  <c r="Y50"/>
  <c r="Z50" s="1"/>
  <c r="W49"/>
  <c r="AI49"/>
  <c r="AH49" l="1"/>
  <c r="U49"/>
  <c r="Y49"/>
  <c r="Z49" s="1"/>
  <c r="W48"/>
  <c r="AI48"/>
  <c r="AH48" l="1"/>
  <c r="U48"/>
  <c r="Y48"/>
  <c r="Z48" s="1"/>
  <c r="W46"/>
  <c r="AI46"/>
  <c r="AH46" l="1"/>
  <c r="U46"/>
  <c r="Y46"/>
  <c r="Z46" s="1"/>
  <c r="AI45"/>
  <c r="W45"/>
  <c r="AH45" l="1"/>
  <c r="U45"/>
  <c r="Y45"/>
  <c r="Z45" s="1"/>
  <c r="W44"/>
  <c r="AI44"/>
  <c r="AH44" l="1"/>
  <c r="U44"/>
  <c r="Y44"/>
  <c r="Z44" s="1"/>
  <c r="W39"/>
  <c r="AI39"/>
  <c r="AH39" l="1"/>
  <c r="U39"/>
  <c r="Y39"/>
  <c r="Z39" s="1"/>
  <c r="AI38"/>
  <c r="W38"/>
  <c r="AH38" l="1"/>
  <c r="U38"/>
  <c r="Y38"/>
  <c r="Z38" s="1"/>
  <c r="AI37"/>
  <c r="W37"/>
  <c r="AH37" l="1"/>
  <c r="U37"/>
  <c r="Y37"/>
  <c r="Z37" s="1"/>
  <c r="AI36"/>
  <c r="W36"/>
  <c r="AH36" l="1"/>
  <c r="U36"/>
  <c r="Y36"/>
  <c r="Z36" s="1"/>
  <c r="W34"/>
  <c r="AI34"/>
  <c r="AH34" l="1"/>
  <c r="U34"/>
  <c r="Y34"/>
  <c r="Z34" s="1"/>
  <c r="AI33"/>
  <c r="W33"/>
  <c r="AH33" l="1"/>
  <c r="U33"/>
  <c r="Y33"/>
  <c r="Z33" s="1"/>
  <c r="AI32"/>
  <c r="W32"/>
  <c r="AH32" l="1"/>
  <c r="U32"/>
  <c r="Y32"/>
  <c r="Z32" s="1"/>
  <c r="W31"/>
  <c r="AI31"/>
  <c r="AH31" l="1"/>
  <c r="U31"/>
  <c r="Y31"/>
  <c r="Z31" s="1"/>
  <c r="W30"/>
  <c r="AI30"/>
  <c r="AH30" l="1"/>
  <c r="U30"/>
  <c r="Y30"/>
  <c r="Z30" s="1"/>
  <c r="W29"/>
  <c r="AI29"/>
  <c r="AH29" l="1"/>
  <c r="U29"/>
  <c r="Y29"/>
  <c r="Z29" s="1"/>
  <c r="W28"/>
  <c r="AI28"/>
  <c r="AH28" l="1"/>
  <c r="U28"/>
  <c r="Y28"/>
  <c r="Z28" s="1"/>
  <c r="AI27"/>
  <c r="W27"/>
  <c r="AH27" l="1"/>
  <c r="U27"/>
  <c r="Y27"/>
  <c r="Z27" s="1"/>
  <c r="AI26"/>
  <c r="W26"/>
  <c r="AH26" l="1"/>
  <c r="U26"/>
  <c r="Y26"/>
  <c r="Z26" s="1"/>
  <c r="W25"/>
  <c r="AI25"/>
  <c r="AH25" l="1"/>
  <c r="U25"/>
  <c r="Y25"/>
  <c r="Z25" s="1"/>
  <c r="W24"/>
  <c r="AI24"/>
  <c r="AH24" l="1"/>
  <c r="U24"/>
  <c r="Y24"/>
  <c r="Z24" s="1"/>
  <c r="AI23"/>
  <c r="W23"/>
  <c r="AH23" l="1"/>
  <c r="U23"/>
  <c r="Y23"/>
  <c r="Z23" s="1"/>
  <c r="W22"/>
  <c r="AI22"/>
  <c r="AH22" l="1"/>
  <c r="U22"/>
  <c r="Y22"/>
  <c r="Z22" s="1"/>
  <c r="W21"/>
  <c r="AI21"/>
  <c r="AH21" l="1"/>
  <c r="U21"/>
  <c r="Y21"/>
  <c r="Z21" s="1"/>
  <c r="AI20"/>
  <c r="W20"/>
  <c r="AH20" l="1"/>
  <c r="U20"/>
  <c r="Y20"/>
  <c r="Z20" s="1"/>
  <c r="W19"/>
  <c r="AI19"/>
  <c r="AH19" l="1"/>
  <c r="U19"/>
  <c r="Y19"/>
  <c r="Z19" s="1"/>
  <c r="W17"/>
  <c r="AI17"/>
  <c r="AH17" l="1"/>
  <c r="U17"/>
  <c r="Y17"/>
  <c r="Z17" s="1"/>
  <c r="AI16"/>
  <c r="W16"/>
  <c r="AH16" l="1"/>
  <c r="U16"/>
  <c r="Y16"/>
  <c r="Z16" s="1"/>
  <c r="W15"/>
  <c r="AI15"/>
  <c r="AH15" l="1"/>
  <c r="U15"/>
  <c r="Y15"/>
  <c r="Z15" s="1"/>
  <c r="W14"/>
  <c r="AI14"/>
  <c r="AH14" l="1"/>
  <c r="U14"/>
  <c r="Y14"/>
  <c r="Z14" s="1"/>
  <c r="W13"/>
  <c r="AI13"/>
  <c r="AH13" l="1"/>
  <c r="U13"/>
  <c r="Y13"/>
  <c r="Z13" s="1"/>
  <c r="W10"/>
  <c r="AI10"/>
  <c r="AH10" l="1"/>
  <c r="U10"/>
  <c r="Y10"/>
  <c r="W9"/>
  <c r="AI9"/>
  <c r="AH9" l="1"/>
  <c r="U9"/>
  <c r="Y9"/>
  <c r="W8"/>
  <c r="AI8"/>
  <c r="AH8" l="1"/>
  <c r="U8"/>
  <c r="Y8"/>
  <c r="AI7"/>
  <c r="W7"/>
  <c r="AH7" l="1"/>
  <c r="U7"/>
  <c r="Y7"/>
  <c r="W6"/>
  <c r="AI6"/>
  <c r="AH6" l="1"/>
  <c r="U6"/>
  <c r="Y6"/>
  <c r="W5"/>
  <c r="AI5"/>
  <c r="W15" i="74" l="1"/>
  <c r="W29" s="1"/>
  <c r="AI15"/>
  <c r="AH15" s="1"/>
  <c r="AI53" i="114"/>
  <c r="AH53" s="1"/>
  <c r="W53"/>
  <c r="W143" s="1"/>
  <c r="AH5" i="57"/>
  <c r="U5"/>
  <c r="Y5"/>
  <c r="AI4"/>
  <c r="W4"/>
  <c r="Y53" i="114" l="1"/>
  <c r="Z53" s="1"/>
  <c r="U15" i="74"/>
  <c r="Y15"/>
  <c r="Z15" s="1"/>
  <c r="U53" i="114"/>
  <c r="AH4" i="57"/>
  <c r="U4"/>
  <c r="Y4"/>
  <c r="AF1"/>
  <c r="W1"/>
  <c r="Y143" i="114" l="1"/>
  <c r="AC143"/>
  <c r="Y1" i="57"/>
  <c r="Z1" s="1"/>
  <c r="AD143" i="114" l="1"/>
  <c r="Z143"/>
  <c r="AF91" i="28"/>
  <c r="Y91" l="1"/>
  <c r="Z91" s="1"/>
  <c r="AL27"/>
  <c r="AK27" l="1"/>
  <c r="AI27"/>
  <c r="AF95" l="1"/>
  <c r="Y95" l="1"/>
  <c r="Z95" s="1"/>
  <c r="AF93" l="1"/>
  <c r="Y93" l="1"/>
  <c r="Z93" s="1"/>
  <c r="AF92"/>
  <c r="Y92" l="1"/>
  <c r="Z92" s="1"/>
  <c r="AF94" l="1"/>
  <c r="Y94" l="1"/>
  <c r="Z94" s="1"/>
  <c r="W98" i="22"/>
  <c r="AF96" i="28" l="1"/>
  <c r="Y96" l="1"/>
  <c r="Z96" s="1"/>
  <c r="AL14"/>
  <c r="AL30"/>
  <c r="AL22"/>
  <c r="AL33"/>
  <c r="AL31"/>
  <c r="AL26"/>
  <c r="AL35"/>
  <c r="AL28"/>
  <c r="AL16"/>
  <c r="AL15"/>
  <c r="AL34"/>
  <c r="AL20"/>
  <c r="AL19"/>
  <c r="AL23"/>
  <c r="AL24"/>
  <c r="AL29"/>
  <c r="AL21"/>
  <c r="AL32"/>
  <c r="AK19" l="1"/>
  <c r="AK14"/>
  <c r="AK32"/>
  <c r="AK31"/>
  <c r="AK33"/>
  <c r="AK29"/>
  <c r="AK30"/>
  <c r="AK16"/>
  <c r="AK22"/>
  <c r="AK26"/>
  <c r="AK28"/>
  <c r="AK20"/>
  <c r="AK35"/>
  <c r="AK24"/>
  <c r="AK23"/>
  <c r="AK34"/>
  <c r="AK21"/>
  <c r="AK15"/>
  <c r="AF98"/>
  <c r="Y98" l="1"/>
  <c r="Z98" s="1"/>
  <c r="AF97"/>
  <c r="Y97" l="1"/>
  <c r="Z97" s="1"/>
  <c r="AF102" l="1"/>
  <c r="Y102" l="1"/>
  <c r="Z102" s="1"/>
  <c r="AF101" l="1"/>
  <c r="Y101" l="1"/>
  <c r="Z101" s="1"/>
  <c r="AF100"/>
  <c r="Y100" l="1"/>
  <c r="Z100" s="1"/>
  <c r="AF99"/>
  <c r="Y99" l="1"/>
  <c r="Z99" s="1"/>
  <c r="W13" i="22"/>
  <c r="AF69"/>
  <c r="W69"/>
  <c r="Y13" l="1"/>
  <c r="Z13" s="1"/>
  <c r="AC13"/>
  <c r="Y69"/>
  <c r="Z69" s="1"/>
  <c r="W17"/>
  <c r="AD13" l="1"/>
  <c r="AC17"/>
  <c r="Y17"/>
  <c r="Z17" s="1"/>
  <c r="AD17" l="1"/>
  <c r="AI22" i="28" l="1"/>
  <c r="AF104" l="1"/>
  <c r="Y104" l="1"/>
  <c r="Z104" s="1"/>
  <c r="AF103"/>
  <c r="Y103" l="1"/>
  <c r="Z103" s="1"/>
  <c r="AF106" l="1"/>
  <c r="Y106" l="1"/>
  <c r="Z106" s="1"/>
  <c r="AF105"/>
  <c r="Y105" l="1"/>
  <c r="Z105" s="1"/>
  <c r="AF107" l="1"/>
  <c r="Y107" l="1"/>
  <c r="Z107" s="1"/>
  <c r="W70" i="22" l="1"/>
  <c r="Y70" l="1"/>
  <c r="Z70" s="1"/>
  <c r="AC70"/>
  <c r="AF108" i="28"/>
  <c r="AD70" i="22" l="1"/>
  <c r="Y108" i="28"/>
  <c r="Z108" s="1"/>
  <c r="AF49" i="22" l="1"/>
  <c r="W49"/>
  <c r="Y49" l="1"/>
  <c r="Z49" s="1"/>
  <c r="AI19" i="28" l="1"/>
  <c r="AF110" l="1"/>
  <c r="Y110" l="1"/>
  <c r="Z110" s="1"/>
  <c r="AF109" l="1"/>
  <c r="Y109" l="1"/>
  <c r="Z109" s="1"/>
  <c r="AF73" i="22" l="1"/>
  <c r="W73"/>
  <c r="Y73" l="1"/>
  <c r="Z73" s="1"/>
  <c r="AF77"/>
  <c r="W77"/>
  <c r="Y77" l="1"/>
  <c r="Z77" s="1"/>
  <c r="AI31" i="28" l="1"/>
  <c r="AF111" l="1"/>
  <c r="Y111" l="1"/>
  <c r="Z111" s="1"/>
  <c r="AF112"/>
  <c r="Y112" l="1"/>
  <c r="Z112" s="1"/>
  <c r="AF113"/>
  <c r="Y113" l="1"/>
  <c r="Z113" s="1"/>
  <c r="W74" i="22" l="1"/>
  <c r="AF88"/>
  <c r="W88"/>
  <c r="Y74" l="1"/>
  <c r="Z74" s="1"/>
  <c r="AC74"/>
  <c r="Y88"/>
  <c r="Z88" s="1"/>
  <c r="AF114" i="28"/>
  <c r="AD74" i="22" l="1"/>
  <c r="Y114" i="28"/>
  <c r="Z114" s="1"/>
  <c r="AF118" l="1"/>
  <c r="Y118" l="1"/>
  <c r="Z118" s="1"/>
  <c r="AF117"/>
  <c r="Y117" l="1"/>
  <c r="Z117" s="1"/>
  <c r="AF116"/>
  <c r="Y116" l="1"/>
  <c r="Z116" s="1"/>
  <c r="AF115"/>
  <c r="Y115" l="1"/>
  <c r="Z115" s="1"/>
  <c r="AF119" l="1"/>
  <c r="Y119" l="1"/>
  <c r="Z119" s="1"/>
  <c r="AF120" l="1"/>
  <c r="Y120" l="1"/>
  <c r="Z120" s="1"/>
  <c r="AF122" l="1"/>
  <c r="Y122" l="1"/>
  <c r="Z122" s="1"/>
  <c r="L15" i="21" l="1"/>
  <c r="M14"/>
  <c r="M15" s="1"/>
  <c r="N14" l="1"/>
  <c r="N15" s="1"/>
  <c r="L14"/>
  <c r="AF121" i="28" l="1"/>
  <c r="Y121" l="1"/>
  <c r="Z121" s="1"/>
  <c r="AF123" l="1"/>
  <c r="Y123" l="1"/>
  <c r="Z123" s="1"/>
  <c r="AF124" l="1"/>
  <c r="Y124" l="1"/>
  <c r="Z124" s="1"/>
  <c r="AF2" i="22" l="1"/>
  <c r="W2"/>
  <c r="W5" l="1"/>
  <c r="Y2"/>
  <c r="Z2" s="1"/>
  <c r="Y5" l="1"/>
  <c r="AC5"/>
  <c r="AD5" l="1"/>
  <c r="Z5"/>
  <c r="AF127" i="28" l="1"/>
  <c r="Y127" l="1"/>
  <c r="Z127" s="1"/>
  <c r="AF125" l="1"/>
  <c r="Y125" l="1"/>
  <c r="Z125" s="1"/>
  <c r="W11"/>
  <c r="U11" l="1"/>
  <c r="Y11"/>
  <c r="Z11" s="1"/>
  <c r="AF132" l="1"/>
  <c r="Y132" l="1"/>
  <c r="Z132" s="1"/>
  <c r="AF131" l="1"/>
  <c r="Y131" l="1"/>
  <c r="Z131" s="1"/>
  <c r="AF130" l="1"/>
  <c r="Y130" l="1"/>
  <c r="Z130" s="1"/>
  <c r="AF129"/>
  <c r="Y129" l="1"/>
  <c r="Z129" s="1"/>
  <c r="AF128"/>
  <c r="Y128" l="1"/>
  <c r="Z128" s="1"/>
  <c r="J28" i="21" l="1"/>
  <c r="I28"/>
  <c r="O28" s="1"/>
  <c r="K17"/>
  <c r="M17"/>
  <c r="N17" l="1"/>
  <c r="L17"/>
  <c r="W172" i="22" l="1"/>
  <c r="AF171"/>
  <c r="Y171"/>
  <c r="Z171" s="1"/>
  <c r="Y172" l="1"/>
  <c r="Z172" s="1"/>
  <c r="AC172"/>
  <c r="AD172" l="1"/>
  <c r="AF133" i="28" l="1"/>
  <c r="Y133" l="1"/>
  <c r="Z133" s="1"/>
  <c r="AF136" l="1"/>
  <c r="Y136" l="1"/>
  <c r="Z136" s="1"/>
  <c r="AF126"/>
  <c r="Y126" l="1"/>
  <c r="Z126" s="1"/>
  <c r="AF134"/>
  <c r="Y134" l="1"/>
  <c r="Z134" s="1"/>
  <c r="AF138" l="1"/>
  <c r="Y138" l="1"/>
  <c r="Z138" s="1"/>
  <c r="AF137"/>
  <c r="Y137" l="1"/>
  <c r="Z137" s="1"/>
  <c r="AF135"/>
  <c r="Y135" l="1"/>
  <c r="Z135" s="1"/>
  <c r="AF139" l="1"/>
  <c r="Y139" l="1"/>
  <c r="Z139" s="1"/>
  <c r="AF142"/>
  <c r="Y142" l="1"/>
  <c r="Z142" s="1"/>
  <c r="AF141" l="1"/>
  <c r="Y141" l="1"/>
  <c r="Z141" s="1"/>
  <c r="AF114" i="22"/>
  <c r="W50"/>
  <c r="Y50" l="1"/>
  <c r="Z50" s="1"/>
  <c r="AC50"/>
  <c r="AD50" l="1"/>
  <c r="AF105" l="1"/>
  <c r="W105"/>
  <c r="Y105" l="1"/>
  <c r="Z105" s="1"/>
  <c r="AF104"/>
  <c r="W104"/>
  <c r="Y104" l="1"/>
  <c r="Z104" s="1"/>
  <c r="AF103"/>
  <c r="W103"/>
  <c r="Y103" l="1"/>
  <c r="Z103" s="1"/>
  <c r="AF102"/>
  <c r="W102"/>
  <c r="Y102" l="1"/>
  <c r="Z102" s="1"/>
  <c r="AF101"/>
  <c r="W101"/>
  <c r="Y101" l="1"/>
  <c r="Z101" s="1"/>
  <c r="AF100"/>
  <c r="W100"/>
  <c r="Y100" l="1"/>
  <c r="Z100" s="1"/>
  <c r="AF99"/>
  <c r="W99"/>
  <c r="Y99" l="1"/>
  <c r="Z99" s="1"/>
  <c r="AF98"/>
  <c r="W106" l="1"/>
  <c r="Y98"/>
  <c r="Z98" s="1"/>
  <c r="AC106" l="1"/>
  <c r="Y106"/>
  <c r="AD106" l="1"/>
  <c r="Z106"/>
  <c r="AI26" i="28"/>
  <c r="AI28" l="1"/>
  <c r="AF140" l="1"/>
  <c r="Y140" l="1"/>
  <c r="Z140" s="1"/>
  <c r="AF143" l="1"/>
  <c r="Y143" l="1"/>
  <c r="Z143" s="1"/>
  <c r="AF146" l="1"/>
  <c r="Y146" l="1"/>
  <c r="Z146" s="1"/>
  <c r="AF145"/>
  <c r="Y145" l="1"/>
  <c r="Z145" s="1"/>
  <c r="AF144"/>
  <c r="Y144" l="1"/>
  <c r="Z144" s="1"/>
  <c r="AF163" i="22"/>
  <c r="Y163" l="1"/>
  <c r="Z163" s="1"/>
  <c r="AF150" i="28" l="1"/>
  <c r="Y150" l="1"/>
  <c r="Z150" s="1"/>
  <c r="AF149" l="1"/>
  <c r="Y149" l="1"/>
  <c r="Z149" s="1"/>
  <c r="W114" i="22"/>
  <c r="Y114" l="1"/>
  <c r="Z114" s="1"/>
  <c r="AF152" i="28" l="1"/>
  <c r="Y152" l="1"/>
  <c r="Z152" s="1"/>
  <c r="AF151"/>
  <c r="Y151" l="1"/>
  <c r="Z151" s="1"/>
  <c r="AF148"/>
  <c r="Y148" l="1"/>
  <c r="Z148" s="1"/>
  <c r="AF147"/>
  <c r="Y147" l="1"/>
  <c r="Z147" s="1"/>
  <c r="AF62" i="22" l="1"/>
  <c r="W62"/>
  <c r="Y62" l="1"/>
  <c r="Z62" s="1"/>
  <c r="W182"/>
  <c r="AF178"/>
  <c r="Y178"/>
  <c r="Z178" s="1"/>
  <c r="AF177"/>
  <c r="Y177"/>
  <c r="Z177" s="1"/>
  <c r="AF176"/>
  <c r="Y176"/>
  <c r="Z176" s="1"/>
  <c r="AF175"/>
  <c r="Y175"/>
  <c r="Z175" s="1"/>
  <c r="AF153" i="28" l="1"/>
  <c r="Y153" l="1"/>
  <c r="Z153" s="1"/>
  <c r="AF154"/>
  <c r="Y154" l="1"/>
  <c r="Z154" s="1"/>
  <c r="AF155" l="1"/>
  <c r="Y155" l="1"/>
  <c r="Z155" s="1"/>
  <c r="AF156"/>
  <c r="Y156" l="1"/>
  <c r="Z156" s="1"/>
  <c r="AF157"/>
  <c r="Y157" l="1"/>
  <c r="Z157" s="1"/>
  <c r="AF181" i="22" l="1"/>
  <c r="Y181"/>
  <c r="Z181" s="1"/>
  <c r="AF180"/>
  <c r="Y180"/>
  <c r="Z180" s="1"/>
  <c r="AF179"/>
  <c r="AC182" l="1"/>
  <c r="Y179"/>
  <c r="Z179" s="1"/>
  <c r="Y182" l="1"/>
  <c r="Z182" s="1"/>
  <c r="AD182" l="1"/>
  <c r="K18" i="21" l="1"/>
  <c r="M18"/>
  <c r="K19"/>
  <c r="M19"/>
  <c r="L18" l="1"/>
  <c r="N18"/>
  <c r="N19"/>
  <c r="AF158" i="28" l="1"/>
  <c r="Y158" l="1"/>
  <c r="Z158" s="1"/>
  <c r="L3" i="85" l="1"/>
  <c r="L4"/>
  <c r="L5"/>
  <c r="L6"/>
  <c r="L7"/>
  <c r="L8"/>
  <c r="L9"/>
  <c r="L10"/>
  <c r="L11"/>
  <c r="L12"/>
  <c r="L13"/>
  <c r="L14"/>
  <c r="L15"/>
  <c r="L16"/>
  <c r="L17"/>
  <c r="L18"/>
  <c r="L19"/>
  <c r="L20"/>
  <c r="L2"/>
  <c r="E11"/>
  <c r="E2"/>
  <c r="E4"/>
  <c r="E5"/>
  <c r="E6"/>
  <c r="E7"/>
  <c r="E8"/>
  <c r="E9"/>
  <c r="E10"/>
  <c r="E12"/>
  <c r="E13"/>
  <c r="E14"/>
  <c r="E15"/>
  <c r="E16"/>
  <c r="E17"/>
  <c r="E18"/>
  <c r="E19"/>
  <c r="E20"/>
  <c r="E21"/>
  <c r="E22"/>
  <c r="E23"/>
  <c r="E24"/>
  <c r="E25"/>
  <c r="E31"/>
  <c r="E26"/>
  <c r="E27"/>
  <c r="E28"/>
  <c r="E29"/>
  <c r="E30"/>
  <c r="E3"/>
  <c r="AF159" i="28" l="1"/>
  <c r="Y159" l="1"/>
  <c r="Z159" s="1"/>
  <c r="AF163" l="1"/>
  <c r="Y163" l="1"/>
  <c r="Z163" s="1"/>
  <c r="AF162"/>
  <c r="Y162" l="1"/>
  <c r="Z162" s="1"/>
  <c r="AF161"/>
  <c r="Y161" l="1"/>
  <c r="Z161" s="1"/>
  <c r="AF160"/>
  <c r="Y160" l="1"/>
  <c r="Z160" s="1"/>
  <c r="AF164" l="1"/>
  <c r="Y164" l="1"/>
  <c r="Z164" s="1"/>
  <c r="AF169" l="1"/>
  <c r="Y169" l="1"/>
  <c r="Z169" s="1"/>
  <c r="AF167" l="1"/>
  <c r="Y167" l="1"/>
  <c r="Z167" s="1"/>
  <c r="AF166"/>
  <c r="Y166" l="1"/>
  <c r="Z166" s="1"/>
  <c r="AF165"/>
  <c r="Y165" l="1"/>
  <c r="Z165" s="1"/>
  <c r="AF170" l="1"/>
  <c r="Y170" l="1"/>
  <c r="Z170" s="1"/>
  <c r="AF168"/>
  <c r="Y168" l="1"/>
  <c r="Z168" s="1"/>
  <c r="AF171" l="1"/>
  <c r="Y171" l="1"/>
  <c r="Z171" s="1"/>
  <c r="AF174" l="1"/>
  <c r="Y174" l="1"/>
  <c r="Z174" s="1"/>
  <c r="AF173"/>
  <c r="Y173" l="1"/>
  <c r="Z173" s="1"/>
  <c r="AF172"/>
  <c r="Y172" l="1"/>
  <c r="Z172" s="1"/>
  <c r="AF175" l="1"/>
  <c r="Y175" l="1"/>
  <c r="Z175" s="1"/>
  <c r="AF176"/>
  <c r="Y176" l="1"/>
  <c r="Z176" s="1"/>
  <c r="AF177" l="1"/>
  <c r="Y177" l="1"/>
  <c r="Z177" s="1"/>
  <c r="AF178" l="1"/>
  <c r="Y178" l="1"/>
  <c r="Z178" s="1"/>
  <c r="AF115" i="22" l="1"/>
  <c r="W115"/>
  <c r="Y115" l="1"/>
  <c r="Z115" s="1"/>
  <c r="AF113"/>
  <c r="W113"/>
  <c r="W116" l="1"/>
  <c r="Y113"/>
  <c r="Z113" s="1"/>
  <c r="AF65"/>
  <c r="W65"/>
  <c r="Y116" l="1"/>
  <c r="AC116"/>
  <c r="Y65"/>
  <c r="Z65" s="1"/>
  <c r="AF64"/>
  <c r="W64"/>
  <c r="Z116" l="1"/>
  <c r="AD116"/>
  <c r="Y64"/>
  <c r="Z64" s="1"/>
  <c r="AF63"/>
  <c r="W63"/>
  <c r="W66" l="1"/>
  <c r="Y63"/>
  <c r="Z63" s="1"/>
  <c r="Y66" l="1"/>
  <c r="AC66"/>
  <c r="Z66" l="1"/>
  <c r="AD66"/>
  <c r="AF179" i="28" l="1"/>
  <c r="Y179" l="1"/>
  <c r="Z179" s="1"/>
  <c r="AF78" i="22" l="1"/>
  <c r="W78"/>
  <c r="W79" l="1"/>
  <c r="Y78"/>
  <c r="Z78" s="1"/>
  <c r="AC79" l="1"/>
  <c r="Y79"/>
  <c r="AD79" l="1"/>
  <c r="Z79"/>
  <c r="AF180" i="28" l="1"/>
  <c r="Y180" l="1"/>
  <c r="Z180" s="1"/>
  <c r="AF181"/>
  <c r="Y181" l="1"/>
  <c r="Z181" s="1"/>
  <c r="AF182"/>
  <c r="Y182" l="1"/>
  <c r="Z182" s="1"/>
  <c r="AF184"/>
  <c r="W191" i="22" l="1"/>
  <c r="AF185"/>
  <c r="Y185" l="1"/>
  <c r="Z185" s="1"/>
  <c r="AI33" i="28" l="1"/>
  <c r="AI21" l="1"/>
  <c r="AI23" l="1"/>
  <c r="AF164" i="22"/>
  <c r="Y184" i="28" l="1"/>
  <c r="Z184" s="1"/>
  <c r="Y164" i="22"/>
  <c r="Z164" s="1"/>
  <c r="AF109"/>
  <c r="W109"/>
  <c r="Y109" l="1"/>
  <c r="Z109" s="1"/>
  <c r="W110"/>
  <c r="Y110" l="1"/>
  <c r="AC110"/>
  <c r="AD110" l="1"/>
  <c r="Z110"/>
  <c r="AF185" i="28" l="1"/>
  <c r="Y185" l="1"/>
  <c r="Z185" s="1"/>
  <c r="AI32" l="1"/>
  <c r="AF183" l="1"/>
  <c r="Y183" l="1"/>
  <c r="Z183" s="1"/>
  <c r="AF187"/>
  <c r="Y187" l="1"/>
  <c r="Z187" s="1"/>
  <c r="AF186"/>
  <c r="Y186" l="1"/>
  <c r="Z186" s="1"/>
  <c r="N13" i="85"/>
  <c r="G20"/>
  <c r="G6"/>
  <c r="N18"/>
  <c r="G27"/>
  <c r="G14"/>
  <c r="T10"/>
  <c r="G5"/>
  <c r="G30"/>
  <c r="G3"/>
  <c r="N9"/>
  <c r="T9"/>
  <c r="N16"/>
  <c r="N20"/>
  <c r="N3"/>
  <c r="G24"/>
  <c r="G26"/>
  <c r="T6"/>
  <c r="G29"/>
  <c r="G13"/>
  <c r="G22"/>
  <c r="N17"/>
  <c r="N7"/>
  <c r="G28"/>
  <c r="N5"/>
  <c r="N15"/>
  <c r="T3"/>
  <c r="N11"/>
  <c r="T2"/>
  <c r="N6"/>
  <c r="G8"/>
  <c r="T7"/>
  <c r="G25"/>
  <c r="T4"/>
  <c r="G16"/>
  <c r="G19"/>
  <c r="N12"/>
  <c r="G4"/>
  <c r="N10"/>
  <c r="G17"/>
  <c r="G21"/>
  <c r="G23"/>
  <c r="G7"/>
  <c r="N19"/>
  <c r="T5"/>
  <c r="N14"/>
  <c r="G15"/>
  <c r="G18"/>
  <c r="G10"/>
  <c r="G9"/>
  <c r="N8"/>
  <c r="G12"/>
  <c r="N4"/>
  <c r="AF187" i="22" l="1"/>
  <c r="Y187" l="1"/>
  <c r="Z187" s="1"/>
  <c r="AF186"/>
  <c r="Y186" l="1"/>
  <c r="Z186" s="1"/>
  <c r="AF188" l="1"/>
  <c r="Y188" l="1"/>
  <c r="Z188" s="1"/>
  <c r="AF84" l="1"/>
  <c r="W84"/>
  <c r="Y84" l="1"/>
  <c r="Z84" s="1"/>
  <c r="AF83"/>
  <c r="W83"/>
  <c r="Y83" l="1"/>
  <c r="Z83" s="1"/>
  <c r="AF82"/>
  <c r="W82"/>
  <c r="W85" l="1"/>
  <c r="Y82"/>
  <c r="Z82" s="1"/>
  <c r="Y85" l="1"/>
  <c r="AC85"/>
  <c r="AD85" l="1"/>
  <c r="Z85"/>
  <c r="AF188" i="28" l="1"/>
  <c r="Y188" l="1"/>
  <c r="Z188" s="1"/>
  <c r="AF190" i="22" l="1"/>
  <c r="Y190" l="1"/>
  <c r="Z190" s="1"/>
  <c r="AF189"/>
  <c r="AC192" l="1"/>
  <c r="Y189"/>
  <c r="Z189" s="1"/>
  <c r="Y191" l="1"/>
  <c r="AC191"/>
  <c r="Z191" l="1"/>
  <c r="AD191"/>
  <c r="AF25" l="1"/>
  <c r="W25"/>
  <c r="Y25" l="1"/>
  <c r="Z25" s="1"/>
  <c r="AF24"/>
  <c r="W24"/>
  <c r="Y24" l="1"/>
  <c r="Z24" s="1"/>
  <c r="AF23"/>
  <c r="W23"/>
  <c r="Y23" l="1"/>
  <c r="Z23" s="1"/>
  <c r="AF22"/>
  <c r="W22"/>
  <c r="Y22" l="1"/>
  <c r="Z22" s="1"/>
  <c r="AF21"/>
  <c r="W21"/>
  <c r="Y21" l="1"/>
  <c r="Z21" s="1"/>
  <c r="AF20"/>
  <c r="W20"/>
  <c r="W26" l="1"/>
  <c r="Y20"/>
  <c r="Z20" s="1"/>
  <c r="Y26" l="1"/>
  <c r="AC26"/>
  <c r="Z26" l="1"/>
  <c r="AD26"/>
  <c r="K20" i="21" l="1"/>
  <c r="M20"/>
  <c r="N20" l="1"/>
  <c r="L20"/>
  <c r="AI29" i="28" l="1"/>
  <c r="AI35" l="1"/>
  <c r="AF189" l="1"/>
  <c r="Y189" l="1"/>
  <c r="Z189" s="1"/>
  <c r="AF162" i="22" l="1"/>
  <c r="Y162" l="1"/>
  <c r="Z162" s="1"/>
  <c r="W92"/>
  <c r="Y92" l="1"/>
  <c r="Z92" s="1"/>
  <c r="W120"/>
  <c r="Y120" l="1"/>
  <c r="Z120" s="1"/>
  <c r="W119"/>
  <c r="W121" l="1"/>
  <c r="Y119"/>
  <c r="Z119" s="1"/>
  <c r="Y121" l="1"/>
  <c r="AC121"/>
  <c r="AI34" i="28"/>
  <c r="Z121" i="22" l="1"/>
  <c r="AD121"/>
  <c r="AI30" i="28" l="1"/>
  <c r="AF127" i="22" l="1"/>
  <c r="W127"/>
  <c r="Y127" l="1"/>
  <c r="Z127" s="1"/>
  <c r="AF126"/>
  <c r="W126"/>
  <c r="Y126" l="1"/>
  <c r="Z126" s="1"/>
  <c r="AF125"/>
  <c r="W125"/>
  <c r="Y125" l="1"/>
  <c r="Z125" s="1"/>
  <c r="AF124"/>
  <c r="W124"/>
  <c r="W128" l="1"/>
  <c r="Y124"/>
  <c r="Z124" s="1"/>
  <c r="W93"/>
  <c r="AC135" l="1"/>
  <c r="Y135"/>
  <c r="W94"/>
  <c r="Y128"/>
  <c r="AC128"/>
  <c r="Y93"/>
  <c r="Z93" s="1"/>
  <c r="Z135" l="1"/>
  <c r="AD135"/>
  <c r="AD128"/>
  <c r="Z128"/>
  <c r="Y94"/>
  <c r="AC94"/>
  <c r="Z94" l="1"/>
  <c r="AD94"/>
  <c r="AF45" l="1"/>
  <c r="W45"/>
  <c r="Y45" l="1"/>
  <c r="Z45" s="1"/>
  <c r="AF44"/>
  <c r="W44"/>
  <c r="Y44" l="1"/>
  <c r="Z44" s="1"/>
  <c r="AF43"/>
  <c r="W43"/>
  <c r="W46" l="1"/>
  <c r="Y43"/>
  <c r="Z43" s="1"/>
  <c r="AF53"/>
  <c r="W53"/>
  <c r="Y46" l="1"/>
  <c r="AC46"/>
  <c r="Y53"/>
  <c r="Z53" s="1"/>
  <c r="W54"/>
  <c r="AF32"/>
  <c r="W32"/>
  <c r="AD46" l="1"/>
  <c r="Z46"/>
  <c r="Y54"/>
  <c r="AC54"/>
  <c r="Y32"/>
  <c r="Z32" s="1"/>
  <c r="AF31"/>
  <c r="W31"/>
  <c r="AD54" l="1"/>
  <c r="Z54"/>
  <c r="Y31"/>
  <c r="Z31" s="1"/>
  <c r="AF30"/>
  <c r="W30"/>
  <c r="Y30" l="1"/>
  <c r="Z30" s="1"/>
  <c r="AF29"/>
  <c r="W29"/>
  <c r="W33" l="1"/>
  <c r="Y29"/>
  <c r="Z29" s="1"/>
  <c r="Y33" l="1"/>
  <c r="AC33"/>
  <c r="AI16" i="28"/>
  <c r="Z33" i="22" l="1"/>
  <c r="AD33"/>
  <c r="AI20" i="28"/>
  <c r="AI14" l="1"/>
  <c r="AF165" i="22" l="1"/>
  <c r="Y165" l="1"/>
  <c r="Z165" s="1"/>
  <c r="Y168" l="1"/>
  <c r="AC168"/>
  <c r="Z168" l="1"/>
  <c r="AD168"/>
  <c r="W198" l="1"/>
  <c r="AC199" l="1"/>
  <c r="AF195"/>
  <c r="Y195" l="1"/>
  <c r="Z195" s="1"/>
  <c r="AF196" l="1"/>
  <c r="Y196" l="1"/>
  <c r="Z196" s="1"/>
  <c r="Y198" l="1"/>
  <c r="Z198" s="1"/>
  <c r="AC198"/>
  <c r="AD198" l="1"/>
  <c r="AF197" l="1"/>
  <c r="Y197"/>
  <c r="Z197" s="1"/>
  <c r="V197"/>
  <c r="AF190" i="28" l="1"/>
  <c r="Y190" l="1"/>
  <c r="Z190" s="1"/>
  <c r="K21" i="21" l="1"/>
  <c r="M21"/>
  <c r="N21" l="1"/>
  <c r="L21"/>
  <c r="W262" i="22"/>
  <c r="AF202"/>
  <c r="Y202"/>
  <c r="Z202" s="1"/>
  <c r="AF203"/>
  <c r="Y203"/>
  <c r="Z203" s="1"/>
  <c r="AF204"/>
  <c r="Y204"/>
  <c r="Z204" s="1"/>
  <c r="AF206" l="1"/>
  <c r="Y206"/>
  <c r="Z206" s="1"/>
  <c r="V206"/>
  <c r="AF205"/>
  <c r="Y205"/>
  <c r="Z205" s="1"/>
  <c r="V205"/>
  <c r="AF207" l="1"/>
  <c r="Y207" l="1"/>
  <c r="Z207" s="1"/>
  <c r="AF191" i="28" l="1"/>
  <c r="Y191" l="1"/>
  <c r="Z191" s="1"/>
  <c r="AF208" i="22" l="1"/>
  <c r="Y208" l="1"/>
  <c r="Z208" s="1"/>
  <c r="AI24" i="28" l="1"/>
  <c r="AF209" i="22"/>
  <c r="Y209" l="1"/>
  <c r="Z209" s="1"/>
  <c r="V209"/>
  <c r="AF192" i="28" l="1"/>
  <c r="Y192" l="1"/>
  <c r="Z192" s="1"/>
  <c r="AF193"/>
  <c r="Y193" l="1"/>
  <c r="Z193" s="1"/>
  <c r="AI15" l="1"/>
  <c r="AI36" s="1"/>
  <c r="AI37" s="1"/>
  <c r="AF166" i="22" l="1"/>
  <c r="Y166" l="1"/>
  <c r="Z166" s="1"/>
  <c r="M22" i="21" l="1"/>
  <c r="AF211" i="22"/>
  <c r="Y211" l="1"/>
  <c r="Z211" s="1"/>
  <c r="AF212"/>
  <c r="Y212"/>
  <c r="Z212" s="1"/>
  <c r="AF213"/>
  <c r="Y213" l="1"/>
  <c r="Z213" s="1"/>
  <c r="AC262"/>
  <c r="AF214"/>
  <c r="Y214" l="1"/>
  <c r="Z214" s="1"/>
  <c r="W89" l="1"/>
  <c r="AC89" s="1"/>
  <c r="Y89" l="1"/>
  <c r="AD89" l="1"/>
  <c r="Z89"/>
  <c r="AC263" l="1"/>
  <c r="AF215" l="1"/>
  <c r="Y215" l="1"/>
  <c r="Z215" s="1"/>
  <c r="AF167"/>
  <c r="AF216"/>
  <c r="Y216"/>
  <c r="Z216" s="1"/>
  <c r="AF217" l="1"/>
  <c r="Y217"/>
  <c r="Z217" s="1"/>
  <c r="Y167" l="1"/>
  <c r="Z167" s="1"/>
  <c r="AF218" l="1"/>
  <c r="Y218"/>
  <c r="Z218" s="1"/>
  <c r="AF219"/>
  <c r="Y219"/>
  <c r="Z219" s="1"/>
  <c r="AF222" l="1"/>
  <c r="Y222"/>
  <c r="Z222" s="1"/>
  <c r="AF225"/>
  <c r="Y225"/>
  <c r="Z225" s="1"/>
  <c r="AF224"/>
  <c r="Y224"/>
  <c r="Z224" s="1"/>
  <c r="AF223"/>
  <c r="Y223"/>
  <c r="Z223" s="1"/>
  <c r="AF226"/>
  <c r="Y226"/>
  <c r="Z226" s="1"/>
  <c r="AF228"/>
  <c r="Y228"/>
  <c r="Z228" s="1"/>
  <c r="AF227"/>
  <c r="Y227"/>
  <c r="Z227" s="1"/>
  <c r="AF229"/>
  <c r="Y229"/>
  <c r="Z229" s="1"/>
  <c r="AF210" l="1"/>
  <c r="Y210" l="1"/>
  <c r="Z210" s="1"/>
  <c r="AF230" l="1"/>
  <c r="Y230"/>
  <c r="Z230" s="1"/>
  <c r="AF232"/>
  <c r="Y232"/>
  <c r="Z232" s="1"/>
  <c r="AF231"/>
  <c r="Y231"/>
  <c r="Z231" s="1"/>
  <c r="AF221" l="1"/>
  <c r="AF220"/>
  <c r="Y220" l="1"/>
  <c r="Z220" s="1"/>
  <c r="Y221" l="1"/>
  <c r="Z221" s="1"/>
  <c r="AF235" l="1"/>
  <c r="Y235"/>
  <c r="Z235" s="1"/>
  <c r="V235"/>
  <c r="AF234"/>
  <c r="Y234"/>
  <c r="Z234" s="1"/>
  <c r="V234"/>
  <c r="AF233"/>
  <c r="Y233"/>
  <c r="Z233" s="1"/>
  <c r="V233"/>
  <c r="AF239" l="1"/>
  <c r="Y239"/>
  <c r="Z239" s="1"/>
  <c r="AF238"/>
  <c r="Y238"/>
  <c r="Z238" s="1"/>
  <c r="AF237"/>
  <c r="Y237"/>
  <c r="Z237" s="1"/>
  <c r="AF236"/>
  <c r="Y236"/>
  <c r="Z236" s="1"/>
  <c r="AF240" l="1"/>
  <c r="Y240"/>
  <c r="Z240" s="1"/>
  <c r="V240"/>
  <c r="AF242"/>
  <c r="Y242"/>
  <c r="Z242" s="1"/>
  <c r="AF241"/>
  <c r="Y241"/>
  <c r="Z241" s="1"/>
  <c r="AF244"/>
  <c r="Y244"/>
  <c r="Z244" s="1"/>
  <c r="V244"/>
  <c r="AF243"/>
  <c r="Y243"/>
  <c r="Z243" s="1"/>
  <c r="V243"/>
  <c r="AF248" l="1"/>
  <c r="Y248"/>
  <c r="Z248" s="1"/>
  <c r="AF247"/>
  <c r="Y247"/>
  <c r="Z247" s="1"/>
  <c r="AF246"/>
  <c r="Y246"/>
  <c r="Z246" s="1"/>
  <c r="AF245"/>
  <c r="Y245"/>
  <c r="Z245" s="1"/>
  <c r="AF251"/>
  <c r="Y251"/>
  <c r="Z251" s="1"/>
  <c r="AF250"/>
  <c r="Y250"/>
  <c r="Z250" s="1"/>
  <c r="AF249"/>
  <c r="Y249"/>
  <c r="Z249" s="1"/>
  <c r="AF254"/>
  <c r="Y254"/>
  <c r="Z254" s="1"/>
  <c r="V254"/>
  <c r="AF253"/>
  <c r="Y253"/>
  <c r="Z253" s="1"/>
  <c r="V253"/>
  <c r="AF252"/>
  <c r="Y252"/>
  <c r="Z252" s="1"/>
  <c r="V252"/>
  <c r="AF256"/>
  <c r="Y256"/>
  <c r="Z256" s="1"/>
  <c r="AF255"/>
  <c r="Y255"/>
  <c r="Z255" s="1"/>
  <c r="AF194" i="28" l="1"/>
  <c r="Y194" l="1"/>
  <c r="Z194" s="1"/>
  <c r="Y262" i="22" l="1"/>
  <c r="Z262" s="1"/>
  <c r="AD262" l="1"/>
  <c r="AF195" i="28" l="1"/>
  <c r="Y195" l="1"/>
  <c r="Z195" s="1"/>
  <c r="AF196"/>
  <c r="Y196" l="1"/>
  <c r="Z196" s="1"/>
  <c r="AF197"/>
  <c r="Y197" l="1"/>
  <c r="Z197" s="1"/>
  <c r="AF257" i="22" l="1"/>
  <c r="Y257" l="1"/>
  <c r="Z257" s="1"/>
  <c r="K22" i="21" l="1"/>
  <c r="N22" l="1"/>
  <c r="L22"/>
  <c r="AF258" i="22" l="1"/>
  <c r="Y258" l="1"/>
  <c r="Z258" l="1"/>
  <c r="AF259" l="1"/>
  <c r="Y259" l="1"/>
  <c r="Z259" l="1"/>
  <c r="AF198" i="28" l="1"/>
  <c r="Y198" l="1"/>
  <c r="Z198" s="1"/>
  <c r="AF199" l="1"/>
  <c r="Y199" l="1"/>
  <c r="Z199" s="1"/>
  <c r="AF261" i="22" l="1"/>
  <c r="Y261" l="1"/>
  <c r="Z261" s="1"/>
  <c r="AF266" l="1"/>
  <c r="Y266"/>
  <c r="Z266" s="1"/>
  <c r="V266"/>
  <c r="AF260" l="1"/>
  <c r="V260" l="1"/>
  <c r="Y260"/>
  <c r="Z260" s="1"/>
  <c r="AF268" l="1"/>
  <c r="Y268"/>
  <c r="Z268" s="1"/>
  <c r="V268"/>
  <c r="AF267"/>
  <c r="Y267"/>
  <c r="V267"/>
  <c r="AF269"/>
  <c r="Y269"/>
  <c r="Z269" s="1"/>
  <c r="V269"/>
  <c r="Z267" l="1"/>
  <c r="AF273" l="1"/>
  <c r="Y273" l="1"/>
  <c r="V273"/>
  <c r="Z273" l="1"/>
  <c r="AF271"/>
  <c r="Y271" l="1"/>
  <c r="V271"/>
  <c r="Z271" l="1"/>
  <c r="AF280"/>
  <c r="Y280"/>
  <c r="Z280" s="1"/>
  <c r="V280"/>
  <c r="AF279"/>
  <c r="Y279"/>
  <c r="Z279" s="1"/>
  <c r="V279"/>
  <c r="AF278"/>
  <c r="V278"/>
  <c r="AF277"/>
  <c r="Y277"/>
  <c r="Z277" s="1"/>
  <c r="V277"/>
  <c r="AF276"/>
  <c r="Y276"/>
  <c r="Z276" s="1"/>
  <c r="V276"/>
  <c r="Y278" l="1"/>
  <c r="Z278" s="1"/>
  <c r="AF36" l="1"/>
  <c r="W36"/>
  <c r="Y36" l="1"/>
  <c r="Z36" l="1"/>
  <c r="AF200" i="28" l="1"/>
  <c r="Y200" l="1"/>
  <c r="Z200" s="1"/>
  <c r="AF201"/>
  <c r="Y201" l="1"/>
  <c r="Z201" s="1"/>
  <c r="AF272" i="22" l="1"/>
  <c r="Y272" l="1"/>
  <c r="V272"/>
  <c r="Z272" l="1"/>
  <c r="AF285" l="1"/>
  <c r="Y285" l="1"/>
  <c r="V285"/>
  <c r="AF286"/>
  <c r="Z285" l="1"/>
  <c r="Y286"/>
  <c r="Z286" s="1"/>
  <c r="V286"/>
  <c r="AF290"/>
  <c r="Y290"/>
  <c r="Z290" s="1"/>
  <c r="V290"/>
  <c r="AF289"/>
  <c r="Y289"/>
  <c r="Z289" s="1"/>
  <c r="V289"/>
  <c r="AF291"/>
  <c r="Y291"/>
  <c r="Z291" s="1"/>
  <c r="V291"/>
  <c r="AF37" l="1"/>
  <c r="W37"/>
  <c r="Y37" l="1"/>
  <c r="AF292"/>
  <c r="Y292"/>
  <c r="Z292" s="1"/>
  <c r="V292"/>
  <c r="Z37" l="1"/>
  <c r="AF295" l="1"/>
  <c r="Y295"/>
  <c r="Z295" s="1"/>
  <c r="V295"/>
  <c r="AF294"/>
  <c r="Y294"/>
  <c r="Z294" s="1"/>
  <c r="V294"/>
  <c r="AF293"/>
  <c r="Y293"/>
  <c r="V293"/>
  <c r="AF297"/>
  <c r="Z293" l="1"/>
  <c r="Y297"/>
  <c r="Z297" s="1"/>
  <c r="V297"/>
  <c r="AF296"/>
  <c r="Y296" l="1"/>
  <c r="V296"/>
  <c r="Z296" l="1"/>
  <c r="W306" l="1"/>
  <c r="W305"/>
  <c r="W304"/>
  <c r="W303"/>
  <c r="AF274"/>
  <c r="W327" l="1"/>
  <c r="Y274"/>
  <c r="V274"/>
  <c r="Z274" l="1"/>
  <c r="AF202" i="28" l="1"/>
  <c r="Y202" l="1"/>
  <c r="Z202" s="1"/>
  <c r="AF38" i="22" l="1"/>
  <c r="W38"/>
  <c r="Y38" l="1"/>
  <c r="AF307"/>
  <c r="Y307"/>
  <c r="Z307" s="1"/>
  <c r="V307"/>
  <c r="Z38" l="1"/>
  <c r="AF270" l="1"/>
  <c r="AF288"/>
  <c r="AF287"/>
  <c r="AF284"/>
  <c r="AF283"/>
  <c r="AF282"/>
  <c r="AF281"/>
  <c r="AF306"/>
  <c r="AF305"/>
  <c r="AF304"/>
  <c r="AF303"/>
  <c r="AF302"/>
  <c r="AF301"/>
  <c r="AF300"/>
  <c r="AF299"/>
  <c r="AF298"/>
  <c r="AF275"/>
  <c r="AF39"/>
  <c r="W39"/>
  <c r="W40" l="1"/>
  <c r="AC328"/>
  <c r="V303"/>
  <c r="Y303"/>
  <c r="Z303" s="1"/>
  <c r="V299"/>
  <c r="Y299"/>
  <c r="Z299" s="1"/>
  <c r="V305"/>
  <c r="Y305"/>
  <c r="Z305" s="1"/>
  <c r="Y284"/>
  <c r="Z284" s="1"/>
  <c r="V284"/>
  <c r="V300"/>
  <c r="Y300"/>
  <c r="Z300" s="1"/>
  <c r="Y306"/>
  <c r="Z306" s="1"/>
  <c r="V306"/>
  <c r="V270"/>
  <c r="Y270"/>
  <c r="V301"/>
  <c r="Y301"/>
  <c r="Z301" s="1"/>
  <c r="V287"/>
  <c r="Y287"/>
  <c r="Y39"/>
  <c r="V275"/>
  <c r="Y275"/>
  <c r="Y302"/>
  <c r="Z302" s="1"/>
  <c r="V302"/>
  <c r="V281"/>
  <c r="Y281"/>
  <c r="V288"/>
  <c r="Y288"/>
  <c r="Z288" s="1"/>
  <c r="V282"/>
  <c r="Y282"/>
  <c r="Z282" s="1"/>
  <c r="Y298"/>
  <c r="V298"/>
  <c r="Y304"/>
  <c r="Z304" s="1"/>
  <c r="V304"/>
  <c r="Y283"/>
  <c r="Z283" s="1"/>
  <c r="V283"/>
  <c r="Y40" l="1"/>
  <c r="AC40"/>
  <c r="Z270"/>
  <c r="Z281"/>
  <c r="Z287"/>
  <c r="Z39"/>
  <c r="Z298"/>
  <c r="Z275"/>
  <c r="AD40" l="1"/>
  <c r="Z40"/>
  <c r="AF326" l="1"/>
  <c r="Y326"/>
  <c r="V326"/>
  <c r="AF325"/>
  <c r="Y325"/>
  <c r="Z325" s="1"/>
  <c r="V325"/>
  <c r="AF324"/>
  <c r="Y324"/>
  <c r="Z324" s="1"/>
  <c r="V324"/>
  <c r="AF323"/>
  <c r="Y323"/>
  <c r="Z323" s="1"/>
  <c r="V323"/>
  <c r="AF322"/>
  <c r="Y322"/>
  <c r="Z322" s="1"/>
  <c r="V322"/>
  <c r="AF321"/>
  <c r="Y321"/>
  <c r="Z321" s="1"/>
  <c r="V321"/>
  <c r="AF320"/>
  <c r="Y320"/>
  <c r="Z320" s="1"/>
  <c r="V320"/>
  <c r="AF319"/>
  <c r="Y319"/>
  <c r="Z319" s="1"/>
  <c r="V319"/>
  <c r="AF318"/>
  <c r="Y318"/>
  <c r="Z318" s="1"/>
  <c r="V318"/>
  <c r="AF317"/>
  <c r="Y317"/>
  <c r="Z317" s="1"/>
  <c r="V317"/>
  <c r="AF316"/>
  <c r="Y316"/>
  <c r="Z316" s="1"/>
  <c r="V316"/>
  <c r="AF315"/>
  <c r="Y315"/>
  <c r="Z315" s="1"/>
  <c r="V315"/>
  <c r="AF314"/>
  <c r="Y314"/>
  <c r="Z314" s="1"/>
  <c r="V314"/>
  <c r="AF313"/>
  <c r="Y313"/>
  <c r="Z313" s="1"/>
  <c r="V313"/>
  <c r="AF312"/>
  <c r="Y312"/>
  <c r="Z312" s="1"/>
  <c r="V312"/>
  <c r="AF311"/>
  <c r="Y311"/>
  <c r="Z311" s="1"/>
  <c r="V311"/>
  <c r="AF310"/>
  <c r="Y310"/>
  <c r="Z310" s="1"/>
  <c r="V310"/>
  <c r="AF309"/>
  <c r="Y309"/>
  <c r="Z309" s="1"/>
  <c r="V309"/>
  <c r="AF308"/>
  <c r="Y308"/>
  <c r="V308"/>
  <c r="Y327" l="1"/>
  <c r="Z327" s="1"/>
  <c r="Z326"/>
  <c r="AC327"/>
  <c r="Z308"/>
  <c r="AD327" l="1"/>
  <c r="K23" i="21" l="1"/>
  <c r="M23"/>
  <c r="N23" l="1"/>
  <c r="L23"/>
  <c r="AF356" i="22" l="1"/>
  <c r="Y356"/>
  <c r="Z356" s="1"/>
  <c r="V356"/>
  <c r="AF355"/>
  <c r="Y355"/>
  <c r="Z355" s="1"/>
  <c r="V355"/>
  <c r="AF354"/>
  <c r="Y354"/>
  <c r="Z354" s="1"/>
  <c r="V354"/>
  <c r="AF353"/>
  <c r="Y353"/>
  <c r="Z353" s="1"/>
  <c r="V353"/>
  <c r="AF352"/>
  <c r="Y352"/>
  <c r="Z352" s="1"/>
  <c r="V352"/>
  <c r="AF351"/>
  <c r="W351"/>
  <c r="V351" s="1"/>
  <c r="AF350"/>
  <c r="W350"/>
  <c r="AF349"/>
  <c r="Y349"/>
  <c r="Z349" s="1"/>
  <c r="V349"/>
  <c r="AF348"/>
  <c r="Y348"/>
  <c r="Z348" s="1"/>
  <c r="V348"/>
  <c r="AF347"/>
  <c r="Y347"/>
  <c r="Z347" s="1"/>
  <c r="V347"/>
  <c r="AF346"/>
  <c r="Y346"/>
  <c r="Z346" s="1"/>
  <c r="V346"/>
  <c r="AF345"/>
  <c r="Y345"/>
  <c r="Z345" s="1"/>
  <c r="V345"/>
  <c r="AF344"/>
  <c r="Y344"/>
  <c r="Z344" s="1"/>
  <c r="V344"/>
  <c r="AF343"/>
  <c r="Y343"/>
  <c r="Z343" s="1"/>
  <c r="V343"/>
  <c r="AF342"/>
  <c r="Y342"/>
  <c r="Z342" s="1"/>
  <c r="V342"/>
  <c r="AF341"/>
  <c r="Y341"/>
  <c r="Z341" s="1"/>
  <c r="V341"/>
  <c r="AF340"/>
  <c r="Y340"/>
  <c r="Z340" s="1"/>
  <c r="V340"/>
  <c r="AF339"/>
  <c r="Y339"/>
  <c r="Z339" s="1"/>
  <c r="V339"/>
  <c r="AF338"/>
  <c r="Y338"/>
  <c r="Z338" s="1"/>
  <c r="V338"/>
  <c r="AF337"/>
  <c r="Y337"/>
  <c r="Z337" s="1"/>
  <c r="V337"/>
  <c r="AF336"/>
  <c r="Y336"/>
  <c r="Z336" s="1"/>
  <c r="V336"/>
  <c r="AF335"/>
  <c r="Y335"/>
  <c r="Z335" s="1"/>
  <c r="V335"/>
  <c r="AF334"/>
  <c r="Y334"/>
  <c r="Z334" s="1"/>
  <c r="V334"/>
  <c r="AF333"/>
  <c r="Y333"/>
  <c r="Z333" s="1"/>
  <c r="V333"/>
  <c r="AF332"/>
  <c r="Y332"/>
  <c r="Z332" s="1"/>
  <c r="V332"/>
  <c r="AF331"/>
  <c r="Y331"/>
  <c r="Z331" s="1"/>
  <c r="V331"/>
  <c r="Y351" l="1"/>
  <c r="Z351" s="1"/>
  <c r="W357"/>
  <c r="Y350"/>
  <c r="Z350" s="1"/>
  <c r="V350"/>
  <c r="AC358" l="1"/>
  <c r="AC357"/>
  <c r="Y357"/>
  <c r="AD357" l="1"/>
  <c r="Z357"/>
  <c r="AF203" i="28" l="1"/>
  <c r="Y203" l="1"/>
  <c r="Z203" s="1"/>
  <c r="AF209" l="1"/>
  <c r="M25" i="21" l="1"/>
  <c r="M26"/>
  <c r="M27"/>
  <c r="M24"/>
  <c r="M28" l="1"/>
  <c r="AF204" i="28"/>
  <c r="Y209" l="1"/>
  <c r="Z209" s="1"/>
  <c r="Y204"/>
  <c r="Z204" s="1"/>
  <c r="K24" i="21" l="1"/>
  <c r="K25"/>
  <c r="K26"/>
  <c r="C77"/>
  <c r="B77"/>
  <c r="D76"/>
  <c r="E76" s="1"/>
  <c r="D75"/>
  <c r="E75" s="1"/>
  <c r="D74"/>
  <c r="D73"/>
  <c r="E73" s="1"/>
  <c r="D72"/>
  <c r="E72" s="1"/>
  <c r="D71"/>
  <c r="E71" s="1"/>
  <c r="C68"/>
  <c r="B68"/>
  <c r="D67"/>
  <c r="E67" s="1"/>
  <c r="D68" l="1"/>
  <c r="E68" s="1"/>
  <c r="L26"/>
  <c r="N26"/>
  <c r="L25"/>
  <c r="N25"/>
  <c r="L24"/>
  <c r="N24"/>
  <c r="D77"/>
  <c r="E77" s="1"/>
  <c r="E74"/>
  <c r="AF205" i="28" l="1"/>
  <c r="Y205" l="1"/>
  <c r="Z205" s="1"/>
  <c r="AF206"/>
  <c r="Y206" l="1"/>
  <c r="Z206" s="1"/>
  <c r="AF207" l="1"/>
  <c r="Y207" l="1"/>
  <c r="Z207" s="1"/>
  <c r="AF208" l="1"/>
  <c r="Y208" l="1"/>
  <c r="Z208" s="1"/>
  <c r="AF210" l="1"/>
  <c r="Y210" l="1"/>
  <c r="Z210" s="1"/>
  <c r="AF211" l="1"/>
  <c r="Y211" l="1"/>
  <c r="Z211" s="1"/>
  <c r="W378" i="22" l="1"/>
  <c r="AF377"/>
  <c r="Y377"/>
  <c r="Z377" s="1"/>
  <c r="V377"/>
  <c r="AF376"/>
  <c r="Y376"/>
  <c r="Z376" s="1"/>
  <c r="V376"/>
  <c r="AF375"/>
  <c r="Y375"/>
  <c r="Z375" s="1"/>
  <c r="V375"/>
  <c r="AF374"/>
  <c r="Y374"/>
  <c r="Z374" s="1"/>
  <c r="V374"/>
  <c r="AF373"/>
  <c r="Y373"/>
  <c r="Z373" s="1"/>
  <c r="V373"/>
  <c r="AF372"/>
  <c r="Y372"/>
  <c r="Z372" s="1"/>
  <c r="V372"/>
  <c r="AF371"/>
  <c r="Y371"/>
  <c r="Z371" s="1"/>
  <c r="V371"/>
  <c r="AF370"/>
  <c r="Y370"/>
  <c r="Z370" s="1"/>
  <c r="V370"/>
  <c r="AF369"/>
  <c r="Y369"/>
  <c r="Z369" s="1"/>
  <c r="V369"/>
  <c r="AF368"/>
  <c r="Y368"/>
  <c r="Z368" s="1"/>
  <c r="V368"/>
  <c r="AF367"/>
  <c r="Y367"/>
  <c r="Z367" s="1"/>
  <c r="V367"/>
  <c r="AF366"/>
  <c r="Y366"/>
  <c r="Z366" s="1"/>
  <c r="V366"/>
  <c r="AF365"/>
  <c r="Y365"/>
  <c r="Z365" s="1"/>
  <c r="V365"/>
  <c r="AF364"/>
  <c r="Y364"/>
  <c r="Z364" s="1"/>
  <c r="V364"/>
  <c r="AF363"/>
  <c r="Y363"/>
  <c r="Z363" s="1"/>
  <c r="V363"/>
  <c r="AF362"/>
  <c r="Y362"/>
  <c r="Z362" s="1"/>
  <c r="V362"/>
  <c r="AF361"/>
  <c r="Y361"/>
  <c r="Z361" s="1"/>
  <c r="V361"/>
  <c r="Y378" l="1"/>
  <c r="AC378"/>
  <c r="AC379" l="1"/>
  <c r="AD378"/>
  <c r="Z378"/>
  <c r="AF212" i="28" l="1"/>
  <c r="Y212" l="1"/>
  <c r="Z212" s="1"/>
  <c r="W403" i="22" l="1"/>
  <c r="AF402"/>
  <c r="Y402"/>
  <c r="Z402" s="1"/>
  <c r="V402"/>
  <c r="AF401"/>
  <c r="Y401"/>
  <c r="Z401" s="1"/>
  <c r="V401"/>
  <c r="AF400"/>
  <c r="Y400"/>
  <c r="Z400" s="1"/>
  <c r="V400"/>
  <c r="AF399"/>
  <c r="Y399"/>
  <c r="Z399" s="1"/>
  <c r="V399"/>
  <c r="AF398"/>
  <c r="Y398"/>
  <c r="Z398" s="1"/>
  <c r="V398"/>
  <c r="AF397"/>
  <c r="Y397"/>
  <c r="Z397" s="1"/>
  <c r="V397"/>
  <c r="AF396"/>
  <c r="Y396"/>
  <c r="Z396" s="1"/>
  <c r="V396"/>
  <c r="AF395"/>
  <c r="Y395"/>
  <c r="Z395" s="1"/>
  <c r="V395"/>
  <c r="AF394"/>
  <c r="Y394"/>
  <c r="Z394" s="1"/>
  <c r="V394"/>
  <c r="AF393"/>
  <c r="Y393"/>
  <c r="Z393" s="1"/>
  <c r="V393"/>
  <c r="AF392"/>
  <c r="Y392"/>
  <c r="Z392" s="1"/>
  <c r="V392"/>
  <c r="AF391"/>
  <c r="Y391"/>
  <c r="Z391" s="1"/>
  <c r="V391"/>
  <c r="AF390"/>
  <c r="Y390"/>
  <c r="Z390" s="1"/>
  <c r="V390"/>
  <c r="AF389"/>
  <c r="Y389"/>
  <c r="Z389" s="1"/>
  <c r="V389"/>
  <c r="AF388"/>
  <c r="Y388"/>
  <c r="Z388" s="1"/>
  <c r="V388"/>
  <c r="AF387"/>
  <c r="Y387"/>
  <c r="Z387" s="1"/>
  <c r="V387"/>
  <c r="AF386"/>
  <c r="Y386"/>
  <c r="Z386" s="1"/>
  <c r="V386"/>
  <c r="AF385"/>
  <c r="Y385"/>
  <c r="Z385" s="1"/>
  <c r="V385"/>
  <c r="AF384"/>
  <c r="Y384"/>
  <c r="Z384" s="1"/>
  <c r="V384"/>
  <c r="AF383"/>
  <c r="Y383"/>
  <c r="Z383" s="1"/>
  <c r="V383"/>
  <c r="AF382"/>
  <c r="Y382"/>
  <c r="Z382" s="1"/>
  <c r="V382"/>
  <c r="AC403" l="1"/>
  <c r="Y403"/>
  <c r="Z403" s="1"/>
  <c r="AD403" l="1"/>
  <c r="AF213" i="28" l="1"/>
  <c r="Y213" l="1"/>
  <c r="Z213" s="1"/>
  <c r="AF214"/>
  <c r="Y214" l="1"/>
  <c r="Z214" s="1"/>
  <c r="AF215"/>
  <c r="Y215" l="1"/>
  <c r="Z215" s="1"/>
  <c r="AF216" l="1"/>
  <c r="Y216" l="1"/>
  <c r="Z216" s="1"/>
  <c r="AF218"/>
  <c r="Y218" l="1"/>
  <c r="Z218" s="1"/>
  <c r="AF217" l="1"/>
  <c r="Y217" l="1"/>
  <c r="Z217" s="1"/>
  <c r="AF219" l="1"/>
  <c r="Y219" l="1"/>
  <c r="Z219" s="1"/>
  <c r="AF221" l="1"/>
  <c r="Y221" l="1"/>
  <c r="Z221" s="1"/>
  <c r="AF220" l="1"/>
  <c r="Y220" l="1"/>
  <c r="Z220" s="1"/>
  <c r="AF222" l="1"/>
  <c r="Y222" l="1"/>
  <c r="Z222" s="1"/>
  <c r="AF223" l="1"/>
  <c r="Y223" l="1"/>
  <c r="Z223" s="1"/>
  <c r="AF224" l="1"/>
  <c r="Y224" l="1"/>
  <c r="Z224" s="1"/>
  <c r="AF225"/>
  <c r="Y225" l="1"/>
  <c r="Z225" s="1"/>
  <c r="AF226"/>
  <c r="Y226" l="1"/>
  <c r="Z226" s="1"/>
  <c r="AF227"/>
  <c r="Y227" l="1"/>
  <c r="Z227" s="1"/>
  <c r="K27" i="21" l="1"/>
  <c r="K28" s="1"/>
  <c r="L27" l="1"/>
  <c r="N27"/>
  <c r="N28" s="1"/>
  <c r="L28" l="1"/>
  <c r="W409" i="22" l="1"/>
  <c r="AF408"/>
  <c r="Y408"/>
  <c r="Z408" s="1"/>
  <c r="V408"/>
  <c r="AF407"/>
  <c r="Y407"/>
  <c r="Z407" s="1"/>
  <c r="V407"/>
  <c r="AF406"/>
  <c r="Y406"/>
  <c r="Z406" s="1"/>
  <c r="V406"/>
  <c r="AC409" l="1"/>
  <c r="Y409"/>
  <c r="Z409" s="1"/>
  <c r="AD409" l="1"/>
  <c r="Y238" i="28" l="1"/>
  <c r="Z238" s="1"/>
  <c r="AF238"/>
  <c r="AF228" l="1"/>
  <c r="Y228" l="1"/>
  <c r="Z228" s="1"/>
  <c r="AF229" l="1"/>
  <c r="Y229" l="1"/>
  <c r="Z229" s="1"/>
  <c r="AF230" l="1"/>
  <c r="Y230" l="1"/>
  <c r="Z230" s="1"/>
  <c r="AF231" l="1"/>
  <c r="Y231" l="1"/>
  <c r="Z231" s="1"/>
  <c r="AF234" l="1"/>
  <c r="Y234" l="1"/>
  <c r="Z234" s="1"/>
  <c r="AF233" l="1"/>
  <c r="Y233" l="1"/>
  <c r="Z233" s="1"/>
  <c r="AF232"/>
  <c r="Y232" l="1"/>
  <c r="Z232" s="1"/>
  <c r="AF239" l="1"/>
  <c r="Y239" l="1"/>
  <c r="Z239" s="1"/>
  <c r="AF235" l="1"/>
  <c r="Y235" l="1"/>
  <c r="Z235" s="1"/>
  <c r="AF243" l="1"/>
  <c r="Y243" l="1"/>
  <c r="Z243" s="1"/>
  <c r="AF237" l="1"/>
  <c r="Y237" l="1"/>
  <c r="Z237" s="1"/>
  <c r="AF236"/>
  <c r="Y236" l="1"/>
  <c r="Z236" s="1"/>
  <c r="AF240" l="1"/>
  <c r="Y240" l="1"/>
  <c r="Z240" s="1"/>
  <c r="AF241"/>
  <c r="Y241" l="1"/>
  <c r="Z241" s="1"/>
  <c r="AF242"/>
  <c r="Y242" l="1"/>
  <c r="Z242" s="1"/>
  <c r="AF244"/>
  <c r="Y244" l="1"/>
  <c r="Z244" s="1"/>
  <c r="AF245"/>
  <c r="Y245" l="1"/>
  <c r="Z245" s="1"/>
  <c r="AF246"/>
  <c r="Y246" l="1"/>
  <c r="Z246" s="1"/>
  <c r="AF248" l="1"/>
  <c r="Y248" l="1"/>
  <c r="Z248" s="1"/>
  <c r="AF247" l="1"/>
  <c r="Y247" l="1"/>
  <c r="Z247" s="1"/>
  <c r="AF250" l="1"/>
  <c r="Y250" l="1"/>
  <c r="Z250" s="1"/>
  <c r="AF249" l="1"/>
  <c r="Y249" l="1"/>
  <c r="Z249" s="1"/>
  <c r="AF254" l="1"/>
  <c r="Y254" l="1"/>
  <c r="Z254" s="1"/>
  <c r="AF252" l="1"/>
  <c r="Y252" l="1"/>
  <c r="Z252" s="1"/>
  <c r="AF251" l="1"/>
  <c r="Y251" l="1"/>
  <c r="Z251" s="1"/>
  <c r="AF256" l="1"/>
  <c r="Y256" l="1"/>
  <c r="Z256" s="1"/>
  <c r="AF253" l="1"/>
  <c r="Y253" l="1"/>
  <c r="Z253" s="1"/>
  <c r="AF255" l="1"/>
  <c r="Y255" l="1"/>
  <c r="Z255" s="1"/>
  <c r="AF257" l="1"/>
  <c r="Y257" l="1"/>
  <c r="Z257" s="1"/>
  <c r="AF258" l="1"/>
  <c r="Y258" l="1"/>
  <c r="Z258" s="1"/>
  <c r="AF259"/>
  <c r="Y259" l="1"/>
  <c r="Z259" s="1"/>
  <c r="AF260" l="1"/>
  <c r="Y260" l="1"/>
  <c r="Z260" s="1"/>
  <c r="AF261" l="1"/>
  <c r="Y261" l="1"/>
  <c r="Z261" s="1"/>
  <c r="AF262" l="1"/>
  <c r="Y262" l="1"/>
  <c r="Z262" s="1"/>
  <c r="AF263"/>
  <c r="Y263" l="1"/>
  <c r="Z263" s="1"/>
  <c r="AF264"/>
  <c r="Y264" l="1"/>
  <c r="Z264" s="1"/>
  <c r="AF265"/>
  <c r="Y265" l="1"/>
  <c r="Z265" s="1"/>
  <c r="Y271" l="1"/>
  <c r="Z271" s="1"/>
  <c r="AF271"/>
  <c r="AF266" l="1"/>
  <c r="Y266" l="1"/>
  <c r="Z266" s="1"/>
  <c r="AF267" l="1"/>
  <c r="Y267" l="1"/>
  <c r="Z267" s="1"/>
  <c r="AF268" l="1"/>
  <c r="Y268" l="1"/>
  <c r="Z268" s="1"/>
  <c r="AF269" l="1"/>
  <c r="Y269" l="1"/>
  <c r="Z269" s="1"/>
  <c r="AF270" l="1"/>
  <c r="Y270" l="1"/>
  <c r="Z270" s="1"/>
  <c r="AF272" l="1"/>
  <c r="Y272" l="1"/>
  <c r="Z272" s="1"/>
  <c r="AF273" l="1"/>
  <c r="Y273" l="1"/>
  <c r="Z273" s="1"/>
  <c r="AF274"/>
  <c r="Y274" l="1"/>
  <c r="Z274" s="1"/>
  <c r="AF275" l="1"/>
  <c r="Y275" l="1"/>
  <c r="Z275" s="1"/>
  <c r="AF276" l="1"/>
  <c r="Y276" l="1"/>
  <c r="Z276" s="1"/>
  <c r="AF278"/>
  <c r="Y278" l="1"/>
  <c r="Z278" s="1"/>
  <c r="AF277" l="1"/>
  <c r="Y277" l="1"/>
  <c r="Z277" s="1"/>
  <c r="AF279" l="1"/>
  <c r="Y279" l="1"/>
  <c r="Z279" s="1"/>
  <c r="AF280" l="1"/>
  <c r="Y280" l="1"/>
  <c r="Z280" s="1"/>
  <c r="AF281" l="1"/>
  <c r="Y281" l="1"/>
  <c r="Z281" s="1"/>
  <c r="AF282" l="1"/>
  <c r="Y282" l="1"/>
  <c r="Z282" s="1"/>
  <c r="AF283" l="1"/>
  <c r="Y283" l="1"/>
  <c r="Z283" s="1"/>
  <c r="AF284" l="1"/>
  <c r="Y284" l="1"/>
  <c r="Z284" s="1"/>
  <c r="AF287" l="1"/>
  <c r="Y287" l="1"/>
  <c r="Z287" s="1"/>
  <c r="AF288" l="1"/>
  <c r="Y288" l="1"/>
  <c r="Z288" s="1"/>
  <c r="AF285"/>
  <c r="AF286"/>
  <c r="Y285" l="1"/>
  <c r="Z285" s="1"/>
  <c r="Y286"/>
  <c r="Z286" s="1"/>
  <c r="AF292" l="1"/>
  <c r="Y292" l="1"/>
  <c r="Z292" s="1"/>
  <c r="AF289" l="1"/>
  <c r="Y289" l="1"/>
  <c r="Z289" s="1"/>
  <c r="AF290"/>
  <c r="Y290" l="1"/>
  <c r="Z290" s="1"/>
  <c r="AF291" l="1"/>
  <c r="Y291" l="1"/>
  <c r="Z291" s="1"/>
  <c r="AF297" l="1"/>
  <c r="Y297"/>
  <c r="Z297" s="1"/>
  <c r="AF296"/>
  <c r="Y296"/>
  <c r="Z296" s="1"/>
  <c r="AF295"/>
  <c r="Y295"/>
  <c r="Z295" s="1"/>
  <c r="AF293" l="1"/>
  <c r="Y293" l="1"/>
  <c r="Z293" s="1"/>
  <c r="AF294" l="1"/>
  <c r="Y294" l="1"/>
  <c r="Z294" s="1"/>
  <c r="AF298" l="1"/>
  <c r="Y298" l="1"/>
  <c r="Z298" s="1"/>
  <c r="AF299" l="1"/>
  <c r="Y299" l="1"/>
  <c r="Z299" s="1"/>
  <c r="AF301"/>
  <c r="Y301" l="1"/>
  <c r="Z301" s="1"/>
  <c r="AF300" l="1"/>
  <c r="Y300" l="1"/>
  <c r="Z300" s="1"/>
  <c r="AF302" l="1"/>
  <c r="Y302" l="1"/>
  <c r="Z302" s="1"/>
  <c r="AF303" l="1"/>
  <c r="Y303" l="1"/>
  <c r="Z303" s="1"/>
  <c r="AF305" l="1"/>
  <c r="Y305" l="1"/>
  <c r="Z305" s="1"/>
  <c r="AF304" l="1"/>
  <c r="Y304" l="1"/>
  <c r="Z304" s="1"/>
  <c r="AF306" l="1"/>
  <c r="AF307"/>
  <c r="AF308"/>
  <c r="Y306" l="1"/>
  <c r="Z306" s="1"/>
  <c r="Y307"/>
  <c r="Z307" s="1"/>
  <c r="Y308"/>
  <c r="Z308" s="1"/>
  <c r="AF309" l="1"/>
  <c r="Y309" l="1"/>
  <c r="Z309" s="1"/>
  <c r="AF310" l="1"/>
  <c r="Y310" l="1"/>
  <c r="Z310" s="1"/>
  <c r="AF311" l="1"/>
  <c r="Y311" l="1"/>
  <c r="Z311" s="1"/>
  <c r="Y312" l="1"/>
  <c r="Z312" s="1"/>
  <c r="AF312"/>
  <c r="AF313" l="1"/>
  <c r="Y313" l="1"/>
  <c r="Z313" s="1"/>
  <c r="AF314"/>
  <c r="Y314" l="1"/>
  <c r="Z314" s="1"/>
  <c r="AF315"/>
  <c r="Y315" l="1"/>
  <c r="Z315" s="1"/>
  <c r="AF316" l="1"/>
  <c r="Y316" l="1"/>
  <c r="Z316" s="1"/>
  <c r="AF317"/>
  <c r="Y317" l="1"/>
  <c r="Z317" s="1"/>
  <c r="AF318" l="1"/>
  <c r="Y318" l="1"/>
  <c r="Z318" s="1"/>
  <c r="W423" i="22" l="1"/>
  <c r="Y423" l="1"/>
  <c r="Z423" s="1"/>
  <c r="AF413" l="1"/>
  <c r="Y413" l="1"/>
  <c r="Z413" s="1"/>
  <c r="V413"/>
  <c r="AF412" l="1"/>
  <c r="Y412" l="1"/>
  <c r="Z412" s="1"/>
  <c r="V412"/>
  <c r="AF422"/>
  <c r="Y422" l="1"/>
  <c r="Z422" s="1"/>
  <c r="V422"/>
  <c r="AF319" i="28" l="1"/>
  <c r="Y319" l="1"/>
  <c r="Z319" s="1"/>
  <c r="Y573" i="22" l="1"/>
  <c r="V573"/>
  <c r="AF572"/>
  <c r="Y572" l="1"/>
  <c r="Z572" s="1"/>
  <c r="V572" l="1"/>
  <c r="AF571" l="1"/>
  <c r="Y571"/>
  <c r="Z571" l="1"/>
  <c r="V571"/>
  <c r="AF570"/>
  <c r="Y570"/>
  <c r="V570"/>
  <c r="AF569"/>
  <c r="Z570" l="1"/>
  <c r="Y569"/>
  <c r="Z569" s="1"/>
  <c r="V569" l="1"/>
  <c r="AF568"/>
  <c r="Y568" l="1"/>
  <c r="Z568" s="1"/>
  <c r="V568"/>
  <c r="AF567"/>
  <c r="Y567" l="1"/>
  <c r="Y574" s="1"/>
  <c r="Z573" s="1"/>
  <c r="V567"/>
  <c r="Z567" l="1"/>
  <c r="W565" l="1"/>
  <c r="AF564"/>
  <c r="Y564" l="1"/>
  <c r="Z564" s="1"/>
  <c r="V564"/>
  <c r="AF563"/>
  <c r="Y563" l="1"/>
  <c r="Z563" s="1"/>
  <c r="V563"/>
  <c r="AF562"/>
  <c r="Y562"/>
  <c r="Z562" s="1"/>
  <c r="V562"/>
  <c r="AF561"/>
  <c r="Y561"/>
  <c r="V561"/>
  <c r="AF560"/>
  <c r="Z561" l="1"/>
  <c r="Y560"/>
  <c r="Z560" s="1"/>
  <c r="V560"/>
  <c r="AF559"/>
  <c r="Y559"/>
  <c r="Z559" s="1"/>
  <c r="V559"/>
  <c r="AF558"/>
  <c r="Y558"/>
  <c r="V558"/>
  <c r="W556"/>
  <c r="AF555"/>
  <c r="Y555"/>
  <c r="Z555" s="1"/>
  <c r="V555"/>
  <c r="AF554"/>
  <c r="Z558" l="1"/>
  <c r="Y565"/>
  <c r="Y554"/>
  <c r="Z554" s="1"/>
  <c r="V554"/>
  <c r="AF553"/>
  <c r="Z565" l="1"/>
  <c r="Y553"/>
  <c r="Z553" s="1"/>
  <c r="V553"/>
  <c r="W551" l="1"/>
  <c r="AF550"/>
  <c r="Y550" l="1"/>
  <c r="Z550" s="1"/>
  <c r="V550"/>
  <c r="AF549"/>
  <c r="Y549" l="1"/>
  <c r="V549"/>
  <c r="W547"/>
  <c r="AF546"/>
  <c r="Y546"/>
  <c r="V546"/>
  <c r="AF545"/>
  <c r="Y545"/>
  <c r="Z545" s="1"/>
  <c r="V545"/>
  <c r="AF544"/>
  <c r="Y551" l="1"/>
  <c r="Z551" s="1"/>
  <c r="Z549"/>
  <c r="Z546"/>
  <c r="Y544"/>
  <c r="Z544" s="1"/>
  <c r="V544"/>
  <c r="AF543" l="1"/>
  <c r="Y543" l="1"/>
  <c r="Z543" s="1"/>
  <c r="V543"/>
  <c r="AF542"/>
  <c r="Y542" l="1"/>
  <c r="Z542" s="1"/>
  <c r="V542"/>
  <c r="AF541" l="1"/>
  <c r="Y541" l="1"/>
  <c r="Z541" s="1"/>
  <c r="V541"/>
  <c r="AF540"/>
  <c r="Y540" l="1"/>
  <c r="Z540" s="1"/>
  <c r="V540"/>
  <c r="AF539" l="1"/>
  <c r="V539" l="1"/>
  <c r="AF538" l="1"/>
  <c r="Y538" l="1"/>
  <c r="Z538" s="1"/>
  <c r="V538"/>
  <c r="AF537" l="1"/>
  <c r="Y537" l="1"/>
  <c r="Z537" s="1"/>
  <c r="V537"/>
  <c r="W535" l="1"/>
  <c r="AF534"/>
  <c r="Y534" l="1"/>
  <c r="Z534" s="1"/>
  <c r="V534"/>
  <c r="AF533"/>
  <c r="Y533" l="1"/>
  <c r="Z533" s="1"/>
  <c r="V533"/>
  <c r="AF532"/>
  <c r="Y532" l="1"/>
  <c r="Z532" s="1"/>
  <c r="V532"/>
  <c r="AF531"/>
  <c r="Y531" l="1"/>
  <c r="Z531" s="1"/>
  <c r="V531"/>
  <c r="AF530"/>
  <c r="Y530" l="1"/>
  <c r="Z530" s="1"/>
  <c r="V530"/>
  <c r="AF529"/>
  <c r="Y529"/>
  <c r="Z529" s="1"/>
  <c r="V529"/>
  <c r="AF528"/>
  <c r="Y528" l="1"/>
  <c r="Z528" s="1"/>
  <c r="V528"/>
  <c r="AF527"/>
  <c r="Y527" l="1"/>
  <c r="Z527" s="1"/>
  <c r="V527"/>
  <c r="AF526"/>
  <c r="Y526" l="1"/>
  <c r="Z526" s="1"/>
  <c r="V526"/>
  <c r="AF525"/>
  <c r="Y525" l="1"/>
  <c r="Z525" s="1"/>
  <c r="V525"/>
  <c r="W523" l="1"/>
  <c r="AF522"/>
  <c r="Y523" l="1"/>
  <c r="Z523" s="1"/>
  <c r="Y522"/>
  <c r="Z522" s="1"/>
  <c r="V522"/>
  <c r="AF521"/>
  <c r="Y521" l="1"/>
  <c r="Z521" s="1"/>
  <c r="V521"/>
  <c r="AF520"/>
  <c r="Y520" l="1"/>
  <c r="Z520" s="1"/>
  <c r="V520"/>
  <c r="AF519"/>
  <c r="Y519" l="1"/>
  <c r="Z519" s="1"/>
  <c r="V519"/>
  <c r="AF518" l="1"/>
  <c r="Y518" l="1"/>
  <c r="Z518" s="1"/>
  <c r="V518"/>
  <c r="AF517" l="1"/>
  <c r="Y517" l="1"/>
  <c r="Z517" s="1"/>
  <c r="V517"/>
  <c r="W515" l="1"/>
  <c r="AF514"/>
  <c r="Y514" l="1"/>
  <c r="Z514" s="1"/>
  <c r="V514"/>
  <c r="AF513"/>
  <c r="Y513" l="1"/>
  <c r="Z513" s="1"/>
  <c r="V513"/>
  <c r="AF512"/>
  <c r="Y512" l="1"/>
  <c r="Z512" s="1"/>
  <c r="V512"/>
  <c r="AF511"/>
  <c r="Y511" l="1"/>
  <c r="Z511" s="1"/>
  <c r="V511"/>
  <c r="AF510"/>
  <c r="Y510" l="1"/>
  <c r="Z510" s="1"/>
  <c r="V510"/>
  <c r="AF509"/>
  <c r="Y509" l="1"/>
  <c r="Z509" s="1"/>
  <c r="V509"/>
  <c r="W507" l="1"/>
  <c r="AF506"/>
  <c r="Y506" l="1"/>
  <c r="Z506" s="1"/>
  <c r="V506"/>
  <c r="AF505"/>
  <c r="Y505" l="1"/>
  <c r="Z505" s="1"/>
  <c r="V505"/>
  <c r="AF504" l="1"/>
  <c r="Y504" l="1"/>
  <c r="Z504" s="1"/>
  <c r="V504"/>
  <c r="W502" l="1"/>
  <c r="Y502" s="1"/>
  <c r="Z502" s="1"/>
  <c r="AF501"/>
  <c r="Y501" l="1"/>
  <c r="Z501" s="1"/>
  <c r="V501"/>
  <c r="AF500" l="1"/>
  <c r="Y500" l="1"/>
  <c r="Z500" s="1"/>
  <c r="V500"/>
  <c r="AF499"/>
  <c r="Y499" l="1"/>
  <c r="Z499" s="1"/>
  <c r="V499"/>
  <c r="AF498"/>
  <c r="Y498" l="1"/>
  <c r="Z498" s="1"/>
  <c r="V498"/>
  <c r="AF497" l="1"/>
  <c r="Y497" l="1"/>
  <c r="Z497" s="1"/>
  <c r="V497"/>
  <c r="W495" l="1"/>
  <c r="AF494"/>
  <c r="Y495" l="1"/>
  <c r="Z495" s="1"/>
  <c r="Y494"/>
  <c r="Z494" s="1"/>
  <c r="AF493"/>
  <c r="Y493"/>
  <c r="Z493" s="1"/>
  <c r="AF492"/>
  <c r="Y492"/>
  <c r="Z492" s="1"/>
  <c r="AF491"/>
  <c r="Y491"/>
  <c r="AF490"/>
  <c r="Y490"/>
  <c r="W488"/>
  <c r="Z491" l="1"/>
  <c r="Z490"/>
  <c r="AF487"/>
  <c r="Y487" l="1"/>
  <c r="Z487" s="1"/>
  <c r="V487"/>
  <c r="AF486" l="1"/>
  <c r="Y486" l="1"/>
  <c r="Z486" s="1"/>
  <c r="V486"/>
  <c r="W484" l="1"/>
  <c r="AF483"/>
  <c r="Y483" l="1"/>
  <c r="Z483" s="1"/>
  <c r="V483"/>
  <c r="AF482"/>
  <c r="Y482"/>
  <c r="V482"/>
  <c r="AF481"/>
  <c r="Z482" l="1"/>
  <c r="Y481"/>
  <c r="Z481" s="1"/>
  <c r="V481"/>
  <c r="AF480"/>
  <c r="Y480" l="1"/>
  <c r="Z480" s="1"/>
  <c r="V480"/>
  <c r="W478"/>
  <c r="AF477"/>
  <c r="Y478" l="1"/>
  <c r="Z478" s="1"/>
  <c r="Y477"/>
  <c r="Z477" s="1"/>
  <c r="V477"/>
  <c r="AF476"/>
  <c r="Y476"/>
  <c r="V476"/>
  <c r="Z476" l="1"/>
  <c r="W474"/>
  <c r="AF473"/>
  <c r="Y473" l="1"/>
  <c r="Z473" s="1"/>
  <c r="V473"/>
  <c r="AF472"/>
  <c r="Y472" l="1"/>
  <c r="Z472" s="1"/>
  <c r="V472"/>
  <c r="AF471"/>
  <c r="Y471" l="1"/>
  <c r="Z471" s="1"/>
  <c r="V471"/>
  <c r="AF470"/>
  <c r="Y470" l="1"/>
  <c r="Z470" s="1"/>
  <c r="V470"/>
  <c r="W468"/>
  <c r="AF467"/>
  <c r="Y468" l="1"/>
  <c r="Z468" s="1"/>
  <c r="Y467"/>
  <c r="Z467" s="1"/>
  <c r="V467"/>
  <c r="AF466"/>
  <c r="Y466"/>
  <c r="V466"/>
  <c r="AF463"/>
  <c r="Z466" l="1"/>
  <c r="Y463"/>
  <c r="Z463" s="1"/>
  <c r="V463"/>
  <c r="W461" l="1"/>
  <c r="AF460"/>
  <c r="Y460" l="1"/>
  <c r="Z460" s="1"/>
  <c r="V460"/>
  <c r="AF459" l="1"/>
  <c r="Y459" l="1"/>
  <c r="Z459" s="1"/>
  <c r="V459"/>
  <c r="AF458"/>
  <c r="Y458" l="1"/>
  <c r="Z458" s="1"/>
  <c r="V458"/>
  <c r="AF457"/>
  <c r="Y457" l="1"/>
  <c r="Z457" s="1"/>
  <c r="V457"/>
  <c r="AF454" l="1"/>
  <c r="Y454" l="1"/>
  <c r="Z454" s="1"/>
  <c r="V454"/>
  <c r="AF453"/>
  <c r="Y453"/>
  <c r="V453"/>
  <c r="Z453" l="1"/>
  <c r="AF452"/>
  <c r="Y452"/>
  <c r="V452"/>
  <c r="AF451"/>
  <c r="Z452" l="1"/>
  <c r="W451"/>
  <c r="AF450"/>
  <c r="Y450"/>
  <c r="V450"/>
  <c r="AF447"/>
  <c r="Z450" l="1"/>
  <c r="W455"/>
  <c r="Y451"/>
  <c r="Z451" s="1"/>
  <c r="V451"/>
  <c r="W447"/>
  <c r="Y447" l="1"/>
  <c r="Z447" s="1"/>
  <c r="V447"/>
  <c r="AF446"/>
  <c r="Y446"/>
  <c r="V446"/>
  <c r="AF445"/>
  <c r="Z446" l="1"/>
  <c r="Y445"/>
  <c r="Z445" s="1"/>
  <c r="V445"/>
  <c r="AF444"/>
  <c r="W444" l="1"/>
  <c r="Y444" l="1"/>
  <c r="Z444" s="1"/>
  <c r="V444"/>
  <c r="AF443"/>
  <c r="W443"/>
  <c r="W448" s="1"/>
  <c r="Y448" l="1"/>
  <c r="Z448" s="1"/>
  <c r="V443"/>
  <c r="W441"/>
  <c r="AF440"/>
  <c r="Y441" l="1"/>
  <c r="Z441" s="1"/>
  <c r="Y440"/>
  <c r="Z440" s="1"/>
  <c r="V440"/>
  <c r="AF439"/>
  <c r="Y439" l="1"/>
  <c r="Z439" s="1"/>
  <c r="V439"/>
  <c r="AF438"/>
  <c r="Y438"/>
  <c r="V438"/>
  <c r="Z438" l="1"/>
  <c r="AF437"/>
  <c r="Y437" l="1"/>
  <c r="Z437" s="1"/>
  <c r="V437"/>
  <c r="W435"/>
  <c r="AF434"/>
  <c r="Y434" l="1"/>
  <c r="Z434" s="1"/>
  <c r="V434"/>
  <c r="AF433"/>
  <c r="Y433"/>
  <c r="Z433" s="1"/>
  <c r="V433"/>
  <c r="AF432"/>
  <c r="Y432" l="1"/>
  <c r="Z432" s="1"/>
  <c r="V432"/>
  <c r="AF429"/>
  <c r="Y429"/>
  <c r="V429"/>
  <c r="AF426"/>
  <c r="Y426"/>
  <c r="Z426" s="1"/>
  <c r="V426"/>
  <c r="Z429" l="1"/>
  <c r="AF419" l="1"/>
  <c r="AF418" l="1"/>
  <c r="V419" l="1"/>
  <c r="Y419"/>
  <c r="Z419" s="1"/>
  <c r="V418" l="1"/>
  <c r="Y418"/>
  <c r="Z418" s="1"/>
  <c r="AF417"/>
  <c r="Y417" l="1"/>
  <c r="Z417" s="1"/>
  <c r="V417"/>
  <c r="AF416"/>
  <c r="W420" l="1"/>
  <c r="Y420" s="1"/>
  <c r="Z420" s="1"/>
  <c r="Y416"/>
  <c r="Z416" s="1"/>
  <c r="V416"/>
  <c r="AF334" i="28" l="1"/>
  <c r="Y334" l="1"/>
  <c r="Z334" s="1"/>
  <c r="AF333"/>
  <c r="Y333" l="1"/>
  <c r="Z333" s="1"/>
  <c r="AF332"/>
  <c r="Y332"/>
  <c r="Z332" l="1"/>
  <c r="AF331" l="1"/>
  <c r="Y331"/>
  <c r="AF330"/>
  <c r="Y330"/>
  <c r="Z330" l="1"/>
  <c r="Z331"/>
  <c r="AF329"/>
  <c r="Y329"/>
  <c r="Z329" l="1"/>
  <c r="AF328"/>
  <c r="Y328" l="1"/>
  <c r="Z328" s="1"/>
  <c r="AF327" l="1"/>
  <c r="Y327" l="1"/>
  <c r="Z327" s="1"/>
  <c r="AF326"/>
  <c r="AF325" l="1"/>
  <c r="Y326" l="1"/>
  <c r="Z326" s="1"/>
  <c r="Y325" l="1"/>
  <c r="Z325" s="1"/>
  <c r="AF324"/>
  <c r="AF323" l="1"/>
  <c r="Y324" l="1"/>
  <c r="Z324" s="1"/>
  <c r="AF322"/>
  <c r="Y323" l="1"/>
  <c r="Z323" s="1"/>
  <c r="AF321"/>
  <c r="Y322" l="1"/>
  <c r="Z322" s="1"/>
  <c r="Y321" l="1"/>
  <c r="Z321" s="1"/>
  <c r="AF320"/>
  <c r="Y320" l="1"/>
  <c r="Z320" s="1"/>
  <c r="Y435" i="22" l="1"/>
  <c r="Z435" s="1"/>
  <c r="Y443"/>
  <c r="Z443" s="1"/>
  <c r="Y455"/>
  <c r="Z455" s="1"/>
  <c r="Y461"/>
  <c r="Z461" s="1"/>
  <c r="Y474"/>
  <c r="Z474" s="1"/>
  <c r="Y484"/>
  <c r="Z484" s="1"/>
  <c r="Y488"/>
  <c r="Z488" s="1"/>
  <c r="Y507"/>
  <c r="Z507" s="1"/>
  <c r="Y515"/>
  <c r="Z515" s="1"/>
  <c r="Y535"/>
  <c r="Z535" s="1"/>
  <c r="Y539"/>
  <c r="Z539" s="1"/>
  <c r="Y547"/>
  <c r="Z547" s="1"/>
  <c r="Y556"/>
  <c r="Z556" s="1"/>
  <c r="Y29" i="74"/>
  <c r="AC29"/>
  <c r="AD29" l="1"/>
  <c r="Z29"/>
</calcChain>
</file>

<file path=xl/sharedStrings.xml><?xml version="1.0" encoding="utf-8"?>
<sst xmlns="http://schemas.openxmlformats.org/spreadsheetml/2006/main" count="27483" uniqueCount="6885">
  <si>
    <t>國賓</t>
    <phoneticPr fontId="1" type="noConversion"/>
  </si>
  <si>
    <t>永豐金</t>
    <phoneticPr fontId="1" type="noConversion"/>
  </si>
  <si>
    <t>現在價</t>
    <phoneticPr fontId="1" type="noConversion"/>
  </si>
  <si>
    <t>損益率</t>
    <phoneticPr fontId="1" type="noConversion"/>
  </si>
  <si>
    <t>鴻海</t>
    <phoneticPr fontId="1" type="noConversion"/>
  </si>
  <si>
    <t>損益</t>
    <phoneticPr fontId="1" type="noConversion"/>
  </si>
  <si>
    <t>南橋</t>
    <phoneticPr fontId="1" type="noConversion"/>
  </si>
  <si>
    <t>辛耘</t>
    <phoneticPr fontId="1" type="noConversion"/>
  </si>
  <si>
    <t>台積電</t>
    <phoneticPr fontId="1" type="noConversion"/>
  </si>
  <si>
    <t>國泰金</t>
    <phoneticPr fontId="1" type="noConversion"/>
  </si>
  <si>
    <t>統一</t>
    <phoneticPr fontId="1" type="noConversion"/>
  </si>
  <si>
    <t>兆豐金</t>
    <phoneticPr fontId="1" type="noConversion"/>
  </si>
  <si>
    <t>日月光</t>
    <phoneticPr fontId="1" type="noConversion"/>
  </si>
  <si>
    <t>和碩</t>
    <phoneticPr fontId="1" type="noConversion"/>
  </si>
  <si>
    <t>和泰車</t>
    <phoneticPr fontId="1" type="noConversion"/>
  </si>
  <si>
    <t>研華</t>
    <phoneticPr fontId="1" type="noConversion"/>
  </si>
  <si>
    <t>鴻準</t>
    <phoneticPr fontId="1" type="noConversion"/>
  </si>
  <si>
    <t>仁寶</t>
    <phoneticPr fontId="1" type="noConversion"/>
  </si>
  <si>
    <t>新光金</t>
    <phoneticPr fontId="1" type="noConversion"/>
  </si>
  <si>
    <t>亞泥</t>
    <phoneticPr fontId="1" type="noConversion"/>
  </si>
  <si>
    <t>英業達</t>
    <phoneticPr fontId="1" type="noConversion"/>
  </si>
  <si>
    <t>上銀</t>
    <phoneticPr fontId="1" type="noConversion"/>
  </si>
  <si>
    <t>力成</t>
    <phoneticPr fontId="1" type="noConversion"/>
  </si>
  <si>
    <t>緯創</t>
    <phoneticPr fontId="1" type="noConversion"/>
  </si>
  <si>
    <t>華航</t>
    <phoneticPr fontId="1" type="noConversion"/>
  </si>
  <si>
    <t>聯強</t>
    <phoneticPr fontId="1" type="noConversion"/>
  </si>
  <si>
    <t>瑞昱</t>
    <phoneticPr fontId="1" type="noConversion"/>
  </si>
  <si>
    <t>臻鼎KY</t>
    <phoneticPr fontId="1" type="noConversion"/>
  </si>
  <si>
    <t>興富發</t>
    <phoneticPr fontId="1" type="noConversion"/>
  </si>
  <si>
    <t>潤泰新</t>
    <phoneticPr fontId="1" type="noConversion"/>
  </si>
  <si>
    <t>裕隆</t>
    <phoneticPr fontId="1" type="noConversion"/>
  </si>
  <si>
    <t>美利達</t>
    <phoneticPr fontId="1" type="noConversion"/>
  </si>
  <si>
    <t>創見</t>
    <phoneticPr fontId="1" type="noConversion"/>
  </si>
  <si>
    <t>世界</t>
    <phoneticPr fontId="1" type="noConversion"/>
  </si>
  <si>
    <t>環球晶</t>
    <phoneticPr fontId="1" type="noConversion"/>
  </si>
  <si>
    <t>新麥</t>
    <phoneticPr fontId="1" type="noConversion"/>
  </si>
  <si>
    <t>力旺</t>
    <phoneticPr fontId="1" type="noConversion"/>
  </si>
  <si>
    <t>智擎</t>
    <phoneticPr fontId="1" type="noConversion"/>
  </si>
  <si>
    <t>泰博</t>
    <phoneticPr fontId="1" type="noConversion"/>
  </si>
  <si>
    <t>桂盟</t>
    <phoneticPr fontId="1" type="noConversion"/>
  </si>
  <si>
    <t>頎邦</t>
    <phoneticPr fontId="1" type="noConversion"/>
  </si>
  <si>
    <t>崑鼎</t>
    <phoneticPr fontId="1" type="noConversion"/>
  </si>
  <si>
    <t>旺宏</t>
    <phoneticPr fontId="1" type="noConversion"/>
  </si>
  <si>
    <t>台勝科</t>
    <phoneticPr fontId="1" type="noConversion"/>
  </si>
  <si>
    <t>致茂</t>
    <phoneticPr fontId="1" type="noConversion"/>
  </si>
  <si>
    <t>旭隼</t>
    <phoneticPr fontId="1" type="noConversion"/>
  </si>
  <si>
    <t>台郡</t>
    <phoneticPr fontId="1" type="noConversion"/>
  </si>
  <si>
    <t>京元電</t>
    <phoneticPr fontId="1" type="noConversion"/>
  </si>
  <si>
    <t>致伸</t>
    <phoneticPr fontId="1" type="noConversion"/>
  </si>
  <si>
    <t>創意</t>
    <phoneticPr fontId="1" type="noConversion"/>
  </si>
  <si>
    <t>神達</t>
    <phoneticPr fontId="1" type="noConversion"/>
  </si>
  <si>
    <t>神基</t>
    <phoneticPr fontId="1" type="noConversion"/>
  </si>
  <si>
    <t>康控KY</t>
    <phoneticPr fontId="1" type="noConversion"/>
  </si>
  <si>
    <t>祥碩</t>
    <phoneticPr fontId="1" type="noConversion"/>
  </si>
  <si>
    <t>群電</t>
    <phoneticPr fontId="1" type="noConversion"/>
  </si>
  <si>
    <t>同欣電</t>
    <phoneticPr fontId="1" type="noConversion"/>
  </si>
  <si>
    <t>藍天</t>
    <phoneticPr fontId="1" type="noConversion"/>
  </si>
  <si>
    <t>義隆</t>
    <phoneticPr fontId="1" type="noConversion"/>
  </si>
  <si>
    <t>聯茂</t>
    <phoneticPr fontId="1" type="noConversion"/>
  </si>
  <si>
    <t>京鼎</t>
    <phoneticPr fontId="1" type="noConversion"/>
  </si>
  <si>
    <t>新日興</t>
    <phoneticPr fontId="1" type="noConversion"/>
  </si>
  <si>
    <t>順德</t>
    <phoneticPr fontId="1" type="noConversion"/>
  </si>
  <si>
    <t>淩華</t>
    <phoneticPr fontId="1" type="noConversion"/>
  </si>
  <si>
    <t>威強電</t>
    <phoneticPr fontId="1" type="noConversion"/>
  </si>
  <si>
    <t>台聚</t>
    <phoneticPr fontId="1" type="noConversion"/>
  </si>
  <si>
    <t>統一實</t>
    <phoneticPr fontId="1" type="noConversion"/>
  </si>
  <si>
    <t>股息</t>
    <phoneticPr fontId="1" type="noConversion"/>
  </si>
  <si>
    <t>台塑</t>
    <phoneticPr fontId="1" type="noConversion"/>
  </si>
  <si>
    <t>富邦金</t>
    <phoneticPr fontId="1" type="noConversion"/>
  </si>
  <si>
    <t>持股</t>
    <phoneticPr fontId="1" type="noConversion"/>
  </si>
  <si>
    <t>泰偉</t>
    <phoneticPr fontId="1" type="noConversion"/>
  </si>
  <si>
    <t>宇峻</t>
    <phoneticPr fontId="1" type="noConversion"/>
  </si>
  <si>
    <t>歐買尬</t>
    <phoneticPr fontId="1" type="noConversion"/>
  </si>
  <si>
    <t>辣椒</t>
    <phoneticPr fontId="1" type="noConversion"/>
  </si>
  <si>
    <t>大宇資</t>
    <phoneticPr fontId="1" type="noConversion"/>
  </si>
  <si>
    <t>昱泉</t>
    <phoneticPr fontId="1" type="noConversion"/>
  </si>
  <si>
    <t>橘子</t>
    <phoneticPr fontId="1" type="noConversion"/>
  </si>
  <si>
    <t>六角</t>
    <phoneticPr fontId="1" type="noConversion"/>
  </si>
  <si>
    <t>台星科</t>
    <phoneticPr fontId="1" type="noConversion"/>
  </si>
  <si>
    <t>協易機</t>
    <phoneticPr fontId="1" type="noConversion"/>
  </si>
  <si>
    <t>高技</t>
    <phoneticPr fontId="1" type="noConversion"/>
  </si>
  <si>
    <t>陸海</t>
    <phoneticPr fontId="1" type="noConversion"/>
  </si>
  <si>
    <t>信昌電</t>
    <phoneticPr fontId="1" type="noConversion"/>
  </si>
  <si>
    <t>智基</t>
    <phoneticPr fontId="1" type="noConversion"/>
  </si>
  <si>
    <t>博智</t>
    <phoneticPr fontId="1" type="noConversion"/>
  </si>
  <si>
    <t>霹靂</t>
    <phoneticPr fontId="1" type="noConversion"/>
  </si>
  <si>
    <t>明安</t>
    <phoneticPr fontId="1" type="noConversion"/>
  </si>
  <si>
    <t>味全</t>
    <phoneticPr fontId="1" type="noConversion"/>
  </si>
  <si>
    <t>台船</t>
    <phoneticPr fontId="1" type="noConversion"/>
  </si>
  <si>
    <t>燦坤</t>
    <phoneticPr fontId="1" type="noConversion"/>
  </si>
  <si>
    <t>王品</t>
    <phoneticPr fontId="1" type="noConversion"/>
  </si>
  <si>
    <t>三商</t>
    <phoneticPr fontId="1" type="noConversion"/>
  </si>
  <si>
    <t>信義</t>
    <phoneticPr fontId="1" type="noConversion"/>
  </si>
  <si>
    <t>精英</t>
    <phoneticPr fontId="1" type="noConversion"/>
  </si>
  <si>
    <t>淩陽</t>
    <phoneticPr fontId="1" type="noConversion"/>
  </si>
  <si>
    <t>晶豪科</t>
    <phoneticPr fontId="1" type="noConversion"/>
  </si>
  <si>
    <t>華立</t>
    <phoneticPr fontId="1" type="noConversion"/>
  </si>
  <si>
    <t>聯陽</t>
    <phoneticPr fontId="1" type="noConversion"/>
  </si>
  <si>
    <t>德律</t>
    <phoneticPr fontId="1" type="noConversion"/>
  </si>
  <si>
    <t>威健</t>
    <phoneticPr fontId="1" type="noConversion"/>
  </si>
  <si>
    <t>訊連</t>
    <phoneticPr fontId="1" type="noConversion"/>
  </si>
  <si>
    <t>帆宣</t>
    <phoneticPr fontId="1" type="noConversion"/>
  </si>
  <si>
    <t>志超</t>
    <phoneticPr fontId="1" type="noConversion"/>
  </si>
  <si>
    <t>詩肯</t>
    <phoneticPr fontId="1" type="noConversion"/>
  </si>
  <si>
    <t>公治</t>
    <phoneticPr fontId="1" type="noConversion"/>
  </si>
  <si>
    <t>成分</t>
    <phoneticPr fontId="1" type="noConversion"/>
  </si>
  <si>
    <t>中電</t>
    <phoneticPr fontId="1" type="noConversion"/>
  </si>
  <si>
    <t>佳世達</t>
    <phoneticPr fontId="1" type="noConversion"/>
  </si>
  <si>
    <t>大同</t>
    <phoneticPr fontId="1" type="noConversion"/>
  </si>
  <si>
    <t>亞聚</t>
    <phoneticPr fontId="1" type="noConversion"/>
  </si>
  <si>
    <t>華新</t>
    <phoneticPr fontId="1" type="noConversion"/>
  </si>
  <si>
    <t>裕日車</t>
    <phoneticPr fontId="1" type="noConversion"/>
  </si>
  <si>
    <t>偉詮電</t>
    <phoneticPr fontId="1" type="noConversion"/>
  </si>
  <si>
    <t>榮運</t>
    <phoneticPr fontId="1" type="noConversion"/>
  </si>
  <si>
    <t>漢翔</t>
    <phoneticPr fontId="1" type="noConversion"/>
  </si>
  <si>
    <t>美食KY</t>
    <phoneticPr fontId="1" type="noConversion"/>
  </si>
  <si>
    <t>三商壽</t>
    <phoneticPr fontId="1" type="noConversion"/>
  </si>
  <si>
    <t>奇鋐</t>
    <phoneticPr fontId="1" type="noConversion"/>
  </si>
  <si>
    <t>新唐</t>
    <phoneticPr fontId="1" type="noConversion"/>
  </si>
  <si>
    <t>盛群</t>
    <phoneticPr fontId="1" type="noConversion"/>
  </si>
  <si>
    <t>至上</t>
    <phoneticPr fontId="1" type="noConversion"/>
  </si>
  <si>
    <t>富邦媒</t>
    <phoneticPr fontId="1" type="noConversion"/>
  </si>
  <si>
    <t>中鼎</t>
    <phoneticPr fontId="1" type="noConversion"/>
  </si>
  <si>
    <t>裕融</t>
    <phoneticPr fontId="1" type="noConversion"/>
  </si>
  <si>
    <t>中石化</t>
    <phoneticPr fontId="1" type="noConversion"/>
  </si>
  <si>
    <t>聚陽</t>
    <phoneticPr fontId="1" type="noConversion"/>
  </si>
  <si>
    <t>和大</t>
    <phoneticPr fontId="1" type="noConversion"/>
  </si>
  <si>
    <t>亞德客KY</t>
    <phoneticPr fontId="1" type="noConversion"/>
  </si>
  <si>
    <t>長興</t>
    <phoneticPr fontId="1" type="noConversion"/>
  </si>
  <si>
    <t>中碳</t>
    <phoneticPr fontId="1" type="noConversion"/>
  </si>
  <si>
    <t>神隆</t>
    <phoneticPr fontId="1" type="noConversion"/>
  </si>
  <si>
    <t>榮成</t>
    <phoneticPr fontId="1" type="noConversion"/>
  </si>
  <si>
    <t>萬海</t>
    <phoneticPr fontId="1" type="noConversion"/>
  </si>
  <si>
    <t>台中銀</t>
    <phoneticPr fontId="1" type="noConversion"/>
  </si>
  <si>
    <t>遠東銀</t>
    <phoneticPr fontId="1" type="noConversion"/>
  </si>
  <si>
    <t>遠雄</t>
    <phoneticPr fontId="1" type="noConversion"/>
  </si>
  <si>
    <t>百和</t>
    <phoneticPr fontId="1" type="noConversion"/>
  </si>
  <si>
    <t>其祥KY</t>
    <phoneticPr fontId="1" type="noConversion"/>
  </si>
  <si>
    <t>生泰</t>
    <phoneticPr fontId="1" type="noConversion"/>
  </si>
  <si>
    <t>世德</t>
    <phoneticPr fontId="1" type="noConversion"/>
  </si>
  <si>
    <t>志豐</t>
    <phoneticPr fontId="1" type="noConversion"/>
  </si>
  <si>
    <t>兆利</t>
    <phoneticPr fontId="1" type="noConversion"/>
  </si>
  <si>
    <t>鐿鈦</t>
    <phoneticPr fontId="1" type="noConversion"/>
  </si>
  <si>
    <t>至興</t>
    <phoneticPr fontId="1" type="noConversion"/>
  </si>
  <si>
    <t>jpp-KY</t>
    <phoneticPr fontId="1" type="noConversion"/>
  </si>
  <si>
    <t>中美晶</t>
    <phoneticPr fontId="1" type="noConversion"/>
  </si>
  <si>
    <t>龍巖</t>
    <phoneticPr fontId="1" type="noConversion"/>
  </si>
  <si>
    <t>寶雅</t>
    <phoneticPr fontId="1" type="noConversion"/>
  </si>
  <si>
    <t>聖暉</t>
    <phoneticPr fontId="1" type="noConversion"/>
  </si>
  <si>
    <t>元大期</t>
    <phoneticPr fontId="1" type="noConversion"/>
  </si>
  <si>
    <t>中碳針</t>
    <phoneticPr fontId="1" type="noConversion"/>
  </si>
  <si>
    <t>實威</t>
    <phoneticPr fontId="1" type="noConversion"/>
  </si>
  <si>
    <t>華研</t>
    <phoneticPr fontId="1" type="noConversion"/>
  </si>
  <si>
    <t>光隆</t>
    <phoneticPr fontId="1" type="noConversion"/>
  </si>
  <si>
    <t>宇隆</t>
    <phoneticPr fontId="1" type="noConversion"/>
  </si>
  <si>
    <t>宜特</t>
    <phoneticPr fontId="1" type="noConversion"/>
  </si>
  <si>
    <t>凡甲</t>
    <phoneticPr fontId="1" type="noConversion"/>
  </si>
  <si>
    <t>西柏</t>
    <phoneticPr fontId="1" type="noConversion"/>
  </si>
  <si>
    <t>閎康</t>
    <phoneticPr fontId="1" type="noConversion"/>
  </si>
  <si>
    <t>茂達</t>
    <phoneticPr fontId="1" type="noConversion"/>
  </si>
  <si>
    <t>良維</t>
    <phoneticPr fontId="1" type="noConversion"/>
  </si>
  <si>
    <t>瑞穎</t>
    <phoneticPr fontId="1" type="noConversion"/>
  </si>
  <si>
    <t>翔名</t>
    <phoneticPr fontId="1" type="noConversion"/>
  </si>
  <si>
    <t>千附</t>
    <phoneticPr fontId="1" type="noConversion"/>
  </si>
  <si>
    <t>中華</t>
    <phoneticPr fontId="1" type="noConversion"/>
  </si>
  <si>
    <t>為升</t>
    <phoneticPr fontId="1" type="noConversion"/>
  </si>
  <si>
    <t>合晶</t>
    <phoneticPr fontId="1" type="noConversion"/>
  </si>
  <si>
    <t>精材</t>
    <phoneticPr fontId="1" type="noConversion"/>
  </si>
  <si>
    <t>尼克森</t>
    <phoneticPr fontId="1" type="noConversion"/>
  </si>
  <si>
    <t>集盛</t>
    <phoneticPr fontId="1" type="noConversion"/>
  </si>
  <si>
    <t>直得</t>
    <phoneticPr fontId="1" type="noConversion"/>
  </si>
  <si>
    <t>康普</t>
    <phoneticPr fontId="1" type="noConversion"/>
  </si>
  <si>
    <t>中砂</t>
    <phoneticPr fontId="1" type="noConversion"/>
  </si>
  <si>
    <t>今國光</t>
    <phoneticPr fontId="1" type="noConversion"/>
  </si>
  <si>
    <t>達邁</t>
    <phoneticPr fontId="1" type="noConversion"/>
  </si>
  <si>
    <t>曜越</t>
    <phoneticPr fontId="1" type="noConversion"/>
  </si>
  <si>
    <t>淩通</t>
    <phoneticPr fontId="1" type="noConversion"/>
  </si>
  <si>
    <t>環宇KY</t>
    <phoneticPr fontId="1" type="noConversion"/>
  </si>
  <si>
    <t>宣德</t>
    <phoneticPr fontId="1" type="noConversion"/>
  </si>
  <si>
    <t>牧德</t>
    <phoneticPr fontId="1" type="noConversion"/>
  </si>
  <si>
    <t>立隆電</t>
    <phoneticPr fontId="1" type="noConversion"/>
  </si>
  <si>
    <t>晶宏</t>
    <phoneticPr fontId="1" type="noConversion"/>
  </si>
  <si>
    <t>國喬</t>
    <phoneticPr fontId="1" type="noConversion"/>
  </si>
  <si>
    <t>強茂</t>
    <phoneticPr fontId="1" type="noConversion"/>
  </si>
  <si>
    <t>年線下變平，準備捕老熊。</t>
    <phoneticPr fontId="1" type="noConversion"/>
  </si>
  <si>
    <t>年線往上拐，回踩堅決買！</t>
  </si>
  <si>
    <t>年線往下行，一定要搞清，</t>
    <phoneticPr fontId="1" type="noConversion"/>
  </si>
  <si>
    <t>如等半年線，暫做壁上觀。</t>
  </si>
  <si>
    <t>深跌破年線，老熊活年半。</t>
    <phoneticPr fontId="1" type="noConversion"/>
  </si>
  <si>
    <t>價穩年線上，千里馬亮相。</t>
  </si>
  <si>
    <t>要問為什么？牛熊一線亡！</t>
    <phoneticPr fontId="1" type="noConversion"/>
  </si>
  <si>
    <t>半年線下穿，千萬不要沾。</t>
  </si>
  <si>
    <t>半年線上拐，堅決果斷買！</t>
    <phoneticPr fontId="1" type="noConversion"/>
  </si>
  <si>
    <t>季線如下穿，後市不樂觀！</t>
  </si>
  <si>
    <t>季線往上走，長期須多頭！</t>
    <phoneticPr fontId="1" type="noConversion"/>
  </si>
  <si>
    <t>月線不下穿，光明就在前！</t>
  </si>
  <si>
    <t>長期往上翹，短期呈纏繞，</t>
    <phoneticPr fontId="1" type="noConversion"/>
  </si>
  <si>
    <t>平臺一做成，股價往上跑！</t>
  </si>
  <si>
    <t>（均線口訣）</t>
    <phoneticPr fontId="1" type="noConversion"/>
  </si>
  <si>
    <t>1年平均線變水平,要準備迎接多頭</t>
  </si>
  <si>
    <t>1年平均線確定往上後,有回檔要買入(俗稱的W底的第2隻腳)</t>
  </si>
  <si>
    <t>1年平均線往下時,一定要小心</t>
  </si>
  <si>
    <t>如發現半年現也往下時,勿在買入,先觀望</t>
  </si>
  <si>
    <t>快速下跌破年線,多頭可能只有半年</t>
  </si>
  <si>
    <t>如發現股價穩定突破年線,可能是黑馬</t>
  </si>
  <si>
    <t>勤美</t>
    <phoneticPr fontId="1" type="noConversion"/>
  </si>
  <si>
    <t>銘旺實</t>
    <phoneticPr fontId="1" type="noConversion"/>
  </si>
  <si>
    <t>50反</t>
    <phoneticPr fontId="1" type="noConversion"/>
  </si>
  <si>
    <t>廣達</t>
    <phoneticPr fontId="1" type="noConversion"/>
  </si>
  <si>
    <t>南亞科</t>
    <phoneticPr fontId="1" type="noConversion"/>
  </si>
  <si>
    <t>友達</t>
    <phoneticPr fontId="1" type="noConversion"/>
  </si>
  <si>
    <t>美律</t>
    <phoneticPr fontId="1" type="noConversion"/>
  </si>
  <si>
    <t>群創</t>
    <phoneticPr fontId="1" type="noConversion"/>
  </si>
  <si>
    <t>樺漢</t>
    <phoneticPr fontId="1" type="noConversion"/>
  </si>
  <si>
    <t>中</t>
    <phoneticPr fontId="1" type="noConversion"/>
  </si>
  <si>
    <t>威剛</t>
    <phoneticPr fontId="1" type="noConversion"/>
  </si>
  <si>
    <t>智崴</t>
    <phoneticPr fontId="1" type="noConversion"/>
  </si>
  <si>
    <t>信驊</t>
    <phoneticPr fontId="1" type="noConversion"/>
  </si>
  <si>
    <t>台半</t>
    <phoneticPr fontId="1" type="noConversion"/>
  </si>
  <si>
    <t>智冠</t>
    <phoneticPr fontId="1" type="noConversion"/>
  </si>
  <si>
    <t>神盾</t>
    <phoneticPr fontId="1" type="noConversion"/>
  </si>
  <si>
    <t>精測</t>
    <phoneticPr fontId="1" type="noConversion"/>
  </si>
  <si>
    <t>金居</t>
    <phoneticPr fontId="1" type="noConversion"/>
  </si>
  <si>
    <t>綠河KY</t>
    <phoneticPr fontId="1" type="noConversion"/>
  </si>
  <si>
    <t>皇田</t>
    <phoneticPr fontId="1" type="noConversion"/>
  </si>
  <si>
    <t>長華</t>
    <phoneticPr fontId="1" type="noConversion"/>
  </si>
  <si>
    <t>訊芯KY</t>
    <phoneticPr fontId="1" type="noConversion"/>
  </si>
  <si>
    <t>新至陞</t>
    <phoneticPr fontId="1" type="noConversion"/>
  </si>
  <si>
    <t>雙鴻</t>
    <phoneticPr fontId="1" type="noConversion"/>
  </si>
  <si>
    <t>東隆興</t>
    <phoneticPr fontId="1" type="noConversion"/>
  </si>
  <si>
    <t>聚鼎</t>
    <phoneticPr fontId="1" type="noConversion"/>
  </si>
  <si>
    <t>陽程</t>
    <phoneticPr fontId="1" type="noConversion"/>
  </si>
  <si>
    <t>點序</t>
    <phoneticPr fontId="1" type="noConversion"/>
  </si>
  <si>
    <t>谷崧</t>
    <phoneticPr fontId="1" type="noConversion"/>
  </si>
  <si>
    <t>精元</t>
    <phoneticPr fontId="1" type="noConversion"/>
  </si>
  <si>
    <t>其他</t>
    <phoneticPr fontId="1" type="noConversion"/>
  </si>
  <si>
    <t>台通</t>
    <phoneticPr fontId="1" type="noConversion"/>
  </si>
  <si>
    <t>瀚宇博</t>
    <phoneticPr fontId="1" type="noConversion"/>
  </si>
  <si>
    <t>精成科</t>
    <phoneticPr fontId="1" type="noConversion"/>
  </si>
  <si>
    <t>精星</t>
    <phoneticPr fontId="1" type="noConversion"/>
  </si>
  <si>
    <t>智伸科</t>
    <phoneticPr fontId="1" type="noConversion"/>
  </si>
  <si>
    <t>康舒</t>
    <phoneticPr fontId="1" type="noConversion"/>
  </si>
  <si>
    <t>六暉KY</t>
    <phoneticPr fontId="1" type="noConversion"/>
  </si>
  <si>
    <t>怡利電</t>
    <phoneticPr fontId="1" type="noConversion"/>
  </si>
  <si>
    <t>橙的</t>
    <phoneticPr fontId="1" type="noConversion"/>
  </si>
  <si>
    <t>長園科</t>
    <phoneticPr fontId="1" type="noConversion"/>
  </si>
  <si>
    <t>嘉晶</t>
    <phoneticPr fontId="1" type="noConversion"/>
  </si>
  <si>
    <t>漢磊</t>
    <phoneticPr fontId="1" type="noConversion"/>
  </si>
  <si>
    <t>震旦行</t>
    <phoneticPr fontId="1" type="noConversion"/>
  </si>
  <si>
    <t>久元</t>
    <phoneticPr fontId="1" type="noConversion"/>
  </si>
  <si>
    <t>鈺創</t>
    <phoneticPr fontId="1" type="noConversion"/>
  </si>
  <si>
    <t>晶焱</t>
    <phoneticPr fontId="1" type="noConversion"/>
  </si>
  <si>
    <t>上福</t>
    <phoneticPr fontId="1" type="noConversion"/>
  </si>
  <si>
    <t>力達KY</t>
    <phoneticPr fontId="1" type="noConversion"/>
  </si>
  <si>
    <t>福懋</t>
    <phoneticPr fontId="1" type="noConversion"/>
  </si>
  <si>
    <t>中租KY</t>
    <phoneticPr fontId="1" type="noConversion"/>
  </si>
  <si>
    <t>矽力KY</t>
    <phoneticPr fontId="1" type="noConversion"/>
  </si>
  <si>
    <t>億豐</t>
    <phoneticPr fontId="1" type="noConversion"/>
  </si>
  <si>
    <t>穩懋</t>
    <phoneticPr fontId="1" type="noConversion"/>
  </si>
  <si>
    <t>欣銓</t>
    <phoneticPr fontId="1" type="noConversion"/>
  </si>
  <si>
    <t>鈊象</t>
    <phoneticPr fontId="1" type="noConversion"/>
  </si>
  <si>
    <t>數字</t>
    <phoneticPr fontId="1" type="noConversion"/>
  </si>
  <si>
    <t>宏捷科</t>
    <phoneticPr fontId="1" type="noConversion"/>
  </si>
  <si>
    <t>臺企銀</t>
    <phoneticPr fontId="1" type="noConversion"/>
  </si>
  <si>
    <t>長榮</t>
    <phoneticPr fontId="1" type="noConversion"/>
  </si>
  <si>
    <t>遠東新</t>
    <phoneticPr fontId="1" type="noConversion"/>
  </si>
  <si>
    <t>文曄</t>
    <phoneticPr fontId="1" type="noConversion"/>
  </si>
  <si>
    <t>貿聯KY</t>
    <phoneticPr fontId="1" type="noConversion"/>
  </si>
  <si>
    <t>寶成</t>
    <phoneticPr fontId="1" type="noConversion"/>
  </si>
  <si>
    <t>玉山金</t>
    <phoneticPr fontId="1" type="noConversion"/>
  </si>
  <si>
    <t>台新金</t>
    <phoneticPr fontId="1" type="noConversion"/>
  </si>
  <si>
    <t>國票金</t>
    <phoneticPr fontId="1" type="noConversion"/>
  </si>
  <si>
    <t>第一金</t>
    <phoneticPr fontId="1" type="noConversion"/>
  </si>
  <si>
    <t>可成</t>
    <phoneticPr fontId="1" type="noConversion"/>
  </si>
  <si>
    <t>台泥</t>
    <phoneticPr fontId="1" type="noConversion"/>
  </si>
  <si>
    <t>超豐</t>
    <phoneticPr fontId="1" type="noConversion"/>
  </si>
  <si>
    <t>南茂</t>
    <phoneticPr fontId="1" type="noConversion"/>
  </si>
  <si>
    <t>嘉澤</t>
    <phoneticPr fontId="1" type="noConversion"/>
  </si>
  <si>
    <t>南電</t>
    <phoneticPr fontId="1" type="noConversion"/>
  </si>
  <si>
    <t>精誠</t>
    <phoneticPr fontId="1" type="noConversion"/>
  </si>
  <si>
    <t>大成鋼</t>
    <phoneticPr fontId="1" type="noConversion"/>
  </si>
  <si>
    <t>允強</t>
    <phoneticPr fontId="1" type="noConversion"/>
  </si>
  <si>
    <t>融資</t>
    <phoneticPr fontId="1" type="noConversion"/>
  </si>
  <si>
    <t>盈</t>
    <phoneticPr fontId="1" type="noConversion"/>
  </si>
  <si>
    <t>五鼎</t>
    <phoneticPr fontId="1" type="noConversion"/>
  </si>
  <si>
    <t>威盛</t>
    <phoneticPr fontId="1" type="noConversion"/>
  </si>
  <si>
    <t>合一</t>
    <phoneticPr fontId="1" type="noConversion"/>
  </si>
  <si>
    <t>佳邦</t>
    <phoneticPr fontId="1" type="noConversion"/>
  </si>
  <si>
    <t>光罩</t>
    <phoneticPr fontId="1" type="noConversion"/>
  </si>
  <si>
    <t>捷敏KY</t>
    <phoneticPr fontId="1" type="noConversion"/>
  </si>
  <si>
    <t>增</t>
    <phoneticPr fontId="1" type="noConversion"/>
  </si>
  <si>
    <t>水泥</t>
    <phoneticPr fontId="1" type="noConversion"/>
  </si>
  <si>
    <t>食品</t>
    <phoneticPr fontId="1" type="noConversion"/>
  </si>
  <si>
    <t>塑膠</t>
    <phoneticPr fontId="1" type="noConversion"/>
  </si>
  <si>
    <t>紡織</t>
    <phoneticPr fontId="1" type="noConversion"/>
  </si>
  <si>
    <t>電機</t>
    <phoneticPr fontId="1" type="noConversion"/>
  </si>
  <si>
    <t>電器</t>
    <phoneticPr fontId="1" type="noConversion"/>
  </si>
  <si>
    <t>玻陶</t>
    <phoneticPr fontId="1" type="noConversion"/>
  </si>
  <si>
    <t>造紙</t>
    <phoneticPr fontId="1" type="noConversion"/>
  </si>
  <si>
    <t>鋼鐵</t>
    <phoneticPr fontId="1" type="noConversion"/>
  </si>
  <si>
    <t>橡膠</t>
    <phoneticPr fontId="1" type="noConversion"/>
  </si>
  <si>
    <t>汽車</t>
    <phoneticPr fontId="1" type="noConversion"/>
  </si>
  <si>
    <t>航運</t>
    <phoneticPr fontId="1" type="noConversion"/>
  </si>
  <si>
    <t>觀光</t>
    <phoneticPr fontId="1" type="noConversion"/>
  </si>
  <si>
    <t>金融</t>
    <phoneticPr fontId="1" type="noConversion"/>
  </si>
  <si>
    <t>光洋科</t>
    <phoneticPr fontId="1" type="noConversion"/>
  </si>
  <si>
    <t>光電</t>
    <phoneticPr fontId="1" type="noConversion"/>
  </si>
  <si>
    <t>半導</t>
    <phoneticPr fontId="1" type="noConversion"/>
  </si>
  <si>
    <t>組件</t>
    <phoneticPr fontId="1" type="noConversion"/>
  </si>
  <si>
    <t>生醫</t>
    <phoneticPr fontId="1" type="noConversion"/>
  </si>
  <si>
    <t>貿易</t>
    <phoneticPr fontId="1" type="noConversion"/>
  </si>
  <si>
    <t>通信</t>
    <phoneticPr fontId="1" type="noConversion"/>
  </si>
  <si>
    <t>油電</t>
    <phoneticPr fontId="1" type="noConversion"/>
  </si>
  <si>
    <t>資訊</t>
    <phoneticPr fontId="1" type="noConversion"/>
  </si>
  <si>
    <t>他電</t>
    <phoneticPr fontId="1" type="noConversion"/>
  </si>
  <si>
    <t>台達化</t>
    <phoneticPr fontId="1" type="noConversion"/>
  </si>
  <si>
    <t>杰力</t>
  </si>
  <si>
    <t>東聯</t>
    <phoneticPr fontId="1" type="noConversion"/>
  </si>
  <si>
    <t>雷科</t>
    <phoneticPr fontId="1" type="noConversion"/>
  </si>
  <si>
    <t>九豪</t>
    <phoneticPr fontId="1" type="noConversion"/>
  </si>
  <si>
    <t>類股</t>
    <phoneticPr fontId="1" type="noConversion"/>
  </si>
  <si>
    <t>矽統</t>
    <phoneticPr fontId="1" type="noConversion"/>
  </si>
  <si>
    <t>富鼎</t>
    <phoneticPr fontId="1" type="noConversion"/>
  </si>
  <si>
    <t>中工</t>
    <phoneticPr fontId="1" type="noConversion"/>
  </si>
  <si>
    <t>營造</t>
    <phoneticPr fontId="1" type="noConversion"/>
  </si>
  <si>
    <t>佳凌</t>
    <phoneticPr fontId="1" type="noConversion"/>
  </si>
  <si>
    <t>聚積</t>
    <phoneticPr fontId="1" type="noConversion"/>
  </si>
  <si>
    <t>鈞寶</t>
    <phoneticPr fontId="1" type="noConversion"/>
  </si>
  <si>
    <t>尚立</t>
    <phoneticPr fontId="1" type="noConversion"/>
  </si>
  <si>
    <t>電通</t>
    <phoneticPr fontId="1" type="noConversion"/>
  </si>
  <si>
    <t>電商</t>
    <phoneticPr fontId="1" type="noConversion"/>
  </si>
  <si>
    <t>一詮</t>
    <phoneticPr fontId="1" type="noConversion"/>
  </si>
  <si>
    <t>淳安</t>
    <phoneticPr fontId="1" type="noConversion"/>
  </si>
  <si>
    <t>新產</t>
    <phoneticPr fontId="1" type="noConversion"/>
  </si>
  <si>
    <t>中再保</t>
    <phoneticPr fontId="1" type="noConversion"/>
  </si>
  <si>
    <t>統一證</t>
    <phoneticPr fontId="1" type="noConversion"/>
  </si>
  <si>
    <t>王道銀</t>
    <phoneticPr fontId="1" type="noConversion"/>
  </si>
  <si>
    <t>群益期</t>
    <phoneticPr fontId="1" type="noConversion"/>
  </si>
  <si>
    <t>台名</t>
    <phoneticPr fontId="1" type="noConversion"/>
  </si>
  <si>
    <t>宏遠證</t>
    <phoneticPr fontId="1" type="noConversion"/>
  </si>
  <si>
    <t>康和證</t>
    <phoneticPr fontId="1" type="noConversion"/>
  </si>
  <si>
    <t>大慶證</t>
    <phoneticPr fontId="1" type="noConversion"/>
  </si>
  <si>
    <t>福邦證</t>
    <phoneticPr fontId="1" type="noConversion"/>
  </si>
  <si>
    <t>半導體</t>
    <phoneticPr fontId="1" type="noConversion"/>
  </si>
  <si>
    <t>華泰</t>
    <phoneticPr fontId="1" type="noConversion"/>
  </si>
  <si>
    <t>統懋</t>
    <phoneticPr fontId="1" type="noConversion"/>
  </si>
  <si>
    <t>聯傑</t>
    <phoneticPr fontId="1" type="noConversion"/>
  </si>
  <si>
    <t>敦泰</t>
    <phoneticPr fontId="1" type="noConversion"/>
  </si>
  <si>
    <t>通嘉</t>
    <phoneticPr fontId="1" type="noConversion"/>
  </si>
  <si>
    <t>達能</t>
    <phoneticPr fontId="1" type="noConversion"/>
  </si>
  <si>
    <t>立積</t>
    <phoneticPr fontId="1" type="noConversion"/>
  </si>
  <si>
    <t>界霖</t>
    <phoneticPr fontId="1" type="noConversion"/>
  </si>
  <si>
    <t>松翰</t>
    <phoneticPr fontId="1" type="noConversion"/>
  </si>
  <si>
    <t>迅杰</t>
    <phoneticPr fontId="1" type="noConversion"/>
  </si>
  <si>
    <t>愛普</t>
    <phoneticPr fontId="1" type="noConversion"/>
  </si>
  <si>
    <t>易華電</t>
    <phoneticPr fontId="1" type="noConversion"/>
  </si>
  <si>
    <t>虹揚KY</t>
    <phoneticPr fontId="1" type="noConversion"/>
  </si>
  <si>
    <t>致新</t>
    <phoneticPr fontId="1" type="noConversion"/>
  </si>
  <si>
    <t>笙泉</t>
    <phoneticPr fontId="1" type="noConversion"/>
  </si>
  <si>
    <t>亞信</t>
    <phoneticPr fontId="1" type="noConversion"/>
  </si>
  <si>
    <t>鑫創</t>
    <phoneticPr fontId="1" type="noConversion"/>
  </si>
  <si>
    <t>海德威</t>
    <phoneticPr fontId="1" type="noConversion"/>
  </si>
  <si>
    <t>類比科</t>
    <phoneticPr fontId="1" type="noConversion"/>
  </si>
  <si>
    <t>禾瑞亞</t>
    <phoneticPr fontId="1" type="noConversion"/>
  </si>
  <si>
    <t>博磊</t>
    <phoneticPr fontId="1" type="noConversion"/>
  </si>
  <si>
    <t>德微</t>
    <phoneticPr fontId="1" type="noConversion"/>
  </si>
  <si>
    <t>家登</t>
    <phoneticPr fontId="1" type="noConversion"/>
  </si>
  <si>
    <t>廣穎</t>
    <phoneticPr fontId="1" type="noConversion"/>
  </si>
  <si>
    <t>太欣</t>
    <phoneticPr fontId="1" type="noConversion"/>
  </si>
  <si>
    <t>凱鈺</t>
    <phoneticPr fontId="1" type="noConversion"/>
  </si>
  <si>
    <t>通泰</t>
    <phoneticPr fontId="1" type="noConversion"/>
  </si>
  <si>
    <t>合邦</t>
    <phoneticPr fontId="1" type="noConversion"/>
  </si>
  <si>
    <t>創惟</t>
    <phoneticPr fontId="1" type="noConversion"/>
  </si>
  <si>
    <t>凌泰</t>
    <phoneticPr fontId="1" type="noConversion"/>
  </si>
  <si>
    <t>研通</t>
    <phoneticPr fontId="1" type="noConversion"/>
  </si>
  <si>
    <t>旺久</t>
    <phoneticPr fontId="1" type="noConversion"/>
  </si>
  <si>
    <t>驊訊</t>
    <phoneticPr fontId="1" type="noConversion"/>
  </si>
  <si>
    <t>元隆</t>
    <phoneticPr fontId="1" type="noConversion"/>
  </si>
  <si>
    <t>沛亨</t>
    <phoneticPr fontId="1" type="noConversion"/>
  </si>
  <si>
    <t>紘康</t>
    <phoneticPr fontId="1" type="noConversion"/>
  </si>
  <si>
    <t>九齊</t>
    <phoneticPr fontId="1" type="noConversion"/>
  </si>
  <si>
    <t>瑞耘</t>
    <phoneticPr fontId="1" type="noConversion"/>
  </si>
  <si>
    <t>展匯科</t>
    <phoneticPr fontId="1" type="noConversion"/>
  </si>
  <si>
    <t>佑華</t>
    <phoneticPr fontId="1" type="noConversion"/>
  </si>
  <si>
    <t>九暘</t>
    <phoneticPr fontId="1" type="noConversion"/>
  </si>
  <si>
    <t>品安</t>
    <phoneticPr fontId="1" type="noConversion"/>
  </si>
  <si>
    <t>年線</t>
    <phoneticPr fontId="1" type="noConversion"/>
  </si>
  <si>
    <t>金像電</t>
    <phoneticPr fontId="1" type="noConversion"/>
  </si>
  <si>
    <t>全漢</t>
    <phoneticPr fontId="1" type="noConversion"/>
  </si>
  <si>
    <t>同泰</t>
    <phoneticPr fontId="1" type="noConversion"/>
  </si>
  <si>
    <t>台端</t>
    <phoneticPr fontId="1" type="noConversion"/>
  </si>
  <si>
    <t>宏致</t>
    <phoneticPr fontId="1" type="noConversion"/>
  </si>
  <si>
    <t>健策</t>
    <phoneticPr fontId="1" type="noConversion"/>
  </si>
  <si>
    <t>銘鈺</t>
    <phoneticPr fontId="1" type="noConversion"/>
  </si>
  <si>
    <t>競國</t>
    <phoneticPr fontId="1" type="noConversion"/>
  </si>
  <si>
    <t>鎰勝</t>
    <phoneticPr fontId="1" type="noConversion"/>
  </si>
  <si>
    <t>柏承</t>
    <phoneticPr fontId="1" type="noConversion"/>
  </si>
  <si>
    <t>佳必琪</t>
    <phoneticPr fontId="1" type="noConversion"/>
  </si>
  <si>
    <t>詮欣</t>
    <phoneticPr fontId="1" type="noConversion"/>
  </si>
  <si>
    <t>定穎</t>
    <phoneticPr fontId="1" type="noConversion"/>
  </si>
  <si>
    <t>瀚荃</t>
    <phoneticPr fontId="1" type="noConversion"/>
  </si>
  <si>
    <t>菱光</t>
    <phoneticPr fontId="1" type="noConversion"/>
  </si>
  <si>
    <t>優群</t>
    <phoneticPr fontId="1" type="noConversion"/>
  </si>
  <si>
    <t>佳穎</t>
    <phoneticPr fontId="1" type="noConversion"/>
  </si>
  <si>
    <t>斐成</t>
    <phoneticPr fontId="1" type="noConversion"/>
  </si>
  <si>
    <t>建舜電</t>
    <phoneticPr fontId="1" type="noConversion"/>
  </si>
  <si>
    <t>崧騰</t>
    <phoneticPr fontId="1" type="noConversion"/>
  </si>
  <si>
    <t>長盛</t>
    <phoneticPr fontId="1" type="noConversion"/>
  </si>
  <si>
    <t>晟楠</t>
    <phoneticPr fontId="1" type="noConversion"/>
  </si>
  <si>
    <t>科嶠</t>
    <phoneticPr fontId="1" type="noConversion"/>
  </si>
  <si>
    <t>亞電</t>
    <phoneticPr fontId="1" type="noConversion"/>
  </si>
  <si>
    <t>立凱KY</t>
    <phoneticPr fontId="1" type="noConversion"/>
  </si>
  <si>
    <t>邑昇</t>
    <phoneticPr fontId="1" type="noConversion"/>
  </si>
  <si>
    <t>系統電</t>
    <phoneticPr fontId="1" type="noConversion"/>
  </si>
  <si>
    <t>華容</t>
    <phoneticPr fontId="1" type="noConversion"/>
  </si>
  <si>
    <t>建榮</t>
    <phoneticPr fontId="1" type="noConversion"/>
  </si>
  <si>
    <t>天揚</t>
    <phoneticPr fontId="1" type="noConversion"/>
  </si>
  <si>
    <t>主被動元件通路商</t>
    <phoneticPr fontId="1" type="noConversion"/>
  </si>
  <si>
    <t>連展投</t>
    <phoneticPr fontId="1" type="noConversion"/>
  </si>
  <si>
    <t>霖宏</t>
    <phoneticPr fontId="1" type="noConversion"/>
  </si>
  <si>
    <t>德宏</t>
    <phoneticPr fontId="1" type="noConversion"/>
  </si>
  <si>
    <t>松普</t>
    <phoneticPr fontId="1" type="noConversion"/>
  </si>
  <si>
    <t>凱崴</t>
    <phoneticPr fontId="1" type="noConversion"/>
  </si>
  <si>
    <t>PCB鑽頭</t>
    <phoneticPr fontId="1" type="noConversion"/>
  </si>
  <si>
    <t>業強</t>
    <phoneticPr fontId="1" type="noConversion"/>
  </si>
  <si>
    <t>信音</t>
    <phoneticPr fontId="1" type="noConversion"/>
  </si>
  <si>
    <t>01</t>
    <phoneticPr fontId="1" type="noConversion"/>
  </si>
  <si>
    <t>02</t>
    <phoneticPr fontId="1" type="noConversion"/>
  </si>
  <si>
    <t>03</t>
    <phoneticPr fontId="1" type="noConversion"/>
  </si>
  <si>
    <t>松上</t>
    <phoneticPr fontId="1" type="noConversion"/>
  </si>
  <si>
    <t>安碁</t>
    <phoneticPr fontId="1" type="noConversion"/>
  </si>
  <si>
    <t>幃翔</t>
    <phoneticPr fontId="1" type="noConversion"/>
  </si>
  <si>
    <t>育富</t>
    <phoneticPr fontId="1" type="noConversion"/>
  </si>
  <si>
    <t>海韻電</t>
    <phoneticPr fontId="1" type="noConversion"/>
  </si>
  <si>
    <t>日揚</t>
    <phoneticPr fontId="1" type="noConversion"/>
  </si>
  <si>
    <t>慶生</t>
    <phoneticPr fontId="1" type="noConversion"/>
  </si>
  <si>
    <t>泰詠</t>
    <phoneticPr fontId="1" type="noConversion"/>
  </si>
  <si>
    <t>迅德</t>
    <phoneticPr fontId="1" type="noConversion"/>
  </si>
  <si>
    <t>今展科</t>
    <phoneticPr fontId="1" type="noConversion"/>
  </si>
  <si>
    <t>倉和</t>
    <phoneticPr fontId="1" type="noConversion"/>
  </si>
  <si>
    <t>鉅橡</t>
    <phoneticPr fontId="1" type="noConversion"/>
  </si>
  <si>
    <t>博大</t>
    <phoneticPr fontId="1" type="noConversion"/>
  </si>
  <si>
    <t>越峰</t>
    <phoneticPr fontId="1" type="noConversion"/>
  </si>
  <si>
    <t>加高</t>
    <phoneticPr fontId="1" type="noConversion"/>
  </si>
  <si>
    <t>國碩</t>
    <phoneticPr fontId="1" type="noConversion"/>
  </si>
  <si>
    <t>嘉威</t>
    <phoneticPr fontId="1" type="noConversion"/>
  </si>
  <si>
    <t>太極</t>
    <phoneticPr fontId="1" type="noConversion"/>
  </si>
  <si>
    <t>泰鼎KY</t>
    <phoneticPr fontId="1" type="noConversion"/>
  </si>
  <si>
    <t>聯嘉</t>
    <phoneticPr fontId="1" type="noConversion"/>
  </si>
  <si>
    <t>光麗KY</t>
    <phoneticPr fontId="1" type="noConversion"/>
  </si>
  <si>
    <t>元晶</t>
    <phoneticPr fontId="1" type="noConversion"/>
  </si>
  <si>
    <t>安集</t>
    <phoneticPr fontId="1" type="noConversion"/>
  </si>
  <si>
    <t>錦明</t>
    <phoneticPr fontId="1" type="noConversion"/>
  </si>
  <si>
    <t>泰谷</t>
    <phoneticPr fontId="1" type="noConversion"/>
  </si>
  <si>
    <t>光耀</t>
    <phoneticPr fontId="1" type="noConversion"/>
  </si>
  <si>
    <t>全友</t>
    <phoneticPr fontId="1" type="noConversion"/>
  </si>
  <si>
    <t>倫飛</t>
    <phoneticPr fontId="1" type="noConversion"/>
  </si>
  <si>
    <t>友通</t>
    <phoneticPr fontId="1" type="noConversion"/>
  </si>
  <si>
    <t>映泰</t>
    <phoneticPr fontId="1" type="noConversion"/>
  </si>
  <si>
    <t>圓剛</t>
    <phoneticPr fontId="1" type="noConversion"/>
  </si>
  <si>
    <t>隴華</t>
    <phoneticPr fontId="1" type="noConversion"/>
  </si>
  <si>
    <t>承啟</t>
    <phoneticPr fontId="1" type="noConversion"/>
  </si>
  <si>
    <t>喬鼎</t>
    <phoneticPr fontId="1" type="noConversion"/>
  </si>
  <si>
    <t>銘異</t>
    <phoneticPr fontId="1" type="noConversion"/>
  </si>
  <si>
    <t>融程電</t>
    <phoneticPr fontId="1" type="noConversion"/>
  </si>
  <si>
    <t>誠研</t>
    <phoneticPr fontId="1" type="noConversion"/>
  </si>
  <si>
    <t>華擎</t>
    <phoneticPr fontId="1" type="noConversion"/>
  </si>
  <si>
    <t>事欣科</t>
    <phoneticPr fontId="1" type="noConversion"/>
  </si>
  <si>
    <t>科嘉KY</t>
    <phoneticPr fontId="1" type="noConversion"/>
  </si>
  <si>
    <t>虹堡</t>
    <phoneticPr fontId="1" type="noConversion"/>
  </si>
  <si>
    <t>動力KY</t>
    <phoneticPr fontId="1" type="noConversion"/>
  </si>
  <si>
    <t>旭品</t>
    <phoneticPr fontId="1" type="noConversion"/>
  </si>
  <si>
    <t>力致</t>
    <phoneticPr fontId="1" type="noConversion"/>
  </si>
  <si>
    <t>上揚</t>
    <phoneticPr fontId="1" type="noConversion"/>
  </si>
  <si>
    <t>全域</t>
    <phoneticPr fontId="1" type="noConversion"/>
  </si>
  <si>
    <t>岱稜</t>
    <phoneticPr fontId="1" type="noConversion"/>
  </si>
  <si>
    <t>熱映</t>
    <phoneticPr fontId="1" type="noConversion"/>
  </si>
  <si>
    <t>漢科</t>
    <phoneticPr fontId="1" type="noConversion"/>
  </si>
  <si>
    <t>世禾</t>
    <phoneticPr fontId="1" type="noConversion"/>
  </si>
  <si>
    <t>駿熠電</t>
    <phoneticPr fontId="1" type="noConversion"/>
  </si>
  <si>
    <t>金利</t>
    <phoneticPr fontId="1" type="noConversion"/>
  </si>
  <si>
    <t>佶優</t>
    <phoneticPr fontId="1" type="noConversion"/>
  </si>
  <si>
    <t>淇譽電</t>
    <phoneticPr fontId="1" type="noConversion"/>
  </si>
  <si>
    <t>元山</t>
    <phoneticPr fontId="1" type="noConversion"/>
  </si>
  <si>
    <t>迅得</t>
    <phoneticPr fontId="1" type="noConversion"/>
  </si>
  <si>
    <t>啟發電</t>
    <phoneticPr fontId="1" type="noConversion"/>
  </si>
  <si>
    <t>朋億</t>
    <phoneticPr fontId="1" type="noConversion"/>
  </si>
  <si>
    <t>星雲</t>
    <phoneticPr fontId="1" type="noConversion"/>
  </si>
  <si>
    <t>福華</t>
    <phoneticPr fontId="1" type="noConversion"/>
  </si>
  <si>
    <t>建暐</t>
    <phoneticPr fontId="1" type="noConversion"/>
  </si>
  <si>
    <t>大拓</t>
    <phoneticPr fontId="1" type="noConversion"/>
  </si>
  <si>
    <t>金寶</t>
    <phoneticPr fontId="1" type="noConversion"/>
  </si>
  <si>
    <t>所羅門</t>
    <phoneticPr fontId="1" type="noConversion"/>
  </si>
  <si>
    <t>云辰</t>
    <phoneticPr fontId="1" type="noConversion"/>
  </si>
  <si>
    <t>漢唐</t>
    <phoneticPr fontId="1" type="noConversion"/>
  </si>
  <si>
    <t>固緯</t>
    <phoneticPr fontId="1" type="noConversion"/>
  </si>
  <si>
    <t>互盛電</t>
    <phoneticPr fontId="1" type="noConversion"/>
  </si>
  <si>
    <t>光群雷</t>
    <phoneticPr fontId="1" type="noConversion"/>
  </si>
  <si>
    <t>盟立</t>
    <phoneticPr fontId="1" type="noConversion"/>
  </si>
  <si>
    <t>連宇</t>
    <phoneticPr fontId="1" type="noConversion"/>
  </si>
  <si>
    <t>漢平</t>
    <phoneticPr fontId="1" type="noConversion"/>
  </si>
  <si>
    <t>普安</t>
    <phoneticPr fontId="1" type="noConversion"/>
  </si>
  <si>
    <t>同開</t>
    <phoneticPr fontId="1" type="noConversion"/>
  </si>
  <si>
    <t>科風</t>
    <phoneticPr fontId="1" type="noConversion"/>
  </si>
  <si>
    <t>昇貿</t>
    <phoneticPr fontId="1" type="noConversion"/>
  </si>
  <si>
    <t>柏騰</t>
    <phoneticPr fontId="1" type="noConversion"/>
  </si>
  <si>
    <t>碩天</t>
    <phoneticPr fontId="1" type="noConversion"/>
  </si>
  <si>
    <t>東科KY</t>
    <phoneticPr fontId="1" type="noConversion"/>
  </si>
  <si>
    <t>亞翔</t>
    <phoneticPr fontId="1" type="noConversion"/>
  </si>
  <si>
    <t>巨路</t>
    <phoneticPr fontId="1" type="noConversion"/>
  </si>
  <si>
    <t>亞弘電</t>
    <phoneticPr fontId="1" type="noConversion"/>
  </si>
  <si>
    <t>和椿</t>
    <phoneticPr fontId="1" type="noConversion"/>
  </si>
  <si>
    <t>尖點</t>
    <phoneticPr fontId="1" type="noConversion"/>
  </si>
  <si>
    <t>無敵</t>
    <phoneticPr fontId="1" type="noConversion"/>
  </si>
  <si>
    <t>06</t>
    <phoneticPr fontId="1" type="noConversion"/>
  </si>
  <si>
    <t>晶相光</t>
    <phoneticPr fontId="1" type="noConversion"/>
  </si>
  <si>
    <t>力山</t>
    <phoneticPr fontId="1" type="noConversion"/>
  </si>
  <si>
    <t>萬泰科</t>
    <phoneticPr fontId="1" type="noConversion"/>
  </si>
  <si>
    <t>易通展</t>
    <phoneticPr fontId="1" type="noConversion"/>
  </si>
  <si>
    <t>韋僑</t>
    <phoneticPr fontId="1" type="noConversion"/>
  </si>
  <si>
    <t>常珵</t>
    <phoneticPr fontId="1" type="noConversion"/>
  </si>
  <si>
    <t>天宇</t>
    <phoneticPr fontId="1" type="noConversion"/>
  </si>
  <si>
    <t>卓越</t>
    <phoneticPr fontId="1" type="noConversion"/>
  </si>
  <si>
    <t>居易</t>
    <phoneticPr fontId="1" type="noConversion"/>
  </si>
  <si>
    <t>07</t>
    <phoneticPr fontId="1" type="noConversion"/>
  </si>
  <si>
    <t>力肯</t>
    <phoneticPr fontId="1" type="noConversion"/>
  </si>
  <si>
    <t>駿吉KY</t>
    <phoneticPr fontId="1" type="noConversion"/>
  </si>
  <si>
    <t>大甲</t>
    <phoneticPr fontId="1" type="noConversion"/>
  </si>
  <si>
    <t>嘉鋼</t>
    <phoneticPr fontId="1" type="noConversion"/>
  </si>
  <si>
    <t>泰茂</t>
    <phoneticPr fontId="1" type="noConversion"/>
  </si>
  <si>
    <t>謚源</t>
    <phoneticPr fontId="1" type="noConversion"/>
  </si>
  <si>
    <t>精確</t>
    <phoneticPr fontId="1" type="noConversion"/>
  </si>
  <si>
    <t>至寶電</t>
    <phoneticPr fontId="1" type="noConversion"/>
  </si>
  <si>
    <t>彬台</t>
    <phoneticPr fontId="1" type="noConversion"/>
  </si>
  <si>
    <t>台興</t>
    <phoneticPr fontId="1" type="noConversion"/>
  </si>
  <si>
    <t>健信</t>
    <phoneticPr fontId="1" type="noConversion"/>
  </si>
  <si>
    <t>金雨</t>
    <phoneticPr fontId="1" type="noConversion"/>
  </si>
  <si>
    <t>高鋒</t>
    <phoneticPr fontId="1" type="noConversion"/>
  </si>
  <si>
    <t>福裕</t>
    <phoneticPr fontId="1" type="noConversion"/>
  </si>
  <si>
    <t>永彰</t>
    <phoneticPr fontId="1" type="noConversion"/>
  </si>
  <si>
    <t>方土霖</t>
    <phoneticPr fontId="1" type="noConversion"/>
  </si>
  <si>
    <t>宏易</t>
    <phoneticPr fontId="1" type="noConversion"/>
  </si>
  <si>
    <t>慶騰</t>
    <phoneticPr fontId="1" type="noConversion"/>
  </si>
  <si>
    <t>萬在</t>
    <phoneticPr fontId="1" type="noConversion"/>
  </si>
  <si>
    <t>桓達</t>
    <phoneticPr fontId="1" type="noConversion"/>
  </si>
  <si>
    <t>長佳</t>
    <phoneticPr fontId="1" type="noConversion"/>
  </si>
  <si>
    <t>健椿</t>
  </si>
  <si>
    <t>百德</t>
    <phoneticPr fontId="1" type="noConversion"/>
  </si>
  <si>
    <t>擎邦</t>
    <phoneticPr fontId="1" type="noConversion"/>
  </si>
  <si>
    <t>富強鑫</t>
    <phoneticPr fontId="1" type="noConversion"/>
  </si>
  <si>
    <t>龍澤科</t>
    <phoneticPr fontId="1" type="noConversion"/>
  </si>
  <si>
    <t>鈦昇</t>
    <phoneticPr fontId="1" type="noConversion"/>
  </si>
  <si>
    <t>和勤</t>
    <phoneticPr fontId="1" type="noConversion"/>
  </si>
  <si>
    <t>士電</t>
    <phoneticPr fontId="1" type="noConversion"/>
  </si>
  <si>
    <t>正道</t>
    <phoneticPr fontId="1" type="noConversion"/>
  </si>
  <si>
    <t>永大</t>
    <phoneticPr fontId="1" type="noConversion"/>
  </si>
  <si>
    <t>中興電</t>
    <phoneticPr fontId="1" type="noConversion"/>
  </si>
  <si>
    <t>亞力</t>
    <phoneticPr fontId="1" type="noConversion"/>
  </si>
  <si>
    <t>利奇</t>
    <phoneticPr fontId="1" type="noConversion"/>
  </si>
  <si>
    <t>華城</t>
    <phoneticPr fontId="1" type="noConversion"/>
  </si>
  <si>
    <t>日馳</t>
    <phoneticPr fontId="1" type="noConversion"/>
  </si>
  <si>
    <t>鑽全</t>
    <phoneticPr fontId="1" type="noConversion"/>
  </si>
  <si>
    <t>恩德</t>
    <phoneticPr fontId="1" type="noConversion"/>
  </si>
  <si>
    <t>樂士</t>
    <phoneticPr fontId="1" type="noConversion"/>
  </si>
  <si>
    <t>亞崴</t>
    <phoneticPr fontId="1" type="noConversion"/>
  </si>
  <si>
    <t>高林股</t>
    <phoneticPr fontId="1" type="noConversion"/>
  </si>
  <si>
    <t>中宇</t>
    <phoneticPr fontId="1" type="noConversion"/>
  </si>
  <si>
    <t>廣隆</t>
    <phoneticPr fontId="1" type="noConversion"/>
  </si>
  <si>
    <t>正峰新</t>
    <phoneticPr fontId="1" type="noConversion"/>
  </si>
  <si>
    <t>巨庭</t>
    <phoneticPr fontId="1" type="noConversion"/>
  </si>
  <si>
    <t>喬福</t>
    <phoneticPr fontId="1" type="noConversion"/>
  </si>
  <si>
    <t>錩泰</t>
    <phoneticPr fontId="1" type="noConversion"/>
  </si>
  <si>
    <t>伸興</t>
    <phoneticPr fontId="1" type="noConversion"/>
  </si>
  <si>
    <t>程泰</t>
    <phoneticPr fontId="1" type="noConversion"/>
  </si>
  <si>
    <t>永冠KY</t>
    <phoneticPr fontId="1" type="noConversion"/>
  </si>
  <si>
    <t>劍麟</t>
    <phoneticPr fontId="1" type="noConversion"/>
  </si>
  <si>
    <t>百達</t>
    <phoneticPr fontId="1" type="noConversion"/>
  </si>
  <si>
    <t>麗清</t>
    <phoneticPr fontId="1" type="noConversion"/>
  </si>
  <si>
    <t>東台</t>
    <phoneticPr fontId="1" type="noConversion"/>
  </si>
  <si>
    <t>瑞智</t>
    <phoneticPr fontId="1" type="noConversion"/>
  </si>
  <si>
    <t>氣立</t>
    <phoneticPr fontId="1" type="noConversion"/>
  </si>
  <si>
    <t>永新KY</t>
    <phoneticPr fontId="1" type="noConversion"/>
  </si>
  <si>
    <t>強信KY</t>
    <phoneticPr fontId="1" type="noConversion"/>
  </si>
  <si>
    <t>穎漢</t>
    <phoneticPr fontId="1" type="noConversion"/>
  </si>
  <si>
    <t>豐祥KY</t>
    <phoneticPr fontId="1" type="noConversion"/>
  </si>
  <si>
    <t>寶一</t>
    <phoneticPr fontId="1" type="noConversion"/>
  </si>
  <si>
    <t>羅昇</t>
    <phoneticPr fontId="1" type="noConversion"/>
  </si>
  <si>
    <t>高力</t>
    <phoneticPr fontId="1" type="noConversion"/>
  </si>
  <si>
    <t>08</t>
    <phoneticPr fontId="1" type="noConversion"/>
  </si>
  <si>
    <t>信立</t>
    <phoneticPr fontId="1" type="noConversion"/>
  </si>
  <si>
    <t>勝昱</t>
    <phoneticPr fontId="1" type="noConversion"/>
  </si>
  <si>
    <t>世坤</t>
    <phoneticPr fontId="1" type="noConversion"/>
  </si>
  <si>
    <t>冠好</t>
    <phoneticPr fontId="1" type="noConversion"/>
  </si>
  <si>
    <t>萬國通</t>
    <phoneticPr fontId="1" type="noConversion"/>
  </si>
  <si>
    <t>華夏</t>
    <phoneticPr fontId="1" type="noConversion"/>
  </si>
  <si>
    <t>三芳</t>
    <phoneticPr fontId="1" type="noConversion"/>
  </si>
  <si>
    <t>台苯</t>
    <phoneticPr fontId="1" type="noConversion"/>
  </si>
  <si>
    <t>聯成</t>
    <phoneticPr fontId="1" type="noConversion"/>
  </si>
  <si>
    <t>達新</t>
    <phoneticPr fontId="1" type="noConversion"/>
  </si>
  <si>
    <t>大洋</t>
    <phoneticPr fontId="1" type="noConversion"/>
  </si>
  <si>
    <t>永裕</t>
    <phoneticPr fontId="1" type="noConversion"/>
  </si>
  <si>
    <t>地球</t>
    <phoneticPr fontId="1" type="noConversion"/>
  </si>
  <si>
    <t>恆大</t>
    <phoneticPr fontId="1" type="noConversion"/>
  </si>
  <si>
    <t>再生KY</t>
    <phoneticPr fontId="1" type="noConversion"/>
  </si>
  <si>
    <t>勝悅KY</t>
    <phoneticPr fontId="1" type="noConversion"/>
  </si>
  <si>
    <t>炎洲</t>
    <phoneticPr fontId="1" type="noConversion"/>
  </si>
  <si>
    <t>祺驊</t>
    <phoneticPr fontId="1" type="noConversion"/>
  </si>
  <si>
    <t>合世</t>
    <phoneticPr fontId="1" type="noConversion"/>
  </si>
  <si>
    <t>寶利徠</t>
    <phoneticPr fontId="1" type="noConversion"/>
  </si>
  <si>
    <t>永日</t>
    <phoneticPr fontId="1" type="noConversion"/>
  </si>
  <si>
    <t>優盛</t>
    <phoneticPr fontId="1" type="noConversion"/>
  </si>
  <si>
    <t>中天</t>
    <phoneticPr fontId="1" type="noConversion"/>
  </si>
  <si>
    <t>健亞</t>
    <phoneticPr fontId="1" type="noConversion"/>
  </si>
  <si>
    <t>台微體</t>
    <phoneticPr fontId="1" type="noConversion"/>
  </si>
  <si>
    <t>醣聯</t>
    <phoneticPr fontId="1" type="noConversion"/>
  </si>
  <si>
    <t>久裕</t>
    <phoneticPr fontId="1" type="noConversion"/>
  </si>
  <si>
    <t>永昕</t>
    <phoneticPr fontId="1" type="noConversion"/>
  </si>
  <si>
    <t>豪展</t>
    <phoneticPr fontId="1" type="noConversion"/>
  </si>
  <si>
    <t>藥華藥</t>
    <phoneticPr fontId="1" type="noConversion"/>
  </si>
  <si>
    <t>益得</t>
    <phoneticPr fontId="1" type="noConversion"/>
  </si>
  <si>
    <t>保瑞</t>
    <phoneticPr fontId="1" type="noConversion"/>
  </si>
  <si>
    <t>生華科</t>
    <phoneticPr fontId="1" type="noConversion"/>
  </si>
  <si>
    <t>達爾膚</t>
    <phoneticPr fontId="1" type="noConversion"/>
  </si>
  <si>
    <t>順藥</t>
    <phoneticPr fontId="1" type="noConversion"/>
  </si>
  <si>
    <t>霈方</t>
  </si>
  <si>
    <t>逸達</t>
    <phoneticPr fontId="1" type="noConversion"/>
  </si>
  <si>
    <t>商之器</t>
    <phoneticPr fontId="1" type="noConversion"/>
  </si>
  <si>
    <t>岱宇</t>
    <phoneticPr fontId="1" type="noConversion"/>
  </si>
  <si>
    <t>寶齡富錦</t>
    <phoneticPr fontId="1" type="noConversion"/>
  </si>
  <si>
    <t>佳醫</t>
    <phoneticPr fontId="1" type="noConversion"/>
  </si>
  <si>
    <t>雃博</t>
  </si>
  <si>
    <t>懷特</t>
    <phoneticPr fontId="1" type="noConversion"/>
  </si>
  <si>
    <t>國光生</t>
    <phoneticPr fontId="1" type="noConversion"/>
  </si>
  <si>
    <t>訊映</t>
    <phoneticPr fontId="1" type="noConversion"/>
  </si>
  <si>
    <t>承業醫</t>
    <phoneticPr fontId="1" type="noConversion"/>
  </si>
  <si>
    <t>台耀</t>
    <phoneticPr fontId="1" type="noConversion"/>
  </si>
  <si>
    <t>泰福KY</t>
    <phoneticPr fontId="1" type="noConversion"/>
  </si>
  <si>
    <t>精剛</t>
    <phoneticPr fontId="1" type="noConversion"/>
  </si>
  <si>
    <t>太普高</t>
    <phoneticPr fontId="1" type="noConversion"/>
  </si>
  <si>
    <t>耀億</t>
    <phoneticPr fontId="1" type="noConversion"/>
  </si>
  <si>
    <t>淳紳</t>
    <phoneticPr fontId="1" type="noConversion"/>
  </si>
  <si>
    <t>晟田</t>
    <phoneticPr fontId="1" type="noConversion"/>
  </si>
  <si>
    <t>旭然</t>
    <phoneticPr fontId="1" type="noConversion"/>
  </si>
  <si>
    <t>牧東</t>
    <phoneticPr fontId="1" type="noConversion"/>
  </si>
  <si>
    <t>達輝KY</t>
    <phoneticPr fontId="1" type="noConversion"/>
  </si>
  <si>
    <t>亞通</t>
    <phoneticPr fontId="1" type="noConversion"/>
  </si>
  <si>
    <t>天品</t>
    <phoneticPr fontId="1" type="noConversion"/>
  </si>
  <si>
    <t>康呈</t>
    <phoneticPr fontId="1" type="noConversion"/>
  </si>
  <si>
    <t>特昇KY</t>
    <phoneticPr fontId="1" type="noConversion"/>
  </si>
  <si>
    <t>益張</t>
    <phoneticPr fontId="1" type="noConversion"/>
  </si>
  <si>
    <t>金益鼎</t>
    <phoneticPr fontId="1" type="noConversion"/>
  </si>
  <si>
    <t>白紗科</t>
    <phoneticPr fontId="1" type="noConversion"/>
  </si>
  <si>
    <t>旭源</t>
    <phoneticPr fontId="1" type="noConversion"/>
  </si>
  <si>
    <t>保綠KY</t>
    <phoneticPr fontId="1" type="noConversion"/>
  </si>
  <si>
    <t>紅木KY</t>
    <phoneticPr fontId="1" type="noConversion"/>
  </si>
  <si>
    <t>鉅邁</t>
    <phoneticPr fontId="1" type="noConversion"/>
  </si>
  <si>
    <t>大地KY</t>
    <phoneticPr fontId="1" type="noConversion"/>
  </si>
  <si>
    <t>綠電</t>
    <phoneticPr fontId="1" type="noConversion"/>
  </si>
  <si>
    <t>台境</t>
    <phoneticPr fontId="1" type="noConversion"/>
  </si>
  <si>
    <t>裕國</t>
    <phoneticPr fontId="1" type="noConversion"/>
  </si>
  <si>
    <t>花王</t>
    <phoneticPr fontId="1" type="noConversion"/>
  </si>
  <si>
    <t>沈氏</t>
    <phoneticPr fontId="1" type="noConversion"/>
  </si>
  <si>
    <t>大田</t>
    <phoneticPr fontId="1" type="noConversion"/>
  </si>
  <si>
    <t>鉅明</t>
    <phoneticPr fontId="1" type="noConversion"/>
  </si>
  <si>
    <t>富堡</t>
    <phoneticPr fontId="1" type="noConversion"/>
  </si>
  <si>
    <t>宏大</t>
    <phoneticPr fontId="1" type="noConversion"/>
  </si>
  <si>
    <t>愛地雅</t>
    <phoneticPr fontId="1" type="noConversion"/>
  </si>
  <si>
    <t>邦泰</t>
    <phoneticPr fontId="1" type="noConversion"/>
  </si>
  <si>
    <t>國統</t>
    <phoneticPr fontId="1" type="noConversion"/>
  </si>
  <si>
    <t>合騏</t>
    <phoneticPr fontId="1" type="noConversion"/>
  </si>
  <si>
    <t>中福</t>
    <phoneticPr fontId="1" type="noConversion"/>
  </si>
  <si>
    <t>勤益控</t>
    <phoneticPr fontId="1" type="noConversion"/>
  </si>
  <si>
    <t>川飛</t>
    <phoneticPr fontId="1" type="noConversion"/>
  </si>
  <si>
    <t>橋椿</t>
  </si>
  <si>
    <t>海悅</t>
    <phoneticPr fontId="1" type="noConversion"/>
  </si>
  <si>
    <t>廷鑫</t>
    <phoneticPr fontId="1" type="noConversion"/>
  </si>
  <si>
    <t>龍邦</t>
    <phoneticPr fontId="1" type="noConversion"/>
  </si>
  <si>
    <t>匯僑</t>
    <phoneticPr fontId="1" type="noConversion"/>
  </si>
  <si>
    <t>遠見</t>
    <phoneticPr fontId="1" type="noConversion"/>
  </si>
  <si>
    <t>拓凱</t>
    <phoneticPr fontId="1" type="noConversion"/>
  </si>
  <si>
    <t>大豐電</t>
    <phoneticPr fontId="1" type="noConversion"/>
  </si>
  <si>
    <t>台數科</t>
    <phoneticPr fontId="1" type="noConversion"/>
  </si>
  <si>
    <t>南六</t>
    <phoneticPr fontId="1" type="noConversion"/>
  </si>
  <si>
    <t>鋼聯</t>
    <phoneticPr fontId="1" type="noConversion"/>
  </si>
  <si>
    <t>必應</t>
    <phoneticPr fontId="1" type="noConversion"/>
  </si>
  <si>
    <t>雷虎</t>
    <phoneticPr fontId="1" type="noConversion"/>
  </si>
  <si>
    <t>日友</t>
    <phoneticPr fontId="1" type="noConversion"/>
  </si>
  <si>
    <t>福貞KY</t>
    <phoneticPr fontId="1" type="noConversion"/>
  </si>
  <si>
    <t>可寧衛</t>
    <phoneticPr fontId="1" type="noConversion"/>
  </si>
  <si>
    <t>潤泰材</t>
    <phoneticPr fontId="1" type="noConversion"/>
  </si>
  <si>
    <t>波力KY</t>
    <phoneticPr fontId="1" type="noConversion"/>
  </si>
  <si>
    <t>山林水</t>
    <phoneticPr fontId="1" type="noConversion"/>
  </si>
  <si>
    <t>泰昇KY</t>
    <phoneticPr fontId="1" type="noConversion"/>
  </si>
  <si>
    <t>政伸</t>
    <phoneticPr fontId="1" type="noConversion"/>
  </si>
  <si>
    <t>吉源KY</t>
    <phoneticPr fontId="1" type="noConversion"/>
  </si>
  <si>
    <t>台火</t>
    <phoneticPr fontId="1" type="noConversion"/>
  </si>
  <si>
    <t>大華</t>
    <phoneticPr fontId="1" type="noConversion"/>
  </si>
  <si>
    <t>櫻花</t>
    <phoneticPr fontId="1" type="noConversion"/>
  </si>
  <si>
    <t>康那香</t>
    <phoneticPr fontId="1" type="noConversion"/>
  </si>
  <si>
    <t>福興</t>
    <phoneticPr fontId="1" type="noConversion"/>
  </si>
  <si>
    <t>泰銘</t>
    <phoneticPr fontId="1" type="noConversion"/>
  </si>
  <si>
    <t>中視</t>
    <phoneticPr fontId="1" type="noConversion"/>
  </si>
  <si>
    <t>秋雨</t>
    <phoneticPr fontId="1" type="noConversion"/>
  </si>
  <si>
    <t>成霖</t>
    <phoneticPr fontId="1" type="noConversion"/>
  </si>
  <si>
    <t>慶豐富</t>
    <phoneticPr fontId="1" type="noConversion"/>
  </si>
  <si>
    <t>宏全</t>
    <phoneticPr fontId="1" type="noConversion"/>
  </si>
  <si>
    <t>茂順</t>
    <phoneticPr fontId="1" type="noConversion"/>
  </si>
  <si>
    <t>新麗</t>
    <phoneticPr fontId="1" type="noConversion"/>
  </si>
  <si>
    <t>佳龍</t>
    <phoneticPr fontId="1" type="noConversion"/>
  </si>
  <si>
    <t>威宏KY</t>
    <phoneticPr fontId="1" type="noConversion"/>
  </si>
  <si>
    <t>11</t>
    <phoneticPr fontId="1" type="noConversion"/>
  </si>
  <si>
    <t>福大</t>
    <phoneticPr fontId="1" type="noConversion"/>
  </si>
  <si>
    <t>新昕纖</t>
    <phoneticPr fontId="1" type="noConversion"/>
  </si>
  <si>
    <t>金洲</t>
    <phoneticPr fontId="1" type="noConversion"/>
  </si>
  <si>
    <t>元勝</t>
    <phoneticPr fontId="1" type="noConversion"/>
  </si>
  <si>
    <t>光明</t>
    <phoneticPr fontId="1" type="noConversion"/>
  </si>
  <si>
    <t>聚紡</t>
    <phoneticPr fontId="1" type="noConversion"/>
  </si>
  <si>
    <t>興采</t>
    <phoneticPr fontId="1" type="noConversion"/>
  </si>
  <si>
    <t>新纖</t>
    <phoneticPr fontId="1" type="noConversion"/>
  </si>
  <si>
    <t>南染</t>
    <phoneticPr fontId="1" type="noConversion"/>
  </si>
  <si>
    <t>宏洲</t>
    <phoneticPr fontId="1" type="noConversion"/>
  </si>
  <si>
    <t>東和</t>
    <phoneticPr fontId="1" type="noConversion"/>
  </si>
  <si>
    <t>廣豐</t>
    <phoneticPr fontId="1" type="noConversion"/>
  </si>
  <si>
    <t>嘉裕</t>
    <phoneticPr fontId="1" type="noConversion"/>
  </si>
  <si>
    <t>東華</t>
    <phoneticPr fontId="1" type="noConversion"/>
  </si>
  <si>
    <t>新紡</t>
    <phoneticPr fontId="1" type="noConversion"/>
  </si>
  <si>
    <t>利華</t>
    <phoneticPr fontId="1" type="noConversion"/>
  </si>
  <si>
    <t>中和</t>
    <phoneticPr fontId="1" type="noConversion"/>
  </si>
  <si>
    <t>南紡</t>
    <phoneticPr fontId="1" type="noConversion"/>
  </si>
  <si>
    <t>大東</t>
    <phoneticPr fontId="1" type="noConversion"/>
  </si>
  <si>
    <t>立益</t>
    <phoneticPr fontId="1" type="noConversion"/>
  </si>
  <si>
    <t>大宇</t>
    <phoneticPr fontId="1" type="noConversion"/>
  </si>
  <si>
    <t>宏和</t>
    <phoneticPr fontId="1" type="noConversion"/>
  </si>
  <si>
    <t>力鵬</t>
    <phoneticPr fontId="1" type="noConversion"/>
  </si>
  <si>
    <t>佳和</t>
    <phoneticPr fontId="1" type="noConversion"/>
  </si>
  <si>
    <t>年興</t>
    <phoneticPr fontId="1" type="noConversion"/>
  </si>
  <si>
    <t>宏益</t>
    <phoneticPr fontId="1" type="noConversion"/>
  </si>
  <si>
    <t>大將</t>
    <phoneticPr fontId="1" type="noConversion"/>
  </si>
  <si>
    <t>台富</t>
    <phoneticPr fontId="1" type="noConversion"/>
  </si>
  <si>
    <t>怡華</t>
    <phoneticPr fontId="1" type="noConversion"/>
  </si>
  <si>
    <t>宜進</t>
    <phoneticPr fontId="1" type="noConversion"/>
  </si>
  <si>
    <t>聯發</t>
    <phoneticPr fontId="1" type="noConversion"/>
  </si>
  <si>
    <t>宏遠</t>
    <phoneticPr fontId="1" type="noConversion"/>
  </si>
  <si>
    <t>強盛</t>
    <phoneticPr fontId="1" type="noConversion"/>
  </si>
  <si>
    <t>得力</t>
    <phoneticPr fontId="1" type="noConversion"/>
  </si>
  <si>
    <t>偉全</t>
    <phoneticPr fontId="1" type="noConversion"/>
  </si>
  <si>
    <t>聚隆</t>
    <phoneticPr fontId="1" type="noConversion"/>
  </si>
  <si>
    <t>南緯</t>
    <phoneticPr fontId="1" type="noConversion"/>
  </si>
  <si>
    <t>昶和</t>
    <phoneticPr fontId="1" type="noConversion"/>
  </si>
  <si>
    <t>三洋紡</t>
    <phoneticPr fontId="1" type="noConversion"/>
  </si>
  <si>
    <t>台南</t>
    <phoneticPr fontId="1" type="noConversion"/>
  </si>
  <si>
    <t>弘裕</t>
    <phoneticPr fontId="1" type="noConversion"/>
  </si>
  <si>
    <t>如興</t>
    <phoneticPr fontId="1" type="noConversion"/>
  </si>
  <si>
    <t>利勤</t>
    <phoneticPr fontId="1" type="noConversion"/>
  </si>
  <si>
    <t>廣越</t>
    <phoneticPr fontId="1" type="noConversion"/>
  </si>
  <si>
    <t>化工</t>
    <phoneticPr fontId="1" type="noConversion"/>
  </si>
  <si>
    <t>上曜</t>
    <phoneticPr fontId="1" type="noConversion"/>
  </si>
  <si>
    <t>東鹼</t>
    <phoneticPr fontId="1" type="noConversion"/>
  </si>
  <si>
    <t>和益</t>
    <phoneticPr fontId="1" type="noConversion"/>
  </si>
  <si>
    <t>永光</t>
    <phoneticPr fontId="1" type="noConversion"/>
  </si>
  <si>
    <t>興農</t>
    <phoneticPr fontId="1" type="noConversion"/>
  </si>
  <si>
    <t>國化</t>
    <phoneticPr fontId="1" type="noConversion"/>
  </si>
  <si>
    <t>和桐</t>
    <phoneticPr fontId="1" type="noConversion"/>
  </si>
  <si>
    <t>中纖</t>
    <phoneticPr fontId="1" type="noConversion"/>
  </si>
  <si>
    <t>三晃</t>
    <phoneticPr fontId="1" type="noConversion"/>
  </si>
  <si>
    <t>元禎</t>
  </si>
  <si>
    <t>三福化</t>
    <phoneticPr fontId="1" type="noConversion"/>
  </si>
  <si>
    <t>13</t>
    <phoneticPr fontId="1" type="noConversion"/>
  </si>
  <si>
    <t>德麥</t>
    <phoneticPr fontId="1" type="noConversion"/>
  </si>
  <si>
    <t>中華食</t>
    <phoneticPr fontId="1" type="noConversion"/>
  </si>
  <si>
    <t>環泰</t>
    <phoneticPr fontId="1" type="noConversion"/>
  </si>
  <si>
    <t>味王</t>
    <phoneticPr fontId="1" type="noConversion"/>
  </si>
  <si>
    <t>大成</t>
    <phoneticPr fontId="1" type="noConversion"/>
  </si>
  <si>
    <t>大飲</t>
    <phoneticPr fontId="1" type="noConversion"/>
  </si>
  <si>
    <t>卜蜂</t>
    <phoneticPr fontId="1" type="noConversion"/>
  </si>
  <si>
    <t>愛之味</t>
    <phoneticPr fontId="1" type="noConversion"/>
  </si>
  <si>
    <t>泰山</t>
    <phoneticPr fontId="1" type="noConversion"/>
  </si>
  <si>
    <t>福壽</t>
    <phoneticPr fontId="1" type="noConversion"/>
  </si>
  <si>
    <t>台榮</t>
    <phoneticPr fontId="1" type="noConversion"/>
  </si>
  <si>
    <t>福懋油</t>
    <phoneticPr fontId="1" type="noConversion"/>
  </si>
  <si>
    <t>聯華</t>
    <phoneticPr fontId="1" type="noConversion"/>
  </si>
  <si>
    <t>聯華食</t>
    <phoneticPr fontId="1" type="noConversion"/>
  </si>
  <si>
    <t>大統益</t>
    <phoneticPr fontId="1" type="noConversion"/>
  </si>
  <si>
    <t>天仁</t>
    <phoneticPr fontId="1" type="noConversion"/>
  </si>
  <si>
    <t>黑松</t>
    <phoneticPr fontId="1" type="noConversion"/>
  </si>
  <si>
    <t>興泰</t>
    <phoneticPr fontId="1" type="noConversion"/>
  </si>
  <si>
    <t>宏亞</t>
    <phoneticPr fontId="1" type="noConversion"/>
  </si>
  <si>
    <t>鮮活果汁KY</t>
    <phoneticPr fontId="1" type="noConversion"/>
  </si>
  <si>
    <t>臺鹽</t>
    <phoneticPr fontId="1" type="noConversion"/>
  </si>
  <si>
    <t>14</t>
    <phoneticPr fontId="1" type="noConversion"/>
  </si>
  <si>
    <t>滿心</t>
    <phoneticPr fontId="1" type="noConversion"/>
  </si>
  <si>
    <t>東凌KY</t>
    <phoneticPr fontId="1" type="noConversion"/>
  </si>
  <si>
    <t>集雅社</t>
    <phoneticPr fontId="1" type="noConversion"/>
  </si>
  <si>
    <t>新洲</t>
    <phoneticPr fontId="1" type="noConversion"/>
  </si>
  <si>
    <t>德記</t>
    <phoneticPr fontId="1" type="noConversion"/>
  </si>
  <si>
    <t>南仁湖</t>
    <phoneticPr fontId="1" type="noConversion"/>
  </si>
  <si>
    <t>來思達</t>
    <phoneticPr fontId="1" type="noConversion"/>
  </si>
  <si>
    <t>關中</t>
    <phoneticPr fontId="1" type="noConversion"/>
  </si>
  <si>
    <t>邁達康</t>
    <phoneticPr fontId="1" type="noConversion"/>
  </si>
  <si>
    <t>大魯閣</t>
    <phoneticPr fontId="1" type="noConversion"/>
  </si>
  <si>
    <t>東森</t>
    <phoneticPr fontId="1" type="noConversion"/>
  </si>
  <si>
    <t>欣欣</t>
    <phoneticPr fontId="1" type="noConversion"/>
  </si>
  <si>
    <t>遠百</t>
    <phoneticPr fontId="1" type="noConversion"/>
  </si>
  <si>
    <t>高林</t>
    <phoneticPr fontId="1" type="noConversion"/>
  </si>
  <si>
    <t>特力</t>
    <phoneticPr fontId="1" type="noConversion"/>
  </si>
  <si>
    <t>統領</t>
    <phoneticPr fontId="1" type="noConversion"/>
  </si>
  <si>
    <t>麗嬰房</t>
    <phoneticPr fontId="1" type="noConversion"/>
  </si>
  <si>
    <t>農林</t>
    <phoneticPr fontId="1" type="noConversion"/>
  </si>
  <si>
    <t>凱羿KY</t>
    <phoneticPr fontId="1" type="noConversion"/>
  </si>
  <si>
    <t>日成KY</t>
    <phoneticPr fontId="1" type="noConversion"/>
  </si>
  <si>
    <t>台南KY</t>
    <phoneticPr fontId="1" type="noConversion"/>
  </si>
  <si>
    <t>大洋KY</t>
    <phoneticPr fontId="1" type="noConversion"/>
  </si>
  <si>
    <t>金麗KY</t>
    <phoneticPr fontId="1" type="noConversion"/>
  </si>
  <si>
    <t>阿瘦</t>
    <phoneticPr fontId="1" type="noConversion"/>
  </si>
  <si>
    <t>三顧</t>
    <phoneticPr fontId="1" type="noConversion"/>
  </si>
  <si>
    <t>昱捷</t>
    <phoneticPr fontId="1" type="noConversion"/>
  </si>
  <si>
    <t>利機</t>
    <phoneticPr fontId="1" type="noConversion"/>
  </si>
  <si>
    <t>亞矽</t>
    <phoneticPr fontId="1" type="noConversion"/>
  </si>
  <si>
    <t>建達</t>
    <phoneticPr fontId="1" type="noConversion"/>
  </si>
  <si>
    <t>順發</t>
    <phoneticPr fontId="1" type="noConversion"/>
  </si>
  <si>
    <t>茂綸</t>
    <phoneticPr fontId="1" type="noConversion"/>
  </si>
  <si>
    <t>方土昶</t>
    <phoneticPr fontId="1" type="noConversion"/>
  </si>
  <si>
    <t>倍微</t>
    <phoneticPr fontId="1" type="noConversion"/>
  </si>
  <si>
    <t>光菱</t>
    <phoneticPr fontId="1" type="noConversion"/>
  </si>
  <si>
    <t>志旭</t>
    <phoneticPr fontId="1" type="noConversion"/>
  </si>
  <si>
    <t>全達</t>
    <phoneticPr fontId="1" type="noConversion"/>
  </si>
  <si>
    <t>巨虹</t>
    <phoneticPr fontId="1" type="noConversion"/>
  </si>
  <si>
    <t>擎亞</t>
    <phoneticPr fontId="1" type="noConversion"/>
  </si>
  <si>
    <t>精技</t>
    <phoneticPr fontId="1" type="noConversion"/>
  </si>
  <si>
    <t>敦吉</t>
    <phoneticPr fontId="1" type="noConversion"/>
  </si>
  <si>
    <t>增你強</t>
    <phoneticPr fontId="1" type="noConversion"/>
  </si>
  <si>
    <t>益登</t>
    <phoneticPr fontId="1" type="noConversion"/>
  </si>
  <si>
    <t>蔚華科</t>
    <phoneticPr fontId="1" type="noConversion"/>
  </si>
  <si>
    <t>全科</t>
    <phoneticPr fontId="1" type="noConversion"/>
  </si>
  <si>
    <t>弘憶股</t>
    <phoneticPr fontId="1" type="noConversion"/>
  </si>
  <si>
    <t>安馳</t>
    <phoneticPr fontId="1" type="noConversion"/>
  </si>
  <si>
    <t>豐藝</t>
    <phoneticPr fontId="1" type="noConversion"/>
  </si>
  <si>
    <t>全國電</t>
    <phoneticPr fontId="1" type="noConversion"/>
  </si>
  <si>
    <t>陞泰</t>
    <phoneticPr fontId="1" type="noConversion"/>
  </si>
  <si>
    <t>久陽</t>
    <phoneticPr fontId="1" type="noConversion"/>
  </si>
  <si>
    <t>沛波</t>
    <phoneticPr fontId="1" type="noConversion"/>
  </si>
  <si>
    <t>元大</t>
    <phoneticPr fontId="1" type="noConversion"/>
  </si>
  <si>
    <t>華南</t>
    <phoneticPr fontId="1" type="noConversion"/>
  </si>
  <si>
    <t>sukibayashi</t>
    <phoneticPr fontId="1" type="noConversion"/>
  </si>
  <si>
    <t>9100bo</t>
    <phoneticPr fontId="1" type="noConversion"/>
  </si>
  <si>
    <t>珠</t>
    <phoneticPr fontId="1" type="noConversion"/>
  </si>
  <si>
    <t>斌</t>
    <phoneticPr fontId="1" type="noConversion"/>
  </si>
  <si>
    <t>博</t>
    <phoneticPr fontId="1" type="noConversion"/>
  </si>
  <si>
    <t>ju54186</t>
    <phoneticPr fontId="1" type="noConversion"/>
  </si>
  <si>
    <t>ju54186755</t>
    <phoneticPr fontId="1" type="noConversion"/>
  </si>
  <si>
    <t>運錩</t>
    <phoneticPr fontId="1" type="noConversion"/>
  </si>
  <si>
    <t>東明KY</t>
    <phoneticPr fontId="1" type="noConversion"/>
  </si>
  <si>
    <t>17</t>
    <phoneticPr fontId="1" type="noConversion"/>
  </si>
  <si>
    <t>嘉泥</t>
    <phoneticPr fontId="1" type="noConversion"/>
  </si>
  <si>
    <t>環泥</t>
    <phoneticPr fontId="1" type="noConversion"/>
  </si>
  <si>
    <t>幸福</t>
    <phoneticPr fontId="1" type="noConversion"/>
  </si>
  <si>
    <t>信大</t>
    <phoneticPr fontId="1" type="noConversion"/>
  </si>
  <si>
    <t>東泥</t>
    <phoneticPr fontId="1" type="noConversion"/>
  </si>
  <si>
    <t>18</t>
    <phoneticPr fontId="1" type="noConversion"/>
  </si>
  <si>
    <t>正德</t>
    <phoneticPr fontId="1" type="noConversion"/>
  </si>
  <si>
    <t>捷迅</t>
    <phoneticPr fontId="1" type="noConversion"/>
  </si>
  <si>
    <t>台聯櫃</t>
    <phoneticPr fontId="1" type="noConversion"/>
  </si>
  <si>
    <t>中連貨</t>
    <phoneticPr fontId="1" type="noConversion"/>
  </si>
  <si>
    <t>中菲行</t>
    <phoneticPr fontId="1" type="noConversion"/>
  </si>
  <si>
    <t>新興</t>
    <phoneticPr fontId="1" type="noConversion"/>
  </si>
  <si>
    <t>陽明</t>
    <phoneticPr fontId="1" type="noConversion"/>
  </si>
  <si>
    <t>志信</t>
    <phoneticPr fontId="1" type="noConversion"/>
  </si>
  <si>
    <t>中航</t>
    <phoneticPr fontId="1" type="noConversion"/>
  </si>
  <si>
    <t>中櫃</t>
    <phoneticPr fontId="1" type="noConversion"/>
  </si>
  <si>
    <t>台航</t>
    <phoneticPr fontId="1" type="noConversion"/>
  </si>
  <si>
    <t>亞航</t>
    <phoneticPr fontId="1" type="noConversion"/>
  </si>
  <si>
    <t>慧洋KY</t>
    <phoneticPr fontId="1" type="noConversion"/>
  </si>
  <si>
    <t>宅配通</t>
    <phoneticPr fontId="1" type="noConversion"/>
  </si>
  <si>
    <t>遠雄港</t>
    <phoneticPr fontId="1" type="noConversion"/>
  </si>
  <si>
    <t>四維航</t>
    <phoneticPr fontId="1" type="noConversion"/>
  </si>
  <si>
    <t>營建</t>
    <phoneticPr fontId="1" type="noConversion"/>
  </si>
  <si>
    <t>19</t>
    <phoneticPr fontId="1" type="noConversion"/>
  </si>
  <si>
    <t>綠意</t>
    <phoneticPr fontId="1" type="noConversion"/>
  </si>
  <si>
    <t>鑫龍騰</t>
    <phoneticPr fontId="1" type="noConversion"/>
  </si>
  <si>
    <t>森寶</t>
    <phoneticPr fontId="1" type="noConversion"/>
  </si>
  <si>
    <t>聯上</t>
    <phoneticPr fontId="1" type="noConversion"/>
  </si>
  <si>
    <t>三圓</t>
    <phoneticPr fontId="1" type="noConversion"/>
  </si>
  <si>
    <t>富宇</t>
    <phoneticPr fontId="1" type="noConversion"/>
  </si>
  <si>
    <t>坤悅</t>
    <phoneticPr fontId="1" type="noConversion"/>
  </si>
  <si>
    <t>亞昕</t>
    <phoneticPr fontId="1" type="noConversion"/>
  </si>
  <si>
    <t>士開</t>
    <phoneticPr fontId="1" type="noConversion"/>
  </si>
  <si>
    <t>德昌</t>
    <phoneticPr fontId="1" type="noConversion"/>
  </si>
  <si>
    <t>三豐</t>
    <phoneticPr fontId="1" type="noConversion"/>
  </si>
  <si>
    <t>雙喜</t>
    <phoneticPr fontId="1" type="noConversion"/>
  </si>
  <si>
    <t>力泰</t>
    <phoneticPr fontId="1" type="noConversion"/>
  </si>
  <si>
    <t>豐謙</t>
    <phoneticPr fontId="1" type="noConversion"/>
  </si>
  <si>
    <t>志嘉</t>
    <phoneticPr fontId="1" type="noConversion"/>
  </si>
  <si>
    <t>新潤</t>
    <phoneticPr fontId="1" type="noConversion"/>
  </si>
  <si>
    <t>理銘</t>
    <phoneticPr fontId="1" type="noConversion"/>
  </si>
  <si>
    <t>富旺</t>
    <phoneticPr fontId="1" type="noConversion"/>
  </si>
  <si>
    <t>富裔</t>
    <phoneticPr fontId="1" type="noConversion"/>
  </si>
  <si>
    <t>惠普</t>
    <phoneticPr fontId="1" type="noConversion"/>
  </si>
  <si>
    <t>華友聯</t>
    <phoneticPr fontId="1" type="noConversion"/>
  </si>
  <si>
    <t>名軒</t>
    <phoneticPr fontId="1" type="noConversion"/>
  </si>
  <si>
    <t>寶徠</t>
    <phoneticPr fontId="1" type="noConversion"/>
  </si>
  <si>
    <t>潤隆</t>
    <phoneticPr fontId="1" type="noConversion"/>
  </si>
  <si>
    <t>國建</t>
    <phoneticPr fontId="1" type="noConversion"/>
  </si>
  <si>
    <t>國產</t>
    <phoneticPr fontId="1" type="noConversion"/>
  </si>
  <si>
    <t>國揚</t>
    <phoneticPr fontId="1" type="noConversion"/>
  </si>
  <si>
    <t>太設</t>
    <phoneticPr fontId="1" type="noConversion"/>
  </si>
  <si>
    <t>全坤建</t>
    <phoneticPr fontId="1" type="noConversion"/>
  </si>
  <si>
    <t>太子</t>
    <phoneticPr fontId="1" type="noConversion"/>
  </si>
  <si>
    <t>新建</t>
    <phoneticPr fontId="1" type="noConversion"/>
  </si>
  <si>
    <t>冠德</t>
    <phoneticPr fontId="1" type="noConversion"/>
  </si>
  <si>
    <t>京城</t>
    <phoneticPr fontId="1" type="noConversion"/>
  </si>
  <si>
    <t>宏璟</t>
    <phoneticPr fontId="1" type="noConversion"/>
  </si>
  <si>
    <t>皇普</t>
    <phoneticPr fontId="1" type="noConversion"/>
  </si>
  <si>
    <t>華建</t>
    <phoneticPr fontId="1" type="noConversion"/>
  </si>
  <si>
    <t>宏盛</t>
    <phoneticPr fontId="1" type="noConversion"/>
  </si>
  <si>
    <t>達欣工</t>
    <phoneticPr fontId="1" type="noConversion"/>
  </si>
  <si>
    <t>宏普</t>
    <phoneticPr fontId="1" type="noConversion"/>
  </si>
  <si>
    <t>聨上發</t>
    <phoneticPr fontId="1" type="noConversion"/>
  </si>
  <si>
    <t>基泰</t>
    <phoneticPr fontId="1" type="noConversion"/>
  </si>
  <si>
    <t>櫻花建</t>
    <phoneticPr fontId="1" type="noConversion"/>
  </si>
  <si>
    <t>愛山林</t>
    <phoneticPr fontId="1" type="noConversion"/>
  </si>
  <si>
    <t>皇昌</t>
    <phoneticPr fontId="1" type="noConversion"/>
  </si>
  <si>
    <t>皇翔</t>
    <phoneticPr fontId="1" type="noConversion"/>
  </si>
  <si>
    <t>根基</t>
    <phoneticPr fontId="1" type="noConversion"/>
  </si>
  <si>
    <t>日勝生</t>
    <phoneticPr fontId="1" type="noConversion"/>
  </si>
  <si>
    <t>華固</t>
    <phoneticPr fontId="1" type="noConversion"/>
  </si>
  <si>
    <t>潤弘</t>
    <phoneticPr fontId="1" type="noConversion"/>
  </si>
  <si>
    <t>台開</t>
    <phoneticPr fontId="1" type="noConversion"/>
  </si>
  <si>
    <t>夆典</t>
    <phoneticPr fontId="1" type="noConversion"/>
  </si>
  <si>
    <t>總太</t>
    <phoneticPr fontId="1" type="noConversion"/>
  </si>
  <si>
    <t>昇陽</t>
    <phoneticPr fontId="1" type="noConversion"/>
  </si>
  <si>
    <t>建國</t>
    <phoneticPr fontId="1" type="noConversion"/>
  </si>
  <si>
    <t>隆大</t>
    <phoneticPr fontId="1" type="noConversion"/>
  </si>
  <si>
    <t>工信</t>
    <phoneticPr fontId="1" type="noConversion"/>
  </si>
  <si>
    <t>順天</t>
    <phoneticPr fontId="1" type="noConversion"/>
  </si>
  <si>
    <t>鄉林</t>
    <phoneticPr fontId="1" type="noConversion"/>
  </si>
  <si>
    <t>皇鼎</t>
    <phoneticPr fontId="1" type="noConversion"/>
  </si>
  <si>
    <t>長虹</t>
    <phoneticPr fontId="1" type="noConversion"/>
  </si>
  <si>
    <t>達麗</t>
    <phoneticPr fontId="1" type="noConversion"/>
  </si>
  <si>
    <t>欣巴巴</t>
    <phoneticPr fontId="1" type="noConversion"/>
  </si>
  <si>
    <t>鼎固KY</t>
    <phoneticPr fontId="1" type="noConversion"/>
  </si>
  <si>
    <t>20</t>
    <phoneticPr fontId="1" type="noConversion"/>
  </si>
  <si>
    <t>21</t>
    <phoneticPr fontId="1" type="noConversion"/>
  </si>
  <si>
    <t>風青</t>
    <phoneticPr fontId="1" type="noConversion"/>
  </si>
  <si>
    <t>唐鋒</t>
    <phoneticPr fontId="1" type="noConversion"/>
  </si>
  <si>
    <t>華電</t>
    <phoneticPr fontId="1" type="noConversion"/>
  </si>
  <si>
    <t>聲寶</t>
    <phoneticPr fontId="1" type="noConversion"/>
  </si>
  <si>
    <t>華榮</t>
    <phoneticPr fontId="1" type="noConversion"/>
  </si>
  <si>
    <t>大亞</t>
    <phoneticPr fontId="1" type="noConversion"/>
  </si>
  <si>
    <t>宏泰</t>
    <phoneticPr fontId="1" type="noConversion"/>
  </si>
  <si>
    <t>三洋電</t>
    <phoneticPr fontId="1" type="noConversion"/>
  </si>
  <si>
    <t>大山</t>
    <phoneticPr fontId="1" type="noConversion"/>
  </si>
  <si>
    <t>億泰</t>
    <phoneticPr fontId="1" type="noConversion"/>
  </si>
  <si>
    <t>榮星</t>
    <phoneticPr fontId="1" type="noConversion"/>
  </si>
  <si>
    <t>合機</t>
    <phoneticPr fontId="1" type="noConversion"/>
  </si>
  <si>
    <t>燦星網</t>
    <phoneticPr fontId="1" type="noConversion"/>
  </si>
  <si>
    <t>英利KY</t>
    <phoneticPr fontId="1" type="noConversion"/>
  </si>
  <si>
    <t>宏旭KY</t>
    <phoneticPr fontId="1" type="noConversion"/>
  </si>
  <si>
    <t>23</t>
    <phoneticPr fontId="1" type="noConversion"/>
  </si>
  <si>
    <t>安心</t>
    <phoneticPr fontId="1" type="noConversion"/>
  </si>
  <si>
    <t>漢來美食</t>
    <phoneticPr fontId="1" type="noConversion"/>
  </si>
  <si>
    <t>晶悅</t>
    <phoneticPr fontId="1" type="noConversion"/>
  </si>
  <si>
    <t>燦星旅</t>
    <phoneticPr fontId="1" type="noConversion"/>
  </si>
  <si>
    <t>富驛KY</t>
    <phoneticPr fontId="1" type="noConversion"/>
  </si>
  <si>
    <t>雅茗KY</t>
    <phoneticPr fontId="1" type="noConversion"/>
  </si>
  <si>
    <t>易飛網</t>
    <phoneticPr fontId="1" type="noConversion"/>
  </si>
  <si>
    <t>高野</t>
    <phoneticPr fontId="1" type="noConversion"/>
  </si>
  <si>
    <t>天蔥</t>
    <phoneticPr fontId="1" type="noConversion"/>
  </si>
  <si>
    <t>五福</t>
    <phoneticPr fontId="1" type="noConversion"/>
  </si>
  <si>
    <t>萬企</t>
    <phoneticPr fontId="1" type="noConversion"/>
  </si>
  <si>
    <t>華園</t>
    <phoneticPr fontId="1" type="noConversion"/>
  </si>
  <si>
    <t>六福</t>
    <phoneticPr fontId="1" type="noConversion"/>
  </si>
  <si>
    <t>第一店</t>
    <phoneticPr fontId="1" type="noConversion"/>
  </si>
  <si>
    <t>晶華</t>
    <phoneticPr fontId="1" type="noConversion"/>
  </si>
  <si>
    <t>遠雄來</t>
    <phoneticPr fontId="1" type="noConversion"/>
  </si>
  <si>
    <t>夏都</t>
    <phoneticPr fontId="1" type="noConversion"/>
  </si>
  <si>
    <t>雄獅</t>
    <phoneticPr fontId="1" type="noConversion"/>
  </si>
  <si>
    <t>寒舍</t>
    <phoneticPr fontId="1" type="noConversion"/>
  </si>
  <si>
    <t>雲品</t>
    <phoneticPr fontId="1" type="noConversion"/>
  </si>
  <si>
    <t>24</t>
    <phoneticPr fontId="1" type="noConversion"/>
  </si>
  <si>
    <t>欣雄</t>
    <phoneticPr fontId="1" type="noConversion"/>
  </si>
  <si>
    <t>欣泰</t>
    <phoneticPr fontId="1" type="noConversion"/>
  </si>
  <si>
    <t>北基</t>
    <phoneticPr fontId="1" type="noConversion"/>
  </si>
  <si>
    <t>大汽電</t>
    <phoneticPr fontId="1" type="noConversion"/>
  </si>
  <si>
    <t>山隆</t>
    <phoneticPr fontId="1" type="noConversion"/>
  </si>
  <si>
    <t>台汽電</t>
    <phoneticPr fontId="1" type="noConversion"/>
  </si>
  <si>
    <t>大台北</t>
    <phoneticPr fontId="1" type="noConversion"/>
  </si>
  <si>
    <t>欣天然</t>
    <phoneticPr fontId="1" type="noConversion"/>
  </si>
  <si>
    <t>新海</t>
    <phoneticPr fontId="1" type="noConversion"/>
  </si>
  <si>
    <t>欣高</t>
    <phoneticPr fontId="1" type="noConversion"/>
  </si>
  <si>
    <t>全國</t>
    <phoneticPr fontId="1" type="noConversion"/>
  </si>
  <si>
    <t>26</t>
    <phoneticPr fontId="1" type="noConversion"/>
  </si>
  <si>
    <t>新零售</t>
    <phoneticPr fontId="1" type="noConversion"/>
  </si>
  <si>
    <t>3147</t>
    <phoneticPr fontId="1" type="noConversion"/>
  </si>
  <si>
    <t>大綜電腦</t>
    <phoneticPr fontId="1" type="noConversion"/>
  </si>
  <si>
    <t>大塚</t>
    <phoneticPr fontId="1" type="noConversion"/>
  </si>
  <si>
    <t>緯軟</t>
    <phoneticPr fontId="1" type="noConversion"/>
  </si>
  <si>
    <t>凱衛</t>
    <phoneticPr fontId="1" type="noConversion"/>
  </si>
  <si>
    <t>力新</t>
    <phoneticPr fontId="1" type="noConversion"/>
  </si>
  <si>
    <t>新鼎</t>
    <phoneticPr fontId="1" type="noConversion"/>
  </si>
  <si>
    <t>寶碩</t>
    <phoneticPr fontId="1" type="noConversion"/>
  </si>
  <si>
    <t>蒙恬</t>
    <phoneticPr fontId="1" type="noConversion"/>
  </si>
  <si>
    <t>凌網</t>
    <phoneticPr fontId="1" type="noConversion"/>
  </si>
  <si>
    <t>天剛</t>
    <phoneticPr fontId="1" type="noConversion"/>
  </si>
  <si>
    <t>中菲</t>
    <phoneticPr fontId="1" type="noConversion"/>
  </si>
  <si>
    <t>國眾</t>
    <phoneticPr fontId="1" type="noConversion"/>
  </si>
  <si>
    <t>訊達</t>
    <phoneticPr fontId="1" type="noConversion"/>
  </si>
  <si>
    <t>驊宏資</t>
    <phoneticPr fontId="1" type="noConversion"/>
  </si>
  <si>
    <t>晉泰</t>
    <phoneticPr fontId="1" type="noConversion"/>
  </si>
  <si>
    <t>系微</t>
    <phoneticPr fontId="1" type="noConversion"/>
  </si>
  <si>
    <t>松崗</t>
    <phoneticPr fontId="1" type="noConversion"/>
  </si>
  <si>
    <t>通訊KY</t>
    <phoneticPr fontId="1" type="noConversion"/>
  </si>
  <si>
    <t>台灣銘板</t>
    <phoneticPr fontId="1" type="noConversion"/>
  </si>
  <si>
    <t>大世科</t>
    <phoneticPr fontId="1" type="noConversion"/>
  </si>
  <si>
    <t>三商電</t>
    <phoneticPr fontId="1" type="noConversion"/>
  </si>
  <si>
    <t>凌群</t>
    <phoneticPr fontId="1" type="noConversion"/>
  </si>
  <si>
    <t>華經</t>
    <phoneticPr fontId="1" type="noConversion"/>
  </si>
  <si>
    <t>資通</t>
    <phoneticPr fontId="1" type="noConversion"/>
  </si>
  <si>
    <t>敦陽科</t>
    <phoneticPr fontId="1" type="noConversion"/>
  </si>
  <si>
    <t>零壹</t>
    <phoneticPr fontId="1" type="noConversion"/>
  </si>
  <si>
    <t>一零四</t>
    <phoneticPr fontId="1" type="noConversion"/>
  </si>
  <si>
    <t>傳奇</t>
    <phoneticPr fontId="1" type="noConversion"/>
  </si>
  <si>
    <t>聚碩</t>
    <phoneticPr fontId="1" type="noConversion"/>
  </si>
  <si>
    <t>關貿</t>
    <phoneticPr fontId="1" type="noConversion"/>
  </si>
  <si>
    <t>29</t>
    <phoneticPr fontId="1" type="noConversion"/>
  </si>
  <si>
    <t>文創</t>
    <phoneticPr fontId="1" type="noConversion"/>
  </si>
  <si>
    <t>昇華</t>
    <phoneticPr fontId="1" type="noConversion"/>
  </si>
  <si>
    <t>寬魚國際</t>
    <phoneticPr fontId="1" type="noConversion"/>
  </si>
  <si>
    <t>得利影</t>
    <phoneticPr fontId="1" type="noConversion"/>
  </si>
  <si>
    <t>弘煜科</t>
    <phoneticPr fontId="1" type="noConversion"/>
  </si>
  <si>
    <t>寬宏藝術</t>
    <phoneticPr fontId="1" type="noConversion"/>
  </si>
  <si>
    <t>三貝德</t>
    <phoneticPr fontId="1" type="noConversion"/>
  </si>
  <si>
    <t>時報</t>
    <phoneticPr fontId="1" type="noConversion"/>
  </si>
  <si>
    <t>琉園</t>
    <phoneticPr fontId="1" type="noConversion"/>
  </si>
  <si>
    <t>30</t>
    <phoneticPr fontId="1" type="noConversion"/>
  </si>
  <si>
    <t>尚凡</t>
    <phoneticPr fontId="1" type="noConversion"/>
  </si>
  <si>
    <t>夠麻吉</t>
    <phoneticPr fontId="1" type="noConversion"/>
  </si>
  <si>
    <t>創業家</t>
    <phoneticPr fontId="1" type="noConversion"/>
  </si>
  <si>
    <t>農科</t>
    <phoneticPr fontId="1" type="noConversion"/>
  </si>
  <si>
    <t>瑞基</t>
    <phoneticPr fontId="1" type="noConversion"/>
  </si>
  <si>
    <t>惠光</t>
    <phoneticPr fontId="1" type="noConversion"/>
  </si>
  <si>
    <t>加權</t>
    <phoneticPr fontId="1" type="noConversion"/>
  </si>
  <si>
    <t>上櫃</t>
    <phoneticPr fontId="1" type="noConversion"/>
  </si>
  <si>
    <t>電子通路</t>
    <phoneticPr fontId="1" type="noConversion"/>
  </si>
  <si>
    <t>PCB</t>
    <phoneticPr fontId="1" type="noConversion"/>
  </si>
  <si>
    <t>銅箔基板</t>
    <phoneticPr fontId="1" type="noConversion"/>
  </si>
  <si>
    <t>電池材料磷酸鐵鋰電池正極材料廠商</t>
    <phoneticPr fontId="1" type="noConversion"/>
  </si>
  <si>
    <t>泰碩</t>
    <phoneticPr fontId="1" type="noConversion"/>
  </si>
  <si>
    <t>工業電腦研華旗下</t>
    <phoneticPr fontId="1" type="noConversion"/>
  </si>
  <si>
    <t>PCB仁寶旗下</t>
    <phoneticPr fontId="1" type="noConversion"/>
  </si>
  <si>
    <t>軟板欣興,台表科轉投資</t>
    <phoneticPr fontId="1" type="noConversion"/>
  </si>
  <si>
    <t>手機晶片</t>
    <phoneticPr fontId="1" type="noConversion"/>
  </si>
  <si>
    <t>NB代工</t>
    <phoneticPr fontId="1" type="noConversion"/>
  </si>
  <si>
    <t>PCB玻纖布</t>
    <phoneticPr fontId="1" type="noConversion"/>
  </si>
  <si>
    <t>內部人</t>
    <phoneticPr fontId="1" type="noConversion"/>
  </si>
  <si>
    <t>ASUS Vi3</t>
    <phoneticPr fontId="1" type="noConversion"/>
  </si>
  <si>
    <t>Surface Pro</t>
    <phoneticPr fontId="1" type="noConversion"/>
  </si>
  <si>
    <t>ASUS Vi5</t>
    <phoneticPr fontId="1" type="noConversion"/>
  </si>
  <si>
    <t>封測華新旗下東芝轉投資</t>
    <phoneticPr fontId="1" type="noConversion"/>
  </si>
  <si>
    <t>南亞</t>
    <phoneticPr fontId="1" type="noConversion"/>
  </si>
  <si>
    <t>營益率</t>
    <phoneticPr fontId="1" type="noConversion"/>
  </si>
  <si>
    <t>昇陽半導體</t>
    <phoneticPr fontId="1" type="noConversion"/>
  </si>
  <si>
    <t>天鈺</t>
    <phoneticPr fontId="1" type="noConversion"/>
  </si>
  <si>
    <t>立衛</t>
    <phoneticPr fontId="1" type="noConversion"/>
  </si>
  <si>
    <t>均華</t>
    <phoneticPr fontId="1" type="noConversion"/>
  </si>
  <si>
    <t>興能高</t>
    <phoneticPr fontId="1" type="noConversion"/>
  </si>
  <si>
    <t>皇龍</t>
    <phoneticPr fontId="1" type="noConversion"/>
  </si>
  <si>
    <t>群翊</t>
    <phoneticPr fontId="1" type="noConversion"/>
  </si>
  <si>
    <t>尚茂</t>
    <phoneticPr fontId="1" type="noConversion"/>
  </si>
  <si>
    <t>聯合再生</t>
    <phoneticPr fontId="1" type="noConversion"/>
  </si>
  <si>
    <t>永崴投控</t>
    <phoneticPr fontId="1" type="noConversion"/>
  </si>
  <si>
    <t>美隆電</t>
    <phoneticPr fontId="1" type="noConversion"/>
  </si>
  <si>
    <t>中茂</t>
    <phoneticPr fontId="1" type="noConversion"/>
  </si>
  <si>
    <t>天正國際</t>
    <phoneticPr fontId="1" type="noConversion"/>
  </si>
  <si>
    <t>信紘科</t>
    <phoneticPr fontId="1" type="noConversion"/>
  </si>
  <si>
    <t>大拓KY</t>
    <phoneticPr fontId="1" type="noConversion"/>
  </si>
  <si>
    <t>全球傳動</t>
    <phoneticPr fontId="1" type="noConversion"/>
  </si>
  <si>
    <t>商億KY</t>
    <phoneticPr fontId="1" type="noConversion"/>
  </si>
  <si>
    <t>三發地產</t>
    <phoneticPr fontId="1" type="noConversion"/>
  </si>
  <si>
    <t>永信建</t>
    <phoneticPr fontId="1" type="noConversion"/>
  </si>
  <si>
    <t>科際精密</t>
    <phoneticPr fontId="1" type="noConversion"/>
  </si>
  <si>
    <t>DELL</t>
    <phoneticPr fontId="1" type="noConversion"/>
  </si>
  <si>
    <t>中揚光</t>
    <phoneticPr fontId="1" type="noConversion"/>
  </si>
  <si>
    <t>時碩工業</t>
    <phoneticPr fontId="1" type="noConversion"/>
  </si>
  <si>
    <t>精湛</t>
    <phoneticPr fontId="1" type="noConversion"/>
  </si>
  <si>
    <t>公準</t>
    <phoneticPr fontId="1" type="noConversion"/>
  </si>
  <si>
    <t>富50</t>
    <phoneticPr fontId="1" type="noConversion"/>
  </si>
  <si>
    <t>星寶國際</t>
    <phoneticPr fontId="1" type="noConversion"/>
  </si>
  <si>
    <t>高端疫苗</t>
    <phoneticPr fontId="1" type="noConversion"/>
  </si>
  <si>
    <t>基士德KY</t>
    <phoneticPr fontId="1" type="noConversion"/>
  </si>
  <si>
    <t>科定</t>
    <phoneticPr fontId="1" type="noConversion"/>
  </si>
  <si>
    <t>復盛應用</t>
    <phoneticPr fontId="1" type="noConversion"/>
  </si>
  <si>
    <t>三能KY</t>
    <phoneticPr fontId="1" type="noConversion"/>
  </si>
  <si>
    <t>百和興業KY</t>
    <phoneticPr fontId="1" type="noConversion"/>
  </si>
  <si>
    <t>美吉吉KY</t>
    <phoneticPr fontId="1" type="noConversion"/>
  </si>
  <si>
    <t>東哥遊艇</t>
    <phoneticPr fontId="1" type="noConversion"/>
  </si>
  <si>
    <t>鈺齊KY</t>
    <phoneticPr fontId="1" type="noConversion"/>
  </si>
  <si>
    <t>中聯資源</t>
    <phoneticPr fontId="1" type="noConversion"/>
  </si>
  <si>
    <t>捷必勝KY</t>
    <phoneticPr fontId="1" type="noConversion"/>
  </si>
  <si>
    <t>1.8GHZ</t>
    <phoneticPr fontId="1" type="noConversion"/>
  </si>
  <si>
    <t>家用</t>
    <phoneticPr fontId="1" type="noConversion"/>
  </si>
  <si>
    <t>1.7GHZ</t>
    <phoneticPr fontId="1" type="noConversion"/>
  </si>
  <si>
    <t>I5-3317U</t>
    <phoneticPr fontId="1" type="noConversion"/>
  </si>
  <si>
    <t>2.2GHZ</t>
    <phoneticPr fontId="1" type="noConversion"/>
  </si>
  <si>
    <t>專業</t>
    <phoneticPr fontId="1" type="noConversion"/>
  </si>
  <si>
    <t>大統新創</t>
    <phoneticPr fontId="1" type="noConversion"/>
  </si>
  <si>
    <t>飛寶企業</t>
    <phoneticPr fontId="1" type="noConversion"/>
  </si>
  <si>
    <t>ASUS NB17</t>
    <phoneticPr fontId="1" type="noConversion"/>
  </si>
  <si>
    <t>ASUS NB15</t>
    <phoneticPr fontId="1" type="noConversion"/>
  </si>
  <si>
    <t>PT N3540</t>
    <phoneticPr fontId="1" type="noConversion"/>
  </si>
  <si>
    <t>2.16GHZ</t>
    <phoneticPr fontId="1" type="noConversion"/>
  </si>
  <si>
    <t>家用</t>
    <phoneticPr fontId="1" type="noConversion"/>
  </si>
  <si>
    <t>I5-8400</t>
    <phoneticPr fontId="1" type="noConversion"/>
  </si>
  <si>
    <t>2.8GHZ</t>
    <phoneticPr fontId="1" type="noConversion"/>
  </si>
  <si>
    <t>金穎生技</t>
    <phoneticPr fontId="1" type="noConversion"/>
  </si>
  <si>
    <t>客思達KY</t>
    <phoneticPr fontId="1" type="noConversion"/>
  </si>
  <si>
    <t>嘉里大榮</t>
    <phoneticPr fontId="1" type="noConversion"/>
  </si>
  <si>
    <t>台灣高鐵</t>
    <phoneticPr fontId="1" type="noConversion"/>
  </si>
  <si>
    <t>艾美特KY</t>
    <phoneticPr fontId="1" type="noConversion"/>
  </si>
  <si>
    <t>三陽工業</t>
    <phoneticPr fontId="1" type="noConversion"/>
  </si>
  <si>
    <t>茂生農經</t>
    <phoneticPr fontId="1" type="noConversion"/>
  </si>
  <si>
    <t>達邦蛋白</t>
    <phoneticPr fontId="1" type="noConversion"/>
  </si>
  <si>
    <t>1</t>
    <phoneticPr fontId="1" type="noConversion"/>
  </si>
  <si>
    <t>4</t>
    <phoneticPr fontId="1" type="noConversion"/>
  </si>
  <si>
    <t>32</t>
    <phoneticPr fontId="1" type="noConversion"/>
  </si>
  <si>
    <t>上海商銀</t>
    <phoneticPr fontId="1" type="noConversion"/>
  </si>
  <si>
    <t>民營銀行</t>
    <phoneticPr fontId="1" type="noConversion"/>
  </si>
  <si>
    <t>judy珠珠</t>
    <phoneticPr fontId="1" type="noConversion"/>
  </si>
  <si>
    <t>1552571904</t>
    <phoneticPr fontId="1" type="noConversion"/>
  </si>
  <si>
    <t>judy54186755</t>
    <phoneticPr fontId="1" type="noConversion"/>
  </si>
  <si>
    <t>Angel Yun</t>
    <phoneticPr fontId="1" type="noConversion"/>
  </si>
  <si>
    <t>741695249</t>
    <phoneticPr fontId="1" type="noConversion"/>
  </si>
  <si>
    <t>yun54193806</t>
    <phoneticPr fontId="1" type="noConversion"/>
  </si>
  <si>
    <t>yuezhujudy@hotmail.com</t>
    <phoneticPr fontId="1" type="noConversion"/>
  </si>
  <si>
    <t>F130735049</t>
    <phoneticPr fontId="1" type="noConversion"/>
  </si>
  <si>
    <t>F221806528</t>
    <phoneticPr fontId="1" type="noConversion"/>
  </si>
  <si>
    <t>巴菲珠</t>
    <phoneticPr fontId="1" type="noConversion"/>
  </si>
  <si>
    <t>2940791032</t>
    <phoneticPr fontId="1" type="noConversion"/>
  </si>
  <si>
    <t>雪之戀</t>
    <phoneticPr fontId="1" type="noConversion"/>
  </si>
  <si>
    <t>971553601</t>
    <phoneticPr fontId="1" type="noConversion"/>
  </si>
  <si>
    <t>同花順繁體</t>
    <phoneticPr fontId="1" type="noConversion"/>
  </si>
  <si>
    <t>secretshop</t>
    <phoneticPr fontId="1" type="noConversion"/>
  </si>
  <si>
    <t>ju54186755</t>
    <phoneticPr fontId="1" type="noConversion"/>
  </si>
  <si>
    <t>13901788889</t>
    <phoneticPr fontId="1" type="noConversion"/>
  </si>
  <si>
    <t>碩博士論文</t>
    <phoneticPr fontId="1" type="noConversion"/>
  </si>
  <si>
    <t>judyyuezhu@hotmail.com</t>
    <phoneticPr fontId="1" type="noConversion"/>
  </si>
  <si>
    <t>電腦</t>
    <phoneticPr fontId="1" type="noConversion"/>
  </si>
  <si>
    <t>中型</t>
    <phoneticPr fontId="1" type="noConversion"/>
  </si>
  <si>
    <t>8G四核</t>
    <phoneticPr fontId="1" type="noConversion"/>
  </si>
  <si>
    <t>8G六核</t>
    <phoneticPr fontId="1" type="noConversion"/>
  </si>
  <si>
    <t>4G雙核</t>
    <phoneticPr fontId="1" type="noConversion"/>
  </si>
  <si>
    <t>法人</t>
    <phoneticPr fontId="1" type="noConversion"/>
  </si>
  <si>
    <t>I7-8700</t>
    <phoneticPr fontId="1" type="noConversion"/>
  </si>
  <si>
    <t>3.2GHZ</t>
    <phoneticPr fontId="1" type="noConversion"/>
  </si>
  <si>
    <t>I3-3217U</t>
    <phoneticPr fontId="1" type="noConversion"/>
  </si>
  <si>
    <t>8G雙核</t>
    <phoneticPr fontId="1" type="noConversion"/>
  </si>
  <si>
    <t>名稱</t>
    <phoneticPr fontId="1" type="noConversion"/>
  </si>
  <si>
    <t>賣出日期</t>
    <phoneticPr fontId="1" type="noConversion"/>
  </si>
  <si>
    <t>天數</t>
    <phoneticPr fontId="1" type="noConversion"/>
  </si>
  <si>
    <t>600EX-RT</t>
    <phoneticPr fontId="1" type="noConversion"/>
  </si>
  <si>
    <t>580EX II</t>
    <phoneticPr fontId="1" type="noConversion"/>
  </si>
  <si>
    <t>機器有BUG,TTL跳不回去ETTL,相機內設定或長按C.Fn菜單選擇</t>
    <phoneticPr fontId="1" type="noConversion"/>
  </si>
  <si>
    <t>430EX II</t>
    <phoneticPr fontId="1" type="noConversion"/>
  </si>
  <si>
    <t>只能在P檔進行ETTL</t>
    <phoneticPr fontId="1" type="noConversion"/>
  </si>
  <si>
    <t>EW-83H</t>
    <phoneticPr fontId="1" type="noConversion"/>
  </si>
  <si>
    <t>320EX</t>
    <phoneticPr fontId="1" type="noConversion"/>
  </si>
  <si>
    <t>ET-87</t>
    <phoneticPr fontId="1" type="noConversion"/>
  </si>
  <si>
    <t>90EX</t>
    <phoneticPr fontId="1" type="noConversion"/>
  </si>
  <si>
    <t>EW-78C</t>
    <phoneticPr fontId="1" type="noConversion"/>
  </si>
  <si>
    <t>ET-65III</t>
    <phoneticPr fontId="1" type="noConversion"/>
  </si>
  <si>
    <t>內閃在對焦時會一直頻閃是相機的輔助對焦功能，</t>
  </si>
  <si>
    <t>ET-73</t>
    <phoneticPr fontId="1" type="noConversion"/>
  </si>
  <si>
    <t>在昏暗場景發出頻閃光讓相機可以順利地自動對焦。</t>
  </si>
  <si>
    <t>ET-78II</t>
    <phoneticPr fontId="1" type="noConversion"/>
  </si>
  <si>
    <t>若不想要相機發出頻閃光，在相機 MENU 的「自訂功能設定]中可以將它關閉。</t>
  </si>
  <si>
    <t>C.Fn III -4 自動對焦輔助光閃光</t>
  </si>
  <si>
    <t>驅螞蟻</t>
    <phoneticPr fontId="1" type="noConversion"/>
  </si>
  <si>
    <t>驅蚊</t>
    <phoneticPr fontId="1" type="noConversion"/>
  </si>
  <si>
    <t>羅勒</t>
    <phoneticPr fontId="1" type="noConversion"/>
  </si>
  <si>
    <t>薄荷</t>
    <phoneticPr fontId="1" type="noConversion"/>
  </si>
  <si>
    <t>百里香</t>
    <phoneticPr fontId="1" type="noConversion"/>
  </si>
  <si>
    <t>驅蟲（綜合）</t>
    <phoneticPr fontId="1" type="noConversion"/>
  </si>
  <si>
    <t>防蚊木;崗松</t>
    <phoneticPr fontId="1" type="noConversion"/>
  </si>
  <si>
    <t>驅蟑螂</t>
    <phoneticPr fontId="1" type="noConversion"/>
  </si>
  <si>
    <t>檸檬桉;檸檬尤加利</t>
    <phoneticPr fontId="1" type="noConversion"/>
  </si>
  <si>
    <t>藍桉</t>
    <phoneticPr fontId="1" type="noConversion"/>
  </si>
  <si>
    <t>驅蟲</t>
    <phoneticPr fontId="1" type="noConversion"/>
  </si>
  <si>
    <t>驅蟲蠅</t>
    <phoneticPr fontId="1" type="noConversion"/>
  </si>
  <si>
    <t>檸檬天竺葵</t>
    <phoneticPr fontId="1" type="noConversion"/>
  </si>
  <si>
    <t>驅蠅</t>
    <phoneticPr fontId="1" type="noConversion"/>
  </si>
  <si>
    <t>刺芫荽</t>
    <phoneticPr fontId="1" type="noConversion"/>
  </si>
  <si>
    <t>驅蛇</t>
    <phoneticPr fontId="1" type="noConversion"/>
  </si>
  <si>
    <t>芸香</t>
    <phoneticPr fontId="1" type="noConversion"/>
  </si>
  <si>
    <t>魚腥草;蕺（ji）菜</t>
    <phoneticPr fontId="1" type="noConversion"/>
  </si>
  <si>
    <t>荊芥;貓穗草</t>
    <phoneticPr fontId="1" type="noConversion"/>
  </si>
  <si>
    <t>驅甲蟲跳蚤</t>
    <phoneticPr fontId="1" type="noConversion"/>
  </si>
  <si>
    <t>驅蛇鼠</t>
    <phoneticPr fontId="1" type="noConversion"/>
  </si>
  <si>
    <t>驅鼠</t>
    <phoneticPr fontId="1" type="noConversion"/>
  </si>
  <si>
    <t>缺點貓愛</t>
    <phoneticPr fontId="1" type="noConversion"/>
  </si>
  <si>
    <t>備註</t>
    <phoneticPr fontId="1" type="noConversion"/>
  </si>
  <si>
    <t>科西嘉薄荷</t>
    <phoneticPr fontId="1" type="noConversion"/>
  </si>
  <si>
    <t>驅跳蚤</t>
    <phoneticPr fontId="1" type="noConversion"/>
  </si>
  <si>
    <t>紫蘇</t>
    <phoneticPr fontId="1" type="noConversion"/>
  </si>
  <si>
    <t>艾草</t>
    <phoneticPr fontId="1" type="noConversion"/>
  </si>
  <si>
    <t>檸檬香茅;香水茅</t>
    <phoneticPr fontId="1" type="noConversion"/>
  </si>
  <si>
    <t>驅螞蟻白</t>
    <phoneticPr fontId="1" type="noConversion"/>
  </si>
  <si>
    <t>印加萬壽菊</t>
    <phoneticPr fontId="1" type="noConversion"/>
  </si>
  <si>
    <t>雜草殺手</t>
    <phoneticPr fontId="1" type="noConversion"/>
  </si>
  <si>
    <t>馬郁蘭</t>
    <phoneticPr fontId="1" type="noConversion"/>
  </si>
  <si>
    <t>金銀花</t>
    <phoneticPr fontId="1" type="noConversion"/>
  </si>
  <si>
    <t>制菌消毒</t>
    <phoneticPr fontId="1" type="noConversion"/>
  </si>
  <si>
    <t>迷迭香</t>
    <phoneticPr fontId="1" type="noConversion"/>
  </si>
  <si>
    <t>鼠尾草</t>
    <phoneticPr fontId="1" type="noConversion"/>
  </si>
  <si>
    <t>馬努卡</t>
    <phoneticPr fontId="1" type="noConversion"/>
  </si>
  <si>
    <t>薰衣草</t>
    <phoneticPr fontId="1" type="noConversion"/>
  </si>
  <si>
    <t>艾草;神仙草</t>
    <phoneticPr fontId="1" type="noConversion"/>
  </si>
  <si>
    <t>香草茶</t>
    <phoneticPr fontId="1" type="noConversion"/>
  </si>
  <si>
    <t>紫蘇;Perilla</t>
    <phoneticPr fontId="1" type="noConversion"/>
  </si>
  <si>
    <t>甜菊;Stevia</t>
    <phoneticPr fontId="1" type="noConversion"/>
  </si>
  <si>
    <t>迷迭香;Rosemary</t>
    <phoneticPr fontId="1" type="noConversion"/>
  </si>
  <si>
    <t>芳香萬壽菊;Lemon Mint Marigold</t>
    <phoneticPr fontId="1" type="noConversion"/>
  </si>
  <si>
    <t>德國甘菊;Annual Chamomile</t>
    <phoneticPr fontId="1" type="noConversion"/>
  </si>
  <si>
    <t>檸檬香茅;Lemon Grass</t>
    <phoneticPr fontId="1" type="noConversion"/>
  </si>
  <si>
    <t>馬郁蘭;Marjoram</t>
    <phoneticPr fontId="1" type="noConversion"/>
  </si>
  <si>
    <t>荊芥;貓穗草;Catnip</t>
    <phoneticPr fontId="1" type="noConversion"/>
  </si>
  <si>
    <t>玫瑰天竺葵;Rose Geranium</t>
    <phoneticPr fontId="1" type="noConversion"/>
  </si>
  <si>
    <t>香蜂草;Lemon Balm</t>
    <phoneticPr fontId="1" type="noConversion"/>
  </si>
  <si>
    <t>天使薔薇</t>
    <phoneticPr fontId="1" type="noConversion"/>
  </si>
  <si>
    <t>檸檬百里香;Lemon Thyme</t>
    <phoneticPr fontId="1" type="noConversion"/>
  </si>
  <si>
    <t>薄荷;Mint;歐洲人喜歡胡椒薄荷</t>
    <phoneticPr fontId="1" type="noConversion"/>
  </si>
  <si>
    <t>鳳梨鼠尾草;Pineapple Sage</t>
    <phoneticPr fontId="1" type="noConversion"/>
  </si>
  <si>
    <t>艾草;Mug wort</t>
    <phoneticPr fontId="1" type="noConversion"/>
  </si>
  <si>
    <t>雷公根;積雪草;蚶殼草;Gota kola</t>
    <phoneticPr fontId="1" type="noConversion"/>
  </si>
  <si>
    <t>小地榆;Burnet</t>
    <phoneticPr fontId="1" type="noConversion"/>
  </si>
  <si>
    <t>茴藿香;Anise Hyssop</t>
    <phoneticPr fontId="1" type="noConversion"/>
  </si>
  <si>
    <t>蜂香薄荷;Bergamot;佛手柑味,伯爵</t>
    <phoneticPr fontId="1" type="noConversion"/>
  </si>
  <si>
    <t>白鶴靈芝</t>
    <phoneticPr fontId="1" type="noConversion"/>
  </si>
  <si>
    <t>魚腥草</t>
    <phoneticPr fontId="1" type="noConversion"/>
  </si>
  <si>
    <t>七葉膽;五葉參;南方人參;絞股藍</t>
    <phoneticPr fontId="1" type="noConversion"/>
  </si>
  <si>
    <t>刺五加;西伯利亞人參</t>
    <phoneticPr fontId="1" type="noConversion"/>
  </si>
  <si>
    <t>仙草</t>
    <phoneticPr fontId="1" type="noConversion"/>
  </si>
  <si>
    <t>金銀花;忍冬;Soneysuckle</t>
    <phoneticPr fontId="1" type="noConversion"/>
  </si>
  <si>
    <t>薰衣草;Lavender;台灣1號狹葉特選</t>
    <phoneticPr fontId="1" type="noConversion"/>
  </si>
  <si>
    <t>已種植</t>
    <phoneticPr fontId="1" type="noConversion"/>
  </si>
  <si>
    <t>香花類</t>
    <phoneticPr fontId="1" type="noConversion"/>
  </si>
  <si>
    <t>桂花</t>
    <phoneticPr fontId="1" type="noConversion"/>
  </si>
  <si>
    <t>名稱</t>
    <phoneticPr fontId="1" type="noConversion"/>
  </si>
  <si>
    <t>數量</t>
    <phoneticPr fontId="1" type="noConversion"/>
  </si>
  <si>
    <t>玉蘭花</t>
    <phoneticPr fontId="1" type="noConversion"/>
  </si>
  <si>
    <t>香草類</t>
    <phoneticPr fontId="1" type="noConversion"/>
  </si>
  <si>
    <t>香茅</t>
    <phoneticPr fontId="1" type="noConversion"/>
  </si>
  <si>
    <t>檸檬桉</t>
    <phoneticPr fontId="1" type="noConversion"/>
  </si>
  <si>
    <t>綠咖喱樹;可因氏月橘;Curry leaf</t>
    <phoneticPr fontId="1" type="noConversion"/>
  </si>
  <si>
    <t>左手香（3種）</t>
    <phoneticPr fontId="1" type="noConversion"/>
  </si>
  <si>
    <t>檀香柏</t>
    <phoneticPr fontId="1" type="noConversion"/>
  </si>
  <si>
    <t>黃金扁柏</t>
    <phoneticPr fontId="1" type="noConversion"/>
  </si>
  <si>
    <t>龍柏</t>
    <phoneticPr fontId="1" type="noConversion"/>
  </si>
  <si>
    <t>水蜜桃（熱帶）</t>
    <phoneticPr fontId="1" type="noConversion"/>
  </si>
  <si>
    <t>棗子</t>
    <phoneticPr fontId="1" type="noConversion"/>
  </si>
  <si>
    <t>觀賞</t>
    <phoneticPr fontId="1" type="noConversion"/>
  </si>
  <si>
    <t>迷你椰子</t>
    <phoneticPr fontId="1" type="noConversion"/>
  </si>
  <si>
    <t>柏類樹材</t>
    <phoneticPr fontId="1" type="noConversion"/>
  </si>
  <si>
    <t>小葉紫檀</t>
    <phoneticPr fontId="1" type="noConversion"/>
  </si>
  <si>
    <t>七里香;月橘</t>
    <phoneticPr fontId="1" type="noConversion"/>
  </si>
  <si>
    <t>泰國南薑</t>
    <phoneticPr fontId="1" type="noConversion"/>
  </si>
  <si>
    <t>八仙山甜肉桂</t>
    <phoneticPr fontId="1" type="noConversion"/>
  </si>
  <si>
    <t>2018/2/10</t>
    <phoneticPr fontId="1" type="noConversion"/>
  </si>
  <si>
    <t>40公分</t>
    <phoneticPr fontId="1" type="noConversion"/>
  </si>
  <si>
    <t>鎂鈣肥20公斤115元</t>
    <phoneticPr fontId="1" type="noConversion"/>
  </si>
  <si>
    <t>酸性土壤改良聖品</t>
    <phoneticPr fontId="1" type="noConversion"/>
  </si>
  <si>
    <t>海南黃花梨</t>
    <phoneticPr fontId="1" type="noConversion"/>
  </si>
  <si>
    <t>金萱茶</t>
    <phoneticPr fontId="1" type="noConversion"/>
  </si>
  <si>
    <t>塔苔</t>
    <phoneticPr fontId="1" type="noConversion"/>
  </si>
  <si>
    <t>苔蘚植物名</t>
    <phoneticPr fontId="1" type="noConversion"/>
  </si>
  <si>
    <t>白髮苔</t>
    <phoneticPr fontId="1" type="noConversion"/>
  </si>
  <si>
    <t>三裂鞭蘚</t>
    <phoneticPr fontId="1" type="noConversion"/>
  </si>
  <si>
    <t>蔓苔</t>
    <phoneticPr fontId="1" type="noConversion"/>
  </si>
  <si>
    <t>叢苔科</t>
    <phoneticPr fontId="1" type="noConversion"/>
  </si>
  <si>
    <t>耳葉蘚</t>
    <phoneticPr fontId="1" type="noConversion"/>
  </si>
  <si>
    <t>苔類比較圓條直立形的，蘚類比較平鋪貼著它的生長基質</t>
    <phoneticPr fontId="1" type="noConversion"/>
  </si>
  <si>
    <t>全世界2萬3千多種，台灣1千3百多種（有7%是特有種）</t>
    <phoneticPr fontId="1" type="noConversion"/>
  </si>
  <si>
    <t>焰苔</t>
    <phoneticPr fontId="1" type="noConversion"/>
  </si>
  <si>
    <t>台灣地錢</t>
    <phoneticPr fontId="1" type="noConversion"/>
  </si>
  <si>
    <t>鞭蘚</t>
    <phoneticPr fontId="1" type="noConversion"/>
  </si>
  <si>
    <t>細鱗蘚科</t>
    <phoneticPr fontId="1" type="noConversion"/>
  </si>
  <si>
    <t>葉生薄鱗蘚</t>
    <phoneticPr fontId="1" type="noConversion"/>
  </si>
  <si>
    <t>金髮苔</t>
    <phoneticPr fontId="1" type="noConversion"/>
  </si>
  <si>
    <t>曲尾苔</t>
    <phoneticPr fontId="1" type="noConversion"/>
  </si>
  <si>
    <t>泥炭苔</t>
    <phoneticPr fontId="1" type="noConversion"/>
  </si>
  <si>
    <t>檜苔</t>
    <phoneticPr fontId="1" type="noConversion"/>
  </si>
  <si>
    <t>懸苔</t>
    <phoneticPr fontId="1" type="noConversion"/>
  </si>
  <si>
    <t>蛇蘚</t>
    <phoneticPr fontId="1" type="noConversion"/>
  </si>
  <si>
    <t>濕地苔</t>
    <phoneticPr fontId="1" type="noConversion"/>
  </si>
  <si>
    <t>真苔</t>
    <phoneticPr fontId="1" type="noConversion"/>
  </si>
  <si>
    <t>立碗苔</t>
    <phoneticPr fontId="1" type="noConversion"/>
  </si>
  <si>
    <t>平苔</t>
    <phoneticPr fontId="1" type="noConversion"/>
  </si>
  <si>
    <t>植物界中的小圓柏</t>
    <phoneticPr fontId="1" type="noConversion"/>
  </si>
  <si>
    <t>陋室銘：苔痕上階綠，草色入簾青</t>
    <phoneticPr fontId="1" type="noConversion"/>
  </si>
  <si>
    <t>3大族群，苔類、蘚類和角苔蘚，最原始的陸生植物（綠藻演化而來）</t>
    <phoneticPr fontId="1" type="noConversion"/>
  </si>
  <si>
    <t>檜葉白髮蘚;應用最多微景觀</t>
    <phoneticPr fontId="1" type="noConversion"/>
  </si>
  <si>
    <t>尖葉匍燈蘚;喜陰,園林綠化常用</t>
    <phoneticPr fontId="1" type="noConversion"/>
  </si>
  <si>
    <t>大灰蘚;喜陽,園林綠化常用</t>
    <phoneticPr fontId="1" type="noConversion"/>
  </si>
  <si>
    <t>大羽蘚;喜陰濕</t>
    <phoneticPr fontId="1" type="noConversion"/>
  </si>
  <si>
    <t>鳳尾蘚;喜陰濕;水分要求高,植物墻</t>
    <phoneticPr fontId="1" type="noConversion"/>
  </si>
  <si>
    <t>細葉小羽蘚;青苔,環境不利整體變黃</t>
    <phoneticPr fontId="1" type="noConversion"/>
  </si>
  <si>
    <t>粗枝青蘚;苔玉球,微景觀,水陸缸鋪面</t>
    <phoneticPr fontId="1" type="noConversion"/>
  </si>
  <si>
    <t>東亞砂蘚;喜高光見乾見濕,屋頂綠化</t>
    <phoneticPr fontId="1" type="noConversion"/>
  </si>
  <si>
    <t>溫室設備：遮光簾(電動),濕簾和風機,架子,育苗盆</t>
    <phoneticPr fontId="1" type="noConversion"/>
  </si>
  <si>
    <t>直立生長的苔蘚：分株繁殖</t>
    <phoneticPr fontId="1" type="noConversion"/>
  </si>
  <si>
    <t>匍匐生長的苔蘚：斷莖繁殖</t>
    <phoneticPr fontId="1" type="noConversion"/>
  </si>
  <si>
    <t>苔蘚喜歡偏酸性土壤,如泥炭土</t>
    <phoneticPr fontId="1" type="noConversion"/>
  </si>
  <si>
    <t>人工繁殖（熱帶和亞熱帶的品種）</t>
    <phoneticPr fontId="1" type="noConversion"/>
  </si>
  <si>
    <t>溫度高不超過30度,低不超過10度,濕度保持80%以上</t>
    <phoneticPr fontId="1" type="noConversion"/>
  </si>
  <si>
    <t>苔蘚變黃2個原因：一是新老交替,二是逆環境下,犧牲頂端,頂端變枯黃</t>
    <phoneticPr fontId="1" type="noConversion"/>
  </si>
  <si>
    <t>虎尾蘚</t>
    <phoneticPr fontId="1" type="noConversion"/>
  </si>
  <si>
    <t>粗葉白髮蘚</t>
    <phoneticPr fontId="1" type="noConversion"/>
  </si>
  <si>
    <t>小仙鶴蘚</t>
    <phoneticPr fontId="1" type="noConversion"/>
  </si>
  <si>
    <t>過濾層又叫隔離層：乾水苔也就是曬乾泥炭蘚（過濾水分防止土層沉澱,提高通氣作用）</t>
    <phoneticPr fontId="1" type="noConversion"/>
  </si>
  <si>
    <t>培土營養層：弱酸性,無粉層,不板結的泥炭土</t>
    <phoneticPr fontId="1" type="noConversion"/>
  </si>
  <si>
    <t>鋪面點綴層：鹿沼土（由下層火山土生成）</t>
    <phoneticPr fontId="1" type="noConversion"/>
  </si>
  <si>
    <t>直立形苔蘚：白髮蘚,翁苔蘚,山苔蘚</t>
    <phoneticPr fontId="1" type="noConversion"/>
  </si>
  <si>
    <t>狼尾蕨,銀線蕨,網紋草,羅漢松,袖珍椰子,花葉絡石,合果芋,紅網紋</t>
    <phoneticPr fontId="1" type="noConversion"/>
  </si>
  <si>
    <t>短植絨</t>
    <phoneticPr fontId="1" type="noConversion"/>
  </si>
  <si>
    <t>苔球盆栽（日文苔玉Kokedama）</t>
    <phoneticPr fontId="1" type="noConversion"/>
  </si>
  <si>
    <t>形態</t>
    <phoneticPr fontId="1" type="noConversion"/>
  </si>
  <si>
    <t>組合植栽型</t>
    <phoneticPr fontId="1" type="noConversion"/>
  </si>
  <si>
    <t>35公分</t>
    <phoneticPr fontId="1" type="noConversion"/>
  </si>
  <si>
    <t>高殖</t>
    <phoneticPr fontId="1" type="noConversion"/>
  </si>
  <si>
    <t>樹形創作技巧</t>
    <phoneticPr fontId="1" type="noConversion"/>
  </si>
  <si>
    <t>模樣木型</t>
    <phoneticPr fontId="1" type="noConversion"/>
  </si>
  <si>
    <t>王道的樹型</t>
    <phoneticPr fontId="1" type="noConversion"/>
  </si>
  <si>
    <t>直幹型</t>
    <phoneticPr fontId="1" type="noConversion"/>
  </si>
  <si>
    <t>原生林的針葉樹形態</t>
    <phoneticPr fontId="1" type="noConversion"/>
  </si>
  <si>
    <t>斜幹型</t>
    <phoneticPr fontId="1" type="noConversion"/>
  </si>
  <si>
    <t>樹木往空間中伸展的姿態</t>
    <phoneticPr fontId="1" type="noConversion"/>
  </si>
  <si>
    <t>雙幹型</t>
    <phoneticPr fontId="1" type="noConversion"/>
  </si>
  <si>
    <t>相依相偎一起生長的親子主幹</t>
    <phoneticPr fontId="1" type="noConversion"/>
  </si>
  <si>
    <t>叢生型</t>
    <phoneticPr fontId="1" type="noConversion"/>
  </si>
  <si>
    <t>一棵樹木分出枝幹後形成森林</t>
    <phoneticPr fontId="1" type="noConversion"/>
  </si>
  <si>
    <t>由樹梢上灑落的和煦陽光</t>
    <phoneticPr fontId="1" type="noConversion"/>
  </si>
  <si>
    <t>懸崖型</t>
    <phoneticPr fontId="1" type="noConversion"/>
  </si>
  <si>
    <t>不畏逆境,謳歌生命</t>
    <phoneticPr fontId="1" type="noConversion"/>
  </si>
  <si>
    <t>風飄型</t>
    <phoneticPr fontId="1" type="noConversion"/>
  </si>
  <si>
    <t>不畏風吹堅強生存</t>
    <phoneticPr fontId="1" type="noConversion"/>
  </si>
  <si>
    <t>姿態溫文爾雅的樹形</t>
    <phoneticPr fontId="1" type="noConversion"/>
  </si>
  <si>
    <t>文人型</t>
    <phoneticPr fontId="1" type="noConversion"/>
  </si>
  <si>
    <t>纖細主幹,翩翩起舞般樹形</t>
    <phoneticPr fontId="1" type="noConversion"/>
  </si>
  <si>
    <t>松柏類</t>
    <phoneticPr fontId="1" type="noConversion"/>
  </si>
  <si>
    <t>五葉松</t>
    <phoneticPr fontId="1" type="noConversion"/>
  </si>
  <si>
    <t>黑松</t>
    <phoneticPr fontId="1" type="noConversion"/>
  </si>
  <si>
    <t>赤松</t>
    <phoneticPr fontId="1" type="noConversion"/>
  </si>
  <si>
    <t>真柏(圓柏的變種)</t>
    <phoneticPr fontId="1" type="noConversion"/>
  </si>
  <si>
    <t>魚鱗雲杉</t>
    <phoneticPr fontId="1" type="noConversion"/>
  </si>
  <si>
    <t>杜松</t>
    <phoneticPr fontId="1" type="noConversion"/>
  </si>
  <si>
    <t>杉木</t>
    <phoneticPr fontId="1" type="noConversion"/>
  </si>
  <si>
    <t>檜木</t>
    <phoneticPr fontId="1" type="noConversion"/>
  </si>
  <si>
    <t>紅豆杉</t>
    <phoneticPr fontId="1" type="noConversion"/>
  </si>
  <si>
    <t>雜木類</t>
    <phoneticPr fontId="1" type="noConversion"/>
  </si>
  <si>
    <t>日本紫莖</t>
    <phoneticPr fontId="1" type="noConversion"/>
  </si>
  <si>
    <t>鵝耳櫪</t>
    <phoneticPr fontId="1" type="noConversion"/>
  </si>
  <si>
    <t>野漆樹</t>
    <phoneticPr fontId="1" type="noConversion"/>
  </si>
  <si>
    <t>枹櫟</t>
    <phoneticPr fontId="1" type="noConversion"/>
  </si>
  <si>
    <t>班葉絡石</t>
    <phoneticPr fontId="1" type="noConversion"/>
  </si>
  <si>
    <t>花卉類</t>
    <phoneticPr fontId="1" type="noConversion"/>
  </si>
  <si>
    <t>梅花</t>
    <phoneticPr fontId="1" type="noConversion"/>
  </si>
  <si>
    <t>櫻花</t>
    <phoneticPr fontId="1" type="noConversion"/>
  </si>
  <si>
    <t>茶花</t>
    <phoneticPr fontId="1" type="noConversion"/>
  </si>
  <si>
    <t>長壽梅</t>
    <phoneticPr fontId="1" type="noConversion"/>
  </si>
  <si>
    <t>連翹</t>
    <phoneticPr fontId="1" type="noConversion"/>
  </si>
  <si>
    <t>條通樹;木五倍子</t>
    <phoneticPr fontId="1" type="noConversion"/>
  </si>
  <si>
    <t>果實類</t>
    <phoneticPr fontId="1" type="noConversion"/>
  </si>
  <si>
    <t>落霜紅</t>
    <phoneticPr fontId="1" type="noConversion"/>
  </si>
  <si>
    <t>小葉石楠</t>
    <phoneticPr fontId="1" type="noConversion"/>
  </si>
  <si>
    <t>山橘</t>
    <phoneticPr fontId="1" type="noConversion"/>
  </si>
  <si>
    <t>梔子花</t>
    <phoneticPr fontId="1" type="noConversion"/>
  </si>
  <si>
    <t>紫珠</t>
    <phoneticPr fontId="1" type="noConversion"/>
  </si>
  <si>
    <t>山楂</t>
    <phoneticPr fontId="1" type="noConversion"/>
  </si>
  <si>
    <t>海棠果</t>
    <phoneticPr fontId="1" type="noConversion"/>
  </si>
  <si>
    <t>土檸檬</t>
    <phoneticPr fontId="1" type="noConversion"/>
  </si>
  <si>
    <t>法國龍艾</t>
    <phoneticPr fontId="1" type="noConversion"/>
  </si>
  <si>
    <t>檸檬百里香</t>
    <phoneticPr fontId="1" type="noConversion"/>
  </si>
  <si>
    <t>芳香萬壽菊</t>
    <phoneticPr fontId="1" type="noConversion"/>
  </si>
  <si>
    <t>貓穗草</t>
    <phoneticPr fontId="1" type="noConversion"/>
  </si>
  <si>
    <t>奧勒岡</t>
    <phoneticPr fontId="1" type="noConversion"/>
  </si>
  <si>
    <t>鳳梨鼠尾草</t>
    <phoneticPr fontId="1" type="noConversion"/>
  </si>
  <si>
    <t>檸檬馬鞭草</t>
    <phoneticPr fontId="1" type="noConversion"/>
  </si>
  <si>
    <t>枸杞</t>
    <phoneticPr fontId="1" type="noConversion"/>
  </si>
  <si>
    <t>薄荷</t>
    <phoneticPr fontId="1" type="noConversion"/>
  </si>
  <si>
    <t>月桂</t>
    <phoneticPr fontId="1" type="noConversion"/>
  </si>
  <si>
    <t>白鶴靈芝</t>
    <phoneticPr fontId="1" type="noConversion"/>
  </si>
  <si>
    <t>絞股藍</t>
    <phoneticPr fontId="1" type="noConversion"/>
  </si>
  <si>
    <t>蜂香薄荷</t>
    <phoneticPr fontId="1" type="noConversion"/>
  </si>
  <si>
    <t>冬季薄荷</t>
    <phoneticPr fontId="1" type="noConversion"/>
  </si>
  <si>
    <t>胡椒薄荷</t>
    <phoneticPr fontId="1" type="noConversion"/>
  </si>
  <si>
    <t>馬蜂橙</t>
    <phoneticPr fontId="1" type="noConversion"/>
  </si>
  <si>
    <t>葡萄柚薄荷</t>
    <phoneticPr fontId="1" type="noConversion"/>
  </si>
  <si>
    <t>資科</t>
    <phoneticPr fontId="1" type="noConversion"/>
  </si>
  <si>
    <t>摩台</t>
    <phoneticPr fontId="1" type="noConversion"/>
  </si>
  <si>
    <t>長科</t>
    <phoneticPr fontId="1" type="noConversion"/>
  </si>
  <si>
    <t>買賣價</t>
    <phoneticPr fontId="1" type="noConversion"/>
  </si>
  <si>
    <t>買進日期</t>
    <phoneticPr fontId="1" type="noConversion"/>
  </si>
  <si>
    <t>多媒體IC設計</t>
    <phoneticPr fontId="1" type="noConversion"/>
  </si>
  <si>
    <t>甜萬壽菊（墨西哥龍艾）</t>
    <phoneticPr fontId="1" type="noConversion"/>
  </si>
  <si>
    <t>一珠</t>
    <phoneticPr fontId="1" type="noConversion"/>
  </si>
  <si>
    <t>南斌</t>
    <phoneticPr fontId="1" type="noConversion"/>
  </si>
  <si>
    <t>二極體橋式整流器製造商</t>
    <phoneticPr fontId="1" type="noConversion"/>
  </si>
  <si>
    <t>不見長黑不落底</t>
    <phoneticPr fontId="1" type="noConversion"/>
  </si>
  <si>
    <t>石英元件日本大真空轉投資</t>
    <phoneticPr fontId="1" type="noConversion"/>
  </si>
  <si>
    <t>石英震蕩器</t>
    <phoneticPr fontId="1" type="noConversion"/>
  </si>
  <si>
    <t>8G四核</t>
    <phoneticPr fontId="1" type="noConversion"/>
  </si>
  <si>
    <t>4G四核</t>
    <phoneticPr fontId="1" type="noConversion"/>
  </si>
  <si>
    <t>EG遠東旗下</t>
    <phoneticPr fontId="1" type="noConversion"/>
  </si>
  <si>
    <t>多角化經營</t>
    <phoneticPr fontId="1" type="noConversion"/>
  </si>
  <si>
    <t>NISSAN裕隆集團</t>
    <phoneticPr fontId="1" type="noConversion"/>
  </si>
  <si>
    <t>記憶體模組</t>
    <phoneticPr fontId="1" type="noConversion"/>
  </si>
  <si>
    <t>環保控股中鼎旗下</t>
    <phoneticPr fontId="1" type="noConversion"/>
  </si>
  <si>
    <t>髮飾梳鏡</t>
    <phoneticPr fontId="1" type="noConversion"/>
  </si>
  <si>
    <t>唱片歌手經紀人</t>
    <phoneticPr fontId="1" type="noConversion"/>
  </si>
  <si>
    <t>窗簾</t>
    <phoneticPr fontId="1" type="noConversion"/>
  </si>
  <si>
    <t>羽絨</t>
    <phoneticPr fontId="1" type="noConversion"/>
  </si>
  <si>
    <t>運動鞋</t>
    <phoneticPr fontId="1" type="noConversion"/>
  </si>
  <si>
    <t>房仲</t>
    <phoneticPr fontId="1" type="noConversion"/>
  </si>
  <si>
    <t>營建霖園旗下</t>
    <phoneticPr fontId="1" type="noConversion"/>
  </si>
  <si>
    <t>高速鐵路</t>
    <phoneticPr fontId="1" type="noConversion"/>
  </si>
  <si>
    <t>記憶體任天堂</t>
    <phoneticPr fontId="1" type="noConversion"/>
  </si>
  <si>
    <t>電池材料中鋼旗下</t>
    <phoneticPr fontId="1" type="noConversion"/>
  </si>
  <si>
    <t>不鏽鋼管全美大</t>
    <phoneticPr fontId="1" type="noConversion"/>
  </si>
  <si>
    <t>記憶體華新旗下</t>
    <phoneticPr fontId="1" type="noConversion"/>
  </si>
  <si>
    <t>飛機發動機機匣</t>
    <phoneticPr fontId="1" type="noConversion"/>
  </si>
  <si>
    <t>中纖大股東</t>
    <phoneticPr fontId="1" type="noConversion"/>
  </si>
  <si>
    <t>公股銀行</t>
    <phoneticPr fontId="1" type="noConversion"/>
  </si>
  <si>
    <t>林榮三三重幫大股東</t>
    <phoneticPr fontId="1" type="noConversion"/>
  </si>
  <si>
    <t>遠東集團旗下</t>
    <phoneticPr fontId="1" type="noConversion"/>
  </si>
  <si>
    <t>統一集團旗下</t>
    <phoneticPr fontId="1" type="noConversion"/>
  </si>
  <si>
    <t>元大寶來證劵台大</t>
    <phoneticPr fontId="1" type="noConversion"/>
  </si>
  <si>
    <t>半導體設備鴻海旗下</t>
    <phoneticPr fontId="1" type="noConversion"/>
  </si>
  <si>
    <t>電磁閥</t>
    <phoneticPr fontId="1" type="noConversion"/>
  </si>
  <si>
    <t>自動化設備</t>
    <phoneticPr fontId="1" type="noConversion"/>
  </si>
  <si>
    <t>電源管理IC</t>
    <phoneticPr fontId="1" type="noConversion"/>
  </si>
  <si>
    <t>期貨台大</t>
    <phoneticPr fontId="1" type="noConversion"/>
  </si>
  <si>
    <t>期貨台前4</t>
    <phoneticPr fontId="1" type="noConversion"/>
  </si>
  <si>
    <t>UPS</t>
    <phoneticPr fontId="1" type="noConversion"/>
  </si>
  <si>
    <t>指紋辨識宏碁投資</t>
    <phoneticPr fontId="1" type="noConversion"/>
  </si>
  <si>
    <t>晶圓測試中華電旗下</t>
    <phoneticPr fontId="1" type="noConversion"/>
  </si>
  <si>
    <t>砷化鎵晶圓全前3</t>
    <phoneticPr fontId="1" type="noConversion"/>
  </si>
  <si>
    <t>無塵室</t>
    <phoneticPr fontId="1" type="noConversion"/>
  </si>
  <si>
    <t>南山人壽</t>
    <phoneticPr fontId="1" type="noConversion"/>
  </si>
  <si>
    <t>醣質標靶尖端醫投資</t>
    <phoneticPr fontId="1" type="noConversion"/>
  </si>
  <si>
    <t>運動服</t>
    <phoneticPr fontId="1" type="noConversion"/>
  </si>
  <si>
    <t>醫療廢棄物潤泰旗下</t>
    <phoneticPr fontId="1" type="noConversion"/>
  </si>
  <si>
    <t>銀行證券投信永豐餘旗下</t>
    <phoneticPr fontId="1" type="noConversion"/>
  </si>
  <si>
    <t>新光人壽前5大新光旗下</t>
    <phoneticPr fontId="1" type="noConversion"/>
  </si>
  <si>
    <t>自動化設備鴻海旗下</t>
    <phoneticPr fontId="1" type="noConversion"/>
  </si>
  <si>
    <t>晶圓代工台積電旗下</t>
    <phoneticPr fontId="1" type="noConversion"/>
  </si>
  <si>
    <t>晶圓代工華新麗華旗下</t>
    <phoneticPr fontId="1" type="noConversion"/>
  </si>
  <si>
    <t>頭部特征就是專殺權值股，用中小型貼補點數</t>
    <phoneticPr fontId="1" type="noConversion"/>
  </si>
  <si>
    <t>上市28類</t>
    <phoneticPr fontId="1" type="noConversion"/>
  </si>
  <si>
    <t>上櫃18類</t>
    <phoneticPr fontId="1" type="noConversion"/>
  </si>
  <si>
    <t>機上盒單晶片</t>
    <phoneticPr fontId="1" type="noConversion"/>
  </si>
  <si>
    <t>7.14</t>
    <phoneticPr fontId="1" type="noConversion"/>
  </si>
  <si>
    <t>銅箔基板全前10</t>
    <phoneticPr fontId="1" type="noConversion"/>
  </si>
  <si>
    <t>44.81</t>
    <phoneticPr fontId="1" type="noConversion"/>
  </si>
  <si>
    <t>南珠</t>
    <phoneticPr fontId="1" type="noConversion"/>
  </si>
  <si>
    <t>2019年7月</t>
    <phoneticPr fontId="1" type="noConversion"/>
  </si>
  <si>
    <t>零股價</t>
    <phoneticPr fontId="1" type="noConversion"/>
  </si>
  <si>
    <t>零股數</t>
    <phoneticPr fontId="1" type="noConversion"/>
  </si>
  <si>
    <t>收益</t>
    <phoneticPr fontId="1" type="noConversion"/>
  </si>
  <si>
    <t>日期</t>
    <phoneticPr fontId="1" type="noConversion"/>
  </si>
  <si>
    <t>賣出價</t>
    <phoneticPr fontId="1" type="noConversion"/>
  </si>
  <si>
    <t>買進價</t>
    <phoneticPr fontId="1" type="noConversion"/>
  </si>
  <si>
    <t>損益率</t>
    <phoneticPr fontId="1" type="noConversion"/>
  </si>
  <si>
    <t>總金額</t>
    <phoneticPr fontId="1" type="noConversion"/>
  </si>
  <si>
    <t>零股交易</t>
    <phoneticPr fontId="1" type="noConversion"/>
  </si>
  <si>
    <t>41.53</t>
    <phoneticPr fontId="1" type="noConversion"/>
  </si>
  <si>
    <t>17.07</t>
    <phoneticPr fontId="1" type="noConversion"/>
  </si>
  <si>
    <t>20.32</t>
    <phoneticPr fontId="1" type="noConversion"/>
  </si>
  <si>
    <t>2.59</t>
    <phoneticPr fontId="1" type="noConversion"/>
  </si>
  <si>
    <t>6.20</t>
    <phoneticPr fontId="1" type="noConversion"/>
  </si>
  <si>
    <t>2019全年</t>
    <phoneticPr fontId="1" type="noConversion"/>
  </si>
  <si>
    <t>6.58</t>
    <phoneticPr fontId="1" type="noConversion"/>
  </si>
  <si>
    <t>上市</t>
    <phoneticPr fontId="1" type="noConversion"/>
  </si>
  <si>
    <t>指數</t>
    <phoneticPr fontId="1" type="noConversion"/>
  </si>
  <si>
    <t>4.73</t>
    <phoneticPr fontId="1" type="noConversion"/>
  </si>
  <si>
    <t>3.39</t>
    <phoneticPr fontId="1" type="noConversion"/>
  </si>
  <si>
    <t>7.42</t>
    <phoneticPr fontId="1" type="noConversion"/>
  </si>
  <si>
    <t>7.2</t>
    <phoneticPr fontId="1" type="noConversion"/>
  </si>
  <si>
    <t>2019年8月</t>
    <phoneticPr fontId="1" type="noConversion"/>
  </si>
  <si>
    <t>2019年9月</t>
    <phoneticPr fontId="1" type="noConversion"/>
  </si>
  <si>
    <t>2019年10月</t>
    <phoneticPr fontId="1" type="noConversion"/>
  </si>
  <si>
    <t>2019年11月</t>
    <phoneticPr fontId="1" type="noConversion"/>
  </si>
  <si>
    <t>2019年12月</t>
    <phoneticPr fontId="1" type="noConversion"/>
  </si>
  <si>
    <t>8.33</t>
    <phoneticPr fontId="1" type="noConversion"/>
  </si>
  <si>
    <t>0.94</t>
    <phoneticPr fontId="1" type="noConversion"/>
  </si>
  <si>
    <t>投報率</t>
    <phoneticPr fontId="1" type="noConversion"/>
  </si>
  <si>
    <t>sp500反</t>
    <phoneticPr fontId="1" type="noConversion"/>
  </si>
  <si>
    <t>元珠</t>
    <phoneticPr fontId="1" type="noConversion"/>
  </si>
  <si>
    <t>2.55</t>
    <phoneticPr fontId="1" type="noConversion"/>
  </si>
  <si>
    <t>財報公佈</t>
    <phoneticPr fontId="1" type="noConversion"/>
  </si>
  <si>
    <t>DELL 3470</t>
    <phoneticPr fontId="1" type="noConversion"/>
  </si>
  <si>
    <t>I5-6400T</t>
    <phoneticPr fontId="1" type="noConversion"/>
  </si>
  <si>
    <t>0</t>
    <phoneticPr fontId="1" type="noConversion"/>
  </si>
  <si>
    <t>騰輝電子KY</t>
    <phoneticPr fontId="1" type="noConversion"/>
  </si>
  <si>
    <t>2</t>
    <phoneticPr fontId="1" type="noConversion"/>
  </si>
  <si>
    <t>三商銀之一</t>
    <phoneticPr fontId="1" type="noConversion"/>
  </si>
  <si>
    <t>繪圖卡</t>
    <phoneticPr fontId="1" type="noConversion"/>
  </si>
  <si>
    <t>大眾集團控股公司</t>
    <phoneticPr fontId="1" type="noConversion"/>
  </si>
  <si>
    <t>工業電腦鴻海轉投資,旗下沅聖,瑞祺電</t>
    <phoneticPr fontId="1" type="noConversion"/>
  </si>
  <si>
    <t>風扇散熱導管廠商</t>
    <phoneticPr fontId="1" type="noConversion"/>
  </si>
  <si>
    <t>顯示器車載娛樂系統和OEM自行車花鼓零件製造商</t>
    <phoneticPr fontId="1" type="noConversion"/>
  </si>
  <si>
    <t>PCB自動化設備供應商</t>
    <phoneticPr fontId="1" type="noConversion"/>
  </si>
  <si>
    <t>滾珠螺桿</t>
    <phoneticPr fontId="1" type="noConversion"/>
  </si>
  <si>
    <t>網通代理服務</t>
    <phoneticPr fontId="1" type="noConversion"/>
  </si>
  <si>
    <t>洗腎相關儀器耗材代理商</t>
    <phoneticPr fontId="1" type="noConversion"/>
  </si>
  <si>
    <t>血糖儀血糖試片居家醫療器材廠</t>
    <phoneticPr fontId="1" type="noConversion"/>
  </si>
  <si>
    <t>微脂體技術研發新藥廠商</t>
    <phoneticPr fontId="1" type="noConversion"/>
  </si>
  <si>
    <t>紅血球增生癥藥物研發商</t>
    <phoneticPr fontId="1" type="noConversion"/>
  </si>
  <si>
    <t>改良劑新藥研發</t>
    <phoneticPr fontId="1" type="noConversion"/>
  </si>
  <si>
    <t>抗癌新藥特殊原料藥研發商</t>
    <phoneticPr fontId="1" type="noConversion"/>
  </si>
  <si>
    <t>男性西服裕隆旗下</t>
    <phoneticPr fontId="1" type="noConversion"/>
  </si>
  <si>
    <t>毛條</t>
    <phoneticPr fontId="1" type="noConversion"/>
  </si>
  <si>
    <t>棉紡</t>
    <phoneticPr fontId="1" type="noConversion"/>
  </si>
  <si>
    <t>加工絲</t>
    <phoneticPr fontId="1" type="noConversion"/>
  </si>
  <si>
    <t>長織布廠</t>
    <phoneticPr fontId="1" type="noConversion"/>
  </si>
  <si>
    <t>尼龍長織布廠</t>
    <phoneticPr fontId="1" type="noConversion"/>
  </si>
  <si>
    <t>3D立體織物</t>
    <phoneticPr fontId="1" type="noConversion"/>
  </si>
  <si>
    <t>肥料純鹼大廠</t>
    <phoneticPr fontId="1" type="noConversion"/>
  </si>
  <si>
    <t>烷化品大廠唯一氫化石油樹脂</t>
    <phoneticPr fontId="1" type="noConversion"/>
  </si>
  <si>
    <t>蘋果西打</t>
    <phoneticPr fontId="1" type="noConversion"/>
  </si>
  <si>
    <t>飲料罐頭</t>
    <phoneticPr fontId="1" type="noConversion"/>
  </si>
  <si>
    <t>嬰幼童服飾</t>
    <phoneticPr fontId="1" type="noConversion"/>
  </si>
  <si>
    <t>陸運加油站營建飯店業務</t>
    <phoneticPr fontId="1" type="noConversion"/>
  </si>
  <si>
    <t>輕型散裝船</t>
    <phoneticPr fontId="1" type="noConversion"/>
  </si>
  <si>
    <t>航空貨運海運報關業務承攬物流業者</t>
    <phoneticPr fontId="1" type="noConversion"/>
  </si>
  <si>
    <t>建商市地重畫</t>
    <phoneticPr fontId="1" type="noConversion"/>
  </si>
  <si>
    <t>建商寶徠花園廣場</t>
    <phoneticPr fontId="1" type="noConversion"/>
  </si>
  <si>
    <t>建設百貨休閒</t>
    <phoneticPr fontId="1" type="noConversion"/>
  </si>
  <si>
    <t>建商大台北</t>
    <phoneticPr fontId="1" type="noConversion"/>
  </si>
  <si>
    <t>建商統一旗下</t>
    <phoneticPr fontId="1" type="noConversion"/>
  </si>
  <si>
    <t>建築工程廠商威京旗下</t>
    <phoneticPr fontId="1" type="noConversion"/>
  </si>
  <si>
    <t>營造商承攬公共工程</t>
    <phoneticPr fontId="1" type="noConversion"/>
  </si>
  <si>
    <t>建商日月光旗下</t>
    <phoneticPr fontId="1" type="noConversion"/>
  </si>
  <si>
    <t>工程整合服務廠商</t>
    <phoneticPr fontId="1" type="noConversion"/>
  </si>
  <si>
    <t>仰德旗下建設飯店文創經營</t>
    <phoneticPr fontId="1" type="noConversion"/>
  </si>
  <si>
    <t>旅行社</t>
    <phoneticPr fontId="1" type="noConversion"/>
  </si>
  <si>
    <t>資安</t>
    <phoneticPr fontId="1" type="noConversion"/>
  </si>
  <si>
    <t>出版社</t>
    <phoneticPr fontId="1" type="noConversion"/>
  </si>
  <si>
    <t>交友社群網站台灣最大愛情公寓</t>
    <phoneticPr fontId="1" type="noConversion"/>
  </si>
  <si>
    <t>產險業歷史最悠久</t>
    <phoneticPr fontId="1" type="noConversion"/>
  </si>
  <si>
    <t>隆力集團入主中小型銀行</t>
    <phoneticPr fontId="1" type="noConversion"/>
  </si>
  <si>
    <t>新光集團旗下前3大產險公司</t>
    <phoneticPr fontId="1" type="noConversion"/>
  </si>
  <si>
    <t>前10大產險公司</t>
    <phoneticPr fontId="1" type="noConversion"/>
  </si>
  <si>
    <t>3</t>
    <phoneticPr fontId="1" type="noConversion"/>
  </si>
  <si>
    <t>山頂上玩有誰能贏，底部進場不贏也難（魚頭菜販策略）</t>
    <phoneticPr fontId="1" type="noConversion"/>
  </si>
  <si>
    <t>-7.74</t>
    <phoneticPr fontId="1" type="noConversion"/>
  </si>
  <si>
    <t>DELL 3670</t>
    <phoneticPr fontId="1" type="noConversion"/>
  </si>
  <si>
    <t>I7-9700</t>
    <phoneticPr fontId="1" type="noConversion"/>
  </si>
  <si>
    <t>12G八核</t>
    <phoneticPr fontId="1" type="noConversion"/>
  </si>
  <si>
    <t>PCHOME</t>
    <phoneticPr fontId="1" type="noConversion"/>
  </si>
  <si>
    <t>secretshop@163.com</t>
    <phoneticPr fontId="1" type="noConversion"/>
  </si>
  <si>
    <t>04280428</t>
    <phoneticPr fontId="1" type="noConversion"/>
  </si>
  <si>
    <t>家中網路</t>
    <phoneticPr fontId="1" type="noConversion"/>
  </si>
  <si>
    <t>9033bin</t>
    <phoneticPr fontId="1" type="noConversion"/>
  </si>
  <si>
    <t>03180318</t>
    <phoneticPr fontId="1" type="noConversion"/>
  </si>
  <si>
    <t>pin0428</t>
    <phoneticPr fontId="1" type="noConversion"/>
  </si>
  <si>
    <t>3.0GHZ</t>
    <phoneticPr fontId="1" type="noConversion"/>
  </si>
  <si>
    <t>利空不會成頭</t>
    <phoneticPr fontId="1" type="noConversion"/>
  </si>
  <si>
    <t>彌補</t>
    <phoneticPr fontId="1" type="noConversion"/>
  </si>
  <si>
    <t>4.09</t>
    <phoneticPr fontId="1" type="noConversion"/>
  </si>
  <si>
    <t>9.59</t>
    <phoneticPr fontId="1" type="noConversion"/>
  </si>
  <si>
    <t>3.57</t>
    <phoneticPr fontId="1" type="noConversion"/>
  </si>
  <si>
    <t>敦泰彌補</t>
    <phoneticPr fontId="1" type="noConversion"/>
  </si>
  <si>
    <t>6.94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</si>
  <si>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</si>
  <si>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</si>
  <si>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</si>
  <si>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</si>
  <si>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7月19年</t>
    <phoneticPr fontId="1" type="noConversion"/>
  </si>
  <si>
    <t>8月19年</t>
    <phoneticPr fontId="1" type="noConversion"/>
  </si>
  <si>
    <t>9月19年</t>
    <phoneticPr fontId="1" type="noConversion"/>
  </si>
  <si>
    <t>-4.59</t>
    <phoneticPr fontId="1" type="noConversion"/>
  </si>
  <si>
    <t>9.89</t>
    <phoneticPr fontId="1" type="noConversion"/>
  </si>
  <si>
    <t>4.26</t>
    <phoneticPr fontId="1" type="noConversion"/>
  </si>
  <si>
    <t>5.1</t>
    <phoneticPr fontId="1" type="noConversion"/>
  </si>
  <si>
    <t>7.53</t>
    <phoneticPr fontId="1" type="noConversion"/>
  </si>
  <si>
    <t>6.01</t>
    <phoneticPr fontId="1" type="noConversion"/>
  </si>
  <si>
    <t>-17.61</t>
    <phoneticPr fontId="1" type="noConversion"/>
  </si>
  <si>
    <t>-17.14</t>
    <phoneticPr fontId="1" type="noConversion"/>
  </si>
  <si>
    <t>-3.11</t>
    <phoneticPr fontId="1" type="noConversion"/>
  </si>
  <si>
    <t>3.97</t>
    <phoneticPr fontId="1" type="noConversion"/>
  </si>
  <si>
    <t>3.15</t>
    <phoneticPr fontId="1" type="noConversion"/>
  </si>
  <si>
    <t>3.15</t>
    <phoneticPr fontId="1" type="noConversion"/>
  </si>
  <si>
    <t>-1.69</t>
    <phoneticPr fontId="1" type="noConversion"/>
  </si>
  <si>
    <t>1.38</t>
    <phoneticPr fontId="1" type="noConversion"/>
  </si>
  <si>
    <t>5.01</t>
    <phoneticPr fontId="1" type="noConversion"/>
  </si>
  <si>
    <t>3</t>
    <phoneticPr fontId="1" type="noConversion"/>
  </si>
  <si>
    <t>6.32</t>
    <phoneticPr fontId="1" type="noConversion"/>
  </si>
  <si>
    <t>3</t>
    <phoneticPr fontId="1" type="noConversion"/>
  </si>
  <si>
    <t>1</t>
    <phoneticPr fontId="1" type="noConversion"/>
  </si>
  <si>
    <t>零股</t>
    <phoneticPr fontId="1" type="noConversion"/>
  </si>
  <si>
    <t>M31</t>
    <phoneticPr fontId="1" type="noConversion"/>
  </si>
  <si>
    <t>7.62</t>
    <phoneticPr fontId="1" type="noConversion"/>
  </si>
  <si>
    <t>1</t>
    <phoneticPr fontId="1" type="noConversion"/>
  </si>
  <si>
    <t>3</t>
    <phoneticPr fontId="1" type="noConversion"/>
  </si>
  <si>
    <t>世豐、榮剛、尚凡、上奇、富旺、霈方、華研、譜瑞-KY、大峽谷-KY上世等 9 家。</t>
  </si>
  <si>
    <t>雙鍵、禾聯碩、遠雄、大豐電、佳必琪、矽格、台數科、長華、鮮活果汁-KY、材料-KY、豐祥-Kㄚ等 35 家。</t>
  </si>
  <si>
    <t>▶ 上市公司季季配</t>
  </si>
  <si>
    <t>▶ 上市公司半年配</t>
  </si>
  <si>
    <t>▶ 上櫃公司季季配</t>
  </si>
  <si>
    <t>▶ 上櫃公司半年配</t>
  </si>
  <si>
    <t>3</t>
    <phoneticPr fontId="1" type="noConversion"/>
  </si>
  <si>
    <t>信昌電彌補</t>
    <phoneticPr fontId="1" type="noConversion"/>
  </si>
  <si>
    <t>-9.67</t>
    <phoneticPr fontId="1" type="noConversion"/>
  </si>
  <si>
    <t>1.42</t>
    <phoneticPr fontId="1" type="noConversion"/>
  </si>
  <si>
    <t>1.78</t>
    <phoneticPr fontId="1" type="noConversion"/>
  </si>
  <si>
    <t>5.15</t>
    <phoneticPr fontId="1" type="noConversion"/>
  </si>
  <si>
    <t>5.73</t>
    <phoneticPr fontId="1" type="noConversion"/>
  </si>
  <si>
    <t>3.16</t>
    <phoneticPr fontId="1" type="noConversion"/>
  </si>
  <si>
    <t>56/1/17</t>
    <phoneticPr fontId="1" type="noConversion"/>
  </si>
  <si>
    <t>85/3/18</t>
    <phoneticPr fontId="1" type="noConversion"/>
  </si>
  <si>
    <t>87/9/13</t>
    <phoneticPr fontId="1" type="noConversion"/>
  </si>
  <si>
    <t>2.53</t>
    <phoneticPr fontId="1" type="noConversion"/>
  </si>
  <si>
    <t>4</t>
    <phoneticPr fontId="1" type="noConversion"/>
  </si>
  <si>
    <t>年線下變平，準備捕老熊。年線往上拐，回踩堅決買！</t>
  </si>
  <si>
    <t>年線往下行，一定要搞清，如等半年線，暫做壁上觀。</t>
  </si>
  <si>
    <t>深跌破年線，老熊活年半。價穩年線上，千里馬亮相。</t>
  </si>
  <si>
    <t>要問為什么？牛熊一線亡！半年線下穿，千萬不要沾。</t>
  </si>
  <si>
    <t>半年線上拐，堅決果斷買！季線如下穿，後市不樂觀！</t>
  </si>
  <si>
    <t>季線往上走，長期須多頭！月線不下穿，光明就在前！</t>
  </si>
  <si>
    <t>股價踩季線，入市做波段。季線如被破，眼前就有禍，</t>
  </si>
  <si>
    <t>月線上穿季，買進等獲利。月線如下行，本波已完成！</t>
  </si>
  <si>
    <t>價跌月線平，底部已探明。2 0 線走平，觀望暫做空。</t>
  </si>
  <si>
    <t>2 0線上翹，猶如衝鋒號。突然呈加速，離頂查一步！</t>
  </si>
  <si>
    <t>10天莊成本，不破不走人。短線看 3天，破掉你就竄！</t>
  </si>
  <si>
    <t>長期往上翹，短期呈纏繞，平臺一做成，股價往上跑</t>
  </si>
  <si>
    <t>鍵盤3雄茂林精元科嘉</t>
    <phoneticPr fontId="1" type="noConversion"/>
  </si>
  <si>
    <t>10月19年</t>
    <phoneticPr fontId="1" type="noConversion"/>
  </si>
  <si>
    <t>勿回補帶量實體紅K缺口。如回補。整理時間㑹拉長。如拉長時間裡。主力順勢緩慢出貨。需格外小心。</t>
    <phoneticPr fontId="1" type="noConversion"/>
  </si>
  <si>
    <t>18.9</t>
    <phoneticPr fontId="1" type="noConversion"/>
  </si>
  <si>
    <t>3.44</t>
    <phoneticPr fontId="1" type="noConversion"/>
  </si>
  <si>
    <t>2.89</t>
    <phoneticPr fontId="1" type="noConversion"/>
  </si>
  <si>
    <t>-0.67</t>
    <phoneticPr fontId="1" type="noConversion"/>
  </si>
  <si>
    <t xml:space="preserve">人臉辨識新唐 (4919) 、鈺創 (5351) 、原相 (3227) </t>
    <phoneticPr fontId="1" type="noConversion"/>
  </si>
  <si>
    <t>指紋辨識義隆 (2458) 、神盾 (6462) 、敦泰 (3545) 、聯詠 (3034)</t>
    <phoneticPr fontId="1" type="noConversion"/>
  </si>
  <si>
    <t>mosfet廠雙位數衰退,如大中,富鼎</t>
    <phoneticPr fontId="1" type="noConversion"/>
  </si>
  <si>
    <t>中小型利基訂單雙位數成長,如杰立,尼克森</t>
    <phoneticPr fontId="1" type="noConversion"/>
  </si>
  <si>
    <t>電源管理IC的致新,矽力美中貿易戰轉單受惠</t>
    <phoneticPr fontId="1" type="noConversion"/>
  </si>
  <si>
    <t>4.12</t>
    <phoneticPr fontId="1" type="noConversion"/>
  </si>
  <si>
    <t>8.18</t>
    <phoneticPr fontId="1" type="noConversion"/>
  </si>
  <si>
    <t>5.48</t>
    <phoneticPr fontId="1" type="noConversion"/>
  </si>
  <si>
    <t>3.94</t>
    <phoneticPr fontId="1" type="noConversion"/>
  </si>
  <si>
    <t>7.25</t>
    <phoneticPr fontId="1" type="noConversion"/>
  </si>
  <si>
    <t>110</t>
    <phoneticPr fontId="1" type="noConversion"/>
  </si>
  <si>
    <t>13.6</t>
    <phoneticPr fontId="1" type="noConversion"/>
  </si>
  <si>
    <t>54.6</t>
    <phoneticPr fontId="1" type="noConversion"/>
  </si>
  <si>
    <t>42.9</t>
    <phoneticPr fontId="1" type="noConversion"/>
  </si>
  <si>
    <t>13.4</t>
    <phoneticPr fontId="1" type="noConversion"/>
  </si>
  <si>
    <t>24.8</t>
    <phoneticPr fontId="1" type="noConversion"/>
  </si>
  <si>
    <t>4.24</t>
    <phoneticPr fontId="1" type="noConversion"/>
  </si>
  <si>
    <t>14.6</t>
    <phoneticPr fontId="1" type="noConversion"/>
  </si>
  <si>
    <t>17.2</t>
    <phoneticPr fontId="1" type="noConversion"/>
  </si>
  <si>
    <t>1.88</t>
    <phoneticPr fontId="1" type="noConversion"/>
  </si>
  <si>
    <t>163</t>
    <phoneticPr fontId="1" type="noConversion"/>
  </si>
  <si>
    <t>18.1</t>
    <phoneticPr fontId="1" type="noConversion"/>
  </si>
  <si>
    <t>16.9</t>
    <phoneticPr fontId="1" type="noConversion"/>
  </si>
  <si>
    <t>58.6</t>
    <phoneticPr fontId="1" type="noConversion"/>
  </si>
  <si>
    <t>17.5</t>
    <phoneticPr fontId="1" type="noConversion"/>
  </si>
  <si>
    <t>12.4</t>
    <phoneticPr fontId="1" type="noConversion"/>
  </si>
  <si>
    <t>3.13</t>
    <phoneticPr fontId="1" type="noConversion"/>
  </si>
  <si>
    <t>3.02</t>
    <phoneticPr fontId="1" type="noConversion"/>
  </si>
  <si>
    <t>4.98</t>
    <phoneticPr fontId="1" type="noConversion"/>
  </si>
  <si>
    <t>27.1</t>
    <phoneticPr fontId="1" type="noConversion"/>
  </si>
  <si>
    <t>19.7</t>
    <phoneticPr fontId="1" type="noConversion"/>
  </si>
  <si>
    <t>37.5</t>
    <phoneticPr fontId="1" type="noConversion"/>
  </si>
  <si>
    <t>資本</t>
    <phoneticPr fontId="1" type="noConversion"/>
  </si>
  <si>
    <t>1.52</t>
    <phoneticPr fontId="1" type="noConversion"/>
  </si>
  <si>
    <t>35.3</t>
    <phoneticPr fontId="1" type="noConversion"/>
  </si>
  <si>
    <t>16.7</t>
    <phoneticPr fontId="1" type="noConversion"/>
  </si>
  <si>
    <t>16.1</t>
    <phoneticPr fontId="1" type="noConversion"/>
  </si>
  <si>
    <t>鈺太</t>
    <phoneticPr fontId="1" type="noConversion"/>
  </si>
  <si>
    <t>雍智科技</t>
    <phoneticPr fontId="1" type="noConversion"/>
  </si>
  <si>
    <t>12.8</t>
    <phoneticPr fontId="1" type="noConversion"/>
  </si>
  <si>
    <t>8</t>
    <phoneticPr fontId="1" type="noConversion"/>
  </si>
  <si>
    <t>富致</t>
    <phoneticPr fontId="1" type="noConversion"/>
  </si>
  <si>
    <t>-8.43</t>
    <phoneticPr fontId="1" type="noConversion"/>
  </si>
  <si>
    <t>-2.08</t>
    <phoneticPr fontId="1" type="noConversion"/>
  </si>
  <si>
    <t>8.84</t>
    <phoneticPr fontId="1" type="noConversion"/>
  </si>
  <si>
    <t>11月19年</t>
    <phoneticPr fontId="1" type="noConversion"/>
  </si>
  <si>
    <t>6.21</t>
    <phoneticPr fontId="1" type="noConversion"/>
  </si>
  <si>
    <t>禾聯碩</t>
    <phoneticPr fontId="1" type="noConversion"/>
  </si>
  <si>
    <t>4.74</t>
    <phoneticPr fontId="1" type="noConversion"/>
  </si>
  <si>
    <t>26.9</t>
    <phoneticPr fontId="1" type="noConversion"/>
  </si>
  <si>
    <t>鈞興KY</t>
    <phoneticPr fontId="1" type="noConversion"/>
  </si>
  <si>
    <t>駐龍</t>
    <phoneticPr fontId="1" type="noConversion"/>
  </si>
  <si>
    <t>3.64</t>
    <phoneticPr fontId="1" type="noConversion"/>
  </si>
  <si>
    <t>1.4</t>
    <phoneticPr fontId="1" type="noConversion"/>
  </si>
  <si>
    <t>2.14</t>
    <phoneticPr fontId="1" type="noConversion"/>
  </si>
  <si>
    <t>豆府</t>
    <phoneticPr fontId="1" type="noConversion"/>
  </si>
  <si>
    <t>3.78</t>
    <phoneticPr fontId="1" type="noConversion"/>
  </si>
  <si>
    <t>矽利光代理</t>
    <phoneticPr fontId="1" type="noConversion"/>
  </si>
  <si>
    <t>3.19</t>
    <phoneticPr fontId="1" type="noConversion"/>
  </si>
  <si>
    <t>急拉的股票，就是高過高，低不破低，一旦破低，很可能這波急拉就結束了，要休息或整理</t>
    <phoneticPr fontId="1" type="noConversion"/>
  </si>
  <si>
    <t>-17.47</t>
    <phoneticPr fontId="1" type="noConversion"/>
  </si>
  <si>
    <t>靜電放電防護IC設計</t>
    <phoneticPr fontId="1" type="noConversion"/>
  </si>
  <si>
    <t>11.6</t>
    <phoneticPr fontId="1" type="noConversion"/>
  </si>
  <si>
    <t>10.4</t>
    <phoneticPr fontId="1" type="noConversion"/>
  </si>
  <si>
    <t>16.2</t>
    <phoneticPr fontId="1" type="noConversion"/>
  </si>
  <si>
    <t>連接線正崴旗下</t>
    <phoneticPr fontId="1" type="noConversion"/>
  </si>
  <si>
    <t>7.44</t>
    <phoneticPr fontId="1" type="noConversion"/>
  </si>
  <si>
    <t>19.5</t>
    <phoneticPr fontId="1" type="noConversion"/>
  </si>
  <si>
    <t>3.17</t>
    <phoneticPr fontId="1" type="noConversion"/>
  </si>
  <si>
    <t>記憶體封測台塑旗下</t>
    <phoneticPr fontId="1" type="noConversion"/>
  </si>
  <si>
    <t>補南斌</t>
    <phoneticPr fontId="1" type="noConversion"/>
  </si>
  <si>
    <t>9</t>
    <phoneticPr fontId="1" type="noConversion"/>
  </si>
  <si>
    <t>博</t>
  </si>
  <si>
    <t>網版</t>
    <phoneticPr fontId="1" type="noConversion"/>
  </si>
  <si>
    <t>4.19</t>
    <phoneticPr fontId="1" type="noConversion"/>
  </si>
  <si>
    <t>-14.79</t>
    <phoneticPr fontId="1" type="noConversion"/>
  </si>
  <si>
    <t>11.85</t>
    <phoneticPr fontId="1" type="noConversion"/>
  </si>
  <si>
    <t>12.55</t>
    <phoneticPr fontId="1" type="noConversion"/>
  </si>
  <si>
    <t>13.26</t>
    <phoneticPr fontId="1" type="noConversion"/>
  </si>
  <si>
    <t>PCB光學檢測設備台大</t>
    <phoneticPr fontId="1" type="noConversion"/>
  </si>
  <si>
    <t>工業用布</t>
    <phoneticPr fontId="1" type="noConversion"/>
  </si>
  <si>
    <t>消息</t>
    <phoneticPr fontId="1" type="noConversion"/>
  </si>
  <si>
    <t>恐慌會見底</t>
    <phoneticPr fontId="1" type="noConversion"/>
  </si>
  <si>
    <t>樂觀會見頭</t>
    <phoneticPr fontId="1" type="noConversion"/>
  </si>
  <si>
    <t>光罩晶圓載具</t>
    <phoneticPr fontId="1" type="noConversion"/>
  </si>
  <si>
    <t>十銓</t>
    <phoneticPr fontId="1" type="noConversion"/>
  </si>
  <si>
    <t>37.8</t>
    <phoneticPr fontId="1" type="noConversion"/>
  </si>
  <si>
    <t>石英元件</t>
    <phoneticPr fontId="1" type="noConversion"/>
  </si>
  <si>
    <t>10.7</t>
    <phoneticPr fontId="1" type="noConversion"/>
  </si>
  <si>
    <t>6.97</t>
    <phoneticPr fontId="1" type="noConversion"/>
  </si>
  <si>
    <t>MLCC原料華新旗下</t>
    <phoneticPr fontId="1" type="noConversion"/>
  </si>
  <si>
    <t>中保科</t>
    <phoneticPr fontId="1" type="noConversion"/>
  </si>
  <si>
    <t>高爾夫球明安旗下</t>
    <phoneticPr fontId="1" type="noConversion"/>
  </si>
  <si>
    <t>6.45</t>
    <phoneticPr fontId="1" type="noConversion"/>
  </si>
  <si>
    <t>37.4</t>
    <phoneticPr fontId="1" type="noConversion"/>
  </si>
  <si>
    <t>和潤企業</t>
    <phoneticPr fontId="1" type="noConversion"/>
  </si>
  <si>
    <t>266</t>
    <phoneticPr fontId="1" type="noConversion"/>
  </si>
  <si>
    <t>0.34</t>
    <phoneticPr fontId="1" type="noConversion"/>
  </si>
  <si>
    <t>-0.34</t>
    <phoneticPr fontId="1" type="noConversion"/>
  </si>
  <si>
    <t>1.37</t>
    <phoneticPr fontId="1" type="noConversion"/>
  </si>
  <si>
    <t>5.36</t>
    <phoneticPr fontId="1" type="noConversion"/>
  </si>
  <si>
    <t>惠特</t>
    <phoneticPr fontId="1" type="noConversion"/>
  </si>
  <si>
    <t>51.5</t>
    <phoneticPr fontId="1" type="noConversion"/>
  </si>
  <si>
    <t>12月19年</t>
    <phoneticPr fontId="1" type="noConversion"/>
  </si>
  <si>
    <t>2.4</t>
    <phoneticPr fontId="1" type="noConversion"/>
  </si>
  <si>
    <t>1.06</t>
    <phoneticPr fontId="1" type="noConversion"/>
  </si>
  <si>
    <t>股3</t>
    <phoneticPr fontId="1" type="noConversion"/>
  </si>
  <si>
    <t>半導體自動化聖暉子公司</t>
    <phoneticPr fontId="1" type="noConversion"/>
  </si>
  <si>
    <t>海力士2666</t>
    <phoneticPr fontId="1" type="noConversion"/>
  </si>
  <si>
    <t>三星2666</t>
    <phoneticPr fontId="1" type="noConversion"/>
  </si>
  <si>
    <t>电脑型号: 戴尔 Inspiron 3470 台式电脑</t>
  </si>
  <si>
    <t>操作系统: Windows 10 64位</t>
  </si>
  <si>
    <t>电脑型号: 戴尔 Inspiron 3670 台式电脑</t>
  </si>
  <si>
    <t>操作系统: Windows 10 64位</t>
  </si>
  <si>
    <t>  处理器: 英特尔 Core i7-9700 @ 3.00GHz 八核</t>
  </si>
  <si>
    <t>    主板: 戴尔 0R6JMP</t>
  </si>
  <si>
    <t>    内存: 12 GB ( 海力士 DDR4 2666MHz )</t>
  </si>
  <si>
    <t>  主硬盘: BC501 NVMe SK hynix 256GB ( 256 GB )</t>
  </si>
  <si>
    <t>    显卡: 英特尔 UHD Graphics 630 ( 128 MB / 戴尔 )</t>
  </si>
  <si>
    <t>  显示器: 戴尔 DELA07A DELL U2412M ( 24.1 英寸  )</t>
  </si>
  <si>
    <t>    光驱: PLDS DVD+-RW DU-8A5LH DVD刻录机</t>
  </si>
  <si>
    <t>    声卡: 瑞昱  @ 英特尔 High Definition Audio 控制器</t>
  </si>
  <si>
    <t>    网卡: 瑞昱 RTL8168/8111/8112 Gigabit Ethernet Controller / 戴尔</t>
  </si>
  <si>
    <t>主板: 戴尔 0D02VH</t>
    <phoneticPr fontId="1" type="noConversion"/>
  </si>
  <si>
    <t>处理器: 英特尔 Core i5-8400 @ 2.80GHz 六核</t>
    <phoneticPr fontId="1" type="noConversion"/>
  </si>
  <si>
    <t>内存: 8 GB ( 三星 DDR4 2666MHz )</t>
    <phoneticPr fontId="1" type="noConversion"/>
  </si>
  <si>
    <t>主硬盘: 西数 WDC WDS500G2B0A ( 500 GB / 固态硬盘 )</t>
    <phoneticPr fontId="1" type="noConversion"/>
  </si>
  <si>
    <t>显卡: 英特尔 视频控制器 ( 128 MB / 戴尔 )</t>
    <phoneticPr fontId="1" type="noConversion"/>
  </si>
  <si>
    <t>显示器: 戴尔 DELA07A DELL U2412M ( 24.1 英寸  )</t>
    <phoneticPr fontId="1" type="noConversion"/>
  </si>
  <si>
    <t>声卡: 瑞昱  @ 英特尔 High Definition Audio 控制器</t>
    <phoneticPr fontId="1" type="noConversion"/>
  </si>
  <si>
    <t>网卡: 瑞昱 RTL8168/8111/8112 Gigabit Ethernet Controller / 戴尔</t>
    <phoneticPr fontId="1" type="noConversion"/>
  </si>
  <si>
    <t>富林KY</t>
    <phoneticPr fontId="1" type="noConversion"/>
  </si>
  <si>
    <t>融資租賃和泰旗下</t>
    <phoneticPr fontId="1" type="noConversion"/>
  </si>
  <si>
    <t>6.78</t>
    <phoneticPr fontId="1" type="noConversion"/>
  </si>
  <si>
    <t>旭暉應材</t>
    <phoneticPr fontId="1" type="noConversion"/>
  </si>
  <si>
    <t>建新國際</t>
    <phoneticPr fontId="1" type="noConversion"/>
  </si>
  <si>
    <t>貨櫃場</t>
    <phoneticPr fontId="1" type="noConversion"/>
  </si>
  <si>
    <t>19.9</t>
    <phoneticPr fontId="1" type="noConversion"/>
  </si>
  <si>
    <t>7.47</t>
    <phoneticPr fontId="1" type="noConversion"/>
  </si>
  <si>
    <t>捷流閥業</t>
    <phoneticPr fontId="1" type="noConversion"/>
  </si>
  <si>
    <t>閥門龍頭</t>
    <phoneticPr fontId="1" type="noConversion"/>
  </si>
  <si>
    <t>冠星KY</t>
    <phoneticPr fontId="1" type="noConversion"/>
  </si>
  <si>
    <t>13.25</t>
    <phoneticPr fontId="1" type="noConversion"/>
  </si>
  <si>
    <t>Micro LED霸主是未上市的錼創。應該是明後年台股的獨角獸，錸寶持股10%</t>
    <phoneticPr fontId="1" type="noConversion"/>
  </si>
  <si>
    <t>健身器材出口</t>
    <phoneticPr fontId="1" type="noConversion"/>
  </si>
  <si>
    <t>2020全年</t>
    <phoneticPr fontId="1" type="noConversion"/>
  </si>
  <si>
    <t>2020年1月</t>
    <phoneticPr fontId="1" type="noConversion"/>
  </si>
  <si>
    <t>撼訊</t>
    <phoneticPr fontId="1" type="noConversion"/>
  </si>
  <si>
    <t>1月20年</t>
    <phoneticPr fontId="1" type="noConversion"/>
  </si>
  <si>
    <t>-2.9</t>
    <phoneticPr fontId="1" type="noConversion"/>
  </si>
  <si>
    <t>17.6</t>
    <phoneticPr fontId="1" type="noConversion"/>
  </si>
  <si>
    <t>27.9</t>
    <phoneticPr fontId="1" type="noConversion"/>
  </si>
  <si>
    <t>台康生技</t>
    <phoneticPr fontId="1" type="noConversion"/>
  </si>
  <si>
    <t>藥品委託開發生產</t>
    <phoneticPr fontId="1" type="noConversion"/>
  </si>
  <si>
    <t>勤崴國際</t>
    <phoneticPr fontId="1" type="noConversion"/>
  </si>
  <si>
    <t>圖資中華電旗下</t>
    <phoneticPr fontId="1" type="noConversion"/>
  </si>
  <si>
    <t>晶圓代工</t>
    <phoneticPr fontId="1" type="noConversion"/>
  </si>
  <si>
    <t>64.1</t>
    <phoneticPr fontId="1" type="noConversion"/>
  </si>
  <si>
    <t>69.55</t>
    <phoneticPr fontId="1" type="noConversion"/>
  </si>
  <si>
    <t>-0.25</t>
    <phoneticPr fontId="1" type="noConversion"/>
  </si>
  <si>
    <t>14.14</t>
    <phoneticPr fontId="1" type="noConversion"/>
  </si>
  <si>
    <t>26.42</t>
    <phoneticPr fontId="1" type="noConversion"/>
  </si>
  <si>
    <t>18.89</t>
    <phoneticPr fontId="1" type="noConversion"/>
  </si>
  <si>
    <t>2.06</t>
    <phoneticPr fontId="1" type="noConversion"/>
  </si>
  <si>
    <t>33.75</t>
    <phoneticPr fontId="1" type="noConversion"/>
  </si>
  <si>
    <t>山富</t>
    <phoneticPr fontId="1" type="noConversion"/>
  </si>
  <si>
    <t>映興</t>
    <phoneticPr fontId="1" type="noConversion"/>
  </si>
  <si>
    <t>光隆精密</t>
    <phoneticPr fontId="1" type="noConversion"/>
  </si>
  <si>
    <t>大銀微系統</t>
    <phoneticPr fontId="1" type="noConversion"/>
  </si>
  <si>
    <t>30年歷任股王</t>
    <phoneticPr fontId="1" type="noConversion"/>
  </si>
  <si>
    <t>70年代</t>
    <phoneticPr fontId="1" type="noConversion"/>
  </si>
  <si>
    <t>2882</t>
    <phoneticPr fontId="1" type="noConversion"/>
  </si>
  <si>
    <t>國壽</t>
    <phoneticPr fontId="1" type="noConversion"/>
  </si>
  <si>
    <t>2702</t>
    <phoneticPr fontId="1" type="noConversion"/>
  </si>
  <si>
    <t>華園</t>
    <phoneticPr fontId="1" type="noConversion"/>
  </si>
  <si>
    <t>欣欣</t>
    <phoneticPr fontId="1" type="noConversion"/>
  </si>
  <si>
    <t>2901</t>
    <phoneticPr fontId="1" type="noConversion"/>
  </si>
  <si>
    <t>80年代</t>
    <phoneticPr fontId="1" type="noConversion"/>
  </si>
  <si>
    <t>2330</t>
    <phoneticPr fontId="1" type="noConversion"/>
  </si>
  <si>
    <t>2303</t>
    <phoneticPr fontId="1" type="noConversion"/>
  </si>
  <si>
    <t>2357</t>
    <phoneticPr fontId="1" type="noConversion"/>
  </si>
  <si>
    <t>3035</t>
    <phoneticPr fontId="1" type="noConversion"/>
  </si>
  <si>
    <t>2313</t>
    <phoneticPr fontId="1" type="noConversion"/>
  </si>
  <si>
    <t>台積電</t>
    <phoneticPr fontId="1" type="noConversion"/>
  </si>
  <si>
    <t>華碩</t>
    <phoneticPr fontId="1" type="noConversion"/>
  </si>
  <si>
    <t>智原</t>
    <phoneticPr fontId="1" type="noConversion"/>
  </si>
  <si>
    <t>華通</t>
    <phoneticPr fontId="1" type="noConversion"/>
  </si>
  <si>
    <t>2382</t>
    <phoneticPr fontId="1" type="noConversion"/>
  </si>
  <si>
    <t>聯電</t>
    <phoneticPr fontId="1" type="noConversion"/>
  </si>
  <si>
    <t>2388</t>
    <phoneticPr fontId="1" type="noConversion"/>
  </si>
  <si>
    <t>廣達</t>
    <phoneticPr fontId="1" type="noConversion"/>
  </si>
  <si>
    <t>威盛</t>
    <phoneticPr fontId="1" type="noConversion"/>
  </si>
  <si>
    <t>3008</t>
    <phoneticPr fontId="1" type="noConversion"/>
  </si>
  <si>
    <t>2498</t>
    <phoneticPr fontId="1" type="noConversion"/>
  </si>
  <si>
    <t>6244</t>
    <phoneticPr fontId="1" type="noConversion"/>
  </si>
  <si>
    <t>3452</t>
    <phoneticPr fontId="1" type="noConversion"/>
  </si>
  <si>
    <t>2707</t>
    <phoneticPr fontId="1" type="noConversion"/>
  </si>
  <si>
    <t>8076</t>
    <phoneticPr fontId="1" type="noConversion"/>
  </si>
  <si>
    <t>聯發科</t>
    <phoneticPr fontId="1" type="noConversion"/>
  </si>
  <si>
    <t>大立光</t>
    <phoneticPr fontId="1" type="noConversion"/>
  </si>
  <si>
    <t>宏達電</t>
    <phoneticPr fontId="1" type="noConversion"/>
  </si>
  <si>
    <t>茂迪</t>
    <phoneticPr fontId="1" type="noConversion"/>
  </si>
  <si>
    <t>益通</t>
    <phoneticPr fontId="1" type="noConversion"/>
  </si>
  <si>
    <t>晶華</t>
    <phoneticPr fontId="1" type="noConversion"/>
  </si>
  <si>
    <t>伍豐</t>
    <phoneticPr fontId="1" type="noConversion"/>
  </si>
  <si>
    <t>100年代</t>
    <phoneticPr fontId="1" type="noConversion"/>
  </si>
  <si>
    <t>23.5</t>
    <phoneticPr fontId="1" type="noConversion"/>
  </si>
  <si>
    <t>斌</t>
    <phoneticPr fontId="1" type="noConversion"/>
  </si>
  <si>
    <t>5.93</t>
    <phoneticPr fontId="1" type="noConversion"/>
  </si>
  <si>
    <t>29.43</t>
    <phoneticPr fontId="1" type="noConversion"/>
  </si>
  <si>
    <t>車鑄件零組件</t>
    <phoneticPr fontId="1" type="noConversion"/>
  </si>
  <si>
    <t>汽車</t>
    <phoneticPr fontId="1" type="noConversion"/>
  </si>
  <si>
    <t>“急漲急跌，非底部”，底部的形成只有以下4種情況，沒有例外：</t>
    <phoneticPr fontId="1" type="noConversion"/>
  </si>
  <si>
    <t>1.曲終人散，量能急凍：這是最常見的一種，幾乎沒有人在關心股市。</t>
    <phoneticPr fontId="1" type="noConversion"/>
  </si>
  <si>
    <t>4.底部晨星，多空扭轉：第一種情況延續一段時間後，底部出現晨星破曉的技術K棒，也是明顯的“底部訊號”。</t>
    <phoneticPr fontId="1" type="noConversion"/>
  </si>
  <si>
    <t>-38.18</t>
    <phoneticPr fontId="1" type="noConversion"/>
  </si>
  <si>
    <t>54</t>
    <phoneticPr fontId="1" type="noConversion"/>
  </si>
  <si>
    <t>221</t>
    <phoneticPr fontId="1" type="noConversion"/>
  </si>
  <si>
    <t>-29.95</t>
    <phoneticPr fontId="1" type="noConversion"/>
  </si>
  <si>
    <t>-0.64</t>
    <phoneticPr fontId="1" type="noConversion"/>
  </si>
  <si>
    <t>-29.11</t>
    <phoneticPr fontId="1" type="noConversion"/>
  </si>
  <si>
    <t>-6.0</t>
    <phoneticPr fontId="1" type="noConversion"/>
  </si>
  <si>
    <t>織布佳和旗下</t>
    <phoneticPr fontId="1" type="noConversion"/>
  </si>
  <si>
    <t>4.06</t>
    <phoneticPr fontId="1" type="noConversion"/>
  </si>
  <si>
    <t>LED設備鼎元旗下同業致茂</t>
    <phoneticPr fontId="1" type="noConversion"/>
  </si>
  <si>
    <t>應廣</t>
    <phoneticPr fontId="1" type="noConversion"/>
  </si>
  <si>
    <t>散熱風扇微控制器台大</t>
    <phoneticPr fontId="1" type="noConversion"/>
  </si>
  <si>
    <t>25</t>
    <phoneticPr fontId="1" type="noConversion"/>
  </si>
  <si>
    <t>維他命D全前3</t>
    <phoneticPr fontId="1" type="noConversion"/>
  </si>
  <si>
    <t>加工機</t>
    <phoneticPr fontId="1" type="noConversion"/>
  </si>
  <si>
    <t>14.88</t>
    <phoneticPr fontId="1" type="noConversion"/>
  </si>
  <si>
    <t>2.08</t>
    <phoneticPr fontId="1" type="noConversion"/>
  </si>
  <si>
    <t>3月20年</t>
    <phoneticPr fontId="1" type="noConversion"/>
  </si>
  <si>
    <t>-0.15</t>
    <phoneticPr fontId="1" type="noConversion"/>
  </si>
  <si>
    <t>7.81</t>
    <phoneticPr fontId="1" type="noConversion"/>
  </si>
  <si>
    <t>3.92</t>
    <phoneticPr fontId="1" type="noConversion"/>
  </si>
  <si>
    <t>6.26</t>
    <phoneticPr fontId="1" type="noConversion"/>
  </si>
  <si>
    <t>光電</t>
    <phoneticPr fontId="1" type="noConversion"/>
  </si>
  <si>
    <t>面板沖壓件</t>
    <phoneticPr fontId="1" type="noConversion"/>
  </si>
  <si>
    <t>州巧</t>
    <phoneticPr fontId="1" type="noConversion"/>
  </si>
  <si>
    <t>電子秤</t>
    <phoneticPr fontId="1" type="noConversion"/>
  </si>
  <si>
    <t>A128461593</t>
    <phoneticPr fontId="1" type="noConversion"/>
  </si>
  <si>
    <t>電子零組件代理</t>
    <phoneticPr fontId="1" type="noConversion"/>
  </si>
  <si>
    <t>7.76</t>
    <phoneticPr fontId="1" type="noConversion"/>
  </si>
  <si>
    <t>16.3</t>
    <phoneticPr fontId="1" type="noConversion"/>
  </si>
  <si>
    <t>活塞汽車鍛件</t>
    <phoneticPr fontId="1" type="noConversion"/>
  </si>
  <si>
    <t>59.1</t>
    <phoneticPr fontId="1" type="noConversion"/>
  </si>
  <si>
    <t>股3消</t>
    <phoneticPr fontId="1" type="noConversion"/>
  </si>
  <si>
    <t>8.53</t>
    <phoneticPr fontId="1" type="noConversion"/>
  </si>
  <si>
    <t>7.46</t>
    <phoneticPr fontId="1" type="noConversion"/>
  </si>
  <si>
    <t>光隆精密KY</t>
    <phoneticPr fontId="1" type="noConversion"/>
  </si>
  <si>
    <t>31.6</t>
    <phoneticPr fontId="1" type="noConversion"/>
  </si>
  <si>
    <t>30.5</t>
    <phoneticPr fontId="1" type="noConversion"/>
  </si>
  <si>
    <t>-2.11</t>
    <phoneticPr fontId="1" type="noConversion"/>
  </si>
  <si>
    <t>-18</t>
    <phoneticPr fontId="1" type="noConversion"/>
  </si>
  <si>
    <t>23.7</t>
    <phoneticPr fontId="1" type="noConversion"/>
  </si>
  <si>
    <t>製程設備真空元件供應商台大</t>
    <phoneticPr fontId="1" type="noConversion"/>
  </si>
  <si>
    <t>藥品經銷物流佳醫旗下</t>
    <phoneticPr fontId="1" type="noConversion"/>
  </si>
  <si>
    <t>三竹</t>
    <phoneticPr fontId="1" type="noConversion"/>
  </si>
  <si>
    <t>金融服務軟體</t>
    <phoneticPr fontId="1" type="noConversion"/>
  </si>
  <si>
    <t>基亞旗下腸病毒流感疫苗</t>
    <phoneticPr fontId="1" type="noConversion"/>
  </si>
  <si>
    <t>永固KY</t>
    <phoneticPr fontId="1" type="noConversion"/>
  </si>
  <si>
    <t>連接器</t>
    <phoneticPr fontId="1" type="noConversion"/>
  </si>
  <si>
    <t>安碁資訊</t>
    <phoneticPr fontId="1" type="noConversion"/>
  </si>
  <si>
    <t>安全管理宏碁旗下</t>
    <phoneticPr fontId="1" type="noConversion"/>
  </si>
  <si>
    <t>PCB全前3華新旗下</t>
    <phoneticPr fontId="1" type="noConversion"/>
  </si>
  <si>
    <t>30.33</t>
    <phoneticPr fontId="1" type="noConversion"/>
  </si>
  <si>
    <t>25.5</t>
    <phoneticPr fontId="1" type="noConversion"/>
  </si>
  <si>
    <t>53.28</t>
    <phoneticPr fontId="1" type="noConversion"/>
  </si>
  <si>
    <t>57.56</t>
    <phoneticPr fontId="1" type="noConversion"/>
  </si>
  <si>
    <t>3.46</t>
    <phoneticPr fontId="1" type="noConversion"/>
  </si>
  <si>
    <t>預拌混凝土重慶</t>
    <phoneticPr fontId="1" type="noConversion"/>
  </si>
  <si>
    <t>5月20年</t>
    <phoneticPr fontId="1" type="noConversion"/>
  </si>
  <si>
    <t>4.42</t>
    <phoneticPr fontId="1" type="noConversion"/>
  </si>
  <si>
    <t>4.89</t>
    <phoneticPr fontId="1" type="noConversion"/>
  </si>
  <si>
    <t>-13.04</t>
    <phoneticPr fontId="1" type="noConversion"/>
  </si>
  <si>
    <t>-13.04</t>
    <phoneticPr fontId="1" type="noConversion"/>
  </si>
  <si>
    <t>昇佳電子</t>
    <phoneticPr fontId="1" type="noConversion"/>
  </si>
  <si>
    <t>3.89</t>
    <phoneticPr fontId="1" type="noConversion"/>
  </si>
  <si>
    <t>ABC-KY</t>
    <phoneticPr fontId="1" type="noConversion"/>
  </si>
  <si>
    <t>醫療檢測宏碁旗下</t>
    <phoneticPr fontId="1" type="noConversion"/>
  </si>
  <si>
    <t>台驊投控</t>
    <phoneticPr fontId="1" type="noConversion"/>
  </si>
  <si>
    <t>嘉基</t>
    <phoneticPr fontId="1" type="noConversion"/>
  </si>
  <si>
    <t>連接線嘉澤轉投資</t>
    <phoneticPr fontId="1" type="noConversion"/>
  </si>
  <si>
    <t>IC記憶體</t>
    <phoneticPr fontId="1" type="noConversion"/>
  </si>
  <si>
    <t>IC消費性</t>
    <phoneticPr fontId="1" type="noConversion"/>
  </si>
  <si>
    <t>感測器IC矽創旗下</t>
    <phoneticPr fontId="1" type="noConversion"/>
  </si>
  <si>
    <t>59.64</t>
    <phoneticPr fontId="1" type="noConversion"/>
  </si>
  <si>
    <t>140.6</t>
    <phoneticPr fontId="1" type="noConversion"/>
  </si>
  <si>
    <t>31.1</t>
    <phoneticPr fontId="1" type="noConversion"/>
  </si>
  <si>
    <t>89</t>
    <phoneticPr fontId="1" type="noConversion"/>
  </si>
  <si>
    <t>太陽能矽晶圓台第3轉投資碩禾</t>
    <phoneticPr fontId="1" type="noConversion"/>
  </si>
  <si>
    <t>工業電腦華碩旗下</t>
    <phoneticPr fontId="1" type="noConversion"/>
  </si>
  <si>
    <t>東典</t>
    <phoneticPr fontId="1" type="noConversion"/>
  </si>
  <si>
    <t>東典光電</t>
    <phoneticPr fontId="1" type="noConversion"/>
  </si>
  <si>
    <t>光通訊濾光片東鹹旗下</t>
    <phoneticPr fontId="1" type="noConversion"/>
  </si>
  <si>
    <t>9.69</t>
    <phoneticPr fontId="1" type="noConversion"/>
  </si>
  <si>
    <t>122.1</t>
    <phoneticPr fontId="1" type="noConversion"/>
  </si>
  <si>
    <t>32.5</t>
    <phoneticPr fontId="1" type="noConversion"/>
  </si>
  <si>
    <t>6.54</t>
    <phoneticPr fontId="1" type="noConversion"/>
  </si>
  <si>
    <t>15.63</t>
    <phoneticPr fontId="1" type="noConversion"/>
  </si>
  <si>
    <t>6.66</t>
    <phoneticPr fontId="1" type="noConversion"/>
  </si>
  <si>
    <t>18.7</t>
    <phoneticPr fontId="1" type="noConversion"/>
  </si>
  <si>
    <t>航空器修護</t>
    <phoneticPr fontId="1" type="noConversion"/>
  </si>
  <si>
    <t>氣壓零組件</t>
    <phoneticPr fontId="1" type="noConversion"/>
  </si>
  <si>
    <t>11.4</t>
    <phoneticPr fontId="1" type="noConversion"/>
  </si>
  <si>
    <t>電子代工金仁寶旗下</t>
    <phoneticPr fontId="1" type="noConversion"/>
  </si>
  <si>
    <t>10.34</t>
    <phoneticPr fontId="1" type="noConversion"/>
  </si>
  <si>
    <t>泰式料理</t>
    <phoneticPr fontId="1" type="noConversion"/>
  </si>
  <si>
    <t>功能鞋</t>
    <phoneticPr fontId="1" type="noConversion"/>
  </si>
  <si>
    <t>類比電源管理IC</t>
    <phoneticPr fontId="1" type="noConversion"/>
  </si>
  <si>
    <t>NB樞紐全大</t>
    <phoneticPr fontId="1" type="noConversion"/>
  </si>
  <si>
    <t>太陽能電池</t>
    <phoneticPr fontId="1" type="noConversion"/>
  </si>
  <si>
    <t>汽電共生</t>
    <phoneticPr fontId="1" type="noConversion"/>
  </si>
  <si>
    <t>光罩載具</t>
    <phoneticPr fontId="1" type="noConversion"/>
  </si>
  <si>
    <t>4.23</t>
    <phoneticPr fontId="1" type="noConversion"/>
  </si>
  <si>
    <t>預拌混凝土</t>
    <phoneticPr fontId="1" type="noConversion"/>
  </si>
  <si>
    <t>軟體緯創旗下</t>
    <phoneticPr fontId="1" type="noConversion"/>
  </si>
  <si>
    <t>匯僑設計</t>
    <phoneticPr fontId="1" type="noConversion"/>
  </si>
  <si>
    <t>其他</t>
    <phoneticPr fontId="1" type="noConversion"/>
  </si>
  <si>
    <t>室內設計</t>
    <phoneticPr fontId="1" type="noConversion"/>
  </si>
  <si>
    <t>建商台鐵高鐵捷運沿線</t>
    <phoneticPr fontId="1" type="noConversion"/>
  </si>
  <si>
    <t>34.4</t>
    <phoneticPr fontId="1" type="noConversion"/>
  </si>
  <si>
    <t>艾姆勒</t>
    <phoneticPr fontId="1" type="noConversion"/>
  </si>
  <si>
    <t>Samsung代理</t>
    <phoneticPr fontId="1" type="noConversion"/>
  </si>
  <si>
    <t>運動器材零件</t>
    <phoneticPr fontId="1" type="noConversion"/>
  </si>
  <si>
    <t>金屬2次加工</t>
    <phoneticPr fontId="1" type="noConversion"/>
  </si>
  <si>
    <t>19.6</t>
    <phoneticPr fontId="1" type="noConversion"/>
  </si>
  <si>
    <t>鋁質電容被動元件</t>
    <phoneticPr fontId="1" type="noConversion"/>
  </si>
  <si>
    <t>塑膠模具</t>
    <phoneticPr fontId="1" type="noConversion"/>
  </si>
  <si>
    <t>電動車逆變器散熱</t>
    <phoneticPr fontId="1" type="noConversion"/>
  </si>
  <si>
    <t>8.69</t>
    <phoneticPr fontId="1" type="noConversion"/>
  </si>
  <si>
    <t>穿戴式鋰電池</t>
    <phoneticPr fontId="1" type="noConversion"/>
  </si>
  <si>
    <t>14.0</t>
    <phoneticPr fontId="1" type="noConversion"/>
  </si>
  <si>
    <t>健身器材</t>
    <phoneticPr fontId="1" type="noConversion"/>
  </si>
  <si>
    <t>電力變壓器</t>
    <phoneticPr fontId="1" type="noConversion"/>
  </si>
  <si>
    <t>33.2</t>
    <phoneticPr fontId="1" type="noConversion"/>
  </si>
  <si>
    <t>25.56</t>
    <phoneticPr fontId="1" type="noConversion"/>
  </si>
  <si>
    <t>2020年8月16日設魚缸</t>
    <phoneticPr fontId="1" type="noConversion"/>
  </si>
  <si>
    <t>微型泵浦</t>
    <phoneticPr fontId="1" type="noConversion"/>
  </si>
  <si>
    <t>29.6</t>
    <phoneticPr fontId="1" type="noConversion"/>
  </si>
  <si>
    <t>半導體測試聯電旗下</t>
    <phoneticPr fontId="1" type="noConversion"/>
  </si>
  <si>
    <t>3.73</t>
    <phoneticPr fontId="1" type="noConversion"/>
  </si>
  <si>
    <t>演唱會</t>
    <phoneticPr fontId="1" type="noConversion"/>
  </si>
  <si>
    <t>30.43</t>
    <phoneticPr fontId="1" type="noConversion"/>
  </si>
  <si>
    <t>12.65</t>
    <phoneticPr fontId="1" type="noConversion"/>
  </si>
  <si>
    <t>齒輪</t>
    <phoneticPr fontId="1" type="noConversion"/>
  </si>
  <si>
    <t>42.5</t>
    <phoneticPr fontId="1" type="noConversion"/>
  </si>
  <si>
    <t>建築統包</t>
    <phoneticPr fontId="1" type="noConversion"/>
  </si>
  <si>
    <t>太陽能電池遠雄轉投資</t>
    <phoneticPr fontId="1" type="noConversion"/>
  </si>
  <si>
    <t>電機仰德旗下</t>
    <phoneticPr fontId="1" type="noConversion"/>
  </si>
  <si>
    <t>證券</t>
    <phoneticPr fontId="1" type="noConversion"/>
  </si>
  <si>
    <t>聚光片光群雷轉投資</t>
    <phoneticPr fontId="1" type="noConversion"/>
  </si>
  <si>
    <t>PC散熱風扇</t>
    <phoneticPr fontId="1" type="noConversion"/>
  </si>
  <si>
    <t>汽車結構件</t>
    <phoneticPr fontId="1" type="noConversion"/>
  </si>
  <si>
    <t>37.27</t>
    <phoneticPr fontId="1" type="noConversion"/>
  </si>
  <si>
    <t>滾珠螺桿全3</t>
    <phoneticPr fontId="1" type="noConversion"/>
  </si>
  <si>
    <t>材料驗證</t>
    <phoneticPr fontId="1" type="noConversion"/>
  </si>
  <si>
    <t>聚酯加工絲台10大</t>
    <phoneticPr fontId="1" type="noConversion"/>
  </si>
  <si>
    <t>不鏽鋼加工</t>
    <phoneticPr fontId="1" type="noConversion"/>
  </si>
  <si>
    <t>1.33</t>
    <phoneticPr fontId="1" type="noConversion"/>
  </si>
  <si>
    <t>亞洲藏壽司</t>
    <phoneticPr fontId="1" type="noConversion"/>
  </si>
  <si>
    <t>迴轉壽司</t>
    <phoneticPr fontId="1" type="noConversion"/>
  </si>
  <si>
    <t>資安軟硬體</t>
    <phoneticPr fontId="1" type="noConversion"/>
  </si>
  <si>
    <t>再生晶圓</t>
    <phoneticPr fontId="1" type="noConversion"/>
  </si>
  <si>
    <t>康全電訊</t>
    <phoneticPr fontId="1" type="noConversion"/>
  </si>
  <si>
    <t>網路設備訊舟轉投資</t>
    <phoneticPr fontId="1" type="noConversion"/>
  </si>
  <si>
    <t>砷化鎵射頻IC</t>
    <phoneticPr fontId="1" type="noConversion"/>
  </si>
  <si>
    <t>85度C</t>
    <phoneticPr fontId="1" type="noConversion"/>
  </si>
  <si>
    <t>2.36</t>
    <phoneticPr fontId="1" type="noConversion"/>
  </si>
  <si>
    <t>遊戲智冠旗下</t>
    <phoneticPr fontId="1" type="noConversion"/>
  </si>
  <si>
    <t>建商</t>
    <phoneticPr fontId="1" type="noConversion"/>
  </si>
  <si>
    <t>電子詞典英業達旗下</t>
    <phoneticPr fontId="1" type="noConversion"/>
  </si>
  <si>
    <t>海運物流</t>
    <phoneticPr fontId="1" type="noConversion"/>
  </si>
  <si>
    <t>散裝船</t>
    <phoneticPr fontId="1" type="noConversion"/>
  </si>
  <si>
    <t>票券證劵</t>
    <phoneticPr fontId="1" type="noConversion"/>
  </si>
  <si>
    <t>營建地產遠雄集團</t>
    <phoneticPr fontId="1" type="noConversion"/>
  </si>
  <si>
    <t>96.4</t>
    <phoneticPr fontId="1" type="noConversion"/>
  </si>
  <si>
    <t>97.5</t>
    <phoneticPr fontId="1" type="noConversion"/>
  </si>
  <si>
    <t>太陽能電池廣運轉投資</t>
    <phoneticPr fontId="1" type="noConversion"/>
  </si>
  <si>
    <t>織染布</t>
    <phoneticPr fontId="1" type="noConversion"/>
  </si>
  <si>
    <t>牛仔成衣</t>
    <phoneticPr fontId="1" type="noConversion"/>
  </si>
  <si>
    <t>水泥通路</t>
    <phoneticPr fontId="1" type="noConversion"/>
  </si>
  <si>
    <t>票券</t>
    <phoneticPr fontId="1" type="noConversion"/>
  </si>
  <si>
    <t>車用LED</t>
    <phoneticPr fontId="1" type="noConversion"/>
  </si>
  <si>
    <t>工業銀行第1家</t>
    <phoneticPr fontId="1" type="noConversion"/>
  </si>
  <si>
    <t>39.3</t>
    <phoneticPr fontId="1" type="noConversion"/>
  </si>
  <si>
    <t>木工具機</t>
    <phoneticPr fontId="1" type="noConversion"/>
  </si>
  <si>
    <t>普鴻</t>
    <phoneticPr fontId="1" type="noConversion"/>
  </si>
  <si>
    <t>金融加密</t>
    <phoneticPr fontId="1" type="noConversion"/>
  </si>
  <si>
    <t>光學鏡頭</t>
    <phoneticPr fontId="1" type="noConversion"/>
  </si>
  <si>
    <t>汎德永業</t>
    <phoneticPr fontId="1" type="noConversion"/>
  </si>
  <si>
    <t>進口車</t>
    <phoneticPr fontId="1" type="noConversion"/>
  </si>
  <si>
    <t>購物中心</t>
    <phoneticPr fontId="1" type="noConversion"/>
  </si>
  <si>
    <t>宅配東元與日本通運合資</t>
    <phoneticPr fontId="1" type="noConversion"/>
  </si>
  <si>
    <t>3.43</t>
    <phoneticPr fontId="1" type="noConversion"/>
  </si>
  <si>
    <t>網路CPU</t>
    <phoneticPr fontId="1" type="noConversion"/>
  </si>
  <si>
    <t>4.33</t>
    <phoneticPr fontId="1" type="noConversion"/>
  </si>
  <si>
    <t>面膜美妝</t>
    <phoneticPr fontId="1" type="noConversion"/>
  </si>
  <si>
    <t>軒郁</t>
    <phoneticPr fontId="1" type="noConversion"/>
  </si>
  <si>
    <t>45.33</t>
    <phoneticPr fontId="1" type="noConversion"/>
  </si>
  <si>
    <t>大陸建設</t>
    <phoneticPr fontId="1" type="noConversion"/>
  </si>
  <si>
    <t>記憶卡</t>
    <phoneticPr fontId="1" type="noConversion"/>
  </si>
  <si>
    <t>58.61</t>
    <phoneticPr fontId="1" type="noConversion"/>
  </si>
  <si>
    <t>17.23</t>
    <phoneticPr fontId="1" type="noConversion"/>
  </si>
  <si>
    <t>建商甲山林旗下</t>
    <phoneticPr fontId="1" type="noConversion"/>
  </si>
  <si>
    <t>4.70</t>
    <phoneticPr fontId="1" type="noConversion"/>
  </si>
  <si>
    <t>影像處理</t>
    <phoneticPr fontId="1" type="noConversion"/>
  </si>
  <si>
    <t>美妝</t>
    <phoneticPr fontId="1" type="noConversion"/>
  </si>
  <si>
    <t>自由貿易港區海陸空聯運</t>
    <phoneticPr fontId="1" type="noConversion"/>
  </si>
  <si>
    <t>多媒體影音</t>
    <phoneticPr fontId="1" type="noConversion"/>
  </si>
  <si>
    <t>意德士</t>
    <phoneticPr fontId="1" type="noConversion"/>
  </si>
  <si>
    <t>廠務工程製程設備</t>
    <phoneticPr fontId="1" type="noConversion"/>
  </si>
  <si>
    <t>精密零組件材料製程設備</t>
    <phoneticPr fontId="1" type="noConversion"/>
  </si>
  <si>
    <t>16.88</t>
    <phoneticPr fontId="1" type="noConversion"/>
  </si>
  <si>
    <t>24.87</t>
    <phoneticPr fontId="1" type="noConversion"/>
  </si>
  <si>
    <t>傳輸晶片華碩旗下</t>
    <phoneticPr fontId="1" type="noConversion"/>
  </si>
  <si>
    <t>新晶投控</t>
    <phoneticPr fontId="1" type="noConversion"/>
  </si>
  <si>
    <t>大潤發潤泰旗下</t>
    <phoneticPr fontId="1" type="noConversion"/>
  </si>
  <si>
    <t>貿易商</t>
    <phoneticPr fontId="1" type="noConversion"/>
  </si>
  <si>
    <t>貨櫃士林旗下</t>
    <phoneticPr fontId="1" type="noConversion"/>
  </si>
  <si>
    <t>LCD明基友達旗下</t>
    <phoneticPr fontId="1" type="noConversion"/>
  </si>
  <si>
    <t>X86IC設計</t>
    <phoneticPr fontId="1" type="noConversion"/>
  </si>
  <si>
    <t>包材炎洲旗下</t>
    <phoneticPr fontId="1" type="noConversion"/>
  </si>
  <si>
    <t>35.0</t>
    <phoneticPr fontId="1" type="noConversion"/>
  </si>
  <si>
    <t>甲級營造</t>
    <phoneticPr fontId="1" type="noConversion"/>
  </si>
  <si>
    <t>20.45</t>
    <phoneticPr fontId="1" type="noConversion"/>
  </si>
  <si>
    <t>21.67</t>
    <phoneticPr fontId="1" type="noConversion"/>
  </si>
  <si>
    <t>26.7</t>
    <phoneticPr fontId="1" type="noConversion"/>
  </si>
  <si>
    <t>銅纜光纜鴻海轉投資</t>
    <phoneticPr fontId="1" type="noConversion"/>
  </si>
  <si>
    <t>24.47</t>
    <phoneticPr fontId="1" type="noConversion"/>
  </si>
  <si>
    <t>11.21</t>
    <phoneticPr fontId="1" type="noConversion"/>
  </si>
  <si>
    <t>陞逹科技</t>
    <phoneticPr fontId="1" type="noConversion"/>
  </si>
  <si>
    <t>4.49</t>
    <phoneticPr fontId="1" type="noConversion"/>
  </si>
  <si>
    <t>娛樂製作台大</t>
    <phoneticPr fontId="1" type="noConversion"/>
  </si>
  <si>
    <t>風扇驅動IC</t>
    <phoneticPr fontId="1" type="noConversion"/>
  </si>
  <si>
    <t>八貫</t>
    <phoneticPr fontId="1" type="noConversion"/>
  </si>
  <si>
    <t>機能性布薄膜</t>
    <phoneticPr fontId="1" type="noConversion"/>
  </si>
  <si>
    <t>63.2</t>
    <phoneticPr fontId="1" type="noConversion"/>
  </si>
  <si>
    <t>5.25</t>
    <phoneticPr fontId="1" type="noConversion"/>
  </si>
  <si>
    <t>28.87</t>
    <phoneticPr fontId="1" type="noConversion"/>
  </si>
  <si>
    <t>新藥新劑型</t>
    <phoneticPr fontId="1" type="noConversion"/>
  </si>
  <si>
    <t>亞泰金屬</t>
    <phoneticPr fontId="1" type="noConversion"/>
  </si>
  <si>
    <t>塗佈設備</t>
    <phoneticPr fontId="1" type="noConversion"/>
  </si>
  <si>
    <t>食品添加劑電子化材</t>
    <phoneticPr fontId="1" type="noConversion"/>
  </si>
  <si>
    <t>3.66</t>
    <phoneticPr fontId="1" type="noConversion"/>
  </si>
  <si>
    <t>97.7</t>
    <phoneticPr fontId="1" type="noConversion"/>
  </si>
  <si>
    <t>15.13</t>
    <phoneticPr fontId="1" type="noConversion"/>
  </si>
  <si>
    <t>車燈</t>
    <phoneticPr fontId="1" type="noConversion"/>
  </si>
  <si>
    <t>PCB華新旗下瀚宇博轉投資</t>
    <phoneticPr fontId="1" type="noConversion"/>
  </si>
  <si>
    <t>19.27</t>
    <phoneticPr fontId="1" type="noConversion"/>
  </si>
  <si>
    <t>10.67</t>
    <phoneticPr fontId="1" type="noConversion"/>
  </si>
  <si>
    <t>26.37</t>
    <phoneticPr fontId="1" type="noConversion"/>
  </si>
  <si>
    <t>電子材料</t>
    <phoneticPr fontId="1" type="noConversion"/>
  </si>
  <si>
    <t>萬年清</t>
    <phoneticPr fontId="1" type="noConversion"/>
  </si>
  <si>
    <t>廢水處理</t>
    <phoneticPr fontId="1" type="noConversion"/>
  </si>
  <si>
    <t>泰金KY</t>
    <phoneticPr fontId="1" type="noConversion"/>
  </si>
  <si>
    <t>家飾鑄件</t>
    <phoneticPr fontId="1" type="noConversion"/>
  </si>
  <si>
    <t>東捷資訊</t>
    <phoneticPr fontId="1" type="noConversion"/>
  </si>
  <si>
    <t>ERP東元旗下</t>
    <phoneticPr fontId="1" type="noConversion"/>
  </si>
  <si>
    <t>叡揚資訊</t>
    <phoneticPr fontId="1" type="noConversion"/>
  </si>
  <si>
    <t>血壓計全3</t>
    <phoneticPr fontId="1" type="noConversion"/>
  </si>
  <si>
    <t>94.7</t>
    <phoneticPr fontId="1" type="noConversion"/>
  </si>
  <si>
    <t>數位看板緯創轉投資</t>
    <phoneticPr fontId="1" type="noConversion"/>
  </si>
  <si>
    <t>消費IC淩陽轉投資</t>
    <phoneticPr fontId="1" type="noConversion"/>
  </si>
  <si>
    <t>散裝航運</t>
    <phoneticPr fontId="1" type="noConversion"/>
  </si>
  <si>
    <t>21.78</t>
    <phoneticPr fontId="1" type="noConversion"/>
  </si>
  <si>
    <t>網球拍</t>
    <phoneticPr fontId="1" type="noConversion"/>
  </si>
  <si>
    <t>融資裕隆旗下</t>
    <phoneticPr fontId="1" type="noConversion"/>
  </si>
  <si>
    <t>安普新</t>
    <phoneticPr fontId="1" type="noConversion"/>
  </si>
  <si>
    <t>耀登</t>
    <phoneticPr fontId="1" type="noConversion"/>
  </si>
  <si>
    <t>天線儀器代理</t>
    <phoneticPr fontId="1" type="noConversion"/>
  </si>
  <si>
    <t>鑽孔機</t>
    <phoneticPr fontId="1" type="noConversion"/>
  </si>
  <si>
    <t>34.09</t>
    <phoneticPr fontId="1" type="noConversion"/>
  </si>
  <si>
    <t>揚秦</t>
    <phoneticPr fontId="1" type="noConversion"/>
  </si>
  <si>
    <t>麥味登</t>
    <phoneticPr fontId="1" type="noConversion"/>
  </si>
  <si>
    <t>建商聨上旗下</t>
    <phoneticPr fontId="1" type="noConversion"/>
  </si>
  <si>
    <t>58.72</t>
    <phoneticPr fontId="1" type="noConversion"/>
  </si>
  <si>
    <t>逹亞</t>
    <phoneticPr fontId="1" type="noConversion"/>
  </si>
  <si>
    <t>耳機</t>
    <phoneticPr fontId="1" type="noConversion"/>
  </si>
  <si>
    <t>企業e化</t>
    <phoneticPr fontId="1" type="noConversion"/>
  </si>
  <si>
    <t>醫療器材益安旗下</t>
    <phoneticPr fontId="1" type="noConversion"/>
  </si>
  <si>
    <t>相機鏡片</t>
    <phoneticPr fontId="1" type="noConversion"/>
  </si>
  <si>
    <t>電腦機殼電源供應器</t>
    <phoneticPr fontId="1" type="noConversion"/>
  </si>
  <si>
    <t>免疫癌症</t>
    <phoneticPr fontId="1" type="noConversion"/>
  </si>
  <si>
    <t>9.11</t>
    <phoneticPr fontId="1" type="noConversion"/>
  </si>
  <si>
    <t>8.21</t>
    <phoneticPr fontId="1" type="noConversion"/>
  </si>
  <si>
    <t>空氣壓縮機</t>
    <phoneticPr fontId="1" type="noConversion"/>
  </si>
  <si>
    <t>記憶體IC</t>
    <phoneticPr fontId="1" type="noConversion"/>
  </si>
  <si>
    <t>4.50</t>
    <phoneticPr fontId="1" type="noConversion"/>
  </si>
  <si>
    <t>89.1</t>
    <phoneticPr fontId="1" type="noConversion"/>
  </si>
  <si>
    <t>30.38</t>
    <phoneticPr fontId="1" type="noConversion"/>
  </si>
  <si>
    <t>威鋒電子</t>
    <phoneticPr fontId="1" type="noConversion"/>
  </si>
  <si>
    <t>USB晶片威盛旗下</t>
    <phoneticPr fontId="1" type="noConversion"/>
  </si>
  <si>
    <t>影音訊號台大</t>
    <phoneticPr fontId="1" type="noConversion"/>
  </si>
  <si>
    <t>工業紙台3大</t>
    <phoneticPr fontId="1" type="noConversion"/>
  </si>
  <si>
    <t>車載影音</t>
    <phoneticPr fontId="1" type="noConversion"/>
  </si>
  <si>
    <t>30.77</t>
    <phoneticPr fontId="1" type="noConversion"/>
  </si>
  <si>
    <t>智聯服務</t>
    <phoneticPr fontId="1" type="noConversion"/>
  </si>
  <si>
    <t>IT服務宏碁旗下</t>
    <phoneticPr fontId="1" type="noConversion"/>
  </si>
  <si>
    <t>上洋</t>
    <phoneticPr fontId="1" type="noConversion"/>
  </si>
  <si>
    <t>商用洗衣機</t>
    <phoneticPr fontId="1" type="noConversion"/>
  </si>
  <si>
    <t>資訊工程中鼎旗下</t>
    <phoneticPr fontId="1" type="noConversion"/>
  </si>
  <si>
    <t>網路IC聯電旗下</t>
    <phoneticPr fontId="1" type="noConversion"/>
  </si>
  <si>
    <t>18.82</t>
    <phoneticPr fontId="1" type="noConversion"/>
  </si>
  <si>
    <t>STN IC元太轉投資</t>
    <phoneticPr fontId="1" type="noConversion"/>
  </si>
  <si>
    <t>14.67</t>
    <phoneticPr fontId="1" type="noConversion"/>
  </si>
  <si>
    <t>靜電IC</t>
    <phoneticPr fontId="1" type="noConversion"/>
  </si>
  <si>
    <t>不鏽鋼管亞大</t>
    <phoneticPr fontId="1" type="noConversion"/>
  </si>
  <si>
    <t>飲料酒品</t>
    <phoneticPr fontId="1" type="noConversion"/>
  </si>
  <si>
    <t>新藥晟德旗下</t>
    <phoneticPr fontId="1" type="noConversion"/>
  </si>
  <si>
    <t>類股</t>
    <phoneticPr fontId="1" type="noConversion"/>
  </si>
  <si>
    <t>1</t>
    <phoneticPr fontId="34" type="noConversion"/>
  </si>
  <si>
    <t>8.68</t>
    <phoneticPr fontId="1" type="noConversion"/>
  </si>
  <si>
    <t>-0.18</t>
    <phoneticPr fontId="1" type="noConversion"/>
  </si>
  <si>
    <t>再生晶圓設備搶弘塑訂單</t>
    <phoneticPr fontId="1" type="noConversion"/>
  </si>
  <si>
    <t>前7大壽險三商集團旗下</t>
    <phoneticPr fontId="1" type="noConversion"/>
  </si>
  <si>
    <t>汽車扣件</t>
    <phoneticPr fontId="1" type="noConversion"/>
  </si>
  <si>
    <t>CNC加工機</t>
    <phoneticPr fontId="1" type="noConversion"/>
  </si>
  <si>
    <t>BIOS</t>
    <phoneticPr fontId="1" type="noConversion"/>
  </si>
  <si>
    <t>5.39</t>
    <phoneticPr fontId="1" type="noConversion"/>
  </si>
  <si>
    <t>8.16</t>
    <phoneticPr fontId="1" type="noConversion"/>
  </si>
  <si>
    <t>胎壓偵測</t>
    <phoneticPr fontId="1" type="noConversion"/>
  </si>
  <si>
    <t>磊晶</t>
    <phoneticPr fontId="1" type="noConversion"/>
  </si>
  <si>
    <t>EUV設備</t>
    <phoneticPr fontId="1" type="noConversion"/>
  </si>
  <si>
    <t>包袋</t>
    <phoneticPr fontId="1" type="noConversion"/>
  </si>
  <si>
    <t>太陽能矽晶園</t>
    <phoneticPr fontId="1" type="noConversion"/>
  </si>
  <si>
    <t>矽晶圓</t>
    <phoneticPr fontId="1" type="noConversion"/>
  </si>
  <si>
    <t>60.12</t>
    <phoneticPr fontId="1" type="noConversion"/>
  </si>
  <si>
    <t>22.17</t>
    <phoneticPr fontId="1" type="noConversion"/>
  </si>
  <si>
    <t>47.17</t>
    <phoneticPr fontId="1" type="noConversion"/>
  </si>
  <si>
    <t>27.67</t>
    <phoneticPr fontId="1" type="noConversion"/>
  </si>
  <si>
    <t>0.91</t>
    <phoneticPr fontId="1" type="noConversion"/>
  </si>
  <si>
    <t>90.26</t>
    <phoneticPr fontId="1" type="noConversion"/>
  </si>
  <si>
    <t>MOSFET茂達旗下</t>
    <phoneticPr fontId="1" type="noConversion"/>
  </si>
  <si>
    <t>MOSFET</t>
    <phoneticPr fontId="1" type="noConversion"/>
  </si>
  <si>
    <t>茶葉</t>
    <phoneticPr fontId="1" type="noConversion"/>
  </si>
  <si>
    <t>二極體製造商</t>
    <phoneticPr fontId="1" type="noConversion"/>
  </si>
  <si>
    <t>高雄市政府第1大股東區域性銀行</t>
    <phoneticPr fontId="1" type="noConversion"/>
  </si>
  <si>
    <t>長聖</t>
    <phoneticPr fontId="1" type="noConversion"/>
  </si>
  <si>
    <t>細胞療法</t>
    <phoneticPr fontId="1" type="noConversion"/>
  </si>
  <si>
    <t>軟板欣興台表科轉投資</t>
    <phoneticPr fontId="1" type="noConversion"/>
  </si>
  <si>
    <t>導線架</t>
    <phoneticPr fontId="1" type="noConversion"/>
  </si>
  <si>
    <t>7.71</t>
    <phoneticPr fontId="1" type="noConversion"/>
  </si>
  <si>
    <t>二極體</t>
    <phoneticPr fontId="1" type="noConversion"/>
  </si>
  <si>
    <t>22.89</t>
    <phoneticPr fontId="1" type="noConversion"/>
  </si>
  <si>
    <t>57.43</t>
    <phoneticPr fontId="1" type="noConversion"/>
  </si>
  <si>
    <t>車用連接器</t>
    <phoneticPr fontId="1" type="noConversion"/>
  </si>
  <si>
    <t>保護鏡片</t>
    <phoneticPr fontId="1" type="noConversion"/>
  </si>
  <si>
    <t>39.35</t>
    <phoneticPr fontId="1" type="noConversion"/>
  </si>
  <si>
    <t>5.19</t>
    <phoneticPr fontId="1" type="noConversion"/>
  </si>
  <si>
    <t>9.03</t>
    <phoneticPr fontId="1" type="noConversion"/>
  </si>
  <si>
    <t>無人機</t>
    <phoneticPr fontId="1" type="noConversion"/>
  </si>
  <si>
    <t>Type-C</t>
    <phoneticPr fontId="1" type="noConversion"/>
  </si>
  <si>
    <t>券商三商壽轉投資</t>
    <phoneticPr fontId="1" type="noConversion"/>
  </si>
  <si>
    <t>券商</t>
    <phoneticPr fontId="1" type="noConversion"/>
  </si>
  <si>
    <t>18.79</t>
    <phoneticPr fontId="1" type="noConversion"/>
  </si>
  <si>
    <t>42.75</t>
    <phoneticPr fontId="1" type="noConversion"/>
  </si>
  <si>
    <t>被動元件設備</t>
    <phoneticPr fontId="1" type="noConversion"/>
  </si>
  <si>
    <t>工具機</t>
    <phoneticPr fontId="1" type="noConversion"/>
  </si>
  <si>
    <t>濱川</t>
    <phoneticPr fontId="1" type="noConversion"/>
  </si>
  <si>
    <t>協禧</t>
    <phoneticPr fontId="1" type="noConversion"/>
  </si>
  <si>
    <t>艾訊</t>
    <phoneticPr fontId="1" type="noConversion"/>
  </si>
  <si>
    <t>茂訊</t>
    <phoneticPr fontId="1" type="noConversion"/>
  </si>
  <si>
    <t>東碩</t>
    <phoneticPr fontId="1" type="noConversion"/>
  </si>
  <si>
    <t>廣寰科</t>
    <phoneticPr fontId="1" type="noConversion"/>
  </si>
  <si>
    <t>加百裕</t>
    <phoneticPr fontId="1" type="noConversion"/>
  </si>
  <si>
    <t>安勤</t>
    <phoneticPr fontId="1" type="noConversion"/>
  </si>
  <si>
    <t>鴻翊</t>
    <phoneticPr fontId="1" type="noConversion"/>
  </si>
  <si>
    <t>泓格</t>
    <phoneticPr fontId="1" type="noConversion"/>
  </si>
  <si>
    <t>磐儀</t>
    <phoneticPr fontId="1" type="noConversion"/>
  </si>
  <si>
    <t>鼎翰</t>
    <phoneticPr fontId="1" type="noConversion"/>
  </si>
  <si>
    <t>西勝</t>
    <phoneticPr fontId="1" type="noConversion"/>
  </si>
  <si>
    <t>電池模組</t>
    <phoneticPr fontId="1" type="noConversion"/>
  </si>
  <si>
    <t>精聯</t>
    <phoneticPr fontId="1" type="noConversion"/>
  </si>
  <si>
    <t>營邦</t>
    <phoneticPr fontId="1" type="noConversion"/>
  </si>
  <si>
    <t>伺服器機殼</t>
    <phoneticPr fontId="1" type="noConversion"/>
  </si>
  <si>
    <t>鑫聯大投控</t>
    <phoneticPr fontId="1" type="noConversion"/>
  </si>
  <si>
    <t>欣厚KY</t>
    <phoneticPr fontId="1" type="noConversion"/>
  </si>
  <si>
    <t>科誠</t>
    <phoneticPr fontId="1" type="noConversion"/>
  </si>
  <si>
    <t>安力KY</t>
    <phoneticPr fontId="1" type="noConversion"/>
  </si>
  <si>
    <t>協益</t>
    <phoneticPr fontId="1" type="noConversion"/>
  </si>
  <si>
    <t>電子零組件周邊</t>
    <phoneticPr fontId="1" type="noConversion"/>
  </si>
  <si>
    <t>青雲</t>
    <phoneticPr fontId="1" type="noConversion"/>
  </si>
  <si>
    <t>振發</t>
    <phoneticPr fontId="1" type="noConversion"/>
  </si>
  <si>
    <t>東友</t>
    <phoneticPr fontId="1" type="noConversion"/>
  </si>
  <si>
    <t>富驊</t>
    <phoneticPr fontId="1" type="noConversion"/>
  </si>
  <si>
    <t>聰泰</t>
    <phoneticPr fontId="1" type="noConversion"/>
  </si>
  <si>
    <t>同亨</t>
    <phoneticPr fontId="1" type="noConversion"/>
  </si>
  <si>
    <t>上奇</t>
    <phoneticPr fontId="1" type="noConversion"/>
  </si>
  <si>
    <t>欣技</t>
    <phoneticPr fontId="1" type="noConversion"/>
  </si>
  <si>
    <t>捷波</t>
    <phoneticPr fontId="1" type="noConversion"/>
  </si>
  <si>
    <t>工業電腦</t>
    <phoneticPr fontId="1" type="noConversion"/>
  </si>
  <si>
    <t>USB控制IC</t>
    <phoneticPr fontId="1" type="noConversion"/>
  </si>
  <si>
    <t>RF晶片</t>
    <phoneticPr fontId="1" type="noConversion"/>
  </si>
  <si>
    <t>-3.71</t>
    <phoneticPr fontId="1" type="noConversion"/>
  </si>
  <si>
    <t>背光板華映旗下</t>
    <phoneticPr fontId="1" type="noConversion"/>
  </si>
  <si>
    <t>亨泰光</t>
    <phoneticPr fontId="1" type="noConversion"/>
  </si>
  <si>
    <t>台星科</t>
    <phoneticPr fontId="1" type="noConversion"/>
  </si>
  <si>
    <t>鉛酸電池</t>
    <phoneticPr fontId="1" type="noConversion"/>
  </si>
  <si>
    <t>13.55</t>
    <phoneticPr fontId="1" type="noConversion"/>
  </si>
  <si>
    <t>67.1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</si>
  <si>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</si>
  <si>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</si>
  <si>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</si>
  <si>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</si>
  <si>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</si>
  <si>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</si>
  <si>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持股</t>
    <phoneticPr fontId="1" type="noConversion"/>
  </si>
  <si>
    <t>損益</t>
    <phoneticPr fontId="1" type="noConversion"/>
  </si>
  <si>
    <t>損益率</t>
    <phoneticPr fontId="1" type="noConversion"/>
  </si>
  <si>
    <t>成分</t>
    <phoneticPr fontId="1" type="noConversion"/>
  </si>
  <si>
    <t>類股</t>
    <phoneticPr fontId="1" type="noConversion"/>
  </si>
  <si>
    <t>買進日期</t>
    <phoneticPr fontId="1" type="noConversion"/>
  </si>
  <si>
    <t>賣出日期</t>
    <phoneticPr fontId="1" type="noConversion"/>
  </si>
  <si>
    <t>南珠</t>
    <phoneticPr fontId="1" type="noConversion"/>
  </si>
  <si>
    <t>1</t>
    <phoneticPr fontId="1" type="noConversion"/>
  </si>
  <si>
    <t>12月20年</t>
    <phoneticPr fontId="1" type="noConversion"/>
  </si>
  <si>
    <t>14.0</t>
    <phoneticPr fontId="1" type="noConversion"/>
  </si>
  <si>
    <t>佳邦</t>
    <phoneticPr fontId="1" type="noConversion"/>
  </si>
  <si>
    <t>7.98</t>
    <phoneticPr fontId="1" type="noConversion"/>
  </si>
  <si>
    <t>驊訊</t>
    <phoneticPr fontId="1" type="noConversion"/>
  </si>
  <si>
    <t>1</t>
    <phoneticPr fontId="34" type="noConversion"/>
  </si>
  <si>
    <t>穎崴</t>
    <phoneticPr fontId="1" type="noConversion"/>
  </si>
  <si>
    <t>螺栓台鋼旗下</t>
    <phoneticPr fontId="1" type="noConversion"/>
  </si>
  <si>
    <t>晶圓檢測探針</t>
    <phoneticPr fontId="1" type="noConversion"/>
  </si>
  <si>
    <t>薄膜靶材</t>
    <phoneticPr fontId="1" type="noConversion"/>
  </si>
  <si>
    <t>25</t>
    <phoneticPr fontId="1" type="noConversion"/>
  </si>
  <si>
    <t>中信旗下旗下凱基證劵銀行</t>
    <phoneticPr fontId="1" type="noConversion"/>
  </si>
  <si>
    <t>4.29</t>
    <phoneticPr fontId="1" type="noConversion"/>
  </si>
  <si>
    <t>資訊商大同旗下</t>
    <phoneticPr fontId="1" type="noConversion"/>
  </si>
  <si>
    <t>前新股</t>
    <phoneticPr fontId="1" type="noConversion"/>
  </si>
  <si>
    <t>之前發行新股</t>
    <phoneticPr fontId="1" type="noConversion"/>
  </si>
  <si>
    <t>22.5</t>
    <phoneticPr fontId="1" type="noConversion"/>
  </si>
  <si>
    <t>散熱風扇</t>
    <phoneticPr fontId="1" type="noConversion"/>
  </si>
  <si>
    <t>PCB e-bike</t>
    <phoneticPr fontId="1" type="noConversion"/>
  </si>
  <si>
    <t>顯示器模組</t>
    <phoneticPr fontId="1" type="noConversion"/>
  </si>
  <si>
    <t>新股</t>
    <phoneticPr fontId="1" type="noConversion"/>
  </si>
  <si>
    <t>發行新股</t>
    <phoneticPr fontId="1" type="noConversion"/>
  </si>
  <si>
    <t>台微醫</t>
    <phoneticPr fontId="1" type="noConversion"/>
  </si>
  <si>
    <t>隱形眼鏡</t>
    <phoneticPr fontId="1" type="noConversion"/>
  </si>
  <si>
    <t>手術產品鐿鈦旗下</t>
    <phoneticPr fontId="1" type="noConversion"/>
  </si>
  <si>
    <t>剪刀腳3雄</t>
    <phoneticPr fontId="1" type="noConversion"/>
  </si>
  <si>
    <t>-0.67</t>
    <phoneticPr fontId="1" type="noConversion"/>
  </si>
  <si>
    <t>電纜不銹鋼華新麗華集團</t>
    <phoneticPr fontId="1" type="noConversion"/>
  </si>
  <si>
    <t>6.22</t>
    <phoneticPr fontId="1" type="noConversion"/>
  </si>
  <si>
    <t>工業電腦仁寶旗下</t>
    <phoneticPr fontId="1" type="noConversion"/>
  </si>
  <si>
    <t>威健生技</t>
    <phoneticPr fontId="1" type="noConversion"/>
  </si>
  <si>
    <t>生物晶片</t>
    <phoneticPr fontId="1" type="noConversion"/>
  </si>
  <si>
    <t>電池材料</t>
    <phoneticPr fontId="1" type="noConversion"/>
  </si>
  <si>
    <t>驅動IC封測</t>
    <phoneticPr fontId="1" type="noConversion"/>
  </si>
  <si>
    <t>PCB設備</t>
    <phoneticPr fontId="1" type="noConversion"/>
  </si>
  <si>
    <t>博晟生醫</t>
    <phoneticPr fontId="1" type="noConversion"/>
  </si>
  <si>
    <t>骨材晟德旗下</t>
    <phoneticPr fontId="1" type="noConversion"/>
  </si>
  <si>
    <t>電容上游鋁箔</t>
    <phoneticPr fontId="1" type="noConversion"/>
  </si>
  <si>
    <t>CIS封測國巨旗下</t>
    <phoneticPr fontId="1" type="noConversion"/>
  </si>
  <si>
    <t>Sip封測鴻海旗下</t>
    <phoneticPr fontId="1" type="noConversion"/>
  </si>
  <si>
    <t>封測</t>
    <phoneticPr fontId="1" type="noConversion"/>
  </si>
  <si>
    <t>連接元件</t>
    <phoneticPr fontId="1" type="noConversion"/>
  </si>
  <si>
    <t>車用IC</t>
    <phoneticPr fontId="1" type="noConversion"/>
  </si>
  <si>
    <t>機殼鴻海旗下</t>
    <phoneticPr fontId="1" type="noConversion"/>
  </si>
  <si>
    <t>紙帶被動元件</t>
    <phoneticPr fontId="1" type="noConversion"/>
  </si>
  <si>
    <t>PCB4雄</t>
    <phoneticPr fontId="1" type="noConversion"/>
  </si>
  <si>
    <t>PCB4雄鴻海旗下</t>
    <phoneticPr fontId="1" type="noConversion"/>
  </si>
  <si>
    <t>PCB4雄台塑旗下</t>
    <phoneticPr fontId="1" type="noConversion"/>
  </si>
  <si>
    <t>探針</t>
    <phoneticPr fontId="1" type="noConversion"/>
  </si>
  <si>
    <t>電阻上游陶瓷基板</t>
    <phoneticPr fontId="1" type="noConversion"/>
  </si>
  <si>
    <t>掌上型電腦</t>
    <phoneticPr fontId="1" type="noConversion"/>
  </si>
  <si>
    <t>半導體設備</t>
    <phoneticPr fontId="1" type="noConversion"/>
  </si>
  <si>
    <t>矽晶圓漢磊旗下</t>
    <phoneticPr fontId="1" type="noConversion"/>
  </si>
  <si>
    <t>電池線Tesla</t>
    <phoneticPr fontId="1" type="noConversion"/>
  </si>
  <si>
    <t>CIS聯電旗下</t>
    <phoneticPr fontId="1" type="noConversion"/>
  </si>
  <si>
    <t>CIS力晶Omni Vision合資</t>
    <phoneticPr fontId="1" type="noConversion"/>
  </si>
  <si>
    <t>IP聯發科旗下</t>
    <phoneticPr fontId="1" type="noConversion"/>
  </si>
  <si>
    <t>IP聯電旗下</t>
    <phoneticPr fontId="1" type="noConversion"/>
  </si>
  <si>
    <t>散熱</t>
    <phoneticPr fontId="1" type="noConversion"/>
  </si>
  <si>
    <t>麗寶集團旗下</t>
    <phoneticPr fontId="1" type="noConversion"/>
  </si>
  <si>
    <t>PCB鑽孔機</t>
    <phoneticPr fontId="1" type="noConversion"/>
  </si>
  <si>
    <t>遊戲</t>
    <phoneticPr fontId="1" type="noConversion"/>
  </si>
  <si>
    <t>建商巴巴旗下</t>
    <phoneticPr fontId="1" type="noConversion"/>
  </si>
  <si>
    <t>減速齒輪Tesla</t>
    <phoneticPr fontId="1" type="noConversion"/>
  </si>
  <si>
    <t>封測台積電旗下</t>
    <phoneticPr fontId="1" type="noConversion"/>
  </si>
  <si>
    <t>濺鍍蝕刻</t>
    <phoneticPr fontId="1" type="noConversion"/>
  </si>
  <si>
    <t>記憶體模組金士頓轉投資</t>
    <phoneticPr fontId="1" type="noConversion"/>
  </si>
  <si>
    <t>砷化鎵3雄</t>
    <phoneticPr fontId="1" type="noConversion"/>
  </si>
  <si>
    <t>環景偵測Tesla</t>
    <phoneticPr fontId="1" type="noConversion"/>
  </si>
  <si>
    <t>沖壓Tesla</t>
    <phoneticPr fontId="1" type="noConversion"/>
  </si>
  <si>
    <t>汽車EMS華新旗下</t>
    <phoneticPr fontId="1" type="noConversion"/>
  </si>
  <si>
    <t>胎壓偵測Tesla</t>
    <phoneticPr fontId="1" type="noConversion"/>
  </si>
  <si>
    <t>電容</t>
    <phoneticPr fontId="1" type="noConversion"/>
  </si>
  <si>
    <t>封測設備</t>
    <phoneticPr fontId="1" type="noConversion"/>
  </si>
  <si>
    <t>IT通路威盛旗下</t>
    <phoneticPr fontId="1" type="noConversion"/>
  </si>
  <si>
    <t>重電</t>
    <phoneticPr fontId="1" type="noConversion"/>
  </si>
  <si>
    <t>面板遮罩義隆轉投資</t>
    <phoneticPr fontId="1" type="noConversion"/>
  </si>
  <si>
    <t>類比IC封測</t>
    <phoneticPr fontId="1" type="noConversion"/>
  </si>
  <si>
    <t>定位系統</t>
    <phoneticPr fontId="1" type="noConversion"/>
  </si>
  <si>
    <t>全宇昕</t>
    <phoneticPr fontId="1" type="noConversion"/>
  </si>
  <si>
    <t>新藥美吾華旗下</t>
    <phoneticPr fontId="1" type="noConversion"/>
  </si>
  <si>
    <t>39.5</t>
    <phoneticPr fontId="1" type="noConversion"/>
  </si>
  <si>
    <t>29.5</t>
    <phoneticPr fontId="1" type="noConversion"/>
  </si>
  <si>
    <t>車用二極體光寶旗下</t>
    <phoneticPr fontId="1" type="noConversion"/>
  </si>
  <si>
    <t>IC測試旺宏子公司</t>
    <phoneticPr fontId="1" type="noConversion"/>
  </si>
  <si>
    <t>傳動系統</t>
    <phoneticPr fontId="1" type="noConversion"/>
  </si>
  <si>
    <t>觸控IC</t>
    <phoneticPr fontId="1" type="noConversion"/>
  </si>
  <si>
    <t>麥克風晶片</t>
    <phoneticPr fontId="1" type="noConversion"/>
  </si>
  <si>
    <t>電玩機台</t>
    <phoneticPr fontId="1" type="noConversion"/>
  </si>
  <si>
    <t>誠品</t>
    <phoneticPr fontId="1" type="noConversion"/>
  </si>
  <si>
    <t>遊戲代理</t>
    <phoneticPr fontId="1" type="noConversion"/>
  </si>
  <si>
    <t>電視劇</t>
    <phoneticPr fontId="1" type="noConversion"/>
  </si>
  <si>
    <t>探針卡</t>
    <phoneticPr fontId="1" type="noConversion"/>
  </si>
  <si>
    <t>太陽能長晶</t>
    <phoneticPr fontId="1" type="noConversion"/>
  </si>
  <si>
    <t>MCU</t>
    <phoneticPr fontId="1" type="noConversion"/>
  </si>
  <si>
    <t>麥克風IC</t>
    <phoneticPr fontId="1" type="noConversion"/>
  </si>
  <si>
    <t>消費性IC</t>
    <phoneticPr fontId="1" type="noConversion"/>
  </si>
  <si>
    <t>感測元件封裝</t>
    <phoneticPr fontId="1" type="noConversion"/>
  </si>
  <si>
    <t>LED驅動IC</t>
    <phoneticPr fontId="1" type="noConversion"/>
  </si>
  <si>
    <t>觸控IC禾伸堂旗下</t>
    <phoneticPr fontId="1" type="noConversion"/>
  </si>
  <si>
    <t>伺服器IC宏正投資</t>
    <phoneticPr fontId="1" type="noConversion"/>
  </si>
  <si>
    <t>記憶體兆豐和矽創投資</t>
    <phoneticPr fontId="1" type="noConversion"/>
  </si>
  <si>
    <t>高速訊號IC</t>
    <phoneticPr fontId="1" type="noConversion"/>
  </si>
  <si>
    <t>光通信IC鈺創轉投資</t>
    <phoneticPr fontId="1" type="noConversion"/>
  </si>
  <si>
    <t>CD Discman IC</t>
    <phoneticPr fontId="1" type="noConversion"/>
  </si>
  <si>
    <t>視訊記憶體</t>
    <phoneticPr fontId="1" type="noConversion"/>
  </si>
  <si>
    <t>電源IC</t>
    <phoneticPr fontId="1" type="noConversion"/>
  </si>
  <si>
    <t>記憶體IC金士頓轉投資</t>
    <phoneticPr fontId="1" type="noConversion"/>
  </si>
  <si>
    <t>語音IC新唐轉投資</t>
    <phoneticPr fontId="1" type="noConversion"/>
  </si>
  <si>
    <t>射頻晶片</t>
    <phoneticPr fontId="1" type="noConversion"/>
  </si>
  <si>
    <t>USB控制IC安國轉投資</t>
    <phoneticPr fontId="1" type="noConversion"/>
  </si>
  <si>
    <t>半導體設備均豪子公司</t>
    <phoneticPr fontId="1" type="noConversion"/>
  </si>
  <si>
    <t>製程設備</t>
    <phoneticPr fontId="1" type="noConversion"/>
  </si>
  <si>
    <t>玩具語音IC</t>
    <phoneticPr fontId="1" type="noConversion"/>
  </si>
  <si>
    <t>自行車</t>
    <phoneticPr fontId="1" type="noConversion"/>
  </si>
  <si>
    <t>電源供應器</t>
    <phoneticPr fontId="1" type="noConversion"/>
  </si>
  <si>
    <t>同軸線</t>
    <phoneticPr fontId="1" type="noConversion"/>
  </si>
  <si>
    <t>電聲元件</t>
    <phoneticPr fontId="1" type="noConversion"/>
  </si>
  <si>
    <t>電感</t>
    <phoneticPr fontId="1" type="noConversion"/>
  </si>
  <si>
    <t>被動元件代理高木集團</t>
    <phoneticPr fontId="1" type="noConversion"/>
  </si>
  <si>
    <t>軟板基材</t>
    <phoneticPr fontId="1" type="noConversion"/>
  </si>
  <si>
    <t>MOSFET華碩轉投資</t>
    <phoneticPr fontId="1" type="noConversion"/>
  </si>
  <si>
    <t>電梯</t>
    <phoneticPr fontId="1" type="noConversion"/>
  </si>
  <si>
    <t>PU合成皮</t>
    <phoneticPr fontId="1" type="noConversion"/>
  </si>
  <si>
    <t>成衣</t>
    <phoneticPr fontId="1" type="noConversion"/>
  </si>
  <si>
    <t>針織布</t>
    <phoneticPr fontId="1" type="noConversion"/>
  </si>
  <si>
    <t>成衣年興轉投資</t>
    <phoneticPr fontId="1" type="noConversion"/>
  </si>
  <si>
    <t>短纖布</t>
    <phoneticPr fontId="1" type="noConversion"/>
  </si>
  <si>
    <t>提花</t>
    <phoneticPr fontId="1" type="noConversion"/>
  </si>
  <si>
    <t>PP纖維</t>
    <phoneticPr fontId="1" type="noConversion"/>
  </si>
  <si>
    <t>染整</t>
    <phoneticPr fontId="1" type="noConversion"/>
  </si>
  <si>
    <t>房屋代銷</t>
    <phoneticPr fontId="1" type="noConversion"/>
  </si>
  <si>
    <t>封測日月光集團</t>
    <phoneticPr fontId="1" type="noConversion"/>
  </si>
  <si>
    <t>鍵盤IC</t>
    <phoneticPr fontId="1" type="noConversion"/>
  </si>
  <si>
    <t>功率封測</t>
    <phoneticPr fontId="1" type="noConversion"/>
  </si>
  <si>
    <t>碳粉匣</t>
    <phoneticPr fontId="1" type="noConversion"/>
  </si>
  <si>
    <t>機殼</t>
    <phoneticPr fontId="1" type="noConversion"/>
  </si>
  <si>
    <t>POS</t>
    <phoneticPr fontId="1" type="noConversion"/>
  </si>
  <si>
    <t>影像IC</t>
    <phoneticPr fontId="1" type="noConversion"/>
  </si>
  <si>
    <t>通訊IC裕隆旗下</t>
    <phoneticPr fontId="1" type="noConversion"/>
  </si>
  <si>
    <t>邏輯IC威盛轉投資</t>
    <phoneticPr fontId="1" type="noConversion"/>
  </si>
  <si>
    <t>冬蟲夏草</t>
    <phoneticPr fontId="1" type="noConversion"/>
  </si>
  <si>
    <t>軟板</t>
    <phoneticPr fontId="1" type="noConversion"/>
  </si>
  <si>
    <t>充電器</t>
    <phoneticPr fontId="1" type="noConversion"/>
  </si>
  <si>
    <t>散熱片</t>
    <phoneticPr fontId="1" type="noConversion"/>
  </si>
  <si>
    <t>連接線</t>
    <phoneticPr fontId="1" type="noConversion"/>
  </si>
  <si>
    <t>松下被動元件代理</t>
    <phoneticPr fontId="1" type="noConversion"/>
  </si>
  <si>
    <t>NB樞紐</t>
    <phoneticPr fontId="1" type="noConversion"/>
  </si>
  <si>
    <t>電子安定器</t>
    <phoneticPr fontId="1" type="noConversion"/>
  </si>
  <si>
    <t>電阻薄膜</t>
    <phoneticPr fontId="1" type="noConversion"/>
  </si>
  <si>
    <t>錫條</t>
    <phoneticPr fontId="1" type="noConversion"/>
  </si>
  <si>
    <t>CIS</t>
    <phoneticPr fontId="1" type="noConversion"/>
  </si>
  <si>
    <t>軟板友嘉旗下</t>
    <phoneticPr fontId="1" type="noConversion"/>
  </si>
  <si>
    <t>電容器</t>
    <phoneticPr fontId="1" type="noConversion"/>
  </si>
  <si>
    <t>PCB玻纖布日商</t>
    <phoneticPr fontId="1" type="noConversion"/>
  </si>
  <si>
    <t>LED散熱鋁基板</t>
    <phoneticPr fontId="1" type="noConversion"/>
  </si>
  <si>
    <t>多層壓合基板</t>
    <phoneticPr fontId="1" type="noConversion"/>
  </si>
  <si>
    <t>沖壓模具</t>
    <phoneticPr fontId="1" type="noConversion"/>
  </si>
  <si>
    <t>線材</t>
    <phoneticPr fontId="1" type="noConversion"/>
  </si>
  <si>
    <t>電子材料代理</t>
    <phoneticPr fontId="1" type="noConversion"/>
  </si>
  <si>
    <t>熱導管</t>
    <phoneticPr fontId="1" type="noConversion"/>
  </si>
  <si>
    <t>PCB磁性元件</t>
    <phoneticPr fontId="1" type="noConversion"/>
  </si>
  <si>
    <t>電阻</t>
    <phoneticPr fontId="1" type="noConversion"/>
  </si>
  <si>
    <t>電磁波</t>
    <phoneticPr fontId="1" type="noConversion"/>
  </si>
  <si>
    <t>SMT加工</t>
    <phoneticPr fontId="1" type="noConversion"/>
  </si>
  <si>
    <t>變壓器</t>
    <phoneticPr fontId="1" type="noConversion"/>
  </si>
  <si>
    <t>MLCC太陽誘電代理</t>
    <phoneticPr fontId="1" type="noConversion"/>
  </si>
  <si>
    <t>事務機零件</t>
    <phoneticPr fontId="1" type="noConversion"/>
  </si>
  <si>
    <t>PCB墊板</t>
    <phoneticPr fontId="1" type="noConversion"/>
  </si>
  <si>
    <t>電容代理</t>
    <phoneticPr fontId="1" type="noConversion"/>
  </si>
  <si>
    <t>離子植入機</t>
    <phoneticPr fontId="1" type="noConversion"/>
  </si>
  <si>
    <t>電源</t>
    <phoneticPr fontId="1" type="noConversion"/>
  </si>
  <si>
    <t>電感台聚旗下</t>
    <phoneticPr fontId="1" type="noConversion"/>
  </si>
  <si>
    <t>銅箔光寶旗下</t>
    <phoneticPr fontId="1" type="noConversion"/>
  </si>
  <si>
    <t>模具</t>
    <phoneticPr fontId="1" type="noConversion"/>
  </si>
  <si>
    <t>磊晶片</t>
    <phoneticPr fontId="1" type="noConversion"/>
  </si>
  <si>
    <t>設備</t>
    <phoneticPr fontId="1" type="noConversion"/>
  </si>
  <si>
    <t>監控</t>
    <phoneticPr fontId="1" type="noConversion"/>
  </si>
  <si>
    <t>NB鍵盤支架</t>
    <phoneticPr fontId="1" type="noConversion"/>
  </si>
  <si>
    <t>NB強固型</t>
    <phoneticPr fontId="1" type="noConversion"/>
  </si>
  <si>
    <t>電視卡</t>
    <phoneticPr fontId="1" type="noConversion"/>
  </si>
  <si>
    <t>機殼電源供應器</t>
    <phoneticPr fontId="1" type="noConversion"/>
  </si>
  <si>
    <t>ADC資料收集</t>
    <phoneticPr fontId="1" type="noConversion"/>
  </si>
  <si>
    <t>通路代理商</t>
    <phoneticPr fontId="1" type="noConversion"/>
  </si>
  <si>
    <t>條碼標籤</t>
    <phoneticPr fontId="1" type="noConversion"/>
  </si>
  <si>
    <t>視訊解碼器</t>
    <phoneticPr fontId="1" type="noConversion"/>
  </si>
  <si>
    <t>事務機</t>
    <phoneticPr fontId="1" type="noConversion"/>
  </si>
  <si>
    <t>機殼神達轉投資</t>
    <phoneticPr fontId="1" type="noConversion"/>
  </si>
  <si>
    <t>主機板</t>
    <phoneticPr fontId="1" type="noConversion"/>
  </si>
  <si>
    <t>音響</t>
    <phoneticPr fontId="1" type="noConversion"/>
  </si>
  <si>
    <t>IC封裝設備</t>
    <phoneticPr fontId="1" type="noConversion"/>
  </si>
  <si>
    <t>驗證服務</t>
    <phoneticPr fontId="1" type="noConversion"/>
  </si>
  <si>
    <t>原料藥</t>
    <phoneticPr fontId="1" type="noConversion"/>
  </si>
  <si>
    <t>保健品</t>
    <phoneticPr fontId="1" type="noConversion"/>
  </si>
  <si>
    <t>哮喘健喬旗下</t>
    <phoneticPr fontId="1" type="noConversion"/>
  </si>
  <si>
    <t>醫美</t>
    <phoneticPr fontId="1" type="noConversion"/>
  </si>
  <si>
    <t>藥品開發</t>
    <phoneticPr fontId="1" type="noConversion"/>
  </si>
  <si>
    <t>PACS廠</t>
    <phoneticPr fontId="1" type="noConversion"/>
  </si>
  <si>
    <t>計程車隊</t>
    <phoneticPr fontId="1" type="noConversion"/>
  </si>
  <si>
    <t>感光平板</t>
    <phoneticPr fontId="1" type="noConversion"/>
  </si>
  <si>
    <t>不鏽鋼焊接管</t>
    <phoneticPr fontId="1" type="noConversion"/>
  </si>
  <si>
    <t>合金鋼榮鋼旗下</t>
    <phoneticPr fontId="1" type="noConversion"/>
  </si>
  <si>
    <t>釣魚線</t>
    <phoneticPr fontId="1" type="noConversion"/>
  </si>
  <si>
    <t>電動車</t>
    <phoneticPr fontId="1" type="noConversion"/>
  </si>
  <si>
    <t>飛機起落架</t>
    <phoneticPr fontId="1" type="noConversion"/>
  </si>
  <si>
    <t>工業過濾</t>
    <phoneticPr fontId="1" type="noConversion"/>
  </si>
  <si>
    <t>刀具</t>
    <phoneticPr fontId="1" type="noConversion"/>
  </si>
  <si>
    <t>安全座椅奐鑫旗下</t>
    <phoneticPr fontId="1" type="noConversion"/>
  </si>
  <si>
    <t>鏈條</t>
    <phoneticPr fontId="1" type="noConversion"/>
  </si>
  <si>
    <t>殯葬</t>
    <phoneticPr fontId="1" type="noConversion"/>
  </si>
  <si>
    <t>電廠工程</t>
    <phoneticPr fontId="1" type="noConversion"/>
  </si>
  <si>
    <t>基督徒塔位</t>
    <phoneticPr fontId="1" type="noConversion"/>
  </si>
  <si>
    <t>家具</t>
    <phoneticPr fontId="1" type="noConversion"/>
  </si>
  <si>
    <t>展示架</t>
    <phoneticPr fontId="1" type="noConversion"/>
  </si>
  <si>
    <t>印刷</t>
    <phoneticPr fontId="1" type="noConversion"/>
  </si>
  <si>
    <t>設備租賃</t>
    <phoneticPr fontId="1" type="noConversion"/>
  </si>
  <si>
    <t>飲料標籤</t>
    <phoneticPr fontId="1" type="noConversion"/>
  </si>
  <si>
    <t>再生膠粒</t>
    <phoneticPr fontId="1" type="noConversion"/>
  </si>
  <si>
    <t>裝潢承包</t>
    <phoneticPr fontId="1" type="noConversion"/>
  </si>
  <si>
    <t>水處理藥劑</t>
    <phoneticPr fontId="1" type="noConversion"/>
  </si>
  <si>
    <t>幼教</t>
    <phoneticPr fontId="1" type="noConversion"/>
  </si>
  <si>
    <t>廢品回收</t>
    <phoneticPr fontId="1" type="noConversion"/>
  </si>
  <si>
    <t>塑和板</t>
    <phoneticPr fontId="1" type="noConversion"/>
  </si>
  <si>
    <t>環保工程</t>
    <phoneticPr fontId="1" type="noConversion"/>
  </si>
  <si>
    <t>冷凍冷藏倉儲</t>
    <phoneticPr fontId="1" type="noConversion"/>
  </si>
  <si>
    <t>印製</t>
    <phoneticPr fontId="1" type="noConversion"/>
  </si>
  <si>
    <t>印刷永豐餘旗下</t>
    <phoneticPr fontId="1" type="noConversion"/>
  </si>
  <si>
    <t>紙尿褲</t>
    <phoneticPr fontId="1" type="noConversion"/>
  </si>
  <si>
    <t>拉鏈</t>
    <phoneticPr fontId="1" type="noConversion"/>
  </si>
  <si>
    <t>鞋材</t>
    <phoneticPr fontId="1" type="noConversion"/>
  </si>
  <si>
    <t>休閒車</t>
    <phoneticPr fontId="1" type="noConversion"/>
  </si>
  <si>
    <t>鋁塑複合板</t>
    <phoneticPr fontId="1" type="noConversion"/>
  </si>
  <si>
    <t>真空鍍膜</t>
    <phoneticPr fontId="1" type="noConversion"/>
  </si>
  <si>
    <t>汽車零組件大億旗下</t>
    <phoneticPr fontId="1" type="noConversion"/>
  </si>
  <si>
    <t>軸承</t>
    <phoneticPr fontId="1" type="noConversion"/>
  </si>
  <si>
    <t>塑膠射出機</t>
    <phoneticPr fontId="1" type="noConversion"/>
  </si>
  <si>
    <t>工程承攬</t>
    <phoneticPr fontId="1" type="noConversion"/>
  </si>
  <si>
    <t>主軸</t>
    <phoneticPr fontId="1" type="noConversion"/>
  </si>
  <si>
    <t>機電整合</t>
    <phoneticPr fontId="1" type="noConversion"/>
  </si>
  <si>
    <t>自動化製程</t>
    <phoneticPr fontId="1" type="noConversion"/>
  </si>
  <si>
    <t>引擎冷卻零件</t>
    <phoneticPr fontId="1" type="noConversion"/>
  </si>
  <si>
    <t>沖壓零件</t>
    <phoneticPr fontId="1" type="noConversion"/>
  </si>
  <si>
    <t>沖床</t>
    <phoneticPr fontId="1" type="noConversion"/>
  </si>
  <si>
    <t>釘槍</t>
    <phoneticPr fontId="1" type="noConversion"/>
  </si>
  <si>
    <t>烘培設備</t>
    <phoneticPr fontId="1" type="noConversion"/>
  </si>
  <si>
    <t>槍釘</t>
    <phoneticPr fontId="1" type="noConversion"/>
  </si>
  <si>
    <t>線性滑軌</t>
    <phoneticPr fontId="1" type="noConversion"/>
  </si>
  <si>
    <t>機車</t>
    <phoneticPr fontId="1" type="noConversion"/>
  </si>
  <si>
    <t>鑄件</t>
    <phoneticPr fontId="1" type="noConversion"/>
  </si>
  <si>
    <t>緊固件設備</t>
    <phoneticPr fontId="1" type="noConversion"/>
  </si>
  <si>
    <t>活塞環</t>
    <phoneticPr fontId="1" type="noConversion"/>
  </si>
  <si>
    <t>車用水箱風扇堤維西大股東</t>
    <phoneticPr fontId="1" type="noConversion"/>
  </si>
  <si>
    <t>LED車燈</t>
    <phoneticPr fontId="1" type="noConversion"/>
  </si>
  <si>
    <t>食品機械</t>
    <phoneticPr fontId="1" type="noConversion"/>
  </si>
  <si>
    <t>汽車鋼圈</t>
    <phoneticPr fontId="1" type="noConversion"/>
  </si>
  <si>
    <t>自動販賣機</t>
    <phoneticPr fontId="1" type="noConversion"/>
  </si>
  <si>
    <t>切削機</t>
    <phoneticPr fontId="1" type="noConversion"/>
  </si>
  <si>
    <t>磨床</t>
    <phoneticPr fontId="1" type="noConversion"/>
  </si>
  <si>
    <t>汽車空調永大轉投資</t>
    <phoneticPr fontId="1" type="noConversion"/>
  </si>
  <si>
    <t>冰水主機</t>
    <phoneticPr fontId="1" type="noConversion"/>
  </si>
  <si>
    <t>特殊氣體輸配</t>
    <phoneticPr fontId="1" type="noConversion"/>
  </si>
  <si>
    <t>電鍍表面</t>
    <phoneticPr fontId="1" type="noConversion"/>
  </si>
  <si>
    <t>影音訊號</t>
    <phoneticPr fontId="1" type="noConversion"/>
  </si>
  <si>
    <t>按鍵</t>
    <phoneticPr fontId="1" type="noConversion"/>
  </si>
  <si>
    <t>濺鍍靶材中鋼旗下</t>
    <phoneticPr fontId="1" type="noConversion"/>
  </si>
  <si>
    <t>車隊管理系統</t>
    <phoneticPr fontId="1" type="noConversion"/>
  </si>
  <si>
    <t>模具建德旗下</t>
    <phoneticPr fontId="1" type="noConversion"/>
  </si>
  <si>
    <t>塑化電子材料</t>
    <phoneticPr fontId="1" type="noConversion"/>
  </si>
  <si>
    <t>NEC晶圓代理</t>
    <phoneticPr fontId="1" type="noConversion"/>
  </si>
  <si>
    <t>汽車複合材料</t>
    <phoneticPr fontId="1" type="noConversion"/>
  </si>
  <si>
    <t>喇叭</t>
    <phoneticPr fontId="1" type="noConversion"/>
  </si>
  <si>
    <t>訊號延長器</t>
    <phoneticPr fontId="1" type="noConversion"/>
  </si>
  <si>
    <t>廠務工程</t>
    <phoneticPr fontId="1" type="noConversion"/>
  </si>
  <si>
    <t>電腦割字機</t>
    <phoneticPr fontId="1" type="noConversion"/>
  </si>
  <si>
    <t>IC封裝模具</t>
    <phoneticPr fontId="1" type="noConversion"/>
  </si>
  <si>
    <t>表面電鍍</t>
    <phoneticPr fontId="1" type="noConversion"/>
  </si>
  <si>
    <t>日系產品代理</t>
    <phoneticPr fontId="1" type="noConversion"/>
  </si>
  <si>
    <t>不織布</t>
    <phoneticPr fontId="1" type="noConversion"/>
  </si>
  <si>
    <t>氣動工具機</t>
    <phoneticPr fontId="1" type="noConversion"/>
  </si>
  <si>
    <t>軟板長華轉投資</t>
    <phoneticPr fontId="1" type="noConversion"/>
  </si>
  <si>
    <t>濕紙巾</t>
    <phoneticPr fontId="1" type="noConversion"/>
  </si>
  <si>
    <t>導電漿</t>
    <phoneticPr fontId="1" type="noConversion"/>
  </si>
  <si>
    <t>感測IC矽創旗下</t>
    <phoneticPr fontId="1" type="noConversion"/>
  </si>
  <si>
    <t>連接器立訊分身</t>
    <phoneticPr fontId="1" type="noConversion"/>
  </si>
  <si>
    <t>三星IC通路商</t>
    <phoneticPr fontId="1" type="noConversion"/>
  </si>
  <si>
    <t>汽車捲簾大億旗下</t>
    <phoneticPr fontId="1" type="noConversion"/>
  </si>
  <si>
    <t>旅館</t>
    <phoneticPr fontId="1" type="noConversion"/>
  </si>
  <si>
    <t>保護元件</t>
    <phoneticPr fontId="1" type="noConversion"/>
  </si>
  <si>
    <t>電源供應器群光旗下</t>
    <phoneticPr fontId="1" type="noConversion"/>
  </si>
  <si>
    <t>光電板</t>
    <phoneticPr fontId="1" type="noConversion"/>
  </si>
  <si>
    <t>手持裝置</t>
    <phoneticPr fontId="1" type="noConversion"/>
  </si>
  <si>
    <t>39.66</t>
    <phoneticPr fontId="1" type="noConversion"/>
  </si>
  <si>
    <t>PE台聚集團</t>
    <phoneticPr fontId="1" type="noConversion"/>
  </si>
  <si>
    <t>合成皮</t>
    <phoneticPr fontId="1" type="noConversion"/>
  </si>
  <si>
    <t>電池</t>
    <phoneticPr fontId="1" type="noConversion"/>
  </si>
  <si>
    <t>網通IC聯發科旗下</t>
    <phoneticPr fontId="1" type="noConversion"/>
  </si>
  <si>
    <t>電池模組鴻海旗下</t>
    <phoneticPr fontId="1" type="noConversion"/>
  </si>
  <si>
    <t>晶圓代工旗下嘉晶</t>
    <phoneticPr fontId="1" type="noConversion"/>
  </si>
  <si>
    <t>晶圓代工台積電集團</t>
    <phoneticPr fontId="1" type="noConversion"/>
  </si>
  <si>
    <t>晶圓代工聯電集團</t>
    <phoneticPr fontId="1" type="noConversion"/>
  </si>
  <si>
    <t>記憶體台塑旗下</t>
    <phoneticPr fontId="1" type="noConversion"/>
  </si>
  <si>
    <t>網路IC</t>
    <phoneticPr fontId="1" type="noConversion"/>
  </si>
  <si>
    <t>面板驅動IC聯電旗下</t>
    <phoneticPr fontId="1" type="noConversion"/>
  </si>
  <si>
    <t>矽晶圓日商勝高SUMCO旗下</t>
    <phoneticPr fontId="1" type="noConversion"/>
  </si>
  <si>
    <t>電子代工鴻海集團</t>
    <phoneticPr fontId="1" type="noConversion"/>
  </si>
  <si>
    <t>辦公家具</t>
    <phoneticPr fontId="1" type="noConversion"/>
  </si>
  <si>
    <t>防盜器</t>
    <phoneticPr fontId="1" type="noConversion"/>
  </si>
  <si>
    <t>量測儀器</t>
    <phoneticPr fontId="1" type="noConversion"/>
  </si>
  <si>
    <t>代理理光</t>
    <phoneticPr fontId="1" type="noConversion"/>
  </si>
  <si>
    <t>防偽包裝</t>
    <phoneticPr fontId="1" type="noConversion"/>
  </si>
  <si>
    <t>音箱</t>
    <phoneticPr fontId="1" type="noConversion"/>
  </si>
  <si>
    <t>讀卡機</t>
    <phoneticPr fontId="1" type="noConversion"/>
  </si>
  <si>
    <t>音訊產品</t>
    <phoneticPr fontId="1" type="noConversion"/>
  </si>
  <si>
    <t>磁碟陣列</t>
    <phoneticPr fontId="1" type="noConversion"/>
  </si>
  <si>
    <t>機電工程</t>
    <phoneticPr fontId="1" type="noConversion"/>
  </si>
  <si>
    <t>電路板設備</t>
    <phoneticPr fontId="1" type="noConversion"/>
  </si>
  <si>
    <t>太陽能</t>
    <phoneticPr fontId="1" type="noConversion"/>
  </si>
  <si>
    <t>封裝材料</t>
    <phoneticPr fontId="1" type="noConversion"/>
  </si>
  <si>
    <t>真空濺鍍</t>
    <phoneticPr fontId="1" type="noConversion"/>
  </si>
  <si>
    <t>揚聲器</t>
    <phoneticPr fontId="1" type="noConversion"/>
  </si>
  <si>
    <t>材料通路</t>
    <phoneticPr fontId="1" type="noConversion"/>
  </si>
  <si>
    <t>小家電</t>
    <phoneticPr fontId="1" type="noConversion"/>
  </si>
  <si>
    <t>薄膜鍵盤</t>
    <phoneticPr fontId="1" type="noConversion"/>
  </si>
  <si>
    <t>鑽針</t>
    <phoneticPr fontId="1" type="noConversion"/>
  </si>
  <si>
    <t>面板明基友達集團</t>
    <phoneticPr fontId="1" type="noConversion"/>
  </si>
  <si>
    <t>LED導線架</t>
    <phoneticPr fontId="1" type="noConversion"/>
  </si>
  <si>
    <t>沖壓</t>
    <phoneticPr fontId="1" type="noConversion"/>
  </si>
  <si>
    <t>CPU Socket</t>
    <phoneticPr fontId="1" type="noConversion"/>
  </si>
  <si>
    <t>傳輸線材</t>
    <phoneticPr fontId="1" type="noConversion"/>
  </si>
  <si>
    <t>塑膠成型</t>
    <phoneticPr fontId="1" type="noConversion"/>
  </si>
  <si>
    <t>塑膠表面處理</t>
    <phoneticPr fontId="1" type="noConversion"/>
  </si>
  <si>
    <t>聚硫亞胺薄膜</t>
    <phoneticPr fontId="1" type="noConversion"/>
  </si>
  <si>
    <t>磁碟機音圈馬達銘異轉投資</t>
    <phoneticPr fontId="1" type="noConversion"/>
  </si>
  <si>
    <t>聲學元件</t>
    <phoneticPr fontId="1" type="noConversion"/>
  </si>
  <si>
    <t>筆電樞紐</t>
    <phoneticPr fontId="1" type="noConversion"/>
  </si>
  <si>
    <t>PCB華新旗下</t>
    <phoneticPr fontId="1" type="noConversion"/>
  </si>
  <si>
    <t>CMOS載板</t>
    <phoneticPr fontId="1" type="noConversion"/>
  </si>
  <si>
    <t>電源線材</t>
    <phoneticPr fontId="1" type="noConversion"/>
  </si>
  <si>
    <t>輕油台塑旗下</t>
    <phoneticPr fontId="1" type="noConversion"/>
  </si>
  <si>
    <t>EG台塑旗下</t>
    <phoneticPr fontId="1" type="noConversion"/>
  </si>
  <si>
    <t>金控霖園旗下</t>
    <phoneticPr fontId="1" type="noConversion"/>
  </si>
  <si>
    <t>金控富邦集團</t>
    <phoneticPr fontId="1" type="noConversion"/>
  </si>
  <si>
    <t>聯貸銀行</t>
    <phoneticPr fontId="1" type="noConversion"/>
  </si>
  <si>
    <t>消費金融</t>
    <phoneticPr fontId="1" type="noConversion"/>
  </si>
  <si>
    <t>新光人壽新光旗下</t>
    <phoneticPr fontId="1" type="noConversion"/>
  </si>
  <si>
    <t>資產</t>
    <phoneticPr fontId="1" type="noConversion"/>
  </si>
  <si>
    <t>期貨</t>
    <phoneticPr fontId="1" type="noConversion"/>
  </si>
  <si>
    <t>味精</t>
    <phoneticPr fontId="1" type="noConversion"/>
  </si>
  <si>
    <t>肉雞飼料</t>
    <phoneticPr fontId="1" type="noConversion"/>
  </si>
  <si>
    <t>油脂轉投資全家便利超商</t>
    <phoneticPr fontId="1" type="noConversion"/>
  </si>
  <si>
    <t>寵物飼料</t>
    <phoneticPr fontId="1" type="noConversion"/>
  </si>
  <si>
    <t>果糖</t>
    <phoneticPr fontId="1" type="noConversion"/>
  </si>
  <si>
    <t>油脂飼料</t>
    <phoneticPr fontId="1" type="noConversion"/>
  </si>
  <si>
    <t>穀物油品</t>
    <phoneticPr fontId="1" type="noConversion"/>
  </si>
  <si>
    <t>麵粉聯華神通集團</t>
    <phoneticPr fontId="1" type="noConversion"/>
  </si>
  <si>
    <t>休閒食品</t>
    <phoneticPr fontId="1" type="noConversion"/>
  </si>
  <si>
    <t>黃豆油</t>
    <phoneticPr fontId="1" type="noConversion"/>
  </si>
  <si>
    <t>飼料</t>
    <phoneticPr fontId="1" type="noConversion"/>
  </si>
  <si>
    <t>七七巧克力</t>
    <phoneticPr fontId="1" type="noConversion"/>
  </si>
  <si>
    <t>濃縮果汁</t>
    <phoneticPr fontId="1" type="noConversion"/>
  </si>
  <si>
    <t>烘培油脂</t>
    <phoneticPr fontId="1" type="noConversion"/>
  </si>
  <si>
    <t>生技</t>
    <phoneticPr fontId="1" type="noConversion"/>
  </si>
  <si>
    <t>發卡銀行中信集團</t>
    <phoneticPr fontId="1" type="noConversion"/>
  </si>
  <si>
    <t>TOYOTA</t>
    <phoneticPr fontId="1" type="noConversion"/>
  </si>
  <si>
    <t>便利店</t>
    <phoneticPr fontId="1" type="noConversion"/>
  </si>
  <si>
    <t>網路通訊</t>
    <phoneticPr fontId="1" type="noConversion"/>
  </si>
  <si>
    <t>RFID Tag</t>
    <phoneticPr fontId="1" type="noConversion"/>
  </si>
  <si>
    <t>雲端</t>
    <phoneticPr fontId="1" type="noConversion"/>
  </si>
  <si>
    <t>植毛絨布</t>
    <phoneticPr fontId="1" type="noConversion"/>
  </si>
  <si>
    <t>EMI屏蔽材料</t>
    <phoneticPr fontId="1" type="noConversion"/>
  </si>
  <si>
    <t>PVC軟質膠布</t>
    <phoneticPr fontId="1" type="noConversion"/>
  </si>
  <si>
    <t>特殊商標</t>
    <phoneticPr fontId="1" type="noConversion"/>
  </si>
  <si>
    <t>旅行箱</t>
    <phoneticPr fontId="1" type="noConversion"/>
  </si>
  <si>
    <t>尼龍線紗</t>
    <phoneticPr fontId="1" type="noConversion"/>
  </si>
  <si>
    <t>尼龍絲</t>
    <phoneticPr fontId="1" type="noConversion"/>
  </si>
  <si>
    <t>長織布</t>
    <phoneticPr fontId="1" type="noConversion"/>
  </si>
  <si>
    <t>漁網</t>
    <phoneticPr fontId="1" type="noConversion"/>
  </si>
  <si>
    <t>新娘禮服布</t>
    <phoneticPr fontId="1" type="noConversion"/>
  </si>
  <si>
    <t>防水布</t>
    <phoneticPr fontId="1" type="noConversion"/>
  </si>
  <si>
    <t>染料</t>
    <phoneticPr fontId="1" type="noConversion"/>
  </si>
  <si>
    <t>樹脂</t>
    <phoneticPr fontId="1" type="noConversion"/>
  </si>
  <si>
    <t>雞肉</t>
    <phoneticPr fontId="1" type="noConversion"/>
  </si>
  <si>
    <t>烘培原物料</t>
    <phoneticPr fontId="1" type="noConversion"/>
  </si>
  <si>
    <t>豆腐</t>
    <phoneticPr fontId="1" type="noConversion"/>
  </si>
  <si>
    <t>過堂廠</t>
    <phoneticPr fontId="1" type="noConversion"/>
  </si>
  <si>
    <t>服飾代理</t>
    <phoneticPr fontId="1" type="noConversion"/>
  </si>
  <si>
    <t>嬰童產品</t>
    <phoneticPr fontId="1" type="noConversion"/>
  </si>
  <si>
    <t>家電通路商</t>
    <phoneticPr fontId="1" type="noConversion"/>
  </si>
  <si>
    <t>貿易商統一旗下</t>
    <phoneticPr fontId="1" type="noConversion"/>
  </si>
  <si>
    <t>高速公路休息站</t>
    <phoneticPr fontId="1" type="noConversion"/>
  </si>
  <si>
    <t>B2B家具</t>
    <phoneticPr fontId="1" type="noConversion"/>
  </si>
  <si>
    <t>烤肉爐</t>
    <phoneticPr fontId="1" type="noConversion"/>
  </si>
  <si>
    <t>高爾夫球網站</t>
    <phoneticPr fontId="1" type="noConversion"/>
  </si>
  <si>
    <t>電子材料批發</t>
    <phoneticPr fontId="1" type="noConversion"/>
  </si>
  <si>
    <t>IC通路商</t>
    <phoneticPr fontId="1" type="noConversion"/>
  </si>
  <si>
    <t>電子材料通路</t>
    <phoneticPr fontId="1" type="noConversion"/>
  </si>
  <si>
    <t>半導體零件代理</t>
    <phoneticPr fontId="1" type="noConversion"/>
  </si>
  <si>
    <t>3C通路售</t>
    <phoneticPr fontId="1" type="noConversion"/>
  </si>
  <si>
    <t>Nor Flash通路商</t>
    <phoneticPr fontId="1" type="noConversion"/>
  </si>
  <si>
    <t>三菱代理商</t>
    <phoneticPr fontId="1" type="noConversion"/>
  </si>
  <si>
    <t>多媒體電腦</t>
    <phoneticPr fontId="1" type="noConversion"/>
  </si>
  <si>
    <t>IC通路商威盛旗下</t>
    <phoneticPr fontId="1" type="noConversion"/>
  </si>
  <si>
    <t>鋼筋</t>
    <phoneticPr fontId="1" type="noConversion"/>
  </si>
  <si>
    <t>報關</t>
    <phoneticPr fontId="1" type="noConversion"/>
  </si>
  <si>
    <t>貨櫃集散</t>
    <phoneticPr fontId="1" type="noConversion"/>
  </si>
  <si>
    <t>貨櫃運輸</t>
    <phoneticPr fontId="1" type="noConversion"/>
  </si>
  <si>
    <t>貨運</t>
    <phoneticPr fontId="1" type="noConversion"/>
  </si>
  <si>
    <t>不動產</t>
    <phoneticPr fontId="1" type="noConversion"/>
  </si>
  <si>
    <t>國民住宅</t>
    <phoneticPr fontId="1" type="noConversion"/>
  </si>
  <si>
    <t>建築開發富宇旗下</t>
    <phoneticPr fontId="1" type="noConversion"/>
  </si>
  <si>
    <t>飯店仰德旗下</t>
    <phoneticPr fontId="1" type="noConversion"/>
  </si>
  <si>
    <t>混凝土</t>
    <phoneticPr fontId="1" type="noConversion"/>
  </si>
  <si>
    <t>漆包線</t>
    <phoneticPr fontId="1" type="noConversion"/>
  </si>
  <si>
    <t>摩斯東元旗下</t>
    <phoneticPr fontId="1" type="noConversion"/>
  </si>
  <si>
    <t>餐飲</t>
    <phoneticPr fontId="1" type="noConversion"/>
  </si>
  <si>
    <t>旅遊公司燦坤旗下</t>
    <phoneticPr fontId="1" type="noConversion"/>
  </si>
  <si>
    <t>商務酒店</t>
    <phoneticPr fontId="1" type="noConversion"/>
  </si>
  <si>
    <t>快樂檸檬</t>
    <phoneticPr fontId="1" type="noConversion"/>
  </si>
  <si>
    <t>旅遊業</t>
    <phoneticPr fontId="1" type="noConversion"/>
  </si>
  <si>
    <t>溫泉飯店</t>
    <phoneticPr fontId="1" type="noConversion"/>
  </si>
  <si>
    <t>牛排連鎖餐廳</t>
    <phoneticPr fontId="1" type="noConversion"/>
  </si>
  <si>
    <t>韓式連鎖餐廳</t>
    <phoneticPr fontId="1" type="noConversion"/>
  </si>
  <si>
    <t>珠寶</t>
    <phoneticPr fontId="1" type="noConversion"/>
  </si>
  <si>
    <t>飯店</t>
    <phoneticPr fontId="1" type="noConversion"/>
  </si>
  <si>
    <t>天然氣</t>
    <phoneticPr fontId="1" type="noConversion"/>
  </si>
  <si>
    <t>加油站</t>
    <phoneticPr fontId="1" type="noConversion"/>
  </si>
  <si>
    <t>電腦軟硬體</t>
    <phoneticPr fontId="1" type="noConversion"/>
  </si>
  <si>
    <t>證券金融</t>
    <phoneticPr fontId="1" type="noConversion"/>
  </si>
  <si>
    <t>手寫辨識</t>
    <phoneticPr fontId="1" type="noConversion"/>
  </si>
  <si>
    <t>系統整合</t>
    <phoneticPr fontId="1" type="noConversion"/>
  </si>
  <si>
    <t>系統整合大眾轉投資</t>
    <phoneticPr fontId="1" type="noConversion"/>
  </si>
  <si>
    <t>電子商務</t>
    <phoneticPr fontId="1" type="noConversion"/>
  </si>
  <si>
    <t>資訊圖書</t>
    <phoneticPr fontId="1" type="noConversion"/>
  </si>
  <si>
    <t>信用卡製卡</t>
    <phoneticPr fontId="1" type="noConversion"/>
  </si>
  <si>
    <t>3D軟硬體</t>
    <phoneticPr fontId="1" type="noConversion"/>
  </si>
  <si>
    <t>體感遊戲潤泰旗下</t>
    <phoneticPr fontId="1" type="noConversion"/>
  </si>
  <si>
    <t>電影版權</t>
    <phoneticPr fontId="1" type="noConversion"/>
  </si>
  <si>
    <t>美商8大片商</t>
    <phoneticPr fontId="1" type="noConversion"/>
  </si>
  <si>
    <t>補教</t>
    <phoneticPr fontId="1" type="noConversion"/>
  </si>
  <si>
    <t>遊戲智冠宇峻轉投資</t>
    <phoneticPr fontId="1" type="noConversion"/>
  </si>
  <si>
    <t>布袋戲</t>
    <phoneticPr fontId="1" type="noConversion"/>
  </si>
  <si>
    <t>數位教學</t>
    <phoneticPr fontId="1" type="noConversion"/>
  </si>
  <si>
    <t>琉璃</t>
    <phoneticPr fontId="1" type="noConversion"/>
  </si>
  <si>
    <t>交友社群</t>
    <phoneticPr fontId="1" type="noConversion"/>
  </si>
  <si>
    <t>平台</t>
    <phoneticPr fontId="1" type="noConversion"/>
  </si>
  <si>
    <t>蝦類檢測</t>
    <phoneticPr fontId="1" type="noConversion"/>
  </si>
  <si>
    <t>農地膜</t>
    <phoneticPr fontId="1" type="noConversion"/>
  </si>
  <si>
    <t>保險經紀</t>
    <phoneticPr fontId="1" type="noConversion"/>
  </si>
  <si>
    <t>券商大慶建設轉投資</t>
    <phoneticPr fontId="1" type="noConversion"/>
  </si>
  <si>
    <t>光學鏡片模具鴻海旗下</t>
    <phoneticPr fontId="1" type="noConversion"/>
  </si>
  <si>
    <t>電子公司光寶集團</t>
    <phoneticPr fontId="1" type="noConversion"/>
  </si>
  <si>
    <t>掃描器</t>
    <phoneticPr fontId="1" type="noConversion"/>
  </si>
  <si>
    <t>NB代工金仁寶集團</t>
    <phoneticPr fontId="1" type="noConversion"/>
  </si>
  <si>
    <t>主機板大同旗下</t>
    <phoneticPr fontId="1" type="noConversion"/>
  </si>
  <si>
    <t>NB宏碁集團</t>
    <phoneticPr fontId="1" type="noConversion"/>
  </si>
  <si>
    <t>百腦匯</t>
    <phoneticPr fontId="1" type="noConversion"/>
  </si>
  <si>
    <t>軍工NB</t>
    <phoneticPr fontId="1" type="noConversion"/>
  </si>
  <si>
    <t>滑鼠</t>
    <phoneticPr fontId="1" type="noConversion"/>
  </si>
  <si>
    <t>NB代工廣達集團</t>
    <phoneticPr fontId="1" type="noConversion"/>
  </si>
  <si>
    <t>矽酸鈣板國產集團旗下</t>
    <phoneticPr fontId="1" type="noConversion"/>
  </si>
  <si>
    <t>板卡比特幣</t>
    <phoneticPr fontId="1" type="noConversion"/>
  </si>
  <si>
    <t>板卡比特幣華碩旗下</t>
    <phoneticPr fontId="1" type="noConversion"/>
  </si>
  <si>
    <t>車載多媒體</t>
    <phoneticPr fontId="1" type="noConversion"/>
  </si>
  <si>
    <t>車用顯示器</t>
    <phoneticPr fontId="1" type="noConversion"/>
  </si>
  <si>
    <t>發電機</t>
    <phoneticPr fontId="1" type="noConversion"/>
  </si>
  <si>
    <t>軍工電腦聯華神通旗下</t>
    <phoneticPr fontId="1" type="noConversion"/>
  </si>
  <si>
    <t>電腦機殼</t>
    <phoneticPr fontId="1" type="noConversion"/>
  </si>
  <si>
    <t>工業電腦旗下威聯通</t>
    <phoneticPr fontId="1" type="noConversion"/>
  </si>
  <si>
    <t>RAID控制器</t>
    <phoneticPr fontId="1" type="noConversion"/>
  </si>
  <si>
    <t>硬碟零件</t>
    <phoneticPr fontId="1" type="noConversion"/>
  </si>
  <si>
    <t>NB代工緯創集團</t>
    <phoneticPr fontId="1" type="noConversion"/>
  </si>
  <si>
    <t>印表機</t>
    <phoneticPr fontId="1" type="noConversion"/>
  </si>
  <si>
    <t>GPS聯華神通旗下</t>
    <phoneticPr fontId="1" type="noConversion"/>
  </si>
  <si>
    <t>控股公司勁永,崴強,光耀科合併成立</t>
    <phoneticPr fontId="1" type="noConversion"/>
  </si>
  <si>
    <t>NB代工華碩旗下</t>
    <phoneticPr fontId="1" type="noConversion"/>
  </si>
  <si>
    <t>電梯永大集團</t>
    <phoneticPr fontId="1" type="noConversion"/>
  </si>
  <si>
    <t>汽車活塞</t>
    <phoneticPr fontId="1" type="noConversion"/>
  </si>
  <si>
    <t>配電盤</t>
    <phoneticPr fontId="1" type="noConversion"/>
  </si>
  <si>
    <t>自行車剎車</t>
    <phoneticPr fontId="1" type="noConversion"/>
  </si>
  <si>
    <t>自行車變速</t>
    <phoneticPr fontId="1" type="noConversion"/>
  </si>
  <si>
    <t>工業用縫紉機</t>
    <phoneticPr fontId="1" type="noConversion"/>
  </si>
  <si>
    <t>鑄鐵</t>
    <phoneticPr fontId="1" type="noConversion"/>
  </si>
  <si>
    <t>環保工程中鋼旗下</t>
    <phoneticPr fontId="1" type="noConversion"/>
  </si>
  <si>
    <t>線鋸機</t>
    <phoneticPr fontId="1" type="noConversion"/>
  </si>
  <si>
    <t>縫紉機</t>
    <phoneticPr fontId="1" type="noConversion"/>
  </si>
  <si>
    <t>CNC轉投資亞崴</t>
    <phoneticPr fontId="1" type="noConversion"/>
  </si>
  <si>
    <t>金屬加工</t>
    <phoneticPr fontId="1" type="noConversion"/>
  </si>
  <si>
    <t>土地</t>
    <phoneticPr fontId="1" type="noConversion"/>
  </si>
  <si>
    <t>壓縮機</t>
    <phoneticPr fontId="1" type="noConversion"/>
  </si>
  <si>
    <t>縫紉機零配件</t>
    <phoneticPr fontId="1" type="noConversion"/>
  </si>
  <si>
    <t>彎管機</t>
    <phoneticPr fontId="1" type="noConversion"/>
  </si>
  <si>
    <t>飛機引擎</t>
    <phoneticPr fontId="1" type="noConversion"/>
  </si>
  <si>
    <t>汽機車零件</t>
    <phoneticPr fontId="1" type="noConversion"/>
  </si>
  <si>
    <t>航空零組件</t>
    <phoneticPr fontId="1" type="noConversion"/>
  </si>
  <si>
    <t>自動化零組件</t>
    <phoneticPr fontId="1" type="noConversion"/>
  </si>
  <si>
    <t>PE</t>
    <phoneticPr fontId="1" type="noConversion"/>
  </si>
  <si>
    <t>SM</t>
    <phoneticPr fontId="1" type="noConversion"/>
  </si>
  <si>
    <t>CPL威京旗下</t>
    <phoneticPr fontId="1" type="noConversion"/>
  </si>
  <si>
    <t>雨衣</t>
    <phoneticPr fontId="1" type="noConversion"/>
  </si>
  <si>
    <t>PVC</t>
    <phoneticPr fontId="1" type="noConversion"/>
  </si>
  <si>
    <t>塑膠瓶</t>
    <phoneticPr fontId="1" type="noConversion"/>
  </si>
  <si>
    <t>PVC膠帶</t>
    <phoneticPr fontId="1" type="noConversion"/>
  </si>
  <si>
    <t>EVA發泡</t>
    <phoneticPr fontId="1" type="noConversion"/>
  </si>
  <si>
    <t>人造皮革</t>
    <phoneticPr fontId="1" type="noConversion"/>
  </si>
  <si>
    <t>膠帶</t>
    <phoneticPr fontId="1" type="noConversion"/>
  </si>
  <si>
    <t>聚酯棉</t>
    <phoneticPr fontId="1" type="noConversion"/>
  </si>
  <si>
    <t>加工絲遠東旗下</t>
    <phoneticPr fontId="1" type="noConversion"/>
  </si>
  <si>
    <t>混紡</t>
    <phoneticPr fontId="1" type="noConversion"/>
  </si>
  <si>
    <t>亞克力棉</t>
    <phoneticPr fontId="1" type="noConversion"/>
  </si>
  <si>
    <t>平織布新光旗下</t>
    <phoneticPr fontId="1" type="noConversion"/>
  </si>
  <si>
    <t>輪胎布台塑旗下</t>
    <phoneticPr fontId="1" type="noConversion"/>
  </si>
  <si>
    <t>棉紡紗</t>
    <phoneticPr fontId="1" type="noConversion"/>
  </si>
  <si>
    <t>織布</t>
    <phoneticPr fontId="1" type="noConversion"/>
  </si>
  <si>
    <t>長短織</t>
    <phoneticPr fontId="1" type="noConversion"/>
  </si>
  <si>
    <t>混紡紗</t>
    <phoneticPr fontId="1" type="noConversion"/>
  </si>
  <si>
    <t>絲織布</t>
    <phoneticPr fontId="1" type="noConversion"/>
  </si>
  <si>
    <t>紡織元邦旗下</t>
    <phoneticPr fontId="1" type="noConversion"/>
  </si>
  <si>
    <t>感測顯示IC</t>
    <phoneticPr fontId="1" type="noConversion"/>
  </si>
  <si>
    <t>5.08</t>
    <phoneticPr fontId="1" type="noConversion"/>
  </si>
  <si>
    <t>人力資源</t>
    <phoneticPr fontId="1" type="noConversion"/>
  </si>
  <si>
    <t>財政部</t>
    <phoneticPr fontId="1" type="noConversion"/>
  </si>
  <si>
    <t>商場租賃</t>
    <phoneticPr fontId="1" type="noConversion"/>
  </si>
  <si>
    <t>觀光飯店</t>
    <phoneticPr fontId="1" type="noConversion"/>
  </si>
  <si>
    <t>遊樂園</t>
    <phoneticPr fontId="1" type="noConversion"/>
  </si>
  <si>
    <t>飯店萬華旗下</t>
    <phoneticPr fontId="1" type="noConversion"/>
  </si>
  <si>
    <t>飯店遠雄旗下</t>
    <phoneticPr fontId="1" type="noConversion"/>
  </si>
  <si>
    <t>飯店官田鋼轉投資</t>
    <phoneticPr fontId="1" type="noConversion"/>
  </si>
  <si>
    <t>氣門嘴</t>
    <phoneticPr fontId="1" type="noConversion"/>
  </si>
  <si>
    <t>三菱裕隆旗下</t>
    <phoneticPr fontId="1" type="noConversion"/>
  </si>
  <si>
    <t>現代汽車</t>
    <phoneticPr fontId="1" type="noConversion"/>
  </si>
  <si>
    <t>NISSAN裕隆旗下</t>
    <phoneticPr fontId="1" type="noConversion"/>
  </si>
  <si>
    <t>汽車氣囊</t>
    <phoneticPr fontId="1" type="noConversion"/>
  </si>
  <si>
    <t>汽車開關</t>
    <phoneticPr fontId="1" type="noConversion"/>
  </si>
  <si>
    <t>噴油嘴</t>
    <phoneticPr fontId="1" type="noConversion"/>
  </si>
  <si>
    <t>汽車零件</t>
    <phoneticPr fontId="1" type="noConversion"/>
  </si>
  <si>
    <t>車身模具</t>
    <phoneticPr fontId="1" type="noConversion"/>
  </si>
  <si>
    <t>汽車分泵</t>
    <phoneticPr fontId="1" type="noConversion"/>
  </si>
  <si>
    <t>車鑄件</t>
    <phoneticPr fontId="1" type="noConversion"/>
  </si>
  <si>
    <t>電線電纜</t>
    <phoneticPr fontId="1" type="noConversion"/>
  </si>
  <si>
    <t>家電</t>
    <phoneticPr fontId="1" type="noConversion"/>
  </si>
  <si>
    <t>高壓電力</t>
    <phoneticPr fontId="1" type="noConversion"/>
  </si>
  <si>
    <t>電力電纜</t>
    <phoneticPr fontId="1" type="noConversion"/>
  </si>
  <si>
    <t>東亞照明</t>
    <phoneticPr fontId="1" type="noConversion"/>
  </si>
  <si>
    <t>小家電燦坤旗下</t>
    <phoneticPr fontId="1" type="noConversion"/>
  </si>
  <si>
    <t>智慧家電</t>
    <phoneticPr fontId="1" type="noConversion"/>
  </si>
  <si>
    <t>治具Tesla</t>
    <phoneticPr fontId="1" type="noConversion"/>
  </si>
  <si>
    <t>軟硬體Adobe</t>
    <phoneticPr fontId="1" type="noConversion"/>
  </si>
  <si>
    <t>IC導線架長華電旗下</t>
    <phoneticPr fontId="1" type="noConversion"/>
  </si>
  <si>
    <t>封測轉投資台星科收購聯測</t>
    <phoneticPr fontId="1" type="noConversion"/>
  </si>
  <si>
    <t>海空貨運承攬</t>
    <phoneticPr fontId="1" type="noConversion"/>
  </si>
  <si>
    <t>二極體聯電投資</t>
    <phoneticPr fontId="1" type="noConversion"/>
  </si>
  <si>
    <t>腎臟病</t>
    <phoneticPr fontId="1" type="noConversion"/>
  </si>
  <si>
    <t>肥料</t>
    <phoneticPr fontId="1" type="noConversion"/>
  </si>
  <si>
    <t>倉儲</t>
    <phoneticPr fontId="1" type="noConversion"/>
  </si>
  <si>
    <t>投資公司</t>
    <phoneticPr fontId="1" type="noConversion"/>
  </si>
  <si>
    <t>生煤</t>
    <phoneticPr fontId="1" type="noConversion"/>
  </si>
  <si>
    <t>水龍頭零件</t>
    <phoneticPr fontId="1" type="noConversion"/>
  </si>
  <si>
    <t>鋁合金</t>
    <phoneticPr fontId="1" type="noConversion"/>
  </si>
  <si>
    <t>港區物流</t>
    <phoneticPr fontId="1" type="noConversion"/>
  </si>
  <si>
    <t>陳立補習班</t>
    <phoneticPr fontId="1" type="noConversion"/>
  </si>
  <si>
    <t>石化倉儲</t>
    <phoneticPr fontId="1" type="noConversion"/>
  </si>
  <si>
    <t>孵化創業</t>
    <phoneticPr fontId="1" type="noConversion"/>
  </si>
  <si>
    <t>機構件</t>
    <phoneticPr fontId="1" type="noConversion"/>
  </si>
  <si>
    <t>租賃中信旗下</t>
    <phoneticPr fontId="1" type="noConversion"/>
  </si>
  <si>
    <t>有線電視</t>
    <phoneticPr fontId="1" type="noConversion"/>
  </si>
  <si>
    <t>電弧爐</t>
    <phoneticPr fontId="1" type="noConversion"/>
  </si>
  <si>
    <t>娛樂製作</t>
    <phoneticPr fontId="1" type="noConversion"/>
  </si>
  <si>
    <t>水處理環保</t>
    <phoneticPr fontId="1" type="noConversion"/>
  </si>
  <si>
    <t>木板</t>
    <phoneticPr fontId="1" type="noConversion"/>
  </si>
  <si>
    <t>烘培器具</t>
    <phoneticPr fontId="1" type="noConversion"/>
  </si>
  <si>
    <t>黏釦帶</t>
    <phoneticPr fontId="1" type="noConversion"/>
  </si>
  <si>
    <t>制罐</t>
    <phoneticPr fontId="1" type="noConversion"/>
  </si>
  <si>
    <t>廢棄物處理</t>
    <phoneticPr fontId="1" type="noConversion"/>
  </si>
  <si>
    <t>水泥預拌潤泰旗下</t>
    <phoneticPr fontId="1" type="noConversion"/>
  </si>
  <si>
    <t>塑膠地磚</t>
    <phoneticPr fontId="1" type="noConversion"/>
  </si>
  <si>
    <t>水處理力騏旗下</t>
    <phoneticPr fontId="1" type="noConversion"/>
  </si>
  <si>
    <t>遊艇</t>
    <phoneticPr fontId="1" type="noConversion"/>
  </si>
  <si>
    <t>貼標印刷</t>
    <phoneticPr fontId="1" type="noConversion"/>
  </si>
  <si>
    <t>飲料包材</t>
    <phoneticPr fontId="1" type="noConversion"/>
  </si>
  <si>
    <t>營建開發</t>
    <phoneticPr fontId="1" type="noConversion"/>
  </si>
  <si>
    <t>食品包裝</t>
    <phoneticPr fontId="1" type="noConversion"/>
  </si>
  <si>
    <t>馬口鐵</t>
    <phoneticPr fontId="1" type="noConversion"/>
  </si>
  <si>
    <t>廚具</t>
    <phoneticPr fontId="1" type="noConversion"/>
  </si>
  <si>
    <t>保全SIGMU旗下</t>
    <phoneticPr fontId="1" type="noConversion"/>
  </si>
  <si>
    <t>門鎖</t>
    <phoneticPr fontId="1" type="noConversion"/>
  </si>
  <si>
    <t>保全公司</t>
    <phoneticPr fontId="1" type="noConversion"/>
  </si>
  <si>
    <t>鉛</t>
    <phoneticPr fontId="1" type="noConversion"/>
  </si>
  <si>
    <t>電視台</t>
    <phoneticPr fontId="1" type="noConversion"/>
  </si>
  <si>
    <t>爐石粉</t>
    <phoneticPr fontId="1" type="noConversion"/>
  </si>
  <si>
    <t>統包中鼎集團</t>
    <phoneticPr fontId="1" type="noConversion"/>
  </si>
  <si>
    <t>水龍頭</t>
    <phoneticPr fontId="1" type="noConversion"/>
  </si>
  <si>
    <t>黏扣帶</t>
    <phoneticPr fontId="1" type="noConversion"/>
  </si>
  <si>
    <t>密封元件</t>
    <phoneticPr fontId="1" type="noConversion"/>
  </si>
  <si>
    <t>樹脂棉</t>
    <phoneticPr fontId="1" type="noConversion"/>
  </si>
  <si>
    <t>農藥</t>
    <phoneticPr fontId="1" type="noConversion"/>
  </si>
  <si>
    <t>保險粉</t>
    <phoneticPr fontId="1" type="noConversion"/>
  </si>
  <si>
    <t>正烷</t>
    <phoneticPr fontId="1" type="noConversion"/>
  </si>
  <si>
    <t>光阻劑</t>
    <phoneticPr fontId="1" type="noConversion"/>
  </si>
  <si>
    <t>油墨處理劑</t>
    <phoneticPr fontId="1" type="noConversion"/>
  </si>
  <si>
    <t>碼頭倉儲</t>
    <phoneticPr fontId="1" type="noConversion"/>
  </si>
  <si>
    <t>百貨業</t>
    <phoneticPr fontId="1" type="noConversion"/>
  </si>
  <si>
    <t>百貨遠東旗下</t>
    <phoneticPr fontId="1" type="noConversion"/>
  </si>
  <si>
    <t>食衣住行</t>
    <phoneticPr fontId="1" type="noConversion"/>
  </si>
  <si>
    <t>家居用品</t>
    <phoneticPr fontId="1" type="noConversion"/>
  </si>
  <si>
    <t>百貨公司</t>
    <phoneticPr fontId="1" type="noConversion"/>
  </si>
  <si>
    <t>超商統一旗下</t>
    <phoneticPr fontId="1" type="noConversion"/>
  </si>
  <si>
    <t>家具批發</t>
    <phoneticPr fontId="1" type="noConversion"/>
  </si>
  <si>
    <t>生活用品</t>
    <phoneticPr fontId="1" type="noConversion"/>
  </si>
  <si>
    <t>TONY wear</t>
    <phoneticPr fontId="1" type="noConversion"/>
  </si>
  <si>
    <t>百貨益航投資</t>
    <phoneticPr fontId="1" type="noConversion"/>
  </si>
  <si>
    <t>品牌服飾</t>
    <phoneticPr fontId="1" type="noConversion"/>
  </si>
  <si>
    <t>鞋業</t>
    <phoneticPr fontId="1" type="noConversion"/>
  </si>
  <si>
    <t>網購富邦旗下</t>
    <phoneticPr fontId="1" type="noConversion"/>
  </si>
  <si>
    <t>通路聯華旗下</t>
    <phoneticPr fontId="1" type="noConversion"/>
  </si>
  <si>
    <t>資訊通路</t>
    <phoneticPr fontId="1" type="noConversion"/>
  </si>
  <si>
    <t>連鎖通路</t>
    <phoneticPr fontId="1" type="noConversion"/>
  </si>
  <si>
    <t>電子零件</t>
    <phoneticPr fontId="1" type="noConversion"/>
  </si>
  <si>
    <t>半導體元件</t>
    <phoneticPr fontId="1" type="noConversion"/>
  </si>
  <si>
    <t>電子零組件</t>
    <phoneticPr fontId="1" type="noConversion"/>
  </si>
  <si>
    <t>IC通路</t>
    <phoneticPr fontId="1" type="noConversion"/>
  </si>
  <si>
    <t>Xcerra代理</t>
    <phoneticPr fontId="1" type="noConversion"/>
  </si>
  <si>
    <t>通訊元件</t>
    <phoneticPr fontId="1" type="noConversion"/>
  </si>
  <si>
    <t>半導體零件</t>
    <phoneticPr fontId="1" type="noConversion"/>
  </si>
  <si>
    <t>晶圓日本信越</t>
    <phoneticPr fontId="1" type="noConversion"/>
  </si>
  <si>
    <t>3C通路</t>
    <phoneticPr fontId="1" type="noConversion"/>
  </si>
  <si>
    <t>IC封裝材料</t>
    <phoneticPr fontId="1" type="noConversion"/>
  </si>
  <si>
    <t>DVR安控</t>
    <phoneticPr fontId="1" type="noConversion"/>
  </si>
  <si>
    <t>19.81</t>
    <phoneticPr fontId="1" type="noConversion"/>
  </si>
  <si>
    <t>57.2</t>
    <phoneticPr fontId="1" type="noConversion"/>
  </si>
  <si>
    <t>散熱機構件</t>
    <phoneticPr fontId="1" type="noConversion"/>
  </si>
  <si>
    <t>連接器連展科、連騰、連訊、連淨生技</t>
    <phoneticPr fontId="1" type="noConversion"/>
  </si>
  <si>
    <t>條碼印表機台半投資</t>
    <phoneticPr fontId="1" type="noConversion"/>
  </si>
  <si>
    <t>軸承MacPro</t>
    <phoneticPr fontId="1" type="noConversion"/>
  </si>
  <si>
    <t>汽車鍛壓件</t>
    <phoneticPr fontId="1" type="noConversion"/>
  </si>
  <si>
    <t>半導體鐳射設備</t>
    <phoneticPr fontId="1" type="noConversion"/>
  </si>
  <si>
    <t>網通IC聯發科入股</t>
    <phoneticPr fontId="1" type="noConversion"/>
  </si>
  <si>
    <t>手工具</t>
    <phoneticPr fontId="1" type="noConversion"/>
  </si>
  <si>
    <t>損益</t>
    <phoneticPr fontId="1" type="noConversion"/>
  </si>
  <si>
    <t>損益率</t>
    <phoneticPr fontId="1" type="noConversion"/>
  </si>
  <si>
    <t>成分</t>
    <phoneticPr fontId="1" type="noConversion"/>
  </si>
  <si>
    <t>持股</t>
    <phoneticPr fontId="1" type="noConversion"/>
  </si>
  <si>
    <t>類股</t>
    <phoneticPr fontId="1" type="noConversion"/>
  </si>
  <si>
    <t>買進日期</t>
    <phoneticPr fontId="1" type="noConversion"/>
  </si>
  <si>
    <t>賣出日期</t>
    <phoneticPr fontId="1" type="noConversion"/>
  </si>
  <si>
    <t>01月21年</t>
    <phoneticPr fontId="1" type="noConversion"/>
  </si>
  <si>
    <t>54.6</t>
    <phoneticPr fontId="1" type="noConversion"/>
  </si>
  <si>
    <t>金像電</t>
    <phoneticPr fontId="1" type="noConversion"/>
  </si>
  <si>
    <t>南珠</t>
    <phoneticPr fontId="1" type="noConversion"/>
  </si>
  <si>
    <t>1</t>
    <phoneticPr fontId="34" type="noConversion"/>
  </si>
  <si>
    <t>568</t>
    <phoneticPr fontId="1" type="noConversion"/>
  </si>
  <si>
    <t>統一</t>
    <phoneticPr fontId="1" type="noConversion"/>
  </si>
  <si>
    <t>8.60</t>
    <phoneticPr fontId="1" type="noConversion"/>
  </si>
  <si>
    <t>高技</t>
    <phoneticPr fontId="1" type="noConversion"/>
  </si>
  <si>
    <t>1</t>
    <phoneticPr fontId="1" type="noConversion"/>
  </si>
  <si>
    <t>49.0</t>
    <phoneticPr fontId="1" type="noConversion"/>
  </si>
  <si>
    <t>欣銓</t>
    <phoneticPr fontId="1" type="noConversion"/>
  </si>
  <si>
    <t>67.1</t>
    <phoneticPr fontId="1" type="noConversion"/>
  </si>
  <si>
    <t>頎邦</t>
    <phoneticPr fontId="1" type="noConversion"/>
  </si>
  <si>
    <t>150</t>
    <phoneticPr fontId="1" type="noConversion"/>
  </si>
  <si>
    <t>欣興</t>
    <phoneticPr fontId="1" type="noConversion"/>
  </si>
  <si>
    <t>25.2</t>
    <phoneticPr fontId="1" type="noConversion"/>
  </si>
  <si>
    <t>金居</t>
    <phoneticPr fontId="1" type="noConversion"/>
  </si>
  <si>
    <t>南珠</t>
    <phoneticPr fontId="1" type="noConversion"/>
  </si>
  <si>
    <t>1</t>
    <phoneticPr fontId="1" type="noConversion"/>
  </si>
  <si>
    <t>25.2</t>
    <phoneticPr fontId="1" type="noConversion"/>
  </si>
  <si>
    <t>日本CNC車床</t>
    <phoneticPr fontId="1" type="noConversion"/>
  </si>
  <si>
    <t>IP矽智財</t>
    <phoneticPr fontId="1" type="noConversion"/>
  </si>
  <si>
    <t>散熱1</t>
    <phoneticPr fontId="1" type="noConversion"/>
  </si>
  <si>
    <t>散熱4</t>
    <phoneticPr fontId="1" type="noConversion"/>
  </si>
  <si>
    <t>散熱5旗下富世逹軸承</t>
    <phoneticPr fontId="1" type="noConversion"/>
  </si>
  <si>
    <t>散熱6</t>
    <phoneticPr fontId="1" type="noConversion"/>
  </si>
  <si>
    <t>11.43</t>
    <phoneticPr fontId="1" type="noConversion"/>
  </si>
  <si>
    <t>21.8</t>
    <phoneticPr fontId="1" type="noConversion"/>
  </si>
  <si>
    <t>日出茶太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</si>
  <si>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</si>
  <si>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</si>
  <si>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</si>
  <si>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年</t>
    <phoneticPr fontId="1" type="noConversion"/>
  </si>
  <si>
    <t>營益率</t>
    <phoneticPr fontId="1" type="noConversion"/>
  </si>
  <si>
    <t>44.47</t>
    <phoneticPr fontId="1" type="noConversion"/>
  </si>
  <si>
    <t>電腦周邊</t>
    <phoneticPr fontId="1" type="noConversion"/>
  </si>
  <si>
    <t>網通線材</t>
    <phoneticPr fontId="1" type="noConversion"/>
  </si>
  <si>
    <t>二極體美國達爾大股東旗下晶圓廠亞昕</t>
    <phoneticPr fontId="1" type="noConversion"/>
  </si>
  <si>
    <t>33.33</t>
    <phoneticPr fontId="1" type="noConversion"/>
  </si>
  <si>
    <t>半導體設備真空</t>
    <phoneticPr fontId="1" type="noConversion"/>
  </si>
  <si>
    <t>IC測試</t>
    <phoneticPr fontId="1" type="noConversion"/>
  </si>
  <si>
    <t>13.53</t>
    <phoneticPr fontId="1" type="noConversion"/>
  </si>
  <si>
    <t>58.09</t>
    <phoneticPr fontId="1" type="noConversion"/>
  </si>
  <si>
    <t>3.76</t>
    <phoneticPr fontId="1" type="noConversion"/>
  </si>
  <si>
    <t>投報率大</t>
    <phoneticPr fontId="1" type="noConversion"/>
  </si>
  <si>
    <t>現在價法</t>
    <phoneticPr fontId="1" type="noConversion"/>
  </si>
  <si>
    <t>股息券</t>
    <phoneticPr fontId="1" type="noConversion"/>
  </si>
  <si>
    <t>買賣價資</t>
    <phoneticPr fontId="1" type="noConversion"/>
  </si>
  <si>
    <t>冶金粉末件車用縫紉</t>
    <phoneticPr fontId="1" type="noConversion"/>
  </si>
  <si>
    <t>檢測驗證</t>
    <phoneticPr fontId="1" type="noConversion"/>
  </si>
  <si>
    <t>4938</t>
    <phoneticPr fontId="1" type="noConversion"/>
  </si>
  <si>
    <t>倚強股份</t>
    <phoneticPr fontId="1" type="noConversion"/>
  </si>
  <si>
    <t>重鵬</t>
    <phoneticPr fontId="1" type="noConversion"/>
  </si>
  <si>
    <t>2.78</t>
    <phoneticPr fontId="1" type="noConversion"/>
  </si>
  <si>
    <t>2.38</t>
    <phoneticPr fontId="1" type="noConversion"/>
  </si>
  <si>
    <t>9.88</t>
    <phoneticPr fontId="1" type="noConversion"/>
  </si>
  <si>
    <t>進泰電子</t>
    <phoneticPr fontId="1" type="noConversion"/>
  </si>
  <si>
    <t>4.88</t>
    <phoneticPr fontId="1" type="noConversion"/>
  </si>
  <si>
    <t>華盈</t>
    <phoneticPr fontId="1" type="noConversion"/>
  </si>
  <si>
    <t>4.75</t>
    <phoneticPr fontId="1" type="noConversion"/>
  </si>
  <si>
    <t>7.11</t>
    <phoneticPr fontId="1" type="noConversion"/>
  </si>
  <si>
    <t>5.37</t>
    <phoneticPr fontId="1" type="noConversion"/>
  </si>
  <si>
    <t>詠昇</t>
    <phoneticPr fontId="1" type="noConversion"/>
  </si>
  <si>
    <t>能率網通</t>
    <phoneticPr fontId="1" type="noConversion"/>
  </si>
  <si>
    <t>4.03</t>
    <phoneticPr fontId="1" type="noConversion"/>
  </si>
  <si>
    <t>永利聯合</t>
    <phoneticPr fontId="1" type="noConversion"/>
  </si>
  <si>
    <t>3.54</t>
    <phoneticPr fontId="1" type="noConversion"/>
  </si>
  <si>
    <t>3.08</t>
    <phoneticPr fontId="1" type="noConversion"/>
  </si>
  <si>
    <t>10.9</t>
    <phoneticPr fontId="1" type="noConversion"/>
  </si>
  <si>
    <t>新盛力</t>
    <phoneticPr fontId="1" type="noConversion"/>
  </si>
  <si>
    <t>鋰電池模組</t>
    <phoneticPr fontId="1" type="noConversion"/>
  </si>
  <si>
    <t>POS刷卡機</t>
    <phoneticPr fontId="1" type="noConversion"/>
  </si>
  <si>
    <t>4.45</t>
    <phoneticPr fontId="1" type="noConversion"/>
  </si>
  <si>
    <t>6.43</t>
    <phoneticPr fontId="1" type="noConversion"/>
  </si>
  <si>
    <t>大詠城</t>
    <phoneticPr fontId="1" type="noConversion"/>
  </si>
  <si>
    <t>工具機鑄件</t>
    <phoneticPr fontId="1" type="noConversion"/>
  </si>
  <si>
    <t>易發</t>
    <phoneticPr fontId="1" type="noConversion"/>
  </si>
  <si>
    <t>4.46</t>
    <phoneticPr fontId="1" type="noConversion"/>
  </si>
  <si>
    <t>4.83</t>
    <phoneticPr fontId="1" type="noConversion"/>
  </si>
  <si>
    <t>蛋白質藥晟德旗下</t>
    <phoneticPr fontId="1" type="noConversion"/>
  </si>
  <si>
    <t>5.45</t>
    <phoneticPr fontId="1" type="noConversion"/>
  </si>
  <si>
    <t>9.22</t>
    <phoneticPr fontId="1" type="noConversion"/>
  </si>
  <si>
    <t>7.74</t>
    <phoneticPr fontId="1" type="noConversion"/>
  </si>
  <si>
    <t>慕康生醫</t>
    <phoneticPr fontId="1" type="noConversion"/>
  </si>
  <si>
    <t>南良</t>
    <phoneticPr fontId="1" type="noConversion"/>
  </si>
  <si>
    <t>新華</t>
    <phoneticPr fontId="1" type="noConversion"/>
  </si>
  <si>
    <t>醫材代理</t>
    <phoneticPr fontId="1" type="noConversion"/>
  </si>
  <si>
    <t>特殊紡織品</t>
    <phoneticPr fontId="1" type="noConversion"/>
  </si>
  <si>
    <t>芝麻街英語</t>
    <phoneticPr fontId="1" type="noConversion"/>
  </si>
  <si>
    <t>6.11</t>
    <phoneticPr fontId="1" type="noConversion"/>
  </si>
  <si>
    <t>SONY.SHARP代理</t>
    <phoneticPr fontId="1" type="noConversion"/>
  </si>
  <si>
    <t>6.48</t>
    <phoneticPr fontId="1" type="noConversion"/>
  </si>
  <si>
    <t>昇益</t>
    <phoneticPr fontId="1" type="noConversion"/>
  </si>
  <si>
    <t>建材買賣</t>
    <phoneticPr fontId="1" type="noConversion"/>
  </si>
  <si>
    <t>桓鼎KY</t>
    <phoneticPr fontId="1" type="noConversion"/>
  </si>
  <si>
    <t>金屬建材</t>
    <phoneticPr fontId="1" type="noConversion"/>
  </si>
  <si>
    <t>連鎖餐飲</t>
    <phoneticPr fontId="1" type="noConversion"/>
  </si>
  <si>
    <t>CAD繪圖軟體</t>
    <phoneticPr fontId="1" type="noConversion"/>
  </si>
  <si>
    <t>叡揚</t>
    <phoneticPr fontId="1" type="noConversion"/>
  </si>
  <si>
    <t>地心引力</t>
    <phoneticPr fontId="1" type="noConversion"/>
  </si>
  <si>
    <t>手機遊戲</t>
    <phoneticPr fontId="1" type="noConversion"/>
  </si>
  <si>
    <t>8.81</t>
    <phoneticPr fontId="1" type="noConversion"/>
  </si>
  <si>
    <t>24.6</t>
    <phoneticPr fontId="1" type="noConversion"/>
  </si>
  <si>
    <t>元翎</t>
    <phoneticPr fontId="1" type="noConversion"/>
  </si>
  <si>
    <t>高壓鋼瓶</t>
    <phoneticPr fontId="1" type="noConversion"/>
  </si>
  <si>
    <t>大宗物資</t>
    <phoneticPr fontId="1" type="noConversion"/>
  </si>
  <si>
    <t>4.95</t>
    <phoneticPr fontId="1" type="noConversion"/>
  </si>
  <si>
    <t>業旺</t>
    <phoneticPr fontId="1" type="noConversion"/>
  </si>
  <si>
    <t>羽絨服</t>
    <phoneticPr fontId="1" type="noConversion"/>
  </si>
  <si>
    <t>三地開發</t>
    <phoneticPr fontId="1" type="noConversion"/>
  </si>
  <si>
    <t>153</t>
    <phoneticPr fontId="1" type="noConversion"/>
  </si>
  <si>
    <t>大陸房地產日月光轉投資</t>
    <phoneticPr fontId="1" type="noConversion"/>
  </si>
  <si>
    <t>營造潤泰旗下</t>
    <phoneticPr fontId="1" type="noConversion"/>
  </si>
  <si>
    <t>營造冠德旗下</t>
    <phoneticPr fontId="1" type="noConversion"/>
  </si>
  <si>
    <t>建商帝寶宏泰旗下</t>
    <phoneticPr fontId="1" type="noConversion"/>
  </si>
  <si>
    <t>5.31</t>
    <phoneticPr fontId="1" type="noConversion"/>
  </si>
  <si>
    <t>車用導線架同業順德</t>
    <phoneticPr fontId="1" type="noConversion"/>
  </si>
  <si>
    <t>MCU封測力成投資</t>
    <phoneticPr fontId="1" type="noConversion"/>
  </si>
  <si>
    <t>MCU封測華新麗華旗下</t>
    <phoneticPr fontId="1" type="noConversion"/>
  </si>
  <si>
    <t>MCU封測聯電旗下</t>
    <phoneticPr fontId="1" type="noConversion"/>
  </si>
  <si>
    <t>2.09</t>
    <phoneticPr fontId="1" type="noConversion"/>
  </si>
  <si>
    <t>2.87</t>
    <phoneticPr fontId="1" type="noConversion"/>
  </si>
  <si>
    <t>-0.3</t>
    <phoneticPr fontId="1" type="noConversion"/>
  </si>
  <si>
    <t>1.05</t>
    <phoneticPr fontId="1" type="noConversion"/>
  </si>
  <si>
    <t>7.77</t>
    <phoneticPr fontId="1" type="noConversion"/>
  </si>
  <si>
    <t>-1.77</t>
    <phoneticPr fontId="1" type="noConversion"/>
  </si>
  <si>
    <t>-3.81</t>
    <phoneticPr fontId="1" type="noConversion"/>
  </si>
  <si>
    <t>2.21</t>
    <phoneticPr fontId="1" type="noConversion"/>
  </si>
  <si>
    <t>4.43</t>
    <phoneticPr fontId="1" type="noConversion"/>
  </si>
  <si>
    <t>0.3</t>
    <phoneticPr fontId="1" type="noConversion"/>
  </si>
  <si>
    <t>0.4</t>
    <phoneticPr fontId="1" type="noConversion"/>
  </si>
  <si>
    <t>10.79</t>
    <phoneticPr fontId="1" type="noConversion"/>
  </si>
  <si>
    <t>-1.11</t>
    <phoneticPr fontId="1" type="noConversion"/>
  </si>
  <si>
    <t>14.33</t>
    <phoneticPr fontId="1" type="noConversion"/>
  </si>
  <si>
    <t>25.98</t>
    <phoneticPr fontId="1" type="noConversion"/>
  </si>
  <si>
    <t>17.84</t>
    <phoneticPr fontId="1" type="noConversion"/>
  </si>
  <si>
    <t>半導</t>
    <phoneticPr fontId="1" type="noConversion"/>
  </si>
  <si>
    <t>現在價</t>
    <phoneticPr fontId="1" type="noConversion"/>
  </si>
  <si>
    <t>ASIC比特幣</t>
    <phoneticPr fontId="1" type="noConversion"/>
  </si>
  <si>
    <t>龍門機CNC</t>
    <phoneticPr fontId="1" type="noConversion"/>
  </si>
  <si>
    <t>聯德控股KY</t>
    <phoneticPr fontId="1" type="noConversion"/>
  </si>
  <si>
    <t>污水處理海水淡化</t>
    <phoneticPr fontId="1" type="noConversion"/>
  </si>
  <si>
    <t>貴金屬再生</t>
    <phoneticPr fontId="1" type="noConversion"/>
  </si>
  <si>
    <t>Type-C MacPro SD</t>
    <phoneticPr fontId="1" type="noConversion"/>
  </si>
  <si>
    <t>574</t>
    <phoneticPr fontId="1" type="noConversion"/>
  </si>
  <si>
    <t>台橡</t>
    <phoneticPr fontId="1" type="noConversion"/>
  </si>
  <si>
    <t>02月21年</t>
    <phoneticPr fontId="1" type="noConversion"/>
  </si>
  <si>
    <t>-0.7</t>
    <phoneticPr fontId="1" type="noConversion"/>
  </si>
  <si>
    <t>-2.42</t>
    <phoneticPr fontId="1" type="noConversion"/>
  </si>
  <si>
    <t>6.72</t>
    <phoneticPr fontId="1" type="noConversion"/>
  </si>
  <si>
    <t>-1.08</t>
    <phoneticPr fontId="1" type="noConversion"/>
  </si>
  <si>
    <t>2.68</t>
    <phoneticPr fontId="1" type="noConversion"/>
  </si>
  <si>
    <t>7.5</t>
    <phoneticPr fontId="1" type="noConversion"/>
  </si>
  <si>
    <t>2.9</t>
    <phoneticPr fontId="1" type="noConversion"/>
  </si>
  <si>
    <t>無塵室海水淡化</t>
    <phoneticPr fontId="1" type="noConversion"/>
  </si>
  <si>
    <t>5.69</t>
    <phoneticPr fontId="1" type="noConversion"/>
  </si>
  <si>
    <t>-0.52</t>
    <phoneticPr fontId="1" type="noConversion"/>
  </si>
  <si>
    <t>高球桿頭4雄</t>
    <phoneticPr fontId="1" type="noConversion"/>
  </si>
  <si>
    <t>記憶體IC VR商機</t>
    <phoneticPr fontId="1" type="noConversion"/>
  </si>
  <si>
    <t>音效IC VR商機</t>
    <phoneticPr fontId="1" type="noConversion"/>
  </si>
  <si>
    <t>測試設備電動車3雄</t>
    <phoneticPr fontId="1" type="noConversion"/>
  </si>
  <si>
    <t>03月21年</t>
    <phoneticPr fontId="1" type="noConversion"/>
  </si>
  <si>
    <t>紅外線量測</t>
    <phoneticPr fontId="1" type="noConversion"/>
  </si>
  <si>
    <t>封測矽格旗下比特幣概念</t>
    <phoneticPr fontId="1" type="noConversion"/>
  </si>
  <si>
    <t>熱交換器 綠色氫氣</t>
    <phoneticPr fontId="1" type="noConversion"/>
  </si>
  <si>
    <t>電源供應器金仁寶旗下 綠色氫氣</t>
    <phoneticPr fontId="1" type="noConversion"/>
  </si>
  <si>
    <t>遊戲雙雄</t>
    <phoneticPr fontId="1" type="noConversion"/>
  </si>
  <si>
    <t>23.02</t>
    <phoneticPr fontId="1" type="noConversion"/>
  </si>
  <si>
    <t>4.92</t>
    <phoneticPr fontId="1" type="noConversion"/>
  </si>
  <si>
    <t>保護元件3大廠</t>
    <phoneticPr fontId="1" type="noConversion"/>
  </si>
  <si>
    <t>保護元件3大廠保險絲</t>
    <phoneticPr fontId="1" type="noConversion"/>
  </si>
  <si>
    <t>統計</t>
    <phoneticPr fontId="1" type="noConversion"/>
  </si>
  <si>
    <t>直得、訊聯、世德、台星科、家登、聿新科、光明、永捷、達威、三聯、晉泰、保瑞、</t>
    <phoneticPr fontId="1" type="noConversion"/>
  </si>
  <si>
    <t>長科、英格爾、駿吉-KY、東凌-KY、VHQ-KY、特昇-KY等 18 家。</t>
  </si>
  <si>
    <t>台積電、晶電、晶華、光寶科、昆盈、光群雷、閎暉、敦泰、三福化、傳奇、華興、</t>
    <phoneticPr fontId="1" type="noConversion"/>
  </si>
  <si>
    <t>宏正科、興富發、聯德控股-KY、福貞-KY、波力-KY、泰昇-KY等 17 家。</t>
  </si>
  <si>
    <t>幸福、上曜、宏州、宜進、寶隆、榮成、南港、國巨、精英、華邦電、所羅門、虹光、浩鑫、鼎元、可成、瑞軒、皇普、</t>
    <phoneticPr fontId="1" type="noConversion"/>
  </si>
  <si>
    <t>聯邦銀、和鑫、正達、玉晶光、牧德、碩天、如興、</t>
    <phoneticPr fontId="1" type="noConversion"/>
  </si>
  <si>
    <t>低檔爆量打不下去是好事。高檔爆量留實體黑K或上引線。出貨意謂濃厚。</t>
    <phoneticPr fontId="1" type="noConversion"/>
  </si>
  <si>
    <t>左右手做量。製造買盤氣氛。順便嘎前些日子卷單。往後幾個交易日。</t>
  </si>
  <si>
    <t>2.長黑趕底破底翻：一般出現在第一種情況之後，</t>
    <phoneticPr fontId="1" type="noConversion"/>
  </si>
  <si>
    <t>底部出現一根超長的帶量長黑，把最後還抱希望的人全部洗光。之後才開始緩步走揚。</t>
  </si>
  <si>
    <t>3.日出東方，長紅突破：也是第一種情況之後，在底部出現一根超級帶量長紅。</t>
    <phoneticPr fontId="1" type="noConversion"/>
  </si>
  <si>
    <t>正式宣告空頭結束。之後量能逐步放大開始下一波多頭。</t>
  </si>
  <si>
    <t>QQ號</t>
    <phoneticPr fontId="1" type="noConversion"/>
  </si>
  <si>
    <t>XQ帳號</t>
    <phoneticPr fontId="1" type="noConversion"/>
  </si>
  <si>
    <t>sukibayashi/第一珠/華南斌</t>
    <phoneticPr fontId="1" type="noConversion"/>
  </si>
  <si>
    <t>buffettdong/第一斌/華南珠</t>
    <phoneticPr fontId="1" type="noConversion"/>
  </si>
  <si>
    <t>鋼鐵</t>
    <phoneticPr fontId="1" type="noConversion"/>
  </si>
  <si>
    <t>展碁國際</t>
    <phoneticPr fontId="1" type="noConversion"/>
  </si>
  <si>
    <t>AES-KY</t>
    <phoneticPr fontId="1" type="noConversion"/>
  </si>
  <si>
    <t>股息</t>
    <phoneticPr fontId="1" type="noConversion"/>
  </si>
  <si>
    <t>費稅</t>
    <phoneticPr fontId="1" type="noConversion"/>
  </si>
  <si>
    <t>獲利</t>
    <phoneticPr fontId="1" type="noConversion"/>
  </si>
  <si>
    <t>179.2</t>
    <phoneticPr fontId="1" type="noConversion"/>
  </si>
  <si>
    <t>鋰電池模組新普旗下</t>
    <phoneticPr fontId="1" type="noConversion"/>
  </si>
  <si>
    <t>0981189079</t>
    <phoneticPr fontId="1" type="noConversion"/>
  </si>
  <si>
    <t>0960900916</t>
    <phoneticPr fontId="1" type="noConversion"/>
  </si>
  <si>
    <t>0960905918</t>
    <phoneticPr fontId="1" type="noConversion"/>
  </si>
  <si>
    <t>0916009079</t>
    <phoneticPr fontId="1" type="noConversion"/>
  </si>
  <si>
    <t>東</t>
    <phoneticPr fontId="1" type="noConversion"/>
  </si>
  <si>
    <t>buffettju/華南博/華南斌</t>
    <phoneticPr fontId="1" type="noConversion"/>
  </si>
  <si>
    <t>生日</t>
    <phoneticPr fontId="1" type="noConversion"/>
  </si>
  <si>
    <t>長榮鋼</t>
    <phoneticPr fontId="1" type="noConversion"/>
  </si>
  <si>
    <t>鋼結構長榮旗下</t>
    <phoneticPr fontId="1" type="noConversion"/>
  </si>
  <si>
    <t>33.81</t>
    <phoneticPr fontId="1" type="noConversion"/>
  </si>
  <si>
    <t>台燿</t>
    <phoneticPr fontId="1" type="noConversion"/>
  </si>
  <si>
    <t>1</t>
    <phoneticPr fontId="1" type="noConversion"/>
  </si>
  <si>
    <t>67.1</t>
    <phoneticPr fontId="1" type="noConversion"/>
  </si>
  <si>
    <t>頎邦</t>
    <phoneticPr fontId="1" type="noConversion"/>
  </si>
  <si>
    <t>26.7</t>
    <phoneticPr fontId="1" type="noConversion"/>
  </si>
  <si>
    <t>台燿</t>
    <phoneticPr fontId="1" type="noConversion"/>
  </si>
  <si>
    <t>宏捷科</t>
    <phoneticPr fontId="1" type="noConversion"/>
  </si>
  <si>
    <t>3</t>
    <phoneticPr fontId="1" type="noConversion"/>
  </si>
  <si>
    <t>03月21年</t>
    <phoneticPr fontId="1" type="noConversion"/>
  </si>
  <si>
    <t>16.9</t>
    <phoneticPr fontId="1" type="noConversion"/>
  </si>
  <si>
    <t>宣德</t>
    <phoneticPr fontId="1" type="noConversion"/>
  </si>
  <si>
    <t>南珠</t>
    <phoneticPr fontId="1" type="noConversion"/>
  </si>
  <si>
    <t>1</t>
    <phoneticPr fontId="34" type="noConversion"/>
  </si>
  <si>
    <t>19.9</t>
    <phoneticPr fontId="1" type="noConversion"/>
  </si>
  <si>
    <t>9.27</t>
    <phoneticPr fontId="1" type="noConversion"/>
  </si>
  <si>
    <t>8.36</t>
    <phoneticPr fontId="1" type="noConversion"/>
  </si>
  <si>
    <t>8.51</t>
    <phoneticPr fontId="1" type="noConversion"/>
  </si>
  <si>
    <t>568</t>
    <phoneticPr fontId="1" type="noConversion"/>
  </si>
  <si>
    <t>統一</t>
    <phoneticPr fontId="1" type="noConversion"/>
  </si>
  <si>
    <t>0.59</t>
    <phoneticPr fontId="34" type="noConversion"/>
  </si>
  <si>
    <t>0.44</t>
    <phoneticPr fontId="34" type="noConversion"/>
  </si>
  <si>
    <t>0.29</t>
    <phoneticPr fontId="34" type="noConversion"/>
  </si>
  <si>
    <t>0.73</t>
    <phoneticPr fontId="34" type="noConversion"/>
  </si>
  <si>
    <t>82.5</t>
    <phoneticPr fontId="1" type="noConversion"/>
  </si>
  <si>
    <t>台橡</t>
    <phoneticPr fontId="1" type="noConversion"/>
  </si>
  <si>
    <t>1.83</t>
    <phoneticPr fontId="1" type="noConversion"/>
  </si>
  <si>
    <t>橡膠</t>
    <phoneticPr fontId="1" type="noConversion"/>
  </si>
  <si>
    <t>瑞軒</t>
    <phoneticPr fontId="1" type="noConversion"/>
  </si>
  <si>
    <t>-39.08</t>
    <phoneticPr fontId="1" type="noConversion"/>
  </si>
  <si>
    <t>瑞軒</t>
    <phoneticPr fontId="1" type="noConversion"/>
  </si>
  <si>
    <t>南斌</t>
    <phoneticPr fontId="1" type="noConversion"/>
  </si>
  <si>
    <t>-5.7</t>
    <phoneticPr fontId="1" type="noConversion"/>
  </si>
  <si>
    <t>-0.93</t>
    <phoneticPr fontId="1" type="noConversion"/>
  </si>
  <si>
    <t>15.38</t>
    <phoneticPr fontId="1" type="noConversion"/>
  </si>
  <si>
    <t>15.91</t>
    <phoneticPr fontId="1" type="noConversion"/>
  </si>
  <si>
    <t>5</t>
    <phoneticPr fontId="1" type="noConversion"/>
  </si>
  <si>
    <t>16.44</t>
    <phoneticPr fontId="1" type="noConversion"/>
  </si>
  <si>
    <t>瑞軒</t>
    <phoneticPr fontId="1" type="noConversion"/>
  </si>
  <si>
    <t>南斌</t>
    <phoneticPr fontId="1" type="noConversion"/>
  </si>
  <si>
    <t>1</t>
    <phoneticPr fontId="1" type="noConversion"/>
  </si>
  <si>
    <t>19.16</t>
    <phoneticPr fontId="1" type="noConversion"/>
  </si>
  <si>
    <t>19.72</t>
    <phoneticPr fontId="1" type="noConversion"/>
  </si>
  <si>
    <t>67.1</t>
    <phoneticPr fontId="1" type="noConversion"/>
  </si>
  <si>
    <t>頎邦</t>
    <phoneticPr fontId="1" type="noConversion"/>
  </si>
  <si>
    <t>4.38</t>
    <phoneticPr fontId="1" type="noConversion"/>
  </si>
  <si>
    <t>南珠</t>
    <phoneticPr fontId="1" type="noConversion"/>
  </si>
  <si>
    <t>0.26</t>
    <phoneticPr fontId="1" type="noConversion"/>
  </si>
  <si>
    <t>178.8</t>
    <phoneticPr fontId="1" type="noConversion"/>
  </si>
  <si>
    <t>04月21年</t>
    <phoneticPr fontId="1" type="noConversion"/>
  </si>
  <si>
    <t>手機</t>
    <phoneticPr fontId="1" type="noConversion"/>
  </si>
  <si>
    <t>天方能源</t>
    <phoneticPr fontId="1" type="noConversion"/>
  </si>
  <si>
    <t>太陽能電廠</t>
    <phoneticPr fontId="1" type="noConversion"/>
  </si>
  <si>
    <t>13.82</t>
    <phoneticPr fontId="1" type="noConversion"/>
  </si>
  <si>
    <t>8.99</t>
    <phoneticPr fontId="1" type="noConversion"/>
  </si>
  <si>
    <t>1.65</t>
    <phoneticPr fontId="1" type="noConversion"/>
  </si>
  <si>
    <t>-3.55</t>
    <phoneticPr fontId="1" type="noConversion"/>
  </si>
  <si>
    <t>-8.97</t>
    <phoneticPr fontId="1" type="noConversion"/>
  </si>
  <si>
    <t>1.29</t>
    <phoneticPr fontId="1" type="noConversion"/>
  </si>
  <si>
    <t>12.15</t>
    <phoneticPr fontId="1" type="noConversion"/>
  </si>
  <si>
    <t>7.72</t>
    <phoneticPr fontId="1" type="noConversion"/>
  </si>
  <si>
    <t>土地開發</t>
    <phoneticPr fontId="1" type="noConversion"/>
  </si>
  <si>
    <t>73.9</t>
    <phoneticPr fontId="1" type="noConversion"/>
  </si>
  <si>
    <t>51.03</t>
    <phoneticPr fontId="1" type="noConversion"/>
  </si>
  <si>
    <t>紡織</t>
    <phoneticPr fontId="1" type="noConversion"/>
  </si>
  <si>
    <t>大億金茂</t>
    <phoneticPr fontId="1" type="noConversion"/>
  </si>
  <si>
    <t>25.44</t>
    <phoneticPr fontId="1" type="noConversion"/>
  </si>
  <si>
    <t>10.65</t>
    <phoneticPr fontId="1" type="noConversion"/>
  </si>
  <si>
    <t>TSE</t>
    <phoneticPr fontId="1" type="noConversion"/>
  </si>
  <si>
    <t>加權指</t>
    <phoneticPr fontId="1" type="noConversion"/>
  </si>
  <si>
    <t>SAR</t>
    <phoneticPr fontId="1" type="noConversion"/>
  </si>
  <si>
    <t>OTC</t>
    <phoneticPr fontId="1" type="noConversion"/>
  </si>
  <si>
    <t>櫃買指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</si>
  <si>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</si>
  <si>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</si>
  <si>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</si>
  <si>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</si>
  <si>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</si>
  <si>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</si>
  <si>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持股</t>
    <phoneticPr fontId="1" type="noConversion"/>
  </si>
  <si>
    <t>損益</t>
    <phoneticPr fontId="1" type="noConversion"/>
  </si>
  <si>
    <t>損益率</t>
    <phoneticPr fontId="1" type="noConversion"/>
  </si>
  <si>
    <t>和碩</t>
    <phoneticPr fontId="1" type="noConversion"/>
  </si>
  <si>
    <t>南橋</t>
    <phoneticPr fontId="1" type="noConversion"/>
  </si>
  <si>
    <t>期</t>
    <phoneticPr fontId="1" type="noConversion"/>
  </si>
  <si>
    <t>持股</t>
    <phoneticPr fontId="1" type="noConversion"/>
  </si>
  <si>
    <t>-0.28</t>
    <phoneticPr fontId="1" type="noConversion"/>
  </si>
  <si>
    <t>2</t>
    <phoneticPr fontId="1" type="noConversion"/>
  </si>
  <si>
    <t>-51.64</t>
    <phoneticPr fontId="1" type="noConversion"/>
  </si>
  <si>
    <t>-34.15</t>
    <phoneticPr fontId="1" type="noConversion"/>
  </si>
  <si>
    <t>-14.44</t>
    <phoneticPr fontId="1" type="noConversion"/>
  </si>
  <si>
    <t>-10.74</t>
    <phoneticPr fontId="1" type="noConversion"/>
  </si>
  <si>
    <t>266</t>
    <phoneticPr fontId="1" type="noConversion"/>
  </si>
  <si>
    <t>統一實</t>
    <phoneticPr fontId="1" type="noConversion"/>
  </si>
  <si>
    <t>南博</t>
    <phoneticPr fontId="1" type="noConversion"/>
  </si>
  <si>
    <t>4</t>
    <phoneticPr fontId="1" type="noConversion"/>
  </si>
  <si>
    <t>中華化</t>
    <phoneticPr fontId="1" type="noConversion"/>
  </si>
  <si>
    <t>18.9</t>
    <phoneticPr fontId="1" type="noConversion"/>
  </si>
  <si>
    <t>泰鼎KY</t>
    <phoneticPr fontId="1" type="noConversion"/>
  </si>
  <si>
    <t>26.9</t>
    <phoneticPr fontId="1" type="noConversion"/>
  </si>
  <si>
    <t>精誠</t>
    <phoneticPr fontId="1" type="noConversion"/>
  </si>
  <si>
    <t>電腦Win 10</t>
    <phoneticPr fontId="1" type="noConversion"/>
  </si>
  <si>
    <t>浪凡</t>
    <phoneticPr fontId="1" type="noConversion"/>
  </si>
  <si>
    <t>億麗</t>
    <phoneticPr fontId="1" type="noConversion"/>
  </si>
  <si>
    <t>志強KY</t>
    <phoneticPr fontId="1" type="noConversion"/>
  </si>
  <si>
    <t>足球鞋</t>
    <phoneticPr fontId="1" type="noConversion"/>
  </si>
  <si>
    <t>-10.51</t>
    <phoneticPr fontId="1" type="noConversion"/>
  </si>
  <si>
    <t>0.92</t>
    <phoneticPr fontId="1" type="noConversion"/>
  </si>
  <si>
    <t>9.96</t>
    <phoneticPr fontId="1" type="noConversion"/>
  </si>
  <si>
    <t>10.42</t>
    <phoneticPr fontId="1" type="noConversion"/>
  </si>
  <si>
    <t>造船</t>
    <phoneticPr fontId="1" type="noConversion"/>
  </si>
  <si>
    <t>電通</t>
    <phoneticPr fontId="1" type="noConversion"/>
  </si>
  <si>
    <t>76.83</t>
    <phoneticPr fontId="1" type="noConversion"/>
  </si>
  <si>
    <t>13.16</t>
    <phoneticPr fontId="1" type="noConversion"/>
  </si>
  <si>
    <t>11.48</t>
    <phoneticPr fontId="1" type="noConversion"/>
  </si>
  <si>
    <t>1.66</t>
    <phoneticPr fontId="1" type="noConversion"/>
  </si>
  <si>
    <t>3.81</t>
    <phoneticPr fontId="1" type="noConversion"/>
  </si>
  <si>
    <t>-10.17</t>
    <phoneticPr fontId="1" type="noConversion"/>
  </si>
  <si>
    <t>1.95</t>
    <phoneticPr fontId="1" type="noConversion"/>
  </si>
  <si>
    <t>0.81</t>
    <phoneticPr fontId="1" type="noConversion"/>
  </si>
  <si>
    <t>1.79</t>
    <phoneticPr fontId="1" type="noConversion"/>
  </si>
  <si>
    <t>-0.12</t>
    <phoneticPr fontId="1" type="noConversion"/>
  </si>
  <si>
    <t>月營收每月10日前</t>
    <phoneticPr fontId="1" type="noConversion"/>
  </si>
  <si>
    <t>去年度和第四季3月31日前</t>
    <phoneticPr fontId="1" type="noConversion"/>
  </si>
  <si>
    <t>第一季5月15日前</t>
    <phoneticPr fontId="1" type="noConversion"/>
  </si>
  <si>
    <t>第二季8月14日前</t>
    <phoneticPr fontId="1" type="noConversion"/>
  </si>
  <si>
    <t>第三季11月14日前</t>
    <phoneticPr fontId="1" type="noConversion"/>
  </si>
  <si>
    <t>生醫指</t>
    <phoneticPr fontId="1" type="noConversion"/>
  </si>
  <si>
    <t>臺慶科</t>
    <phoneticPr fontId="1" type="noConversion"/>
  </si>
  <si>
    <t>電感股王</t>
    <phoneticPr fontId="1" type="noConversion"/>
  </si>
  <si>
    <t>單腳島狀反轉通常一波到頂，抱緊</t>
    <phoneticPr fontId="1" type="noConversion"/>
  </si>
  <si>
    <t>量騙不了人</t>
    <phoneticPr fontId="1" type="noConversion"/>
  </si>
  <si>
    <t>2個跳空缺口，算強勢反彈，不用考慮量的問題</t>
    <phoneticPr fontId="1" type="noConversion"/>
  </si>
  <si>
    <t>勤凱</t>
    <phoneticPr fontId="1" type="noConversion"/>
  </si>
  <si>
    <t>0.15</t>
    <phoneticPr fontId="1" type="noConversion"/>
  </si>
  <si>
    <t>-3.05</t>
    <phoneticPr fontId="1" type="noConversion"/>
  </si>
  <si>
    <t>9.43</t>
    <phoneticPr fontId="1" type="noConversion"/>
  </si>
  <si>
    <t>金融指</t>
    <phoneticPr fontId="1" type="noConversion"/>
  </si>
  <si>
    <t>13.96</t>
    <phoneticPr fontId="1" type="noConversion"/>
  </si>
  <si>
    <t>14.44</t>
    <phoneticPr fontId="1" type="noConversion"/>
  </si>
  <si>
    <t>11.96</t>
    <phoneticPr fontId="1" type="noConversion"/>
  </si>
  <si>
    <t>15.36</t>
    <phoneticPr fontId="1" type="noConversion"/>
  </si>
  <si>
    <t>1.49</t>
    <phoneticPr fontId="1" type="noConversion"/>
  </si>
  <si>
    <t>-0.17</t>
    <phoneticPr fontId="1" type="noConversion"/>
  </si>
  <si>
    <t>0.67</t>
    <phoneticPr fontId="1" type="noConversion"/>
  </si>
  <si>
    <t>2.18</t>
    <phoneticPr fontId="1" type="noConversion"/>
  </si>
  <si>
    <t>9.12</t>
    <phoneticPr fontId="1" type="noConversion"/>
  </si>
  <si>
    <t>6.63</t>
    <phoneticPr fontId="1" type="noConversion"/>
  </si>
  <si>
    <t>63.06</t>
    <phoneticPr fontId="1" type="noConversion"/>
  </si>
  <si>
    <t>26.5</t>
    <phoneticPr fontId="1" type="noConversion"/>
  </si>
  <si>
    <t>面板設備對手迅得</t>
    <phoneticPr fontId="1" type="noConversion"/>
  </si>
  <si>
    <t>非金電</t>
    <phoneticPr fontId="1" type="noConversion"/>
  </si>
  <si>
    <t>-1.87</t>
    <phoneticPr fontId="1" type="noConversion"/>
  </si>
  <si>
    <t>不鏽鋼管</t>
    <phoneticPr fontId="1" type="noConversion"/>
  </si>
  <si>
    <t>不鏽鋼緊固件</t>
    <phoneticPr fontId="1" type="noConversion"/>
  </si>
  <si>
    <t>水泥和信旗下</t>
    <phoneticPr fontId="1" type="noConversion"/>
  </si>
  <si>
    <t>水泥遠東旗下</t>
    <phoneticPr fontId="1" type="noConversion"/>
  </si>
  <si>
    <t>石膏板</t>
    <phoneticPr fontId="1" type="noConversion"/>
  </si>
  <si>
    <t>貨櫃</t>
    <phoneticPr fontId="1" type="noConversion"/>
  </si>
  <si>
    <t>航運遠東旗下</t>
    <phoneticPr fontId="1" type="noConversion"/>
  </si>
  <si>
    <t>貨櫃運輸倉儲長榮旗下</t>
    <phoneticPr fontId="1" type="noConversion"/>
  </si>
  <si>
    <t>貨運嘉里物流最大股東</t>
    <phoneticPr fontId="1" type="noConversion"/>
  </si>
  <si>
    <t>航空</t>
    <phoneticPr fontId="1" type="noConversion"/>
  </si>
  <si>
    <t>散裝航運中航大股東</t>
    <phoneticPr fontId="1" type="noConversion"/>
  </si>
  <si>
    <t>航空公司長榮旗下</t>
    <phoneticPr fontId="1" type="noConversion"/>
  </si>
  <si>
    <t>盈4</t>
    <phoneticPr fontId="1" type="noConversion"/>
  </si>
  <si>
    <t>48.59</t>
    <phoneticPr fontId="1" type="noConversion"/>
  </si>
  <si>
    <t>直播平台</t>
    <phoneticPr fontId="1" type="noConversion"/>
  </si>
  <si>
    <t>46.08</t>
    <phoneticPr fontId="1" type="noConversion"/>
  </si>
  <si>
    <t>05月21年</t>
    <phoneticPr fontId="1" type="noConversion"/>
  </si>
  <si>
    <t>銅箔基板4大</t>
    <phoneticPr fontId="1" type="noConversion"/>
  </si>
  <si>
    <t>建商興富發旗下</t>
    <phoneticPr fontId="1" type="noConversion"/>
  </si>
  <si>
    <t>39.2</t>
    <phoneticPr fontId="1" type="noConversion"/>
  </si>
  <si>
    <t>記憶體封測結盟頎邦</t>
    <phoneticPr fontId="1" type="noConversion"/>
  </si>
  <si>
    <t>9033bin</t>
    <phoneticPr fontId="1" type="noConversion"/>
  </si>
  <si>
    <t>2.72</t>
    <phoneticPr fontId="1" type="noConversion"/>
  </si>
  <si>
    <t>天</t>
    <phoneticPr fontId="1" type="noConversion"/>
  </si>
  <si>
    <t>16.18</t>
    <phoneticPr fontId="1" type="noConversion"/>
  </si>
  <si>
    <t>11.67</t>
    <phoneticPr fontId="1" type="noConversion"/>
  </si>
  <si>
    <t>11.23</t>
    <phoneticPr fontId="1" type="noConversion"/>
  </si>
  <si>
    <t>11.16</t>
    <phoneticPr fontId="1" type="noConversion"/>
  </si>
  <si>
    <t>9.28</t>
    <phoneticPr fontId="1" type="noConversion"/>
  </si>
  <si>
    <t>10.94</t>
    <phoneticPr fontId="1" type="noConversion"/>
  </si>
  <si>
    <t>5.2</t>
    <phoneticPr fontId="1" type="noConversion"/>
  </si>
  <si>
    <t>5.9</t>
    <phoneticPr fontId="1" type="noConversion"/>
  </si>
  <si>
    <t>6</t>
    <phoneticPr fontId="1" type="noConversion"/>
  </si>
  <si>
    <t>5.24</t>
    <phoneticPr fontId="1" type="noConversion"/>
  </si>
  <si>
    <t>4.07</t>
    <phoneticPr fontId="1" type="noConversion"/>
  </si>
  <si>
    <t>榮科</t>
    <phoneticPr fontId="1" type="noConversion"/>
  </si>
  <si>
    <t>銅箔榮化轉投資</t>
    <phoneticPr fontId="1" type="noConversion"/>
  </si>
  <si>
    <t>14.79</t>
    <phoneticPr fontId="1" type="noConversion"/>
  </si>
  <si>
    <t>14.77</t>
    <phoneticPr fontId="1" type="noConversion"/>
  </si>
  <si>
    <t>-11.84</t>
    <phoneticPr fontId="1" type="noConversion"/>
  </si>
  <si>
    <t>87.43</t>
    <phoneticPr fontId="1" type="noConversion"/>
  </si>
  <si>
    <t>0.49</t>
    <phoneticPr fontId="1" type="noConversion"/>
  </si>
  <si>
    <t>0.65</t>
    <phoneticPr fontId="1" type="noConversion"/>
  </si>
  <si>
    <t>1.61</t>
    <phoneticPr fontId="1" type="noConversion"/>
  </si>
  <si>
    <t>2.49</t>
    <phoneticPr fontId="1" type="noConversion"/>
  </si>
  <si>
    <t>1.07</t>
    <phoneticPr fontId="1" type="noConversion"/>
  </si>
  <si>
    <t>-1.92</t>
    <phoneticPr fontId="1" type="noConversion"/>
  </si>
  <si>
    <t>-1.93</t>
    <phoneticPr fontId="1" type="noConversion"/>
  </si>
  <si>
    <t>20.16</t>
    <phoneticPr fontId="1" type="noConversion"/>
  </si>
  <si>
    <t>2.62</t>
    <phoneticPr fontId="1" type="noConversion"/>
  </si>
  <si>
    <t>0.33</t>
    <phoneticPr fontId="1" type="noConversion"/>
  </si>
  <si>
    <t>1.51</t>
    <phoneticPr fontId="1" type="noConversion"/>
  </si>
  <si>
    <t>-2.21</t>
    <phoneticPr fontId="1" type="noConversion"/>
  </si>
  <si>
    <t>16.56</t>
    <phoneticPr fontId="1" type="noConversion"/>
  </si>
  <si>
    <t>IP台積電旗下</t>
    <phoneticPr fontId="1" type="noConversion"/>
  </si>
  <si>
    <t>2.74</t>
    <phoneticPr fontId="1" type="noConversion"/>
  </si>
  <si>
    <t>1.45</t>
    <phoneticPr fontId="1" type="noConversion"/>
  </si>
  <si>
    <t>0.99</t>
    <phoneticPr fontId="1" type="noConversion"/>
  </si>
  <si>
    <t>1.21</t>
    <phoneticPr fontId="1" type="noConversion"/>
  </si>
  <si>
    <t>-1.66</t>
    <phoneticPr fontId="1" type="noConversion"/>
  </si>
  <si>
    <t>1.35</t>
    <phoneticPr fontId="1" type="noConversion"/>
  </si>
  <si>
    <t>-2.0</t>
    <phoneticPr fontId="1" type="noConversion"/>
  </si>
  <si>
    <t>漲停</t>
    <phoneticPr fontId="1" type="noConversion"/>
  </si>
  <si>
    <t>汽車輪圈</t>
    <phoneticPr fontId="1" type="noConversion"/>
  </si>
  <si>
    <t>電子指</t>
    <phoneticPr fontId="1" type="noConversion"/>
  </si>
  <si>
    <t>咖啡紗防護衣</t>
    <phoneticPr fontId="1" type="noConversion"/>
  </si>
  <si>
    <t>40.0</t>
    <phoneticPr fontId="1" type="noConversion"/>
  </si>
  <si>
    <t>0.53</t>
    <phoneticPr fontId="1" type="noConversion"/>
  </si>
  <si>
    <t>塑膠</t>
    <phoneticPr fontId="1" type="noConversion"/>
  </si>
  <si>
    <t>91APPKY</t>
    <phoneticPr fontId="1" type="noConversion"/>
  </si>
  <si>
    <t>總數</t>
    <phoneticPr fontId="1" type="noConversion"/>
  </si>
  <si>
    <t>長短織布防護衣遠東旗下</t>
    <phoneticPr fontId="1" type="noConversion"/>
  </si>
  <si>
    <t>成衣防護衣</t>
    <phoneticPr fontId="1" type="noConversion"/>
  </si>
  <si>
    <t>2.32</t>
    <phoneticPr fontId="1" type="noConversion"/>
  </si>
  <si>
    <t>5.6</t>
    <phoneticPr fontId="1" type="noConversion"/>
  </si>
  <si>
    <t>新零售服務</t>
    <phoneticPr fontId="1" type="noConversion"/>
  </si>
  <si>
    <t>526</t>
    <phoneticPr fontId="1" type="noConversion"/>
  </si>
  <si>
    <t>平均交易額</t>
    <phoneticPr fontId="1" type="noConversion"/>
  </si>
  <si>
    <t>券資比</t>
    <phoneticPr fontId="1" type="noConversion"/>
  </si>
  <si>
    <t>8.45</t>
    <phoneticPr fontId="1" type="noConversion"/>
  </si>
  <si>
    <t>3.49</t>
    <phoneticPr fontId="1" type="noConversion"/>
  </si>
  <si>
    <t>7.81</t>
    <phoneticPr fontId="1" type="noConversion"/>
  </si>
  <si>
    <t>-4.35</t>
    <phoneticPr fontId="1" type="noConversion"/>
  </si>
  <si>
    <t>06月21年</t>
    <phoneticPr fontId="1" type="noConversion"/>
  </si>
  <si>
    <t>109.2</t>
    <phoneticPr fontId="1" type="noConversion"/>
  </si>
  <si>
    <t>車用沖壓件日本</t>
    <phoneticPr fontId="1" type="noConversion"/>
  </si>
  <si>
    <t>21.92</t>
    <phoneticPr fontId="1" type="noConversion"/>
  </si>
  <si>
    <t>0.83</t>
    <phoneticPr fontId="1" type="noConversion"/>
  </si>
  <si>
    <t>IKKA-KY</t>
    <phoneticPr fontId="1" type="noConversion"/>
  </si>
  <si>
    <t>18.34</t>
    <phoneticPr fontId="1" type="noConversion"/>
  </si>
  <si>
    <t>機能布醫療氣墊逃生滑梯</t>
    <phoneticPr fontId="1" type="noConversion"/>
  </si>
  <si>
    <t>-45.35</t>
    <phoneticPr fontId="1" type="noConversion"/>
  </si>
  <si>
    <t>-33.94</t>
    <phoneticPr fontId="1" type="noConversion"/>
  </si>
  <si>
    <t>他電</t>
    <phoneticPr fontId="1" type="noConversion"/>
  </si>
  <si>
    <t>-3.38</t>
    <phoneticPr fontId="1" type="noConversion"/>
  </si>
  <si>
    <t>電機</t>
    <phoneticPr fontId="1" type="noConversion"/>
  </si>
  <si>
    <t>漲在題材、盤在營收、跌在盈餘</t>
    <phoneticPr fontId="1" type="noConversion"/>
  </si>
  <si>
    <t>10.28</t>
    <phoneticPr fontId="1" type="noConversion"/>
  </si>
  <si>
    <t>庫存</t>
    <phoneticPr fontId="1" type="noConversion"/>
  </si>
  <si>
    <t>25.19</t>
    <phoneticPr fontId="1" type="noConversion"/>
  </si>
  <si>
    <t>預估量</t>
    <phoneticPr fontId="1" type="noConversion"/>
  </si>
  <si>
    <t>耳機TWS</t>
    <phoneticPr fontId="1" type="noConversion"/>
  </si>
  <si>
    <t>07月21年</t>
    <phoneticPr fontId="1" type="noConversion"/>
  </si>
  <si>
    <t>華南銀行珠</t>
    <phoneticPr fontId="1" type="noConversion"/>
  </si>
  <si>
    <t>華南銀行斌</t>
    <phoneticPr fontId="1" type="noConversion"/>
  </si>
  <si>
    <t>7月29日除息</t>
    <phoneticPr fontId="1" type="noConversion"/>
  </si>
  <si>
    <t>7月6日除息</t>
    <phoneticPr fontId="1" type="noConversion"/>
  </si>
  <si>
    <t>導線架Tesla</t>
    <phoneticPr fontId="1" type="noConversion"/>
  </si>
  <si>
    <t>16.69</t>
    <phoneticPr fontId="1" type="noConversion"/>
  </si>
  <si>
    <t>16.46</t>
    <phoneticPr fontId="1" type="noConversion"/>
  </si>
  <si>
    <t>27.93</t>
    <phoneticPr fontId="1" type="noConversion"/>
  </si>
  <si>
    <t>15.61</t>
    <phoneticPr fontId="1" type="noConversion"/>
  </si>
  <si>
    <t>同買</t>
    <phoneticPr fontId="1" type="noConversion"/>
  </si>
  <si>
    <t>同賣</t>
    <phoneticPr fontId="1" type="noConversion"/>
  </si>
  <si>
    <t>-35.9</t>
    <phoneticPr fontId="1" type="noConversion"/>
  </si>
  <si>
    <t>GMAIL帳號</t>
    <phoneticPr fontId="1" type="noConversion"/>
  </si>
  <si>
    <t>pandong0428</t>
    <phoneticPr fontId="1" type="noConversion"/>
  </si>
  <si>
    <t>密碼</t>
    <phoneticPr fontId="1" type="noConversion"/>
  </si>
  <si>
    <t>pan04280428</t>
    <phoneticPr fontId="1" type="noConversion"/>
  </si>
  <si>
    <t>23.36</t>
    <phoneticPr fontId="1" type="noConversion"/>
  </si>
  <si>
    <t>微星</t>
    <phoneticPr fontId="1" type="noConversion"/>
  </si>
  <si>
    <t>16G八核</t>
    <phoneticPr fontId="1" type="noConversion"/>
  </si>
  <si>
    <t>AMD3700X</t>
    <phoneticPr fontId="1" type="noConversion"/>
  </si>
  <si>
    <t>凌陽創新</t>
    <phoneticPr fontId="1" type="noConversion"/>
  </si>
  <si>
    <t>MCU網路攝影機晶片凌陽旗下</t>
    <phoneticPr fontId="1" type="noConversion"/>
  </si>
  <si>
    <t>19.24</t>
    <phoneticPr fontId="1" type="noConversion"/>
  </si>
  <si>
    <t>22.77</t>
    <phoneticPr fontId="1" type="noConversion"/>
  </si>
  <si>
    <t>54.64</t>
    <phoneticPr fontId="1" type="noConversion"/>
  </si>
  <si>
    <t>組件</t>
    <phoneticPr fontId="1" type="noConversion"/>
  </si>
  <si>
    <t>24.14</t>
    <phoneticPr fontId="1" type="noConversion"/>
  </si>
  <si>
    <t>40.31</t>
    <phoneticPr fontId="1" type="noConversion"/>
  </si>
  <si>
    <t>50.59</t>
    <phoneticPr fontId="1" type="noConversion"/>
  </si>
  <si>
    <t>11.33</t>
    <phoneticPr fontId="1" type="noConversion"/>
  </si>
  <si>
    <t>安格</t>
    <phoneticPr fontId="1" type="noConversion"/>
  </si>
  <si>
    <t>視訊晶片安國旗下</t>
    <phoneticPr fontId="1" type="noConversion"/>
  </si>
  <si>
    <t>08月21年</t>
    <phoneticPr fontId="1" type="noConversion"/>
  </si>
  <si>
    <t>ptt帳號</t>
    <phoneticPr fontId="1" type="noConversion"/>
  </si>
  <si>
    <t>hanna711</t>
    <phoneticPr fontId="1" type="noConversion"/>
  </si>
  <si>
    <t>ju54193806</t>
    <phoneticPr fontId="1" type="noConversion"/>
  </si>
  <si>
    <t>密碼</t>
    <phoneticPr fontId="1" type="noConversion"/>
  </si>
  <si>
    <t>長榮集團旗下</t>
    <phoneticPr fontId="1" type="noConversion"/>
  </si>
  <si>
    <t>15.10</t>
    <phoneticPr fontId="1" type="noConversion"/>
  </si>
  <si>
    <t>28.97</t>
    <phoneticPr fontId="1" type="noConversion"/>
  </si>
  <si>
    <t>餐飲用品貿易商</t>
    <phoneticPr fontId="1" type="noConversion"/>
  </si>
  <si>
    <t>-2.50</t>
    <phoneticPr fontId="1" type="noConversion"/>
  </si>
  <si>
    <t>M800</t>
    <phoneticPr fontId="1" type="noConversion"/>
  </si>
  <si>
    <t>CZ75</t>
    <phoneticPr fontId="1" type="noConversion"/>
  </si>
  <si>
    <t>44 AUTOMAG</t>
    <phoneticPr fontId="1" type="noConversion"/>
  </si>
  <si>
    <t>Y</t>
    <phoneticPr fontId="1" type="noConversion"/>
  </si>
  <si>
    <t>KP85 RUGER</t>
    <phoneticPr fontId="1" type="noConversion"/>
  </si>
  <si>
    <t>48.04</t>
    <phoneticPr fontId="1" type="noConversion"/>
  </si>
  <si>
    <t>顯示器驅動IC鴻海旗下</t>
    <phoneticPr fontId="1" type="noConversion"/>
  </si>
  <si>
    <t>造紙</t>
    <phoneticPr fontId="1" type="noConversion"/>
  </si>
  <si>
    <t>外盤</t>
    <phoneticPr fontId="1" type="noConversion"/>
  </si>
  <si>
    <t>主力</t>
    <phoneticPr fontId="1" type="noConversion"/>
  </si>
  <si>
    <t>零組件</t>
    <phoneticPr fontId="1" type="noConversion"/>
  </si>
  <si>
    <t>人造化纖EG</t>
    <phoneticPr fontId="1" type="noConversion"/>
  </si>
  <si>
    <t>14.53</t>
    <phoneticPr fontId="1" type="noConversion"/>
  </si>
  <si>
    <t>5.56</t>
    <phoneticPr fontId="1" type="noConversion"/>
  </si>
  <si>
    <t>10.85</t>
    <phoneticPr fontId="1" type="noConversion"/>
  </si>
  <si>
    <t>八方雲集</t>
    <phoneticPr fontId="1" type="noConversion"/>
  </si>
  <si>
    <t>非金電</t>
    <phoneticPr fontId="1" type="noConversion"/>
  </si>
  <si>
    <t>7.4</t>
    <phoneticPr fontId="1" type="noConversion"/>
  </si>
  <si>
    <t>強勢股、出量出價，必出行情</t>
    <phoneticPr fontId="1" type="noConversion"/>
  </si>
  <si>
    <t>3天2缺口的強勢走勢</t>
    <phoneticPr fontId="1" type="noConversion"/>
  </si>
  <si>
    <t>09月21年</t>
    <phoneticPr fontId="1" type="noConversion"/>
  </si>
  <si>
    <t>8.3</t>
    <phoneticPr fontId="1" type="noConversion"/>
  </si>
  <si>
    <t>19.21</t>
    <phoneticPr fontId="1" type="noConversion"/>
  </si>
  <si>
    <t>25.45</t>
    <phoneticPr fontId="1" type="noConversion"/>
  </si>
  <si>
    <t>7.59</t>
    <phoneticPr fontId="1" type="noConversion"/>
  </si>
  <si>
    <t>29.63</t>
    <phoneticPr fontId="1" type="noConversion"/>
  </si>
  <si>
    <t>9.65</t>
    <phoneticPr fontId="1" type="noConversion"/>
  </si>
  <si>
    <t>18.92</t>
    <phoneticPr fontId="1" type="noConversion"/>
  </si>
  <si>
    <t>19.58</t>
    <phoneticPr fontId="1" type="noConversion"/>
  </si>
  <si>
    <t>15.23</t>
    <phoneticPr fontId="1" type="noConversion"/>
  </si>
  <si>
    <t>資訊</t>
    <phoneticPr fontId="1" type="noConversion"/>
  </si>
  <si>
    <t>成衣代工Wal-mart</t>
    <phoneticPr fontId="1" type="noConversion"/>
  </si>
  <si>
    <t>永豐實</t>
    <phoneticPr fontId="1" type="noConversion"/>
  </si>
  <si>
    <t>家庭用紙</t>
    <phoneticPr fontId="1" type="noConversion"/>
  </si>
  <si>
    <t>華景電</t>
    <phoneticPr fontId="1" type="noConversion"/>
  </si>
  <si>
    <t>晶圓設備</t>
    <phoneticPr fontId="1" type="noConversion"/>
  </si>
  <si>
    <t>季線</t>
    <phoneticPr fontId="1" type="noConversion"/>
  </si>
  <si>
    <t>合計</t>
    <phoneticPr fontId="1" type="noConversion"/>
  </si>
  <si>
    <t>SIG P228</t>
    <phoneticPr fontId="1" type="noConversion"/>
  </si>
  <si>
    <t xml:space="preserve">COLT M1911A </t>
    <phoneticPr fontId="1" type="noConversion"/>
  </si>
  <si>
    <t>COLT DOUBLE EAGLE</t>
    <phoneticPr fontId="1" type="noConversion"/>
  </si>
  <si>
    <t>S &amp; W PC365</t>
    <phoneticPr fontId="1" type="noConversion"/>
  </si>
  <si>
    <t xml:space="preserve">HK USP </t>
    <phoneticPr fontId="1" type="noConversion"/>
  </si>
  <si>
    <t>HK MK23</t>
    <phoneticPr fontId="1" type="noConversion"/>
  </si>
  <si>
    <t xml:space="preserve">GLOCK 17L HG </t>
    <phoneticPr fontId="1" type="noConversion"/>
  </si>
  <si>
    <t>GLOCK 17 HG</t>
    <phoneticPr fontId="1" type="noConversion"/>
  </si>
  <si>
    <t xml:space="preserve">HK P7M13 </t>
    <phoneticPr fontId="1" type="noConversion"/>
  </si>
  <si>
    <t>3.0</t>
    <phoneticPr fontId="1" type="noConversion"/>
  </si>
  <si>
    <t>鋁電池盒客戶福斯敏實集團旗下</t>
    <phoneticPr fontId="1" type="noConversion"/>
  </si>
  <si>
    <t>33.56</t>
    <phoneticPr fontId="1" type="noConversion"/>
  </si>
  <si>
    <t>振宇五金</t>
    <phoneticPr fontId="1" type="noConversion"/>
  </si>
  <si>
    <t>五金賣場</t>
    <phoneticPr fontId="1" type="noConversion"/>
  </si>
  <si>
    <t>Goole</t>
    <phoneticPr fontId="1" type="noConversion"/>
  </si>
  <si>
    <t>Apple東</t>
    <phoneticPr fontId="1" type="noConversion"/>
  </si>
  <si>
    <t>Apple珠</t>
    <phoneticPr fontId="1" type="noConversion"/>
  </si>
  <si>
    <t>Pan04280428</t>
    <phoneticPr fontId="1" type="noConversion"/>
  </si>
  <si>
    <t>robertpandong@icloud.com</t>
    <phoneticPr fontId="1" type="noConversion"/>
  </si>
  <si>
    <t>secretshop@163.com</t>
    <phoneticPr fontId="1" type="noConversion"/>
  </si>
  <si>
    <t>JUDY54186755a</t>
    <phoneticPr fontId="1" type="noConversion"/>
  </si>
  <si>
    <t>9.47</t>
    <phoneticPr fontId="1" type="noConversion"/>
  </si>
  <si>
    <t>珠</t>
    <phoneticPr fontId="1" type="noConversion"/>
  </si>
  <si>
    <t>25.48</t>
    <phoneticPr fontId="1" type="noConversion"/>
  </si>
  <si>
    <t>0.29</t>
    <phoneticPr fontId="1" type="noConversion"/>
  </si>
  <si>
    <t>-2.63</t>
    <phoneticPr fontId="1" type="noConversion"/>
  </si>
  <si>
    <t>54.8</t>
    <phoneticPr fontId="1" type="noConversion"/>
  </si>
  <si>
    <t>7.31</t>
    <phoneticPr fontId="1" type="noConversion"/>
  </si>
  <si>
    <t>12</t>
    <phoneticPr fontId="1" type="noConversion"/>
  </si>
  <si>
    <t>15.88</t>
    <phoneticPr fontId="1" type="noConversion"/>
  </si>
  <si>
    <t>0.12</t>
    <phoneticPr fontId="1" type="noConversion"/>
  </si>
  <si>
    <t>Loss aversion損失趨避心裡</t>
    <phoneticPr fontId="1" type="noConversion"/>
  </si>
  <si>
    <t>更愛避免損失，而非追求獲利</t>
    <phoneticPr fontId="1" type="noConversion"/>
  </si>
  <si>
    <t>-2.5</t>
    <phoneticPr fontId="1" type="noConversion"/>
  </si>
  <si>
    <t>7.92</t>
    <phoneticPr fontId="1" type="noConversion"/>
  </si>
  <si>
    <t>帳號</t>
    <phoneticPr fontId="1" type="noConversion"/>
  </si>
  <si>
    <t>密碼</t>
    <phoneticPr fontId="1" type="noConversion"/>
  </si>
  <si>
    <t>JUDY54186755a</t>
    <phoneticPr fontId="1" type="noConversion"/>
  </si>
  <si>
    <t>手機號</t>
    <phoneticPr fontId="1" type="noConversion"/>
  </si>
  <si>
    <t>富途牛牛</t>
    <phoneticPr fontId="1" type="noConversion"/>
  </si>
  <si>
    <t>0050</t>
    <phoneticPr fontId="1" type="noConversion"/>
  </si>
  <si>
    <t>台灣50</t>
    <phoneticPr fontId="1" type="noConversion"/>
  </si>
  <si>
    <t>40.63</t>
    <phoneticPr fontId="1" type="noConversion"/>
  </si>
  <si>
    <t>10月21年</t>
    <phoneticPr fontId="1" type="noConversion"/>
  </si>
  <si>
    <t>16.49</t>
    <phoneticPr fontId="1" type="noConversion"/>
  </si>
  <si>
    <t>全訊</t>
    <phoneticPr fontId="1" type="noConversion"/>
  </si>
  <si>
    <t>宜新實業</t>
    <phoneticPr fontId="1" type="noConversion"/>
  </si>
  <si>
    <t>功率放大器</t>
    <phoneticPr fontId="1" type="noConversion"/>
  </si>
  <si>
    <t>彈性紗</t>
    <phoneticPr fontId="1" type="noConversion"/>
  </si>
  <si>
    <t>華南期貨</t>
    <phoneticPr fontId="1" type="noConversion"/>
  </si>
  <si>
    <t>9.23</t>
    <phoneticPr fontId="1" type="noConversion"/>
  </si>
  <si>
    <t>31.67</t>
    <phoneticPr fontId="1" type="noConversion"/>
  </si>
  <si>
    <t>電器</t>
    <phoneticPr fontId="1" type="noConversion"/>
  </si>
  <si>
    <t>4.87</t>
    <phoneticPr fontId="1" type="noConversion"/>
  </si>
  <si>
    <t>18.25</t>
    <phoneticPr fontId="1" type="noConversion"/>
  </si>
  <si>
    <t>33.02</t>
    <phoneticPr fontId="1" type="noConversion"/>
  </si>
  <si>
    <t>24.96</t>
    <phoneticPr fontId="1" type="noConversion"/>
  </si>
  <si>
    <t>34.33</t>
    <phoneticPr fontId="1" type="noConversion"/>
  </si>
  <si>
    <t>12.98</t>
    <phoneticPr fontId="1" type="noConversion"/>
  </si>
  <si>
    <t>13.33</t>
    <phoneticPr fontId="1" type="noConversion"/>
  </si>
  <si>
    <t>73.22</t>
    <phoneticPr fontId="1" type="noConversion"/>
  </si>
  <si>
    <t>15.79</t>
    <phoneticPr fontId="1" type="noConversion"/>
  </si>
  <si>
    <t>穩得</t>
    <phoneticPr fontId="1" type="noConversion"/>
  </si>
  <si>
    <t>EMC電磁相容</t>
    <phoneticPr fontId="1" type="noConversion"/>
  </si>
  <si>
    <t>10.89</t>
    <phoneticPr fontId="1" type="noConversion"/>
  </si>
  <si>
    <t>太陽能4大模組</t>
  </si>
  <si>
    <t>45.18</t>
    <phoneticPr fontId="1" type="noConversion"/>
  </si>
  <si>
    <t>森崴能源</t>
    <phoneticPr fontId="1" type="noConversion"/>
  </si>
  <si>
    <t>能源工程正崴旗下</t>
    <phoneticPr fontId="1" type="noConversion"/>
  </si>
  <si>
    <t>醫美醫藥採購</t>
    <phoneticPr fontId="1" type="noConversion"/>
  </si>
  <si>
    <t>142.6</t>
    <phoneticPr fontId="1" type="noConversion"/>
  </si>
  <si>
    <t>12.07</t>
    <phoneticPr fontId="1" type="noConversion"/>
  </si>
  <si>
    <t>三商家購</t>
    <phoneticPr fontId="1" type="noConversion"/>
  </si>
  <si>
    <t>超市三商旗下</t>
    <phoneticPr fontId="1" type="noConversion"/>
  </si>
  <si>
    <t>-0.22</t>
    <phoneticPr fontId="1" type="noConversion"/>
  </si>
  <si>
    <t>72.78</t>
    <phoneticPr fontId="1" type="noConversion"/>
  </si>
  <si>
    <t>81.84</t>
    <phoneticPr fontId="1" type="noConversion"/>
  </si>
  <si>
    <t>電競周邊</t>
    <phoneticPr fontId="1" type="noConversion"/>
  </si>
  <si>
    <t>大城地產</t>
    <phoneticPr fontId="1" type="noConversion"/>
  </si>
  <si>
    <t>全聯福利卡號</t>
    <phoneticPr fontId="1" type="noConversion"/>
  </si>
  <si>
    <t>1999001645938590</t>
    <phoneticPr fontId="1" type="noConversion"/>
  </si>
  <si>
    <t>力積電</t>
    <phoneticPr fontId="1" type="noConversion"/>
  </si>
  <si>
    <t>-36.07</t>
    <phoneticPr fontId="1" type="noConversion"/>
  </si>
  <si>
    <t>新低量必有新低價</t>
    <phoneticPr fontId="1" type="noConversion"/>
  </si>
  <si>
    <t>詠業</t>
    <phoneticPr fontId="1" type="noConversion"/>
  </si>
  <si>
    <t>天線陶瓷元件達方旗下</t>
    <phoneticPr fontId="1" type="noConversion"/>
  </si>
  <si>
    <t>5大泛用樹脂台聚旗下</t>
    <phoneticPr fontId="1" type="noConversion"/>
  </si>
  <si>
    <t>5大泛用樹脂台塑集團</t>
    <phoneticPr fontId="1" type="noConversion"/>
  </si>
  <si>
    <t>5大泛用樹脂轉投資台氯</t>
    <phoneticPr fontId="1" type="noConversion"/>
  </si>
  <si>
    <t>5大泛用樹脂</t>
  </si>
  <si>
    <t>5大泛用樹脂</t>
    <phoneticPr fontId="1" type="noConversion"/>
  </si>
  <si>
    <t>5大泛用樹脂台塑旗下</t>
    <phoneticPr fontId="1" type="noConversion"/>
  </si>
  <si>
    <t>1.84</t>
    <phoneticPr fontId="1" type="noConversion"/>
  </si>
  <si>
    <t>天線保護元件衛星華新旗下</t>
    <phoneticPr fontId="1" type="noConversion"/>
  </si>
  <si>
    <t>17.01</t>
    <phoneticPr fontId="1" type="noConversion"/>
  </si>
  <si>
    <t>19.23</t>
    <phoneticPr fontId="1" type="noConversion"/>
  </si>
  <si>
    <t>21.74</t>
    <phoneticPr fontId="1" type="noConversion"/>
  </si>
  <si>
    <t>飯店日月潭溫泉</t>
    <phoneticPr fontId="1" type="noConversion"/>
  </si>
  <si>
    <t>準</t>
    <phoneticPr fontId="1" type="noConversion"/>
  </si>
  <si>
    <t>外</t>
    <phoneticPr fontId="1" type="noConversion"/>
  </si>
  <si>
    <t>自</t>
    <phoneticPr fontId="1" type="noConversion"/>
  </si>
  <si>
    <t>投</t>
    <phoneticPr fontId="1" type="noConversion"/>
  </si>
  <si>
    <t>52.17</t>
    <phoneticPr fontId="1" type="noConversion"/>
  </si>
  <si>
    <t>104.1</t>
    <phoneticPr fontId="1" type="noConversion"/>
  </si>
  <si>
    <t>22.15</t>
    <phoneticPr fontId="1" type="noConversion"/>
  </si>
  <si>
    <t>1.0</t>
    <phoneticPr fontId="1" type="noConversion"/>
  </si>
  <si>
    <t>上品</t>
    <phoneticPr fontId="1" type="noConversion"/>
  </si>
  <si>
    <t>大戶增減1%用星星</t>
    <phoneticPr fontId="1" type="noConversion"/>
  </si>
  <si>
    <t>借券</t>
    <phoneticPr fontId="1" type="noConversion"/>
  </si>
  <si>
    <t>7</t>
    <phoneticPr fontId="1" type="noConversion"/>
  </si>
  <si>
    <t>2021/12/13起XQ雙螢幕</t>
    <phoneticPr fontId="1" type="noConversion"/>
  </si>
  <si>
    <t>出量就會帶出趨勢</t>
    <phoneticPr fontId="1" type="noConversion"/>
  </si>
  <si>
    <t>是“股死燈滅”</t>
    <phoneticPr fontId="1" type="noConversion"/>
  </si>
  <si>
    <t>還是“黎明前最後的黑暗”</t>
    <phoneticPr fontId="1" type="noConversion"/>
  </si>
  <si>
    <t>籌碼會給答案！</t>
    <phoneticPr fontId="1" type="noConversion"/>
  </si>
  <si>
    <t>電動樁無人支付新零售</t>
    <phoneticPr fontId="1" type="noConversion"/>
  </si>
  <si>
    <t>博弈機台新零售</t>
    <phoneticPr fontId="1" type="noConversion"/>
  </si>
  <si>
    <t>電源風扇IC旗下大中</t>
    <phoneticPr fontId="1" type="noConversion"/>
  </si>
  <si>
    <t>快充電競MCU</t>
    <phoneticPr fontId="1" type="noConversion"/>
  </si>
  <si>
    <t>快充Type-C電源管理IC</t>
    <phoneticPr fontId="1" type="noConversion"/>
  </si>
  <si>
    <t>新手看價，老手看量，高手看籌碼</t>
    <phoneticPr fontId="1" type="noConversion"/>
  </si>
  <si>
    <t>12.89</t>
    <phoneticPr fontId="1" type="noConversion"/>
  </si>
  <si>
    <t>15.59</t>
    <phoneticPr fontId="1" type="noConversion"/>
  </si>
  <si>
    <t>台北通</t>
    <phoneticPr fontId="1" type="noConversion"/>
  </si>
  <si>
    <t>Pan04280428</t>
    <phoneticPr fontId="1" type="noConversion"/>
  </si>
  <si>
    <t>18.88</t>
    <phoneticPr fontId="1" type="noConversion"/>
  </si>
  <si>
    <t>洋基工程</t>
    <phoneticPr fontId="1" type="noConversion"/>
  </si>
  <si>
    <t>無塵室機電</t>
    <phoneticPr fontId="1" type="noConversion"/>
  </si>
  <si>
    <t>量縮到底，接下來就是帶量沖</t>
    <phoneticPr fontId="1" type="noConversion"/>
  </si>
  <si>
    <t>51.81</t>
    <phoneticPr fontId="1" type="noConversion"/>
  </si>
  <si>
    <t>7.73</t>
    <phoneticPr fontId="1" type="noConversion"/>
  </si>
  <si>
    <t>5.96</t>
    <phoneticPr fontId="1" type="noConversion"/>
  </si>
  <si>
    <t>瑞鼎</t>
    <phoneticPr fontId="1" type="noConversion"/>
  </si>
  <si>
    <t>驅動IC友達旗下</t>
    <phoneticPr fontId="1" type="noConversion"/>
  </si>
  <si>
    <t>化工</t>
    <phoneticPr fontId="1" type="noConversion"/>
  </si>
  <si>
    <t>19</t>
    <phoneticPr fontId="1" type="noConversion"/>
  </si>
  <si>
    <t>低檔出量，低基期</t>
    <phoneticPr fontId="1" type="noConversion"/>
  </si>
  <si>
    <t>水泥</t>
    <phoneticPr fontId="1" type="noConversion"/>
  </si>
  <si>
    <t>食品</t>
    <phoneticPr fontId="1" type="noConversion"/>
  </si>
  <si>
    <t>佳格</t>
    <phoneticPr fontId="1" type="noConversion"/>
  </si>
  <si>
    <t>台聚</t>
    <phoneticPr fontId="1" type="noConversion"/>
  </si>
  <si>
    <t>台達化</t>
    <phoneticPr fontId="1" type="noConversion"/>
  </si>
  <si>
    <t>中石化</t>
    <phoneticPr fontId="1" type="noConversion"/>
  </si>
  <si>
    <t>台化</t>
    <phoneticPr fontId="1" type="noConversion"/>
  </si>
  <si>
    <t>力麗</t>
    <phoneticPr fontId="1" type="noConversion"/>
  </si>
  <si>
    <t>儒鴻</t>
    <phoneticPr fontId="1" type="noConversion"/>
  </si>
  <si>
    <t>聚陽</t>
    <phoneticPr fontId="1" type="noConversion"/>
  </si>
  <si>
    <t>銘旺實</t>
    <phoneticPr fontId="1" type="noConversion"/>
  </si>
  <si>
    <t>東元</t>
    <phoneticPr fontId="1" type="noConversion"/>
  </si>
  <si>
    <t>宏佳騰</t>
    <phoneticPr fontId="1" type="noConversion"/>
  </si>
  <si>
    <t>大量</t>
    <phoneticPr fontId="1" type="noConversion"/>
  </si>
  <si>
    <t>崇友</t>
    <phoneticPr fontId="1" type="noConversion"/>
  </si>
  <si>
    <t>江興鍛</t>
    <phoneticPr fontId="1" type="noConversion"/>
  </si>
  <si>
    <t>朋程</t>
    <phoneticPr fontId="1" type="noConversion"/>
  </si>
  <si>
    <t>華新</t>
    <phoneticPr fontId="1" type="noConversion"/>
  </si>
  <si>
    <t>台肥</t>
    <phoneticPr fontId="1" type="noConversion"/>
  </si>
  <si>
    <t>石化原料</t>
    <phoneticPr fontId="1" type="noConversion"/>
  </si>
  <si>
    <t>永記</t>
    <phoneticPr fontId="1" type="noConversion"/>
  </si>
  <si>
    <t>油漆</t>
    <phoneticPr fontId="1" type="noConversion"/>
  </si>
  <si>
    <t>中華化</t>
    <phoneticPr fontId="1" type="noConversion"/>
  </si>
  <si>
    <t>硫酸電子級</t>
    <phoneticPr fontId="1" type="noConversion"/>
  </si>
  <si>
    <t>花仙子</t>
    <phoneticPr fontId="1" type="noConversion"/>
  </si>
  <si>
    <t>日用品</t>
    <phoneticPr fontId="1" type="noConversion"/>
  </si>
  <si>
    <t>毛寶</t>
    <phoneticPr fontId="1" type="noConversion"/>
  </si>
  <si>
    <t>清潔用品</t>
    <phoneticPr fontId="1" type="noConversion"/>
  </si>
  <si>
    <t>日勝化</t>
    <phoneticPr fontId="1" type="noConversion"/>
  </si>
  <si>
    <t>台蠟</t>
    <phoneticPr fontId="1" type="noConversion"/>
  </si>
  <si>
    <t>蠟品</t>
    <phoneticPr fontId="1" type="noConversion"/>
  </si>
  <si>
    <t>勝一</t>
    <phoneticPr fontId="1" type="noConversion"/>
  </si>
  <si>
    <t>溶劑</t>
    <phoneticPr fontId="1" type="noConversion"/>
  </si>
  <si>
    <t>展宇</t>
    <phoneticPr fontId="1" type="noConversion"/>
  </si>
  <si>
    <t>PU硬化劑</t>
    <phoneticPr fontId="1" type="noConversion"/>
  </si>
  <si>
    <t>上緯投控</t>
    <phoneticPr fontId="1" type="noConversion"/>
  </si>
  <si>
    <t>環氧樹脂</t>
    <phoneticPr fontId="1" type="noConversion"/>
  </si>
  <si>
    <t>中美實</t>
    <phoneticPr fontId="1" type="noConversion"/>
  </si>
  <si>
    <t>大恭</t>
    <phoneticPr fontId="1" type="noConversion"/>
  </si>
  <si>
    <t>顏料</t>
    <phoneticPr fontId="1" type="noConversion"/>
  </si>
  <si>
    <t>磐亞</t>
    <phoneticPr fontId="1" type="noConversion"/>
  </si>
  <si>
    <t>界面活性劑</t>
    <phoneticPr fontId="1" type="noConversion"/>
  </si>
  <si>
    <t>永純</t>
    <phoneticPr fontId="1" type="noConversion"/>
  </si>
  <si>
    <t>永捷</t>
    <phoneticPr fontId="1" type="noConversion"/>
  </si>
  <si>
    <t>PU樹脂</t>
    <phoneticPr fontId="1" type="noConversion"/>
  </si>
  <si>
    <t>大立</t>
    <phoneticPr fontId="1" type="noConversion"/>
  </si>
  <si>
    <t>德淵</t>
    <phoneticPr fontId="1" type="noConversion"/>
  </si>
  <si>
    <t>熱熔膠</t>
    <phoneticPr fontId="1" type="noConversion"/>
  </si>
  <si>
    <t>美琪瑪</t>
    <phoneticPr fontId="1" type="noConversion"/>
  </si>
  <si>
    <t>國精化</t>
    <phoneticPr fontId="1" type="noConversion"/>
  </si>
  <si>
    <t>不飽和聚酯</t>
    <phoneticPr fontId="1" type="noConversion"/>
  </si>
  <si>
    <t>康普</t>
    <phoneticPr fontId="1" type="noConversion"/>
  </si>
  <si>
    <t>泓瀚</t>
    <phoneticPr fontId="1" type="noConversion"/>
  </si>
  <si>
    <t>打印墨水</t>
    <phoneticPr fontId="1" type="noConversion"/>
  </si>
  <si>
    <t>國碳科</t>
    <phoneticPr fontId="1" type="noConversion"/>
  </si>
  <si>
    <t>防火材料</t>
    <phoneticPr fontId="1" type="noConversion"/>
  </si>
  <si>
    <t>食品添加劑</t>
    <phoneticPr fontId="1" type="noConversion"/>
  </si>
  <si>
    <t>材料KY</t>
    <phoneticPr fontId="1" type="noConversion"/>
  </si>
  <si>
    <t>纖維絲</t>
    <phoneticPr fontId="1" type="noConversion"/>
  </si>
  <si>
    <t>雙鍵</t>
    <phoneticPr fontId="1" type="noConversion"/>
  </si>
  <si>
    <t>光固化</t>
    <phoneticPr fontId="1" type="noConversion"/>
  </si>
  <si>
    <t>南寶</t>
    <phoneticPr fontId="1" type="noConversion"/>
  </si>
  <si>
    <t>接著劑</t>
    <phoneticPr fontId="1" type="noConversion"/>
  </si>
  <si>
    <t>誠泰科技</t>
    <phoneticPr fontId="1" type="noConversion"/>
  </si>
  <si>
    <t>熱溶膠</t>
    <phoneticPr fontId="1" type="noConversion"/>
  </si>
  <si>
    <t>上品</t>
    <phoneticPr fontId="1" type="noConversion"/>
  </si>
  <si>
    <t>雙邦</t>
    <phoneticPr fontId="1" type="noConversion"/>
  </si>
  <si>
    <t>特用化學原料</t>
    <phoneticPr fontId="1" type="noConversion"/>
  </si>
  <si>
    <t>聚合</t>
    <phoneticPr fontId="1" type="noConversion"/>
  </si>
  <si>
    <t>自黏便條紙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</si>
  <si>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</si>
  <si>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</si>
  <si>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</si>
  <si>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</si>
  <si>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</si>
  <si>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</si>
  <si>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09</t>
    <phoneticPr fontId="1" type="noConversion"/>
  </si>
  <si>
    <t>生技醫療</t>
    <phoneticPr fontId="1" type="noConversion"/>
  </si>
  <si>
    <t>股息</t>
    <phoneticPr fontId="1" type="noConversion"/>
  </si>
  <si>
    <t>買賣價</t>
    <phoneticPr fontId="1" type="noConversion"/>
  </si>
  <si>
    <t>損益</t>
    <phoneticPr fontId="1" type="noConversion"/>
  </si>
  <si>
    <t>損益率</t>
    <phoneticPr fontId="1" type="noConversion"/>
  </si>
  <si>
    <t>買進日期</t>
    <phoneticPr fontId="1" type="noConversion"/>
  </si>
  <si>
    <t>賣出日期</t>
    <phoneticPr fontId="1" type="noConversion"/>
  </si>
  <si>
    <t>天數</t>
    <phoneticPr fontId="1" type="noConversion"/>
  </si>
  <si>
    <t>精華</t>
    <phoneticPr fontId="1" type="noConversion"/>
  </si>
  <si>
    <t>隱形眼鏡3雄</t>
    <phoneticPr fontId="1" type="noConversion"/>
  </si>
  <si>
    <t>祺驊</t>
    <phoneticPr fontId="1" type="noConversion"/>
  </si>
  <si>
    <t>岱宇</t>
    <phoneticPr fontId="1" type="noConversion"/>
  </si>
  <si>
    <t>6%庫藏股健身器材</t>
    <phoneticPr fontId="1" type="noConversion"/>
  </si>
  <si>
    <t>中化</t>
    <phoneticPr fontId="1" type="noConversion"/>
  </si>
  <si>
    <t>製劑</t>
    <phoneticPr fontId="1" type="noConversion"/>
  </si>
  <si>
    <t>葡萄王</t>
    <phoneticPr fontId="1" type="noConversion"/>
  </si>
  <si>
    <t>保健食品</t>
    <phoneticPr fontId="1" type="noConversion"/>
  </si>
  <si>
    <t>生達</t>
    <phoneticPr fontId="1" type="noConversion"/>
  </si>
  <si>
    <t>學名藥</t>
    <phoneticPr fontId="1" type="noConversion"/>
  </si>
  <si>
    <t>美吾華</t>
    <phoneticPr fontId="1" type="noConversion"/>
  </si>
  <si>
    <t>染髮劑</t>
    <phoneticPr fontId="1" type="noConversion"/>
  </si>
  <si>
    <t>五鼎</t>
    <phoneticPr fontId="1" type="noConversion"/>
  </si>
  <si>
    <t>血糖儀</t>
    <phoneticPr fontId="1" type="noConversion"/>
  </si>
  <si>
    <t>杏輝</t>
    <phoneticPr fontId="1" type="noConversion"/>
  </si>
  <si>
    <t>喬山</t>
    <phoneticPr fontId="1" type="noConversion"/>
  </si>
  <si>
    <t>南光</t>
    <phoneticPr fontId="1" type="noConversion"/>
  </si>
  <si>
    <t>針劑</t>
    <phoneticPr fontId="1" type="noConversion"/>
  </si>
  <si>
    <t>中化生</t>
    <phoneticPr fontId="1" type="noConversion"/>
  </si>
  <si>
    <t>原料藥中化旗下</t>
    <phoneticPr fontId="1" type="noConversion"/>
  </si>
  <si>
    <t>生泰</t>
    <phoneticPr fontId="1" type="noConversion"/>
  </si>
  <si>
    <t>合世</t>
    <phoneticPr fontId="1" type="noConversion"/>
  </si>
  <si>
    <t>血壓計</t>
    <phoneticPr fontId="1" type="noConversion"/>
  </si>
  <si>
    <t>和康生</t>
    <phoneticPr fontId="1" type="noConversion"/>
  </si>
  <si>
    <t>膠原蛋白</t>
    <phoneticPr fontId="1" type="noConversion"/>
  </si>
  <si>
    <t>訊聯</t>
    <phoneticPr fontId="1" type="noConversion"/>
  </si>
  <si>
    <t>臍帶血</t>
    <phoneticPr fontId="1" type="noConversion"/>
  </si>
  <si>
    <t>科妍</t>
    <phoneticPr fontId="1" type="noConversion"/>
  </si>
  <si>
    <t>玻尿酸</t>
    <phoneticPr fontId="1" type="noConversion"/>
  </si>
  <si>
    <t>杏昌</t>
    <phoneticPr fontId="1" type="noConversion"/>
  </si>
  <si>
    <t>醫療器材代理</t>
    <phoneticPr fontId="1" type="noConversion"/>
  </si>
  <si>
    <t>神隆</t>
    <phoneticPr fontId="1" type="noConversion"/>
  </si>
  <si>
    <t>原料藥統一旗下</t>
    <phoneticPr fontId="1" type="noConversion"/>
  </si>
  <si>
    <t>美時</t>
    <phoneticPr fontId="1" type="noConversion"/>
  </si>
  <si>
    <t>學名藥Alvogen持股7成</t>
    <phoneticPr fontId="1" type="noConversion"/>
  </si>
  <si>
    <t>易威</t>
    <phoneticPr fontId="1" type="noConversion"/>
  </si>
  <si>
    <t>寶利徠</t>
    <phoneticPr fontId="1" type="noConversion"/>
  </si>
  <si>
    <t>光學鏡片</t>
    <phoneticPr fontId="1" type="noConversion"/>
  </si>
  <si>
    <t>進階</t>
    <phoneticPr fontId="1" type="noConversion"/>
  </si>
  <si>
    <t>生醫通路公司</t>
    <phoneticPr fontId="1" type="noConversion"/>
  </si>
  <si>
    <t>景岳</t>
    <phoneticPr fontId="1" type="noConversion"/>
  </si>
  <si>
    <t>益生菌</t>
    <phoneticPr fontId="1" type="noConversion"/>
  </si>
  <si>
    <t>基亞</t>
    <phoneticPr fontId="1" type="noConversion"/>
  </si>
  <si>
    <t>肝癌新藥</t>
    <phoneticPr fontId="1" type="noConversion"/>
  </si>
  <si>
    <t>佰研</t>
    <phoneticPr fontId="1" type="noConversion"/>
  </si>
  <si>
    <t>克緹直銷</t>
    <phoneticPr fontId="1" type="noConversion"/>
  </si>
  <si>
    <t>大學光</t>
    <phoneticPr fontId="1" type="noConversion"/>
  </si>
  <si>
    <t>眼科醫療</t>
    <phoneticPr fontId="1" type="noConversion"/>
  </si>
  <si>
    <t>永信</t>
    <phoneticPr fontId="1" type="noConversion"/>
  </si>
  <si>
    <t>製藥</t>
    <phoneticPr fontId="1" type="noConversion"/>
  </si>
  <si>
    <t>永日</t>
    <phoneticPr fontId="1" type="noConversion"/>
  </si>
  <si>
    <t>原料藥永信旗下</t>
    <phoneticPr fontId="1" type="noConversion"/>
  </si>
  <si>
    <t>佳醫</t>
    <phoneticPr fontId="1" type="noConversion"/>
  </si>
  <si>
    <t>洗腎</t>
    <phoneticPr fontId="1" type="noConversion"/>
  </si>
  <si>
    <t>東洋</t>
    <phoneticPr fontId="1" type="noConversion"/>
  </si>
  <si>
    <t>抗癌東洋集團</t>
    <phoneticPr fontId="1" type="noConversion"/>
  </si>
  <si>
    <t>雃博</t>
    <phoneticPr fontId="1" type="noConversion"/>
  </si>
  <si>
    <t>防褥瘡床</t>
    <phoneticPr fontId="1" type="noConversion"/>
  </si>
  <si>
    <t>邦特</t>
    <phoneticPr fontId="1" type="noConversion"/>
  </si>
  <si>
    <t>血液耗材</t>
    <phoneticPr fontId="1" type="noConversion"/>
  </si>
  <si>
    <t>懷特</t>
    <phoneticPr fontId="1" type="noConversion"/>
  </si>
  <si>
    <t>穆拉德加捷</t>
    <phoneticPr fontId="1" type="noConversion"/>
  </si>
  <si>
    <t>甲魚</t>
    <phoneticPr fontId="1" type="noConversion"/>
  </si>
  <si>
    <t>濟生</t>
    <phoneticPr fontId="1" type="noConversion"/>
  </si>
  <si>
    <t>血液透析</t>
    <phoneticPr fontId="1" type="noConversion"/>
  </si>
  <si>
    <t>健喬</t>
    <phoneticPr fontId="1" type="noConversion"/>
  </si>
  <si>
    <t>鼻噴劑</t>
    <phoneticPr fontId="1" type="noConversion"/>
  </si>
  <si>
    <t>明基醫</t>
    <phoneticPr fontId="1" type="noConversion"/>
  </si>
  <si>
    <t>醫療器材明基旗下</t>
    <phoneticPr fontId="1" type="noConversion"/>
  </si>
  <si>
    <t>旭富</t>
    <phoneticPr fontId="1" type="noConversion"/>
  </si>
  <si>
    <t>友華</t>
    <phoneticPr fontId="1" type="noConversion"/>
  </si>
  <si>
    <t>優盛</t>
    <phoneticPr fontId="1" type="noConversion"/>
  </si>
  <si>
    <t>晟德</t>
    <phoneticPr fontId="1" type="noConversion"/>
  </si>
  <si>
    <t>生技投控旗下HK澳優乳業,豐華生技,順藥,益安,東曜</t>
    <phoneticPr fontId="1" type="noConversion"/>
  </si>
  <si>
    <t>太醫</t>
    <phoneticPr fontId="1" type="noConversion"/>
  </si>
  <si>
    <t>醫療耗材</t>
    <phoneticPr fontId="1" type="noConversion"/>
  </si>
  <si>
    <t>天良</t>
    <phoneticPr fontId="1" type="noConversion"/>
  </si>
  <si>
    <t>中天</t>
    <phoneticPr fontId="1" type="noConversion"/>
  </si>
  <si>
    <t>GMP中藥</t>
    <phoneticPr fontId="1" type="noConversion"/>
  </si>
  <si>
    <t>聯合</t>
    <phoneticPr fontId="1" type="noConversion"/>
  </si>
  <si>
    <t>骨科器材</t>
    <phoneticPr fontId="1" type="noConversion"/>
  </si>
  <si>
    <t>健亞</t>
    <phoneticPr fontId="1" type="noConversion"/>
  </si>
  <si>
    <t>學名藥旗下6575心悅、6567生控、6479瑞寶、6872浩宇生醫</t>
    <phoneticPr fontId="1" type="noConversion"/>
  </si>
  <si>
    <t>晶宇</t>
    <phoneticPr fontId="1" type="noConversion"/>
  </si>
  <si>
    <t>生物檢驗晶片</t>
    <phoneticPr fontId="1" type="noConversion"/>
  </si>
  <si>
    <t>亞諾法</t>
    <phoneticPr fontId="1" type="noConversion"/>
  </si>
  <si>
    <t>抗體蛋白</t>
    <phoneticPr fontId="1" type="noConversion"/>
  </si>
  <si>
    <t>麗豐KY</t>
    <phoneticPr fontId="1" type="noConversion"/>
  </si>
  <si>
    <t>克麗緹娜</t>
    <phoneticPr fontId="1" type="noConversion"/>
  </si>
  <si>
    <t>曜亞</t>
    <phoneticPr fontId="1" type="noConversion"/>
  </si>
  <si>
    <t>醫美器材佳醫旗下</t>
    <phoneticPr fontId="1" type="noConversion"/>
  </si>
  <si>
    <t>馬光KY</t>
    <phoneticPr fontId="1" type="noConversion"/>
  </si>
  <si>
    <t>中醫連鎖</t>
    <phoneticPr fontId="1" type="noConversion"/>
  </si>
  <si>
    <t>龍燈KY</t>
    <phoneticPr fontId="1" type="noConversion"/>
  </si>
  <si>
    <t>植物保護劑</t>
    <phoneticPr fontId="1" type="noConversion"/>
  </si>
  <si>
    <t>國光生</t>
    <phoneticPr fontId="1" type="noConversion"/>
  </si>
  <si>
    <t>流感疫苗</t>
    <phoneticPr fontId="1" type="noConversion"/>
  </si>
  <si>
    <t>中裕</t>
    <phoneticPr fontId="1" type="noConversion"/>
  </si>
  <si>
    <t>愛滋藥潤泰旗下</t>
    <phoneticPr fontId="1" type="noConversion"/>
  </si>
  <si>
    <t>全宇生技KY</t>
    <phoneticPr fontId="1" type="noConversion"/>
  </si>
  <si>
    <t>鈺緯</t>
    <phoneticPr fontId="1" type="noConversion"/>
  </si>
  <si>
    <t>醫療顯示器</t>
    <phoneticPr fontId="1" type="noConversion"/>
  </si>
  <si>
    <t>康樂KY</t>
    <phoneticPr fontId="1" type="noConversion"/>
  </si>
  <si>
    <t>機能性飲品</t>
    <phoneticPr fontId="1" type="noConversion"/>
  </si>
  <si>
    <t>訊映</t>
    <phoneticPr fontId="1" type="noConversion"/>
  </si>
  <si>
    <t>太景KY</t>
    <phoneticPr fontId="1" type="noConversion"/>
  </si>
  <si>
    <t>新藥</t>
    <phoneticPr fontId="1" type="noConversion"/>
  </si>
  <si>
    <t>創源</t>
    <phoneticPr fontId="1" type="noConversion"/>
  </si>
  <si>
    <t>基因檢測訊聯旗下</t>
    <phoneticPr fontId="1" type="noConversion"/>
  </si>
  <si>
    <t>聿新科</t>
    <phoneticPr fontId="1" type="noConversion"/>
  </si>
  <si>
    <t>血糖測試</t>
    <phoneticPr fontId="1" type="noConversion"/>
  </si>
  <si>
    <t>2.05%庫藏股胰臟癌東洋旗下</t>
    <phoneticPr fontId="1" type="noConversion"/>
  </si>
  <si>
    <t>鐿鈦</t>
    <phoneticPr fontId="1" type="noConversion"/>
  </si>
  <si>
    <t>醫療機械</t>
    <phoneticPr fontId="1" type="noConversion"/>
  </si>
  <si>
    <t>承業醫</t>
    <phoneticPr fontId="1" type="noConversion"/>
  </si>
  <si>
    <t>腫瘤設備</t>
    <phoneticPr fontId="1" type="noConversion"/>
  </si>
  <si>
    <t>松瑞藥</t>
    <phoneticPr fontId="1" type="noConversion"/>
  </si>
  <si>
    <t>醣聯</t>
    <phoneticPr fontId="1" type="noConversion"/>
  </si>
  <si>
    <t>久裕</t>
    <phoneticPr fontId="1" type="noConversion"/>
  </si>
  <si>
    <t>藥品物流佳醫旗下</t>
    <phoneticPr fontId="1" type="noConversion"/>
  </si>
  <si>
    <t>浩鼎</t>
    <phoneticPr fontId="1" type="noConversion"/>
  </si>
  <si>
    <t>醣基新藥潤泰旗下</t>
    <phoneticPr fontId="1" type="noConversion"/>
  </si>
  <si>
    <t>杏一</t>
    <phoneticPr fontId="1" type="noConversion"/>
  </si>
  <si>
    <t>醫療連鎖通路</t>
    <phoneticPr fontId="1" type="noConversion"/>
  </si>
  <si>
    <t>福永生技</t>
    <phoneticPr fontId="1" type="noConversion"/>
  </si>
  <si>
    <t>安克</t>
    <phoneticPr fontId="1" type="noConversion"/>
  </si>
  <si>
    <t>電腦診斷美吾華懷特旗下</t>
    <phoneticPr fontId="1" type="noConversion"/>
  </si>
  <si>
    <t>佐登KY</t>
    <phoneticPr fontId="1" type="noConversion"/>
  </si>
  <si>
    <t>美容集團</t>
    <phoneticPr fontId="1" type="noConversion"/>
  </si>
  <si>
    <t>杏國</t>
    <phoneticPr fontId="1" type="noConversion"/>
  </si>
  <si>
    <t>新藥杏輝旗下</t>
    <phoneticPr fontId="1" type="noConversion"/>
  </si>
  <si>
    <t>欣大健康</t>
    <phoneticPr fontId="1" type="noConversion"/>
  </si>
  <si>
    <t>X光機</t>
    <phoneticPr fontId="1" type="noConversion"/>
  </si>
  <si>
    <t>永昕</t>
    <phoneticPr fontId="1" type="noConversion"/>
  </si>
  <si>
    <t>雙美</t>
    <phoneticPr fontId="1" type="noConversion"/>
  </si>
  <si>
    <t>豪展</t>
    <phoneticPr fontId="1" type="noConversion"/>
  </si>
  <si>
    <t>耳溫槍</t>
    <phoneticPr fontId="1" type="noConversion"/>
  </si>
  <si>
    <t>泰博</t>
    <phoneticPr fontId="1" type="noConversion"/>
  </si>
  <si>
    <t>體溫血糖</t>
    <phoneticPr fontId="1" type="noConversion"/>
  </si>
  <si>
    <t>華廣</t>
    <phoneticPr fontId="1" type="noConversion"/>
  </si>
  <si>
    <t>糖尿病中天轉投資</t>
    <phoneticPr fontId="1" type="noConversion"/>
  </si>
  <si>
    <t>皇將</t>
    <phoneticPr fontId="1" type="noConversion"/>
  </si>
  <si>
    <t>製藥設備</t>
    <phoneticPr fontId="1" type="noConversion"/>
  </si>
  <si>
    <t>合富KY</t>
    <phoneticPr fontId="1" type="noConversion"/>
  </si>
  <si>
    <t>醫療通路</t>
    <phoneticPr fontId="1" type="noConversion"/>
  </si>
  <si>
    <t>台耀</t>
    <phoneticPr fontId="1" type="noConversion"/>
  </si>
  <si>
    <t>維他命D</t>
    <phoneticPr fontId="1" type="noConversion"/>
  </si>
  <si>
    <t>強生</t>
    <phoneticPr fontId="1" type="noConversion"/>
  </si>
  <si>
    <t>德英</t>
    <phoneticPr fontId="1" type="noConversion"/>
  </si>
  <si>
    <t>抗癌</t>
    <phoneticPr fontId="1" type="noConversion"/>
  </si>
  <si>
    <t>寶島科</t>
    <phoneticPr fontId="1" type="noConversion"/>
  </si>
  <si>
    <t>眼鏡通路</t>
    <phoneticPr fontId="1" type="noConversion"/>
  </si>
  <si>
    <t>星寶國際</t>
    <phoneticPr fontId="1" type="noConversion"/>
  </si>
  <si>
    <t>立康</t>
    <phoneticPr fontId="1" type="noConversion"/>
  </si>
  <si>
    <t>中草藥</t>
    <phoneticPr fontId="1" type="noConversion"/>
  </si>
  <si>
    <t>紅血球增生</t>
    <phoneticPr fontId="1" type="noConversion"/>
  </si>
  <si>
    <t>益得</t>
    <phoneticPr fontId="1" type="noConversion"/>
  </si>
  <si>
    <t>大樹</t>
    <phoneticPr fontId="1" type="noConversion"/>
  </si>
  <si>
    <t>連鎖藥局</t>
    <phoneticPr fontId="1" type="noConversion"/>
  </si>
  <si>
    <t>保瑞</t>
    <phoneticPr fontId="1" type="noConversion"/>
  </si>
  <si>
    <t>晶碩</t>
    <phoneticPr fontId="1" type="noConversion"/>
  </si>
  <si>
    <t>隱形眼鏡3雄和碩轉投資</t>
    <phoneticPr fontId="1" type="noConversion"/>
  </si>
  <si>
    <t>生華科</t>
    <phoneticPr fontId="1" type="noConversion"/>
  </si>
  <si>
    <t>抗癌新藥</t>
    <phoneticPr fontId="1" type="noConversion"/>
  </si>
  <si>
    <t>科懋</t>
    <phoneticPr fontId="1" type="noConversion"/>
  </si>
  <si>
    <t>檢驗試劑</t>
    <phoneticPr fontId="1" type="noConversion"/>
  </si>
  <si>
    <t>益安</t>
    <phoneticPr fontId="1" type="noConversion"/>
  </si>
  <si>
    <t>內視鏡心導管</t>
    <phoneticPr fontId="1" type="noConversion"/>
  </si>
  <si>
    <t>達爾膚</t>
    <phoneticPr fontId="1" type="noConversion"/>
  </si>
  <si>
    <t>明達醫</t>
    <phoneticPr fontId="1" type="noConversion"/>
  </si>
  <si>
    <t>眼科儀器</t>
    <phoneticPr fontId="1" type="noConversion"/>
  </si>
  <si>
    <t>順藥</t>
    <phoneticPr fontId="1" type="noConversion"/>
  </si>
  <si>
    <t>泰福KY</t>
    <phoneticPr fontId="1" type="noConversion"/>
  </si>
  <si>
    <t>高端疫苗</t>
    <phoneticPr fontId="1" type="noConversion"/>
  </si>
  <si>
    <t>流感疫苗基亞旗下</t>
    <phoneticPr fontId="1" type="noConversion"/>
  </si>
  <si>
    <t>醫揚</t>
    <phoneticPr fontId="1" type="noConversion"/>
  </si>
  <si>
    <t>醫療電腦華碩旗下</t>
    <phoneticPr fontId="1" type="noConversion"/>
  </si>
  <si>
    <t>保養品</t>
    <phoneticPr fontId="1" type="noConversion"/>
  </si>
  <si>
    <t>逸達</t>
    <phoneticPr fontId="1" type="noConversion"/>
  </si>
  <si>
    <t>台康生技</t>
    <phoneticPr fontId="1" type="noConversion"/>
  </si>
  <si>
    <t>ABC-KY</t>
    <phoneticPr fontId="1" type="noConversion"/>
  </si>
  <si>
    <t>奈米醫材</t>
    <phoneticPr fontId="1" type="noConversion"/>
  </si>
  <si>
    <t>人工水晶體</t>
    <phoneticPr fontId="1" type="noConversion"/>
  </si>
  <si>
    <t>慧智</t>
    <phoneticPr fontId="1" type="noConversion"/>
  </si>
  <si>
    <t>基因檢測</t>
    <phoneticPr fontId="1" type="noConversion"/>
  </si>
  <si>
    <t>台生材</t>
    <phoneticPr fontId="1" type="noConversion"/>
  </si>
  <si>
    <t>人工腦膜</t>
    <phoneticPr fontId="1" type="noConversion"/>
  </si>
  <si>
    <t>威健生技</t>
    <phoneticPr fontId="1" type="noConversion"/>
  </si>
  <si>
    <t>樂斯科</t>
    <phoneticPr fontId="1" type="noConversion"/>
  </si>
  <si>
    <t>實驗鼠</t>
    <phoneticPr fontId="1" type="noConversion"/>
  </si>
  <si>
    <t>羅麗芬KY</t>
    <phoneticPr fontId="1" type="noConversion"/>
  </si>
  <si>
    <t>美妝面部</t>
    <phoneticPr fontId="1" type="noConversion"/>
  </si>
  <si>
    <t>軒郁</t>
    <phoneticPr fontId="1" type="noConversion"/>
  </si>
  <si>
    <t>長聖</t>
    <phoneticPr fontId="1" type="noConversion"/>
  </si>
  <si>
    <t>博晟生醫</t>
    <phoneticPr fontId="1" type="noConversion"/>
  </si>
  <si>
    <t>亨泰光</t>
    <phoneticPr fontId="1" type="noConversion"/>
  </si>
  <si>
    <t>逹亞</t>
    <phoneticPr fontId="1" type="noConversion"/>
  </si>
  <si>
    <t>台微醫</t>
    <phoneticPr fontId="1" type="noConversion"/>
  </si>
  <si>
    <t>脊椎醫材鐿鈦旗下</t>
    <phoneticPr fontId="1" type="noConversion"/>
  </si>
  <si>
    <t>生展</t>
    <phoneticPr fontId="1" type="noConversion"/>
  </si>
  <si>
    <t>原料藥生達旗下</t>
    <phoneticPr fontId="1" type="noConversion"/>
  </si>
  <si>
    <t>盛弘</t>
    <phoneticPr fontId="1" type="noConversion"/>
  </si>
  <si>
    <t>醫藥流通敏盛醫旗下</t>
    <phoneticPr fontId="1" type="noConversion"/>
  </si>
  <si>
    <t>金可KY</t>
    <phoneticPr fontId="1" type="noConversion"/>
  </si>
  <si>
    <t>商之器</t>
    <phoneticPr fontId="1" type="noConversion"/>
  </si>
  <si>
    <t>東生華</t>
    <phoneticPr fontId="1" type="noConversion"/>
  </si>
  <si>
    <t>新藥東洋旗下</t>
    <phoneticPr fontId="1" type="noConversion"/>
  </si>
  <si>
    <t>大江</t>
    <phoneticPr fontId="1" type="noConversion"/>
  </si>
  <si>
    <t>面膜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</si>
  <si>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</si>
  <si>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</si>
  <si>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</si>
  <si>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</si>
  <si>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</si>
  <si>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</si>
  <si>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27</t>
    <phoneticPr fontId="1" type="noConversion"/>
  </si>
  <si>
    <t>玻陶</t>
    <phoneticPr fontId="1" type="noConversion"/>
  </si>
  <si>
    <t>股息</t>
    <phoneticPr fontId="1" type="noConversion"/>
  </si>
  <si>
    <t>買賣價</t>
    <phoneticPr fontId="1" type="noConversion"/>
  </si>
  <si>
    <t>損益</t>
    <phoneticPr fontId="1" type="noConversion"/>
  </si>
  <si>
    <t>損益率</t>
    <phoneticPr fontId="1" type="noConversion"/>
  </si>
  <si>
    <t>買進日期</t>
    <phoneticPr fontId="1" type="noConversion"/>
  </si>
  <si>
    <t>賣出日期</t>
    <phoneticPr fontId="1" type="noConversion"/>
  </si>
  <si>
    <t>天數</t>
    <phoneticPr fontId="1" type="noConversion"/>
  </si>
  <si>
    <t>台玻</t>
    <phoneticPr fontId="1" type="noConversion"/>
  </si>
  <si>
    <t>玻璃</t>
    <phoneticPr fontId="1" type="noConversion"/>
  </si>
  <si>
    <t>冠軍</t>
    <phoneticPr fontId="1" type="noConversion"/>
  </si>
  <si>
    <t>瓷磚</t>
    <phoneticPr fontId="1" type="noConversion"/>
  </si>
  <si>
    <t>中釉</t>
    <phoneticPr fontId="1" type="noConversion"/>
  </si>
  <si>
    <t>釉料</t>
    <phoneticPr fontId="1" type="noConversion"/>
  </si>
  <si>
    <t>和成</t>
    <phoneticPr fontId="1" type="noConversion"/>
  </si>
  <si>
    <t>衛浴</t>
    <phoneticPr fontId="1" type="noConversion"/>
  </si>
  <si>
    <t>凱撒衛</t>
    <phoneticPr fontId="1" type="noConversion"/>
  </si>
  <si>
    <t>造紙</t>
    <phoneticPr fontId="1" type="noConversion"/>
  </si>
  <si>
    <t>士紙</t>
    <phoneticPr fontId="1" type="noConversion"/>
  </si>
  <si>
    <t>白紙板</t>
    <phoneticPr fontId="1" type="noConversion"/>
  </si>
  <si>
    <t>正隆</t>
    <phoneticPr fontId="1" type="noConversion"/>
  </si>
  <si>
    <t>工紙3雄</t>
    <phoneticPr fontId="1" type="noConversion"/>
  </si>
  <si>
    <t>華紙</t>
    <phoneticPr fontId="1" type="noConversion"/>
  </si>
  <si>
    <t>紙漿</t>
    <phoneticPr fontId="1" type="noConversion"/>
  </si>
  <si>
    <t>寶隆</t>
    <phoneticPr fontId="1" type="noConversion"/>
  </si>
  <si>
    <t>工業紙</t>
    <phoneticPr fontId="1" type="noConversion"/>
  </si>
  <si>
    <t>永豐餘</t>
    <phoneticPr fontId="1" type="noConversion"/>
  </si>
  <si>
    <t>榮成</t>
    <phoneticPr fontId="1" type="noConversion"/>
  </si>
  <si>
    <t>16</t>
    <phoneticPr fontId="1" type="noConversion"/>
  </si>
  <si>
    <t>鋼鐵</t>
    <phoneticPr fontId="1" type="noConversion"/>
  </si>
  <si>
    <t>中鋼</t>
    <phoneticPr fontId="1" type="noConversion"/>
  </si>
  <si>
    <t>東和鋼鐵</t>
    <phoneticPr fontId="1" type="noConversion"/>
  </si>
  <si>
    <t>型鋼鋼筋</t>
    <phoneticPr fontId="1" type="noConversion"/>
  </si>
  <si>
    <t>燁興</t>
    <phoneticPr fontId="1" type="noConversion"/>
  </si>
  <si>
    <t>不鏽鋼線材</t>
    <phoneticPr fontId="1" type="noConversion"/>
  </si>
  <si>
    <t>高興昌</t>
    <phoneticPr fontId="1" type="noConversion"/>
  </si>
  <si>
    <t>制管雙雄</t>
    <phoneticPr fontId="1" type="noConversion"/>
  </si>
  <si>
    <t>第一銅</t>
    <phoneticPr fontId="1" type="noConversion"/>
  </si>
  <si>
    <t>銅產品</t>
    <phoneticPr fontId="1" type="noConversion"/>
  </si>
  <si>
    <t>春源</t>
    <phoneticPr fontId="1" type="noConversion"/>
  </si>
  <si>
    <t>鋼鐵剪裁通路</t>
    <phoneticPr fontId="1" type="noConversion"/>
  </si>
  <si>
    <t>春雨</t>
    <phoneticPr fontId="1" type="noConversion"/>
  </si>
  <si>
    <t>線材螺絲</t>
    <phoneticPr fontId="1" type="noConversion"/>
  </si>
  <si>
    <t>中鋼構</t>
    <phoneticPr fontId="1" type="noConversion"/>
  </si>
  <si>
    <t>鋼結構中鋼旗下</t>
    <phoneticPr fontId="1" type="noConversion"/>
  </si>
  <si>
    <t>中鴻</t>
    <phoneticPr fontId="1" type="noConversion"/>
  </si>
  <si>
    <t>熱軋中鋼旗下</t>
    <phoneticPr fontId="1" type="noConversion"/>
  </si>
  <si>
    <t>豐興</t>
    <phoneticPr fontId="1" type="noConversion"/>
  </si>
  <si>
    <t>官田鋼</t>
    <phoneticPr fontId="1" type="noConversion"/>
  </si>
  <si>
    <t>盤元和鐵絲</t>
    <phoneticPr fontId="1" type="noConversion"/>
  </si>
  <si>
    <t>美亞</t>
    <phoneticPr fontId="1" type="noConversion"/>
  </si>
  <si>
    <t>聚亨</t>
    <phoneticPr fontId="1" type="noConversion"/>
  </si>
  <si>
    <t>線材盤元</t>
    <phoneticPr fontId="1" type="noConversion"/>
  </si>
  <si>
    <t>燁輝</t>
    <phoneticPr fontId="1" type="noConversion"/>
  </si>
  <si>
    <t>鍍鋅烤漆義聯集團</t>
    <phoneticPr fontId="1" type="noConversion"/>
  </si>
  <si>
    <t>志聯</t>
    <phoneticPr fontId="1" type="noConversion"/>
  </si>
  <si>
    <t>鋼棒鋼線</t>
    <phoneticPr fontId="1" type="noConversion"/>
  </si>
  <si>
    <t>千興</t>
    <phoneticPr fontId="1" type="noConversion"/>
  </si>
  <si>
    <t>冷軋</t>
    <phoneticPr fontId="1" type="noConversion"/>
  </si>
  <si>
    <t>大成鋼</t>
    <phoneticPr fontId="1" type="noConversion"/>
  </si>
  <si>
    <t>威致</t>
    <phoneticPr fontId="1" type="noConversion"/>
  </si>
  <si>
    <t>盛餘</t>
    <phoneticPr fontId="1" type="noConversion"/>
  </si>
  <si>
    <t>鋼卷</t>
    <phoneticPr fontId="1" type="noConversion"/>
  </si>
  <si>
    <t>彰源</t>
    <phoneticPr fontId="1" type="noConversion"/>
  </si>
  <si>
    <t>新光鋼</t>
    <phoneticPr fontId="1" type="noConversion"/>
  </si>
  <si>
    <t>鋼剪裁</t>
    <phoneticPr fontId="1" type="noConversion"/>
  </si>
  <si>
    <t>新鋼</t>
    <phoneticPr fontId="1" type="noConversion"/>
  </si>
  <si>
    <t>不鏽鋼剪裁</t>
    <phoneticPr fontId="1" type="noConversion"/>
  </si>
  <si>
    <t>佳大</t>
    <phoneticPr fontId="1" type="noConversion"/>
  </si>
  <si>
    <t>鋼線鋼纜產品</t>
    <phoneticPr fontId="1" type="noConversion"/>
  </si>
  <si>
    <t>允強</t>
    <phoneticPr fontId="1" type="noConversion"/>
  </si>
  <si>
    <t>唐榮</t>
    <phoneticPr fontId="1" type="noConversion"/>
  </si>
  <si>
    <t>不鏽鋼</t>
    <phoneticPr fontId="1" type="noConversion"/>
  </si>
  <si>
    <t>海光</t>
    <phoneticPr fontId="1" type="noConversion"/>
  </si>
  <si>
    <t>世鎧</t>
    <phoneticPr fontId="1" type="noConversion"/>
  </si>
  <si>
    <t>螺絲</t>
    <phoneticPr fontId="1" type="noConversion"/>
  </si>
  <si>
    <t>晉椿</t>
    <phoneticPr fontId="1" type="noConversion"/>
  </si>
  <si>
    <t>棒鋼</t>
    <phoneticPr fontId="1" type="noConversion"/>
  </si>
  <si>
    <t>5.26</t>
    <phoneticPr fontId="1" type="noConversion"/>
  </si>
  <si>
    <t>世豐</t>
    <phoneticPr fontId="1" type="noConversion"/>
  </si>
  <si>
    <t>運錩</t>
    <phoneticPr fontId="1" type="noConversion"/>
  </si>
  <si>
    <t>長榮鋼</t>
    <phoneticPr fontId="1" type="noConversion"/>
  </si>
  <si>
    <t>豐達科</t>
    <phoneticPr fontId="1" type="noConversion"/>
  </si>
  <si>
    <t>航太扣件</t>
    <phoneticPr fontId="1" type="noConversion"/>
  </si>
  <si>
    <t>三星</t>
    <phoneticPr fontId="1" type="noConversion"/>
  </si>
  <si>
    <t>螺帽</t>
    <phoneticPr fontId="1" type="noConversion"/>
  </si>
  <si>
    <t>榮剛</t>
    <phoneticPr fontId="1" type="noConversion"/>
  </si>
  <si>
    <t>合金棒鋼台灣鋼鐵旗下</t>
    <phoneticPr fontId="1" type="noConversion"/>
  </si>
  <si>
    <t>久陽</t>
    <phoneticPr fontId="1" type="noConversion"/>
  </si>
  <si>
    <t>螺絲帽台鋼旗下</t>
    <phoneticPr fontId="1" type="noConversion"/>
  </si>
  <si>
    <t>強新</t>
    <phoneticPr fontId="1" type="noConversion"/>
  </si>
  <si>
    <t>拋光管件</t>
    <phoneticPr fontId="1" type="noConversion"/>
  </si>
  <si>
    <t>建錩</t>
    <phoneticPr fontId="1" type="noConversion"/>
  </si>
  <si>
    <t>不鏽鋼板裁剪</t>
    <phoneticPr fontId="1" type="noConversion"/>
  </si>
  <si>
    <t>華祺</t>
    <phoneticPr fontId="1" type="noConversion"/>
  </si>
  <si>
    <t>松和</t>
    <phoneticPr fontId="1" type="noConversion"/>
  </si>
  <si>
    <t>鋼纜</t>
    <phoneticPr fontId="1" type="noConversion"/>
  </si>
  <si>
    <t>東明KY</t>
    <phoneticPr fontId="1" type="noConversion"/>
  </si>
  <si>
    <t>沛波</t>
    <phoneticPr fontId="1" type="noConversion"/>
  </si>
  <si>
    <t>恒耀</t>
    <phoneticPr fontId="1" type="noConversion"/>
  </si>
  <si>
    <t>扣件車用</t>
    <phoneticPr fontId="1" type="noConversion"/>
  </si>
  <si>
    <t>大國鋼</t>
    <phoneticPr fontId="1" type="noConversion"/>
  </si>
  <si>
    <t>螺絲大成鋼投資</t>
    <phoneticPr fontId="1" type="noConversion"/>
  </si>
  <si>
    <t>青鋼</t>
    <phoneticPr fontId="1" type="noConversion"/>
  </si>
  <si>
    <t>輕鋼架</t>
    <phoneticPr fontId="1" type="noConversion"/>
  </si>
  <si>
    <t>世紀鋼</t>
    <phoneticPr fontId="1" type="noConversion"/>
  </si>
  <si>
    <t>鋼構工程</t>
    <phoneticPr fontId="1" type="noConversion"/>
  </si>
  <si>
    <t>有益</t>
    <phoneticPr fontId="1" type="noConversion"/>
  </si>
  <si>
    <t>不鏽鋼厚板</t>
    <phoneticPr fontId="1" type="noConversion"/>
  </si>
  <si>
    <t>橡膠</t>
    <phoneticPr fontId="1" type="noConversion"/>
  </si>
  <si>
    <t>南港</t>
    <phoneticPr fontId="1" type="noConversion"/>
  </si>
  <si>
    <t>輪胎土地</t>
    <phoneticPr fontId="1" type="noConversion"/>
  </si>
  <si>
    <t>泰豐</t>
    <phoneticPr fontId="1" type="noConversion"/>
  </si>
  <si>
    <t>輪胎</t>
    <phoneticPr fontId="1" type="noConversion"/>
  </si>
  <si>
    <t>台橡</t>
    <phoneticPr fontId="1" type="noConversion"/>
  </si>
  <si>
    <t>國際中橡</t>
    <phoneticPr fontId="1" type="noConversion"/>
  </si>
  <si>
    <t>碳煙和信旗下</t>
    <phoneticPr fontId="1" type="noConversion"/>
  </si>
  <si>
    <t>正新</t>
    <phoneticPr fontId="1" type="noConversion"/>
  </si>
  <si>
    <t>建大</t>
    <phoneticPr fontId="1" type="noConversion"/>
  </si>
  <si>
    <t>厚生</t>
    <phoneticPr fontId="1" type="noConversion"/>
  </si>
  <si>
    <t>營建</t>
    <phoneticPr fontId="1" type="noConversion"/>
  </si>
  <si>
    <t>南帝</t>
    <phoneticPr fontId="1" type="noConversion"/>
  </si>
  <si>
    <t>乳膠</t>
    <phoneticPr fontId="1" type="noConversion"/>
  </si>
  <si>
    <t>華豐</t>
    <phoneticPr fontId="1" type="noConversion"/>
  </si>
  <si>
    <t>鑫永銓</t>
    <phoneticPr fontId="1" type="noConversion"/>
  </si>
  <si>
    <t>橡膠輸送帶</t>
    <phoneticPr fontId="1" type="noConversion"/>
  </si>
  <si>
    <t>富強</t>
    <phoneticPr fontId="1" type="noConversion"/>
  </si>
  <si>
    <t>再生胎</t>
    <phoneticPr fontId="1" type="noConversion"/>
  </si>
  <si>
    <t>申豐</t>
    <phoneticPr fontId="1" type="noConversion"/>
  </si>
  <si>
    <t>乳膠永豐余旗下</t>
    <phoneticPr fontId="1" type="noConversion"/>
  </si>
  <si>
    <t>22</t>
    <phoneticPr fontId="1" type="noConversion"/>
  </si>
  <si>
    <t>汽車</t>
    <phoneticPr fontId="1" type="noConversion"/>
  </si>
  <si>
    <t>東陽</t>
    <phoneticPr fontId="1" type="noConversion"/>
  </si>
  <si>
    <t>汽車塑件</t>
    <phoneticPr fontId="1" type="noConversion"/>
  </si>
  <si>
    <t>廣華KY</t>
    <phoneticPr fontId="1" type="noConversion"/>
  </si>
  <si>
    <t>塑膠內飾</t>
    <phoneticPr fontId="1" type="noConversion"/>
  </si>
  <si>
    <t>昭輝</t>
    <phoneticPr fontId="1" type="noConversion"/>
  </si>
  <si>
    <t>瑞利</t>
    <phoneticPr fontId="1" type="noConversion"/>
  </si>
  <si>
    <t>汽車鈑金</t>
    <phoneticPr fontId="1" type="noConversion"/>
  </si>
  <si>
    <t>大億</t>
    <phoneticPr fontId="1" type="noConversion"/>
  </si>
  <si>
    <t>堤維西</t>
    <phoneticPr fontId="1" type="noConversion"/>
  </si>
  <si>
    <t>耿鼎</t>
    <phoneticPr fontId="1" type="noConversion"/>
  </si>
  <si>
    <t>鈑金件</t>
    <phoneticPr fontId="1" type="noConversion"/>
  </si>
  <si>
    <t>江申</t>
    <phoneticPr fontId="1" type="noConversion"/>
  </si>
  <si>
    <t>車底盤</t>
    <phoneticPr fontId="1" type="noConversion"/>
  </si>
  <si>
    <t>車王電</t>
    <phoneticPr fontId="1" type="noConversion"/>
  </si>
  <si>
    <t>車用電子零件</t>
    <phoneticPr fontId="1" type="noConversion"/>
  </si>
  <si>
    <t>和大</t>
    <phoneticPr fontId="1" type="noConversion"/>
  </si>
  <si>
    <t>減速齒輪Tesla電動車3雄</t>
    <phoneticPr fontId="1" type="noConversion"/>
  </si>
  <si>
    <t>倉佑</t>
    <phoneticPr fontId="1" type="noConversion"/>
  </si>
  <si>
    <t>變速箱零件</t>
    <phoneticPr fontId="1" type="noConversion"/>
  </si>
  <si>
    <t>吉茂</t>
    <phoneticPr fontId="1" type="noConversion"/>
  </si>
  <si>
    <t>汽車水箱</t>
    <phoneticPr fontId="1" type="noConversion"/>
  </si>
  <si>
    <t>帝寶</t>
    <phoneticPr fontId="1" type="noConversion"/>
  </si>
  <si>
    <t>麗正</t>
    <phoneticPr fontId="1" type="noConversion"/>
  </si>
  <si>
    <t>茂矽</t>
    <phoneticPr fontId="1" type="noConversion"/>
  </si>
  <si>
    <t>華邦電</t>
    <phoneticPr fontId="1" type="noConversion"/>
  </si>
  <si>
    <t>菱生</t>
    <phoneticPr fontId="1" type="noConversion"/>
  </si>
  <si>
    <t>聯詠</t>
    <phoneticPr fontId="1" type="noConversion"/>
  </si>
  <si>
    <t>揚智</t>
    <phoneticPr fontId="1" type="noConversion"/>
  </si>
  <si>
    <t>立萬利</t>
    <phoneticPr fontId="1" type="noConversion"/>
  </si>
  <si>
    <t>景碩</t>
    <phoneticPr fontId="1" type="noConversion"/>
  </si>
  <si>
    <t>原相</t>
    <phoneticPr fontId="1" type="noConversion"/>
  </si>
  <si>
    <t>金麗科</t>
    <phoneticPr fontId="1" type="noConversion"/>
  </si>
  <si>
    <t>虹冠電</t>
    <phoneticPr fontId="1" type="noConversion"/>
  </si>
  <si>
    <t>鑫創</t>
    <phoneticPr fontId="1" type="noConversion"/>
  </si>
  <si>
    <t>典範</t>
    <phoneticPr fontId="1" type="noConversion"/>
  </si>
  <si>
    <t>誠創</t>
    <phoneticPr fontId="1" type="noConversion"/>
  </si>
  <si>
    <t>逸昌</t>
    <phoneticPr fontId="1" type="noConversion"/>
  </si>
  <si>
    <t>世芯KY</t>
    <phoneticPr fontId="1" type="noConversion"/>
  </si>
  <si>
    <t>漢磊</t>
    <phoneticPr fontId="1" type="noConversion"/>
  </si>
  <si>
    <t>譜瑞KY</t>
    <phoneticPr fontId="1" type="noConversion"/>
  </si>
  <si>
    <t>IET-KY</t>
    <phoneticPr fontId="1" type="noConversion"/>
  </si>
  <si>
    <t>笙科</t>
    <phoneticPr fontId="1" type="noConversion"/>
  </si>
  <si>
    <t>世紀</t>
    <phoneticPr fontId="1" type="noConversion"/>
  </si>
  <si>
    <t>凱鈺</t>
    <phoneticPr fontId="1" type="noConversion"/>
  </si>
  <si>
    <t>松翰</t>
    <phoneticPr fontId="1" type="noConversion"/>
  </si>
  <si>
    <t>普誠</t>
    <phoneticPr fontId="1" type="noConversion"/>
  </si>
  <si>
    <t>旺矽</t>
    <phoneticPr fontId="1" type="noConversion"/>
  </si>
  <si>
    <t>矽格</t>
    <phoneticPr fontId="1" type="noConversion"/>
  </si>
  <si>
    <t>大中</t>
    <phoneticPr fontId="1" type="noConversion"/>
  </si>
  <si>
    <t>晶心科</t>
    <phoneticPr fontId="1" type="noConversion"/>
  </si>
  <si>
    <t>宏觀</t>
    <phoneticPr fontId="1" type="noConversion"/>
  </si>
  <si>
    <t>展匯科</t>
    <phoneticPr fontId="1" type="noConversion"/>
  </si>
  <si>
    <t>矽創</t>
    <phoneticPr fontId="1" type="noConversion"/>
  </si>
  <si>
    <t>安國</t>
    <phoneticPr fontId="1" type="noConversion"/>
  </si>
  <si>
    <t>華東</t>
    <phoneticPr fontId="1" type="noConversion"/>
  </si>
  <si>
    <t>福懋科</t>
    <phoneticPr fontId="1" type="noConversion"/>
  </si>
  <si>
    <t>宇瞻</t>
    <phoneticPr fontId="1" type="noConversion"/>
  </si>
  <si>
    <t>商丞</t>
    <phoneticPr fontId="1" type="noConversion"/>
  </si>
  <si>
    <t>群聯</t>
    <phoneticPr fontId="1" type="noConversion"/>
  </si>
  <si>
    <t>04</t>
    <phoneticPr fontId="1" type="noConversion"/>
  </si>
  <si>
    <t>光寶科</t>
    <phoneticPr fontId="1" type="noConversion"/>
  </si>
  <si>
    <t>宏碁</t>
    <phoneticPr fontId="1" type="noConversion"/>
  </si>
  <si>
    <t>昆盈</t>
    <phoneticPr fontId="1" type="noConversion"/>
  </si>
  <si>
    <t>技嘉</t>
    <phoneticPr fontId="1" type="noConversion"/>
  </si>
  <si>
    <t>虹光</t>
    <phoneticPr fontId="1" type="noConversion"/>
  </si>
  <si>
    <t>浩鑫</t>
    <phoneticPr fontId="1" type="noConversion"/>
  </si>
  <si>
    <t>新美齊</t>
    <phoneticPr fontId="1" type="noConversion"/>
  </si>
  <si>
    <t>麗台</t>
    <phoneticPr fontId="1" type="noConversion"/>
  </si>
  <si>
    <t>歐格</t>
    <phoneticPr fontId="1" type="noConversion"/>
  </si>
  <si>
    <t>晟銘電</t>
    <phoneticPr fontId="1" type="noConversion"/>
  </si>
  <si>
    <t>建碁</t>
    <phoneticPr fontId="1" type="noConversion"/>
  </si>
  <si>
    <t>順達</t>
    <phoneticPr fontId="1" type="noConversion"/>
  </si>
  <si>
    <t>曜越</t>
    <phoneticPr fontId="1" type="noConversion"/>
  </si>
  <si>
    <t>大眾控</t>
    <phoneticPr fontId="1" type="noConversion"/>
  </si>
  <si>
    <t>宜鼎</t>
    <phoneticPr fontId="1" type="noConversion"/>
  </si>
  <si>
    <t>迎廣</t>
    <phoneticPr fontId="1" type="noConversion"/>
  </si>
  <si>
    <t>新普</t>
    <phoneticPr fontId="1" type="noConversion"/>
  </si>
  <si>
    <t>廣明</t>
    <phoneticPr fontId="1" type="noConversion"/>
  </si>
  <si>
    <t>SSD代工廣達旗下</t>
    <phoneticPr fontId="1" type="noConversion"/>
  </si>
  <si>
    <t>飛捷</t>
    <phoneticPr fontId="1" type="noConversion"/>
  </si>
  <si>
    <t>POS新零售</t>
    <phoneticPr fontId="1" type="noConversion"/>
  </si>
  <si>
    <t>全譜</t>
    <phoneticPr fontId="1" type="noConversion"/>
  </si>
  <si>
    <t>生物影像</t>
    <phoneticPr fontId="1" type="noConversion"/>
  </si>
  <si>
    <t>尼得科超眾</t>
    <phoneticPr fontId="1" type="noConversion"/>
  </si>
  <si>
    <t>散熱3</t>
    <phoneticPr fontId="1" type="noConversion"/>
  </si>
  <si>
    <t>華孚</t>
    <phoneticPr fontId="1" type="noConversion"/>
  </si>
  <si>
    <t>NB外殼</t>
    <phoneticPr fontId="1" type="noConversion"/>
  </si>
  <si>
    <t>安鈦克</t>
    <phoneticPr fontId="1" type="noConversion"/>
  </si>
  <si>
    <t>宏正</t>
    <phoneticPr fontId="1" type="noConversion"/>
  </si>
  <si>
    <t>KVM</t>
    <phoneticPr fontId="1" type="noConversion"/>
  </si>
  <si>
    <t>廣錠</t>
    <phoneticPr fontId="1" type="noConversion"/>
  </si>
  <si>
    <t>博弈廣積旗下</t>
    <phoneticPr fontId="1" type="noConversion"/>
  </si>
  <si>
    <t>維田</t>
    <phoneticPr fontId="1" type="noConversion"/>
  </si>
  <si>
    <t>勁豐</t>
    <phoneticPr fontId="1" type="noConversion"/>
  </si>
  <si>
    <t>工業電腦豐藝旗下</t>
    <phoneticPr fontId="1" type="noConversion"/>
  </si>
  <si>
    <t>研揚</t>
    <phoneticPr fontId="1" type="noConversion"/>
  </si>
  <si>
    <t>緯穎</t>
    <phoneticPr fontId="1" type="noConversion"/>
  </si>
  <si>
    <t>雲端緯創旗下</t>
    <phoneticPr fontId="1" type="noConversion"/>
  </si>
  <si>
    <t>鑫創電子</t>
    <phoneticPr fontId="1" type="noConversion"/>
  </si>
  <si>
    <t>車載電腦</t>
    <phoneticPr fontId="1" type="noConversion"/>
  </si>
  <si>
    <t>廣積</t>
    <phoneticPr fontId="1" type="noConversion"/>
  </si>
  <si>
    <t>伍豐</t>
    <phoneticPr fontId="1" type="noConversion"/>
  </si>
  <si>
    <t>賭場新零售</t>
    <phoneticPr fontId="1" type="noConversion"/>
  </si>
  <si>
    <t>振樺電</t>
    <phoneticPr fontId="1" type="noConversion"/>
  </si>
  <si>
    <t>達方</t>
    <phoneticPr fontId="1" type="noConversion"/>
  </si>
  <si>
    <t>鍵盤明基友達旗下</t>
    <phoneticPr fontId="1" type="noConversion"/>
  </si>
  <si>
    <t>勤誠</t>
    <phoneticPr fontId="1" type="noConversion"/>
  </si>
  <si>
    <t>新漢</t>
    <phoneticPr fontId="1" type="noConversion"/>
  </si>
  <si>
    <t>森田</t>
    <phoneticPr fontId="1" type="noConversion"/>
  </si>
  <si>
    <t>熱轉印</t>
    <phoneticPr fontId="1" type="noConversion"/>
  </si>
  <si>
    <t>偉聯</t>
    <phoneticPr fontId="1" type="noConversion"/>
  </si>
  <si>
    <t>顯示器</t>
    <phoneticPr fontId="1" type="noConversion"/>
  </si>
  <si>
    <t>光電</t>
    <phoneticPr fontId="1" type="noConversion"/>
  </si>
  <si>
    <t>中環</t>
    <phoneticPr fontId="1" type="noConversion"/>
  </si>
  <si>
    <t>光碟片</t>
    <phoneticPr fontId="1" type="noConversion"/>
  </si>
  <si>
    <t>光磊</t>
    <phoneticPr fontId="1" type="noConversion"/>
  </si>
  <si>
    <t>LED晶粒日亞化授權</t>
    <phoneticPr fontId="1" type="noConversion"/>
  </si>
  <si>
    <t>錸德</t>
    <phoneticPr fontId="1" type="noConversion"/>
  </si>
  <si>
    <t>佳能</t>
    <phoneticPr fontId="1" type="noConversion"/>
  </si>
  <si>
    <t>相機組裝</t>
    <phoneticPr fontId="1" type="noConversion"/>
  </si>
  <si>
    <t>億光</t>
    <phoneticPr fontId="1" type="noConversion"/>
  </si>
  <si>
    <t>太陽能矽晶圓轉投資碩禾</t>
    <phoneticPr fontId="1" type="noConversion"/>
  </si>
  <si>
    <t>鼎元</t>
    <phoneticPr fontId="1" type="noConversion"/>
  </si>
  <si>
    <t>LED晶粒</t>
    <phoneticPr fontId="1" type="noConversion"/>
  </si>
  <si>
    <t>翔耀</t>
    <phoneticPr fontId="1" type="noConversion"/>
  </si>
  <si>
    <t>玻璃基板</t>
    <phoneticPr fontId="1" type="noConversion"/>
  </si>
  <si>
    <t>冠西電</t>
    <phoneticPr fontId="1" type="noConversion"/>
  </si>
  <si>
    <t>光纖耦合器</t>
    <phoneticPr fontId="1" type="noConversion"/>
  </si>
  <si>
    <t>一詮</t>
    <phoneticPr fontId="1" type="noConversion"/>
  </si>
  <si>
    <t>瑞軒</t>
    <phoneticPr fontId="1" type="noConversion"/>
  </si>
  <si>
    <t>電視</t>
    <phoneticPr fontId="1" type="noConversion"/>
  </si>
  <si>
    <t>吉祥全</t>
    <phoneticPr fontId="1" type="noConversion"/>
  </si>
  <si>
    <t>LED照明</t>
    <phoneticPr fontId="1" type="noConversion"/>
  </si>
  <si>
    <t>手機鏡頭</t>
    <phoneticPr fontId="1" type="noConversion"/>
  </si>
  <si>
    <t>亞光</t>
    <phoneticPr fontId="1" type="noConversion"/>
  </si>
  <si>
    <t>憶聲</t>
    <phoneticPr fontId="1" type="noConversion"/>
  </si>
  <si>
    <t>家電歌林轉投資</t>
    <phoneticPr fontId="1" type="noConversion"/>
  </si>
  <si>
    <t>佰鴻</t>
    <phoneticPr fontId="1" type="noConversion"/>
  </si>
  <si>
    <t>LED封裝</t>
    <phoneticPr fontId="1" type="noConversion"/>
  </si>
  <si>
    <t>全台</t>
    <phoneticPr fontId="1" type="noConversion"/>
  </si>
  <si>
    <t>面板模組</t>
    <phoneticPr fontId="1" type="noConversion"/>
  </si>
  <si>
    <t>和鑫</t>
    <phoneticPr fontId="1" type="noConversion"/>
  </si>
  <si>
    <t>觸控面板華新旗下彩晶轉投資</t>
    <phoneticPr fontId="1" type="noConversion"/>
  </si>
  <si>
    <t>鈺德</t>
    <phoneticPr fontId="1" type="noConversion"/>
  </si>
  <si>
    <t>太陽能錸德旗下</t>
    <phoneticPr fontId="1" type="noConversion"/>
  </si>
  <si>
    <t>力特</t>
    <phoneticPr fontId="1" type="noConversion"/>
  </si>
  <si>
    <t>偏光板</t>
    <phoneticPr fontId="1" type="noConversion"/>
  </si>
  <si>
    <t>華晶科</t>
    <phoneticPr fontId="1" type="noConversion"/>
  </si>
  <si>
    <t>數位影像</t>
    <phoneticPr fontId="1" type="noConversion"/>
  </si>
  <si>
    <t>李洲</t>
    <phoneticPr fontId="1" type="noConversion"/>
  </si>
  <si>
    <t>昇銳</t>
    <phoneticPr fontId="1" type="noConversion"/>
  </si>
  <si>
    <t>安控</t>
    <phoneticPr fontId="1" type="noConversion"/>
  </si>
  <si>
    <t>正達</t>
    <phoneticPr fontId="1" type="noConversion"/>
  </si>
  <si>
    <t>玻璃加工鴻海旗下</t>
    <phoneticPr fontId="1" type="noConversion"/>
  </si>
  <si>
    <t>錦明</t>
    <phoneticPr fontId="1" type="noConversion"/>
  </si>
  <si>
    <t>杭特</t>
    <phoneticPr fontId="1" type="noConversion"/>
  </si>
  <si>
    <t>安全監控</t>
    <phoneticPr fontId="1" type="noConversion"/>
  </si>
  <si>
    <t>泰谷</t>
    <phoneticPr fontId="1" type="noConversion"/>
  </si>
  <si>
    <t>奇偶</t>
    <phoneticPr fontId="1" type="noConversion"/>
  </si>
  <si>
    <t>先進光</t>
    <phoneticPr fontId="1" type="noConversion"/>
  </si>
  <si>
    <t>IT鏡頭</t>
    <phoneticPr fontId="1" type="noConversion"/>
  </si>
  <si>
    <t>新世紀</t>
    <phoneticPr fontId="1" type="noConversion"/>
  </si>
  <si>
    <t>LED晶粒群光旗下</t>
    <phoneticPr fontId="1" type="noConversion"/>
  </si>
  <si>
    <t>玉晶光</t>
    <phoneticPr fontId="1" type="noConversion"/>
  </si>
  <si>
    <t>鏡頭3D感測</t>
    <phoneticPr fontId="1" type="noConversion"/>
  </si>
  <si>
    <t>哲固</t>
    <phoneticPr fontId="1" type="noConversion"/>
  </si>
  <si>
    <t>榮創</t>
    <phoneticPr fontId="1" type="noConversion"/>
  </si>
  <si>
    <t>LED封裝鴻海旗下</t>
    <phoneticPr fontId="1" type="noConversion"/>
  </si>
  <si>
    <t>聯一光</t>
    <phoneticPr fontId="1" type="noConversion"/>
  </si>
  <si>
    <t>光學鏡頭上游</t>
    <phoneticPr fontId="1" type="noConversion"/>
  </si>
  <si>
    <t>晶睿</t>
    <phoneticPr fontId="1" type="noConversion"/>
  </si>
  <si>
    <t>IP Camera</t>
    <phoneticPr fontId="1" type="noConversion"/>
  </si>
  <si>
    <t>由田</t>
    <phoneticPr fontId="1" type="noConversion"/>
  </si>
  <si>
    <t>面板鴻海旗下</t>
    <phoneticPr fontId="1" type="noConversion"/>
  </si>
  <si>
    <t>單井</t>
    <phoneticPr fontId="1" type="noConversion"/>
  </si>
  <si>
    <t>半導體封裝模具</t>
    <phoneticPr fontId="1" type="noConversion"/>
  </si>
  <si>
    <t>揚名光</t>
    <phoneticPr fontId="1" type="noConversion"/>
  </si>
  <si>
    <t>微投影</t>
    <phoneticPr fontId="1" type="noConversion"/>
  </si>
  <si>
    <t>亞帝歐</t>
    <phoneticPr fontId="1" type="noConversion"/>
  </si>
  <si>
    <t>先益</t>
    <phoneticPr fontId="1" type="noConversion"/>
  </si>
  <si>
    <t>背光模組</t>
    <phoneticPr fontId="1" type="noConversion"/>
  </si>
  <si>
    <t>晶彩科</t>
    <phoneticPr fontId="1" type="noConversion"/>
  </si>
  <si>
    <t>檢測設備</t>
    <phoneticPr fontId="1" type="noConversion"/>
  </si>
  <si>
    <t>州巧</t>
    <phoneticPr fontId="1" type="noConversion"/>
  </si>
  <si>
    <t>牧德</t>
    <phoneticPr fontId="1" type="noConversion"/>
  </si>
  <si>
    <t>光學檢測</t>
    <phoneticPr fontId="1" type="noConversion"/>
  </si>
  <si>
    <t>聯合再生</t>
    <phoneticPr fontId="1" type="noConversion"/>
  </si>
  <si>
    <t>太陽能4大模組</t>
    <phoneticPr fontId="1" type="noConversion"/>
  </si>
  <si>
    <t>艾笛森</t>
    <phoneticPr fontId="1" type="noConversion"/>
  </si>
  <si>
    <t>LED產品</t>
    <phoneticPr fontId="1" type="noConversion"/>
  </si>
  <si>
    <t>安可</t>
    <phoneticPr fontId="1" type="noConversion"/>
  </si>
  <si>
    <t>導電玻璃錸德轉投資</t>
    <phoneticPr fontId="1" type="noConversion"/>
  </si>
  <si>
    <t>洋華</t>
    <phoneticPr fontId="1" type="noConversion"/>
  </si>
  <si>
    <t>觸控面板健身器材</t>
    <phoneticPr fontId="1" type="noConversion"/>
  </si>
  <si>
    <t>富晶通</t>
    <phoneticPr fontId="1" type="noConversion"/>
  </si>
  <si>
    <t>觸控面板中環與富士通合資</t>
    <phoneticPr fontId="1" type="noConversion"/>
  </si>
  <si>
    <t>新钜科</t>
    <phoneticPr fontId="1" type="noConversion"/>
  </si>
  <si>
    <t>感測鏡頭</t>
    <phoneticPr fontId="1" type="noConversion"/>
  </si>
  <si>
    <t>光學膜/菱鏡片光群雷轉投資</t>
    <phoneticPr fontId="1" type="noConversion"/>
  </si>
  <si>
    <t>圓展</t>
    <phoneticPr fontId="1" type="noConversion"/>
  </si>
  <si>
    <t>攝影機圓剛轉投資</t>
    <phoneticPr fontId="1" type="noConversion"/>
  </si>
  <si>
    <t>TPK-KY</t>
    <phoneticPr fontId="1" type="noConversion"/>
  </si>
  <si>
    <t>觸控模組</t>
    <phoneticPr fontId="1" type="noConversion"/>
  </si>
  <si>
    <t>元創精密</t>
    <phoneticPr fontId="1" type="noConversion"/>
  </si>
  <si>
    <t>車用導光板</t>
    <phoneticPr fontId="1" type="noConversion"/>
  </si>
  <si>
    <t>碩禾</t>
    <phoneticPr fontId="1" type="noConversion"/>
  </si>
  <si>
    <t>太陽能導電漿國碩旗下</t>
    <phoneticPr fontId="1" type="noConversion"/>
  </si>
  <si>
    <t>新晶投控</t>
    <phoneticPr fontId="1" type="noConversion"/>
  </si>
  <si>
    <t>太陽能控股持股頂晶科</t>
    <phoneticPr fontId="1" type="noConversion"/>
  </si>
  <si>
    <t>富采投控</t>
    <phoneticPr fontId="1" type="noConversion"/>
  </si>
  <si>
    <t>熒茂</t>
    <phoneticPr fontId="1" type="noConversion"/>
  </si>
  <si>
    <t>觸控面板強茂轉投資</t>
    <phoneticPr fontId="1" type="noConversion"/>
  </si>
  <si>
    <t>友輝</t>
    <phoneticPr fontId="1" type="noConversion"/>
  </si>
  <si>
    <t>光學膜新纖轉投資</t>
    <phoneticPr fontId="1" type="noConversion"/>
  </si>
  <si>
    <t>太極</t>
    <phoneticPr fontId="1" type="noConversion"/>
  </si>
  <si>
    <t>茂林KY</t>
    <phoneticPr fontId="1" type="noConversion"/>
  </si>
  <si>
    <t>嘉彰</t>
    <phoneticPr fontId="1" type="noConversion"/>
  </si>
  <si>
    <t>兆遠</t>
    <phoneticPr fontId="1" type="noConversion"/>
  </si>
  <si>
    <t>LED藍寶石基板</t>
    <phoneticPr fontId="1" type="noConversion"/>
  </si>
  <si>
    <t>光鋐</t>
    <phoneticPr fontId="1" type="noConversion"/>
  </si>
  <si>
    <t>LED磊晶可成轉投資</t>
    <phoneticPr fontId="1" type="noConversion"/>
  </si>
  <si>
    <t>誠美材</t>
    <phoneticPr fontId="1" type="noConversion"/>
  </si>
  <si>
    <t>湯石照明</t>
    <phoneticPr fontId="1" type="noConversion"/>
  </si>
  <si>
    <t>LED燈具</t>
    <phoneticPr fontId="1" type="noConversion"/>
  </si>
  <si>
    <t>佳凌</t>
    <phoneticPr fontId="1" type="noConversion"/>
  </si>
  <si>
    <t>晶達</t>
    <phoneticPr fontId="1" type="noConversion"/>
  </si>
  <si>
    <t>面板</t>
    <phoneticPr fontId="1" type="noConversion"/>
  </si>
  <si>
    <t>萬達光電</t>
    <phoneticPr fontId="1" type="noConversion"/>
  </si>
  <si>
    <t>萬達光</t>
    <phoneticPr fontId="1" type="noConversion"/>
  </si>
  <si>
    <t>觸控面板</t>
    <phoneticPr fontId="1" type="noConversion"/>
  </si>
  <si>
    <t>雷笛克</t>
    <phoneticPr fontId="1" type="noConversion"/>
  </si>
  <si>
    <t>LED透鏡</t>
    <phoneticPr fontId="1" type="noConversion"/>
  </si>
  <si>
    <t>達興材料</t>
    <phoneticPr fontId="1" type="noConversion"/>
  </si>
  <si>
    <t>化學材料友達大股東</t>
    <phoneticPr fontId="1" type="noConversion"/>
  </si>
  <si>
    <t>乙盛KY</t>
    <phoneticPr fontId="1" type="noConversion"/>
  </si>
  <si>
    <t>模具鴻海旗下</t>
    <phoneticPr fontId="1" type="noConversion"/>
  </si>
  <si>
    <t>智晶</t>
    <phoneticPr fontId="1" type="noConversion"/>
  </si>
  <si>
    <t>PMOLED</t>
    <phoneticPr fontId="1" type="noConversion"/>
  </si>
  <si>
    <t>天鉞電</t>
    <phoneticPr fontId="1" type="noConversion"/>
  </si>
  <si>
    <t>大峽谷KY</t>
    <phoneticPr fontId="1" type="noConversion"/>
  </si>
  <si>
    <t>光聯</t>
    <phoneticPr fontId="1" type="noConversion"/>
  </si>
  <si>
    <t>中光電</t>
    <phoneticPr fontId="1" type="noConversion"/>
  </si>
  <si>
    <t>應華</t>
    <phoneticPr fontId="1" type="noConversion"/>
  </si>
  <si>
    <t>機殼佳能轉投資</t>
    <phoneticPr fontId="1" type="noConversion"/>
  </si>
  <si>
    <t>達威</t>
    <phoneticPr fontId="1" type="noConversion"/>
  </si>
  <si>
    <t>均豪</t>
    <phoneticPr fontId="1" type="noConversion"/>
  </si>
  <si>
    <t>慧友</t>
    <phoneticPr fontId="1" type="noConversion"/>
  </si>
  <si>
    <t>DVR</t>
    <phoneticPr fontId="1" type="noConversion"/>
  </si>
  <si>
    <t>彩晶</t>
    <phoneticPr fontId="1" type="noConversion"/>
  </si>
  <si>
    <t>觸控面板華新旗下</t>
    <phoneticPr fontId="1" type="noConversion"/>
  </si>
  <si>
    <t>達運</t>
    <phoneticPr fontId="1" type="noConversion"/>
  </si>
  <si>
    <t>背光模組友達旗下</t>
    <phoneticPr fontId="1" type="noConversion"/>
  </si>
  <si>
    <t>廣運</t>
    <phoneticPr fontId="1" type="noConversion"/>
  </si>
  <si>
    <t>華興</t>
    <phoneticPr fontId="1" type="noConversion"/>
  </si>
  <si>
    <t>LED照明元件和模組廠</t>
    <phoneticPr fontId="1" type="noConversion"/>
  </si>
  <si>
    <t>久正</t>
    <phoneticPr fontId="1" type="noConversion"/>
  </si>
  <si>
    <t>宏齊</t>
    <phoneticPr fontId="1" type="noConversion"/>
  </si>
  <si>
    <t>瑞儀</t>
    <phoneticPr fontId="1" type="noConversion"/>
  </si>
  <si>
    <t>今國光</t>
    <phoneticPr fontId="1" type="noConversion"/>
  </si>
  <si>
    <t>上揚</t>
    <phoneticPr fontId="1" type="noConversion"/>
  </si>
  <si>
    <t>天瀚</t>
    <phoneticPr fontId="1" type="noConversion"/>
  </si>
  <si>
    <t>DSC和DV</t>
    <phoneticPr fontId="1" type="noConversion"/>
  </si>
  <si>
    <t>光鼎</t>
    <phoneticPr fontId="1" type="noConversion"/>
  </si>
  <si>
    <t>高僑</t>
    <phoneticPr fontId="1" type="noConversion"/>
  </si>
  <si>
    <t>茂迪</t>
    <phoneticPr fontId="1" type="noConversion"/>
  </si>
  <si>
    <t>臺龍</t>
    <phoneticPr fontId="1" type="noConversion"/>
  </si>
  <si>
    <t>台表科</t>
    <phoneticPr fontId="1" type="noConversion"/>
  </si>
  <si>
    <t>SMT代工</t>
    <phoneticPr fontId="1" type="noConversion"/>
  </si>
  <si>
    <t>華上</t>
    <phoneticPr fontId="1" type="noConversion"/>
  </si>
  <si>
    <t>LED晶粒磊晶片</t>
    <phoneticPr fontId="1" type="noConversion"/>
  </si>
  <si>
    <t>悅城</t>
    <phoneticPr fontId="1" type="noConversion"/>
  </si>
  <si>
    <t>京晨科</t>
    <phoneticPr fontId="1" type="noConversion"/>
  </si>
  <si>
    <t>光麗KY</t>
    <phoneticPr fontId="1" type="noConversion"/>
  </si>
  <si>
    <t>元晶</t>
    <phoneticPr fontId="1" type="noConversion"/>
  </si>
  <si>
    <t>太陽能4大模組遠雄轉投資</t>
    <phoneticPr fontId="1" type="noConversion"/>
  </si>
  <si>
    <t>GIS-KY</t>
    <phoneticPr fontId="1" type="noConversion"/>
  </si>
  <si>
    <t>觸控模組鴻海旗下</t>
    <phoneticPr fontId="1" type="noConversion"/>
  </si>
  <si>
    <t>勝品</t>
    <phoneticPr fontId="1" type="noConversion"/>
  </si>
  <si>
    <t>監控崇越電通旗下</t>
    <phoneticPr fontId="1" type="noConversion"/>
  </si>
  <si>
    <t>欣普羅</t>
    <phoneticPr fontId="1" type="noConversion"/>
  </si>
  <si>
    <t>中揚光</t>
    <phoneticPr fontId="1" type="noConversion"/>
  </si>
  <si>
    <t>邑錡</t>
    <phoneticPr fontId="1" type="noConversion"/>
  </si>
  <si>
    <t>縮時攝影機</t>
    <phoneticPr fontId="1" type="noConversion"/>
  </si>
  <si>
    <t>晶采</t>
    <phoneticPr fontId="1" type="noConversion"/>
  </si>
  <si>
    <t>液晶模組</t>
    <phoneticPr fontId="1" type="noConversion"/>
  </si>
  <si>
    <t>東捷</t>
    <phoneticPr fontId="1" type="noConversion"/>
  </si>
  <si>
    <t>設備鴻海旗下群創轉投資</t>
    <phoneticPr fontId="1" type="noConversion"/>
  </si>
  <si>
    <t>元太</t>
    <phoneticPr fontId="1" type="noConversion"/>
  </si>
  <si>
    <t>電子紙永豐餘旗下</t>
    <phoneticPr fontId="1" type="noConversion"/>
  </si>
  <si>
    <t>華鎂鑫</t>
    <phoneticPr fontId="1" type="noConversion"/>
  </si>
  <si>
    <t>碟片預錄</t>
    <phoneticPr fontId="1" type="noConversion"/>
  </si>
  <si>
    <t>錸寶</t>
    <phoneticPr fontId="1" type="noConversion"/>
  </si>
  <si>
    <t>PMOLED錸德轉投資</t>
    <phoneticPr fontId="1" type="noConversion"/>
  </si>
  <si>
    <t>淩巨</t>
    <phoneticPr fontId="1" type="noConversion"/>
  </si>
  <si>
    <t>顯示模組華映旗下</t>
    <phoneticPr fontId="1" type="noConversion"/>
  </si>
  <si>
    <t>立碁</t>
    <phoneticPr fontId="1" type="noConversion"/>
  </si>
  <si>
    <t>LED元件</t>
    <phoneticPr fontId="1" type="noConversion"/>
  </si>
  <si>
    <t>明基材</t>
    <phoneticPr fontId="1" type="noConversion"/>
  </si>
  <si>
    <t>華宏</t>
    <phoneticPr fontId="1" type="noConversion"/>
  </si>
  <si>
    <t>光學膜片</t>
    <phoneticPr fontId="1" type="noConversion"/>
  </si>
  <si>
    <t>通信</t>
    <phoneticPr fontId="1" type="noConversion"/>
  </si>
  <si>
    <t>台揚</t>
    <phoneticPr fontId="1" type="noConversion"/>
  </si>
  <si>
    <t>衛星鴻海轉投資</t>
    <phoneticPr fontId="1" type="noConversion"/>
  </si>
  <si>
    <t>東訊</t>
    <phoneticPr fontId="1" type="noConversion"/>
  </si>
  <si>
    <t>通訊設備東元轉投資</t>
    <phoneticPr fontId="1" type="noConversion"/>
  </si>
  <si>
    <t>友訊</t>
    <phoneticPr fontId="1" type="noConversion"/>
  </si>
  <si>
    <t>網通設備</t>
    <phoneticPr fontId="1" type="noConversion"/>
  </si>
  <si>
    <t>智邦</t>
    <phoneticPr fontId="1" type="noConversion"/>
  </si>
  <si>
    <t>網絡交換器</t>
    <phoneticPr fontId="1" type="noConversion"/>
  </si>
  <si>
    <t>中華電</t>
    <phoneticPr fontId="1" type="noConversion"/>
  </si>
  <si>
    <t>電信</t>
    <phoneticPr fontId="1" type="noConversion"/>
  </si>
  <si>
    <t>仲琦</t>
    <phoneticPr fontId="1" type="noConversion"/>
  </si>
  <si>
    <t>Cable CPE</t>
    <phoneticPr fontId="1" type="noConversion"/>
  </si>
  <si>
    <t>美律</t>
    <phoneticPr fontId="1" type="noConversion"/>
  </si>
  <si>
    <t>兆勁</t>
    <phoneticPr fontId="1" type="noConversion"/>
  </si>
  <si>
    <t>通路代理中華電信轉投資</t>
    <phoneticPr fontId="1" type="noConversion"/>
  </si>
  <si>
    <t>神腦</t>
    <phoneticPr fontId="1" type="noConversion"/>
  </si>
  <si>
    <t>通路代理</t>
    <phoneticPr fontId="1" type="noConversion"/>
  </si>
  <si>
    <t>全新</t>
    <phoneticPr fontId="1" type="noConversion"/>
  </si>
  <si>
    <t>兆赫</t>
    <phoneticPr fontId="1" type="noConversion"/>
  </si>
  <si>
    <t>機上盒LNB</t>
    <phoneticPr fontId="1" type="noConversion"/>
  </si>
  <si>
    <t>HTC威盛旗下</t>
    <phoneticPr fontId="1" type="noConversion"/>
  </si>
  <si>
    <t>星通</t>
    <phoneticPr fontId="1" type="noConversion"/>
  </si>
  <si>
    <t>電信局設備</t>
    <phoneticPr fontId="1" type="noConversion"/>
  </si>
  <si>
    <t>盛達</t>
    <phoneticPr fontId="1" type="noConversion"/>
  </si>
  <si>
    <t>通訊設備</t>
    <phoneticPr fontId="1" type="noConversion"/>
  </si>
  <si>
    <t>台灣大</t>
    <phoneticPr fontId="1" type="noConversion"/>
  </si>
  <si>
    <t>電信富邦旗下</t>
    <phoneticPr fontId="1" type="noConversion"/>
  </si>
  <si>
    <t>訊舟</t>
    <phoneticPr fontId="1" type="noConversion"/>
  </si>
  <si>
    <t>建漢</t>
    <phoneticPr fontId="1" type="noConversion"/>
  </si>
  <si>
    <t>無線設備鴻海旗下</t>
    <phoneticPr fontId="1" type="noConversion"/>
  </si>
  <si>
    <t>聯亞</t>
    <phoneticPr fontId="1" type="noConversion"/>
  </si>
  <si>
    <t>磊晶片光通訊</t>
    <phoneticPr fontId="1" type="noConversion"/>
  </si>
  <si>
    <t>及成</t>
    <phoneticPr fontId="1" type="noConversion"/>
  </si>
  <si>
    <t>天線</t>
    <phoneticPr fontId="1" type="noConversion"/>
  </si>
  <si>
    <t>璟德</t>
    <phoneticPr fontId="1" type="noConversion"/>
  </si>
  <si>
    <t>高頻被動元件</t>
    <phoneticPr fontId="1" type="noConversion"/>
  </si>
  <si>
    <t>波若威</t>
    <phoneticPr fontId="1" type="noConversion"/>
  </si>
  <si>
    <t>光通訊器件</t>
    <phoneticPr fontId="1" type="noConversion"/>
  </si>
  <si>
    <t>台嘉碩</t>
    <phoneticPr fontId="1" type="noConversion"/>
  </si>
  <si>
    <t>濾波器石英元件</t>
    <phoneticPr fontId="1" type="noConversion"/>
  </si>
  <si>
    <t>光環</t>
    <phoneticPr fontId="1" type="noConversion"/>
  </si>
  <si>
    <t>光收發模組</t>
    <phoneticPr fontId="1" type="noConversion"/>
  </si>
  <si>
    <t>鼎天</t>
    <phoneticPr fontId="1" type="noConversion"/>
  </si>
  <si>
    <t>GPS廣達轉投資</t>
    <phoneticPr fontId="1" type="noConversion"/>
  </si>
  <si>
    <t>閎暉</t>
    <phoneticPr fontId="1" type="noConversion"/>
  </si>
  <si>
    <t>手機按鍵華新旗下</t>
    <phoneticPr fontId="1" type="noConversion"/>
  </si>
  <si>
    <t>上詮</t>
    <phoneticPr fontId="1" type="noConversion"/>
  </si>
  <si>
    <t>光纖被動元件</t>
    <phoneticPr fontId="1" type="noConversion"/>
  </si>
  <si>
    <t>明泰</t>
    <phoneticPr fontId="1" type="noConversion"/>
  </si>
  <si>
    <t>譁裕</t>
    <phoneticPr fontId="1" type="noConversion"/>
  </si>
  <si>
    <t>致振</t>
    <phoneticPr fontId="1" type="noConversion"/>
  </si>
  <si>
    <t>機上盒</t>
    <phoneticPr fontId="1" type="noConversion"/>
  </si>
  <si>
    <t>昇達科</t>
    <phoneticPr fontId="1" type="noConversion"/>
  </si>
  <si>
    <t>微波通訊</t>
    <phoneticPr fontId="1" type="noConversion"/>
  </si>
  <si>
    <t>環天科</t>
    <phoneticPr fontId="1" type="noConversion"/>
  </si>
  <si>
    <t>GPS</t>
    <phoneticPr fontId="1" type="noConversion"/>
  </si>
  <si>
    <t>神準</t>
    <phoneticPr fontId="1" type="noConversion"/>
  </si>
  <si>
    <t>網路神腦投資</t>
    <phoneticPr fontId="1" type="noConversion"/>
  </si>
  <si>
    <t>其陽</t>
    <phoneticPr fontId="1" type="noConversion"/>
  </si>
  <si>
    <t>智易</t>
    <phoneticPr fontId="1" type="noConversion"/>
  </si>
  <si>
    <t>網通設備仁寶轉投資</t>
    <phoneticPr fontId="1" type="noConversion"/>
  </si>
  <si>
    <t>研勤</t>
    <phoneticPr fontId="1" type="noConversion"/>
  </si>
  <si>
    <t>導航軟體</t>
    <phoneticPr fontId="1" type="noConversion"/>
  </si>
  <si>
    <t>安瑞KY</t>
    <phoneticPr fontId="1" type="noConversion"/>
  </si>
  <si>
    <t>雲端ADC</t>
    <phoneticPr fontId="1" type="noConversion"/>
  </si>
  <si>
    <t>康聯訊</t>
    <phoneticPr fontId="1" type="noConversion"/>
  </si>
  <si>
    <t>光纖</t>
    <phoneticPr fontId="1" type="noConversion"/>
  </si>
  <si>
    <t>亞太電</t>
    <phoneticPr fontId="1" type="noConversion"/>
  </si>
  <si>
    <t>電信鴻海旗下</t>
    <phoneticPr fontId="1" type="noConversion"/>
  </si>
  <si>
    <t>榮昌</t>
    <phoneticPr fontId="1" type="noConversion"/>
  </si>
  <si>
    <t>海華</t>
    <phoneticPr fontId="1" type="noConversion"/>
  </si>
  <si>
    <t>無線網絡華碩旗下</t>
    <phoneticPr fontId="1" type="noConversion"/>
  </si>
  <si>
    <t>合勤控</t>
    <phoneticPr fontId="1" type="noConversion"/>
  </si>
  <si>
    <t>聯光通</t>
    <phoneticPr fontId="1" type="noConversion"/>
  </si>
  <si>
    <t>光通訊</t>
    <phoneticPr fontId="1" type="noConversion"/>
  </si>
  <si>
    <t>遠傳</t>
    <phoneticPr fontId="1" type="noConversion"/>
  </si>
  <si>
    <t>電信遠東旗下</t>
    <phoneticPr fontId="1" type="noConversion"/>
  </si>
  <si>
    <t>正文</t>
    <phoneticPr fontId="1" type="noConversion"/>
  </si>
  <si>
    <t>區域網路</t>
    <phoneticPr fontId="1" type="noConversion"/>
  </si>
  <si>
    <t>前鼎</t>
    <phoneticPr fontId="1" type="noConversion"/>
  </si>
  <si>
    <t>新復興</t>
    <phoneticPr fontId="1" type="noConversion"/>
  </si>
  <si>
    <t>衛星降頻器</t>
    <phoneticPr fontId="1" type="noConversion"/>
  </si>
  <si>
    <t>眾達KY</t>
    <phoneticPr fontId="1" type="noConversion"/>
  </si>
  <si>
    <t>華星光</t>
    <phoneticPr fontId="1" type="noConversion"/>
  </si>
  <si>
    <t>系通</t>
    <phoneticPr fontId="1" type="noConversion"/>
  </si>
  <si>
    <t>台林</t>
    <phoneticPr fontId="1" type="noConversion"/>
  </si>
  <si>
    <t>中磊</t>
    <phoneticPr fontId="1" type="noConversion"/>
  </si>
  <si>
    <t>亞元</t>
    <phoneticPr fontId="1" type="noConversion"/>
  </si>
  <si>
    <t>富爾特</t>
    <phoneticPr fontId="1" type="noConversion"/>
  </si>
  <si>
    <t>訂票服務</t>
    <phoneticPr fontId="1" type="noConversion"/>
  </si>
  <si>
    <t>友勁</t>
    <phoneticPr fontId="1" type="noConversion"/>
  </si>
  <si>
    <t>無線產品友訊轉投資虧損減資</t>
    <phoneticPr fontId="1" type="noConversion"/>
  </si>
  <si>
    <t>振曜</t>
    <phoneticPr fontId="1" type="noConversion"/>
  </si>
  <si>
    <t>電子紙同業元太</t>
    <phoneticPr fontId="1" type="noConversion"/>
  </si>
  <si>
    <t>百一</t>
    <phoneticPr fontId="1" type="noConversion"/>
  </si>
  <si>
    <t>STB,LNB,LTE</t>
    <phoneticPr fontId="1" type="noConversion"/>
  </si>
  <si>
    <t>華電網</t>
    <phoneticPr fontId="1" type="noConversion"/>
  </si>
  <si>
    <t>電信系統</t>
    <phoneticPr fontId="1" type="noConversion"/>
  </si>
  <si>
    <t>統振</t>
    <phoneticPr fontId="1" type="noConversion"/>
  </si>
  <si>
    <t>自行車電池</t>
    <phoneticPr fontId="1" type="noConversion"/>
  </si>
  <si>
    <t>萬泰科</t>
    <phoneticPr fontId="1" type="noConversion"/>
  </si>
  <si>
    <t>居易</t>
    <phoneticPr fontId="1" type="noConversion"/>
  </si>
  <si>
    <t>豪勉</t>
    <phoneticPr fontId="1" type="noConversion"/>
  </si>
  <si>
    <t>半導體封測設備</t>
    <phoneticPr fontId="1" type="noConversion"/>
  </si>
  <si>
    <t>易通展</t>
    <phoneticPr fontId="1" type="noConversion"/>
  </si>
  <si>
    <t>立端</t>
    <phoneticPr fontId="1" type="noConversion"/>
  </si>
  <si>
    <t>資安工業電腦</t>
    <phoneticPr fontId="1" type="noConversion"/>
  </si>
  <si>
    <t>普萊德</t>
    <phoneticPr fontId="1" type="noConversion"/>
  </si>
  <si>
    <t>啟碁</t>
    <phoneticPr fontId="1" type="noConversion"/>
  </si>
  <si>
    <t>衛星緯創旗下</t>
    <phoneticPr fontId="1" type="noConversion"/>
  </si>
  <si>
    <t>瑞祺電通</t>
    <phoneticPr fontId="1" type="noConversion"/>
  </si>
  <si>
    <t>資安鴻海樺漢旗下</t>
    <phoneticPr fontId="1" type="noConversion"/>
  </si>
  <si>
    <t>韋僑</t>
    <phoneticPr fontId="1" type="noConversion"/>
  </si>
  <si>
    <t>統新</t>
    <phoneticPr fontId="1" type="noConversion"/>
  </si>
  <si>
    <t>濾光鏡光通訊南寶樹脂旗下</t>
    <phoneticPr fontId="1" type="noConversion"/>
  </si>
  <si>
    <t>光聖</t>
    <phoneticPr fontId="1" type="noConversion"/>
  </si>
  <si>
    <t>宇智</t>
    <phoneticPr fontId="1" type="noConversion"/>
  </si>
  <si>
    <t>網路設備聯電轉投資</t>
    <phoneticPr fontId="1" type="noConversion"/>
  </si>
  <si>
    <t>互動</t>
    <phoneticPr fontId="1" type="noConversion"/>
  </si>
  <si>
    <t>電信系統仲琦旗下</t>
    <phoneticPr fontId="1" type="noConversion"/>
  </si>
  <si>
    <t>芮特KY</t>
    <phoneticPr fontId="1" type="noConversion"/>
  </si>
  <si>
    <t>天線昇達旗下</t>
    <phoneticPr fontId="1" type="noConversion"/>
  </si>
  <si>
    <t>創威</t>
    <phoneticPr fontId="1" type="noConversion"/>
  </si>
  <si>
    <t>是方</t>
    <phoneticPr fontId="1" type="noConversion"/>
  </si>
  <si>
    <t>電信中華電投資</t>
    <phoneticPr fontId="1" type="noConversion"/>
  </si>
  <si>
    <t>東典光電</t>
    <phoneticPr fontId="1" type="noConversion"/>
  </si>
  <si>
    <t>東典</t>
    <phoneticPr fontId="1" type="noConversion"/>
  </si>
  <si>
    <t>鋐寶科技</t>
    <phoneticPr fontId="1" type="noConversion"/>
  </si>
  <si>
    <t>Cable Modem仁寶轉投資</t>
    <phoneticPr fontId="1" type="noConversion"/>
  </si>
  <si>
    <t>詠業</t>
    <phoneticPr fontId="1" type="noConversion"/>
  </si>
  <si>
    <t>台通</t>
    <phoneticPr fontId="1" type="noConversion"/>
  </si>
  <si>
    <t>光纜鴻海轉投資</t>
    <phoneticPr fontId="1" type="noConversion"/>
  </si>
  <si>
    <t>榮群</t>
    <phoneticPr fontId="1" type="noConversion"/>
  </si>
  <si>
    <t>網路設備</t>
    <phoneticPr fontId="1" type="noConversion"/>
  </si>
  <si>
    <t>德勝</t>
    <phoneticPr fontId="1" type="noConversion"/>
  </si>
  <si>
    <t>光纖設備</t>
    <phoneticPr fontId="1" type="noConversion"/>
  </si>
  <si>
    <t>凱碩</t>
    <phoneticPr fontId="1" type="noConversion"/>
  </si>
  <si>
    <t>Cable Modem新金寶轉投資</t>
    <phoneticPr fontId="1" type="noConversion"/>
  </si>
  <si>
    <t>康全電訊</t>
    <phoneticPr fontId="1" type="noConversion"/>
  </si>
  <si>
    <t>常珵</t>
    <phoneticPr fontId="1" type="noConversion"/>
  </si>
  <si>
    <t>華冠</t>
    <phoneticPr fontId="1" type="noConversion"/>
  </si>
  <si>
    <t>手機代工華宇旗下</t>
    <phoneticPr fontId="1" type="noConversion"/>
  </si>
  <si>
    <t>天宇</t>
    <phoneticPr fontId="1" type="noConversion"/>
  </si>
  <si>
    <t>智捷</t>
    <phoneticPr fontId="1" type="noConversion"/>
  </si>
  <si>
    <t>組件</t>
    <phoneticPr fontId="1" type="noConversion"/>
  </si>
  <si>
    <t>台瀚</t>
    <phoneticPr fontId="1" type="noConversion"/>
  </si>
  <si>
    <t>模具宣德大股東</t>
    <phoneticPr fontId="1" type="noConversion"/>
  </si>
  <si>
    <t>首利</t>
    <phoneticPr fontId="1" type="noConversion"/>
  </si>
  <si>
    <t>信錦</t>
    <phoneticPr fontId="1" type="noConversion"/>
  </si>
  <si>
    <t>LCD樞軸</t>
    <phoneticPr fontId="1" type="noConversion"/>
  </si>
  <si>
    <t>川寶</t>
    <phoneticPr fontId="1" type="noConversion"/>
  </si>
  <si>
    <t>PCB曝光機</t>
    <phoneticPr fontId="1" type="noConversion"/>
  </si>
  <si>
    <t>富喬</t>
    <phoneticPr fontId="1" type="noConversion"/>
  </si>
  <si>
    <t>川湖</t>
    <phoneticPr fontId="1" type="noConversion"/>
  </si>
  <si>
    <t>伺服器導軌</t>
    <phoneticPr fontId="1" type="noConversion"/>
  </si>
  <si>
    <t>台達電</t>
    <phoneticPr fontId="1" type="noConversion"/>
  </si>
  <si>
    <t>電源供應器台達電集團電動車3雄</t>
    <phoneticPr fontId="1" type="noConversion"/>
  </si>
  <si>
    <t>華通</t>
    <phoneticPr fontId="1" type="noConversion"/>
  </si>
  <si>
    <t>PCB硬板</t>
    <phoneticPr fontId="1" type="noConversion"/>
  </si>
  <si>
    <t>楠梓電</t>
    <phoneticPr fontId="1" type="noConversion"/>
  </si>
  <si>
    <t>PCB轉投資滬電股份深交所掛牌</t>
    <phoneticPr fontId="1" type="noConversion"/>
  </si>
  <si>
    <t>國巨</t>
    <phoneticPr fontId="1" type="noConversion"/>
  </si>
  <si>
    <t>電容電阻國巨集團</t>
    <phoneticPr fontId="1" type="noConversion"/>
  </si>
  <si>
    <t>廣宇</t>
    <phoneticPr fontId="1" type="noConversion"/>
  </si>
  <si>
    <t>連接器鴻海旗下</t>
    <phoneticPr fontId="1" type="noConversion"/>
  </si>
  <si>
    <t>敬鵬</t>
    <phoneticPr fontId="1" type="noConversion"/>
  </si>
  <si>
    <t>車用PCB</t>
    <phoneticPr fontId="1" type="noConversion"/>
  </si>
  <si>
    <t>燿華</t>
    <phoneticPr fontId="1" type="noConversion"/>
  </si>
  <si>
    <t>金像電</t>
    <phoneticPr fontId="1" type="noConversion"/>
  </si>
  <si>
    <t>凱美</t>
    <phoneticPr fontId="1" type="noConversion"/>
  </si>
  <si>
    <t>電容國巨旗下</t>
    <phoneticPr fontId="1" type="noConversion"/>
  </si>
  <si>
    <t>台光電</t>
    <phoneticPr fontId="1" type="noConversion"/>
  </si>
  <si>
    <t>群光</t>
    <phoneticPr fontId="1" type="noConversion"/>
  </si>
  <si>
    <t>鍵盤群光藍天集團</t>
    <phoneticPr fontId="1" type="noConversion"/>
  </si>
  <si>
    <t>正崴</t>
    <phoneticPr fontId="1" type="noConversion"/>
  </si>
  <si>
    <t>連接器正崴集團</t>
    <phoneticPr fontId="1" type="noConversion"/>
  </si>
  <si>
    <t>毅嘉</t>
    <phoneticPr fontId="1" type="noConversion"/>
  </si>
  <si>
    <t>軟板FPC</t>
    <phoneticPr fontId="1" type="noConversion"/>
  </si>
  <si>
    <t>環科</t>
    <phoneticPr fontId="1" type="noConversion"/>
  </si>
  <si>
    <t>錩新</t>
    <phoneticPr fontId="1" type="noConversion"/>
  </si>
  <si>
    <t>揚聲器鍛造</t>
    <phoneticPr fontId="1" type="noConversion"/>
  </si>
  <si>
    <t>新巨</t>
    <phoneticPr fontId="1" type="noConversion"/>
  </si>
  <si>
    <t>建準</t>
    <phoneticPr fontId="1" type="noConversion"/>
  </si>
  <si>
    <t>興勤</t>
    <phoneticPr fontId="1" type="noConversion"/>
  </si>
  <si>
    <t>保護元件3大廠熱敏電阻</t>
    <phoneticPr fontId="1" type="noConversion"/>
  </si>
  <si>
    <t>銘旺科</t>
    <phoneticPr fontId="1" type="noConversion"/>
  </si>
  <si>
    <t>聯昌</t>
    <phoneticPr fontId="1" type="noConversion"/>
  </si>
  <si>
    <t>電源供應器東元轉投資</t>
    <phoneticPr fontId="1" type="noConversion"/>
  </si>
  <si>
    <t>太空梭</t>
    <phoneticPr fontId="1" type="noConversion"/>
  </si>
  <si>
    <t>絞銅線</t>
    <phoneticPr fontId="1" type="noConversion"/>
  </si>
  <si>
    <t>飛宏</t>
    <phoneticPr fontId="1" type="noConversion"/>
  </si>
  <si>
    <t>建通</t>
    <phoneticPr fontId="1" type="noConversion"/>
  </si>
  <si>
    <t>良得電</t>
    <phoneticPr fontId="1" type="noConversion"/>
  </si>
  <si>
    <t>電源線</t>
    <phoneticPr fontId="1" type="noConversion"/>
  </si>
  <si>
    <t>志聖</t>
    <phoneticPr fontId="1" type="noConversion"/>
  </si>
  <si>
    <t>光熱設備</t>
    <phoneticPr fontId="1" type="noConversion"/>
  </si>
  <si>
    <t>立隆電</t>
    <phoneticPr fontId="1" type="noConversion"/>
  </si>
  <si>
    <t>鉅祥</t>
    <phoneticPr fontId="1" type="noConversion"/>
  </si>
  <si>
    <t>大毅</t>
    <phoneticPr fontId="1" type="noConversion"/>
  </si>
  <si>
    <t>晶片電阻</t>
    <phoneticPr fontId="1" type="noConversion"/>
  </si>
  <si>
    <t>百容</t>
    <phoneticPr fontId="1" type="noConversion"/>
  </si>
  <si>
    <t>程式開關</t>
    <phoneticPr fontId="1" type="noConversion"/>
  </si>
  <si>
    <t>希華</t>
    <phoneticPr fontId="1" type="noConversion"/>
  </si>
  <si>
    <t>華新科</t>
    <phoneticPr fontId="1" type="noConversion"/>
  </si>
  <si>
    <t>MLCC華新旗下</t>
    <phoneticPr fontId="1" type="noConversion"/>
  </si>
  <si>
    <t>揚博</t>
    <phoneticPr fontId="1" type="noConversion"/>
  </si>
  <si>
    <t>PCB濕製程</t>
    <phoneticPr fontId="1" type="noConversion"/>
  </si>
  <si>
    <t>健和興</t>
    <phoneticPr fontId="1" type="noConversion"/>
  </si>
  <si>
    <t>端子Tesla</t>
    <phoneticPr fontId="1" type="noConversion"/>
  </si>
  <si>
    <t>今皓</t>
    <phoneticPr fontId="1" type="noConversion"/>
  </si>
  <si>
    <t>鴻名</t>
    <phoneticPr fontId="1" type="noConversion"/>
  </si>
  <si>
    <t>信邦</t>
    <phoneticPr fontId="1" type="noConversion"/>
  </si>
  <si>
    <t>線材連接元件</t>
    <phoneticPr fontId="1" type="noConversion"/>
  </si>
  <si>
    <t>禾伸堂</t>
    <phoneticPr fontId="1" type="noConversion"/>
  </si>
  <si>
    <t>MLCC</t>
    <phoneticPr fontId="1" type="noConversion"/>
  </si>
  <si>
    <t>偉訓</t>
    <phoneticPr fontId="1" type="noConversion"/>
  </si>
  <si>
    <t>PCB4雄聯電旗下</t>
    <phoneticPr fontId="1" type="noConversion"/>
  </si>
  <si>
    <t>晶技</t>
    <phoneticPr fontId="1" type="noConversion"/>
  </si>
  <si>
    <t>健鼎</t>
    <phoneticPr fontId="1" type="noConversion"/>
  </si>
  <si>
    <t>立德</t>
    <phoneticPr fontId="1" type="noConversion"/>
  </si>
  <si>
    <t>充電樁</t>
    <phoneticPr fontId="1" type="noConversion"/>
  </si>
  <si>
    <t>僑威</t>
    <phoneticPr fontId="1" type="noConversion"/>
  </si>
  <si>
    <t>日電貿</t>
    <phoneticPr fontId="1" type="noConversion"/>
  </si>
  <si>
    <t>被動元件代理商</t>
    <phoneticPr fontId="1" type="noConversion"/>
  </si>
  <si>
    <t>鴻碩</t>
    <phoneticPr fontId="1" type="noConversion"/>
  </si>
  <si>
    <t>好得</t>
    <phoneticPr fontId="1" type="noConversion"/>
  </si>
  <si>
    <t>電子零件商</t>
    <phoneticPr fontId="1" type="noConversion"/>
  </si>
  <si>
    <t>寶島極</t>
    <phoneticPr fontId="1" type="noConversion"/>
  </si>
  <si>
    <t>PCB檢測</t>
    <phoneticPr fontId="1" type="noConversion"/>
  </si>
  <si>
    <t>和進</t>
    <phoneticPr fontId="1" type="noConversion"/>
  </si>
  <si>
    <t>變壓器線架</t>
    <phoneticPr fontId="1" type="noConversion"/>
  </si>
  <si>
    <t>樺晟</t>
    <phoneticPr fontId="1" type="noConversion"/>
  </si>
  <si>
    <t>線材離岸風電世紀鋼</t>
    <phoneticPr fontId="1" type="noConversion"/>
  </si>
  <si>
    <t>志豐</t>
    <phoneticPr fontId="1" type="noConversion"/>
  </si>
  <si>
    <t>耀勝</t>
    <phoneticPr fontId="1" type="noConversion"/>
  </si>
  <si>
    <t>電感線圈</t>
    <phoneticPr fontId="1" type="noConversion"/>
  </si>
  <si>
    <t>優群</t>
    <phoneticPr fontId="1" type="noConversion"/>
  </si>
  <si>
    <t>連接器對手嘉澤</t>
    <phoneticPr fontId="1" type="noConversion"/>
  </si>
  <si>
    <t>晟鈦</t>
    <phoneticPr fontId="1" type="noConversion"/>
  </si>
  <si>
    <t>千如</t>
    <phoneticPr fontId="1" type="noConversion"/>
  </si>
  <si>
    <t>宇環</t>
    <phoneticPr fontId="1" type="noConversion"/>
  </si>
  <si>
    <t>軟板志超轉投資</t>
    <phoneticPr fontId="1" type="noConversion"/>
  </si>
  <si>
    <t>點晶</t>
    <phoneticPr fontId="1" type="noConversion"/>
  </si>
  <si>
    <t>馬達驅動IC</t>
    <phoneticPr fontId="1" type="noConversion"/>
  </si>
  <si>
    <t>東浦</t>
    <phoneticPr fontId="1" type="noConversion"/>
  </si>
  <si>
    <t>英濟</t>
    <phoneticPr fontId="1" type="noConversion"/>
  </si>
  <si>
    <t>塑膠零組件</t>
    <phoneticPr fontId="1" type="noConversion"/>
  </si>
  <si>
    <t>勝德</t>
    <phoneticPr fontId="1" type="noConversion"/>
  </si>
  <si>
    <t>電源保護器</t>
    <phoneticPr fontId="1" type="noConversion"/>
  </si>
  <si>
    <t>聯德</t>
    <phoneticPr fontId="1" type="noConversion"/>
  </si>
  <si>
    <t>聯德</t>
    <phoneticPr fontId="1" type="noConversion"/>
  </si>
  <si>
    <t>幸康</t>
    <phoneticPr fontId="1" type="noConversion"/>
  </si>
  <si>
    <t>律勝</t>
    <phoneticPr fontId="1" type="noConversion"/>
  </si>
  <si>
    <t>崇越電</t>
    <phoneticPr fontId="1" type="noConversion"/>
  </si>
  <si>
    <t>旭軟</t>
    <phoneticPr fontId="1" type="noConversion"/>
  </si>
  <si>
    <t>維熹</t>
    <phoneticPr fontId="1" type="noConversion"/>
  </si>
  <si>
    <t>矽瑪</t>
    <phoneticPr fontId="1" type="noConversion"/>
  </si>
  <si>
    <t>嘉澤</t>
    <phoneticPr fontId="1" type="noConversion"/>
  </si>
  <si>
    <t>堡達</t>
    <phoneticPr fontId="1" type="noConversion"/>
  </si>
  <si>
    <t>聯穎</t>
    <phoneticPr fontId="1" type="noConversion"/>
  </si>
  <si>
    <t>力銘</t>
    <phoneticPr fontId="1" type="noConversion"/>
  </si>
  <si>
    <t>東林</t>
    <phoneticPr fontId="1" type="noConversion"/>
  </si>
  <si>
    <t>光頡</t>
    <phoneticPr fontId="1" type="noConversion"/>
  </si>
  <si>
    <t>艾恩特</t>
    <phoneticPr fontId="1" type="noConversion"/>
  </si>
  <si>
    <t>湧德</t>
    <phoneticPr fontId="1" type="noConversion"/>
  </si>
  <si>
    <t>科嶠</t>
    <phoneticPr fontId="1" type="noConversion"/>
  </si>
  <si>
    <t>亞泰</t>
    <phoneticPr fontId="1" type="noConversion"/>
  </si>
  <si>
    <t>鑫禾</t>
    <phoneticPr fontId="1" type="noConversion"/>
  </si>
  <si>
    <t>友銓</t>
    <phoneticPr fontId="1" type="noConversion"/>
  </si>
  <si>
    <t>佳總</t>
    <phoneticPr fontId="1" type="noConversion"/>
  </si>
  <si>
    <t>合正</t>
    <phoneticPr fontId="1" type="noConversion"/>
  </si>
  <si>
    <t>同協</t>
    <phoneticPr fontId="1" type="noConversion"/>
  </si>
  <si>
    <t>競國</t>
    <phoneticPr fontId="1" type="noConversion"/>
  </si>
  <si>
    <t>久威</t>
    <phoneticPr fontId="1" type="noConversion"/>
  </si>
  <si>
    <t>金橋</t>
    <phoneticPr fontId="1" type="noConversion"/>
  </si>
  <si>
    <t>萬旭</t>
    <phoneticPr fontId="1" type="noConversion"/>
  </si>
  <si>
    <t>嘉聯益</t>
    <phoneticPr fontId="1" type="noConversion"/>
  </si>
  <si>
    <t>禾昌</t>
    <phoneticPr fontId="1" type="noConversion"/>
  </si>
  <si>
    <t>立敦</t>
    <phoneticPr fontId="1" type="noConversion"/>
  </si>
  <si>
    <t>艾華</t>
    <phoneticPr fontId="1" type="noConversion"/>
  </si>
  <si>
    <t>日揚</t>
    <phoneticPr fontId="1" type="noConversion"/>
  </si>
  <si>
    <t>岳豐</t>
    <phoneticPr fontId="1" type="noConversion"/>
  </si>
  <si>
    <t>百徽</t>
    <phoneticPr fontId="1" type="noConversion"/>
  </si>
  <si>
    <t>胡連</t>
    <phoneticPr fontId="1" type="noConversion"/>
  </si>
  <si>
    <t>鈺邦</t>
    <phoneticPr fontId="1" type="noConversion"/>
  </si>
  <si>
    <t>台虹</t>
    <phoneticPr fontId="1" type="noConversion"/>
  </si>
  <si>
    <t>金山電</t>
    <phoneticPr fontId="1" type="noConversion"/>
  </si>
  <si>
    <t>蜜望實</t>
    <phoneticPr fontId="1" type="noConversion"/>
  </si>
  <si>
    <t>保銳</t>
    <phoneticPr fontId="1" type="noConversion"/>
  </si>
  <si>
    <t>正凌</t>
    <phoneticPr fontId="1" type="noConversion"/>
  </si>
  <si>
    <t>泰藝</t>
    <phoneticPr fontId="1" type="noConversion"/>
  </si>
  <si>
    <t>大聯大</t>
    <phoneticPr fontId="1" type="noConversion"/>
  </si>
  <si>
    <t>崇越</t>
    <phoneticPr fontId="1" type="noConversion"/>
  </si>
  <si>
    <t>大車隊</t>
    <phoneticPr fontId="1" type="noConversion"/>
  </si>
  <si>
    <t>明揚</t>
    <phoneticPr fontId="1" type="noConversion"/>
  </si>
  <si>
    <t>綠河KY</t>
    <phoneticPr fontId="1" type="noConversion"/>
  </si>
  <si>
    <t>鼎炫KY</t>
    <phoneticPr fontId="1" type="noConversion"/>
  </si>
  <si>
    <t>森钜</t>
    <phoneticPr fontId="1" type="noConversion"/>
  </si>
  <si>
    <t>豐泰</t>
    <phoneticPr fontId="1" type="noConversion"/>
  </si>
  <si>
    <t>巨大</t>
    <phoneticPr fontId="1" type="noConversion"/>
  </si>
  <si>
    <t>新保</t>
    <phoneticPr fontId="1" type="noConversion"/>
  </si>
  <si>
    <t>欣陸</t>
    <phoneticPr fontId="1" type="noConversion"/>
  </si>
  <si>
    <t>力麒</t>
    <phoneticPr fontId="1" type="noConversion"/>
  </si>
  <si>
    <t>裕民</t>
    <phoneticPr fontId="1" type="noConversion"/>
  </si>
  <si>
    <t>長榮航</t>
    <phoneticPr fontId="1" type="noConversion"/>
  </si>
  <si>
    <t>瓦城</t>
    <phoneticPr fontId="1" type="noConversion"/>
  </si>
  <si>
    <t>海灣</t>
    <phoneticPr fontId="1" type="noConversion"/>
  </si>
  <si>
    <t>觀光開發</t>
    <phoneticPr fontId="1" type="noConversion"/>
  </si>
  <si>
    <t>御頂</t>
    <phoneticPr fontId="1" type="noConversion"/>
  </si>
  <si>
    <t>大略KY</t>
    <phoneticPr fontId="1" type="noConversion"/>
  </si>
  <si>
    <t>婚禮服務</t>
    <phoneticPr fontId="1" type="noConversion"/>
  </si>
  <si>
    <t>寶得利</t>
    <phoneticPr fontId="1" type="noConversion"/>
  </si>
  <si>
    <t>力麗店</t>
    <phoneticPr fontId="1" type="noConversion"/>
  </si>
  <si>
    <t>劍湖山</t>
    <phoneticPr fontId="1" type="noConversion"/>
  </si>
  <si>
    <t>遊樂園百貨飯店</t>
    <phoneticPr fontId="1" type="noConversion"/>
  </si>
  <si>
    <t>亞都</t>
    <phoneticPr fontId="1" type="noConversion"/>
  </si>
  <si>
    <t>老爺知</t>
    <phoneticPr fontId="1" type="noConversion"/>
  </si>
  <si>
    <t>鳳凰</t>
    <phoneticPr fontId="1" type="noConversion"/>
  </si>
  <si>
    <t>洛碁</t>
    <phoneticPr fontId="1" type="noConversion"/>
  </si>
  <si>
    <t>柏文</t>
    <phoneticPr fontId="1" type="noConversion"/>
  </si>
  <si>
    <t>健身</t>
    <phoneticPr fontId="1" type="noConversion"/>
  </si>
  <si>
    <t>新天地</t>
    <phoneticPr fontId="1" type="noConversion"/>
  </si>
  <si>
    <t>婚宴</t>
    <phoneticPr fontId="1" type="noConversion"/>
  </si>
  <si>
    <t>好樂迪</t>
    <phoneticPr fontId="1" type="noConversion"/>
  </si>
  <si>
    <t>KTV業</t>
    <phoneticPr fontId="1" type="noConversion"/>
  </si>
  <si>
    <t>金融</t>
    <phoneticPr fontId="1" type="noConversion"/>
  </si>
  <si>
    <t>彰銀</t>
    <phoneticPr fontId="1" type="noConversion"/>
  </si>
  <si>
    <t>京城銀</t>
    <phoneticPr fontId="1" type="noConversion"/>
  </si>
  <si>
    <t>京城建設入主台南</t>
    <phoneticPr fontId="1" type="noConversion"/>
  </si>
  <si>
    <t>台中銀</t>
    <phoneticPr fontId="1" type="noConversion"/>
  </si>
  <si>
    <t>旺旺保</t>
    <phoneticPr fontId="1" type="noConversion"/>
  </si>
  <si>
    <t>產險業第一家上市公司</t>
    <phoneticPr fontId="1" type="noConversion"/>
  </si>
  <si>
    <t>華票</t>
    <phoneticPr fontId="1" type="noConversion"/>
  </si>
  <si>
    <t>前3大票劵商</t>
    <phoneticPr fontId="1" type="noConversion"/>
  </si>
  <si>
    <t>台產</t>
    <phoneticPr fontId="1" type="noConversion"/>
  </si>
  <si>
    <t>高雄銀</t>
    <phoneticPr fontId="1" type="noConversion"/>
  </si>
  <si>
    <t>聯邦銀</t>
    <phoneticPr fontId="1" type="noConversion"/>
  </si>
  <si>
    <t>安泰銀</t>
    <phoneticPr fontId="1" type="noConversion"/>
  </si>
  <si>
    <t>第一保</t>
    <phoneticPr fontId="1" type="noConversion"/>
  </si>
  <si>
    <t>華南金</t>
    <phoneticPr fontId="1" type="noConversion"/>
  </si>
  <si>
    <t>開發金</t>
    <phoneticPr fontId="1" type="noConversion"/>
  </si>
  <si>
    <t>元大金</t>
    <phoneticPr fontId="1" type="noConversion"/>
  </si>
  <si>
    <t>新光金</t>
    <phoneticPr fontId="1" type="noConversion"/>
  </si>
  <si>
    <t>永豐金</t>
    <phoneticPr fontId="1" type="noConversion"/>
  </si>
  <si>
    <t>中信金</t>
    <phoneticPr fontId="1" type="noConversion"/>
  </si>
  <si>
    <t>日盛金</t>
    <phoneticPr fontId="1" type="noConversion"/>
  </si>
  <si>
    <t>致和證</t>
    <phoneticPr fontId="1" type="noConversion"/>
  </si>
  <si>
    <t>合庫金</t>
    <phoneticPr fontId="1" type="noConversion"/>
  </si>
  <si>
    <t>群益證</t>
    <phoneticPr fontId="1" type="noConversion"/>
  </si>
  <si>
    <t>大展證</t>
    <phoneticPr fontId="1" type="noConversion"/>
  </si>
  <si>
    <t>益航</t>
    <phoneticPr fontId="1" type="noConversion"/>
  </si>
  <si>
    <t>統一超</t>
    <phoneticPr fontId="1" type="noConversion"/>
  </si>
  <si>
    <t>潤泰全</t>
    <phoneticPr fontId="1" type="noConversion"/>
  </si>
  <si>
    <t>全家</t>
    <phoneticPr fontId="1" type="noConversion"/>
  </si>
  <si>
    <t>弘帆</t>
    <phoneticPr fontId="1" type="noConversion"/>
  </si>
  <si>
    <t>台塑化</t>
    <phoneticPr fontId="1" type="noConversion"/>
  </si>
  <si>
    <t>05</t>
    <phoneticPr fontId="1" type="noConversion"/>
  </si>
  <si>
    <t>鴻準</t>
    <phoneticPr fontId="1" type="noConversion"/>
  </si>
  <si>
    <t>港建</t>
    <phoneticPr fontId="1" type="noConversion"/>
  </si>
  <si>
    <t>弘塑</t>
    <phoneticPr fontId="1" type="noConversion"/>
  </si>
  <si>
    <t>微端</t>
    <phoneticPr fontId="1" type="noConversion"/>
  </si>
  <si>
    <t>聯鈞</t>
    <phoneticPr fontId="1" type="noConversion"/>
  </si>
  <si>
    <t>位速</t>
    <phoneticPr fontId="1" type="noConversion"/>
  </si>
  <si>
    <t>同致</t>
    <phoneticPr fontId="1" type="noConversion"/>
  </si>
  <si>
    <t>友威科</t>
    <phoneticPr fontId="1" type="noConversion"/>
  </si>
  <si>
    <t>盈正</t>
    <phoneticPr fontId="1" type="noConversion"/>
  </si>
  <si>
    <t>鑫科</t>
    <phoneticPr fontId="1" type="noConversion"/>
  </si>
  <si>
    <t>彩富</t>
    <phoneticPr fontId="1" type="noConversion"/>
  </si>
  <si>
    <t>三聯</t>
    <phoneticPr fontId="1" type="noConversion"/>
  </si>
  <si>
    <t>耕興</t>
    <phoneticPr fontId="1" type="noConversion"/>
  </si>
  <si>
    <t>晉倫</t>
    <phoneticPr fontId="1" type="noConversion"/>
  </si>
  <si>
    <t>萬潤</t>
    <phoneticPr fontId="1" type="noConversion"/>
  </si>
  <si>
    <t>迅得</t>
    <phoneticPr fontId="1" type="noConversion"/>
  </si>
  <si>
    <t>匯鑽科</t>
    <phoneticPr fontId="1" type="noConversion"/>
  </si>
  <si>
    <t>28</t>
    <phoneticPr fontId="1" type="noConversion"/>
  </si>
  <si>
    <t>誠品生活</t>
    <phoneticPr fontId="1" type="noConversion"/>
  </si>
  <si>
    <t>網龍</t>
    <phoneticPr fontId="1" type="noConversion"/>
  </si>
  <si>
    <t>華義</t>
    <phoneticPr fontId="1" type="noConversion"/>
  </si>
  <si>
    <t>隆中</t>
    <phoneticPr fontId="1" type="noConversion"/>
  </si>
  <si>
    <t>網家</t>
    <phoneticPr fontId="1" type="noConversion"/>
  </si>
  <si>
    <t>31.11</t>
    <phoneticPr fontId="1" type="noConversion"/>
  </si>
  <si>
    <t>聯發國際</t>
    <phoneticPr fontId="1" type="noConversion"/>
  </si>
  <si>
    <t>力智</t>
    <phoneticPr fontId="1" type="noConversion"/>
  </si>
  <si>
    <t>茶飲連鎖</t>
    <phoneticPr fontId="1" type="noConversion"/>
  </si>
  <si>
    <t>電源IC華碩轉投資</t>
    <phoneticPr fontId="1" type="noConversion"/>
  </si>
  <si>
    <t>7.78</t>
    <phoneticPr fontId="1" type="noConversion"/>
  </si>
  <si>
    <t>1月22年</t>
    <phoneticPr fontId="1" type="noConversion"/>
  </si>
  <si>
    <t>30.51</t>
    <phoneticPr fontId="1" type="noConversion"/>
  </si>
  <si>
    <t>12.11</t>
    <phoneticPr fontId="1" type="noConversion"/>
  </si>
  <si>
    <t>23.25</t>
    <phoneticPr fontId="1" type="noConversion"/>
  </si>
  <si>
    <t>41.54</t>
    <phoneticPr fontId="1" type="noConversion"/>
  </si>
  <si>
    <t>33.23</t>
    <phoneticPr fontId="1" type="noConversion"/>
  </si>
  <si>
    <t>當沖藍色</t>
    <phoneticPr fontId="1" type="noConversion"/>
  </si>
  <si>
    <t>弘凱</t>
    <phoneticPr fontId="1" type="noConversion"/>
  </si>
  <si>
    <t>70.78</t>
    <phoneticPr fontId="1" type="noConversion"/>
  </si>
  <si>
    <t>15</t>
    <phoneticPr fontId="1" type="noConversion"/>
  </si>
  <si>
    <t>10</t>
    <phoneticPr fontId="1" type="noConversion"/>
  </si>
  <si>
    <t>航運</t>
    <phoneticPr fontId="1" type="noConversion"/>
  </si>
  <si>
    <t>電商</t>
    <phoneticPr fontId="1" type="noConversion"/>
  </si>
  <si>
    <t>營造</t>
    <phoneticPr fontId="1" type="noConversion"/>
  </si>
  <si>
    <t>排行</t>
    <phoneticPr fontId="1" type="noConversion"/>
  </si>
  <si>
    <t>LED雙雄</t>
    <phoneticPr fontId="1" type="noConversion"/>
  </si>
  <si>
    <t>ju54193806</t>
    <phoneticPr fontId="1" type="noConversion"/>
  </si>
  <si>
    <t>融</t>
    <phoneticPr fontId="1" type="noConversion"/>
  </si>
  <si>
    <t>35.82</t>
    <phoneticPr fontId="1" type="noConversion"/>
  </si>
  <si>
    <t>-17.48</t>
    <phoneticPr fontId="1" type="noConversion"/>
  </si>
  <si>
    <t>-22.53</t>
    <phoneticPr fontId="1" type="noConversion"/>
  </si>
  <si>
    <t>54.19</t>
    <phoneticPr fontId="1" type="noConversion"/>
  </si>
  <si>
    <t>生醫</t>
    <phoneticPr fontId="1" type="noConversion"/>
  </si>
  <si>
    <t>方向正確：路再長，不覺其遠</t>
    <phoneticPr fontId="1" type="noConversion"/>
  </si>
  <si>
    <t>策略正確：指數跌，不見恐慌</t>
    <phoneticPr fontId="1" type="noConversion"/>
  </si>
  <si>
    <t>市場氣氛，對利多反應只有60%</t>
    <phoneticPr fontId="1" type="noConversion"/>
  </si>
  <si>
    <t>對利空反應卻是120%，這就是“情緒”</t>
    <phoneticPr fontId="1" type="noConversion"/>
  </si>
  <si>
    <t>殖利</t>
    <phoneticPr fontId="1" type="noConversion"/>
  </si>
  <si>
    <t>新</t>
    <phoneticPr fontId="1" type="noConversion"/>
  </si>
  <si>
    <t>29.27</t>
    <phoneticPr fontId="1" type="noConversion"/>
  </si>
  <si>
    <t>ju54186</t>
    <phoneticPr fontId="1" type="noConversion"/>
  </si>
  <si>
    <t>ju54193</t>
    <phoneticPr fontId="1" type="noConversion"/>
  </si>
  <si>
    <t>0916009079</t>
    <phoneticPr fontId="1" type="noConversion"/>
  </si>
  <si>
    <t>散熱片設計製造商</t>
    <phoneticPr fontId="1" type="noConversion"/>
  </si>
  <si>
    <t>股利2元15%</t>
    <phoneticPr fontId="1" type="noConversion"/>
  </si>
  <si>
    <t>雙</t>
    <phoneticPr fontId="1" type="noConversion"/>
  </si>
  <si>
    <t>加工絲新光旗下</t>
    <phoneticPr fontId="1" type="noConversion"/>
  </si>
  <si>
    <t>加工絲力麗旗下</t>
    <phoneticPr fontId="1" type="noConversion"/>
  </si>
  <si>
    <t>2/7雙比股利1元</t>
    <phoneticPr fontId="1" type="noConversion"/>
  </si>
  <si>
    <t>2022年1月</t>
    <phoneticPr fontId="1" type="noConversion"/>
  </si>
  <si>
    <t>2022年2月</t>
    <phoneticPr fontId="1" type="noConversion"/>
  </si>
  <si>
    <t>三</t>
    <phoneticPr fontId="1" type="noConversion"/>
  </si>
  <si>
    <t>重</t>
    <phoneticPr fontId="1" type="noConversion"/>
  </si>
  <si>
    <t>廣閎科</t>
    <phoneticPr fontId="1" type="noConversion"/>
  </si>
  <si>
    <t>半導體設計茂迪轉投資</t>
    <phoneticPr fontId="1" type="noConversion"/>
  </si>
  <si>
    <t>2月22年</t>
    <phoneticPr fontId="1" type="noConversion"/>
  </si>
  <si>
    <t>11.79</t>
    <phoneticPr fontId="1" type="noConversion"/>
  </si>
  <si>
    <t>四</t>
    <phoneticPr fontId="1" type="noConversion"/>
  </si>
  <si>
    <t>8.7</t>
    <phoneticPr fontId="1" type="noConversion"/>
  </si>
  <si>
    <t>3月22年</t>
    <phoneticPr fontId="1" type="noConversion"/>
  </si>
  <si>
    <t>2022年3月</t>
    <phoneticPr fontId="1" type="noConversion"/>
  </si>
  <si>
    <t>3月22年</t>
    <phoneticPr fontId="1" type="noConversion"/>
  </si>
  <si>
    <t>17.37</t>
    <phoneticPr fontId="1" type="noConversion"/>
  </si>
  <si>
    <t>25.65</t>
    <phoneticPr fontId="1" type="noConversion"/>
  </si>
  <si>
    <t>-1.2</t>
    <phoneticPr fontId="1" type="noConversion"/>
  </si>
  <si>
    <t>千附精密</t>
    <phoneticPr fontId="1" type="noConversion"/>
  </si>
  <si>
    <t>昶昕</t>
    <phoneticPr fontId="1" type="noConversion"/>
  </si>
  <si>
    <t>力士</t>
    <phoneticPr fontId="1" type="noConversion"/>
  </si>
  <si>
    <t>綠界科技</t>
    <phoneticPr fontId="1" type="noConversion"/>
  </si>
  <si>
    <t>第3方支付歐買尬旗下</t>
    <phoneticPr fontId="1" type="noConversion"/>
  </si>
  <si>
    <t>MOSFET斐成轉投資</t>
    <phoneticPr fontId="1" type="noConversion"/>
  </si>
  <si>
    <t>PCB廢液處理</t>
    <phoneticPr fontId="1" type="noConversion"/>
  </si>
  <si>
    <t>機密科技千附旗下</t>
    <phoneticPr fontId="1" type="noConversion"/>
  </si>
  <si>
    <t>寶緯</t>
    <phoneticPr fontId="1" type="noConversion"/>
  </si>
  <si>
    <t>鋁窗</t>
    <phoneticPr fontId="1" type="noConversion"/>
  </si>
  <si>
    <t>寶德</t>
    <phoneticPr fontId="1" type="noConversion"/>
  </si>
  <si>
    <t>滑鼠</t>
    <phoneticPr fontId="1" type="noConversion"/>
  </si>
  <si>
    <t>1.25</t>
    <phoneticPr fontId="1" type="noConversion"/>
  </si>
  <si>
    <t>11.36</t>
    <phoneticPr fontId="1" type="noConversion"/>
  </si>
  <si>
    <t>0.56</t>
    <phoneticPr fontId="1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</si>
  <si>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</si>
  <si>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</si>
  <si>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</si>
  <si>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</si>
  <si>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</si>
  <si>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</si>
  <si>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</si>
  <si>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</si>
  <si>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</si>
  <si>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</si>
  <si>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</si>
  <si>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</si>
  <si>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</si>
  <si>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</si>
  <si>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</si>
  <si>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</si>
  <si>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</si>
  <si>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</si>
  <si>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</si>
  <si>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</si>
  <si>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</si>
  <si>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</si>
  <si>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</si>
  <si>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</si>
  <si>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</si>
  <si>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</si>
  <si>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</si>
  <si>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</si>
  <si>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德麥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</si>
  <si>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</si>
  <si>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</si>
  <si>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</si>
  <si>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</si>
  <si>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</si>
  <si>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</si>
  <si>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</si>
  <si>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</si>
  <si>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</si>
  <si>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</si>
  <si>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</si>
  <si>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</si>
  <si>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</si>
  <si>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</si>
  <si>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</si>
  <si>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</si>
  <si>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</si>
  <si>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</si>
  <si>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</si>
  <si>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</si>
  <si>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</si>
  <si>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</si>
  <si>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</si>
  <si>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</si>
  <si>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八貫</t>
  </si>
  <si>
    <t>遠東新</t>
  </si>
  <si>
    <t>新纖</t>
  </si>
  <si>
    <t>南染</t>
  </si>
  <si>
    <t>東和</t>
  </si>
  <si>
    <t>廣豐</t>
  </si>
  <si>
    <t>嘉裕</t>
  </si>
  <si>
    <t>新紡</t>
  </si>
  <si>
    <t>利華</t>
  </si>
  <si>
    <t>福懋</t>
  </si>
  <si>
    <t>華友聯</t>
  </si>
  <si>
    <t>勤益控</t>
  </si>
  <si>
    <t>三地開發</t>
  </si>
  <si>
    <t>中和</t>
  </si>
  <si>
    <t>南紡</t>
  </si>
  <si>
    <t>名軒</t>
  </si>
  <si>
    <t>力麗</t>
  </si>
  <si>
    <t>大宇</t>
  </si>
  <si>
    <t>宏和</t>
  </si>
  <si>
    <t>力鵬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</si>
  <si>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</si>
  <si>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</si>
  <si>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</si>
  <si>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</si>
  <si>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</si>
  <si>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</si>
  <si>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</si>
  <si>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</si>
  <si>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強盛</t>
  </si>
  <si>
    <t>得力</t>
  </si>
  <si>
    <t>偉全</t>
  </si>
  <si>
    <t>聚隆</t>
  </si>
  <si>
    <t>南緯</t>
  </si>
  <si>
    <t>大統新創</t>
  </si>
  <si>
    <t>台南</t>
  </si>
  <si>
    <t>弘裕</t>
  </si>
  <si>
    <t>儒鴻</t>
  </si>
  <si>
    <t>聚陽</t>
  </si>
  <si>
    <t>士電</t>
  </si>
  <si>
    <t>東元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</si>
  <si>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</si>
  <si>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</si>
  <si>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</si>
  <si>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</si>
  <si>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</si>
  <si>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</si>
  <si>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</si>
  <si>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</si>
  <si>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</si>
  <si>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</si>
  <si>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</si>
  <si>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</si>
  <si>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</si>
  <si>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</si>
  <si>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</si>
  <si>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</si>
  <si>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</si>
  <si>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</si>
  <si>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</si>
  <si>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</si>
  <si>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</si>
  <si>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</si>
  <si>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</si>
  <si>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</si>
  <si>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</si>
  <si>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</si>
  <si>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</si>
  <si>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</si>
  <si>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</si>
  <si>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</si>
  <si>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</si>
  <si>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</si>
  <si>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</si>
  <si>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</si>
  <si>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</si>
  <si>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</si>
  <si>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</si>
  <si>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</si>
  <si>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</si>
  <si>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</si>
  <si>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</si>
  <si>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</si>
  <si>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</si>
  <si>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</si>
  <si>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</si>
  <si>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</si>
  <si>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</si>
  <si>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</si>
  <si>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</si>
  <si>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</si>
  <si>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</si>
  <si>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</si>
  <si>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</si>
  <si>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</si>
  <si>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</si>
  <si>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</si>
  <si>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</si>
  <si>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</si>
  <si>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</si>
  <si>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</si>
  <si>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</si>
  <si>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</si>
  <si>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</si>
  <si>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</si>
  <si>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</si>
  <si>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</si>
  <si>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</si>
  <si>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</si>
  <si>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</si>
  <si>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</si>
  <si>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</si>
  <si>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</si>
  <si>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</si>
  <si>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</si>
  <si>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</si>
  <si>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</si>
  <si>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</si>
  <si>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</si>
  <si>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</si>
  <si>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</si>
  <si>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</si>
  <si>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</si>
  <si>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</si>
  <si>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</si>
  <si>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</si>
  <si>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</si>
  <si>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</si>
  <si>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</si>
  <si>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和康生</t>
  </si>
  <si>
    <t>訊聯</t>
  </si>
  <si>
    <t>光洋科</t>
  </si>
  <si>
    <t>科妍</t>
  </si>
  <si>
    <t>杏昌</t>
  </si>
  <si>
    <t>神隆</t>
  </si>
  <si>
    <t>美時</t>
  </si>
  <si>
    <t>台玻</t>
  </si>
  <si>
    <t>冠軍</t>
  </si>
  <si>
    <t>潤隆</t>
  </si>
  <si>
    <t>中釉</t>
  </si>
  <si>
    <t>和成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</si>
  <si>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</si>
  <si>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</si>
  <si>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</si>
  <si>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</si>
  <si>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</si>
  <si>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</si>
  <si>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</si>
  <si>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</si>
  <si>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</si>
  <si>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</si>
  <si>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</si>
  <si>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</si>
  <si>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</si>
  <si>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</si>
  <si>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</si>
  <si>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</si>
  <si>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</si>
  <si>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</si>
  <si>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</si>
  <si>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</si>
  <si>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燁輝</t>
  </si>
  <si>
    <t>志聯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</si>
  <si>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</si>
  <si>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</si>
  <si>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</si>
  <si>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</si>
  <si>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</si>
  <si>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</si>
  <si>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</si>
  <si>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</si>
  <si>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</si>
  <si>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</si>
  <si>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</si>
  <si>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</si>
  <si>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晉椿</t>
  </si>
  <si>
    <t>世豐</t>
  </si>
  <si>
    <t>運錩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</si>
  <si>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</si>
  <si>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</si>
  <si>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</si>
  <si>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</si>
  <si>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</si>
  <si>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</si>
  <si>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</si>
  <si>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</si>
  <si>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</si>
  <si>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</si>
  <si>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</si>
  <si>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</si>
  <si>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</si>
  <si>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</si>
  <si>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</si>
  <si>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</si>
  <si>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</si>
  <si>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</si>
  <si>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劍麟</t>
  </si>
  <si>
    <t>泰茂</t>
  </si>
  <si>
    <t>為升</t>
  </si>
  <si>
    <t>宇隆</t>
  </si>
  <si>
    <t>百達-KY</t>
  </si>
  <si>
    <t>英利-KY</t>
  </si>
  <si>
    <t>艾姆勒</t>
  </si>
  <si>
    <t>宏旭-KY</t>
  </si>
  <si>
    <t>汎德永業</t>
  </si>
  <si>
    <t>IKKA-KY</t>
  </si>
  <si>
    <t>光寶科</t>
  </si>
  <si>
    <t>麗正</t>
  </si>
  <si>
    <t>聯電</t>
  </si>
  <si>
    <t>全友</t>
  </si>
  <si>
    <t>台達電</t>
  </si>
  <si>
    <t>金寶</t>
  </si>
  <si>
    <t>華通</t>
  </si>
  <si>
    <t>楠梓電</t>
  </si>
  <si>
    <t>鴻海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</si>
  <si>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</si>
  <si>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</si>
  <si>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</si>
  <si>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</si>
  <si>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</si>
  <si>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</si>
  <si>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</si>
  <si>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</si>
  <si>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</si>
  <si>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</si>
  <si>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台亞</t>
  </si>
  <si>
    <t>茂矽</t>
  </si>
  <si>
    <t>華邦電</t>
  </si>
  <si>
    <t>智邦</t>
  </si>
  <si>
    <t>聯強</t>
  </si>
  <si>
    <t>海悅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</si>
  <si>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</si>
  <si>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</si>
  <si>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</si>
  <si>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</si>
  <si>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</si>
  <si>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</si>
  <si>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</si>
  <si>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</si>
  <si>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</si>
  <si>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</si>
  <si>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</si>
  <si>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</si>
  <si>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</si>
  <si>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</si>
  <si>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</si>
  <si>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</si>
  <si>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</si>
  <si>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</si>
  <si>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</si>
  <si>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</si>
  <si>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</si>
  <si>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</si>
  <si>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</si>
  <si>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</si>
  <si>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</si>
  <si>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</si>
  <si>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</si>
  <si>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</si>
  <si>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</si>
  <si>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</si>
  <si>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</si>
  <si>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</si>
  <si>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</si>
  <si>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</si>
  <si>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</si>
  <si>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</si>
  <si>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</si>
  <si>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</si>
  <si>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</si>
  <si>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</si>
  <si>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</si>
  <si>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</si>
  <si>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</si>
  <si>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</si>
  <si>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</si>
  <si>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</si>
  <si>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</si>
  <si>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</si>
  <si>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</si>
  <si>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承啟</t>
  </si>
  <si>
    <t>鼎元</t>
  </si>
  <si>
    <t>三商電</t>
  </si>
  <si>
    <t>興勤</t>
  </si>
  <si>
    <t>燦坤</t>
  </si>
  <si>
    <t>聯昌</t>
  </si>
  <si>
    <t>互盛電</t>
  </si>
  <si>
    <t>統懋</t>
  </si>
  <si>
    <t>偉詮電</t>
  </si>
  <si>
    <t>美律</t>
  </si>
  <si>
    <t>超豐</t>
  </si>
  <si>
    <t>新美齊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</si>
  <si>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</si>
  <si>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</si>
  <si>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</si>
  <si>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</si>
  <si>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</si>
  <si>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</si>
  <si>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</si>
  <si>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</si>
  <si>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</si>
  <si>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</si>
  <si>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</si>
  <si>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</si>
  <si>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</si>
  <si>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</si>
  <si>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</si>
  <si>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</si>
  <si>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</si>
  <si>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</si>
  <si>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</si>
  <si>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</si>
  <si>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</si>
  <si>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</si>
  <si>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</si>
  <si>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</si>
  <si>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</si>
  <si>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</si>
  <si>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</si>
  <si>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</si>
  <si>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</si>
  <si>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</si>
  <si>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</si>
  <si>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</si>
  <si>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</si>
  <si>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</si>
  <si>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</si>
  <si>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</si>
  <si>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</si>
  <si>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</si>
  <si>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</si>
  <si>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</si>
  <si>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</si>
  <si>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</si>
  <si>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</si>
  <si>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</si>
  <si>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</si>
  <si>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</si>
  <si>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</si>
  <si>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</si>
  <si>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</si>
  <si>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</si>
  <si>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</si>
  <si>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</si>
  <si>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</si>
  <si>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</si>
  <si>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</si>
  <si>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</si>
  <si>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</si>
  <si>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</si>
  <si>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</si>
  <si>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</si>
  <si>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</si>
  <si>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</si>
  <si>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</si>
  <si>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</si>
  <si>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</si>
  <si>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</si>
  <si>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</si>
  <si>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</si>
  <si>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</si>
  <si>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</si>
  <si>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</si>
  <si>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</si>
  <si>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</si>
  <si>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</si>
  <si>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</si>
  <si>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</si>
  <si>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</si>
  <si>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</si>
  <si>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</si>
  <si>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</si>
  <si>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</si>
  <si>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台灣高鐵</t>
  </si>
  <si>
    <t>漢翔</t>
  </si>
  <si>
    <t>台驊投控</t>
  </si>
  <si>
    <t>慧洋-KY</t>
  </si>
  <si>
    <t>正德</t>
  </si>
  <si>
    <t>宅配通</t>
  </si>
  <si>
    <t>捷迅</t>
  </si>
  <si>
    <t>萬企</t>
  </si>
  <si>
    <t>國賓</t>
  </si>
  <si>
    <t>六福</t>
  </si>
  <si>
    <t>第一店</t>
  </si>
  <si>
    <t>晶華</t>
  </si>
  <si>
    <t>遠雄來</t>
  </si>
  <si>
    <t>夏都</t>
  </si>
  <si>
    <t>美食-KY</t>
  </si>
  <si>
    <t>雅茗-KY</t>
  </si>
  <si>
    <t>王品</t>
  </si>
  <si>
    <t>雄獅</t>
  </si>
  <si>
    <t>六角</t>
  </si>
  <si>
    <t>富野</t>
  </si>
  <si>
    <t>山富</t>
  </si>
  <si>
    <t>雲品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</si>
  <si>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</si>
  <si>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</si>
  <si>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</si>
  <si>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</si>
  <si>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</si>
  <si>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</si>
  <si>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</si>
  <si>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</si>
  <si>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</si>
  <si>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</si>
  <si>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</si>
  <si>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</si>
  <si>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</si>
  <si>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</si>
  <si>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</si>
  <si>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</si>
  <si>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</si>
  <si>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</si>
  <si>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</si>
  <si>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</si>
  <si>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</si>
  <si>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</si>
  <si>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</si>
  <si>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</si>
  <si>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</si>
  <si>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</si>
  <si>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</si>
  <si>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</si>
  <si>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</si>
  <si>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</si>
  <si>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</si>
  <si>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</si>
  <si>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</si>
  <si>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</si>
  <si>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</si>
  <si>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</si>
  <si>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</si>
  <si>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</si>
  <si>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</si>
  <si>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</si>
  <si>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</si>
  <si>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</si>
  <si>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誠品生活</t>
  </si>
  <si>
    <t>淘帝-KY</t>
  </si>
  <si>
    <t>客思達-KY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</si>
  <si>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</si>
  <si>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</si>
  <si>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</si>
  <si>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</si>
  <si>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</si>
  <si>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</si>
  <si>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</si>
  <si>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</si>
  <si>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</si>
  <si>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</si>
  <si>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</si>
  <si>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</si>
  <si>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</si>
  <si>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</si>
  <si>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</si>
  <si>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</si>
  <si>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</si>
  <si>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</si>
  <si>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</si>
  <si>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</si>
  <si>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</si>
  <si>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</si>
  <si>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</si>
  <si>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</si>
  <si>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</si>
  <si>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</si>
  <si>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</si>
  <si>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</si>
  <si>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</si>
  <si>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</si>
  <si>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</si>
  <si>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</si>
  <si>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</si>
  <si>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</si>
  <si>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健鼎</t>
  </si>
  <si>
    <t>台灣大</t>
  </si>
  <si>
    <t>訊舟</t>
  </si>
  <si>
    <t>益登</t>
  </si>
  <si>
    <t>和鑫</t>
  </si>
  <si>
    <t>鈺德</t>
  </si>
  <si>
    <t>夆典</t>
  </si>
  <si>
    <t>立萬利</t>
  </si>
  <si>
    <t>蔚華科</t>
  </si>
  <si>
    <t>總太</t>
  </si>
  <si>
    <t>華晶科</t>
  </si>
  <si>
    <t>銘異</t>
  </si>
  <si>
    <t>建漢</t>
  </si>
  <si>
    <t>協禧</t>
  </si>
  <si>
    <t>僑威</t>
  </si>
  <si>
    <t>聯亞</t>
  </si>
  <si>
    <t>網龍</t>
  </si>
  <si>
    <t>華義</t>
  </si>
  <si>
    <t>艾訊</t>
  </si>
  <si>
    <t>日電貿</t>
  </si>
  <si>
    <t>鴻碩</t>
  </si>
  <si>
    <t>聯傑</t>
  </si>
  <si>
    <t>穩懋</t>
  </si>
  <si>
    <t>好德</t>
  </si>
  <si>
    <t>進階</t>
  </si>
  <si>
    <t>笙泉</t>
  </si>
  <si>
    <t>昇銳</t>
  </si>
  <si>
    <t>一零四</t>
  </si>
  <si>
    <t>耀登</t>
  </si>
  <si>
    <t>晶宏</t>
  </si>
  <si>
    <t>大綜</t>
  </si>
  <si>
    <t>璟德</t>
  </si>
  <si>
    <t>精確</t>
  </si>
  <si>
    <t>波若威</t>
  </si>
  <si>
    <t>景岳</t>
  </si>
  <si>
    <t>大量</t>
  </si>
  <si>
    <t>亞信</t>
  </si>
  <si>
    <t>公準</t>
  </si>
  <si>
    <t>鑫龍騰</t>
  </si>
  <si>
    <t>景碩</t>
  </si>
  <si>
    <t>樺晟</t>
  </si>
  <si>
    <t>佰研</t>
  </si>
  <si>
    <t>耀勝</t>
  </si>
  <si>
    <t>全科</t>
  </si>
  <si>
    <t>順達</t>
  </si>
  <si>
    <t>茂訊</t>
  </si>
  <si>
    <t>優群</t>
  </si>
  <si>
    <t>大學光</t>
  </si>
  <si>
    <t>倚強科</t>
  </si>
  <si>
    <t>台嘉碩</t>
  </si>
  <si>
    <t>三顧</t>
  </si>
  <si>
    <t>原相</t>
  </si>
  <si>
    <t>錦明</t>
  </si>
  <si>
    <t>緯創</t>
  </si>
  <si>
    <t>昱捷</t>
  </si>
  <si>
    <t>光環</t>
  </si>
  <si>
    <t>千如</t>
  </si>
  <si>
    <t>海灣</t>
  </si>
  <si>
    <t>虹冠電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</si>
  <si>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</si>
  <si>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</si>
  <si>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</si>
  <si>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</si>
  <si>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</si>
  <si>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</si>
  <si>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</si>
  <si>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</si>
  <si>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</si>
  <si>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</si>
  <si>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</si>
  <si>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</si>
  <si>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</si>
  <si>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</si>
  <si>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</si>
  <si>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</si>
  <si>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</si>
  <si>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佳穎</t>
  </si>
  <si>
    <t>閎暉</t>
  </si>
  <si>
    <t>弘憶股</t>
  </si>
  <si>
    <t>尼克森</t>
  </si>
  <si>
    <t>加百裕</t>
  </si>
  <si>
    <t>雙鴻</t>
  </si>
  <si>
    <t>旭品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</si>
  <si>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</si>
  <si>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</si>
  <si>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</si>
  <si>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</si>
  <si>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</si>
  <si>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</si>
  <si>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</si>
  <si>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</si>
  <si>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</si>
  <si>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</si>
  <si>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</si>
  <si>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</si>
  <si>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</si>
  <si>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</si>
  <si>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</si>
  <si>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</si>
  <si>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</si>
  <si>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</si>
  <si>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</si>
  <si>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</si>
  <si>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</si>
  <si>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</si>
  <si>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</si>
  <si>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</si>
  <si>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</si>
  <si>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</si>
  <si>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</si>
  <si>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</si>
  <si>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</si>
  <si>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</si>
  <si>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</si>
  <si>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</si>
  <si>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致振</t>
  </si>
  <si>
    <t>安勤</t>
  </si>
  <si>
    <t>群創</t>
  </si>
  <si>
    <t>力致</t>
  </si>
  <si>
    <t>崧騰</t>
  </si>
  <si>
    <t>單井</t>
  </si>
  <si>
    <t>昇達科</t>
  </si>
  <si>
    <t>長盛</t>
  </si>
  <si>
    <t>陽程</t>
  </si>
  <si>
    <t>環天科</t>
  </si>
  <si>
    <t>維熹</t>
  </si>
  <si>
    <t>揚明光</t>
  </si>
  <si>
    <t>位速</t>
  </si>
  <si>
    <t>矽瑪</t>
  </si>
  <si>
    <t>華擎</t>
  </si>
  <si>
    <t>柏騰</t>
  </si>
  <si>
    <t>鴻翊</t>
  </si>
  <si>
    <t>凡甲</t>
  </si>
  <si>
    <t>聚積</t>
  </si>
  <si>
    <t>安馳</t>
  </si>
  <si>
    <t>力旺</t>
  </si>
  <si>
    <t>晶相光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</si>
  <si>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</si>
  <si>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</si>
  <si>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</si>
  <si>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</si>
  <si>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</si>
  <si>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</si>
  <si>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</si>
  <si>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</si>
  <si>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</si>
  <si>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</si>
  <si>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</si>
  <si>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</si>
  <si>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</si>
  <si>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</si>
  <si>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</si>
  <si>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</si>
  <si>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</si>
  <si>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逸昌</t>
  </si>
  <si>
    <t>泓格</t>
  </si>
  <si>
    <t>友威科</t>
  </si>
  <si>
    <t>博磊</t>
  </si>
  <si>
    <t>辛耘</t>
  </si>
  <si>
    <t>閎康</t>
  </si>
  <si>
    <t>通嘉</t>
  </si>
  <si>
    <t>艾笛森</t>
  </si>
  <si>
    <t>磐儀</t>
  </si>
  <si>
    <t>智易</t>
  </si>
  <si>
    <t>映興</t>
  </si>
  <si>
    <t>宏致</t>
  </si>
  <si>
    <t>谷崧</t>
  </si>
  <si>
    <t>三一東林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</si>
  <si>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</si>
  <si>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</si>
  <si>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</si>
  <si>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</si>
  <si>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</si>
  <si>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</si>
  <si>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</si>
  <si>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</si>
  <si>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新鉅科</t>
  </si>
  <si>
    <t>達邁</t>
  </si>
  <si>
    <t>艾恩特</t>
  </si>
  <si>
    <t>精聯</t>
  </si>
  <si>
    <t>健策</t>
  </si>
  <si>
    <t>世芯-KY</t>
  </si>
  <si>
    <t>鑫科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</si>
  <si>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</si>
  <si>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</si>
  <si>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</si>
  <si>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</si>
  <si>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</si>
  <si>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</si>
  <si>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</si>
  <si>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</si>
  <si>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元創精密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</si>
  <si>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</si>
  <si>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</si>
  <si>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</si>
  <si>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</si>
  <si>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</si>
  <si>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</si>
  <si>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</si>
  <si>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</si>
  <si>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</si>
  <si>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</si>
  <si>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</si>
  <si>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</si>
  <si>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</si>
  <si>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日月光投控</t>
  </si>
  <si>
    <t>永崴投控</t>
  </si>
  <si>
    <t>富采</t>
  </si>
  <si>
    <t>永日</t>
  </si>
  <si>
    <t>佳醫</t>
  </si>
  <si>
    <t>東洋</t>
  </si>
  <si>
    <t>邦特</t>
  </si>
  <si>
    <t>懷特</t>
  </si>
  <si>
    <t>加捷生醫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</si>
  <si>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</si>
  <si>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</si>
  <si>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</si>
  <si>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</si>
  <si>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</si>
  <si>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</si>
  <si>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</si>
  <si>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</si>
  <si>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中天</t>
  </si>
  <si>
    <t>聯合</t>
  </si>
  <si>
    <t>健亞</t>
  </si>
  <si>
    <t>亞諾法</t>
  </si>
  <si>
    <t>麗豐-KY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</si>
  <si>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</si>
  <si>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</si>
  <si>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</si>
  <si>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</si>
  <si>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</si>
  <si>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</si>
  <si>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</si>
  <si>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</si>
  <si>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</si>
  <si>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</si>
  <si>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</si>
  <si>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</si>
  <si>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</si>
  <si>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</si>
  <si>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</si>
  <si>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</si>
  <si>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佐登-KY</t>
  </si>
  <si>
    <t>環泰</t>
  </si>
  <si>
    <t>信立</t>
  </si>
  <si>
    <t>炎洲</t>
  </si>
  <si>
    <t>東隆興</t>
  </si>
  <si>
    <t>新昕纖</t>
  </si>
  <si>
    <t>如興</t>
  </si>
  <si>
    <t>金洲</t>
  </si>
  <si>
    <t>利勤</t>
  </si>
  <si>
    <t>銘旺實</t>
  </si>
  <si>
    <t>興采</t>
  </si>
  <si>
    <t>廣越</t>
  </si>
  <si>
    <t>冠星-KY</t>
  </si>
  <si>
    <t>金雨</t>
  </si>
  <si>
    <t>崇友</t>
  </si>
  <si>
    <t>高鋒</t>
  </si>
  <si>
    <t>福裕</t>
  </si>
  <si>
    <t>東台</t>
  </si>
  <si>
    <t>淳紳</t>
  </si>
  <si>
    <t>瑞智</t>
  </si>
  <si>
    <t>協易機</t>
  </si>
  <si>
    <t>慶騰</t>
  </si>
  <si>
    <t>拓凱</t>
  </si>
  <si>
    <t>全球傳動</t>
  </si>
  <si>
    <t>晟田</t>
  </si>
  <si>
    <t>萬在</t>
  </si>
  <si>
    <t>銘鈺</t>
  </si>
  <si>
    <t>桓達</t>
  </si>
  <si>
    <t>智伸科</t>
  </si>
  <si>
    <t>力達-KY</t>
  </si>
  <si>
    <t>氣立</t>
  </si>
  <si>
    <t>永新-KY</t>
  </si>
  <si>
    <t>強信-KY</t>
  </si>
  <si>
    <t>穎漢</t>
  </si>
  <si>
    <t>元翎</t>
  </si>
  <si>
    <t>時碩工業</t>
  </si>
  <si>
    <t>鈞興-KY</t>
  </si>
  <si>
    <t>駐龍</t>
  </si>
  <si>
    <t>大銀微系統</t>
  </si>
  <si>
    <t>捷流閥業</t>
  </si>
  <si>
    <t>光隆精密-KY</t>
  </si>
  <si>
    <t>中美實</t>
  </si>
  <si>
    <t>磐亞</t>
  </si>
  <si>
    <t>永純</t>
  </si>
  <si>
    <t>永捷</t>
  </si>
  <si>
    <t>大立</t>
  </si>
  <si>
    <t>德淵</t>
  </si>
  <si>
    <t>美琪瑪</t>
  </si>
  <si>
    <t>國精化</t>
  </si>
  <si>
    <t>雙美</t>
  </si>
  <si>
    <t>豪展</t>
  </si>
  <si>
    <t>泰博</t>
  </si>
  <si>
    <t>華廣</t>
  </si>
  <si>
    <t>康普</t>
  </si>
  <si>
    <t>皇將</t>
  </si>
  <si>
    <t>合富-KY</t>
  </si>
  <si>
    <t>台耀</t>
  </si>
  <si>
    <t>三福化</t>
  </si>
  <si>
    <t>勤凱</t>
  </si>
  <si>
    <t>材料-KY</t>
  </si>
  <si>
    <t>雙鍵</t>
  </si>
  <si>
    <t>南寶</t>
  </si>
  <si>
    <t>大略-KY</t>
  </si>
  <si>
    <t>日成-KY</t>
  </si>
  <si>
    <t>遠傳</t>
  </si>
  <si>
    <t>正文</t>
  </si>
  <si>
    <t>前鼎</t>
  </si>
  <si>
    <t>新復興</t>
  </si>
  <si>
    <t>聯德控股-KY</t>
  </si>
  <si>
    <t>致伸</t>
  </si>
  <si>
    <t>事欣科</t>
  </si>
  <si>
    <t>新唐</t>
  </si>
  <si>
    <t>泰鼎-KY</t>
  </si>
  <si>
    <t>新盛力</t>
  </si>
  <si>
    <t>友輝</t>
  </si>
  <si>
    <t>茂林-KY</t>
  </si>
  <si>
    <t>和碩</t>
  </si>
  <si>
    <t>亞電</t>
  </si>
  <si>
    <t>嘉彰</t>
  </si>
  <si>
    <t>康控-KY</t>
  </si>
  <si>
    <t>陞達科技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</si>
  <si>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</si>
  <si>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</si>
  <si>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</si>
  <si>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</si>
  <si>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</si>
  <si>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</si>
  <si>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</si>
  <si>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</si>
  <si>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</si>
  <si>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</si>
  <si>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廣穎</t>
  </si>
  <si>
    <t>亞泰</t>
  </si>
  <si>
    <t>佳凌</t>
  </si>
  <si>
    <t>眾達-KY</t>
  </si>
  <si>
    <t>華星光</t>
  </si>
  <si>
    <t>榮科</t>
  </si>
  <si>
    <t>傳奇</t>
  </si>
  <si>
    <t>鑫禾</t>
  </si>
  <si>
    <t>三星</t>
  </si>
  <si>
    <t>榮剛</t>
  </si>
  <si>
    <t>久陽</t>
  </si>
  <si>
    <t>強新</t>
  </si>
  <si>
    <t>建錩</t>
  </si>
  <si>
    <t>華祺</t>
  </si>
  <si>
    <t>訊連</t>
  </si>
  <si>
    <t>坤悅</t>
  </si>
  <si>
    <t>蒙恬</t>
  </si>
  <si>
    <t>亞昕</t>
  </si>
  <si>
    <t>科嘉-KY</t>
  </si>
  <si>
    <t>安力-KY</t>
  </si>
  <si>
    <t>東科-KY</t>
  </si>
  <si>
    <t>雷笛克光學</t>
  </si>
  <si>
    <t>達興材料</t>
  </si>
  <si>
    <t>凌陽創新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</si>
  <si>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</si>
  <si>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</si>
  <si>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</si>
  <si>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</si>
  <si>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</si>
  <si>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</si>
  <si>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</si>
  <si>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</si>
  <si>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禾聯碩</t>
  </si>
  <si>
    <t>jpp-KY</t>
  </si>
  <si>
    <t>界霖</t>
  </si>
  <si>
    <t>數字</t>
  </si>
  <si>
    <t>豐祥-KY</t>
  </si>
  <si>
    <t>宜鼎</t>
  </si>
  <si>
    <t>邑昇</t>
  </si>
  <si>
    <t>桂盟</t>
  </si>
  <si>
    <t>寶島科</t>
  </si>
  <si>
    <t>光聯</t>
  </si>
  <si>
    <t>美而快</t>
  </si>
  <si>
    <t>華容</t>
  </si>
  <si>
    <t>世界</t>
  </si>
  <si>
    <t>鈺創</t>
  </si>
  <si>
    <t>台林</t>
  </si>
  <si>
    <t>協益</t>
  </si>
  <si>
    <t>中光電</t>
  </si>
  <si>
    <t>青雲</t>
  </si>
  <si>
    <t>中磊</t>
  </si>
  <si>
    <t>能率</t>
  </si>
  <si>
    <t>中菲</t>
  </si>
  <si>
    <t>國眾</t>
  </si>
  <si>
    <t>台半</t>
  </si>
  <si>
    <t>振發</t>
  </si>
  <si>
    <t>新門</t>
  </si>
  <si>
    <t>崇越</t>
  </si>
  <si>
    <t>東友</t>
  </si>
  <si>
    <t>高技</t>
  </si>
  <si>
    <t>均豪</t>
  </si>
  <si>
    <t>南良</t>
  </si>
  <si>
    <t>佶優</t>
  </si>
  <si>
    <t>宣德</t>
  </si>
  <si>
    <t>霖宏</t>
  </si>
  <si>
    <t>瀚宇博</t>
  </si>
  <si>
    <t>松翰</t>
  </si>
  <si>
    <t>聰泰</t>
  </si>
  <si>
    <t>智冠</t>
  </si>
  <si>
    <t>新華</t>
  </si>
  <si>
    <t>中美晶</t>
  </si>
  <si>
    <t>三聯</t>
  </si>
  <si>
    <t>凱崴</t>
  </si>
  <si>
    <t>永信建</t>
  </si>
  <si>
    <t>力麒</t>
  </si>
  <si>
    <t>建國</t>
  </si>
  <si>
    <t>隆大</t>
  </si>
  <si>
    <t>工信</t>
  </si>
  <si>
    <t>遠雄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</si>
  <si>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</si>
  <si>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</si>
  <si>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</si>
  <si>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</si>
  <si>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</si>
  <si>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</si>
  <si>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</si>
  <si>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</si>
  <si>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</si>
  <si>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陸海</t>
  </si>
  <si>
    <t>遠雄港</t>
  </si>
  <si>
    <t>四維航</t>
  </si>
  <si>
    <t>中菲行</t>
  </si>
  <si>
    <t>鳳凰</t>
  </si>
  <si>
    <t>日盛金</t>
  </si>
  <si>
    <t>致和證</t>
  </si>
  <si>
    <t>中租-KY</t>
  </si>
  <si>
    <t>上海商銀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</si>
  <si>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</si>
  <si>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</si>
  <si>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</si>
  <si>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</si>
  <si>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</si>
  <si>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</si>
  <si>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</si>
  <si>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</si>
  <si>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</si>
  <si>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</si>
  <si>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群益期</t>
  </si>
  <si>
    <t>福邦證</t>
  </si>
  <si>
    <t>創惟</t>
  </si>
  <si>
    <t>競國</t>
  </si>
  <si>
    <t>大宇資</t>
  </si>
  <si>
    <t>聚碩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</si>
  <si>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</si>
  <si>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</si>
  <si>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</si>
  <si>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</si>
  <si>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</si>
  <si>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</si>
  <si>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</si>
  <si>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</si>
  <si>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</si>
  <si>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廣運</t>
  </si>
  <si>
    <t>信音</t>
  </si>
  <si>
    <t>九豪</t>
  </si>
  <si>
    <t>上福</t>
  </si>
  <si>
    <t>金橋</t>
  </si>
  <si>
    <t>萬旭</t>
  </si>
  <si>
    <t>富爾特</t>
  </si>
  <si>
    <t>茂達</t>
  </si>
  <si>
    <t>亞翔</t>
  </si>
  <si>
    <t>訊達</t>
  </si>
  <si>
    <t>柏承</t>
  </si>
  <si>
    <t>振曜</t>
  </si>
  <si>
    <t>耕興</t>
  </si>
  <si>
    <t>頎邦</t>
  </si>
  <si>
    <t>驊宏資</t>
  </si>
  <si>
    <t>撼訊</t>
  </si>
  <si>
    <t>晉倫</t>
  </si>
  <si>
    <t>嘉聯益</t>
  </si>
  <si>
    <t>順發</t>
  </si>
  <si>
    <t>鈞寶</t>
  </si>
  <si>
    <t>松上</t>
  </si>
  <si>
    <t>禾昌</t>
  </si>
  <si>
    <t>捷波</t>
  </si>
  <si>
    <t>華電網</t>
  </si>
  <si>
    <t>華興</t>
  </si>
  <si>
    <t>浪凡</t>
  </si>
  <si>
    <t>凌華</t>
  </si>
  <si>
    <t>宏齊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</si>
  <si>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</si>
  <si>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</si>
  <si>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</si>
  <si>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</si>
  <si>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</si>
  <si>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</si>
  <si>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</si>
  <si>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</si>
  <si>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</si>
  <si>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</si>
  <si>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</si>
  <si>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</si>
  <si>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</si>
  <si>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</si>
  <si>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</si>
  <si>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</si>
  <si>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</si>
  <si>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</si>
  <si>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</si>
  <si>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帆宣</t>
  </si>
  <si>
    <t>佳必琪</t>
  </si>
  <si>
    <t>亞弘電</t>
  </si>
  <si>
    <t>盛群</t>
  </si>
  <si>
    <t>海韻電</t>
  </si>
  <si>
    <t>詮欣</t>
  </si>
  <si>
    <t>飛捷</t>
  </si>
  <si>
    <t>雷科</t>
  </si>
  <si>
    <t>日揚</t>
  </si>
  <si>
    <t>今國光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</si>
  <si>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</si>
  <si>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</si>
  <si>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</si>
  <si>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</si>
  <si>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</si>
  <si>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</si>
  <si>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</si>
  <si>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</si>
  <si>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旺矽</t>
  </si>
  <si>
    <t>聚鼎</t>
  </si>
  <si>
    <t>光鼎</t>
  </si>
  <si>
    <t>茂綸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</si>
  <si>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</si>
  <si>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</si>
  <si>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</si>
  <si>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</si>
  <si>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</si>
  <si>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</si>
  <si>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</si>
  <si>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</si>
  <si>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</si>
  <si>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迅杰</t>
  </si>
  <si>
    <t>立端</t>
  </si>
  <si>
    <t>臺龍</t>
  </si>
  <si>
    <t>沛波</t>
  </si>
  <si>
    <t>定穎</t>
  </si>
  <si>
    <t>矽格</t>
  </si>
  <si>
    <t>久元</t>
  </si>
  <si>
    <t>普萊德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</si>
  <si>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</si>
  <si>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</si>
  <si>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</si>
  <si>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</si>
  <si>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</si>
  <si>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</si>
  <si>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</si>
  <si>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</si>
  <si>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</si>
  <si>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</si>
  <si>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</si>
  <si>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</si>
  <si>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</si>
  <si>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</si>
  <si>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</si>
  <si>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</si>
  <si>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聯嘉</t>
  </si>
  <si>
    <t>良維</t>
  </si>
  <si>
    <t>迅德</t>
  </si>
  <si>
    <t>悅城</t>
  </si>
  <si>
    <t>旭隼</t>
  </si>
  <si>
    <t>晶焱</t>
  </si>
  <si>
    <t>群電</t>
  </si>
  <si>
    <t>樺漢</t>
  </si>
  <si>
    <t>矽力-KY</t>
  </si>
  <si>
    <t>瑞祺電通</t>
  </si>
  <si>
    <t>詠昇</t>
  </si>
  <si>
    <t>統新</t>
  </si>
  <si>
    <t>今展科</t>
  </si>
  <si>
    <t>大中</t>
  </si>
  <si>
    <t>迅得</t>
  </si>
  <si>
    <t>廣錠</t>
  </si>
  <si>
    <t>光聖</t>
  </si>
  <si>
    <t>元晶</t>
  </si>
  <si>
    <t>鈺邦</t>
  </si>
  <si>
    <t>訊芯-KY</t>
  </si>
  <si>
    <t>GIS-KY</t>
  </si>
  <si>
    <t>紘康</t>
  </si>
  <si>
    <t>益得</t>
  </si>
  <si>
    <t>神盾</t>
  </si>
  <si>
    <t>台數科</t>
  </si>
  <si>
    <t>大樹</t>
  </si>
  <si>
    <t>保瑞</t>
  </si>
  <si>
    <t>安集</t>
  </si>
  <si>
    <t>點序</t>
  </si>
  <si>
    <t>互動</t>
  </si>
  <si>
    <t>環球晶</t>
  </si>
  <si>
    <t>晶碩</t>
  </si>
  <si>
    <t>九齊</t>
  </si>
  <si>
    <t>益安</t>
  </si>
  <si>
    <t>南六</t>
  </si>
  <si>
    <t>台塑化</t>
  </si>
  <si>
    <t>雙邦</t>
  </si>
  <si>
    <t>惠光</t>
  </si>
  <si>
    <t>聚和</t>
  </si>
  <si>
    <t>精測</t>
  </si>
  <si>
    <t>芮特-KY</t>
  </si>
  <si>
    <t>穎崴</t>
  </si>
  <si>
    <t>勤崴國際</t>
  </si>
  <si>
    <t>達爾膚</t>
  </si>
  <si>
    <t>捷敏-KY</t>
  </si>
  <si>
    <t>愛普*</t>
  </si>
  <si>
    <t>瑞耘</t>
  </si>
  <si>
    <t>晶心科</t>
  </si>
  <si>
    <t>倉和</t>
  </si>
  <si>
    <t>長科*</t>
  </si>
  <si>
    <t>易華電</t>
  </si>
  <si>
    <t>興能高</t>
  </si>
  <si>
    <t>是方</t>
  </si>
  <si>
    <t>維田</t>
  </si>
  <si>
    <t>虹揚-KY</t>
  </si>
  <si>
    <t>達邦蛋白</t>
  </si>
  <si>
    <t>研揚</t>
  </si>
  <si>
    <t>鋼聯</t>
  </si>
  <si>
    <t>申豐</t>
  </si>
  <si>
    <t>動力-KY</t>
  </si>
  <si>
    <t>和潤企業</t>
  </si>
  <si>
    <t>ABC-KY</t>
  </si>
  <si>
    <t>富強鑫</t>
  </si>
  <si>
    <t>帝寶</t>
  </si>
  <si>
    <t>瀧澤科</t>
  </si>
  <si>
    <t>奈米醫材</t>
  </si>
  <si>
    <t>朋億</t>
  </si>
  <si>
    <t>必應</t>
  </si>
  <si>
    <t>基士德-KY</t>
  </si>
  <si>
    <t>M31</t>
  </si>
  <si>
    <t>全宇昕</t>
  </si>
  <si>
    <t>天正國際</t>
  </si>
  <si>
    <t>科定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</si>
  <si>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</si>
  <si>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</si>
  <si>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</si>
  <si>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</si>
  <si>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</si>
  <si>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</si>
  <si>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</si>
  <si>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</si>
  <si>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</si>
  <si>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</si>
  <si>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旭暉應材</t>
  </si>
  <si>
    <t>惠特</t>
  </si>
  <si>
    <t>嘉基</t>
  </si>
  <si>
    <t>昇佳電子</t>
  </si>
  <si>
    <t>91APP*-KY</t>
  </si>
  <si>
    <t>安普新</t>
  </si>
  <si>
    <t>匯僑設計</t>
  </si>
  <si>
    <t>威鋒電子</t>
  </si>
  <si>
    <t>志強-KY</t>
  </si>
  <si>
    <t>展碁國際</t>
  </si>
  <si>
    <t>AES-KY</t>
  </si>
  <si>
    <t>崑鼎</t>
  </si>
  <si>
    <t>台通</t>
  </si>
  <si>
    <t>矽創</t>
  </si>
  <si>
    <t>尖點</t>
  </si>
  <si>
    <t>佑華</t>
  </si>
  <si>
    <t>鈦昇</t>
  </si>
  <si>
    <t>昇陽半導體</t>
  </si>
  <si>
    <t>榮群</t>
  </si>
  <si>
    <t>台虹</t>
  </si>
  <si>
    <t>九暘</t>
  </si>
  <si>
    <t>蜜望實</t>
  </si>
  <si>
    <t>網家</t>
  </si>
  <si>
    <t>南電</t>
  </si>
  <si>
    <t>德勝</t>
  </si>
  <si>
    <t>晶采</t>
  </si>
  <si>
    <t>廣積</t>
  </si>
  <si>
    <t>安國</t>
  </si>
  <si>
    <t>東捷</t>
  </si>
  <si>
    <t>元太</t>
  </si>
  <si>
    <t>長華*</t>
  </si>
  <si>
    <t>能率網通</t>
  </si>
  <si>
    <t>陞泰</t>
  </si>
  <si>
    <t>鉅橡</t>
  </si>
  <si>
    <t>伍豐</t>
  </si>
  <si>
    <t>致新</t>
  </si>
  <si>
    <t>宏捷科</t>
  </si>
  <si>
    <t>品安</t>
  </si>
  <si>
    <t>康全電訊</t>
  </si>
  <si>
    <t>翔名</t>
  </si>
  <si>
    <t>擎亞</t>
  </si>
  <si>
    <t>常珵</t>
  </si>
  <si>
    <t>大世科</t>
  </si>
  <si>
    <t>瀚荃</t>
  </si>
  <si>
    <t>錸寶</t>
  </si>
  <si>
    <t>凌巨</t>
  </si>
  <si>
    <t>大億金茂</t>
  </si>
  <si>
    <t>華東</t>
  </si>
  <si>
    <t>立碁</t>
  </si>
  <si>
    <t>至上</t>
  </si>
  <si>
    <t>振樺電</t>
  </si>
  <si>
    <t>福懋科</t>
  </si>
  <si>
    <t>正淩</t>
  </si>
  <si>
    <t>南茂</t>
  </si>
  <si>
    <t>博智</t>
  </si>
  <si>
    <t>達方</t>
  </si>
  <si>
    <t>天宇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</si>
  <si>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</si>
  <si>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</si>
  <si>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</si>
  <si>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</si>
  <si>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</si>
  <si>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</si>
  <si>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</si>
  <si>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</si>
  <si>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</si>
  <si>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</si>
  <si>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</si>
  <si>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</si>
  <si>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</si>
  <si>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三竹</t>
  </si>
  <si>
    <t>泰藝</t>
  </si>
  <si>
    <t>群聯</t>
  </si>
  <si>
    <t>日友</t>
  </si>
  <si>
    <t>恒耀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</si>
  <si>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</si>
  <si>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</si>
  <si>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</si>
  <si>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</si>
  <si>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</si>
  <si>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</si>
  <si>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</si>
  <si>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</si>
  <si>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福貞-KY</t>
  </si>
  <si>
    <t>大國鋼</t>
  </si>
  <si>
    <t>明揚</t>
  </si>
  <si>
    <t>可寧衛</t>
  </si>
  <si>
    <t>金麗-KY</t>
  </si>
  <si>
    <t>匯鑽科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</si>
  <si>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</si>
  <si>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</si>
  <si>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</si>
  <si>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</si>
  <si>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</si>
  <si>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</si>
  <si>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</si>
  <si>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</si>
  <si>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</si>
  <si>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</si>
  <si>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</si>
  <si>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柏文</t>
  </si>
  <si>
    <t>潤泰材</t>
  </si>
  <si>
    <t>億豐</t>
  </si>
  <si>
    <t>美吉吉-KY</t>
  </si>
  <si>
    <t>波力-KY</t>
  </si>
  <si>
    <t>山林水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</si>
  <si>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</si>
  <si>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</si>
  <si>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</si>
  <si>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</si>
  <si>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</si>
  <si>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</si>
  <si>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</si>
  <si>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</si>
  <si>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</si>
  <si>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欣雄</t>
  </si>
  <si>
    <t>光隆</t>
  </si>
  <si>
    <t>大田</t>
  </si>
  <si>
    <t>台汽電</t>
  </si>
  <si>
    <t>北基</t>
  </si>
  <si>
    <t>鉅明</t>
  </si>
  <si>
    <t>富堡</t>
  </si>
  <si>
    <t>大汽電</t>
  </si>
  <si>
    <t>國統</t>
  </si>
  <si>
    <t>明安</t>
  </si>
  <si>
    <t>森鉅</t>
  </si>
  <si>
    <t>高力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</si>
  <si>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</si>
  <si>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</si>
  <si>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</si>
  <si>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</si>
  <si>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</si>
  <si>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</si>
  <si>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</si>
  <si>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</si>
  <si>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</si>
  <si>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</si>
  <si>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</si>
  <si>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</si>
  <si>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</si>
  <si>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</si>
  <si>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</si>
  <si>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</si>
  <si>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</si>
  <si>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</si>
  <si>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</si>
  <si>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</si>
  <si>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</si>
  <si>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</si>
  <si>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</si>
  <si>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</si>
  <si>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</si>
  <si>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</si>
  <si>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</si>
  <si>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</si>
  <si>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</si>
  <si>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</si>
  <si>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</si>
  <si>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</si>
  <si>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</si>
  <si>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皇田</t>
  </si>
  <si>
    <t>佳龍</t>
  </si>
  <si>
    <t>世紀鋼</t>
  </si>
  <si>
    <t>有益</t>
  </si>
  <si>
    <t>代碼</t>
    <phoneticPr fontId="1" type="noConversion"/>
  </si>
  <si>
    <t>商品</t>
    <phoneticPr fontId="1" type="noConversion"/>
  </si>
  <si>
    <t>精確</t>
    <phoneticPr fontId="1" type="noConversion"/>
  </si>
  <si>
    <t>精元</t>
    <phoneticPr fontId="1" type="noConversion"/>
  </si>
  <si>
    <t>穎漢</t>
    <phoneticPr fontId="1" type="noConversion"/>
  </si>
  <si>
    <t>台境</t>
    <phoneticPr fontId="1" type="noConversion"/>
  </si>
  <si>
    <t>貿易</t>
    <phoneticPr fontId="1" type="noConversion"/>
  </si>
  <si>
    <t>北基</t>
    <phoneticPr fontId="1" type="noConversion"/>
  </si>
  <si>
    <t>力致</t>
    <phoneticPr fontId="1" type="noConversion"/>
  </si>
  <si>
    <t>寶齡富錦</t>
    <phoneticPr fontId="1" type="noConversion"/>
  </si>
  <si>
    <t>雷虎</t>
    <phoneticPr fontId="1" type="noConversion"/>
  </si>
  <si>
    <t>福邦證</t>
    <phoneticPr fontId="1" type="noConversion"/>
  </si>
  <si>
    <t>宏大</t>
    <phoneticPr fontId="1" type="noConversion"/>
  </si>
  <si>
    <t>愛地雅</t>
    <phoneticPr fontId="1" type="noConversion"/>
  </si>
  <si>
    <t>聖暉</t>
    <phoneticPr fontId="1" type="noConversion"/>
  </si>
  <si>
    <t>西柏</t>
    <phoneticPr fontId="1" type="noConversion"/>
  </si>
  <si>
    <t>上銀</t>
    <phoneticPr fontId="1" type="noConversion"/>
  </si>
  <si>
    <t>旭品</t>
    <phoneticPr fontId="1" type="noConversion"/>
  </si>
  <si>
    <t>同泰</t>
    <phoneticPr fontId="1" type="noConversion"/>
  </si>
  <si>
    <t>必應</t>
    <phoneticPr fontId="1" type="noConversion"/>
  </si>
  <si>
    <t>台微體</t>
    <phoneticPr fontId="1" type="noConversion"/>
  </si>
  <si>
    <t>定穎</t>
    <phoneticPr fontId="1" type="noConversion"/>
  </si>
  <si>
    <t>群益期</t>
    <phoneticPr fontId="1" type="noConversion"/>
  </si>
  <si>
    <t>百德</t>
    <phoneticPr fontId="1" type="noConversion"/>
  </si>
  <si>
    <t>佳和</t>
    <phoneticPr fontId="1" type="noConversion"/>
  </si>
  <si>
    <t>富邦金</t>
    <phoneticPr fontId="1" type="noConversion"/>
  </si>
  <si>
    <t>正德</t>
    <phoneticPr fontId="1" type="noConversion"/>
  </si>
  <si>
    <t>華建</t>
    <phoneticPr fontId="1" type="noConversion"/>
  </si>
  <si>
    <t>達麗</t>
    <phoneticPr fontId="1" type="noConversion"/>
  </si>
  <si>
    <t>新洲</t>
    <phoneticPr fontId="1" type="noConversion"/>
  </si>
  <si>
    <t>捷迅</t>
    <phoneticPr fontId="1" type="noConversion"/>
  </si>
  <si>
    <t>翔名</t>
    <phoneticPr fontId="1" type="noConversion"/>
  </si>
  <si>
    <t>22.33</t>
    <phoneticPr fontId="1" type="noConversion"/>
  </si>
  <si>
    <t>1.8</t>
    <phoneticPr fontId="1" type="noConversion"/>
  </si>
  <si>
    <t>9.5</t>
    <phoneticPr fontId="1" type="noConversion"/>
  </si>
  <si>
    <t>明係</t>
    <phoneticPr fontId="1" type="noConversion"/>
  </si>
  <si>
    <t>自行車ODM</t>
    <phoneticPr fontId="1" type="noConversion"/>
  </si>
  <si>
    <t>19.44</t>
    <phoneticPr fontId="1" type="noConversion"/>
  </si>
  <si>
    <t>借券融券</t>
    <phoneticPr fontId="1" type="noConversion"/>
  </si>
  <si>
    <t>八方雲集</t>
  </si>
  <si>
    <t>皇龍</t>
  </si>
  <si>
    <t>鑫聯大投控</t>
  </si>
  <si>
    <t>濟生</t>
  </si>
  <si>
    <t>中華食</t>
  </si>
  <si>
    <t>方土霖</t>
  </si>
  <si>
    <t>江興鍛</t>
  </si>
  <si>
    <t>科際精密</t>
  </si>
  <si>
    <t>環宇-KY</t>
  </si>
  <si>
    <t>松和</t>
  </si>
  <si>
    <t>力新</t>
  </si>
  <si>
    <t>慕康生醫</t>
  </si>
  <si>
    <t>同亨</t>
  </si>
  <si>
    <t>德昌</t>
  </si>
  <si>
    <t>大城地產</t>
  </si>
  <si>
    <t>詩肯</t>
  </si>
  <si>
    <t>艾華</t>
  </si>
  <si>
    <t>智基</t>
  </si>
  <si>
    <t>宇智</t>
  </si>
  <si>
    <t>金山電</t>
  </si>
  <si>
    <t>博大</t>
  </si>
  <si>
    <t>捷必勝-KY</t>
  </si>
  <si>
    <t>青鋼</t>
  </si>
  <si>
    <t>亞通</t>
    <phoneticPr fontId="1" type="noConversion"/>
  </si>
  <si>
    <t>興能高</t>
    <phoneticPr fontId="1" type="noConversion"/>
  </si>
  <si>
    <t>跌幅</t>
    <phoneticPr fontId="1" type="noConversion"/>
  </si>
  <si>
    <t>融自</t>
    <phoneticPr fontId="1" type="noConversion"/>
  </si>
  <si>
    <t>自投</t>
    <phoneticPr fontId="1" type="noConversion"/>
  </si>
  <si>
    <t>晶呈科技</t>
    <phoneticPr fontId="1" type="noConversion"/>
  </si>
  <si>
    <t>特殊氣體半導體</t>
    <phoneticPr fontId="1" type="noConversion"/>
  </si>
  <si>
    <t>融劵</t>
    <phoneticPr fontId="1" type="noConversion"/>
  </si>
  <si>
    <t>佳和</t>
  </si>
  <si>
    <t>世鎧</t>
  </si>
  <si>
    <t>浩鑫</t>
  </si>
  <si>
    <t>太空梭</t>
  </si>
  <si>
    <t>興富發</t>
  </si>
  <si>
    <t>憶聲</t>
  </si>
  <si>
    <t>力特</t>
  </si>
  <si>
    <t>廣寰科</t>
  </si>
  <si>
    <t>建舜電</t>
  </si>
  <si>
    <t>重鵬</t>
  </si>
  <si>
    <t>百德</t>
  </si>
  <si>
    <t>燦星網</t>
  </si>
  <si>
    <t>萬達光電</t>
  </si>
  <si>
    <t>雙喜</t>
  </si>
  <si>
    <t>大展證</t>
  </si>
  <si>
    <t>元大期</t>
  </si>
  <si>
    <t>普誠</t>
  </si>
  <si>
    <t>展匯科</t>
  </si>
  <si>
    <t>森田</t>
  </si>
  <si>
    <t>15.34</t>
    <phoneticPr fontId="1" type="noConversion"/>
  </si>
  <si>
    <t>2.5</t>
    <phoneticPr fontId="1" type="noConversion"/>
  </si>
  <si>
    <t>6.36</t>
    <phoneticPr fontId="1" type="noConversion"/>
  </si>
  <si>
    <t>世德</t>
  </si>
  <si>
    <t>晶達</t>
  </si>
  <si>
    <t>易發</t>
  </si>
  <si>
    <t>買</t>
    <phoneticPr fontId="1" type="noConversion"/>
  </si>
  <si>
    <t>賣</t>
    <phoneticPr fontId="1" type="noConversion"/>
  </si>
  <si>
    <t>差</t>
    <phoneticPr fontId="1" type="noConversion"/>
  </si>
  <si>
    <t>產業地位</t>
    <phoneticPr fontId="1" type="noConversion"/>
  </si>
  <si>
    <t>5.95</t>
    <phoneticPr fontId="1" type="noConversion"/>
  </si>
  <si>
    <t>外投</t>
    <phoneticPr fontId="1" type="noConversion"/>
  </si>
  <si>
    <t>均張在百張以下不要考慮</t>
    <phoneticPr fontId="1" type="noConversion"/>
  </si>
  <si>
    <t>總</t>
    <phoneticPr fontId="1" type="noConversion"/>
  </si>
  <si>
    <t>華景電</t>
  </si>
  <si>
    <t>三圓</t>
  </si>
  <si>
    <t>湯石照明</t>
  </si>
  <si>
    <t>曜亞</t>
  </si>
  <si>
    <t>惠普</t>
  </si>
  <si>
    <t>光明</t>
  </si>
  <si>
    <t>進</t>
    <phoneticPr fontId="1" type="noConversion"/>
  </si>
  <si>
    <t>出</t>
    <phoneticPr fontId="1" type="noConversion"/>
  </si>
  <si>
    <t>2022年4月15日止</t>
    <phoneticPr fontId="1" type="noConversion"/>
  </si>
  <si>
    <t>當沖</t>
    <phoneticPr fontId="1" type="noConversion"/>
  </si>
  <si>
    <t>2022年4月18日新開始</t>
    <phoneticPr fontId="1" type="noConversion"/>
  </si>
  <si>
    <t>2022年4月18日新開始庫存</t>
    <phoneticPr fontId="1" type="noConversion"/>
  </si>
  <si>
    <t>峰源KY</t>
    <phoneticPr fontId="1" type="noConversion"/>
  </si>
  <si>
    <t>美達科技</t>
    <phoneticPr fontId="1" type="noConversion"/>
  </si>
  <si>
    <t>半導體測試儀器</t>
    <phoneticPr fontId="1" type="noConversion"/>
  </si>
  <si>
    <t>信實</t>
    <phoneticPr fontId="1" type="noConversion"/>
  </si>
  <si>
    <t>清潔服務</t>
    <phoneticPr fontId="1" type="noConversion"/>
  </si>
  <si>
    <t>4月22年</t>
    <phoneticPr fontId="1" type="noConversion"/>
  </si>
  <si>
    <t>外自</t>
    <phoneticPr fontId="1" type="noConversion"/>
  </si>
  <si>
    <t>福華</t>
  </si>
  <si>
    <t>永豐實</t>
  </si>
  <si>
    <t>華園</t>
  </si>
  <si>
    <t>宏遠</t>
  </si>
  <si>
    <t>亞帝歐</t>
  </si>
  <si>
    <t>益張</t>
  </si>
  <si>
    <t>比紅色</t>
    <phoneticPr fontId="1" type="noConversion"/>
  </si>
  <si>
    <t>連藍色</t>
  </si>
  <si>
    <t>投外</t>
    <phoneticPr fontId="1" type="noConversion"/>
  </si>
  <si>
    <t>投同</t>
    <phoneticPr fontId="1" type="noConversion"/>
  </si>
  <si>
    <t>自投同</t>
    <phoneticPr fontId="1" type="noConversion"/>
  </si>
  <si>
    <t>投投</t>
    <phoneticPr fontId="1" type="noConversion"/>
  </si>
  <si>
    <t>電腦</t>
    <phoneticPr fontId="1" type="noConversion"/>
  </si>
  <si>
    <t>加碼</t>
    <phoneticPr fontId="1" type="noConversion"/>
  </si>
  <si>
    <t>自投券</t>
    <phoneticPr fontId="1" type="noConversion"/>
  </si>
  <si>
    <t>自同</t>
    <phoneticPr fontId="1" type="noConversion"/>
  </si>
  <si>
    <t>生醫</t>
    <phoneticPr fontId="1" type="noConversion"/>
  </si>
  <si>
    <t>台境</t>
  </si>
  <si>
    <t>生泰</t>
  </si>
  <si>
    <t>志豐</t>
  </si>
  <si>
    <t>同協</t>
  </si>
  <si>
    <t>科懋</t>
  </si>
  <si>
    <t>寬宏藝術</t>
  </si>
  <si>
    <t>美好證</t>
  </si>
  <si>
    <t>老爺知</t>
  </si>
  <si>
    <t>邁達康</t>
  </si>
  <si>
    <t>安心</t>
  </si>
  <si>
    <t>大詠城</t>
  </si>
  <si>
    <t>關中</t>
  </si>
  <si>
    <t>3.28</t>
    <phoneticPr fontId="1" type="noConversion"/>
  </si>
  <si>
    <t>外券</t>
    <phoneticPr fontId="1" type="noConversion"/>
  </si>
  <si>
    <t>外同</t>
    <phoneticPr fontId="1" type="noConversion"/>
  </si>
  <si>
    <t>11.43</t>
    <phoneticPr fontId="1" type="noConversion"/>
  </si>
  <si>
    <t>19.82</t>
    <phoneticPr fontId="1" type="noConversion"/>
  </si>
  <si>
    <t>融借</t>
    <phoneticPr fontId="1" type="noConversion"/>
  </si>
  <si>
    <t>農科</t>
    <phoneticPr fontId="1" type="noConversion"/>
  </si>
  <si>
    <t>0.88</t>
    <phoneticPr fontId="1" type="noConversion"/>
  </si>
  <si>
    <t>台灣精銳</t>
    <phoneticPr fontId="1" type="noConversion"/>
  </si>
  <si>
    <t>和淞</t>
    <phoneticPr fontId="1" type="noConversion"/>
  </si>
  <si>
    <t>廠房工程國化轉投資</t>
    <phoneticPr fontId="1" type="noConversion"/>
  </si>
  <si>
    <t>齒輪減速機</t>
    <phoneticPr fontId="1" type="noConversion"/>
  </si>
  <si>
    <t>家俱</t>
    <phoneticPr fontId="1" type="noConversion"/>
  </si>
  <si>
    <t>昨量</t>
    <phoneticPr fontId="1" type="noConversion"/>
  </si>
  <si>
    <t>漲跌</t>
    <phoneticPr fontId="1" type="noConversion"/>
  </si>
  <si>
    <t>來頡</t>
    <phoneticPr fontId="1" type="noConversion"/>
  </si>
  <si>
    <t>電源管理IC</t>
    <phoneticPr fontId="1" type="noConversion"/>
  </si>
  <si>
    <t>6.27</t>
    <phoneticPr fontId="1" type="noConversion"/>
  </si>
  <si>
    <t>4.48</t>
    <phoneticPr fontId="1" type="noConversion"/>
  </si>
  <si>
    <t>投信持股比例</t>
    <phoneticPr fontId="1" type="noConversion"/>
  </si>
  <si>
    <t>外</t>
    <phoneticPr fontId="1" type="noConversion"/>
  </si>
  <si>
    <t>自</t>
    <phoneticPr fontId="1" type="noConversion"/>
  </si>
  <si>
    <t>融</t>
    <phoneticPr fontId="1" type="noConversion"/>
  </si>
  <si>
    <t>投</t>
    <phoneticPr fontId="1" type="noConversion"/>
  </si>
  <si>
    <t>外盈4</t>
    <phoneticPr fontId="1" type="noConversion"/>
  </si>
  <si>
    <t>投現在價</t>
    <phoneticPr fontId="1" type="noConversion"/>
  </si>
  <si>
    <t>無</t>
  </si>
  <si>
    <t>融資使用率</t>
    <phoneticPr fontId="1" type="noConversion"/>
  </si>
  <si>
    <t>外資持股比例</t>
    <phoneticPr fontId="1" type="noConversion"/>
  </si>
  <si>
    <t>自營商持股比例</t>
    <phoneticPr fontId="1" type="noConversion"/>
  </si>
  <si>
    <t>融資排名</t>
    <phoneticPr fontId="1" type="noConversion"/>
  </si>
  <si>
    <t>外資排名</t>
    <phoneticPr fontId="1" type="noConversion"/>
  </si>
  <si>
    <t>自營商排名</t>
    <phoneticPr fontId="1" type="noConversion"/>
  </si>
  <si>
    <t>投信排名</t>
    <phoneticPr fontId="1" type="noConversion"/>
  </si>
  <si>
    <t>永彰</t>
  </si>
  <si>
    <t>晟楠</t>
  </si>
  <si>
    <t>港建</t>
  </si>
  <si>
    <t>富致</t>
  </si>
  <si>
    <t>韋僑</t>
  </si>
  <si>
    <t>微端</t>
  </si>
  <si>
    <t>凱衛</t>
  </si>
  <si>
    <t>馬光-KY</t>
  </si>
  <si>
    <t>晉泰</t>
  </si>
  <si>
    <t>富驊</t>
  </si>
  <si>
    <t>花王</t>
  </si>
  <si>
    <t>大車隊</t>
  </si>
  <si>
    <t>創威</t>
  </si>
  <si>
    <t>業旺</t>
  </si>
  <si>
    <t>宏大</t>
  </si>
  <si>
    <t>來思達</t>
  </si>
  <si>
    <t>育富</t>
  </si>
  <si>
    <t>欣技</t>
  </si>
  <si>
    <t>森寶</t>
  </si>
  <si>
    <t>星雲</t>
  </si>
  <si>
    <t>健信</t>
  </si>
  <si>
    <t>亞洲藏壽司</t>
  </si>
  <si>
    <t>大峽谷-KY</t>
  </si>
  <si>
    <t>東生華</t>
  </si>
  <si>
    <t>紅木-KY</t>
  </si>
  <si>
    <t>豐謙</t>
  </si>
  <si>
    <t>新洲</t>
  </si>
  <si>
    <t>寶利徠</t>
  </si>
  <si>
    <t>業強</t>
  </si>
  <si>
    <t>台聯電</t>
  </si>
  <si>
    <t>時報</t>
  </si>
  <si>
    <t>光菱</t>
  </si>
  <si>
    <t>精湛</t>
  </si>
  <si>
    <t>亞矽</t>
  </si>
  <si>
    <t>長佳</t>
  </si>
  <si>
    <t>通泰</t>
  </si>
  <si>
    <t>隆中</t>
  </si>
  <si>
    <t>強生</t>
  </si>
  <si>
    <t>冠好</t>
  </si>
  <si>
    <t>凌網</t>
  </si>
  <si>
    <t>慶生</t>
  </si>
  <si>
    <t>彩富</t>
  </si>
  <si>
    <t>聚紡</t>
  </si>
  <si>
    <t>旭然</t>
  </si>
  <si>
    <t>華盈</t>
  </si>
  <si>
    <t>耀億</t>
  </si>
  <si>
    <t>至寶電</t>
  </si>
  <si>
    <t>李洲</t>
  </si>
  <si>
    <t>謚源</t>
  </si>
  <si>
    <t>瑞穎</t>
  </si>
  <si>
    <t>大恭</t>
  </si>
  <si>
    <t>富宇</t>
  </si>
  <si>
    <t>威潤</t>
  </si>
  <si>
    <t>中連</t>
  </si>
  <si>
    <t>科嶠</t>
  </si>
  <si>
    <t>勁豐</t>
  </si>
  <si>
    <t>漢來美食</t>
  </si>
  <si>
    <t>泓瀚</t>
  </si>
  <si>
    <t>先益</t>
  </si>
  <si>
    <t>風青</t>
  </si>
  <si>
    <t>台聯櫃</t>
  </si>
  <si>
    <t>富強</t>
  </si>
  <si>
    <t>理銘</t>
  </si>
  <si>
    <t>三豐</t>
  </si>
  <si>
    <t>力泰</t>
  </si>
  <si>
    <t>金穎生技</t>
  </si>
  <si>
    <t>世坤</t>
  </si>
  <si>
    <t>至興</t>
  </si>
  <si>
    <t>欣泰</t>
  </si>
  <si>
    <t>立益</t>
  </si>
  <si>
    <t>幸康</t>
  </si>
  <si>
    <t>2.35</t>
    <phoneticPr fontId="1" type="noConversion"/>
  </si>
  <si>
    <t>自借</t>
    <phoneticPr fontId="1" type="noConversion"/>
  </si>
  <si>
    <t>借融還劵</t>
    <phoneticPr fontId="1" type="noConversion"/>
  </si>
  <si>
    <t>車用鋁鑄件敏實集團旗下</t>
    <phoneticPr fontId="1" type="noConversion"/>
  </si>
  <si>
    <t>5月22年</t>
    <phoneticPr fontId="1" type="noConversion"/>
  </si>
  <si>
    <t>22.63</t>
    <phoneticPr fontId="1" type="noConversion"/>
  </si>
  <si>
    <t>21.12</t>
    <phoneticPr fontId="1" type="noConversion"/>
  </si>
  <si>
    <t>15.76</t>
    <phoneticPr fontId="1" type="noConversion"/>
  </si>
  <si>
    <t>9.62</t>
    <phoneticPr fontId="1" type="noConversion"/>
  </si>
  <si>
    <t>3.77</t>
    <phoneticPr fontId="1" type="noConversion"/>
  </si>
  <si>
    <t>4.4</t>
    <phoneticPr fontId="1" type="noConversion"/>
  </si>
  <si>
    <t>1.75</t>
    <phoneticPr fontId="1" type="noConversion"/>
  </si>
  <si>
    <t>20.05</t>
    <phoneticPr fontId="1" type="noConversion"/>
  </si>
  <si>
    <t>量增減%</t>
    <phoneticPr fontId="1" type="noConversion"/>
  </si>
  <si>
    <t>2022年5月</t>
    <phoneticPr fontId="1" type="noConversion"/>
  </si>
  <si>
    <t>外</t>
    <phoneticPr fontId="1" type="noConversion"/>
  </si>
  <si>
    <t>3自</t>
    <phoneticPr fontId="1" type="noConversion"/>
  </si>
  <si>
    <t>融</t>
    <phoneticPr fontId="1" type="noConversion"/>
  </si>
  <si>
    <t>融資買</t>
    <phoneticPr fontId="1" type="noConversion"/>
  </si>
  <si>
    <t>外資買</t>
    <phoneticPr fontId="1" type="noConversion"/>
  </si>
  <si>
    <t>自營買</t>
    <phoneticPr fontId="1" type="noConversion"/>
  </si>
  <si>
    <t>投信買</t>
    <phoneticPr fontId="1" type="noConversion"/>
  </si>
  <si>
    <t>借劵回補</t>
    <phoneticPr fontId="1" type="noConversion"/>
  </si>
  <si>
    <t>融資賣</t>
    <phoneticPr fontId="1" type="noConversion"/>
  </si>
  <si>
    <t>外資賣</t>
    <phoneticPr fontId="1" type="noConversion"/>
  </si>
  <si>
    <t>自營賣</t>
    <phoneticPr fontId="1" type="noConversion"/>
  </si>
  <si>
    <t>投信賣</t>
    <phoneticPr fontId="1" type="noConversion"/>
  </si>
  <si>
    <t>借劵增加</t>
    <phoneticPr fontId="1" type="noConversion"/>
  </si>
  <si>
    <t>買2</t>
    <phoneticPr fontId="1" type="noConversion"/>
  </si>
  <si>
    <t>賣2</t>
    <phoneticPr fontId="1" type="noConversion"/>
  </si>
  <si>
    <t>融資連買</t>
    <phoneticPr fontId="1" type="noConversion"/>
  </si>
  <si>
    <t>外資連買</t>
    <phoneticPr fontId="1" type="noConversion"/>
  </si>
  <si>
    <t>自營連買</t>
    <phoneticPr fontId="1" type="noConversion"/>
  </si>
  <si>
    <t>投信連買</t>
    <phoneticPr fontId="1" type="noConversion"/>
  </si>
  <si>
    <t>借券連賣</t>
    <phoneticPr fontId="1" type="noConversion"/>
  </si>
  <si>
    <t>融券連賣</t>
    <phoneticPr fontId="1" type="noConversion"/>
  </si>
  <si>
    <t>融資連賣</t>
    <phoneticPr fontId="1" type="noConversion"/>
  </si>
  <si>
    <t>外資連賣</t>
    <phoneticPr fontId="1" type="noConversion"/>
  </si>
  <si>
    <t>自營連賣</t>
    <phoneticPr fontId="1" type="noConversion"/>
  </si>
  <si>
    <t>投信連賣</t>
    <phoneticPr fontId="1" type="noConversion"/>
  </si>
  <si>
    <t>借券連買</t>
    <phoneticPr fontId="1" type="noConversion"/>
  </si>
  <si>
    <t>融券連買</t>
    <phoneticPr fontId="1" type="noConversion"/>
  </si>
  <si>
    <t>越峰</t>
  </si>
  <si>
    <t>買總</t>
    <phoneticPr fontId="1" type="noConversion"/>
  </si>
  <si>
    <t>賣總</t>
    <phoneticPr fontId="1" type="noConversion"/>
  </si>
  <si>
    <t>投信沒有持股的股票不要買</t>
    <phoneticPr fontId="1" type="noConversion"/>
  </si>
  <si>
    <t>周KD</t>
    <phoneticPr fontId="1" type="noConversion"/>
  </si>
  <si>
    <t>56.8</t>
    <phoneticPr fontId="1" type="noConversion"/>
  </si>
  <si>
    <t>自投</t>
  </si>
  <si>
    <t>投同</t>
    <phoneticPr fontId="1" type="noConversion"/>
  </si>
  <si>
    <t>投借同</t>
    <phoneticPr fontId="1" type="noConversion"/>
  </si>
  <si>
    <t>外</t>
  </si>
  <si>
    <t>自</t>
  </si>
  <si>
    <t>金麗科</t>
  </si>
  <si>
    <t>長聖</t>
  </si>
  <si>
    <t>6投</t>
  </si>
  <si>
    <t>6自</t>
  </si>
  <si>
    <t>投</t>
  </si>
  <si>
    <t>外借</t>
  </si>
  <si>
    <t>5自</t>
  </si>
  <si>
    <t>3融</t>
  </si>
  <si>
    <t>融</t>
  </si>
  <si>
    <t>FITXN*1</t>
    <phoneticPr fontId="1" type="noConversion"/>
  </si>
  <si>
    <t>台指期</t>
    <phoneticPr fontId="1" type="noConversion"/>
  </si>
  <si>
    <t>大飲</t>
  </si>
  <si>
    <t>富林-KY</t>
  </si>
  <si>
    <t>宏洲</t>
  </si>
  <si>
    <t>東華</t>
  </si>
  <si>
    <t>大魯閣</t>
  </si>
  <si>
    <t>中福</t>
  </si>
  <si>
    <t>大東</t>
  </si>
  <si>
    <t>昶和</t>
  </si>
  <si>
    <t>首利</t>
  </si>
  <si>
    <t>三洋實業</t>
  </si>
  <si>
    <t>正道</t>
  </si>
  <si>
    <t>瑞利</t>
  </si>
  <si>
    <t>正峰</t>
  </si>
  <si>
    <t>億泰</t>
  </si>
  <si>
    <t>合世</t>
  </si>
  <si>
    <t>易威</t>
  </si>
  <si>
    <t>寶徠</t>
  </si>
  <si>
    <t>聚亨</t>
  </si>
  <si>
    <t>千興</t>
  </si>
  <si>
    <t>嘉鋼</t>
  </si>
  <si>
    <t>裕日車</t>
  </si>
  <si>
    <t>台揚</t>
  </si>
  <si>
    <t>東訊</t>
  </si>
  <si>
    <t>錸德</t>
  </si>
  <si>
    <t>倫飛</t>
  </si>
  <si>
    <t>虹光</t>
  </si>
  <si>
    <t>隴華</t>
  </si>
  <si>
    <t>銘旺科</t>
  </si>
  <si>
    <t>翔耀</t>
  </si>
  <si>
    <t>昶虹</t>
  </si>
  <si>
    <t>兆勁</t>
  </si>
  <si>
    <t>新建</t>
  </si>
  <si>
    <t>皇昌</t>
  </si>
  <si>
    <t>亞航</t>
  </si>
  <si>
    <t>晶悅</t>
  </si>
  <si>
    <t>燦星旅</t>
  </si>
  <si>
    <t>富驛-KY</t>
  </si>
  <si>
    <t>瓦城</t>
  </si>
  <si>
    <t>易飛網</t>
  </si>
  <si>
    <t>寒舍</t>
  </si>
  <si>
    <t>天蔥</t>
  </si>
  <si>
    <t>五福</t>
  </si>
  <si>
    <t>豆府</t>
  </si>
  <si>
    <t>揚秦</t>
  </si>
  <si>
    <t>鼎固-KY</t>
  </si>
  <si>
    <t>東凌-KY</t>
  </si>
  <si>
    <t>集雅社</t>
  </si>
  <si>
    <t>三商家購</t>
  </si>
  <si>
    <t>振宇五金</t>
  </si>
  <si>
    <t>今皓</t>
  </si>
  <si>
    <t>同開</t>
  </si>
  <si>
    <t>科風</t>
  </si>
  <si>
    <t>建碁</t>
  </si>
  <si>
    <t>喬鼎</t>
  </si>
  <si>
    <t>立德</t>
  </si>
  <si>
    <t>泰偉</t>
  </si>
  <si>
    <t>全域</t>
  </si>
  <si>
    <t>天方能源</t>
  </si>
  <si>
    <t>新零售</t>
  </si>
  <si>
    <t>億杰</t>
  </si>
  <si>
    <t>及成</t>
  </si>
  <si>
    <t>寶島極</t>
  </si>
  <si>
    <t>弘塑</t>
  </si>
  <si>
    <t>正達</t>
  </si>
  <si>
    <t>基亞</t>
  </si>
  <si>
    <t>和進</t>
  </si>
  <si>
    <t>晟鈦</t>
  </si>
  <si>
    <t>鑫創</t>
  </si>
  <si>
    <t>點晶</t>
  </si>
  <si>
    <t>聯德</t>
  </si>
  <si>
    <t>斐成</t>
  </si>
  <si>
    <t>同泰</t>
  </si>
  <si>
    <t>新世紀</t>
  </si>
  <si>
    <t>台興</t>
  </si>
  <si>
    <t>進泰電子</t>
  </si>
  <si>
    <t>誠研</t>
  </si>
  <si>
    <t>御頂</t>
  </si>
  <si>
    <t>迎輝</t>
  </si>
  <si>
    <t>誠創</t>
  </si>
  <si>
    <t>其陽</t>
  </si>
  <si>
    <t>大塚</t>
  </si>
  <si>
    <t>聯合再生</t>
  </si>
  <si>
    <t>力銘</t>
  </si>
  <si>
    <t>地心引力</t>
  </si>
  <si>
    <t>研勤</t>
  </si>
  <si>
    <t>駿熠電</t>
  </si>
  <si>
    <t>安瑞-KY</t>
  </si>
  <si>
    <t>亞太電</t>
  </si>
  <si>
    <t>榮昌</t>
  </si>
  <si>
    <t>達能</t>
  </si>
  <si>
    <t>連展投控</t>
  </si>
  <si>
    <t>新晶投控</t>
  </si>
  <si>
    <t>天良</t>
  </si>
  <si>
    <t>晶宇</t>
  </si>
  <si>
    <t>樂威科-KY</t>
  </si>
  <si>
    <t>創源</t>
  </si>
  <si>
    <t>福永生技</t>
  </si>
  <si>
    <t>安克</t>
  </si>
  <si>
    <t>杏國</t>
  </si>
  <si>
    <t>欣大健康</t>
  </si>
  <si>
    <t>勝昱</t>
  </si>
  <si>
    <t>福大</t>
  </si>
  <si>
    <t>飛寶企業</t>
  </si>
  <si>
    <t>元勝</t>
  </si>
  <si>
    <t>宜新實業</t>
  </si>
  <si>
    <t>宏易</t>
  </si>
  <si>
    <t>橙的</t>
  </si>
  <si>
    <t>唐鋒</t>
  </si>
  <si>
    <t>南璋</t>
  </si>
  <si>
    <t>永昕</t>
  </si>
  <si>
    <t>熒茂</t>
  </si>
  <si>
    <t>合一</t>
  </si>
  <si>
    <t>國碳科</t>
  </si>
  <si>
    <t>誠泰科技</t>
  </si>
  <si>
    <t>上品</t>
  </si>
  <si>
    <t>昇華</t>
  </si>
  <si>
    <t>聯光通</t>
  </si>
  <si>
    <t>德英</t>
  </si>
  <si>
    <t>欣厚-KY</t>
  </si>
  <si>
    <t>太極</t>
  </si>
  <si>
    <t>兆遠</t>
  </si>
  <si>
    <t>辣椒</t>
  </si>
  <si>
    <t>牧東</t>
  </si>
  <si>
    <t>科誠</t>
  </si>
  <si>
    <t>中茂</t>
  </si>
  <si>
    <t>新鼎</t>
  </si>
  <si>
    <t>寶碩</t>
  </si>
  <si>
    <t>全訊</t>
  </si>
  <si>
    <t>立凱-KY</t>
  </si>
  <si>
    <t>達輝-KY</t>
  </si>
  <si>
    <t>尚凡</t>
  </si>
  <si>
    <t>寶得利</t>
  </si>
  <si>
    <t>太欣</t>
  </si>
  <si>
    <t>系統電</t>
  </si>
  <si>
    <t>天剛</t>
  </si>
  <si>
    <t>世紀</t>
  </si>
  <si>
    <t>士開</t>
  </si>
  <si>
    <t>建榮</t>
  </si>
  <si>
    <t>立衛</t>
  </si>
  <si>
    <t>天揚</t>
  </si>
  <si>
    <t>系通</t>
  </si>
  <si>
    <t>佳總</t>
  </si>
  <si>
    <t>力麗店</t>
  </si>
  <si>
    <t>合正</t>
  </si>
  <si>
    <t>金利</t>
  </si>
  <si>
    <t>昇益</t>
  </si>
  <si>
    <t>凱鈺</t>
  </si>
  <si>
    <t>德宏</t>
  </si>
  <si>
    <t>慧友</t>
  </si>
  <si>
    <t>松普</t>
  </si>
  <si>
    <t>鉅陞</t>
  </si>
  <si>
    <t>劍湖山</t>
  </si>
  <si>
    <t>亞都</t>
  </si>
  <si>
    <t>台名</t>
  </si>
  <si>
    <t>寬魚國際</t>
  </si>
  <si>
    <t>合邦</t>
  </si>
  <si>
    <t>亞元</t>
  </si>
  <si>
    <t>星寶國際</t>
  </si>
  <si>
    <t>友勁</t>
  </si>
  <si>
    <t>得利影</t>
  </si>
  <si>
    <t>百一</t>
  </si>
  <si>
    <t>久正</t>
  </si>
  <si>
    <t>昱泉</t>
  </si>
  <si>
    <t>凌泰</t>
  </si>
  <si>
    <t>天品</t>
  </si>
  <si>
    <t>上揚</t>
  </si>
  <si>
    <t>天瀚</t>
  </si>
  <si>
    <t>全譜</t>
  </si>
  <si>
    <t>康呈</t>
  </si>
  <si>
    <t>易通展</t>
  </si>
  <si>
    <t>立康</t>
  </si>
  <si>
    <t>茂迪</t>
  </si>
  <si>
    <t>淇譽電</t>
  </si>
  <si>
    <t>百徽</t>
  </si>
  <si>
    <t>富裔</t>
  </si>
  <si>
    <t>元隆</t>
  </si>
  <si>
    <t>華上</t>
  </si>
  <si>
    <t>沛亨</t>
  </si>
  <si>
    <t>通訊-KY</t>
  </si>
  <si>
    <t>京晨科</t>
  </si>
  <si>
    <t>光麗-KY</t>
  </si>
  <si>
    <t>藥華藥</t>
  </si>
  <si>
    <t>弘煜科</t>
  </si>
  <si>
    <t>生華科</t>
  </si>
  <si>
    <t>啟發電</t>
  </si>
  <si>
    <t>明達醫</t>
  </si>
  <si>
    <t>順藥</t>
  </si>
  <si>
    <t>泰福-KY</t>
  </si>
  <si>
    <t>高端疫苗</t>
  </si>
  <si>
    <t>勝品</t>
  </si>
  <si>
    <t>欣普羅</t>
  </si>
  <si>
    <t>宏觀</t>
  </si>
  <si>
    <t>醫揚</t>
  </si>
  <si>
    <t>逸達</t>
  </si>
  <si>
    <t>東典光電</t>
  </si>
  <si>
    <t>台康生技</t>
  </si>
  <si>
    <t>普鴻</t>
  </si>
  <si>
    <t>台灣銘板</t>
  </si>
  <si>
    <t>慧智</t>
  </si>
  <si>
    <t>特昇-KY</t>
  </si>
  <si>
    <t>萬年清</t>
  </si>
  <si>
    <t>泰金-KY</t>
  </si>
  <si>
    <t>均華</t>
  </si>
  <si>
    <t>台生材</t>
  </si>
  <si>
    <t>威健生技</t>
  </si>
  <si>
    <t>樂斯科</t>
  </si>
  <si>
    <t>鑫創電子</t>
  </si>
  <si>
    <t>雍智科技</t>
  </si>
  <si>
    <t>安格</t>
  </si>
  <si>
    <t>安碁資訊</t>
  </si>
  <si>
    <t>東捷資訊</t>
  </si>
  <si>
    <t>軒郁</t>
  </si>
  <si>
    <t>應廣</t>
  </si>
  <si>
    <t>亞泰金屬</t>
  </si>
  <si>
    <t>上洋</t>
  </si>
  <si>
    <t>博晟生醫</t>
  </si>
  <si>
    <t>亨泰光</t>
  </si>
  <si>
    <t>智聯服務</t>
  </si>
  <si>
    <t>叡揚</t>
  </si>
  <si>
    <t>穩得</t>
  </si>
  <si>
    <t>達亞</t>
  </si>
  <si>
    <t>台微醫</t>
  </si>
  <si>
    <t>力積電</t>
  </si>
  <si>
    <t>詠業</t>
  </si>
  <si>
    <t>森崴能源</t>
  </si>
  <si>
    <t>邑錡</t>
  </si>
  <si>
    <t>意德士</t>
  </si>
  <si>
    <t>雷虎</t>
  </si>
  <si>
    <t>長園科</t>
  </si>
  <si>
    <t>凱碩</t>
  </si>
  <si>
    <t>志旭</t>
  </si>
  <si>
    <t>全達</t>
  </si>
  <si>
    <t>洛碁</t>
  </si>
  <si>
    <t>永利聯合</t>
  </si>
  <si>
    <t>巨虹</t>
  </si>
  <si>
    <t>華鎂鑫</t>
  </si>
  <si>
    <t>建暐</t>
  </si>
  <si>
    <t>保銳</t>
  </si>
  <si>
    <t>華冠</t>
  </si>
  <si>
    <t>智捷</t>
  </si>
  <si>
    <t>商丞</t>
  </si>
  <si>
    <t>生展</t>
  </si>
  <si>
    <t>尚茂</t>
  </si>
  <si>
    <t>商之器</t>
  </si>
  <si>
    <t>實威</t>
  </si>
  <si>
    <t>旭源</t>
  </si>
  <si>
    <t>保綠-KY</t>
  </si>
  <si>
    <t>大拓-KY</t>
  </si>
  <si>
    <t>夠麻吉</t>
  </si>
  <si>
    <t>沈氏</t>
  </si>
  <si>
    <t>愛地雅</t>
  </si>
  <si>
    <t>邦泰</t>
  </si>
  <si>
    <t>合騏</t>
  </si>
  <si>
    <t>新天地</t>
  </si>
  <si>
    <t>偉聯</t>
  </si>
  <si>
    <t>中視</t>
  </si>
  <si>
    <t>秋雨</t>
  </si>
  <si>
    <t>琉園</t>
  </si>
  <si>
    <t>萬國通</t>
  </si>
  <si>
    <t>股本</t>
    <phoneticPr fontId="1" type="noConversion"/>
  </si>
  <si>
    <t>稅後淨利成長率</t>
    <phoneticPr fontId="1" type="noConversion"/>
  </si>
  <si>
    <t>營業利益成長率</t>
    <phoneticPr fontId="1" type="noConversion"/>
  </si>
  <si>
    <t>營收年增率</t>
    <phoneticPr fontId="1" type="noConversion"/>
  </si>
  <si>
    <t>營收期增率</t>
    <phoneticPr fontId="1" type="noConversion"/>
  </si>
  <si>
    <t>現金+股票股利</t>
  </si>
  <si>
    <t>盈餘(4)</t>
    <phoneticPr fontId="1" type="noConversion"/>
  </si>
  <si>
    <t>周k</t>
    <phoneticPr fontId="1" type="noConversion"/>
  </si>
  <si>
    <t>6投</t>
    <phoneticPr fontId="1" type="noConversion"/>
  </si>
  <si>
    <t>6.25</t>
    <phoneticPr fontId="1" type="noConversion"/>
  </si>
  <si>
    <t>鈺鎧</t>
    <phoneticPr fontId="1" type="noConversion"/>
  </si>
  <si>
    <t>電感</t>
    <phoneticPr fontId="1" type="noConversion"/>
  </si>
  <si>
    <t>鼎基</t>
    <phoneticPr fontId="1" type="noConversion"/>
  </si>
  <si>
    <t>TPU</t>
    <phoneticPr fontId="1" type="noConversion"/>
  </si>
  <si>
    <t>月均量</t>
    <phoneticPr fontId="1" type="noConversion"/>
  </si>
  <si>
    <t>爆均量</t>
    <phoneticPr fontId="1" type="noConversion"/>
  </si>
  <si>
    <t>主力本比買</t>
    <phoneticPr fontId="1" type="noConversion"/>
  </si>
  <si>
    <t>主力本比賣</t>
    <phoneticPr fontId="1" type="noConversion"/>
  </si>
  <si>
    <t>主力連買</t>
    <phoneticPr fontId="1" type="noConversion"/>
  </si>
  <si>
    <t>主力連賣</t>
    <phoneticPr fontId="1" type="noConversion"/>
  </si>
  <si>
    <t>42借</t>
  </si>
  <si>
    <t>融借</t>
  </si>
  <si>
    <t>主</t>
  </si>
  <si>
    <t>昨爆量</t>
    <phoneticPr fontId="1" type="noConversion"/>
  </si>
  <si>
    <t>正基</t>
    <phoneticPr fontId="1" type="noConversion"/>
  </si>
  <si>
    <t>無線通訊正文轉投資</t>
    <phoneticPr fontId="1" type="noConversion"/>
  </si>
  <si>
    <t>組件</t>
  </si>
  <si>
    <t>鋰電池模組新普旗下</t>
  </si>
  <si>
    <t>半導</t>
  </si>
  <si>
    <t>世芯KY</t>
  </si>
  <si>
    <t>ASIC比特幣</t>
  </si>
  <si>
    <t>通信</t>
  </si>
  <si>
    <t>網通設備仁寶轉投資</t>
  </si>
  <si>
    <t>塑膠</t>
  </si>
  <si>
    <t>5大泛用樹脂台塑集團</t>
  </si>
  <si>
    <t>航運</t>
  </si>
  <si>
    <t>慧洋KY</t>
  </si>
  <si>
    <t>散裝船</t>
  </si>
  <si>
    <t>農科</t>
  </si>
  <si>
    <t>蝦類檢測</t>
  </si>
  <si>
    <t>IP聯電旗下</t>
  </si>
  <si>
    <t>矽晶圓</t>
  </si>
  <si>
    <t>晶圓代工聯電集團</t>
  </si>
  <si>
    <t>京元電</t>
  </si>
  <si>
    <t>封測</t>
  </si>
  <si>
    <t>靜電IC</t>
  </si>
  <si>
    <t>水泥</t>
  </si>
  <si>
    <t>自借</t>
  </si>
  <si>
    <t>水泥遠東旗下</t>
  </si>
  <si>
    <t>其他</t>
  </si>
  <si>
    <t>窗簾</t>
  </si>
  <si>
    <t>化工</t>
  </si>
  <si>
    <t>材料KY</t>
  </si>
  <si>
    <t>纖維絲</t>
  </si>
  <si>
    <t>PCB仁寶旗下</t>
  </si>
  <si>
    <t>譜瑞KY</t>
  </si>
  <si>
    <t>高速訊號IC</t>
  </si>
  <si>
    <t>觀光</t>
  </si>
  <si>
    <t>連鎖餐飲</t>
  </si>
  <si>
    <t>鋼鐵</t>
  </si>
  <si>
    <t>鋼結構長榮旗下</t>
  </si>
  <si>
    <t>IP台積電旗下</t>
  </si>
  <si>
    <t>MCU封測華新麗華旗下</t>
  </si>
  <si>
    <t>電腦</t>
  </si>
  <si>
    <t>POS新零售</t>
  </si>
  <si>
    <t>探針卡</t>
  </si>
  <si>
    <t>板卡比特幣</t>
  </si>
  <si>
    <t>電源風扇IC旗下大中</t>
  </si>
  <si>
    <t>外主</t>
  </si>
  <si>
    <t>海空貨運承攬</t>
  </si>
  <si>
    <t>電源管理IC</t>
  </si>
  <si>
    <t>生醫</t>
  </si>
  <si>
    <t>細胞療法</t>
  </si>
  <si>
    <t>*內部人增減0.5%用正四方形</t>
    <phoneticPr fontId="1" type="noConversion"/>
  </si>
  <si>
    <t>爆</t>
    <phoneticPr fontId="1" type="noConversion"/>
  </si>
  <si>
    <t>借券增減0.5%圓圈9</t>
    <phoneticPr fontId="1" type="noConversion"/>
  </si>
  <si>
    <t>融券增減0.2%圓圈7</t>
    <phoneticPr fontId="1" type="noConversion"/>
  </si>
  <si>
    <t>主外融增減0.5%</t>
    <phoneticPr fontId="1" type="noConversion"/>
  </si>
  <si>
    <t>投自增減0.2%</t>
    <phoneticPr fontId="1" type="noConversion"/>
  </si>
  <si>
    <t>奇鋐</t>
    <phoneticPr fontId="1" type="noConversion"/>
  </si>
  <si>
    <t>主</t>
    <phoneticPr fontId="1" type="noConversion"/>
  </si>
  <si>
    <t>6取消</t>
    <phoneticPr fontId="1" type="noConversion"/>
  </si>
  <si>
    <t>外投主</t>
    <phoneticPr fontId="1" type="noConversion"/>
  </si>
  <si>
    <t>義隆</t>
    <phoneticPr fontId="1" type="noConversion"/>
  </si>
  <si>
    <t>6取消</t>
    <phoneticPr fontId="1" type="noConversion"/>
  </si>
  <si>
    <t>外自主</t>
    <phoneticPr fontId="1" type="noConversion"/>
  </si>
  <si>
    <t>融同</t>
    <phoneticPr fontId="1" type="noConversion"/>
  </si>
  <si>
    <t>紫色爆量3天內</t>
    <phoneticPr fontId="1" type="noConversion"/>
  </si>
  <si>
    <t>45以上標註紅色</t>
    <phoneticPr fontId="1" type="noConversion"/>
  </si>
  <si>
    <t>62同</t>
    <phoneticPr fontId="1" type="noConversion"/>
  </si>
  <si>
    <t>本比</t>
    <phoneticPr fontId="1" type="noConversion"/>
  </si>
  <si>
    <t>融券回補</t>
    <phoneticPr fontId="1" type="noConversion"/>
  </si>
  <si>
    <t>融券增加</t>
    <phoneticPr fontId="1" type="noConversion"/>
  </si>
  <si>
    <t>同</t>
  </si>
  <si>
    <t>借</t>
    <phoneticPr fontId="1" type="noConversion"/>
  </si>
  <si>
    <t>同</t>
    <phoneticPr fontId="1" type="noConversion"/>
  </si>
  <si>
    <t>3融</t>
    <phoneticPr fontId="1" type="noConversion"/>
  </si>
  <si>
    <t>券</t>
    <phoneticPr fontId="1" type="noConversion"/>
  </si>
  <si>
    <t>同外</t>
    <phoneticPr fontId="1" type="noConversion"/>
  </si>
  <si>
    <t>2借</t>
    <phoneticPr fontId="1" type="noConversion"/>
  </si>
  <si>
    <t>主券</t>
    <phoneticPr fontId="1" type="noConversion"/>
  </si>
  <si>
    <t>主融</t>
    <phoneticPr fontId="1" type="noConversion"/>
  </si>
  <si>
    <t>融外借</t>
    <phoneticPr fontId="1" type="noConversion"/>
  </si>
  <si>
    <t>融外</t>
    <phoneticPr fontId="1" type="noConversion"/>
  </si>
  <si>
    <t>主外</t>
    <phoneticPr fontId="1" type="noConversion"/>
  </si>
  <si>
    <t>外借</t>
    <phoneticPr fontId="1" type="noConversion"/>
  </si>
  <si>
    <t>主投</t>
    <phoneticPr fontId="1" type="noConversion"/>
  </si>
  <si>
    <t>主借</t>
    <phoneticPr fontId="1" type="noConversion"/>
  </si>
  <si>
    <t>主外投</t>
    <phoneticPr fontId="1" type="noConversion"/>
  </si>
  <si>
    <t>主外借</t>
    <phoneticPr fontId="1" type="noConversion"/>
  </si>
  <si>
    <t>主外自</t>
    <phoneticPr fontId="1" type="noConversion"/>
  </si>
  <si>
    <t>主自</t>
    <phoneticPr fontId="1" type="noConversion"/>
  </si>
  <si>
    <t>6取消</t>
    <phoneticPr fontId="1" type="noConversion"/>
  </si>
  <si>
    <t>主</t>
    <phoneticPr fontId="1" type="noConversion"/>
  </si>
  <si>
    <t>6取消</t>
    <phoneticPr fontId="1" type="noConversion"/>
  </si>
  <si>
    <t>跳</t>
    <phoneticPr fontId="1" type="noConversion"/>
  </si>
  <si>
    <t>4/20排行前100名加碼、5/16新排名改成前200名</t>
    <phoneticPr fontId="1" type="noConversion"/>
  </si>
  <si>
    <t>IP矽智財</t>
  </si>
  <si>
    <t>6同借</t>
  </si>
  <si>
    <t>晶圓檢測探針</t>
  </si>
  <si>
    <t>25同投</t>
  </si>
  <si>
    <t>伺服器導軌</t>
  </si>
  <si>
    <t>太陽能長晶</t>
  </si>
  <si>
    <t>海運物流</t>
  </si>
  <si>
    <t>體溫血糖</t>
  </si>
  <si>
    <t>同主</t>
  </si>
  <si>
    <t>CIS力晶Omni Vision合資</t>
  </si>
  <si>
    <t>記憶體IC</t>
  </si>
  <si>
    <t>電機</t>
  </si>
  <si>
    <t>機車</t>
  </si>
  <si>
    <t>星期一</t>
    <phoneticPr fontId="1" type="noConversion"/>
  </si>
  <si>
    <t>星期二</t>
    <phoneticPr fontId="1" type="noConversion"/>
  </si>
  <si>
    <t>星期三</t>
    <phoneticPr fontId="1" type="noConversion"/>
  </si>
  <si>
    <t>星期四</t>
    <phoneticPr fontId="1" type="noConversion"/>
  </si>
  <si>
    <t>星期五</t>
    <phoneticPr fontId="1" type="noConversion"/>
  </si>
  <si>
    <t>前星期五</t>
    <phoneticPr fontId="1" type="noConversion"/>
  </si>
  <si>
    <t>斌</t>
    <phoneticPr fontId="1" type="noConversion"/>
  </si>
  <si>
    <t>投主</t>
    <phoneticPr fontId="1" type="noConversion"/>
  </si>
  <si>
    <t>投</t>
    <phoneticPr fontId="1" type="noConversion"/>
  </si>
  <si>
    <t>6取消同</t>
    <phoneticPr fontId="1" type="noConversion"/>
  </si>
  <si>
    <t>以上2022/5/13修改</t>
    <phoneticPr fontId="1" type="noConversion"/>
  </si>
  <si>
    <t>主</t>
    <phoneticPr fontId="1" type="noConversion"/>
  </si>
  <si>
    <t>大田</t>
    <phoneticPr fontId="1" type="noConversion"/>
  </si>
  <si>
    <t>外主</t>
    <phoneticPr fontId="1" type="noConversion"/>
  </si>
  <si>
    <t>投取消</t>
    <phoneticPr fontId="1" type="noConversion"/>
  </si>
  <si>
    <t>42主</t>
    <phoneticPr fontId="1" type="noConversion"/>
  </si>
  <si>
    <t>4主</t>
    <phoneticPr fontId="1" type="noConversion"/>
  </si>
  <si>
    <t>跌20%</t>
    <phoneticPr fontId="1" type="noConversion"/>
  </si>
  <si>
    <t>等分坐標</t>
    <phoneticPr fontId="1" type="noConversion"/>
  </si>
  <si>
    <t>低</t>
  </si>
  <si>
    <t>中</t>
  </si>
  <si>
    <t>高</t>
  </si>
  <si>
    <t>7融</t>
    <phoneticPr fontId="1" type="noConversion"/>
  </si>
  <si>
    <t>5借</t>
    <phoneticPr fontId="1" type="noConversion"/>
  </si>
  <si>
    <t>融券</t>
    <phoneticPr fontId="1" type="noConversion"/>
  </si>
  <si>
    <t>24借</t>
    <phoneticPr fontId="1" type="noConversion"/>
  </si>
  <si>
    <t>247主</t>
    <phoneticPr fontId="1" type="noConversion"/>
  </si>
  <si>
    <t>5券</t>
    <phoneticPr fontId="1" type="noConversion"/>
  </si>
  <si>
    <t>2同投</t>
    <phoneticPr fontId="1" type="noConversion"/>
  </si>
  <si>
    <t>9投</t>
    <phoneticPr fontId="1" type="noConversion"/>
  </si>
  <si>
    <t>46自投</t>
    <phoneticPr fontId="1" type="noConversion"/>
  </si>
  <si>
    <t>24外</t>
    <phoneticPr fontId="1" type="noConversion"/>
  </si>
  <si>
    <t>4597自</t>
    <phoneticPr fontId="1" type="noConversion"/>
  </si>
  <si>
    <t>2券</t>
    <phoneticPr fontId="1" type="noConversion"/>
  </si>
  <si>
    <t>同主外</t>
    <phoneticPr fontId="1" type="noConversion"/>
  </si>
  <si>
    <t>5主</t>
    <phoneticPr fontId="1" type="noConversion"/>
  </si>
  <si>
    <t>6融</t>
    <phoneticPr fontId="1" type="noConversion"/>
  </si>
  <si>
    <t>246同主投</t>
    <phoneticPr fontId="1" type="noConversion"/>
  </si>
  <si>
    <t>47借</t>
    <phoneticPr fontId="1" type="noConversion"/>
  </si>
  <si>
    <t>6借</t>
    <phoneticPr fontId="1" type="noConversion"/>
  </si>
  <si>
    <t>24主借</t>
    <phoneticPr fontId="1" type="noConversion"/>
  </si>
  <si>
    <t>5融</t>
    <phoneticPr fontId="1" type="noConversion"/>
  </si>
  <si>
    <t>24主外借券</t>
    <phoneticPr fontId="1" type="noConversion"/>
  </si>
  <si>
    <t>2主融</t>
    <phoneticPr fontId="1" type="noConversion"/>
  </si>
  <si>
    <t>外自借</t>
    <phoneticPr fontId="1" type="noConversion"/>
  </si>
  <si>
    <t>融借券</t>
    <phoneticPr fontId="1" type="noConversion"/>
  </si>
  <si>
    <t>主借券</t>
    <phoneticPr fontId="1" type="noConversion"/>
  </si>
  <si>
    <t>CIS封測國巨旗下</t>
  </si>
  <si>
    <t>二極體美國達爾大股東旗下晶圓廠亞昕</t>
  </si>
  <si>
    <t>二極體</t>
  </si>
  <si>
    <t>晶圓代工台積電旗下</t>
  </si>
  <si>
    <t>記憶體台塑旗下</t>
  </si>
  <si>
    <t>24主外借券</t>
  </si>
  <si>
    <t>MOSFET</t>
  </si>
  <si>
    <t>MOSFET華碩轉投資</t>
  </si>
  <si>
    <t>高頻被動元件</t>
  </si>
  <si>
    <t>線材連接元件</t>
  </si>
  <si>
    <t>商億KY</t>
  </si>
  <si>
    <t>家具</t>
  </si>
  <si>
    <t>捷敏KY</t>
  </si>
  <si>
    <t>功率封測</t>
  </si>
  <si>
    <t>陞逹科技</t>
  </si>
  <si>
    <t>風扇驅動IC</t>
  </si>
  <si>
    <t>面板驅動IC聯電旗下</t>
  </si>
  <si>
    <t>網路IC</t>
  </si>
  <si>
    <t>PCB</t>
  </si>
  <si>
    <t>MCU網路攝影機晶片凌陽旗下</t>
  </si>
  <si>
    <t>芮特KY</t>
  </si>
  <si>
    <t>天線昇達旗下</t>
  </si>
  <si>
    <t>電源供應器</t>
  </si>
  <si>
    <t>網路神腦投資</t>
  </si>
  <si>
    <t>10.33</t>
    <phoneticPr fontId="1" type="noConversion"/>
  </si>
  <si>
    <t>10.07</t>
    <phoneticPr fontId="1" type="noConversion"/>
  </si>
  <si>
    <t>3.64</t>
    <phoneticPr fontId="1" type="noConversion"/>
  </si>
</sst>
</file>

<file path=xl/styles.xml><?xml version="1.0" encoding="utf-8"?>
<styleSheet xmlns="http://schemas.openxmlformats.org/spreadsheetml/2006/main">
  <numFmts count="9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_);[Red]\(0.0\)"/>
    <numFmt numFmtId="180" formatCode="0_);[Red]\(0\)"/>
    <numFmt numFmtId="181" formatCode="0.0%"/>
    <numFmt numFmtId="182" formatCode="_-&quot;$&quot;* #,##0_-;\-&quot;$&quot;* #,##0_-;_-&quot;$&quot;* &quot;-&quot;??_-;_-@_-"/>
    <numFmt numFmtId="183" formatCode="0.00_ "/>
    <numFmt numFmtId="184" formatCode="_-* #,##0_-;\-* #,##0_-;_-* &quot;-&quot;??_-;_-@_-"/>
  </numFmts>
  <fonts count="53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2"/>
      <color rgb="FF0070C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00B050"/>
      <name val="新細明體"/>
      <family val="1"/>
      <charset val="136"/>
      <scheme val="minor"/>
    </font>
    <font>
      <b/>
      <sz val="12"/>
      <color rgb="FF7030A0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2"/>
      <color rgb="FF7030A0"/>
      <name val="新細明體"/>
      <family val="1"/>
      <charset val="136"/>
      <scheme val="minor"/>
    </font>
    <font>
      <sz val="12"/>
      <color rgb="FF00B050"/>
      <name val="新細明體"/>
      <family val="1"/>
      <charset val="136"/>
      <scheme val="minor"/>
    </font>
    <font>
      <b/>
      <sz val="10"/>
      <name val="新細明體"/>
      <family val="1"/>
      <charset val="136"/>
      <scheme val="minor"/>
    </font>
    <font>
      <b/>
      <sz val="10"/>
      <color rgb="FF7030A0"/>
      <name val="新細明體"/>
      <family val="1"/>
      <charset val="136"/>
      <scheme val="minor"/>
    </font>
    <font>
      <b/>
      <sz val="10"/>
      <color rgb="FFFF0000"/>
      <name val="新細明體"/>
      <family val="1"/>
      <charset val="136"/>
      <scheme val="minor"/>
    </font>
    <font>
      <u/>
      <sz val="11"/>
      <color theme="10"/>
      <name val="新細明體"/>
      <family val="1"/>
      <charset val="136"/>
    </font>
    <font>
      <b/>
      <sz val="10"/>
      <color rgb="FF0070C0"/>
      <name val="新細明體"/>
      <family val="1"/>
      <charset val="136"/>
      <scheme val="minor"/>
    </font>
    <font>
      <b/>
      <sz val="11"/>
      <color rgb="FFFF0000"/>
      <name val="新細明體"/>
      <family val="1"/>
      <charset val="136"/>
      <scheme val="minor"/>
    </font>
    <font>
      <b/>
      <sz val="11"/>
      <color rgb="FF00B050"/>
      <name val="新細明體"/>
      <family val="1"/>
      <charset val="136"/>
      <scheme val="minor"/>
    </font>
    <font>
      <sz val="11"/>
      <name val="新細明體"/>
      <family val="1"/>
      <charset val="136"/>
      <scheme val="minor"/>
    </font>
    <font>
      <sz val="11"/>
      <color rgb="FF0070C0"/>
      <name val="新細明體"/>
      <family val="1"/>
      <charset val="136"/>
      <scheme val="minor"/>
    </font>
    <font>
      <b/>
      <sz val="10"/>
      <color rgb="FF00B050"/>
      <name val="新細明體"/>
      <family val="1"/>
      <charset val="136"/>
      <scheme val="minor"/>
    </font>
    <font>
      <b/>
      <sz val="12"/>
      <color rgb="FFFFC000"/>
      <name val="新細明體"/>
      <family val="1"/>
      <charset val="136"/>
      <scheme val="minor"/>
    </font>
    <font>
      <sz val="12"/>
      <color rgb="FF00B0F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1"/>
      <color rgb="FF7030A0"/>
      <name val="新細明體"/>
      <family val="1"/>
      <charset val="136"/>
      <scheme val="minor"/>
    </font>
    <font>
      <b/>
      <sz val="12"/>
      <color rgb="FF00B0F0"/>
      <name val="新細明體"/>
      <family val="1"/>
      <charset val="136"/>
      <scheme val="minor"/>
    </font>
    <font>
      <sz val="12"/>
      <color rgb="FFFFC000"/>
      <name val="新細明體"/>
      <family val="1"/>
      <charset val="136"/>
      <scheme val="minor"/>
    </font>
    <font>
      <b/>
      <sz val="12"/>
      <color rgb="FF333333"/>
      <name val="新細明體"/>
      <family val="1"/>
      <charset val="136"/>
      <scheme val="minor"/>
    </font>
    <font>
      <sz val="11"/>
      <color rgb="FF7030A0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b/>
      <sz val="10"/>
      <color rgb="FF00B0F0"/>
      <name val="新細明體"/>
      <family val="1"/>
      <charset val="136"/>
      <scheme val="minor"/>
    </font>
    <font>
      <sz val="11"/>
      <color theme="1"/>
      <name val="新細明體"/>
      <family val="2"/>
      <charset val="136"/>
      <scheme val="minor"/>
    </font>
    <font>
      <b/>
      <sz val="11"/>
      <color rgb="FFFFC000"/>
      <name val="新細明體"/>
      <family val="1"/>
      <charset val="136"/>
      <scheme val="minor"/>
    </font>
    <font>
      <sz val="10"/>
      <color rgb="FF00B050"/>
      <name val="新細明體"/>
      <family val="1"/>
      <charset val="136"/>
      <scheme val="minor"/>
    </font>
    <font>
      <sz val="11"/>
      <color rgb="FF000000"/>
      <name val="新細明體"/>
      <family val="1"/>
      <charset val="136"/>
      <scheme val="minor"/>
    </font>
    <font>
      <u/>
      <sz val="11"/>
      <color theme="10"/>
      <name val="新細明體"/>
      <family val="1"/>
      <charset val="136"/>
      <scheme val="minor"/>
    </font>
    <font>
      <b/>
      <u/>
      <sz val="11"/>
      <color rgb="FFFF0000"/>
      <name val="新細明體"/>
      <family val="1"/>
      <charset val="136"/>
      <scheme val="minor"/>
    </font>
    <font>
      <sz val="11"/>
      <color rgb="FF00B050"/>
      <name val="新細明體"/>
      <family val="1"/>
      <charset val="136"/>
      <scheme val="minor"/>
    </font>
    <font>
      <sz val="10"/>
      <color rgb="FFFF0000"/>
      <name val="新細明體"/>
      <family val="1"/>
      <charset val="136"/>
      <scheme val="minor"/>
    </font>
    <font>
      <b/>
      <sz val="12"/>
      <color rgb="FFC00000"/>
      <name val="新細明體"/>
      <family val="1"/>
      <charset val="136"/>
      <scheme val="minor"/>
    </font>
    <font>
      <sz val="11"/>
      <color rgb="FFC00000"/>
      <name val="新細明體"/>
      <family val="1"/>
      <charset val="136"/>
      <scheme val="minor"/>
    </font>
    <font>
      <sz val="11"/>
      <color rgb="FFFFC000"/>
      <name val="新細明體"/>
      <family val="1"/>
      <charset val="136"/>
      <scheme val="minor"/>
    </font>
    <font>
      <b/>
      <sz val="11"/>
      <color rgb="FF00B0F0"/>
      <name val="新細明體"/>
      <family val="1"/>
      <charset val="136"/>
      <scheme val="minor"/>
    </font>
    <font>
      <b/>
      <sz val="12"/>
      <color rgb="FFFFC000"/>
      <name val="Microsoft YaHei"/>
      <family val="1"/>
      <charset val="134"/>
    </font>
    <font>
      <b/>
      <sz val="11"/>
      <color rgb="FF000000"/>
      <name val="新細明體"/>
      <family val="1"/>
      <charset val="136"/>
      <scheme val="minor"/>
    </font>
    <font>
      <b/>
      <sz val="12"/>
      <color rgb="FF000000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7" fillId="0" borderId="0" applyNumberFormat="0" applyFill="0" applyBorder="0" applyAlignment="0" applyProtection="0">
      <alignment vertical="top"/>
      <protection locked="0"/>
    </xf>
    <xf numFmtId="176" fontId="38" fillId="0" borderId="0" applyFont="0" applyFill="0" applyBorder="0" applyAlignment="0" applyProtection="0">
      <alignment vertical="center"/>
    </xf>
    <xf numFmtId="177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</cellStyleXfs>
  <cellXfs count="468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10" fontId="3" fillId="0" borderId="0" xfId="0" applyNumberFormat="1" applyFo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8" fontId="6" fillId="0" borderId="0" xfId="0" applyNumberFormat="1" applyFont="1" applyAlignment="1">
      <alignment horizontal="right" vertical="center"/>
    </xf>
    <xf numFmtId="0" fontId="3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178" fontId="5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178" fontId="4" fillId="0" borderId="0" xfId="0" applyNumberFormat="1" applyFont="1">
      <alignment vertical="center"/>
    </xf>
    <xf numFmtId="178" fontId="2" fillId="0" borderId="0" xfId="0" applyNumberFormat="1" applyFont="1" applyAlignment="1">
      <alignment horizontal="center" vertical="center"/>
    </xf>
    <xf numFmtId="178" fontId="2" fillId="0" borderId="0" xfId="0" applyNumberFormat="1" applyFont="1">
      <alignment vertical="center"/>
    </xf>
    <xf numFmtId="0" fontId="9" fillId="0" borderId="0" xfId="0" applyFont="1">
      <alignment vertical="center"/>
    </xf>
    <xf numFmtId="178" fontId="6" fillId="0" borderId="0" xfId="0" applyNumberFormat="1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right" vertical="center"/>
    </xf>
    <xf numFmtId="0" fontId="5" fillId="0" borderId="0" xfId="0" applyFont="1">
      <alignment vertical="center"/>
    </xf>
    <xf numFmtId="10" fontId="2" fillId="0" borderId="0" xfId="0" applyNumberFormat="1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9" fontId="5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9" fontId="4" fillId="0" borderId="0" xfId="0" applyNumberFormat="1" applyFont="1" applyAlignment="1">
      <alignment horizontal="right" vertical="center"/>
    </xf>
    <xf numFmtId="180" fontId="5" fillId="0" borderId="0" xfId="0" applyNumberFormat="1" applyFont="1" applyAlignment="1">
      <alignment horizontal="center" vertical="center"/>
    </xf>
    <xf numFmtId="180" fontId="11" fillId="0" borderId="0" xfId="0" applyNumberFormat="1" applyFont="1" applyAlignment="1">
      <alignment horizontal="right" vertical="center"/>
    </xf>
    <xf numFmtId="178" fontId="11" fillId="0" borderId="0" xfId="0" applyNumberFormat="1" applyFont="1">
      <alignment vertical="center"/>
    </xf>
    <xf numFmtId="10" fontId="11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180" fontId="13" fillId="0" borderId="0" xfId="0" applyNumberFormat="1" applyFont="1" applyAlignment="1">
      <alignment horizontal="right" vertical="center"/>
    </xf>
    <xf numFmtId="178" fontId="13" fillId="0" borderId="0" xfId="0" applyNumberFormat="1" applyFont="1" applyAlignment="1">
      <alignment horizontal="right" vertical="center"/>
    </xf>
    <xf numFmtId="178" fontId="10" fillId="0" borderId="0" xfId="0" applyNumberFormat="1" applyFont="1" applyAlignment="1">
      <alignment horizontal="right" vertical="center"/>
    </xf>
    <xf numFmtId="178" fontId="4" fillId="0" borderId="0" xfId="0" applyNumberFormat="1" applyFont="1" applyAlignment="1">
      <alignment horizontal="right" vertical="center"/>
    </xf>
    <xf numFmtId="49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49" fontId="11" fillId="0" borderId="0" xfId="0" applyNumberFormat="1" applyFont="1">
      <alignment vertical="center"/>
    </xf>
    <xf numFmtId="0" fontId="10" fillId="0" borderId="0" xfId="0" applyFont="1">
      <alignment vertical="center"/>
    </xf>
    <xf numFmtId="178" fontId="6" fillId="0" borderId="0" xfId="0" applyNumberFormat="1" applyFont="1">
      <alignment vertical="center"/>
    </xf>
    <xf numFmtId="49" fontId="6" fillId="0" borderId="0" xfId="0" applyNumberFormat="1" applyFont="1" applyAlignment="1">
      <alignment horizontal="left" vertical="center"/>
    </xf>
    <xf numFmtId="180" fontId="6" fillId="0" borderId="0" xfId="0" applyNumberFormat="1" applyFont="1" applyAlignment="1">
      <alignment horizontal="right" vertical="center"/>
    </xf>
    <xf numFmtId="180" fontId="4" fillId="0" borderId="0" xfId="0" applyNumberFormat="1" applyFont="1" applyAlignment="1">
      <alignment horizontal="right" vertical="center"/>
    </xf>
    <xf numFmtId="49" fontId="5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4" fontId="5" fillId="0" borderId="0" xfId="0" applyNumberFormat="1" applyFont="1">
      <alignment vertical="center"/>
    </xf>
    <xf numFmtId="10" fontId="5" fillId="0" borderId="0" xfId="0" applyNumberFormat="1" applyFont="1">
      <alignment vertical="center"/>
    </xf>
    <xf numFmtId="14" fontId="5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right" vertical="center"/>
    </xf>
    <xf numFmtId="178" fontId="9" fillId="0" borderId="0" xfId="0" applyNumberFormat="1" applyFont="1" applyAlignment="1">
      <alignment horizontal="right" vertical="center"/>
    </xf>
    <xf numFmtId="178" fontId="2" fillId="0" borderId="0" xfId="0" applyNumberFormat="1" applyFont="1" applyAlignment="1">
      <alignment horizontal="left" vertical="center"/>
    </xf>
    <xf numFmtId="0" fontId="11" fillId="0" borderId="0" xfId="0" applyFont="1">
      <alignment vertical="center"/>
    </xf>
    <xf numFmtId="49" fontId="5" fillId="0" borderId="0" xfId="0" applyNumberFormat="1" applyFont="1">
      <alignment vertical="center"/>
    </xf>
    <xf numFmtId="178" fontId="5" fillId="0" borderId="0" xfId="0" applyNumberFormat="1" applyFont="1" applyAlignment="1">
      <alignment horizontal="left" vertical="center"/>
    </xf>
    <xf numFmtId="178" fontId="5" fillId="0" borderId="0" xfId="0" applyNumberFormat="1" applyFont="1" applyAlignment="1">
      <alignment horizontal="right" vertical="center"/>
    </xf>
    <xf numFmtId="10" fontId="7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178" fontId="7" fillId="0" borderId="0" xfId="0" applyNumberFormat="1" applyFont="1" applyAlignment="1">
      <alignment vertical="center"/>
    </xf>
    <xf numFmtId="178" fontId="7" fillId="0" borderId="0" xfId="0" applyNumberFormat="1" applyFont="1">
      <alignment vertical="center"/>
    </xf>
    <xf numFmtId="178" fontId="9" fillId="0" borderId="0" xfId="0" applyNumberFormat="1" applyFont="1" applyAlignment="1">
      <alignment horizontal="left" vertical="center"/>
    </xf>
    <xf numFmtId="178" fontId="9" fillId="0" borderId="0" xfId="0" applyNumberFormat="1" applyFont="1" applyAlignment="1">
      <alignment horizontal="center" vertical="center"/>
    </xf>
    <xf numFmtId="178" fontId="6" fillId="0" borderId="0" xfId="0" applyNumberFormat="1" applyFont="1" applyAlignment="1">
      <alignment horizontal="left" vertical="center"/>
    </xf>
    <xf numFmtId="178" fontId="5" fillId="0" borderId="0" xfId="0" applyNumberFormat="1" applyFont="1">
      <alignment vertical="center"/>
    </xf>
    <xf numFmtId="14" fontId="6" fillId="0" borderId="0" xfId="0" applyNumberFormat="1" applyFont="1" applyAlignment="1">
      <alignment horizontal="right" vertical="center"/>
    </xf>
    <xf numFmtId="14" fontId="8" fillId="0" borderId="0" xfId="0" applyNumberFormat="1" applyFont="1" applyAlignment="1">
      <alignment horizontal="right" vertical="center"/>
    </xf>
    <xf numFmtId="179" fontId="6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13" fillId="0" borderId="0" xfId="0" applyNumberFormat="1" applyFont="1">
      <alignment vertical="center"/>
    </xf>
    <xf numFmtId="10" fontId="13" fillId="0" borderId="0" xfId="0" applyNumberFormat="1" applyFont="1">
      <alignment vertical="center"/>
    </xf>
    <xf numFmtId="180" fontId="21" fillId="0" borderId="0" xfId="0" applyNumberFormat="1" applyFont="1" applyAlignment="1">
      <alignment horizontal="right" vertical="center"/>
    </xf>
    <xf numFmtId="180" fontId="11" fillId="0" borderId="0" xfId="0" applyNumberFormat="1" applyFont="1" applyAlignment="1">
      <alignment horizontal="center" vertical="center"/>
    </xf>
    <xf numFmtId="0" fontId="6" fillId="0" borderId="0" xfId="0" applyNumberFormat="1" applyFont="1" applyAlignment="1">
      <alignment horizontal="right" vertical="center"/>
    </xf>
    <xf numFmtId="0" fontId="8" fillId="0" borderId="0" xfId="0" applyNumberFormat="1" applyFont="1" applyAlignment="1">
      <alignment horizontal="right" vertical="center"/>
    </xf>
    <xf numFmtId="0" fontId="4" fillId="0" borderId="0" xfId="0" applyNumberFormat="1" applyFont="1" applyAlignment="1">
      <alignment horizontal="right" vertical="center"/>
    </xf>
    <xf numFmtId="0" fontId="2" fillId="0" borderId="0" xfId="0" applyNumberFormat="1" applyFont="1">
      <alignment vertical="center"/>
    </xf>
    <xf numFmtId="14" fontId="13" fillId="0" borderId="0" xfId="0" applyNumberFormat="1" applyFont="1" applyAlignment="1">
      <alignment horizontal="right" vertical="center"/>
    </xf>
    <xf numFmtId="14" fontId="7" fillId="0" borderId="0" xfId="0" applyNumberFormat="1" applyFont="1" applyAlignment="1">
      <alignment horizontal="right" vertical="center"/>
    </xf>
    <xf numFmtId="178" fontId="11" fillId="0" borderId="0" xfId="0" applyNumberFormat="1" applyFont="1" applyAlignment="1">
      <alignment horizontal="left" vertical="center"/>
    </xf>
    <xf numFmtId="14" fontId="25" fillId="0" borderId="0" xfId="0" applyNumberFormat="1" applyFont="1" applyAlignment="1">
      <alignment horizontal="right" vertical="center"/>
    </xf>
    <xf numFmtId="49" fontId="7" fillId="0" borderId="0" xfId="0" applyNumberFormat="1" applyFont="1" applyAlignment="1">
      <alignment horizontal="center" vertical="center"/>
    </xf>
    <xf numFmtId="179" fontId="26" fillId="0" borderId="0" xfId="0" applyNumberFormat="1" applyFont="1" applyAlignment="1">
      <alignment horizontal="center" vertical="center"/>
    </xf>
    <xf numFmtId="49" fontId="24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right" vertical="center"/>
    </xf>
    <xf numFmtId="0" fontId="3" fillId="0" borderId="0" xfId="0" applyNumberFormat="1" applyFont="1" applyAlignment="1">
      <alignment horizontal="right" vertical="center"/>
    </xf>
    <xf numFmtId="0" fontId="19" fillId="0" borderId="0" xfId="0" applyNumberFormat="1" applyFont="1" applyAlignment="1">
      <alignment horizontal="right" vertical="center"/>
    </xf>
    <xf numFmtId="0" fontId="23" fillId="0" borderId="0" xfId="0" applyNumberFormat="1" applyFont="1" applyAlignment="1">
      <alignment horizontal="right" vertical="center"/>
    </xf>
    <xf numFmtId="178" fontId="12" fillId="0" borderId="0" xfId="0" applyNumberFormat="1" applyFont="1" applyAlignment="1">
      <alignment horizontal="right" vertical="center"/>
    </xf>
    <xf numFmtId="0" fontId="24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49" fontId="16" fillId="0" borderId="0" xfId="0" applyNumberFormat="1" applyFont="1" applyAlignment="1">
      <alignment horizontal="left" vertical="center"/>
    </xf>
    <xf numFmtId="49" fontId="23" fillId="0" borderId="0" xfId="0" applyNumberFormat="1" applyFont="1" applyAlignment="1">
      <alignment horizontal="left" vertical="center"/>
    </xf>
    <xf numFmtId="49" fontId="16" fillId="0" borderId="0" xfId="0" applyNumberFormat="1" applyFont="1">
      <alignment vertical="center"/>
    </xf>
    <xf numFmtId="0" fontId="30" fillId="0" borderId="0" xfId="0" applyFont="1" applyAlignment="1">
      <alignment horizontal="center" vertical="center"/>
    </xf>
    <xf numFmtId="10" fontId="6" fillId="0" borderId="0" xfId="0" applyNumberFormat="1" applyFont="1" applyAlignment="1">
      <alignment horizontal="right" vertical="center"/>
    </xf>
    <xf numFmtId="0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vertical="center"/>
    </xf>
    <xf numFmtId="0" fontId="21" fillId="0" borderId="0" xfId="0" applyFont="1">
      <alignment vertical="center"/>
    </xf>
    <xf numFmtId="14" fontId="8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178" fontId="30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left" vertical="center"/>
    </xf>
    <xf numFmtId="49" fontId="19" fillId="0" borderId="0" xfId="0" applyNumberFormat="1" applyFont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49" fontId="20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14" fontId="12" fillId="0" borderId="0" xfId="0" applyNumberFormat="1" applyFont="1" applyAlignment="1">
      <alignment horizontal="right" vertical="center"/>
    </xf>
    <xf numFmtId="49" fontId="5" fillId="0" borderId="0" xfId="0" applyNumberFormat="1" applyFont="1" applyAlignment="1">
      <alignment horizontal="right" vertical="center"/>
    </xf>
    <xf numFmtId="49" fontId="11" fillId="0" borderId="0" xfId="0" applyNumberFormat="1" applyFont="1" applyAlignment="1">
      <alignment vertical="center"/>
    </xf>
    <xf numFmtId="49" fontId="5" fillId="0" borderId="0" xfId="0" applyNumberFormat="1" applyFont="1" applyAlignment="1">
      <alignment vertical="center"/>
    </xf>
    <xf numFmtId="49" fontId="11" fillId="0" borderId="0" xfId="0" applyNumberFormat="1" applyFont="1" applyAlignment="1">
      <alignment horizontal="left" vertical="center"/>
    </xf>
    <xf numFmtId="49" fontId="11" fillId="0" borderId="0" xfId="0" applyNumberFormat="1" applyFont="1" applyAlignment="1">
      <alignment horizontal="right" vertical="center"/>
    </xf>
    <xf numFmtId="49" fontId="2" fillId="0" borderId="0" xfId="0" applyNumberFormat="1" applyFont="1" applyAlignment="1">
      <alignment horizontal="left" vertical="center"/>
    </xf>
    <xf numFmtId="49" fontId="6" fillId="0" borderId="0" xfId="0" applyNumberFormat="1" applyFont="1">
      <alignment vertical="center"/>
    </xf>
    <xf numFmtId="49" fontId="3" fillId="0" borderId="0" xfId="0" applyNumberFormat="1" applyFont="1">
      <alignment vertical="center"/>
    </xf>
    <xf numFmtId="49" fontId="2" fillId="0" borderId="0" xfId="0" applyNumberFormat="1" applyFont="1">
      <alignment vertical="center"/>
    </xf>
    <xf numFmtId="49" fontId="13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right" vertical="center"/>
    </xf>
    <xf numFmtId="49" fontId="9" fillId="0" borderId="0" xfId="0" applyNumberFormat="1" applyFont="1" applyAlignment="1">
      <alignment horizontal="right" vertical="center"/>
    </xf>
    <xf numFmtId="49" fontId="19" fillId="0" borderId="0" xfId="0" applyNumberFormat="1" applyFont="1" applyAlignment="1">
      <alignment horizontal="center" vertical="center"/>
    </xf>
    <xf numFmtId="49" fontId="27" fillId="0" borderId="0" xfId="0" applyNumberFormat="1" applyFont="1">
      <alignment vertical="center"/>
    </xf>
    <xf numFmtId="49" fontId="19" fillId="0" borderId="0" xfId="0" applyNumberFormat="1" applyFont="1">
      <alignment vertical="center"/>
    </xf>
    <xf numFmtId="49" fontId="29" fillId="0" borderId="0" xfId="0" applyNumberFormat="1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179" fontId="29" fillId="0" borderId="0" xfId="0" applyNumberFormat="1" applyFont="1" applyAlignment="1">
      <alignment horizontal="right" vertical="center"/>
    </xf>
    <xf numFmtId="179" fontId="6" fillId="0" borderId="0" xfId="0" applyNumberFormat="1" applyFont="1" applyAlignment="1">
      <alignment horizontal="left" vertical="center"/>
    </xf>
    <xf numFmtId="49" fontId="23" fillId="0" borderId="0" xfId="0" applyNumberFormat="1" applyFont="1">
      <alignment vertical="center"/>
    </xf>
    <xf numFmtId="0" fontId="26" fillId="0" borderId="0" xfId="0" applyNumberFormat="1" applyFont="1" applyAlignment="1">
      <alignment horizontal="right" vertical="center"/>
    </xf>
    <xf numFmtId="179" fontId="2" fillId="0" borderId="0" xfId="0" applyNumberFormat="1" applyFont="1">
      <alignment vertical="center"/>
    </xf>
    <xf numFmtId="49" fontId="2" fillId="0" borderId="0" xfId="0" applyNumberFormat="1" applyFont="1" applyAlignment="1">
      <alignment horizontal="right" vertical="center"/>
    </xf>
    <xf numFmtId="0" fontId="32" fillId="0" borderId="0" xfId="0" applyFont="1">
      <alignment vertical="center"/>
    </xf>
    <xf numFmtId="49" fontId="15" fillId="0" borderId="0" xfId="0" applyNumberFormat="1" applyFont="1">
      <alignment vertical="center"/>
    </xf>
    <xf numFmtId="49" fontId="3" fillId="0" borderId="0" xfId="0" applyNumberFormat="1" applyFont="1" applyAlignment="1">
      <alignment horizontal="right" vertical="center"/>
    </xf>
    <xf numFmtId="49" fontId="12" fillId="0" borderId="0" xfId="0" applyNumberFormat="1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180" fontId="6" fillId="0" borderId="0" xfId="0" applyNumberFormat="1" applyFont="1">
      <alignment vertical="center"/>
    </xf>
    <xf numFmtId="14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10" fontId="8" fillId="0" borderId="0" xfId="0" applyNumberFormat="1" applyFont="1" applyAlignment="1">
      <alignment horizontal="right" vertical="center"/>
    </xf>
    <xf numFmtId="181" fontId="7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10" fontId="6" fillId="0" borderId="0" xfId="0" applyNumberFormat="1" applyFont="1" applyAlignment="1">
      <alignment vertical="center"/>
    </xf>
    <xf numFmtId="0" fontId="35" fillId="0" borderId="0" xfId="0" applyFont="1">
      <alignment vertical="center"/>
    </xf>
    <xf numFmtId="0" fontId="4" fillId="0" borderId="0" xfId="0" applyFont="1" applyAlignment="1">
      <alignment vertical="center"/>
    </xf>
    <xf numFmtId="181" fontId="3" fillId="0" borderId="0" xfId="0" applyNumberFormat="1" applyFont="1">
      <alignment vertical="center"/>
    </xf>
    <xf numFmtId="178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8" fontId="13" fillId="0" borderId="0" xfId="0" applyNumberFormat="1" applyFont="1" applyAlignment="1">
      <alignment vertical="center"/>
    </xf>
    <xf numFmtId="10" fontId="7" fillId="0" borderId="0" xfId="0" applyNumberFormat="1" applyFont="1" applyAlignment="1">
      <alignment vertical="center"/>
    </xf>
    <xf numFmtId="181" fontId="11" fillId="0" borderId="0" xfId="0" applyNumberFormat="1" applyFont="1">
      <alignment vertical="center"/>
    </xf>
    <xf numFmtId="49" fontId="12" fillId="0" borderId="0" xfId="0" applyNumberFormat="1" applyFont="1" applyAlignment="1">
      <alignment vertical="center"/>
    </xf>
    <xf numFmtId="178" fontId="10" fillId="0" borderId="0" xfId="0" applyNumberFormat="1" applyFont="1" applyAlignment="1">
      <alignment vertical="center"/>
    </xf>
    <xf numFmtId="178" fontId="2" fillId="0" borderId="0" xfId="0" applyNumberFormat="1" applyFont="1" applyAlignment="1">
      <alignment vertical="center"/>
    </xf>
    <xf numFmtId="49" fontId="3" fillId="0" borderId="0" xfId="0" applyNumberFormat="1" applyFont="1" applyAlignment="1">
      <alignment vertical="center"/>
    </xf>
    <xf numFmtId="10" fontId="13" fillId="0" borderId="0" xfId="0" applyNumberFormat="1" applyFont="1" applyAlignment="1">
      <alignment vertical="center"/>
    </xf>
    <xf numFmtId="178" fontId="4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49" fontId="16" fillId="0" borderId="0" xfId="0" applyNumberFormat="1" applyFont="1" applyAlignment="1">
      <alignment vertical="center"/>
    </xf>
    <xf numFmtId="49" fontId="23" fillId="0" borderId="0" xfId="0" applyNumberFormat="1" applyFont="1" applyAlignment="1">
      <alignment vertical="center"/>
    </xf>
    <xf numFmtId="181" fontId="12" fillId="0" borderId="0" xfId="0" applyNumberFormat="1" applyFont="1">
      <alignment vertical="center"/>
    </xf>
    <xf numFmtId="10" fontId="12" fillId="0" borderId="0" xfId="0" applyNumberFormat="1" applyFont="1">
      <alignment vertical="center"/>
    </xf>
    <xf numFmtId="0" fontId="3" fillId="0" borderId="0" xfId="0" applyFont="1" applyAlignment="1">
      <alignment vertical="center"/>
    </xf>
    <xf numFmtId="0" fontId="6" fillId="0" borderId="0" xfId="0" applyNumberFormat="1" applyFont="1" applyFill="1" applyAlignment="1">
      <alignment horizontal="right" vertical="center"/>
    </xf>
    <xf numFmtId="178" fontId="6" fillId="0" borderId="0" xfId="0" applyNumberFormat="1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78" fontId="2" fillId="0" borderId="0" xfId="0" applyNumberFormat="1" applyFont="1" applyFill="1">
      <alignment vertical="center"/>
    </xf>
    <xf numFmtId="180" fontId="11" fillId="0" borderId="0" xfId="0" applyNumberFormat="1" applyFont="1" applyFill="1" applyAlignment="1">
      <alignment horizontal="right" vertical="center"/>
    </xf>
    <xf numFmtId="49" fontId="15" fillId="0" borderId="0" xfId="0" applyNumberFormat="1" applyFont="1" applyAlignment="1">
      <alignment vertical="center"/>
    </xf>
    <xf numFmtId="178" fontId="8" fillId="0" borderId="0" xfId="0" applyNumberFormat="1" applyFont="1" applyAlignment="1">
      <alignment vertical="center"/>
    </xf>
    <xf numFmtId="178" fontId="16" fillId="0" borderId="0" xfId="0" applyNumberFormat="1" applyFont="1" applyAlignment="1">
      <alignment vertical="center"/>
    </xf>
    <xf numFmtId="178" fontId="15" fillId="0" borderId="0" xfId="0" applyNumberFormat="1" applyFont="1" applyAlignment="1">
      <alignment vertical="center"/>
    </xf>
    <xf numFmtId="178" fontId="23" fillId="0" borderId="0" xfId="0" applyNumberFormat="1" applyFont="1" applyAlignment="1">
      <alignment vertical="center"/>
    </xf>
    <xf numFmtId="178" fontId="18" fillId="0" borderId="0" xfId="0" applyNumberFormat="1" applyFont="1" applyAlignment="1">
      <alignment vertical="center"/>
    </xf>
    <xf numFmtId="14" fontId="8" fillId="0" borderId="0" xfId="0" applyNumberFormat="1" applyFont="1" applyAlignment="1">
      <alignment horizontal="left" vertical="center"/>
    </xf>
    <xf numFmtId="49" fontId="19" fillId="0" borderId="0" xfId="0" applyNumberFormat="1" applyFont="1" applyAlignment="1">
      <alignment vertical="center"/>
    </xf>
    <xf numFmtId="178" fontId="11" fillId="0" borderId="0" xfId="0" applyNumberFormat="1" applyFont="1" applyAlignment="1">
      <alignment vertical="center"/>
    </xf>
    <xf numFmtId="178" fontId="11" fillId="0" borderId="0" xfId="0" applyNumberFormat="1" applyFont="1" applyAlignment="1">
      <alignment horizontal="right" vertical="center"/>
    </xf>
    <xf numFmtId="0" fontId="36" fillId="0" borderId="0" xfId="0" applyFont="1">
      <alignment vertical="center"/>
    </xf>
    <xf numFmtId="178" fontId="7" fillId="0" borderId="0" xfId="0" applyNumberFormat="1" applyFont="1" applyAlignment="1">
      <alignment horizontal="left" vertical="center"/>
    </xf>
    <xf numFmtId="179" fontId="6" fillId="0" borderId="0" xfId="0" applyNumberFormat="1" applyFont="1">
      <alignment vertical="center"/>
    </xf>
    <xf numFmtId="180" fontId="7" fillId="0" borderId="0" xfId="0" applyNumberFormat="1" applyFont="1">
      <alignment vertical="center"/>
    </xf>
    <xf numFmtId="178" fontId="22" fillId="0" borderId="0" xfId="0" applyNumberFormat="1" applyFont="1">
      <alignment vertical="center"/>
    </xf>
    <xf numFmtId="14" fontId="6" fillId="0" borderId="0" xfId="0" applyNumberFormat="1" applyFont="1">
      <alignment vertical="center"/>
    </xf>
    <xf numFmtId="14" fontId="8" fillId="0" borderId="0" xfId="0" applyNumberFormat="1" applyFont="1">
      <alignment vertical="center"/>
    </xf>
    <xf numFmtId="0" fontId="14" fillId="0" borderId="0" xfId="0" applyNumberFormat="1" applyFont="1" applyAlignment="1">
      <alignment horizontal="right" vertical="center"/>
    </xf>
    <xf numFmtId="10" fontId="6" fillId="0" borderId="0" xfId="0" applyNumberFormat="1" applyFont="1">
      <alignment vertical="center"/>
    </xf>
    <xf numFmtId="49" fontId="20" fillId="0" borderId="0" xfId="0" applyNumberFormat="1" applyFont="1" applyAlignment="1">
      <alignment vertical="center"/>
    </xf>
    <xf numFmtId="14" fontId="8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49" fontId="12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180" fontId="6" fillId="0" borderId="0" xfId="0" applyNumberFormat="1" applyFont="1" applyAlignment="1">
      <alignment horizontal="left" vertical="center"/>
    </xf>
    <xf numFmtId="10" fontId="9" fillId="0" borderId="0" xfId="0" applyNumberFormat="1" applyFont="1" applyAlignment="1">
      <alignment vertical="center"/>
    </xf>
    <xf numFmtId="178" fontId="9" fillId="0" borderId="0" xfId="0" applyNumberFormat="1" applyFont="1" applyAlignment="1">
      <alignment vertical="center"/>
    </xf>
    <xf numFmtId="0" fontId="12" fillId="0" borderId="0" xfId="0" applyFont="1" applyAlignment="1">
      <alignment vertical="center"/>
    </xf>
    <xf numFmtId="178" fontId="7" fillId="0" borderId="0" xfId="0" applyNumberFormat="1" applyFont="1" applyAlignment="1">
      <alignment horizontal="right" vertical="center"/>
    </xf>
    <xf numFmtId="0" fontId="6" fillId="0" borderId="0" xfId="0" applyNumberFormat="1" applyFont="1">
      <alignment vertical="center"/>
    </xf>
    <xf numFmtId="49" fontId="2" fillId="0" borderId="0" xfId="0" applyNumberFormat="1" applyFont="1" applyAlignment="1">
      <alignment horizontal="center" vertical="center"/>
    </xf>
    <xf numFmtId="176" fontId="6" fillId="0" borderId="0" xfId="2" applyFont="1" applyAlignment="1">
      <alignment vertical="center"/>
    </xf>
    <xf numFmtId="176" fontId="6" fillId="0" borderId="0" xfId="2" applyFont="1">
      <alignment vertical="center"/>
    </xf>
    <xf numFmtId="182" fontId="4" fillId="0" borderId="0" xfId="2" applyNumberFormat="1" applyFont="1" applyAlignment="1">
      <alignment vertical="center"/>
    </xf>
    <xf numFmtId="183" fontId="29" fillId="0" borderId="0" xfId="0" applyNumberFormat="1" applyFont="1" applyAlignment="1">
      <alignment vertical="center"/>
    </xf>
    <xf numFmtId="183" fontId="39" fillId="0" borderId="0" xfId="0" applyNumberFormat="1" applyFont="1" applyAlignment="1">
      <alignment vertical="center"/>
    </xf>
    <xf numFmtId="178" fontId="12" fillId="0" borderId="0" xfId="0" applyNumberFormat="1" applyFont="1" applyAlignment="1">
      <alignment horizontal="left" vertical="center"/>
    </xf>
    <xf numFmtId="178" fontId="33" fillId="0" borderId="0" xfId="0" applyNumberFormat="1" applyFont="1">
      <alignment vertical="center"/>
    </xf>
    <xf numFmtId="178" fontId="12" fillId="0" borderId="0" xfId="0" applyNumberFormat="1" applyFont="1">
      <alignment vertical="center"/>
    </xf>
    <xf numFmtId="0" fontId="16" fillId="0" borderId="0" xfId="0" applyNumberFormat="1" applyFont="1" applyAlignment="1">
      <alignment horizontal="right" vertical="center"/>
    </xf>
    <xf numFmtId="0" fontId="12" fillId="0" borderId="0" xfId="0" applyNumberFormat="1" applyFont="1" applyAlignment="1">
      <alignment horizontal="center" vertical="center"/>
    </xf>
    <xf numFmtId="184" fontId="6" fillId="0" borderId="0" xfId="3" applyNumberFormat="1" applyFont="1" applyAlignment="1">
      <alignment vertical="center"/>
    </xf>
    <xf numFmtId="184" fontId="4" fillId="0" borderId="0" xfId="3" applyNumberFormat="1" applyFont="1" applyAlignment="1">
      <alignment vertical="center"/>
    </xf>
    <xf numFmtId="184" fontId="4" fillId="0" borderId="0" xfId="3" applyNumberFormat="1" applyFont="1">
      <alignment vertical="center"/>
    </xf>
    <xf numFmtId="184" fontId="9" fillId="0" borderId="0" xfId="3" applyNumberFormat="1" applyFont="1" applyAlignment="1">
      <alignment vertical="center"/>
    </xf>
    <xf numFmtId="184" fontId="6" fillId="0" borderId="0" xfId="3" applyNumberFormat="1" applyFont="1">
      <alignment vertical="center"/>
    </xf>
    <xf numFmtId="184" fontId="3" fillId="0" borderId="0" xfId="3" applyNumberFormat="1" applyFont="1">
      <alignment vertical="center"/>
    </xf>
    <xf numFmtId="179" fontId="2" fillId="0" borderId="0" xfId="0" applyNumberFormat="1" applyFont="1" applyAlignment="1">
      <alignment vertical="center"/>
    </xf>
    <xf numFmtId="183" fontId="4" fillId="0" borderId="0" xfId="0" applyNumberFormat="1" applyFont="1" applyAlignment="1">
      <alignment vertical="center"/>
    </xf>
    <xf numFmtId="0" fontId="19" fillId="0" borderId="0" xfId="0" applyFont="1" applyAlignment="1">
      <alignment horizontal="center" vertical="center"/>
    </xf>
    <xf numFmtId="181" fontId="13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49" fontId="9" fillId="0" borderId="0" xfId="0" applyNumberFormat="1" applyFont="1">
      <alignment vertical="center"/>
    </xf>
    <xf numFmtId="49" fontId="6" fillId="0" borderId="0" xfId="0" applyNumberFormat="1" applyFont="1" applyFill="1" applyAlignment="1">
      <alignment vertical="center"/>
    </xf>
    <xf numFmtId="0" fontId="23" fillId="0" borderId="0" xfId="0" applyFont="1" applyAlignment="1">
      <alignment horizontal="center" vertical="center"/>
    </xf>
    <xf numFmtId="0" fontId="40" fillId="0" borderId="0" xfId="0" applyFont="1">
      <alignment vertical="center"/>
    </xf>
    <xf numFmtId="10" fontId="8" fillId="0" borderId="0" xfId="0" applyNumberFormat="1" applyFont="1">
      <alignment vertical="center"/>
    </xf>
    <xf numFmtId="0" fontId="9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180" fontId="10" fillId="0" borderId="0" xfId="0" applyNumberFormat="1" applyFont="1" applyAlignment="1">
      <alignment vertical="center"/>
    </xf>
    <xf numFmtId="180" fontId="4" fillId="0" borderId="0" xfId="0" applyNumberFormat="1" applyFont="1" applyAlignment="1">
      <alignment vertical="center"/>
    </xf>
    <xf numFmtId="0" fontId="28" fillId="0" borderId="0" xfId="0" applyFont="1" applyAlignment="1">
      <alignment vertical="center"/>
    </xf>
    <xf numFmtId="49" fontId="10" fillId="0" borderId="0" xfId="0" applyNumberFormat="1" applyFont="1" applyAlignment="1">
      <alignment horizontal="center" vertical="center"/>
    </xf>
    <xf numFmtId="183" fontId="23" fillId="0" borderId="0" xfId="0" applyNumberFormat="1" applyFon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0" fontId="27" fillId="0" borderId="0" xfId="0" applyFont="1">
      <alignment vertical="center"/>
    </xf>
    <xf numFmtId="178" fontId="27" fillId="0" borderId="0" xfId="0" applyNumberFormat="1" applyFont="1">
      <alignment vertical="center"/>
    </xf>
    <xf numFmtId="178" fontId="27" fillId="0" borderId="0" xfId="0" applyNumberFormat="1" applyFont="1" applyAlignment="1">
      <alignment horizontal="center" vertical="center"/>
    </xf>
    <xf numFmtId="0" fontId="27" fillId="0" borderId="0" xfId="0" applyFont="1" applyAlignment="1">
      <alignment vertical="center"/>
    </xf>
    <xf numFmtId="9" fontId="7" fillId="0" borderId="0" xfId="4" applyFont="1" applyAlignment="1">
      <alignment vertical="center"/>
    </xf>
    <xf numFmtId="0" fontId="12" fillId="0" borderId="0" xfId="0" applyFont="1">
      <alignment vertical="center"/>
    </xf>
    <xf numFmtId="14" fontId="7" fillId="0" borderId="0" xfId="0" applyNumberFormat="1" applyFont="1">
      <alignment vertical="center"/>
    </xf>
    <xf numFmtId="14" fontId="13" fillId="0" borderId="0" xfId="0" applyNumberFormat="1" applyFont="1">
      <alignment vertical="center"/>
    </xf>
    <xf numFmtId="0" fontId="36" fillId="0" borderId="0" xfId="0" applyFont="1" applyAlignment="1">
      <alignment vertical="center"/>
    </xf>
    <xf numFmtId="180" fontId="12" fillId="0" borderId="0" xfId="0" applyNumberFormat="1" applyFont="1" applyAlignment="1">
      <alignment horizontal="right" vertical="center"/>
    </xf>
    <xf numFmtId="0" fontId="27" fillId="0" borderId="0" xfId="0" applyFont="1" applyAlignment="1"/>
    <xf numFmtId="0" fontId="27" fillId="0" borderId="0" xfId="0" applyNumberFormat="1" applyFont="1" applyAlignment="1">
      <alignment vertical="center"/>
    </xf>
    <xf numFmtId="0" fontId="27" fillId="0" borderId="0" xfId="0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49" fontId="27" fillId="0" borderId="0" xfId="0" applyNumberFormat="1" applyFont="1" applyAlignment="1">
      <alignment horizontal="right" vertical="center"/>
    </xf>
    <xf numFmtId="0" fontId="41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14" fontId="10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49" fontId="42" fillId="0" borderId="0" xfId="1" applyNumberFormat="1" applyFont="1" applyAlignment="1" applyProtection="1">
      <alignment horizontal="left" vertical="center"/>
    </xf>
    <xf numFmtId="49" fontId="43" fillId="0" borderId="0" xfId="1" applyNumberFormat="1" applyFont="1" applyAlignment="1" applyProtection="1">
      <alignment vertical="center"/>
    </xf>
    <xf numFmtId="0" fontId="8" fillId="0" borderId="0" xfId="0" applyFont="1">
      <alignment vertical="center"/>
    </xf>
    <xf numFmtId="49" fontId="3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9" fontId="17" fillId="0" borderId="0" xfId="1" applyNumberFormat="1" applyAlignment="1" applyProtection="1">
      <alignment horizontal="left" vertical="center"/>
    </xf>
    <xf numFmtId="49" fontId="10" fillId="0" borderId="0" xfId="0" applyNumberFormat="1" applyFont="1" applyAlignment="1">
      <alignment horizontal="right" vertical="center"/>
    </xf>
    <xf numFmtId="180" fontId="9" fillId="0" borderId="0" xfId="0" applyNumberFormat="1" applyFont="1" applyAlignment="1">
      <alignment horizontal="right" vertical="center"/>
    </xf>
    <xf numFmtId="181" fontId="7" fillId="0" borderId="0" xfId="0" applyNumberFormat="1" applyFont="1" applyAlignment="1">
      <alignment vertical="center"/>
    </xf>
    <xf numFmtId="184" fontId="13" fillId="0" borderId="0" xfId="0" applyNumberFormat="1" applyFont="1" applyAlignment="1">
      <alignment horizontal="right" vertical="center"/>
    </xf>
    <xf numFmtId="0" fontId="28" fillId="0" borderId="0" xfId="0" applyFont="1">
      <alignment vertical="center"/>
    </xf>
    <xf numFmtId="0" fontId="19" fillId="0" borderId="0" xfId="0" applyFont="1">
      <alignment vertical="center"/>
    </xf>
    <xf numFmtId="14" fontId="30" fillId="0" borderId="0" xfId="0" applyNumberFormat="1" applyFont="1" applyAlignment="1">
      <alignment horizontal="center" vertical="center"/>
    </xf>
    <xf numFmtId="179" fontId="8" fillId="0" borderId="0" xfId="0" applyNumberFormat="1" applyFont="1" applyAlignment="1">
      <alignment horizontal="left" vertical="center"/>
    </xf>
    <xf numFmtId="179" fontId="4" fillId="0" borderId="0" xfId="0" applyNumberFormat="1" applyFont="1" applyAlignment="1">
      <alignment horizontal="center" vertical="center"/>
    </xf>
    <xf numFmtId="180" fontId="12" fillId="0" borderId="0" xfId="0" applyNumberFormat="1" applyFont="1" applyAlignment="1">
      <alignment vertical="center"/>
    </xf>
    <xf numFmtId="0" fontId="33" fillId="0" borderId="0" xfId="0" applyFont="1">
      <alignment vertical="center"/>
    </xf>
    <xf numFmtId="180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vertical="center"/>
    </xf>
    <xf numFmtId="0" fontId="45" fillId="0" borderId="0" xfId="0" applyFont="1" applyAlignment="1">
      <alignment horizontal="center" vertical="center"/>
    </xf>
    <xf numFmtId="0" fontId="7" fillId="0" borderId="0" xfId="0" applyNumberFormat="1" applyFont="1">
      <alignment vertical="center"/>
    </xf>
    <xf numFmtId="0" fontId="7" fillId="0" borderId="0" xfId="0" applyFont="1" applyAlignment="1">
      <alignment horizontal="left" vertical="center"/>
    </xf>
    <xf numFmtId="178" fontId="33" fillId="0" borderId="0" xfId="0" applyNumberFormat="1" applyFont="1" applyAlignment="1">
      <alignment horizontal="center" vertical="center"/>
    </xf>
    <xf numFmtId="49" fontId="12" fillId="0" borderId="0" xfId="0" applyNumberFormat="1" applyFont="1">
      <alignment vertical="center"/>
    </xf>
    <xf numFmtId="179" fontId="6" fillId="0" borderId="0" xfId="0" applyNumberFormat="1" applyFont="1" applyAlignment="1">
      <alignment horizontal="center" vertical="center"/>
    </xf>
    <xf numFmtId="179" fontId="8" fillId="0" borderId="0" xfId="0" applyNumberFormat="1" applyFont="1" applyAlignment="1">
      <alignment horizontal="right" vertical="center"/>
    </xf>
    <xf numFmtId="179" fontId="8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79" fontId="44" fillId="0" borderId="0" xfId="0" applyNumberFormat="1" applyFont="1" applyAlignment="1">
      <alignment vertical="center"/>
    </xf>
    <xf numFmtId="179" fontId="4" fillId="0" borderId="0" xfId="0" applyNumberFormat="1" applyFont="1" applyAlignment="1">
      <alignment horizontal="left" vertical="center"/>
    </xf>
    <xf numFmtId="14" fontId="30" fillId="0" borderId="0" xfId="0" applyNumberFormat="1" applyFont="1" applyFill="1" applyAlignment="1">
      <alignment horizontal="center" vertical="center"/>
    </xf>
    <xf numFmtId="0" fontId="4" fillId="0" borderId="0" xfId="0" applyNumberFormat="1" applyFont="1">
      <alignment vertical="center"/>
    </xf>
    <xf numFmtId="0" fontId="4" fillId="0" borderId="0" xfId="0" applyNumberFormat="1" applyFont="1" applyAlignment="1">
      <alignment vertical="center"/>
    </xf>
    <xf numFmtId="0" fontId="24" fillId="0" borderId="0" xfId="0" applyFont="1" applyAlignment="1">
      <alignment horizontal="center" vertical="center"/>
    </xf>
    <xf numFmtId="179" fontId="9" fillId="0" borderId="0" xfId="0" applyNumberFormat="1" applyFont="1" applyAlignment="1">
      <alignment horizontal="left" vertical="center"/>
    </xf>
    <xf numFmtId="14" fontId="30" fillId="0" borderId="0" xfId="0" applyNumberFormat="1" applyFont="1" applyFill="1" applyAlignment="1">
      <alignment horizontal="left" vertical="center"/>
    </xf>
    <xf numFmtId="179" fontId="4" fillId="0" borderId="0" xfId="0" applyNumberFormat="1" applyFont="1" applyAlignment="1">
      <alignment vertical="center"/>
    </xf>
    <xf numFmtId="0" fontId="30" fillId="0" borderId="0" xfId="0" applyFont="1" applyAlignment="1">
      <alignment vertical="center"/>
    </xf>
    <xf numFmtId="9" fontId="30" fillId="0" borderId="0" xfId="4" applyFont="1" applyAlignment="1">
      <alignment vertical="center"/>
    </xf>
    <xf numFmtId="181" fontId="30" fillId="0" borderId="0" xfId="4" applyNumberFormat="1" applyFont="1">
      <alignment vertical="center"/>
    </xf>
    <xf numFmtId="0" fontId="30" fillId="0" borderId="0" xfId="0" applyFont="1">
      <alignment vertical="center"/>
    </xf>
    <xf numFmtId="9" fontId="30" fillId="0" borderId="0" xfId="4" applyNumberFormat="1" applyFont="1">
      <alignment vertical="center"/>
    </xf>
    <xf numFmtId="49" fontId="8" fillId="0" borderId="0" xfId="0" applyNumberFormat="1" applyFont="1" applyFill="1" applyAlignment="1">
      <alignment horizontal="left" vertical="center"/>
    </xf>
    <xf numFmtId="14" fontId="10" fillId="0" borderId="0" xfId="0" applyNumberFormat="1" applyFont="1" applyAlignment="1">
      <alignment horizontal="right" vertical="center"/>
    </xf>
    <xf numFmtId="49" fontId="11" fillId="0" borderId="0" xfId="0" applyNumberFormat="1" applyFont="1" applyFill="1">
      <alignment vertical="center"/>
    </xf>
    <xf numFmtId="184" fontId="7" fillId="0" borderId="0" xfId="3" applyNumberFormat="1" applyFont="1">
      <alignment vertical="center"/>
    </xf>
    <xf numFmtId="180" fontId="33" fillId="0" borderId="0" xfId="0" applyNumberFormat="1" applyFont="1" applyAlignment="1">
      <alignment vertical="center"/>
    </xf>
    <xf numFmtId="9" fontId="7" fillId="0" borderId="0" xfId="0" applyNumberFormat="1" applyFont="1">
      <alignment vertical="center"/>
    </xf>
    <xf numFmtId="0" fontId="19" fillId="0" borderId="0" xfId="0" applyNumberFormat="1" applyFont="1">
      <alignment vertical="center"/>
    </xf>
    <xf numFmtId="0" fontId="6" fillId="0" borderId="0" xfId="0" applyNumberFormat="1" applyFont="1" applyFill="1" applyAlignment="1">
      <alignment horizontal="left" vertical="center"/>
    </xf>
    <xf numFmtId="179" fontId="46" fillId="0" borderId="0" xfId="0" applyNumberFormat="1" applyFont="1" applyAlignment="1">
      <alignment horizontal="center" vertical="center"/>
    </xf>
    <xf numFmtId="179" fontId="46" fillId="0" borderId="0" xfId="0" applyNumberFormat="1" applyFont="1" applyAlignment="1">
      <alignment horizontal="right" vertical="center"/>
    </xf>
    <xf numFmtId="179" fontId="46" fillId="0" borderId="0" xfId="0" applyNumberFormat="1" applyFont="1" applyAlignment="1">
      <alignment horizontal="left" vertical="center"/>
    </xf>
    <xf numFmtId="179" fontId="47" fillId="0" borderId="0" xfId="0" applyNumberFormat="1" applyFont="1">
      <alignment vertical="center"/>
    </xf>
    <xf numFmtId="0" fontId="47" fillId="0" borderId="0" xfId="0" applyFont="1">
      <alignment vertical="center"/>
    </xf>
    <xf numFmtId="180" fontId="46" fillId="0" borderId="0" xfId="0" applyNumberFormat="1" applyFont="1" applyAlignment="1">
      <alignment horizontal="center" vertical="center"/>
    </xf>
    <xf numFmtId="180" fontId="46" fillId="0" borderId="0" xfId="0" applyNumberFormat="1" applyFont="1" applyAlignment="1">
      <alignment horizontal="right" vertical="center"/>
    </xf>
    <xf numFmtId="180" fontId="47" fillId="0" borderId="0" xfId="0" applyNumberFormat="1" applyFont="1">
      <alignment vertical="center"/>
    </xf>
    <xf numFmtId="178" fontId="9" fillId="0" borderId="0" xfId="0" applyNumberFormat="1" applyFont="1">
      <alignment vertical="center"/>
    </xf>
    <xf numFmtId="49" fontId="23" fillId="0" borderId="0" xfId="0" applyNumberFormat="1" applyFont="1" applyAlignment="1">
      <alignment horizontal="center" vertical="center"/>
    </xf>
    <xf numFmtId="49" fontId="23" fillId="0" borderId="0" xfId="0" applyNumberFormat="1" applyFont="1" applyAlignment="1">
      <alignment horizontal="right" vertical="center"/>
    </xf>
    <xf numFmtId="49" fontId="40" fillId="0" borderId="0" xfId="0" applyNumberFormat="1" applyFont="1">
      <alignment vertical="center"/>
    </xf>
    <xf numFmtId="49" fontId="28" fillId="0" borderId="0" xfId="0" applyNumberFormat="1" applyFont="1">
      <alignment vertical="center"/>
    </xf>
    <xf numFmtId="14" fontId="12" fillId="0" borderId="0" xfId="0" applyNumberFormat="1" applyFont="1" applyAlignment="1">
      <alignment vertical="center"/>
    </xf>
    <xf numFmtId="14" fontId="12" fillId="0" borderId="0" xfId="0" applyNumberFormat="1" applyFont="1">
      <alignment vertical="center"/>
    </xf>
    <xf numFmtId="0" fontId="33" fillId="0" borderId="0" xfId="0" applyFont="1" applyAlignment="1">
      <alignment vertical="center"/>
    </xf>
    <xf numFmtId="10" fontId="6" fillId="0" borderId="0" xfId="0" applyNumberFormat="1" applyFont="1" applyAlignment="1">
      <alignment horizontal="center" vertical="center"/>
    </xf>
    <xf numFmtId="180" fontId="8" fillId="0" borderId="0" xfId="0" applyNumberFormat="1" applyFont="1" applyAlignment="1">
      <alignment horizontal="center" vertical="center"/>
    </xf>
    <xf numFmtId="180" fontId="4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18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0" fontId="23" fillId="0" borderId="0" xfId="0" applyNumberFormat="1" applyFont="1" applyAlignment="1">
      <alignment horizontal="left" vertical="center"/>
    </xf>
    <xf numFmtId="0" fontId="16" fillId="0" borderId="0" xfId="0" applyNumberFormat="1" applyFont="1" applyAlignment="1">
      <alignment horizontal="left" vertical="center"/>
    </xf>
    <xf numFmtId="0" fontId="9" fillId="0" borderId="0" xfId="0" applyNumberFormat="1" applyFont="1" applyAlignment="1">
      <alignment horizontal="right" vertical="center"/>
    </xf>
    <xf numFmtId="0" fontId="12" fillId="0" borderId="0" xfId="0" applyNumberFormat="1" applyFont="1" applyAlignment="1">
      <alignment horizontal="right" vertical="center"/>
    </xf>
    <xf numFmtId="0" fontId="6" fillId="0" borderId="0" xfId="0" applyNumberFormat="1" applyFont="1" applyAlignment="1">
      <alignment horizontal="center" vertical="center"/>
    </xf>
    <xf numFmtId="49" fontId="27" fillId="0" borderId="0" xfId="0" applyNumberFormat="1" applyFont="1" applyAlignment="1">
      <alignment horizontal="left" vertical="center"/>
    </xf>
    <xf numFmtId="49" fontId="36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37" fillId="0" borderId="0" xfId="0" applyNumberFormat="1" applyFont="1" applyAlignment="1">
      <alignment horizontal="left" vertical="center"/>
    </xf>
    <xf numFmtId="0" fontId="40" fillId="0" borderId="0" xfId="0" applyNumberFormat="1" applyFont="1" applyAlignment="1">
      <alignment horizontal="left" vertical="center"/>
    </xf>
    <xf numFmtId="49" fontId="9" fillId="0" borderId="0" xfId="0" applyNumberFormat="1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/>
    </xf>
    <xf numFmtId="0" fontId="9" fillId="0" borderId="0" xfId="0" applyNumberFormat="1" applyFont="1" applyFill="1" applyAlignment="1">
      <alignment horizontal="left" vertical="center"/>
    </xf>
    <xf numFmtId="178" fontId="30" fillId="0" borderId="0" xfId="0" applyNumberFormat="1" applyFont="1" applyAlignment="1">
      <alignment horizontal="left" vertical="center"/>
    </xf>
    <xf numFmtId="180" fontId="10" fillId="0" borderId="0" xfId="0" applyNumberFormat="1" applyFont="1">
      <alignment vertical="center"/>
    </xf>
    <xf numFmtId="0" fontId="20" fillId="0" borderId="0" xfId="0" applyFont="1" applyAlignment="1">
      <alignment horizontal="center" vertical="center"/>
    </xf>
    <xf numFmtId="180" fontId="9" fillId="0" borderId="0" xfId="0" applyNumberFormat="1" applyFont="1" applyAlignment="1">
      <alignment vertical="center"/>
    </xf>
    <xf numFmtId="0" fontId="27" fillId="0" borderId="0" xfId="0" applyFont="1" applyAlignment="1">
      <alignment horizontal="left" vertical="center"/>
    </xf>
    <xf numFmtId="0" fontId="48" fillId="0" borderId="0" xfId="0" applyFont="1" applyAlignment="1">
      <alignment vertical="center"/>
    </xf>
    <xf numFmtId="0" fontId="24" fillId="0" borderId="0" xfId="0" applyNumberFormat="1" applyFont="1" applyAlignment="1">
      <alignment horizontal="right" vertical="center"/>
    </xf>
    <xf numFmtId="49" fontId="48" fillId="0" borderId="0" xfId="0" applyNumberFormat="1" applyFont="1" applyAlignment="1">
      <alignment horizontal="center" vertical="center"/>
    </xf>
    <xf numFmtId="0" fontId="44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10" fillId="0" borderId="0" xfId="0" applyNumberFormat="1" applyFont="1">
      <alignment vertical="center"/>
    </xf>
    <xf numFmtId="49" fontId="22" fillId="0" borderId="0" xfId="0" applyNumberFormat="1" applyFont="1">
      <alignment vertical="center"/>
    </xf>
    <xf numFmtId="179" fontId="10" fillId="0" borderId="0" xfId="0" applyNumberFormat="1" applyFont="1">
      <alignment vertical="center"/>
    </xf>
    <xf numFmtId="0" fontId="0" fillId="0" borderId="0" xfId="0" applyAlignment="1">
      <alignment horizontal="right" vertical="center"/>
    </xf>
    <xf numFmtId="14" fontId="8" fillId="0" borderId="0" xfId="0" applyNumberFormat="1" applyFont="1" applyFill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22" fillId="0" borderId="0" xfId="0" applyFont="1">
      <alignment vertical="center"/>
    </xf>
    <xf numFmtId="49" fontId="29" fillId="0" borderId="0" xfId="0" applyNumberFormat="1" applyFont="1">
      <alignment vertical="center"/>
    </xf>
    <xf numFmtId="0" fontId="29" fillId="0" borderId="0" xfId="0" applyFont="1">
      <alignment vertical="center"/>
    </xf>
    <xf numFmtId="49" fontId="29" fillId="0" borderId="0" xfId="0" applyNumberFormat="1" applyFont="1" applyAlignment="1">
      <alignment horizontal="right" vertical="center"/>
    </xf>
    <xf numFmtId="49" fontId="33" fillId="0" borderId="0" xfId="0" applyNumberFormat="1" applyFont="1" applyAlignment="1">
      <alignment horizontal="right" vertical="center"/>
    </xf>
    <xf numFmtId="0" fontId="49" fillId="0" borderId="0" xfId="0" applyFont="1" applyAlignment="1">
      <alignment horizontal="center" vertical="center"/>
    </xf>
    <xf numFmtId="180" fontId="49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180" fontId="37" fillId="0" borderId="0" xfId="0" applyNumberFormat="1" applyFont="1" applyAlignment="1">
      <alignment horizontal="center" vertical="center"/>
    </xf>
    <xf numFmtId="180" fontId="15" fillId="0" borderId="0" xfId="0" applyNumberFormat="1" applyFont="1" applyAlignment="1">
      <alignment vertical="center"/>
    </xf>
    <xf numFmtId="180" fontId="18" fillId="0" borderId="0" xfId="0" applyNumberFormat="1" applyFont="1" applyAlignment="1">
      <alignment horizontal="right" vertical="center"/>
    </xf>
    <xf numFmtId="178" fontId="11" fillId="0" borderId="0" xfId="0" applyNumberFormat="1" applyFont="1" applyAlignment="1">
      <alignment horizontal="center" vertical="center"/>
    </xf>
    <xf numFmtId="178" fontId="11" fillId="0" borderId="0" xfId="0" applyNumberFormat="1" applyFont="1" applyFill="1" applyAlignment="1">
      <alignment horizontal="right" vertical="center"/>
    </xf>
    <xf numFmtId="178" fontId="3" fillId="0" borderId="0" xfId="0" applyNumberFormat="1" applyFont="1" applyAlignment="1">
      <alignment horizontal="right" vertical="center"/>
    </xf>
    <xf numFmtId="0" fontId="27" fillId="0" borderId="0" xfId="0" applyNumberFormat="1" applyFont="1">
      <alignment vertical="center"/>
    </xf>
    <xf numFmtId="178" fontId="3" fillId="0" borderId="0" xfId="0" applyNumberFormat="1" applyFont="1">
      <alignment vertical="center"/>
    </xf>
    <xf numFmtId="178" fontId="12" fillId="0" borderId="0" xfId="0" applyNumberFormat="1" applyFont="1" applyAlignment="1">
      <alignment horizontal="center" vertical="center"/>
    </xf>
    <xf numFmtId="178" fontId="10" fillId="0" borderId="0" xfId="0" applyNumberFormat="1" applyFont="1" applyAlignment="1">
      <alignment horizontal="center" vertical="center"/>
    </xf>
    <xf numFmtId="0" fontId="37" fillId="0" borderId="0" xfId="0" applyNumberFormat="1" applyFont="1" applyAlignment="1">
      <alignment horizontal="left" vertical="center"/>
    </xf>
    <xf numFmtId="179" fontId="7" fillId="0" borderId="0" xfId="0" applyNumberFormat="1" applyFont="1">
      <alignment vertical="center"/>
    </xf>
    <xf numFmtId="0" fontId="10" fillId="0" borderId="0" xfId="0" applyNumberFormat="1" applyFont="1" applyAlignment="1">
      <alignment horizontal="right" vertical="center"/>
    </xf>
    <xf numFmtId="0" fontId="10" fillId="0" borderId="0" xfId="0" applyNumberFormat="1" applyFont="1">
      <alignment vertical="center"/>
    </xf>
    <xf numFmtId="0" fontId="10" fillId="0" borderId="0" xfId="0" applyNumberFormat="1" applyFont="1" applyAlignment="1">
      <alignment vertical="center"/>
    </xf>
    <xf numFmtId="0" fontId="10" fillId="0" borderId="0" xfId="0" applyNumberFormat="1" applyFont="1" applyAlignment="1">
      <alignment horizontal="left" vertical="center"/>
    </xf>
    <xf numFmtId="0" fontId="10" fillId="0" borderId="0" xfId="0" applyFont="1" applyFill="1">
      <alignment vertical="center"/>
    </xf>
    <xf numFmtId="180" fontId="10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left" vertical="center"/>
    </xf>
    <xf numFmtId="180" fontId="10" fillId="0" borderId="0" xfId="0" applyNumberFormat="1" applyFont="1" applyAlignment="1">
      <alignment horizontal="center" vertical="center"/>
    </xf>
    <xf numFmtId="0" fontId="36" fillId="0" borderId="0" xfId="0" applyNumberFormat="1" applyFont="1">
      <alignment vertical="center"/>
    </xf>
    <xf numFmtId="0" fontId="50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vertical="center"/>
    </xf>
    <xf numFmtId="0" fontId="3" fillId="0" borderId="0" xfId="0" applyNumberFormat="1" applyFont="1">
      <alignment vertical="center"/>
    </xf>
    <xf numFmtId="0" fontId="8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center" vertical="center"/>
    </xf>
    <xf numFmtId="0" fontId="11" fillId="0" borderId="0" xfId="0" applyNumberFormat="1" applyFont="1" applyAlignment="1">
      <alignment horizontal="right" vertical="center"/>
    </xf>
    <xf numFmtId="0" fontId="2" fillId="0" borderId="0" xfId="0" applyNumberFormat="1" applyFont="1" applyAlignment="1">
      <alignment horizontal="right" vertical="center"/>
    </xf>
    <xf numFmtId="0" fontId="27" fillId="0" borderId="0" xfId="0" applyNumberFormat="1" applyFont="1" applyAlignment="1">
      <alignment horizontal="right" vertical="center"/>
    </xf>
    <xf numFmtId="0" fontId="3" fillId="0" borderId="0" xfId="3" applyNumberFormat="1" applyFont="1" applyAlignment="1">
      <alignment horizontal="right" vertical="center"/>
    </xf>
    <xf numFmtId="0" fontId="6" fillId="0" borderId="0" xfId="2" applyNumberFormat="1" applyFont="1" applyAlignment="1">
      <alignment horizontal="right" vertical="center"/>
    </xf>
    <xf numFmtId="0" fontId="23" fillId="0" borderId="0" xfId="0" applyFont="1" applyAlignment="1">
      <alignment vertical="center"/>
    </xf>
    <xf numFmtId="0" fontId="23" fillId="0" borderId="0" xfId="0" applyNumberFormat="1" applyFont="1" applyAlignment="1">
      <alignment horizontal="center" vertical="center"/>
    </xf>
    <xf numFmtId="0" fontId="24" fillId="0" borderId="0" xfId="0" applyNumberFormat="1" applyFont="1" applyAlignment="1">
      <alignment horizontal="center" vertical="center"/>
    </xf>
    <xf numFmtId="0" fontId="48" fillId="0" borderId="0" xfId="0" applyNumberFormat="1" applyFont="1" applyAlignment="1">
      <alignment horizontal="center" vertical="center"/>
    </xf>
    <xf numFmtId="0" fontId="9" fillId="0" borderId="0" xfId="0" applyNumberFormat="1" applyFont="1" applyAlignment="1">
      <alignment horizontal="center" vertical="center"/>
    </xf>
    <xf numFmtId="0" fontId="33" fillId="0" borderId="0" xfId="0" applyNumberFormat="1" applyFont="1" applyAlignment="1">
      <alignment horizontal="center" vertical="center"/>
    </xf>
    <xf numFmtId="0" fontId="22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left" vertical="center"/>
    </xf>
    <xf numFmtId="0" fontId="46" fillId="0" borderId="0" xfId="0" applyNumberFormat="1" applyFont="1" applyAlignment="1">
      <alignment horizontal="center" vertical="center"/>
    </xf>
    <xf numFmtId="0" fontId="46" fillId="0" borderId="0" xfId="0" applyNumberFormat="1" applyFont="1" applyAlignment="1">
      <alignment horizontal="right" vertical="center"/>
    </xf>
    <xf numFmtId="0" fontId="47" fillId="0" borderId="0" xfId="0" applyNumberFormat="1" applyFont="1" applyAlignment="1">
      <alignment horizontal="right" vertical="center"/>
    </xf>
    <xf numFmtId="178" fontId="33" fillId="0" borderId="0" xfId="0" applyNumberFormat="1" applyFont="1" applyAlignment="1">
      <alignment horizontal="right" vertical="center"/>
    </xf>
    <xf numFmtId="178" fontId="27" fillId="0" borderId="0" xfId="0" applyNumberFormat="1" applyFont="1" applyAlignment="1">
      <alignment horizontal="right" vertical="center"/>
    </xf>
    <xf numFmtId="179" fontId="10" fillId="0" borderId="0" xfId="0" applyNumberFormat="1" applyFont="1" applyAlignment="1">
      <alignment horizontal="right" vertical="center"/>
    </xf>
    <xf numFmtId="181" fontId="30" fillId="0" borderId="0" xfId="0" applyNumberFormat="1" applyFont="1" applyAlignment="1">
      <alignment horizontal="center" vertical="center"/>
    </xf>
    <xf numFmtId="181" fontId="30" fillId="0" borderId="0" xfId="0" applyNumberFormat="1" applyFont="1" applyAlignment="1">
      <alignment horizontal="right" vertical="center"/>
    </xf>
    <xf numFmtId="181" fontId="30" fillId="0" borderId="0" xfId="4" applyNumberFormat="1" applyFont="1" applyAlignment="1">
      <alignment horizontal="right" vertical="center"/>
    </xf>
    <xf numFmtId="178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right" vertical="center"/>
    </xf>
    <xf numFmtId="0" fontId="36" fillId="0" borderId="0" xfId="0" applyFont="1" applyAlignment="1">
      <alignment horizontal="right" vertical="center"/>
    </xf>
    <xf numFmtId="178" fontId="2" fillId="0" borderId="0" xfId="0" applyNumberFormat="1" applyFont="1" applyAlignment="1">
      <alignment horizontal="right" vertical="center"/>
    </xf>
    <xf numFmtId="179" fontId="2" fillId="0" borderId="0" xfId="0" applyNumberFormat="1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10" fontId="3" fillId="0" borderId="0" xfId="0" applyNumberFormat="1" applyFont="1" applyAlignment="1">
      <alignment horizontal="right" vertical="center"/>
    </xf>
    <xf numFmtId="10" fontId="7" fillId="0" borderId="0" xfId="0" applyNumberFormat="1" applyFont="1" applyAlignment="1">
      <alignment horizontal="right" vertical="center"/>
    </xf>
    <xf numFmtId="10" fontId="13" fillId="0" borderId="0" xfId="0" applyNumberFormat="1" applyFont="1" applyAlignment="1">
      <alignment horizontal="right" vertical="center"/>
    </xf>
    <xf numFmtId="0" fontId="49" fillId="0" borderId="0" xfId="0" applyNumberFormat="1" applyFont="1" applyAlignment="1">
      <alignment horizontal="center" vertical="center"/>
    </xf>
    <xf numFmtId="183" fontId="4" fillId="0" borderId="0" xfId="0" applyNumberFormat="1" applyFont="1" applyAlignment="1">
      <alignment horizontal="left" vertical="center"/>
    </xf>
    <xf numFmtId="0" fontId="9" fillId="0" borderId="0" xfId="0" applyNumberFormat="1" applyFont="1">
      <alignment vertical="center"/>
    </xf>
    <xf numFmtId="0" fontId="3" fillId="0" borderId="0" xfId="0" applyNumberFormat="1" applyFont="1" applyFill="1" applyAlignment="1">
      <alignment horizontal="left" vertical="center"/>
    </xf>
    <xf numFmtId="177" fontId="7" fillId="0" borderId="0" xfId="3" applyNumberFormat="1" applyFont="1">
      <alignment vertical="center"/>
    </xf>
    <xf numFmtId="177" fontId="6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7" fontId="7" fillId="0" borderId="0" xfId="0" applyNumberFormat="1" applyFont="1">
      <alignment vertical="center"/>
    </xf>
    <xf numFmtId="177" fontId="36" fillId="0" borderId="0" xfId="0" applyNumberFormat="1" applyFont="1" applyAlignment="1">
      <alignment vertical="center"/>
    </xf>
    <xf numFmtId="177" fontId="7" fillId="0" borderId="0" xfId="0" applyNumberFormat="1" applyFont="1" applyAlignment="1">
      <alignment vertical="center"/>
    </xf>
    <xf numFmtId="0" fontId="12" fillId="0" borderId="0" xfId="0" applyFont="1" applyAlignment="1">
      <alignment horizontal="right" vertical="center"/>
    </xf>
    <xf numFmtId="180" fontId="33" fillId="0" borderId="0" xfId="0" applyNumberFormat="1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5" fillId="0" borderId="0" xfId="0" applyNumberFormat="1" applyFont="1" applyAlignment="1">
      <alignment horizontal="left" vertical="center"/>
    </xf>
    <xf numFmtId="0" fontId="8" fillId="0" borderId="0" xfId="0" applyNumberFormat="1" applyFo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Fill="1" applyAlignment="1">
      <alignment vertical="center"/>
    </xf>
    <xf numFmtId="0" fontId="11" fillId="0" borderId="0" xfId="0" applyNumberFormat="1" applyFont="1">
      <alignment vertical="center"/>
    </xf>
    <xf numFmtId="0" fontId="11" fillId="0" borderId="0" xfId="0" applyNumberFormat="1" applyFont="1" applyAlignment="1">
      <alignment vertical="center"/>
    </xf>
    <xf numFmtId="0" fontId="30" fillId="0" borderId="0" xfId="0" applyNumberFormat="1" applyFont="1" applyAlignment="1">
      <alignment horizontal="left" vertical="center"/>
    </xf>
    <xf numFmtId="0" fontId="11" fillId="0" borderId="0" xfId="0" applyNumberFormat="1" applyFont="1" applyAlignment="1">
      <alignment horizontal="left" vertical="center"/>
    </xf>
    <xf numFmtId="0" fontId="12" fillId="0" borderId="0" xfId="0" applyNumberFormat="1" applyFont="1">
      <alignment vertical="center"/>
    </xf>
    <xf numFmtId="180" fontId="2" fillId="0" borderId="0" xfId="0" applyNumberFormat="1" applyFont="1" applyAlignment="1">
      <alignment horizontal="right" vertical="center"/>
    </xf>
    <xf numFmtId="184" fontId="6" fillId="0" borderId="0" xfId="3" applyNumberFormat="1" applyFont="1" applyAlignment="1">
      <alignment horizontal="right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84" fontId="9" fillId="0" borderId="0" xfId="3" applyNumberFormat="1" applyFont="1" applyAlignment="1">
      <alignment horizontal="right" vertical="center"/>
    </xf>
    <xf numFmtId="184" fontId="6" fillId="0" borderId="0" xfId="3" applyNumberFormat="1" applyFont="1" applyAlignment="1">
      <alignment horizontal="center" vertical="center"/>
    </xf>
    <xf numFmtId="0" fontId="30" fillId="0" borderId="0" xfId="0" applyFont="1" applyAlignment="1">
      <alignment horizontal="left" vertical="center"/>
    </xf>
    <xf numFmtId="184" fontId="12" fillId="0" borderId="0" xfId="3" applyNumberFormat="1" applyFont="1" applyAlignment="1">
      <alignment horizontal="right" vertical="center"/>
    </xf>
    <xf numFmtId="0" fontId="6" fillId="0" borderId="0" xfId="3" applyNumberFormat="1" applyFont="1">
      <alignment vertical="center"/>
    </xf>
    <xf numFmtId="0" fontId="6" fillId="0" borderId="1" xfId="0" applyNumberFormat="1" applyFont="1" applyBorder="1" applyAlignment="1">
      <alignment horizontal="center" vertical="center"/>
    </xf>
  </cellXfs>
  <cellStyles count="5">
    <cellStyle name="千位分隔" xfId="3" builtinId="3"/>
    <cellStyle name="百分比" xfId="4" builtinId="5"/>
    <cellStyle name="货币" xfId="2" builtinId="4"/>
    <cellStyle name="常规" xfId="0" builtinId="0"/>
    <cellStyle name="超链接" xfId="1" builtinId="8"/>
  </cellStyles>
  <dxfs count="239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money.excel">
      <tp>
        <v>0.48076923076923078</v>
        <stp/>
        <stp>5347</stp>
        <stp>ChangePercent</stp>
        <tr r="AM33" s="118"/>
      </tp>
      <tp>
        <v>-1.3774104683195592</v>
        <stp/>
        <stp>2387</stp>
        <stp>ChangePercent</stp>
        <tr r="AP32" s="28"/>
      </tp>
      <tp>
        <v>0.48076923076923078</v>
        <stp/>
        <stp>2317</stp>
        <stp>ChangePercent</stp>
        <tr r="AM2" s="118"/>
      </tp>
      <tp>
        <v>0.35906642728904847</v>
        <stp/>
        <stp>2207</stp>
        <stp>ChangePercent</stp>
        <tr r="AM29" s="118"/>
      </tp>
      <tp>
        <v>-0.23255813953488372</v>
        <stp/>
        <stp>3037</stp>
        <stp>ChangePercent</stp>
        <tr r="AM30" s="118"/>
      </tp>
      <tp>
        <v>-0.50125313283208017</v>
        <stp/>
        <stp>8936</stp>
        <stp>ChangePercent</stp>
        <tr r="AP29" s="28"/>
      </tp>
      <tp>
        <v>-2.6854219948849103</v>
        <stp/>
        <stp>6446</stp>
        <stp>ChangePercent</stp>
        <tr r="AM38" s="118"/>
      </tp>
      <tp>
        <v>-1.171875</v>
        <stp/>
        <stp>1476</stp>
        <stp>ChangePercent</stp>
        <tr r="AP25" s="28"/>
      </tp>
      <tp>
        <v>0.12953367875647667</v>
        <stp/>
        <stp>1326</stp>
        <stp>ChangePercent</stp>
        <tr r="AM11" s="118"/>
      </tp>
      <tp>
        <v>-1.0736196319018405</v>
        <stp/>
        <stp>1216</stp>
        <stp>ChangePercent</stp>
        <tr r="AM28" s="118"/>
      </tp>
      <tp>
        <v>-2.0833333333333335</v>
        <stp/>
        <stp>2636</stp>
        <stp>ChangePercent</stp>
        <tr r="AP18" s="28"/>
        <tr r="AP8" s="22"/>
      </tp>
      <tp>
        <v>-0.46296296296296297</v>
        <stp/>
        <stp>2376</stp>
        <stp>ChangePercent</stp>
        <tr r="AP133" s="22"/>
      </tp>
      <tp>
        <v>-0.13531799729364005</v>
        <stp/>
        <stp>2886</stp>
        <stp>ChangePercent</stp>
        <tr r="AM15" s="118"/>
      </tp>
      <tp>
        <v>-0.12610340479192939</v>
        <stp/>
        <stp>4735</stp>
        <stp>ChangePercent</stp>
        <tr r="AP33" s="28"/>
      </tp>
      <tp>
        <v>0.88397790055248615</v>
        <stp/>
        <stp>6505</stp>
        <stp>ChangePercent</stp>
        <tr r="AM8" s="118"/>
      </tp>
      <tp>
        <v>2.3961661341853033</v>
        <stp/>
        <stp>1325</stp>
        <stp>ChangePercent</stp>
        <tr r="AP13" s="28"/>
      </tp>
      <tp>
        <v>-3.5830618892508141</v>
        <stp/>
        <stp>2615</stp>
        <stp>ChangePercent</stp>
        <tr r="AM23" s="118"/>
      </tp>
      <tp>
        <v>0.62893081761006286</v>
        <stp/>
        <stp>2885</stp>
        <stp>ChangePercent</stp>
        <tr r="AM19" s="118"/>
      </tp>
      <tp>
        <v>-0.75757575757575757</v>
        <stp/>
        <stp>3105</stp>
        <stp>ChangePercent</stp>
        <tr r="AM36" s="118"/>
      </tp>
      <tp>
        <v>1.6069221260815822</v>
        <stp/>
        <stp>3015</stp>
        <stp>ChangePercent</stp>
        <tr r="AP22" s="28"/>
      </tp>
      <tp>
        <v>0</v>
        <stp/>
        <stp>3045</stp>
        <stp>ChangePercent</stp>
        <tr r="AM26" s="118"/>
      </tp>
      <tp>
        <v>0.79207920792079212</v>
        <stp/>
        <stp>5274</stp>
        <stp>ChangePercent</stp>
        <tr r="AM35" s="118"/>
      </tp>
      <tp>
        <v>-2.1352313167259784</v>
        <stp/>
        <stp>2454</stp>
        <stp>ChangePercent</stp>
        <tr r="AM3" s="118"/>
      </tp>
      <tp>
        <v>-1.1884550084889642</v>
        <stp/>
        <stp>2884</stp>
        <stp>ChangePercent</stp>
        <tr r="AM16" s="118"/>
      </tp>
      <tp>
        <v>-0.36900369003690037</v>
        <stp/>
        <stp>3374</stp>
        <stp>ChangePercent</stp>
        <tr r="AP24" s="28"/>
      </tp>
      <tp>
        <v>-0.27027027027027029</v>
        <stp/>
        <stp>4743</stp>
        <stp>ChangePercent</stp>
        <tr r="AM40" s="118"/>
      </tp>
      <tp>
        <v>0.61050061050061055</v>
        <stp/>
        <stp>4163</stp>
        <stp>ChangePercent</stp>
        <tr r="AP21" s="28"/>
      </tp>
      <tp>
        <v>-1.2461059190031152</v>
        <stp/>
        <stp>5483</stp>
        <stp>ChangePercent</stp>
        <tr r="AM37" s="118"/>
      </tp>
      <tp>
        <v>-1.2820512820512822</v>
        <stp/>
        <stp>5223</stp>
        <stp>ChangePercent</stp>
        <tr r="AP23" s="28"/>
      </tp>
      <tp>
        <v>0</v>
        <stp/>
        <stp>6523</stp>
        <stp>ChangePercent</stp>
        <tr r="AP14" s="28"/>
      </tp>
      <tp>
        <v>-0.97560975609756095</v>
        <stp/>
        <stp>1303</stp>
        <stp>ChangePercent</stp>
        <tr r="AM10" s="118"/>
      </tp>
      <tp>
        <v>-4.1811846689895473</v>
        <stp/>
        <stp>2603</stp>
        <stp>ChangePercent</stp>
        <tr r="AM22" s="118"/>
      </tp>
      <tp>
        <v>0.95541401273885351</v>
        <stp/>
        <stp>3713</stp>
        <stp>ChangePercent</stp>
        <tr r="AP30" s="28"/>
      </tp>
      <tp>
        <v>964.19</v>
        <stp/>
        <stp>$TWTNB</stp>
        <stp>PredictVolume</stp>
        <tr r="AN4" s="28"/>
      </tp>
      <tp>
        <v>-1.3157894736842106</v>
        <stp/>
        <stp>4432</stp>
        <stp>ChangePercent</stp>
        <tr r="AP26" s="28"/>
      </tp>
      <tp>
        <v>0</v>
        <stp/>
        <stp>2412</stp>
        <stp>ChangePercent</stp>
        <tr r="AM25" s="118"/>
      </tp>
      <tp>
        <v>-0.4497751124437781</v>
        <stp/>
        <stp>2002</stp>
        <stp>ChangePercent</stp>
        <tr r="AM27" s="118"/>
      </tp>
      <tp>
        <v>-6.9427527405602927</v>
        <stp/>
        <stp>2382</stp>
        <stp>ChangePercent</stp>
        <tr r="AM7" s="118"/>
      </tp>
      <tp>
        <v>-2.0257826887661143</v>
        <stp/>
        <stp>2882</stp>
        <stp>ChangePercent</stp>
        <tr r="AM13" s="118"/>
      </tp>
      <tp>
        <v>0.390625</v>
        <stp/>
        <stp>2892</stp>
        <stp>ChangePercent</stp>
        <tr r="AM18" s="118"/>
      </tp>
      <tp>
        <v>4.507042253521127</v>
        <stp/>
        <stp>3162</stp>
        <stp>ChangePercent</stp>
        <tr r="AP28" s="28"/>
      </tp>
      <tp>
        <v>0.45428733674048838</v>
        <stp/>
        <stp>TXF1</stp>
        <stp>ChangePercent</stp>
        <tr r="AP1" s="28"/>
      </tp>
      <tp>
        <v>-0.26917900403768508</v>
        <stp/>
        <stp>5471</stp>
        <stp>ChangePercent</stp>
        <tr r="AP27" s="28"/>
      </tp>
      <tp>
        <v>0.25974025974025972</v>
        <stp/>
        <stp>5871</stp>
        <stp>ChangePercent</stp>
        <tr r="AM21" s="118"/>
      </tp>
      <tp>
        <v>0</v>
        <stp/>
        <stp>1301</stp>
        <stp>ChangePercent</stp>
        <tr r="AM9" s="118"/>
      </tp>
      <tp>
        <v>0.56100981767180924</v>
        <stp/>
        <stp>2441</stp>
        <stp>ChangePercent</stp>
        <tr r="AP17" s="28"/>
      </tp>
      <tp>
        <v>-1.7322834645669292</v>
        <stp/>
        <stp>2881</stp>
        <stp>ChangePercent</stp>
        <tr r="AM12" s="118"/>
      </tp>
      <tp>
        <v>-0.38759689922480622</v>
        <stp/>
        <stp>2891</stp>
        <stp>ChangePercent</stp>
        <tr r="AM14" s="118"/>
      </tp>
      <tp>
        <v>0.42417815482502652</v>
        <stp/>
        <stp>3711</stp>
        <stp>ChangePercent</stp>
        <tr r="AM6" s="118"/>
      </tp>
      <tp>
        <v>0.58823529411764708</v>
        <stp/>
        <stp>5880</stp>
        <stp>ChangePercent</stp>
        <tr r="AM17" s="118"/>
      </tp>
      <tp>
        <v>1.7612524461839529</v>
        <stp/>
        <stp>2330</stp>
        <stp>ChangePercent</stp>
        <tr r="AM4" s="118"/>
        <tr r="AM1" s="118"/>
      </tp>
      <tp>
        <v>0</v>
        <stp/>
        <stp>2880</stp>
        <stp>ChangePercent</stp>
        <tr r="AM20" s="118"/>
      </tp>
      <tp>
        <v>-10</v>
        <stp/>
        <stp>TXF1</stp>
        <stp>VolumeStrength</stp>
        <tr r="AM1" s="28"/>
      </tp>
      <tp>
        <v>9228.4500000000007</v>
        <stp/>
        <stp>$TWC100</stp>
        <stp>Price</stp>
        <tr r="T4" s="85"/>
      </tp>
      <tp>
        <v>229.14</v>
        <stp/>
        <stp>$TWOI50</stp>
        <stp>Price</stp>
        <tr r="T5" s="85"/>
      </tp>
      <tp>
        <v>5.6213017751479288</v>
        <stp/>
        <stp>8069</stp>
        <stp>ChangePercent</stp>
        <tr r="AM32" s="118"/>
      </tp>
      <tp>
        <v>-0.79260237780713338</v>
        <stp/>
        <stp>8299</stp>
        <stp>ChangePercent</stp>
        <tr r="AM39" s="118"/>
      </tp>
      <tp>
        <v>1.8644067796610169</v>
        <stp/>
        <stp>6179</stp>
        <stp>ChangePercent</stp>
        <tr r="AP19" s="28"/>
      </tp>
      <tp>
        <v>2.2018348623853212</v>
        <stp/>
        <stp>1309</stp>
        <stp>ChangePercent</stp>
        <tr r="AP31" s="28"/>
      </tp>
      <tp>
        <v>-3.6437246963562755</v>
        <stp/>
        <stp>2609</stp>
        <stp>ChangePercent</stp>
        <tr r="AM24" s="118"/>
      </tp>
      <tp>
        <v>-2.5925925925925926</v>
        <stp/>
        <stp>3529</stp>
        <stp>ChangePercent</stp>
        <tr r="AM34" s="118"/>
      </tp>
      <tp>
        <v>0.35335689045936397</v>
        <stp/>
        <stp>4128</stp>
        <stp>ChangePercent</stp>
        <tr r="AP15" s="28"/>
      </tp>
      <tp>
        <v>-0.61919504643962853</v>
        <stp/>
        <stp>4938</stp>
        <stp>ChangePercent</stp>
        <tr r="AP20" s="28"/>
      </tp>
      <tp>
        <v>-0.47393364928909953</v>
        <stp/>
        <stp>4958</stp>
        <stp>ChangePercent</stp>
        <tr r="AP16" s="28"/>
      </tp>
      <tp>
        <v>1.797752808988764</v>
        <stp/>
        <stp>6558</stp>
        <stp>ChangePercent</stp>
        <tr r="AP34" s="28"/>
      </tp>
      <tp>
        <v>0.89928057553956831</v>
        <stp/>
        <stp>6488</stp>
        <stp>ChangePercent</stp>
        <tr r="AM31" s="118"/>
      </tp>
      <tp>
        <v>-0.23809523809523808</v>
        <stp/>
        <stp>1598</stp>
        <stp>ChangePercent</stp>
        <tr r="AP35" s="28"/>
      </tp>
      <tp>
        <v>0.90497737556561086</v>
        <stp/>
        <stp>2308</stp>
        <stp>ChangePercent</stp>
        <tr r="AM5" s="118"/>
      </tp>
      <tp>
        <v>140</v>
        <stp/>
        <stp>6417</stp>
        <stp>PredictVolume</stp>
        <tr r="AI997" s="57"/>
      </tp>
      <tp>
        <v>4112</v>
        <stp/>
        <stp>6477</stp>
        <stp>PredictVolume</stp>
        <tr r="AI913" s="57"/>
      </tp>
      <tp>
        <v>166</v>
        <stp/>
        <stp>6457</stp>
        <stp>PredictVolume</stp>
        <tr r="AI651" s="57"/>
      </tp>
      <tp>
        <v>12</v>
        <stp/>
        <stp>6527</stp>
        <stp>PredictVolume</stp>
        <tr r="AI388" s="57"/>
      </tp>
      <tp>
        <v>9</v>
        <stp/>
        <stp>6577</stp>
        <stp>PredictVolume</stp>
        <tr r="AI794" s="57"/>
      </tp>
      <tp>
        <v>8789</v>
        <stp/>
        <stp>6547</stp>
        <stp>PredictVolume</stp>
        <tr r="AI391" s="57"/>
      </tp>
      <tp>
        <v>1</v>
        <stp/>
        <stp>6697</stp>
        <stp>PredictVolume</stp>
        <tr r="AI1300" s="57"/>
      </tp>
      <tp>
        <v>206</v>
        <stp/>
        <stp>6667</stp>
        <stp>PredictVolume</stp>
        <tr r="AI1763" s="57"/>
      </tp>
      <tp>
        <v>207</v>
        <stp/>
        <stp>6727</stp>
        <stp>PredictVolume</stp>
        <tr r="AI1203" s="57"/>
      </tp>
      <tp>
        <v>32</v>
        <stp/>
        <stp>6767</stp>
        <stp>PredictVolume</stp>
        <tr r="AI408" s="57"/>
      </tp>
      <tp>
        <v>6</v>
        <stp/>
        <stp>6747</stp>
        <stp>PredictVolume</stp>
        <tr r="AI406" s="57"/>
      </tp>
      <tp>
        <v>201</v>
        <stp/>
        <stp>6197</stp>
        <stp>PredictVolume</stp>
        <tr r="AI1173" s="57"/>
      </tp>
      <tp>
        <v>466</v>
        <stp/>
        <stp>6187</stp>
        <stp>PredictVolume</stp>
        <tr r="AI1749" s="57"/>
      </tp>
      <tp>
        <v>150</v>
        <stp/>
        <stp>6127</stp>
        <stp>PredictVolume</stp>
        <tr r="AI1158" s="57"/>
      </tp>
      <tp>
        <v>116</v>
        <stp/>
        <stp>6117</stp>
        <stp>PredictVolume</stp>
        <tr r="AI776" s="57"/>
      </tp>
      <tp>
        <v>226</v>
        <stp/>
        <stp>6177</stp>
        <stp>PredictVolume</stp>
        <tr r="AI1507" s="57"/>
      </tp>
      <tp>
        <v>1426</v>
        <stp/>
        <stp>6167</stp>
        <stp>PredictVolume</stp>
        <tr r="AI896" s="57"/>
      </tp>
      <tp>
        <v>1311</v>
        <stp/>
        <stp>6147</stp>
        <stp>PredictVolume</stp>
        <tr r="AI110" s="114"/>
        <tr r="AI632" s="57"/>
      </tp>
      <tp>
        <v>33</v>
        <stp/>
        <stp>6287</stp>
        <stp>PredictVolume</stp>
        <tr r="AI645" s="57"/>
      </tp>
      <tp>
        <v>644</v>
        <stp/>
        <stp>6237</stp>
        <stp>PredictVolume</stp>
        <tr r="AI639" s="57"/>
      </tp>
      <tp>
        <v>199</v>
        <stp/>
        <stp>6227</stp>
        <stp>PredictVolume</stp>
        <tr r="AI1252" s="57"/>
      </tp>
      <tp>
        <v>3905</v>
        <stp/>
        <stp>6217</stp>
        <stp>PredictVolume</stp>
        <tr r="AI1181" s="57"/>
      </tp>
      <tp>
        <v>115</v>
        <stp/>
        <stp>6207</stp>
        <stp>PredictVolume</stp>
        <tr r="AI1177" s="57"/>
      </tp>
      <tp>
        <v>181</v>
        <stp/>
        <stp>6277</stp>
        <stp>PredictVolume</stp>
        <tr r="AI790" s="57"/>
      </tp>
      <tp>
        <v>1227</v>
        <stp/>
        <stp>6257</stp>
        <stp>PredictVolume</stp>
        <tr r="AI99" s="114"/>
        <tr r="AI642" s="57"/>
      </tp>
      <tp>
        <v>0</v>
        <stp/>
        <stp>6247</stp>
        <stp>PredictVolume</stp>
        <tr r="AI1754" s="57"/>
      </tp>
      <tp>
        <v>316</v>
        <stp/>
        <stp>6807</stp>
        <stp>PredictVolume</stp>
        <tr r="AI1365" s="57"/>
      </tp>
      <tp>
        <v>53</v>
        <stp/>
        <stp>4417</stp>
        <stp>PredictVolume</stp>
        <tr r="AI116" s="57"/>
      </tp>
      <tp>
        <v>36</v>
        <stp/>
        <stp>4527</stp>
        <stp>PredictVolume</stp>
        <tr r="AI182" s="57"/>
      </tp>
      <tp>
        <v>78</v>
        <stp/>
        <stp>4557</stp>
        <stp>PredictVolume</stp>
        <tr r="AI523" s="57"/>
      </tp>
      <tp>
        <v>24</v>
        <stp/>
        <stp>4737</stp>
        <stp>PredictVolume</stp>
        <tr r="AI369" s="57"/>
      </tp>
      <tp>
        <v>295</v>
        <stp/>
        <stp>4707</stp>
        <stp>PredictVolume</stp>
        <tr r="AI268" s="57"/>
      </tp>
      <tp>
        <v>14</v>
        <stp/>
        <stp>4767</stp>
        <stp>PredictVolume</stp>
        <tr r="AI282" s="57"/>
      </tp>
      <tp>
        <v>2</v>
        <stp/>
        <stp>4747</stp>
        <stp>PredictVolume</stp>
        <tr r="AI374" s="57"/>
      </tp>
      <tp>
        <v>104</v>
        <stp/>
        <stp>4137</stp>
        <stp>PredictVolume</stp>
        <tr r="AI100" s="114"/>
        <tr r="AI339" s="57"/>
      </tp>
      <tp>
        <v>562</v>
        <stp/>
        <stp>4127</stp>
        <stp>PredictVolume</stp>
        <tr r="AI333" s="57"/>
      </tp>
      <tp>
        <v>39</v>
        <stp/>
        <stp>4107</stp>
        <stp>PredictVolume</stp>
        <tr r="AI322" s="57"/>
      </tp>
      <tp>
        <v>265</v>
        <stp/>
        <stp>4167</stp>
        <stp>PredictVolume</stp>
        <tr r="AI355" s="57"/>
      </tp>
      <tp>
        <v>1528</v>
        <stp/>
        <stp>4157</stp>
        <stp>PredictVolume</stp>
        <tr r="AI349" s="57"/>
      </tp>
      <tp>
        <v>224</v>
        <stp/>
        <stp>4147</stp>
        <stp>PredictVolume</stp>
        <tr r="AI344" s="57"/>
      </tp>
      <tp>
        <v>569</v>
        <stp/>
        <stp>4207</stp>
        <stp>PredictVolume</stp>
        <tr r="AI39" s="57"/>
      </tp>
      <tp>
        <v>23</v>
        <stp/>
        <stp>4807</stp>
        <stp>PredictVolume</stp>
        <tr r="AI1660" s="57"/>
      </tp>
      <tp>
        <v>7</v>
        <stp/>
        <stp>4987</stp>
        <stp>PredictVolume</stp>
        <tr r="AI764" s="57"/>
      </tp>
      <tp>
        <v>1086</v>
        <stp/>
        <stp>4927</stp>
        <stp>PredictVolume</stp>
        <tr r="AI16" s="74"/>
        <tr r="AI60" s="114"/>
        <tr r="AI1128" s="57"/>
      </tp>
      <tp>
        <v>0</v>
        <stp/>
        <stp>4907</stp>
        <stp>PredictVolume</stp>
        <tr r="AI1484" s="57"/>
      </tp>
      <tp>
        <v>79</v>
        <stp/>
        <stp>4977</stp>
        <stp>PredictVolume</stp>
        <tr r="AI115" s="114"/>
        <tr r="AI977" s="57"/>
      </tp>
      <tp>
        <v>427</v>
        <stp/>
        <stp>4967</stp>
        <stp>PredictVolume</stp>
        <tr r="AI606" s="57"/>
      </tp>
      <tp>
        <v>7</v>
        <stp/>
        <stp>5487</stp>
        <stp>PredictVolume</stp>
        <tr r="AI627" s="57"/>
      </tp>
      <tp>
        <v>272</v>
        <stp/>
        <stp>5457</stp>
        <stp>PredictVolume</stp>
        <tr r="AI1146" s="57"/>
      </tp>
      <tp>
        <v>586</v>
        <stp/>
        <stp>5607</stp>
        <stp>PredictVolume</stp>
        <tr r="AI1542" s="57"/>
      </tp>
      <tp>
        <v>19</v>
        <stp/>
        <stp>5007</stp>
        <stp>PredictVolume</stp>
        <tr r="AI464" s="57"/>
      </tp>
      <tp>
        <v>32</v>
        <stp/>
        <stp>5287</stp>
        <stp>PredictVolume</stp>
        <tr r="AI1810" s="57"/>
      </tp>
      <tp>
        <v>271</v>
        <stp/>
        <stp>5227</stp>
        <stp>PredictVolume</stp>
        <tr r="AI51" s="28"/>
        <tr r="AI1135" s="57"/>
      </tp>
      <tp>
        <v>2805</v>
        <stp/>
        <stp>5347</stp>
        <stp>PredictVolume</stp>
        <tr r="AI621" s="57"/>
        <tr r="AJ33" s="118"/>
      </tp>
      <tp>
        <v>125</v>
        <stp/>
        <stp>5907</stp>
        <stp>PredictVolume</stp>
        <tr r="AI1666" s="57"/>
      </tp>
      <tp>
        <v>5833</v>
        <stp/>
        <stp>2497</stp>
        <stp>PredictVolume</stp>
        <tr r="AI520" s="57"/>
      </tp>
      <tp>
        <v>133</v>
        <stp/>
        <stp>2427</stp>
        <stp>PredictVolume</stp>
        <tr r="AI1267" s="57"/>
      </tp>
      <tp>
        <v>875</v>
        <stp/>
        <stp>2417</stp>
        <stp>PredictVolume</stp>
        <tr r="AI720" s="57"/>
      </tp>
      <tp>
        <v>145</v>
        <stp/>
        <stp>2477</stp>
        <stp>PredictVolume</stp>
        <tr r="AI1706" s="57"/>
      </tp>
      <tp>
        <v>156</v>
        <stp/>
        <stp>2467</stp>
        <stp>PredictVolume</stp>
        <tr r="AI1050" s="57"/>
      </tp>
      <tp>
        <v>4301</v>
        <stp/>
        <stp>2457</stp>
        <stp>PredictVolume</stp>
        <tr r="AI1047" s="57"/>
      </tp>
      <tp>
        <v>590</v>
        <stp/>
        <stp>2597</stp>
        <stp>PredictVolume</stp>
        <tr r="AI1473" s="57"/>
      </tp>
      <tp>
        <v>3949</v>
        <stp/>
        <stp>2537</stp>
        <stp>PredictVolume</stp>
        <tr r="AI1462" s="57"/>
      </tp>
      <tp>
        <v>225</v>
        <stp/>
        <stp>2527</stp>
        <stp>PredictVolume</stp>
        <tr r="AI1456" s="57"/>
      </tp>
      <tp>
        <v>629</v>
        <stp/>
        <stp>2547</stp>
        <stp>PredictVolume</stp>
        <tr r="AI1470" s="57"/>
      </tp>
      <tp>
        <v>24259</v>
        <stp/>
        <stp>2637</stp>
        <stp>PredictVolume</stp>
        <tr r="AI1535" s="57"/>
      </tp>
      <tp>
        <v>2521</v>
        <stp/>
        <stp>2617</stp>
        <stp>PredictVolume</stp>
        <tr r="AI1529" s="57"/>
      </tp>
      <tp>
        <v>8251</v>
        <stp/>
        <stp>2607</stp>
        <stp>PredictVolume</stp>
        <tr r="AI1521" s="57"/>
      </tp>
      <tp>
        <v>167</v>
        <stp/>
        <stp>2727</stp>
        <stp>PredictVolume</stp>
        <tr r="AI1563" s="57"/>
      </tp>
      <tp>
        <v>197</v>
        <stp/>
        <stp>2707</stp>
        <stp>PredictVolume</stp>
        <tr r="AI1555" s="57"/>
      </tp>
      <tp>
        <v>10315</v>
        <stp/>
        <stp>2027</stp>
        <stp>PredictVolume</stp>
        <tr r="AI448" s="57"/>
      </tp>
      <tp>
        <v>670</v>
        <stp/>
        <stp>2017</stp>
        <stp>PredictVolume</stp>
        <tr r="AI442" s="57"/>
      </tp>
      <tp>
        <v>1085</v>
        <stp/>
        <stp>2007</stp>
        <stp>PredictVolume</stp>
        <tr r="AI434" s="57"/>
      </tp>
      <tp>
        <v>0</v>
        <stp/>
        <stp>2067</stp>
        <stp>PredictVolume</stp>
        <tr r="AI163" s="57"/>
      </tp>
      <tp>
        <v>162</v>
        <stp/>
        <stp>2107</stp>
        <stp>PredictVolume</stp>
        <tr r="AI486" s="57"/>
      </tp>
      <tp>
        <v>60</v>
        <stp/>
        <stp>2227</stp>
        <stp>PredictVolume</stp>
        <tr r="AI511" s="57"/>
      </tp>
      <tp>
        <v>168</v>
        <stp/>
        <stp>2207</stp>
        <stp>PredictVolume</stp>
        <tr r="AJ29" s="118"/>
        <tr r="AI510" s="57"/>
      </tp>
      <tp>
        <v>29</v>
        <stp/>
        <stp>2247</stp>
        <stp>PredictVolume</stp>
        <tr r="AI518" s="57"/>
      </tp>
      <tp>
        <v>24</v>
        <stp/>
        <stp>2397</stp>
        <stp>PredictVolume</stp>
        <tr r="AI717" s="57"/>
      </tp>
      <tp>
        <v>256</v>
        <stp/>
        <stp>2387</stp>
        <stp>PredictVolume</stp>
        <tr r="AL32" s="28"/>
        <tr r="AI79" s="114"/>
        <tr r="AI715" s="57"/>
      </tp>
      <tp>
        <v>6520</v>
        <stp/>
        <stp>2337</stp>
        <stp>PredictVolume</stp>
        <tr r="AI533" s="57"/>
      </tp>
      <tp>
        <v>2332</v>
        <stp/>
        <stp>2327</stp>
        <stp>PredictVolume</stp>
        <tr r="AI69" s="114"/>
        <tr r="AI1029" s="57"/>
      </tp>
      <tp>
        <v>22446</v>
        <stp/>
        <stp>2317</stp>
        <stp>PredictVolume</stp>
        <tr r="AJ2" s="118"/>
        <tr r="AI1694" s="57"/>
      </tp>
      <tp>
        <v>3673</v>
        <stp/>
        <stp>2377</stp>
        <stp>PredictVolume</stp>
        <tr r="AI712" s="57"/>
      </tp>
      <tp>
        <v>1017</v>
        <stp/>
        <stp>2367</stp>
        <stp>PredictVolume</stp>
        <tr r="AI1032" s="57"/>
      </tp>
      <tp>
        <v>2654</v>
        <stp/>
        <stp>2357</stp>
        <stp>PredictVolume</stp>
        <tr r="AI707" s="57"/>
      </tp>
      <tp>
        <v>4148</v>
        <stp/>
        <stp>2347</stp>
        <stp>PredictVolume</stp>
        <tr r="AI1229" s="57"/>
      </tp>
      <tp>
        <v>4972</v>
        <stp/>
        <stp>2897</stp>
        <stp>PredictVolume</stp>
        <tr r="AI1623" s="57"/>
      </tp>
      <tp>
        <v>25106</v>
        <stp/>
        <stp>2887</stp>
        <stp>PredictVolume</stp>
        <tr r="AI1617" s="57"/>
      </tp>
      <tp>
        <v>3790</v>
        <stp/>
        <stp>2867</stp>
        <stp>PredictVolume</stp>
        <tr r="AI1609" s="57"/>
      </tp>
      <tp>
        <v>0</v>
        <stp/>
        <stp>2937</stp>
        <stp>PredictVolume</stp>
        <tr r="AI1655" s="57"/>
      </tp>
      <tp>
        <v>3</v>
        <stp/>
        <stp>2947</stp>
        <stp>PredictVolume</stp>
        <tr r="AI1658" s="57"/>
      </tp>
      <tp>
        <v>814</v>
        <stp/>
        <stp>3437</stp>
        <stp>PredictVolume</stp>
        <tr r="AI842" s="57"/>
      </tp>
      <tp>
        <v>23</v>
        <stp/>
        <stp>3597</stp>
        <stp>PredictVolume</stp>
        <tr r="AI1112" s="57"/>
      </tp>
      <tp>
        <v>325</v>
        <stp/>
        <stp>3587</stp>
        <stp>PredictVolume</stp>
        <tr r="AI1731" s="57"/>
      </tp>
      <tp>
        <v>126</v>
        <stp/>
        <stp>3537</stp>
        <stp>PredictVolume</stp>
        <tr r="AI1108" s="57"/>
      </tp>
      <tp>
        <v>1242</v>
        <stp/>
        <stp>3527</stp>
        <stp>PredictVolume</stp>
        <tr r="AI581" s="57"/>
      </tp>
      <tp>
        <v>76</v>
        <stp/>
        <stp>3577</stp>
        <stp>PredictVolume</stp>
        <tr r="AI750" s="57"/>
      </tp>
      <tp>
        <v>27</v>
        <stp/>
        <stp>3567</stp>
        <stp>PredictVolume</stp>
        <tr r="AI589" s="57"/>
      </tp>
      <tp>
        <v>246</v>
        <stp/>
        <stp>3557</stp>
        <stp>PredictVolume</stp>
        <tr r="AI125" s="114"/>
        <tr r="AI1326" s="57"/>
      </tp>
      <tp>
        <v>471</v>
        <stp/>
        <stp>3687</stp>
        <stp>PredictVolume</stp>
        <tr r="AI1808" s="57"/>
      </tp>
      <tp>
        <v>303</v>
        <stp/>
        <stp>3617</stp>
        <stp>PredictVolume</stp>
        <tr r="AI1732" s="57"/>
      </tp>
      <tp>
        <v>379</v>
        <stp/>
        <stp>3607</stp>
        <stp>PredictVolume</stp>
        <tr r="AI1114" s="57"/>
      </tp>
      <tp>
        <v>8707</v>
        <stp/>
        <stp>3707</stp>
        <stp>PredictVolume</stp>
        <tr r="AI598" s="57"/>
      </tp>
      <tp>
        <v>23862</v>
        <stp/>
        <stp>3037</stp>
        <stp>PredictVolume</stp>
        <tr r="AJ30" s="118"/>
        <tr r="AI1065" s="57"/>
      </tp>
      <tp>
        <v>547</v>
        <stp/>
        <stp>3027</stp>
        <stp>PredictVolume</stp>
        <tr r="AI943" s="57"/>
      </tp>
      <tp>
        <v>3406</v>
        <stp/>
        <stp>3017</stp>
        <stp>PredictVolume</stp>
        <tr r="AI17" s="74"/>
        <tr r="AI68" s="114"/>
        <tr r="AI728" s="57"/>
      </tp>
      <tp>
        <v>0</v>
        <stp/>
        <stp>3067</stp>
        <stp>PredictVolume</stp>
        <tr r="AI1713" s="57"/>
      </tp>
      <tp>
        <v>71</v>
        <stp/>
        <stp>3057</stp>
        <stp>PredictVolume</stp>
        <tr r="AI731" s="57"/>
      </tp>
      <tp>
        <v>3818</v>
        <stp/>
        <stp>3047</stp>
        <stp>PredictVolume</stp>
        <tr r="AI945" s="57"/>
      </tp>
      <tp>
        <v>213</v>
        <stp/>
        <stp>3167</stp>
        <stp>PredictVolume</stp>
        <tr r="AI170" s="57"/>
      </tp>
      <tp>
        <v>34</v>
        <stp/>
        <stp>3147</stp>
        <stp>PredictVolume</stp>
        <tr r="AI1306" s="57"/>
      </tp>
      <tp>
        <v>167</v>
        <stp/>
        <stp>3297</stp>
        <stp>PredictVolume</stp>
        <tr r="AI835" s="57"/>
      </tp>
      <tp>
        <v>364</v>
        <stp/>
        <stp>3287</stp>
        <stp>PredictVolume</stp>
        <tr r="AI739" s="57"/>
      </tp>
      <tp>
        <v>396</v>
        <stp/>
        <stp>3227</stp>
        <stp>PredictVolume</stp>
        <tr r="AI567" s="57"/>
      </tp>
      <tp>
        <v>765</v>
        <stp/>
        <stp>3217</stp>
        <stp>PredictVolume</stp>
        <tr r="AI66" s="114"/>
        <tr r="AI1078" s="57"/>
      </tp>
      <tp>
        <v>665</v>
        <stp/>
        <stp>3207</stp>
        <stp>PredictVolume</stp>
        <tr r="AI1077" s="57"/>
      </tp>
      <tp>
        <v>105</v>
        <stp/>
        <stp>3257</stp>
        <stp>PredictVolume</stp>
        <tr r="AI56" s="114"/>
        <tr r="AI569" s="57"/>
      </tp>
      <tp>
        <v>1710</v>
        <stp/>
        <stp>3317</stp>
        <stp>PredictVolume</stp>
        <tr r="AI575" s="57"/>
      </tp>
      <tp>
        <v>54</v>
        <stp/>
        <stp>3357</stp>
        <stp>PredictVolume</stp>
        <tr r="AI118" s="114"/>
        <tr r="AI1094" s="57"/>
      </tp>
      <tp>
        <v>109</v>
        <stp/>
        <stp>1437</stp>
        <stp>PredictVolume</stp>
        <tr r="AI1312" s="57"/>
      </tp>
      <tp>
        <v>121</v>
        <stp/>
        <stp>1417</stp>
        <stp>PredictVolume</stp>
        <tr r="AI75" s="57"/>
      </tp>
      <tp>
        <v>943</v>
        <stp/>
        <stp>1477</stp>
        <stp>PredictVolume</stp>
        <tr r="AI21" s="74"/>
        <tr r="AI104" s="114"/>
        <tr r="AI110" s="57"/>
      </tp>
      <tp>
        <v>382</v>
        <stp/>
        <stp>1467</stp>
        <stp>PredictVolume</stp>
        <tr r="AI102" s="57"/>
      </tp>
      <tp>
        <v>2164</v>
        <stp/>
        <stp>1457</stp>
        <stp>PredictVolume</stp>
        <tr r="AI95" s="57"/>
      </tp>
      <tp>
        <v>1192</v>
        <stp/>
        <stp>1447</stp>
        <stp>PredictVolume</stp>
        <tr r="AI87" s="57"/>
      </tp>
      <tp>
        <v>202</v>
        <stp/>
        <stp>1597</stp>
        <stp>PredictVolume</stp>
        <tr r="AI159" s="57"/>
      </tp>
      <tp>
        <v>70</v>
        <stp/>
        <stp>1587</stp>
        <stp>PredictVolume</stp>
        <tr r="AI505" s="57"/>
      </tp>
      <tp>
        <v>42</v>
        <stp/>
        <stp>1537</stp>
        <stp>PredictVolume</stp>
        <tr r="AI145" s="57"/>
      </tp>
      <tp>
        <v>640</v>
        <stp/>
        <stp>1527</stp>
        <stp>PredictVolume</stp>
        <tr r="AI138" s="57"/>
      </tp>
      <tp>
        <v>308</v>
        <stp/>
        <stp>1517</stp>
        <stp>PredictVolume</stp>
        <tr r="AI135" s="57"/>
      </tp>
      <tp t="s">
        <v>商品錯誤</v>
        <stp/>
        <stp>1507</stp>
        <stp>PredictVolume</stp>
        <tr r="AI131" s="57"/>
      </tp>
      <tp>
        <v>36</v>
        <stp/>
        <stp>1617</stp>
        <stp>PredictVolume</stp>
        <tr r="AI235" s="57"/>
      </tp>
      <tp>
        <v>263</v>
        <stp/>
        <stp>1737</stp>
        <stp>PredictVolume</stp>
        <tr r="AI36" s="57"/>
      </tp>
      <tp>
        <v>3779</v>
        <stp/>
        <stp>1727</stp>
        <stp>PredictVolume</stp>
        <tr r="AI258" s="57"/>
      </tp>
      <tp>
        <v>2984</v>
        <stp/>
        <stp>1717</stp>
        <stp>PredictVolume</stp>
        <tr r="AI251" s="57"/>
      </tp>
      <tp>
        <v>230</v>
        <stp/>
        <stp>1707</stp>
        <stp>PredictVolume</stp>
        <tr r="AI92" s="114"/>
        <tr r="AI293" s="57"/>
      </tp>
      <tp>
        <v>13</v>
        <stp/>
        <stp>1777</stp>
        <stp>PredictVolume</stp>
        <tr r="AI302" s="57"/>
      </tp>
      <tp>
        <v>846</v>
        <stp/>
        <stp>1227</stp>
        <stp>PredictVolume</stp>
        <tr r="AI24" s="57"/>
      </tp>
      <tp>
        <v>2486</v>
        <stp/>
        <stp>1217</stp>
        <stp>PredictVolume</stp>
        <tr r="AI19" s="57"/>
      </tp>
      <tp>
        <v>185</v>
        <stp/>
        <stp>1337</stp>
        <stp>PredictVolume</stp>
        <tr r="AI59" s="57"/>
      </tp>
      <tp>
        <v>34</v>
        <stp/>
        <stp>1307</stp>
        <stp>PredictVolume</stp>
        <tr r="AI46" s="57"/>
      </tp>
      <tp>
        <v>94</v>
        <stp/>
        <stp>1817</stp>
        <stp>PredictVolume</stp>
        <tr r="AI421" s="57"/>
      </tp>
      <tp>
        <v>8391</v>
        <stp/>
        <stp>1907</stp>
        <stp>PredictVolume</stp>
        <tr r="AI428" s="57"/>
      </tp>
      <tp>
        <v>8</v>
        <stp/>
        <stp>8437</stp>
        <stp>PredictVolume</stp>
        <tr r="AI1380" s="57"/>
      </tp>
      <tp>
        <v>2</v>
        <stp/>
        <stp>8477</stp>
        <stp>PredictVolume</stp>
        <tr r="AI1815" s="57"/>
      </tp>
      <tp>
        <v>7</v>
        <stp/>
        <stp>8467</stp>
        <stp>PredictVolume</stp>
        <tr r="AI1388" s="57"/>
      </tp>
      <tp>
        <v>2099</v>
        <stp/>
        <stp>8097</stp>
        <stp>PredictVolume</stp>
        <tr r="AI1014" s="57"/>
      </tp>
      <tp>
        <v>958</v>
        <stp/>
        <stp>8087</stp>
        <stp>PredictVolume</stp>
        <tr r="AI922" s="57"/>
      </tp>
      <tp>
        <v>746</v>
        <stp/>
        <stp>8027</stp>
        <stp>PredictVolume</stp>
        <tr r="AI215" s="57"/>
      </tp>
      <tp>
        <v>4</v>
        <stp/>
        <stp>8077</stp>
        <stp>PredictVolume</stp>
        <tr r="AI1588" s="57"/>
      </tp>
      <tp>
        <v>12</v>
        <stp/>
        <stp>8067</stp>
        <stp>PredictVolume</stp>
        <tr r="AI1258" s="57"/>
      </tp>
      <tp>
        <v>127</v>
        <stp/>
        <stp>8047</stp>
        <stp>PredictVolume</stp>
        <tr r="AI1770" s="57"/>
      </tp>
      <tp>
        <v>122</v>
        <stp/>
        <stp>8107</stp>
        <stp>PredictVolume</stp>
        <tr r="AI217" s="57"/>
      </tp>
      <tp>
        <v>34</v>
        <stp/>
        <stp>8147</stp>
        <stp>PredictVolume</stp>
        <tr r="AI1219" s="57"/>
      </tp>
      <tp>
        <v>57</v>
        <stp/>
        <stp>8277</stp>
        <stp>PredictVolume</stp>
        <tr r="AI695" s="57"/>
      </tp>
      <tp>
        <v>84</v>
        <stp/>
        <stp>8367</stp>
        <stp>PredictVolume</stp>
        <tr r="AI1545" s="57"/>
      </tp>
      <tp>
        <v>77</v>
        <stp/>
        <stp>8937</stp>
        <stp>PredictVolume</stp>
        <tr r="AI1408" s="57"/>
      </tp>
      <tp>
        <v>341</v>
        <stp/>
        <stp>8927</stp>
        <stp>PredictVolume</stp>
        <tr r="AI1689" s="57"/>
      </tp>
      <tp>
        <v>7</v>
        <stp/>
        <stp>8917</stp>
        <stp>PredictVolume</stp>
        <tr r="AI1680" s="57"/>
      </tp>
      <tp>
        <v>1</v>
        <stp/>
        <stp>9937</stp>
        <stp>PredictVolume</stp>
        <tr r="AI1687" s="57"/>
      </tp>
      <tp>
        <v>530</v>
        <stp/>
        <stp>9927</stp>
        <stp>PredictVolume</stp>
        <tr r="AI1424" s="57"/>
      </tp>
      <tp>
        <v>164</v>
        <stp/>
        <stp>9917</stp>
        <stp>PredictVolume</stp>
        <tr r="AI1419" s="57"/>
      </tp>
      <tp>
        <v>3316</v>
        <stp/>
        <stp>9907</stp>
        <stp>PredictVolume</stp>
        <tr r="AI1415" s="57"/>
      </tp>
      <tp>
        <v>43</v>
        <stp/>
        <stp>6496</stp>
        <stp>PredictVolume</stp>
        <tr r="AI385" s="57"/>
      </tp>
      <tp>
        <v>32</v>
        <stp/>
        <stp>6486</stp>
        <stp>PredictVolume</stp>
        <tr r="AI1001" s="57"/>
      </tp>
      <tp>
        <v>59</v>
        <stp/>
        <stp>6426</stp>
        <stp>PredictVolume</stp>
        <tr r="AI998" s="57"/>
      </tp>
      <tp>
        <v>40</v>
        <stp/>
        <stp>6416</stp>
        <stp>PredictVolume</stp>
        <tr r="AI996" s="57"/>
      </tp>
      <tp>
        <v>737</v>
        <stp/>
        <stp>6456</stp>
        <stp>PredictVolume</stp>
        <tr r="AI124" s="114"/>
        <tr r="AI912" s="57"/>
      </tp>
      <tp>
        <v>2201</v>
        <stp/>
        <stp>6446</stp>
        <stp>PredictVolume</stp>
        <tr r="AI379" s="57"/>
        <tr r="AJ38" s="118"/>
      </tp>
      <tp>
        <v>5</v>
        <stp/>
        <stp>6596</stp>
        <stp>PredictVolume</stp>
        <tr r="AI1799" s="57"/>
      </tp>
      <tp>
        <v>17</v>
        <stp/>
        <stp>6516</stp>
        <stp>PredictVolume</stp>
        <tr r="AI1296" s="57"/>
      </tp>
      <tp>
        <v>495</v>
        <stp/>
        <stp>6506</stp>
        <stp>PredictVolume</stp>
        <tr r="AI285" s="57"/>
      </tp>
      <tp>
        <v>181</v>
        <stp/>
        <stp>6576</stp>
        <stp>PredictVolume</stp>
        <tr r="AI394" s="57"/>
      </tp>
      <tp>
        <v>5</v>
        <stp/>
        <stp>6556</stp>
        <stp>PredictVolume</stp>
        <tr r="AI914" s="57"/>
      </tp>
      <tp>
        <v>149</v>
        <stp/>
        <stp>6546</stp>
        <stp>PredictVolume</stp>
        <tr r="AI47" s="28"/>
        <tr r="AI1004" s="57"/>
      </tp>
      <tp>
        <v>100</v>
        <stp/>
        <stp>6616</stp>
        <stp>PredictVolume</stp>
        <tr r="AI1350" s="57"/>
      </tp>
      <tp>
        <v>38</v>
        <stp/>
        <stp>6666</stp>
        <stp>PredictVolume</stp>
        <tr r="AI402" s="57"/>
      </tp>
      <tp>
        <v>14</v>
        <stp/>
        <stp>6716</stp>
        <stp>PredictVolume</stp>
        <tr r="AI674" s="57"/>
      </tp>
      <tp>
        <v>2423</v>
        <stp/>
        <stp>6706</stp>
        <stp>PredictVolume</stp>
        <tr r="AI917" s="57"/>
      </tp>
      <tp>
        <v>65</v>
        <stp/>
        <stp>6776</stp>
        <stp>PredictVolume</stp>
        <tr r="AI1256" s="57"/>
      </tp>
      <tp>
        <v>630</v>
        <stp/>
        <stp>6756</stp>
        <stp>PredictVolume</stp>
        <tr r="AI116" s="114"/>
        <tr r="AI677" s="57"/>
      </tp>
      <tp>
        <v>1774</v>
        <stp/>
        <stp>6026</stp>
        <stp>PredictVolume</stp>
        <tr r="AI1636" s="57"/>
      </tp>
      <tp>
        <v>1231</v>
        <stp/>
        <stp>6016</stp>
        <stp>PredictVolume</stp>
        <tr r="AI1631" s="57"/>
      </tp>
      <tp>
        <v>638</v>
        <stp/>
        <stp>6196</stp>
        <stp>PredictVolume</stp>
        <tr r="AI1751" s="57"/>
      </tp>
      <tp>
        <v>89</v>
        <stp/>
        <stp>6186</stp>
        <stp>PredictVolume</stp>
        <tr r="AI1508" s="57"/>
      </tp>
      <tp>
        <v>68</v>
        <stp/>
        <stp>6136</stp>
        <stp>PredictVolume</stp>
        <tr r="AI983" s="57"/>
      </tp>
      <tp>
        <v>245</v>
        <stp/>
        <stp>6126</stp>
        <stp>PredictVolume</stp>
        <tr r="AI1157" s="57"/>
      </tp>
      <tp>
        <v>9548</v>
        <stp/>
        <stp>6116</stp>
        <stp>PredictVolume</stp>
        <tr r="AI892" s="57"/>
      </tp>
      <tp>
        <v>1699</v>
        <stp/>
        <stp>6176</stp>
        <stp>PredictVolume</stp>
        <tr r="AI26" s="74"/>
        <tr r="AI130" s="114"/>
        <tr r="AI898" s="57"/>
      </tp>
      <tp>
        <v>65</v>
        <stp/>
        <stp>6166</stp>
        <stp>PredictVolume</stp>
        <tr r="AI783" s="57"/>
      </tp>
      <tp>
        <v>226</v>
        <stp/>
        <stp>6156</stp>
        <stp>PredictVolume</stp>
        <tr r="AI1164" s="57"/>
      </tp>
      <tp>
        <v>164</v>
        <stp/>
        <stp>6146</stp>
        <stp>PredictVolume</stp>
        <tr r="AI1747" s="57"/>
      </tp>
      <tp>
        <v>3</v>
        <stp/>
        <stp>6236</stp>
        <stp>PredictVolume</stp>
        <tr r="AI1344" s="57"/>
      </tp>
      <tp>
        <v>3360</v>
        <stp/>
        <stp>6226</stp>
        <stp>PredictVolume</stp>
        <tr r="AI902" s="57"/>
      </tp>
      <tp>
        <v>676</v>
        <stp/>
        <stp>6216</stp>
        <stp>PredictVolume</stp>
        <tr r="AI990" s="57"/>
      </tp>
      <tp>
        <v>483</v>
        <stp/>
        <stp>6206</stp>
        <stp>PredictVolume</stp>
        <tr r="AI785" s="57"/>
      </tp>
      <tp>
        <v>4</v>
        <stp/>
        <stp>6276</stp>
        <stp>PredictVolume</stp>
        <tr r="AI789" s="57"/>
      </tp>
      <tp>
        <v>366</v>
        <stp/>
        <stp>6266</stp>
        <stp>PredictVolume</stp>
        <tr r="AI1186" s="57"/>
      </tp>
      <tp>
        <v>146</v>
        <stp/>
        <stp>6246</stp>
        <stp>PredictVolume</stp>
        <tr r="AI905" s="57"/>
      </tp>
      <tp>
        <v>30</v>
        <stp/>
        <stp>6826</stp>
        <stp>PredictVolume</stp>
        <tr r="AI1768" s="57"/>
      </tp>
      <tp>
        <v>1336</v>
        <stp/>
        <stp>6806</stp>
        <stp>PredictVolume</stp>
        <tr r="AI53" s="28"/>
        <tr r="AI1364" s="57"/>
      </tp>
      <tp>
        <v>3</v>
        <stp/>
        <stp>7556</stp>
        <stp>PredictVolume</stp>
        <tr r="AI681" s="57"/>
      </tp>
      <tp>
        <v>171</v>
        <stp/>
        <stp>4426</stp>
        <stp>PredictVolume</stp>
        <tr r="AI119" s="57"/>
      </tp>
      <tp>
        <v>2</v>
        <stp/>
        <stp>4416</stp>
        <stp>PredictVolume</stp>
        <tr r="AI1483" s="57"/>
      </tp>
      <tp>
        <v>61</v>
        <stp/>
        <stp>4406</stp>
        <stp>PredictVolume</stp>
        <tr r="AI113" s="57"/>
      </tp>
      <tp>
        <v>98</v>
        <stp/>
        <stp>4536</stp>
        <stp>PredictVolume</stp>
        <tr r="AI1329" s="57"/>
      </tp>
      <tp>
        <v>187</v>
        <stp/>
        <stp>4526</stp>
        <stp>PredictVolume</stp>
        <tr r="AI181" s="57"/>
      </tp>
      <tp>
        <v>15</v>
        <stp/>
        <stp>4506</stp>
        <stp>PredictVolume</stp>
        <tr r="AI177" s="57"/>
      </tp>
      <tp>
        <v>111</v>
        <stp/>
        <stp>4576</stp>
        <stp>PredictVolume</stp>
        <tr r="AI206" s="57"/>
      </tp>
      <tp>
        <v>88</v>
        <stp/>
        <stp>4566</stp>
        <stp>PredictVolume</stp>
        <tr r="AI202" s="57"/>
      </tp>
      <tp>
        <v>0</v>
        <stp/>
        <stp>4556</stp>
        <stp>PredictVolume</stp>
        <tr r="AI1331" s="57"/>
      </tp>
      <tp>
        <v>4262</v>
        <stp/>
        <stp>4736</stp>
        <stp>PredictVolume</stp>
        <tr r="AI368" s="57"/>
      </tp>
      <tp>
        <v>247</v>
        <stp/>
        <stp>4726</stp>
        <stp>PredictVolume</stp>
        <tr r="AI365" s="57"/>
      </tp>
      <tp>
        <v>303</v>
        <stp/>
        <stp>4716</stp>
        <stp>PredictVolume</stp>
        <tr r="AI271" s="57"/>
      </tp>
      <tp>
        <v>0</v>
        <stp/>
        <stp>4706</stp>
        <stp>PredictVolume</stp>
        <tr r="AI267" s="57"/>
      </tp>
      <tp>
        <v>104</v>
        <stp/>
        <stp>4766</stp>
        <stp>PredictVolume</stp>
        <tr r="AI281" s="57"/>
      </tp>
      <tp>
        <v>897</v>
        <stp/>
        <stp>4746</stp>
        <stp>PredictVolume</stp>
        <tr r="AI373" s="57"/>
      </tp>
      <tp>
        <v>149</v>
        <stp/>
        <stp>4126</stp>
        <stp>PredictVolume</stp>
        <tr r="AI332" s="57"/>
      </tp>
      <tp>
        <v>1342</v>
        <stp/>
        <stp>4116</stp>
        <stp>PredictVolume</stp>
        <tr r="AI327" s="57"/>
      </tp>
      <tp>
        <v>1597</v>
        <stp/>
        <stp>4106</stp>
        <stp>PredictVolume</stp>
        <tr r="AI321" s="57"/>
      </tp>
      <tp>
        <v>1175</v>
        <stp/>
        <stp>4306</stp>
        <stp>PredictVolume</stp>
        <tr r="AI65" s="57"/>
      </tp>
      <tp>
        <v>0</v>
        <stp/>
        <stp>4806</stp>
        <stp>PredictVolume</stp>
        <tr r="AI1787" s="57"/>
      </tp>
      <tp>
        <v>273</v>
        <stp/>
        <stp>4916</stp>
        <stp>PredictVolume</stp>
        <tr r="AI760" s="57"/>
      </tp>
      <tp>
        <v>2026</v>
        <stp/>
        <stp>4906</stp>
        <stp>PredictVolume</stp>
        <tr r="AI974" s="57"/>
      </tp>
      <tp>
        <v>2371</v>
        <stp/>
        <stp>4976</stp>
        <stp>PredictVolume</stp>
        <tr r="AI876" s="57"/>
      </tp>
      <tp>
        <v>515</v>
        <stp/>
        <stp>4966</stp>
        <stp>PredictVolume</stp>
        <tr r="AI605" s="57"/>
      </tp>
      <tp>
        <v>333</v>
        <stp/>
        <stp>4956</stp>
        <stp>PredictVolume</stp>
        <tr r="AI873" s="57"/>
      </tp>
      <tp>
        <v>186</v>
        <stp/>
        <stp>4946</stp>
        <stp>PredictVolume</stp>
        <tr r="AI1788" s="57"/>
      </tp>
      <tp>
        <v>78</v>
        <stp/>
        <stp>5426</stp>
        <stp>PredictVolume</stp>
        <tr r="AI771" s="57"/>
      </tp>
      <tp>
        <v>194</v>
        <stp/>
        <stp>5536</stp>
        <stp>PredictVolume</stp>
        <tr r="AI1745" s="57"/>
      </tp>
      <tp>
        <v>31</v>
        <stp/>
        <stp>5516</stp>
        <stp>PredictVolume</stp>
        <tr r="AI1494" s="57"/>
      </tp>
      <tp>
        <v>2</v>
        <stp/>
        <stp>5546</stp>
        <stp>PredictVolume</stp>
        <tr r="AI1505" s="57"/>
      </tp>
      <tp>
        <v>5015</v>
        <stp/>
        <stp>5706</stp>
        <stp>PredictVolume</stp>
        <tr r="AI1587" s="57"/>
      </tp>
      <tp>
        <v>14</v>
        <stp/>
        <stp>5016</stp>
        <stp>PredictVolume</stp>
        <tr r="AI470" s="57"/>
      </tp>
      <tp>
        <v>192</v>
        <stp/>
        <stp>5236</stp>
        <stp>PredictVolume</stp>
        <tr r="AI612" s="57"/>
      </tp>
      <tp>
        <v>187</v>
        <stp/>
        <stp>5206</stp>
        <stp>PredictVolume</stp>
        <tr r="AI1485" s="57"/>
      </tp>
      <tp>
        <v>24</v>
        <stp/>
        <stp>5276</stp>
        <stp>PredictVolume</stp>
        <tr r="AI1333" s="57"/>
      </tp>
      <tp>
        <v>61</v>
        <stp/>
        <stp>5386</stp>
        <stp>PredictVolume</stp>
        <tr r="AI770" s="57"/>
      </tp>
      <tp>
        <v>58</v>
        <stp/>
        <stp>5306</stp>
        <stp>PredictVolume</stp>
        <tr r="AI1335" s="57"/>
      </tp>
      <tp>
        <v>128</v>
        <stp/>
        <stp>5356</stp>
        <stp>PredictVolume</stp>
        <tr r="AI769" s="57"/>
      </tp>
      <tp>
        <v>3152</v>
        <stp/>
        <stp>5876</stp>
        <stp>PredictVolume</stp>
        <tr r="AI1626" s="57"/>
      </tp>
      <tp>
        <v>2</v>
        <stp/>
        <stp>5906</stp>
        <stp>PredictVolume</stp>
        <tr r="AI1665" s="57"/>
      </tp>
      <tp>
        <v>6</v>
        <stp/>
        <stp>2496</stp>
        <stp>PredictVolume</stp>
        <tr r="AI1320" s="57"/>
      </tp>
      <tp>
        <v>1610</v>
        <stp/>
        <stp>2486</stp>
        <stp>PredictVolume</stp>
        <tr r="AI819" s="57"/>
      </tp>
      <tp>
        <v>2253</v>
        <stp/>
        <stp>2436</stp>
        <stp>PredictVolume</stp>
        <tr r="AI545" s="57"/>
      </tp>
      <tp>
        <v>732</v>
        <stp/>
        <stp>2426</stp>
        <stp>PredictVolume</stp>
        <tr r="AI816" s="57"/>
      </tp>
      <tp>
        <v>2560</v>
        <stp/>
        <stp>2406</stp>
        <stp>PredictVolume</stp>
        <tr r="AI814" s="57"/>
      </tp>
      <tp>
        <v>812</v>
        <stp/>
        <stp>2476</stp>
        <stp>PredictVolume</stp>
        <tr r="AI1052" s="57"/>
      </tp>
      <tp>
        <v>79</v>
        <stp/>
        <stp>2466</stp>
        <stp>PredictVolume</stp>
        <tr r="AI818" s="57"/>
      </tp>
      <tp>
        <v>135</v>
        <stp/>
        <stp>2596</stp>
        <stp>PredictVolume</stp>
        <tr r="AI1472" s="57"/>
      </tp>
      <tp>
        <v>216</v>
        <stp/>
        <stp>2536</stp>
        <stp>PredictVolume</stp>
        <tr r="AI1461" s="57"/>
      </tp>
      <tp>
        <v>242</v>
        <stp/>
        <stp>2516</stp>
        <stp>PredictVolume</stp>
        <tr r="AI1453" s="57"/>
      </tp>
      <tp>
        <v>67</v>
        <stp/>
        <stp>2506</stp>
        <stp>PredictVolume</stp>
        <tr r="AI1450" s="57"/>
      </tp>
      <tp>
        <v>215</v>
        <stp/>
        <stp>2546</stp>
        <stp>PredictVolume</stp>
        <tr r="AI1469" s="57"/>
      </tp>
      <tp>
        <v>1426</v>
        <stp/>
        <stp>2636</stp>
        <stp>PredictVolume</stp>
        <tr r="AL18" s="28"/>
        <tr r="AI1534" s="57"/>
      </tp>
      <tp>
        <v>125</v>
        <stp/>
        <stp>2616</stp>
        <stp>PredictVolume</stp>
        <tr r="AI1678" s="57"/>
      </tp>
      <tp>
        <v>18358</v>
        <stp/>
        <stp>2606</stp>
        <stp>PredictVolume</stp>
        <tr r="AI61" s="114"/>
        <tr r="AI1520" s="57"/>
      </tp>
      <tp>
        <v>321</v>
        <stp/>
        <stp>2736</stp>
        <stp>PredictVolume</stp>
        <tr r="AI1568" s="57"/>
      </tp>
      <tp>
        <v>185</v>
        <stp/>
        <stp>2726</stp>
        <stp>PredictVolume</stp>
        <tr r="AI1562" s="57"/>
      </tp>
      <tp>
        <v>120</v>
        <stp/>
        <stp>2706</stp>
        <stp>PredictVolume</stp>
        <tr r="AI1554" s="57"/>
      </tp>
      <tp>
        <v>17</v>
        <stp/>
        <stp>2756</stp>
        <stp>PredictVolume</stp>
        <tr r="AI1578" s="57"/>
      </tp>
      <tp>
        <v>1311</v>
        <stp/>
        <stp>2006</stp>
        <stp>PredictVolume</stp>
        <tr r="AI433" s="57"/>
      </tp>
      <tp>
        <v>15</v>
        <stp/>
        <stp>2066</stp>
        <stp>PredictVolume</stp>
        <tr r="AI162" s="57"/>
      </tp>
      <tp>
        <v>1358</v>
        <stp/>
        <stp>2106</stp>
        <stp>PredictVolume</stp>
        <tr r="AI485" s="57"/>
      </tp>
      <tp>
        <v>2</v>
        <stp/>
        <stp>2236</stp>
        <stp>PredictVolume</stp>
        <tr r="AI515" s="57"/>
      </tp>
      <tp>
        <v>3474</v>
        <stp/>
        <stp>2206</stp>
        <stp>PredictVolume</stp>
        <tr r="AI509" s="57"/>
      </tp>
      <tp>
        <v>182</v>
        <stp/>
        <stp>2316</stp>
        <stp>PredictVolume</stp>
        <tr r="AI1028" s="57"/>
      </tp>
      <tp>
        <v>5807</v>
        <stp/>
        <stp>2376</stp>
        <stp>PredictVolume</stp>
        <tr r="AI711" s="57"/>
      </tp>
      <tp>
        <v>17303</v>
        <stp/>
        <stp>2356</stp>
        <stp>PredictVolume</stp>
        <tr r="AI706" s="57"/>
      </tp>
      <tp>
        <v>24488</v>
        <stp/>
        <stp>2886</stp>
        <stp>PredictVolume</stp>
        <tr r="AI1616" s="57"/>
        <tr r="AJ15" s="118"/>
      </tp>
      <tp>
        <v>1491</v>
        <stp/>
        <stp>2836</stp>
        <stp>PredictVolume</stp>
        <tr r="AI1601" s="57"/>
      </tp>
      <tp>
        <v>166</v>
        <stp/>
        <stp>2816</stp>
        <stp>PredictVolume</stp>
        <tr r="AI1597" s="57"/>
      </tp>
      <tp>
        <v>27</v>
        <stp/>
        <stp>2936</stp>
        <stp>PredictVolume</stp>
        <tr r="AI1654" s="57"/>
      </tp>
      <tp>
        <v>13</v>
        <stp/>
        <stp>2926</stp>
        <stp>PredictVolume</stp>
        <tr r="AI1780" s="57"/>
      </tp>
      <tp>
        <v>37</v>
        <stp/>
        <stp>2916</stp>
        <stp>PredictVolume</stp>
        <tr r="AI1652" s="57"/>
      </tp>
      <tp>
        <v>2675</v>
        <stp/>
        <stp>2906</stp>
        <stp>PredictVolume</stp>
        <tr r="AI1645" s="57"/>
      </tp>
      <tp>
        <v>0</v>
        <stp/>
        <stp>3426</stp>
        <stp>PredictVolume</stp>
        <tr r="AI174" s="57"/>
      </tp>
      <tp>
        <v>41</v>
        <stp/>
        <stp>3416</stp>
        <stp>PredictVolume</stp>
        <tr r="AI743" s="57"/>
      </tp>
      <tp>
        <v>1843</v>
        <stp/>
        <stp>3406</stp>
        <stp>PredictVolume</stp>
        <tr r="AI840" s="57"/>
      </tp>
      <tp>
        <v>739</v>
        <stp/>
        <stp>3466</stp>
        <stp>PredictVolume</stp>
        <tr r="AI959" s="57"/>
      </tp>
      <tp>
        <v>5959</v>
        <stp/>
        <stp>3596</stp>
        <stp>PredictVolume</stp>
        <tr r="AI964" s="57"/>
      </tp>
      <tp>
        <v>5</v>
        <stp/>
        <stp>3536</stp>
        <stp>PredictVolume</stp>
        <tr r="AI585" s="57"/>
      </tp>
      <tp>
        <v>484</v>
        <stp/>
        <stp>3526</stp>
        <stp>PredictVolume</stp>
        <tr r="AI141" s="114"/>
        <tr r="AI1106" s="57"/>
      </tp>
      <tp>
        <v>122</v>
        <stp/>
        <stp>3516</stp>
        <stp>PredictVolume</stp>
        <tr r="AI849" s="57"/>
      </tp>
      <tp>
        <v>3278</v>
        <stp/>
        <stp>3576</stp>
        <stp>PredictVolume</stp>
        <tr r="AI854" s="57"/>
      </tp>
      <tp>
        <v>174</v>
        <stp/>
        <stp>3556</stp>
        <stp>PredictVolume</stp>
        <tr r="AI588" s="57"/>
      </tp>
      <tp>
        <v>182</v>
        <stp/>
        <stp>3546</stp>
        <stp>PredictVolume</stp>
        <tr r="AI1785" s="57"/>
      </tp>
      <tp>
        <v>474</v>
        <stp/>
        <stp>3686</stp>
        <stp>PredictVolume</stp>
        <tr r="AI597" s="57"/>
      </tp>
      <tp>
        <v>111</v>
        <stp/>
        <stp>3666</stp>
        <stp>PredictVolume</stp>
        <tr r="AI860" s="57"/>
      </tp>
      <tp>
        <v>21</v>
        <stp/>
        <stp>3646</stp>
        <stp>PredictVolume</stp>
        <tr r="AI1119" s="57"/>
      </tp>
      <tp>
        <v>2804</v>
        <stp/>
        <stp>3706</stp>
        <stp>PredictVolume</stp>
        <tr r="AI757" s="57"/>
      </tp>
      <tp>
        <v>35</v>
        <stp/>
        <stp>3086</stp>
        <stp>PredictVolume</stp>
        <tr r="AI1783" s="57"/>
      </tp>
      <tp>
        <v>4251</v>
        <stp/>
        <stp>3036</stp>
        <stp>PredictVolume</stp>
        <tr r="AI1236" s="57"/>
      </tp>
      <tp>
        <v>137</v>
        <stp/>
        <stp>3026</stp>
        <stp>PredictVolume</stp>
        <tr r="AI1063" s="57"/>
      </tp>
      <tp>
        <v>5748</v>
        <stp/>
        <stp>3016</stp>
        <stp>PredictVolume</stp>
        <tr r="AI554" s="57"/>
      </tp>
      <tp>
        <v>6554</v>
        <stp/>
        <stp>3006</stp>
        <stp>PredictVolume</stp>
        <tr r="AI24" s="74"/>
        <tr r="AI131" s="114"/>
        <tr r="AI552" s="57"/>
      </tp>
      <tp>
        <v>348</v>
        <stp/>
        <stp>3066</stp>
        <stp>PredictVolume</stp>
        <tr r="AI831" s="57"/>
      </tp>
      <tp>
        <v>516</v>
        <stp/>
        <stp>3056</stp>
        <stp>PredictVolume</stp>
        <tr r="AI1477" s="57"/>
      </tp>
      <tp>
        <v>50</v>
        <stp/>
        <stp>3046</stp>
        <stp>PredictVolume</stp>
        <tr r="AI730" s="57"/>
      </tp>
      <tp>
        <v>2776</v>
        <stp/>
        <stp>3176</stp>
        <stp>PredictVolume</stp>
        <tr r="AI314" s="57"/>
      </tp>
      <tp>
        <v>199</v>
        <stp/>
        <stp>3296</stp>
        <stp>PredictVolume</stp>
        <tr r="AI1085" s="57"/>
      </tp>
      <tp>
        <v>64</v>
        <stp/>
        <stp>3236</stp>
        <stp>PredictVolume</stp>
        <tr r="AI1080" s="57"/>
      </tp>
      <tp>
        <v>0</v>
        <stp/>
        <stp>3226</stp>
        <stp>PredictVolume</stp>
        <tr r="AI172" s="57"/>
      </tp>
      <tp>
        <v>13</v>
        <stp/>
        <stp>3206</stp>
        <stp>PredictVolume</stp>
        <tr r="AI1076" s="57"/>
      </tp>
      <tp>
        <v>147</v>
        <stp/>
        <stp>3276</stp>
        <stp>PredictVolume</stp>
        <tr r="AI1081" s="57"/>
      </tp>
      <tp>
        <v>211</v>
        <stp/>
        <stp>3266</stp>
        <stp>PredictVolume</stp>
        <tr r="AI1479" s="57"/>
      </tp>
      <tp>
        <v>128</v>
        <stp/>
        <stp>3306</stp>
        <stp>PredictVolume</stp>
        <tr r="AI954" s="57"/>
      </tp>
      <tp>
        <v>420</v>
        <stp/>
        <stp>3376</stp>
        <stp>PredictVolume</stp>
        <tr r="AI1095" s="57"/>
      </tp>
      <tp>
        <v>811</v>
        <stp/>
        <stp>3356</stp>
        <stp>PredictVolume</stp>
        <tr r="AI837" s="57"/>
      </tp>
      <tp>
        <v>164</v>
        <stp/>
        <stp>3346</stp>
        <stp>PredictVolume</stp>
        <tr r="AI521" s="57"/>
      </tp>
      <tp>
        <v>29</v>
        <stp/>
        <stp>1436</stp>
        <stp>PredictVolume</stp>
        <tr r="AI1442" s="57"/>
      </tp>
      <tp>
        <v>127</v>
        <stp/>
        <stp>1416</stp>
        <stp>PredictVolume</stp>
        <tr r="AI1310" s="57"/>
      </tp>
      <tp>
        <v>969</v>
        <stp/>
        <stp>1476</stp>
        <stp>PredictVolume</stp>
        <tr r="AL25" s="28"/>
        <tr r="AI109" s="57"/>
      </tp>
      <tp>
        <v>101</v>
        <stp/>
        <stp>1466</stp>
        <stp>PredictVolume</stp>
        <tr r="AI101" s="57"/>
      </tp>
      <tp>
        <v>45</v>
        <stp/>
        <stp>1456</stp>
        <stp>PredictVolume</stp>
        <tr r="AI94" s="57"/>
      </tp>
      <tp>
        <v>43</v>
        <stp/>
        <stp>1446</stp>
        <stp>PredictVolume</stp>
        <tr r="AI86" s="57"/>
      </tp>
      <tp>
        <v>74</v>
        <stp/>
        <stp>1586</stp>
        <stp>PredictVolume</stp>
        <tr r="AI155" s="57"/>
      </tp>
      <tp>
        <v>577</v>
        <stp/>
        <stp>1536</stp>
        <stp>PredictVolume</stp>
        <tr r="AI503" s="57"/>
      </tp>
      <tp>
        <v>337</v>
        <stp/>
        <stp>1526</stp>
        <stp>PredictVolume</stp>
        <tr r="AI137" s="57"/>
      </tp>
      <tp>
        <v>693</v>
        <stp/>
        <stp>1516</stp>
        <stp>PredictVolume</stp>
        <tr r="AI1313" s="57"/>
      </tp>
      <tp>
        <v>399</v>
        <stp/>
        <stp>1506</stp>
        <stp>PredictVolume</stp>
        <tr r="AI130" s="57"/>
      </tp>
      <tp>
        <v>124</v>
        <stp/>
        <stp>1626</stp>
        <stp>PredictVolume</stp>
        <tr r="AI237" s="57"/>
      </tp>
      <tp>
        <v>273</v>
        <stp/>
        <stp>1616</stp>
        <stp>PredictVolume</stp>
        <tr r="AI234" s="57"/>
      </tp>
      <tp>
        <v>1</v>
        <stp/>
        <stp>1796</stp>
        <stp>PredictVolume</stp>
        <tr r="AI37" s="57"/>
      </tp>
      <tp>
        <v>5</v>
        <stp/>
        <stp>1786</stp>
        <stp>PredictVolume</stp>
        <tr r="AI306" s="57"/>
      </tp>
      <tp>
        <v>125</v>
        <stp/>
        <stp>1736</stp>
        <stp>PredictVolume</stp>
        <tr r="AI298" s="57"/>
      </tp>
      <tp>
        <v>10</v>
        <stp/>
        <stp>1726</stp>
        <stp>PredictVolume</stp>
        <tr r="AI257" s="57"/>
      </tp>
      <tp>
        <v>36</v>
        <stp/>
        <stp>1776</stp>
        <stp>PredictVolume</stp>
        <tr r="AI264" s="57"/>
      </tp>
      <tp>
        <v>693</v>
        <stp/>
        <stp>1236</stp>
        <stp>PredictVolume</stp>
        <tr r="AI31" s="57"/>
      </tp>
      <tp>
        <v>10258</v>
        <stp/>
        <stp>1216</stp>
        <stp>PredictVolume</stp>
        <tr r="AI18" s="57"/>
        <tr r="AJ28" s="118"/>
      </tp>
      <tp>
        <v>83</v>
        <stp/>
        <stp>1256</stp>
        <stp>PredictVolume</stp>
        <tr r="AI32" s="57"/>
      </tp>
      <tp>
        <v>13</v>
        <stp/>
        <stp>1336</stp>
        <stp>PredictVolume</stp>
        <tr r="AI1020" s="57"/>
      </tp>
      <tp>
        <v>2945</v>
        <stp/>
        <stp>1326</stp>
        <stp>PredictVolume</stp>
        <tr r="AJ11" s="118"/>
        <tr r="AI58" s="57"/>
      </tp>
      <tp>
        <v>4042</v>
        <stp/>
        <stp>1316</stp>
        <stp>PredictVolume</stp>
        <tr r="AI1441" s="57"/>
      </tp>
      <tp>
        <v>480</v>
        <stp/>
        <stp>1806</stp>
        <stp>PredictVolume</stp>
        <tr r="AI418" s="57"/>
      </tp>
      <tp>
        <v>211</v>
        <stp/>
        <stp>1906</stp>
        <stp>PredictVolume</stp>
        <tr r="AI427" s="57"/>
      </tp>
      <tp>
        <v>381</v>
        <stp/>
        <stp>8436</stp>
        <stp>PredictVolume</stp>
        <tr r="AI134" s="114"/>
        <tr r="AI414" s="57"/>
      </tp>
      <tp>
        <v>0</v>
        <stp/>
        <stp>8426</stp>
        <stp>PredictVolume</stp>
        <tr r="AI1378" s="57"/>
      </tp>
      <tp>
        <v>8</v>
        <stp/>
        <stp>8416</stp>
        <stp>PredictVolume</stp>
        <tr r="AI1305" s="57"/>
      </tp>
      <tp t="s">
        <v>商品錯誤</v>
        <stp/>
        <stp>8406</stp>
        <stp>PredictVolume</stp>
        <tr r="AI411" s="57"/>
      </tp>
      <tp>
        <v>109</v>
        <stp/>
        <stp>8476</stp>
        <stp>PredictVolume</stp>
        <tr r="AI1390" s="57"/>
      </tp>
      <tp>
        <v>190</v>
        <stp/>
        <stp>8466</stp>
        <stp>PredictVolume</stp>
        <tr r="AI1387" s="57"/>
      </tp>
      <tp>
        <v>21</v>
        <stp/>
        <stp>8446</stp>
        <stp>PredictVolume</stp>
        <tr r="AI1800" s="57"/>
      </tp>
      <tp>
        <v>13513</v>
        <stp/>
        <stp>8096</stp>
        <stp>PredictVolume</stp>
        <tr r="AI1263" s="57"/>
      </tp>
      <tp>
        <v>1096</v>
        <stp/>
        <stp>8086</stp>
        <stp>PredictVolume</stp>
        <tr r="AI688" s="57"/>
      </tp>
      <tp>
        <v>906</v>
        <stp/>
        <stp>8016</stp>
        <stp>PredictVolume</stp>
        <tr r="AI127" s="114"/>
        <tr r="AI682" s="57"/>
      </tp>
      <tp>
        <v>754</v>
        <stp/>
        <stp>8076</stp>
        <stp>PredictVolume</stp>
        <tr r="AI800" s="57"/>
      </tp>
      <tp>
        <v>25</v>
        <stp/>
        <stp>8066</stp>
        <stp>PredictVolume</stp>
        <tr r="AI1669" s="57"/>
      </tp>
      <tp>
        <v>4262</v>
        <stp/>
        <stp>8046</stp>
        <stp>PredictVolume</stp>
        <tr r="AI1210" s="57"/>
      </tp>
      <tp>
        <v>234</v>
        <stp/>
        <stp>8176</stp>
        <stp>PredictVolume</stp>
        <tr r="AI1017" s="57"/>
      </tp>
      <tp>
        <v>360</v>
        <stp/>
        <stp>8996</stp>
        <stp>PredictVolume</stp>
        <tr r="AI221" s="57"/>
      </tp>
      <tp>
        <v>367</v>
        <stp/>
        <stp>8936</stp>
        <stp>PredictVolume</stp>
        <tr r="AL29" s="28"/>
        <tr r="AI1407" s="57"/>
      </tp>
      <tp>
        <v>633</v>
        <stp/>
        <stp>8926</stp>
        <stp>PredictVolume</stp>
        <tr r="AI1679" s="57"/>
      </tp>
      <tp>
        <v>264</v>
        <stp/>
        <stp>8916</stp>
        <stp>PredictVolume</stp>
        <tr r="AI1399" s="57"/>
      </tp>
      <tp>
        <v>2</v>
        <stp/>
        <stp>8906</stp>
        <stp>PredictVolume</stp>
        <tr r="AI1398" s="57"/>
      </tp>
      <tp>
        <v>0</v>
        <stp/>
        <stp>9926</stp>
        <stp>PredictVolume</stp>
        <tr r="AI1684" s="57"/>
      </tp>
      <tp>
        <v>21</v>
        <stp/>
        <stp>9906</stp>
        <stp>PredictVolume</stp>
        <tr r="AI1513" s="57"/>
      </tp>
      <tp>
        <v>119</v>
        <stp/>
        <stp>9946</stp>
        <stp>PredictVolume</stp>
        <tr r="AI1514" s="57"/>
      </tp>
      <tp>
        <v>520</v>
        <stp/>
        <stp>6485</stp>
        <stp>PredictVolume</stp>
        <tr r="AI653" s="57"/>
      </tp>
      <tp>
        <v>531</v>
        <stp/>
        <stp>6435</stp>
        <stp>PredictVolume</stp>
        <tr r="AI649" s="57"/>
      </tp>
      <tp>
        <v>84</v>
        <stp/>
        <stp>6425</stp>
        <stp>PredictVolume</stp>
        <tr r="AI211" s="57"/>
      </tp>
      <tp>
        <v>403</v>
        <stp/>
        <stp>6415</stp>
        <stp>PredictVolume</stp>
        <tr r="AI648" s="57"/>
      </tp>
      <tp>
        <v>122</v>
        <stp/>
        <stp>6405</stp>
        <stp>PredictVolume</stp>
        <tr r="AI908" s="57"/>
      </tp>
      <tp>
        <v>17</v>
        <stp/>
        <stp>6585</stp>
        <stp>PredictVolume</stp>
        <tr r="AI49" s="28"/>
        <tr r="AI1348" s="57"/>
      </tp>
      <tp>
        <v>185</v>
        <stp/>
        <stp>6535</stp>
        <stp>PredictVolume</stp>
        <tr r="AI389" s="57"/>
      </tp>
      <tp>
        <v>84</v>
        <stp/>
        <stp>6525</stp>
        <stp>PredictVolume</stp>
        <tr r="AI658" s="57"/>
      </tp>
      <tp>
        <v>1249</v>
        <stp/>
        <stp>6515</stp>
        <stp>PredictVolume</stp>
        <tr r="AI657" s="57"/>
      </tp>
      <tp>
        <v>1234</v>
        <stp/>
        <stp>6505</stp>
        <stp>PredictVolume</stp>
        <tr r="AI106" s="114"/>
        <tr r="AJ8" s="118"/>
        <tr r="AI1688" s="57"/>
      </tp>
      <tp>
        <v>4</v>
        <stp/>
        <stp>6625</stp>
        <stp>PredictVolume</stp>
        <tr r="AI1352" s="57"/>
      </tp>
      <tp>
        <v>6</v>
        <stp/>
        <stp>6615</stp>
        <stp>PredictVolume</stp>
        <tr r="AI398" s="57"/>
      </tp>
      <tp>
        <v>466</v>
        <stp/>
        <stp>6605</stp>
        <stp>PredictVolume</stp>
        <tr r="AI526" s="57"/>
      </tp>
      <tp>
        <v>16</v>
        <stp/>
        <stp>6655</stp>
        <stp>PredictVolume</stp>
        <tr r="AI1355" s="57"/>
      </tp>
      <tp>
        <v>97</v>
        <stp/>
        <stp>6735</stp>
        <stp>PredictVolume</stp>
        <tr r="AI1766" s="57"/>
      </tp>
      <tp>
        <v>77</v>
        <stp/>
        <stp>6715</stp>
        <stp>PredictVolume</stp>
        <tr r="AI1202" s="57"/>
      </tp>
      <tp>
        <v>1020</v>
        <stp/>
        <stp>6015</stp>
        <stp>PredictVolume</stp>
        <tr r="AI1630" s="57"/>
      </tp>
      <tp>
        <v>5255</v>
        <stp/>
        <stp>6005</stp>
        <stp>PredictVolume</stp>
        <tr r="AI1629" s="57"/>
      </tp>
      <tp>
        <v>43</v>
        <stp/>
        <stp>6195</stp>
        <stp>PredictVolume</stp>
        <tr r="AI1667" s="57"/>
      </tp>
      <tp>
        <v>211</v>
        <stp/>
        <stp>6185</stp>
        <stp>PredictVolume</stp>
        <tr r="AI1170" s="57"/>
      </tp>
      <tp>
        <v>420</v>
        <stp/>
        <stp>6125</stp>
        <stp>PredictVolume</stp>
        <tr r="AI894" s="57"/>
      </tp>
      <tp>
        <v>52</v>
        <stp/>
        <stp>6115</stp>
        <stp>PredictVolume</stp>
        <tr r="AI1155" s="57"/>
      </tp>
      <tp>
        <v>1537</v>
        <stp/>
        <stp>6175</stp>
        <stp>PredictVolume</stp>
        <tr r="AI1169" s="57"/>
      </tp>
      <tp>
        <v>476</v>
        <stp/>
        <stp>6165</stp>
        <stp>PredictVolume</stp>
        <tr r="AI1166" s="57"/>
      </tp>
      <tp>
        <v>138</v>
        <stp/>
        <stp>6155</stp>
        <stp>PredictVolume</stp>
        <tr r="AI1163" s="57"/>
      </tp>
      <tp>
        <v>2041</v>
        <stp/>
        <stp>6285</stp>
        <stp>PredictVolume</stp>
        <tr r="AI995" s="57"/>
      </tp>
      <tp>
        <v>10952</v>
        <stp/>
        <stp>6235</stp>
        <stp>PredictVolume</stp>
        <tr r="AI788" s="57"/>
      </tp>
      <tp>
        <v>12</v>
        <stp/>
        <stp>6225</stp>
        <stp>PredictVolume</stp>
        <tr r="AI901" s="57"/>
      </tp>
      <tp>
        <v>158</v>
        <stp/>
        <stp>6215</stp>
        <stp>PredictVolume</stp>
        <tr r="AI1753" s="57"/>
      </tp>
      <tp>
        <v>1523</v>
        <stp/>
        <stp>6205</stp>
        <stp>PredictVolume</stp>
        <tr r="AI1176" s="57"/>
      </tp>
      <tp>
        <v>657</v>
        <stp/>
        <stp>6275</stp>
        <stp>PredictVolume</stp>
        <tr r="AI1755" s="57"/>
      </tp>
      <tp>
        <v>235</v>
        <stp/>
        <stp>6265</stp>
        <stp>PredictVolume</stp>
        <tr r="AI1253" s="57"/>
      </tp>
      <tp>
        <v>664</v>
        <stp/>
        <stp>6245</stp>
        <stp>PredictVolume</stp>
        <tr r="AI993" s="57"/>
      </tp>
      <tp>
        <v>6</v>
        <stp/>
        <stp>4535</stp>
        <stp>PredictVolume</stp>
        <tr r="AI188" s="57"/>
      </tp>
      <tp>
        <v>102</v>
        <stp/>
        <stp>4555</stp>
        <stp>PredictVolume</stp>
        <tr r="AI195" s="57"/>
      </tp>
      <tp>
        <v>97</v>
        <stp/>
        <stp>4545</stp>
        <stp>PredictVolume</stp>
        <tr r="AI1125" s="57"/>
      </tp>
      <tp>
        <v>41</v>
        <stp/>
        <stp>4735</stp>
        <stp>PredictVolume</stp>
        <tr r="AL33" s="28"/>
        <tr r="AI367" s="57"/>
      </tp>
      <tp>
        <v>13691</v>
        <stp/>
        <stp>4755</stp>
        <stp>PredictVolume</stp>
        <tr r="AI278" s="57"/>
      </tp>
      <tp>
        <v>80</v>
        <stp/>
        <stp>4745</stp>
        <stp>PredictVolume</stp>
        <tr r="AI372" s="57"/>
      </tp>
      <tp>
        <v>524</v>
        <stp/>
        <stp>4105</stp>
        <stp>PredictVolume</stp>
        <tr r="AI27" s="74"/>
        <tr r="AI320" s="57"/>
      </tp>
      <tp>
        <v>1251</v>
        <stp/>
        <stp>4175</stp>
        <stp>PredictVolume</stp>
        <tr r="AI359" s="57"/>
      </tp>
      <tp>
        <v>204</v>
        <stp/>
        <stp>4155</stp>
        <stp>PredictVolume</stp>
        <tr r="AI348" s="57"/>
      </tp>
      <tp>
        <v>15</v>
        <stp/>
        <stp>4205</stp>
        <stp>PredictVolume</stp>
        <tr r="AI38" s="57"/>
      </tp>
      <tp>
        <v>2</v>
        <stp/>
        <stp>4305</stp>
        <stp>PredictVolume</stp>
        <tr r="AI64" s="57"/>
      </tp>
      <tp>
        <v>41</v>
        <stp/>
        <stp>4995</stp>
        <stp>PredictVolume</stp>
        <tr r="AI877" s="57"/>
      </tp>
      <tp>
        <v>99</v>
        <stp/>
        <stp>4935</stp>
        <stp>PredictVolume</stp>
        <tr r="AI74" s="114"/>
        <tr r="AI870" s="57"/>
      </tp>
      <tp>
        <v>4261</v>
        <stp/>
        <stp>4915</stp>
        <stp>PredictVolume</stp>
        <tr r="AI1127" s="57"/>
      </tp>
      <tp>
        <v>205</v>
        <stp/>
        <stp>4945</stp>
        <stp>PredictVolume</stp>
        <tr r="AI602" s="57"/>
      </tp>
      <tp>
        <v>34423</v>
        <stp/>
        <stp>5425</stp>
        <stp>PredictVolume</stp>
        <tr r="AI623" s="57"/>
      </tp>
      <tp>
        <v>992</v>
        <stp/>
        <stp>5475</stp>
        <stp>PredictVolume</stp>
        <tr r="AI1150" s="57"/>
      </tp>
      <tp>
        <v>155</v>
        <stp/>
        <stp>5465</stp>
        <stp>PredictVolume</stp>
        <tr r="AI773" s="57"/>
      </tp>
      <tp>
        <v>0</v>
        <stp/>
        <stp>5455</stp>
        <stp>PredictVolume</stp>
        <tr r="AI1488" s="57"/>
      </tp>
      <tp>
        <v>22</v>
        <stp/>
        <stp>5525</stp>
        <stp>PredictVolume</stp>
        <tr r="AI1499" s="57"/>
      </tp>
      <tp>
        <v>295</v>
        <stp/>
        <stp>5515</stp>
        <stp>PredictVolume</stp>
        <tr r="AI1493" s="57"/>
      </tp>
      <tp>
        <v>91</v>
        <stp/>
        <stp>5015</stp>
        <stp>PredictVolume</stp>
        <tr r="AI469" s="57"/>
      </tp>
      <tp>
        <v>750</v>
        <stp/>
        <stp>5285</stp>
        <stp>PredictVolume</stp>
        <tr r="AI616" s="57"/>
      </tp>
      <tp>
        <v>728</v>
        <stp/>
        <stp>5225</stp>
        <stp>PredictVolume</stp>
        <tr r="AI1740" s="57"/>
      </tp>
      <tp>
        <v>195</v>
        <stp/>
        <stp>5215</stp>
        <stp>PredictVolume</stp>
        <tr r="AI93" s="114"/>
        <tr r="AI765" s="57"/>
      </tp>
      <tp>
        <v>12</v>
        <stp/>
        <stp>5205</stp>
        <stp>PredictVolume</stp>
        <tr r="AI1739" s="57"/>
      </tp>
      <tp>
        <v>186</v>
        <stp/>
        <stp>5245</stp>
        <stp>PredictVolume</stp>
        <tr r="AI883" s="57"/>
      </tp>
      <tp>
        <v>110</v>
        <stp/>
        <stp>5315</stp>
        <stp>PredictVolume</stp>
        <tr r="AI886" s="57"/>
      </tp>
      <tp>
        <v>153</v>
        <stp/>
        <stp>5355</stp>
        <stp>PredictVolume</stp>
        <tr r="AI1143" s="57"/>
      </tp>
      <tp>
        <v>23</v>
        <stp/>
        <stp>5345</stp>
        <stp>PredictVolume</stp>
        <tr r="AI1142" s="57"/>
      </tp>
      <tp>
        <v>286</v>
        <stp/>
        <stp>5905</stp>
        <stp>PredictVolume</stp>
        <tr r="AI1664" s="57"/>
      </tp>
      <tp>
        <v>517</v>
        <stp/>
        <stp>2495</stp>
        <stp>PredictVolume</stp>
        <tr r="AI1709" s="57"/>
      </tp>
      <tp>
        <v>1063</v>
        <stp/>
        <stp>2485</stp>
        <stp>PredictVolume</stp>
        <tr r="AI940" s="57"/>
      </tp>
      <tp>
        <v>1395</v>
        <stp/>
        <stp>2425</stp>
        <stp>PredictVolume</stp>
        <tr r="AI722" s="57"/>
      </tp>
      <tp>
        <v>97</v>
        <stp/>
        <stp>2415</stp>
        <stp>PredictVolume</stp>
        <tr r="AI1040" s="57"/>
      </tp>
      <tp>
        <v>6263</v>
        <stp/>
        <stp>2405</stp>
        <stp>PredictVolume</stp>
        <tr r="AI719" s="57"/>
      </tp>
      <tp>
        <v>950</v>
        <stp/>
        <stp>2465</stp>
        <stp>PredictVolume</stp>
        <tr r="AI724" s="57"/>
      </tp>
      <tp>
        <v>2548</v>
        <stp/>
        <stp>2455</stp>
        <stp>PredictVolume</stp>
        <tr r="AI23" s="74"/>
        <tr r="AI129" s="114"/>
        <tr r="AI939" s="57"/>
      </tp>
      <tp>
        <v>965</v>
        <stp/>
        <stp>2535</stp>
        <stp>PredictVolume</stp>
        <tr r="AI1460" s="57"/>
      </tp>
      <tp>
        <v>4347</v>
        <stp/>
        <stp>2515</stp>
        <stp>PredictVolume</stp>
        <tr r="AI1824" s="57"/>
      </tp>
      <tp>
        <v>199</v>
        <stp/>
        <stp>2505</stp>
        <stp>PredictVolume</stp>
        <tr r="AI1449" s="57"/>
      </tp>
      <tp>
        <v>553</v>
        <stp/>
        <stp>2545</stp>
        <stp>PredictVolume</stp>
        <tr r="AI1468" s="57"/>
      </tp>
      <tp>
        <v>13974</v>
        <stp/>
        <stp>2615</stp>
        <stp>PredictVolume</stp>
        <tr r="AI1528" s="57"/>
        <tr r="AJ23" s="118"/>
      </tp>
      <tp>
        <v>5856</v>
        <stp/>
        <stp>2605</stp>
        <stp>PredictVolume</stp>
        <tr r="AI1519" s="57"/>
      </tp>
      <tp>
        <v>120</v>
        <stp/>
        <stp>2705</stp>
        <stp>PredictVolume</stp>
        <tr r="AI1553" s="57"/>
      </tp>
      <tp>
        <v>10</v>
        <stp/>
        <stp>2755</stp>
        <stp>PredictVolume</stp>
        <tr r="AI1577" s="57"/>
      </tp>
      <tp>
        <v>167</v>
        <stp/>
        <stp>2745</stp>
        <stp>PredictVolume</stp>
        <tr r="AI1572" s="57"/>
      </tp>
      <tp>
        <v>49</v>
        <stp/>
        <stp>2035</stp>
        <stp>PredictVolume</stp>
        <tr r="AI456" s="57"/>
      </tp>
      <tp>
        <v>662</v>
        <stp/>
        <stp>2025</stp>
        <stp>PredictVolume</stp>
        <tr r="AI447" s="57"/>
      </tp>
      <tp>
        <v>324</v>
        <stp/>
        <stp>2015</stp>
        <stp>PredictVolume</stp>
        <tr r="AI441" s="57"/>
      </tp>
      <tp>
        <v>32</v>
        <stp/>
        <stp>2065</stp>
        <stp>PredictVolume</stp>
        <tr r="AI460" s="57"/>
      </tp>
      <tp>
        <v>59</v>
        <stp/>
        <stp>2115</stp>
        <stp>PredictVolume</stp>
        <tr r="AI506" s="57"/>
      </tp>
      <tp>
        <v>2039</v>
        <stp/>
        <stp>2105</stp>
        <stp>PredictVolume</stp>
        <tr r="AI484" s="57"/>
      </tp>
      <tp>
        <v>9</v>
        <stp/>
        <stp>2235</stp>
        <stp>PredictVolume</stp>
        <tr r="AI166" s="57"/>
      </tp>
      <tp>
        <v>887</v>
        <stp/>
        <stp>2395</stp>
        <stp>PredictVolume</stp>
        <tr r="AI716" s="57"/>
      </tp>
      <tp>
        <v>1398</v>
        <stp/>
        <stp>2385</stp>
        <stp>PredictVolume</stp>
        <tr r="AI1036" s="57"/>
      </tp>
      <tp>
        <v>9533</v>
        <stp/>
        <stp>2305</stp>
        <stp>PredictVolume</stp>
        <tr r="AI701" s="57"/>
      </tp>
      <tp>
        <v>466</v>
        <stp/>
        <stp>2375</stp>
        <stp>PredictVolume</stp>
        <tr r="AI1034" s="57"/>
      </tp>
      <tp>
        <v>193</v>
        <stp/>
        <stp>2365</stp>
        <stp>PredictVolume</stp>
        <tr r="AI710" s="57"/>
      </tp>
      <tp>
        <v>954</v>
        <stp/>
        <stp>2355</stp>
        <stp>PredictVolume</stp>
        <tr r="AI1031" s="57"/>
      </tp>
      <tp>
        <v>2979</v>
        <stp/>
        <stp>2345</stp>
        <stp>PredictVolume</stp>
        <tr r="AI97" s="114"/>
        <tr r="AI933" s="57"/>
      </tp>
      <tp>
        <v>25159</v>
        <stp/>
        <stp>2885</stp>
        <stp>PredictVolume</stp>
        <tr r="AI1615" s="57"/>
        <tr r="AJ19" s="118"/>
      </tp>
      <tp>
        <v>1791</v>
        <stp/>
        <stp>2855</stp>
        <stp>PredictVolume</stp>
        <tr r="AI1608" s="57"/>
      </tp>
      <tp>
        <v>7619</v>
        <stp/>
        <stp>2845</stp>
        <stp>PredictVolume</stp>
        <tr r="AI1603" s="57"/>
      </tp>
      <tp>
        <v>9469</v>
        <stp/>
        <stp>2915</stp>
        <stp>PredictVolume</stp>
        <tr r="AI82" s="114"/>
        <tr r="AI1651" s="57"/>
      </tp>
      <tp>
        <v>1501</v>
        <stp/>
        <stp>2905</stp>
        <stp>PredictVolume</stp>
        <tr r="AI1644" s="57"/>
      </tp>
      <tp>
        <v>46</v>
        <stp/>
        <stp>2945</stp>
        <stp>PredictVolume</stp>
        <tr r="AI1657" s="57"/>
      </tp>
      <tp>
        <v>74</v>
        <stp/>
        <stp>3465</stp>
        <stp>PredictVolume</stp>
        <tr r="AI1099" s="57"/>
      </tp>
      <tp>
        <v>329</v>
        <stp/>
        <stp>3455</stp>
        <stp>PredictVolume</stp>
        <tr r="AI845" s="57"/>
      </tp>
      <tp>
        <v>27194</v>
        <stp/>
        <stp>3535</stp>
        <stp>PredictVolume</stp>
        <tr r="AI851" s="57"/>
      </tp>
      <tp>
        <v>374</v>
        <stp/>
        <stp>3515</stp>
        <stp>PredictVolume</stp>
        <tr r="AI122" s="114"/>
        <tr r="AI747" s="57"/>
      </tp>
      <tp>
        <v>2</v>
        <stp/>
        <stp>3555</stp>
        <stp>PredictVolume</stp>
        <tr r="AI587" s="57"/>
      </tp>
      <tp>
        <v>2876</v>
        <stp/>
        <stp>3545</stp>
        <stp>PredictVolume</stp>
        <tr r="AI59" s="114"/>
        <tr r="AI586" s="57"/>
      </tp>
      <tp>
        <v>82</v>
        <stp/>
        <stp>3685</stp>
        <stp>PredictVolume</stp>
        <tr r="AI863" s="57"/>
      </tp>
      <tp>
        <v>130</v>
        <stp/>
        <stp>3625</stp>
        <stp>PredictVolume</stp>
        <tr r="AI753" s="57"/>
      </tp>
      <tp>
        <v>109</v>
        <stp/>
        <stp>3615</stp>
        <stp>PredictVolume</stp>
        <tr r="AI856" s="57"/>
      </tp>
      <tp>
        <v>739</v>
        <stp/>
        <stp>3605</stp>
        <stp>PredictVolume</stp>
        <tr r="AI1113" s="57"/>
      </tp>
      <tp>
        <v>3292</v>
        <stp/>
        <stp>3675</stp>
        <stp>PredictVolume</stp>
        <tr r="AI595" s="57"/>
      </tp>
      <tp>
        <v>4384</v>
        <stp/>
        <stp>3665</stp>
        <stp>PredictVolume</stp>
        <tr r="AI1736" s="57"/>
      </tp>
      <tp>
        <v>1946</v>
        <stp/>
        <stp>3645</stp>
        <stp>PredictVolume</stp>
        <tr r="AI1118" s="57"/>
      </tp>
      <tp>
        <v>122</v>
        <stp/>
        <stp>3705</stp>
        <stp>PredictVolume</stp>
        <tr r="AI317" s="57"/>
      </tp>
      <tp>
        <v>31</v>
        <stp/>
        <stp>3095</stp>
        <stp>PredictVolume</stp>
        <tr r="AI948" s="57"/>
      </tp>
      <tp>
        <v>10</v>
        <stp/>
        <stp>3085</stp>
        <stp>PredictVolume</stp>
        <tr r="AI1807" s="57"/>
      </tp>
      <tp>
        <v>32928</v>
        <stp/>
        <stp>3035</stp>
        <stp>PredictVolume</stp>
        <tr r="AI556" s="57"/>
      </tp>
      <tp>
        <v>278</v>
        <stp/>
        <stp>3025</stp>
        <stp>PredictVolume</stp>
        <tr r="AI942" s="57"/>
      </tp>
      <tp>
        <v>81</v>
        <stp/>
        <stp>3015</stp>
        <stp>PredictVolume</stp>
        <tr r="AL22" s="28"/>
        <tr r="AI1060" s="57"/>
      </tp>
      <tp>
        <v>1252</v>
        <stp/>
        <stp>3005</stp>
        <stp>PredictVolume</stp>
        <tr r="AI726" s="57"/>
      </tp>
      <tp>
        <v>35</v>
        <stp/>
        <stp>3055</stp>
        <stp>PredictVolume</stp>
        <tr r="AI1238" s="57"/>
      </tp>
      <tp>
        <v>1892</v>
        <stp/>
        <stp>3045</stp>
        <stp>PredictVolume</stp>
        <tr r="AI944" s="57"/>
        <tr r="AJ26" s="118"/>
      </tp>
      <tp>
        <v>6</v>
        <stp/>
        <stp>3115</stp>
        <stp>PredictVolume</stp>
        <tr r="AI1073" s="57"/>
      </tp>
      <tp>
        <v>2379</v>
        <stp/>
        <stp>3105</stp>
        <stp>PredictVolume</stp>
        <tr r="AI561" s="57"/>
        <tr r="AJ36" s="118"/>
      </tp>
      <tp>
        <v>19</v>
        <stp/>
        <stp>3285</stp>
        <stp>PredictVolume</stp>
        <tr r="AI1716" s="57"/>
      </tp>
      <tp>
        <v>27</v>
        <stp/>
        <stp>3205</stp>
        <stp>PredictVolume</stp>
        <tr r="AI315" s="57"/>
      </tp>
      <tp>
        <v>9563</v>
        <stp/>
        <stp>3265</stp>
        <stp>PredictVolume</stp>
        <tr r="AI573" s="57"/>
      </tp>
      <tp>
        <v>79</v>
        <stp/>
        <stp>3325</stp>
        <stp>PredictVolume</stp>
        <tr r="AI741" s="57"/>
      </tp>
      <tp>
        <v>47</v>
        <stp/>
        <stp>1435</stp>
        <stp>PredictVolume</stp>
        <tr r="AI1311" s="57"/>
      </tp>
      <tp>
        <v>60</v>
        <stp/>
        <stp>1475</stp>
        <stp>PredictVolume</stp>
        <tr r="AI108" s="57"/>
      </tp>
      <tp>
        <v>85</v>
        <stp/>
        <stp>1465</stp>
        <stp>PredictVolume</stp>
        <tr r="AI100" s="57"/>
      </tp>
      <tp>
        <v>738</v>
        <stp/>
        <stp>1455</stp>
        <stp>PredictVolume</stp>
        <tr r="AI93" s="57"/>
      </tp>
      <tp>
        <v>7</v>
        <stp/>
        <stp>1445</stp>
        <stp>PredictVolume</stp>
        <tr r="AI85" s="57"/>
      </tp>
      <tp>
        <v>33</v>
        <stp/>
        <stp>1595</stp>
        <stp>PredictVolume</stp>
        <tr r="AI1023" s="57"/>
      </tp>
      <tp>
        <v>31</v>
        <stp/>
        <stp>1535</stp>
        <stp>PredictVolume</stp>
        <tr r="AI144" s="57"/>
      </tp>
      <tp>
        <v>15</v>
        <stp/>
        <stp>1525</stp>
        <stp>PredictVolume</stp>
        <tr r="AI501" s="57"/>
      </tp>
      <tp>
        <v>997</v>
        <stp/>
        <stp>1515</stp>
        <stp>PredictVolume</stp>
        <tr r="AI78" s="114"/>
        <tr r="AI134" s="57"/>
      </tp>
      <tp>
        <v>176</v>
        <stp/>
        <stp>1565</stp>
        <stp>PredictVolume</stp>
        <tr r="AI289" s="57"/>
      </tp>
      <tp>
        <v>61</v>
        <stp/>
        <stp>1615</stp>
        <stp>PredictVolume</stp>
        <tr r="AI233" s="57"/>
      </tp>
      <tp>
        <v>106537</v>
        <stp/>
        <stp>1605</stp>
        <stp>PredictVolume</stp>
        <tr r="AI227" s="57"/>
      </tp>
      <tp>
        <v>5480</v>
        <stp/>
        <stp>1795</stp>
        <stp>PredictVolume</stp>
        <tr r="AI309" s="57"/>
      </tp>
      <tp>
        <v>1449</v>
        <stp/>
        <stp>1785</stp>
        <stp>PredictVolume</stp>
        <tr r="AI1692" s="57"/>
      </tp>
      <tp>
        <v>6</v>
        <stp/>
        <stp>1735</stp>
        <stp>PredictVolume</stp>
        <tr r="AI261" s="57"/>
      </tp>
      <tp>
        <v>14</v>
        <stp/>
        <stp>1725</stp>
        <stp>PredictVolume</stp>
        <tr r="AI256" s="57"/>
      </tp>
      <tp>
        <v>18</v>
        <stp/>
        <stp>1235</stp>
        <stp>PredictVolume</stp>
        <tr r="AI30" s="57"/>
      </tp>
      <tp>
        <v>53</v>
        <stp/>
        <stp>1225</stp>
        <stp>PredictVolume</stp>
        <tr r="AI23" s="57"/>
      </tp>
      <tp>
        <v>420</v>
        <stp/>
        <stp>1215</stp>
        <stp>PredictVolume</stp>
        <tr r="AI17" s="57"/>
      </tp>
      <tp>
        <v>469</v>
        <stp/>
        <stp>1325</stp>
        <stp>PredictVolume</stp>
        <tr r="AL13" s="28"/>
        <tr r="AI57" s="57"/>
      </tp>
      <tp>
        <v>3</v>
        <stp/>
        <stp>1315</stp>
        <stp>PredictVolume</stp>
        <tr r="AI53" s="57"/>
      </tp>
      <tp>
        <v>1518</v>
        <stp/>
        <stp>1305</stp>
        <stp>PredictVolume</stp>
        <tr r="AI45" s="57"/>
      </tp>
      <tp>
        <v>705</v>
        <stp/>
        <stp>1815</stp>
        <stp>PredictVolume</stp>
        <tr r="AI1024" s="57"/>
      </tp>
      <tp>
        <v>0</v>
        <stp/>
        <stp>1805</stp>
        <stp>PredictVolume</stp>
        <tr r="AI1445" s="57"/>
      </tp>
      <tp>
        <v>1745</v>
        <stp/>
        <stp>1905</stp>
        <stp>PredictVolume</stp>
        <tr r="AI426" s="57"/>
      </tp>
      <tp>
        <v>15</v>
        <stp/>
        <stp>8435</stp>
        <stp>PredictVolume</stp>
        <tr r="AI1379" s="57"/>
      </tp>
      <tp>
        <v>839</v>
        <stp/>
        <stp>8415</stp>
        <stp>PredictVolume</stp>
        <tr r="AI474" s="57"/>
      </tp>
      <tp>
        <v>1</v>
        <stp/>
        <stp>8455</stp>
        <stp>PredictVolume</stp>
        <tr r="AI1777" s="57"/>
      </tp>
      <tp>
        <v>140</v>
        <stp/>
        <stp>8085</stp>
        <stp>PredictVolume</stp>
        <tr r="AI1771" s="57"/>
      </tp>
      <tp>
        <v>695</v>
        <stp/>
        <stp>8105</stp>
        <stp>PredictVolume</stp>
        <tr r="AI924" s="57"/>
      </tp>
      <tp>
        <v>2590</v>
        <stp/>
        <stp>8155</stp>
        <stp>PredictVolume</stp>
        <tr r="AI1220" s="57"/>
      </tp>
      <tp>
        <v>2992</v>
        <stp/>
        <stp>8215</stp>
        <stp>PredictVolume</stp>
        <tr r="AI926" s="57"/>
      </tp>
      <tp>
        <v>1350</v>
        <stp/>
        <stp>8255</stp>
        <stp>PredictVolume</stp>
        <tr r="AI219" s="57"/>
      </tp>
      <tp>
        <v>39</v>
        <stp/>
        <stp>8935</stp>
        <stp>PredictVolume</stp>
        <tr r="AI1406" s="57"/>
      </tp>
      <tp>
        <v>198</v>
        <stp/>
        <stp>8905</stp>
        <stp>PredictVolume</stp>
        <tr r="AI1397" s="57"/>
      </tp>
      <tp>
        <v>87</v>
        <stp/>
        <stp>9935</stp>
        <stp>PredictVolume</stp>
        <tr r="AI1430" s="57"/>
      </tp>
      <tp>
        <v>161</v>
        <stp/>
        <stp>9925</stp>
        <stp>PredictVolume</stp>
        <tr r="AI1423" s="57"/>
      </tp>
      <tp>
        <v>54</v>
        <stp/>
        <stp>9905</stp>
        <stp>PredictVolume</stp>
        <tr r="AI1414" s="57"/>
      </tp>
      <tp>
        <v>528</v>
        <stp/>
        <stp>9955</stp>
        <stp>PredictVolume</stp>
        <tr r="AI1438" s="57"/>
      </tp>
      <tp>
        <v>9205</v>
        <stp/>
        <stp>9945</stp>
        <stp>PredictVolume</stp>
        <tr r="AI1437" s="57"/>
      </tp>
      <tp>
        <v>18.850000000000001</v>
        <stp/>
        <stp>2208</stp>
        <stp>Price</stp>
        <tr r="W1517" s="57"/>
      </tp>
      <tp>
        <v>62.8</v>
        <stp/>
        <stp>2228</stp>
        <stp>Price</stp>
        <tr r="W512" s="57"/>
      </tp>
      <tp>
        <v>92</v>
        <stp/>
        <stp>2348</stp>
        <stp>Price</stp>
        <tr r="W1317" s="57"/>
      </tp>
      <tp>
        <v>18.399999999999999</v>
        <stp/>
        <stp>2358</stp>
        <stp>Price</stp>
        <tr r="W1318" s="57"/>
      </tp>
      <tp>
        <v>86.1</v>
        <stp/>
        <stp>2368</stp>
        <stp>Price</stp>
        <tr r="W1033" s="57"/>
      </tp>
      <tp>
        <v>223</v>
        <stp/>
        <stp>2308</stp>
        <stp>Price</stp>
        <tr r="W142" s="114"/>
        <tr r="W5" s="118"/>
        <tr r="W1026" s="57"/>
      </tp>
      <tp>
        <v>34</v>
        <stp/>
        <stp>2328</stp>
        <stp>Price</stp>
        <tr r="W1030" s="57"/>
      </tp>
      <tp>
        <v>79.599999999999994</v>
        <stp/>
        <stp>2338</stp>
        <stp>Price</stp>
        <tr r="W534" s="57"/>
      </tp>
      <tp>
        <v>48.6</v>
        <stp/>
        <stp>2388</stp>
        <stp>Price</stp>
        <tr r="W541" s="57"/>
      </tp>
      <tp>
        <v>15.9</v>
        <stp/>
        <stp>2008</stp>
        <stp>Price</stp>
        <tr r="W435" s="57"/>
      </tp>
      <tp>
        <v>32.4</v>
        <stp/>
        <stp>2028</stp>
        <stp>Price</stp>
        <tr r="W449" s="57"/>
      </tp>
      <tp>
        <v>25.8</v>
        <stp/>
        <stp>2038</stp>
        <stp>Price</stp>
        <tr r="W28" s="74"/>
        <tr r="W457" s="57"/>
      </tp>
      <tp>
        <v>48</v>
        <stp/>
        <stp>2108</stp>
        <stp>Price</stp>
        <tr r="W487" s="57"/>
      </tp>
      <tp>
        <v>42.4</v>
        <stp/>
        <stp>2608</stp>
        <stp>Price</stp>
        <tr r="W1522" s="57"/>
      </tp>
      <tp>
        <v>32.25</v>
        <stp/>
        <stp>2618</stp>
        <stp>Price</stp>
        <tr r="W1530" s="57"/>
      </tp>
      <tp>
        <v>39.799999999999997</v>
        <stp/>
        <stp>2748</stp>
        <stp>Price</stp>
        <tr r="W1573" s="57"/>
      </tp>
      <tp>
        <v>33.65</v>
        <stp/>
        <stp>2718</stp>
        <stp>Price</stp>
        <tr r="W1557" s="57"/>
      </tp>
      <tp>
        <v>142</v>
        <stp/>
        <stp>2458</stp>
        <stp>Price</stp>
        <tr r="W22" s="74"/>
        <tr r="W108" s="114"/>
        <tr r="W550" s="57"/>
      </tp>
      <tp>
        <v>12.9</v>
        <stp/>
        <stp>2468</stp>
        <stp>Price</stp>
        <tr r="W1269" s="57"/>
      </tp>
      <tp>
        <v>53.5</v>
        <stp/>
        <stp>2478</stp>
        <stp>Price</stp>
        <tr r="W1053" s="57"/>
      </tp>
      <tp>
        <v>66.900000000000006</v>
        <stp/>
        <stp>2408</stp>
        <stp>Price</stp>
        <tr r="W543" s="57"/>
      </tp>
      <tp>
        <v>128.5</v>
        <stp/>
        <stp>2428</stp>
        <stp>Price</stp>
        <tr r="W1043" s="57"/>
      </tp>
      <tp>
        <v>11.85</v>
        <stp/>
        <stp>2438</stp>
        <stp>Price</stp>
        <tr r="W817" s="57"/>
      </tp>
      <tp>
        <v>25.5</v>
        <stp/>
        <stp>2488</stp>
        <stp>Price</stp>
        <tr r="W1708" s="57"/>
      </tp>
      <tp>
        <v>45.7</v>
        <stp/>
        <stp>2498</stp>
        <stp>Price</stp>
        <tr r="W941" s="57"/>
      </tp>
      <tp>
        <v>91.5</v>
        <stp/>
        <stp>2548</stp>
        <stp>Price</stp>
        <tr r="W1471" s="57"/>
      </tp>
      <tp>
        <v>18.55</v>
        <stp/>
        <stp>2528</stp>
        <stp>Price</stp>
        <tr r="W1457" s="57"/>
      </tp>
      <tp>
        <v>12.85</v>
        <stp/>
        <stp>2538</stp>
        <stp>Price</stp>
        <tr r="W1463" s="57"/>
      </tp>
      <tp>
        <v>14.25</v>
        <stp/>
        <stp>2838</stp>
        <stp>Price</stp>
        <tr r="W1602" s="57"/>
      </tp>
      <tp>
        <v>8.85</v>
        <stp/>
        <stp>2888</stp>
        <stp>Price</stp>
        <tr r="W1618" s="57"/>
      </tp>
      <tp>
        <v>21.6</v>
        <stp/>
        <stp>2908</stp>
        <stp>Price</stp>
        <tr r="W1646" s="57"/>
      </tp>
      <tp>
        <v>22.6</v>
        <stp/>
        <stp>3268</stp>
        <stp>Price</stp>
        <tr r="W574" s="57"/>
      </tp>
      <tp>
        <v>246</v>
        <stp/>
        <stp>3218</stp>
        <stp>Price</stp>
        <tr r="W316" s="57"/>
      </tp>
      <tp>
        <v>351.5</v>
        <stp/>
        <stp>3228</stp>
        <stp>Price</stp>
        <tr r="W568" s="57"/>
      </tp>
      <tp t="s">
        <v>無資料</v>
        <stp/>
        <stp>3288</stp>
        <stp>Price</stp>
        <tr r="W1082" s="57"/>
      </tp>
      <tp>
        <v>15.3</v>
        <stp/>
        <stp>3308</stp>
        <stp>Price</stp>
        <tr r="W1086" s="57"/>
      </tp>
      <tp>
        <v>41.75</v>
        <stp/>
        <stp>3338</stp>
        <stp>Price</stp>
        <tr r="W1092" s="57"/>
      </tp>
      <tp>
        <v>85</v>
        <stp/>
        <stp>3388</stp>
        <stp>Price</stp>
        <tr r="W1096" s="57"/>
      </tp>
      <tp>
        <v>34.299999999999997</v>
        <stp/>
        <stp>3048</stp>
        <stp>Price</stp>
        <tr r="W1237" s="57"/>
      </tp>
      <tp>
        <v>10.050000000000001</v>
        <stp/>
        <stp>3058</stp>
        <stp>Price</stp>
        <tr r="W1068" s="57"/>
      </tp>
      <tp>
        <v>33.9</v>
        <stp/>
        <stp>3078</stp>
        <stp>Price</stp>
        <tr r="W67" s="114"/>
        <tr r="W1069" s="57"/>
      </tp>
      <tp>
        <v>1590</v>
        <stp/>
        <stp>3008</stp>
        <stp>Price</stp>
        <tr r="W822" s="57"/>
      </tp>
      <tp>
        <v>13</v>
        <stp/>
        <stp>3018</stp>
        <stp>Price</stp>
        <tr r="W1710" s="57"/>
      </tp>
      <tp>
        <v>36.25</v>
        <stp/>
        <stp>3028</stp>
        <stp>Price</stp>
        <tr r="W1234" s="57"/>
      </tp>
      <tp>
        <v>18</v>
        <stp/>
        <stp>3038</stp>
        <stp>Price</stp>
        <tr r="W826" s="57"/>
      </tp>
      <tp>
        <v>60</v>
        <stp/>
        <stp>3088</stp>
        <stp>Price</stp>
        <tr r="W734" s="57"/>
      </tp>
      <tp>
        <v>53.5</v>
        <stp/>
        <stp>3178</stp>
        <stp>Price</stp>
        <tr r="W171" s="57"/>
      </tp>
      <tp>
        <v>29.35</v>
        <stp/>
        <stp>3118</stp>
        <stp>Price</stp>
        <tr r="W312" s="57"/>
      </tp>
      <tp>
        <v>18.350000000000001</v>
        <stp/>
        <stp>3128</stp>
        <stp>Price</stp>
        <tr r="W832" s="57"/>
      </tp>
      <tp>
        <v>150.5</v>
        <stp/>
        <stp>3138</stp>
        <stp>Price</stp>
        <tr r="W84" s="114"/>
        <tr r="W949" s="57"/>
      </tp>
      <tp>
        <v>15.75</v>
        <stp/>
        <stp>3188</stp>
        <stp>Price</stp>
        <tr r="W1478" s="57"/>
      </tp>
      <tp>
        <v>44</v>
        <stp/>
        <stp>3628</stp>
        <stp>Price</stp>
        <tr r="W1733" s="57"/>
      </tp>
      <tp>
        <v>136.5</v>
        <stp/>
        <stp>3708</stp>
        <stp>Price</stp>
        <tr r="W265" s="57"/>
      </tp>
      <tp>
        <v>67.8</v>
        <stp/>
        <stp>3438</stp>
        <stp>Price</stp>
        <tr r="W579" s="57"/>
      </tp>
      <tp>
        <v>25.3</v>
        <stp/>
        <stp>3498</stp>
        <stp>Price</stp>
        <tr r="W1724" s="57"/>
      </tp>
      <tp>
        <v>63.5</v>
        <stp/>
        <stp>3548</stp>
        <stp>Price</stp>
        <tr r="W1109" s="57"/>
      </tp>
      <tp>
        <v>180.5</v>
        <stp/>
        <stp>3558</stp>
        <stp>Price</stp>
        <tr r="W962" s="57"/>
      </tp>
      <tp>
        <v>33.65</v>
        <stp/>
        <stp>3508</stp>
        <stp>Price</stp>
        <tr r="W1725" s="57"/>
      </tp>
      <tp>
        <v>18.55</v>
        <stp/>
        <stp>3518</stp>
        <stp>Price</stp>
        <tr r="W1726" s="57"/>
      </tp>
      <tp>
        <v>51.9</v>
        <stp/>
        <stp>3528</stp>
        <stp>Price</stp>
        <tr r="W1245" s="57"/>
      </tp>
      <tp>
        <v>104.5</v>
        <stp/>
        <stp>3588</stp>
        <stp>Price</stp>
        <tr r="W592" s="57"/>
      </tp>
      <tp>
        <v>22.65</v>
        <stp/>
        <stp>1258</stp>
        <stp>Price</stp>
        <tr r="W33" s="57"/>
      </tp>
      <tp>
        <v>101</v>
        <stp/>
        <stp>1268</stp>
        <stp>Price</stp>
        <tr r="W1549" s="57"/>
      </tp>
      <tp>
        <v>30.35</v>
        <stp/>
        <stp>1218</stp>
        <stp>Price</stp>
        <tr r="W20" s="57"/>
      </tp>
      <tp>
        <v>28.15</v>
        <stp/>
        <stp>1308</stp>
        <stp>Price</stp>
        <tr r="W107" s="114"/>
        <tr r="W47" s="57"/>
      </tp>
      <tp>
        <v>50.8</v>
        <stp/>
        <stp>1338</stp>
        <stp>Price</stp>
        <tr r="W495" s="57"/>
      </tp>
      <tp>
        <v>11</v>
        <stp/>
        <stp>1108</stp>
        <stp>Price</stp>
        <tr r="W8" s="57"/>
      </tp>
      <tp>
        <v>17.850000000000001</v>
        <stp/>
        <stp>1608</stp>
        <stp>Price</stp>
        <tr r="W228" s="57"/>
      </tp>
      <tp>
        <v>12.3</v>
        <stp/>
        <stp>1618</stp>
        <stp>Price</stp>
        <tr r="W236" s="57"/>
      </tp>
      <tp>
        <v>57.6</v>
        <stp/>
        <stp>1708</stp>
        <stp>Price</stp>
        <tr r="W244" s="57"/>
        <tr r="W1719" s="57"/>
      </tp>
      <tp>
        <v>8.06</v>
        <stp/>
        <stp>1718</stp>
        <stp>Price</stp>
        <tr r="W252" s="57"/>
      </tp>
      <tp>
        <v>150.5</v>
        <stp/>
        <stp>1788</stp>
        <stp>Price</stp>
        <tr r="W307" s="57"/>
      </tp>
      <tp>
        <v>11.6</v>
        <stp/>
        <stp>1468</stp>
        <stp>Price</stp>
        <tr r="W103" s="57"/>
      </tp>
      <tp>
        <v>20</v>
        <stp/>
        <stp>1418</stp>
        <stp>Price</stp>
        <tr r="W76" s="57"/>
      </tp>
      <tp>
        <v>32.200000000000003</v>
        <stp/>
        <stp>1438</stp>
        <stp>Price</stp>
        <tr r="W1443" s="57"/>
      </tp>
      <tp>
        <v>138.5</v>
        <stp/>
        <stp>1558</stp>
        <stp>Price</stp>
        <tr r="W150" s="57"/>
      </tp>
      <tp>
        <v>19.05</v>
        <stp/>
        <stp>1568</stp>
        <stp>Price</stp>
        <tr r="W504" s="57"/>
      </tp>
      <tp>
        <v>8.9700000000000006</v>
        <stp/>
        <stp>1528</stp>
        <stp>Price</stp>
        <tr r="W139" s="57"/>
      </tp>
      <tp>
        <v>6.66</v>
        <stp/>
        <stp>1538</stp>
        <stp>Price</stp>
        <tr r="W146" s="57"/>
      </tp>
      <tp>
        <v>41.9</v>
        <stp/>
        <stp>1598</stp>
        <stp>Price</stp>
        <tr r="W35" s="28"/>
        <tr r="W124" s="22"/>
        <tr r="W125" s="22"/>
        <tr r="W126" s="22"/>
        <tr r="W127" s="22"/>
        <tr r="W291" s="57"/>
      </tp>
      <tp>
        <v>69.3</v>
        <stp/>
        <stp>1808</stp>
        <stp>Price</stp>
        <tr r="W1446" s="57"/>
      </tp>
      <tp>
        <v>21.4</v>
        <stp/>
        <stp>6248</stp>
        <stp>Price</stp>
        <tr r="W472" s="57"/>
      </tp>
      <tp>
        <v>104</v>
        <stp/>
        <stp>6278</stp>
        <stp>Price</stp>
        <tr r="W906" s="57"/>
      </tp>
      <tp>
        <v>49.25</v>
        <stp/>
        <stp>6208</stp>
        <stp>Price</stp>
        <tr r="W1178" s="57"/>
      </tp>
      <tp>
        <v>19.850000000000001</v>
        <stp/>
        <stp>6218</stp>
        <stp>Price</stp>
        <tr r="W991" s="57"/>
      </tp>
      <tp>
        <v>21.25</v>
        <stp/>
        <stp>6228</stp>
        <stp>Price</stp>
        <tr r="W786" s="57"/>
      </tp>
      <tp>
        <v>23.65</v>
        <stp/>
        <stp>6288</stp>
        <stp>Price</stp>
        <tr r="W525" s="57"/>
      </tp>
      <tp>
        <v>12.45</v>
        <stp/>
        <stp>6148</stp>
        <stp>Price</stp>
        <tr r="W1289" s="57"/>
      </tp>
      <tp>
        <v>33.15</v>
        <stp/>
        <stp>6158</stp>
        <stp>Price</stp>
        <tr r="W1165" s="57"/>
      </tp>
      <tp>
        <v>21.65</v>
        <stp/>
        <stp>6168</stp>
        <stp>Price</stp>
        <tr r="W897" s="57"/>
      </tp>
      <tp>
        <v>18.850000000000001</v>
        <stp/>
        <stp>6108</stp>
        <stp>Price</stp>
        <tr r="W1153" s="57"/>
      </tp>
      <tp>
        <v>26.2</v>
        <stp/>
        <stp>6118</stp>
        <stp>Price</stp>
        <tr r="W1249" s="57"/>
      </tp>
      <tp>
        <v>29.7</v>
        <stp/>
        <stp>6128</stp>
        <stp>Price</stp>
        <tr r="W779" s="57"/>
      </tp>
      <tp>
        <v>202.5</v>
        <stp/>
        <stp>6138</stp>
        <stp>Price</stp>
        <tr r="W631" s="57"/>
      </tp>
      <tp>
        <v>37.200000000000003</v>
        <stp/>
        <stp>6188</stp>
        <stp>Price</stp>
        <tr r="W784" s="57"/>
      </tp>
      <tp>
        <v>36.35</v>
        <stp/>
        <stp>6198</stp>
        <stp>Price</stp>
        <tr r="W634" s="57"/>
      </tp>
      <tp>
        <v>37.700000000000003</v>
        <stp/>
        <stp>6668</stp>
        <stp>Price</stp>
        <tr r="W916" s="57"/>
      </tp>
      <tp>
        <v>36.049999999999997</v>
        <stp/>
        <stp>6698</stp>
        <stp>Price</stp>
        <tr r="W1765" s="57"/>
      </tp>
      <tp>
        <v>72</v>
        <stp/>
        <stp>6768</stp>
        <stp>Price</stp>
        <tr r="W1360" s="57"/>
      </tp>
      <tp>
        <v>174</v>
        <stp/>
        <stp>6728</stp>
        <stp>Price</stp>
        <tr r="W1668" s="57"/>
      </tp>
      <tp>
        <v>113.5</v>
        <stp/>
        <stp>6788</stp>
        <stp>Price</stp>
        <tr r="W679" s="57"/>
      </tp>
      <tp>
        <v>14.3</v>
        <stp/>
        <stp>6418</stp>
        <stp>Price</stp>
        <tr r="W1195" s="57"/>
      </tp>
      <tp>
        <v>108</v>
        <stp/>
        <stp>6438</stp>
        <stp>Price</stp>
        <tr r="W1758" s="57"/>
      </tp>
      <tp>
        <v>561</v>
        <stp/>
        <stp>6488</stp>
        <stp>Price</stp>
        <tr r="W654" s="57"/>
        <tr r="W31" s="118"/>
      </tp>
      <tp>
        <v>89.5</v>
        <stp/>
        <stp>6548</stp>
        <stp>Price</stp>
        <tr r="W662" s="57"/>
      </tp>
      <tp>
        <v>22.65</v>
        <stp/>
        <stp>6558</stp>
        <stp>Price</stp>
        <tr r="W34" s="28"/>
        <tr r="W119" s="22"/>
        <tr r="W120" s="22"/>
        <tr r="W1760" s="57"/>
      </tp>
      <tp>
        <v>157</v>
        <stp/>
        <stp>6568</stp>
        <stp>Price</stp>
        <tr r="W664" s="57"/>
      </tp>
      <tp>
        <v>22.9</v>
        <stp/>
        <stp>6578</stp>
        <stp>Price</stp>
        <tr r="W1818" s="57"/>
      </tp>
      <tp>
        <v>47.4</v>
        <stp/>
        <stp>6508</stp>
        <stp>Price</stp>
        <tr r="W63" s="114"/>
        <tr r="W1820" s="57"/>
      </tp>
      <tp>
        <v>93.8</v>
        <stp/>
        <stp>6538</stp>
        <stp>Price</stp>
        <tr r="W1198" s="57"/>
      </tp>
      <tp>
        <v>40.799999999999997</v>
        <stp/>
        <stp>6588</stp>
        <stp>Price</stp>
        <tr r="W1006" s="57"/>
      </tp>
      <tp>
        <v>35.1</v>
        <stp/>
        <stp>6598</stp>
        <stp>Price</stp>
        <tr r="W396" s="57"/>
      </tp>
      <tp>
        <v>65.900000000000006</v>
        <stp/>
        <stp>4148</stp>
        <stp>Price</stp>
        <tr r="W345" s="57"/>
      </tp>
      <tp>
        <v>25.65</v>
        <stp/>
        <stp>4168</stp>
        <stp>Price</stp>
        <tr r="W356" s="57"/>
      </tp>
      <tp>
        <v>19.3</v>
        <stp/>
        <stp>4108</stp>
        <stp>Price</stp>
        <tr r="W323" s="57"/>
      </tp>
      <tp>
        <v>56.8</v>
        <stp/>
        <stp>4128</stp>
        <stp>Price</stp>
        <tr r="W15" s="28"/>
        <tr r="W2" s="22"/>
        <tr r="W334" s="57"/>
        <tr r="W3" s="22"/>
        <tr r="W4" s="22"/>
      </tp>
      <tp>
        <v>55.4</v>
        <stp/>
        <stp>4138</stp>
        <stp>Price</stp>
        <tr r="W340" s="57"/>
      </tp>
      <tp>
        <v>17</v>
        <stp/>
        <stp>4188</stp>
        <stp>Price</stp>
        <tr r="W361" s="57"/>
      </tp>
      <tp>
        <v>5.08</v>
        <stp/>
        <stp>4198</stp>
        <stp>Price</stp>
        <tr r="W364" s="57"/>
      </tp>
      <tp>
        <v>98.8</v>
        <stp/>
        <stp>4768</stp>
        <stp>Price</stp>
        <tr r="W283" s="57"/>
      </tp>
      <tp>
        <v>98.3</v>
        <stp/>
        <stp>4728</stp>
        <stp>Price</stp>
        <tr r="W366" s="57"/>
      </tp>
      <tp>
        <v>109.5</v>
        <stp/>
        <stp>4438</stp>
        <stp>Price</stp>
        <tr r="W123" s="57"/>
      </tp>
      <tp>
        <v>38.65</v>
        <stp/>
        <stp>4558</stp>
        <stp>Price</stp>
        <tr r="W196" s="57"/>
      </tp>
      <tp>
        <v>65.099999999999994</v>
        <stp/>
        <stp>4568</stp>
        <stp>Price</stp>
        <tr r="W203" s="57"/>
      </tp>
      <tp>
        <v>34.700000000000003</v>
        <stp/>
        <stp>4528</stp>
        <stp>Price</stp>
        <tr r="W183" s="57"/>
      </tp>
      <tp>
        <v>105</v>
        <stp/>
        <stp>4958</stp>
        <stp>Price</stp>
        <tr r="W16" s="28"/>
        <tr r="W43" s="22"/>
        <tr r="W44" s="22"/>
        <tr r="W45" s="22"/>
        <tr r="W1131" s="57"/>
      </tp>
      <tp>
        <v>206</v>
        <stp/>
        <stp>4968</stp>
        <stp>Price</stp>
        <tr r="W85" s="114"/>
        <tr r="W607" s="57"/>
      </tp>
      <tp>
        <v>31.55</v>
        <stp/>
        <stp>4908</stp>
        <stp>Price</stp>
        <tr r="W975" s="57"/>
      </tp>
      <tp>
        <v>64.2</v>
        <stp/>
        <stp>4938</stp>
        <stp>Price</stp>
        <tr r="W20" s="28"/>
        <tr r="W53" s="22"/>
        <tr r="W763" s="57"/>
      </tp>
      <tp>
        <v>37.1</v>
        <stp/>
        <stp>5258</stp>
        <stp>Price</stp>
        <tr r="W767" s="57"/>
      </tp>
      <tp>
        <v>230</v>
        <stp/>
        <stp>5278</stp>
        <stp>Price</stp>
        <tr r="W1809" s="57"/>
      </tp>
      <tp>
        <v>24.5</v>
        <stp/>
        <stp>5228</stp>
        <stp>Price</stp>
        <tr r="W50" s="28"/>
        <tr r="W1136" s="57"/>
      </tp>
      <tp>
        <v>147.5</v>
        <stp/>
        <stp>5288</stp>
        <stp>Price</stp>
        <tr r="W111" s="114"/>
        <tr r="W209" s="57"/>
      </tp>
      <tp>
        <v>9.16</v>
        <stp/>
        <stp>5348</stp>
        <stp>Price</stp>
        <tr r="W979" s="57"/>
      </tp>
      <tp>
        <v>10.199999999999999</v>
        <stp/>
        <stp>5328</stp>
        <stp>Price</stp>
        <tr r="W1140" s="57"/>
      </tp>
      <tp>
        <v>77.400000000000006</v>
        <stp/>
        <stp>5388</stp>
        <stp>Price</stp>
        <tr r="W981" s="57"/>
      </tp>
      <tp>
        <v>19.399999999999999</v>
        <stp/>
        <stp>5398</stp>
        <stp>Price</stp>
        <tr r="W1336" s="57"/>
      </tp>
      <tp>
        <v>43.65</v>
        <stp/>
        <stp>5608</stp>
        <stp>Price</stp>
        <tr r="W1543" s="57"/>
      </tp>
      <tp>
        <v>30.1</v>
        <stp/>
        <stp>5468</stp>
        <stp>Price</stp>
        <tr r="W624" s="57"/>
      </tp>
      <tp>
        <v>85.1</v>
        <stp/>
        <stp>5478</stp>
        <stp>Price</stp>
        <tr r="W1790" s="57"/>
      </tp>
      <tp>
        <v>12.9</v>
        <stp/>
        <stp>5438</stp>
        <stp>Price</stp>
        <tr r="W772" s="57"/>
      </tp>
      <tp>
        <v>7.49</v>
        <stp/>
        <stp>5488</stp>
        <stp>Price</stp>
        <tr r="W1151" s="57"/>
      </tp>
      <tp>
        <v>9.92</v>
        <stp/>
        <stp>5498</stp>
        <stp>Price</stp>
        <tr r="W1152" s="57"/>
      </tp>
      <tp>
        <v>65</v>
        <stp/>
        <stp>5508</stp>
        <stp>Price</stp>
        <tr r="W1489" s="57"/>
      </tp>
      <tp>
        <v>49.3</v>
        <stp/>
        <stp>5538</stp>
        <stp>Price</stp>
        <tr r="W471" s="57"/>
      </tp>
      <tp>
        <v>48.9</v>
        <stp/>
        <stp>5878</stp>
        <stp>Price</stp>
        <tr r="W1627" s="57"/>
      </tp>
      <tp>
        <v>54.6</v>
        <stp/>
        <stp>8358</stp>
        <stp>Price</stp>
        <tr r="W1226" s="57"/>
      </tp>
      <tp>
        <v>32.450000000000003</v>
        <stp/>
        <stp>8048</stp>
        <stp>Price</stp>
        <tr r="W1011" s="57"/>
      </tp>
      <tp>
        <v>25.9</v>
        <stp/>
        <stp>8068</stp>
        <stp>Price</stp>
        <tr r="W1259" s="57"/>
      </tp>
      <tp>
        <v>53.7</v>
        <stp/>
        <stp>8028</stp>
        <stp>Price</stp>
        <tr r="W684" s="57"/>
      </tp>
      <tp>
        <v>35.700000000000003</v>
        <stp/>
        <stp>8038</stp>
        <stp>Price</stp>
        <tr r="W1206" s="57"/>
      </tp>
      <tp>
        <v>20.45</v>
        <stp/>
        <stp>8088</stp>
        <stp>Price</stp>
        <tr r="W689" s="57"/>
      </tp>
      <tp>
        <v>169.5</v>
        <stp/>
        <stp>8478</stp>
        <stp>Price</stp>
        <tr r="W1391" s="57"/>
      </tp>
      <tp t="s">
        <v>無資料</v>
        <stp/>
        <stp>8418</stp>
        <stp>Price</stp>
        <tr r="W1373" s="57"/>
      </tp>
      <tp>
        <v>37.75</v>
        <stp/>
        <stp>8438</stp>
        <stp>Price</stp>
        <tr r="W1381" s="57"/>
      </tp>
      <tp t="s">
        <v>無資料</v>
        <stp/>
        <stp>8488</stp>
        <stp>Price</stp>
        <tr r="W1395" s="57"/>
      </tp>
      <tp>
        <v>78</v>
        <stp/>
        <stp>8908</stp>
        <stp>Price</stp>
        <tr r="W1685" s="57"/>
      </tp>
      <tp>
        <v>47.2</v>
        <stp/>
        <stp>8928</stp>
        <stp>Price</stp>
        <tr r="W1402" s="57"/>
      </tp>
      <tp>
        <v>88.3</v>
        <stp/>
        <stp>8938</stp>
        <stp>Price</stp>
        <tr r="W1409" s="57"/>
      </tp>
      <tp>
        <v>118.5</v>
        <stp/>
        <stp>9958</stp>
        <stp>Price</stp>
        <tr r="W476" s="57"/>
      </tp>
      <tp>
        <v>32.799999999999997</v>
        <stp/>
        <stp>9908</stp>
        <stp>Price</stp>
        <tr r="W1686" s="57"/>
      </tp>
      <tp>
        <v>43.1</v>
        <stp/>
        <stp>9918</stp>
        <stp>Price</stp>
        <tr r="W1683" s="57"/>
      </tp>
      <tp t="s">
        <v>無資料</v>
        <stp/>
        <stp>9928</stp>
        <stp>Price</stp>
        <tr r="W1425" s="57"/>
      </tp>
      <tp>
        <v>66.099999999999994</v>
        <stp/>
        <stp>9938</stp>
        <stp>Price</stp>
        <tr r="W1431" s="57"/>
      </tp>
      <tp>
        <v>366</v>
        <stp/>
        <stp>6494</stp>
        <stp>PredictVolume</stp>
        <tr r="AI655" s="57"/>
      </tp>
      <tp>
        <v>526</v>
        <stp/>
        <stp>6414</stp>
        <stp>PredictVolume</stp>
        <tr r="AI140" s="114"/>
        <tr r="AI791" s="57"/>
      </tp>
      <tp>
        <v>2</v>
        <stp/>
        <stp>6404</stp>
        <stp>PredictVolume</stp>
        <tr r="AI1295" s="57"/>
      </tp>
      <tp>
        <v>6</v>
        <stp/>
        <stp>6464</stp>
        <stp>PredictVolume</stp>
        <tr r="AI1345" s="57"/>
      </tp>
      <tp>
        <v>24</v>
        <stp/>
        <stp>6594</stp>
        <stp>PredictVolume</stp>
        <tr r="AI666" s="57"/>
      </tp>
      <tp>
        <v>207</v>
        <stp/>
        <stp>6514</stp>
        <stp>PredictVolume</stp>
        <tr r="AI1002" s="57"/>
      </tp>
      <tp>
        <v>60</v>
        <stp/>
        <stp>6504</stp>
        <stp>PredictVolume</stp>
        <tr r="AI1346" s="57"/>
      </tp>
      <tp>
        <v>0</v>
        <stp/>
        <stp>6574</stp>
        <stp>PredictVolume</stp>
        <tr r="AI393" s="57"/>
      </tp>
      <tp>
        <v>276</v>
        <stp/>
        <stp>6684</stp>
        <stp>PredictVolume</stp>
        <tr r="AI672" s="57"/>
      </tp>
      <tp>
        <v>7</v>
        <stp/>
        <stp>6624</stp>
        <stp>PredictVolume</stp>
        <tr r="AI1351" s="57"/>
      </tp>
      <tp>
        <v>1</v>
        <stp/>
        <stp>6674</stp>
        <stp>PredictVolume</stp>
        <tr r="AI1007" s="57"/>
      </tp>
      <tp>
        <v>207</v>
        <stp/>
        <stp>6664</stp>
        <stp>PredictVolume</stp>
        <tr r="AI1200" s="57"/>
      </tp>
      <tp>
        <v>13</v>
        <stp/>
        <stp>6654</stp>
        <stp>PredictVolume</stp>
        <tr r="AI1762" s="57"/>
      </tp>
      <tp>
        <v>39</v>
        <stp/>
        <stp>6754</stp>
        <stp>PredictVolume</stp>
        <tr r="AI1359" s="57"/>
      </tp>
      <tp>
        <v>96</v>
        <stp/>
        <stp>6024</stp>
        <stp>PredictVolume</stp>
        <tr r="AI1635" s="57"/>
      </tp>
      <tp>
        <v>42</v>
        <stp/>
        <stp>6194</stp>
        <stp>PredictVolume</stp>
        <tr r="AI1172" s="57"/>
      </tp>
      <tp>
        <v>70</v>
        <stp/>
        <stp>6184</stp>
        <stp>PredictVolume</stp>
        <tr r="AI1342" s="57"/>
      </tp>
      <tp>
        <v>165</v>
        <stp/>
        <stp>6134</stp>
        <stp>PredictVolume</stp>
        <tr r="AI1160" s="57"/>
      </tp>
      <tp>
        <v>4</v>
        <stp/>
        <stp>6124</stp>
        <stp>PredictVolume</stp>
        <tr r="AI1156" s="57"/>
      </tp>
      <tp>
        <v>18</v>
        <stp/>
        <stp>6114</stp>
        <stp>PredictVolume</stp>
        <tr r="AI1154" s="57"/>
      </tp>
      <tp>
        <v>23291</v>
        <stp/>
        <stp>6104</stp>
        <stp>PredictVolume</stp>
        <tr r="AI629" s="57"/>
      </tp>
      <tp>
        <v>277</v>
        <stp/>
        <stp>6174</stp>
        <stp>PredictVolume</stp>
        <tr r="AI1168" s="57"/>
      </tp>
      <tp>
        <v>698</v>
        <stp/>
        <stp>6164</stp>
        <stp>PredictVolume</stp>
        <tr r="AI895" s="57"/>
      </tp>
      <tp>
        <v>63</v>
        <stp/>
        <stp>6154</stp>
        <stp>PredictVolume</stp>
        <tr r="AI1250" s="57"/>
      </tp>
      <tp>
        <v>6</v>
        <stp/>
        <stp>6144</stp>
        <stp>PredictVolume</stp>
        <tr r="AI1793" s="57"/>
      </tp>
      <tp>
        <v>199</v>
        <stp/>
        <stp>6294</stp>
        <stp>PredictVolume</stp>
        <tr r="AI1796" s="57"/>
      </tp>
      <tp>
        <v>143</v>
        <stp/>
        <stp>6284</stp>
        <stp>PredictVolume</stp>
        <tr r="AI1191" s="57"/>
      </tp>
      <tp>
        <v>82</v>
        <stp/>
        <stp>6234</stp>
        <stp>PredictVolume</stp>
        <tr r="AI903" s="57"/>
      </tp>
      <tp>
        <v>813</v>
        <stp/>
        <stp>6224</stp>
        <stp>PredictVolume</stp>
        <tr r="AI94" s="114"/>
        <tr r="AI1183" s="57"/>
      </tp>
      <tp>
        <v>143</v>
        <stp/>
        <stp>6214</stp>
        <stp>PredictVolume</stp>
        <tr r="AI1291" s="57"/>
      </tp>
      <tp>
        <v>25</v>
        <stp/>
        <stp>6204</stp>
        <stp>PredictVolume</stp>
        <tr r="AI1175" s="57"/>
      </tp>
      <tp>
        <v>1961</v>
        <stp/>
        <stp>6274</stp>
        <stp>PredictVolume</stp>
        <tr r="AI1188" s="57"/>
      </tp>
      <tp>
        <v>76</v>
        <stp/>
        <stp>6264</stp>
        <stp>PredictVolume</stp>
        <tr r="AI1511" s="57"/>
      </tp>
      <tp>
        <v>1361</v>
        <stp/>
        <stp>6244</stp>
        <stp>PredictVolume</stp>
        <tr r="AI904" s="57"/>
      </tp>
      <tp>
        <v>172</v>
        <stp/>
        <stp>6804</stp>
        <stp>PredictVolume</stp>
        <tr r="AI1363" s="57"/>
      </tp>
      <tp>
        <v>3331</v>
        <stp/>
        <stp>4414</stp>
        <stp>PredictVolume</stp>
        <tr r="AI115" s="57"/>
      </tp>
      <tp>
        <v>288</v>
        <stp/>
        <stp>4534</stp>
        <stp>PredictVolume</stp>
        <tr r="AI187" s="57"/>
      </tp>
      <tp>
        <v>257</v>
        <stp/>
        <stp>4564</stp>
        <stp>PredictVolume</stp>
        <tr r="AI201" s="57"/>
      </tp>
      <tp>
        <v>63</v>
        <stp/>
        <stp>4554</stp>
        <stp>PredictVolume</stp>
        <tr r="AI1737" s="57"/>
      </tp>
      <tp>
        <v>662</v>
        <stp/>
        <stp>4714</stp>
        <stp>PredictVolume</stp>
        <tr r="AI270" s="57"/>
      </tp>
      <tp>
        <v>7</v>
        <stp/>
        <stp>4764</stp>
        <stp>PredictVolume</stp>
        <tr r="AI280" s="57"/>
      </tp>
      <tp>
        <v>11</v>
        <stp/>
        <stp>4754</stp>
        <stp>PredictVolume</stp>
        <tr r="AI277" s="57"/>
      </tp>
      <tp>
        <v>42</v>
        <stp/>
        <stp>4744</stp>
        <stp>PredictVolume</stp>
        <tr r="AI371" s="57"/>
      </tp>
      <tp>
        <v>2719</v>
        <stp/>
        <stp>4114</stp>
        <stp>PredictVolume</stp>
        <tr r="AI326" s="57"/>
      </tp>
      <tp>
        <v>289</v>
        <stp/>
        <stp>4104</stp>
        <stp>PredictVolume</stp>
        <tr r="AI319" s="57"/>
      </tp>
      <tp>
        <v>501</v>
        <stp/>
        <stp>4174</stp>
        <stp>PredictVolume</stp>
        <tr r="AI358" s="57"/>
      </tp>
      <tp>
        <v>356</v>
        <stp/>
        <stp>4164</stp>
        <stp>PredictVolume</stp>
        <tr r="AI354" s="57"/>
      </tp>
      <tp>
        <v>28</v>
        <stp/>
        <stp>4154</stp>
        <stp>PredictVolume</stp>
        <tr r="AI347" s="57"/>
      </tp>
      <tp>
        <v>80</v>
        <stp/>
        <stp>4304</stp>
        <stp>PredictVolume</stp>
        <tr r="AI63" s="57"/>
      </tp>
      <tp>
        <v>1218</v>
        <stp/>
        <stp>4804</stp>
        <stp>PredictVolume</stp>
        <tr r="AI1581" s="57"/>
      </tp>
      <tp>
        <v>97</v>
        <stp/>
        <stp>4994</stp>
        <stp>PredictVolume</stp>
        <tr r="AI1276" s="57"/>
      </tp>
      <tp>
        <v>558</v>
        <stp/>
        <stp>4934</stp>
        <stp>PredictVolume</stp>
        <tr r="AI869" s="57"/>
      </tp>
      <tp>
        <v>18</v>
        <stp/>
        <stp>4924</stp>
        <stp>PredictVolume</stp>
        <tr r="AI761" s="57"/>
      </tp>
      <tp>
        <v>7844</v>
        <stp/>
        <stp>4904</stp>
        <stp>PredictVolume</stp>
        <tr r="AI973" s="57"/>
      </tp>
      <tp>
        <v>234</v>
        <stp/>
        <stp>4974</stp>
        <stp>PredictVolume</stp>
        <tr r="AI1132" s="57"/>
      </tp>
      <tp>
        <v>85</v>
        <stp/>
        <stp>4944</stp>
        <stp>PredictVolume</stp>
        <tr r="AI872" s="57"/>
      </tp>
      <tp>
        <v>19</v>
        <stp/>
        <stp>5484</stp>
        <stp>PredictVolume</stp>
        <tr r="AI891" s="57"/>
      </tp>
      <tp>
        <v>296</v>
        <stp/>
        <stp>5434</stp>
        <stp>PredictVolume</stp>
        <tr r="AI1247" s="57"/>
      </tp>
      <tp>
        <v>56</v>
        <stp/>
        <stp>5474</stp>
        <stp>PredictVolume</stp>
        <tr r="AI774" s="57"/>
      </tp>
      <tp>
        <v>41</v>
        <stp/>
        <stp>5464</stp>
        <stp>PredictVolume</stp>
        <tr r="AI1148" s="57"/>
      </tp>
      <tp>
        <v>260</v>
        <stp/>
        <stp>5534</stp>
        <stp>PredictVolume</stp>
        <tr r="AI1503" s="57"/>
      </tp>
      <tp>
        <v>26</v>
        <stp/>
        <stp>5514</stp>
        <stp>PredictVolume</stp>
        <tr r="AI1492" s="57"/>
      </tp>
      <tp>
        <v>84</v>
        <stp/>
        <stp>5604</stp>
        <stp>PredictVolume</stp>
        <tr r="AI1541" s="57"/>
      </tp>
      <tp>
        <v>1</v>
        <stp/>
        <stp>5704</stp>
        <stp>PredictVolume</stp>
        <tr r="AI1586" s="57"/>
      </tp>
      <tp>
        <v>2062</v>
        <stp/>
        <stp>5014</stp>
        <stp>PredictVolume</stp>
        <tr r="AI468" s="57"/>
      </tp>
      <tp>
        <v>1</v>
        <stp/>
        <stp>5284</stp>
        <stp>PredictVolume</stp>
        <tr r="AI1334" s="57"/>
      </tp>
      <tp>
        <v>101</v>
        <stp/>
        <stp>5234</stp>
        <stp>PredictVolume</stp>
        <tr r="AI880" s="57"/>
      </tp>
      <tp>
        <v>443</v>
        <stp/>
        <stp>5274</stp>
        <stp>PredictVolume</stp>
        <tr r="AI615" s="57"/>
        <tr r="AJ35" s="118"/>
      </tp>
      <tp>
        <v>37</v>
        <stp/>
        <stp>5244</stp>
        <stp>PredictVolume</stp>
        <tr r="AI882" s="57"/>
      </tp>
      <tp>
        <v>255</v>
        <stp/>
        <stp>5324</stp>
        <stp>PredictVolume</stp>
        <tr r="AI1487" s="57"/>
      </tp>
      <tp>
        <v>7</v>
        <stp/>
        <stp>5314</stp>
        <stp>PredictVolume</stp>
        <tr r="AI619" s="57"/>
      </tp>
      <tp>
        <v>0</v>
        <stp/>
        <stp>5364</stp>
        <stp>PredictVolume</stp>
        <tr r="AI1583" s="57"/>
      </tp>
      <tp>
        <v>42</v>
        <stp/>
        <stp>5344</stp>
        <stp>PredictVolume</stp>
        <tr r="AI620" s="57"/>
      </tp>
      <tp>
        <v>112</v>
        <stp/>
        <stp>5864</stp>
        <stp>PredictVolume</stp>
        <tr r="AI1625" s="57"/>
      </tp>
      <tp>
        <v>310</v>
        <stp/>
        <stp>5904</stp>
        <stp>PredictVolume</stp>
        <tr r="AI1663" s="57"/>
      </tp>
      <tp>
        <v>4252</v>
        <stp/>
        <stp>2484</stp>
        <stp>PredictVolume</stp>
        <tr r="AI1055" s="57"/>
      </tp>
      <tp>
        <v>64</v>
        <stp/>
        <stp>2434</stp>
        <stp>PredictVolume</stp>
        <tr r="AI544" s="57"/>
      </tp>
      <tp>
        <v>1</v>
        <stp/>
        <stp>2424</stp>
        <stp>PredictVolume</stp>
        <tr r="AI721" s="57"/>
      </tp>
      <tp>
        <v>120</v>
        <stp/>
        <stp>2414</stp>
        <stp>PredictVolume</stp>
        <tr r="AI1230" s="57"/>
      </tp>
      <tp>
        <v>294</v>
        <stp/>
        <stp>2404</stp>
        <stp>PredictVolume</stp>
        <tr r="AI19" s="74"/>
        <tr r="AI81" s="114"/>
        <tr r="AI1700" s="57"/>
      </tp>
      <tp>
        <v>4349</v>
        <stp/>
        <stp>2474</stp>
        <stp>PredictVolume</stp>
        <tr r="AI1705" s="57"/>
      </tp>
      <tp>
        <v>299</v>
        <stp/>
        <stp>2464</stp>
        <stp>PredictVolume</stp>
        <tr r="AI1704" s="57"/>
      </tp>
      <tp>
        <v>4946</v>
        <stp/>
        <stp>2454</stp>
        <stp>PredictVolume</stp>
        <tr r="AI549" s="57"/>
        <tr r="AJ3" s="118"/>
      </tp>
      <tp>
        <v>1062</v>
        <stp/>
        <stp>2444</stp>
        <stp>PredictVolume</stp>
        <tr r="AI937" s="57"/>
      </tp>
      <tp>
        <v>1641</v>
        <stp/>
        <stp>2534</stp>
        <stp>PredictVolume</stp>
        <tr r="AI1459" s="57"/>
      </tp>
      <tp>
        <v>62</v>
        <stp/>
        <stp>2524</stp>
        <stp>PredictVolume</stp>
        <tr r="AI1455" s="57"/>
      </tp>
      <tp>
        <v>121</v>
        <stp/>
        <stp>2514</stp>
        <stp>PredictVolume</stp>
        <tr r="AI1321" s="57"/>
      </tp>
      <tp>
        <v>3374</v>
        <stp/>
        <stp>2504</stp>
        <stp>PredictVolume</stp>
        <tr r="AI1448" s="57"/>
      </tp>
      <tp>
        <v>3945</v>
        <stp/>
        <stp>2634</stp>
        <stp>PredictVolume</stp>
        <tr r="AI1533" s="57"/>
      </tp>
      <tp>
        <v>3248</v>
        <stp/>
        <stp>2614</stp>
        <stp>PredictVolume</stp>
        <tr r="AI1641" s="57"/>
      </tp>
      <tp>
        <v>168</v>
        <stp/>
        <stp>2734</stp>
        <stp>PredictVolume</stp>
        <tr r="AI1567" s="57"/>
      </tp>
      <tp>
        <v>0</v>
        <stp/>
        <stp>2724</stp>
        <stp>PredictVolume</stp>
        <tr r="AI1561" s="57"/>
      </tp>
      <tp>
        <v>264</v>
        <stp/>
        <stp>2704</stp>
        <stp>PredictVolume</stp>
        <tr r="AI1552" s="57"/>
      </tp>
      <tp>
        <v>16</v>
        <stp/>
        <stp>2754</stp>
        <stp>PredictVolume</stp>
        <tr r="AI1576" s="57"/>
      </tp>
      <tp>
        <v>1077</v>
        <stp/>
        <stp>2034</stp>
        <stp>PredictVolume</stp>
        <tr r="AI455" s="57"/>
      </tp>
      <tp>
        <v>79</v>
        <stp/>
        <stp>2024</stp>
        <stp>PredictVolume</stp>
        <tr r="AI446" s="57"/>
      </tp>
      <tp>
        <v>5890</v>
        <stp/>
        <stp>2014</stp>
        <stp>PredictVolume</stp>
        <tr r="AI440" s="57"/>
      </tp>
      <tp>
        <v>161</v>
        <stp/>
        <stp>2064</stp>
        <stp>PredictVolume</stp>
        <tr r="AI459" s="57"/>
      </tp>
      <tp>
        <v>34</v>
        <stp/>
        <stp>2114</stp>
        <stp>PredictVolume</stp>
        <tr r="AI489" s="57"/>
      </tp>
      <tp>
        <v>5328</v>
        <stp/>
        <stp>2104</stp>
        <stp>PredictVolume</stp>
        <tr r="AI483" s="57"/>
      </tp>
      <tp>
        <v>1212</v>
        <stp/>
        <stp>2204</stp>
        <stp>PredictVolume</stp>
        <tr r="AI508" s="57"/>
      </tp>
      <tp>
        <v>24581</v>
        <stp/>
        <stp>2324</stp>
        <stp>PredictVolume</stp>
        <tr r="AI702" s="57"/>
      </tp>
      <tp>
        <v>717</v>
        <stp/>
        <stp>2314</stp>
        <stp>PredictVolume</stp>
        <tr r="AI930" s="57"/>
      </tp>
      <tp>
        <v>1245</v>
        <stp/>
        <stp>2374</stp>
        <stp>PredictVolume</stp>
        <tr r="AI812" s="57"/>
      </tp>
      <tp>
        <v>127</v>
        <stp/>
        <stp>2364</stp>
        <stp>PredictVolume</stp>
        <tr r="AI709" s="57"/>
      </tp>
      <tp>
        <v>9021</v>
        <stp/>
        <stp>2354</stp>
        <stp>PredictVolume</stp>
        <tr r="AI1695" s="57"/>
      </tp>
      <tp>
        <v>29074</v>
        <stp/>
        <stp>2344</stp>
        <stp>PredictVolume</stp>
        <tr r="AI536" s="57"/>
      </tp>
      <tp>
        <v>27871</v>
        <stp/>
        <stp>2884</stp>
        <stp>PredictVolume</stp>
        <tr r="AI1614" s="57"/>
        <tr r="AJ16" s="118"/>
      </tp>
      <tp>
        <v>41466</v>
        <stp/>
        <stp>2834</stp>
        <stp>PredictVolume</stp>
        <tr r="AI1600" s="57"/>
      </tp>
      <tp>
        <v>2</v>
        <stp/>
        <stp>2924</stp>
        <stp>PredictVolume</stp>
        <tr r="AI1653" s="57"/>
      </tp>
      <tp>
        <v>30</v>
        <stp/>
        <stp>2904</stp>
        <stp>PredictVolume</stp>
        <tr r="AI1323" s="57"/>
      </tp>
      <tp>
        <v>170</v>
        <stp/>
        <stp>3494</stp>
        <stp>PredictVolume</stp>
        <tr r="AI746" s="57"/>
      </tp>
      <tp>
        <v>234</v>
        <stp/>
        <stp>3484</stp>
        <stp>PredictVolume</stp>
        <tr r="AI95" s="114"/>
        <tr r="AI1100" s="57"/>
      </tp>
      <tp>
        <v>6696</v>
        <stp/>
        <stp>3434</stp>
        <stp>PredictVolume</stp>
        <tr r="AI841" s="57"/>
      </tp>
      <tp>
        <v>483</v>
        <stp/>
        <stp>3454</stp>
        <stp>PredictVolume</stp>
        <tr r="AI844" s="57"/>
      </tp>
      <tp>
        <v>220</v>
        <stp/>
        <stp>3444</stp>
        <stp>PredictVolume</stp>
        <tr r="AI1244" s="57"/>
      </tp>
      <tp>
        <v>509</v>
        <stp/>
        <stp>3594</stp>
        <stp>PredictVolume</stp>
        <tr r="AI751" s="57"/>
      </tp>
      <tp>
        <v>396</v>
        <stp/>
        <stp>3504</stp>
        <stp>PredictVolume</stp>
        <tr r="AI848" s="57"/>
      </tp>
      <tp>
        <v>40</v>
        <stp/>
        <stp>3564</stp>
        <stp>PredictVolume</stp>
        <tr r="AI963" s="57"/>
      </tp>
      <tp>
        <v>169</v>
        <stp/>
        <stp>3694</stp>
        <stp>PredictVolume</stp>
        <tr r="AI970" s="57"/>
      </tp>
      <tp>
        <v>8</v>
        <stp/>
        <stp>3684</stp>
        <stp>PredictVolume</stp>
        <tr r="AI969" s="57"/>
      </tp>
      <tp>
        <v>4379</v>
        <stp/>
        <stp>3624</stp>
        <stp>PredictVolume</stp>
        <tr r="AI1116" s="57"/>
      </tp>
      <tp>
        <v>51</v>
        <stp/>
        <stp>3664</stp>
        <stp>PredictVolume</stp>
        <tr r="AI966" s="57"/>
      </tp>
      <tp>
        <v>5495</v>
        <stp/>
        <stp>3714</stp>
        <stp>PredictVolume</stp>
        <tr r="AI866" s="57"/>
      </tp>
      <tp>
        <v>1000</v>
        <stp/>
        <stp>3704</stp>
        <stp>PredictVolume</stp>
        <tr r="AI971" s="57"/>
      </tp>
      <tp>
        <v>353</v>
        <stp/>
        <stp>3094</stp>
        <stp>PredictVolume</stp>
        <tr r="AI560" s="57"/>
      </tp>
      <tp>
        <v>5435</v>
        <stp/>
        <stp>3034</stp>
        <stp>PredictVolume</stp>
        <tr r="AI555" s="57"/>
      </tp>
      <tp>
        <v>161</v>
        <stp/>
        <stp>3024</stp>
        <stp>PredictVolume</stp>
        <tr r="AI824" s="57"/>
      </tp>
      <tp>
        <v>430</v>
        <stp/>
        <stp>3014</stp>
        <stp>PredictVolume</stp>
        <tr r="AI553" s="57"/>
      </tp>
      <tp>
        <v>28</v>
        <stp/>
        <stp>3004</stp>
        <stp>PredictVolume</stp>
        <tr r="AI463" s="57"/>
      </tp>
      <tp>
        <v>0</v>
        <stp/>
        <stp>3064</stp>
        <stp>PredictVolume</stp>
        <tr r="AI1781" s="57"/>
      </tp>
      <tp>
        <v>6</v>
        <stp/>
        <stp>3054</stp>
        <stp>PredictVolume</stp>
        <tr r="AI558" s="57"/>
      </tp>
      <tp>
        <v>781</v>
        <stp/>
        <stp>3044</stp>
        <stp>PredictVolume</stp>
        <tr r="AI1067" s="57"/>
      </tp>
      <tp>
        <v>554</v>
        <stp/>
        <stp>3114</stp>
        <stp>PredictVolume</stp>
        <tr r="AI1072" s="57"/>
      </tp>
      <tp>
        <v>43</v>
        <stp/>
        <stp>3164</stp>
        <stp>PredictVolume</stp>
        <tr r="AI313" s="57"/>
      </tp>
      <tp>
        <v>241</v>
        <stp/>
        <stp>3294</stp>
        <stp>PredictVolume</stp>
        <tr r="AI1084" s="57"/>
      </tp>
      <tp>
        <v>42</v>
        <stp/>
        <stp>3284</stp>
        <stp>PredictVolume</stp>
        <tr r="AI1325" s="57"/>
      </tp>
      <tp>
        <v>124</v>
        <stp/>
        <stp>3234</stp>
        <stp>PredictVolume</stp>
        <tr r="AI953" s="57"/>
      </tp>
      <tp>
        <v>520</v>
        <stp/>
        <stp>3224</stp>
        <stp>PredictVolume</stp>
        <tr r="AI1240" s="57"/>
      </tp>
      <tp>
        <v>1773</v>
        <stp/>
        <stp>3264</stp>
        <stp>PredictVolume</stp>
        <tr r="AI572" s="57"/>
      </tp>
      <tp>
        <v>1505</v>
        <stp/>
        <stp>3324</stp>
        <stp>PredictVolume</stp>
        <tr r="AI1720" s="57"/>
      </tp>
      <tp>
        <v>2439</v>
        <stp/>
        <stp>3374</stp>
        <stp>PredictVolume</stp>
        <tr r="AL24" s="28"/>
        <tr r="AI98" s="114"/>
        <tr r="AI577" s="57"/>
      </tp>
      <tp>
        <v>575</v>
        <stp/>
        <stp>3354</stp>
        <stp>PredictVolume</stp>
        <tr r="AI1093" s="57"/>
      </tp>
      <tp>
        <v>1601</v>
        <stp/>
        <stp>1434</stp>
        <stp>PredictVolume</stp>
        <tr r="AI79" s="57"/>
      </tp>
      <tp>
        <v>558</v>
        <stp/>
        <stp>1414</stp>
        <stp>PredictVolume</stp>
        <tr r="AI74" s="57"/>
      </tp>
      <tp>
        <v>287</v>
        <stp/>
        <stp>1474</stp>
        <stp>PredictVolume</stp>
        <tr r="AI107" s="57"/>
      </tp>
      <tp>
        <v>209</v>
        <stp/>
        <stp>1464</stp>
        <stp>PredictVolume</stp>
        <tr r="AI99" s="57"/>
      </tp>
      <tp>
        <v>104</v>
        <stp/>
        <stp>1454</stp>
        <stp>PredictVolume</stp>
        <tr r="AI92" s="57"/>
      </tp>
      <tp>
        <v>1569</v>
        <stp/>
        <stp>1444</stp>
        <stp>PredictVolume</stp>
        <tr r="AI84" s="57"/>
      </tp>
      <tp>
        <v>6615</v>
        <stp/>
        <stp>1584</stp>
        <stp>PredictVolume</stp>
        <tr r="AI1314" s="57"/>
      </tp>
      <tp>
        <v>30183</v>
        <stp/>
        <stp>1524</stp>
        <stp>PredictVolume</stp>
        <tr r="AI500" s="57"/>
      </tp>
      <tp>
        <v>1077</v>
        <stp/>
        <stp>1514</stp>
        <stp>PredictVolume</stp>
        <tr r="AI133" s="57"/>
      </tp>
      <tp>
        <v>8045</v>
        <stp/>
        <stp>1504</stp>
        <stp>PredictVolume</stp>
        <tr r="AI129" s="57"/>
      </tp>
      <tp>
        <v>14</v>
        <stp/>
        <stp>1614</stp>
        <stp>PredictVolume</stp>
        <tr r="AI232" s="57"/>
      </tp>
      <tp>
        <v>177</v>
        <stp/>
        <stp>1604</stp>
        <stp>PredictVolume</stp>
        <tr r="AI226" s="57"/>
      </tp>
      <tp>
        <v>45</v>
        <stp/>
        <stp>1784</stp>
        <stp>PredictVolume</stp>
        <tr r="AI305" s="57"/>
      </tp>
      <tp>
        <v>721</v>
        <stp/>
        <stp>1734</stp>
        <stp>PredictVolume</stp>
        <tr r="AI297" s="57"/>
      </tp>
      <tp>
        <v>2206</v>
        <stp/>
        <stp>1714</stp>
        <stp>PredictVolume</stp>
        <tr r="AI250" s="57"/>
      </tp>
      <tp>
        <v>1630</v>
        <stp/>
        <stp>1104</stp>
        <stp>PredictVolume</stp>
        <tr r="AI7" s="57"/>
      </tp>
      <tp>
        <v>154</v>
        <stp/>
        <stp>1234</stp>
        <stp>PredictVolume</stp>
        <tr r="AI29" s="57"/>
      </tp>
      <tp>
        <v>3</v>
        <stp/>
        <stp>1264</stp>
        <stp>PredictVolume</stp>
        <tr r="AI34" s="57"/>
      </tp>
      <tp>
        <v>114</v>
        <stp/>
        <stp>1324</stp>
        <stp>PredictVolume</stp>
        <tr r="AI56" s="57"/>
      </tp>
      <tp>
        <v>10041</v>
        <stp/>
        <stp>1314</stp>
        <stp>PredictVolume</stp>
        <tr r="AI52" s="57"/>
      </tp>
      <tp>
        <v>3466</v>
        <stp/>
        <stp>1304</stp>
        <stp>PredictVolume</stp>
        <tr r="AI44" s="57"/>
      </tp>
      <tp>
        <v>2416</v>
        <stp/>
        <stp>1904</stp>
        <stp>PredictVolume</stp>
        <tr r="AI425" s="57"/>
      </tp>
      <tp>
        <v>19</v>
        <stp/>
        <stp>8424</stp>
        <stp>PredictVolume</stp>
        <tr r="AI1512" s="57"/>
      </tp>
      <tp>
        <v>93</v>
        <stp/>
        <stp>8404</stp>
        <stp>PredictVolume</stp>
        <tr r="AI1371" s="57"/>
      </tp>
      <tp>
        <v>509</v>
        <stp/>
        <stp>8464</stp>
        <stp>PredictVolume</stp>
        <tr r="AI1386" s="57"/>
      </tp>
      <tp>
        <v>727</v>
        <stp/>
        <stp>8454</stp>
        <stp>PredictVolume</stp>
        <tr r="AI1673" s="57"/>
      </tp>
      <tp>
        <v>20</v>
        <stp/>
        <stp>8444</stp>
        <stp>PredictVolume</stp>
        <tr r="AI1384" s="57"/>
      </tp>
      <tp>
        <v>74</v>
        <stp/>
        <stp>8084</stp>
        <stp>PredictVolume</stp>
        <tr r="AI1262" s="57"/>
      </tp>
      <tp>
        <v>571</v>
        <stp/>
        <stp>8034</stp>
        <stp>PredictVolume</stp>
        <tr r="AI1010" s="57"/>
      </tp>
      <tp>
        <v>316</v>
        <stp/>
        <stp>8024</stp>
        <stp>PredictVolume</stp>
        <tr r="AI683" s="57"/>
      </tp>
      <tp>
        <v>150</v>
        <stp/>
        <stp>8074</stp>
        <stp>PredictVolume</stp>
        <tr r="AI1212" s="57"/>
      </tp>
      <tp>
        <v>375</v>
        <stp/>
        <stp>8064</stp>
        <stp>PredictVolume</stp>
        <tr r="AI920" s="57"/>
      </tp>
      <tp>
        <v>1474</v>
        <stp/>
        <stp>8054</stp>
        <stp>PredictVolume</stp>
        <tr r="AI686" s="57"/>
      </tp>
      <tp>
        <v>817</v>
        <stp/>
        <stp>8044</stp>
        <stp>PredictVolume</stp>
        <tr r="AI1813" s="57"/>
      </tp>
      <tp>
        <v>1093</v>
        <stp/>
        <stp>8114</stp>
        <stp>PredictVolume</stp>
        <tr r="AI801" s="57"/>
      </tp>
      <tp>
        <v>414</v>
        <stp/>
        <stp>8104</stp>
        <stp>PredictVolume</stp>
        <tr r="AI923" s="57"/>
      </tp>
      <tp>
        <v>132</v>
        <stp/>
        <stp>8284</stp>
        <stp>PredictVolume</stp>
        <tr r="AI1304" s="57"/>
      </tp>
      <tp>
        <v>50</v>
        <stp/>
        <stp>8234</stp>
        <stp>PredictVolume</stp>
        <tr r="AI804" s="57"/>
      </tp>
      <tp>
        <v>19</v>
        <stp/>
        <stp>8374</stp>
        <stp>PredictVolume</stp>
        <tr r="AI220" s="57"/>
      </tp>
      <tp>
        <v>7</v>
        <stp/>
        <stp>8354</stp>
        <stp>PredictVolume</stp>
        <tr r="AI66" s="57"/>
      </tp>
      <tp>
        <v>532</v>
        <stp/>
        <stp>8924</stp>
        <stp>PredictVolume</stp>
        <tr r="AI112" s="114"/>
        <tr r="AI1401" s="57"/>
      </tp>
      <tp>
        <v>283</v>
        <stp/>
        <stp>9934</stp>
        <stp>PredictVolume</stp>
        <tr r="AI1429" s="57"/>
      </tp>
      <tp>
        <v>358</v>
        <stp/>
        <stp>9924</stp>
        <stp>PredictVolume</stp>
        <tr r="AI1422" s="57"/>
      </tp>
      <tp>
        <v>297</v>
        <stp/>
        <stp>9914</stp>
        <stp>PredictVolume</stp>
        <tr r="AI1418" s="57"/>
      </tp>
      <tp>
        <v>9434</v>
        <stp/>
        <stp>9904</stp>
        <stp>PredictVolume</stp>
        <tr r="AI1413" s="57"/>
      </tp>
      <tp>
        <v>306</v>
        <stp/>
        <stp>9944</stp>
        <stp>PredictVolume</stp>
        <tr r="AI1436" s="57"/>
      </tp>
      <tp>
        <v>54</v>
        <stp/>
        <stp>2239</stp>
        <stp>Price</stp>
        <tr r="W516" s="57"/>
      </tp>
      <tp>
        <v>8.6999999999999993</v>
        <stp/>
        <stp>2349</stp>
        <stp>Price</stp>
        <tr r="W811" s="57"/>
      </tp>
      <tp>
        <v>26.4</v>
        <stp/>
        <stp>2359</stp>
        <stp>Price</stp>
        <tr r="W1696" s="57"/>
      </tp>
      <tp>
        <v>20.350000000000001</v>
        <stp/>
        <stp>2369</stp>
        <stp>Price</stp>
        <tr r="W539" s="57"/>
      </tp>
      <tp>
        <v>427</v>
        <stp/>
        <stp>2379</stp>
        <stp>Price</stp>
        <tr r="W540" s="57"/>
      </tp>
      <tp>
        <v>20</v>
        <stp/>
        <stp>2329</stp>
        <stp>Price</stp>
        <tr r="W531" s="57"/>
      </tp>
      <tp>
        <v>17.55</v>
        <stp/>
        <stp>2399</stp>
        <stp>Price</stp>
        <tr r="W718" s="57"/>
      </tp>
      <tp>
        <v>221.5</v>
        <stp/>
        <stp>2049</stp>
        <stp>Price</stp>
        <tr r="W161" s="57"/>
      </tp>
      <tp>
        <v>437.5</v>
        <stp/>
        <stp>2059</stp>
        <stp>Price</stp>
        <tr r="W1025" s="57"/>
      </tp>
      <tp>
        <v>26.8</v>
        <stp/>
        <stp>2069</stp>
        <stp>Price</stp>
        <tr r="W461" s="57"/>
      </tp>
      <tp>
        <v>32.700000000000003</v>
        <stp/>
        <stp>2009</stp>
        <stp>Price</stp>
        <tr r="W436" s="57"/>
      </tp>
      <tp>
        <v>30.2</v>
        <stp/>
        <stp>2029</stp>
        <stp>Price</stp>
        <tr r="W450" s="57"/>
      </tp>
      <tp>
        <v>14.5</v>
        <stp/>
        <stp>2109</stp>
        <stp>Price</stp>
        <tr r="W488" s="57"/>
      </tp>
      <tp>
        <v>119</v>
        <stp/>
        <stp>2609</stp>
        <stp>Price</stp>
        <tr r="W86" s="114"/>
        <tr r="W24" s="118"/>
        <tr r="W1523" s="57"/>
      </tp>
      <tp>
        <v>15.7</v>
        <stp/>
        <stp>2719</stp>
        <stp>Price</stp>
        <tr r="W1558" s="57"/>
      </tp>
      <tp>
        <v>216</v>
        <stp/>
        <stp>2729</stp>
        <stp>Price</stp>
        <tr r="W1564" s="57"/>
      </tp>
      <tp>
        <v>21.95</v>
        <stp/>
        <stp>2739</stp>
        <stp>Price</stp>
        <tr r="W1569" s="57"/>
      </tp>
      <tp>
        <v>43.1</v>
        <stp/>
        <stp>2449</stp>
        <stp>Price</stp>
        <tr r="W547" s="57"/>
      </tp>
      <tp>
        <v>49.35</v>
        <stp/>
        <stp>2459</stp>
        <stp>Price</stp>
        <tr r="W1232" s="57"/>
      </tp>
      <tp>
        <v>17.149999999999999</v>
        <stp/>
        <stp>2409</stp>
        <stp>Price</stp>
        <tr r="W815" s="57"/>
      </tp>
      <tp>
        <v>19</v>
        <stp/>
        <stp>2419</stp>
        <stp>Price</stp>
        <tr r="W935" s="57"/>
      </tp>
      <tp>
        <v>15.35</v>
        <stp/>
        <stp>2429</stp>
        <stp>Price</stp>
        <tr r="W1044" s="57"/>
      </tp>
      <tp>
        <v>78.5</v>
        <stp/>
        <stp>2439</stp>
        <stp>Price</stp>
        <tr r="W75" s="114"/>
        <tr r="W936" s="57"/>
      </tp>
      <tp>
        <v>12.55</v>
        <stp/>
        <stp>2489</stp>
        <stp>Price</stp>
        <tr r="W820" s="57"/>
      </tp>
      <tp>
        <v>14.9</v>
        <stp/>
        <stp>2509</stp>
        <stp>Price</stp>
        <tr r="W1451" s="57"/>
      </tp>
      <tp>
        <v>31.4</v>
        <stp/>
        <stp>2539</stp>
        <stp>Price</stp>
        <tr r="W1464" s="57"/>
      </tp>
      <tp>
        <v>15.25</v>
        <stp/>
        <stp>2849</stp>
        <stp>Price</stp>
        <tr r="W1604" s="57"/>
      </tp>
      <tp>
        <v>37.549999999999997</v>
        <stp/>
        <stp>2809</stp>
        <stp>Price</stp>
        <tr r="W1595" s="57"/>
      </tp>
      <tp>
        <v>15.4</v>
        <stp/>
        <stp>2889</stp>
        <stp>Price</stp>
        <tr r="W1619" s="57"/>
      </tp>
      <tp>
        <v>25.1</v>
        <stp/>
        <stp>2939</stp>
        <stp>Price</stp>
        <tr r="W1656" s="57"/>
      </tp>
      <tp>
        <v>18.3</v>
        <stp/>
        <stp>3259</stp>
        <stp>Price</stp>
        <tr r="W570" s="57"/>
      </tp>
      <tp>
        <v>39.299999999999997</v>
        <stp/>
        <stp>3209</stp>
        <stp>Price</stp>
        <tr r="W1239" s="57"/>
      </tp>
      <tp>
        <v>87.1</v>
        <stp/>
        <stp>3219</stp>
        <stp>Price</stp>
        <tr r="W566" s="57"/>
      </tp>
      <tp>
        <v>20</v>
        <stp/>
        <stp>3229</stp>
        <stp>Price</stp>
        <tr r="W1079" s="57"/>
      </tp>
      <tp>
        <v>50.4</v>
        <stp/>
        <stp>3289</stp>
        <stp>Price</stp>
        <tr r="W1717" s="57"/>
      </tp>
      <tp>
        <v>18.5</v>
        <stp/>
        <stp>3349</stp>
        <stp>Price</stp>
        <tr r="W742" s="57"/>
      </tp>
      <tp>
        <v>11.75</v>
        <stp/>
        <stp>3379</stp>
        <stp>Price</stp>
        <tr r="W173" s="57"/>
      </tp>
      <tp>
        <v>13.7</v>
        <stp/>
        <stp>3339</stp>
        <stp>Price</stp>
        <tr r="W836" s="57"/>
      </tp>
      <tp>
        <v>11.1</v>
        <stp/>
        <stp>3049</stp>
        <stp>Price</stp>
        <tr r="W827" s="57"/>
      </tp>
      <tp>
        <v>35.950000000000003</v>
        <stp/>
        <stp>3059</stp>
        <stp>Price</stp>
        <tr r="W830" s="57"/>
      </tp>
      <tp>
        <v>63.3</v>
        <stp/>
        <stp>3019</stp>
        <stp>Price</stp>
        <tr r="W102" s="114"/>
        <tr r="W823" s="57"/>
      </tp>
      <tp>
        <v>41</v>
        <stp/>
        <stp>3029</stp>
        <stp>Price</stp>
        <tr r="W1272" s="57"/>
      </tp>
      <tp>
        <v>22.45</v>
        <stp/>
        <stp>3149</stp>
        <stp>Price</stp>
        <tr r="W46" s="28"/>
        <tr r="W833" s="57"/>
      </tp>
      <tp>
        <v>158.5</v>
        <stp/>
        <stp>3169</stp>
        <stp>Price</stp>
        <tr r="W564" s="57"/>
      </tp>
      <tp>
        <v>169.5</v>
        <stp/>
        <stp>3189</stp>
        <stp>Price</stp>
        <tr r="W565" s="57"/>
      </tp>
      <tp>
        <v>50</v>
        <stp/>
        <stp>3669</stp>
        <stp>Price</stp>
        <tr r="W861" s="57"/>
      </tp>
      <tp>
        <v>83.5</v>
        <stp/>
        <stp>3679</stp>
        <stp>Price</stp>
        <tr r="W65" s="114"/>
        <tr r="W1121" s="57"/>
      </tp>
      <tp>
        <v>51.4</v>
        <stp/>
        <stp>3609</stp>
        <stp>Price</stp>
        <tr r="W1115" s="57"/>
      </tp>
      <tp>
        <v>31.5</v>
        <stp/>
        <stp>3629</stp>
        <stp>Price</stp>
        <tr r="W1786" s="57"/>
      </tp>
      <tp>
        <v>42.95</v>
        <stp/>
        <stp>3689</stp>
        <stp>Price</stp>
        <tr r="W1122" s="57"/>
      </tp>
      <tp>
        <v>27.85</v>
        <stp/>
        <stp>3709</stp>
        <stp>Price</stp>
        <tr r="W758" s="57"/>
      </tp>
      <tp>
        <v>57.8</v>
        <stp/>
        <stp>3479</stp>
        <stp>Price</stp>
        <tr r="W744" s="57"/>
      </tp>
      <tp>
        <v>17</v>
        <stp/>
        <stp>3419</stp>
        <stp>Price</stp>
        <tr r="W958" s="57"/>
      </tp>
      <tp>
        <v>10.35</v>
        <stp/>
        <stp>3489</stp>
        <stp>Price</stp>
        <tr r="W1480" s="57"/>
      </tp>
      <tp>
        <v>17.05</v>
        <stp/>
        <stp>3499</stp>
        <stp>Price</stp>
        <tr r="W961" s="57"/>
      </tp>
      <tp>
        <v>1315</v>
        <stp/>
        <stp>3529</stp>
        <stp>Price</stp>
        <tr r="W582" s="57"/>
        <tr r="W34" s="118"/>
      </tp>
      <tp>
        <v>68.599999999999994</v>
        <stp/>
        <stp>1259</stp>
        <stp>Price</stp>
        <tr r="W1548" s="57"/>
      </tp>
      <tp>
        <v>22.2</v>
        <stp/>
        <stp>1219</stp>
        <stp>Price</stp>
        <tr r="W21" s="57"/>
      </tp>
      <tp>
        <v>53.6</v>
        <stp/>
        <stp>1229</stp>
        <stp>Price</stp>
        <tr r="W25" s="57"/>
      </tp>
      <tp>
        <v>27.85</v>
        <stp/>
        <stp>1309</stp>
        <stp>Price</stp>
        <tr r="W31" s="28"/>
        <tr r="W73" s="22"/>
        <tr r="W48" s="57"/>
      </tp>
      <tp>
        <v>33.299999999999997</v>
        <stp/>
        <stp>1319</stp>
        <stp>Price</stp>
        <tr r="W494" s="57"/>
      </tp>
      <tp>
        <v>36.65</v>
        <stp/>
        <stp>1339</stp>
        <stp>Price</stp>
        <tr r="W496" s="57"/>
      </tp>
      <tp>
        <v>19.399999999999999</v>
        <stp/>
        <stp>1109</stp>
        <stp>Price</stp>
        <tr r="W9" s="57"/>
      </tp>
      <tp>
        <v>24.75</v>
        <stp/>
        <stp>1609</stp>
        <stp>Price</stp>
        <tr r="W229" s="57"/>
      </tp>
      <tp>
        <v>25</v>
        <stp/>
        <stp>1709</stp>
        <stp>Price</stp>
        <tr r="W245" s="57"/>
      </tp>
      <tp>
        <v>22.7</v>
        <stp/>
        <stp>1789</stp>
        <stp>Price</stp>
        <tr r="W308" s="57"/>
      </tp>
      <tp>
        <v>13.8</v>
        <stp/>
        <stp>1799</stp>
        <stp>Price</stp>
        <tr r="W310" s="57"/>
      </tp>
      <tp>
        <v>12.35</v>
        <stp/>
        <stp>1449</stp>
        <stp>Price</stp>
        <tr r="W88" s="57"/>
      </tp>
      <tp>
        <v>9.9700000000000006</v>
        <stp/>
        <stp>1459</stp>
        <stp>Price</stp>
        <tr r="W96" s="57"/>
      </tp>
      <tp>
        <v>18.75</v>
        <stp/>
        <stp>1409</stp>
        <stp>Price</stp>
        <tr r="W71" s="57"/>
      </tp>
      <tp>
        <v>41.8</v>
        <stp/>
        <stp>1419</stp>
        <stp>Price</stp>
        <tr r="W77" s="57"/>
      </tp>
      <tp>
        <v>21.95</v>
        <stp/>
        <stp>1439</stp>
        <stp>Price</stp>
        <tr r="W80" s="57"/>
      </tp>
      <tp>
        <v>25.55</v>
        <stp/>
        <stp>1569</stp>
        <stp>Price</stp>
        <tr r="W699" s="57"/>
      </tp>
      <tp>
        <v>34.35</v>
        <stp/>
        <stp>1519</stp>
        <stp>Price</stp>
        <tr r="W136" s="57"/>
      </tp>
      <tp>
        <v>19.850000000000001</v>
        <stp/>
        <stp>1529</stp>
        <stp>Price</stp>
        <tr r="W140" s="57"/>
      </tp>
      <tp>
        <v>20.55</v>
        <stp/>
        <stp>1539</stp>
        <stp>Price</stp>
        <tr r="W147" s="57"/>
      </tp>
      <tp>
        <v>51.6</v>
        <stp/>
        <stp>1589</stp>
        <stp>Price</stp>
        <tr r="W156" s="57"/>
      </tp>
      <tp>
        <v>47.5</v>
        <stp/>
        <stp>1599</stp>
        <stp>Price</stp>
        <tr r="W160" s="57"/>
      </tp>
      <tp>
        <v>12.25</v>
        <stp/>
        <stp>1809</stp>
        <stp>Price</stp>
        <tr r="W419" s="57"/>
      </tp>
      <tp>
        <v>17.55</v>
        <stp/>
        <stp>1909</stp>
        <stp>Price</stp>
        <tr r="W429" s="57"/>
      </tp>
      <tp>
        <v>30.1</v>
        <stp/>
        <stp>6259</stp>
        <stp>Price</stp>
        <tr r="W1185" s="57"/>
      </tp>
      <tp>
        <v>91.3</v>
        <stp/>
        <stp>6269</stp>
        <stp>Price</stp>
        <tr r="W1187" s="57"/>
      </tp>
      <tp>
        <v>107.5</v>
        <stp/>
        <stp>6279</stp>
        <stp>Price</stp>
        <tr r="W1189" s="57"/>
      </tp>
      <tp>
        <v>27.3</v>
        <stp/>
        <stp>6209</stp>
        <stp>Price</stp>
        <tr r="W899" s="57"/>
      </tp>
      <tp>
        <v>16.149999999999999</v>
        <stp/>
        <stp>6219</stp>
        <stp>Price</stp>
        <tr r="W1510" s="57"/>
      </tp>
      <tp>
        <v>32.5</v>
        <stp/>
        <stp>6229</stp>
        <stp>Price</stp>
        <tr r="W637" s="57"/>
      </tp>
      <tp>
        <v>93.6</v>
        <stp/>
        <stp>6239</stp>
        <stp>Price</stp>
        <tr r="W109" s="114"/>
        <tr r="W640" s="57"/>
      </tp>
      <tp>
        <v>2.5499999999999998</v>
        <stp/>
        <stp>6289</stp>
        <stp>Price</stp>
        <tr r="W907" s="57"/>
      </tp>
      <tp>
        <v>18.7</v>
        <stp/>
        <stp>6169</stp>
        <stp>Price</stp>
        <tr r="W1794" s="57"/>
      </tp>
      <tp>
        <v>30.05</v>
        <stp/>
        <stp>6179</stp>
        <stp>Price</stp>
        <tr r="W19" s="28"/>
        <tr r="W49" s="22"/>
        <tr r="W1341" s="57"/>
      </tp>
      <tp>
        <v>9.92</v>
        <stp/>
        <stp>6109</stp>
        <stp>Price</stp>
        <tr r="W982" s="57"/>
      </tp>
      <tp>
        <v>28.55</v>
        <stp/>
        <stp>6129</stp>
        <stp>Price</stp>
        <tr r="W630" s="57"/>
      </tp>
      <tp>
        <v>30.2</v>
        <stp/>
        <stp>6139</stp>
        <stp>Price</stp>
        <tr r="W1746" s="57"/>
      </tp>
      <tp>
        <v>42.55</v>
        <stp/>
        <stp>6189</stp>
        <stp>Price</stp>
        <tr r="W1251" s="57"/>
      </tp>
      <tp>
        <v>25.1</v>
        <stp/>
        <stp>6199</stp>
        <stp>Price</stp>
        <tr r="W1343" s="57"/>
      </tp>
      <tp>
        <v>23</v>
        <stp/>
        <stp>6649</stp>
        <stp>Price</stp>
        <tr r="W399" s="57"/>
      </tp>
      <tp>
        <v>969</v>
        <stp/>
        <stp>6669</stp>
        <stp>Price</stp>
        <tr r="W797" s="57"/>
      </tp>
      <tp>
        <v>315</v>
        <stp/>
        <stp>6679</stp>
        <stp>Price</stp>
        <tr r="W670" s="57"/>
      </tp>
      <tp>
        <v>34.35</v>
        <stp/>
        <stp>6609</stp>
        <stp>Price</stp>
        <tr r="W213" s="57"/>
      </tp>
      <tp t="s">
        <v>無資料</v>
        <stp/>
        <stp>6629</stp>
        <stp>Price</stp>
        <tr r="W1353" s="57"/>
      </tp>
      <tp>
        <v>481.5</v>
        <stp/>
        <stp>6719</stp>
        <stp>Price</stp>
        <tr r="W675" s="57"/>
      </tp>
      <tp>
        <v>179</v>
        <stp/>
        <stp>6799</stp>
        <stp>Price</stp>
        <tr r="W54" s="28"/>
        <tr r="W680" s="57"/>
      </tp>
      <tp>
        <v>51</v>
        <stp/>
        <stp>6449</stp>
        <stp>Price</stp>
        <tr r="W1197" s="57"/>
      </tp>
      <tp>
        <v>263</v>
        <stp/>
        <stp>6469</stp>
        <stp>Price</stp>
        <tr r="W381" s="57"/>
      </tp>
      <tp>
        <v>1400</v>
        <stp/>
        <stp>6409</stp>
        <stp>Price</stp>
        <tr r="W1757" s="57"/>
      </tp>
      <tp>
        <v>27.5</v>
        <stp/>
        <stp>6419</stp>
        <stp>Price</stp>
        <tr r="W909" s="57"/>
      </tp>
      <tp>
        <v>67.3</v>
        <stp/>
        <stp>6499</stp>
        <stp>Price</stp>
        <tr r="W386" s="57"/>
      </tp>
      <tp>
        <v>101</v>
        <stp/>
        <stp>6569</stp>
        <stp>Price</stp>
        <tr r="W392" s="57"/>
      </tp>
      <tp>
        <v>78.5</v>
        <stp/>
        <stp>6579</stp>
        <stp>Price</stp>
        <tr r="W795" s="57"/>
      </tp>
      <tp>
        <v>45.85</v>
        <stp/>
        <stp>6509</stp>
        <stp>Price</stp>
        <tr r="W286" s="57"/>
      </tp>
      <tp>
        <v>83.7</v>
        <stp/>
        <stp>6589</stp>
        <stp>Price</stp>
        <tr r="W395" s="57"/>
      </tp>
      <tp>
        <v>75.2</v>
        <stp/>
        <stp>6829</stp>
        <stp>Price</stp>
        <tr r="W214" s="57"/>
      </tp>
      <tp>
        <v>14.3</v>
        <stp/>
        <stp>4109</stp>
        <stp>Price</stp>
        <tr r="W324" s="57"/>
      </tp>
      <tp>
        <v>81.3</v>
        <stp/>
        <stp>4119</stp>
        <stp>Price</stp>
        <tr r="W328" s="57"/>
      </tp>
      <tp>
        <v>28</v>
        <stp/>
        <stp>4129</stp>
        <stp>Price</stp>
        <tr r="W335" s="57"/>
      </tp>
      <tp>
        <v>44.65</v>
        <stp/>
        <stp>4139</stp>
        <stp>Price</stp>
        <tr r="W341" s="57"/>
      </tp>
      <tp>
        <v>8.33</v>
        <stp/>
        <stp>4609</stp>
        <stp>Price</stp>
        <tr r="W239" s="57"/>
      </tp>
      <tp>
        <v>10.55</v>
        <stp/>
        <stp>4729</stp>
        <stp>Price</stp>
        <tr r="W867" s="57"/>
      </tp>
      <tp>
        <v>128.5</v>
        <stp/>
        <stp>4739</stp>
        <stp>Price</stp>
        <tr r="W18" s="74"/>
        <tr r="W71" s="114"/>
        <tr r="W275" s="57"/>
      </tp>
      <tp>
        <v>10</v>
        <stp/>
        <stp>4419</stp>
        <stp>Price</stp>
        <tr r="W117" s="57"/>
      </tp>
      <tp>
        <v>39</v>
        <stp/>
        <stp>4429</stp>
        <stp>Price</stp>
        <tr r="W120" s="57"/>
      </tp>
      <tp>
        <v>142.5</v>
        <stp/>
        <stp>4439</stp>
        <stp>Price</stp>
        <tr r="W124" s="57"/>
      </tp>
      <tp>
        <v>87.4</v>
        <stp/>
        <stp>4549</stp>
        <stp>Price</stp>
        <tr r="W192" s="57"/>
      </tp>
      <tp>
        <v>11.75</v>
        <stp/>
        <stp>4529</stp>
        <stp>Price</stp>
        <tr r="W1328" s="57"/>
      </tp>
      <tp>
        <v>19.05</v>
        <stp/>
        <stp>4979</stp>
        <stp>Price</stp>
        <tr r="W978" s="57"/>
      </tp>
      <tp>
        <v>16.95</v>
        <stp/>
        <stp>4909</stp>
        <stp>Price</stp>
        <tr r="W976" s="57"/>
      </tp>
      <tp>
        <v>167.5</v>
        <stp/>
        <stp>4919</stp>
        <stp>Price</stp>
        <tr r="W600" s="57"/>
      </tp>
      <tp>
        <v>20.55</v>
        <stp/>
        <stp>4939</stp>
        <stp>Price</stp>
        <tr r="W1129" s="57"/>
      </tp>
      <tp>
        <v>32.85</v>
        <stp/>
        <stp>4989</stp>
        <stp>Price</stp>
        <tr r="W1133" s="57"/>
      </tp>
      <tp>
        <v>35</v>
        <stp/>
        <stp>4999</stp>
        <stp>Price</stp>
        <tr r="W1134" s="57"/>
      </tp>
      <tp>
        <v>1300</v>
        <stp/>
        <stp>5269</stp>
        <stp>Price</stp>
        <tr r="W613" s="57"/>
      </tp>
      <tp>
        <v>74</v>
        <stp/>
        <stp>5209</stp>
        <stp>Price</stp>
        <tr r="W1280" s="57"/>
      </tp>
      <tp>
        <v>199.5</v>
        <stp/>
        <stp>5289</stp>
        <stp>Price</stp>
        <tr r="W768" s="57"/>
      </tp>
      <tp>
        <v>178.5</v>
        <stp/>
        <stp>5299</stp>
        <stp>Price</stp>
        <tr r="W617" s="57"/>
      </tp>
      <tp>
        <v>38.1</v>
        <stp/>
        <stp>5309</stp>
        <stp>Price</stp>
        <tr r="W1138" s="57"/>
      </tp>
      <tp>
        <v>30.05</v>
        <stp/>
        <stp>5009</stp>
        <stp>Price</stp>
        <tr r="W465" s="57"/>
      </tp>
      <tp>
        <v>107.5</v>
        <stp/>
        <stp>5609</stp>
        <stp>Price</stp>
        <tr r="W1544" s="57"/>
      </tp>
      <tp>
        <v>35.75</v>
        <stp/>
        <stp>5469</stp>
        <stp>Price</stp>
        <tr r="W1149" s="57"/>
      </tp>
      <tp>
        <v>46.4</v>
        <stp/>
        <stp>5439</stp>
        <stp>Price</stp>
        <tr r="W1145" s="57"/>
      </tp>
      <tp>
        <v>34.950000000000003</v>
        <stp/>
        <stp>5489</stp>
        <stp>Price</stp>
        <tr r="W1743" s="57"/>
      </tp>
      <tp>
        <v>21.25</v>
        <stp/>
        <stp>5519</stp>
        <stp>Price</stp>
        <tr r="W1495" s="57"/>
      </tp>
      <tp>
        <v>14.3</v>
        <stp/>
        <stp>5529</stp>
        <stp>Price</stp>
        <tr r="W1500" s="57"/>
      </tp>
      <tp>
        <v>21.45</v>
        <stp/>
        <stp>8249</stp>
        <stp>Price</stp>
        <tr r="W1223" s="57"/>
      </tp>
      <tp>
        <v>127</v>
        <stp/>
        <stp>8279</stp>
        <stp>Price</stp>
        <tr r="W409" s="57"/>
      </tp>
      <tp>
        <v>35.9</v>
        <stp/>
        <stp>8289</stp>
        <stp>Price</stp>
        <tr r="W1224" s="57"/>
      </tp>
      <tp>
        <v>375.5</v>
        <stp/>
        <stp>8299</stp>
        <stp>Price</stp>
        <tr r="W696" s="57"/>
        <tr r="W39" s="118"/>
      </tp>
      <tp>
        <v>57</v>
        <stp/>
        <stp>8349</stp>
        <stp>Price</stp>
        <tr r="W473" s="57"/>
      </tp>
      <tp>
        <v>24.65</v>
        <stp/>
        <stp>8049</stp>
        <stp>Price</stp>
        <tr r="W919" s="57"/>
      </tp>
      <tp>
        <v>9.0399999999999991</v>
        <stp/>
        <stp>8059</stp>
        <stp>Price</stp>
        <tr r="W1012" s="57"/>
      </tp>
      <tp>
        <v>178.5</v>
        <stp/>
        <stp>8069</stp>
        <stp>Price</stp>
        <tr r="W921" s="57"/>
        <tr r="W32" s="118"/>
      </tp>
      <tp>
        <v>45.5</v>
        <stp/>
        <stp>8039</stp>
        <stp>Price</stp>
        <tr r="W1207" s="57"/>
      </tp>
      <tp>
        <v>23.55</v>
        <stp/>
        <stp>8089</stp>
        <stp>Price</stp>
        <tr r="W1013" s="57"/>
      </tp>
      <tp>
        <v>39.700000000000003</v>
        <stp/>
        <stp>8099</stp>
        <stp>Price</stp>
        <tr r="W1303" s="57"/>
      </tp>
      <tp>
        <v>71.3</v>
        <stp/>
        <stp>8109</stp>
        <stp>Price</stp>
        <tr r="W1217" s="57"/>
      </tp>
      <tp>
        <v>21.85</v>
        <stp/>
        <stp>8409</stp>
        <stp>Price</stp>
        <tr r="W412" s="57"/>
      </tp>
      <tp>
        <v>10</v>
        <stp/>
        <stp>8429</stp>
        <stp>Price</stp>
        <tr r="W1670" s="57"/>
      </tp>
      <tp>
        <v>31.3</v>
        <stp/>
        <stp>8489</stp>
        <stp>Price</stp>
        <tr r="W1802" s="57"/>
      </tp>
      <tp>
        <v>110.5</v>
        <stp/>
        <stp>8499</stp>
        <stp>Price</stp>
        <tr r="W72" s="114"/>
        <tr r="W1396" s="57"/>
      </tp>
      <tp>
        <v>20.350000000000001</v>
        <stp/>
        <stp>8929</stp>
        <stp>Price</stp>
        <tr r="W1403" s="57"/>
      </tp>
      <tp>
        <v>14.55</v>
        <stp/>
        <stp>9949</stp>
        <stp>Price</stp>
        <tr r="W1804" s="57"/>
      </tp>
      <tp>
        <v>21</v>
        <stp/>
        <stp>9919</stp>
        <stp>Price</stp>
        <tr r="W1420" s="57"/>
      </tp>
      <tp>
        <v>8.6199999999999992</v>
        <stp/>
        <stp>9929</stp>
        <stp>Price</stp>
        <tr r="W1426" s="57"/>
      </tp>
      <tp>
        <v>74.099999999999994</v>
        <stp/>
        <stp>9939</stp>
        <stp>Price</stp>
        <tr r="W1432" s="57"/>
      </tp>
      <tp>
        <v>37550</v>
        <stp/>
        <stp>6443</stp>
        <stp>PredictVolume</stp>
        <tr r="AI911" s="57"/>
      </tp>
      <tp>
        <v>12</v>
        <stp/>
        <stp>6593</stp>
        <stp>PredictVolume</stp>
        <tr r="AI1298" s="57"/>
      </tp>
      <tp>
        <v>1497</v>
        <stp/>
        <stp>6533</stp>
        <stp>PredictVolume</stp>
        <tr r="AI661" s="57"/>
      </tp>
      <tp>
        <v>46</v>
        <stp/>
        <stp>6523</stp>
        <stp>PredictVolume</stp>
        <tr r="AL14" s="28"/>
        <tr r="AI387" s="57"/>
      </tp>
      <tp>
        <v>27</v>
        <stp/>
        <stp>6573</stp>
        <stp>PredictVolume</stp>
        <tr r="AI665" s="57"/>
      </tp>
      <tp>
        <v>86</v>
        <stp/>
        <stp>6693</stp>
        <stp>PredictVolume</stp>
        <tr r="AI673" s="57"/>
      </tp>
      <tp>
        <v>38</v>
        <stp/>
        <stp>6683</stp>
        <stp>PredictVolume</stp>
        <tr r="AI671" s="57"/>
      </tp>
      <tp>
        <v>14</v>
        <stp/>
        <stp>6613</stp>
        <stp>PredictVolume</stp>
        <tr r="AI1761" s="57"/>
      </tp>
      <tp>
        <v>300</v>
        <stp/>
        <stp>6603</stp>
        <stp>PredictVolume</stp>
        <tr r="AI212" s="57"/>
      </tp>
      <tp>
        <v>70</v>
        <stp/>
        <stp>6643</stp>
        <stp>PredictVolume</stp>
        <tr r="AI91" s="114"/>
        <tr r="AI668" s="57"/>
      </tp>
      <tp>
        <v>44</v>
        <stp/>
        <stp>6733</stp>
        <stp>PredictVolume</stp>
        <tr r="AI405" s="57"/>
      </tp>
      <tp>
        <v>19</v>
        <stp/>
        <stp>6703</stp>
        <stp>PredictVolume</stp>
        <tr r="AI403" s="57"/>
      </tp>
      <tp>
        <v>49</v>
        <stp/>
        <stp>6763</stp>
        <stp>PredictVolume</stp>
        <tr r="AI1812" s="57"/>
      </tp>
      <tp>
        <v>751</v>
        <stp/>
        <stp>6743</stp>
        <stp>PredictVolume</stp>
        <tr r="AI1767" s="57"/>
      </tp>
      <tp>
        <v>76</v>
        <stp/>
        <stp>6023</stp>
        <stp>PredictVolume</stp>
        <tr r="AI1634" s="57"/>
      </tp>
      <tp>
        <v>143</v>
        <stp/>
        <stp>6183</stp>
        <stp>PredictVolume</stp>
        <tr r="AI1290" s="57"/>
      </tp>
      <tp>
        <v>354</v>
        <stp/>
        <stp>6133</stp>
        <stp>PredictVolume</stp>
        <tr r="AI1159" s="57"/>
      </tp>
      <tp>
        <v>65</v>
        <stp/>
        <stp>6123</stp>
        <stp>PredictVolume</stp>
        <tr r="AI778" s="57"/>
      </tp>
      <tp>
        <v>3099</v>
        <stp/>
        <stp>6113</stp>
        <stp>PredictVolume</stp>
        <tr r="AI1248" s="57"/>
      </tp>
      <tp>
        <v>6</v>
        <stp/>
        <stp>6103</stp>
        <stp>PredictVolume</stp>
        <tr r="AI628" s="57"/>
      </tp>
      <tp>
        <v>174</v>
        <stp/>
        <stp>6173</stp>
        <stp>PredictVolume</stp>
        <tr r="AI1167" s="57"/>
      </tp>
      <tp>
        <v>301</v>
        <stp/>
        <stp>6163</stp>
        <stp>PredictVolume</stp>
        <tr r="AI987" s="57"/>
      </tp>
      <tp>
        <v>1017</v>
        <stp/>
        <stp>6153</stp>
        <stp>PredictVolume</stp>
        <tr r="AI1162" s="57"/>
      </tp>
      <tp>
        <v>639</v>
        <stp/>
        <stp>6143</stp>
        <stp>PredictVolume</stp>
        <tr r="AI985" s="57"/>
      </tp>
      <tp>
        <v>132</v>
        <stp/>
        <stp>6283</stp>
        <stp>PredictVolume</stp>
        <tr r="AI1756" s="57"/>
      </tp>
      <tp>
        <v>378</v>
        <stp/>
        <stp>6233</stp>
        <stp>PredictVolume</stp>
        <tr r="AI638" s="57"/>
      </tp>
      <tp>
        <v>3804</v>
        <stp/>
        <stp>6223</stp>
        <stp>PredictVolume</stp>
        <tr r="AI636" s="57"/>
      </tp>
      <tp>
        <v>696</v>
        <stp/>
        <stp>6213</stp>
        <stp>PredictVolume</stp>
        <tr r="AI123" s="114"/>
        <tr r="AI1180" s="57"/>
      </tp>
      <tp>
        <v>86</v>
        <stp/>
        <stp>6203</stp>
        <stp>PredictVolume</stp>
        <tr r="AI1174" s="57"/>
      </tp>
      <tp>
        <v>227</v>
        <stp/>
        <stp>6263</stp>
        <stp>PredictVolume</stp>
        <tr r="AI994" s="57"/>
      </tp>
      <tp>
        <v>260</v>
        <stp/>
        <stp>6243</stp>
        <stp>PredictVolume</stp>
        <tr r="AI641" s="57"/>
      </tp>
      <tp>
        <v>59</v>
        <stp/>
        <stp>6803</stp>
        <stp>PredictVolume</stp>
        <tr r="AI1362" s="57"/>
      </tp>
      <tp>
        <v>156</v>
        <stp/>
        <stp>4433</stp>
        <stp>PredictVolume</stp>
        <tr r="AI122" s="57"/>
      </tp>
      <tp>
        <v>394</v>
        <stp/>
        <stp>4413</stp>
        <stp>PredictVolume</stp>
        <tr r="AI114" s="57"/>
      </tp>
      <tp>
        <v>98</v>
        <stp/>
        <stp>4583</stp>
        <stp>PredictVolume</stp>
        <tr r="AI56" s="28"/>
        <tr r="AI208" s="57"/>
      </tp>
      <tp>
        <v>22</v>
        <stp/>
        <stp>4533</stp>
        <stp>PredictVolume</stp>
        <tr r="AI186" s="57"/>
      </tp>
      <tp>
        <v>17</v>
        <stp/>
        <stp>4523</stp>
        <stp>PredictVolume</stp>
        <tr r="AI180" s="57"/>
      </tp>
      <tp>
        <v>440</v>
        <stp/>
        <stp>4513</stp>
        <stp>PredictVolume</stp>
        <tr r="AI179" s="57"/>
      </tp>
      <tp>
        <v>1120</v>
        <stp/>
        <stp>4503</stp>
        <stp>PredictVolume</stp>
        <tr r="AI176" s="57"/>
      </tp>
      <tp>
        <v>115</v>
        <stp/>
        <stp>4563</stp>
        <stp>PredictVolume</stp>
        <tr r="AI200" s="57"/>
      </tp>
      <tp>
        <v>20</v>
        <stp/>
        <stp>4543</stp>
        <stp>PredictVolume</stp>
        <tr r="AI191" s="57"/>
      </tp>
      <tp>
        <v>270</v>
        <stp/>
        <stp>4763</stp>
        <stp>PredictVolume</stp>
        <tr r="AI279" s="57"/>
      </tp>
      <tp>
        <v>1752</v>
        <stp/>
        <stp>4743</stp>
        <stp>PredictVolume</stp>
        <tr r="AI370" s="57"/>
        <tr r="AJ40" s="118"/>
      </tp>
      <tp>
        <v>70</v>
        <stp/>
        <stp>4183</stp>
        <stp>PredictVolume</stp>
        <tr r="AI360" s="57"/>
      </tp>
      <tp>
        <v>8300</v>
        <stp/>
        <stp>4133</stp>
        <stp>PredictVolume</stp>
        <tr r="AI338" s="57"/>
      </tp>
      <tp>
        <v>528</v>
        <stp/>
        <stp>4123</stp>
        <stp>PredictVolume</stp>
        <tr r="AI331" s="57"/>
      </tp>
      <tp>
        <v>85</v>
        <stp/>
        <stp>4113</stp>
        <stp>PredictVolume</stp>
        <tr r="AI1482" s="57"/>
      </tp>
      <tp>
        <v>198</v>
        <stp/>
        <stp>4173</stp>
        <stp>PredictVolume</stp>
        <tr r="AI357" s="57"/>
      </tp>
      <tp>
        <v>11</v>
        <stp/>
        <stp>4163</stp>
        <stp>PredictVolume</stp>
        <tr r="AL21" s="28"/>
        <tr r="AI353" s="57"/>
      </tp>
      <tp>
        <v>432</v>
        <stp/>
        <stp>4153</stp>
        <stp>PredictVolume</stp>
        <tr r="AI346" s="57"/>
      </tp>
      <tp>
        <v>7163</v>
        <stp/>
        <stp>4303</stp>
        <stp>PredictVolume</stp>
        <tr r="AI62" s="57"/>
      </tp>
      <tp>
        <v>6</v>
        <stp/>
        <stp>4933</stp>
        <stp>PredictVolume</stp>
        <tr r="AI868" s="57"/>
      </tp>
      <tp>
        <v>202</v>
        <stp/>
        <stp>4923</stp>
        <stp>PredictVolume</stp>
        <tr r="AI601" s="57"/>
      </tp>
      <tp>
        <v>173</v>
        <stp/>
        <stp>4903</stp>
        <stp>PredictVolume</stp>
        <tr r="AI972" s="57"/>
      </tp>
      <tp>
        <v>33</v>
        <stp/>
        <stp>4973</stp>
        <stp>PredictVolume</stp>
        <tr r="AI609" s="57"/>
      </tp>
      <tp>
        <v>96</v>
        <stp/>
        <stp>4953</stp>
        <stp>PredictVolume</stp>
        <tr r="AI1275" s="57"/>
      </tp>
      <tp>
        <v>299</v>
        <stp/>
        <stp>4943</stp>
        <stp>PredictVolume</stp>
        <tr r="AI1130" s="57"/>
      </tp>
      <tp>
        <v>75</v>
        <stp/>
        <stp>5493</stp>
        <stp>PredictVolume</stp>
        <tr r="AI1744" s="57"/>
      </tp>
      <tp>
        <v>10301</v>
        <stp/>
        <stp>5483</stp>
        <stp>PredictVolume</stp>
        <tr r="AJ37" s="118"/>
        <tr r="AI626" s="57"/>
      </tp>
      <tp>
        <v>39</v>
        <stp/>
        <stp>5403</stp>
        <stp>PredictVolume</stp>
        <tr r="AI1285" s="57"/>
      </tp>
      <tp>
        <v>126</v>
        <stp/>
        <stp>5443</stp>
        <stp>PredictVolume</stp>
        <tr r="AI890" s="57"/>
      </tp>
      <tp>
        <v>1879</v>
        <stp/>
        <stp>5533</stp>
        <stp>PredictVolume</stp>
        <tr r="AI1502" s="57"/>
      </tp>
      <tp>
        <v>70</v>
        <stp/>
        <stp>5523</stp>
        <stp>PredictVolume</stp>
        <tr r="AI1498" s="57"/>
      </tp>
      <tp>
        <v>11</v>
        <stp/>
        <stp>5543</stp>
        <stp>PredictVolume</stp>
        <tr r="AI1504" s="57"/>
      </tp>
      <tp>
        <v>1091</v>
        <stp/>
        <stp>5603</stp>
        <stp>PredictVolume</stp>
        <tr r="AI1540" s="57"/>
      </tp>
      <tp>
        <v>1</v>
        <stp/>
        <stp>5703</stp>
        <stp>PredictVolume</stp>
        <tr r="AI1585" s="57"/>
      </tp>
      <tp>
        <v>10</v>
        <stp/>
        <stp>5013</stp>
        <stp>PredictVolume</stp>
        <tr r="AI467" s="57"/>
      </tp>
      <tp>
        <v>60</v>
        <stp/>
        <stp>5283</stp>
        <stp>PredictVolume</stp>
        <tr r="AI241" s="57"/>
      </tp>
      <tp>
        <v>28</v>
        <stp/>
        <stp>5223</stp>
        <stp>PredictVolume</stp>
        <tr r="AL23" s="28"/>
        <tr r="AI766" s="57"/>
      </tp>
      <tp>
        <v>228</v>
        <stp/>
        <stp>5213</stp>
        <stp>PredictVolume</stp>
        <tr r="AI1486" s="57"/>
      </tp>
      <tp>
        <v>155</v>
        <stp/>
        <stp>5203</stp>
        <stp>PredictVolume</stp>
        <tr r="AI1279" s="57"/>
      </tp>
      <tp>
        <v>31</v>
        <stp/>
        <stp>5263</stp>
        <stp>PredictVolume</stp>
        <tr r="AI1789" s="57"/>
      </tp>
      <tp>
        <v>876</v>
        <stp/>
        <stp>5243</stp>
        <stp>PredictVolume</stp>
        <tr r="AI881" s="57"/>
      </tp>
      <tp>
        <v>52</v>
        <stp/>
        <stp>5383</stp>
        <stp>PredictVolume</stp>
        <tr r="AI1741" s="57"/>
      </tp>
      <tp>
        <v>56</v>
        <stp/>
        <stp>5353</stp>
        <stp>PredictVolume</stp>
        <tr r="AI980" s="57"/>
      </tp>
      <tp>
        <v>65</v>
        <stp/>
        <stp>5903</stp>
        <stp>PredictVolume</stp>
        <tr r="AI1662" s="57"/>
      </tp>
      <tp>
        <v>197</v>
        <stp/>
        <stp>2493</stp>
        <stp>PredictVolume</stp>
        <tr r="AI1057" s="57"/>
      </tp>
      <tp>
        <v>55</v>
        <stp/>
        <stp>2483</stp>
        <stp>PredictVolume</stp>
        <tr r="AI1054" s="57"/>
      </tp>
      <tp>
        <v>43</v>
        <stp/>
        <stp>2433</stp>
        <stp>PredictVolume</stp>
        <tr r="AI1702" s="57"/>
      </tp>
      <tp>
        <v>231</v>
        <stp/>
        <stp>2423</stp>
        <stp>PredictVolume</stp>
        <tr r="AI1701" s="57"/>
      </tp>
      <tp>
        <v>131</v>
        <stp/>
        <stp>2413</stp>
        <stp>PredictVolume</stp>
        <tr r="AI1039" s="57"/>
      </tp>
      <tp>
        <v>818</v>
        <stp/>
        <stp>2453</stp>
        <stp>PredictVolume</stp>
        <tr r="AI1268" s="57"/>
      </tp>
      <tp>
        <v>19</v>
        <stp/>
        <stp>2443</stp>
        <stp>PredictVolume</stp>
        <tr r="AI1319" s="57"/>
      </tp>
      <tp>
        <v>287</v>
        <stp/>
        <stp>2543</stp>
        <stp>PredictVolume</stp>
        <tr r="AI1467" s="57"/>
      </tp>
      <tp>
        <v>3246</v>
        <stp/>
        <stp>2633</stp>
        <stp>PredictVolume</stp>
        <tr r="AI1532" s="57"/>
      </tp>
      <tp>
        <v>1826</v>
        <stp/>
        <stp>2613</stp>
        <stp>PredictVolume</stp>
        <tr r="AI1527" s="57"/>
      </tp>
      <tp>
        <v>126969</v>
        <stp/>
        <stp>2603</stp>
        <stp>PredictVolume</stp>
        <tr r="AI87" s="114"/>
        <tr r="AJ22" s="118"/>
        <tr r="AI1518" s="57"/>
      </tp>
      <tp>
        <v>139</v>
        <stp/>
        <stp>2643</stp>
        <stp>PredictVolume</stp>
        <tr r="AI1538" s="57"/>
      </tp>
      <tp>
        <v>275</v>
        <stp/>
        <stp>2723</stp>
        <stp>PredictVolume</stp>
        <tr r="AI1560" s="57"/>
      </tp>
      <tp>
        <v>563</v>
        <stp/>
        <stp>2753</stp>
        <stp>PredictVolume</stp>
        <tr r="AI1575" s="57"/>
      </tp>
      <tp>
        <v>8690</v>
        <stp/>
        <stp>2743</stp>
        <stp>PredictVolume</stp>
        <tr r="AI1571" s="57"/>
      </tp>
      <tp>
        <v>417</v>
        <stp/>
        <stp>2033</stp>
        <stp>PredictVolume</stp>
        <tr r="AI454" s="57"/>
      </tp>
      <tp>
        <v>3164</v>
        <stp/>
        <stp>2023</stp>
        <stp>PredictVolume</stp>
        <tr r="AI445" s="57"/>
      </tp>
      <tp>
        <v>440</v>
        <stp/>
        <stp>2013</stp>
        <stp>PredictVolume</stp>
        <tr r="AI439" s="57"/>
      </tp>
      <tp>
        <v>9</v>
        <stp/>
        <stp>2063</stp>
        <stp>PredictVolume</stp>
        <tr r="AI458" s="57"/>
      </tp>
      <tp>
        <v>1651</v>
        <stp/>
        <stp>2103</stp>
        <stp>PredictVolume</stp>
        <tr r="AI482" s="57"/>
      </tp>
      <tp>
        <v>963</v>
        <stp/>
        <stp>2233</stp>
        <stp>PredictVolume</stp>
        <tr r="AI514" s="57"/>
      </tp>
      <tp>
        <v>155</v>
        <stp/>
        <stp>2243</stp>
        <stp>PredictVolume</stp>
        <tr r="AI517" s="57"/>
      </tp>
      <tp>
        <v>1416</v>
        <stp/>
        <stp>2393</stp>
        <stp>PredictVolume</stp>
        <tr r="AI77" s="114"/>
        <tr r="AI813" s="57"/>
      </tp>
      <tp>
        <v>3266</v>
        <stp/>
        <stp>2383</stp>
        <stp>PredictVolume</stp>
        <tr r="AI114" s="114"/>
        <tr r="AI1035" s="57"/>
      </tp>
      <tp>
        <v>3430</v>
        <stp/>
        <stp>2323</stp>
        <stp>PredictVolume</stp>
        <tr r="AI809" s="57"/>
      </tp>
      <tp>
        <v>39718</v>
        <stp/>
        <stp>2313</stp>
        <stp>PredictVolume</stp>
        <tr r="AI1027" s="57"/>
      </tp>
      <tp>
        <v>112716</v>
        <stp/>
        <stp>2303</stp>
        <stp>PredictVolume</stp>
        <tr r="AI530" s="57"/>
        <tr r="AJ4" s="118"/>
      </tp>
      <tp>
        <v>34</v>
        <stp/>
        <stp>2373</stp>
        <stp>PredictVolume</stp>
        <tr r="AI1698" s="57"/>
      </tp>
      <tp>
        <v>2077</v>
        <stp/>
        <stp>2363</stp>
        <stp>PredictVolume</stp>
        <tr r="AI538" s="57"/>
      </tp>
      <tp>
        <v>18964</v>
        <stp/>
        <stp>2353</stp>
        <stp>PredictVolume</stp>
        <tr r="AI705" s="57"/>
      </tp>
      <tp>
        <v>57485</v>
        <stp/>
        <stp>2883</stp>
        <stp>PredictVolume</stp>
        <tr r="AI1613" s="57"/>
      </tp>
      <tp>
        <v>26</v>
        <stp/>
        <stp>2923</stp>
        <stp>PredictVolume</stp>
        <tr r="AI1475" s="57"/>
      </tp>
      <tp>
        <v>682</v>
        <stp/>
        <stp>2913</stp>
        <stp>PredictVolume</stp>
        <tr r="AI1650" s="57"/>
      </tp>
      <tp>
        <v>2203</v>
        <stp/>
        <stp>2903</stp>
        <stp>PredictVolume</stp>
        <tr r="AI1643" s="57"/>
      </tp>
      <tp>
        <v>405</v>
        <stp/>
        <stp>3483</stp>
        <stp>PredictVolume</stp>
        <tr r="AI745" s="57"/>
      </tp>
      <tp>
        <v>582</v>
        <stp/>
        <stp>3413</stp>
        <stp>PredictVolume</stp>
        <tr r="AI578" s="57"/>
      </tp>
      <tp>
        <v>4505</v>
        <stp/>
        <stp>3443</stp>
        <stp>PredictVolume</stp>
        <tr r="AI580" s="57"/>
      </tp>
      <tp>
        <v>30</v>
        <stp/>
        <stp>3593</stp>
        <stp>PredictVolume</stp>
        <tr r="AI1111" s="57"/>
      </tp>
      <tp>
        <v>931</v>
        <stp/>
        <stp>3583</stp>
        <stp>PredictVolume</stp>
        <tr r="AI591" s="57"/>
      </tp>
      <tp>
        <v>1540</v>
        <stp/>
        <stp>3533</stp>
        <stp>PredictVolume</stp>
        <tr r="AI1107" s="57"/>
      </tp>
      <tp>
        <v>36</v>
        <stp/>
        <stp>3563</stp>
        <stp>PredictVolume</stp>
        <tr r="AI117" s="114"/>
        <tr r="AI853" s="57"/>
      </tp>
      <tp>
        <v>87</v>
        <stp/>
        <stp>3543</stp>
        <stp>PredictVolume</stp>
        <tr r="AI852" s="57"/>
      </tp>
      <tp>
        <v>117</v>
        <stp/>
        <stp>3693</stp>
        <stp>PredictVolume</stp>
        <tr r="AI755" s="57"/>
      </tp>
      <tp>
        <v>94</v>
        <stp/>
        <stp>3623</stp>
        <stp>PredictVolume</stp>
        <tr r="AI858" s="57"/>
      </tp>
      <tp>
        <v>954</v>
        <stp/>
        <stp>3673</stp>
        <stp>PredictVolume</stp>
        <tr r="AI862" s="57"/>
      </tp>
      <tp>
        <v>122</v>
        <stp/>
        <stp>3663</stp>
        <stp>PredictVolume</stp>
        <tr r="AI1735" s="57"/>
      </tp>
      <tp>
        <v>593</v>
        <stp/>
        <stp>3653</stp>
        <stp>PredictVolume</stp>
        <tr r="AI1120" s="57"/>
      </tp>
      <tp>
        <v>30</v>
        <stp/>
        <stp>3713</stp>
        <stp>PredictVolume</stp>
        <tr r="AL30" s="28"/>
        <tr r="AI865" s="57"/>
      </tp>
      <tp>
        <v>3356</v>
        <stp/>
        <stp>3703</stp>
        <stp>PredictVolume</stp>
        <tr r="AI1481" s="57"/>
      </tp>
      <tp>
        <v>2815</v>
        <stp/>
        <stp>3093</stp>
        <stp>PredictVolume</stp>
        <tr r="AI1714" s="57"/>
      </tp>
      <tp>
        <v>120</v>
        <stp/>
        <stp>3083</stp>
        <stp>PredictVolume</stp>
        <tr r="AI1782" s="57"/>
      </tp>
      <tp>
        <v>1400</v>
        <stp/>
        <stp>3033</stp>
        <stp>PredictVolume</stp>
        <tr r="AI1235" s="57"/>
      </tp>
      <tp>
        <v>723</v>
        <stp/>
        <stp>3023</stp>
        <stp>PredictVolume</stp>
        <tr r="AI1062" s="57"/>
      </tp>
      <tp>
        <v>132</v>
        <stp/>
        <stp>3013</stp>
        <stp>PredictVolume</stp>
        <tr r="AI727" s="57"/>
      </tp>
      <tp>
        <v>837</v>
        <stp/>
        <stp>3003</stp>
        <stp>PredictVolume</stp>
        <tr r="AI1058" s="57"/>
      </tp>
      <tp>
        <v>2</v>
        <stp/>
        <stp>3073</stp>
        <stp>PredictVolume</stp>
        <tr r="AI559" s="57"/>
      </tp>
      <tp>
        <v>615</v>
        <stp/>
        <stp>3043</stp>
        <stp>PredictVolume</stp>
        <tr r="AI1712" s="57"/>
      </tp>
      <tp>
        <v>7788</v>
        <stp/>
        <stp>3163</stp>
        <stp>PredictVolume</stp>
        <tr r="AI951" s="57"/>
      </tp>
      <tp>
        <v>101</v>
        <stp/>
        <stp>3293</stp>
        <stp>PredictVolume</stp>
        <tr r="AI1784" s="57"/>
      </tp>
      <tp>
        <v>180</v>
        <stp/>
        <stp>3213</stp>
        <stp>PredictVolume</stp>
        <tr r="AI76" s="114"/>
        <tr r="AI736" s="57"/>
      </tp>
      <tp>
        <v>186</v>
        <stp/>
        <stp>3383</stp>
        <stp>PredictVolume</stp>
        <tr r="AI839" s="57"/>
      </tp>
      <tp>
        <v>84</v>
        <stp/>
        <stp>3323</stp>
        <stp>PredictVolume</stp>
        <tr r="AI740" s="57"/>
      </tp>
      <tp>
        <v>331</v>
        <stp/>
        <stp>3313</stp>
        <stp>PredictVolume</stp>
        <tr r="AI1088" s="57"/>
      </tp>
      <tp>
        <v>67</v>
        <stp/>
        <stp>3303</stp>
        <stp>PredictVolume</stp>
        <tr r="AI1718" s="57"/>
      </tp>
      <tp>
        <v>49</v>
        <stp/>
        <stp>3373</stp>
        <stp>PredictVolume</stp>
        <tr r="AI1721" s="57"/>
      </tp>
      <tp>
        <v>129</v>
        <stp/>
        <stp>3363</stp>
        <stp>PredictVolume</stp>
        <tr r="AI956" s="57"/>
      </tp>
      <tp>
        <v>6</v>
        <stp/>
        <stp>1423</stp>
        <stp>PredictVolume</stp>
        <tr r="AI78" s="57"/>
      </tp>
      <tp>
        <v>115</v>
        <stp/>
        <stp>1413</stp>
        <stp>PredictVolume</stp>
        <tr r="AI73" s="57"/>
      </tp>
      <tp>
        <v>82</v>
        <stp/>
        <stp>1473</stp>
        <stp>PredictVolume</stp>
        <tr r="AI106" s="57"/>
      </tp>
      <tp>
        <v>19</v>
        <stp/>
        <stp>1463</stp>
        <stp>PredictVolume</stp>
        <tr r="AI98" s="57"/>
      </tp>
      <tp>
        <v>1223</v>
        <stp/>
        <stp>1453</stp>
        <stp>PredictVolume</stp>
        <tr r="AI91" s="57"/>
      </tp>
      <tp>
        <v>36</v>
        <stp/>
        <stp>1443</stp>
        <stp>PredictVolume</stp>
        <tr r="AI83" s="57"/>
      </tp>
      <tp>
        <v>47</v>
        <stp/>
        <stp>1593</stp>
        <stp>PredictVolume</stp>
        <tr r="AI290" s="57"/>
      </tp>
      <tp>
        <v>0</v>
        <stp/>
        <stp>1583</stp>
        <stp>PredictVolume</stp>
        <tr r="AI154" s="57"/>
      </tp>
      <tp>
        <v>870</v>
        <stp/>
        <stp>1533</stp>
        <stp>PredictVolume</stp>
        <tr r="AI502" s="57"/>
      </tp>
      <tp>
        <v>8973</v>
        <stp/>
        <stp>1513</stp>
        <stp>PredictVolume</stp>
        <tr r="AI132" s="57"/>
      </tp>
      <tp>
        <v>472</v>
        <stp/>
        <stp>1503</stp>
        <stp>PredictVolume</stp>
        <tr r="AI128" s="57"/>
      </tp>
      <tp>
        <v>1092</v>
        <stp/>
        <stp>1603</stp>
        <stp>PredictVolume</stp>
        <tr r="AI225" s="57"/>
      </tp>
      <tp>
        <v>73</v>
        <stp/>
        <stp>1783</stp>
        <stp>PredictVolume</stp>
        <tr r="AI304" s="57"/>
      </tp>
      <tp>
        <v>1234</v>
        <stp/>
        <stp>1733</stp>
        <stp>PredictVolume</stp>
        <tr r="AI296" s="57"/>
      </tp>
      <tp>
        <v>1064</v>
        <stp/>
        <stp>1723</stp>
        <stp>PredictVolume</stp>
        <tr r="AI255" s="57"/>
      </tp>
      <tp>
        <v>37</v>
        <stp/>
        <stp>1713</stp>
        <stp>PredictVolume</stp>
        <tr r="AI249" s="57"/>
      </tp>
      <tp>
        <v>318</v>
        <stp/>
        <stp>1773</stp>
        <stp>PredictVolume</stp>
        <tr r="AI263" s="57"/>
      </tp>
      <tp>
        <v>394</v>
        <stp/>
        <stp>1103</stp>
        <stp>PredictVolume</stp>
        <tr r="AI6" s="57"/>
      </tp>
      <tp>
        <v>11</v>
        <stp/>
        <stp>1233</stp>
        <stp>PredictVolume</stp>
        <tr r="AI28" s="57"/>
      </tp>
      <tp>
        <v>21</v>
        <stp/>
        <stp>1213</stp>
        <stp>PredictVolume</stp>
        <tr r="AI16" s="57"/>
      </tp>
      <tp>
        <v>34</v>
        <stp/>
        <stp>1203</stp>
        <stp>PredictVolume</stp>
        <tr r="AI14" s="57"/>
      </tp>
      <tp>
        <v>64</v>
        <stp/>
        <stp>1323</stp>
        <stp>PredictVolume</stp>
        <tr r="AI55" s="57"/>
      </tp>
      <tp>
        <v>2068</v>
        <stp/>
        <stp>1313</stp>
        <stp>PredictVolume</stp>
        <tr r="AI51" s="57"/>
      </tp>
      <tp>
        <v>10234</v>
        <stp/>
        <stp>1303</stp>
        <stp>PredictVolume</stp>
        <tr r="AI43" s="57"/>
        <tr r="AJ10" s="118"/>
      </tp>
      <tp>
        <v>48</v>
        <stp/>
        <stp>1813</stp>
        <stp>PredictVolume</stp>
        <tr r="AI311" s="57"/>
      </tp>
      <tp>
        <v>214</v>
        <stp/>
        <stp>1903</stp>
        <stp>PredictVolume</stp>
        <tr r="AI424" s="57"/>
      </tp>
      <tp>
        <v>108</v>
        <stp/>
        <stp>8433</stp>
        <stp>PredictVolume</stp>
        <tr r="AI1671" s="57"/>
      </tp>
      <tp>
        <v>5</v>
        <stp/>
        <stp>8423</stp>
        <stp>PredictVolume</stp>
        <tr r="AI1377" s="57"/>
      </tp>
      <tp>
        <v>4255</v>
        <stp/>
        <stp>8403</stp>
        <stp>PredictVolume</stp>
        <tr r="AI410" s="57"/>
      </tp>
      <tp>
        <v>18</v>
        <stp/>
        <stp>8473</stp>
        <stp>PredictVolume</stp>
        <tr r="AI1389" s="57"/>
      </tp>
      <tp>
        <v>2672</v>
        <stp/>
        <stp>8463</stp>
        <stp>PredictVolume</stp>
        <tr r="AI1385" s="57"/>
      </tp>
      <tp>
        <v>57</v>
        <stp/>
        <stp>8443</stp>
        <stp>PredictVolume</stp>
        <tr r="AI1672" s="57"/>
      </tp>
      <tp>
        <v>59</v>
        <stp/>
        <stp>8093</stp>
        <stp>PredictVolume</stp>
        <tr r="AI1215" s="57"/>
      </tp>
      <tp>
        <v>139</v>
        <stp/>
        <stp>8083</stp>
        <stp>PredictVolume</stp>
        <tr r="AI216" s="57"/>
      </tp>
      <tp>
        <v>716</v>
        <stp/>
        <stp>8033</stp>
        <stp>PredictVolume</stp>
        <tr r="AI1366" s="57"/>
      </tp>
      <tp>
        <v>57</v>
        <stp/>
        <stp>8043</stp>
        <stp>PredictVolume</stp>
        <tr r="AI1209" s="57"/>
      </tp>
      <tp>
        <v>8568</v>
        <stp/>
        <stp>8183</stp>
        <stp>PredictVolume</stp>
        <tr r="AI1773" s="57"/>
      </tp>
      <tp>
        <v>307</v>
        <stp/>
        <stp>8103</stp>
        <stp>PredictVolume</stp>
        <tr r="AI1216" s="57"/>
      </tp>
      <tp>
        <v>829</v>
        <stp/>
        <stp>8163</stp>
        <stp>PredictVolume</stp>
        <tr r="AI802" s="57"/>
      </tp>
      <tp>
        <v>1967</v>
        <stp/>
        <stp>8213</stp>
        <stp>PredictVolume</stp>
        <tr r="AI1222" s="57"/>
      </tp>
      <tp>
        <v>767</v>
        <stp/>
        <stp>8383</stp>
        <stp>PredictVolume</stp>
        <tr r="AI1775" s="57"/>
      </tp>
      <tp>
        <v>240</v>
        <stp/>
        <stp>8933</stp>
        <stp>PredictVolume</stp>
        <tr r="AI1405" s="57"/>
      </tp>
      <tp>
        <v>3</v>
        <stp/>
        <stp>8923</stp>
        <stp>PredictVolume</stp>
        <tr r="AI1803" s="57"/>
      </tp>
      <tp>
        <v>1710</v>
        <stp/>
        <stp>9933</stp>
        <stp>PredictVolume</stp>
        <tr r="AI1428" s="57"/>
      </tp>
      <tp>
        <v>116</v>
        <stp/>
        <stp>9943</stp>
        <stp>PredictVolume</stp>
        <tr r="AI1591" s="57"/>
      </tp>
      <tp>
        <v>-0.15509543129885875</v>
        <stp/>
        <stp>$TWTNB</stp>
        <stp>ChangePercent</stp>
        <tr r="AP4" s="28"/>
      </tp>
      <tp>
        <v>708</v>
        <stp/>
        <stp>6492</stp>
        <stp>PredictVolume</stp>
        <tr r="AI384" s="57"/>
      </tp>
      <tp>
        <v>9</v>
        <stp/>
        <stp>6482</stp>
        <stp>PredictVolume</stp>
        <tr r="AI1797" s="57"/>
      </tp>
      <tp>
        <v>69</v>
        <stp/>
        <stp>6432</stp>
        <stp>PredictVolume</stp>
        <tr r="AI1196" s="57"/>
      </tp>
      <tp>
        <v>152</v>
        <stp/>
        <stp>6412</stp>
        <stp>PredictVolume</stp>
        <tr r="AI1194" s="57"/>
      </tp>
      <tp>
        <v>267</v>
        <stp/>
        <stp>6472</stp>
        <stp>PredictVolume</stp>
        <tr r="AI382" s="57"/>
      </tp>
      <tp>
        <v>597</v>
        <stp/>
        <stp>6462</stp>
        <stp>PredictVolume</stp>
        <tr r="AI101" s="114"/>
        <tr r="AI652" s="57"/>
      </tp>
      <tp>
        <v>26</v>
        <stp/>
        <stp>6442</stp>
        <stp>PredictVolume</stp>
        <tr r="AI999" s="57"/>
      </tp>
      <tp>
        <v>543</v>
        <stp/>
        <stp>6592</stp>
        <stp>PredictVolume</stp>
        <tr r="AI1349" s="57"/>
      </tp>
      <tp>
        <v>246</v>
        <stp/>
        <stp>6582</stp>
        <stp>PredictVolume</stp>
        <tr r="AI120" s="114"/>
        <tr r="AI491" s="57"/>
      </tp>
      <tp>
        <v>135</v>
        <stp/>
        <stp>6532</stp>
        <stp>PredictVolume</stp>
        <tr r="AI660" s="57"/>
      </tp>
      <tp>
        <v>31</v>
        <stp/>
        <stp>6512</stp>
        <stp>PredictVolume</stp>
        <tr r="AI1759" s="57"/>
      </tp>
      <tp>
        <v>15</v>
        <stp/>
        <stp>6552</stp>
        <stp>PredictVolume</stp>
        <tr r="AI663" s="57"/>
      </tp>
      <tp>
        <v>96</v>
        <stp/>
        <stp>6542</stp>
        <stp>PredictVolume</stp>
        <tr r="AI1798" s="57"/>
      </tp>
      <tp>
        <v>50</v>
        <stp/>
        <stp>6612</stp>
        <stp>PredictVolume</stp>
        <tr r="AI397" s="57"/>
      </tp>
      <tp>
        <v>187</v>
        <stp/>
        <stp>6672</stp>
        <stp>PredictVolume</stp>
        <tr r="AI90" s="114"/>
        <tr r="AI1201" s="57"/>
      </tp>
      <tp>
        <v>11</v>
        <stp/>
        <stp>6662</stp>
        <stp>PredictVolume</stp>
        <tr r="AI401" s="57"/>
      </tp>
      <tp>
        <v>9</v>
        <stp/>
        <stp>6642</stp>
        <stp>PredictVolume</stp>
        <tr r="AI1199" s="57"/>
      </tp>
      <tp>
        <v>109</v>
        <stp/>
        <stp>6792</stp>
        <stp>PredictVolume</stp>
        <tr r="AI1008" s="57"/>
      </tp>
      <tp>
        <v>187</v>
        <stp/>
        <stp>6732</stp>
        <stp>PredictVolume</stp>
        <tr r="AI80" s="114"/>
        <tr r="AI676" s="57"/>
      </tp>
      <tp>
        <v>761</v>
        <stp/>
        <stp>6712</stp>
        <stp>PredictVolume</stp>
        <tr r="AI404" s="57"/>
      </tp>
      <tp>
        <v>3</v>
        <stp/>
        <stp>6762</stp>
        <stp>PredictVolume</stp>
        <tr r="AI407" s="57"/>
      </tp>
      <tp>
        <v>3</v>
        <stp/>
        <stp>6752</stp>
        <stp>PredictVolume</stp>
        <tr r="AI1302" s="57"/>
      </tp>
      <tp>
        <v>142</v>
        <stp/>
        <stp>6192</stp>
        <stp>PredictVolume</stp>
        <tr r="AI1750" s="57"/>
      </tp>
      <tp>
        <v>39530</v>
        <stp/>
        <stp>6182</stp>
        <stp>PredictVolume</stp>
        <tr r="AI633" s="57"/>
      </tp>
      <tp>
        <v>605</v>
        <stp/>
        <stp>6122</stp>
        <stp>PredictVolume</stp>
        <tr r="AI210" s="57"/>
      </tp>
      <tp>
        <v>80</v>
        <stp/>
        <stp>6112</stp>
        <stp>PredictVolume</stp>
        <tr r="AI1287" s="57"/>
      </tp>
      <tp>
        <v>214</v>
        <stp/>
        <stp>6152</stp>
        <stp>PredictVolume</stp>
        <tr r="AI986" s="57"/>
      </tp>
      <tp>
        <v>220</v>
        <stp/>
        <stp>6142</stp>
        <stp>PredictVolume</stp>
        <tr r="AI984" s="57"/>
      </tp>
      <tp>
        <v>30</v>
        <stp/>
        <stp>6292</stp>
        <stp>PredictVolume</stp>
        <tr r="AI1193" s="57"/>
      </tp>
      <tp>
        <v>2034</v>
        <stp/>
        <stp>6282</stp>
        <stp>PredictVolume</stp>
        <tr r="AI1190" s="57"/>
      </tp>
      <tp>
        <v>39</v>
        <stp/>
        <stp>6222</stp>
        <stp>PredictVolume</stp>
        <tr r="AI900" s="57"/>
      </tp>
      <tp>
        <v>0</v>
        <stp/>
        <stp>6212</stp>
        <stp>PredictVolume</stp>
        <tr r="AI1509" s="57"/>
      </tp>
      <tp>
        <v>1296</v>
        <stp/>
        <stp>6202</stp>
        <stp>PredictVolume</stp>
        <tr r="AI635" s="57"/>
      </tp>
      <tp>
        <v>213</v>
        <stp/>
        <stp>6242</stp>
        <stp>PredictVolume</stp>
        <tr r="AI378" s="57"/>
      </tp>
      <tp>
        <v>0</v>
        <stp/>
        <stp>7402</stp>
        <stp>PredictVolume</stp>
        <tr r="AI918" s="57"/>
      </tp>
      <tp>
        <v>2592</v>
        <stp/>
        <stp>4432</stp>
        <stp>PredictVolume</stp>
        <tr r="AL26" s="28"/>
        <tr r="AI121" s="57"/>
      </tp>
      <tp>
        <v>215</v>
        <stp/>
        <stp>4402</stp>
        <stp>PredictVolume</stp>
        <tr r="AI112" s="57"/>
      </tp>
      <tp>
        <v>146</v>
        <stp/>
        <stp>4532</stp>
        <stp>PredictVolume</stp>
        <tr r="AI185" s="57"/>
      </tp>
      <tp>
        <v>16</v>
        <stp/>
        <stp>4502</stp>
        <stp>PredictVolume</stp>
        <tr r="AI175" s="57"/>
      </tp>
      <tp>
        <v>26</v>
        <stp/>
        <stp>4572</stp>
        <stp>PredictVolume</stp>
        <tr r="AI205" s="57"/>
      </tp>
      <tp>
        <v>94</v>
        <stp/>
        <stp>4562</stp>
        <stp>PredictVolume</stp>
        <tr r="AI199" s="57"/>
      </tp>
      <tp>
        <v>21</v>
        <stp/>
        <stp>4552</stp>
        <stp>PredictVolume</stp>
        <tr r="AI194" s="57"/>
      </tp>
      <tp>
        <v>7</v>
        <stp/>
        <stp>4542</stp>
        <stp>PredictVolume</stp>
        <tr r="AI1124" s="57"/>
      </tp>
      <tp>
        <v>143</v>
        <stp/>
        <stp>4722</stp>
        <stp>PredictVolume</stp>
        <tr r="AI274" s="57"/>
      </tp>
      <tp>
        <v>1861</v>
        <stp/>
        <stp>4702</stp>
        <stp>PredictVolume</stp>
        <tr r="AI266" s="57"/>
      </tp>
      <tp>
        <v>94</v>
        <stp/>
        <stp>4192</stp>
        <stp>PredictVolume</stp>
        <tr r="AI363" s="57"/>
      </tp>
      <tp>
        <v>732</v>
        <stp/>
        <stp>4102</stp>
        <stp>PredictVolume</stp>
        <tr r="AI318" s="57"/>
      </tp>
      <tp>
        <v>1303</v>
        <stp/>
        <stp>4162</stp>
        <stp>PredictVolume</stp>
        <tr r="AI352" s="57"/>
      </tp>
      <tp>
        <v>1198</v>
        <stp/>
        <stp>4142</stp>
        <stp>PredictVolume</stp>
        <tr r="AI343" s="57"/>
      </tp>
      <tp>
        <v>357</v>
        <stp/>
        <stp>4912</stp>
        <stp>PredictVolume</stp>
        <tr r="AI1126" s="57"/>
      </tp>
      <tp>
        <v>17</v>
        <stp/>
        <stp>4972</stp>
        <stp>PredictVolume</stp>
        <tr r="AI875" s="57"/>
      </tp>
      <tp>
        <v>4330</v>
        <stp/>
        <stp>4952</stp>
        <stp>PredictVolume</stp>
        <tr r="AI603" s="57"/>
      </tp>
      <tp>
        <v>278</v>
        <stp/>
        <stp>4942</stp>
        <stp>PredictVolume</stp>
        <tr r="AI126" s="114"/>
        <tr r="AI871" s="57"/>
      </tp>
      <tp>
        <v>17</v>
        <stp/>
        <stp>5432</stp>
        <stp>PredictVolume</stp>
        <tr r="AI889" s="57"/>
      </tp>
      <tp>
        <v>306</v>
        <stp/>
        <stp>5452</stp>
        <stp>PredictVolume</stp>
        <tr r="AI1742" s="57"/>
      </tp>
      <tp>
        <v>728</v>
        <stp/>
        <stp>5522</stp>
        <stp>PredictVolume</stp>
        <tr r="AI1825" s="57"/>
      </tp>
      <tp>
        <v>251</v>
        <stp/>
        <stp>5512</stp>
        <stp>PredictVolume</stp>
        <tr r="AI1491" s="57"/>
      </tp>
      <tp>
        <v>23</v>
        <stp/>
        <stp>5102</stp>
        <stp>PredictVolume</stp>
        <tr r="AI490" s="57"/>
      </tp>
      <tp>
        <v>211</v>
        <stp/>
        <stp>5222</stp>
        <stp>PredictVolume</stp>
        <tr r="AI611" s="57"/>
      </tp>
      <tp>
        <v>0</v>
        <stp/>
        <stp>5212</stp>
        <stp>PredictVolume</stp>
        <tr r="AI1283" s="57"/>
      </tp>
      <tp>
        <v>11</v>
        <stp/>
        <stp>5202</stp>
        <stp>PredictVolume</stp>
        <tr r="AI1278" s="57"/>
      </tp>
      <tp>
        <v>577</v>
        <stp/>
        <stp>5272</stp>
        <stp>PredictVolume</stp>
        <tr r="AI614" s="57"/>
      </tp>
      <tp>
        <v>131</v>
        <stp/>
        <stp>5392</stp>
        <stp>PredictVolume</stp>
        <tr r="AI888" s="57"/>
      </tp>
      <tp>
        <v>43</v>
        <stp/>
        <stp>5312</stp>
        <stp>PredictVolume</stp>
        <tr r="AI376" s="57"/>
      </tp>
      <tp>
        <v>159</v>
        <stp/>
        <stp>5302</stp>
        <stp>PredictVolume</stp>
        <tr r="AI618" s="57"/>
      </tp>
      <tp>
        <v>54</v>
        <stp/>
        <stp>5902</stp>
        <stp>PredictVolume</stp>
        <tr r="AI1661" s="57"/>
      </tp>
      <tp>
        <v>1369</v>
        <stp/>
        <stp>2492</stp>
        <stp>PredictVolume</stp>
        <tr r="AI1056" s="57"/>
      </tp>
      <tp>
        <v>13141</v>
        <stp/>
        <stp>2482</stp>
        <stp>PredictVolume</stp>
        <tr r="AI1707" s="57"/>
      </tp>
      <tp>
        <v>7307</v>
        <stp/>
        <stp>2412</stp>
        <stp>PredictVolume</stp>
        <tr r="AI934" s="57"/>
        <tr r="AJ25" s="118"/>
      </tp>
      <tp>
        <v>254</v>
        <stp/>
        <stp>2402</stp>
        <stp>PredictVolume</stp>
        <tr r="AI1038" s="57"/>
      </tp>
      <tp>
        <v>395</v>
        <stp/>
        <stp>2472</stp>
        <stp>PredictVolume</stp>
        <tr r="AI1051" s="57"/>
      </tp>
      <tp>
        <v>360</v>
        <stp/>
        <stp>2462</stp>
        <stp>PredictVolume</stp>
        <tr r="AI1049" s="57"/>
      </tp>
      <tp>
        <v>1100</v>
        <stp/>
        <stp>2442</stp>
        <stp>PredictVolume</stp>
        <tr r="AI723" s="57"/>
      </tp>
      <tp>
        <v>5879</v>
        <stp/>
        <stp>2542</stp>
        <stp>PredictVolume</stp>
        <tr r="AI1466" s="57"/>
      </tp>
      <tp>
        <v>2105</v>
        <stp/>
        <stp>2612</stp>
        <stp>PredictVolume</stp>
        <tr r="AI1526" s="57"/>
      </tp>
      <tp>
        <v>949</v>
        <stp/>
        <stp>2642</stp>
        <stp>PredictVolume</stp>
        <tr r="AI1537" s="57"/>
      </tp>
      <tp>
        <v>100</v>
        <stp/>
        <stp>2732</stp>
        <stp>PredictVolume</stp>
        <tr r="AI1566" s="57"/>
      </tp>
      <tp>
        <v>45</v>
        <stp/>
        <stp>2722</stp>
        <stp>PredictVolume</stp>
        <tr r="AI1559" s="57"/>
      </tp>
      <tp>
        <v>6</v>
        <stp/>
        <stp>2712</stp>
        <stp>PredictVolume</stp>
        <tr r="AI1556" s="57"/>
      </tp>
      <tp>
        <v>231</v>
        <stp/>
        <stp>2702</stp>
        <stp>PredictVolume</stp>
        <tr r="AI1551" s="57"/>
      </tp>
      <tp>
        <v>6</v>
        <stp/>
        <stp>2752</stp>
        <stp>PredictVolume</stp>
        <tr r="AI1574" s="57"/>
      </tp>
      <tp>
        <v>1065</v>
        <stp/>
        <stp>2032</stp>
        <stp>PredictVolume</stp>
        <tr r="AI453" s="57"/>
      </tp>
      <tp>
        <v>831</v>
        <stp/>
        <stp>2022</stp>
        <stp>PredictVolume</stp>
        <tr r="AI444" s="57"/>
      </tp>
      <tp>
        <v>95</v>
        <stp/>
        <stp>2012</stp>
        <stp>PredictVolume</stp>
        <tr r="AI438" s="57"/>
      </tp>
      <tp>
        <v>28515</v>
        <stp/>
        <stp>2002</stp>
        <stp>PredictVolume</stp>
        <tr r="AI432" s="57"/>
        <tr r="AJ27" s="118"/>
      </tp>
      <tp>
        <v>298</v>
        <stp/>
        <stp>2062</stp>
        <stp>PredictVolume</stp>
        <tr r="AI1315" s="57"/>
      </tp>
      <tp>
        <v>687</v>
        <stp/>
        <stp>2102</stp>
        <stp>PredictVolume</stp>
        <tr r="AI481" s="57"/>
      </tp>
      <tp>
        <v>236</v>
        <stp/>
        <stp>2392</stp>
        <stp>PredictVolume</stp>
        <tr r="AI1037" s="57"/>
      </tp>
      <tp>
        <v>21387</v>
        <stp/>
        <stp>2382</stp>
        <stp>PredictVolume</stp>
        <tr r="AI714" s="57"/>
        <tr r="AJ7" s="118"/>
      </tp>
      <tp>
        <v>934</v>
        <stp/>
        <stp>2332</stp>
        <stp>PredictVolume</stp>
        <tr r="AI932" s="57"/>
      </tp>
      <tp>
        <v>13668</v>
        <stp/>
        <stp>2312</stp>
        <stp>PredictVolume</stp>
        <tr r="AI1693" s="57"/>
      </tp>
      <tp>
        <v>1064</v>
        <stp/>
        <stp>2302</stp>
        <stp>PredictVolume</stp>
        <tr r="AI529" s="57"/>
      </tp>
      <tp>
        <v>1019</v>
        <stp/>
        <stp>2362</stp>
        <stp>PredictVolume</stp>
        <tr r="AI708" s="57"/>
      </tp>
      <tp>
        <v>5942</v>
        <stp/>
        <stp>2352</stp>
        <stp>PredictVolume</stp>
        <tr r="AI704" s="57"/>
      </tp>
      <tp>
        <v>7717</v>
        <stp/>
        <stp>2342</stp>
        <stp>PredictVolume</stp>
        <tr r="AI535" s="57"/>
      </tp>
      <tp>
        <v>18623</v>
        <stp/>
        <stp>2892</stp>
        <stp>PredictVolume</stp>
        <tr r="AI1622" s="57"/>
        <tr r="AJ18" s="118"/>
      </tp>
      <tp>
        <v>28792</v>
        <stp/>
        <stp>2882</stp>
        <stp>PredictVolume</stp>
        <tr r="AI1612" s="57"/>
        <tr r="AJ13" s="118"/>
      </tp>
      <tp>
        <v>229</v>
        <stp/>
        <stp>2832</stp>
        <stp>PredictVolume</stp>
        <tr r="AI1599" s="57"/>
      </tp>
      <tp>
        <v>6984</v>
        <stp/>
        <stp>2812</stp>
        <stp>PredictVolume</stp>
        <tr r="AI1596" s="57"/>
      </tp>
      <tp>
        <v>324</v>
        <stp/>
        <stp>2852</stp>
        <stp>PredictVolume</stp>
        <tr r="AI1607" s="57"/>
      </tp>
      <tp>
        <v>559</v>
        <stp/>
        <stp>2912</stp>
        <stp>PredictVolume</stp>
        <tr r="AI1649" s="57"/>
      </tp>
      <tp>
        <v>70</v>
        <stp/>
        <stp>3492</stp>
        <stp>PredictVolume</stp>
        <tr r="AI1101" s="57"/>
      </tp>
      <tp>
        <v>161</v>
        <stp/>
        <stp>3432</stp>
        <stp>PredictVolume</stp>
        <tr r="AI1098" s="57"/>
      </tp>
      <tp>
        <v>164</v>
        <stp/>
        <stp>3402</stp>
        <stp>PredictVolume</stp>
        <tr r="AI1722" s="57"/>
      </tp>
      <tp>
        <v>648</v>
        <stp/>
        <stp>3592</stp>
        <stp>PredictVolume</stp>
        <tr r="AI593" s="57"/>
      </tp>
      <tp>
        <v>30893</v>
        <stp/>
        <stp>3532</stp>
        <stp>PredictVolume</stp>
        <tr r="AI584" s="57"/>
      </tp>
      <tp>
        <v>168</v>
        <stp/>
        <stp>3522</stp>
        <stp>PredictVolume</stp>
        <tr r="AI1580" s="57"/>
      </tp>
      <tp>
        <v>48</v>
        <stp/>
        <stp>3512</stp>
        <stp>PredictVolume</stp>
        <tr r="AI1104" s="57"/>
      </tp>
      <tp>
        <v>1881</v>
        <stp/>
        <stp>3552</stp>
        <stp>PredictVolume</stp>
        <tr r="AI1729" s="57"/>
      </tp>
      <tp>
        <v>1953</v>
        <stp/>
        <stp>3682</stp>
        <stp>PredictVolume</stp>
        <tr r="AI968" s="57"/>
      </tp>
      <tp>
        <v>7</v>
        <stp/>
        <stp>3632</stp>
        <stp>PredictVolume</stp>
        <tr r="AI965" s="57"/>
      </tp>
      <tp>
        <v>147</v>
        <stp/>
        <stp>3622</stp>
        <stp>PredictVolume</stp>
        <tr r="AI857" s="57"/>
      </tp>
      <tp>
        <v>147</v>
        <stp/>
        <stp>3672</stp>
        <stp>PredictVolume</stp>
        <tr r="AI967" s="57"/>
      </tp>
      <tp>
        <v>59</v>
        <stp/>
        <stp>3652</stp>
        <stp>PredictVolume</stp>
        <tr r="AI754" s="57"/>
      </tp>
      <tp>
        <v>13</v>
        <stp/>
        <stp>3642</stp>
        <stp>PredictVolume</stp>
        <tr r="AI1734" s="57"/>
      </tp>
      <tp>
        <v>843</v>
        <stp/>
        <stp>3712</stp>
        <stp>PredictVolume</stp>
        <tr r="AI759" s="57"/>
      </tp>
      <tp>
        <v>3841</v>
        <stp/>
        <stp>3702</stp>
        <stp>PredictVolume</stp>
        <tr r="AI1246" s="57"/>
      </tp>
      <tp>
        <v>1155</v>
        <stp/>
        <stp>3092</stp>
        <stp>PredictVolume</stp>
        <tr r="AI1071" s="57"/>
      </tp>
      <tp>
        <v>57</v>
        <stp/>
        <stp>3032</stp>
        <stp>PredictVolume</stp>
        <tr r="AI1064" s="57"/>
      </tp>
      <tp>
        <v>149</v>
        <stp/>
        <stp>3022</stp>
        <stp>PredictVolume</stp>
        <tr r="AI729" s="57"/>
      </tp>
      <tp>
        <v>61</v>
        <stp/>
        <stp>3002</stp>
        <stp>PredictVolume</stp>
        <tr r="AI725" s="57"/>
      </tp>
      <tp>
        <v>1701</v>
        <stp/>
        <stp>3062</stp>
        <stp>PredictVolume</stp>
        <tr r="AI946" s="57"/>
      </tp>
      <tp>
        <v>210</v>
        <stp/>
        <stp>3052</stp>
        <stp>PredictVolume</stp>
        <tr r="AI1476" s="57"/>
      </tp>
      <tp>
        <v>1769</v>
        <stp/>
        <stp>3042</stp>
        <stp>PredictVolume</stp>
        <tr r="AI1066" s="57"/>
      </tp>
      <tp>
        <v>1007</v>
        <stp/>
        <stp>3122</stp>
        <stp>PredictVolume</stp>
        <tr r="AI562" s="57"/>
      </tp>
      <tp>
        <v>163</v>
        <stp/>
        <stp>3162</stp>
        <stp>PredictVolume</stp>
        <tr r="AL28" s="28"/>
        <tr r="AI169" s="57"/>
      </tp>
      <tp>
        <v>52</v>
        <stp/>
        <stp>3152</stp>
        <stp>PredictVolume</stp>
        <tr r="AI950" s="57"/>
      </tp>
      <tp>
        <v>986</v>
        <stp/>
        <stp>3232</stp>
        <stp>PredictVolume</stp>
        <tr r="AI1241" s="57"/>
      </tp>
      <tp>
        <v>131</v>
        <stp/>
        <stp>3202</stp>
        <stp>PredictVolume</stp>
        <tr r="AI1075" s="57"/>
      </tp>
      <tp>
        <v>39</v>
        <stp/>
        <stp>3272</stp>
        <stp>PredictVolume</stp>
        <tr r="AI738" s="57"/>
      </tp>
      <tp>
        <v>133</v>
        <stp/>
        <stp>3252</stp>
        <stp>PredictVolume</stp>
        <tr r="AI1579" s="57"/>
      </tp>
      <tp>
        <v>0</v>
        <stp/>
        <stp>3332</stp>
        <stp>PredictVolume</stp>
        <tr r="AI1091" s="57"/>
      </tp>
      <tp>
        <v>1712</v>
        <stp/>
        <stp>3322</stp>
        <stp>PredictVolume</stp>
        <tr r="AI1090" s="57"/>
      </tp>
      <tp>
        <v>1833</v>
        <stp/>
        <stp>3312</stp>
        <stp>PredictVolume</stp>
        <tr r="AI1242" s="57"/>
      </tp>
      <tp>
        <v>301</v>
        <stp/>
        <stp>3372</stp>
        <stp>PredictVolume</stp>
        <tr r="AI576" s="57"/>
      </tp>
      <tp>
        <v>325</v>
        <stp/>
        <stp>3362</stp>
        <stp>PredictVolume</stp>
        <tr r="AI838" s="57"/>
      </tp>
      <tp>
        <v>330</v>
        <stp/>
        <stp>1432</stp>
        <stp>PredictVolume</stp>
        <tr r="AI1639" s="57"/>
      </tp>
      <tp>
        <v>10736</v>
        <stp/>
        <stp>1402</stp>
        <stp>PredictVolume</stp>
        <tr r="AI70" s="57"/>
      </tp>
      <tp>
        <v>30</v>
        <stp/>
        <stp>1472</stp>
        <stp>PredictVolume</stp>
        <tr r="AI105" s="57"/>
      </tp>
      <tp>
        <v>335</v>
        <stp/>
        <stp>1452</stp>
        <stp>PredictVolume</stp>
        <tr r="AI90" s="57"/>
      </tp>
      <tp>
        <v>153</v>
        <stp/>
        <stp>1442</stp>
        <stp>PredictVolume</stp>
        <tr r="AI1444" s="57"/>
      </tp>
      <tp>
        <v>230</v>
        <stp/>
        <stp>1582</stp>
        <stp>PredictVolume</stp>
        <tr r="AI73" s="114"/>
        <tr r="AI1022" s="57"/>
      </tp>
      <tp>
        <v>316</v>
        <stp/>
        <stp>1532</stp>
        <stp>PredictVolume</stp>
        <tr r="AI143" s="57"/>
      </tp>
      <tp>
        <v>7302</v>
        <stp/>
        <stp>1522</stp>
        <stp>PredictVolume</stp>
        <tr r="AI499" s="57"/>
      </tp>
      <tp>
        <v>55</v>
        <stp/>
        <stp>1512</stp>
        <stp>PredictVolume</stp>
        <tr r="AI497" s="57"/>
      </tp>
      <tp>
        <v>1756</v>
        <stp/>
        <stp>1612</stp>
        <stp>PredictVolume</stp>
        <tr r="AI231" s="57"/>
      </tp>
      <tp>
        <v>2354</v>
        <stp/>
        <stp>1732</stp>
        <stp>PredictVolume</stp>
        <tr r="AI260" s="57"/>
      </tp>
      <tp>
        <v>3976</v>
        <stp/>
        <stp>1722</stp>
        <stp>PredictVolume</stp>
        <tr r="AI254" s="57"/>
      </tp>
      <tp>
        <v>7824</v>
        <stp/>
        <stp>1712</stp>
        <stp>PredictVolume</stp>
        <tr r="AI248" s="57"/>
      </tp>
      <tp>
        <v>376</v>
        <stp/>
        <stp>1702</stp>
        <stp>PredictVolume</stp>
        <tr r="AI35" s="57"/>
      </tp>
      <tp>
        <v>1074</v>
        <stp/>
        <stp>1762</stp>
        <stp>PredictVolume</stp>
        <tr r="AI301" s="57"/>
      </tp>
      <tp>
        <v>60</v>
        <stp/>
        <stp>1752</stp>
        <stp>PredictVolume</stp>
        <tr r="AI299" s="57"/>
      </tp>
      <tp>
        <v>98</v>
        <stp/>
        <stp>1742</stp>
        <stp>PredictVolume</stp>
        <tr r="AI262" s="57"/>
      </tp>
      <tp>
        <v>4775</v>
        <stp/>
        <stp>1102</stp>
        <stp>PredictVolume</stp>
        <tr r="AI5" s="57"/>
      </tp>
      <tp>
        <v>81</v>
        <stp/>
        <stp>1232</stp>
        <stp>PredictVolume</stp>
        <tr r="AI27" s="57"/>
      </tp>
      <tp>
        <v>3216</v>
        <stp/>
        <stp>1312</stp>
        <stp>PredictVolume</stp>
        <tr r="AI50" s="57"/>
      </tp>
      <tp>
        <v>1192</v>
        <stp/>
        <stp>1342</stp>
        <stp>PredictVolume</stp>
        <tr r="AI1309" s="57"/>
      </tp>
      <tp>
        <v>2788</v>
        <stp/>
        <stp>1802</stp>
        <stp>PredictVolume</stp>
        <tr r="AI417" s="57"/>
      </tp>
      <tp>
        <v>8</v>
        <stp/>
        <stp>8482</stp>
        <stp>PredictVolume</stp>
        <tr r="AI1394" s="57"/>
      </tp>
      <tp>
        <v>51</v>
        <stp/>
        <stp>8432</stp>
        <stp>PredictVolume</stp>
        <tr r="AI413" s="57"/>
      </tp>
      <tp>
        <v>225</v>
        <stp/>
        <stp>8422</stp>
        <stp>PredictVolume</stp>
        <tr r="AI1376" s="57"/>
      </tp>
      <tp>
        <v>0</v>
        <stp/>
        <stp>8472</stp>
        <stp>PredictVolume</stp>
        <tr r="AI1814" s="57"/>
      </tp>
      <tp>
        <v>50</v>
        <stp/>
        <stp>8462</stp>
        <stp>PredictVolume</stp>
        <tr r="AI1589" s="57"/>
      </tp>
      <tp>
        <v>282</v>
        <stp/>
        <stp>8442</stp>
        <stp>PredictVolume</stp>
        <tr r="AI1383" s="57"/>
      </tp>
      <tp>
        <v>41</v>
        <stp/>
        <stp>8092</stp>
        <stp>PredictVolume</stp>
        <tr r="AI1772" s="57"/>
      </tp>
      <tp>
        <v>17</v>
        <stp/>
        <stp>8032</stp>
        <stp>PredictVolume</stp>
        <tr r="AI1257" s="57"/>
      </tp>
      <tp>
        <v>24</v>
        <stp/>
        <stp>8072</stp>
        <stp>PredictVolume</stp>
        <tr r="AI1261" s="57"/>
      </tp>
      <tp>
        <v>4</v>
        <stp/>
        <stp>8042</stp>
        <stp>PredictVolume</stp>
        <tr r="AI1208" s="57"/>
      </tp>
      <tp>
        <v>128</v>
        <stp/>
        <stp>8182</stp>
        <stp>PredictVolume</stp>
        <tr r="AI103" s="114"/>
        <tr r="AI1221" s="57"/>
      </tp>
      <tp>
        <v>2115</v>
        <stp/>
        <stp>8112</stp>
        <stp>PredictVolume</stp>
        <tr r="AI1264" s="57"/>
      </tp>
      <tp>
        <v>40</v>
        <stp/>
        <stp>8222</stp>
        <stp>PredictVolume</stp>
        <tr r="AI218" s="57"/>
      </tp>
      <tp>
        <v>0</v>
        <stp/>
        <stp>8342</stp>
        <stp>PredictVolume</stp>
        <tr r="AI1368" s="57"/>
      </tp>
      <tp>
        <v>2</v>
        <stp/>
        <stp>8932</stp>
        <stp>PredictVolume</stp>
        <tr r="AI1404" s="57"/>
      </tp>
      <tp>
        <v>217</v>
        <stp/>
        <stp>8942</stp>
        <stp>PredictVolume</stp>
        <tr r="AI1410" s="57"/>
      </tp>
      <tp>
        <v>1071</v>
        <stp/>
        <stp>9802</stp>
        <stp>PredictVolume</stp>
        <tr r="AI1411" s="57"/>
      </tp>
      <tp>
        <v>13</v>
        <stp/>
        <stp>9912</stp>
        <stp>PredictVolume</stp>
        <tr r="AI806" s="57"/>
      </tp>
      <tp>
        <v>61</v>
        <stp/>
        <stp>9902</stp>
        <stp>PredictVolume</stp>
        <tr r="AI1412" s="57"/>
      </tp>
      <tp>
        <v>434</v>
        <stp/>
        <stp>9962</stp>
        <stp>PredictVolume</stp>
        <tr r="AI477" s="57"/>
      </tp>
      <tp>
        <v>33</v>
        <stp/>
        <stp>9942</stp>
        <stp>PredictVolume</stp>
        <tr r="AI57" s="114"/>
        <tr r="AI1435" s="57"/>
      </tp>
      <tp>
        <v>183593</v>
        <stp/>
        <stp>TXF1</stp>
        <stp>PredictVolume</stp>
        <tr r="AN1" s="28"/>
      </tp>
      <tp>
        <v>194</v>
        <stp/>
        <stp>6491</stp>
        <stp>PredictVolume</stp>
        <tr r="AI383" s="57"/>
      </tp>
      <tp>
        <v>12</v>
        <stp/>
        <stp>6431</stp>
        <stp>PredictVolume</stp>
        <tr r="AI910" s="57"/>
      </tp>
      <tp>
        <v>3909</v>
        <stp/>
        <stp>6411</stp>
        <stp>PredictVolume</stp>
        <tr r="AI647" s="57"/>
      </tp>
      <tp>
        <v>494</v>
        <stp/>
        <stp>6461</stp>
        <stp>PredictVolume</stp>
        <tr r="AI380" s="57"/>
      </tp>
      <tp>
        <v>85</v>
        <stp/>
        <stp>6451</stp>
        <stp>PredictVolume</stp>
        <tr r="AI650" s="57"/>
      </tp>
      <tp>
        <v>83</v>
        <stp/>
        <stp>6441</stp>
        <stp>PredictVolume</stp>
        <tr r="AI792" s="57"/>
      </tp>
      <tp>
        <v>431</v>
        <stp/>
        <stp>6591</stp>
        <stp>PredictVolume</stp>
        <tr r="AI55" s="114"/>
        <tr r="AI796" s="57"/>
      </tp>
      <tp>
        <v>193</v>
        <stp/>
        <stp>6581</stp>
        <stp>PredictVolume</stp>
        <tr r="AI1347" s="57"/>
      </tp>
      <tp>
        <v>12324</v>
        <stp/>
        <stp>6531</stp>
        <stp>PredictVolume</stp>
        <tr r="AI659" s="57"/>
      </tp>
      <tp>
        <v>32</v>
        <stp/>
        <stp>6561</stp>
        <stp>PredictVolume</stp>
        <tr r="AI1005" s="57"/>
      </tp>
      <tp>
        <v>714</v>
        <stp/>
        <stp>6541</stp>
        <stp>PredictVolume</stp>
        <tr r="AI390" s="57"/>
      </tp>
      <tp>
        <v>26</v>
        <stp/>
        <stp>6691</stp>
        <stp>PredictVolume</stp>
        <tr r="AI1764" s="57"/>
      </tp>
      <tp>
        <v>17</v>
        <stp/>
        <stp>6671</stp>
        <stp>PredictVolume</stp>
        <tr r="AI1357" s="57"/>
      </tp>
      <tp>
        <v>8</v>
        <stp/>
        <stp>6661</stp>
        <stp>PredictVolume</stp>
        <tr r="AI400" s="57"/>
      </tp>
      <tp>
        <v>37</v>
        <stp/>
        <stp>6651</stp>
        <stp>PredictVolume</stp>
        <tr r="AI83" s="114"/>
        <tr r="AI669" s="57"/>
      </tp>
      <tp>
        <v>1</v>
        <stp/>
        <stp>6641</stp>
        <stp>PredictVolume</stp>
        <tr r="AI1354" s="57"/>
      </tp>
      <tp>
        <v>1463</v>
        <stp/>
        <stp>6781</stp>
        <stp>PredictVolume</stp>
        <tr r="AI1205" s="57"/>
      </tp>
      <tp>
        <v>89</v>
        <stp/>
        <stp>6721</stp>
        <stp>PredictVolume</stp>
        <tr r="AI1358" s="57"/>
      </tp>
      <tp>
        <v>6</v>
        <stp/>
        <stp>6761</stp>
        <stp>PredictVolume</stp>
        <tr r="AI1204" s="57"/>
      </tp>
      <tp>
        <v>18</v>
        <stp/>
        <stp>6751</stp>
        <stp>PredictVolume</stp>
        <tr r="AI1301" s="57"/>
      </tp>
      <tp>
        <v>181</v>
        <stp/>
        <stp>6741</stp>
        <stp>PredictVolume</stp>
        <tr r="AI1811" s="57"/>
      </tp>
      <tp>
        <v>27</v>
        <stp/>
        <stp>6021</stp>
        <stp>PredictVolume</stp>
        <tr r="AI1633" s="57"/>
      </tp>
      <tp>
        <v>1609</v>
        <stp/>
        <stp>6191</stp>
        <stp>PredictVolume</stp>
        <tr r="AI1171" s="57"/>
      </tp>
      <tp>
        <v>308</v>
        <stp/>
        <stp>6121</stp>
        <stp>PredictVolume</stp>
        <tr r="AI139" s="114"/>
        <tr r="AI777" s="57"/>
      </tp>
      <tp>
        <v>420</v>
        <stp/>
        <stp>6111</stp>
        <stp>PredictVolume</stp>
        <tr r="AI1792" s="57"/>
      </tp>
      <tp>
        <v>29</v>
        <stp/>
        <stp>6101</stp>
        <stp>PredictVolume</stp>
        <tr r="AI1791" s="57"/>
      </tp>
      <tp>
        <v>61</v>
        <stp/>
        <stp>6171</stp>
        <stp>PredictVolume</stp>
        <tr r="AI1506" s="57"/>
      </tp>
      <tp>
        <v>290</v>
        <stp/>
        <stp>6161</stp>
        <stp>PredictVolume</stp>
        <tr r="AI782" s="57"/>
      </tp>
      <tp>
        <v>37</v>
        <stp/>
        <stp>6151</stp>
        <stp>PredictVolume</stp>
        <tr r="AI1748" s="57"/>
      </tp>
      <tp>
        <v>152</v>
        <stp/>
        <stp>6141</stp>
        <stp>PredictVolume</stp>
        <tr r="AI1161" s="57"/>
      </tp>
      <tp>
        <v>24</v>
        <stp/>
        <stp>6291</stp>
        <stp>PredictVolume</stp>
        <tr r="AI646" s="57"/>
      </tp>
      <tp>
        <v>28</v>
        <stp/>
        <stp>6281</stp>
        <stp>PredictVolume</stp>
        <tr r="AI1255" s="57"/>
      </tp>
      <tp>
        <v>488</v>
        <stp/>
        <stp>6231</stp>
        <stp>PredictVolume</stp>
        <tr r="AI1293" s="57"/>
      </tp>
      <tp>
        <v>0</v>
        <stp/>
        <stp>6221</stp>
        <stp>PredictVolume</stp>
        <tr r="AI1292" s="57"/>
      </tp>
      <tp>
        <v>8</v>
        <stp/>
        <stp>6201</stp>
        <stp>PredictVolume</stp>
        <tr r="AI1752" s="57"/>
      </tp>
      <tp>
        <v>2812</v>
        <stp/>
        <stp>6271</stp>
        <stp>PredictVolume</stp>
        <tr r="AI644" s="57"/>
      </tp>
      <tp>
        <v>553</v>
        <stp/>
        <stp>6261</stp>
        <stp>PredictVolume</stp>
        <tr r="AI643" s="57"/>
      </tp>
      <tp>
        <v>2588</v>
        <stp/>
        <stp>6251</stp>
        <stp>PredictVolume</stp>
        <tr r="AI1184" s="57"/>
      </tp>
      <tp>
        <v>988</v>
        <stp/>
        <stp>6241</stp>
        <stp>PredictVolume</stp>
        <tr r="AI992" s="57"/>
      </tp>
      <tp>
        <v>16</v>
        <stp/>
        <stp>4401</stp>
        <stp>PredictVolume</stp>
        <tr r="AI111" s="57"/>
      </tp>
      <tp>
        <v>13</v>
        <stp/>
        <stp>4581</stp>
        <stp>PredictVolume</stp>
        <tr r="AI524" s="57"/>
      </tp>
      <tp>
        <v>19</v>
        <stp/>
        <stp>4571</stp>
        <stp>PredictVolume</stp>
        <tr r="AI204" s="57"/>
      </tp>
      <tp>
        <v>4</v>
        <stp/>
        <stp>4561</stp>
        <stp>PredictVolume</stp>
        <tr r="AI198" s="57"/>
      </tp>
      <tp>
        <v>237</v>
        <stp/>
        <stp>4551</stp>
        <stp>PredictVolume</stp>
        <tr r="AI522" s="57"/>
      </tp>
      <tp>
        <v>44</v>
        <stp/>
        <stp>4541</stp>
        <stp>PredictVolume</stp>
        <tr r="AI1330" s="57"/>
      </tp>
      <tp>
        <v>3372</v>
        <stp/>
        <stp>4721</stp>
        <stp>PredictVolume</stp>
        <tr r="AI273" s="57"/>
      </tp>
      <tp>
        <v>68</v>
        <stp/>
        <stp>4711</stp>
        <stp>PredictVolume</stp>
        <tr r="AI269" s="57"/>
      </tp>
      <tp>
        <v>0</v>
        <stp/>
        <stp>4741</stp>
        <stp>PredictVolume</stp>
        <tr r="AI276" s="57"/>
      </tp>
      <tp>
        <v>8</v>
        <stp/>
        <stp>4131</stp>
        <stp>PredictVolume</stp>
        <tr r="AI337" s="57"/>
      </tp>
      <tp>
        <v>4906</v>
        <stp/>
        <stp>4121</stp>
        <stp>PredictVolume</stp>
        <tr r="AI330" s="57"/>
      </tp>
      <tp>
        <v>43</v>
        <stp/>
        <stp>4111</stp>
        <stp>PredictVolume</stp>
        <tr r="AI325" s="57"/>
      </tp>
      <tp>
        <v>4973</v>
        <stp/>
        <stp>4171</stp>
        <stp>PredictVolume</stp>
        <tr r="AI1821" s="57"/>
      </tp>
      <tp>
        <v>38</v>
        <stp/>
        <stp>4161</stp>
        <stp>PredictVolume</stp>
        <tr r="AI351" s="57"/>
      </tp>
      <tp t="s">
        <v>商品錯誤</v>
        <stp/>
        <stp>4141</stp>
        <stp>PredictVolume</stp>
        <tr r="AI342" s="57"/>
      </tp>
      <tp>
        <v>15</v>
        <stp/>
        <stp>4991</stp>
        <stp>PredictVolume</stp>
        <tr r="AI610" s="57"/>
      </tp>
      <tp>
        <v>9843</v>
        <stp/>
        <stp>4931</stp>
        <stp>PredictVolume</stp>
        <tr r="AI762" s="57"/>
      </tp>
      <tp>
        <v>6</v>
        <stp/>
        <stp>4911</stp>
        <stp>PredictVolume</stp>
        <tr r="AI375" s="57"/>
      </tp>
      <tp>
        <v>252</v>
        <stp/>
        <stp>4971</stp>
        <stp>PredictVolume</stp>
        <tr r="AI608" s="57"/>
      </tp>
      <tp>
        <v>2085</v>
        <stp/>
        <stp>4961</stp>
        <stp>PredictVolume</stp>
        <tr r="AI604" s="57"/>
      </tp>
      <tp>
        <v>36</v>
        <stp/>
        <stp>5481</stp>
        <stp>PredictVolume</stp>
        <tr r="AI1338" s="57"/>
      </tp>
      <tp>
        <v>422</v>
        <stp/>
        <stp>5471</stp>
        <stp>PredictVolume</stp>
        <tr r="AL27" s="28"/>
        <tr r="AI625" s="57"/>
      </tp>
      <tp>
        <v>283</v>
        <stp/>
        <stp>5531</stp>
        <stp>PredictVolume</stp>
        <tr r="AI1501" s="57"/>
      </tp>
      <tp>
        <v>523</v>
        <stp/>
        <stp>5521</stp>
        <stp>PredictVolume</stp>
        <tr r="AI1497" s="57"/>
      </tp>
      <tp>
        <v>30</v>
        <stp/>
        <stp>5511</stp>
        <stp>PredictVolume</stp>
        <tr r="AI1490" s="57"/>
      </tp>
      <tp>
        <v>6</v>
        <stp/>
        <stp>5601</stp>
        <stp>PredictVolume</stp>
        <tr r="AI1539" s="57"/>
      </tp>
      <tp>
        <v>101</v>
        <stp/>
        <stp>5701</stp>
        <stp>PredictVolume</stp>
        <tr r="AI1584" s="57"/>
      </tp>
      <tp>
        <v>727</v>
        <stp/>
        <stp>5011</stp>
        <stp>PredictVolume</stp>
        <tr r="AI466" s="57"/>
      </tp>
      <tp>
        <v>65</v>
        <stp/>
        <stp>5291</stp>
        <stp>PredictVolume</stp>
        <tr r="AI1137" s="57"/>
      </tp>
      <tp>
        <v>0</v>
        <stp/>
        <stp>5281</stp>
        <stp>PredictVolume</stp>
        <tr r="AI885" s="57"/>
      </tp>
      <tp>
        <v>19</v>
        <stp/>
        <stp>5211</stp>
        <stp>PredictVolume</stp>
        <tr r="AI1282" s="57"/>
      </tp>
      <tp>
        <v>27</v>
        <stp/>
        <stp>5201</stp>
        <stp>PredictVolume</stp>
        <tr r="AI1277" s="57"/>
      </tp>
      <tp>
        <v>459</v>
        <stp/>
        <stp>5251</stp>
        <stp>PredictVolume</stp>
        <tr r="AI884" s="57"/>
      </tp>
      <tp>
        <v>52</v>
        <stp/>
        <stp>5381</stp>
        <stp>PredictVolume</stp>
        <tr r="AI1144" s="57"/>
      </tp>
      <tp>
        <v>233</v>
        <stp/>
        <stp>5321</stp>
        <stp>PredictVolume</stp>
        <tr r="AI1139" s="57"/>
      </tp>
      <tp>
        <v>73</v>
        <stp/>
        <stp>5301</stp>
        <stp>PredictVolume</stp>
        <tr r="AI1582" s="57"/>
      </tp>
      <tp>
        <v>1256</v>
        <stp/>
        <stp>5371</stp>
        <stp>PredictVolume</stp>
        <tr r="AI887" s="57"/>
      </tp>
      <tp>
        <v>10194</v>
        <stp/>
        <stp>5351</stp>
        <stp>PredictVolume</stp>
        <tr r="AI622" s="57"/>
      </tp>
      <tp>
        <v>6044</v>
        <stp/>
        <stp>5871</stp>
        <stp>PredictVolume</stp>
        <tr r="AI1340" s="57"/>
        <tr r="AJ21" s="118"/>
      </tp>
      <tp>
        <v>446</v>
        <stp/>
        <stp>2491</stp>
        <stp>PredictVolume</stp>
        <tr r="AI821" s="57"/>
      </tp>
      <tp>
        <v>19343</v>
        <stp/>
        <stp>2481</stp>
        <stp>PredictVolume</stp>
        <tr r="AI551" s="57"/>
      </tp>
      <tp>
        <v>170</v>
        <stp/>
        <stp>2431</stp>
        <stp>PredictVolume</stp>
        <tr r="AI1045" s="57"/>
      </tp>
      <tp>
        <v>663</v>
        <stp/>
        <stp>2421</stp>
        <stp>PredictVolume</stp>
        <tr r="AI1042" s="57"/>
      </tp>
      <tp>
        <v>9066</v>
        <stp/>
        <stp>2401</stp>
        <stp>PredictVolume</stp>
        <tr r="AI542" s="57"/>
      </tp>
      <tp>
        <v>53</v>
        <stp/>
        <stp>2471</stp>
        <stp>PredictVolume</stp>
        <tr r="AI1270" s="57"/>
      </tp>
      <tp>
        <v>625</v>
        <stp/>
        <stp>2461</stp>
        <stp>PredictVolume</stp>
        <tr r="AI1703" s="57"/>
      </tp>
      <tp>
        <v>314</v>
        <stp/>
        <stp>2451</stp>
        <stp>PredictVolume</stp>
        <tr r="AI548" s="57"/>
      </tp>
      <tp>
        <v>991</v>
        <stp/>
        <stp>2441</stp>
        <stp>PredictVolume</stp>
        <tr r="AL17" s="28"/>
        <tr r="AI20" s="74"/>
        <tr r="AI88" s="114"/>
        <tr r="AI546" s="57"/>
      </tp>
      <tp>
        <v>1294</v>
        <stp/>
        <stp>2511</stp>
        <stp>PredictVolume</stp>
        <tr r="AI1452" s="57"/>
      </tp>
      <tp>
        <v>529</v>
        <stp/>
        <stp>2501</stp>
        <stp>PredictVolume</stp>
        <tr r="AI1447" s="57"/>
      </tp>
      <tp>
        <v>4762</v>
        <stp/>
        <stp>2611</stp>
        <stp>PredictVolume</stp>
        <tr r="AI1525" s="57"/>
      </tp>
      <tp>
        <v>2888</v>
        <stp/>
        <stp>2601</stp>
        <stp>PredictVolume</stp>
        <tr r="AI1640" s="57"/>
      </tp>
      <tp>
        <v>13748</v>
        <stp/>
        <stp>2641</stp>
        <stp>PredictVolume</stp>
        <tr r="AI1536" s="57"/>
      </tp>
      <tp>
        <v>476</v>
        <stp/>
        <stp>2731</stp>
        <stp>PredictVolume</stp>
        <tr r="AI1565" s="57"/>
      </tp>
      <tp>
        <v>41</v>
        <stp/>
        <stp>2701</stp>
        <stp>PredictVolume</stp>
        <tr r="AI1550" s="57"/>
      </tp>
      <tp>
        <v>5060</v>
        <stp/>
        <stp>2031</stp>
        <stp>PredictVolume</stp>
        <tr r="AI113" s="114"/>
        <tr r="AI452" s="57"/>
      </tp>
      <tp>
        <v>3</v>
        <stp/>
        <stp>2061</stp>
        <stp>PredictVolume</stp>
        <tr r="AI238" s="57"/>
      </tp>
      <tp>
        <v>988</v>
        <stp/>
        <stp>2101</stp>
        <stp>PredictVolume</stp>
        <tr r="AI480" s="57"/>
      </tp>
      <tp>
        <v>224</v>
        <stp/>
        <stp>2231</stp>
        <stp>PredictVolume</stp>
        <tr r="AI513" s="57"/>
      </tp>
      <tp>
        <v>133</v>
        <stp/>
        <stp>2221</stp>
        <stp>PredictVolume</stp>
        <tr r="AI1316" s="57"/>
      </tp>
      <tp>
        <v>1619</v>
        <stp/>
        <stp>2211</stp>
        <stp>PredictVolume</stp>
        <tr r="AI462" s="57"/>
      </tp>
      <tp>
        <v>12010</v>
        <stp/>
        <stp>2201</stp>
        <stp>PredictVolume</stp>
        <tr r="AI507" s="57"/>
      </tp>
      <tp>
        <v>120</v>
        <stp/>
        <stp>2241</stp>
        <stp>PredictVolume</stp>
        <tr r="AI167" s="57"/>
      </tp>
      <tp>
        <v>1334</v>
        <stp/>
        <stp>2331</stp>
        <stp>PredictVolume</stp>
        <tr r="AI703" s="57"/>
      </tp>
      <tp>
        <v>0</v>
        <stp/>
        <stp>2321</stp>
        <stp>PredictVolume</stp>
        <tr r="AI931" s="57"/>
      </tp>
      <tp>
        <v>7913</v>
        <stp/>
        <stp>2301</stp>
        <stp>PredictVolume</stp>
        <tr r="AI700" s="57"/>
      </tp>
      <tp>
        <v>29121</v>
        <stp/>
        <stp>2371</stp>
        <stp>PredictVolume</stp>
        <tr r="AI168" s="57"/>
      </tp>
      <tp>
        <v>1767</v>
        <stp/>
        <stp>2351</stp>
        <stp>PredictVolume</stp>
        <tr r="AI136" s="114"/>
        <tr r="AI537" s="57"/>
      </tp>
      <tp>
        <v>48762</v>
        <stp/>
        <stp>2891</stp>
        <stp>PredictVolume</stp>
        <tr r="AI1621" s="57"/>
        <tr r="AJ14" s="118"/>
      </tp>
      <tp>
        <v>49878</v>
        <stp/>
        <stp>2881</stp>
        <stp>PredictVolume</stp>
        <tr r="AI62" s="114"/>
        <tr r="AI1611" s="57"/>
        <tr r="AJ12" s="118"/>
      </tp>
      <tp>
        <v>10431</v>
        <stp/>
        <stp>2801</stp>
        <stp>PredictVolume</stp>
        <tr r="AI1594" s="57"/>
      </tp>
      <tp>
        <v>573</v>
        <stp/>
        <stp>2851</stp>
        <stp>PredictVolume</stp>
        <tr r="AI1606" s="57"/>
      </tp>
      <tp t="s">
        <v>商品錯誤</v>
        <stp/>
        <stp>2841</stp>
        <stp>PredictVolume</stp>
        <tr r="AI1474" s="57"/>
      </tp>
      <tp>
        <v>138</v>
        <stp/>
        <stp>2911</stp>
        <stp>PredictVolume</stp>
        <tr r="AI1648" s="57"/>
      </tp>
      <tp>
        <v>24</v>
        <stp/>
        <stp>2901</stp>
        <stp>PredictVolume</stp>
        <tr r="AI1642" s="57"/>
      </tp>
      <tp>
        <v>1313</v>
        <stp/>
        <stp>3491</stp>
        <stp>PredictVolume</stp>
        <tr r="AI25" s="74"/>
        <tr r="AI135" s="114"/>
        <tr r="AI960" s="57"/>
      </tp>
      <tp>
        <v>178149</v>
        <stp/>
        <stp>3481</stp>
        <stp>PredictVolume</stp>
        <tr r="AI846" s="57"/>
      </tp>
      <tp>
        <v>53</v>
        <stp/>
        <stp>3441</stp>
        <stp>PredictVolume</stp>
        <tr r="AI843" s="57"/>
      </tp>
      <tp>
        <v>282</v>
        <stp/>
        <stp>3591</stp>
        <stp>PredictVolume</stp>
        <tr r="AI855" s="57"/>
      </tp>
      <tp>
        <v>12</v>
        <stp/>
        <stp>3581</stp>
        <stp>PredictVolume</stp>
        <tr r="AI590" s="57"/>
      </tp>
      <tp>
        <v>3</v>
        <stp/>
        <stp>3531</stp>
        <stp>PredictVolume</stp>
        <tr r="AI850" s="57"/>
      </tp>
      <tp>
        <v>60</v>
        <stp/>
        <stp>3521</stp>
        <stp>PredictVolume</stp>
        <tr r="AI748" s="57"/>
      </tp>
      <tp>
        <v>438</v>
        <stp/>
        <stp>3511</stp>
        <stp>PredictVolume</stp>
        <tr r="AI1103" s="57"/>
      </tp>
      <tp>
        <v>28</v>
        <stp/>
        <stp>3501</stp>
        <stp>PredictVolume</stp>
        <tr r="AI1102" s="57"/>
      </tp>
      <tp>
        <v>154</v>
        <stp/>
        <stp>3551</stp>
        <stp>PredictVolume</stp>
        <tr r="AI58" s="114"/>
        <tr r="AI1728" s="57"/>
      </tp>
      <tp>
        <v>398</v>
        <stp/>
        <stp>3541</stp>
        <stp>PredictVolume</stp>
        <tr r="AI1727" s="57"/>
      </tp>
      <tp>
        <v>177</v>
        <stp/>
        <stp>3691</stp>
        <stp>PredictVolume</stp>
        <tr r="AI864" s="57"/>
      </tp>
      <tp>
        <v>8</v>
        <stp/>
        <stp>3631</stp>
        <stp>PredictVolume</stp>
        <tr r="AI1117" s="57"/>
      </tp>
      <tp>
        <v>129</v>
        <stp/>
        <stp>3611</stp>
        <stp>PredictVolume</stp>
        <tr r="AI64" s="114"/>
        <tr r="AI752" s="57"/>
      </tp>
      <tp>
        <v>3345</v>
        <stp/>
        <stp>3661</stp>
        <stp>PredictVolume</stp>
        <tr r="AI594" s="57"/>
      </tp>
      <tp>
        <v>5995</v>
        <stp/>
        <stp>3711</stp>
        <stp>PredictVolume</stp>
        <tr r="AI70" s="114"/>
        <tr r="AJ6" s="118"/>
        <tr r="AI599" s="57"/>
      </tp>
      <tp>
        <v>1148</v>
        <stp/>
        <stp>3701</stp>
        <stp>PredictVolume</stp>
        <tr r="AI756" s="57"/>
      </tp>
      <tp>
        <v>187</v>
        <stp/>
        <stp>3081</stp>
        <stp>PredictVolume</stp>
        <tr r="AI947" s="57"/>
      </tp>
      <tp>
        <v>100</v>
        <stp/>
        <stp>3031</stp>
        <stp>PredictVolume</stp>
        <tr r="AI825" s="57"/>
      </tp>
      <tp>
        <v>83</v>
        <stp/>
        <stp>3021</stp>
        <stp>PredictVolume</stp>
        <tr r="AI1061" s="57"/>
      </tp>
      <tp>
        <v>2211</v>
        <stp/>
        <stp>3011</stp>
        <stp>PredictVolume</stp>
        <tr r="AI1059" s="57"/>
      </tp>
      <tp>
        <v>124</v>
        <stp/>
        <stp>3071</stp>
        <stp>PredictVolume</stp>
        <tr r="AI733" s="57"/>
      </tp>
      <tp>
        <v>1520</v>
        <stp/>
        <stp>3051</stp>
        <stp>PredictVolume</stp>
        <tr r="AI829" s="57"/>
      </tp>
      <tp>
        <v>1674</v>
        <stp/>
        <stp>3041</stp>
        <stp>PredictVolume</stp>
        <tr r="AI557" s="57"/>
      </tp>
      <tp>
        <v>29</v>
        <stp/>
        <stp>3191</stp>
        <stp>PredictVolume</stp>
        <tr r="AI1074" s="57"/>
      </tp>
      <tp>
        <v>44</v>
        <stp/>
        <stp>3131</stp>
        <stp>PredictVolume</stp>
        <tr r="AI1715" s="57"/>
      </tp>
      <tp>
        <v>459</v>
        <stp/>
        <stp>3171</stp>
        <stp>PredictVolume</stp>
        <tr r="AI1659" s="57"/>
      </tp>
      <tp>
        <v>7934</v>
        <stp/>
        <stp>3141</stp>
        <stp>PredictVolume</stp>
        <tr r="AI563" s="57"/>
      </tp>
      <tp>
        <v>6987</v>
        <stp/>
        <stp>3231</stp>
        <stp>PredictVolume</stp>
        <tr r="AI737" s="57"/>
      </tp>
      <tp>
        <v>1170</v>
        <stp/>
        <stp>3221</stp>
        <stp>PredictVolume</stp>
        <tr r="AI952" s="57"/>
      </tp>
      <tp>
        <v>395</v>
        <stp/>
        <stp>3211</stp>
        <stp>PredictVolume</stp>
        <tr r="AI735" s="57"/>
      </tp>
      <tp>
        <v>91</v>
        <stp/>
        <stp>3321</stp>
        <stp>PredictVolume</stp>
        <tr r="AI1089" s="57"/>
      </tp>
      <tp>
        <v>27</v>
        <stp/>
        <stp>3311</stp>
        <stp>PredictVolume</stp>
        <tr r="AI955" s="57"/>
      </tp>
      <tp>
        <v>170</v>
        <stp/>
        <stp>1471</stp>
        <stp>PredictVolume</stp>
        <tr r="AI1021" s="57"/>
      </tp>
      <tp>
        <v>364</v>
        <stp/>
        <stp>1451</stp>
        <stp>PredictVolume</stp>
        <tr r="AI89" s="57"/>
      </tp>
      <tp>
        <v>19</v>
        <stp/>
        <stp>1441</stp>
        <stp>PredictVolume</stp>
        <tr r="AI82" s="57"/>
      </tp>
      <tp>
        <v>404</v>
        <stp/>
        <stp>1591</stp>
        <stp>PredictVolume</stp>
        <tr r="AI158" s="57"/>
      </tp>
      <tp>
        <v>98</v>
        <stp/>
        <stp>1531</stp>
        <stp>PredictVolume</stp>
        <tr r="AI142" s="57"/>
      </tp>
      <tp>
        <v>48</v>
        <stp/>
        <stp>1521</stp>
        <stp>PredictVolume</stp>
        <tr r="AI498" s="57"/>
      </tp>
      <tp>
        <v>23</v>
        <stp/>
        <stp>1541</stp>
        <stp>PredictVolume</stp>
        <tr r="AI149" s="57"/>
      </tp>
      <tp>
        <v>2530</v>
        <stp/>
        <stp>1611</stp>
        <stp>PredictVolume</stp>
        <tr r="AI230" s="57"/>
      </tp>
      <tp>
        <v>57</v>
        <stp/>
        <stp>1781</stp>
        <stp>PredictVolume</stp>
        <tr r="AI303" s="57"/>
      </tp>
      <tp>
        <v>159</v>
        <stp/>
        <stp>1731</stp>
        <stp>PredictVolume</stp>
        <tr r="AI295" s="57"/>
      </tp>
      <tp>
        <v>14806</v>
        <stp/>
        <stp>1721</stp>
        <stp>PredictVolume</stp>
        <tr r="AI253" s="57"/>
      </tp>
      <tp>
        <v>2280</v>
        <stp/>
        <stp>1711</stp>
        <stp>PredictVolume</stp>
        <tr r="AI247" s="57"/>
      </tp>
      <tp>
        <v>1453</v>
        <stp/>
        <stp>1701</stp>
        <stp>PredictVolume</stp>
        <tr r="AI292" s="57"/>
      </tp>
      <tp>
        <v>23676</v>
        <stp/>
        <stp>1101</stp>
        <stp>PredictVolume</stp>
        <tr r="AI4" s="57"/>
      </tp>
      <tp>
        <v>575</v>
        <stp/>
        <stp>1231</stp>
        <stp>PredictVolume</stp>
        <tr r="AI26" s="57"/>
      </tp>
      <tp>
        <v>619</v>
        <stp/>
        <stp>1201</stp>
        <stp>PredictVolume</stp>
        <tr r="AI13" s="57"/>
      </tp>
      <tp>
        <v>50</v>
        <stp/>
        <stp>1321</stp>
        <stp>PredictVolume</stp>
        <tr r="AI54" s="57"/>
      </tp>
      <tp>
        <v>5841</v>
        <stp/>
        <stp>1301</stp>
        <stp>PredictVolume</stp>
        <tr r="AI42" s="57"/>
        <tr r="AJ9" s="118"/>
      </tp>
      <tp>
        <v>3</v>
        <stp/>
        <stp>1341</stp>
        <stp>PredictVolume</stp>
        <tr r="AI61" s="57"/>
      </tp>
      <tp>
        <v>23</v>
        <stp/>
        <stp>8481</stp>
        <stp>PredictVolume</stp>
        <tr r="AI119" s="114"/>
        <tr r="AI1393" s="57"/>
      </tp>
      <tp>
        <v>154</v>
        <stp/>
        <stp>8431</stp>
        <stp>PredictVolume</stp>
        <tr r="AI1776" s="57"/>
      </tp>
      <tp>
        <v>425</v>
        <stp/>
        <stp>8421</stp>
        <stp>PredictVolume</stp>
        <tr r="AI1375" s="57"/>
      </tp>
      <tp>
        <v>76</v>
        <stp/>
        <stp>8411</stp>
        <stp>PredictVolume</stp>
        <tr r="AI1372" s="57"/>
      </tp>
      <tp>
        <v>110</v>
        <stp/>
        <stp>8401</stp>
        <stp>PredictVolume</stp>
        <tr r="AI1370" s="57"/>
      </tp>
      <tp>
        <v>814</v>
        <stp/>
        <stp>8091</stp>
        <stp>PredictVolume</stp>
        <tr r="AI1214" s="57"/>
      </tp>
      <tp>
        <v>1525</v>
        <stp/>
        <stp>8081</stp>
        <stp>PredictVolume</stp>
        <tr r="AI687" s="57"/>
      </tp>
      <tp>
        <v>492</v>
        <stp/>
        <stp>8021</stp>
        <stp>PredictVolume</stp>
        <tr r="AI1769" s="57"/>
      </tp>
      <tp>
        <v>339</v>
        <stp/>
        <stp>8011</stp>
        <stp>PredictVolume</stp>
        <tr r="AI1009" s="57"/>
      </tp>
      <tp>
        <v>2138</v>
        <stp/>
        <stp>8071</stp>
        <stp>PredictVolume</stp>
        <tr r="AI1211" s="57"/>
      </tp>
      <tp>
        <v>411</v>
        <stp/>
        <stp>8131</stp>
        <stp>PredictVolume</stp>
        <tr r="AI691" s="57"/>
      </tp>
      <tp>
        <v>477</v>
        <stp/>
        <stp>8121</stp>
        <stp>PredictVolume</stp>
        <tr r="AI1218" s="57"/>
      </tp>
      <tp>
        <v>543</v>
        <stp/>
        <stp>8111</stp>
        <stp>PredictVolume</stp>
        <tr r="AI925" s="57"/>
      </tp>
      <tp>
        <v>73</v>
        <stp/>
        <stp>8101</stp>
        <stp>PredictVolume</stp>
        <tr r="AI1015" s="57"/>
      </tp>
      <tp>
        <v>291</v>
        <stp/>
        <stp>8171</stp>
        <stp>PredictVolume</stp>
        <tr r="AI1016" s="57"/>
      </tp>
      <tp>
        <v>0</v>
        <stp/>
        <stp>8291</stp>
        <stp>PredictVolume</stp>
        <tr r="AI1225" s="57"/>
      </tp>
      <tp>
        <v>223</v>
        <stp/>
        <stp>8201</stp>
        <stp>PredictVolume</stp>
        <tr r="AI1774" s="57"/>
      </tp>
      <tp>
        <v>255</v>
        <stp/>
        <stp>8271</stp>
        <stp>PredictVolume</stp>
        <tr r="AI694" s="57"/>
      </tp>
      <tp>
        <v>3035</v>
        <stp/>
        <stp>8261</stp>
        <stp>PredictVolume</stp>
        <tr r="AI693" s="57"/>
      </tp>
      <tp>
        <v>105</v>
        <stp/>
        <stp>8341</stp>
        <stp>PredictVolume</stp>
        <tr r="AI1367" s="57"/>
      </tp>
      <tp>
        <v>80</v>
        <stp/>
        <stp>8931</stp>
        <stp>PredictVolume</stp>
        <tr r="AI1682" s="57"/>
      </tp>
      <tp>
        <v>0</v>
        <stp/>
        <stp>8921</stp>
        <stp>PredictVolume</stp>
        <tr r="AI1400" s="57"/>
      </tp>
      <tp>
        <v>8</v>
        <stp/>
        <stp>8941</stp>
        <stp>PredictVolume</stp>
        <tr r="AI1674" s="57"/>
      </tp>
      <tp>
        <v>21</v>
        <stp/>
        <stp>9931</stp>
        <stp>PredictVolume</stp>
        <tr r="AI1681" s="57"/>
      </tp>
      <tp>
        <v>750</v>
        <stp/>
        <stp>9921</stp>
        <stp>PredictVolume</stp>
        <tr r="AI1421" s="57"/>
      </tp>
      <tp>
        <v>65</v>
        <stp/>
        <stp>9911</stp>
        <stp>PredictVolume</stp>
        <tr r="AI1417" s="57"/>
      </tp>
      <tp>
        <v>183</v>
        <stp/>
        <stp>9951</stp>
        <stp>PredictVolume</stp>
        <tr r="AI138" s="114"/>
        <tr r="AI222" s="57"/>
      </tp>
      <tp>
        <v>789</v>
        <stp/>
        <stp>9941</stp>
        <stp>PredictVolume</stp>
        <tr r="AI1434" s="57"/>
      </tp>
      <tp>
        <v>13753</v>
        <stp/>
        <stp>6470</stp>
        <stp>PredictVolume</stp>
        <tr r="AI1000" s="57"/>
      </tp>
      <tp>
        <v>7</v>
        <stp/>
        <stp>6590</stp>
        <stp>PredictVolume</stp>
        <tr r="AI1297" s="57"/>
      </tp>
      <tp>
        <v>100</v>
        <stp/>
        <stp>6530</stp>
        <stp>PredictVolume</stp>
        <tr r="AI1003" s="57"/>
      </tp>
      <tp>
        <v>99</v>
        <stp/>
        <stp>6510</stp>
        <stp>PredictVolume</stp>
        <tr r="AI121" s="114"/>
        <tr r="AI656" s="57"/>
      </tp>
      <tp>
        <v>31</v>
        <stp/>
        <stp>6570</stp>
        <stp>PredictVolume</stp>
        <tr r="AI793" s="57"/>
      </tp>
      <tp>
        <v>31</v>
        <stp/>
        <stp>6560</stp>
        <stp>PredictVolume</stp>
        <tr r="AI915" s="57"/>
      </tp>
      <tp>
        <v>11</v>
        <stp/>
        <stp>6690</stp>
        <stp>PredictVolume</stp>
        <tr r="AI1299" s="57"/>
      </tp>
      <tp>
        <v>1</v>
        <stp/>
        <stp>6680</stp>
        <stp>PredictVolume</stp>
        <tr r="AI798" s="57"/>
      </tp>
      <tp>
        <v>138</v>
        <stp/>
        <stp>6670</stp>
        <stp>PredictVolume</stp>
        <tr r="AI1356" s="57"/>
      </tp>
      <tp>
        <v>4</v>
        <stp/>
        <stp>6640</stp>
        <stp>PredictVolume</stp>
        <tr r="AI667" s="57"/>
      </tp>
      <tp>
        <v>108</v>
        <stp/>
        <stp>6790</stp>
        <stp>PredictVolume</stp>
        <tr r="AI96" s="114"/>
        <tr r="AI1361" s="57"/>
      </tp>
      <tp>
        <v>42652</v>
        <stp/>
        <stp>6770</stp>
        <stp>PredictVolume</stp>
        <tr r="AI678" s="57"/>
      </tp>
      <tp>
        <v>11</v>
        <stp/>
        <stp>6020</stp>
        <stp>PredictVolume</stp>
        <tr r="AI1632" s="57"/>
      </tp>
      <tp>
        <v>6165</v>
        <stp/>
        <stp>6190</stp>
        <stp>PredictVolume</stp>
        <tr r="AI989" s="57"/>
      </tp>
      <tp>
        <v>454</v>
        <stp/>
        <stp>6180</stp>
        <stp>PredictVolume</stp>
        <tr r="AI1795" s="57"/>
      </tp>
      <tp>
        <v>49</v>
        <stp/>
        <stp>6130</stp>
        <stp>PredictVolume</stp>
        <tr r="AI377" s="57"/>
      </tp>
      <tp>
        <v>1028</v>
        <stp/>
        <stp>6120</stp>
        <stp>PredictVolume</stp>
        <tr r="AI893" s="57"/>
      </tp>
      <tp>
        <v>1064</v>
        <stp/>
        <stp>6170</stp>
        <stp>PredictVolume</stp>
        <tr r="AI988" s="57"/>
      </tp>
      <tp>
        <v>17</v>
        <stp/>
        <stp>6160</stp>
        <stp>PredictVolume</stp>
        <tr r="AI781" s="57"/>
      </tp>
      <tp>
        <v>722</v>
        <stp/>
        <stp>6150</stp>
        <stp>PredictVolume</stp>
        <tr r="AI89" s="114"/>
        <tr r="AI780" s="57"/>
      </tp>
      <tp>
        <v>31</v>
        <stp/>
        <stp>6140</stp>
        <stp>PredictVolume</stp>
        <tr r="AI1288" s="57"/>
      </tp>
      <tp>
        <v>1656</v>
        <stp/>
        <stp>6290</stp>
        <stp>PredictVolume</stp>
        <tr r="AI1192" s="57"/>
      </tp>
      <tp>
        <v>140</v>
        <stp/>
        <stp>6230</stp>
        <stp>PredictVolume</stp>
        <tr r="AI787" s="57"/>
      </tp>
      <tp>
        <v>426</v>
        <stp/>
        <stp>6220</stp>
        <stp>PredictVolume</stp>
        <tr r="AI1182" s="57"/>
      </tp>
      <tp>
        <v>16</v>
        <stp/>
        <stp>6210</stp>
        <stp>PredictVolume</stp>
        <tr r="AI1179" s="57"/>
      </tp>
      <tp>
        <v>79</v>
        <stp/>
        <stp>6270</stp>
        <stp>PredictVolume</stp>
        <tr r="AI1254" s="57"/>
      </tp>
      <tp>
        <v>306</v>
        <stp/>
        <stp>6240</stp>
        <stp>PredictVolume</stp>
        <tr r="AI1294" s="57"/>
      </tp>
      <tp>
        <v>23</v>
        <stp/>
        <stp>4430</stp>
        <stp>PredictVolume</stp>
        <tr r="AI1327" s="57"/>
      </tp>
      <tp>
        <v>28</v>
        <stp/>
        <stp>4420</stp>
        <stp>PredictVolume</stp>
        <tr r="AI118" s="57"/>
      </tp>
      <tp>
        <v>65</v>
        <stp/>
        <stp>4440</stp>
        <stp>PredictVolume</stp>
        <tr r="AI125" s="57"/>
      </tp>
      <tp>
        <v>57</v>
        <stp/>
        <stp>4580</stp>
        <stp>PredictVolume</stp>
        <tr r="AI207" s="57"/>
      </tp>
      <tp>
        <v>36</v>
        <stp/>
        <stp>4530</stp>
        <stp>PredictVolume</stp>
        <tr r="AI184" s="57"/>
      </tp>
      <tp>
        <v>90</v>
        <stp/>
        <stp>4510</stp>
        <stp>PredictVolume</stp>
        <tr r="AI178" s="57"/>
      </tp>
      <tp>
        <v>48</v>
        <stp/>
        <stp>4560</stp>
        <stp>PredictVolume</stp>
        <tr r="AI197" s="57"/>
      </tp>
      <tp>
        <v>25</v>
        <stp/>
        <stp>4550</stp>
        <stp>PredictVolume</stp>
        <tr r="AI193" s="57"/>
      </tp>
      <tp>
        <v>291</v>
        <stp/>
        <stp>4540</stp>
        <stp>PredictVolume</stp>
        <tr r="AI190" s="57"/>
      </tp>
      <tp>
        <v>96</v>
        <stp/>
        <stp>4720</stp>
        <stp>PredictVolume</stp>
        <tr r="AI272" s="57"/>
      </tp>
      <tp>
        <v>1551</v>
        <stp/>
        <stp>4770</stp>
        <stp>PredictVolume</stp>
        <tr r="AI284" s="57"/>
      </tp>
      <tp>
        <v>41</v>
        <stp/>
        <stp>4760</stp>
        <stp>PredictVolume</stp>
        <tr r="AI1738" s="57"/>
      </tp>
      <tp>
        <v>119</v>
        <stp/>
        <stp>4190</stp>
        <stp>PredictVolume</stp>
        <tr r="AI137" s="114"/>
        <tr r="AI362" s="57"/>
      </tp>
      <tp>
        <v>257</v>
        <stp/>
        <stp>4130</stp>
        <stp>PredictVolume</stp>
        <tr r="AI336" s="57"/>
      </tp>
      <tp>
        <v>69</v>
        <stp/>
        <stp>4120</stp>
        <stp>PredictVolume</stp>
        <tr r="AI329" s="57"/>
      </tp>
      <tp>
        <v>11</v>
        <stp/>
        <stp>4160</stp>
        <stp>PredictVolume</stp>
        <tr r="AI350" s="57"/>
      </tp>
      <tp>
        <v>284</v>
        <stp/>
        <stp>4930</stp>
        <stp>PredictVolume</stp>
        <tr r="AI240" s="57"/>
      </tp>
      <tp>
        <v>5735</v>
        <stp/>
        <stp>4960</stp>
        <stp>PredictVolume</stp>
        <tr r="AI874" s="57"/>
      </tp>
      <tp>
        <v>493</v>
        <stp/>
        <stp>4950</stp>
        <stp>PredictVolume</stp>
        <tr r="AI1332" s="57"/>
      </tp>
      <tp>
        <v>14</v>
        <stp/>
        <stp>5490</stp>
        <stp>PredictVolume</stp>
        <tr r="AI775" s="57"/>
      </tp>
      <tp>
        <v>347</v>
        <stp/>
        <stp>5410</stp>
        <stp>PredictVolume</stp>
        <tr r="AI1286" s="57"/>
      </tp>
      <tp>
        <v>27</v>
        <stp/>
        <stp>5460</stp>
        <stp>PredictVolume</stp>
        <tr r="AI1147" s="57"/>
      </tp>
      <tp>
        <v>38</v>
        <stp/>
        <stp>5450</stp>
        <stp>PredictVolume</stp>
        <tr r="AI1337" s="57"/>
      </tp>
      <tp>
        <v>3026</v>
        <stp/>
        <stp>5530</stp>
        <stp>PredictVolume</stp>
        <tr r="AI1339" s="57"/>
      </tp>
      <tp>
        <v>26</v>
        <stp/>
        <stp>5520</stp>
        <stp>PredictVolume</stp>
        <tr r="AI1496" s="57"/>
      </tp>
      <tp>
        <v>44</v>
        <stp/>
        <stp>5230</stp>
        <stp>PredictVolume</stp>
        <tr r="AI879" s="57"/>
      </tp>
      <tp>
        <v>51</v>
        <stp/>
        <stp>5220</stp>
        <stp>PredictVolume</stp>
        <tr r="AI878" s="57"/>
      </tp>
      <tp>
        <v>1233</v>
        <stp/>
        <stp>5210</stp>
        <stp>PredictVolume</stp>
        <tr r="AI1281" s="57"/>
      </tp>
      <tp>
        <v>3</v>
        <stp/>
        <stp>5310</stp>
        <stp>PredictVolume</stp>
        <tr r="AI1284" s="57"/>
      </tp>
      <tp>
        <v>48</v>
        <stp/>
        <stp>5340</stp>
        <stp>PredictVolume</stp>
        <tr r="AI1141" s="57"/>
      </tp>
      <tp>
        <v>13922</v>
        <stp/>
        <stp>5880</stp>
        <stp>PredictVolume</stp>
        <tr r="AI1628" s="57"/>
        <tr r="AJ17" s="118"/>
      </tp>
      <tp>
        <v>967</v>
        <stp/>
        <stp>5820</stp>
        <stp>PredictVolume</stp>
        <tr r="AI1624" s="57"/>
      </tp>
      <tp>
        <v>282</v>
        <stp/>
        <stp>2480</stp>
        <stp>PredictVolume</stp>
        <tr r="AI1271" s="57"/>
      </tp>
      <tp>
        <v>493</v>
        <stp/>
        <stp>2430</stp>
        <stp>PredictVolume</stp>
        <tr r="AI1231" s="57"/>
      </tp>
      <tp>
        <v>138</v>
        <stp/>
        <stp>2420</stp>
        <stp>PredictVolume</stp>
        <tr r="AI1041" s="57"/>
      </tp>
      <tp>
        <v>160</v>
        <stp/>
        <stp>2460</stp>
        <stp>PredictVolume</stp>
        <tr r="AI1048" s="57"/>
      </tp>
      <tp>
        <v>119</v>
        <stp/>
        <stp>2450</stp>
        <stp>PredictVolume</stp>
        <tr r="AI938" s="57"/>
      </tp>
      <tp>
        <v>113</v>
        <stp/>
        <stp>2440</stp>
        <stp>PredictVolume</stp>
        <tr r="AI1046" s="57"/>
      </tp>
      <tp>
        <v>112</v>
        <stp/>
        <stp>2530</stp>
        <stp>PredictVolume</stp>
        <tr r="AI1458" s="57"/>
      </tp>
      <tp>
        <v>1135</v>
        <stp/>
        <stp>2520</stp>
        <stp>PredictVolume</stp>
        <tr r="AI1454" s="57"/>
      </tp>
      <tp>
        <v>37</v>
        <stp/>
        <stp>2540</stp>
        <stp>PredictVolume</stp>
        <tr r="AI1465" s="57"/>
      </tp>
      <tp>
        <v>130</v>
        <stp/>
        <stp>2630</stp>
        <stp>PredictVolume</stp>
        <tr r="AI1531" s="57"/>
      </tp>
      <tp>
        <v>75306</v>
        <stp/>
        <stp>2610</stp>
        <stp>PredictVolume</stp>
        <tr r="AI1524" s="57"/>
      </tp>
      <tp>
        <v>28</v>
        <stp/>
        <stp>2640</stp>
        <stp>PredictVolume</stp>
        <tr r="AI1322" s="57"/>
      </tp>
      <tp>
        <v>4</v>
        <stp/>
        <stp>2740</stp>
        <stp>PredictVolume</stp>
        <tr r="AI1570" s="57"/>
      </tp>
      <tp>
        <v>4315</v>
        <stp/>
        <stp>2030</stp>
        <stp>PredictVolume</stp>
        <tr r="AI451" s="57"/>
      </tp>
      <tp>
        <v>459</v>
        <stp/>
        <stp>2020</stp>
        <stp>PredictVolume</stp>
        <tr r="AI443" s="57"/>
      </tp>
      <tp>
        <v>956</v>
        <stp/>
        <stp>2010</stp>
        <stp>PredictVolume</stp>
        <tr r="AI437" s="57"/>
      </tp>
      <tp>
        <v>3</v>
        <stp/>
        <stp>2070</stp>
        <stp>PredictVolume</stp>
        <tr r="AI164" s="57"/>
      </tp>
      <tp>
        <v>889</v>
        <stp/>
        <stp>2230</stp>
        <stp>PredictVolume</stp>
        <tr r="AI165" s="57"/>
      </tp>
      <tp>
        <v>85</v>
        <stp/>
        <stp>2250</stp>
        <stp>PredictVolume</stp>
        <tr r="AI519" s="57"/>
      </tp>
      <tp>
        <v>12252</v>
        <stp/>
        <stp>2390</stp>
        <stp>PredictVolume</stp>
        <tr r="AI1699" s="57"/>
      </tp>
      <tp>
        <v>225</v>
        <stp/>
        <stp>2380</stp>
        <stp>PredictVolume</stp>
        <tr r="AI713" s="57"/>
      </tp>
      <tp>
        <v>21133</v>
        <stp/>
        <stp>2330</stp>
        <stp>PredictVolume</stp>
        <tr r="AI532" s="57"/>
        <tr r="AJ1" s="118"/>
      </tp>
      <tp>
        <v>304</v>
        <stp/>
        <stp>2360</stp>
        <stp>PredictVolume</stp>
        <tr r="AI105" s="114"/>
        <tr r="AI1697" s="57"/>
      </tp>
      <tp>
        <v>3948</v>
        <stp/>
        <stp>2340</stp>
        <stp>PredictVolume</stp>
        <tr r="AI810" s="57"/>
      </tp>
      <tp>
        <v>25046</v>
        <stp/>
        <stp>2890</stp>
        <stp>PredictVolume</stp>
        <tr r="AI1620" s="57"/>
      </tp>
      <tp>
        <v>10328</v>
        <stp/>
        <stp>2880</stp>
        <stp>PredictVolume</stp>
        <tr r="AI1610" s="57"/>
        <tr r="AJ20" s="118"/>
      </tp>
      <tp>
        <v>1171</v>
        <stp/>
        <stp>2820</stp>
        <stp>PredictVolume</stp>
        <tr r="AI1598" s="57"/>
      </tp>
      <tp>
        <v>1093</v>
        <stp/>
        <stp>2850</stp>
        <stp>PredictVolume</stp>
        <tr r="AI1605" s="57"/>
      </tp>
      <tp>
        <v>3</v>
        <stp/>
        <stp>2910</stp>
        <stp>PredictVolume</stp>
        <tr r="AI1647" s="57"/>
      </tp>
      <tp>
        <v>92</v>
        <stp/>
        <stp>3490</stp>
        <stp>PredictVolume</stp>
        <tr r="AI847" s="57"/>
      </tp>
      <tp>
        <v>108</v>
        <stp/>
        <stp>3450</stp>
        <stp>PredictVolume</stp>
        <tr r="AI1723" s="57"/>
      </tp>
      <tp>
        <v>586</v>
        <stp/>
        <stp>3580</stp>
        <stp>PredictVolume</stp>
        <tr r="AI1730" s="57"/>
      </tp>
      <tp>
        <v>155</v>
        <stp/>
        <stp>3530</stp>
        <stp>PredictVolume</stp>
        <tr r="AI583" s="57"/>
      </tp>
      <tp>
        <v>438</v>
        <stp/>
        <stp>3520</stp>
        <stp>PredictVolume</stp>
        <tr r="AI1105" s="57"/>
      </tp>
      <tp>
        <v>31</v>
        <stp/>
        <stp>3570</stp>
        <stp>PredictVolume</stp>
        <tr r="AI1274" s="57"/>
      </tp>
      <tp>
        <v>86</v>
        <stp/>
        <stp>3550</stp>
        <stp>PredictVolume</stp>
        <tr r="AI1110" s="57"/>
      </tp>
      <tp>
        <v>165</v>
        <stp/>
        <stp>3540</stp>
        <stp>PredictVolume</stp>
        <tr r="AI749" s="57"/>
      </tp>
      <tp>
        <v>628</v>
        <stp/>
        <stp>3680</stp>
        <stp>PredictVolume</stp>
        <tr r="AI596" s="57"/>
      </tp>
      <tp>
        <v>165</v>
        <stp/>
        <stp>3630</stp>
        <stp>PredictVolume</stp>
        <tr r="AI859" s="57"/>
      </tp>
      <tp>
        <v>789</v>
        <stp/>
        <stp>3710</stp>
        <stp>PredictVolume</stp>
        <tr r="AI1123" s="57"/>
      </tp>
      <tp>
        <v>268</v>
        <stp/>
        <stp>3090</stp>
        <stp>PredictVolume</stp>
        <tr r="AI1070" s="57"/>
      </tp>
      <tp>
        <v>483</v>
        <stp/>
        <stp>3030</stp>
        <stp>PredictVolume</stp>
        <tr r="AI1711" s="57"/>
      </tp>
      <tp>
        <v>282</v>
        <stp/>
        <stp>3010</stp>
        <stp>PredictVolume</stp>
        <tr r="AI1233" s="57"/>
      </tp>
      <tp>
        <v>345</v>
        <stp/>
        <stp>3060</stp>
        <stp>PredictVolume</stp>
        <tr r="AI732" s="57"/>
      </tp>
      <tp>
        <v>1374</v>
        <stp/>
        <stp>3050</stp>
        <stp>PredictVolume</stp>
        <tr r="AI828" s="57"/>
      </tp>
      <tp>
        <v>39</v>
        <stp/>
        <stp>3040</stp>
        <stp>PredictVolume</stp>
        <tr r="AI1324" s="57"/>
      </tp>
      <tp>
        <v>12</v>
        <stp/>
        <stp>3130</stp>
        <stp>PredictVolume</stp>
        <tr r="AI1273" s="57"/>
      </tp>
      <tp>
        <v>303</v>
        <stp/>
        <stp>3290</stp>
        <stp>PredictVolume</stp>
        <tr r="AI1083" s="57"/>
      </tp>
      <tp>
        <v>156</v>
        <stp/>
        <stp>3230</stp>
        <stp>PredictVolume</stp>
        <tr r="AI834" s="57"/>
      </tp>
      <tp>
        <v>1217</v>
        <stp/>
        <stp>3260</stp>
        <stp>PredictVolume</stp>
        <tr r="AI571" s="57"/>
      </tp>
      <tp>
        <v>177</v>
        <stp/>
        <stp>3390</stp>
        <stp>PredictVolume</stp>
        <tr r="AI1097" s="57"/>
      </tp>
      <tp>
        <v>289</v>
        <stp/>
        <stp>3380</stp>
        <stp>PredictVolume</stp>
        <tr r="AI957" s="57"/>
      </tp>
      <tp>
        <v>28</v>
        <stp/>
        <stp>3310</stp>
        <stp>PredictVolume</stp>
        <tr r="AI1087" s="57"/>
      </tp>
      <tp>
        <v>191</v>
        <stp/>
        <stp>3360</stp>
        <stp>PredictVolume</stp>
        <tr r="AI1243" s="57"/>
      </tp>
      <tp>
        <v>5</v>
        <stp/>
        <stp>1410</stp>
        <stp>PredictVolume</stp>
        <tr r="AI72" s="57"/>
      </tp>
      <tp>
        <v>540</v>
        <stp/>
        <stp>1470</stp>
        <stp>PredictVolume</stp>
        <tr r="AI104" s="57"/>
      </tp>
      <tp>
        <v>994</v>
        <stp/>
        <stp>1460</stp>
        <stp>PredictVolume</stp>
        <tr r="AI97" s="57"/>
      </tp>
      <tp>
        <v>1621</v>
        <stp/>
        <stp>1440</stp>
        <stp>PredictVolume</stp>
        <tr r="AI81" s="57"/>
      </tp>
      <tp>
        <v>467</v>
        <stp/>
        <stp>1590</stp>
        <stp>PredictVolume</stp>
        <tr r="AI133" s="114"/>
        <tr r="AI157" s="57"/>
      </tp>
      <tp>
        <v>546</v>
        <stp/>
        <stp>1580</stp>
        <stp>PredictVolume</stp>
        <tr r="AI153" s="57"/>
      </tp>
      <tp>
        <v>3</v>
        <stp/>
        <stp>1530</stp>
        <stp>PredictVolume</stp>
        <tr r="AI141" s="57"/>
      </tp>
      <tp>
        <v>70</v>
        <stp/>
        <stp>1570</stp>
        <stp>PredictVolume</stp>
        <tr r="AI152" s="57"/>
      </tp>
      <tp>
        <v>5519</v>
        <stp/>
        <stp>1560</stp>
        <stp>PredictVolume</stp>
        <tr r="AI151" s="57"/>
      </tp>
      <tp>
        <v>18</v>
        <stp/>
        <stp>1540</stp>
        <stp>PredictVolume</stp>
        <tr r="AI148" s="57"/>
      </tp>
      <tp>
        <v>34</v>
        <stp/>
        <stp>1730</stp>
        <stp>PredictVolume</stp>
        <tr r="AI259" s="57"/>
      </tp>
      <tp>
        <v>244</v>
        <stp/>
        <stp>1720</stp>
        <stp>PredictVolume</stp>
        <tr r="AI294" s="57"/>
      </tp>
      <tp>
        <v>893</v>
        <stp/>
        <stp>1710</stp>
        <stp>PredictVolume</stp>
        <tr r="AI246" s="57"/>
      </tp>
      <tp>
        <v>7122</v>
        <stp/>
        <stp>1760</stp>
        <stp>PredictVolume</stp>
        <tr r="AI300" s="57"/>
      </tp>
      <tp>
        <v>156</v>
        <stp/>
        <stp>1110</stp>
        <stp>PredictVolume</stp>
        <tr r="AI10" s="57"/>
      </tp>
      <tp>
        <v>1921</v>
        <stp/>
        <stp>1220</stp>
        <stp>PredictVolume</stp>
        <tr r="AI22" s="57"/>
      </tp>
      <tp>
        <v>1275</v>
        <stp/>
        <stp>1210</stp>
        <stp>PredictVolume</stp>
        <tr r="AI15" s="57"/>
      </tp>
      <tp>
        <v>570</v>
        <stp/>
        <stp>1240</stp>
        <stp>PredictVolume</stp>
        <tr r="AI1819" s="57"/>
      </tp>
      <tp>
        <v>488</v>
        <stp/>
        <stp>1310</stp>
        <stp>PredictVolume</stp>
        <tr r="AI49" s="57"/>
      </tp>
      <tp>
        <v>55</v>
        <stp/>
        <stp>1340</stp>
        <stp>PredictVolume</stp>
        <tr r="AI60" s="57"/>
      </tp>
      <tp>
        <v>490</v>
        <stp/>
        <stp>1810</stp>
        <stp>PredictVolume</stp>
        <tr r="AI420" s="57"/>
      </tp>
      <tp>
        <v>7</v>
        <stp/>
        <stp>8480</stp>
        <stp>PredictVolume</stp>
        <tr r="AI1392" s="57"/>
      </tp>
      <tp>
        <v>366</v>
        <stp/>
        <stp>8420</stp>
        <stp>PredictVolume</stp>
        <tr r="AI1374" s="57"/>
      </tp>
      <tp>
        <v>9</v>
        <stp/>
        <stp>8410</stp>
        <stp>PredictVolume</stp>
        <tr r="AI805" s="57"/>
      </tp>
      <tp>
        <v>164</v>
        <stp/>
        <stp>8450</stp>
        <stp>PredictVolume</stp>
        <tr r="AI1801" s="57"/>
      </tp>
      <tp>
        <v>5684</v>
        <stp/>
        <stp>8440</stp>
        <stp>PredictVolume</stp>
        <tr r="AI1382" s="57"/>
      </tp>
      <tp>
        <v>14</v>
        <stp/>
        <stp>8080</stp>
        <stp>PredictVolume</stp>
        <tr r="AI1213" s="57"/>
      </tp>
      <tp>
        <v>1151</v>
        <stp/>
        <stp>8070</stp>
        <stp>PredictVolume</stp>
        <tr r="AI1260" s="57"/>
      </tp>
      <tp>
        <v>436</v>
        <stp/>
        <stp>8050</stp>
        <stp>PredictVolume</stp>
        <tr r="AI799" s="57"/>
      </tp>
      <tp>
        <v>575</v>
        <stp/>
        <stp>8040</stp>
        <stp>PredictVolume</stp>
        <tr r="AI685" s="57"/>
      </tp>
      <tp>
        <v>1190</v>
        <stp/>
        <stp>8110</stp>
        <stp>PredictVolume</stp>
        <tr r="AI690" s="57"/>
      </tp>
      <tp>
        <v>2512</v>
        <stp/>
        <stp>8150</stp>
        <stp>PredictVolume</stp>
        <tr r="AI128" s="114"/>
        <tr r="AI692" s="57"/>
      </tp>
      <tp>
        <v>256</v>
        <stp/>
        <stp>8210</stp>
        <stp>PredictVolume</stp>
        <tr r="AI803" s="57"/>
      </tp>
      <tp>
        <v>45</v>
        <stp/>
        <stp>8240</stp>
        <stp>PredictVolume</stp>
        <tr r="AI927" s="57"/>
      </tp>
      <tp>
        <v>189</v>
        <stp/>
        <stp>8390</stp>
        <stp>PredictVolume</stp>
        <tr r="AI1369" s="57"/>
      </tp>
      <tp>
        <v>168</v>
        <stp/>
        <stp>8930</stp>
        <stp>PredictVolume</stp>
        <tr r="AI475" s="57"/>
      </tp>
      <tp>
        <v>667</v>
        <stp/>
        <stp>8940</stp>
        <stp>PredictVolume</stp>
        <tr r="AI1590" s="57"/>
      </tp>
      <tp>
        <v>68</v>
        <stp/>
        <stp>9930</stp>
        <stp>PredictVolume</stp>
        <tr r="AI1427" s="57"/>
      </tp>
      <tp>
        <v>901</v>
        <stp/>
        <stp>9910</stp>
        <stp>PredictVolume</stp>
        <tr r="AI132" s="114"/>
        <tr r="AI1416" s="57"/>
      </tp>
      <tp>
        <v>7</v>
        <stp/>
        <stp>9960</stp>
        <stp>PredictVolume</stp>
        <tr r="AI1675" s="57"/>
      </tp>
      <tp>
        <v>36</v>
        <stp/>
        <stp>9950</stp>
        <stp>PredictVolume</stp>
        <tr r="AI67" s="57"/>
      </tp>
      <tp>
        <v>301</v>
        <stp/>
        <stp>9940</stp>
        <stp>PredictVolume</stp>
        <tr r="AI1433" s="57"/>
      </tp>
      <tp>
        <v>41.9</v>
        <stp/>
        <stp>2342</stp>
        <stp>Price</stp>
        <tr r="W535" s="57"/>
      </tp>
      <tp>
        <v>27.05</v>
        <stp/>
        <stp>2352</stp>
        <stp>Price</stp>
        <tr r="W704" s="57"/>
      </tp>
      <tp>
        <v>34.4</v>
        <stp/>
        <stp>2362</stp>
        <stp>Price</stp>
        <tr r="W708" s="57"/>
      </tp>
      <tp>
        <v>16.55</v>
        <stp/>
        <stp>2302</stp>
        <stp>Price</stp>
        <tr r="W529" s="57"/>
      </tp>
      <tp>
        <v>13.25</v>
        <stp/>
        <stp>2312</stp>
        <stp>Price</stp>
        <tr r="W1693" s="57"/>
      </tp>
      <tp>
        <v>15.05</v>
        <stp/>
        <stp>2332</stp>
        <stp>Price</stp>
        <tr r="W932" s="57"/>
      </tp>
      <tp>
        <v>76.400000000000006</v>
        <stp/>
        <stp>2382</stp>
        <stp>Price</stp>
        <tr r="W714" s="57"/>
        <tr r="W7" s="118"/>
      </tp>
      <tp>
        <v>33.049999999999997</v>
        <stp/>
        <stp>2392</stp>
        <stp>Price</stp>
        <tr r="W1037" s="57"/>
      </tp>
      <tp>
        <v>25.2</v>
        <stp/>
        <stp>2062</stp>
        <stp>Price</stp>
        <tr r="W1315" s="57"/>
      </tp>
      <tp>
        <v>33.200000000000003</v>
        <stp/>
        <stp>2002</stp>
        <stp>Price</stp>
        <tr r="W432" s="57"/>
        <tr r="W27" s="118"/>
      </tp>
      <tp>
        <v>27.5</v>
        <stp/>
        <stp>2012</stp>
        <stp>Price</stp>
        <tr r="W438" s="57"/>
      </tp>
      <tp>
        <v>9.98</v>
        <stp/>
        <stp>2022</stp>
        <stp>Price</stp>
        <tr r="W444" s="57"/>
      </tp>
      <tp>
        <v>25.75</v>
        <stp/>
        <stp>2032</stp>
        <stp>Price</stp>
        <tr r="W453" s="57"/>
      </tp>
      <tp>
        <v>22.7</v>
        <stp/>
        <stp>2102</stp>
        <stp>Price</stp>
        <tr r="W481" s="57"/>
      </tp>
      <tp>
        <v>69.8</v>
        <stp/>
        <stp>2642</stp>
        <stp>Price</stp>
        <tr r="W1537" s="57"/>
      </tp>
      <tp>
        <v>51.1</v>
        <stp/>
        <stp>2612</stp>
        <stp>Price</stp>
        <tr r="W1526" s="57"/>
      </tp>
      <tp>
        <v>150</v>
        <stp/>
        <stp>2752</stp>
        <stp>Price</stp>
        <tr r="W1574" s="57"/>
      </tp>
      <tp>
        <v>25.45</v>
        <stp/>
        <stp>2702</stp>
        <stp>Price</stp>
        <tr r="W1551" s="57"/>
      </tp>
      <tp>
        <v>33.4</v>
        <stp/>
        <stp>2712</stp>
        <stp>Price</stp>
        <tr r="W1556" s="57"/>
      </tp>
      <tp>
        <v>29.3</v>
        <stp/>
        <stp>2722</stp>
        <stp>Price</stp>
        <tr r="W1559" s="57"/>
      </tp>
      <tp>
        <v>91.6</v>
        <stp/>
        <stp>2732</stp>
        <stp>Price</stp>
        <tr r="W1566" s="57"/>
      </tp>
      <tp>
        <v>12.5</v>
        <stp/>
        <stp>2442</stp>
        <stp>Price</stp>
        <tr r="W723" s="57"/>
      </tp>
      <tp>
        <v>26.5</v>
        <stp/>
        <stp>2462</stp>
        <stp>Price</stp>
        <tr r="W1049" s="57"/>
      </tp>
      <tp>
        <v>60.5</v>
        <stp/>
        <stp>2472</stp>
        <stp>Price</stp>
        <tr r="W1051" s="57"/>
      </tp>
      <tp>
        <v>14.95</v>
        <stp/>
        <stp>2402</stp>
        <stp>Price</stp>
        <tr r="W1038" s="57"/>
      </tp>
      <tp>
        <v>124</v>
        <stp/>
        <stp>2412</stp>
        <stp>Price</stp>
        <tr r="W934" s="57"/>
        <tr r="W25" s="118"/>
      </tp>
      <tp>
        <v>16.2</v>
        <stp/>
        <stp>2482</stp>
        <stp>Price</stp>
        <tr r="W1707" s="57"/>
      </tp>
      <tp>
        <v>106.5</v>
        <stp/>
        <stp>2492</stp>
        <stp>Price</stp>
        <tr r="W1056" s="57"/>
      </tp>
      <tp>
        <v>44.55</v>
        <stp/>
        <stp>2542</stp>
        <stp>Price</stp>
        <tr r="W1466" s="57"/>
      </tp>
      <tp>
        <v>15.5</v>
        <stp/>
        <stp>2852</stp>
        <stp>Price</stp>
        <tr r="W1607" s="57"/>
      </tp>
      <tp>
        <v>13.4</v>
        <stp/>
        <stp>2812</stp>
        <stp>Price</stp>
        <tr r="W1596" s="57"/>
      </tp>
      <tp>
        <v>19.5</v>
        <stp/>
        <stp>2832</stp>
        <stp>Price</stp>
        <tr r="W1599" s="57"/>
      </tp>
      <tp>
        <v>53.2</v>
        <stp/>
        <stp>2882</stp>
        <stp>Price</stp>
        <tr r="W1612" s="57"/>
        <tr r="W13" s="118"/>
      </tp>
      <tp>
        <v>25.7</v>
        <stp/>
        <stp>2892</stp>
        <stp>Price</stp>
        <tr r="W1622" s="57"/>
        <tr r="W18" s="118"/>
      </tp>
      <tp>
        <v>264</v>
        <stp/>
        <stp>2912</stp>
        <stp>Price</stp>
        <tr r="W1649" s="57"/>
      </tp>
      <tp>
        <v>16.350000000000001</v>
        <stp/>
        <stp>3252</stp>
        <stp>Price</stp>
        <tr r="W1579" s="57"/>
      </tp>
      <tp>
        <v>24.1</v>
        <stp/>
        <stp>3272</stp>
        <stp>Price</stp>
        <tr r="W738" s="57"/>
      </tp>
      <tp>
        <v>13.7</v>
        <stp/>
        <stp>3202</stp>
        <stp>Price</stp>
        <tr r="W1075" s="57"/>
      </tp>
      <tp>
        <v>33.5</v>
        <stp/>
        <stp>3232</stp>
        <stp>Price</stp>
        <tr r="W1241" s="57"/>
      </tp>
      <tp>
        <v>57</v>
        <stp/>
        <stp>3362</stp>
        <stp>Price</stp>
        <tr r="W838" s="57"/>
      </tp>
      <tp>
        <v>15.65</v>
        <stp/>
        <stp>3372</stp>
        <stp>Price</stp>
        <tr r="W576" s="57"/>
      </tp>
      <tp>
        <v>24.3</v>
        <stp/>
        <stp>3312</stp>
        <stp>Price</stp>
        <tr r="W1242" s="57"/>
      </tp>
      <tp>
        <v>20.7</v>
        <stp/>
        <stp>3322</stp>
        <stp>Price</stp>
        <tr r="W1090" s="57"/>
      </tp>
      <tp t="s">
        <v>無資料</v>
        <stp/>
        <stp>3332</stp>
        <stp>Price</stp>
        <tr r="W1091" s="57"/>
      </tp>
      <tp>
        <v>89.6</v>
        <stp/>
        <stp>3042</stp>
        <stp>Price</stp>
        <tr r="W1066" s="57"/>
      </tp>
      <tp>
        <v>10.1</v>
        <stp/>
        <stp>3052</stp>
        <stp>Price</stp>
        <tr r="W1476" s="57"/>
      </tp>
      <tp>
        <v>21.8</v>
        <stp/>
        <stp>3062</stp>
        <stp>Price</stp>
        <tr r="W946" s="57"/>
      </tp>
      <tp>
        <v>11.7</v>
        <stp/>
        <stp>3002</stp>
        <stp>Price</stp>
        <tr r="W725" s="57"/>
      </tp>
      <tp>
        <v>43.95</v>
        <stp/>
        <stp>3022</stp>
        <stp>Price</stp>
        <tr r="W729" s="57"/>
      </tp>
      <tp>
        <v>28.1</v>
        <stp/>
        <stp>3032</stp>
        <stp>Price</stp>
        <tr r="W1064" s="57"/>
      </tp>
      <tp>
        <v>49.3</v>
        <stp/>
        <stp>3092</stp>
        <stp>Price</stp>
        <tr r="W1071" s="57"/>
      </tp>
      <tp>
        <v>240</v>
        <stp/>
        <stp>3152</stp>
        <stp>Price</stp>
        <tr r="W950" s="57"/>
      </tp>
      <tp>
        <v>37.1</v>
        <stp/>
        <stp>3162</stp>
        <stp>Price</stp>
        <tr r="W28" s="28"/>
        <tr r="W88" s="22"/>
        <tr r="W169" s="57"/>
      </tp>
      <tp>
        <v>49.2</v>
        <stp/>
        <stp>3122</stp>
        <stp>Price</stp>
        <tr r="W562" s="57"/>
      </tp>
      <tp>
        <v>7.9</v>
        <stp/>
        <stp>3642</stp>
        <stp>Price</stp>
        <tr r="W1734" s="57"/>
      </tp>
      <tp>
        <v>20.8</v>
        <stp/>
        <stp>3652</stp>
        <stp>Price</stp>
        <tr r="W754" s="57"/>
      </tp>
      <tp>
        <v>36</v>
        <stp/>
        <stp>3672</stp>
        <stp>Price</stp>
        <tr r="W967" s="57"/>
      </tp>
      <tp>
        <v>30.35</v>
        <stp/>
        <stp>3622</stp>
        <stp>Price</stp>
        <tr r="W857" s="57"/>
      </tp>
      <tp>
        <v>8.6999999999999993</v>
        <stp/>
        <stp>3632</stp>
        <stp>Price</stp>
        <tr r="W965" s="57"/>
      </tp>
      <tp>
        <v>7.12</v>
        <stp/>
        <stp>3682</stp>
        <stp>Price</stp>
        <tr r="W968" s="57"/>
      </tp>
      <tp>
        <v>54.1</v>
        <stp/>
        <stp>3702</stp>
        <stp>Price</stp>
        <tr r="W1246" s="57"/>
      </tp>
      <tp>
        <v>29.55</v>
        <stp/>
        <stp>3712</stp>
        <stp>Price</stp>
        <tr r="W759" s="57"/>
      </tp>
      <tp>
        <v>46.1</v>
        <stp/>
        <stp>3402</stp>
        <stp>Price</stp>
        <tr r="W1722" s="57"/>
      </tp>
      <tp>
        <v>13.35</v>
        <stp/>
        <stp>3432</stp>
        <stp>Price</stp>
        <tr r="W1098" s="57"/>
      </tp>
      <tp>
        <v>17.100000000000001</v>
        <stp/>
        <stp>3492</stp>
        <stp>Price</stp>
        <tr r="W1101" s="57"/>
      </tp>
      <tp>
        <v>151</v>
        <stp/>
        <stp>3552</stp>
        <stp>Price</stp>
        <tr r="W1729" s="57"/>
      </tp>
      <tp>
        <v>32.6</v>
        <stp/>
        <stp>3512</stp>
        <stp>Price</stp>
        <tr r="W1104" s="57"/>
      </tp>
      <tp>
        <v>10.7</v>
        <stp/>
        <stp>3522</stp>
        <stp>Price</stp>
        <tr r="W1580" s="57"/>
      </tp>
      <tp>
        <v>232</v>
        <stp/>
        <stp>3532</stp>
        <stp>Price</stp>
        <tr r="W584" s="57"/>
      </tp>
      <tp>
        <v>505</v>
        <stp/>
        <stp>3592</stp>
        <stp>Price</stp>
        <tr r="W593" s="57"/>
      </tp>
      <tp>
        <v>153.5</v>
        <stp/>
        <stp>1232</stp>
        <stp>Price</stp>
        <tr r="W27" s="57"/>
      </tp>
      <tp>
        <v>75.5</v>
        <stp/>
        <stp>1342</stp>
        <stp>Price</stp>
        <tr r="W1309" s="57"/>
      </tp>
      <tp>
        <v>23.95</v>
        <stp/>
        <stp>1312</stp>
        <stp>Price</stp>
        <tr r="W50" s="57"/>
      </tp>
      <tp>
        <v>44.95</v>
        <stp/>
        <stp>1102</stp>
        <stp>Price</stp>
        <tr r="W5" s="57"/>
      </tp>
      <tp>
        <v>23.2</v>
        <stp/>
        <stp>1612</stp>
        <stp>Price</stp>
        <tr r="W231" s="57"/>
      </tp>
      <tp>
        <v>20.65</v>
        <stp/>
        <stp>1742</stp>
        <stp>Price</stp>
        <tr r="W262" s="57"/>
      </tp>
      <tp>
        <v>36.1</v>
        <stp/>
        <stp>1752</stp>
        <stp>Price</stp>
        <tr r="W299" s="57"/>
      </tp>
      <tp>
        <v>57.8</v>
        <stp/>
        <stp>1762</stp>
        <stp>Price</stp>
        <tr r="W301" s="57"/>
      </tp>
      <tp>
        <v>46</v>
        <stp/>
        <stp>1702</stp>
        <stp>Price</stp>
        <tr r="W35" s="57"/>
      </tp>
      <tp>
        <v>33.1</v>
        <stp/>
        <stp>1712</stp>
        <stp>Price</stp>
        <tr r="W248" s="57"/>
      </tp>
      <tp>
        <v>67.400000000000006</v>
        <stp/>
        <stp>1722</stp>
        <stp>Price</stp>
        <tr r="W254" s="57"/>
      </tp>
      <tp>
        <v>34.549999999999997</v>
        <stp/>
        <stp>1732</stp>
        <stp>Price</stp>
        <tr r="W260" s="57"/>
      </tp>
      <tp>
        <v>22</v>
        <stp/>
        <stp>1442</stp>
        <stp>Price</stp>
        <tr r="W1444" s="57"/>
      </tp>
      <tp>
        <v>22</v>
        <stp/>
        <stp>1452</stp>
        <stp>Price</stp>
        <tr r="W90" s="57"/>
      </tp>
      <tp>
        <v>29.5</v>
        <stp/>
        <stp>1472</stp>
        <stp>Price</stp>
        <tr r="W105" s="57"/>
      </tp>
      <tp>
        <v>30.9</v>
        <stp/>
        <stp>1402</stp>
        <stp>Price</stp>
        <tr r="W70" s="57"/>
      </tp>
      <tp>
        <v>10.35</v>
        <stp/>
        <stp>1432</stp>
        <stp>Price</stp>
        <tr r="W1639" s="57"/>
      </tp>
      <tp>
        <v>3.22</v>
        <stp/>
        <stp>1512</stp>
        <stp>Price</stp>
        <tr r="W497" s="57"/>
      </tp>
      <tp>
        <v>21.55</v>
        <stp/>
        <stp>1522</stp>
        <stp>Price</stp>
        <tr r="W499" s="57"/>
      </tp>
      <tp>
        <v>31.3</v>
        <stp/>
        <stp>1532</stp>
        <stp>Price</stp>
        <tr r="W143" s="57"/>
      </tp>
      <tp>
        <v>67.599999999999994</v>
        <stp/>
        <stp>1582</stp>
        <stp>Price</stp>
        <tr r="W73" s="114"/>
        <tr r="W1022" s="57"/>
      </tp>
      <tp>
        <v>20.65</v>
        <stp/>
        <stp>1802</stp>
        <stp>Price</stp>
        <tr r="W417" s="57"/>
      </tp>
      <tp>
        <v>51.5</v>
        <stp/>
        <stp>6242</stp>
        <stp>Price</stp>
        <tr r="W378" s="57"/>
      </tp>
      <tp>
        <v>96.7</v>
        <stp/>
        <stp>6202</stp>
        <stp>Price</stp>
        <tr r="W635" s="57"/>
      </tp>
      <tp t="s">
        <v>無資料</v>
        <stp/>
        <stp>6212</stp>
        <stp>Price</stp>
        <tr r="W1509" s="57"/>
      </tp>
      <tp>
        <v>27.35</v>
        <stp/>
        <stp>6282</stp>
        <stp>Price</stp>
        <tr r="W1190" s="57"/>
      </tp>
      <tp>
        <v>45.8</v>
        <stp/>
        <stp>6292</stp>
        <stp>Price</stp>
        <tr r="W1193" s="57"/>
      </tp>
      <tp>
        <v>8.77</v>
        <stp/>
        <stp>6142</stp>
        <stp>Price</stp>
        <tr r="W984" s="57"/>
      </tp>
      <tp>
        <v>9</v>
        <stp/>
        <stp>6152</stp>
        <stp>Price</stp>
        <tr r="W986" s="57"/>
      </tp>
      <tp>
        <v>34.9</v>
        <stp/>
        <stp>6112</stp>
        <stp>Price</stp>
        <tr r="W1287" s="57"/>
      </tp>
      <tp>
        <v>16.55</v>
        <stp/>
        <stp>6122</stp>
        <stp>Price</stp>
        <tr r="W210" s="57"/>
      </tp>
      <tp>
        <v>58.6</v>
        <stp/>
        <stp>6182</stp>
        <stp>Price</stp>
        <tr r="W633" s="57"/>
      </tp>
      <tp>
        <v>68.5</v>
        <stp/>
        <stp>6192</stp>
        <stp>Price</stp>
        <tr r="W1750" s="57"/>
      </tp>
      <tp>
        <v>63.2</v>
        <stp/>
        <stp>6642</stp>
        <stp>Price</stp>
        <tr r="W1199" s="57"/>
      </tp>
      <tp>
        <v>88.8</v>
        <stp/>
        <stp>6672</stp>
        <stp>Price</stp>
        <tr r="W90" s="114"/>
        <tr r="W1201" s="57"/>
      </tp>
      <tp>
        <v>77.400000000000006</v>
        <stp/>
        <stp>6612</stp>
        <stp>Price</stp>
        <tr r="W397" s="57"/>
      </tp>
      <tp>
        <v>53.4</v>
        <stp/>
        <stp>6752</stp>
        <stp>Price</stp>
        <tr r="W1302" s="57"/>
      </tp>
      <tp>
        <v>259</v>
        <stp/>
        <stp>6762</stp>
        <stp>Price</stp>
        <tr r="W407" s="57"/>
      </tp>
      <tp>
        <v>189</v>
        <stp/>
        <stp>6712</stp>
        <stp>Price</stp>
        <tr r="W404" s="57"/>
      </tp>
      <tp>
        <v>313.5</v>
        <stp/>
        <stp>6732</stp>
        <stp>Price</stp>
        <tr r="W80" s="114"/>
        <tr r="W676" s="57"/>
      </tp>
      <tp>
        <v>103</v>
        <stp/>
        <stp>6792</stp>
        <stp>Price</stp>
        <tr r="W1008" s="57"/>
      </tp>
      <tp>
        <v>36.700000000000003</v>
        <stp/>
        <stp>6442</stp>
        <stp>Price</stp>
        <tr r="W999" s="57"/>
      </tp>
      <tp>
        <v>111</v>
        <stp/>
        <stp>6462</stp>
        <stp>Price</stp>
        <tr r="W101" s="114"/>
        <tr r="W652" s="57"/>
      </tp>
      <tp>
        <v>161</v>
        <stp/>
        <stp>6472</stp>
        <stp>Price</stp>
        <tr r="W382" s="57"/>
      </tp>
      <tp>
        <v>68.900000000000006</v>
        <stp/>
        <stp>6412</stp>
        <stp>Price</stp>
        <tr r="W1194" s="57"/>
      </tp>
      <tp>
        <v>33</v>
        <stp/>
        <stp>6432</stp>
        <stp>Price</stp>
        <tr r="W1196" s="57"/>
      </tp>
      <tp>
        <v>40.200000000000003</v>
        <stp/>
        <stp>6482</stp>
        <stp>Price</stp>
        <tr r="W1797" s="57"/>
      </tp>
      <tp>
        <v>84.5</v>
        <stp/>
        <stp>6492</stp>
        <stp>Price</stp>
        <tr r="W384" s="57"/>
      </tp>
      <tp>
        <v>52.4</v>
        <stp/>
        <stp>6542</stp>
        <stp>Price</stp>
        <tr r="W1798" s="57"/>
      </tp>
      <tp>
        <v>44.1</v>
        <stp/>
        <stp>6552</stp>
        <stp>Price</stp>
        <tr r="W663" s="57"/>
      </tp>
      <tp>
        <v>17.5</v>
        <stp/>
        <stp>6512</stp>
        <stp>Price</stp>
        <tr r="W1759" s="57"/>
      </tp>
      <tp>
        <v>44.9</v>
        <stp/>
        <stp>6532</stp>
        <stp>Price</stp>
        <tr r="W660" s="57"/>
      </tp>
      <tp>
        <v>97.4</v>
        <stp/>
        <stp>6582</stp>
        <stp>Price</stp>
        <tr r="W120" s="114"/>
        <tr r="W491" s="57"/>
      </tp>
      <tp>
        <v>99.4</v>
        <stp/>
        <stp>6592</stp>
        <stp>Price</stp>
        <tr r="W1349" s="57"/>
      </tp>
      <tp t="s">
        <v>無資料</v>
        <stp/>
        <stp>7402</stp>
        <stp>Price</stp>
        <tr r="W918" s="57"/>
      </tp>
      <tp>
        <v>35.85</v>
        <stp/>
        <stp>4142</stp>
        <stp>Price</stp>
        <tr r="W343" s="57"/>
      </tp>
      <tp>
        <v>77.3</v>
        <stp/>
        <stp>4162</stp>
        <stp>Price</stp>
        <tr r="W352" s="57"/>
      </tp>
      <tp>
        <v>21</v>
        <stp/>
        <stp>4102</stp>
        <stp>Price</stp>
        <tr r="W318" s="57"/>
      </tp>
      <tp>
        <v>34.85</v>
        <stp/>
        <stp>4192</stp>
        <stp>Price</stp>
        <tr r="W363" s="57"/>
      </tp>
      <tp>
        <v>15.45</v>
        <stp/>
        <stp>4702</stp>
        <stp>Price</stp>
        <tr r="W266" s="57"/>
      </tp>
      <tp>
        <v>40.4</v>
        <stp/>
        <stp>4722</stp>
        <stp>Price</stp>
        <tr r="W274" s="57"/>
      </tp>
      <tp>
        <v>8.3000000000000007</v>
        <stp/>
        <stp>4402</stp>
        <stp>Price</stp>
        <tr r="W112" s="57"/>
      </tp>
      <tp>
        <v>15</v>
        <stp/>
        <stp>4432</stp>
        <stp>Price</stp>
        <tr r="W26" s="28"/>
        <tr r="W99" s="22"/>
        <tr r="W100" s="22"/>
        <tr r="W101" s="22"/>
        <tr r="W102" s="22"/>
        <tr r="W103" s="22"/>
        <tr r="W104" s="22"/>
        <tr r="W105" s="22"/>
        <tr r="W98" s="22"/>
        <tr r="W121" s="57"/>
      </tp>
      <tp>
        <v>26.7</v>
        <stp/>
        <stp>4542</stp>
        <stp>Price</stp>
        <tr r="W1124" s="57"/>
      </tp>
      <tp>
        <v>28.25</v>
        <stp/>
        <stp>4552</stp>
        <stp>Price</stp>
        <tr r="W194" s="57"/>
      </tp>
      <tp>
        <v>15.45</v>
        <stp/>
        <stp>4562</stp>
        <stp>Price</stp>
        <tr r="W199" s="57"/>
      </tp>
      <tp>
        <v>103.5</v>
        <stp/>
        <stp>4572</stp>
        <stp>Price</stp>
        <tr r="W205" s="57"/>
      </tp>
      <tp>
        <v>37</v>
        <stp/>
        <stp>4502</stp>
        <stp>Price</stp>
        <tr r="W175" s="57"/>
      </tp>
      <tp>
        <v>16.899999999999999</v>
        <stp/>
        <stp>4532</stp>
        <stp>Price</stp>
        <tr r="W185" s="57"/>
      </tp>
      <tp>
        <v>43</v>
        <stp/>
        <stp>4942</stp>
        <stp>Price</stp>
        <tr r="W126" s="114"/>
        <tr r="W871" s="57"/>
      </tp>
      <tp>
        <v>77</v>
        <stp/>
        <stp>4952</stp>
        <stp>Price</stp>
        <tr r="W603" s="57"/>
      </tp>
      <tp>
        <v>31.95</v>
        <stp/>
        <stp>4972</stp>
        <stp>Price</stp>
        <tr r="W875" s="57"/>
      </tp>
      <tp>
        <v>101</v>
        <stp/>
        <stp>4912</stp>
        <stp>Price</stp>
        <tr r="W1126" s="57"/>
      </tp>
      <tp>
        <v>34.200000000000003</v>
        <stp/>
        <stp>5272</stp>
        <stp>Price</stp>
        <tr r="W614" s="57"/>
      </tp>
      <tp>
        <v>17.899999999999999</v>
        <stp/>
        <stp>5202</stp>
        <stp>Price</stp>
        <tr r="W1278" s="57"/>
      </tp>
      <tp t="s">
        <v>無資料</v>
        <stp/>
        <stp>5212</stp>
        <stp>Price</stp>
        <tr r="W1283" s="57"/>
      </tp>
      <tp>
        <v>123.5</v>
        <stp/>
        <stp>5222</stp>
        <stp>Price</stp>
        <tr r="W611" s="57"/>
      </tp>
      <tp>
        <v>10</v>
        <stp/>
        <stp>5302</stp>
        <stp>Price</stp>
        <tr r="W618" s="57"/>
      </tp>
      <tp>
        <v>62.2</v>
        <stp/>
        <stp>5312</stp>
        <stp>Price</stp>
        <tr r="W376" s="57"/>
      </tp>
      <tp>
        <v>19.899999999999999</v>
        <stp/>
        <stp>5392</stp>
        <stp>Price</stp>
        <tr r="W888" s="57"/>
      </tp>
      <tp>
        <v>24.65</v>
        <stp/>
        <stp>5102</stp>
        <stp>Price</stp>
        <tr r="W490" s="57"/>
      </tp>
      <tp>
        <v>16.899999999999999</v>
        <stp/>
        <stp>5452</stp>
        <stp>Price</stp>
        <tr r="W1742" s="57"/>
      </tp>
      <tp>
        <v>38.450000000000003</v>
        <stp/>
        <stp>5432</stp>
        <stp>Price</stp>
        <tr r="W889" s="57"/>
      </tp>
      <tp>
        <v>8.75</v>
        <stp/>
        <stp>5512</stp>
        <stp>Price</stp>
        <tr r="W1491" s="57"/>
      </tp>
      <tp>
        <v>64.3</v>
        <stp/>
        <stp>5522</stp>
        <stp>Price</stp>
        <tr r="W1825" s="57"/>
      </tp>
      <tp>
        <v>27.2</v>
        <stp/>
        <stp>5902</stp>
        <stp>Price</stp>
        <tr r="W1661" s="57"/>
      </tp>
      <tp>
        <v>14.3</v>
        <stp/>
        <stp>8222</stp>
        <stp>Price</stp>
        <tr r="W218" s="57"/>
      </tp>
      <tp t="s">
        <v>無資料</v>
        <stp/>
        <stp>8342</stp>
        <stp>Price</stp>
        <tr r="W1368" s="57"/>
      </tp>
      <tp>
        <v>39</v>
        <stp/>
        <stp>8042</stp>
        <stp>Price</stp>
        <tr r="W1208" s="57"/>
      </tp>
      <tp>
        <v>23.55</v>
        <stp/>
        <stp>8072</stp>
        <stp>Price</stp>
        <tr r="W1261" s="57"/>
      </tp>
      <tp>
        <v>28.4</v>
        <stp/>
        <stp>8032</stp>
        <stp>Price</stp>
        <tr r="W1257" s="57"/>
      </tp>
      <tp>
        <v>9.84</v>
        <stp/>
        <stp>8092</stp>
        <stp>Price</stp>
        <tr r="W1772" s="57"/>
      </tp>
      <tp>
        <v>46.35</v>
        <stp/>
        <stp>8112</stp>
        <stp>Price</stp>
        <tr r="W1264" s="57"/>
      </tp>
      <tp>
        <v>42.5</v>
        <stp/>
        <stp>8182</stp>
        <stp>Price</stp>
        <tr r="W103" s="114"/>
        <tr r="W1221" s="57"/>
      </tp>
      <tp>
        <v>54.7</v>
        <stp/>
        <stp>8442</stp>
        <stp>Price</stp>
        <tr r="W1383" s="57"/>
      </tp>
      <tp>
        <v>115.5</v>
        <stp/>
        <stp>8462</stp>
        <stp>Price</stp>
        <tr r="W1589" s="57"/>
      </tp>
      <tp t="s">
        <v>無資料</v>
        <stp/>
        <stp>8472</stp>
        <stp>Price</stp>
        <tr r="W1814" s="57"/>
      </tp>
      <tp>
        <v>197.5</v>
        <stp/>
        <stp>8422</stp>
        <stp>Price</stp>
        <tr r="W1376" s="57"/>
      </tp>
      <tp>
        <v>41.5</v>
        <stp/>
        <stp>8432</stp>
        <stp>Price</stp>
        <tr r="W413" s="57"/>
      </tp>
      <tp>
        <v>71.3</v>
        <stp/>
        <stp>8482</stp>
        <stp>Price</stp>
        <tr r="W1394" s="57"/>
      </tp>
      <tp>
        <v>67.099999999999994</v>
        <stp/>
        <stp>8942</stp>
        <stp>Price</stp>
        <tr r="W1410" s="57"/>
      </tp>
      <tp>
        <v>26.25</v>
        <stp/>
        <stp>8932</stp>
        <stp>Price</stp>
        <tr r="W1404" s="57"/>
      </tp>
      <tp>
        <v>150</v>
        <stp/>
        <stp>9802</stp>
        <stp>Price</stp>
        <tr r="W1411" s="57"/>
      </tp>
      <tp>
        <v>84.3</v>
        <stp/>
        <stp>9942</stp>
        <stp>Price</stp>
        <tr r="W57" s="114"/>
        <tr r="W1435" s="57"/>
      </tp>
      <tp>
        <v>17</v>
        <stp/>
        <stp>9962</stp>
        <stp>Price</stp>
        <tr r="W477" s="57"/>
      </tp>
      <tp>
        <v>11.2</v>
        <stp/>
        <stp>9902</stp>
        <stp>Price</stp>
        <tr r="W1412" s="57"/>
      </tp>
      <tp>
        <v>9.07</v>
        <stp/>
        <stp>9912</stp>
        <stp>Price</stp>
        <tr r="W806" s="57"/>
      </tp>
      <tp>
        <v>2</v>
        <stp/>
        <stp>$TWO22</stp>
        <stp>VolumeStrength</stp>
        <tr r="AM9" s="28"/>
      </tp>
      <tp>
        <v>1</v>
        <stp/>
        <stp>$TWO13</stp>
        <stp>VolumeStrength</stp>
        <tr r="AM8" s="28"/>
      </tp>
      <tp>
        <v>-34</v>
        <stp/>
        <stp>$TWT22</stp>
        <stp>VolumeStrength</stp>
        <tr r="AM7" s="28"/>
      </tp>
      <tp>
        <v>3</v>
        <stp/>
        <stp>$TWT13</stp>
        <stp>VolumeStrength</stp>
        <tr r="AM6" s="28"/>
      </tp>
      <tp>
        <v>-12</v>
        <stp/>
        <stp>$TWT17</stp>
        <stp>VolumeStrength</stp>
        <tr r="AM5" s="28"/>
      </tp>
      <tp>
        <v>13</v>
        <stp/>
        <stp>$TWTNB</stp>
        <stp>VolumeStrength</stp>
        <tr r="AM4" s="28"/>
      </tp>
      <tp>
        <v>15.55</v>
        <stp/>
        <stp>2243</stp>
        <stp>Price</stp>
        <tr r="W517" s="57"/>
      </tp>
      <tp>
        <v>100.5</v>
        <stp/>
        <stp>2233</stp>
        <stp>Price</stp>
        <tr r="W514" s="57"/>
      </tp>
      <tp>
        <v>28.7</v>
        <stp/>
        <stp>2353</stp>
        <stp>Price</stp>
        <tr r="W705" s="57"/>
      </tp>
      <tp>
        <v>22.5</v>
        <stp/>
        <stp>2363</stp>
        <stp>Price</stp>
        <tr r="W538" s="57"/>
      </tp>
      <tp>
        <v>88</v>
        <stp/>
        <stp>2373</stp>
        <stp>Price</stp>
        <tr r="W1698" s="57"/>
      </tp>
      <tp>
        <v>49.45</v>
        <stp/>
        <stp>2303</stp>
        <stp>Price</stp>
        <tr r="W530" s="57"/>
        <tr r="W4" s="118"/>
      </tp>
      <tp>
        <v>45.4</v>
        <stp/>
        <stp>2313</stp>
        <stp>Price</stp>
        <tr r="W1027" s="57"/>
      </tp>
      <tp>
        <v>8.89</v>
        <stp/>
        <stp>2323</stp>
        <stp>Price</stp>
        <tr r="W809" s="57"/>
      </tp>
      <tp>
        <v>219.5</v>
        <stp/>
        <stp>2383</stp>
        <stp>Price</stp>
        <tr r="W114" s="114"/>
        <tr r="W1035" s="57"/>
      </tp>
      <tp>
        <v>43.8</v>
        <stp/>
        <stp>2393</stp>
        <stp>Price</stp>
        <tr r="W77" s="114"/>
        <tr r="W813" s="57"/>
      </tp>
      <tp>
        <v>35.25</v>
        <stp/>
        <stp>2063</stp>
        <stp>Price</stp>
        <tr r="W458" s="57"/>
      </tp>
      <tp>
        <v>50.8</v>
        <stp/>
        <stp>2013</stp>
        <stp>Price</stp>
        <tr r="W439" s="57"/>
      </tp>
      <tp>
        <v>19.7</v>
        <stp/>
        <stp>2023</stp>
        <stp>Price</stp>
        <tr r="W445" s="57"/>
      </tp>
      <tp>
        <v>19.25</v>
        <stp/>
        <stp>2033</stp>
        <stp>Price</stp>
        <tr r="W454" s="57"/>
      </tp>
      <tp>
        <v>29.1</v>
        <stp/>
        <stp>2103</stp>
        <stp>Price</stp>
        <tr r="W482" s="57"/>
      </tp>
      <tp>
        <v>70.7</v>
        <stp/>
        <stp>2643</stp>
        <stp>Price</stp>
        <tr r="W1538" s="57"/>
      </tp>
      <tp>
        <v>137.5</v>
        <stp/>
        <stp>2603</stp>
        <stp>Price</stp>
        <tr r="W87" s="114"/>
        <tr r="W22" s="118"/>
        <tr r="W1518" s="57"/>
      </tp>
      <tp>
        <v>36</v>
        <stp/>
        <stp>2613</stp>
        <stp>Price</stp>
        <tr r="W1527" s="57"/>
      </tp>
      <tp>
        <v>27.1</v>
        <stp/>
        <stp>2633</stp>
        <stp>Price</stp>
        <tr r="W1532" s="57"/>
      </tp>
      <tp>
        <v>60.6</v>
        <stp/>
        <stp>2743</stp>
        <stp>Price</stp>
        <tr r="W1571" s="57"/>
      </tp>
      <tp>
        <v>140.5</v>
        <stp/>
        <stp>2753</stp>
        <stp>Price</stp>
        <tr r="W1575" s="57"/>
      </tp>
      <tp>
        <v>89.9</v>
        <stp/>
        <stp>2723</stp>
        <stp>Price</stp>
        <tr r="W1560" s="57"/>
      </tp>
      <tp>
        <v>3.38</v>
        <stp/>
        <stp>2443</stp>
        <stp>Price</stp>
        <tr r="W1319" s="57"/>
      </tp>
      <tp>
        <v>27</v>
        <stp/>
        <stp>2453</stp>
        <stp>Price</stp>
        <tr r="W1268" s="57"/>
      </tp>
      <tp>
        <v>18.3</v>
        <stp/>
        <stp>2413</stp>
        <stp>Price</stp>
        <tr r="W1039" s="57"/>
      </tp>
      <tp>
        <v>28.3</v>
        <stp/>
        <stp>2423</stp>
        <stp>Price</stp>
        <tr r="W1701" s="57"/>
      </tp>
      <tp>
        <v>51.2</v>
        <stp/>
        <stp>2433</stp>
        <stp>Price</stp>
        <tr r="W1702" s="57"/>
      </tp>
      <tp>
        <v>22.85</v>
        <stp/>
        <stp>2483</stp>
        <stp>Price</stp>
        <tr r="W1054" s="57"/>
      </tp>
      <tp>
        <v>41.25</v>
        <stp/>
        <stp>2493</stp>
        <stp>Price</stp>
        <tr r="W1057" s="57"/>
      </tp>
      <tp>
        <v>8.15</v>
        <stp/>
        <stp>2543</stp>
        <stp>Price</stp>
        <tr r="W1467" s="57"/>
      </tp>
      <tp>
        <v>15.85</v>
        <stp/>
        <stp>2883</stp>
        <stp>Price</stp>
        <tr r="W1613" s="57"/>
      </tp>
      <tp>
        <v>19.5</v>
        <stp/>
        <stp>2903</stp>
        <stp>Price</stp>
        <tr r="W1643" s="57"/>
      </tp>
      <tp>
        <v>18.3</v>
        <stp/>
        <stp>2913</stp>
        <stp>Price</stp>
        <tr r="W1650" s="57"/>
      </tp>
      <tp>
        <v>25.35</v>
        <stp/>
        <stp>2923</stp>
        <stp>Price</stp>
        <tr r="W1475" s="57"/>
      </tp>
      <tp>
        <v>48.85</v>
        <stp/>
        <stp>3213</stp>
        <stp>Price</stp>
        <tr r="W76" s="114"/>
        <tr r="W736" s="57"/>
      </tp>
      <tp>
        <v>714</v>
        <stp/>
        <stp>3293</stp>
        <stp>Price</stp>
        <tr r="W1784" s="57"/>
      </tp>
      <tp>
        <v>25</v>
        <stp/>
        <stp>3363</stp>
        <stp>Price</stp>
        <tr r="W956" s="57"/>
      </tp>
      <tp>
        <v>27.2</v>
        <stp/>
        <stp>3373</stp>
        <stp>Price</stp>
        <tr r="W1721" s="57"/>
      </tp>
      <tp>
        <v>26.6</v>
        <stp/>
        <stp>3303</stp>
        <stp>Price</stp>
        <tr r="W1718" s="57"/>
      </tp>
      <tp>
        <v>12.25</v>
        <stp/>
        <stp>3313</stp>
        <stp>Price</stp>
        <tr r="W1088" s="57"/>
      </tp>
      <tp>
        <v>35</v>
        <stp/>
        <stp>3323</stp>
        <stp>Price</stp>
        <tr r="W740" s="57"/>
      </tp>
      <tp>
        <v>6.21</v>
        <stp/>
        <stp>3383</stp>
        <stp>Price</stp>
        <tr r="W839" s="57"/>
      </tp>
      <tp>
        <v>3.67</v>
        <stp/>
        <stp>3043</stp>
        <stp>Price</stp>
        <tr r="W1712" s="57"/>
      </tp>
      <tp>
        <v>23</v>
        <stp/>
        <stp>3073</stp>
        <stp>Price</stp>
        <tr r="W559" s="57"/>
      </tp>
      <tp>
        <v>69.2</v>
        <stp/>
        <stp>3003</stp>
        <stp>Price</stp>
        <tr r="W1058" s="57"/>
      </tp>
      <tp>
        <v>13.6</v>
        <stp/>
        <stp>3013</stp>
        <stp>Price</stp>
        <tr r="W727" s="57"/>
      </tp>
      <tp>
        <v>259</v>
        <stp/>
        <stp>3023</stp>
        <stp>Price</stp>
        <tr r="W1062" s="57"/>
      </tp>
      <tp>
        <v>29.95</v>
        <stp/>
        <stp>3033</stp>
        <stp>Price</stp>
        <tr r="W1235" s="57"/>
      </tp>
      <tp>
        <v>45.6</v>
        <stp/>
        <stp>3083</stp>
        <stp>Price</stp>
        <tr r="W1782" s="57"/>
      </tp>
      <tp>
        <v>113</v>
        <stp/>
        <stp>3093</stp>
        <stp>Price</stp>
        <tr r="W1714" s="57"/>
      </tp>
      <tp>
        <v>51.4</v>
        <stp/>
        <stp>3163</stp>
        <stp>Price</stp>
        <tr r="W951" s="57"/>
      </tp>
      <tp>
        <v>374.5</v>
        <stp/>
        <stp>3653</stp>
        <stp>Price</stp>
        <tr r="W1120" s="57"/>
      </tp>
      <tp>
        <v>25.1</v>
        <stp/>
        <stp>3663</stp>
        <stp>Price</stp>
        <tr r="W1735" s="57"/>
      </tp>
      <tp>
        <v>32.15</v>
        <stp/>
        <stp>3673</stp>
        <stp>Price</stp>
        <tr r="W862" s="57"/>
      </tp>
      <tp>
        <v>16.95</v>
        <stp/>
        <stp>3623</stp>
        <stp>Price</stp>
        <tr r="W858" s="57"/>
      </tp>
      <tp>
        <v>43.5</v>
        <stp/>
        <stp>3693</stp>
        <stp>Price</stp>
        <tr r="W755" s="57"/>
      </tp>
      <tp>
        <v>28.85</v>
        <stp/>
        <stp>3703</stp>
        <stp>Price</stp>
        <tr r="W1481" s="57"/>
      </tp>
      <tp>
        <v>31.7</v>
        <stp/>
        <stp>3713</stp>
        <stp>Price</stp>
        <tr r="W30" s="28"/>
        <tr r="W93" s="22"/>
        <tr r="W92" s="22"/>
        <tr r="W865" s="57"/>
      </tp>
      <tp>
        <v>517</v>
        <stp/>
        <stp>3443</stp>
        <stp>Price</stp>
        <tr r="W580" s="57"/>
      </tp>
      <tp>
        <v>214.5</v>
        <stp/>
        <stp>3413</stp>
        <stp>Price</stp>
        <tr r="W578" s="57"/>
      </tp>
      <tp>
        <v>68.900000000000006</v>
        <stp/>
        <stp>3483</stp>
        <stp>Price</stp>
        <tr r="W745" s="57"/>
      </tp>
      <tp>
        <v>20.5</v>
        <stp/>
        <stp>3543</stp>
        <stp>Price</stp>
        <tr r="W852" s="57"/>
      </tp>
      <tp>
        <v>179.5</v>
        <stp/>
        <stp>3563</stp>
        <stp>Price</stp>
        <tr r="W117" s="114"/>
        <tr r="W853" s="57"/>
      </tp>
      <tp>
        <v>815</v>
        <stp/>
        <stp>3533</stp>
        <stp>Price</stp>
        <tr r="W1107" s="57"/>
      </tp>
      <tp>
        <v>82.1</v>
        <stp/>
        <stp>3583</stp>
        <stp>Price</stp>
        <tr r="W591" s="57"/>
      </tp>
      <tp>
        <v>14.75</v>
        <stp/>
        <stp>3593</stp>
        <stp>Price</stp>
        <tr r="W1111" s="57"/>
      </tp>
      <tp>
        <v>32.700000000000003</v>
        <stp/>
        <stp>1203</stp>
        <stp>Price</stp>
        <tr r="W14" s="57"/>
      </tp>
      <tp>
        <v>7.98</v>
        <stp/>
        <stp>1213</stp>
        <stp>Price</stp>
        <tr r="W16" s="57"/>
      </tp>
      <tp>
        <v>33.450000000000003</v>
        <stp/>
        <stp>1233</stp>
        <stp>Price</stp>
        <tr r="W28" s="57"/>
      </tp>
      <tp>
        <v>81.2</v>
        <stp/>
        <stp>1303</stp>
        <stp>Price</stp>
        <tr r="W43" s="57"/>
        <tr r="W10" s="118"/>
      </tp>
      <tp>
        <v>16.399999999999999</v>
        <stp/>
        <stp>1313</stp>
        <stp>Price</stp>
        <tr r="W51" s="57"/>
      </tp>
      <tp>
        <v>33.6</v>
        <stp/>
        <stp>1323</stp>
        <stp>Price</stp>
        <tr r="W55" s="57"/>
      </tp>
      <tp>
        <v>17.95</v>
        <stp/>
        <stp>1103</stp>
        <stp>Price</stp>
        <tr r="W6" s="57"/>
      </tp>
      <tp>
        <v>29.9</v>
        <stp/>
        <stp>1603</stp>
        <stp>Price</stp>
        <tr r="W225" s="57"/>
      </tp>
      <tp>
        <v>198.5</v>
        <stp/>
        <stp>1773</stp>
        <stp>Price</stp>
        <tr r="W263" s="57"/>
      </tp>
      <tp>
        <v>23.05</v>
        <stp/>
        <stp>1713</stp>
        <stp>Price</stp>
        <tr r="W249" s="57"/>
      </tp>
      <tp>
        <v>120</v>
        <stp/>
        <stp>1723</stp>
        <stp>Price</stp>
        <tr r="W255" s="57"/>
      </tp>
      <tp>
        <v>26.15</v>
        <stp/>
        <stp>1733</stp>
        <stp>Price</stp>
        <tr r="W296" s="57"/>
      </tp>
      <tp>
        <v>36.700000000000003</v>
        <stp/>
        <stp>1783</stp>
        <stp>Price</stp>
        <tr r="W304" s="57"/>
      </tp>
      <tp>
        <v>15.6</v>
        <stp/>
        <stp>1443</stp>
        <stp>Price</stp>
        <tr r="W83" s="57"/>
      </tp>
      <tp>
        <v>22.65</v>
        <stp/>
        <stp>1453</stp>
        <stp>Price</stp>
        <tr r="W91" s="57"/>
      </tp>
      <tp>
        <v>13.45</v>
        <stp/>
        <stp>1463</stp>
        <stp>Price</stp>
        <tr r="W98" s="57"/>
      </tp>
      <tp>
        <v>18.45</v>
        <stp/>
        <stp>1473</stp>
        <stp>Price</stp>
        <tr r="W106" s="57"/>
      </tp>
      <tp>
        <v>9.68</v>
        <stp/>
        <stp>1413</stp>
        <stp>Price</stp>
        <tr r="W73" s="57"/>
      </tp>
      <tp>
        <v>19.5</v>
        <stp/>
        <stp>1423</stp>
        <stp>Price</stp>
        <tr r="W78" s="57"/>
      </tp>
      <tp>
        <v>55.1</v>
        <stp/>
        <stp>1503</stp>
        <stp>Price</stp>
        <tr r="W128" s="57"/>
      </tp>
      <tp>
        <v>49.45</v>
        <stp/>
        <stp>1513</stp>
        <stp>Price</stp>
        <tr r="W132" s="57"/>
      </tp>
      <tp>
        <v>56</v>
        <stp/>
        <stp>1533</stp>
        <stp>Price</stp>
        <tr r="W502" s="57"/>
      </tp>
      <tp t="s">
        <v>無資料</v>
        <stp/>
        <stp>1583</stp>
        <stp>Price</stp>
        <tr r="W154" s="57"/>
      </tp>
      <tp>
        <v>59.3</v>
        <stp/>
        <stp>1593</stp>
        <stp>Price</stp>
        <tr r="W290" s="57"/>
      </tp>
      <tp>
        <v>19.05</v>
        <stp/>
        <stp>1813</stp>
        <stp>Price</stp>
        <tr r="W311" s="57"/>
      </tp>
      <tp>
        <v>55.9</v>
        <stp/>
        <stp>1903</stp>
        <stp>Price</stp>
        <tr r="W424" s="57"/>
      </tp>
      <tp>
        <v>39.700000000000003</v>
        <stp/>
        <stp>6243</stp>
        <stp>Price</stp>
        <tr r="W641" s="57"/>
      </tp>
      <tp>
        <v>73</v>
        <stp/>
        <stp>6263</stp>
        <stp>Price</stp>
        <tr r="W994" s="57"/>
      </tp>
      <tp>
        <v>52.6</v>
        <stp/>
        <stp>6203</stp>
        <stp>Price</stp>
        <tr r="W1174" s="57"/>
      </tp>
      <tp>
        <v>98.5</v>
        <stp/>
        <stp>6213</stp>
        <stp>Price</stp>
        <tr r="W123" s="114"/>
        <tr r="W1180" s="57"/>
      </tp>
      <tp>
        <v>97.6</v>
        <stp/>
        <stp>6223</stp>
        <stp>Price</stp>
        <tr r="W636" s="57"/>
      </tp>
      <tp>
        <v>23.3</v>
        <stp/>
        <stp>6233</stp>
        <stp>Price</stp>
        <tr r="W638" s="57"/>
      </tp>
      <tp>
        <v>30.7</v>
        <stp/>
        <stp>6283</stp>
        <stp>Price</stp>
        <tr r="W1756" s="57"/>
      </tp>
      <tp>
        <v>48.2</v>
        <stp/>
        <stp>6023</stp>
        <stp>Price</stp>
        <tr r="W1634" s="57"/>
      </tp>
      <tp>
        <v>47.85</v>
        <stp/>
        <stp>6143</stp>
        <stp>Price</stp>
        <tr r="W985" s="57"/>
      </tp>
      <tp>
        <v>20.149999999999999</v>
        <stp/>
        <stp>6153</stp>
        <stp>Price</stp>
        <tr r="W1162" s="57"/>
      </tp>
      <tp>
        <v>14.95</v>
        <stp/>
        <stp>6163</stp>
        <stp>Price</stp>
        <tr r="W987" s="57"/>
      </tp>
      <tp>
        <v>48</v>
        <stp/>
        <stp>6173</stp>
        <stp>Price</stp>
        <tr r="W1167" s="57"/>
      </tp>
      <tp>
        <v>5.5</v>
        <stp/>
        <stp>6103</stp>
        <stp>Price</stp>
        <tr r="W628" s="57"/>
      </tp>
      <tp>
        <v>19.7</v>
        <stp/>
        <stp>6113</stp>
        <stp>Price</stp>
        <tr r="W1248" s="57"/>
      </tp>
      <tp>
        <v>53.8</v>
        <stp/>
        <stp>6123</stp>
        <stp>Price</stp>
        <tr r="W778" s="57"/>
      </tp>
      <tp>
        <v>8.2899999999999991</v>
        <stp/>
        <stp>6133</stp>
        <stp>Price</stp>
        <tr r="W1159" s="57"/>
      </tp>
      <tp>
        <v>54.9</v>
        <stp/>
        <stp>6183</stp>
        <stp>Price</stp>
        <tr r="W1290" s="57"/>
      </tp>
      <tp>
        <v>280</v>
        <stp/>
        <stp>6643</stp>
        <stp>Price</stp>
        <tr r="W91" s="114"/>
        <tr r="W668" s="57"/>
      </tp>
      <tp>
        <v>17.350000000000001</v>
        <stp/>
        <stp>6603</stp>
        <stp>Price</stp>
        <tr r="W212" s="57"/>
      </tp>
      <tp>
        <v>163.5</v>
        <stp/>
        <stp>6613</stp>
        <stp>Price</stp>
        <tr r="W1761" s="57"/>
      </tp>
      <tp>
        <v>222.5</v>
        <stp/>
        <stp>6683</stp>
        <stp>Price</stp>
        <tr r="W671" s="57"/>
      </tp>
      <tp>
        <v>79.599999999999994</v>
        <stp/>
        <stp>6693</stp>
        <stp>Price</stp>
        <tr r="W673" s="57"/>
      </tp>
      <tp>
        <v>44.9</v>
        <stp/>
        <stp>6743</stp>
        <stp>Price</stp>
        <tr r="W1767" s="57"/>
      </tp>
      <tp>
        <v>518</v>
        <stp/>
        <stp>6763</stp>
        <stp>Price</stp>
        <tr r="W1812" s="57"/>
      </tp>
      <tp>
        <v>99.7</v>
        <stp/>
        <stp>6703</stp>
        <stp>Price</stp>
        <tr r="W403" s="57"/>
      </tp>
      <tp>
        <v>23.65</v>
        <stp/>
        <stp>6733</stp>
        <stp>Price</stp>
        <tr r="W405" s="57"/>
      </tp>
      <tp>
        <v>35</v>
        <stp/>
        <stp>6443</stp>
        <stp>Price</stp>
        <tr r="W911" s="57"/>
      </tp>
      <tp>
        <v>15.55</v>
        <stp/>
        <stp>6573</stp>
        <stp>Price</stp>
        <tr r="W665" s="57"/>
      </tp>
      <tp>
        <v>79.900000000000006</v>
        <stp/>
        <stp>6523</stp>
        <stp>Price</stp>
        <tr r="W14" s="28"/>
        <tr r="W29" s="22"/>
        <tr r="W30" s="22"/>
        <tr r="W31" s="22"/>
        <tr r="W32" s="22"/>
        <tr r="W387" s="57"/>
      </tp>
      <tp>
        <v>323.5</v>
        <stp/>
        <stp>6533</stp>
        <stp>Price</stp>
        <tr r="W661" s="57"/>
      </tp>
      <tp>
        <v>35.450000000000003</v>
        <stp/>
        <stp>6593</stp>
        <stp>Price</stp>
        <tr r="W1297" s="57"/>
        <tr r="W1298" s="57"/>
      </tp>
      <tp>
        <v>244</v>
        <stp/>
        <stp>6803</stp>
        <stp>Price</stp>
        <tr r="W1362" s="57"/>
      </tp>
      <tp>
        <v>28</v>
        <stp/>
        <stp>4303</stp>
        <stp>Price</stp>
        <tr r="W62" s="57"/>
      </tp>
      <tp>
        <v>26.35</v>
        <stp/>
        <stp>4153</stp>
        <stp>Price</stp>
        <tr r="W346" s="57"/>
      </tp>
      <tp>
        <v>82.4</v>
        <stp/>
        <stp>4163</stp>
        <stp>Price</stp>
        <tr r="W21" s="28"/>
        <tr r="W353" s="57"/>
        <tr r="W57" s="22"/>
        <tr r="W58" s="22"/>
      </tp>
      <tp>
        <v>17.3</v>
        <stp/>
        <stp>4173</stp>
        <stp>Price</stp>
        <tr r="W357" s="57"/>
      </tp>
      <tp>
        <v>12.7</v>
        <stp/>
        <stp>4113</stp>
        <stp>Price</stp>
        <tr r="W1482" s="57"/>
      </tp>
      <tp>
        <v>58.5</v>
        <stp/>
        <stp>4123</stp>
        <stp>Price</stp>
        <tr r="W331" s="57"/>
      </tp>
      <tp>
        <v>48.1</v>
        <stp/>
        <stp>4133</stp>
        <stp>Price</stp>
        <tr r="W338" s="57"/>
      </tp>
      <tp>
        <v>18.8</v>
        <stp/>
        <stp>4183</stp>
        <stp>Price</stp>
        <tr r="W360" s="57"/>
      </tp>
      <tp>
        <v>184.5</v>
        <stp/>
        <stp>4743</stp>
        <stp>Price</stp>
        <tr r="W370" s="57"/>
        <tr r="W40" s="118"/>
      </tp>
      <tp>
        <v>99.6</v>
        <stp/>
        <stp>4763</stp>
        <stp>Price</stp>
        <tr r="W279" s="57"/>
      </tp>
      <tp>
        <v>13.65</v>
        <stp/>
        <stp>4413</stp>
        <stp>Price</stp>
        <tr r="W114" s="57"/>
      </tp>
      <tp>
        <v>28.5</v>
        <stp/>
        <stp>4433</stp>
        <stp>Price</stp>
        <tr r="W122" s="57"/>
      </tp>
      <tp>
        <v>17.2</v>
        <stp/>
        <stp>4543</stp>
        <stp>Price</stp>
        <tr r="W191" s="57"/>
      </tp>
      <tp>
        <v>33.4</v>
        <stp/>
        <stp>4563</stp>
        <stp>Price</stp>
        <tr r="W200" s="57"/>
      </tp>
      <tp>
        <v>25.45</v>
        <stp/>
        <stp>4503</stp>
        <stp>Price</stp>
        <tr r="W176" s="57"/>
      </tp>
      <tp>
        <v>18.5</v>
        <stp/>
        <stp>4513</stp>
        <stp>Price</stp>
        <tr r="W179" s="57"/>
      </tp>
      <tp>
        <v>26.25</v>
        <stp/>
        <stp>4523</stp>
        <stp>Price</stp>
        <tr r="W180" s="57"/>
      </tp>
      <tp>
        <v>11.45</v>
        <stp/>
        <stp>4533</stp>
        <stp>Price</stp>
        <tr r="W186" s="57"/>
      </tp>
      <tp>
        <v>202.5</v>
        <stp/>
        <stp>4583</stp>
        <stp>Price</stp>
        <tr r="W56" s="28"/>
        <tr r="W208" s="57"/>
      </tp>
      <tp>
        <v>19.5</v>
        <stp/>
        <stp>4943</stp>
        <stp>Price</stp>
        <tr r="W1130" s="57"/>
      </tp>
      <tp>
        <v>82</v>
        <stp/>
        <stp>4953</stp>
        <stp>Price</stp>
        <tr r="W1275" s="57"/>
      </tp>
      <tp>
        <v>20.75</v>
        <stp/>
        <stp>4973</stp>
        <stp>Price</stp>
        <tr r="W609" s="57"/>
      </tp>
      <tp>
        <v>10.199999999999999</v>
        <stp/>
        <stp>4903</stp>
        <stp>Price</stp>
        <tr r="W972" s="57"/>
      </tp>
      <tp>
        <v>72.8</v>
        <stp/>
        <stp>4923</stp>
        <stp>Price</stp>
        <tr r="W601" s="57"/>
      </tp>
      <tp>
        <v>38.5</v>
        <stp/>
        <stp>4933</stp>
        <stp>Price</stp>
        <tr r="W868" s="57"/>
      </tp>
      <tp>
        <v>57.3</v>
        <stp/>
        <stp>5243</stp>
        <stp>Price</stp>
        <tr r="W881" s="57"/>
      </tp>
      <tp>
        <v>111</v>
        <stp/>
        <stp>5263</stp>
        <stp>Price</stp>
        <tr r="W1789" s="57"/>
      </tp>
      <tp>
        <v>85.8</v>
        <stp/>
        <stp>5203</stp>
        <stp>Price</stp>
        <tr r="W1279" s="57"/>
      </tp>
      <tp>
        <v>23.45</v>
        <stp/>
        <stp>5213</stp>
        <stp>Price</stp>
        <tr r="W1486" s="57"/>
      </tp>
      <tp>
        <v>46.2</v>
        <stp/>
        <stp>5223</stp>
        <stp>Price</stp>
        <tr r="W23" s="28"/>
        <tr r="W63" s="22"/>
        <tr r="W64" s="22"/>
        <tr r="W65" s="22"/>
        <tr r="W62" s="22"/>
        <tr r="W766" s="57"/>
      </tp>
      <tp>
        <v>112.5</v>
        <stp/>
        <stp>5283</stp>
        <stp>Price</stp>
        <tr r="W241" s="57"/>
      </tp>
      <tp>
        <v>19.149999999999999</v>
        <stp/>
        <stp>5353</stp>
        <stp>Price</stp>
        <tr r="W980" s="57"/>
      </tp>
      <tp>
        <v>30.9</v>
        <stp/>
        <stp>5383</stp>
        <stp>Price</stp>
        <tr r="W1741" s="57"/>
      </tp>
      <tp>
        <v>34.75</v>
        <stp/>
        <stp>5013</stp>
        <stp>Price</stp>
        <tr r="W467" s="57"/>
      </tp>
      <tp>
        <v>47.6</v>
        <stp/>
        <stp>5603</stp>
        <stp>Price</stp>
        <tr r="W1540" s="57"/>
      </tp>
      <tp>
        <v>23.5</v>
        <stp/>
        <stp>5703</stp>
        <stp>Price</stp>
        <tr r="W1585" s="57"/>
      </tp>
      <tp>
        <v>27.6</v>
        <stp/>
        <stp>5443</stp>
        <stp>Price</stp>
        <tr r="W890" s="57"/>
      </tp>
      <tp>
        <v>70.7</v>
        <stp/>
        <stp>5403</stp>
        <stp>Price</stp>
        <tr r="W1285" s="57"/>
      </tp>
      <tp>
        <v>158.5</v>
        <stp/>
        <stp>5483</stp>
        <stp>Price</stp>
        <tr r="W37" s="118"/>
        <tr r="W626" s="57"/>
      </tp>
      <tp>
        <v>53.6</v>
        <stp/>
        <stp>5493</stp>
        <stp>Price</stp>
        <tr r="W1744" s="57"/>
      </tp>
      <tp>
        <v>59.5</v>
        <stp/>
        <stp>5543</stp>
        <stp>Price</stp>
        <tr r="W1504" s="57"/>
      </tp>
      <tp>
        <v>26</v>
        <stp/>
        <stp>5523</stp>
        <stp>Price</stp>
        <tr r="W1498" s="57"/>
      </tp>
      <tp>
        <v>19.75</v>
        <stp/>
        <stp>5533</stp>
        <stp>Price</stp>
        <tr r="W1502" s="57"/>
      </tp>
      <tp>
        <v>182.5</v>
        <stp/>
        <stp>5903</stp>
        <stp>Price</stp>
        <tr r="W1662" s="57"/>
      </tp>
      <tp>
        <v>51.4</v>
        <stp/>
        <stp>8213</stp>
        <stp>Price</stp>
        <tr r="W1222" s="57"/>
      </tp>
      <tp>
        <v>38.799999999999997</v>
        <stp/>
        <stp>8383</stp>
        <stp>Price</stp>
        <tr r="W1775" s="57"/>
      </tp>
      <tp>
        <v>23.2</v>
        <stp/>
        <stp>8043</stp>
        <stp>Price</stp>
        <tr r="W1209" s="57"/>
      </tp>
      <tp>
        <v>17.600000000000001</v>
        <stp/>
        <stp>8033</stp>
        <stp>Price</stp>
        <tr r="W1366" s="57"/>
      </tp>
      <tp>
        <v>176</v>
        <stp/>
        <stp>8083</stp>
        <stp>Price</stp>
        <tr r="W216" s="57"/>
      </tp>
      <tp>
        <v>7.87</v>
        <stp/>
        <stp>8093</stp>
        <stp>Price</stp>
        <tr r="W1215" s="57"/>
      </tp>
      <tp>
        <v>42.3</v>
        <stp/>
        <stp>8163</stp>
        <stp>Price</stp>
        <tr r="W802" s="57"/>
      </tp>
      <tp>
        <v>38.6</v>
        <stp/>
        <stp>8103</stp>
        <stp>Price</stp>
        <tr r="W1216" s="57"/>
      </tp>
      <tp>
        <v>57</v>
        <stp/>
        <stp>8183</stp>
        <stp>Price</stp>
        <tr r="W1773" s="57"/>
      </tp>
      <tp>
        <v>10.95</v>
        <stp/>
        <stp>8443</stp>
        <stp>Price</stp>
        <tr r="W1672" s="57"/>
      </tp>
      <tp>
        <v>23.6</v>
        <stp/>
        <stp>8463</stp>
        <stp>Price</stp>
        <tr r="W1385" s="57"/>
      </tp>
      <tp>
        <v>30.15</v>
        <stp/>
        <stp>8473</stp>
        <stp>Price</stp>
        <tr r="W1389" s="57"/>
      </tp>
      <tp>
        <v>31.15</v>
        <stp/>
        <stp>8403</stp>
        <stp>Price</stp>
        <tr r="W410" s="57"/>
      </tp>
      <tp>
        <v>18</v>
        <stp/>
        <stp>8423</stp>
        <stp>Price</stp>
        <tr r="W1377" s="57"/>
      </tp>
      <tp>
        <v>49.8</v>
        <stp/>
        <stp>8433</stp>
        <stp>Price</stp>
        <tr r="W1671" s="57"/>
      </tp>
      <tp>
        <v>20.95</v>
        <stp/>
        <stp>8923</stp>
        <stp>Price</stp>
        <tr r="W1803" s="57"/>
      </tp>
      <tp>
        <v>11.6</v>
        <stp/>
        <stp>8933</stp>
        <stp>Price</stp>
        <tr r="W1405" s="57"/>
      </tp>
      <tp>
        <v>54.2</v>
        <stp/>
        <stp>9943</stp>
        <stp>Price</stp>
        <tr r="W1591" s="57"/>
      </tp>
      <tp>
        <v>46</v>
        <stp/>
        <stp>9933</stp>
        <stp>Price</stp>
        <tr r="W1428" s="57"/>
      </tp>
      <tp>
        <v>13540.04</v>
        <stp/>
        <stp>$TWMC</stp>
        <stp>Price</stp>
        <tr r="T3" s="85"/>
      </tp>
      <tp>
        <v>82.7</v>
        <stp/>
        <stp>2250</stp>
        <stp>Price</stp>
        <tr r="W519" s="57"/>
      </tp>
      <tp>
        <v>17.55</v>
        <stp/>
        <stp>2230</stp>
        <stp>Price</stp>
        <tr r="W165" s="57"/>
      </tp>
      <tp>
        <v>41.9</v>
        <stp/>
        <stp>2340</stp>
        <stp>Price</stp>
        <tr r="W810" s="57"/>
      </tp>
      <tp>
        <v>158</v>
        <stp/>
        <stp>2360</stp>
        <stp>Price</stp>
        <tr r="W105" s="114"/>
        <tr r="W1697" s="57"/>
      </tp>
      <tp>
        <v>520</v>
        <stp/>
        <stp>2330</stp>
        <stp>Price</stp>
        <tr r="W532" s="57"/>
        <tr r="W1" s="118"/>
      </tp>
      <tp>
        <v>9.98</v>
        <stp/>
        <stp>2380</stp>
        <stp>Price</stp>
        <tr r="W713" s="57"/>
      </tp>
      <tp>
        <v>19.3</v>
        <stp/>
        <stp>2390</stp>
        <stp>Price</stp>
        <tr r="W1699" s="57"/>
      </tp>
      <tp>
        <v>34</v>
        <stp/>
        <stp>2070</stp>
        <stp>Price</stp>
        <tr r="W164" s="57"/>
      </tp>
      <tp>
        <v>19</v>
        <stp/>
        <stp>2010</stp>
        <stp>Price</stp>
        <tr r="W437" s="57"/>
      </tp>
      <tp>
        <v>30.15</v>
        <stp/>
        <stp>2020</stp>
        <stp>Price</stp>
        <tr r="W443" s="57"/>
      </tp>
      <tp>
        <v>29</v>
        <stp/>
        <stp>2030</stp>
        <stp>Price</stp>
        <tr r="W451" s="57"/>
      </tp>
      <tp>
        <v>77.3</v>
        <stp/>
        <stp>2640</stp>
        <stp>Price</stp>
        <tr r="W1322" s="57"/>
      </tp>
      <tp>
        <v>25.3</v>
        <stp/>
        <stp>2610</stp>
        <stp>Price</stp>
        <tr r="W1524" s="57"/>
      </tp>
      <tp>
        <v>17.149999999999999</v>
        <stp/>
        <stp>2630</stp>
        <stp>Price</stp>
        <tr r="W1531" s="57"/>
      </tp>
      <tp>
        <v>26.5</v>
        <stp/>
        <stp>2740</stp>
        <stp>Price</stp>
        <tr r="W1570" s="57"/>
      </tp>
      <tp>
        <v>13</v>
        <stp/>
        <stp>2440</stp>
        <stp>Price</stp>
        <tr r="W1046" s="57"/>
      </tp>
      <tp>
        <v>33.15</v>
        <stp/>
        <stp>2450</stp>
        <stp>Price</stp>
        <tr r="W938" s="57"/>
      </tp>
      <tp>
        <v>21.1</v>
        <stp/>
        <stp>2460</stp>
        <stp>Price</stp>
        <tr r="W1048" s="57"/>
      </tp>
      <tp>
        <v>42.1</v>
        <stp/>
        <stp>2420</stp>
        <stp>Price</stp>
        <tr r="W1041" s="57"/>
      </tp>
      <tp>
        <v>36.450000000000003</v>
        <stp/>
        <stp>2430</stp>
        <stp>Price</stp>
        <tr r="W1231" s="57"/>
      </tp>
      <tp>
        <v>90.9</v>
        <stp/>
        <stp>2480</stp>
        <stp>Price</stp>
        <tr r="W1271" s="57"/>
      </tp>
      <tp>
        <v>110</v>
        <stp/>
        <stp>2540</stp>
        <stp>Price</stp>
        <tr r="W1465" s="57"/>
      </tp>
      <tp>
        <v>33.85</v>
        <stp/>
        <stp>2520</stp>
        <stp>Price</stp>
        <tr r="W1454" s="57"/>
      </tp>
      <tp>
        <v>14.4</v>
        <stp/>
        <stp>2530</stp>
        <stp>Price</stp>
        <tr r="W1458" s="57"/>
      </tp>
      <tp>
        <v>52.8</v>
        <stp/>
        <stp>2850</stp>
        <stp>Price</stp>
        <tr r="W1605" s="57"/>
      </tp>
      <tp>
        <v>16.7</v>
        <stp/>
        <stp>2820</stp>
        <stp>Price</stp>
        <tr r="W1598" s="57"/>
      </tp>
      <tp>
        <v>21.9</v>
        <stp/>
        <stp>2880</stp>
        <stp>Price</stp>
        <tr r="W1610" s="57"/>
        <tr r="W20" s="118"/>
      </tp>
      <tp>
        <v>16.850000000000001</v>
        <stp/>
        <stp>2890</stp>
        <stp>Price</stp>
        <tr r="W1620" s="57"/>
      </tp>
      <tp>
        <v>32.200000000000003</v>
        <stp/>
        <stp>2910</stp>
        <stp>Price</stp>
        <tr r="W1647" s="57"/>
      </tp>
      <tp>
        <v>70.599999999999994</v>
        <stp/>
        <stp>3260</stp>
        <stp>Price</stp>
        <tr r="W571" s="57"/>
      </tp>
      <tp>
        <v>17.2</v>
        <stp/>
        <stp>3230</stp>
        <stp>Price</stp>
        <tr r="W834" s="57"/>
      </tp>
      <tp>
        <v>19.100000000000001</v>
        <stp/>
        <stp>3290</stp>
        <stp>Price</stp>
        <tr r="W1083" s="57"/>
      </tp>
      <tp>
        <v>15.5</v>
        <stp/>
        <stp>3360</stp>
        <stp>Price</stp>
        <tr r="W1243" s="57"/>
      </tp>
      <tp>
        <v>37</v>
        <stp/>
        <stp>3310</stp>
        <stp>Price</stp>
        <tr r="W1087" s="57"/>
      </tp>
      <tp>
        <v>26.55</v>
        <stp/>
        <stp>3380</stp>
        <stp>Price</stp>
        <tr r="W957" s="57"/>
      </tp>
      <tp>
        <v>17.7</v>
        <stp/>
        <stp>3390</stp>
        <stp>Price</stp>
        <tr r="W1097" s="57"/>
      </tp>
      <tp>
        <v>32.549999999999997</v>
        <stp/>
        <stp>3040</stp>
        <stp>Price</stp>
        <tr r="W1324" s="57"/>
      </tp>
      <tp>
        <v>17.3</v>
        <stp/>
        <stp>3050</stp>
        <stp>Price</stp>
        <tr r="W828" s="57"/>
      </tp>
      <tp>
        <v>19.25</v>
        <stp/>
        <stp>3060</stp>
        <stp>Price</stp>
        <tr r="W732" s="57"/>
      </tp>
      <tp>
        <v>99.7</v>
        <stp/>
        <stp>3010</stp>
        <stp>Price</stp>
        <tr r="W1233" s="57"/>
      </tp>
      <tp>
        <v>64</v>
        <stp/>
        <stp>3030</stp>
        <stp>Price</stp>
        <tr r="W1711" s="57"/>
      </tp>
      <tp>
        <v>53.3</v>
        <stp/>
        <stp>3090</stp>
        <stp>Price</stp>
        <tr r="W1070" s="57"/>
      </tp>
      <tp>
        <v>197</v>
        <stp/>
        <stp>3130</stp>
        <stp>Price</stp>
        <tr r="W1273" s="57"/>
      </tp>
      <tp>
        <v>28.3</v>
        <stp/>
        <stp>3630</stp>
        <stp>Price</stp>
        <tr r="W859" s="57"/>
      </tp>
      <tp>
        <v>212.5</v>
        <stp/>
        <stp>3680</stp>
        <stp>Price</stp>
        <tr r="W596" s="57"/>
      </tp>
      <tp>
        <v>11.6</v>
        <stp/>
        <stp>3710</stp>
        <stp>Price</stp>
        <tr r="W1123" s="57"/>
      </tp>
      <tp>
        <v>41.7</v>
        <stp/>
        <stp>3450</stp>
        <stp>Price</stp>
        <tr r="W1723" s="57"/>
      </tp>
      <tp>
        <v>27</v>
        <stp/>
        <stp>3490</stp>
        <stp>Price</stp>
        <tr r="W847" s="57"/>
      </tp>
      <tp>
        <v>25.8</v>
        <stp/>
        <stp>3540</stp>
        <stp>Price</stp>
        <tr r="W749" s="57"/>
      </tp>
      <tp>
        <v>13.7</v>
        <stp/>
        <stp>3550</stp>
        <stp>Price</stp>
        <tr r="W1110" s="57"/>
      </tp>
      <tp>
        <v>88</v>
        <stp/>
        <stp>3570</stp>
        <stp>Price</stp>
        <tr r="W1274" s="57"/>
      </tp>
      <tp>
        <v>13.25</v>
        <stp/>
        <stp>3520</stp>
        <stp>Price</stp>
        <tr r="W1105" s="57"/>
      </tp>
      <tp>
        <v>122</v>
        <stp/>
        <stp>3530</stp>
        <stp>Price</stp>
        <tr r="W583" s="57"/>
      </tp>
      <tp>
        <v>64.3</v>
        <stp/>
        <stp>3580</stp>
        <stp>Price</stp>
        <tr r="W1730" s="57"/>
      </tp>
      <tp>
        <v>123</v>
        <stp/>
        <stp>0050</stp>
        <stp>Price</stp>
        <tr r="W11" s="28"/>
        <tr r="W1" s="57"/>
      </tp>
      <tp>
        <v>47.5</v>
        <stp/>
        <stp>1240</stp>
        <stp>Price</stp>
        <tr r="W1819" s="57"/>
      </tp>
      <tp>
        <v>47.25</v>
        <stp/>
        <stp>1210</stp>
        <stp>Price</stp>
        <tr r="W15" s="57"/>
      </tp>
      <tp>
        <v>18.350000000000001</v>
        <stp/>
        <stp>1220</stp>
        <stp>Price</stp>
        <tr r="W22" s="57"/>
      </tp>
      <tp>
        <v>10.1</v>
        <stp/>
        <stp>1340</stp>
        <stp>Price</stp>
        <tr r="W60" s="57"/>
      </tp>
      <tp>
        <v>14.95</v>
        <stp/>
        <stp>1310</stp>
        <stp>Price</stp>
        <tr r="W49" s="57"/>
      </tp>
      <tp>
        <v>20.2</v>
        <stp/>
        <stp>1110</stp>
        <stp>Price</stp>
        <tr r="W10" s="57"/>
      </tp>
      <tp>
        <v>109</v>
        <stp/>
        <stp>1760</stp>
        <stp>Price</stp>
        <tr r="W300" s="57"/>
      </tp>
      <tp>
        <v>18.95</v>
        <stp/>
        <stp>1710</stp>
        <stp>Price</stp>
        <tr r="W246" s="57"/>
      </tp>
      <tp>
        <v>42.7</v>
        <stp/>
        <stp>1720</stp>
        <stp>Price</stp>
        <tr r="W294" s="57"/>
      </tp>
      <tp>
        <v>58</v>
        <stp/>
        <stp>1730</stp>
        <stp>Price</stp>
        <tr r="W259" s="57"/>
      </tp>
      <tp>
        <v>19.600000000000001</v>
        <stp/>
        <stp>1440</stp>
        <stp>Price</stp>
        <tr r="W81" s="57"/>
      </tp>
      <tp>
        <v>7.45</v>
        <stp/>
        <stp>1460</stp>
        <stp>Price</stp>
        <tr r="W97" s="57"/>
      </tp>
      <tp>
        <v>25.15</v>
        <stp/>
        <stp>1470</stp>
        <stp>Price</stp>
        <tr r="W104" s="57"/>
      </tp>
      <tp>
        <v>35.1</v>
        <stp/>
        <stp>1410</stp>
        <stp>Price</stp>
        <tr r="W72" s="57"/>
      </tp>
      <tp>
        <v>14.85</v>
        <stp/>
        <stp>1540</stp>
        <stp>Price</stp>
        <tr r="W148" s="57"/>
      </tp>
      <tp>
        <v>129.5</v>
        <stp/>
        <stp>1560</stp>
        <stp>Price</stp>
        <tr r="W151" s="57"/>
      </tp>
      <tp>
        <v>17.7</v>
        <stp/>
        <stp>1570</stp>
        <stp>Price</stp>
        <tr r="W152" s="57"/>
      </tp>
      <tp>
        <v>29.75</v>
        <stp/>
        <stp>1530</stp>
        <stp>Price</stp>
        <tr r="W141" s="57"/>
      </tp>
      <tp>
        <v>97.1</v>
        <stp/>
        <stp>1580</stp>
        <stp>Price</stp>
        <tr r="W153" s="57"/>
      </tp>
      <tp>
        <v>849</v>
        <stp/>
        <stp>1590</stp>
        <stp>Price</stp>
        <tr r="W133" s="114"/>
        <tr r="W157" s="57"/>
      </tp>
      <tp>
        <v>12.55</v>
        <stp/>
        <stp>1810</stp>
        <stp>Price</stp>
        <tr r="W420" s="57"/>
      </tp>
      <tp>
        <v>22.1</v>
        <stp/>
        <stp>6240</stp>
        <stp>Price</stp>
        <tr r="W1294" s="57"/>
      </tp>
      <tp>
        <v>24.55</v>
        <stp/>
        <stp>6270</stp>
        <stp>Price</stp>
        <tr r="W1254" s="57"/>
      </tp>
      <tp>
        <v>41.5</v>
        <stp/>
        <stp>6210</stp>
        <stp>Price</stp>
        <tr r="W1179" s="57"/>
      </tp>
      <tp>
        <v>23</v>
        <stp/>
        <stp>6220</stp>
        <stp>Price</stp>
        <tr r="W1182" s="57"/>
      </tp>
      <tp>
        <v>113.5</v>
        <stp/>
        <stp>6230</stp>
        <stp>Price</stp>
        <tr r="W787" s="57"/>
      </tp>
      <tp>
        <v>52.4</v>
        <stp/>
        <stp>6290</stp>
        <stp>Price</stp>
        <tr r="W1192" s="57"/>
      </tp>
      <tp>
        <v>19.2</v>
        <stp/>
        <stp>6020</stp>
        <stp>Price</stp>
        <tr r="W1632" s="57"/>
      </tp>
      <tp>
        <v>16.3</v>
        <stp/>
        <stp>6140</stp>
        <stp>Price</stp>
        <tr r="W1288" s="57"/>
      </tp>
      <tp>
        <v>103</v>
        <stp/>
        <stp>6150</stp>
        <stp>Price</stp>
        <tr r="W89" s="114"/>
        <tr r="W780" s="57"/>
      </tp>
      <tp>
        <v>13.65</v>
        <stp/>
        <stp>6160</stp>
        <stp>Price</stp>
        <tr r="W781" s="57"/>
      </tp>
      <tp>
        <v>33.85</v>
        <stp/>
        <stp>6170</stp>
        <stp>Price</stp>
        <tr r="W988" s="57"/>
      </tp>
      <tp>
        <v>10.35</v>
        <stp/>
        <stp>6120</stp>
        <stp>Price</stp>
        <tr r="W893" s="57"/>
      </tp>
      <tp>
        <v>35.799999999999997</v>
        <stp/>
        <stp>6130</stp>
        <stp>Price</stp>
        <tr r="W377" s="57"/>
      </tp>
      <tp>
        <v>66.5</v>
        <stp/>
        <stp>6180</stp>
        <stp>Price</stp>
        <tr r="W1795" s="57"/>
      </tp>
      <tp>
        <v>37</v>
        <stp/>
        <stp>6190</stp>
        <stp>Price</stp>
        <tr r="W989" s="57"/>
      </tp>
      <tp>
        <v>91.4</v>
        <stp/>
        <stp>6640</stp>
        <stp>Price</stp>
        <tr r="W667" s="57"/>
      </tp>
      <tp>
        <v>205</v>
        <stp/>
        <stp>6670</stp>
        <stp>Price</stp>
        <tr r="W1356" s="57"/>
      </tp>
      <tp>
        <v>47.8</v>
        <stp/>
        <stp>6680</stp>
        <stp>Price</stp>
        <tr r="W798" s="57"/>
      </tp>
      <tp>
        <v>108.5</v>
        <stp/>
        <stp>6690</stp>
        <stp>Price</stp>
        <tr r="W1299" s="57"/>
      </tp>
      <tp>
        <v>57.5</v>
        <stp/>
        <stp>6770</stp>
        <stp>Price</stp>
        <tr r="W678" s="57"/>
      </tp>
      <tp>
        <v>42.75</v>
        <stp/>
        <stp>6790</stp>
        <stp>Price</stp>
        <tr r="W96" s="114"/>
        <tr r="W1361" s="57"/>
      </tp>
      <tp>
        <v>63.8</v>
        <stp/>
        <stp>6470</stp>
        <stp>Price</stp>
        <tr r="W1000" s="57"/>
      </tp>
      <tp>
        <v>61.1</v>
        <stp/>
        <stp>6560</stp>
        <stp>Price</stp>
        <tr r="W915" s="57"/>
      </tp>
      <tp>
        <v>39.65</v>
        <stp/>
        <stp>6570</stp>
        <stp>Price</stp>
        <tr r="W793" s="57"/>
      </tp>
      <tp>
        <v>478.5</v>
        <stp/>
        <stp>6510</stp>
        <stp>Price</stp>
        <tr r="W121" s="114"/>
        <tr r="W656" s="57"/>
      </tp>
      <tp>
        <v>20.350000000000001</v>
        <stp/>
        <stp>6530</stp>
        <stp>Price</stp>
        <tr r="W1003" s="57"/>
      </tp>
      <tp>
        <v>24.6</v>
        <stp/>
        <stp>4160</stp>
        <stp>Price</stp>
        <tr r="W350" s="57"/>
      </tp>
      <tp>
        <v>34.1</v>
        <stp/>
        <stp>4120</stp>
        <stp>Price</stp>
        <tr r="W329" s="57"/>
      </tp>
      <tp>
        <v>24.3</v>
        <stp/>
        <stp>4130</stp>
        <stp>Price</stp>
        <tr r="W336" s="57"/>
      </tp>
      <tp>
        <v>61.5</v>
        <stp/>
        <stp>4190</stp>
        <stp>Price</stp>
        <tr r="W137" s="114"/>
        <tr r="W362" s="57"/>
      </tp>
      <tp>
        <v>70.900000000000006</v>
        <stp/>
        <stp>4760</stp>
        <stp>Price</stp>
        <tr r="W1738" s="57"/>
      </tp>
      <tp>
        <v>281</v>
        <stp/>
        <stp>4770</stp>
        <stp>Price</stp>
        <tr r="W284" s="57"/>
      </tp>
      <tp>
        <v>14.1</v>
        <stp/>
        <stp>4720</stp>
        <stp>Price</stp>
        <tr r="W272" s="57"/>
      </tp>
      <tp>
        <v>43.2</v>
        <stp/>
        <stp>4440</stp>
        <stp>Price</stp>
        <tr r="W125" s="57"/>
      </tp>
      <tp>
        <v>31.7</v>
        <stp/>
        <stp>4420</stp>
        <stp>Price</stp>
        <tr r="W118" s="57"/>
      </tp>
      <tp>
        <v>23.85</v>
        <stp/>
        <stp>4430</stp>
        <stp>Price</stp>
        <tr r="W1327" s="57"/>
      </tp>
      <tp>
        <v>42.75</v>
        <stp/>
        <stp>4540</stp>
        <stp>Price</stp>
        <tr r="W190" s="57"/>
      </tp>
      <tp>
        <v>21.5</v>
        <stp/>
        <stp>4550</stp>
        <stp>Price</stp>
        <tr r="W189" s="57"/>
        <tr r="W193" s="57"/>
      </tp>
      <tp>
        <v>41.6</v>
        <stp/>
        <stp>4560</stp>
        <stp>Price</stp>
        <tr r="W197" s="57"/>
      </tp>
      <tp>
        <v>11.1</v>
        <stp/>
        <stp>4510</stp>
        <stp>Price</stp>
        <tr r="W178" s="57"/>
      </tp>
      <tp>
        <v>8.2799999999999994</v>
        <stp/>
        <stp>4530</stp>
        <stp>Price</stp>
        <tr r="W184" s="57"/>
      </tp>
      <tp>
        <v>87.4</v>
        <stp/>
        <stp>4580</stp>
        <stp>Price</stp>
        <tr r="W207" s="57"/>
      </tp>
      <tp>
        <v>24.6</v>
        <stp/>
        <stp>4950</stp>
        <stp>Price</stp>
        <tr r="W1332" s="57"/>
      </tp>
      <tp>
        <v>11.4</v>
        <stp/>
        <stp>4960</stp>
        <stp>Price</stp>
        <tr r="W874" s="57"/>
      </tp>
      <tp>
        <v>24.55</v>
        <stp/>
        <stp>4930</stp>
        <stp>Price</stp>
        <tr r="W240" s="57"/>
      </tp>
      <tp>
        <v>20.350000000000001</v>
        <stp/>
        <stp>5210</stp>
        <stp>Price</stp>
        <tr r="W1281" s="57"/>
      </tp>
      <tp>
        <v>35.6</v>
        <stp/>
        <stp>5220</stp>
        <stp>Price</stp>
        <tr r="W878" s="57"/>
      </tp>
      <tp>
        <v>23.45</v>
        <stp/>
        <stp>5230</stp>
        <stp>Price</stp>
        <tr r="W879" s="57"/>
      </tp>
      <tp>
        <v>26.8</v>
        <stp/>
        <stp>5340</stp>
        <stp>Price</stp>
        <tr r="W1141" s="57"/>
      </tp>
      <tp>
        <v>28.25</v>
        <stp/>
        <stp>5310</stp>
        <stp>Price</stp>
        <tr r="W1284" s="57"/>
      </tp>
      <tp>
        <v>17.850000000000001</v>
        <stp/>
        <stp>5450</stp>
        <stp>Price</stp>
        <tr r="W1337" s="57"/>
      </tp>
      <tp>
        <v>11.1</v>
        <stp/>
        <stp>5460</stp>
        <stp>Price</stp>
        <tr r="W1147" s="57"/>
      </tp>
      <tp>
        <v>24.85</v>
        <stp/>
        <stp>5410</stp>
        <stp>Price</stp>
        <tr r="W1286" s="57"/>
      </tp>
      <tp>
        <v>24.95</v>
        <stp/>
        <stp>5490</stp>
        <stp>Price</stp>
        <tr r="W775" s="57"/>
      </tp>
      <tp>
        <v>55.8</v>
        <stp/>
        <stp>5520</stp>
        <stp>Price</stp>
        <tr r="W1496" s="57"/>
      </tp>
      <tp>
        <v>45.25</v>
        <stp/>
        <stp>5530</stp>
        <stp>Price</stp>
        <tr r="W1339" s="57"/>
      </tp>
      <tp>
        <v>12.35</v>
        <stp/>
        <stp>5820</stp>
        <stp>Price</stp>
        <tr r="W1624" s="57"/>
      </tp>
      <tp>
        <v>25.65</v>
        <stp/>
        <stp>5880</stp>
        <stp>Price</stp>
        <tr r="W1628" s="57"/>
        <tr r="W17" s="118"/>
      </tp>
      <tp>
        <v>30.5</v>
        <stp/>
        <stp>8240</stp>
        <stp>Price</stp>
        <tr r="W927" s="57"/>
      </tp>
      <tp>
        <v>65.099999999999994</v>
        <stp/>
        <stp>8210</stp>
        <stp>Price</stp>
        <tr r="W803" s="57"/>
      </tp>
      <tp>
        <v>31.5</v>
        <stp/>
        <stp>8390</stp>
        <stp>Price</stp>
        <tr r="W1369" s="57"/>
      </tp>
      <tp>
        <v>49.3</v>
        <stp/>
        <stp>8040</stp>
        <stp>Price</stp>
        <tr r="W685" s="57"/>
      </tp>
      <tp>
        <v>47.2</v>
        <stp/>
        <stp>8050</stp>
        <stp>Price</stp>
        <tr r="W799" s="57"/>
      </tp>
      <tp>
        <v>36.4</v>
        <stp/>
        <stp>8070</stp>
        <stp>Price</stp>
        <tr r="W1260" s="57"/>
      </tp>
      <tp>
        <v>11.75</v>
        <stp/>
        <stp>8080</stp>
        <stp>Price</stp>
        <tr r="W1213" s="57"/>
      </tp>
      <tp>
        <v>46.5</v>
        <stp/>
        <stp>8150</stp>
        <stp>Price</stp>
        <tr r="W128" s="114"/>
        <tr r="W692" s="57"/>
      </tp>
      <tp>
        <v>13.9</v>
        <stp/>
        <stp>8110</stp>
        <stp>Price</stp>
        <tr r="W690" s="57"/>
      </tp>
      <tp>
        <v>66.3</v>
        <stp/>
        <stp>8440</stp>
        <stp>Price</stp>
        <tr r="W1382" s="57"/>
      </tp>
      <tp>
        <v>26.95</v>
        <stp/>
        <stp>8450</stp>
        <stp>Price</stp>
        <tr r="W1801" s="57"/>
      </tp>
      <tp>
        <v>28.95</v>
        <stp/>
        <stp>8410</stp>
        <stp>Price</stp>
        <tr r="W805" s="57"/>
      </tp>
      <tp>
        <v>51.6</v>
        <stp/>
        <stp>8420</stp>
        <stp>Price</stp>
        <tr r="W1374" s="57"/>
      </tp>
      <tp>
        <v>68.8</v>
        <stp/>
        <stp>8480</stp>
        <stp>Price</stp>
        <tr r="W1392" s="57"/>
      </tp>
      <tp>
        <v>13.95</v>
        <stp/>
        <stp>8940</stp>
        <stp>Price</stp>
        <tr r="W1590" s="57"/>
      </tp>
      <tp>
        <v>15.55</v>
        <stp/>
        <stp>8930</stp>
        <stp>Price</stp>
        <tr r="W475" s="57"/>
      </tp>
      <tp>
        <v>33.450000000000003</v>
        <stp/>
        <stp>9940</stp>
        <stp>Price</stp>
        <tr r="W1433" s="57"/>
      </tp>
      <tp>
        <v>11.9</v>
        <stp/>
        <stp>9950</stp>
        <stp>Price</stp>
        <tr r="W67" s="57"/>
      </tp>
      <tp>
        <v>25.3</v>
        <stp/>
        <stp>9960</stp>
        <stp>Price</stp>
        <tr r="W1675" s="57"/>
      </tp>
      <tp>
        <v>180</v>
        <stp/>
        <stp>9910</stp>
        <stp>Price</stp>
        <tr r="W132" s="114"/>
        <tr r="W1416" s="57"/>
      </tp>
      <tp>
        <v>46.9</v>
        <stp/>
        <stp>9930</stp>
        <stp>Price</stp>
        <tr r="W1427" s="57"/>
      </tp>
      <tp>
        <v>38.6</v>
        <stp/>
        <stp>2241</stp>
        <stp>Price</stp>
        <tr r="W167" s="57"/>
      </tp>
      <tp>
        <v>42</v>
        <stp/>
        <stp>2201</stp>
        <stp>Price</stp>
        <tr r="W507" s="57"/>
      </tp>
      <tp>
        <v>61.8</v>
        <stp/>
        <stp>2211</stp>
        <stp>Price</stp>
        <tr r="W462" s="57"/>
      </tp>
      <tp>
        <v>38</v>
        <stp/>
        <stp>2221</stp>
        <stp>Price</stp>
        <tr r="W1316" s="57"/>
      </tp>
      <tp>
        <v>144</v>
        <stp/>
        <stp>2231</stp>
        <stp>Price</stp>
        <tr r="W513" s="57"/>
      </tp>
      <tp>
        <v>133</v>
        <stp/>
        <stp>2351</stp>
        <stp>Price</stp>
        <tr r="W136" s="114"/>
        <tr r="W537" s="57"/>
      </tp>
      <tp>
        <v>35.299999999999997</v>
        <stp/>
        <stp>2371</stp>
        <stp>Price</stp>
        <tr r="W168" s="57"/>
      </tp>
      <tp>
        <v>63.1</v>
        <stp/>
        <stp>2301</stp>
        <stp>Price</stp>
        <tr r="W700" s="57"/>
      </tp>
      <tp t="s">
        <v>無資料</v>
        <stp/>
        <stp>2321</stp>
        <stp>Price</stp>
        <tr r="W931" s="57"/>
      </tp>
      <tp>
        <v>19.100000000000001</v>
        <stp/>
        <stp>2331</stp>
        <stp>Price</stp>
        <tr r="W703" s="57"/>
      </tp>
      <tp>
        <v>18.55</v>
        <stp/>
        <stp>2061</stp>
        <stp>Price</stp>
        <tr r="W238" s="57"/>
      </tp>
      <tp>
        <v>48.9</v>
        <stp/>
        <stp>2031</stp>
        <stp>Price</stp>
        <tr r="W113" s="114"/>
        <tr r="W452" s="57"/>
      </tp>
      <tp>
        <v>39.1</v>
        <stp/>
        <stp>2101</stp>
        <stp>Price</stp>
        <tr r="W480" s="57"/>
      </tp>
      <tp>
        <v>27.85</v>
        <stp/>
        <stp>2641</stp>
        <stp>Price</stp>
        <tr r="W1536" s="57"/>
      </tp>
      <tp>
        <v>10.199999999999999</v>
        <stp/>
        <stp>2601</stp>
        <stp>Price</stp>
        <tr r="W1640" s="57"/>
      </tp>
      <tp>
        <v>22.1</v>
        <stp/>
        <stp>2611</stp>
        <stp>Price</stp>
        <tr r="W1525" s="57"/>
      </tp>
      <tp>
        <v>11.7</v>
        <stp/>
        <stp>2701</stp>
        <stp>Price</stp>
        <tr r="W1550" s="57"/>
      </tp>
      <tp>
        <v>96.4</v>
        <stp/>
        <stp>2731</stp>
        <stp>Price</stp>
        <tr r="W1565" s="57"/>
      </tp>
      <tp>
        <v>71.7</v>
        <stp/>
        <stp>2441</stp>
        <stp>Price</stp>
        <tr r="W17" s="28"/>
        <tr r="W20" s="74"/>
        <tr r="W88" s="114"/>
        <tr r="W546" s="57"/>
        <tr r="W16" s="22"/>
      </tp>
      <tp>
        <v>70.2</v>
        <stp/>
        <stp>2451</stp>
        <stp>Price</stp>
        <tr r="W548" s="57"/>
      </tp>
      <tp>
        <v>19.95</v>
        <stp/>
        <stp>2461</stp>
        <stp>Price</stp>
        <tr r="W1703" s="57"/>
      </tp>
      <tp>
        <v>26.4</v>
        <stp/>
        <stp>2471</stp>
        <stp>Price</stp>
        <tr r="W1270" s="57"/>
      </tp>
      <tp>
        <v>35.200000000000003</v>
        <stp/>
        <stp>2401</stp>
        <stp>Price</stp>
        <tr r="W542" s="57"/>
      </tp>
      <tp>
        <v>36.35</v>
        <stp/>
        <stp>2421</stp>
        <stp>Price</stp>
        <tr r="W1042" s="57"/>
      </tp>
      <tp>
        <v>10.85</v>
        <stp/>
        <stp>2431</stp>
        <stp>Price</stp>
        <tr r="W1045" s="57"/>
      </tp>
      <tp>
        <v>78.400000000000006</v>
        <stp/>
        <stp>2481</stp>
        <stp>Price</stp>
        <tr r="W551" s="57"/>
      </tp>
      <tp>
        <v>14.6</v>
        <stp/>
        <stp>2491</stp>
        <stp>Price</stp>
        <tr r="W821" s="57"/>
      </tp>
      <tp>
        <v>18.2</v>
        <stp/>
        <stp>2501</stp>
        <stp>Price</stp>
        <tr r="W1447" s="57"/>
      </tp>
      <tp>
        <v>12</v>
        <stp/>
        <stp>2511</stp>
        <stp>Price</stp>
        <tr r="W1452" s="57"/>
      </tp>
      <tp t="s">
        <v>商品錯誤</v>
        <stp/>
        <stp>2841</stp>
        <stp>Price</stp>
        <tr r="W1474" s="57"/>
      </tp>
      <tp>
        <v>28.85</v>
        <stp/>
        <stp>2851</stp>
        <stp>Price</stp>
        <tr r="W1606" s="57"/>
      </tp>
      <tp>
        <v>17.7</v>
        <stp/>
        <stp>2801</stp>
        <stp>Price</stp>
        <tr r="W1594" s="57"/>
      </tp>
      <tp>
        <v>62.4</v>
        <stp/>
        <stp>2881</stp>
        <stp>Price</stp>
        <tr r="W62" s="114"/>
        <tr r="W1611" s="57"/>
        <tr r="W12" s="118"/>
      </tp>
      <tp>
        <v>25.7</v>
        <stp/>
        <stp>2891</stp>
        <stp>Price</stp>
        <tr r="W1621" s="57"/>
        <tr r="W14" s="118"/>
      </tp>
      <tp>
        <v>23.45</v>
        <stp/>
        <stp>2901</stp>
        <stp>Price</stp>
        <tr r="W1642" s="57"/>
      </tp>
      <tp>
        <v>6.88</v>
        <stp/>
        <stp>2911</stp>
        <stp>Price</stp>
        <tr r="W1648" s="57"/>
      </tp>
      <tp>
        <v>76.099999999999994</v>
        <stp/>
        <stp>3211</stp>
        <stp>Price</stp>
        <tr r="W735" s="57"/>
      </tp>
      <tp>
        <v>34.049999999999997</v>
        <stp/>
        <stp>3221</stp>
        <stp>Price</stp>
        <tr r="W952" s="57"/>
      </tp>
      <tp>
        <v>27.6</v>
        <stp/>
        <stp>3231</stp>
        <stp>Price</stp>
        <tr r="W737" s="57"/>
      </tp>
      <tp>
        <v>32.200000000000003</v>
        <stp/>
        <stp>3311</stp>
        <stp>Price</stp>
        <tr r="W955" s="57"/>
      </tp>
      <tp>
        <v>10.75</v>
        <stp/>
        <stp>3321</stp>
        <stp>Price</stp>
        <tr r="W1089" s="57"/>
      </tp>
      <tp>
        <v>28.05</v>
        <stp/>
        <stp>3041</stp>
        <stp>Price</stp>
        <tr r="W557" s="57"/>
      </tp>
      <tp>
        <v>18.8</v>
        <stp/>
        <stp>3051</stp>
        <stp>Price</stp>
        <tr r="W829" s="57"/>
      </tp>
      <tp>
        <v>25.8</v>
        <stp/>
        <stp>3071</stp>
        <stp>Price</stp>
        <tr r="W733" s="57"/>
      </tp>
      <tp>
        <v>19.25</v>
        <stp/>
        <stp>3011</stp>
        <stp>Price</stp>
        <tr r="W1059" s="57"/>
      </tp>
      <tp>
        <v>19.899999999999999</v>
        <stp/>
        <stp>3021</stp>
        <stp>Price</stp>
        <tr r="W1061" s="57"/>
      </tp>
      <tp>
        <v>18.05</v>
        <stp/>
        <stp>3031</stp>
        <stp>Price</stp>
        <tr r="W825" s="57"/>
      </tp>
      <tp>
        <v>137.5</v>
        <stp/>
        <stp>3081</stp>
        <stp>Price</stp>
        <tr r="W947" s="57"/>
      </tp>
      <tp>
        <v>153.5</v>
        <stp/>
        <stp>3141</stp>
        <stp>Price</stp>
        <tr r="W563" s="57"/>
      </tp>
      <tp>
        <v>16.8</v>
        <stp/>
        <stp>3171</stp>
        <stp>Price</stp>
        <tr r="W1659" s="57"/>
      </tp>
      <tp>
        <v>284</v>
        <stp/>
        <stp>3131</stp>
        <stp>Price</stp>
        <tr r="W1715" s="57"/>
      </tp>
      <tp>
        <v>9.3000000000000007</v>
        <stp/>
        <stp>3191</stp>
        <stp>Price</stp>
        <tr r="W1074" s="57"/>
      </tp>
      <tp>
        <v>898</v>
        <stp/>
        <stp>3661</stp>
        <stp>Price</stp>
        <tr r="W594" s="57"/>
      </tp>
      <tp>
        <v>170</v>
        <stp/>
        <stp>3611</stp>
        <stp>Price</stp>
        <tr r="W64" s="114"/>
        <tr r="W752" s="57"/>
      </tp>
      <tp>
        <v>40.9</v>
        <stp/>
        <stp>3631</stp>
        <stp>Price</stp>
        <tr r="W1117" s="57"/>
      </tp>
      <tp>
        <v>138.5</v>
        <stp/>
        <stp>3691</stp>
        <stp>Price</stp>
        <tr r="W864" s="57"/>
      </tp>
      <tp>
        <v>47</v>
        <stp/>
        <stp>3701</stp>
        <stp>Price</stp>
        <tr r="W756" s="57"/>
      </tp>
      <tp>
        <v>94.7</v>
        <stp/>
        <stp>3711</stp>
        <stp>Price</stp>
        <tr r="W70" s="114"/>
        <tr r="W6" s="118"/>
        <tr r="W599" s="57"/>
      </tp>
      <tp>
        <v>30.1</v>
        <stp/>
        <stp>3441</stp>
        <stp>Price</stp>
        <tr r="W843" s="57"/>
      </tp>
      <tp>
        <v>13.35</v>
        <stp/>
        <stp>3481</stp>
        <stp>Price</stp>
        <tr r="W846" s="57"/>
      </tp>
      <tp>
        <v>137.5</v>
        <stp/>
        <stp>3491</stp>
        <stp>Price</stp>
        <tr r="W25" s="74"/>
        <tr r="W135" s="114"/>
        <tr r="W960" s="57"/>
      </tp>
      <tp>
        <v>70.900000000000006</v>
        <stp/>
        <stp>3541</stp>
        <stp>Price</stp>
        <tr r="W1727" s="57"/>
      </tp>
      <tp>
        <v>63.8</v>
        <stp/>
        <stp>3551</stp>
        <stp>Price</stp>
        <tr r="W58" s="114"/>
        <tr r="W1728" s="57"/>
      </tp>
      <tp>
        <v>42.2</v>
        <stp/>
        <stp>3501</stp>
        <stp>Price</stp>
        <tr r="W1102" s="57"/>
      </tp>
      <tp>
        <v>35.6</v>
        <stp/>
        <stp>3511</stp>
        <stp>Price</stp>
        <tr r="W1103" s="57"/>
      </tp>
      <tp>
        <v>14</v>
        <stp/>
        <stp>3521</stp>
        <stp>Price</stp>
        <tr r="W748" s="57"/>
      </tp>
      <tp>
        <v>22.7</v>
        <stp/>
        <stp>3531</stp>
        <stp>Price</stp>
        <tr r="W850" s="57"/>
      </tp>
      <tp>
        <v>23.35</v>
        <stp/>
        <stp>3581</stp>
        <stp>Price</stp>
        <tr r="W590" s="57"/>
      </tp>
      <tp>
        <v>16</v>
        <stp/>
        <stp>3591</stp>
        <stp>Price</stp>
        <tr r="W855" s="57"/>
      </tp>
      <tp>
        <v>20.7</v>
        <stp/>
        <stp>1201</stp>
        <stp>Price</stp>
        <tr r="W13" s="57"/>
      </tp>
      <tp>
        <v>82.5</v>
        <stp/>
        <stp>1231</stp>
        <stp>Price</stp>
        <tr r="W26" s="57"/>
      </tp>
      <tp>
        <v>72.7</v>
        <stp/>
        <stp>1341</stp>
        <stp>Price</stp>
        <tr r="W61" s="57"/>
      </tp>
      <tp>
        <v>102.5</v>
        <stp/>
        <stp>1301</stp>
        <stp>Price</stp>
        <tr r="W42" s="57"/>
        <tr r="W9" s="118"/>
      </tp>
      <tp>
        <v>32.1</v>
        <stp/>
        <stp>1321</stp>
        <stp>Price</stp>
        <tr r="W54" s="57"/>
      </tp>
      <tp>
        <v>41.25</v>
        <stp/>
        <stp>1101</stp>
        <stp>Price</stp>
        <tr r="W4" s="57"/>
      </tp>
      <tp>
        <v>17.8</v>
        <stp/>
        <stp>1611</stp>
        <stp>Price</stp>
        <tr r="W230" s="57"/>
      </tp>
      <tp>
        <v>22.7</v>
        <stp/>
        <stp>1701</stp>
        <stp>Price</stp>
        <tr r="W292" s="57"/>
      </tp>
      <tp>
        <v>23.05</v>
        <stp/>
        <stp>1711</stp>
        <stp>Price</stp>
        <tr r="W247" s="57"/>
      </tp>
      <tp>
        <v>19.45</v>
        <stp/>
        <stp>1721</stp>
        <stp>Price</stp>
        <tr r="W253" s="57"/>
      </tp>
      <tp>
        <v>19.149999999999999</v>
        <stp/>
        <stp>1731</stp>
        <stp>Price</stp>
        <tr r="W295" s="57"/>
      </tp>
      <tp>
        <v>14.25</v>
        <stp/>
        <stp>1781</stp>
        <stp>Price</stp>
        <tr r="W303" s="57"/>
      </tp>
      <tp>
        <v>8.19</v>
        <stp/>
        <stp>1441</stp>
        <stp>Price</stp>
        <tr r="W82" s="57"/>
      </tp>
      <tp>
        <v>22.15</v>
        <stp/>
        <stp>1451</stp>
        <stp>Price</stp>
        <tr r="W89" s="57"/>
      </tp>
      <tp>
        <v>6.63</v>
        <stp/>
        <stp>1471</stp>
        <stp>Price</stp>
        <tr r="W1021" s="57"/>
      </tp>
      <tp>
        <v>44.4</v>
        <stp/>
        <stp>1541</stp>
        <stp>Price</stp>
        <tr r="W149" s="57"/>
      </tp>
      <tp>
        <v>33.799999999999997</v>
        <stp/>
        <stp>1521</stp>
        <stp>Price</stp>
        <tr r="W498" s="57"/>
      </tp>
      <tp>
        <v>14.3</v>
        <stp/>
        <stp>1531</stp>
        <stp>Price</stp>
        <tr r="W142" s="57"/>
      </tp>
      <tp>
        <v>23.3</v>
        <stp/>
        <stp>1591</stp>
        <stp>Price</stp>
        <tr r="W158" s="57"/>
      </tp>
      <tp>
        <v>31.05</v>
        <stp/>
        <stp>6241</stp>
        <stp>Price</stp>
        <tr r="W992" s="57"/>
      </tp>
      <tp>
        <v>21.65</v>
        <stp/>
        <stp>6251</stp>
        <stp>Price</stp>
        <tr r="W1184" s="57"/>
      </tp>
      <tp>
        <v>74.5</v>
        <stp/>
        <stp>6261</stp>
        <stp>Price</stp>
        <tr r="W643" s="57"/>
      </tp>
      <tp>
        <v>250</v>
        <stp/>
        <stp>6271</stp>
        <stp>Price</stp>
        <tr r="W644" s="57"/>
      </tp>
      <tp>
        <v>42.7</v>
        <stp/>
        <stp>6201</stp>
        <stp>Price</stp>
        <tr r="W1752" s="57"/>
      </tp>
      <tp t="s">
        <v>無資料</v>
        <stp/>
        <stp>6221</stp>
        <stp>Price</stp>
        <tr r="W1292" s="57"/>
      </tp>
      <tp>
        <v>87.8</v>
        <stp/>
        <stp>6231</stp>
        <stp>Price</stp>
        <tr r="W1293" s="57"/>
      </tp>
      <tp>
        <v>86</v>
        <stp/>
        <stp>6281</stp>
        <stp>Price</stp>
        <tr r="W1255" s="57"/>
      </tp>
      <tp>
        <v>65.2</v>
        <stp/>
        <stp>6291</stp>
        <stp>Price</stp>
        <tr r="W646" s="57"/>
      </tp>
      <tp>
        <v>20.7</v>
        <stp/>
        <stp>6021</stp>
        <stp>Price</stp>
        <tr r="W1633" s="57"/>
      </tp>
      <tp>
        <v>23.25</v>
        <stp/>
        <stp>6141</stp>
        <stp>Price</stp>
        <tr r="W1161" s="57"/>
      </tp>
      <tp>
        <v>29.4</v>
        <stp/>
        <stp>6151</stp>
        <stp>Price</stp>
        <tr r="W1748" s="57"/>
      </tp>
      <tp>
        <v>31</v>
        <stp/>
        <stp>6161</stp>
        <stp>Price</stp>
        <tr r="W782" s="57"/>
      </tp>
      <tp>
        <v>28.55</v>
        <stp/>
        <stp>6171</stp>
        <stp>Price</stp>
        <tr r="W1506" s="57"/>
      </tp>
      <tp>
        <v>22.45</v>
        <stp/>
        <stp>6101</stp>
        <stp>Price</stp>
        <tr r="W1791" s="57"/>
      </tp>
      <tp>
        <v>80.400000000000006</v>
        <stp/>
        <stp>6111</stp>
        <stp>Price</stp>
        <tr r="W1792" s="57"/>
      </tp>
      <tp>
        <v>292</v>
        <stp/>
        <stp>6121</stp>
        <stp>Price</stp>
        <tr r="W139" s="114"/>
        <tr r="W777" s="57"/>
      </tp>
      <tp>
        <v>30.2</v>
        <stp/>
        <stp>6191</stp>
        <stp>Price</stp>
        <tr r="W1171" s="57"/>
      </tp>
      <tp>
        <v>61</v>
        <stp/>
        <stp>6641</stp>
        <stp>Price</stp>
        <tr r="W1354" s="57"/>
      </tp>
      <tp>
        <v>87</v>
        <stp/>
        <stp>6651</stp>
        <stp>Price</stp>
        <tr r="W83" s="114"/>
        <tr r="W669" s="57"/>
      </tp>
      <tp>
        <v>21.8</v>
        <stp/>
        <stp>6661</stp>
        <stp>Price</stp>
        <tr r="W400" s="57"/>
      </tp>
      <tp>
        <v>45.75</v>
        <stp/>
        <stp>6671</stp>
        <stp>Price</stp>
        <tr r="W1357" s="57"/>
      </tp>
      <tp>
        <v>178.5</v>
        <stp/>
        <stp>6691</stp>
        <stp>Price</stp>
        <tr r="W1764" s="57"/>
      </tp>
      <tp>
        <v>141</v>
        <stp/>
        <stp>6741</stp>
        <stp>Price</stp>
        <tr r="W1811" s="57"/>
      </tp>
      <tp>
        <v>40.450000000000003</v>
        <stp/>
        <stp>6751</stp>
        <stp>Price</stp>
        <tr r="W1301" s="57"/>
      </tp>
      <tp>
        <v>99.5</v>
        <stp/>
        <stp>6761</stp>
        <stp>Price</stp>
        <tr r="W1204" s="57"/>
      </tp>
      <tp>
        <v>51.2</v>
        <stp/>
        <stp>6721</stp>
        <stp>Price</stp>
        <tr r="W1358" s="57"/>
      </tp>
      <tp>
        <v>1080</v>
        <stp/>
        <stp>6781</stp>
        <stp>Price</stp>
        <tr r="W1205" s="57"/>
      </tp>
      <tp>
        <v>44.25</v>
        <stp/>
        <stp>6441</stp>
        <stp>Price</stp>
        <tr r="W792" s="57"/>
      </tp>
      <tp>
        <v>70.2</v>
        <stp/>
        <stp>6451</stp>
        <stp>Price</stp>
        <tr r="W650" s="57"/>
      </tp>
      <tp>
        <v>19.600000000000001</v>
        <stp/>
        <stp>6461</stp>
        <stp>Price</stp>
        <tr r="W380" s="57"/>
      </tp>
      <tp>
        <v>143</v>
        <stp/>
        <stp>6411</stp>
        <stp>Price</stp>
        <tr r="W647" s="57"/>
      </tp>
      <tp>
        <v>27.2</v>
        <stp/>
        <stp>6431</stp>
        <stp>Price</stp>
        <tr r="W910" s="57"/>
      </tp>
      <tp>
        <v>389.5</v>
        <stp/>
        <stp>6491</stp>
        <stp>Price</stp>
        <tr r="W383" s="57"/>
      </tp>
      <tp>
        <v>53.2</v>
        <stp/>
        <stp>6541</stp>
        <stp>Price</stp>
        <tr r="W390" s="57"/>
      </tp>
      <tp>
        <v>282.5</v>
        <stp/>
        <stp>6561</stp>
        <stp>Price</stp>
        <tr r="W1005" s="57"/>
      </tp>
      <tp>
        <v>265.5</v>
        <stp/>
        <stp>6531</stp>
        <stp>Price</stp>
        <tr r="W659" s="57"/>
      </tp>
      <tp>
        <v>83.3</v>
        <stp/>
        <stp>6581</stp>
        <stp>Price</stp>
        <tr r="W1347" s="57"/>
      </tp>
      <tp>
        <v>61.5</v>
        <stp/>
        <stp>6591</stp>
        <stp>Price</stp>
        <tr r="W55" s="114"/>
        <tr r="W796" s="57"/>
      </tp>
      <tp t="s">
        <v>商品錯誤</v>
        <stp/>
        <stp>4141</stp>
        <stp>Price</stp>
        <tr r="W342" s="57"/>
      </tp>
      <tp>
        <v>24.5</v>
        <stp/>
        <stp>4161</stp>
        <stp>Price</stp>
        <tr r="W351" s="57"/>
      </tp>
      <tp>
        <v>126.5</v>
        <stp/>
        <stp>4171</stp>
        <stp>Price</stp>
        <tr r="W1821" s="57"/>
      </tp>
      <tp>
        <v>23.05</v>
        <stp/>
        <stp>4111</stp>
        <stp>Price</stp>
        <tr r="W325" s="57"/>
      </tp>
      <tp>
        <v>23.55</v>
        <stp/>
        <stp>4121</stp>
        <stp>Price</stp>
        <tr r="W330" s="57"/>
      </tp>
      <tp>
        <v>14.2</v>
        <stp/>
        <stp>4131</stp>
        <stp>Price</stp>
        <tr r="W337" s="57"/>
      </tp>
      <tp t="s">
        <v>無資料</v>
        <stp/>
        <stp>4741</stp>
        <stp>Price</stp>
        <tr r="W276" s="57"/>
      </tp>
      <tp>
        <v>15.85</v>
        <stp/>
        <stp>4711</stp>
        <stp>Price</stp>
        <tr r="W269" s="57"/>
      </tp>
      <tp>
        <v>134.5</v>
        <stp/>
        <stp>4721</stp>
        <stp>Price</stp>
        <tr r="W273" s="57"/>
      </tp>
      <tp>
        <v>30.95</v>
        <stp/>
        <stp>4401</stp>
        <stp>Price</stp>
        <tr r="W111" s="57"/>
      </tp>
      <tp>
        <v>23.2</v>
        <stp/>
        <stp>4541</stp>
        <stp>Price</stp>
        <tr r="W1330" s="57"/>
      </tp>
      <tp>
        <v>127.5</v>
        <stp/>
        <stp>4551</stp>
        <stp>Price</stp>
        <tr r="W522" s="57"/>
      </tp>
      <tp>
        <v>27.6</v>
        <stp/>
        <stp>4561</stp>
        <stp>Price</stp>
        <tr r="W198" s="57"/>
      </tp>
      <tp>
        <v>85</v>
        <stp/>
        <stp>4571</stp>
        <stp>Price</stp>
        <tr r="W204" s="57"/>
      </tp>
      <tp>
        <v>30.35</v>
        <stp/>
        <stp>4581</stp>
        <stp>Price</stp>
        <tr r="W524" s="57"/>
      </tp>
      <tp>
        <v>176.5</v>
        <stp/>
        <stp>4961</stp>
        <stp>Price</stp>
        <tr r="W604" s="57"/>
      </tp>
      <tp>
        <v>78.900000000000006</v>
        <stp/>
        <stp>4971</stp>
        <stp>Price</stp>
        <tr r="W608" s="57"/>
      </tp>
      <tp>
        <v>23</v>
        <stp/>
        <stp>4911</stp>
        <stp>Price</stp>
        <tr r="W375" s="57"/>
      </tp>
      <tp>
        <v>33.4</v>
        <stp/>
        <stp>4931</stp>
        <stp>Price</stp>
        <tr r="W762" s="57"/>
      </tp>
      <tp>
        <v>36.25</v>
        <stp/>
        <stp>4991</stp>
        <stp>Price</stp>
        <tr r="W610" s="57"/>
      </tp>
      <tp>
        <v>16.45</v>
        <stp/>
        <stp>5251</stp>
        <stp>Price</stp>
        <tr r="W884" s="57"/>
      </tp>
      <tp>
        <v>28.9</v>
        <stp/>
        <stp>5201</stp>
        <stp>Price</stp>
        <tr r="W1277" s="57"/>
      </tp>
      <tp>
        <v>16.45</v>
        <stp/>
        <stp>5211</stp>
        <stp>Price</stp>
        <tr r="W1282" s="57"/>
      </tp>
      <tp t="s">
        <v>無資料</v>
        <stp/>
        <stp>5281</stp>
        <stp>Price</stp>
        <tr r="W885" s="57"/>
      </tp>
      <tp>
        <v>37.549999999999997</v>
        <stp/>
        <stp>5291</stp>
        <stp>Price</stp>
        <tr r="W1137" s="57"/>
      </tp>
      <tp>
        <v>62.1</v>
        <stp/>
        <stp>5351</stp>
        <stp>Price</stp>
        <tr r="W622" s="57"/>
      </tp>
      <tp>
        <v>56.1</v>
        <stp/>
        <stp>5371</stp>
        <stp>Price</stp>
        <tr r="W887" s="57"/>
      </tp>
      <tp>
        <v>12.5</v>
        <stp/>
        <stp>5301</stp>
        <stp>Price</stp>
        <tr r="W1582" s="57"/>
      </tp>
      <tp>
        <v>128</v>
        <stp/>
        <stp>5321</stp>
        <stp>Price</stp>
        <tr r="W1139" s="57"/>
      </tp>
      <tp>
        <v>5.92</v>
        <stp/>
        <stp>5381</stp>
        <stp>Price</stp>
        <tr r="W1144" s="57"/>
      </tp>
      <tp>
        <v>32.700000000000003</v>
        <stp/>
        <stp>5011</stp>
        <stp>Price</stp>
        <tr r="W466" s="57"/>
      </tp>
      <tp>
        <v>39.25</v>
        <stp/>
        <stp>5601</stp>
        <stp>Price</stp>
        <tr r="W1539" s="57"/>
      </tp>
      <tp>
        <v>2.9</v>
        <stp/>
        <stp>5701</stp>
        <stp>Price</stp>
        <tr r="W1584" s="57"/>
      </tp>
      <tp>
        <v>74.099999999999994</v>
        <stp/>
        <stp>5471</stp>
        <stp>Price</stp>
        <tr r="W27" s="28"/>
        <tr r="W78" s="22"/>
        <tr r="W77" s="22"/>
        <tr r="W625" s="57"/>
      </tp>
      <tp>
        <v>12.4</v>
        <stp/>
        <stp>5481</stp>
        <stp>Price</stp>
        <tr r="W1338" s="57"/>
      </tp>
      <tp>
        <v>30.2</v>
        <stp/>
        <stp>5511</stp>
        <stp>Price</stp>
        <tr r="W1490" s="57"/>
      </tp>
      <tp>
        <v>7.18</v>
        <stp/>
        <stp>5521</stp>
        <stp>Price</stp>
        <tr r="W1497" s="57"/>
      </tp>
      <tp>
        <v>9.36</v>
        <stp/>
        <stp>5531</stp>
        <stp>Price</stp>
        <tr r="W1501" s="57"/>
      </tp>
      <tp>
        <v>193</v>
        <stp/>
        <stp>5871</stp>
        <stp>Price</stp>
        <tr r="W1340" s="57"/>
        <tr r="W21" s="118"/>
      </tp>
      <tp>
        <v>108.5</v>
        <stp/>
        <stp>8261</stp>
        <stp>Price</stp>
        <tr r="W693" s="57"/>
      </tp>
      <tp>
        <v>41.9</v>
        <stp/>
        <stp>8271</stp>
        <stp>Price</stp>
        <tr r="W694" s="57"/>
      </tp>
      <tp>
        <v>11.5</v>
        <stp/>
        <stp>8201</stp>
        <stp>Price</stp>
        <tr r="W1774" s="57"/>
      </tp>
      <tp t="s">
        <v>無資料</v>
        <stp/>
        <stp>8291</stp>
        <stp>Price</stp>
        <tr r="W1225" s="57"/>
      </tp>
      <tp>
        <v>213</v>
        <stp/>
        <stp>8341</stp>
        <stp>Price</stp>
        <tr r="W1367" s="57"/>
      </tp>
      <tp>
        <v>20.85</v>
        <stp/>
        <stp>8071</stp>
        <stp>Price</stp>
        <tr r="W1211" s="57"/>
      </tp>
      <tp>
        <v>15.45</v>
        <stp/>
        <stp>8011</stp>
        <stp>Price</stp>
        <tr r="W1009" s="57"/>
      </tp>
      <tp>
        <v>33.85</v>
        <stp/>
        <stp>8021</stp>
        <stp>Price</stp>
        <tr r="W1769" s="57"/>
      </tp>
      <tp>
        <v>214.5</v>
        <stp/>
        <stp>8081</stp>
        <stp>Price</stp>
        <tr r="W687" s="57"/>
      </tp>
      <tp>
        <v>85.1</v>
        <stp/>
        <stp>8091</stp>
        <stp>Price</stp>
        <tr r="W1214" s="57"/>
      </tp>
      <tp>
        <v>47.9</v>
        <stp/>
        <stp>8171</stp>
        <stp>Price</stp>
        <tr r="W1016" s="57"/>
      </tp>
      <tp>
        <v>2.36</v>
        <stp/>
        <stp>8101</stp>
        <stp>Price</stp>
        <tr r="W1015" s="57"/>
      </tp>
      <tp>
        <v>21.25</v>
        <stp/>
        <stp>8111</stp>
        <stp>Price</stp>
        <tr r="W925" s="57"/>
      </tp>
      <tp>
        <v>29.45</v>
        <stp/>
        <stp>8121</stp>
        <stp>Price</stp>
        <tr r="W1218" s="57"/>
      </tp>
      <tp>
        <v>40</v>
        <stp/>
        <stp>8131</stp>
        <stp>Price</stp>
        <tr r="W691" s="57"/>
      </tp>
      <tp>
        <v>15.65</v>
        <stp/>
        <stp>8401</stp>
        <stp>Price</stp>
        <tr r="W1370" s="57"/>
      </tp>
      <tp>
        <v>15.75</v>
        <stp/>
        <stp>8411</stp>
        <stp>Price</stp>
        <tr r="W1372" s="57"/>
      </tp>
      <tp>
        <v>12.6</v>
        <stp/>
        <stp>8421</stp>
        <stp>Price</stp>
        <tr r="W1375" s="57"/>
      </tp>
      <tp>
        <v>55.9</v>
        <stp/>
        <stp>8431</stp>
        <stp>Price</stp>
        <tr r="W1776" s="57"/>
      </tp>
      <tp>
        <v>66.8</v>
        <stp/>
        <stp>8481</stp>
        <stp>Price</stp>
        <tr r="W119" s="114"/>
        <tr r="W1393" s="57"/>
      </tp>
      <tp>
        <v>38.450000000000003</v>
        <stp/>
        <stp>8941</stp>
        <stp>Price</stp>
        <tr r="W1674" s="57"/>
      </tp>
      <tp t="s">
        <v>無資料</v>
        <stp/>
        <stp>8921</stp>
        <stp>Price</stp>
        <tr r="W1400" s="57"/>
      </tp>
      <tp>
        <v>30.85</v>
        <stp/>
        <stp>8931</stp>
        <stp>Price</stp>
        <tr r="W1682" s="57"/>
      </tp>
      <tp>
        <v>208</v>
        <stp/>
        <stp>9941</stp>
        <stp>Price</stp>
        <tr r="W1434" s="57"/>
      </tp>
      <tp>
        <v>66.599999999999994</v>
        <stp/>
        <stp>9951</stp>
        <stp>Price</stp>
        <tr r="W138" s="114"/>
        <tr r="W222" s="57"/>
      </tp>
      <tp>
        <v>62.1</v>
        <stp/>
        <stp>9911</stp>
        <stp>Price</stp>
        <tr r="W1417" s="57"/>
      </tp>
      <tp>
        <v>237.5</v>
        <stp/>
        <stp>9921</stp>
        <stp>Price</stp>
        <tr r="W1421" s="57"/>
      </tp>
      <tp>
        <v>40.4</v>
        <stp/>
        <stp>9931</stp>
        <stp>Price</stp>
        <tr r="W1681" s="57"/>
      </tp>
      <tp>
        <v>28.9</v>
        <stp/>
        <stp>2206</stp>
        <stp>Price</stp>
        <tr r="W509" s="57"/>
      </tp>
      <tp>
        <v>25.6</v>
        <stp/>
        <stp>2236</stp>
        <stp>Price</stp>
        <tr r="W515" s="57"/>
      </tp>
      <tp>
        <v>26.45</v>
        <stp/>
        <stp>2356</stp>
        <stp>Price</stp>
        <tr r="W706" s="57"/>
      </tp>
      <tp>
        <v>107.5</v>
        <stp/>
        <stp>2376</stp>
        <stp>Price</stp>
        <tr r="W711" s="57"/>
      </tp>
      <tp>
        <v>28.3</v>
        <stp/>
        <stp>2316</stp>
        <stp>Price</stp>
        <tr r="W1028" s="57"/>
      </tp>
      <tp>
        <v>58.4</v>
        <stp/>
        <stp>2066</stp>
        <stp>Price</stp>
        <tr r="W162" s="57"/>
      </tp>
      <tp>
        <v>58</v>
        <stp/>
        <stp>2006</stp>
        <stp>Price</stp>
        <tr r="W433" s="57"/>
      </tp>
      <tp>
        <v>30.15</v>
        <stp/>
        <stp>2106</stp>
        <stp>Price</stp>
        <tr r="W485" s="57"/>
      </tp>
      <tp>
        <v>61.4</v>
        <stp/>
        <stp>2606</stp>
        <stp>Price</stp>
        <tr r="W61" s="114"/>
        <tr r="W1520" s="57"/>
      </tp>
      <tp>
        <v>35.9</v>
        <stp/>
        <stp>2616</stp>
        <stp>Price</stp>
        <tr r="W1678" s="57"/>
      </tp>
      <tp>
        <v>117.5</v>
        <stp/>
        <stp>2636</stp>
        <stp>Price</stp>
        <tr r="W1534" s="57"/>
      </tp>
      <tp>
        <v>103</v>
        <stp/>
        <stp>2756</stp>
        <stp>Price</stp>
        <tr r="W1578" s="57"/>
      </tp>
      <tp>
        <v>13.45</v>
        <stp/>
        <stp>2706</stp>
        <stp>Price</stp>
        <tr r="W1554" s="57"/>
      </tp>
      <tp>
        <v>24</v>
        <stp/>
        <stp>2726</stp>
        <stp>Price</stp>
        <tr r="W1562" s="57"/>
      </tp>
      <tp>
        <v>17.649999999999999</v>
        <stp/>
        <stp>2736</stp>
        <stp>Price</stp>
        <tr r="W1568" s="57"/>
      </tp>
      <tp>
        <v>32.450000000000003</v>
        <stp/>
        <stp>2466</stp>
        <stp>Price</stp>
        <tr r="W818" s="57"/>
      </tp>
      <tp>
        <v>47.55</v>
        <stp/>
        <stp>2476</stp>
        <stp>Price</stp>
        <tr r="W1052" s="57"/>
      </tp>
      <tp>
        <v>20.149999999999999</v>
        <stp/>
        <stp>2406</stp>
        <stp>Price</stp>
        <tr r="W814" s="57"/>
      </tp>
      <tp>
        <v>20.9</v>
        <stp/>
        <stp>2426</stp>
        <stp>Price</stp>
        <tr r="W816" s="57"/>
      </tp>
      <tp>
        <v>66.599999999999994</v>
        <stp/>
        <stp>2436</stp>
        <stp>Price</stp>
        <tr r="W545" s="57"/>
      </tp>
      <tp>
        <v>35.700000000000003</v>
        <stp/>
        <stp>2486</stp>
        <stp>Price</stp>
        <tr r="W819" s="57"/>
      </tp>
      <tp>
        <v>48</v>
        <stp/>
        <stp>2496</stp>
        <stp>Price</stp>
        <tr r="W1320" s="57"/>
      </tp>
      <tp>
        <v>52</v>
        <stp/>
        <stp>2546</stp>
        <stp>Price</stp>
        <tr r="W1469" s="57"/>
      </tp>
      <tp>
        <v>9.5500000000000007</v>
        <stp/>
        <stp>2506</stp>
        <stp>Price</stp>
        <tr r="W1450" s="57"/>
      </tp>
      <tp>
        <v>5.15</v>
        <stp/>
        <stp>2516</stp>
        <stp>Price</stp>
        <tr r="W1453" s="57"/>
      </tp>
      <tp>
        <v>20.399999999999999</v>
        <stp/>
        <stp>2536</stp>
        <stp>Price</stp>
        <tr r="W1461" s="57"/>
      </tp>
      <tp>
        <v>19.899999999999999</v>
        <stp/>
        <stp>2596</stp>
        <stp>Price</stp>
        <tr r="W1472" s="57"/>
      </tp>
      <tp>
        <v>17.7</v>
        <stp/>
        <stp>2816</stp>
        <stp>Price</stp>
        <tr r="W1597" s="57"/>
      </tp>
      <tp>
        <v>13.2</v>
        <stp/>
        <stp>2836</stp>
        <stp>Price</stp>
        <tr r="W1601" s="57"/>
      </tp>
      <tp>
        <v>36.9</v>
        <stp/>
        <stp>2886</stp>
        <stp>Price</stp>
        <tr r="W1616" s="57"/>
        <tr r="W15" s="118"/>
      </tp>
      <tp>
        <v>17.350000000000001</v>
        <stp/>
        <stp>2906</stp>
        <stp>Price</stp>
        <tr r="W1645" s="57"/>
      </tp>
      <tp>
        <v>22.9</v>
        <stp/>
        <stp>2916</stp>
        <stp>Price</stp>
        <tr r="W1652" s="57"/>
      </tp>
      <tp>
        <v>52</v>
        <stp/>
        <stp>2926</stp>
        <stp>Price</stp>
        <tr r="W1780" s="57"/>
      </tp>
      <tp>
        <v>39.25</v>
        <stp/>
        <stp>2936</stp>
        <stp>Price</stp>
        <tr r="W1654" s="57"/>
      </tp>
      <tp>
        <v>12.5</v>
        <stp/>
        <stp>3266</stp>
        <stp>Price</stp>
        <tr r="W1479" s="57"/>
      </tp>
      <tp>
        <v>16.45</v>
        <stp/>
        <stp>3276</stp>
        <stp>Price</stp>
        <tr r="W1081" s="57"/>
      </tp>
      <tp>
        <v>27.25</v>
        <stp/>
        <stp>3206</stp>
        <stp>Price</stp>
        <tr r="W1076" s="57"/>
      </tp>
      <tp t="s">
        <v>無資料</v>
        <stp/>
        <stp>3226</stp>
        <stp>Price</stp>
        <tr r="W172" s="57"/>
      </tp>
      <tp>
        <v>21.7</v>
        <stp/>
        <stp>3236</stp>
        <stp>Price</stp>
        <tr r="W1080" s="57"/>
      </tp>
      <tp>
        <v>15.15</v>
        <stp/>
        <stp>3296</stp>
        <stp>Price</stp>
        <tr r="W1085" s="57"/>
      </tp>
      <tp>
        <v>29.2</v>
        <stp/>
        <stp>3346</stp>
        <stp>Price</stp>
        <tr r="W521" s="57"/>
      </tp>
      <tp>
        <v>29.05</v>
        <stp/>
        <stp>3356</stp>
        <stp>Price</stp>
        <tr r="W837" s="57"/>
      </tp>
      <tp>
        <v>83.7</v>
        <stp/>
        <stp>3376</stp>
        <stp>Price</stp>
        <tr r="W1095" s="57"/>
      </tp>
      <tp>
        <v>21.45</v>
        <stp/>
        <stp>3306</stp>
        <stp>Price</stp>
        <tr r="W954" s="57"/>
      </tp>
      <tp>
        <v>28.65</v>
        <stp/>
        <stp>3046</stp>
        <stp>Price</stp>
        <tr r="W730" s="57"/>
      </tp>
      <tp>
        <v>34</v>
        <stp/>
        <stp>3056</stp>
        <stp>Price</stp>
        <tr r="W1477" s="57"/>
      </tp>
      <tp>
        <v>30.35</v>
        <stp/>
        <stp>3066</stp>
        <stp>Price</stp>
        <tr r="W831" s="57"/>
      </tp>
      <tp>
        <v>117</v>
        <stp/>
        <stp>3006</stp>
        <stp>Price</stp>
        <tr r="W24" s="74"/>
        <tr r="W131" s="114"/>
        <tr r="W552" s="57"/>
      </tp>
      <tp>
        <v>96.1</v>
        <stp/>
        <stp>3016</stp>
        <stp>Price</stp>
        <tr r="W554" s="57"/>
      </tp>
      <tp>
        <v>111</v>
        <stp/>
        <stp>3026</stp>
        <stp>Price</stp>
        <tr r="W1063" s="57"/>
      </tp>
      <tp>
        <v>68.099999999999994</v>
        <stp/>
        <stp>3036</stp>
        <stp>Price</stp>
        <tr r="W1236" s="57"/>
      </tp>
      <tp>
        <v>103.5</v>
        <stp/>
        <stp>3086</stp>
        <stp>Price</stp>
        <tr r="W1783" s="57"/>
      </tp>
      <tp>
        <v>48.7</v>
        <stp/>
        <stp>3176</stp>
        <stp>Price</stp>
        <tr r="W314" s="57"/>
      </tp>
      <tp>
        <v>25.95</v>
        <stp/>
        <stp>3646</stp>
        <stp>Price</stp>
        <tr r="W1119" s="57"/>
      </tp>
      <tp>
        <v>24.3</v>
        <stp/>
        <stp>3666</stp>
        <stp>Price</stp>
        <tr r="W860" s="57"/>
      </tp>
      <tp>
        <v>12.7</v>
        <stp/>
        <stp>3686</stp>
        <stp>Price</stp>
        <tr r="W597" s="57"/>
      </tp>
      <tp>
        <v>26.85</v>
        <stp/>
        <stp>3706</stp>
        <stp>Price</stp>
        <tr r="W757" s="57"/>
      </tp>
      <tp>
        <v>19.25</v>
        <stp/>
        <stp>3466</stp>
        <stp>Price</stp>
        <tr r="W959" s="57"/>
      </tp>
      <tp>
        <v>335.5</v>
        <stp/>
        <stp>3406</stp>
        <stp>Price</stp>
        <tr r="W840" s="57"/>
      </tp>
      <tp>
        <v>76.900000000000006</v>
        <stp/>
        <stp>3416</stp>
        <stp>Price</stp>
        <tr r="W743" s="57"/>
      </tp>
      <tp t="s">
        <v>無資料</v>
        <stp/>
        <stp>3426</stp>
        <stp>Price</stp>
        <tr r="W174" s="57"/>
      </tp>
      <tp>
        <v>78.900000000000006</v>
        <stp/>
        <stp>3546</stp>
        <stp>Price</stp>
        <tr r="W1785" s="57"/>
      </tp>
      <tp>
        <v>76.7</v>
        <stp/>
        <stp>3556</stp>
        <stp>Price</stp>
        <tr r="W588" s="57"/>
      </tp>
      <tp>
        <v>20.3</v>
        <stp/>
        <stp>3576</stp>
        <stp>Price</stp>
        <tr r="W854" s="57"/>
      </tp>
      <tp>
        <v>15.8</v>
        <stp/>
        <stp>3516</stp>
        <stp>Price</stp>
        <tr r="W849" s="57"/>
      </tp>
      <tp>
        <v>166.5</v>
        <stp/>
        <stp>3526</stp>
        <stp>Price</stp>
        <tr r="W141" s="114"/>
        <tr r="W1106" s="57"/>
      </tp>
      <tp>
        <v>4.83</v>
        <stp/>
        <stp>3536</stp>
        <stp>Price</stp>
        <tr r="W585" s="57"/>
      </tp>
      <tp>
        <v>117</v>
        <stp/>
        <stp>3596</stp>
        <stp>Price</stp>
        <tr r="W964" s="57"/>
      </tp>
      <tp>
        <v>240</v>
        <stp/>
        <stp>1256</stp>
        <stp>Price</stp>
        <tr r="W32" s="57"/>
      </tp>
      <tp>
        <v>64.5</v>
        <stp/>
        <stp>1216</stp>
        <stp>Price</stp>
        <tr r="W18" s="57"/>
        <tr r="W28" s="118"/>
      </tp>
      <tp>
        <v>26.1</v>
        <stp/>
        <stp>1236</stp>
        <stp>Price</stp>
        <tr r="W31" s="57"/>
      </tp>
      <tp>
        <v>18.149999999999999</v>
        <stp/>
        <stp>1316</stp>
        <stp>Price</stp>
        <tr r="W1441" s="57"/>
      </tp>
      <tp>
        <v>77.3</v>
        <stp/>
        <stp>1326</stp>
        <stp>Price</stp>
        <tr r="W11" s="118"/>
        <tr r="W58" s="57"/>
      </tp>
      <tp>
        <v>19</v>
        <stp/>
        <stp>1336</stp>
        <stp>Price</stp>
        <tr r="W1020" s="57"/>
      </tp>
      <tp>
        <v>9.01</v>
        <stp/>
        <stp>1616</stp>
        <stp>Price</stp>
        <tr r="W234" s="57"/>
      </tp>
      <tp>
        <v>18.55</v>
        <stp/>
        <stp>1626</stp>
        <stp>Price</stp>
        <tr r="W237" s="57"/>
      </tp>
      <tp>
        <v>19.5</v>
        <stp/>
        <stp>1776</stp>
        <stp>Price</stp>
        <tr r="W264" s="57"/>
      </tp>
      <tp>
        <v>71.8</v>
        <stp/>
        <stp>1726</stp>
        <stp>Price</stp>
        <tr r="W257" s="57"/>
      </tp>
      <tp>
        <v>52.4</v>
        <stp/>
        <stp>1736</stp>
        <stp>Price</stp>
        <tr r="W298" s="57"/>
      </tp>
      <tp>
        <v>42.55</v>
        <stp/>
        <stp>1786</stp>
        <stp>Price</stp>
        <tr r="W306" s="57"/>
      </tp>
      <tp>
        <v>44.9</v>
        <stp/>
        <stp>1796</stp>
        <stp>Price</stp>
        <tr r="W37" s="57"/>
      </tp>
      <tp>
        <v>32.200000000000003</v>
        <stp/>
        <stp>1446</stp>
        <stp>Price</stp>
        <tr r="W86" s="57"/>
      </tp>
      <tp>
        <v>19.5</v>
        <stp/>
        <stp>1456</stp>
        <stp>Price</stp>
        <tr r="W94" s="57"/>
      </tp>
      <tp>
        <v>13.65</v>
        <stp/>
        <stp>1466</stp>
        <stp>Price</stp>
        <tr r="W101" s="57"/>
      </tp>
      <tp>
        <v>506</v>
        <stp/>
        <stp>1476</stp>
        <stp>Price</stp>
        <tr r="W25" s="28"/>
        <tr r="W109" s="57"/>
      </tp>
      <tp>
        <v>65.099999999999994</v>
        <stp/>
        <stp>1436</stp>
        <stp>Price</stp>
        <tr r="W1442" s="57"/>
      </tp>
      <tp>
        <v>17.600000000000001</v>
        <stp/>
        <stp>1506</stp>
        <stp>Price</stp>
        <tr r="W130" s="57"/>
      </tp>
      <tp>
        <v>23.85</v>
        <stp/>
        <stp>1516</stp>
        <stp>Price</stp>
        <tr r="W1310" s="57"/>
        <tr r="W1313" s="57"/>
      </tp>
      <tp>
        <v>47.35</v>
        <stp/>
        <stp>1526</stp>
        <stp>Price</stp>
        <tr r="W137" s="57"/>
      </tp>
      <tp>
        <v>69.099999999999994</v>
        <stp/>
        <stp>1536</stp>
        <stp>Price</stp>
        <tr r="W503" s="57"/>
      </tp>
      <tp>
        <v>38.5</v>
        <stp/>
        <stp>1586</stp>
        <stp>Price</stp>
        <tr r="W155" s="57"/>
      </tp>
      <tp>
        <v>11</v>
        <stp/>
        <stp>1806</stp>
        <stp>Price</stp>
        <tr r="W418" s="57"/>
      </tp>
      <tp>
        <v>18</v>
        <stp/>
        <stp>1906</stp>
        <stp>Price</stp>
        <tr r="W427" s="57"/>
      </tp>
      <tp>
        <v>13.4</v>
        <stp/>
        <stp>6246</stp>
        <stp>Price</stp>
        <tr r="W900" s="57"/>
        <tr r="W905" s="57"/>
      </tp>
      <tp>
        <v>23</v>
        <stp/>
        <stp>6266</stp>
        <stp>Price</stp>
        <tr r="W1186" s="57"/>
      </tp>
      <tp>
        <v>16.100000000000001</v>
        <stp/>
        <stp>6276</stp>
        <stp>Price</stp>
        <tr r="W789" s="57"/>
      </tp>
      <tp>
        <v>76.599999999999994</v>
        <stp/>
        <stp>6206</stp>
        <stp>Price</stp>
        <tr r="W785" s="57"/>
      </tp>
      <tp>
        <v>27.9</v>
        <stp/>
        <stp>6216</stp>
        <stp>Price</stp>
        <tr r="W990" s="57"/>
      </tp>
      <tp>
        <v>11.75</v>
        <stp/>
        <stp>6226</stp>
        <stp>Price</stp>
        <tr r="W902" s="57"/>
      </tp>
      <tp>
        <v>19</v>
        <stp/>
        <stp>6236</stp>
        <stp>Price</stp>
        <tr r="W1344" s="57"/>
      </tp>
      <tp>
        <v>12.6</v>
        <stp/>
        <stp>6016</stp>
        <stp>Price</stp>
        <tr r="W1631" s="57"/>
      </tp>
      <tp>
        <v>15.85</v>
        <stp/>
        <stp>6026</stp>
        <stp>Price</stp>
        <tr r="W1636" s="57"/>
      </tp>
      <tp>
        <v>190</v>
        <stp/>
        <stp>6146</stp>
        <stp>Price</stp>
        <tr r="W1747" s="57"/>
      </tp>
      <tp>
        <v>17.3</v>
        <stp/>
        <stp>6156</stp>
        <stp>Price</stp>
        <tr r="W1164" s="57"/>
      </tp>
      <tp>
        <v>55.3</v>
        <stp/>
        <stp>6166</stp>
        <stp>Price</stp>
        <tr r="W783" s="57"/>
      </tp>
      <tp>
        <v>103</v>
        <stp/>
        <stp>6176</stp>
        <stp>Price</stp>
        <tr r="W26" s="74"/>
        <tr r="W130" s="114"/>
        <tr r="W898" s="57"/>
      </tp>
      <tp>
        <v>12.45</v>
        <stp/>
        <stp>6116</stp>
        <stp>Price</stp>
        <tr r="W892" s="57"/>
      </tp>
      <tp>
        <v>23.1</v>
        <stp/>
        <stp>6126</stp>
        <stp>Price</stp>
        <tr r="W1157" s="57"/>
      </tp>
      <tp>
        <v>18.5</v>
        <stp/>
        <stp>6136</stp>
        <stp>Price</stp>
        <tr r="W983" s="57"/>
      </tp>
      <tp>
        <v>26.8</v>
        <stp/>
        <stp>6186</stp>
        <stp>Price</stp>
        <tr r="W1508" s="57"/>
      </tp>
      <tp>
        <v>121.5</v>
        <stp/>
        <stp>6196</stp>
        <stp>Price</stp>
        <tr r="W1751" s="57"/>
      </tp>
      <tp>
        <v>51.7</v>
        <stp/>
        <stp>6666</stp>
        <stp>Price</stp>
        <tr r="W402" s="57"/>
      </tp>
      <tp>
        <v>20.2</v>
        <stp/>
        <stp>6616</stp>
        <stp>Price</stp>
        <tr r="W1350" s="57"/>
      </tp>
      <tp>
        <v>291</v>
        <stp/>
        <stp>6756</stp>
        <stp>Price</stp>
        <tr r="W116" s="114"/>
        <tr r="W677" s="57"/>
      </tp>
      <tp>
        <v>42.7</v>
        <stp/>
        <stp>6776</stp>
        <stp>Price</stp>
        <tr r="W1256" s="57"/>
      </tp>
      <tp>
        <v>147</v>
        <stp/>
        <stp>6706</stp>
        <stp>Price</stp>
        <tr r="W917" s="57"/>
      </tp>
      <tp>
        <v>149.5</v>
        <stp/>
        <stp>6716</stp>
        <stp>Price</stp>
        <tr r="W674" s="57"/>
      </tp>
      <tp>
        <v>380.5</v>
        <stp/>
        <stp>6446</stp>
        <stp>Price</stp>
        <tr r="W379" s="57"/>
        <tr r="W38" s="118"/>
      </tp>
      <tp>
        <v>82.4</v>
        <stp/>
        <stp>6456</stp>
        <stp>Price</stp>
        <tr r="W124" s="114"/>
        <tr r="W912" s="57"/>
      </tp>
      <tp>
        <v>77.900000000000006</v>
        <stp/>
        <stp>6416</stp>
        <stp>Price</stp>
        <tr r="W996" s="57"/>
      </tp>
      <tp>
        <v>64</v>
        <stp/>
        <stp>6426</stp>
        <stp>Price</stp>
        <tr r="W998" s="57"/>
      </tp>
      <tp>
        <v>72.2</v>
        <stp/>
        <stp>6486</stp>
        <stp>Price</stp>
        <tr r="W1001" s="57"/>
      </tp>
      <tp>
        <v>27.05</v>
        <stp/>
        <stp>6496</stp>
        <stp>Price</stp>
        <tr r="W385" s="57"/>
      </tp>
      <tp>
        <v>113</v>
        <stp/>
        <stp>6546</stp>
        <stp>Price</stp>
        <tr r="W47" s="28"/>
        <tr r="W1004" s="57"/>
      </tp>
      <tp>
        <v>61</v>
        <stp/>
        <stp>6556</stp>
        <stp>Price</stp>
        <tr r="W914" s="57"/>
      </tp>
      <tp>
        <v>112.5</v>
        <stp/>
        <stp>6576</stp>
        <stp>Price</stp>
        <tr r="W394" s="57"/>
      </tp>
      <tp>
        <v>21.95</v>
        <stp/>
        <stp>6506</stp>
        <stp>Price</stp>
        <tr r="W285" s="57"/>
      </tp>
      <tp>
        <v>84</v>
        <stp/>
        <stp>6516</stp>
        <stp>Price</stp>
        <tr r="W1296" s="57"/>
      </tp>
      <tp>
        <v>44.6</v>
        <stp/>
        <stp>6596</stp>
        <stp>Price</stp>
        <tr r="W1799" s="57"/>
      </tp>
      <tp>
        <v>90.1</v>
        <stp/>
        <stp>6806</stp>
        <stp>Price</stp>
        <tr r="W53" s="28"/>
        <tr r="W1364" s="57"/>
      </tp>
      <tp>
        <v>86.5</v>
        <stp/>
        <stp>6826</stp>
        <stp>Price</stp>
        <tr r="W1768" s="57"/>
      </tp>
      <tp>
        <v>114.5</v>
        <stp/>
        <stp>7556</stp>
        <stp>Price</stp>
        <tr r="W681" s="57"/>
      </tp>
      <tp>
        <v>15.15</v>
        <stp/>
        <stp>4306</stp>
        <stp>Price</stp>
        <tr r="W65" s="57"/>
      </tp>
      <tp>
        <v>28.65</v>
        <stp/>
        <stp>4106</stp>
        <stp>Price</stp>
        <tr r="W321" s="57"/>
      </tp>
      <tp>
        <v>45.45</v>
        <stp/>
        <stp>4116</stp>
        <stp>Price</stp>
        <tr r="W327" s="57"/>
      </tp>
      <tp>
        <v>71.3</v>
        <stp/>
        <stp>4126</stp>
        <stp>Price</stp>
        <tr r="W332" s="57"/>
      </tp>
      <tp>
        <v>50.9</v>
        <stp/>
        <stp>4746</stp>
        <stp>Price</stp>
        <tr r="W373" s="57"/>
      </tp>
      <tp>
        <v>127</v>
        <stp/>
        <stp>4766</stp>
        <stp>Price</stp>
        <tr r="W281" s="57"/>
      </tp>
      <tp t="s">
        <v>無資料</v>
        <stp/>
        <stp>4706</stp>
        <stp>Price</stp>
        <tr r="W267" s="57"/>
      </tp>
      <tp>
        <v>14.75</v>
        <stp/>
        <stp>4716</stp>
        <stp>Price</stp>
        <tr r="W271" s="57"/>
      </tp>
      <tp>
        <v>35.5</v>
        <stp/>
        <stp>4726</stp>
        <stp>Price</stp>
        <tr r="W365" s="57"/>
      </tp>
      <tp>
        <v>225</v>
        <stp/>
        <stp>4736</stp>
        <stp>Price</stp>
        <tr r="W368" s="57"/>
      </tp>
      <tp>
        <v>10.3</v>
        <stp/>
        <stp>4406</stp>
        <stp>Price</stp>
        <tr r="W113" s="57"/>
      </tp>
      <tp>
        <v>93.9</v>
        <stp/>
        <stp>4416</stp>
        <stp>Price</stp>
        <tr r="W1483" s="57"/>
      </tp>
      <tp>
        <v>22.05</v>
        <stp/>
        <stp>4426</stp>
        <stp>Price</stp>
        <tr r="W119" s="57"/>
      </tp>
      <tp t="s">
        <v>無資料</v>
        <stp/>
        <stp>4556</stp>
        <stp>Price</stp>
        <tr r="W1331" s="57"/>
      </tp>
      <tp>
        <v>43.65</v>
        <stp/>
        <stp>4566</stp>
        <stp>Price</stp>
        <tr r="W202" s="57"/>
      </tp>
      <tp>
        <v>95.2</v>
        <stp/>
        <stp>4576</stp>
        <stp>Price</stp>
        <tr r="W206" s="57"/>
      </tp>
      <tp>
        <v>67.599999999999994</v>
        <stp/>
        <stp>4506</stp>
        <stp>Price</stp>
        <tr r="W177" s="57"/>
      </tp>
      <tp>
        <v>14.45</v>
        <stp/>
        <stp>4526</stp>
        <stp>Price</stp>
        <tr r="W181" s="57"/>
      </tp>
      <tp>
        <v>121</v>
        <stp/>
        <stp>4536</stp>
        <stp>Price</stp>
        <tr r="W1329" s="57"/>
      </tp>
      <tp t="s">
        <v>無資料</v>
        <stp/>
        <stp>4806</stp>
        <stp>Price</stp>
        <tr r="W1787" s="57"/>
      </tp>
      <tp>
        <v>61.9</v>
        <stp/>
        <stp>4946</stp>
        <stp>Price</stp>
        <tr r="W1788" s="57"/>
      </tp>
      <tp>
        <v>18.899999999999999</v>
        <stp/>
        <stp>4956</stp>
        <stp>Price</stp>
        <tr r="W873" s="57"/>
      </tp>
      <tp>
        <v>1440</v>
        <stp/>
        <stp>4966</stp>
        <stp>Price</stp>
        <tr r="W605" s="57"/>
      </tp>
      <tp>
        <v>48.5</v>
        <stp/>
        <stp>4976</stp>
        <stp>Price</stp>
        <tr r="W876" s="57"/>
      </tp>
      <tp>
        <v>29.3</v>
        <stp/>
        <stp>4906</stp>
        <stp>Price</stp>
        <tr r="W974" s="57"/>
      </tp>
      <tp>
        <v>23.55</v>
        <stp/>
        <stp>4916</stp>
        <stp>Price</stp>
        <tr r="W760" s="57"/>
      </tp>
      <tp>
        <v>12.15</v>
        <stp/>
        <stp>5276</stp>
        <stp>Price</stp>
        <tr r="W1333" s="57"/>
      </tp>
      <tp>
        <v>13.25</v>
        <stp/>
        <stp>5206</stp>
        <stp>Price</stp>
        <tr r="W1485" s="57"/>
      </tp>
      <tp>
        <v>118</v>
        <stp/>
        <stp>5236</stp>
        <stp>Price</stp>
        <tr r="W612" s="57"/>
      </tp>
      <tp>
        <v>23.65</v>
        <stp/>
        <stp>5356</stp>
        <stp>Price</stp>
        <tr r="W769" s="57"/>
      </tp>
      <tp>
        <v>167.5</v>
        <stp/>
        <stp>5306</stp>
        <stp>Price</stp>
        <tr r="W1335" s="57"/>
      </tp>
      <tp>
        <v>39.5</v>
        <stp/>
        <stp>5386</stp>
        <stp>Price</stp>
        <tr r="W770" s="57"/>
      </tp>
      <tp>
        <v>37.299999999999997</v>
        <stp/>
        <stp>5016</stp>
        <stp>Price</stp>
        <tr r="W470" s="57"/>
      </tp>
      <tp>
        <v>64.400000000000006</v>
        <stp/>
        <stp>5706</stp>
        <stp>Price</stp>
        <tr r="W1587" s="57"/>
      </tp>
      <tp>
        <v>10.199999999999999</v>
        <stp/>
        <stp>5426</stp>
        <stp>Price</stp>
        <tr r="W771" s="57"/>
      </tp>
      <tp>
        <v>55.5</v>
        <stp/>
        <stp>5546</stp>
        <stp>Price</stp>
        <tr r="W1505" s="57"/>
      </tp>
      <tp>
        <v>16.399999999999999</v>
        <stp/>
        <stp>5516</stp>
        <stp>Price</stp>
        <tr r="W1494" s="57"/>
      </tp>
      <tp>
        <v>196</v>
        <stp/>
        <stp>5536</stp>
        <stp>Price</stp>
        <tr r="W1745" s="57"/>
      </tp>
      <tp>
        <v>46.25</v>
        <stp/>
        <stp>5876</stp>
        <stp>Price</stp>
        <tr r="W1626" s="57"/>
      </tp>
      <tp>
        <v>33.299999999999997</v>
        <stp/>
        <stp>5906</stp>
        <stp>Price</stp>
        <tr r="W1665" s="57"/>
      </tp>
      <tp>
        <v>401</v>
        <stp/>
        <stp>8046</stp>
        <stp>Price</stp>
        <tr r="W1210" s="57"/>
      </tp>
      <tp>
        <v>27.65</v>
        <stp/>
        <stp>8066</stp>
        <stp>Price</stp>
        <tr r="W1669" s="57"/>
      </tp>
      <tp>
        <v>27.7</v>
        <stp/>
        <stp>8076</stp>
        <stp>Price</stp>
        <tr r="W800" s="57"/>
      </tp>
      <tp>
        <v>244</v>
        <stp/>
        <stp>8016</stp>
        <stp>Price</stp>
        <tr r="W127" s="114"/>
        <tr r="W682" s="57"/>
      </tp>
      <tp>
        <v>82</v>
        <stp/>
        <stp>8086</stp>
        <stp>Price</stp>
        <tr r="W688" s="57"/>
      </tp>
      <tp>
        <v>14.35</v>
        <stp/>
        <stp>8096</stp>
        <stp>Price</stp>
        <tr r="W1263" s="57"/>
      </tp>
      <tp>
        <v>9.2200000000000006</v>
        <stp/>
        <stp>8176</stp>
        <stp>Price</stp>
        <tr r="W1017" s="57"/>
      </tp>
      <tp>
        <v>72.599999999999994</v>
        <stp/>
        <stp>8446</stp>
        <stp>Price</stp>
        <tr r="W1800" s="57"/>
      </tp>
      <tp>
        <v>38.4</v>
        <stp/>
        <stp>8466</stp>
        <stp>Price</stp>
        <tr r="W1387" s="57"/>
      </tp>
      <tp>
        <v>57.1</v>
        <stp/>
        <stp>8476</stp>
        <stp>Price</stp>
        <tr r="W1390" s="57"/>
      </tp>
      <tp t="s">
        <v>商品錯誤</v>
        <stp/>
        <stp>8406</stp>
        <stp>Price</stp>
        <tr r="W411" s="57"/>
      </tp>
      <tp>
        <v>130</v>
        <stp/>
        <stp>8416</stp>
        <stp>Price</stp>
        <tr r="W1305" s="57"/>
      </tp>
      <tp t="s">
        <v>無資料</v>
        <stp/>
        <stp>8426</stp>
        <stp>Price</stp>
        <tr r="W1378" s="57"/>
      </tp>
      <tp>
        <v>144</v>
        <stp/>
        <stp>8436</stp>
        <stp>Price</stp>
        <tr r="W134" s="114"/>
        <tr r="W414" s="57"/>
      </tp>
      <tp>
        <v>18.8</v>
        <stp/>
        <stp>8906</stp>
        <stp>Price</stp>
        <tr r="W1398" s="57"/>
      </tp>
      <tp>
        <v>43.2</v>
        <stp/>
        <stp>8916</stp>
        <stp>Price</stp>
        <tr r="W1399" s="57"/>
      </tp>
      <tp>
        <v>37.35</v>
        <stp/>
        <stp>8926</stp>
        <stp>Price</stp>
        <tr r="W1679" s="57"/>
      </tp>
      <tp>
        <v>19.850000000000001</v>
        <stp/>
        <stp>8936</stp>
        <stp>Price</stp>
        <tr r="W29" s="28"/>
        <tr r="W82" s="22"/>
        <tr r="W83" s="22"/>
        <tr r="W84" s="22"/>
        <tr r="W1407" s="57"/>
      </tp>
      <tp>
        <v>50.8</v>
        <stp/>
        <stp>8996</stp>
        <stp>Price</stp>
        <tr r="W221" s="57"/>
      </tp>
      <tp>
        <v>12.55</v>
        <stp/>
        <stp>9946</stp>
        <stp>Price</stp>
        <tr r="W1514" s="57"/>
      </tp>
      <tp>
        <v>56</v>
        <stp/>
        <stp>9906</stp>
        <stp>Price</stp>
        <tr r="W1513" s="57"/>
      </tp>
      <tp t="s">
        <v>無資料</v>
        <stp/>
        <stp>9926</stp>
        <stp>Price</stp>
        <tr r="W1684" s="57"/>
      </tp>
      <tp>
        <v>205</v>
        <stp/>
        <stp>2247</stp>
        <stp>Price</stp>
        <tr r="W518" s="57"/>
      </tp>
      <tp>
        <v>559</v>
        <stp/>
        <stp>2207</stp>
        <stp>Price</stp>
        <tr r="W29" s="118"/>
        <tr r="W510" s="57"/>
      </tp>
      <tp>
        <v>230</v>
        <stp/>
        <stp>2227</stp>
        <stp>Price</stp>
        <tr r="W511" s="57"/>
      </tp>
      <tp>
        <v>71.599999999999994</v>
        <stp/>
        <stp>2347</stp>
        <stp>Price</stp>
        <tr r="W1229" s="57"/>
      </tp>
      <tp>
        <v>332</v>
        <stp/>
        <stp>2357</stp>
        <stp>Price</stp>
        <tr r="W707" s="57"/>
      </tp>
      <tp>
        <v>15.9</v>
        <stp/>
        <stp>2367</stp>
        <stp>Price</stp>
        <tr r="W1032" s="57"/>
      </tp>
      <tp>
        <v>127.5</v>
        <stp/>
        <stp>2377</stp>
        <stp>Price</stp>
        <tr r="W712" s="57"/>
      </tp>
      <tp>
        <v>104.5</v>
        <stp/>
        <stp>2317</stp>
        <stp>Price</stp>
        <tr r="W2" s="118"/>
        <tr r="W1694" s="57"/>
      </tp>
      <tp>
        <v>381.5</v>
        <stp/>
        <stp>2327</stp>
        <stp>Price</stp>
        <tr r="W69" s="114"/>
        <tr r="W1029" s="57"/>
      </tp>
      <tp>
        <v>38.35</v>
        <stp/>
        <stp>2337</stp>
        <stp>Price</stp>
        <tr r="W533" s="57"/>
      </tp>
      <tp>
        <v>35.799999999999997</v>
        <stp/>
        <stp>2387</stp>
        <stp>Price</stp>
        <tr r="W32" s="28"/>
        <tr r="W79" s="114"/>
        <tr r="W109" s="22"/>
        <tr r="W715" s="57"/>
      </tp>
      <tp>
        <v>60.2</v>
        <stp/>
        <stp>2397</stp>
        <stp>Price</stp>
        <tr r="W717" s="57"/>
      </tp>
      <tp t="s">
        <v>無資料</v>
        <stp/>
        <stp>2067</stp>
        <stp>Price</stp>
        <tr r="W163" s="57"/>
      </tp>
      <tp>
        <v>14.75</v>
        <stp/>
        <stp>2007</stp>
        <stp>Price</stp>
        <tr r="W434" s="57"/>
      </tp>
      <tp>
        <v>15.4</v>
        <stp/>
        <stp>2017</stp>
        <stp>Price</stp>
        <tr r="W442" s="57"/>
      </tp>
      <tp>
        <v>43.4</v>
        <stp/>
        <stp>2027</stp>
        <stp>Price</stp>
        <tr r="W448" s="57"/>
      </tp>
      <tp>
        <v>21.6</v>
        <stp/>
        <stp>2107</stp>
        <stp>Price</stp>
        <tr r="W486" s="57"/>
      </tp>
      <tp>
        <v>34.799999999999997</v>
        <stp/>
        <stp>2607</stp>
        <stp>Price</stp>
        <tr r="W1521" s="57"/>
      </tp>
      <tp>
        <v>35.15</v>
        <stp/>
        <stp>2617</stp>
        <stp>Price</stp>
        <tr r="W1529" s="57"/>
      </tp>
      <tp>
        <v>95.5</v>
        <stp/>
        <stp>2637</stp>
        <stp>Price</stp>
        <tr r="W1535" s="57"/>
      </tp>
      <tp>
        <v>161</v>
        <stp/>
        <stp>2707</stp>
        <stp>Price</stp>
        <tr r="W1555" s="57"/>
      </tp>
      <tp>
        <v>102.5</v>
        <stp/>
        <stp>2727</stp>
        <stp>Price</stp>
        <tr r="W1563" s="57"/>
      </tp>
      <tp>
        <v>37.35</v>
        <stp/>
        <stp>2457</stp>
        <stp>Price</stp>
        <tr r="W1047" s="57"/>
      </tp>
      <tp>
        <v>42.8</v>
        <stp/>
        <stp>2467</stp>
        <stp>Price</stp>
        <tr r="W1050" s="57"/>
      </tp>
      <tp>
        <v>24.45</v>
        <stp/>
        <stp>2477</stp>
        <stp>Price</stp>
        <tr r="W1706" s="57"/>
      </tp>
      <tp>
        <v>25.35</v>
        <stp/>
        <stp>2417</stp>
        <stp>Price</stp>
        <tr r="W720" s="57"/>
      </tp>
      <tp>
        <v>12.15</v>
        <stp/>
        <stp>2427</stp>
        <stp>Price</stp>
        <tr r="W1267" s="57"/>
      </tp>
      <tp>
        <v>75</v>
        <stp/>
        <stp>2497</stp>
        <stp>Price</stp>
        <tr r="W520" s="57"/>
      </tp>
      <tp>
        <v>9.27</v>
        <stp/>
        <stp>2547</stp>
        <stp>Price</stp>
        <tr r="W1470" s="57"/>
      </tp>
      <tp>
        <v>26.35</v>
        <stp/>
        <stp>2527</stp>
        <stp>Price</stp>
        <tr r="W1456" s="57"/>
      </tp>
      <tp>
        <v>9.31</v>
        <stp/>
        <stp>2537</stp>
        <stp>Price</stp>
        <tr r="W1462" s="57"/>
      </tp>
      <tp>
        <v>115</v>
        <stp/>
        <stp>2597</stp>
        <stp>Price</stp>
        <tr r="W1473" s="57"/>
      </tp>
      <tp>
        <v>7.12</v>
        <stp/>
        <stp>2867</stp>
        <stp>Price</stp>
        <tr r="W1609" s="57"/>
      </tp>
      <tp>
        <v>16.8</v>
        <stp/>
        <stp>2887</stp>
        <stp>Price</stp>
        <tr r="W1617" s="57"/>
      </tp>
      <tp>
        <v>8.59</v>
        <stp/>
        <stp>2897</stp>
        <stp>Price</stp>
        <tr r="W1623" s="57"/>
      </tp>
      <tp>
        <v>127</v>
        <stp/>
        <stp>2947</stp>
        <stp>Price</stp>
        <tr r="W1658" s="57"/>
      </tp>
      <tp t="s">
        <v>無資料</v>
        <stp/>
        <stp>2937</stp>
        <stp>Price</stp>
        <tr r="W1655" s="57"/>
      </tp>
      <tp>
        <v>71.400000000000006</v>
        <stp/>
        <stp>3257</stp>
        <stp>Price</stp>
        <tr r="W56" s="114"/>
        <tr r="W569" s="57"/>
      </tp>
      <tp>
        <v>25.75</v>
        <stp/>
        <stp>3207</stp>
        <stp>Price</stp>
        <tr r="W1077" s="57"/>
      </tp>
      <tp>
        <v>88.1</v>
        <stp/>
        <stp>3217</stp>
        <stp>Price</stp>
        <tr r="W66" s="114"/>
        <tr r="W1078" s="57"/>
      </tp>
      <tp>
        <v>111.5</v>
        <stp/>
        <stp>3227</stp>
        <stp>Price</stp>
        <tr r="W567" s="57"/>
      </tp>
      <tp>
        <v>13</v>
        <stp/>
        <stp>3287</stp>
        <stp>Price</stp>
        <tr r="W739" s="57"/>
      </tp>
      <tp>
        <v>15.2</v>
        <stp/>
        <stp>3297</stp>
        <stp>Price</stp>
        <tr r="W835" s="57"/>
      </tp>
      <tp>
        <v>105.5</v>
        <stp/>
        <stp>3357</stp>
        <stp>Price</stp>
        <tr r="W118" s="114"/>
        <tr r="W1094" s="57"/>
      </tp>
      <tp>
        <v>63.1</v>
        <stp/>
        <stp>3317</stp>
        <stp>Price</stp>
        <tr r="W575" s="57"/>
      </tp>
      <tp>
        <v>11.25</v>
        <stp/>
        <stp>3047</stp>
        <stp>Price</stp>
        <tr r="W945" s="57"/>
      </tp>
      <tp>
        <v>11.95</v>
        <stp/>
        <stp>3057</stp>
        <stp>Price</stp>
        <tr r="W731" s="57"/>
      </tp>
      <tp t="s">
        <v>無資料</v>
        <stp/>
        <stp>3067</stp>
        <stp>Price</stp>
        <tr r="W1713" s="57"/>
      </tp>
      <tp>
        <v>104.5</v>
        <stp/>
        <stp>3017</stp>
        <stp>Price</stp>
        <tr r="W17" s="74"/>
        <tr r="W68" s="114"/>
        <tr r="W728" s="57"/>
      </tp>
      <tp>
        <v>18.3</v>
        <stp/>
        <stp>3027</stp>
        <stp>Price</stp>
        <tr r="W943" s="57"/>
      </tp>
      <tp>
        <v>214.5</v>
        <stp/>
        <stp>3037</stp>
        <stp>Price</stp>
        <tr r="W30" s="118"/>
        <tr r="W1065" s="57"/>
      </tp>
      <tp>
        <v>44.8</v>
        <stp/>
        <stp>3147</stp>
        <stp>Price</stp>
        <tr r="W1306" s="57"/>
      </tp>
      <tp>
        <v>57</v>
        <stp/>
        <stp>3167</stp>
        <stp>Price</stp>
        <tr r="W170" s="57"/>
      </tp>
      <tp>
        <v>13.35</v>
        <stp/>
        <stp>3607</stp>
        <stp>Price</stp>
        <tr r="W1114" s="57"/>
      </tp>
      <tp>
        <v>67.8</v>
        <stp/>
        <stp>3617</stp>
        <stp>Price</stp>
        <tr r="W1732" s="57"/>
      </tp>
      <tp>
        <v>127</v>
        <stp/>
        <stp>3687</stp>
        <stp>Price</stp>
        <tr r="W1808" s="57"/>
      </tp>
      <tp>
        <v>113</v>
        <stp/>
        <stp>3707</stp>
        <stp>Price</stp>
        <tr r="W598" s="57"/>
      </tp>
      <tp>
        <v>20.350000000000001</v>
        <stp/>
        <stp>3437</stp>
        <stp>Price</stp>
        <tr r="W842" s="57"/>
      </tp>
      <tp>
        <v>74</v>
        <stp/>
        <stp>3557</stp>
        <stp>Price</stp>
        <tr r="W125" s="114"/>
        <tr r="W1326" s="57"/>
      </tp>
      <tp>
        <v>34.1</v>
        <stp/>
        <stp>3567</stp>
        <stp>Price</stp>
        <tr r="W589" s="57"/>
      </tp>
      <tp>
        <v>74.8</v>
        <stp/>
        <stp>3577</stp>
        <stp>Price</stp>
        <tr r="W750" s="57"/>
      </tp>
      <tp>
        <v>161</v>
        <stp/>
        <stp>3527</stp>
        <stp>Price</stp>
        <tr r="W581" s="57"/>
      </tp>
      <tp>
        <v>39.15</v>
        <stp/>
        <stp>3537</stp>
        <stp>Price</stp>
        <tr r="W1108" s="57"/>
      </tp>
      <tp>
        <v>116.5</v>
        <stp/>
        <stp>3587</stp>
        <stp>Price</stp>
        <tr r="W1731" s="57"/>
      </tp>
      <tp>
        <v>25.6</v>
        <stp/>
        <stp>3597</stp>
        <stp>Price</stp>
        <tr r="W1112" s="57"/>
      </tp>
      <tp>
        <v>10.6</v>
        <stp/>
        <stp>1217</stp>
        <stp>Price</stp>
        <tr r="W19" s="57"/>
      </tp>
      <tp>
        <v>48.25</v>
        <stp/>
        <stp>1227</stp>
        <stp>Price</stp>
        <tr r="W24" s="57"/>
      </tp>
      <tp>
        <v>19.8</v>
        <stp/>
        <stp>1307</stp>
        <stp>Price</stp>
        <tr r="W46" s="57"/>
      </tp>
      <tp>
        <v>6.07</v>
        <stp/>
        <stp>1337</stp>
        <stp>Price</stp>
        <tr r="W59" s="57"/>
      </tp>
      <tp>
        <v>16.100000000000001</v>
        <stp/>
        <stp>1617</stp>
        <stp>Price</stp>
        <tr r="W235" s="57"/>
      </tp>
      <tp>
        <v>64.099999999999994</v>
        <stp/>
        <stp>1777</stp>
        <stp>Price</stp>
        <tr r="W302" s="57"/>
      </tp>
      <tp>
        <v>144</v>
        <stp/>
        <stp>1707</stp>
        <stp>Price</stp>
        <tr r="W92" s="114"/>
        <tr r="W293" s="57"/>
      </tp>
      <tp>
        <v>34.200000000000003</v>
        <stp/>
        <stp>1717</stp>
        <stp>Price</stp>
        <tr r="W251" s="57"/>
      </tp>
      <tp>
        <v>38</v>
        <stp/>
        <stp>1727</stp>
        <stp>Price</stp>
        <tr r="W258" s="57"/>
      </tp>
      <tp>
        <v>33.4</v>
        <stp/>
        <stp>1737</stp>
        <stp>Price</stp>
        <tr r="W36" s="57"/>
      </tp>
      <tp>
        <v>7.97</v>
        <stp/>
        <stp>1447</stp>
        <stp>Price</stp>
        <tr r="W87" s="57"/>
      </tp>
      <tp>
        <v>18.649999999999999</v>
        <stp/>
        <stp>1457</stp>
        <stp>Price</stp>
        <tr r="W95" s="57"/>
      </tp>
      <tp>
        <v>13.7</v>
        <stp/>
        <stp>1467</stp>
        <stp>Price</stp>
        <tr r="W102" s="57"/>
      </tp>
      <tp>
        <v>164.5</v>
        <stp/>
        <stp>1477</stp>
        <stp>Price</stp>
        <tr r="W21" s="74"/>
        <tr r="W104" s="114"/>
        <tr r="W110" s="57"/>
      </tp>
      <tp>
        <v>10.5</v>
        <stp/>
        <stp>1417</stp>
        <stp>Price</stp>
        <tr r="W75" s="57"/>
      </tp>
      <tp>
        <v>24.85</v>
        <stp/>
        <stp>1437</stp>
        <stp>Price</stp>
        <tr r="W1312" s="57"/>
      </tp>
      <tp t="s">
        <v>商品錯誤</v>
        <stp/>
        <stp>1507</stp>
        <stp>Price</stp>
        <tr r="W131" s="57"/>
      </tp>
      <tp>
        <v>20.95</v>
        <stp/>
        <stp>1517</stp>
        <stp>Price</stp>
        <tr r="W135" s="57"/>
      </tp>
      <tp>
        <v>43.35</v>
        <stp/>
        <stp>1527</stp>
        <stp>Price</stp>
        <tr r="W138" s="57"/>
      </tp>
      <tp>
        <v>136.5</v>
        <stp/>
        <stp>1537</stp>
        <stp>Price</stp>
        <tr r="W145" s="57"/>
      </tp>
      <tp>
        <v>22.6</v>
        <stp/>
        <stp>1587</stp>
        <stp>Price</stp>
        <tr r="W505" s="57"/>
      </tp>
      <tp>
        <v>78.900000000000006</v>
        <stp/>
        <stp>1597</stp>
        <stp>Price</stp>
        <tr r="W159" s="57"/>
      </tp>
      <tp>
        <v>34.75</v>
        <stp/>
        <stp>1817</stp>
        <stp>Price</stp>
        <tr r="W421" s="57"/>
      </tp>
      <tp>
        <v>26.25</v>
        <stp/>
        <stp>1907</stp>
        <stp>Price</stp>
        <tr r="W428" s="57"/>
      </tp>
      <tp t="s">
        <v>無資料</v>
        <stp/>
        <stp>6247</stp>
        <stp>Price</stp>
        <tr r="W1754" s="57"/>
      </tp>
      <tp>
        <v>58.6</v>
        <stp/>
        <stp>6257</stp>
        <stp>Price</stp>
        <tr r="W99" s="114"/>
        <tr r="W642" s="57"/>
      </tp>
      <tp>
        <v>77.400000000000006</v>
        <stp/>
        <stp>6277</stp>
        <stp>Price</stp>
        <tr r="W790" s="57"/>
      </tp>
      <tp>
        <v>28.8</v>
        <stp/>
        <stp>6207</stp>
        <stp>Price</stp>
        <tr r="W1177" s="57"/>
      </tp>
      <tp>
        <v>54.9</v>
        <stp/>
        <stp>6217</stp>
        <stp>Price</stp>
        <tr r="W1181" s="57"/>
      </tp>
      <tp>
        <v>36.799999999999997</v>
        <stp/>
        <stp>6227</stp>
        <stp>Price</stp>
        <tr r="W1252" s="57"/>
      </tp>
      <tp>
        <v>55</v>
        <stp/>
        <stp>6237</stp>
        <stp>Price</stp>
        <tr r="W639" s="57"/>
      </tp>
      <tp>
        <v>7.68</v>
        <stp/>
        <stp>6287</stp>
        <stp>Price</stp>
        <tr r="W645" s="57"/>
      </tp>
      <tp>
        <v>67.8</v>
        <stp/>
        <stp>6147</stp>
        <stp>Price</stp>
        <tr r="W110" s="114"/>
        <tr r="W632" s="57"/>
      </tp>
      <tp>
        <v>11.8</v>
        <stp/>
        <stp>6167</stp>
        <stp>Price</stp>
        <tr r="W896" s="57"/>
      </tp>
      <tp>
        <v>30</v>
        <stp/>
        <stp>6177</stp>
        <stp>Price</stp>
        <tr r="W1507" s="57"/>
      </tp>
      <tp>
        <v>15.2</v>
        <stp/>
        <stp>6117</stp>
        <stp>Price</stp>
        <tr r="W776" s="57"/>
      </tp>
      <tp>
        <v>21.15</v>
        <stp/>
        <stp>6127</stp>
        <stp>Price</stp>
        <tr r="W1158" s="57"/>
      </tp>
      <tp>
        <v>103</v>
        <stp/>
        <stp>6187</stp>
        <stp>Price</stp>
        <tr r="W1749" s="57"/>
      </tp>
      <tp>
        <v>37</v>
        <stp/>
        <stp>6197</stp>
        <stp>Price</stp>
        <tr r="W1173" s="57"/>
      </tp>
      <tp>
        <v>76</v>
        <stp/>
        <stp>6667</stp>
        <stp>Price</stp>
        <tr r="W1763" s="57"/>
      </tp>
      <tp>
        <v>37.5</v>
        <stp/>
        <stp>6697</stp>
        <stp>Price</stp>
        <tr r="W1300" s="57"/>
      </tp>
      <tp>
        <v>229.5</v>
        <stp/>
        <stp>6747</stp>
        <stp>Price</stp>
        <tr r="W406" s="57"/>
      </tp>
      <tp>
        <v>29.8</v>
        <stp/>
        <stp>6767</stp>
        <stp>Price</stp>
        <tr r="W408" s="57"/>
      </tp>
      <tp>
        <v>73</v>
        <stp/>
        <stp>6727</stp>
        <stp>Price</stp>
        <tr r="W1203" s="57"/>
      </tp>
      <tp>
        <v>104</v>
        <stp/>
        <stp>6457</stp>
        <stp>Price</stp>
        <tr r="W651" s="57"/>
      </tp>
      <tp>
        <v>52.5</v>
        <stp/>
        <stp>6477</stp>
        <stp>Price</stp>
        <tr r="W913" s="57"/>
      </tp>
      <tp>
        <v>74.5</v>
        <stp/>
        <stp>6417</stp>
        <stp>Price</stp>
        <tr r="W997" s="57"/>
      </tp>
      <tp>
        <v>234</v>
        <stp/>
        <stp>6547</stp>
        <stp>Price</stp>
        <tr r="W391" s="57"/>
      </tp>
      <tp>
        <v>63</v>
        <stp/>
        <stp>6577</stp>
        <stp>Price</stp>
        <tr r="W794" s="57"/>
      </tp>
      <tp>
        <v>46.2</v>
        <stp/>
        <stp>6527</stp>
        <stp>Price</stp>
        <tr r="W388" s="57"/>
      </tp>
      <tp>
        <v>28.75</v>
        <stp/>
        <stp>6807</stp>
        <stp>Price</stp>
        <tr r="W1365" s="57"/>
      </tp>
      <tp>
        <v>14.9</v>
        <stp/>
        <stp>4207</stp>
        <stp>Price</stp>
        <tr r="W39" s="57"/>
      </tp>
      <tp>
        <v>59</v>
        <stp/>
        <stp>4147</stp>
        <stp>Price</stp>
        <tr r="W344" s="57"/>
      </tp>
      <tp>
        <v>15.45</v>
        <stp/>
        <stp>4157</stp>
        <stp>Price</stp>
        <tr r="W349" s="57"/>
      </tp>
      <tp>
        <v>16.350000000000001</v>
        <stp/>
        <stp>4167</stp>
        <stp>Price</stp>
        <tr r="W355" s="57"/>
      </tp>
      <tp>
        <v>106.5</v>
        <stp/>
        <stp>4107</stp>
        <stp>Price</stp>
        <tr r="W322" s="57"/>
      </tp>
      <tp>
        <v>14.6</v>
        <stp/>
        <stp>4127</stp>
        <stp>Price</stp>
        <tr r="W333" s="57"/>
      </tp>
      <tp>
        <v>180</v>
        <stp/>
        <stp>4137</stp>
        <stp>Price</stp>
        <tr r="W100" s="114"/>
        <tr r="W339" s="57"/>
      </tp>
      <tp>
        <v>33.4</v>
        <stp/>
        <stp>4747</stp>
        <stp>Price</stp>
        <tr r="W374" s="57"/>
      </tp>
      <tp>
        <v>29</v>
        <stp/>
        <stp>4767</stp>
        <stp>Price</stp>
        <tr r="W282" s="57"/>
      </tp>
      <tp>
        <v>12.6</v>
        <stp/>
        <stp>4707</stp>
        <stp>Price</stp>
        <tr r="W268" s="57"/>
      </tp>
      <tp>
        <v>71.8</v>
        <stp/>
        <stp>4737</stp>
        <stp>Price</stp>
        <tr r="W369" s="57"/>
      </tp>
      <tp>
        <v>32.299999999999997</v>
        <stp/>
        <stp>4417</stp>
        <stp>Price</stp>
        <tr r="W116" s="57"/>
      </tp>
      <tp>
        <v>75</v>
        <stp/>
        <stp>4557</stp>
        <stp>Price</stp>
        <tr r="W523" s="57"/>
      </tp>
      <tp>
        <v>27.3</v>
        <stp/>
        <stp>4527</stp>
        <stp>Price</stp>
        <tr r="W182" s="57"/>
      </tp>
      <tp>
        <v>24.7</v>
        <stp/>
        <stp>4807</stp>
        <stp>Price</stp>
        <tr r="W1660" s="57"/>
      </tp>
      <tp>
        <v>30.5</v>
        <stp/>
        <stp>4967</stp>
        <stp>Price</stp>
        <tr r="W606" s="57"/>
      </tp>
      <tp>
        <v>77</v>
        <stp/>
        <stp>4977</stp>
        <stp>Price</stp>
        <tr r="W115" s="114"/>
        <tr r="W977" s="57"/>
      </tp>
      <tp t="s">
        <v>無資料</v>
        <stp/>
        <stp>4907</stp>
        <stp>Price</stp>
        <tr r="W1484" s="57"/>
      </tp>
      <tp>
        <v>93.7</v>
        <stp/>
        <stp>4927</stp>
        <stp>Price</stp>
        <tr r="W16" s="74"/>
        <tr r="W60" s="114"/>
        <tr r="W1128" s="57"/>
      </tp>
      <tp>
        <v>59.2</v>
        <stp/>
        <stp>4987</stp>
        <stp>Price</stp>
        <tr r="W764" s="57"/>
      </tp>
      <tp>
        <v>60</v>
        <stp/>
        <stp>5227</stp>
        <stp>Price</stp>
        <tr r="W51" s="28"/>
        <tr r="W1135" s="57"/>
      </tp>
      <tp>
        <v>197.5</v>
        <stp/>
        <stp>5287</stp>
        <stp>Price</stp>
        <tr r="W1810" s="57"/>
      </tp>
      <tp>
        <v>104.5</v>
        <stp/>
        <stp>5347</stp>
        <stp>Price</stp>
        <tr r="W621" s="57"/>
        <tr r="W33" s="118"/>
      </tp>
      <tp>
        <v>55.8</v>
        <stp/>
        <stp>5007</stp>
        <stp>Price</stp>
        <tr r="W464" s="57"/>
      </tp>
      <tp>
        <v>52.2</v>
        <stp/>
        <stp>5607</stp>
        <stp>Price</stp>
        <tr r="W1542" s="57"/>
      </tp>
      <tp>
        <v>53.2</v>
        <stp/>
        <stp>5457</stp>
        <stp>Price</stp>
        <tr r="W1146" s="57"/>
      </tp>
      <tp>
        <v>30.2</v>
        <stp/>
        <stp>5487</stp>
        <stp>Price</stp>
        <tr r="W627" s="57"/>
      </tp>
      <tp>
        <v>15.6</v>
        <stp/>
        <stp>5907</stp>
        <stp>Price</stp>
        <tr r="W1666" s="57"/>
      </tp>
      <tp>
        <v>9.6</v>
        <stp/>
        <stp>8277</stp>
        <stp>Price</stp>
        <tr r="W695" s="57"/>
      </tp>
      <tp>
        <v>43.75</v>
        <stp/>
        <stp>8367</stp>
        <stp>Price</stp>
        <tr r="W1545" s="57"/>
      </tp>
      <tp>
        <v>14</v>
        <stp/>
        <stp>8047</stp>
        <stp>Price</stp>
        <tr r="W1770" s="57"/>
      </tp>
      <tp>
        <v>9</v>
        <stp/>
        <stp>8067</stp>
        <stp>Price</stp>
        <tr r="W1258" s="57"/>
      </tp>
      <tp>
        <v>9.99</v>
        <stp/>
        <stp>8077</stp>
        <stp>Price</stp>
        <tr r="W1588" s="57"/>
      </tp>
      <tp>
        <v>74</v>
        <stp/>
        <stp>8027</stp>
        <stp>Price</stp>
        <tr r="W215" s="57"/>
      </tp>
      <tp>
        <v>38.6</v>
        <stp/>
        <stp>8087</stp>
        <stp>Price</stp>
        <tr r="W922" s="57"/>
      </tp>
      <tp>
        <v>54.3</v>
        <stp/>
        <stp>8097</stp>
        <stp>Price</stp>
        <tr r="W1014" s="57"/>
      </tp>
      <tp>
        <v>61.8</v>
        <stp/>
        <stp>8147</stp>
        <stp>Price</stp>
        <tr r="W1219" s="57"/>
      </tp>
      <tp>
        <v>15.85</v>
        <stp/>
        <stp>8107</stp>
        <stp>Price</stp>
        <tr r="W217" s="57"/>
      </tp>
      <tp>
        <v>39.35</v>
        <stp/>
        <stp>8467</stp>
        <stp>Price</stp>
        <tr r="W1388" s="57"/>
      </tp>
      <tp>
        <v>26.85</v>
        <stp/>
        <stp>8477</stp>
        <stp>Price</stp>
        <tr r="W1815" s="57"/>
      </tp>
      <tp>
        <v>101.5</v>
        <stp/>
        <stp>8437</stp>
        <stp>Price</stp>
        <tr r="W1380" s="57"/>
      </tp>
      <tp>
        <v>92</v>
        <stp/>
        <stp>8917</stp>
        <stp>Price</stp>
        <tr r="W1680" s="57"/>
      </tp>
      <tp>
        <v>37.65</v>
        <stp/>
        <stp>8927</stp>
        <stp>Price</stp>
        <tr r="W1689" s="57"/>
      </tp>
      <tp>
        <v>13.35</v>
        <stp/>
        <stp>8937</stp>
        <stp>Price</stp>
        <tr r="W1408" s="57"/>
      </tp>
      <tp>
        <v>16</v>
        <stp/>
        <stp>9907</stp>
        <stp>Price</stp>
        <tr r="W1415" s="57"/>
      </tp>
      <tp>
        <v>105</v>
        <stp/>
        <stp>9917</stp>
        <stp>Price</stp>
        <tr r="W1419" s="57"/>
      </tp>
      <tp>
        <v>42.55</v>
        <stp/>
        <stp>9927</stp>
        <stp>Price</stp>
        <tr r="W1424" s="57"/>
      </tp>
      <tp>
        <v>48.55</v>
        <stp/>
        <stp>9937</stp>
        <stp>Price</stp>
        <tr r="W1687" s="57"/>
      </tp>
      <tp>
        <v>91</v>
        <stp/>
        <stp>6499</stp>
        <stp>PredictVolume</stp>
        <tr r="AI386" s="57"/>
      </tp>
      <tp>
        <v>88</v>
        <stp/>
        <stp>6419</stp>
        <stp>PredictVolume</stp>
        <tr r="AI909" s="57"/>
      </tp>
      <tp>
        <v>320</v>
        <stp/>
        <stp>6409</stp>
        <stp>PredictVolume</stp>
        <tr r="AI1757" s="57"/>
      </tp>
      <tp>
        <v>611</v>
        <stp/>
        <stp>6469</stp>
        <stp>PredictVolume</stp>
        <tr r="AI381" s="57"/>
      </tp>
      <tp>
        <v>30</v>
        <stp/>
        <stp>6449</stp>
        <stp>PredictVolume</stp>
        <tr r="AI1197" s="57"/>
      </tp>
      <tp>
        <v>2274</v>
        <stp/>
        <stp>6589</stp>
        <stp>PredictVolume</stp>
        <tr r="AI395" s="57"/>
      </tp>
      <tp>
        <v>1386</v>
        <stp/>
        <stp>6509</stp>
        <stp>PredictVolume</stp>
        <tr r="AI286" s="57"/>
      </tp>
      <tp>
        <v>37</v>
        <stp/>
        <stp>6579</stp>
        <stp>PredictVolume</stp>
        <tr r="AI795" s="57"/>
      </tp>
      <tp>
        <v>17</v>
        <stp/>
        <stp>6569</stp>
        <stp>PredictVolume</stp>
        <tr r="AI392" s="57"/>
      </tp>
      <tp>
        <v>0</v>
        <stp/>
        <stp>6629</stp>
        <stp>PredictVolume</stp>
        <tr r="AI1353" s="57"/>
      </tp>
      <tp>
        <v>335</v>
        <stp/>
        <stp>6609</stp>
        <stp>PredictVolume</stp>
        <tr r="AI213" s="57"/>
      </tp>
      <tp>
        <v>220</v>
        <stp/>
        <stp>6679</stp>
        <stp>PredictVolume</stp>
        <tr r="AI670" s="57"/>
      </tp>
      <tp>
        <v>663</v>
        <stp/>
        <stp>6669</stp>
        <stp>PredictVolume</stp>
        <tr r="AI797" s="57"/>
      </tp>
      <tp>
        <v>29</v>
        <stp/>
        <stp>6649</stp>
        <stp>PredictVolume</stp>
        <tr r="AI399" s="57"/>
      </tp>
      <tp>
        <v>1923</v>
        <stp/>
        <stp>6799</stp>
        <stp>PredictVolume</stp>
        <tr r="AI54" s="28"/>
        <tr r="AI680" s="57"/>
      </tp>
      <tp>
        <v>1739</v>
        <stp/>
        <stp>6719</stp>
        <stp>PredictVolume</stp>
        <tr r="AI675" s="57"/>
      </tp>
      <tp>
        <v>59</v>
        <stp/>
        <stp>6199</stp>
        <stp>PredictVolume</stp>
        <tr r="AI1343" s="57"/>
      </tp>
      <tp>
        <v>374</v>
        <stp/>
        <stp>6189</stp>
        <stp>PredictVolume</stp>
        <tr r="AI1251" s="57"/>
      </tp>
      <tp>
        <v>271</v>
        <stp/>
        <stp>6139</stp>
        <stp>PredictVolume</stp>
        <tr r="AI1746" s="57"/>
      </tp>
      <tp>
        <v>1084</v>
        <stp/>
        <stp>6129</stp>
        <stp>PredictVolume</stp>
        <tr r="AI630" s="57"/>
      </tp>
      <tp>
        <v>51</v>
        <stp/>
        <stp>6109</stp>
        <stp>PredictVolume</stp>
        <tr r="AI982" s="57"/>
      </tp>
      <tp>
        <v>140</v>
        <stp/>
        <stp>6179</stp>
        <stp>PredictVolume</stp>
        <tr r="AL19" s="28"/>
        <tr r="AI1341" s="57"/>
      </tp>
      <tp>
        <v>15</v>
        <stp/>
        <stp>6169</stp>
        <stp>PredictVolume</stp>
        <tr r="AI1794" s="57"/>
      </tp>
      <tp>
        <v>16</v>
        <stp/>
        <stp>6289</stp>
        <stp>PredictVolume</stp>
        <tr r="AI907" s="57"/>
      </tp>
      <tp>
        <v>822</v>
        <stp/>
        <stp>6239</stp>
        <stp>PredictVolume</stp>
        <tr r="AI109" s="114"/>
        <tr r="AI640" s="57"/>
      </tp>
      <tp>
        <v>173</v>
        <stp/>
        <stp>6229</stp>
        <stp>PredictVolume</stp>
        <tr r="AI637" s="57"/>
      </tp>
      <tp>
        <v>1215</v>
        <stp/>
        <stp>6219</stp>
        <stp>PredictVolume</stp>
        <tr r="AI1510" s="57"/>
      </tp>
      <tp>
        <v>240</v>
        <stp/>
        <stp>6209</stp>
        <stp>PredictVolume</stp>
        <tr r="AI899" s="57"/>
      </tp>
      <tp>
        <v>330</v>
        <stp/>
        <stp>6279</stp>
        <stp>PredictVolume</stp>
        <tr r="AI1189" s="57"/>
      </tp>
      <tp>
        <v>1321</v>
        <stp/>
        <stp>6269</stp>
        <stp>PredictVolume</stp>
        <tr r="AI1187" s="57"/>
      </tp>
      <tp>
        <v>88</v>
        <stp/>
        <stp>6259</stp>
        <stp>PredictVolume</stp>
        <tr r="AI1185" s="57"/>
      </tp>
      <tp>
        <v>143</v>
        <stp/>
        <stp>6829</stp>
        <stp>PredictVolume</stp>
        <tr r="AI214" s="57"/>
      </tp>
      <tp>
        <v>13</v>
        <stp/>
        <stp>4439</stp>
        <stp>PredictVolume</stp>
        <tr r="AI124" s="57"/>
      </tp>
      <tp>
        <v>8</v>
        <stp/>
        <stp>4429</stp>
        <stp>PredictVolume</stp>
        <tr r="AI120" s="57"/>
      </tp>
      <tp>
        <v>1</v>
        <stp/>
        <stp>4419</stp>
        <stp>PredictVolume</stp>
        <tr r="AI117" s="57"/>
      </tp>
      <tp>
        <v>502</v>
        <stp/>
        <stp>4529</stp>
        <stp>PredictVolume</stp>
        <tr r="AI1328" s="57"/>
      </tp>
      <tp>
        <v>80</v>
        <stp/>
        <stp>4549</stp>
        <stp>PredictVolume</stp>
        <tr r="AI192" s="57"/>
      </tp>
      <tp>
        <v>5</v>
        <stp/>
        <stp>4609</stp>
        <stp>PredictVolume</stp>
        <tr r="AI239" s="57"/>
      </tp>
      <tp>
        <v>3251</v>
        <stp/>
        <stp>4739</stp>
        <stp>PredictVolume</stp>
        <tr r="AI18" s="74"/>
        <tr r="AI71" s="114"/>
        <tr r="AI275" s="57"/>
      </tp>
      <tp>
        <v>183</v>
        <stp/>
        <stp>4729</stp>
        <stp>PredictVolume</stp>
        <tr r="AI867" s="57"/>
      </tp>
      <tp>
        <v>52</v>
        <stp/>
        <stp>4139</stp>
        <stp>PredictVolume</stp>
        <tr r="AI341" s="57"/>
      </tp>
      <tp>
        <v>109</v>
        <stp/>
        <stp>4129</stp>
        <stp>PredictVolume</stp>
        <tr r="AI335" s="57"/>
      </tp>
      <tp>
        <v>82</v>
        <stp/>
        <stp>4119</stp>
        <stp>PredictVolume</stp>
        <tr r="AI328" s="57"/>
      </tp>
      <tp>
        <v>186</v>
        <stp/>
        <stp>4109</stp>
        <stp>PredictVolume</stp>
        <tr r="AI324" s="57"/>
      </tp>
      <tp>
        <v>60</v>
        <stp/>
        <stp>4999</stp>
        <stp>PredictVolume</stp>
        <tr r="AI1134" s="57"/>
      </tp>
      <tp>
        <v>172</v>
        <stp/>
        <stp>4989</stp>
        <stp>PredictVolume</stp>
        <tr r="AI1133" s="57"/>
      </tp>
      <tp>
        <v>157</v>
        <stp/>
        <stp>4939</stp>
        <stp>PredictVolume</stp>
        <tr r="AI1129" s="57"/>
      </tp>
      <tp>
        <v>37944</v>
        <stp/>
        <stp>4919</stp>
        <stp>PredictVolume</stp>
        <tr r="AI600" s="57"/>
      </tp>
      <tp>
        <v>38</v>
        <stp/>
        <stp>4909</stp>
        <stp>PredictVolume</stp>
        <tr r="AI976" s="57"/>
      </tp>
      <tp>
        <v>832</v>
        <stp/>
        <stp>4979</stp>
        <stp>PredictVolume</stp>
        <tr r="AI978" s="57"/>
      </tp>
      <tp>
        <v>8</v>
        <stp/>
        <stp>5489</stp>
        <stp>PredictVolume</stp>
        <tr r="AI1743" s="57"/>
      </tp>
      <tp>
        <v>163</v>
        <stp/>
        <stp>5439</stp>
        <stp>PredictVolume</stp>
        <tr r="AI1145" s="57"/>
      </tp>
      <tp>
        <v>1529</v>
        <stp/>
        <stp>5469</stp>
        <stp>PredictVolume</stp>
        <tr r="AI1149" s="57"/>
      </tp>
      <tp>
        <v>53</v>
        <stp/>
        <stp>5529</stp>
        <stp>PredictVolume</stp>
        <tr r="AI1500" s="57"/>
      </tp>
      <tp>
        <v>1371</v>
        <stp/>
        <stp>5519</stp>
        <stp>PredictVolume</stp>
        <tr r="AI1495" s="57"/>
      </tp>
      <tp>
        <v>1813</v>
        <stp/>
        <stp>5609</stp>
        <stp>PredictVolume</stp>
        <tr r="AI1544" s="57"/>
      </tp>
      <tp>
        <v>16719</v>
        <stp/>
        <stp>5009</stp>
        <stp>PredictVolume</stp>
        <tr r="AI465" s="57"/>
      </tp>
      <tp>
        <v>224</v>
        <stp/>
        <stp>5299</stp>
        <stp>PredictVolume</stp>
        <tr r="AI617" s="57"/>
      </tp>
      <tp>
        <v>148</v>
        <stp/>
        <stp>5289</stp>
        <stp>PredictVolume</stp>
        <tr r="AI768" s="57"/>
      </tp>
      <tp>
        <v>17</v>
        <stp/>
        <stp>5209</stp>
        <stp>PredictVolume</stp>
        <tr r="AI1280" s="57"/>
      </tp>
      <tp>
        <v>990</v>
        <stp/>
        <stp>5269</stp>
        <stp>PredictVolume</stp>
        <tr r="AI613" s="57"/>
      </tp>
      <tp>
        <v>1068</v>
        <stp/>
        <stp>5309</stp>
        <stp>PredictVolume</stp>
        <tr r="AI1138" s="57"/>
      </tp>
      <tp>
        <v>898</v>
        <stp/>
        <stp>2489</stp>
        <stp>PredictVolume</stp>
        <tr r="AI820" s="57"/>
      </tp>
      <tp>
        <v>464</v>
        <stp/>
        <stp>2439</stp>
        <stp>PredictVolume</stp>
        <tr r="AI75" s="114"/>
        <tr r="AI936" s="57"/>
      </tp>
      <tp>
        <v>1</v>
        <stp/>
        <stp>2429</stp>
        <stp>PredictVolume</stp>
        <tr r="AI1044" s="57"/>
      </tp>
      <tp>
        <v>432</v>
        <stp/>
        <stp>2419</stp>
        <stp>PredictVolume</stp>
        <tr r="AI935" s="57"/>
      </tp>
      <tp>
        <v>47463</v>
        <stp/>
        <stp>2409</stp>
        <stp>PredictVolume</stp>
        <tr r="AI815" s="57"/>
      </tp>
      <tp>
        <v>108</v>
        <stp/>
        <stp>2459</stp>
        <stp>PredictVolume</stp>
        <tr r="AI1232" s="57"/>
      </tp>
      <tp>
        <v>5745</v>
        <stp/>
        <stp>2449</stp>
        <stp>PredictVolume</stp>
        <tr r="AI547" s="57"/>
      </tp>
      <tp>
        <v>391</v>
        <stp/>
        <stp>2539</stp>
        <stp>PredictVolume</stp>
        <tr r="AI1464" s="57"/>
      </tp>
      <tp>
        <v>147</v>
        <stp/>
        <stp>2509</stp>
        <stp>PredictVolume</stp>
        <tr r="AI1451" s="57"/>
      </tp>
      <tp>
        <v>72604</v>
        <stp/>
        <stp>2609</stp>
        <stp>PredictVolume</stp>
        <tr r="AI86" s="114"/>
        <tr r="AJ24" s="118"/>
        <tr r="AI1523" s="57"/>
      </tp>
      <tp>
        <v>19</v>
        <stp/>
        <stp>2739</stp>
        <stp>PredictVolume</stp>
        <tr r="AI1569" s="57"/>
      </tp>
      <tp>
        <v>20</v>
        <stp/>
        <stp>2729</stp>
        <stp>PredictVolume</stp>
        <tr r="AI1564" s="57"/>
      </tp>
      <tp>
        <v>3</v>
        <stp/>
        <stp>2719</stp>
        <stp>PredictVolume</stp>
        <tr r="AI1558" s="57"/>
      </tp>
      <tp>
        <v>858</v>
        <stp/>
        <stp>2029</stp>
        <stp>PredictVolume</stp>
        <tr r="AI450" s="57"/>
      </tp>
      <tp>
        <v>1302</v>
        <stp/>
        <stp>2009</stp>
        <stp>PredictVolume</stp>
        <tr r="AI436" s="57"/>
      </tp>
      <tp>
        <v>708</v>
        <stp/>
        <stp>2069</stp>
        <stp>PredictVolume</stp>
        <tr r="AI461" s="57"/>
      </tp>
      <tp>
        <v>238</v>
        <stp/>
        <stp>2059</stp>
        <stp>PredictVolume</stp>
        <tr r="AI1025" s="57"/>
      </tp>
      <tp>
        <v>1780</v>
        <stp/>
        <stp>2049</stp>
        <stp>PredictVolume</stp>
        <tr r="AI161" s="57"/>
      </tp>
      <tp>
        <v>73</v>
        <stp/>
        <stp>2109</stp>
        <stp>PredictVolume</stp>
        <tr r="AI488" s="57"/>
      </tp>
      <tp>
        <v>487</v>
        <stp/>
        <stp>2239</stp>
        <stp>PredictVolume</stp>
        <tr r="AI516" s="57"/>
      </tp>
      <tp>
        <v>604</v>
        <stp/>
        <stp>2399</stp>
        <stp>PredictVolume</stp>
        <tr r="AI718" s="57"/>
      </tp>
      <tp>
        <v>4271</v>
        <stp/>
        <stp>2329</stp>
        <stp>PredictVolume</stp>
        <tr r="AI531" s="57"/>
      </tp>
      <tp>
        <v>4308</v>
        <stp/>
        <stp>2379</stp>
        <stp>PredictVolume</stp>
        <tr r="AI540" s="57"/>
      </tp>
      <tp>
        <v>1097</v>
        <stp/>
        <stp>2369</stp>
        <stp>PredictVolume</stp>
        <tr r="AI539" s="57"/>
      </tp>
      <tp>
        <v>9612</v>
        <stp/>
        <stp>2359</stp>
        <stp>PredictVolume</stp>
        <tr r="AI1696" s="57"/>
      </tp>
      <tp>
        <v>1075</v>
        <stp/>
        <stp>2349</stp>
        <stp>PredictVolume</stp>
        <tr r="AI811" s="57"/>
      </tp>
      <tp>
        <v>3096</v>
        <stp/>
        <stp>2889</stp>
        <stp>PredictVolume</stp>
        <tr r="AI1619" s="57"/>
      </tp>
      <tp>
        <v>2214</v>
        <stp/>
        <stp>2809</stp>
        <stp>PredictVolume</stp>
        <tr r="AI1595" s="57"/>
      </tp>
      <tp>
        <v>209</v>
        <stp/>
        <stp>2849</stp>
        <stp>PredictVolume</stp>
        <tr r="AI1604" s="57"/>
      </tp>
      <tp>
        <v>23</v>
        <stp/>
        <stp>2939</stp>
        <stp>PredictVolume</stp>
        <tr r="AI1656" s="57"/>
      </tp>
      <tp>
        <v>183</v>
        <stp/>
        <stp>3499</stp>
        <stp>PredictVolume</stp>
        <tr r="AI961" s="57"/>
      </tp>
      <tp>
        <v>37</v>
        <stp/>
        <stp>3489</stp>
        <stp>PredictVolume</stp>
        <tr r="AI1480" s="57"/>
      </tp>
      <tp>
        <v>274</v>
        <stp/>
        <stp>3419</stp>
        <stp>PredictVolume</stp>
        <tr r="AI958" s="57"/>
      </tp>
      <tp>
        <v>154</v>
        <stp/>
        <stp>3479</stp>
        <stp>PredictVolume</stp>
        <tr r="AI744" s="57"/>
      </tp>
      <tp>
        <v>1668</v>
        <stp/>
        <stp>3529</stp>
        <stp>PredictVolume</stp>
        <tr r="AI582" s="57"/>
        <tr r="AJ34" s="118"/>
      </tp>
      <tp>
        <v>978</v>
        <stp/>
        <stp>3689</stp>
        <stp>PredictVolume</stp>
        <tr r="AI1122" s="57"/>
      </tp>
      <tp>
        <v>9</v>
        <stp/>
        <stp>3629</stp>
        <stp>PredictVolume</stp>
        <tr r="AI1786" s="57"/>
      </tp>
      <tp>
        <v>17</v>
        <stp/>
        <stp>3609</stp>
        <stp>PredictVolume</stp>
        <tr r="AI1115" s="57"/>
      </tp>
      <tp>
        <v>107</v>
        <stp/>
        <stp>3679</stp>
        <stp>PredictVolume</stp>
        <tr r="AI65" s="114"/>
        <tr r="AI1121" s="57"/>
      </tp>
      <tp>
        <v>220</v>
        <stp/>
        <stp>3669</stp>
        <stp>PredictVolume</stp>
        <tr r="AI861" s="57"/>
      </tp>
      <tp>
        <v>22</v>
        <stp/>
        <stp>3709</stp>
        <stp>PredictVolume</stp>
        <tr r="AI758" s="57"/>
      </tp>
      <tp>
        <v>174</v>
        <stp/>
        <stp>3029</stp>
        <stp>PredictVolume</stp>
        <tr r="AI1272" s="57"/>
      </tp>
      <tp>
        <v>718</v>
        <stp/>
        <stp>3019</stp>
        <stp>PredictVolume</stp>
        <tr r="AI102" s="114"/>
        <tr r="AI823" s="57"/>
      </tp>
      <tp>
        <v>7637</v>
        <stp/>
        <stp>3059</stp>
        <stp>PredictVolume</stp>
        <tr r="AI830" s="57"/>
      </tp>
      <tp>
        <v>1737</v>
        <stp/>
        <stp>3049</stp>
        <stp>PredictVolume</stp>
        <tr r="AI827" s="57"/>
      </tp>
      <tp>
        <v>13894</v>
        <stp/>
        <stp>3189</stp>
        <stp>PredictVolume</stp>
        <tr r="AI565" s="57"/>
      </tp>
      <tp>
        <v>3351</v>
        <stp/>
        <stp>3169</stp>
        <stp>PredictVolume</stp>
        <tr r="AI564" s="57"/>
      </tp>
      <tp>
        <v>530</v>
        <stp/>
        <stp>3149</stp>
        <stp>PredictVolume</stp>
        <tr r="AI46" s="28"/>
        <tr r="AI833" s="57"/>
      </tp>
      <tp>
        <v>234</v>
        <stp/>
        <stp>3289</stp>
        <stp>PredictVolume</stp>
        <tr r="AI1717" s="57"/>
      </tp>
      <tp>
        <v>3</v>
        <stp/>
        <stp>3229</stp>
        <stp>PredictVolume</stp>
        <tr r="AI1079" s="57"/>
      </tp>
      <tp>
        <v>20</v>
        <stp/>
        <stp>3219</stp>
        <stp>PredictVolume</stp>
        <tr r="AI566" s="57"/>
      </tp>
      <tp>
        <v>1726</v>
        <stp/>
        <stp>3209</stp>
        <stp>PredictVolume</stp>
        <tr r="AI1239" s="57"/>
      </tp>
      <tp>
        <v>9</v>
        <stp/>
        <stp>3259</stp>
        <stp>PredictVolume</stp>
        <tr r="AI570" s="57"/>
      </tp>
      <tp>
        <v>116</v>
        <stp/>
        <stp>3339</stp>
        <stp>PredictVolume</stp>
        <tr r="AI836" s="57"/>
      </tp>
      <tp>
        <v>76</v>
        <stp/>
        <stp>3379</stp>
        <stp>PredictVolume</stp>
        <tr r="AI173" s="57"/>
      </tp>
      <tp>
        <v>21</v>
        <stp/>
        <stp>3349</stp>
        <stp>PredictVolume</stp>
        <tr r="AI742" s="57"/>
      </tp>
      <tp>
        <v>3</v>
        <stp/>
        <stp>1439</stp>
        <stp>PredictVolume</stp>
        <tr r="AI80" s="57"/>
      </tp>
      <tp>
        <v>109</v>
        <stp/>
        <stp>1419</stp>
        <stp>PredictVolume</stp>
        <tr r="AI77" s="57"/>
      </tp>
      <tp>
        <v>1689</v>
        <stp/>
        <stp>1409</stp>
        <stp>PredictVolume</stp>
        <tr r="AI71" s="57"/>
      </tp>
      <tp>
        <v>43</v>
        <stp/>
        <stp>1459</stp>
        <stp>PredictVolume</stp>
        <tr r="AI96" s="57"/>
      </tp>
      <tp>
        <v>120</v>
        <stp/>
        <stp>1449</stp>
        <stp>PredictVolume</stp>
        <tr r="AI88" s="57"/>
      </tp>
      <tp>
        <v>154</v>
        <stp/>
        <stp>1599</stp>
        <stp>PredictVolume</stp>
        <tr r="AI160" s="57"/>
      </tp>
      <tp>
        <v>1504</v>
        <stp/>
        <stp>1589</stp>
        <stp>PredictVolume</stp>
        <tr r="AI156" s="57"/>
      </tp>
      <tp>
        <v>945</v>
        <stp/>
        <stp>1539</stp>
        <stp>PredictVolume</stp>
        <tr r="AI147" s="57"/>
      </tp>
      <tp>
        <v>23413</v>
        <stp/>
        <stp>1529</stp>
        <stp>PredictVolume</stp>
        <tr r="AI140" s="57"/>
      </tp>
      <tp>
        <v>350</v>
        <stp/>
        <stp>1519</stp>
        <stp>PredictVolume</stp>
        <tr r="AI136" s="57"/>
      </tp>
      <tp>
        <v>762</v>
        <stp/>
        <stp>1569</stp>
        <stp>PredictVolume</stp>
        <tr r="AI699" s="57"/>
      </tp>
      <tp>
        <v>6675</v>
        <stp/>
        <stp>1609</stp>
        <stp>PredictVolume</stp>
        <tr r="AI229" s="57"/>
      </tp>
      <tp>
        <v>68</v>
        <stp/>
        <stp>1799</stp>
        <stp>PredictVolume</stp>
        <tr r="AI310" s="57"/>
      </tp>
      <tp>
        <v>626</v>
        <stp/>
        <stp>1789</stp>
        <stp>PredictVolume</stp>
        <tr r="AI308" s="57"/>
      </tp>
      <tp>
        <v>2302</v>
        <stp/>
        <stp>1709</stp>
        <stp>PredictVolume</stp>
        <tr r="AI245" s="57"/>
      </tp>
      <tp>
        <v>112</v>
        <stp/>
        <stp>1109</stp>
        <stp>PredictVolume</stp>
        <tr r="AI9" s="57"/>
      </tp>
      <tp>
        <v>1664</v>
        <stp/>
        <stp>1229</stp>
        <stp>PredictVolume</stp>
        <tr r="AI25" s="57"/>
      </tp>
      <tp>
        <v>6091</v>
        <stp/>
        <stp>1219</stp>
        <stp>PredictVolume</stp>
        <tr r="AI21" s="57"/>
      </tp>
      <tp>
        <v>1</v>
        <stp/>
        <stp>1259</stp>
        <stp>PredictVolume</stp>
        <tr r="AI1548" s="57"/>
      </tp>
      <tp>
        <v>165</v>
        <stp/>
        <stp>1339</stp>
        <stp>PredictVolume</stp>
        <tr r="AI496" s="57"/>
      </tp>
      <tp>
        <v>761</v>
        <stp/>
        <stp>1319</stp>
        <stp>PredictVolume</stp>
        <tr r="AI494" s="57"/>
      </tp>
      <tp>
        <v>662</v>
        <stp/>
        <stp>1309</stp>
        <stp>PredictVolume</stp>
        <tr r="AL31" s="28"/>
        <tr r="AI48" s="57"/>
      </tp>
      <tp>
        <v>166</v>
        <stp/>
        <stp>1809</stp>
        <stp>PredictVolume</stp>
        <tr r="AI419" s="57"/>
      </tp>
      <tp>
        <v>4990</v>
        <stp/>
        <stp>1909</stp>
        <stp>PredictVolume</stp>
        <tr r="AI429" s="57"/>
      </tp>
      <tp>
        <v>26</v>
        <stp/>
        <stp>8499</stp>
        <stp>PredictVolume</stp>
        <tr r="AI72" s="114"/>
        <tr r="AI1396" s="57"/>
      </tp>
      <tp>
        <v>80</v>
        <stp/>
        <stp>8489</stp>
        <stp>PredictVolume</stp>
        <tr r="AI1802" s="57"/>
      </tp>
      <tp>
        <v>166</v>
        <stp/>
        <stp>8429</stp>
        <stp>PredictVolume</stp>
        <tr r="AI1670" s="57"/>
      </tp>
      <tp>
        <v>827</v>
        <stp/>
        <stp>8409</stp>
        <stp>PredictVolume</stp>
        <tr r="AI412" s="57"/>
      </tp>
      <tp>
        <v>1126</v>
        <stp/>
        <stp>8099</stp>
        <stp>PredictVolume</stp>
        <tr r="AI1303" s="57"/>
      </tp>
      <tp>
        <v>27</v>
        <stp/>
        <stp>8089</stp>
        <stp>PredictVolume</stp>
        <tr r="AI1013" s="57"/>
      </tp>
      <tp>
        <v>257</v>
        <stp/>
        <stp>8039</stp>
        <stp>PredictVolume</stp>
        <tr r="AI1207" s="57"/>
      </tp>
      <tp>
        <v>36624</v>
        <stp/>
        <stp>8069</stp>
        <stp>PredictVolume</stp>
        <tr r="AI921" s="57"/>
        <tr r="AJ32" s="118"/>
      </tp>
      <tp>
        <v>147</v>
        <stp/>
        <stp>8059</stp>
        <stp>PredictVolume</stp>
        <tr r="AI1012" s="57"/>
      </tp>
      <tp>
        <v>87</v>
        <stp/>
        <stp>8049</stp>
        <stp>PredictVolume</stp>
        <tr r="AI919" s="57"/>
      </tp>
      <tp>
        <v>66</v>
        <stp/>
        <stp>8109</stp>
        <stp>PredictVolume</stp>
        <tr r="AI1217" s="57"/>
      </tp>
      <tp>
        <v>1836</v>
        <stp/>
        <stp>8299</stp>
        <stp>PredictVolume</stp>
        <tr r="AI696" s="57"/>
        <tr r="AJ39" s="118"/>
      </tp>
      <tp>
        <v>1313</v>
        <stp/>
        <stp>8289</stp>
        <stp>PredictVolume</stp>
        <tr r="AI1224" s="57"/>
      </tp>
      <tp>
        <v>14</v>
        <stp/>
        <stp>8279</stp>
        <stp>PredictVolume</stp>
        <tr r="AI409" s="57"/>
      </tp>
      <tp>
        <v>28</v>
        <stp/>
        <stp>8249</stp>
        <stp>PredictVolume</stp>
        <tr r="AI1223" s="57"/>
      </tp>
      <tp>
        <v>11</v>
        <stp/>
        <stp>8349</stp>
        <stp>PredictVolume</stp>
        <tr r="AI473" s="57"/>
      </tp>
      <tp>
        <v>6</v>
        <stp/>
        <stp>8929</stp>
        <stp>PredictVolume</stp>
        <tr r="AI1403" s="57"/>
      </tp>
      <tp>
        <v>520</v>
        <stp/>
        <stp>9939</stp>
        <stp>PredictVolume</stp>
        <tr r="AI1432" s="57"/>
      </tp>
      <tp>
        <v>37</v>
        <stp/>
        <stp>9929</stp>
        <stp>PredictVolume</stp>
        <tr r="AI1426" s="57"/>
      </tp>
      <tp>
        <v>2811</v>
        <stp/>
        <stp>9919</stp>
        <stp>PredictVolume</stp>
        <tr r="AI1420" s="57"/>
      </tp>
      <tp>
        <v>89</v>
        <stp/>
        <stp>9949</stp>
        <stp>PredictVolume</stp>
        <tr r="AI1804" s="57"/>
      </tp>
      <tp>
        <v>60.4</v>
        <stp/>
        <stp>2204</stp>
        <stp>Price</stp>
        <tr r="W508" s="57"/>
      </tp>
      <tp>
        <v>27.9</v>
        <stp/>
        <stp>2344</stp>
        <stp>Price</stp>
        <tr r="W536" s="57"/>
      </tp>
      <tp>
        <v>55.9</v>
        <stp/>
        <stp>2354</stp>
        <stp>Price</stp>
        <tr r="W1695" s="57"/>
      </tp>
      <tp>
        <v>21.95</v>
        <stp/>
        <stp>2364</stp>
        <stp>Price</stp>
        <tr r="W709" s="57"/>
      </tp>
      <tp>
        <v>22.95</v>
        <stp/>
        <stp>2374</stp>
        <stp>Price</stp>
        <tr r="W812" s="57"/>
      </tp>
      <tp>
        <v>54.3</v>
        <stp/>
        <stp>2314</stp>
        <stp>Price</stp>
        <tr r="W930" s="57"/>
      </tp>
      <tp>
        <v>23</v>
        <stp/>
        <stp>2324</stp>
        <stp>Price</stp>
        <tr r="W702" s="57"/>
      </tp>
      <tp>
        <v>21.5</v>
        <stp/>
        <stp>2064</stp>
        <stp>Price</stp>
        <tr r="W459" s="57"/>
      </tp>
      <tp>
        <v>32.9</v>
        <stp/>
        <stp>2014</stp>
        <stp>Price</stp>
        <tr r="W440" s="57"/>
      </tp>
      <tp>
        <v>20.55</v>
        <stp/>
        <stp>2024</stp>
        <stp>Price</stp>
        <tr r="W446" s="57"/>
      </tp>
      <tp>
        <v>30.5</v>
        <stp/>
        <stp>2034</stp>
        <stp>Price</stp>
        <tr r="W455" s="57"/>
      </tp>
      <tp>
        <v>20.75</v>
        <stp/>
        <stp>2104</stp>
        <stp>Price</stp>
        <tr r="W483" s="57"/>
      </tp>
      <tp>
        <v>120</v>
        <stp/>
        <stp>2114</stp>
        <stp>Price</stp>
        <tr r="W489" s="57"/>
      </tp>
      <tp>
        <v>25.5</v>
        <stp/>
        <stp>2614</stp>
        <stp>Price</stp>
        <tr r="W1641" s="57"/>
      </tp>
      <tp>
        <v>31.95</v>
        <stp/>
        <stp>2634</stp>
        <stp>Price</stp>
        <tr r="W1533" s="57"/>
      </tp>
      <tp>
        <v>70.900000000000006</v>
        <stp/>
        <stp>2754</stp>
        <stp>Price</stp>
        <tr r="W1576" s="57"/>
      </tp>
      <tp>
        <v>31.75</v>
        <stp/>
        <stp>2704</stp>
        <stp>Price</stp>
        <tr r="W1552" s="57"/>
      </tp>
      <tp t="s">
        <v>無資料</v>
        <stp/>
        <stp>2724</stp>
        <stp>Price</stp>
        <tr r="W1561" s="57"/>
      </tp>
      <tp>
        <v>27.85</v>
        <stp/>
        <stp>2734</stp>
        <stp>Price</stp>
        <tr r="W1567" s="57"/>
      </tp>
      <tp>
        <v>12.1</v>
        <stp/>
        <stp>2444</stp>
        <stp>Price</stp>
        <tr r="W937" s="57"/>
      </tp>
      <tp>
        <v>825</v>
        <stp/>
        <stp>2454</stp>
        <stp>Price</stp>
        <tr r="W549" s="57"/>
        <tr r="W3" s="118"/>
      </tp>
      <tp>
        <v>39.950000000000003</v>
        <stp/>
        <stp>2464</stp>
        <stp>Price</stp>
        <tr r="W1704" s="57"/>
      </tp>
      <tp>
        <v>156</v>
        <stp/>
        <stp>2474</stp>
        <stp>Price</stp>
        <tr r="W1705" s="57"/>
      </tp>
      <tp>
        <v>174.5</v>
        <stp/>
        <stp>2404</stp>
        <stp>Price</stp>
        <tr r="W19" s="74"/>
        <tr r="W81" s="114"/>
        <tr r="W1700" s="57"/>
      </tp>
      <tp>
        <v>33.75</v>
        <stp/>
        <stp>2414</stp>
        <stp>Price</stp>
        <tr r="W1230" s="57"/>
      </tp>
      <tp>
        <v>21</v>
        <stp/>
        <stp>2424</stp>
        <stp>Price</stp>
        <tr r="W721" s="57"/>
      </tp>
      <tp>
        <v>34.9</v>
        <stp/>
        <stp>2434</stp>
        <stp>Price</stp>
        <tr r="W544" s="57"/>
      </tp>
      <tp>
        <v>35.549999999999997</v>
        <stp/>
        <stp>2484</stp>
        <stp>Price</stp>
        <tr r="W1055" s="57"/>
      </tp>
      <tp>
        <v>26.6</v>
        <stp/>
        <stp>2504</stp>
        <stp>Price</stp>
        <tr r="W1448" s="57"/>
      </tp>
      <tp>
        <v>16.7</v>
        <stp/>
        <stp>2514</stp>
        <stp>Price</stp>
        <tr r="W1321" s="57"/>
      </tp>
      <tp>
        <v>34.049999999999997</v>
        <stp/>
        <stp>2524</stp>
        <stp>Price</stp>
        <tr r="W1455" s="57"/>
      </tp>
      <tp>
        <v>24.2</v>
        <stp/>
        <stp>2534</stp>
        <stp>Price</stp>
        <tr r="W1459" s="57"/>
      </tp>
      <tp>
        <v>11.85</v>
        <stp/>
        <stp>2834</stp>
        <stp>Price</stp>
        <tr r="W1600" s="57"/>
      </tp>
      <tp>
        <v>29.1</v>
        <stp/>
        <stp>2884</stp>
        <stp>Price</stp>
        <tr r="W1614" s="57"/>
        <tr r="W16" s="118"/>
      </tp>
      <tp>
        <v>21.8</v>
        <stp/>
        <stp>2904</stp>
        <stp>Price</stp>
        <tr r="W1323" s="57"/>
      </tp>
      <tp>
        <v>30</v>
        <stp/>
        <stp>2924</stp>
        <stp>Price</stp>
        <tr r="W1653" s="57"/>
      </tp>
      <tp>
        <v>44.8</v>
        <stp/>
        <stp>3264</stp>
        <stp>Price</stp>
        <tr r="W572" s="57"/>
      </tp>
      <tp>
        <v>50</v>
        <stp/>
        <stp>3224</stp>
        <stp>Price</stp>
        <tr r="W1240" s="57"/>
      </tp>
      <tp>
        <v>19.8</v>
        <stp/>
        <stp>3234</stp>
        <stp>Price</stp>
        <tr r="W953" s="57"/>
      </tp>
      <tp>
        <v>13</v>
        <stp/>
        <stp>3284</stp>
        <stp>Price</stp>
        <tr r="W1325" s="57"/>
      </tp>
      <tp>
        <v>19.600000000000001</v>
        <stp/>
        <stp>3294</stp>
        <stp>Price</stp>
        <tr r="W1084" s="57"/>
      </tp>
      <tp>
        <v>15.85</v>
        <stp/>
        <stp>3354</stp>
        <stp>Price</stp>
        <tr r="W1093" s="57"/>
      </tp>
      <tp>
        <v>135</v>
        <stp/>
        <stp>3374</stp>
        <stp>Price</stp>
        <tr r="W24" s="28"/>
        <tr r="W98" s="114"/>
        <tr r="W39" s="22"/>
        <tr r="W38" s="22"/>
        <tr r="W37" s="22"/>
        <tr r="W36" s="22"/>
        <tr r="W577" s="57"/>
      </tp>
      <tp>
        <v>157</v>
        <stp/>
        <stp>3324</stp>
        <stp>Price</stp>
        <tr r="W1720" s="57"/>
      </tp>
      <tp>
        <v>118.5</v>
        <stp/>
        <stp>3044</stp>
        <stp>Price</stp>
        <tr r="W1067" s="57"/>
      </tp>
      <tp>
        <v>18.850000000000001</v>
        <stp/>
        <stp>3054</stp>
        <stp>Price</stp>
        <tr r="W558" s="57"/>
      </tp>
      <tp t="s">
        <v>無資料</v>
        <stp/>
        <stp>3064</stp>
        <stp>Price</stp>
        <tr r="W1781" s="57"/>
      </tp>
      <tp>
        <v>51.1</v>
        <stp/>
        <stp>3004</stp>
        <stp>Price</stp>
        <tr r="W463" s="57"/>
      </tp>
      <tp>
        <v>94.9</v>
        <stp/>
        <stp>3014</stp>
        <stp>Price</stp>
        <tr r="W553" s="57"/>
      </tp>
      <tp>
        <v>11.75</v>
        <stp/>
        <stp>3024</stp>
        <stp>Price</stp>
        <tr r="W824" s="57"/>
      </tp>
      <tp>
        <v>391.5</v>
        <stp/>
        <stp>3034</stp>
        <stp>Price</stp>
        <tr r="W555" s="57"/>
      </tp>
      <tp>
        <v>29.05</v>
        <stp/>
        <stp>3094</stp>
        <stp>Price</stp>
        <tr r="W560" s="57"/>
      </tp>
      <tp>
        <v>24.2</v>
        <stp/>
        <stp>3164</stp>
        <stp>Price</stp>
        <tr r="W313" s="57"/>
      </tp>
      <tp>
        <v>26.5</v>
        <stp/>
        <stp>3114</stp>
        <stp>Price</stp>
        <tr r="W1072" s="57"/>
      </tp>
      <tp>
        <v>8.6199999999999992</v>
        <stp/>
        <stp>3664</stp>
        <stp>Price</stp>
        <tr r="W966" s="57"/>
      </tp>
      <tp>
        <v>77</v>
        <stp/>
        <stp>3624</stp>
        <stp>Price</stp>
        <tr r="W1116" s="57"/>
      </tp>
      <tp>
        <v>50.4</v>
        <stp/>
        <stp>3684</stp>
        <stp>Price</stp>
        <tr r="W969" s="57"/>
      </tp>
      <tp>
        <v>18.8</v>
        <stp/>
        <stp>3694</stp>
        <stp>Price</stp>
        <tr r="W970" s="57"/>
      </tp>
      <tp>
        <v>26.2</v>
        <stp/>
        <stp>3704</stp>
        <stp>Price</stp>
        <tr r="W971" s="57"/>
      </tp>
      <tp>
        <v>59.6</v>
        <stp/>
        <stp>3714</stp>
        <stp>Price</stp>
        <tr r="W866" s="57"/>
      </tp>
      <tp>
        <v>54.1</v>
        <stp/>
        <stp>3444</stp>
        <stp>Price</stp>
        <tr r="W1244" s="57"/>
      </tp>
      <tp>
        <v>81.2</v>
        <stp/>
        <stp>3454</stp>
        <stp>Price</stp>
        <tr r="W844" s="57"/>
      </tp>
      <tp>
        <v>35.15</v>
        <stp/>
        <stp>3434</stp>
        <stp>Price</stp>
        <tr r="W841" s="57"/>
      </tp>
      <tp>
        <v>61.2</v>
        <stp/>
        <stp>3484</stp>
        <stp>Price</stp>
        <tr r="W95" s="114"/>
        <tr r="W1100" s="57"/>
      </tp>
      <tp>
        <v>6.06</v>
        <stp/>
        <stp>3494</stp>
        <stp>Price</stp>
        <tr r="W746" s="57"/>
      </tp>
      <tp>
        <v>26.75</v>
        <stp/>
        <stp>3564</stp>
        <stp>Price</stp>
        <tr r="W963" s="57"/>
      </tp>
      <tp>
        <v>61.4</v>
        <stp/>
        <stp>3504</stp>
        <stp>Price</stp>
        <tr r="W848" s="57"/>
      </tp>
      <tp>
        <v>22.5</v>
        <stp/>
        <stp>3594</stp>
        <stp>Price</stp>
        <tr r="W751" s="57"/>
      </tp>
      <tp>
        <v>270</v>
        <stp/>
        <stp>1264</stp>
        <stp>Price</stp>
        <tr r="W34" s="57"/>
      </tp>
      <tp>
        <v>34.450000000000003</v>
        <stp/>
        <stp>1234</stp>
        <stp>Price</stp>
        <tr r="W29" s="57"/>
      </tp>
      <tp>
        <v>24.65</v>
        <stp/>
        <stp>1304</stp>
        <stp>Price</stp>
        <tr r="W44" s="57"/>
      </tp>
      <tp>
        <v>10.7</v>
        <stp/>
        <stp>1314</stp>
        <stp>Price</stp>
        <tr r="W52" s="57"/>
      </tp>
      <tp>
        <v>10.199999999999999</v>
        <stp/>
        <stp>1324</stp>
        <stp>Price</stp>
        <tr r="W56" s="57"/>
      </tp>
      <tp>
        <v>21.1</v>
        <stp/>
        <stp>1104</stp>
        <stp>Price</stp>
        <tr r="W7" s="57"/>
      </tp>
      <tp>
        <v>29.8</v>
        <stp/>
        <stp>1604</stp>
        <stp>Price</stp>
        <tr r="W226" s="57"/>
      </tp>
      <tp>
        <v>36.75</v>
        <stp/>
        <stp>1614</stp>
        <stp>Price</stp>
        <tr r="W232" s="57"/>
      </tp>
      <tp>
        <v>9.74</v>
        <stp/>
        <stp>1714</stp>
        <stp>Price</stp>
        <tr r="W250" s="57"/>
      </tp>
      <tp>
        <v>28.15</v>
        <stp/>
        <stp>1734</stp>
        <stp>Price</stp>
        <tr r="W297" s="57"/>
      </tp>
      <tp>
        <v>38.049999999999997</v>
        <stp/>
        <stp>1784</stp>
        <stp>Price</stp>
        <tr r="W305" s="57"/>
      </tp>
      <tp>
        <v>10.45</v>
        <stp/>
        <stp>1444</stp>
        <stp>Price</stp>
        <tr r="W84" s="57"/>
      </tp>
      <tp>
        <v>14.25</v>
        <stp/>
        <stp>1454</stp>
        <stp>Price</stp>
        <tr r="W92" s="57"/>
      </tp>
      <tp>
        <v>14.05</v>
        <stp/>
        <stp>1464</stp>
        <stp>Price</stp>
        <tr r="W99" s="57"/>
      </tp>
      <tp>
        <v>12.4</v>
        <stp/>
        <stp>1474</stp>
        <stp>Price</stp>
        <tr r="W107" s="57"/>
      </tp>
      <tp>
        <v>17.649999999999999</v>
        <stp/>
        <stp>1414</stp>
        <stp>Price</stp>
        <tr r="W74" s="57"/>
      </tp>
      <tp>
        <v>26.25</v>
        <stp/>
        <stp>1434</stp>
        <stp>Price</stp>
        <tr r="W79" s="57"/>
      </tp>
      <tp>
        <v>28.25</v>
        <stp/>
        <stp>1504</stp>
        <stp>Price</stp>
        <tr r="W129" s="57"/>
      </tp>
      <tp>
        <v>26.25</v>
        <stp/>
        <stp>1514</stp>
        <stp>Price</stp>
        <tr r="W133" s="57"/>
      </tp>
      <tp>
        <v>14.15</v>
        <stp/>
        <stp>1524</stp>
        <stp>Price</stp>
        <tr r="W500" s="57"/>
      </tp>
      <tp>
        <v>23.8</v>
        <stp/>
        <stp>1584</stp>
        <stp>Price</stp>
        <tr r="W1314" s="57"/>
      </tp>
      <tp>
        <v>30.15</v>
        <stp/>
        <stp>1904</stp>
        <stp>Price</stp>
        <tr r="W425" s="57"/>
      </tp>
      <tp>
        <v>27.35</v>
        <stp/>
        <stp>6244</stp>
        <stp>Price</stp>
        <tr r="W904" s="57"/>
      </tp>
      <tp>
        <v>8.26</v>
        <stp/>
        <stp>6264</stp>
        <stp>Price</stp>
        <tr r="W1511" s="57"/>
      </tp>
      <tp>
        <v>71.900000000000006</v>
        <stp/>
        <stp>6274</stp>
        <stp>Price</stp>
        <tr r="W1188" s="57"/>
      </tp>
      <tp>
        <v>59.9</v>
        <stp/>
        <stp>6204</stp>
        <stp>Price</stp>
        <tr r="W1175" s="57"/>
      </tp>
      <tp>
        <v>77.3</v>
        <stp/>
        <stp>6214</stp>
        <stp>Price</stp>
        <tr r="W1291" s="57"/>
      </tp>
      <tp>
        <v>82.3</v>
        <stp/>
        <stp>6224</stp>
        <stp>Price</stp>
        <tr r="W94" s="114"/>
        <tr r="W1183" s="57"/>
      </tp>
      <tp>
        <v>20.3</v>
        <stp/>
        <stp>6234</stp>
        <stp>Price</stp>
        <tr r="W903" s="57"/>
      </tp>
      <tp>
        <v>50.5</v>
        <stp/>
        <stp>6284</stp>
        <stp>Price</stp>
        <tr r="W1191" s="57"/>
      </tp>
      <tp>
        <v>98.7</v>
        <stp/>
        <stp>6294</stp>
        <stp>Price</stp>
        <tr r="W1796" s="57"/>
      </tp>
      <tp>
        <v>35.5</v>
        <stp/>
        <stp>6024</stp>
        <stp>Price</stp>
        <tr r="W1635" s="57"/>
      </tp>
      <tp>
        <v>15.4</v>
        <stp/>
        <stp>6144</stp>
        <stp>Price</stp>
        <tr r="W1793" s="57"/>
      </tp>
      <tp>
        <v>17.05</v>
        <stp/>
        <stp>6154</stp>
        <stp>Price</stp>
        <tr r="W1250" s="57"/>
      </tp>
      <tp>
        <v>12.2</v>
        <stp/>
        <stp>6164</stp>
        <stp>Price</stp>
        <tr r="W895" s="57"/>
      </tp>
      <tp>
        <v>29</v>
        <stp/>
        <stp>6174</stp>
        <stp>Price</stp>
        <tr r="W1168" s="57"/>
      </tp>
      <tp>
        <v>196</v>
        <stp/>
        <stp>6104</stp>
        <stp>Price</stp>
        <tr r="W629" s="57"/>
      </tp>
      <tp>
        <v>21.35</v>
        <stp/>
        <stp>6114</stp>
        <stp>Price</stp>
        <tr r="W1154" s="57"/>
      </tp>
      <tp>
        <v>25.25</v>
        <stp/>
        <stp>6124</stp>
        <stp>Price</stp>
        <tr r="W1156" s="57"/>
      </tp>
      <tp>
        <v>20.05</v>
        <stp/>
        <stp>6134</stp>
        <stp>Price</stp>
        <tr r="W1160" s="57"/>
      </tp>
      <tp>
        <v>47</v>
        <stp/>
        <stp>6184</stp>
        <stp>Price</stp>
        <tr r="W1342" s="57"/>
      </tp>
      <tp>
        <v>21.7</v>
        <stp/>
        <stp>6194</stp>
        <stp>Price</stp>
        <tr r="W1172" s="57"/>
      </tp>
      <tp>
        <v>58.7</v>
        <stp/>
        <stp>6654</stp>
        <stp>Price</stp>
        <tr r="W1762" s="57"/>
      </tp>
      <tp>
        <v>88.5</v>
        <stp/>
        <stp>6664</stp>
        <stp>Price</stp>
        <tr r="W1200" s="57"/>
      </tp>
      <tp>
        <v>28.3</v>
        <stp/>
        <stp>6674</stp>
        <stp>Price</stp>
        <tr r="W1007" s="57"/>
      </tp>
      <tp>
        <v>41</v>
        <stp/>
        <stp>6624</stp>
        <stp>Price</stp>
        <tr r="W1351" s="57"/>
      </tp>
      <tp>
        <v>104</v>
        <stp/>
        <stp>6684</stp>
        <stp>Price</stp>
        <tr r="W672" s="57"/>
      </tp>
      <tp>
        <v>45.85</v>
        <stp/>
        <stp>6754</stp>
        <stp>Price</stp>
        <tr r="W1359" s="57"/>
      </tp>
      <tp>
        <v>87.9</v>
        <stp/>
        <stp>6464</stp>
        <stp>Price</stp>
        <tr r="W1345" s="57"/>
      </tp>
      <tp>
        <v>18</v>
        <stp/>
        <stp>6404</stp>
        <stp>Price</stp>
        <tr r="W1295" s="57"/>
      </tp>
      <tp>
        <v>194</v>
        <stp/>
        <stp>6414</stp>
        <stp>Price</stp>
        <tr r="W140" s="114"/>
        <tr r="W791" s="57"/>
      </tp>
      <tp>
        <v>125</v>
        <stp/>
        <stp>6494</stp>
        <stp>Price</stp>
        <tr r="W655" s="57"/>
      </tp>
      <tp t="s">
        <v>無資料</v>
        <stp/>
        <stp>6574</stp>
        <stp>Price</stp>
        <tr r="W393" s="57"/>
      </tp>
      <tp>
        <v>84.1</v>
        <stp/>
        <stp>6504</stp>
        <stp>Price</stp>
        <tr r="W1346" s="57"/>
      </tp>
      <tp>
        <v>65.5</v>
        <stp/>
        <stp>6514</stp>
        <stp>Price</stp>
        <tr r="W1002" s="57"/>
      </tp>
      <tp>
        <v>34.35</v>
        <stp/>
        <stp>6594</stp>
        <stp>Price</stp>
        <tr r="W666" s="57"/>
      </tp>
      <tp>
        <v>51.8</v>
        <stp/>
        <stp>6804</stp>
        <stp>Price</stp>
        <tr r="W1363" s="57"/>
      </tp>
      <tp>
        <v>8.9</v>
        <stp/>
        <stp>4304</stp>
        <stp>Price</stp>
        <tr r="W63" s="57"/>
      </tp>
      <tp>
        <v>41</v>
        <stp/>
        <stp>4154</stp>
        <stp>Price</stp>
        <tr r="W347" s="57"/>
      </tp>
      <tp>
        <v>38.65</v>
        <stp/>
        <stp>4164</stp>
        <stp>Price</stp>
        <tr r="W354" s="57"/>
      </tp>
      <tp>
        <v>110.5</v>
        <stp/>
        <stp>4174</stp>
        <stp>Price</stp>
        <tr r="W358" s="57"/>
      </tp>
      <tp>
        <v>66.3</v>
        <stp/>
        <stp>4104</stp>
        <stp>Price</stp>
        <tr r="W319" s="57"/>
      </tp>
      <tp>
        <v>26.7</v>
        <stp/>
        <stp>4114</stp>
        <stp>Price</stp>
        <tr r="W326" s="57"/>
      </tp>
      <tp>
        <v>27.55</v>
        <stp/>
        <stp>4744</stp>
        <stp>Price</stp>
        <tr r="W371" s="57"/>
      </tp>
      <tp>
        <v>38.6</v>
        <stp/>
        <stp>4754</stp>
        <stp>Price</stp>
        <tr r="W277" s="57"/>
      </tp>
      <tp>
        <v>56.9</v>
        <stp/>
        <stp>4764</stp>
        <stp>Price</stp>
        <tr r="W280" s="57"/>
      </tp>
      <tp>
        <v>13.2</v>
        <stp/>
        <stp>4714</stp>
        <stp>Price</stp>
        <tr r="W270" s="57"/>
      </tp>
      <tp>
        <v>4.3499999999999996</v>
        <stp/>
        <stp>4414</stp>
        <stp>Price</stp>
        <tr r="W115" s="57"/>
      </tp>
      <tp>
        <v>34.75</v>
        <stp/>
        <stp>4554</stp>
        <stp>Price</stp>
        <tr r="W1737" s="57"/>
      </tp>
      <tp>
        <v>30.1</v>
        <stp/>
        <stp>4564</stp>
        <stp>Price</stp>
        <tr r="W201" s="57"/>
      </tp>
      <tp>
        <v>9</v>
        <stp/>
        <stp>4534</stp>
        <stp>Price</stp>
        <tr r="W187" s="57"/>
      </tp>
      <tp>
        <v>14.55</v>
        <stp/>
        <stp>4804</stp>
        <stp>Price</stp>
        <tr r="W1581" s="57"/>
      </tp>
      <tp>
        <v>8.94</v>
        <stp/>
        <stp>4944</stp>
        <stp>Price</stp>
        <tr r="W872" s="57"/>
      </tp>
      <tp>
        <v>54.8</v>
        <stp/>
        <stp>4974</stp>
        <stp>Price</stp>
        <tr r="W1132" s="57"/>
      </tp>
      <tp>
        <v>82.1</v>
        <stp/>
        <stp>4904</stp>
        <stp>Price</stp>
        <tr r="W973" s="57"/>
      </tp>
      <tp>
        <v>12.3</v>
        <stp/>
        <stp>4924</stp>
        <stp>Price</stp>
        <tr r="W761" s="57"/>
      </tp>
      <tp>
        <v>22.15</v>
        <stp/>
        <stp>4934</stp>
        <stp>Price</stp>
        <tr r="W869" s="57"/>
      </tp>
      <tp>
        <v>43.9</v>
        <stp/>
        <stp>4994</stp>
        <stp>Price</stp>
        <tr r="W1276" s="57"/>
      </tp>
      <tp>
        <v>35.549999999999997</v>
        <stp/>
        <stp>5244</stp>
        <stp>Price</stp>
        <tr r="W882" s="57"/>
      </tp>
      <tp>
        <v>2545</v>
        <stp/>
        <stp>5274</stp>
        <stp>Price</stp>
        <tr r="W615" s="57"/>
        <tr r="W35" s="118"/>
      </tp>
      <tp>
        <v>95</v>
        <stp/>
        <stp>5234</stp>
        <stp>Price</stp>
        <tr r="W880" s="57"/>
      </tp>
      <tp>
        <v>44</v>
        <stp/>
        <stp>5284</stp>
        <stp>Price</stp>
        <tr r="W1334" s="57"/>
      </tp>
      <tp>
        <v>18.95</v>
        <stp/>
        <stp>5344</stp>
        <stp>Price</stp>
        <tr r="W620" s="57"/>
      </tp>
      <tp t="s">
        <v>無資料</v>
        <stp/>
        <stp>5364</stp>
        <stp>Price</stp>
        <tr r="W1583" s="57"/>
      </tp>
      <tp>
        <v>4.7</v>
        <stp/>
        <stp>5314</stp>
        <stp>Price</stp>
        <tr r="W619" s="57"/>
      </tp>
      <tp>
        <v>9.56</v>
        <stp/>
        <stp>5324</stp>
        <stp>Price</stp>
        <tr r="W1487" s="57"/>
      </tp>
      <tp>
        <v>19.850000000000001</v>
        <stp/>
        <stp>5014</stp>
        <stp>Price</stp>
        <tr r="W468" s="57"/>
      </tp>
      <tp>
        <v>72.5</v>
        <stp/>
        <stp>5604</stp>
        <stp>Price</stp>
        <tr r="W1541" s="57"/>
      </tp>
      <tp>
        <v>30.1</v>
        <stp/>
        <stp>5704</stp>
        <stp>Price</stp>
        <tr r="W1586" s="57"/>
      </tp>
      <tp>
        <v>21.4</v>
        <stp/>
        <stp>5464</stp>
        <stp>Price</stp>
        <tr r="W1148" s="57"/>
      </tp>
      <tp>
        <v>94.3</v>
        <stp/>
        <stp>5474</stp>
        <stp>Price</stp>
        <tr r="W774" s="57"/>
      </tp>
      <tp>
        <v>162</v>
        <stp/>
        <stp>5434</stp>
        <stp>Price</stp>
        <tr r="W1247" s="57"/>
      </tp>
      <tp>
        <v>11.6</v>
        <stp/>
        <stp>5484</stp>
        <stp>Price</stp>
        <tr r="W891" s="57"/>
      </tp>
      <tp>
        <v>20.05</v>
        <stp/>
        <stp>5514</stp>
        <stp>Price</stp>
        <tr r="W1492" s="57"/>
      </tp>
      <tp>
        <v>73</v>
        <stp/>
        <stp>5534</stp>
        <stp>Price</stp>
        <tr r="W1503" s="57"/>
      </tp>
      <tp>
        <v>13.75</v>
        <stp/>
        <stp>5864</stp>
        <stp>Price</stp>
        <tr r="W1625" s="57"/>
      </tp>
      <tp>
        <v>278</v>
        <stp/>
        <stp>5904</stp>
        <stp>Price</stp>
        <tr r="W1663" s="57"/>
      </tp>
      <tp>
        <v>23.7</v>
        <stp/>
        <stp>8234</stp>
        <stp>Price</stp>
        <tr r="W804" s="57"/>
      </tp>
      <tp>
        <v>53.4</v>
        <stp/>
        <stp>8284</stp>
        <stp>Price</stp>
        <tr r="W1304" s="57"/>
      </tp>
      <tp>
        <v>14.55</v>
        <stp/>
        <stp>8354</stp>
        <stp>Price</stp>
        <tr r="W66" s="57"/>
      </tp>
      <tp>
        <v>28.8</v>
        <stp/>
        <stp>8374</stp>
        <stp>Price</stp>
        <tr r="W220" s="57"/>
      </tp>
      <tp>
        <v>73.5</v>
        <stp/>
        <stp>8044</stp>
        <stp>Price</stp>
        <tr r="W1813" s="57"/>
      </tp>
      <tp>
        <v>44.4</v>
        <stp/>
        <stp>8054</stp>
        <stp>Price</stp>
        <tr r="W686" s="57"/>
      </tp>
      <tp>
        <v>18.05</v>
        <stp/>
        <stp>8064</stp>
        <stp>Price</stp>
        <tr r="W920" s="57"/>
      </tp>
      <tp>
        <v>20.05</v>
        <stp/>
        <stp>8074</stp>
        <stp>Price</stp>
        <tr r="W1212" s="57"/>
      </tp>
      <tp>
        <v>23.9</v>
        <stp/>
        <stp>8024</stp>
        <stp>Price</stp>
        <tr r="W683" s="57"/>
      </tp>
      <tp>
        <v>15.7</v>
        <stp/>
        <stp>8034</stp>
        <stp>Price</stp>
        <tr r="W1010" s="57"/>
      </tp>
      <tp>
        <v>78.5</v>
        <stp/>
        <stp>8084</stp>
        <stp>Price</stp>
        <tr r="W1262" s="57"/>
      </tp>
      <tp>
        <v>47.6</v>
        <stp/>
        <stp>8104</stp>
        <stp>Price</stp>
        <tr r="W923" s="57"/>
      </tp>
      <tp>
        <v>115.5</v>
        <stp/>
        <stp>8114</stp>
        <stp>Price</stp>
        <tr r="W801" s="57"/>
      </tp>
      <tp>
        <v>65.400000000000006</v>
        <stp/>
        <stp>8444</stp>
        <stp>Price</stp>
        <tr r="W1384" s="57"/>
      </tp>
      <tp>
        <v>760</v>
        <stp/>
        <stp>8454</stp>
        <stp>Price</stp>
        <tr r="W1673" s="57"/>
      </tp>
      <tp>
        <v>316</v>
        <stp/>
        <stp>8464</stp>
        <stp>Price</stp>
        <tr r="W1386" s="57"/>
      </tp>
      <tp>
        <v>34.65</v>
        <stp/>
        <stp>8404</stp>
        <stp>Price</stp>
        <tr r="W1371" s="57"/>
      </tp>
      <tp>
        <v>129</v>
        <stp/>
        <stp>8924</stp>
        <stp>Price</stp>
        <tr r="W112" s="114"/>
        <tr r="W1401" s="57"/>
      </tp>
      <tp>
        <v>20.05</v>
        <stp/>
        <stp>9944</stp>
        <stp>Price</stp>
        <tr r="W1436" s="57"/>
      </tp>
      <tp>
        <v>29.6</v>
        <stp/>
        <stp>9904</stp>
        <stp>Price</stp>
        <tr r="W1413" s="57"/>
      </tp>
      <tp>
        <v>239</v>
        <stp/>
        <stp>9914</stp>
        <stp>Price</stp>
        <tr r="W1418" s="57"/>
      </tp>
      <tp>
        <v>40.799999999999997</v>
        <stp/>
        <stp>9924</stp>
        <stp>Price</stp>
        <tr r="W1422" s="57"/>
      </tp>
      <tp>
        <v>11.9</v>
        <stp/>
        <stp>9934</stp>
        <stp>Price</stp>
        <tr r="W1429" s="57"/>
      </tp>
      <tp>
        <v>4568</v>
        <stp/>
        <stp>6488</stp>
        <stp>PredictVolume</stp>
        <tr r="AI654" s="57"/>
        <tr r="AJ31" s="118"/>
      </tp>
      <tp>
        <v>446</v>
        <stp/>
        <stp>6438</stp>
        <stp>PredictVolume</stp>
        <tr r="AI1758" s="57"/>
      </tp>
      <tp>
        <v>279</v>
        <stp/>
        <stp>6418</stp>
        <stp>PredictVolume</stp>
        <tr r="AI1195" s="57"/>
      </tp>
      <tp>
        <v>1435</v>
        <stp/>
        <stp>6598</stp>
        <stp>PredictVolume</stp>
        <tr r="AI396" s="57"/>
      </tp>
      <tp>
        <v>9</v>
        <stp/>
        <stp>6588</stp>
        <stp>PredictVolume</stp>
        <tr r="AI1006" s="57"/>
      </tp>
      <tp>
        <v>3094</v>
        <stp/>
        <stp>6538</stp>
        <stp>PredictVolume</stp>
        <tr r="AI1198" s="57"/>
      </tp>
      <tp>
        <v>13069</v>
        <stp/>
        <stp>6508</stp>
        <stp>PredictVolume</stp>
        <tr r="AI63" s="114"/>
        <tr r="AI1820" s="57"/>
      </tp>
      <tp>
        <v>4078</v>
        <stp/>
        <stp>6578</stp>
        <stp>PredictVolume</stp>
        <tr r="AI1818" s="57"/>
      </tp>
      <tp>
        <v>241</v>
        <stp/>
        <stp>6568</stp>
        <stp>PredictVolume</stp>
        <tr r="AI664" s="57"/>
      </tp>
      <tp>
        <v>103</v>
        <stp/>
        <stp>6558</stp>
        <stp>PredictVolume</stp>
        <tr r="AL34" s="28"/>
        <tr r="AI1760" s="57"/>
      </tp>
      <tp>
        <v>353</v>
        <stp/>
        <stp>6548</stp>
        <stp>PredictVolume</stp>
        <tr r="AI662" s="57"/>
      </tp>
      <tp>
        <v>67</v>
        <stp/>
        <stp>6698</stp>
        <stp>PredictVolume</stp>
        <tr r="AI1765" s="57"/>
      </tp>
      <tp>
        <v>78</v>
        <stp/>
        <stp>6668</stp>
        <stp>PredictVolume</stp>
        <tr r="AI916" s="57"/>
      </tp>
      <tp>
        <v>719</v>
        <stp/>
        <stp>6788</stp>
        <stp>PredictVolume</stp>
        <tr r="AI679" s="57"/>
      </tp>
      <tp>
        <v>18</v>
        <stp/>
        <stp>6728</stp>
        <stp>PredictVolume</stp>
        <tr r="AI1668" s="57"/>
      </tp>
      <tp>
        <v>55</v>
        <stp/>
        <stp>6768</stp>
        <stp>PredictVolume</stp>
        <tr r="AI1360" s="57"/>
      </tp>
      <tp>
        <v>2</v>
        <stp/>
        <stp>6198</stp>
        <stp>PredictVolume</stp>
        <tr r="AI634" s="57"/>
      </tp>
      <tp>
        <v>921</v>
        <stp/>
        <stp>6188</stp>
        <stp>PredictVolume</stp>
        <tr r="AI784" s="57"/>
      </tp>
      <tp>
        <v>2519</v>
        <stp/>
        <stp>6138</stp>
        <stp>PredictVolume</stp>
        <tr r="AI631" s="57"/>
      </tp>
      <tp>
        <v>78</v>
        <stp/>
        <stp>6128</stp>
        <stp>PredictVolume</stp>
        <tr r="AI779" s="57"/>
      </tp>
      <tp>
        <v>1029</v>
        <stp/>
        <stp>6118</stp>
        <stp>PredictVolume</stp>
        <tr r="AI1249" s="57"/>
      </tp>
      <tp>
        <v>114</v>
        <stp/>
        <stp>6108</stp>
        <stp>PredictVolume</stp>
        <tr r="AI1153" s="57"/>
      </tp>
      <tp>
        <v>404</v>
        <stp/>
        <stp>6168</stp>
        <stp>PredictVolume</stp>
        <tr r="AI897" s="57"/>
      </tp>
      <tp>
        <v>58</v>
        <stp/>
        <stp>6158</stp>
        <stp>PredictVolume</stp>
        <tr r="AI1165" s="57"/>
      </tp>
      <tp>
        <v>83</v>
        <stp/>
        <stp>6148</stp>
        <stp>PredictVolume</stp>
        <tr r="AI1289" s="57"/>
      </tp>
      <tp>
        <v>267</v>
        <stp/>
        <stp>6288</stp>
        <stp>PredictVolume</stp>
        <tr r="AI525" s="57"/>
      </tp>
      <tp>
        <v>332</v>
        <stp/>
        <stp>6228</stp>
        <stp>PredictVolume</stp>
        <tr r="AI786" s="57"/>
      </tp>
      <tp>
        <v>16</v>
        <stp/>
        <stp>6218</stp>
        <stp>PredictVolume</stp>
        <tr r="AI991" s="57"/>
      </tp>
      <tp>
        <v>123</v>
        <stp/>
        <stp>6208</stp>
        <stp>PredictVolume</stp>
        <tr r="AI1178" s="57"/>
      </tp>
      <tp>
        <v>1571</v>
        <stp/>
        <stp>6278</stp>
        <stp>PredictVolume</stp>
        <tr r="AI906" s="57"/>
      </tp>
      <tp>
        <v>62</v>
        <stp/>
        <stp>6248</stp>
        <stp>PredictVolume</stp>
        <tr r="AI472" s="57"/>
      </tp>
      <tp>
        <v>23</v>
        <stp/>
        <stp>4438</stp>
        <stp>PredictVolume</stp>
        <tr r="AI123" s="57"/>
      </tp>
      <tp>
        <v>1</v>
        <stp/>
        <stp>4538</stp>
        <stp>PredictVolume</stp>
        <tr r="AI189" s="57"/>
      </tp>
      <tp>
        <v>13</v>
        <stp/>
        <stp>4528</stp>
        <stp>PredictVolume</stp>
        <tr r="AI183" s="57"/>
      </tp>
      <tp>
        <v>2</v>
        <stp/>
        <stp>4568</stp>
        <stp>PredictVolume</stp>
        <tr r="AI203" s="57"/>
      </tp>
      <tp>
        <v>5</v>
        <stp/>
        <stp>4558</stp>
        <stp>PredictVolume</stp>
        <tr r="AI196" s="57"/>
      </tp>
      <tp>
        <v>65</v>
        <stp/>
        <stp>4728</stp>
        <stp>PredictVolume</stp>
        <tr r="AI366" s="57"/>
      </tp>
      <tp>
        <v>41</v>
        <stp/>
        <stp>4768</stp>
        <stp>PredictVolume</stp>
        <tr r="AI283" s="57"/>
      </tp>
      <tp>
        <v>42</v>
        <stp/>
        <stp>4198</stp>
        <stp>PredictVolume</stp>
        <tr r="AI364" s="57"/>
      </tp>
      <tp>
        <v>9</v>
        <stp/>
        <stp>4188</stp>
        <stp>PredictVolume</stp>
        <tr r="AI361" s="57"/>
      </tp>
      <tp>
        <v>19</v>
        <stp/>
        <stp>4138</stp>
        <stp>PredictVolume</stp>
        <tr r="AI340" s="57"/>
      </tp>
      <tp>
        <v>1165</v>
        <stp/>
        <stp>4128</stp>
        <stp>PredictVolume</stp>
        <tr r="AL15" s="28"/>
        <tr r="AI334" s="57"/>
      </tp>
      <tp>
        <v>183</v>
        <stp/>
        <stp>4108</stp>
        <stp>PredictVolume</stp>
        <tr r="AI323" s="57"/>
      </tp>
      <tp>
        <v>448</v>
        <stp/>
        <stp>4168</stp>
        <stp>PredictVolume</stp>
        <tr r="AI356" s="57"/>
      </tp>
      <tp>
        <v>1135</v>
        <stp/>
        <stp>4148</stp>
        <stp>PredictVolume</stp>
        <tr r="AI345" s="57"/>
      </tp>
      <tp>
        <v>8042</v>
        <stp/>
        <stp>4938</stp>
        <stp>PredictVolume</stp>
        <tr r="AL20" s="28"/>
        <tr r="AI763" s="57"/>
      </tp>
      <tp>
        <v>612</v>
        <stp/>
        <stp>4908</stp>
        <stp>PredictVolume</stp>
        <tr r="AI975" s="57"/>
      </tp>
      <tp>
        <v>3023</v>
        <stp/>
        <stp>4968</stp>
        <stp>PredictVolume</stp>
        <tr r="AI85" s="114"/>
        <tr r="AI607" s="57"/>
      </tp>
      <tp>
        <v>2730</v>
        <stp/>
        <stp>4958</stp>
        <stp>PredictVolume</stp>
        <tr r="AL16" s="28"/>
        <tr r="AI1131" s="57"/>
      </tp>
      <tp>
        <v>90</v>
        <stp/>
        <stp>5498</stp>
        <stp>PredictVolume</stp>
        <tr r="AI1152" s="57"/>
      </tp>
      <tp>
        <v>109</v>
        <stp/>
        <stp>5488</stp>
        <stp>PredictVolume</stp>
        <tr r="AI1151" s="57"/>
      </tp>
      <tp>
        <v>45</v>
        <stp/>
        <stp>5438</stp>
        <stp>PredictVolume</stp>
        <tr r="AI772" s="57"/>
      </tp>
      <tp>
        <v>166</v>
        <stp/>
        <stp>5478</stp>
        <stp>PredictVolume</stp>
        <tr r="AI1790" s="57"/>
      </tp>
      <tp>
        <v>659</v>
        <stp/>
        <stp>5468</stp>
        <stp>PredictVolume</stp>
        <tr r="AI624" s="57"/>
      </tp>
      <tp>
        <v>84</v>
        <stp/>
        <stp>5538</stp>
        <stp>PredictVolume</stp>
        <tr r="AI471" s="57"/>
      </tp>
      <tp>
        <v>363</v>
        <stp/>
        <stp>5508</stp>
        <stp>PredictVolume</stp>
        <tr r="AI1489" s="57"/>
      </tp>
      <tp>
        <v>10186</v>
        <stp/>
        <stp>5608</stp>
        <stp>PredictVolume</stp>
        <tr r="AI1543" s="57"/>
      </tp>
      <tp>
        <v>38</v>
        <stp/>
        <stp>5288</stp>
        <stp>PredictVolume</stp>
        <tr r="AI111" s="114"/>
        <tr r="AI209" s="57"/>
      </tp>
      <tp>
        <v>21</v>
        <stp/>
        <stp>5228</stp>
        <stp>PredictVolume</stp>
        <tr r="AI50" s="28"/>
        <tr r="AI1136" s="57"/>
      </tp>
      <tp>
        <v>8</v>
        <stp/>
        <stp>5278</stp>
        <stp>PredictVolume</stp>
        <tr r="AI1809" s="57"/>
      </tp>
      <tp>
        <v>2152</v>
        <stp/>
        <stp>5258</stp>
        <stp>PredictVolume</stp>
        <tr r="AI767" s="57"/>
      </tp>
      <tp>
        <v>34</v>
        <stp/>
        <stp>5398</stp>
        <stp>PredictVolume</stp>
        <tr r="AI1336" s="57"/>
      </tp>
      <tp>
        <v>6975</v>
        <stp/>
        <stp>5388</stp>
        <stp>PredictVolume</stp>
        <tr r="AI981" s="57"/>
      </tp>
      <tp>
        <v>219</v>
        <stp/>
        <stp>5328</stp>
        <stp>PredictVolume</stp>
        <tr r="AI1140" s="57"/>
      </tp>
      <tp>
        <v>19</v>
        <stp/>
        <stp>5348</stp>
        <stp>PredictVolume</stp>
        <tr r="AI979" s="57"/>
      </tp>
      <tp>
        <v>5</v>
        <stp/>
        <stp>5878</stp>
        <stp>PredictVolume</stp>
        <tr r="AI1627" s="57"/>
      </tp>
      <tp>
        <v>8044</v>
        <stp/>
        <stp>2498</stp>
        <stp>PredictVolume</stp>
        <tr r="AI941" s="57"/>
      </tp>
      <tp>
        <v>9</v>
        <stp/>
        <stp>2488</stp>
        <stp>PredictVolume</stp>
        <tr r="AI1708" s="57"/>
      </tp>
      <tp>
        <v>13</v>
        <stp/>
        <stp>2438</stp>
        <stp>PredictVolume</stp>
        <tr r="AI817" s="57"/>
      </tp>
      <tp>
        <v>738</v>
        <stp/>
        <stp>2428</stp>
        <stp>PredictVolume</stp>
        <tr r="AI1043" s="57"/>
      </tp>
      <tp>
        <v>14791</v>
        <stp/>
        <stp>2408</stp>
        <stp>PredictVolume</stp>
        <tr r="AI543" s="57"/>
      </tp>
      <tp>
        <v>59</v>
        <stp/>
        <stp>2478</stp>
        <stp>PredictVolume</stp>
        <tr r="AI1053" s="57"/>
      </tp>
      <tp>
        <v>12</v>
        <stp/>
        <stp>2468</stp>
        <stp>PredictVolume</stp>
        <tr r="AI1269" s="57"/>
      </tp>
      <tp>
        <v>914</v>
        <stp/>
        <stp>2458</stp>
        <stp>PredictVolume</stp>
        <tr r="AI22" s="74"/>
        <tr r="AI108" s="114"/>
        <tr r="AI550" s="57"/>
      </tp>
      <tp>
        <v>1964</v>
        <stp/>
        <stp>2538</stp>
        <stp>PredictVolume</stp>
        <tr r="AI1463" s="57"/>
      </tp>
      <tp>
        <v>37</v>
        <stp/>
        <stp>2528</stp>
        <stp>PredictVolume</stp>
        <tr r="AI1457" s="57"/>
      </tp>
      <tp>
        <v>720</v>
        <stp/>
        <stp>2548</stp>
        <stp>PredictVolume</stp>
        <tr r="AI1471" s="57"/>
      </tp>
      <tp>
        <v>131310</v>
        <stp/>
        <stp>2618</stp>
        <stp>PredictVolume</stp>
        <tr r="AI1530" s="57"/>
      </tp>
      <tp>
        <v>1088</v>
        <stp/>
        <stp>2608</stp>
        <stp>PredictVolume</stp>
        <tr r="AI1522" s="57"/>
      </tp>
      <tp>
        <v>3</v>
        <stp/>
        <stp>2718</stp>
        <stp>PredictVolume</stp>
        <tr r="AI1557" s="57"/>
      </tp>
      <tp>
        <v>22</v>
        <stp/>
        <stp>2748</stp>
        <stp>PredictVolume</stp>
        <tr r="AI1573" s="57"/>
      </tp>
      <tp>
        <v>541</v>
        <stp/>
        <stp>2038</stp>
        <stp>PredictVolume</stp>
        <tr r="AI28" s="74"/>
        <tr r="AI457" s="57"/>
      </tp>
      <tp>
        <v>642</v>
        <stp/>
        <stp>2028</stp>
        <stp>PredictVolume</stp>
        <tr r="AI449" s="57"/>
      </tp>
      <tp>
        <v>52</v>
        <stp/>
        <stp>2008</stp>
        <stp>PredictVolume</stp>
        <tr r="AI435" s="57"/>
      </tp>
      <tp>
        <v>781</v>
        <stp/>
        <stp>2108</stp>
        <stp>PredictVolume</stp>
        <tr r="AI487" s="57"/>
      </tp>
      <tp>
        <v>35</v>
        <stp/>
        <stp>2228</stp>
        <stp>PredictVolume</stp>
        <tr r="AI512" s="57"/>
      </tp>
      <tp>
        <v>1489</v>
        <stp/>
        <stp>2208</stp>
        <stp>PredictVolume</stp>
        <tr r="AI1517" s="57"/>
      </tp>
      <tp>
        <v>1307</v>
        <stp/>
        <stp>2388</stp>
        <stp>PredictVolume</stp>
        <tr r="AI541" s="57"/>
      </tp>
      <tp>
        <v>5680</v>
        <stp/>
        <stp>2338</stp>
        <stp>PredictVolume</stp>
        <tr r="AI534" s="57"/>
      </tp>
      <tp>
        <v>1283</v>
        <stp/>
        <stp>2328</stp>
        <stp>PredictVolume</stp>
        <tr r="AI1030" s="57"/>
      </tp>
      <tp>
        <v>2886</v>
        <stp/>
        <stp>2308</stp>
        <stp>PredictVolume</stp>
        <tr r="AI142" s="114"/>
        <tr r="AJ5" s="118"/>
        <tr r="AI1026" s="57"/>
      </tp>
      <tp>
        <v>20396</v>
        <stp/>
        <stp>2368</stp>
        <stp>PredictVolume</stp>
        <tr r="AI1033" s="57"/>
      </tp>
      <tp>
        <v>560</v>
        <stp/>
        <stp>2358</stp>
        <stp>PredictVolume</stp>
        <tr r="AI1318" s="57"/>
      </tp>
      <tp>
        <v>106</v>
        <stp/>
        <stp>2348</stp>
        <stp>PredictVolume</stp>
        <tr r="AI1317" s="57"/>
      </tp>
      <tp>
        <v>95658</v>
        <stp/>
        <stp>2888</stp>
        <stp>PredictVolume</stp>
        <tr r="AI1618" s="57"/>
      </tp>
      <tp>
        <v>2026</v>
        <stp/>
        <stp>2838</stp>
        <stp>PredictVolume</stp>
        <tr r="AI1602" s="57"/>
      </tp>
      <tp>
        <v>109</v>
        <stp/>
        <stp>2908</stp>
        <stp>PredictVolume</stp>
        <tr r="AI1646" s="57"/>
      </tp>
      <tp>
        <v>32</v>
        <stp/>
        <stp>3498</stp>
        <stp>PredictVolume</stp>
        <tr r="AI1724" s="57"/>
      </tp>
      <tp>
        <v>797</v>
        <stp/>
        <stp>3438</stp>
        <stp>PredictVolume</stp>
        <tr r="AI579" s="57"/>
      </tp>
      <tp>
        <v>1215</v>
        <stp/>
        <stp>3588</stp>
        <stp>PredictVolume</stp>
        <tr r="AI592" s="57"/>
      </tp>
      <tp>
        <v>29</v>
        <stp/>
        <stp>3528</stp>
        <stp>PredictVolume</stp>
        <tr r="AI1245" s="57"/>
      </tp>
      <tp>
        <v>61</v>
        <stp/>
        <stp>3518</stp>
        <stp>PredictVolume</stp>
        <tr r="AI1726" s="57"/>
      </tp>
      <tp>
        <v>1213</v>
        <stp/>
        <stp>3508</stp>
        <stp>PredictVolume</stp>
        <tr r="AI1725" s="57"/>
      </tp>
      <tp>
        <v>4875</v>
        <stp/>
        <stp>3558</stp>
        <stp>PredictVolume</stp>
        <tr r="AI962" s="57"/>
      </tp>
      <tp>
        <v>294</v>
        <stp/>
        <stp>3548</stp>
        <stp>PredictVolume</stp>
        <tr r="AI1109" s="57"/>
      </tp>
      <tp>
        <v>227</v>
        <stp/>
        <stp>3628</stp>
        <stp>PredictVolume</stp>
        <tr r="AI1733" s="57"/>
      </tp>
      <tp>
        <v>16986</v>
        <stp/>
        <stp>3708</stp>
        <stp>PredictVolume</stp>
        <tr r="AI265" s="57"/>
      </tp>
      <tp>
        <v>238</v>
        <stp/>
        <stp>3088</stp>
        <stp>PredictVolume</stp>
        <tr r="AI734" s="57"/>
      </tp>
      <tp>
        <v>86</v>
        <stp/>
        <stp>3038</stp>
        <stp>PredictVolume</stp>
        <tr r="AI826" s="57"/>
      </tp>
      <tp>
        <v>532</v>
        <stp/>
        <stp>3028</stp>
        <stp>PredictVolume</stp>
        <tr r="AI1234" s="57"/>
      </tp>
      <tp>
        <v>952</v>
        <stp/>
        <stp>3018</stp>
        <stp>PredictVolume</stp>
        <tr r="AI1710" s="57"/>
      </tp>
      <tp>
        <v>299</v>
        <stp/>
        <stp>3008</stp>
        <stp>PredictVolume</stp>
        <tr r="AI822" s="57"/>
      </tp>
      <tp>
        <v>164</v>
        <stp/>
        <stp>3078</stp>
        <stp>PredictVolume</stp>
        <tr r="AI67" s="114"/>
        <tr r="AI1069" s="57"/>
      </tp>
      <tp>
        <v>227</v>
        <stp/>
        <stp>3058</stp>
        <stp>PredictVolume</stp>
        <tr r="AI1068" s="57"/>
      </tp>
      <tp>
        <v>561</v>
        <stp/>
        <stp>3048</stp>
        <stp>PredictVolume</stp>
        <tr r="AI1237" s="57"/>
      </tp>
      <tp>
        <v>16</v>
        <stp/>
        <stp>3188</stp>
        <stp>PredictVolume</stp>
        <tr r="AI1478" s="57"/>
      </tp>
      <tp>
        <v>343</v>
        <stp/>
        <stp>3138</stp>
        <stp>PredictVolume</stp>
        <tr r="AI84" s="114"/>
        <tr r="AI949" s="57"/>
      </tp>
      <tp>
        <v>141</v>
        <stp/>
        <stp>3128</stp>
        <stp>PredictVolume</stp>
        <tr r="AI832" s="57"/>
      </tp>
      <tp>
        <v>17</v>
        <stp/>
        <stp>3118</stp>
        <stp>PredictVolume</stp>
        <tr r="AI312" s="57"/>
      </tp>
      <tp>
        <v>69</v>
        <stp/>
        <stp>3178</stp>
        <stp>PredictVolume</stp>
        <tr r="AI171" s="57"/>
      </tp>
      <tp>
        <v>0</v>
        <stp/>
        <stp>3288</stp>
        <stp>PredictVolume</stp>
        <tr r="AI1082" s="57"/>
      </tp>
      <tp>
        <v>1108</v>
        <stp/>
        <stp>3228</stp>
        <stp>PredictVolume</stp>
        <tr r="AI568" s="57"/>
      </tp>
      <tp>
        <v>434</v>
        <stp/>
        <stp>3218</stp>
        <stp>PredictVolume</stp>
        <tr r="AI316" s="57"/>
      </tp>
      <tp>
        <v>10</v>
        <stp/>
        <stp>3268</stp>
        <stp>PredictVolume</stp>
        <tr r="AI574" s="57"/>
      </tp>
      <tp>
        <v>168</v>
        <stp/>
        <stp>3388</stp>
        <stp>PredictVolume</stp>
        <tr r="AI1096" s="57"/>
      </tp>
      <tp>
        <v>255</v>
        <stp/>
        <stp>3338</stp>
        <stp>PredictVolume</stp>
        <tr r="AI1092" s="57"/>
      </tp>
      <tp>
        <v>157</v>
        <stp/>
        <stp>3308</stp>
        <stp>PredictVolume</stp>
        <tr r="AI1086" s="57"/>
      </tp>
      <tp>
        <v>70</v>
        <stp/>
        <stp>1438</stp>
        <stp>PredictVolume</stp>
        <tr r="AI1443" s="57"/>
      </tp>
      <tp>
        <v>208</v>
        <stp/>
        <stp>1418</stp>
        <stp>PredictVolume</stp>
        <tr r="AI76" s="57"/>
      </tp>
      <tp>
        <v>87</v>
        <stp/>
        <stp>1468</stp>
        <stp>PredictVolume</stp>
        <tr r="AI103" s="57"/>
      </tp>
      <tp>
        <v>191</v>
        <stp/>
        <stp>1598</stp>
        <stp>PredictVolume</stp>
        <tr r="AL35" s="28"/>
        <tr r="AI291" s="57"/>
      </tp>
      <tp>
        <v>48</v>
        <stp/>
        <stp>1538</stp>
        <stp>PredictVolume</stp>
        <tr r="AI146" s="57"/>
      </tp>
      <tp>
        <v>255</v>
        <stp/>
        <stp>1528</stp>
        <stp>PredictVolume</stp>
        <tr r="AI139" s="57"/>
      </tp>
      <tp>
        <v>58</v>
        <stp/>
        <stp>1568</stp>
        <stp>PredictVolume</stp>
        <tr r="AI504" s="57"/>
      </tp>
      <tp>
        <v>127</v>
        <stp/>
        <stp>1558</stp>
        <stp>PredictVolume</stp>
        <tr r="AI150" s="57"/>
      </tp>
      <tp>
        <v>160</v>
        <stp/>
        <stp>1618</stp>
        <stp>PredictVolume</stp>
        <tr r="AI236" s="57"/>
      </tp>
      <tp>
        <v>1197</v>
        <stp/>
        <stp>1608</stp>
        <stp>PredictVolume</stp>
        <tr r="AI228" s="57"/>
      </tp>
      <tp>
        <v>20</v>
        <stp/>
        <stp>1788</stp>
        <stp>PredictVolume</stp>
        <tr r="AI307" s="57"/>
      </tp>
      <tp>
        <v>1949</v>
        <stp/>
        <stp>1718</stp>
        <stp>PredictVolume</stp>
        <tr r="AI252" s="57"/>
      </tp>
      <tp>
        <v>52984</v>
        <stp/>
        <stp>1708</stp>
        <stp>PredictVolume</stp>
        <tr r="AI244" s="57"/>
        <tr r="AI1719" s="57"/>
      </tp>
      <tp>
        <v>144</v>
        <stp/>
        <stp>1108</stp>
        <stp>PredictVolume</stp>
        <tr r="AI8" s="57"/>
      </tp>
      <tp>
        <v>821</v>
        <stp/>
        <stp>1218</stp>
        <stp>PredictVolume</stp>
        <tr r="AI20" s="57"/>
      </tp>
      <tp>
        <v>20</v>
        <stp/>
        <stp>1268</stp>
        <stp>PredictVolume</stp>
        <tr r="AI1549" s="57"/>
      </tp>
      <tp>
        <v>111</v>
        <stp/>
        <stp>1258</stp>
        <stp>PredictVolume</stp>
        <tr r="AI33" s="57"/>
      </tp>
      <tp>
        <v>101</v>
        <stp/>
        <stp>1338</stp>
        <stp>PredictVolume</stp>
        <tr r="AI495" s="57"/>
      </tp>
      <tp>
        <v>3137</v>
        <stp/>
        <stp>1308</stp>
        <stp>PredictVolume</stp>
        <tr r="AI107" s="114"/>
        <tr r="AI47" s="57"/>
      </tp>
      <tp>
        <v>2096</v>
        <stp/>
        <stp>1808</stp>
        <stp>PredictVolume</stp>
        <tr r="AI1446" s="57"/>
      </tp>
      <tp>
        <v>0</v>
        <stp/>
        <stp>8488</stp>
        <stp>PredictVolume</stp>
        <tr r="AI1395" s="57"/>
      </tp>
      <tp>
        <v>40</v>
        <stp/>
        <stp>8438</stp>
        <stp>PredictVolume</stp>
        <tr r="AI1381" s="57"/>
      </tp>
      <tp>
        <v>0</v>
        <stp/>
        <stp>8418</stp>
        <stp>PredictVolume</stp>
        <tr r="AI1373" s="57"/>
      </tp>
      <tp>
        <v>5401</v>
        <stp/>
        <stp>8478</stp>
        <stp>PredictVolume</stp>
        <tr r="AI1391" s="57"/>
      </tp>
      <tp>
        <v>369</v>
        <stp/>
        <stp>8088</stp>
        <stp>PredictVolume</stp>
        <tr r="AI689" s="57"/>
      </tp>
      <tp>
        <v>118</v>
        <stp/>
        <stp>8038</stp>
        <stp>PredictVolume</stp>
        <tr r="AI1206" s="57"/>
      </tp>
      <tp>
        <v>2995</v>
        <stp/>
        <stp>8028</stp>
        <stp>PredictVolume</stp>
        <tr r="AI684" s="57"/>
      </tp>
      <tp>
        <v>26</v>
        <stp/>
        <stp>8068</stp>
        <stp>PredictVolume</stp>
        <tr r="AI1259" s="57"/>
      </tp>
      <tp>
        <v>5</v>
        <stp/>
        <stp>8048</stp>
        <stp>PredictVolume</stp>
        <tr r="AI1011" s="57"/>
      </tp>
      <tp>
        <v>1563</v>
        <stp/>
        <stp>8358</stp>
        <stp>PredictVolume</stp>
        <tr r="AI1226" s="57"/>
      </tp>
      <tp>
        <v>1091</v>
        <stp/>
        <stp>8938</stp>
        <stp>PredictVolume</stp>
        <tr r="AI1409" s="57"/>
      </tp>
      <tp>
        <v>5476</v>
        <stp/>
        <stp>8928</stp>
        <stp>PredictVolume</stp>
        <tr r="AI1402" s="57"/>
      </tp>
      <tp>
        <v>39</v>
        <stp/>
        <stp>8908</stp>
        <stp>PredictVolume</stp>
        <tr r="AI1685" s="57"/>
      </tp>
      <tp>
        <v>317</v>
        <stp/>
        <stp>9938</stp>
        <stp>PredictVolume</stp>
        <tr r="AI1431" s="57"/>
      </tp>
      <tp>
        <v>0</v>
        <stp/>
        <stp>9928</stp>
        <stp>PredictVolume</stp>
        <tr r="AI1425" s="57"/>
      </tp>
      <tp>
        <v>25</v>
        <stp/>
        <stp>9918</stp>
        <stp>PredictVolume</stp>
        <tr r="AI1683" s="57"/>
      </tp>
      <tp>
        <v>137</v>
        <stp/>
        <stp>9908</stp>
        <stp>PredictVolume</stp>
        <tr r="AI1686" s="57"/>
      </tp>
      <tp>
        <v>4330</v>
        <stp/>
        <stp>9958</stp>
        <stp>PredictVolume</stp>
        <tr r="AI476" s="57"/>
      </tp>
      <tp>
        <v>38.6</v>
        <stp/>
        <stp>2235</stp>
        <stp>Price</stp>
        <tr r="W166" s="57"/>
      </tp>
      <tp>
        <v>235.5</v>
        <stp/>
        <stp>2345</stp>
        <stp>Price</stp>
        <tr r="W97" s="114"/>
        <tr r="W933" s="57"/>
      </tp>
      <tp>
        <v>29.3</v>
        <stp/>
        <stp>2355</stp>
        <stp>Price</stp>
        <tr r="W1031" s="57"/>
      </tp>
      <tp>
        <v>10</v>
        <stp/>
        <stp>2365</stp>
        <stp>Price</stp>
        <tr r="W710" s="57"/>
      </tp>
      <tp>
        <v>62.3</v>
        <stp/>
        <stp>2375</stp>
        <stp>Price</stp>
        <tr r="W1034" s="57"/>
      </tp>
      <tp>
        <v>10.65</v>
        <stp/>
        <stp>2305</stp>
        <stp>Price</stp>
        <tr r="W701" s="57"/>
      </tp>
      <tp>
        <v>82.4</v>
        <stp/>
        <stp>2385</stp>
        <stp>Price</stp>
        <tr r="W1036" s="57"/>
      </tp>
      <tp>
        <v>351.5</v>
        <stp/>
        <stp>2395</stp>
        <stp>Price</stp>
        <tr r="W716" s="57"/>
      </tp>
      <tp>
        <v>46.2</v>
        <stp/>
        <stp>2065</stp>
        <stp>Price</stp>
        <tr r="W460" s="57"/>
      </tp>
      <tp>
        <v>74</v>
        <stp/>
        <stp>2015</stp>
        <stp>Price</stp>
        <tr r="W441" s="57"/>
      </tp>
      <tp>
        <v>5.69</v>
        <stp/>
        <stp>2025</stp>
        <stp>Price</stp>
        <tr r="W447" s="57"/>
      </tp>
      <tp>
        <v>33.200000000000003</v>
        <stp/>
        <stp>2035</stp>
        <stp>Price</stp>
        <tr r="W456" s="57"/>
      </tp>
      <tp>
        <v>33.6</v>
        <stp/>
        <stp>2105</stp>
        <stp>Price</stp>
        <tr r="W484" s="57"/>
      </tp>
      <tp>
        <v>34.5</v>
        <stp/>
        <stp>2115</stp>
        <stp>Price</stp>
        <tr r="W506" s="57"/>
      </tp>
      <tp>
        <v>26.7</v>
        <stp/>
        <stp>2605</stp>
        <stp>Price</stp>
        <tr r="W1519" s="57"/>
      </tp>
      <tp>
        <v>148</v>
        <stp/>
        <stp>2615</stp>
        <stp>Price</stp>
        <tr r="W1528" s="57"/>
        <tr r="W23" s="118"/>
      </tp>
      <tp>
        <v>37.4</v>
        <stp/>
        <stp>2745</stp>
        <stp>Price</stp>
        <tr r="W1572" s="57"/>
      </tp>
      <tp>
        <v>61.5</v>
        <stp/>
        <stp>2755</stp>
        <stp>Price</stp>
        <tr r="W1577" s="57"/>
      </tp>
      <tp>
        <v>16.3</v>
        <stp/>
        <stp>2705</stp>
        <stp>Price</stp>
        <tr r="W1553" s="57"/>
      </tp>
      <tp>
        <v>89.7</v>
        <stp/>
        <stp>2455</stp>
        <stp>Price</stp>
        <tr r="W23" s="74"/>
        <tr r="W129" s="114"/>
        <tr r="W939" s="57"/>
      </tp>
      <tp>
        <v>46.85</v>
        <stp/>
        <stp>2465</stp>
        <stp>Price</stp>
        <tr r="W724" s="57"/>
      </tp>
      <tp>
        <v>12.05</v>
        <stp/>
        <stp>2405</stp>
        <stp>Price</stp>
        <tr r="W719" s="57"/>
      </tp>
      <tp>
        <v>34.65</v>
        <stp/>
        <stp>2415</stp>
        <stp>Price</stp>
        <tr r="W1040" s="57"/>
      </tp>
      <tp>
        <v>31.05</v>
        <stp/>
        <stp>2425</stp>
        <stp>Price</stp>
        <tr r="W722" s="57"/>
      </tp>
      <tp>
        <v>16.149999999999999</v>
        <stp/>
        <stp>2485</stp>
        <stp>Price</stp>
        <tr r="W940" s="57"/>
      </tp>
      <tp>
        <v>14.5</v>
        <stp/>
        <stp>2495</stp>
        <stp>Price</stp>
        <tr r="W1709" s="57"/>
      </tp>
      <tp>
        <v>52.8</v>
        <stp/>
        <stp>2545</stp>
        <stp>Price</stp>
        <tr r="W1468" s="57"/>
      </tp>
      <tp>
        <v>19.3</v>
        <stp/>
        <stp>2505</stp>
        <stp>Price</stp>
        <tr r="W1449" s="57"/>
      </tp>
      <tp>
        <v>9.0399999999999991</v>
        <stp/>
        <stp>2515</stp>
        <stp>Price</stp>
        <tr r="W1824" s="57"/>
      </tp>
      <tp>
        <v>31.45</v>
        <stp/>
        <stp>2535</stp>
        <stp>Price</stp>
        <tr r="W1460" s="57"/>
      </tp>
      <tp>
        <v>11.45</v>
        <stp/>
        <stp>2845</stp>
        <stp>Price</stp>
        <tr r="W1603" s="57"/>
      </tp>
      <tp>
        <v>18.8</v>
        <stp/>
        <stp>2855</stp>
        <stp>Price</stp>
        <tr r="W1608" s="57"/>
      </tp>
      <tp>
        <v>24</v>
        <stp/>
        <stp>2885</stp>
        <stp>Price</stp>
        <tr r="W1615" s="57"/>
        <tr r="W19" s="118"/>
      </tp>
      <tp>
        <v>50.2</v>
        <stp/>
        <stp>2945</stp>
        <stp>Price</stp>
        <tr r="W1657" s="57"/>
      </tp>
      <tp>
        <v>18.899999999999999</v>
        <stp/>
        <stp>2905</stp>
        <stp>Price</stp>
        <tr r="W1644" s="57"/>
      </tp>
      <tp>
        <v>81</v>
        <stp/>
        <stp>2915</stp>
        <stp>Price</stp>
        <tr r="W82" s="114"/>
        <tr r="W1651" s="57"/>
      </tp>
      <tp>
        <v>47.3</v>
        <stp/>
        <stp>3265</stp>
        <stp>Price</stp>
        <tr r="W573" s="57"/>
      </tp>
      <tp>
        <v>20.95</v>
        <stp/>
        <stp>3205</stp>
        <stp>Price</stp>
        <tr r="W315" s="57"/>
      </tp>
      <tp>
        <v>20.55</v>
        <stp/>
        <stp>3285</stp>
        <stp>Price</stp>
        <tr r="W1716" s="57"/>
      </tp>
      <tp>
        <v>12.75</v>
        <stp/>
        <stp>3325</stp>
        <stp>Price</stp>
        <tr r="W741" s="57"/>
      </tp>
      <tp>
        <v>106.5</v>
        <stp/>
        <stp>3045</stp>
        <stp>Price</stp>
        <tr r="W944" s="57"/>
        <tr r="W26" s="118"/>
      </tp>
      <tp>
        <v>27</v>
        <stp/>
        <stp>3055</stp>
        <stp>Price</stp>
        <tr r="W1238" s="57"/>
      </tp>
      <tp>
        <v>43.25</v>
        <stp/>
        <stp>3005</stp>
        <stp>Price</stp>
        <tr r="W726" s="57"/>
      </tp>
      <tp>
        <v>41.1</v>
        <stp/>
        <stp>3015</stp>
        <stp>Price</stp>
        <tr r="W22" s="28"/>
        <tr r="W69" s="22"/>
        <tr r="W1060" s="57"/>
      </tp>
      <tp>
        <v>20</v>
        <stp/>
        <stp>3025</stp>
        <stp>Price</stp>
        <tr r="W942" s="57"/>
      </tp>
      <tp>
        <v>252.5</v>
        <stp/>
        <stp>3035</stp>
        <stp>Price</stp>
        <tr r="W556" s="57"/>
      </tp>
      <tp>
        <v>10.55</v>
        <stp/>
        <stp>3085</stp>
        <stp>Price</stp>
        <tr r="W1807" s="57"/>
      </tp>
      <tp>
        <v>2.75</v>
        <stp/>
        <stp>3095</stp>
        <stp>Price</stp>
        <tr r="W948" s="57"/>
      </tp>
      <tp>
        <v>196.5</v>
        <stp/>
        <stp>3105</stp>
        <stp>Price</stp>
        <tr r="W561" s="57"/>
        <tr r="W36" s="118"/>
      </tp>
      <tp>
        <v>11.35</v>
        <stp/>
        <stp>3115</stp>
        <stp>Price</stp>
        <tr r="W1073" s="57"/>
      </tp>
      <tp>
        <v>46.25</v>
        <stp/>
        <stp>3645</stp>
        <stp>Price</stp>
        <tr r="W1118" s="57"/>
      </tp>
      <tp>
        <v>303.5</v>
        <stp/>
        <stp>3665</stp>
        <stp>Price</stp>
        <tr r="W1736" s="57"/>
      </tp>
      <tp>
        <v>310</v>
        <stp/>
        <stp>3675</stp>
        <stp>Price</stp>
        <tr r="W595" s="57"/>
      </tp>
      <tp>
        <v>40.5</v>
        <stp/>
        <stp>3605</stp>
        <stp>Price</stp>
        <tr r="W1113" s="57"/>
      </tp>
      <tp>
        <v>18.7</v>
        <stp/>
        <stp>3615</stp>
        <stp>Price</stp>
        <tr r="W856" s="57"/>
      </tp>
      <tp>
        <v>17.3</v>
        <stp/>
        <stp>3625</stp>
        <stp>Price</stp>
        <tr r="W753" s="57"/>
      </tp>
      <tp>
        <v>24</v>
        <stp/>
        <stp>3685</stp>
        <stp>Price</stp>
        <tr r="W863" s="57"/>
      </tp>
      <tp>
        <v>42.5</v>
        <stp/>
        <stp>3705</stp>
        <stp>Price</stp>
        <tr r="W317" s="57"/>
      </tp>
      <tp>
        <v>83.4</v>
        <stp/>
        <stp>3455</stp>
        <stp>Price</stp>
        <tr r="W845" s="57"/>
      </tp>
      <tp>
        <v>95.9</v>
        <stp/>
        <stp>3465</stp>
        <stp>Price</stp>
        <tr r="W1099" s="57"/>
      </tp>
      <tp>
        <v>113</v>
        <stp/>
        <stp>3545</stp>
        <stp>Price</stp>
        <tr r="W59" s="114"/>
        <tr r="W586" s="57"/>
      </tp>
      <tp>
        <v>32.1</v>
        <stp/>
        <stp>3555</stp>
        <stp>Price</stp>
        <tr r="W587" s="57"/>
      </tp>
      <tp>
        <v>155</v>
        <stp/>
        <stp>3515</stp>
        <stp>Price</stp>
        <tr r="W122" s="114"/>
        <tr r="W747" s="57"/>
      </tp>
      <tp>
        <v>27.55</v>
        <stp/>
        <stp>3535</stp>
        <stp>Price</stp>
        <tr r="W851" s="57"/>
      </tp>
      <tp>
        <v>79.400000000000006</v>
        <stp/>
        <stp>1215</stp>
        <stp>Price</stp>
        <tr r="W17" s="57"/>
      </tp>
      <tp>
        <v>50.3</v>
        <stp/>
        <stp>1225</stp>
        <stp>Price</stp>
        <tr r="W23" s="57"/>
      </tp>
      <tp>
        <v>55.6</v>
        <stp/>
        <stp>1235</stp>
        <stp>Price</stp>
        <tr r="W30" s="57"/>
      </tp>
      <tp>
        <v>29.65</v>
        <stp/>
        <stp>1305</stp>
        <stp>Price</stp>
        <tr r="W45" s="57"/>
      </tp>
      <tp>
        <v>78.599999999999994</v>
        <stp/>
        <stp>1315</stp>
        <stp>Price</stp>
        <tr r="W53" s="57"/>
      </tp>
      <tp>
        <v>32.049999999999997</v>
        <stp/>
        <stp>1325</stp>
        <stp>Price</stp>
        <tr r="W13" s="28"/>
        <tr r="W20" s="22"/>
        <tr r="W21" s="22"/>
        <tr r="W22" s="22"/>
        <tr r="W23" s="22"/>
        <tr r="W24" s="22"/>
        <tr r="W25" s="22"/>
        <tr r="W57" s="57"/>
      </tp>
      <tp>
        <v>38.35</v>
        <stp/>
        <stp>1605</stp>
        <stp>Price</stp>
        <tr r="W227" s="57"/>
      </tp>
      <tp>
        <v>33</v>
        <stp/>
        <stp>1615</stp>
        <stp>Price</stp>
        <tr r="W233" s="57"/>
      </tp>
      <tp>
        <v>21.45</v>
        <stp/>
        <stp>1725</stp>
        <stp>Price</stp>
        <tr r="W256" s="57"/>
      </tp>
      <tp>
        <v>17</v>
        <stp/>
        <stp>1735</stp>
        <stp>Price</stp>
        <tr r="W261" s="57"/>
      </tp>
      <tp>
        <v>45.85</v>
        <stp/>
        <stp>1785</stp>
        <stp>Price</stp>
        <tr r="W1692" s="57"/>
      </tp>
      <tp>
        <v>119</v>
        <stp/>
        <stp>1795</stp>
        <stp>Price</stp>
        <tr r="W309" s="57"/>
      </tp>
      <tp>
        <v>14.95</v>
        <stp/>
        <stp>1445</stp>
        <stp>Price</stp>
        <tr r="W85" s="57"/>
      </tp>
      <tp>
        <v>13</v>
        <stp/>
        <stp>1455</stp>
        <stp>Price</stp>
        <tr r="W93" s="57"/>
      </tp>
      <tp>
        <v>12.35</v>
        <stp/>
        <stp>1465</stp>
        <stp>Price</stp>
        <tr r="W100" s="57"/>
      </tp>
      <tp>
        <v>68.099999999999994</v>
        <stp/>
        <stp>1475</stp>
        <stp>Price</stp>
        <tr r="W108" s="57"/>
      </tp>
      <tp>
        <v>50.4</v>
        <stp/>
        <stp>1435</stp>
        <stp>Price</stp>
        <tr r="W1311" s="57"/>
      </tp>
      <tp>
        <v>266</v>
        <stp/>
        <stp>1565</stp>
        <stp>Price</stp>
        <tr r="W289" s="57"/>
      </tp>
      <tp>
        <v>37.25</v>
        <stp/>
        <stp>1515</stp>
        <stp>Price</stp>
        <tr r="W78" s="114"/>
        <tr r="W134" s="57"/>
      </tp>
      <tp>
        <v>57.1</v>
        <stp/>
        <stp>1525</stp>
        <stp>Price</stp>
        <tr r="W501" s="57"/>
      </tp>
      <tp>
        <v>41.6</v>
        <stp/>
        <stp>1535</stp>
        <stp>Price</stp>
        <tr r="W144" s="57"/>
      </tp>
      <tp>
        <v>38.6</v>
        <stp/>
        <stp>1595</stp>
        <stp>Price</stp>
        <tr r="W1023" s="57"/>
      </tp>
      <tp t="s">
        <v>無資料</v>
        <stp/>
        <stp>1805</stp>
        <stp>Price</stp>
        <tr r="W1445" s="57"/>
      </tp>
      <tp>
        <v>13.6</v>
        <stp/>
        <stp>1815</stp>
        <stp>Price</stp>
        <tr r="W1024" s="57"/>
      </tp>
      <tp>
        <v>18.899999999999999</v>
        <stp/>
        <stp>1905</stp>
        <stp>Price</stp>
        <tr r="W426" s="57"/>
      </tp>
      <tp>
        <v>51.1</v>
        <stp/>
        <stp>6245</stp>
        <stp>Price</stp>
        <tr r="W993" s="57"/>
      </tp>
      <tp>
        <v>10.3</v>
        <stp/>
        <stp>6265</stp>
        <stp>Price</stp>
        <tr r="W1253" s="57"/>
      </tp>
      <tp>
        <v>32.049999999999997</v>
        <stp/>
        <stp>6275</stp>
        <stp>Price</stp>
        <tr r="W1755" s="57"/>
      </tp>
      <tp>
        <v>79.2</v>
        <stp/>
        <stp>6205</stp>
        <stp>Price</stp>
        <tr r="W1176" s="57"/>
      </tp>
      <tp>
        <v>23.15</v>
        <stp/>
        <stp>6215</stp>
        <stp>Price</stp>
        <tr r="W1753" s="57"/>
      </tp>
      <tp>
        <v>11.55</v>
        <stp/>
        <stp>6225</stp>
        <stp>Price</stp>
        <tr r="W901" s="57"/>
      </tp>
      <tp>
        <v>35.799999999999997</v>
        <stp/>
        <stp>6235</stp>
        <stp>Price</stp>
        <tr r="W788" s="57"/>
      </tp>
      <tp>
        <v>63.9</v>
        <stp/>
        <stp>6285</stp>
        <stp>Price</stp>
        <tr r="W995" s="57"/>
      </tp>
      <tp>
        <v>14.1</v>
        <stp/>
        <stp>6005</stp>
        <stp>Price</stp>
        <tr r="W1629" s="57"/>
      </tp>
      <tp>
        <v>14.9</v>
        <stp/>
        <stp>6015</stp>
        <stp>Price</stp>
        <tr r="W1630" s="57"/>
      </tp>
      <tp>
        <v>23.95</v>
        <stp/>
        <stp>6155</stp>
        <stp>Price</stp>
        <tr r="W1163" s="57"/>
      </tp>
      <tp>
        <v>24.8</v>
        <stp/>
        <stp>6165</stp>
        <stp>Price</stp>
        <tr r="W1166" s="57"/>
      </tp>
      <tp>
        <v>36.450000000000003</v>
        <stp/>
        <stp>6175</stp>
        <stp>Price</stp>
        <tr r="W1169" s="57"/>
      </tp>
      <tp>
        <v>42.4</v>
        <stp/>
        <stp>6115</stp>
        <stp>Price</stp>
        <tr r="W1155" s="57"/>
      </tp>
      <tp>
        <v>23.05</v>
        <stp/>
        <stp>6125</stp>
        <stp>Price</stp>
        <tr r="W894" s="57"/>
      </tp>
      <tp>
        <v>12.2</v>
        <stp/>
        <stp>6185</stp>
        <stp>Price</stp>
        <tr r="W1170" s="57"/>
      </tp>
      <tp>
        <v>49.85</v>
        <stp/>
        <stp>6195</stp>
        <stp>Price</stp>
        <tr r="W1667" s="57"/>
      </tp>
      <tp>
        <v>111</v>
        <stp/>
        <stp>6655</stp>
        <stp>Price</stp>
        <tr r="W1355" s="57"/>
      </tp>
      <tp>
        <v>60.1</v>
        <stp/>
        <stp>6605</stp>
        <stp>Price</stp>
        <tr r="W526" s="57"/>
      </tp>
      <tp>
        <v>44.3</v>
        <stp/>
        <stp>6615</stp>
        <stp>Price</stp>
        <tr r="W398" s="57"/>
        <tr r="W401" s="57"/>
      </tp>
      <tp>
        <v>27</v>
        <stp/>
        <stp>6625</stp>
        <stp>Price</stp>
        <tr r="W1352" s="57"/>
      </tp>
      <tp>
        <v>107</v>
        <stp/>
        <stp>6715</stp>
        <stp>Price</stp>
        <tr r="W1202" s="57"/>
      </tp>
      <tp>
        <v>84.3</v>
        <stp/>
        <stp>6735</stp>
        <stp>Price</stp>
        <tr r="W1766" s="57"/>
      </tp>
      <tp>
        <v>23</v>
        <stp/>
        <stp>6405</stp>
        <stp>Price</stp>
        <tr r="W908" s="57"/>
      </tp>
      <tp>
        <v>2720</v>
        <stp/>
        <stp>6415</stp>
        <stp>Price</stp>
        <tr r="W648" s="57"/>
      </tp>
      <tp>
        <v>22.25</v>
        <stp/>
        <stp>6425</stp>
        <stp>Price</stp>
        <tr r="W211" s="57"/>
      </tp>
      <tp>
        <v>146.5</v>
        <stp/>
        <stp>6435</stp>
        <stp>Price</stp>
        <tr r="W649" s="57"/>
      </tp>
      <tp>
        <v>116.5</v>
        <stp/>
        <stp>6485</stp>
        <stp>Price</stp>
        <tr r="W653" s="57"/>
      </tp>
      <tp>
        <v>91.3</v>
        <stp/>
        <stp>6505</stp>
        <stp>Price</stp>
        <tr r="W106" s="114"/>
        <tr r="W8" s="118"/>
        <tr r="W1688" s="57"/>
      </tp>
      <tp>
        <v>370.5</v>
        <stp/>
        <stp>6515</stp>
        <stp>Price</stp>
        <tr r="W657" s="57"/>
      </tp>
      <tp>
        <v>80.2</v>
        <stp/>
        <stp>6525</stp>
        <stp>Price</stp>
        <tr r="W658" s="57"/>
      </tp>
      <tp>
        <v>33.700000000000003</v>
        <stp/>
        <stp>6535</stp>
        <stp>Price</stp>
        <tr r="W389" s="57"/>
      </tp>
      <tp>
        <v>67</v>
        <stp/>
        <stp>6585</stp>
        <stp>Price</stp>
        <tr r="W49" s="28"/>
        <tr r="W1348" s="57"/>
      </tp>
      <tp>
        <v>102</v>
        <stp/>
        <stp>4205</stp>
        <stp>Price</stp>
        <tr r="W38" s="57"/>
      </tp>
      <tp>
        <v>31.6</v>
        <stp/>
        <stp>4305</stp>
        <stp>Price</stp>
        <tr r="W64" s="57"/>
      </tp>
      <tp>
        <v>23</v>
        <stp/>
        <stp>4155</stp>
        <stp>Price</stp>
        <tr r="W348" s="57"/>
      </tp>
      <tp>
        <v>75.3</v>
        <stp/>
        <stp>4175</stp>
        <stp>Price</stp>
        <tr r="W359" s="57"/>
      </tp>
      <tp>
        <v>67.900000000000006</v>
        <stp/>
        <stp>4105</stp>
        <stp>Price</stp>
        <tr r="W27" s="74"/>
        <tr r="W320" s="57"/>
      </tp>
      <tp>
        <v>28.6</v>
        <stp/>
        <stp>4745</stp>
        <stp>Price</stp>
        <tr r="W372" s="57"/>
      </tp>
      <tp>
        <v>189.5</v>
        <stp/>
        <stp>4755</stp>
        <stp>Price</stp>
        <tr r="W278" s="57"/>
      </tp>
      <tp>
        <v>39.6</v>
        <stp/>
        <stp>4735</stp>
        <stp>Price</stp>
        <tr r="W33" s="28"/>
        <tr r="W113" s="22"/>
        <tr r="W115" s="22"/>
        <tr r="W114" s="22"/>
        <tr r="W367" s="57"/>
      </tp>
      <tp>
        <v>29.15</v>
        <stp/>
        <stp>4545</stp>
        <stp>Price</stp>
        <tr r="W1125" s="57"/>
      </tp>
      <tp>
        <v>56</v>
        <stp/>
        <stp>4555</stp>
        <stp>Price</stp>
        <tr r="W195" s="57"/>
      </tp>
      <tp>
        <v>35.35</v>
        <stp/>
        <stp>4535</stp>
        <stp>Price</stp>
        <tr r="W188" s="57"/>
      </tp>
      <tp>
        <v>75.3</v>
        <stp/>
        <stp>4945</stp>
        <stp>Price</stp>
        <tr r="W602" s="57"/>
      </tp>
      <tp>
        <v>54.7</v>
        <stp/>
        <stp>4915</stp>
        <stp>Price</stp>
        <tr r="W1127" s="57"/>
      </tp>
      <tp>
        <v>58.8</v>
        <stp/>
        <stp>4935</stp>
        <stp>Price</stp>
        <tr r="W74" s="114"/>
        <tr r="W870" s="57"/>
      </tp>
      <tp>
        <v>39.25</v>
        <stp/>
        <stp>4995</stp>
        <stp>Price</stp>
        <tr r="W877" s="57"/>
      </tp>
      <tp>
        <v>63.6</v>
        <stp/>
        <stp>5245</stp>
        <stp>Price</stp>
        <tr r="W883" s="57"/>
      </tp>
      <tp>
        <v>14.35</v>
        <stp/>
        <stp>5205</stp>
        <stp>Price</stp>
        <tr r="W1739" s="57"/>
      </tp>
      <tp>
        <v>53.6</v>
        <stp/>
        <stp>5215</stp>
        <stp>Price</stp>
        <tr r="W93" s="114"/>
        <tr r="W765" s="57"/>
      </tp>
      <tp>
        <v>24.35</v>
        <stp/>
        <stp>5225</stp>
        <stp>Price</stp>
        <tr r="W1740" s="57"/>
      </tp>
      <tp>
        <v>80.599999999999994</v>
        <stp/>
        <stp>5285</stp>
        <stp>Price</stp>
        <tr r="W616" s="57"/>
      </tp>
      <tp>
        <v>5.2</v>
        <stp/>
        <stp>5345</stp>
        <stp>Price</stp>
        <tr r="W1142" s="57"/>
      </tp>
      <tp>
        <v>6.04</v>
        <stp/>
        <stp>5355</stp>
        <stp>Price</stp>
        <tr r="W1143" s="57"/>
      </tp>
      <tp>
        <v>17.3</v>
        <stp/>
        <stp>5315</stp>
        <stp>Price</stp>
        <tr r="W886" s="57"/>
      </tp>
      <tp>
        <v>44.45</v>
        <stp/>
        <stp>5015</stp>
        <stp>Price</stp>
        <tr r="W469" s="57"/>
      </tp>
      <tp t="s">
        <v>無資料</v>
        <stp/>
        <stp>5455</stp>
        <stp>Price</stp>
        <tr r="W1488" s="57"/>
      </tp>
      <tp>
        <v>15.15</v>
        <stp/>
        <stp>5465</stp>
        <stp>Price</stp>
        <tr r="W773" s="57"/>
      </tp>
      <tp>
        <v>13.5</v>
        <stp/>
        <stp>5475</stp>
        <stp>Price</stp>
        <tr r="W1150" s="57"/>
      </tp>
      <tp>
        <v>85</v>
        <stp/>
        <stp>5425</stp>
        <stp>Price</stp>
        <tr r="W623" s="57"/>
      </tp>
      <tp>
        <v>13.75</v>
        <stp/>
        <stp>5515</stp>
        <stp>Price</stp>
        <tr r="W1493" s="57"/>
      </tp>
      <tp>
        <v>24.5</v>
        <stp/>
        <stp>5525</stp>
        <stp>Price</stp>
        <tr r="W1499" s="57"/>
      </tp>
      <tp>
        <v>12</v>
        <stp/>
        <stp>5905</stp>
        <stp>Price</stp>
        <tr r="W1664" s="57"/>
      </tp>
      <tp>
        <v>160</v>
        <stp/>
        <stp>8255</stp>
        <stp>Price</stp>
        <tr r="W219" s="57"/>
      </tp>
      <tp>
        <v>33.450000000000003</v>
        <stp/>
        <stp>8215</stp>
        <stp>Price</stp>
        <tr r="W926" s="57"/>
      </tp>
      <tp>
        <v>17.649999999999999</v>
        <stp/>
        <stp>8085</stp>
        <stp>Price</stp>
        <tr r="W1771" s="57"/>
      </tp>
      <tp>
        <v>165</v>
        <stp/>
        <stp>8155</stp>
        <stp>Price</stp>
        <tr r="W1220" s="57"/>
      </tp>
      <tp>
        <v>10.45</v>
        <stp/>
        <stp>8105</stp>
        <stp>Price</stp>
        <tr r="W924" s="57"/>
      </tp>
      <tp>
        <v>28.45</v>
        <stp/>
        <stp>8455</stp>
        <stp>Price</stp>
        <tr r="W1777" s="57"/>
      </tp>
      <tp>
        <v>35.4</v>
        <stp/>
        <stp>8415</stp>
        <stp>Price</stp>
        <tr r="W474" s="57"/>
      </tp>
      <tp>
        <v>61</v>
        <stp/>
        <stp>8435</stp>
        <stp>Price</stp>
        <tr r="W1379" s="57"/>
      </tp>
      <tp>
        <v>23.65</v>
        <stp/>
        <stp>8905</stp>
        <stp>Price</stp>
        <tr r="W1397" s="57"/>
      </tp>
      <tp>
        <v>13.35</v>
        <stp/>
        <stp>8935</stp>
        <stp>Price</stp>
        <tr r="W1406" s="57"/>
      </tp>
      <tp>
        <v>70.2</v>
        <stp/>
        <stp>9945</stp>
        <stp>Price</stp>
        <tr r="W1437" s="57"/>
      </tp>
      <tp>
        <v>23.15</v>
        <stp/>
        <stp>9955</stp>
        <stp>Price</stp>
        <tr r="W1438" s="57"/>
      </tp>
      <tp>
        <v>25.65</v>
        <stp/>
        <stp>9905</stp>
        <stp>Price</stp>
        <tr r="W1414" s="57"/>
      </tp>
      <tp>
        <v>38.85</v>
        <stp/>
        <stp>9925</stp>
        <stp>Price</stp>
        <tr r="W1423" s="57"/>
      </tp>
      <tp>
        <v>17.5</v>
        <stp/>
        <stp>9935</stp>
        <stp>Price</stp>
        <tr r="W1430" s="57"/>
      </tp>
      <tp>
        <v>20905.939999999999</v>
        <stp/>
        <stp>$TWIT</stp>
        <stp>Price</stp>
        <tr r="T2" s="85"/>
      </tp>
      <tp>
        <v>2395.16</v>
        <stp/>
        <stp>$TWT</stp>
        <stp>PredictVolume</stp>
        <tr r="AN2" s="28"/>
      </tp>
      <tp>
        <v>15901.04</v>
        <stp/>
        <stp>$TWT</stp>
        <stp>Price</stp>
        <tr r="T9" s="85"/>
      </tp>
      <tp>
        <v>-0.59715935886521343</v>
        <stp/>
        <stp>$TWT17</stp>
        <stp>ChangePercent</stp>
        <tr r="AP5" s="28"/>
      </tp>
      <tp>
        <v>0.91369169744221035</v>
        <stp/>
        <stp>$TWT13</stp>
        <stp>ChangePercent</stp>
        <tr r="AP6" s="28"/>
      </tp>
      <tp>
        <v>0.33836543466944302</v>
        <stp/>
        <stp>$TWO13</stp>
        <stp>ChangePercent</stp>
        <tr r="AP8" s="28"/>
      </tp>
      <tp>
        <v>0.2574002574002574</v>
        <stp/>
        <stp>$TWT22</stp>
        <stp>ChangePercent</stp>
        <tr r="AP7" s="28"/>
      </tp>
      <tp>
        <v>0.3393996137866464</v>
        <stp/>
        <stp>$TWO22</stp>
        <stp>ChangePercent</stp>
        <tr r="AP9" s="28"/>
      </tp>
      <tp>
        <v>192.81</v>
        <stp/>
        <stp>$TWO</stp>
        <stp>Price</stp>
        <tr r="T10" s="85"/>
      </tp>
      <tp>
        <v>597.91999999999996</v>
        <stp/>
        <stp>$TWO</stp>
        <stp>PredictVolume</stp>
        <tr r="AN3" s="28"/>
      </tp>
      <tp>
        <v>133.66999999999999</v>
        <stp/>
        <stp>$TWT17</stp>
        <stp>PredictVolume</stp>
        <tr r="AN5" s="28"/>
      </tp>
      <tp>
        <v>160.56</v>
        <stp/>
        <stp>$TWOIGI</stp>
        <stp>Price</stp>
        <tr r="T7" s="85"/>
      </tp>
      <tp>
        <v>91.32</v>
        <stp/>
        <stp>$TWO28</stp>
        <stp>Price</stp>
        <tr r="N7" s="85"/>
      </tp>
      <tp>
        <v>164.92</v>
        <stp/>
        <stp>$TWT28</stp>
        <stp>Price</stp>
        <tr r="G7" s="85"/>
      </tp>
      <tp>
        <v>53.76</v>
        <stp/>
        <stp>$TWT08</stp>
        <stp>Price</stp>
        <tr r="G18" s="85"/>
      </tp>
      <tp>
        <v>278.93</v>
        <stp/>
        <stp>$TWT18</stp>
        <stp>Price</stp>
        <tr r="G26" s="85"/>
      </tp>
      <tp>
        <v>83.59</v>
        <stp/>
        <stp>$TWO29</stp>
        <stp>Price</stp>
        <tr r="N8" s="85"/>
      </tp>
      <tp>
        <v>193.74</v>
        <stp/>
        <stp>$TWT29</stp>
        <stp>Price</stp>
        <tr r="G8" s="85"/>
      </tp>
      <tp>
        <v>323.77999999999997</v>
        <stp/>
        <stp>$TWT09</stp>
        <stp>Price</stp>
        <tr r="G19" s="85"/>
      </tp>
      <tp>
        <v>2255.6999999999998</v>
        <stp/>
        <stp>$TWT</stp>
        <stp>PriorVolume</stp>
        <tr r="AO2" s="28"/>
      </tp>
      <tp>
        <v>600.52</v>
        <stp/>
        <stp>$TWO</stp>
        <stp>PriorVolume</stp>
        <tr r="AO3" s="28"/>
      </tp>
      <tp>
        <v>448.28</v>
        <stp/>
        <stp>$TWO13</stp>
        <stp>PredictVolume</stp>
        <tr r="AN8" s="28"/>
      </tp>
      <tp>
        <v>1291.8</v>
        <stp/>
        <stp>$TWT13</stp>
        <stp>PredictVolume</stp>
        <tr r="AN6" s="28"/>
      </tp>
      <tp>
        <v>60.94</v>
        <stp/>
        <stp>$TWO22</stp>
        <stp>PredictVolume</stp>
        <tr r="AN9" s="28"/>
      </tp>
      <tp>
        <v>24.87</v>
        <stp/>
        <stp>$TWT22</stp>
        <stp>PredictVolume</stp>
        <tr r="AN7" s="28"/>
      </tp>
      <tp>
        <v>0</v>
        <stp/>
        <stp>$TWO</stp>
        <stp>VolumeStrength</stp>
        <tr r="AM3" s="28"/>
      </tp>
      <tp>
        <v>6</v>
        <stp/>
        <stp>$TWT</stp>
        <stp>VolumeStrength</stp>
        <tr r="AM2" s="28"/>
      </tp>
      <tp>
        <v>205086</v>
        <stp/>
        <stp>TXF1</stp>
        <stp>PriorVolume</stp>
        <tr r="AO1" s="28"/>
      </tp>
      <tp>
        <v>171.47</v>
        <stp/>
        <stp>$TWO22</stp>
        <stp>Price</stp>
        <tr r="N20" s="85"/>
      </tp>
      <tp>
        <v>104.56</v>
        <stp/>
        <stp>$TWO32</stp>
        <stp>Price</stp>
        <tr r="N18" s="85"/>
      </tp>
      <tp>
        <v>62.32</v>
        <stp/>
        <stp>$TWT22</stp>
        <stp>Price</stp>
        <tr r="G29" s="85"/>
      </tp>
      <tp>
        <v>1792.6</v>
        <stp/>
        <stp>$TWT02</stp>
        <stp>Price</stp>
        <tr r="G13" s="85"/>
      </tp>
      <tp>
        <v>302.67</v>
        <stp/>
        <stp>$TWT12</stp>
        <stp>Price</stp>
        <tr r="G22" s="85"/>
      </tp>
      <tp>
        <v>0.27563969211566464</v>
        <stp/>
        <stp>$TWO</stp>
        <stp>ChangePercent</stp>
        <tr r="AP3" s="28"/>
      </tp>
      <tp>
        <v>119.23</v>
        <stp/>
        <stp>$TWT23</stp>
        <stp>Price</stp>
        <tr r="G30" s="85"/>
      </tp>
      <tp>
        <v>270.49</v>
        <stp/>
        <stp>$TWT03</stp>
        <stp>Price</stp>
        <tr r="G14" s="85"/>
      </tp>
      <tp>
        <v>442.71</v>
        <stp/>
        <stp>$TWO13</stp>
        <stp>PriorVolume</stp>
        <tr r="AO8" s="28"/>
      </tp>
      <tp>
        <v>59.56</v>
        <stp/>
        <stp>$TWO22</stp>
        <stp>PriorVolume</stp>
        <tr r="AO9" s="28"/>
      </tp>
      <tp>
        <v>118.06</v>
        <stp/>
        <stp>$TWO20</stp>
        <stp>Price</stp>
        <tr r="N19" s="85"/>
      </tp>
      <tp>
        <v>112.31</v>
        <stp/>
        <stp>$TWO30</stp>
        <stp>Price</stp>
        <tr r="N9" s="85"/>
      </tp>
      <tp>
        <v>157.28</v>
        <stp/>
        <stp>$TWO10</stp>
        <stp>Price</stp>
        <tr r="N13" s="85"/>
      </tp>
      <tp>
        <v>351.9</v>
        <stp/>
        <stp>$TWT20</stp>
        <stp>Price</stp>
        <tr r="G27" s="85"/>
      </tp>
      <tp>
        <v>125.63</v>
        <stp/>
        <stp>$TWT30</stp>
        <stp>Price</stp>
        <tr r="G9" s="85"/>
      </tp>
      <tp>
        <v>157.26</v>
        <stp/>
        <stp>$TWT10</stp>
        <stp>Price</stp>
        <tr r="G20" s="85"/>
      </tp>
      <tp>
        <v>132.38999999999999</v>
        <stp/>
        <stp>$TWO21</stp>
        <stp>Price</stp>
        <tr r="N17" s="85"/>
      </tp>
      <tp>
        <v>140.58000000000001</v>
        <stp/>
        <stp>$TWO31</stp>
        <stp>Price</stp>
        <tr r="N10" s="85"/>
      </tp>
      <tp>
        <v>144.19999999999999</v>
        <stp/>
        <stp>$TWT21</stp>
        <stp>Price</stp>
        <tr r="G28" s="85"/>
      </tp>
      <tp>
        <v>96.48</v>
        <stp/>
        <stp>$TWT31</stp>
        <stp>Price</stp>
        <tr r="G10" s="85"/>
      </tp>
      <tp>
        <v>169.18</v>
        <stp/>
        <stp>$TWT01</stp>
        <stp>Price</stp>
        <tr r="G12" s="85"/>
      </tp>
      <tp>
        <v>246.42</v>
        <stp/>
        <stp>$TWT11</stp>
        <stp>Price</stp>
        <tr r="G21" s="85"/>
      </tp>
      <tp>
        <v>51.09</v>
        <stp/>
        <stp>$TWO26</stp>
        <stp>Price</stp>
        <tr r="N5" s="85"/>
      </tp>
      <tp>
        <v>63.83</v>
        <stp/>
        <stp>$TWO16</stp>
        <stp>Price</stp>
        <tr r="N16" s="85"/>
      </tp>
      <tp>
        <v>32.6</v>
        <stp/>
        <stp>$TWT26</stp>
        <stp>Price</stp>
        <tr r="G5" s="85"/>
      </tp>
      <tp>
        <v>96.04</v>
        <stp/>
        <stp>$TWT06</stp>
        <stp>Price</stp>
        <tr r="G17" s="85"/>
      </tp>
      <tp>
        <v>90.99</v>
        <stp/>
        <stp>$TWT16</stp>
        <stp>Price</stp>
        <tr r="G25" s="85"/>
      </tp>
      <tp>
        <v>164.42</v>
        <stp/>
        <stp>$TWOIHD</stp>
        <stp>Price</stp>
        <tr r="T6" s="85"/>
      </tp>
      <tp>
        <v>75.510000000000005</v>
        <stp/>
        <stp>$TWO27</stp>
        <stp>Price</stp>
        <tr r="N6" s="85"/>
      </tp>
      <tp>
        <v>135.66</v>
        <stp/>
        <stp>$TWT27</stp>
        <stp>Price</stp>
        <tr r="G6" s="85"/>
      </tp>
      <tp>
        <v>108.34</v>
        <stp/>
        <stp>$TWO24</stp>
        <stp>Price</stp>
        <tr r="N3" s="85"/>
      </tp>
      <tp>
        <v>105.32</v>
        <stp/>
        <stp>$TWO04</stp>
        <stp>Price</stp>
        <tr r="N11" s="85"/>
      </tp>
      <tp>
        <v>162.36000000000001</v>
        <stp/>
        <stp>$TWO14</stp>
        <stp>Price</stp>
        <tr r="N14" s="85"/>
      </tp>
      <tp>
        <v>360.36</v>
        <stp/>
        <stp>$TWT24</stp>
        <stp>Price</stp>
        <tr r="G3" s="85"/>
      </tp>
      <tp>
        <v>573.64</v>
        <stp/>
        <stp>$TWT04</stp>
        <stp>Price</stp>
        <tr r="G15" s="85"/>
      </tp>
      <tp>
        <v>360.51</v>
        <stp/>
        <stp>$TWT14</stp>
        <stp>Price</stp>
        <tr r="G23" s="85"/>
      </tp>
      <tp>
        <v>77.78</v>
        <stp/>
        <stp>$TWO25</stp>
        <stp>Price</stp>
        <tr r="N4" s="85"/>
      </tp>
      <tp>
        <v>146.57</v>
        <stp/>
        <stp>$TWO05</stp>
        <stp>Price</stp>
        <tr r="N12" s="85"/>
      </tp>
      <tp>
        <v>229.39</v>
        <stp/>
        <stp>$TWO15</stp>
        <stp>Price</stp>
        <tr r="N15" s="85"/>
      </tp>
      <tp>
        <v>129.5</v>
        <stp/>
        <stp>$TWT25</stp>
        <stp>Price</stp>
        <tr r="G4" s="85"/>
      </tp>
      <tp>
        <v>219.72</v>
        <stp/>
        <stp>$TWT05</stp>
        <stp>Price</stp>
        <tr r="G16" s="85"/>
      </tp>
      <tp>
        <v>258.02999999999997</v>
        <stp/>
        <stp>$TWT15</stp>
        <stp>Price</stp>
        <tr r="G24" s="85"/>
      </tp>
      <tp>
        <v>848.56</v>
        <stp/>
        <stp>$TWTNB</stp>
        <stp>PriorVolume</stp>
        <tr r="AO4" s="28"/>
      </tp>
      <tp>
        <v>1249.48</v>
        <stp/>
        <stp>$TWT13</stp>
        <stp>PriorVolume</stp>
        <tr r="AO6" s="28"/>
      </tp>
      <tp>
        <v>152.41999999999999</v>
        <stp/>
        <stp>$TWT17</stp>
        <stp>PriorVolume</stp>
        <tr r="AO5" s="28"/>
      </tp>
      <tp>
        <v>38.020000000000003</v>
        <stp/>
        <stp>$TWT22</stp>
        <stp>PriorVolume</stp>
        <tr r="AO7" s="28"/>
      </tp>
      <tp>
        <v>0.43265325715267416</v>
        <stp/>
        <stp>$TWT</stp>
        <stp>ChangePercent</stp>
        <tr r="AP2" s="28"/>
      </tp>
      <tp>
        <v>-26</v>
        <stp/>
        <stp>8936</stp>
        <stp>VolumeStrength</stp>
        <tr r="AO29" s="28"/>
      </tp>
      <tp>
        <v>27</v>
        <stp/>
        <stp>8299</stp>
        <stp>VolumeStrength</stp>
        <tr r="AL39" s="118"/>
      </tp>
      <tp>
        <v>15</v>
        <stp/>
        <stp>8069</stp>
        <stp>VolumeStrength</stp>
        <tr r="AL32" s="118"/>
      </tp>
      <tp>
        <v>-56</v>
        <stp/>
        <stp>4938</stp>
        <stp>VolumeStrength</stp>
        <tr r="AO20" s="28"/>
      </tp>
      <tp>
        <v>-38</v>
        <stp/>
        <stp>4958</stp>
        <stp>VolumeStrength</stp>
        <tr r="AO16" s="28"/>
      </tp>
      <tp>
        <v>-1</v>
        <stp/>
        <stp>4128</stp>
        <stp>VolumeStrength</stp>
        <tr r="AO15" s="28"/>
      </tp>
      <tp>
        <v>-38</v>
        <stp/>
        <stp>4163</stp>
        <stp>VolumeStrength</stp>
        <tr r="AO21" s="28"/>
      </tp>
      <tp>
        <v>2</v>
        <stp/>
        <stp>4735</stp>
        <stp>VolumeStrength</stp>
        <tr r="AO33" s="28"/>
      </tp>
      <tp>
        <v>-37</v>
        <stp/>
        <stp>4743</stp>
        <stp>VolumeStrength</stp>
        <tr r="AL40" s="118"/>
      </tp>
      <tp>
        <v>223</v>
        <stp/>
        <stp>4432</stp>
        <stp>VolumeStrength</stp>
        <tr r="AO26" s="28"/>
      </tp>
      <tp>
        <v>-35</v>
        <stp/>
        <stp>5871</stp>
        <stp>VolumeStrength</stp>
        <tr r="AL21" s="118"/>
      </tp>
      <tp>
        <v>-26</v>
        <stp/>
        <stp>5880</stp>
        <stp>VolumeStrength</stp>
        <tr r="AL17" s="118"/>
      </tp>
      <tp>
        <v>-6</v>
        <stp/>
        <stp>5223</stp>
        <stp>VolumeStrength</stp>
        <tr r="AO23" s="28"/>
      </tp>
      <tp>
        <v>20</v>
        <stp/>
        <stp>5274</stp>
        <stp>VolumeStrength</stp>
        <tr r="AL35" s="118"/>
      </tp>
      <tp>
        <v>-14</v>
        <stp/>
        <stp>5347</stp>
        <stp>VolumeStrength</stp>
        <tr r="AL33" s="118"/>
      </tp>
      <tp>
        <v>39</v>
        <stp/>
        <stp>5471</stp>
        <stp>VolumeStrength</stp>
        <tr r="AO27" s="28"/>
      </tp>
      <tp>
        <v>-24</v>
        <stp/>
        <stp>5483</stp>
        <stp>VolumeStrength</stp>
        <tr r="AL37" s="118"/>
      </tp>
      <tp>
        <v>-16</v>
        <stp/>
        <stp>6179</stp>
        <stp>VolumeStrength</stp>
        <tr r="AO19" s="28"/>
      </tp>
      <tp>
        <v>24</v>
        <stp/>
        <stp>6446</stp>
        <stp>VolumeStrength</stp>
        <tr r="AL38" s="118"/>
      </tp>
      <tp>
        <v>-20</v>
        <stp/>
        <stp>6488</stp>
        <stp>VolumeStrength</stp>
        <tr r="AL31" s="118"/>
      </tp>
      <tp>
        <v>-40</v>
        <stp/>
        <stp>6505</stp>
        <stp>VolumeStrength</stp>
        <tr r="AL8" s="118"/>
      </tp>
      <tp>
        <v>-63</v>
        <stp/>
        <stp>6523</stp>
        <stp>VolumeStrength</stp>
        <tr r="AO14" s="28"/>
      </tp>
      <tp>
        <v>-36</v>
        <stp/>
        <stp>6558</stp>
        <stp>VolumeStrength</stp>
        <tr r="AO34" s="28"/>
      </tp>
      <tp>
        <v>61</v>
        <stp/>
        <stp>1216</stp>
        <stp>VolumeStrength</stp>
        <tr r="AL28" s="118"/>
      </tp>
      <tp>
        <v>-18</v>
        <stp/>
        <stp>1303</stp>
        <stp>VolumeStrength</stp>
        <tr r="AL10" s="118"/>
      </tp>
      <tp>
        <v>-63</v>
        <stp/>
        <stp>1301</stp>
        <stp>VolumeStrength</stp>
        <tr r="AL9" s="118"/>
      </tp>
      <tp>
        <v>-50</v>
        <stp/>
        <stp>1309</stp>
        <stp>VolumeStrength</stp>
        <tr r="AO31" s="28"/>
      </tp>
      <tp>
        <v>-33</v>
        <stp/>
        <stp>1326</stp>
        <stp>VolumeStrength</stp>
        <tr r="AL11" s="118"/>
      </tp>
      <tp>
        <v>-26</v>
        <stp/>
        <stp>1325</stp>
        <stp>VolumeStrength</stp>
        <tr r="AO13" s="28"/>
      </tp>
      <tp>
        <v>-28</v>
        <stp/>
        <stp>1476</stp>
        <stp>VolumeStrength</stp>
        <tr r="AO25" s="28"/>
      </tp>
      <tp>
        <v>-78</v>
        <stp/>
        <stp>1598</stp>
        <stp>VolumeStrength</stp>
        <tr r="AO35" s="28"/>
      </tp>
      <tp>
        <v>8</v>
        <stp/>
        <stp>2892</stp>
        <stp>VolumeStrength</stp>
        <tr r="AL18" s="118"/>
      </tp>
      <tp>
        <v>-33</v>
        <stp/>
        <stp>2891</stp>
        <stp>VolumeStrength</stp>
        <tr r="AL14" s="118"/>
      </tp>
      <tp>
        <v>-24</v>
        <stp/>
        <stp>2882</stp>
        <stp>VolumeStrength</stp>
        <tr r="AL13" s="118"/>
      </tp>
      <tp>
        <v>-25</v>
        <stp/>
        <stp>2880</stp>
        <stp>VolumeStrength</stp>
        <tr r="AL20" s="118"/>
      </tp>
      <tp>
        <v>5</v>
        <stp/>
        <stp>2881</stp>
        <stp>VolumeStrength</stp>
        <tr r="AL12" s="118"/>
      </tp>
      <tp>
        <v>-16</v>
        <stp/>
        <stp>2886</stp>
        <stp>VolumeStrength</stp>
        <tr r="AL15" s="118"/>
      </tp>
      <tp>
        <v>-41</v>
        <stp/>
        <stp>2884</stp>
        <stp>VolumeStrength</stp>
        <tr r="AL16" s="118"/>
      </tp>
      <tp>
        <v>3</v>
        <stp/>
        <stp>2885</stp>
        <stp>VolumeStrength</stp>
        <tr r="AL19" s="118"/>
      </tp>
      <tp>
        <v>-17</v>
        <stp/>
        <stp>2207</stp>
        <stp>VolumeStrength</stp>
        <tr r="AL29" s="118"/>
      </tp>
      <tp>
        <v>14</v>
        <stp/>
        <stp>2317</stp>
        <stp>VolumeStrength</stp>
        <tr r="AL2" s="118"/>
      </tp>
      <tp>
        <v>52</v>
        <stp/>
        <stp>2303</stp>
        <stp>VolumeStrength</stp>
        <tr r="AL4" s="118"/>
      </tp>
      <tp>
        <v>-41</v>
        <stp/>
        <stp>2308</stp>
        <stp>VolumeStrength</stp>
        <tr r="AL5" s="118"/>
      </tp>
      <tp>
        <v>-27</v>
        <stp/>
        <stp>2330</stp>
        <stp>VolumeStrength</stp>
        <tr r="AL1" s="118"/>
      </tp>
      <tp>
        <v>56</v>
        <stp/>
        <stp>2376</stp>
        <stp>VolumeStrength</stp>
        <tr r="AO133" s="22"/>
      </tp>
      <tp>
        <v>191</v>
        <stp/>
        <stp>2382</stp>
        <stp>VolumeStrength</stp>
        <tr r="AL7" s="118"/>
      </tp>
      <tp>
        <v>-3</v>
        <stp/>
        <stp>2387</stp>
        <stp>VolumeStrength</stp>
        <tr r="AO32" s="28"/>
      </tp>
      <tp>
        <v>-10</v>
        <stp/>
        <stp>2002</stp>
        <stp>VolumeStrength</stp>
        <tr r="AL27" s="118"/>
      </tp>
      <tp>
        <v>46</v>
        <stp/>
        <stp>2615</stp>
        <stp>VolumeStrength</stp>
        <tr r="AL23" s="118"/>
      </tp>
      <tp>
        <v>96</v>
        <stp/>
        <stp>2603</stp>
        <stp>VolumeStrength</stp>
        <tr r="AL22" s="118"/>
      </tp>
      <tp>
        <v>163</v>
        <stp/>
        <stp>2609</stp>
        <stp>VolumeStrength</stp>
        <tr r="AL24" s="118"/>
      </tp>
      <tp>
        <v>1</v>
        <stp/>
        <stp>2636</stp>
        <stp>VolumeStrength</stp>
        <tr r="AO18" s="28"/>
      </tp>
      <tp>
        <v>-7</v>
        <stp/>
        <stp>2412</stp>
        <stp>VolumeStrength</stp>
        <tr r="AL25" s="118"/>
      </tp>
      <tp>
        <v>8</v>
        <stp/>
        <stp>2454</stp>
        <stp>VolumeStrength</stp>
        <tr r="AL3" s="118"/>
      </tp>
      <tp>
        <v>48</v>
        <stp/>
        <stp>2441</stp>
        <stp>VolumeStrength</stp>
        <tr r="AO17" s="28"/>
      </tp>
      <tp>
        <v>32</v>
        <stp/>
        <stp>3374</stp>
        <stp>VolumeStrength</stp>
        <tr r="AO24" s="28"/>
      </tp>
      <tp>
        <v>-10</v>
        <stp/>
        <stp>3015</stp>
        <stp>VolumeStrength</stp>
        <tr r="AO22" s="28"/>
      </tp>
      <tp>
        <v>27</v>
        <stp/>
        <stp>3037</stp>
        <stp>VolumeStrength</stp>
        <tr r="AL30" s="118"/>
      </tp>
      <tp>
        <v>-25</v>
        <stp/>
        <stp>3045</stp>
        <stp>VolumeStrength</stp>
        <tr r="AL26" s="118"/>
      </tp>
      <tp>
        <v>-16</v>
        <stp/>
        <stp>3105</stp>
        <stp>VolumeStrength</stp>
        <tr r="AL36" s="118"/>
      </tp>
      <tp>
        <v>0</v>
        <stp/>
        <stp>3162</stp>
        <stp>VolumeStrength</stp>
        <tr r="AO28" s="28"/>
      </tp>
      <tp>
        <v>-6</v>
        <stp/>
        <stp>3713</stp>
        <stp>VolumeStrength</stp>
        <tr r="AO30" s="28"/>
      </tp>
      <tp>
        <v>-29</v>
        <stp/>
        <stp>3711</stp>
        <stp>VolumeStrength</stp>
        <tr r="AL6" s="118"/>
      </tp>
      <tp>
        <v>-7</v>
        <stp/>
        <stp>3529</stp>
        <stp>VolumeStrength</stp>
        <tr r="AL34" s="11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4498;609"/>
  <ax:ocxPr ax:name="SpecialEffect" ax:value="0"/>
  <ax:ocxPr ax:name="FontName" ax:value="新細明體"/>
  <ax:ocxPr ax:name="FontEffects" ax:value="1073741825"/>
  <ax:ocxPr ax:name="FontHeight" ax:value="240"/>
  <ax:ocxPr ax:name="FontCharSet" ax:value="136"/>
  <ax:ocxPr ax:name="FontPitchAndFamily" ax:value="34"/>
  <ax:ocxPr ax:name="ParagraphAlign" ax:value="3"/>
  <ax:ocxPr ax:name="FontWeight" ax:value="700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mailto:secretshop@163.com" TargetMode="External"/><Relationship Id="rId2" Type="http://schemas.openxmlformats.org/officeDocument/2006/relationships/hyperlink" Target="mailto:judyyuezhu@hotmail.com" TargetMode="External"/><Relationship Id="rId1" Type="http://schemas.openxmlformats.org/officeDocument/2006/relationships/hyperlink" Target="mailto:yuezhujudy@hotmail.com" TargetMode="External"/><Relationship Id="rId4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工作表1"/>
  <dimension ref="A1:AR5933"/>
  <sheetViews>
    <sheetView workbookViewId="0">
      <pane ySplit="1" topLeftCell="A2" activePane="bottomLeft" state="frozen"/>
      <selection pane="bottomLeft" activeCell="G35" sqref="G35"/>
    </sheetView>
  </sheetViews>
  <sheetFormatPr defaultColWidth="9.140625" defaultRowHeight="16.5"/>
  <cols>
    <col min="1" max="1" width="7.7109375" style="343" customWidth="1"/>
    <col min="2" max="5" width="5.7109375" style="91" customWidth="1"/>
    <col min="6" max="6" width="8.7109375" style="208" customWidth="1"/>
    <col min="7" max="7" width="6.7109375" style="19" customWidth="1"/>
    <col min="8" max="8" width="5.7109375" style="449" customWidth="1"/>
    <col min="9" max="9" width="8.7109375" style="9" customWidth="1"/>
    <col min="10" max="10" width="6.7109375" style="1" customWidth="1"/>
    <col min="11" max="11" width="2.7109375" style="355" customWidth="1"/>
    <col min="12" max="12" width="4.7109375" style="406" customWidth="1"/>
    <col min="13" max="13" width="3.7109375" style="411" customWidth="1"/>
    <col min="14" max="14" width="4.7109375" style="410" customWidth="1"/>
    <col min="15" max="15" width="6.140625" style="412" customWidth="1"/>
    <col min="16" max="16" width="6.7109375" style="79" customWidth="1"/>
    <col min="17" max="17" width="6.7109375" style="414" customWidth="1"/>
    <col min="18" max="18" width="5.7109375" style="104" customWidth="1"/>
    <col min="19" max="19" width="7.7109375" style="419" customWidth="1"/>
    <col min="20" max="20" width="7.7109375" style="384" customWidth="1"/>
    <col min="21" max="21" width="7.7109375" style="425" customWidth="1"/>
    <col min="22" max="22" width="7.7109375" style="94" customWidth="1"/>
    <col min="23" max="23" width="10.7109375" style="422" customWidth="1"/>
    <col min="24" max="24" width="10.7109375" style="207" customWidth="1"/>
    <col min="25" max="25" width="9.7109375" style="430" customWidth="1"/>
    <col min="26" max="26" width="8.7109375" style="432" customWidth="1"/>
    <col min="27" max="27" width="6.7109375" style="340" customWidth="1"/>
    <col min="28" max="28" width="5.7109375" style="389" customWidth="1"/>
    <col min="29" max="29" width="8.7109375" style="11" customWidth="1"/>
    <col min="30" max="30" width="11.7109375" style="84" customWidth="1"/>
    <col min="31" max="31" width="11.7109375" style="83" customWidth="1"/>
    <col min="32" max="32" width="3.7109375" style="382" customWidth="1"/>
    <col min="33" max="33" width="8.7109375" style="385" customWidth="1"/>
    <col min="34" max="34" width="7.7109375" style="440" customWidth="1"/>
    <col min="35" max="35" width="7.7109375" style="257" customWidth="1"/>
    <col min="36" max="36" width="7.7109375" style="44" customWidth="1"/>
    <col min="37" max="37" width="2.7109375" style="50" customWidth="1"/>
    <col min="39" max="39" width="5.7109375" style="235" customWidth="1"/>
    <col min="40" max="41" width="9.140625" style="245"/>
    <col min="43" max="43" width="9.140625" style="245"/>
    <col min="44" max="44" width="6.7109375" style="466" customWidth="1"/>
    <col min="45" max="16384" width="9.140625" style="245"/>
  </cols>
  <sheetData>
    <row r="1" spans="1:44" ht="18.600000000000001" customHeight="1">
      <c r="O1" s="400"/>
      <c r="P1" s="467"/>
      <c r="Q1" s="467"/>
      <c r="R1" s="467"/>
      <c r="S1" s="467"/>
      <c r="AB1" s="132" t="s">
        <v>6769</v>
      </c>
    </row>
    <row r="2" spans="1:44" ht="16.149999999999999" customHeight="1">
      <c r="A2" s="342" t="s">
        <v>1672</v>
      </c>
      <c r="B2" s="90" t="s">
        <v>1571</v>
      </c>
      <c r="C2" s="90" t="s">
        <v>1572</v>
      </c>
      <c r="D2" s="90" t="s">
        <v>1573</v>
      </c>
      <c r="E2" s="90" t="s">
        <v>1574</v>
      </c>
      <c r="F2" s="344" t="s">
        <v>1059</v>
      </c>
      <c r="G2" s="26" t="s">
        <v>3441</v>
      </c>
      <c r="H2" s="344" t="s">
        <v>320</v>
      </c>
      <c r="I2" s="8" t="s">
        <v>6214</v>
      </c>
      <c r="J2" s="8" t="s">
        <v>6211</v>
      </c>
      <c r="K2" s="5" t="s">
        <v>6212</v>
      </c>
      <c r="L2" s="79" t="s">
        <v>6197</v>
      </c>
      <c r="M2" s="403" t="s">
        <v>6198</v>
      </c>
      <c r="N2" s="240" t="s">
        <v>6199</v>
      </c>
      <c r="O2" s="412" t="s">
        <v>6275</v>
      </c>
      <c r="P2" s="344" t="s">
        <v>6274</v>
      </c>
      <c r="Q2" s="414" t="s">
        <v>6273</v>
      </c>
      <c r="R2" s="104" t="s">
        <v>6276</v>
      </c>
      <c r="S2" s="418" t="s">
        <v>4715</v>
      </c>
      <c r="T2" s="29" t="s">
        <v>66</v>
      </c>
      <c r="U2" s="424" t="s">
        <v>4728</v>
      </c>
      <c r="V2" s="387" t="s">
        <v>3272</v>
      </c>
      <c r="W2" s="388" t="s">
        <v>2</v>
      </c>
      <c r="X2" s="427" t="s">
        <v>1398</v>
      </c>
      <c r="Y2" s="14" t="s">
        <v>5</v>
      </c>
      <c r="Z2" s="21" t="s">
        <v>3</v>
      </c>
      <c r="AA2" s="403" t="s">
        <v>6166</v>
      </c>
      <c r="AB2" s="436" t="s">
        <v>6404</v>
      </c>
      <c r="AC2" s="8" t="s">
        <v>6214</v>
      </c>
      <c r="AD2" s="55" t="s">
        <v>1399</v>
      </c>
      <c r="AE2" s="72" t="s">
        <v>1156</v>
      </c>
      <c r="AF2" s="10" t="s">
        <v>1157</v>
      </c>
      <c r="AG2" s="438" t="s">
        <v>4739</v>
      </c>
      <c r="AH2" s="441" t="s">
        <v>6696</v>
      </c>
      <c r="AI2" s="50" t="s">
        <v>3360</v>
      </c>
      <c r="AJ2" s="22" t="s">
        <v>6695</v>
      </c>
      <c r="AM2" s="234"/>
    </row>
    <row r="3" spans="1:44">
      <c r="A3" s="343">
        <v>636</v>
      </c>
      <c r="B3" s="79">
        <v>10</v>
      </c>
      <c r="C3" s="79">
        <v>3</v>
      </c>
      <c r="D3" s="79">
        <v>-5</v>
      </c>
      <c r="E3" s="79">
        <v>3</v>
      </c>
      <c r="F3" s="6">
        <v>18.77</v>
      </c>
      <c r="G3" s="80">
        <v>1301</v>
      </c>
      <c r="H3" s="96" t="s">
        <v>6714</v>
      </c>
      <c r="I3" s="22" t="s">
        <v>4800</v>
      </c>
      <c r="J3" s="102" t="s">
        <v>6415</v>
      </c>
      <c r="K3" s="5" t="s">
        <v>6761</v>
      </c>
      <c r="L3" s="79">
        <v>1</v>
      </c>
      <c r="M3" s="403">
        <v>1</v>
      </c>
      <c r="N3" s="240">
        <f t="shared" ref="N3" si="0">L3-M3</f>
        <v>0</v>
      </c>
      <c r="O3" s="359">
        <v>1422</v>
      </c>
      <c r="P3" s="79">
        <v>252</v>
      </c>
      <c r="Q3" s="342">
        <v>135</v>
      </c>
      <c r="R3" s="81">
        <v>159</v>
      </c>
      <c r="S3" s="324">
        <v>497</v>
      </c>
      <c r="T3" s="186">
        <v>8.1999999999999993</v>
      </c>
      <c r="U3" s="426">
        <f t="shared" ref="U3" si="1">T3/W3</f>
        <v>7.9999999999999988E-2</v>
      </c>
      <c r="V3" s="94">
        <v>11.46</v>
      </c>
      <c r="W3" s="39">
        <f>INDEX('TSE OTC全部'!$W:$W,MATCH($G3,'TSE OTC全部'!$G:$G,0))</f>
        <v>102.5</v>
      </c>
      <c r="X3" s="207">
        <v>102.5</v>
      </c>
      <c r="Y3" s="430">
        <f t="shared" ref="Y3" si="2">W3-X3</f>
        <v>0</v>
      </c>
      <c r="Z3" s="433">
        <f t="shared" ref="Z3" si="3">Y3/X3</f>
        <v>0</v>
      </c>
      <c r="AA3" s="340">
        <v>-15.7</v>
      </c>
      <c r="AB3" s="389">
        <v>33.17</v>
      </c>
      <c r="AC3" s="22" t="s">
        <v>4800</v>
      </c>
      <c r="AD3" s="84">
        <v>44693</v>
      </c>
      <c r="AF3" s="33">
        <f t="shared" ref="AF3" si="4">AE3-AD3</f>
        <v>-44693</v>
      </c>
      <c r="AG3" s="402" t="s">
        <v>6715</v>
      </c>
      <c r="AH3" s="66">
        <f t="shared" ref="AH3" si="5">AI3/AJ3</f>
        <v>0.8936726872145595</v>
      </c>
      <c r="AI3" s="254">
        <f>INDEX('TSE OTC全部'!$AI:$AI,MATCH($G3,'TSE OTC全部'!$G:$G,0))</f>
        <v>5841</v>
      </c>
      <c r="AJ3" s="391">
        <v>6535.95</v>
      </c>
      <c r="AM3" s="245"/>
      <c r="AR3" s="402" t="s">
        <v>6830</v>
      </c>
    </row>
    <row r="4" spans="1:44">
      <c r="A4" s="343">
        <v>636</v>
      </c>
      <c r="B4" s="79">
        <v>10</v>
      </c>
      <c r="C4" s="79">
        <v>3</v>
      </c>
      <c r="D4" s="79">
        <v>-5</v>
      </c>
      <c r="E4" s="79">
        <v>3</v>
      </c>
      <c r="F4" s="6">
        <v>18.77</v>
      </c>
      <c r="G4" s="80">
        <v>1301</v>
      </c>
      <c r="H4" s="96" t="s">
        <v>6714</v>
      </c>
      <c r="I4" s="22" t="s">
        <v>4800</v>
      </c>
      <c r="J4" s="102" t="s">
        <v>6415</v>
      </c>
      <c r="K4" s="5" t="s">
        <v>6794</v>
      </c>
      <c r="L4" s="79">
        <v>1</v>
      </c>
      <c r="M4" s="403">
        <v>1</v>
      </c>
      <c r="N4" s="240">
        <f t="shared" ref="N4" si="6">L4-M4</f>
        <v>0</v>
      </c>
      <c r="O4" s="359">
        <v>1422</v>
      </c>
      <c r="P4" s="79">
        <v>252</v>
      </c>
      <c r="Q4" s="342">
        <v>135</v>
      </c>
      <c r="R4" s="81">
        <v>159</v>
      </c>
      <c r="S4" s="324">
        <v>497</v>
      </c>
      <c r="T4" s="186">
        <v>8.1999999999999993</v>
      </c>
      <c r="U4" s="426">
        <f t="shared" ref="U4" si="7">T4/W4</f>
        <v>7.9999999999999988E-2</v>
      </c>
      <c r="V4" s="94">
        <v>11.46</v>
      </c>
      <c r="W4" s="39">
        <f>INDEX('TSE OTC全部'!$W:$W,MATCH($G4,'TSE OTC全部'!$G:$G,0))</f>
        <v>102.5</v>
      </c>
      <c r="X4" s="207">
        <v>102.5</v>
      </c>
      <c r="Y4" s="430">
        <f t="shared" ref="Y4" si="8">W4-X4</f>
        <v>0</v>
      </c>
      <c r="Z4" s="433">
        <f t="shared" ref="Z4" si="9">Y4/X4</f>
        <v>0</v>
      </c>
      <c r="AA4" s="340">
        <v>-15.7</v>
      </c>
      <c r="AB4" s="389">
        <v>33.17</v>
      </c>
      <c r="AC4" s="22" t="s">
        <v>4800</v>
      </c>
      <c r="AD4" s="84">
        <v>44693</v>
      </c>
      <c r="AF4" s="33">
        <f t="shared" ref="AF4" si="10">AE4-AD4</f>
        <v>-44693</v>
      </c>
      <c r="AG4" s="402" t="s">
        <v>6715</v>
      </c>
      <c r="AH4" s="66">
        <f t="shared" ref="AH4" si="11">AI4/AJ4</f>
        <v>0.8936726872145595</v>
      </c>
      <c r="AI4" s="254">
        <f>INDEX('TSE OTC全部'!$AI:$AI,MATCH($G4,'TSE OTC全部'!$G:$G,0))</f>
        <v>5841</v>
      </c>
      <c r="AJ4" s="391">
        <v>6535.95</v>
      </c>
      <c r="AM4" s="245"/>
      <c r="AR4" s="402" t="str">
        <f>INDEX(基本資料!N:N,MATCH($G4,基本資料!A:A,0))</f>
        <v>低</v>
      </c>
    </row>
    <row r="5" spans="1:44">
      <c r="B5" s="79"/>
      <c r="C5" s="79"/>
      <c r="D5" s="79"/>
      <c r="E5" s="79"/>
      <c r="F5" s="6"/>
      <c r="G5" s="80"/>
      <c r="H5" s="96"/>
      <c r="I5" s="22"/>
      <c r="J5" s="102"/>
      <c r="K5" s="5"/>
      <c r="L5" s="79"/>
      <c r="M5" s="403"/>
      <c r="N5" s="240"/>
      <c r="O5" s="359"/>
      <c r="Q5" s="342"/>
      <c r="R5" s="81"/>
      <c r="S5" s="324"/>
      <c r="T5" s="186"/>
      <c r="U5" s="426"/>
      <c r="W5" s="39"/>
      <c r="Z5" s="433"/>
      <c r="AC5" s="22"/>
      <c r="AF5" s="33"/>
      <c r="AG5" s="402"/>
      <c r="AH5" s="66"/>
      <c r="AI5" s="254"/>
      <c r="AJ5" s="391"/>
      <c r="AM5" s="245"/>
      <c r="AR5" s="402"/>
    </row>
    <row r="6" spans="1:44">
      <c r="A6" s="343">
        <v>17.86</v>
      </c>
      <c r="B6" s="79">
        <v>89</v>
      </c>
      <c r="C6" s="79">
        <v>52</v>
      </c>
      <c r="D6" s="79">
        <v>-4</v>
      </c>
      <c r="E6" s="79">
        <v>6</v>
      </c>
      <c r="F6" s="6">
        <v>24.59</v>
      </c>
      <c r="G6" s="80">
        <v>6271</v>
      </c>
      <c r="H6" s="132" t="s">
        <v>6709</v>
      </c>
      <c r="I6" s="22" t="s">
        <v>5843</v>
      </c>
      <c r="J6" s="8">
        <v>6</v>
      </c>
      <c r="K6" s="5"/>
      <c r="L6" s="79">
        <v>1</v>
      </c>
      <c r="M6" s="403">
        <v>0</v>
      </c>
      <c r="N6" s="240">
        <v>1</v>
      </c>
      <c r="O6" s="359">
        <v>652</v>
      </c>
      <c r="P6" s="79">
        <v>134</v>
      </c>
      <c r="Q6" s="342">
        <v>116</v>
      </c>
      <c r="R6" s="81">
        <v>12</v>
      </c>
      <c r="S6" s="324">
        <v>42</v>
      </c>
      <c r="T6" s="186">
        <v>9</v>
      </c>
      <c r="U6" s="426">
        <f>T6/W6</f>
        <v>3.5999999999999997E-2</v>
      </c>
      <c r="V6" s="94">
        <v>17.89</v>
      </c>
      <c r="W6" s="39">
        <f>INDEX('TSE OTC全部'!$W:$W,MATCH($G6,'TSE OTC全部'!$G:$G,0))</f>
        <v>250</v>
      </c>
      <c r="Y6" s="430">
        <f>W6-X6</f>
        <v>250</v>
      </c>
      <c r="Z6" s="433" t="e">
        <f>Y6/X6</f>
        <v>#DIV/0!</v>
      </c>
      <c r="AA6" s="340">
        <v>-22.72</v>
      </c>
      <c r="AB6" s="389">
        <v>28.67</v>
      </c>
      <c r="AC6" s="22" t="s">
        <v>5843</v>
      </c>
      <c r="AD6" s="84">
        <v>44698</v>
      </c>
      <c r="AF6" s="33">
        <f>AE6-AD6</f>
        <v>-44698</v>
      </c>
      <c r="AG6" s="402" t="s">
        <v>6858</v>
      </c>
      <c r="AH6" s="66">
        <f>AI6/AJ6</f>
        <v>1.6105844955468369</v>
      </c>
      <c r="AI6" s="254">
        <f>INDEX('TSE OTC全部'!$AI:$AI,MATCH($G6,'TSE OTC全部'!$G:$G,0))</f>
        <v>2812</v>
      </c>
      <c r="AJ6" s="391">
        <v>1745.95</v>
      </c>
      <c r="AM6" s="245"/>
      <c r="AR6" s="402" t="s">
        <v>6831</v>
      </c>
    </row>
    <row r="7" spans="1:44">
      <c r="A7" s="343">
        <v>4.97</v>
      </c>
      <c r="B7" s="79">
        <v>89</v>
      </c>
      <c r="C7" s="79">
        <v>86</v>
      </c>
      <c r="D7" s="79">
        <v>1</v>
      </c>
      <c r="E7" s="79">
        <v>37</v>
      </c>
      <c r="F7" s="6">
        <v>22.39</v>
      </c>
      <c r="G7" s="80">
        <v>8155</v>
      </c>
      <c r="H7" s="132" t="s">
        <v>6707</v>
      </c>
      <c r="I7" s="22" t="s">
        <v>5992</v>
      </c>
      <c r="J7" s="8" t="s">
        <v>6413</v>
      </c>
      <c r="K7" s="5"/>
      <c r="L7" s="79">
        <v>4</v>
      </c>
      <c r="M7" s="403">
        <v>0</v>
      </c>
      <c r="N7" s="240">
        <v>4</v>
      </c>
      <c r="O7" s="359">
        <v>243</v>
      </c>
      <c r="P7" s="79">
        <v>190</v>
      </c>
      <c r="Q7" s="342">
        <v>1107</v>
      </c>
      <c r="R7" s="81">
        <v>1</v>
      </c>
      <c r="S7" s="324">
        <v>7</v>
      </c>
      <c r="T7" s="186">
        <v>6</v>
      </c>
      <c r="U7" s="426">
        <f>T7/W7</f>
        <v>3.6363636363636362E-2</v>
      </c>
      <c r="V7" s="94">
        <v>9.51</v>
      </c>
      <c r="W7" s="39">
        <f>INDEX('TSE OTC全部'!$W:$W,MATCH($G7,'TSE OTC全部'!$G:$G,0))</f>
        <v>165</v>
      </c>
      <c r="Y7" s="430">
        <f>W7-X7</f>
        <v>165</v>
      </c>
      <c r="Z7" s="433" t="e">
        <f>Y7/X7</f>
        <v>#DIV/0!</v>
      </c>
      <c r="AA7" s="340">
        <v>-23.79</v>
      </c>
      <c r="AB7" s="389">
        <v>30.59</v>
      </c>
      <c r="AC7" s="22" t="s">
        <v>5992</v>
      </c>
      <c r="AD7" s="84">
        <v>44698</v>
      </c>
      <c r="AF7" s="33">
        <f>AE7-AD7</f>
        <v>-44698</v>
      </c>
      <c r="AG7" s="402" t="s">
        <v>6735</v>
      </c>
      <c r="AH7" s="66">
        <f>AI7/AJ7</f>
        <v>1.2615069894306172</v>
      </c>
      <c r="AI7" s="254">
        <f>INDEX('TSE OTC全部'!$AI:$AI,MATCH($G7,'TSE OTC全部'!$G:$G,0))</f>
        <v>2590</v>
      </c>
      <c r="AJ7" s="391">
        <v>2053.1</v>
      </c>
      <c r="AM7" s="245"/>
      <c r="AR7" s="402" t="s">
        <v>6831</v>
      </c>
    </row>
    <row r="8" spans="1:44">
      <c r="A8" s="343">
        <v>4.4400000000000004</v>
      </c>
      <c r="B8" s="79">
        <v>138</v>
      </c>
      <c r="C8" s="79">
        <v>59</v>
      </c>
      <c r="D8" s="79">
        <v>0</v>
      </c>
      <c r="E8" s="79">
        <v>10</v>
      </c>
      <c r="F8" s="6">
        <v>17.88</v>
      </c>
      <c r="G8" s="79">
        <v>3675</v>
      </c>
      <c r="H8" s="96" t="s">
        <v>6709</v>
      </c>
      <c r="I8" s="22" t="s">
        <v>5485</v>
      </c>
      <c r="J8" s="8">
        <v>5</v>
      </c>
      <c r="K8" s="5"/>
      <c r="L8" s="79">
        <v>1</v>
      </c>
      <c r="M8" s="403">
        <v>0</v>
      </c>
      <c r="N8" s="240">
        <v>1</v>
      </c>
      <c r="O8" s="359">
        <v>322</v>
      </c>
      <c r="P8" s="79">
        <v>224</v>
      </c>
      <c r="Q8" s="342">
        <v>69</v>
      </c>
      <c r="R8" s="81">
        <v>3</v>
      </c>
      <c r="S8" s="324">
        <v>22</v>
      </c>
      <c r="T8" s="186">
        <v>5</v>
      </c>
      <c r="U8" s="426">
        <f>T8/W8</f>
        <v>1.6129032258064516E-2</v>
      </c>
      <c r="V8" s="94">
        <v>8.7799999999999994</v>
      </c>
      <c r="W8" s="39">
        <f>INDEX('TSE OTC全部'!$W:$W,MATCH($G8,'TSE OTC全部'!$G:$G,0))</f>
        <v>310</v>
      </c>
      <c r="Y8" s="430">
        <f>W8-X8</f>
        <v>310</v>
      </c>
      <c r="Z8" s="433" t="e">
        <f>Y8/X8</f>
        <v>#DIV/0!</v>
      </c>
      <c r="AA8" s="340">
        <v>-15.53</v>
      </c>
      <c r="AB8" s="389">
        <v>45.07</v>
      </c>
      <c r="AC8" s="22" t="s">
        <v>5485</v>
      </c>
      <c r="AD8" s="84">
        <v>44698</v>
      </c>
      <c r="AF8" s="33">
        <f>AE8-AD8</f>
        <v>-44698</v>
      </c>
      <c r="AG8" s="402" t="s">
        <v>6859</v>
      </c>
      <c r="AH8" s="66">
        <f>AI8/AJ8</f>
        <v>1.2067006341409772</v>
      </c>
      <c r="AI8" s="254">
        <f>INDEX('TSE OTC全部'!$AI:$AI,MATCH($G8,'TSE OTC全部'!$G:$G,0))</f>
        <v>3292</v>
      </c>
      <c r="AJ8" s="391">
        <v>2728.1</v>
      </c>
      <c r="AM8" s="245"/>
      <c r="AR8" s="402" t="s">
        <v>6832</v>
      </c>
    </row>
    <row r="9" spans="1:44">
      <c r="A9" s="343">
        <v>4.9000000000000004</v>
      </c>
      <c r="B9" s="79">
        <v>133</v>
      </c>
      <c r="C9" s="79">
        <v>117</v>
      </c>
      <c r="D9" s="79">
        <v>-24</v>
      </c>
      <c r="E9" s="79">
        <v>25</v>
      </c>
      <c r="F9" s="6">
        <v>9.26</v>
      </c>
      <c r="G9" s="79">
        <v>3558</v>
      </c>
      <c r="H9" s="96" t="s">
        <v>6712</v>
      </c>
      <c r="I9" s="22" t="s">
        <v>5449</v>
      </c>
      <c r="J9" s="8" t="s">
        <v>6413</v>
      </c>
      <c r="K9" s="5"/>
      <c r="L9" s="79">
        <v>2</v>
      </c>
      <c r="M9" s="403">
        <v>0</v>
      </c>
      <c r="N9" s="240">
        <v>2</v>
      </c>
      <c r="O9" s="359">
        <v>110</v>
      </c>
      <c r="P9" s="79">
        <v>157</v>
      </c>
      <c r="Q9" s="342">
        <v>878</v>
      </c>
      <c r="R9" s="81">
        <v>11</v>
      </c>
      <c r="S9" s="324">
        <v>156</v>
      </c>
      <c r="T9" s="186">
        <v>3</v>
      </c>
      <c r="U9" s="426">
        <f>T9/W9</f>
        <v>1.662049861495845E-2</v>
      </c>
      <c r="V9" s="94">
        <v>12.1</v>
      </c>
      <c r="W9" s="39">
        <f>INDEX('TSE OTC全部'!$W:$W,MATCH($G9,'TSE OTC全部'!$G:$G,0))</f>
        <v>180.5</v>
      </c>
      <c r="Y9" s="430">
        <f>W9-X9</f>
        <v>180.5</v>
      </c>
      <c r="Z9" s="433" t="e">
        <f>Y9/X9</f>
        <v>#DIV/0!</v>
      </c>
      <c r="AA9" s="340">
        <v>-17.39</v>
      </c>
      <c r="AB9" s="389">
        <v>68.510000000000005</v>
      </c>
      <c r="AC9" s="22" t="s">
        <v>5449</v>
      </c>
      <c r="AD9" s="84">
        <v>44698</v>
      </c>
      <c r="AF9" s="33">
        <f>AE9-AD9</f>
        <v>-44698</v>
      </c>
      <c r="AG9" s="402" t="s">
        <v>6881</v>
      </c>
      <c r="AH9" s="66">
        <f>AI9/AJ9</f>
        <v>0.46892133664223462</v>
      </c>
      <c r="AI9" s="254">
        <f>INDEX('TSE OTC全部'!$AI:$AI,MATCH($G9,'TSE OTC全部'!$G:$G,0))</f>
        <v>4875</v>
      </c>
      <c r="AJ9" s="391">
        <v>10396.200000000001</v>
      </c>
      <c r="AM9" s="245"/>
      <c r="AR9" s="402" t="s">
        <v>6832</v>
      </c>
    </row>
    <row r="10" spans="1:44">
      <c r="A10" s="343">
        <v>38.28</v>
      </c>
      <c r="B10" s="79">
        <v>110</v>
      </c>
      <c r="C10" s="79">
        <v>65</v>
      </c>
      <c r="D10" s="79">
        <v>-12</v>
      </c>
      <c r="E10" s="79">
        <v>-1</v>
      </c>
      <c r="F10" s="6">
        <v>16.350000000000001</v>
      </c>
      <c r="G10" s="80">
        <v>2481</v>
      </c>
      <c r="H10" s="96" t="s">
        <v>6709</v>
      </c>
      <c r="I10" s="22" t="s">
        <v>5139</v>
      </c>
      <c r="J10" s="8">
        <v>6</v>
      </c>
      <c r="K10" s="5"/>
      <c r="L10" s="79">
        <v>1</v>
      </c>
      <c r="M10" s="403">
        <v>0</v>
      </c>
      <c r="N10" s="240">
        <v>1</v>
      </c>
      <c r="O10" s="359">
        <v>139</v>
      </c>
      <c r="P10" s="79">
        <v>319</v>
      </c>
      <c r="Q10" s="342">
        <v>429</v>
      </c>
      <c r="R10" s="81">
        <v>161</v>
      </c>
      <c r="S10" s="324">
        <v>21</v>
      </c>
      <c r="T10" s="186">
        <v>3</v>
      </c>
      <c r="U10" s="426">
        <f>T10/W10</f>
        <v>3.8265306122448974E-2</v>
      </c>
      <c r="V10" s="94">
        <v>6.48</v>
      </c>
      <c r="W10" s="39">
        <f>INDEX('TSE OTC全部'!$W:$W,MATCH($G10,'TSE OTC全部'!$G:$G,0))</f>
        <v>78.400000000000006</v>
      </c>
      <c r="Y10" s="430">
        <f>W10-X10</f>
        <v>78.400000000000006</v>
      </c>
      <c r="Z10" s="433" t="e">
        <f>Y10/X10</f>
        <v>#DIV/0!</v>
      </c>
      <c r="AA10" s="340">
        <v>-37.28</v>
      </c>
      <c r="AB10" s="389">
        <v>19.05</v>
      </c>
      <c r="AC10" s="22" t="s">
        <v>5139</v>
      </c>
      <c r="AD10" s="84">
        <v>44698</v>
      </c>
      <c r="AF10" s="33">
        <f>AE10-AD10</f>
        <v>-44698</v>
      </c>
      <c r="AG10" s="402" t="s">
        <v>6860</v>
      </c>
      <c r="AH10" s="66">
        <f>AI10/AJ10</f>
        <v>1.288468199621646</v>
      </c>
      <c r="AI10" s="254">
        <f>INDEX('TSE OTC全部'!$AI:$AI,MATCH($G10,'TSE OTC全部'!$G:$G,0))</f>
        <v>19343</v>
      </c>
      <c r="AJ10" s="391">
        <v>15012.4</v>
      </c>
      <c r="AM10" s="245"/>
      <c r="AR10" s="402" t="s">
        <v>6830</v>
      </c>
    </row>
    <row r="11" spans="1:44">
      <c r="A11" s="343">
        <v>163</v>
      </c>
      <c r="B11" s="79">
        <v>84</v>
      </c>
      <c r="C11" s="79">
        <v>103</v>
      </c>
      <c r="D11" s="79">
        <v>-11</v>
      </c>
      <c r="E11" s="79">
        <v>41</v>
      </c>
      <c r="F11" s="6">
        <v>32.97</v>
      </c>
      <c r="G11" s="80">
        <v>5347</v>
      </c>
      <c r="H11" s="96" t="s">
        <v>6709</v>
      </c>
      <c r="I11" s="22" t="s">
        <v>5675</v>
      </c>
      <c r="J11" s="102" t="s">
        <v>6415</v>
      </c>
      <c r="K11" s="5"/>
      <c r="L11" s="79">
        <v>1</v>
      </c>
      <c r="M11" s="403">
        <v>0</v>
      </c>
      <c r="N11" s="240">
        <v>1</v>
      </c>
      <c r="O11" s="359">
        <v>1194</v>
      </c>
      <c r="P11" s="79">
        <v>403</v>
      </c>
      <c r="Q11" s="342">
        <v>172</v>
      </c>
      <c r="R11" s="81">
        <v>141</v>
      </c>
      <c r="S11" s="324">
        <v>743</v>
      </c>
      <c r="T11" s="186">
        <v>4.5</v>
      </c>
      <c r="U11" s="426">
        <f>T11/W11</f>
        <v>4.3062200956937802E-2</v>
      </c>
      <c r="V11" s="94">
        <v>8.36</v>
      </c>
      <c r="W11" s="39">
        <f>INDEX('TSE OTC全部'!$W:$W,MATCH($G11,'TSE OTC全部'!$G:$G,0))</f>
        <v>104.5</v>
      </c>
      <c r="Y11" s="430">
        <f>W11-X11</f>
        <v>104.5</v>
      </c>
      <c r="Z11" s="433" t="e">
        <f>Y11/X11</f>
        <v>#DIV/0!</v>
      </c>
      <c r="AA11" s="340">
        <v>-40.96</v>
      </c>
      <c r="AB11" s="389">
        <v>25.69</v>
      </c>
      <c r="AC11" s="22" t="s">
        <v>5675</v>
      </c>
      <c r="AD11" s="84">
        <v>44698</v>
      </c>
      <c r="AF11" s="33">
        <f>AE11-AD11</f>
        <v>-44698</v>
      </c>
      <c r="AG11" s="402" t="s">
        <v>6861</v>
      </c>
      <c r="AH11" s="66">
        <f>AI11/AJ11</f>
        <v>0.57342614455245167</v>
      </c>
      <c r="AI11" s="254">
        <f>INDEX('TSE OTC全部'!$AI:$AI,MATCH($G11,'TSE OTC全部'!$G:$G,0))</f>
        <v>2805</v>
      </c>
      <c r="AJ11" s="391">
        <v>4891.6499999999996</v>
      </c>
      <c r="AM11" s="245"/>
      <c r="AR11" s="402" t="s">
        <v>6830</v>
      </c>
    </row>
    <row r="12" spans="1:44">
      <c r="A12" s="343">
        <v>7.51</v>
      </c>
      <c r="B12" s="79">
        <v>368</v>
      </c>
      <c r="C12" s="79">
        <v>124</v>
      </c>
      <c r="D12" s="79">
        <v>-21</v>
      </c>
      <c r="E12" s="79">
        <v>32</v>
      </c>
      <c r="F12" s="6">
        <v>12.14</v>
      </c>
      <c r="G12" s="79">
        <v>8114</v>
      </c>
      <c r="H12" s="132" t="s">
        <v>6744</v>
      </c>
      <c r="I12" s="22" t="s">
        <v>5988</v>
      </c>
      <c r="J12" s="102" t="s">
        <v>6415</v>
      </c>
      <c r="K12" s="5"/>
      <c r="L12" s="79">
        <v>1</v>
      </c>
      <c r="M12" s="403">
        <v>0</v>
      </c>
      <c r="N12" s="240">
        <v>1</v>
      </c>
      <c r="O12" s="359">
        <v>927</v>
      </c>
      <c r="P12" s="79">
        <v>762</v>
      </c>
      <c r="Q12" s="342">
        <v>467</v>
      </c>
      <c r="R12" s="81">
        <v>93</v>
      </c>
      <c r="S12" s="324">
        <v>440</v>
      </c>
      <c r="T12" s="186">
        <v>4.5</v>
      </c>
      <c r="U12" s="426">
        <f>T12/W12</f>
        <v>3.896103896103896E-2</v>
      </c>
      <c r="V12" s="94">
        <v>8.7200000000000006</v>
      </c>
      <c r="W12" s="39">
        <f>INDEX('TSE OTC全部'!$W:$W,MATCH($G12,'TSE OTC全部'!$G:$G,0))</f>
        <v>115.5</v>
      </c>
      <c r="Y12" s="430">
        <f>W12-X12</f>
        <v>115.5</v>
      </c>
      <c r="Z12" s="433" t="e">
        <f>Y12/X12</f>
        <v>#DIV/0!</v>
      </c>
      <c r="AA12" s="340">
        <v>-15.38</v>
      </c>
      <c r="AB12" s="389">
        <v>64.040000000000006</v>
      </c>
      <c r="AC12" s="22" t="s">
        <v>5988</v>
      </c>
      <c r="AD12" s="84">
        <v>44698</v>
      </c>
      <c r="AF12" s="33">
        <f>AE12-AD12</f>
        <v>-44698</v>
      </c>
      <c r="AG12" s="402" t="s">
        <v>6745</v>
      </c>
      <c r="AH12" s="66">
        <f>AI12/AJ12</f>
        <v>1.3492161461547956</v>
      </c>
      <c r="AI12" s="254">
        <f>INDEX('TSE OTC全部'!$AI:$AI,MATCH($G12,'TSE OTC全部'!$G:$G,0))</f>
        <v>1093</v>
      </c>
      <c r="AJ12" s="391">
        <v>810.1</v>
      </c>
      <c r="AM12" s="245"/>
      <c r="AR12" s="402" t="s">
        <v>6831</v>
      </c>
    </row>
    <row r="13" spans="1:44">
      <c r="A13" s="343">
        <v>309</v>
      </c>
      <c r="B13" s="79">
        <v>142</v>
      </c>
      <c r="C13" s="79">
        <v>106</v>
      </c>
      <c r="D13" s="79">
        <v>-2</v>
      </c>
      <c r="E13" s="79">
        <v>-10</v>
      </c>
      <c r="F13" s="6">
        <v>31.39</v>
      </c>
      <c r="G13" s="80">
        <v>2408</v>
      </c>
      <c r="H13" s="132" t="s">
        <v>6709</v>
      </c>
      <c r="I13" s="22" t="s">
        <v>5092</v>
      </c>
      <c r="J13" s="102" t="s">
        <v>6415</v>
      </c>
      <c r="K13" s="5"/>
      <c r="L13" s="79">
        <v>17</v>
      </c>
      <c r="M13" s="403">
        <v>0</v>
      </c>
      <c r="N13" s="240">
        <v>17</v>
      </c>
      <c r="O13" s="359">
        <v>1131</v>
      </c>
      <c r="P13" s="79">
        <v>266</v>
      </c>
      <c r="Q13" s="342">
        <v>314</v>
      </c>
      <c r="R13" s="81">
        <v>106</v>
      </c>
      <c r="S13" s="324">
        <v>411</v>
      </c>
      <c r="T13" s="186">
        <v>3.7</v>
      </c>
      <c r="U13" s="426">
        <f>T13/W13</f>
        <v>5.5306427503736919E-2</v>
      </c>
      <c r="V13" s="94">
        <v>8.64</v>
      </c>
      <c r="W13" s="39">
        <f>INDEX('TSE OTC全部'!$W:$W,MATCH($G13,'TSE OTC全部'!$G:$G,0))</f>
        <v>66.900000000000006</v>
      </c>
      <c r="Y13" s="430">
        <f>W13-X13</f>
        <v>66.900000000000006</v>
      </c>
      <c r="Z13" s="433" t="e">
        <f>Y13/X13</f>
        <v>#DIV/0!</v>
      </c>
      <c r="AA13" s="340">
        <v>-20.55</v>
      </c>
      <c r="AB13" s="389">
        <v>27.88</v>
      </c>
      <c r="AC13" s="22" t="s">
        <v>5092</v>
      </c>
      <c r="AD13" s="84">
        <v>44698</v>
      </c>
      <c r="AF13" s="33">
        <f>AE13-AD13</f>
        <v>-44698</v>
      </c>
      <c r="AG13" s="402" t="s">
        <v>6862</v>
      </c>
      <c r="AH13" s="66">
        <f>AI13/AJ13</f>
        <v>1.7942403804163229</v>
      </c>
      <c r="AI13" s="254">
        <f>INDEX('TSE OTC全部'!$AI:$AI,MATCH($G13,'TSE OTC全部'!$G:$G,0))</f>
        <v>14791</v>
      </c>
      <c r="AJ13" s="391">
        <v>8243.6</v>
      </c>
      <c r="AM13" s="245"/>
      <c r="AR13" s="402" t="s">
        <v>6830</v>
      </c>
    </row>
    <row r="14" spans="1:44">
      <c r="A14" s="343">
        <v>8.1300000000000008</v>
      </c>
      <c r="B14" s="79">
        <v>151</v>
      </c>
      <c r="C14" s="79">
        <v>120</v>
      </c>
      <c r="D14" s="79">
        <v>-18</v>
      </c>
      <c r="E14" s="79">
        <v>5</v>
      </c>
      <c r="F14" s="6">
        <v>26.94</v>
      </c>
      <c r="G14" s="79">
        <v>8261</v>
      </c>
      <c r="H14" s="132" t="s">
        <v>6709</v>
      </c>
      <c r="I14" s="22" t="s">
        <v>6006</v>
      </c>
      <c r="J14" s="42" t="s">
        <v>6863</v>
      </c>
      <c r="K14" s="5"/>
      <c r="L14" s="79">
        <v>11</v>
      </c>
      <c r="M14" s="403">
        <v>0</v>
      </c>
      <c r="N14" s="240">
        <v>11</v>
      </c>
      <c r="O14" s="359">
        <v>39</v>
      </c>
      <c r="P14" s="79">
        <v>93</v>
      </c>
      <c r="Q14" s="342">
        <v>387</v>
      </c>
      <c r="R14" s="81">
        <v>495</v>
      </c>
      <c r="S14" s="324">
        <v>26</v>
      </c>
      <c r="T14" s="186">
        <v>6</v>
      </c>
      <c r="U14" s="426">
        <f>T14/W14</f>
        <v>5.5299539170506916E-2</v>
      </c>
      <c r="V14" s="94">
        <v>10.15</v>
      </c>
      <c r="W14" s="39">
        <f>INDEX('TSE OTC全部'!$W:$W,MATCH($G14,'TSE OTC全部'!$G:$G,0))</f>
        <v>108.5</v>
      </c>
      <c r="Y14" s="430">
        <f>W14-X14</f>
        <v>108.5</v>
      </c>
      <c r="Z14" s="433" t="e">
        <f>Y14/X14</f>
        <v>#DIV/0!</v>
      </c>
      <c r="AA14" s="340">
        <v>-20.8</v>
      </c>
      <c r="AB14" s="389">
        <v>53.43</v>
      </c>
      <c r="AC14" s="22" t="s">
        <v>6006</v>
      </c>
      <c r="AD14" s="84">
        <v>44698</v>
      </c>
      <c r="AF14" s="33">
        <f>AE14-AD14</f>
        <v>-44698</v>
      </c>
      <c r="AG14" s="402" t="s">
        <v>6864</v>
      </c>
      <c r="AH14" s="66">
        <f>AI14/AJ14</f>
        <v>0.91722324639608321</v>
      </c>
      <c r="AI14" s="254">
        <f>INDEX('TSE OTC全部'!$AI:$AI,MATCH($G14,'TSE OTC全部'!$G:$G,0))</f>
        <v>3035</v>
      </c>
      <c r="AJ14" s="391">
        <v>3308.9</v>
      </c>
      <c r="AM14" s="245"/>
      <c r="AR14" s="402" t="s">
        <v>6831</v>
      </c>
    </row>
    <row r="15" spans="1:44">
      <c r="A15" s="343">
        <v>3.58</v>
      </c>
      <c r="B15" s="79">
        <v>77</v>
      </c>
      <c r="C15" s="79">
        <v>59</v>
      </c>
      <c r="D15" s="79">
        <v>1</v>
      </c>
      <c r="E15" s="79">
        <v>14</v>
      </c>
      <c r="F15" s="6">
        <v>29.89</v>
      </c>
      <c r="G15" s="80">
        <v>5299</v>
      </c>
      <c r="H15" s="132" t="s">
        <v>6709</v>
      </c>
      <c r="I15" s="22" t="s">
        <v>316</v>
      </c>
      <c r="J15" s="102" t="s">
        <v>6409</v>
      </c>
      <c r="K15" s="5"/>
      <c r="L15" s="79">
        <v>1</v>
      </c>
      <c r="M15" s="403">
        <v>0</v>
      </c>
      <c r="N15" s="240">
        <v>1</v>
      </c>
      <c r="O15" s="359">
        <v>136</v>
      </c>
      <c r="P15" s="79">
        <v>451</v>
      </c>
      <c r="Q15" s="342">
        <v>967</v>
      </c>
      <c r="R15" s="81" t="s">
        <v>6279</v>
      </c>
      <c r="S15" s="324">
        <v>86</v>
      </c>
      <c r="T15" s="186">
        <v>11.6</v>
      </c>
      <c r="U15" s="426">
        <f>T15/W15</f>
        <v>6.4985994397759095E-2</v>
      </c>
      <c r="V15" s="94">
        <v>20.09</v>
      </c>
      <c r="W15" s="39">
        <f>INDEX('TSE OTC全部'!$W:$W,MATCH($G15,'TSE OTC全部'!$G:$G,0))</f>
        <v>178.5</v>
      </c>
      <c r="Y15" s="430">
        <f>W15-X15</f>
        <v>178.5</v>
      </c>
      <c r="Z15" s="433" t="e">
        <f>Y15/X15</f>
        <v>#DIV/0!</v>
      </c>
      <c r="AA15" s="340">
        <v>-32.64</v>
      </c>
      <c r="AB15" s="389">
        <v>40.14</v>
      </c>
      <c r="AC15" s="22" t="s">
        <v>316</v>
      </c>
      <c r="AD15" s="84">
        <v>44698</v>
      </c>
      <c r="AF15" s="33">
        <f>AE15-AD15</f>
        <v>-44698</v>
      </c>
      <c r="AG15" s="402" t="s">
        <v>6865</v>
      </c>
      <c r="AH15" s="66">
        <f>AI15/AJ15</f>
        <v>0.85758039816232778</v>
      </c>
      <c r="AI15" s="254">
        <f>INDEX('TSE OTC全部'!$AI:$AI,MATCH($G15,'TSE OTC全部'!$G:$G,0))</f>
        <v>224</v>
      </c>
      <c r="AJ15" s="391">
        <v>261.2</v>
      </c>
      <c r="AM15" s="245"/>
      <c r="AR15" s="402" t="s">
        <v>6830</v>
      </c>
    </row>
    <row r="16" spans="1:44">
      <c r="A16" s="343">
        <v>6.9</v>
      </c>
      <c r="B16" s="79">
        <v>-71</v>
      </c>
      <c r="C16" s="79">
        <v>-77</v>
      </c>
      <c r="D16" s="79">
        <v>-4</v>
      </c>
      <c r="E16" s="79">
        <v>-52</v>
      </c>
      <c r="F16" s="6">
        <v>20.93</v>
      </c>
      <c r="G16" s="80">
        <v>3152</v>
      </c>
      <c r="H16" s="132" t="s">
        <v>6712</v>
      </c>
      <c r="I16" s="22" t="s">
        <v>5328</v>
      </c>
      <c r="J16" s="102" t="s">
        <v>6409</v>
      </c>
      <c r="K16" s="5"/>
      <c r="L16" s="79">
        <v>1</v>
      </c>
      <c r="M16" s="403">
        <v>0</v>
      </c>
      <c r="N16" s="240">
        <v>1</v>
      </c>
      <c r="O16" s="359">
        <v>754</v>
      </c>
      <c r="P16" s="79">
        <v>216</v>
      </c>
      <c r="Q16" s="342">
        <v>312</v>
      </c>
      <c r="R16" s="81">
        <v>291</v>
      </c>
      <c r="S16" s="324">
        <v>801</v>
      </c>
      <c r="T16" s="186">
        <v>8</v>
      </c>
      <c r="U16" s="426">
        <f>T16/W16</f>
        <v>3.3333333333333333E-2</v>
      </c>
      <c r="V16" s="94">
        <v>11.93</v>
      </c>
      <c r="W16" s="39">
        <f>INDEX('TSE OTC全部'!$W:$W,MATCH($G16,'TSE OTC全部'!$G:$G,0))</f>
        <v>240</v>
      </c>
      <c r="Y16" s="430">
        <f>W16-X16</f>
        <v>240</v>
      </c>
      <c r="Z16" s="433" t="e">
        <f>Y16/X16</f>
        <v>#DIV/0!</v>
      </c>
      <c r="AA16" s="340">
        <v>-55.96</v>
      </c>
      <c r="AB16" s="389">
        <v>29.28</v>
      </c>
      <c r="AC16" s="22" t="s">
        <v>5328</v>
      </c>
      <c r="AD16" s="84">
        <v>44698</v>
      </c>
      <c r="AF16" s="33">
        <f>AE16-AD16</f>
        <v>-44698</v>
      </c>
      <c r="AG16" s="402" t="s">
        <v>6866</v>
      </c>
      <c r="AH16" s="66">
        <f>AI16/AJ16</f>
        <v>0.47080126754187412</v>
      </c>
      <c r="AI16" s="254">
        <f>INDEX('TSE OTC全部'!$AI:$AI,MATCH($G16,'TSE OTC全部'!$G:$G,0))</f>
        <v>52</v>
      </c>
      <c r="AJ16" s="391">
        <v>110.45</v>
      </c>
      <c r="AM16" s="245"/>
      <c r="AR16" s="402" t="s">
        <v>6830</v>
      </c>
    </row>
    <row r="17" spans="1:44">
      <c r="A17" s="343">
        <v>23.52</v>
      </c>
      <c r="B17" s="79">
        <v>13</v>
      </c>
      <c r="C17" s="79">
        <v>0</v>
      </c>
      <c r="D17" s="79">
        <v>0</v>
      </c>
      <c r="E17" s="79">
        <v>14</v>
      </c>
      <c r="F17" s="6">
        <v>11.01</v>
      </c>
      <c r="G17" s="80">
        <v>3023</v>
      </c>
      <c r="H17" s="132" t="s">
        <v>6707</v>
      </c>
      <c r="I17" s="22" t="s">
        <v>5279</v>
      </c>
      <c r="J17" s="102" t="s">
        <v>6416</v>
      </c>
      <c r="K17" s="5"/>
      <c r="L17" s="79">
        <v>12</v>
      </c>
      <c r="M17" s="403">
        <v>0</v>
      </c>
      <c r="N17" s="240">
        <v>12</v>
      </c>
      <c r="O17" s="359">
        <v>1345</v>
      </c>
      <c r="P17" s="79">
        <v>1123</v>
      </c>
      <c r="Q17" s="342">
        <v>47</v>
      </c>
      <c r="R17" s="81">
        <v>176</v>
      </c>
      <c r="S17" s="324">
        <v>497</v>
      </c>
      <c r="T17" s="186">
        <v>7</v>
      </c>
      <c r="U17" s="426">
        <f>T17/W17</f>
        <v>2.7027027027027029E-2</v>
      </c>
      <c r="V17" s="94">
        <v>10.39</v>
      </c>
      <c r="W17" s="39">
        <f>INDEX('TSE OTC全部'!$W:$W,MATCH($G17,'TSE OTC全部'!$G:$G,0))</f>
        <v>259</v>
      </c>
      <c r="Y17" s="430">
        <f>W17-X17</f>
        <v>259</v>
      </c>
      <c r="Z17" s="433" t="e">
        <f>Y17/X17</f>
        <v>#DIV/0!</v>
      </c>
      <c r="AA17" s="340">
        <v>-14.1</v>
      </c>
      <c r="AB17" s="389">
        <v>45.38</v>
      </c>
      <c r="AC17" s="22" t="s">
        <v>5279</v>
      </c>
      <c r="AD17" s="84">
        <v>44698</v>
      </c>
      <c r="AF17" s="33">
        <f>AE17-AD17</f>
        <v>-44698</v>
      </c>
      <c r="AG17" s="402" t="s">
        <v>6867</v>
      </c>
      <c r="AH17" s="66">
        <f>AI17/AJ17</f>
        <v>1.1060119320789352</v>
      </c>
      <c r="AI17" s="254">
        <f>INDEX('TSE OTC全部'!$AI:$AI,MATCH($G17,'TSE OTC全部'!$G:$G,0))</f>
        <v>723</v>
      </c>
      <c r="AJ17" s="391">
        <v>653.70000000000005</v>
      </c>
      <c r="AM17" s="245"/>
      <c r="AR17" s="402" t="s">
        <v>6831</v>
      </c>
    </row>
    <row r="18" spans="1:44">
      <c r="A18" s="343">
        <v>11.04</v>
      </c>
      <c r="B18" s="79">
        <v>76</v>
      </c>
      <c r="C18" s="79">
        <v>108</v>
      </c>
      <c r="D18" s="79">
        <v>7</v>
      </c>
      <c r="E18" s="79">
        <v>10</v>
      </c>
      <c r="F18" s="6">
        <v>15.88</v>
      </c>
      <c r="G18" s="80">
        <v>8482</v>
      </c>
      <c r="H18" s="132" t="s">
        <v>6730</v>
      </c>
      <c r="I18" s="22" t="s">
        <v>6868</v>
      </c>
      <c r="J18" s="102" t="s">
        <v>6409</v>
      </c>
      <c r="K18" s="5"/>
      <c r="L18" s="79">
        <v>2</v>
      </c>
      <c r="M18" s="403">
        <v>0</v>
      </c>
      <c r="N18" s="240">
        <v>2</v>
      </c>
      <c r="O18" s="359">
        <v>1285</v>
      </c>
      <c r="P18" s="79" t="s">
        <v>6279</v>
      </c>
      <c r="Q18" s="342">
        <v>3</v>
      </c>
      <c r="R18" s="81" t="s">
        <v>6279</v>
      </c>
      <c r="S18" s="324">
        <v>1002</v>
      </c>
      <c r="T18" s="186">
        <v>5.87</v>
      </c>
      <c r="U18" s="426">
        <f>T18/W18</f>
        <v>8.2328190743338012E-2</v>
      </c>
      <c r="V18" s="94">
        <v>8.6199999999999992</v>
      </c>
      <c r="W18" s="39">
        <f>INDEX('TSE OTC全部'!$W:$W,MATCH($G18,'TSE OTC全部'!$G:$G,0))</f>
        <v>71.3</v>
      </c>
      <c r="Y18" s="430">
        <f>W18-X18</f>
        <v>71.3</v>
      </c>
      <c r="Z18" s="433" t="e">
        <f>Y18/X18</f>
        <v>#DIV/0!</v>
      </c>
      <c r="AA18" s="340">
        <v>-13.78</v>
      </c>
      <c r="AB18" s="389">
        <v>23.08</v>
      </c>
      <c r="AC18" s="22" t="s">
        <v>6868</v>
      </c>
      <c r="AD18" s="84">
        <v>44698</v>
      </c>
      <c r="AF18" s="33">
        <f>AE18-AD18</f>
        <v>-44698</v>
      </c>
      <c r="AG18" s="402" t="s">
        <v>6869</v>
      </c>
      <c r="AH18" s="66">
        <f>AI18/AJ18</f>
        <v>0.34482758620689657</v>
      </c>
      <c r="AI18" s="254">
        <f>INDEX('TSE OTC全部'!$AI:$AI,MATCH($G18,'TSE OTC全部'!$G:$G,0))</f>
        <v>8</v>
      </c>
      <c r="AJ18" s="391">
        <v>23.2</v>
      </c>
      <c r="AM18" s="245"/>
      <c r="AR18" s="402" t="s">
        <v>6830</v>
      </c>
    </row>
    <row r="19" spans="1:44">
      <c r="A19" s="343">
        <v>12.9</v>
      </c>
      <c r="B19" s="79">
        <v>28</v>
      </c>
      <c r="C19" s="79">
        <v>-1</v>
      </c>
      <c r="D19" s="79">
        <v>-4</v>
      </c>
      <c r="E19" s="79">
        <v>1</v>
      </c>
      <c r="F19" s="6">
        <v>19.32</v>
      </c>
      <c r="G19" s="80">
        <v>6525</v>
      </c>
      <c r="H19" s="132" t="s">
        <v>6709</v>
      </c>
      <c r="I19" s="22" t="s">
        <v>6870</v>
      </c>
      <c r="J19" s="102" t="s">
        <v>6409</v>
      </c>
      <c r="K19" s="5"/>
      <c r="L19" s="79">
        <v>1</v>
      </c>
      <c r="M19" s="403">
        <v>0</v>
      </c>
      <c r="N19" s="240">
        <v>1</v>
      </c>
      <c r="O19" s="359">
        <v>691</v>
      </c>
      <c r="P19" s="79">
        <v>1051</v>
      </c>
      <c r="Q19" s="342">
        <v>396</v>
      </c>
      <c r="R19" s="81">
        <v>256</v>
      </c>
      <c r="S19" s="324">
        <v>272</v>
      </c>
      <c r="T19" s="186">
        <v>5.5</v>
      </c>
      <c r="U19" s="426">
        <f>T19/W19</f>
        <v>6.8578553615960103E-2</v>
      </c>
      <c r="V19" s="94">
        <v>7.08</v>
      </c>
      <c r="W19" s="39">
        <f>INDEX('TSE OTC全部'!$W:$W,MATCH($G19,'TSE OTC全部'!$G:$G,0))</f>
        <v>80.2</v>
      </c>
      <c r="Y19" s="430">
        <f>W19-X19</f>
        <v>80.2</v>
      </c>
      <c r="Z19" s="433" t="e">
        <f>Y19/X19</f>
        <v>#DIV/0!</v>
      </c>
      <c r="AA19" s="340">
        <v>-39.47</v>
      </c>
      <c r="AB19" s="389">
        <v>21.9</v>
      </c>
      <c r="AC19" s="22" t="s">
        <v>6870</v>
      </c>
      <c r="AD19" s="84">
        <v>44698</v>
      </c>
      <c r="AF19" s="33">
        <f>AE19-AD19</f>
        <v>-44698</v>
      </c>
      <c r="AG19" s="402" t="s">
        <v>6871</v>
      </c>
      <c r="AH19" s="66">
        <f>AI19/AJ19</f>
        <v>0.39782145394269475</v>
      </c>
      <c r="AI19" s="254">
        <f>INDEX('TSE OTC全部'!$AI:$AI,MATCH($G19,'TSE OTC全部'!$G:$G,0))</f>
        <v>84</v>
      </c>
      <c r="AJ19" s="391">
        <v>211.15</v>
      </c>
      <c r="AM19" s="245"/>
      <c r="AR19" s="402" t="s">
        <v>6830</v>
      </c>
    </row>
    <row r="20" spans="1:44">
      <c r="A20" s="343">
        <v>1248</v>
      </c>
      <c r="B20" s="79">
        <v>102</v>
      </c>
      <c r="C20" s="79">
        <v>193</v>
      </c>
      <c r="D20" s="79">
        <v>2</v>
      </c>
      <c r="E20" s="79">
        <v>39</v>
      </c>
      <c r="F20" s="6">
        <v>35.21</v>
      </c>
      <c r="G20" s="80">
        <v>2303</v>
      </c>
      <c r="H20" s="132" t="s">
        <v>6709</v>
      </c>
      <c r="I20" s="22" t="s">
        <v>5031</v>
      </c>
      <c r="J20" s="102" t="s">
        <v>6409</v>
      </c>
      <c r="K20" s="5"/>
      <c r="L20" s="79">
        <v>5</v>
      </c>
      <c r="M20" s="403">
        <v>0</v>
      </c>
      <c r="N20" s="240">
        <v>5</v>
      </c>
      <c r="O20" s="359">
        <v>703</v>
      </c>
      <c r="P20" s="79">
        <v>178</v>
      </c>
      <c r="Q20" s="342">
        <v>166</v>
      </c>
      <c r="R20" s="81">
        <v>92</v>
      </c>
      <c r="S20" s="324">
        <v>286</v>
      </c>
      <c r="T20" s="186">
        <v>3</v>
      </c>
      <c r="U20" s="426">
        <f>T20/W20</f>
        <v>6.0667340748230533E-2</v>
      </c>
      <c r="V20" s="94">
        <v>5.33</v>
      </c>
      <c r="W20" s="39">
        <f>INDEX('TSE OTC全部'!$W:$W,MATCH($G20,'TSE OTC全部'!$G:$G,0))</f>
        <v>49.45</v>
      </c>
      <c r="Y20" s="430">
        <f>W20-X20</f>
        <v>49.45</v>
      </c>
      <c r="Z20" s="433" t="e">
        <f>Y20/X20</f>
        <v>#DIV/0!</v>
      </c>
      <c r="AA20" s="340">
        <v>-31.32</v>
      </c>
      <c r="AB20" s="389">
        <v>41.94</v>
      </c>
      <c r="AC20" s="22" t="s">
        <v>5031</v>
      </c>
      <c r="AD20" s="84">
        <v>44698</v>
      </c>
      <c r="AF20" s="33">
        <f>AE20-AD20</f>
        <v>-44698</v>
      </c>
      <c r="AG20" s="402" t="s">
        <v>6723</v>
      </c>
      <c r="AH20" s="66">
        <f>AI20/AJ20</f>
        <v>1.2245363555279372</v>
      </c>
      <c r="AI20" s="447">
        <f>INDEX('TSE OTC全部'!$AI:$AI,MATCH($G20,'TSE OTC全部'!$G:$G,0))</f>
        <v>112716</v>
      </c>
      <c r="AJ20" s="391">
        <v>92047.9</v>
      </c>
      <c r="AM20" s="245"/>
      <c r="AR20" s="402" t="s">
        <v>6830</v>
      </c>
    </row>
    <row r="21" spans="1:44">
      <c r="A21" s="343">
        <v>3</v>
      </c>
      <c r="B21" s="79">
        <v>69</v>
      </c>
      <c r="C21" s="79">
        <v>31</v>
      </c>
      <c r="D21" s="79">
        <v>-16</v>
      </c>
      <c r="E21" s="79">
        <v>23</v>
      </c>
      <c r="F21" s="6">
        <v>25.44</v>
      </c>
      <c r="G21" s="80">
        <v>4945</v>
      </c>
      <c r="H21" s="132" t="s">
        <v>6709</v>
      </c>
      <c r="I21" s="22" t="s">
        <v>6872</v>
      </c>
      <c r="J21" s="8">
        <v>5</v>
      </c>
      <c r="K21" s="5"/>
      <c r="L21" s="79">
        <v>1</v>
      </c>
      <c r="M21" s="403">
        <v>0</v>
      </c>
      <c r="N21" s="240">
        <v>1</v>
      </c>
      <c r="O21" s="359">
        <v>615</v>
      </c>
      <c r="P21" s="79">
        <v>451</v>
      </c>
      <c r="Q21" s="342">
        <v>799</v>
      </c>
      <c r="R21" s="81">
        <v>213</v>
      </c>
      <c r="S21" s="324">
        <v>366</v>
      </c>
      <c r="T21" s="186">
        <v>3.2</v>
      </c>
      <c r="U21" s="426">
        <f>T21/W21</f>
        <v>4.2496679946879154E-2</v>
      </c>
      <c r="V21" s="94">
        <v>4.16</v>
      </c>
      <c r="W21" s="39">
        <f>INDEX('TSE OTC全部'!$W:$W,MATCH($G21,'TSE OTC全部'!$G:$G,0))</f>
        <v>75.3</v>
      </c>
      <c r="Y21" s="430">
        <f>W21-X21</f>
        <v>75.3</v>
      </c>
      <c r="Z21" s="433" t="e">
        <f>Y21/X21</f>
        <v>#DIV/0!</v>
      </c>
      <c r="AA21" s="340">
        <v>-30.28</v>
      </c>
      <c r="AB21" s="389">
        <v>25.66</v>
      </c>
      <c r="AC21" s="22" t="s">
        <v>6872</v>
      </c>
      <c r="AD21" s="84">
        <v>44698</v>
      </c>
      <c r="AF21" s="33">
        <f>AE21-AD21</f>
        <v>-44698</v>
      </c>
      <c r="AG21" s="402" t="s">
        <v>6873</v>
      </c>
      <c r="AH21" s="66">
        <f>AI21/AJ21</f>
        <v>1.2260765550239234</v>
      </c>
      <c r="AI21" s="254">
        <f>INDEX('TSE OTC全部'!$AI:$AI,MATCH($G21,'TSE OTC全部'!$G:$G,0))</f>
        <v>205</v>
      </c>
      <c r="AJ21" s="391">
        <v>167.2</v>
      </c>
      <c r="AM21" s="245"/>
      <c r="AR21" s="402" t="s">
        <v>6831</v>
      </c>
    </row>
    <row r="22" spans="1:44">
      <c r="A22" s="343">
        <v>60.85</v>
      </c>
      <c r="B22" s="79">
        <v>89</v>
      </c>
      <c r="C22" s="79">
        <v>84</v>
      </c>
      <c r="D22" s="79">
        <v>-1</v>
      </c>
      <c r="E22" s="79">
        <v>11</v>
      </c>
      <c r="F22" s="6">
        <v>36.369999999999997</v>
      </c>
      <c r="G22" s="80">
        <v>3034</v>
      </c>
      <c r="H22" s="132" t="s">
        <v>6709</v>
      </c>
      <c r="I22" s="22" t="s">
        <v>5289</v>
      </c>
      <c r="J22" s="102" t="s">
        <v>6410</v>
      </c>
      <c r="K22" s="5"/>
      <c r="L22" s="79">
        <v>2</v>
      </c>
      <c r="M22" s="403">
        <v>0</v>
      </c>
      <c r="N22" s="240">
        <v>2</v>
      </c>
      <c r="O22" s="359">
        <v>750</v>
      </c>
      <c r="P22" s="79">
        <v>74</v>
      </c>
      <c r="Q22" s="342">
        <v>82</v>
      </c>
      <c r="R22" s="81">
        <v>50</v>
      </c>
      <c r="S22" s="324">
        <v>223</v>
      </c>
      <c r="T22" s="186">
        <v>51.5</v>
      </c>
      <c r="U22" s="426">
        <f>T22/W22</f>
        <v>0.13154533844189017</v>
      </c>
      <c r="V22" s="94">
        <v>72.510000000000005</v>
      </c>
      <c r="W22" s="39">
        <f>INDEX('TSE OTC全部'!$W:$W,MATCH($G22,'TSE OTC全部'!$G:$G,0))</f>
        <v>391.5</v>
      </c>
      <c r="Y22" s="430">
        <f>W22-X22</f>
        <v>391.5</v>
      </c>
      <c r="Z22" s="433" t="e">
        <f>Y22/X22</f>
        <v>#DIV/0!</v>
      </c>
      <c r="AA22" s="340">
        <v>-32.729999999999997</v>
      </c>
      <c r="AB22" s="389">
        <v>31.92</v>
      </c>
      <c r="AC22" s="22" t="s">
        <v>5289</v>
      </c>
      <c r="AD22" s="84">
        <v>44698</v>
      </c>
      <c r="AF22" s="33">
        <f>AE22-AD22</f>
        <v>-44698</v>
      </c>
      <c r="AG22" s="402" t="s">
        <v>6874</v>
      </c>
      <c r="AH22" s="66">
        <f>AI22/AJ22</f>
        <v>0.96542413826792084</v>
      </c>
      <c r="AI22" s="254">
        <f>INDEX('TSE OTC全部'!$AI:$AI,MATCH($G22,'TSE OTC全部'!$G:$G,0))</f>
        <v>5435</v>
      </c>
      <c r="AJ22" s="391">
        <v>5629.65</v>
      </c>
      <c r="AM22" s="245"/>
      <c r="AR22" s="402" t="s">
        <v>6830</v>
      </c>
    </row>
    <row r="23" spans="1:44">
      <c r="A23" s="343">
        <v>51.28</v>
      </c>
      <c r="B23" s="79">
        <v>69</v>
      </c>
      <c r="C23" s="79">
        <v>77</v>
      </c>
      <c r="D23" s="79">
        <v>-1</v>
      </c>
      <c r="E23" s="79">
        <v>33</v>
      </c>
      <c r="F23" s="6">
        <v>17.82</v>
      </c>
      <c r="G23" s="80">
        <v>2379</v>
      </c>
      <c r="H23" s="132" t="s">
        <v>6709</v>
      </c>
      <c r="I23" s="22" t="s">
        <v>5076</v>
      </c>
      <c r="J23" s="102" t="s">
        <v>6410</v>
      </c>
      <c r="K23" s="5"/>
      <c r="L23" s="79">
        <v>1</v>
      </c>
      <c r="M23" s="403">
        <v>0</v>
      </c>
      <c r="N23" s="240">
        <v>1</v>
      </c>
      <c r="O23" s="359">
        <v>1015</v>
      </c>
      <c r="P23" s="79">
        <v>234</v>
      </c>
      <c r="Q23" s="342">
        <v>75</v>
      </c>
      <c r="R23" s="81">
        <v>89</v>
      </c>
      <c r="S23" s="324">
        <v>650</v>
      </c>
      <c r="T23" s="186">
        <v>27</v>
      </c>
      <c r="U23" s="426">
        <f>T23/W23</f>
        <v>6.323185011709602E-2</v>
      </c>
      <c r="V23" s="94">
        <v>37.17</v>
      </c>
      <c r="W23" s="39">
        <f>INDEX('TSE OTC全部'!$W:$W,MATCH($G23,'TSE OTC全部'!$G:$G,0))</f>
        <v>427</v>
      </c>
      <c r="Y23" s="430">
        <f>W23-X23</f>
        <v>427</v>
      </c>
      <c r="Z23" s="433" t="e">
        <f>Y23/X23</f>
        <v>#DIV/0!</v>
      </c>
      <c r="AA23" s="340">
        <v>-31.24</v>
      </c>
      <c r="AB23" s="389">
        <v>40.19</v>
      </c>
      <c r="AC23" s="22" t="s">
        <v>5076</v>
      </c>
      <c r="AD23" s="84">
        <v>44698</v>
      </c>
      <c r="AF23" s="33">
        <f>AE23-AD23</f>
        <v>-44698</v>
      </c>
      <c r="AG23" s="402" t="s">
        <v>6875</v>
      </c>
      <c r="AH23" s="66">
        <f>AI23/AJ23</f>
        <v>1.727484160718582</v>
      </c>
      <c r="AI23" s="254">
        <f>INDEX('TSE OTC全部'!$AI:$AI,MATCH($G23,'TSE OTC全部'!$G:$G,0))</f>
        <v>4308</v>
      </c>
      <c r="AJ23" s="391">
        <v>2493.8000000000002</v>
      </c>
      <c r="AM23" s="245"/>
      <c r="AR23" s="402" t="s">
        <v>6830</v>
      </c>
    </row>
    <row r="24" spans="1:44">
      <c r="A24" s="343">
        <v>63.56</v>
      </c>
      <c r="B24" s="79">
        <v>11</v>
      </c>
      <c r="C24" s="79">
        <v>6</v>
      </c>
      <c r="D24" s="79">
        <v>-19</v>
      </c>
      <c r="E24" s="79">
        <v>-30</v>
      </c>
      <c r="F24" s="6">
        <v>10.58</v>
      </c>
      <c r="G24" s="80">
        <v>2376</v>
      </c>
      <c r="H24" s="96" t="s">
        <v>6744</v>
      </c>
      <c r="I24" s="22" t="s">
        <v>5074</v>
      </c>
      <c r="J24" s="102" t="s">
        <v>6410</v>
      </c>
      <c r="K24" s="5"/>
      <c r="L24" s="79">
        <v>3</v>
      </c>
      <c r="M24" s="403">
        <v>0</v>
      </c>
      <c r="N24" s="240">
        <v>3</v>
      </c>
      <c r="O24" s="359">
        <v>685</v>
      </c>
      <c r="P24" s="79">
        <v>7</v>
      </c>
      <c r="Q24" s="342">
        <v>277</v>
      </c>
      <c r="R24" s="81">
        <v>49</v>
      </c>
      <c r="S24" s="324">
        <v>134</v>
      </c>
      <c r="T24" s="186">
        <v>12</v>
      </c>
      <c r="U24" s="426">
        <f>T24/W24</f>
        <v>0.11162790697674418</v>
      </c>
      <c r="V24" s="94">
        <v>21.49</v>
      </c>
      <c r="W24" s="39">
        <f>INDEX('TSE OTC全部'!$W:$W,MATCH($G24,'TSE OTC全部'!$G:$G,0))</f>
        <v>107.5</v>
      </c>
      <c r="Y24" s="430">
        <f>W24-X24</f>
        <v>107.5</v>
      </c>
      <c r="Z24" s="433" t="e">
        <f>Y24/X24</f>
        <v>#DIV/0!</v>
      </c>
      <c r="AA24" s="340">
        <v>-34.85</v>
      </c>
      <c r="AB24" s="389">
        <v>10.71</v>
      </c>
      <c r="AC24" s="22" t="s">
        <v>5074</v>
      </c>
      <c r="AD24" s="84">
        <v>44698</v>
      </c>
      <c r="AF24" s="33">
        <f>AE24-AD24</f>
        <v>-44698</v>
      </c>
      <c r="AG24" s="402" t="s">
        <v>6747</v>
      </c>
      <c r="AH24" s="66">
        <f>AI24/AJ24</f>
        <v>0.98518072391357825</v>
      </c>
      <c r="AI24" s="254">
        <f>INDEX('TSE OTC全部'!$AI:$AI,MATCH($G24,'TSE OTC全部'!$G:$G,0))</f>
        <v>5807</v>
      </c>
      <c r="AJ24" s="391">
        <v>5894.35</v>
      </c>
      <c r="AM24" s="245"/>
      <c r="AR24" s="402" t="s">
        <v>6830</v>
      </c>
    </row>
    <row r="25" spans="1:44">
      <c r="A25" s="343">
        <v>52.56</v>
      </c>
      <c r="B25" s="79">
        <v>2</v>
      </c>
      <c r="C25" s="79">
        <v>-1</v>
      </c>
      <c r="D25" s="79">
        <v>-5</v>
      </c>
      <c r="E25" s="79">
        <v>1</v>
      </c>
      <c r="F25" s="6">
        <v>8.83</v>
      </c>
      <c r="G25" s="80">
        <v>3044</v>
      </c>
      <c r="H25" s="96" t="s">
        <v>6707</v>
      </c>
      <c r="I25" s="22" t="s">
        <v>5297</v>
      </c>
      <c r="J25" s="102" t="s">
        <v>6410</v>
      </c>
      <c r="K25" s="5"/>
      <c r="L25" s="79">
        <v>11</v>
      </c>
      <c r="M25" s="403">
        <v>0</v>
      </c>
      <c r="N25" s="240">
        <v>11</v>
      </c>
      <c r="O25" s="359">
        <v>1313</v>
      </c>
      <c r="P25" s="79">
        <v>41</v>
      </c>
      <c r="Q25" s="342">
        <v>110</v>
      </c>
      <c r="R25" s="81">
        <v>35</v>
      </c>
      <c r="S25" s="324">
        <v>440</v>
      </c>
      <c r="T25" s="186">
        <v>7</v>
      </c>
      <c r="U25" s="426">
        <f>T25/W25</f>
        <v>5.9071729957805907E-2</v>
      </c>
      <c r="V25" s="94">
        <v>11.22</v>
      </c>
      <c r="W25" s="39">
        <f>INDEX('TSE OTC全部'!$W:$W,MATCH($G25,'TSE OTC全部'!$G:$G,0))</f>
        <v>118.5</v>
      </c>
      <c r="Y25" s="430">
        <f>W25-X25</f>
        <v>118.5</v>
      </c>
      <c r="Z25" s="433" t="e">
        <f>Y25/X25</f>
        <v>#DIV/0!</v>
      </c>
      <c r="AA25" s="340">
        <v>-14.75</v>
      </c>
      <c r="AB25" s="389">
        <v>18.05</v>
      </c>
      <c r="AC25" s="22" t="s">
        <v>5297</v>
      </c>
      <c r="AD25" s="84">
        <v>44698</v>
      </c>
      <c r="AF25" s="33">
        <f>AE25-AD25</f>
        <v>-44698</v>
      </c>
      <c r="AG25" s="402" t="s">
        <v>6876</v>
      </c>
      <c r="AH25" s="66">
        <f>AI25/AJ25</f>
        <v>0.78123437031109333</v>
      </c>
      <c r="AI25" s="254">
        <f>INDEX('TSE OTC全部'!$AI:$AI,MATCH($G25,'TSE OTC全部'!$G:$G,0))</f>
        <v>781</v>
      </c>
      <c r="AJ25" s="391">
        <v>999.7</v>
      </c>
      <c r="AM25" s="245"/>
      <c r="AR25" s="402" t="s">
        <v>6831</v>
      </c>
    </row>
    <row r="26" spans="1:44">
      <c r="A26" s="343">
        <v>5.85</v>
      </c>
      <c r="B26" s="79">
        <v>11</v>
      </c>
      <c r="C26" s="79">
        <v>9</v>
      </c>
      <c r="D26" s="79">
        <v>-8</v>
      </c>
      <c r="E26" s="79">
        <v>-17</v>
      </c>
      <c r="F26" s="6">
        <v>36.82</v>
      </c>
      <c r="G26" s="80">
        <v>5236</v>
      </c>
      <c r="H26" s="132" t="s">
        <v>6709</v>
      </c>
      <c r="I26" s="22" t="s">
        <v>5654</v>
      </c>
      <c r="J26" s="102" t="s">
        <v>6703</v>
      </c>
      <c r="K26" s="5"/>
      <c r="L26" s="79">
        <v>1</v>
      </c>
      <c r="M26" s="403">
        <v>0</v>
      </c>
      <c r="N26" s="240">
        <v>1</v>
      </c>
      <c r="O26" s="359">
        <v>1062</v>
      </c>
      <c r="P26" s="79">
        <v>825</v>
      </c>
      <c r="Q26" s="342">
        <v>924</v>
      </c>
      <c r="R26" s="81" t="s">
        <v>6279</v>
      </c>
      <c r="S26" s="324">
        <v>801</v>
      </c>
      <c r="T26" s="186">
        <v>10</v>
      </c>
      <c r="U26" s="426">
        <f>T26/W26</f>
        <v>8.4745762711864403E-2</v>
      </c>
      <c r="V26" s="94">
        <v>12</v>
      </c>
      <c r="W26" s="39">
        <f>INDEX('TSE OTC全部'!$W:$W,MATCH($G26,'TSE OTC全部'!$G:$G,0))</f>
        <v>118</v>
      </c>
      <c r="Y26" s="430">
        <f>W26-X26</f>
        <v>118</v>
      </c>
      <c r="Z26" s="433" t="e">
        <f>Y26/X26</f>
        <v>#DIV/0!</v>
      </c>
      <c r="AA26" s="340" t="s">
        <v>6279</v>
      </c>
      <c r="AB26" s="389" t="s">
        <v>6279</v>
      </c>
      <c r="AC26" s="22" t="s">
        <v>5654</v>
      </c>
      <c r="AD26" s="84">
        <v>44698</v>
      </c>
      <c r="AF26" s="33">
        <f>AE26-AD26</f>
        <v>-44698</v>
      </c>
      <c r="AG26" s="402" t="s">
        <v>6877</v>
      </c>
      <c r="AH26" s="66" t="e">
        <f>AI26/AJ26</f>
        <v>#VALUE!</v>
      </c>
      <c r="AI26" s="254">
        <f>INDEX('TSE OTC全部'!$AI:$AI,MATCH($G26,'TSE OTC全部'!$G:$G,0))</f>
        <v>192</v>
      </c>
      <c r="AJ26" s="391" t="s">
        <v>6279</v>
      </c>
      <c r="AM26" s="245"/>
      <c r="AR26" s="402" t="s">
        <v>6279</v>
      </c>
    </row>
    <row r="27" spans="1:44">
      <c r="A27" s="343">
        <v>3</v>
      </c>
      <c r="B27" s="79">
        <v>27</v>
      </c>
      <c r="C27" s="79">
        <v>47</v>
      </c>
      <c r="D27" s="79">
        <v>-91</v>
      </c>
      <c r="E27" s="79">
        <v>-91</v>
      </c>
      <c r="F27" s="6">
        <v>15.01</v>
      </c>
      <c r="G27" s="79">
        <v>6514</v>
      </c>
      <c r="H27" s="96" t="s">
        <v>6712</v>
      </c>
      <c r="I27" s="22" t="s">
        <v>6878</v>
      </c>
      <c r="J27" s="102" t="s">
        <v>6703</v>
      </c>
      <c r="K27" s="5"/>
      <c r="L27" s="79">
        <v>1</v>
      </c>
      <c r="M27" s="403">
        <v>0</v>
      </c>
      <c r="N27" s="240">
        <v>1</v>
      </c>
      <c r="O27" s="359">
        <v>306</v>
      </c>
      <c r="P27" s="79" t="s">
        <v>6279</v>
      </c>
      <c r="Q27" s="342">
        <v>56</v>
      </c>
      <c r="R27" s="81">
        <v>314</v>
      </c>
      <c r="S27" s="324">
        <v>321</v>
      </c>
      <c r="T27" s="186">
        <v>3.2</v>
      </c>
      <c r="U27" s="426">
        <f>T27/W27</f>
        <v>4.8854961832061068E-2</v>
      </c>
      <c r="V27" s="94">
        <v>3.26</v>
      </c>
      <c r="W27" s="39">
        <f>INDEX('TSE OTC全部'!$W:$W,MATCH($G27,'TSE OTC全部'!$G:$G,0))</f>
        <v>65.5</v>
      </c>
      <c r="Y27" s="430">
        <f>W27-X27</f>
        <v>65.5</v>
      </c>
      <c r="Z27" s="433" t="e">
        <f>Y27/X27</f>
        <v>#DIV/0!</v>
      </c>
      <c r="AA27" s="340">
        <v>-29.42</v>
      </c>
      <c r="AB27" s="389">
        <v>38.619999999999997</v>
      </c>
      <c r="AC27" s="22" t="s">
        <v>6878</v>
      </c>
      <c r="AD27" s="84">
        <v>44698</v>
      </c>
      <c r="AF27" s="33">
        <f>AE27-AD27</f>
        <v>-44698</v>
      </c>
      <c r="AG27" s="402" t="s">
        <v>6879</v>
      </c>
      <c r="AH27" s="66">
        <f>AI27/AJ27</f>
        <v>0.70372259051504338</v>
      </c>
      <c r="AI27" s="254">
        <f>INDEX('TSE OTC全部'!$AI:$AI,MATCH($G27,'TSE OTC全部'!$G:$G,0))</f>
        <v>207</v>
      </c>
      <c r="AJ27" s="391">
        <v>294.14999999999998</v>
      </c>
      <c r="AM27" s="245"/>
      <c r="AR27" s="402" t="s">
        <v>6831</v>
      </c>
    </row>
    <row r="28" spans="1:44">
      <c r="A28" s="343">
        <v>41.99</v>
      </c>
      <c r="B28" s="79">
        <v>22</v>
      </c>
      <c r="C28" s="79">
        <v>24</v>
      </c>
      <c r="D28" s="79">
        <v>2</v>
      </c>
      <c r="E28" s="79">
        <v>46</v>
      </c>
      <c r="F28" s="6">
        <v>15.13</v>
      </c>
      <c r="G28" s="79">
        <v>2211</v>
      </c>
      <c r="H28" s="132" t="s">
        <v>6740</v>
      </c>
      <c r="I28" s="22" t="s">
        <v>5017</v>
      </c>
      <c r="J28" s="102" t="s">
        <v>6703</v>
      </c>
      <c r="K28" s="5"/>
      <c r="L28" s="79">
        <v>4</v>
      </c>
      <c r="M28" s="403">
        <v>0</v>
      </c>
      <c r="N28" s="240">
        <v>4</v>
      </c>
      <c r="O28" s="359">
        <v>1259</v>
      </c>
      <c r="P28" s="79">
        <v>1123</v>
      </c>
      <c r="Q28" s="342">
        <v>1026</v>
      </c>
      <c r="R28" s="81" t="s">
        <v>6279</v>
      </c>
      <c r="S28" s="324">
        <v>1002</v>
      </c>
      <c r="T28" s="186">
        <v>3</v>
      </c>
      <c r="U28" s="426">
        <f>T28/W28</f>
        <v>4.8543689320388349E-2</v>
      </c>
      <c r="V28" s="94">
        <v>3.29</v>
      </c>
      <c r="W28" s="39">
        <f>INDEX('TSE OTC全部'!$W:$W,MATCH($G28,'TSE OTC全部'!$G:$G,0))</f>
        <v>61.8</v>
      </c>
      <c r="Y28" s="430">
        <f>W28-X28</f>
        <v>61.8</v>
      </c>
      <c r="Z28" s="433" t="e">
        <f>Y28/X28</f>
        <v>#DIV/0!</v>
      </c>
      <c r="AA28" s="340">
        <v>-16.260000000000002</v>
      </c>
      <c r="AB28" s="389">
        <v>50.82</v>
      </c>
      <c r="AC28" s="22" t="s">
        <v>5017</v>
      </c>
      <c r="AD28" s="84">
        <v>44698</v>
      </c>
      <c r="AF28" s="33">
        <f>AE28-AD28</f>
        <v>-44698</v>
      </c>
      <c r="AG28" s="402" t="s">
        <v>6741</v>
      </c>
      <c r="AH28" s="66">
        <f>AI28/AJ28</f>
        <v>2.0022260697501855</v>
      </c>
      <c r="AI28" s="254">
        <f>INDEX('TSE OTC全部'!$AI:$AI,MATCH($G28,'TSE OTC全部'!$G:$G,0))</f>
        <v>1619</v>
      </c>
      <c r="AJ28" s="391">
        <v>808.6</v>
      </c>
      <c r="AM28" s="245"/>
      <c r="AR28" s="402" t="s">
        <v>6832</v>
      </c>
    </row>
    <row r="29" spans="1:44">
      <c r="A29" s="343">
        <v>18.72</v>
      </c>
      <c r="B29" s="79">
        <v>8</v>
      </c>
      <c r="C29" s="79">
        <v>-23</v>
      </c>
      <c r="D29" s="79">
        <v>4</v>
      </c>
      <c r="E29" s="79">
        <v>-9</v>
      </c>
      <c r="F29" s="6">
        <v>3.63</v>
      </c>
      <c r="G29" s="80">
        <v>3015</v>
      </c>
      <c r="H29" s="96" t="s">
        <v>6707</v>
      </c>
      <c r="I29" s="22" t="s">
        <v>5273</v>
      </c>
      <c r="J29" s="102" t="s">
        <v>6419</v>
      </c>
      <c r="K29" s="5"/>
      <c r="L29" s="79">
        <v>1</v>
      </c>
      <c r="M29" s="403">
        <v>0</v>
      </c>
      <c r="N29" s="240">
        <v>1</v>
      </c>
      <c r="O29" s="359">
        <v>822</v>
      </c>
      <c r="P29" s="79">
        <v>990</v>
      </c>
      <c r="Q29" s="342">
        <v>459</v>
      </c>
      <c r="R29" s="81">
        <v>476</v>
      </c>
      <c r="S29" s="324">
        <v>1002</v>
      </c>
      <c r="T29" s="186">
        <v>3.3</v>
      </c>
      <c r="U29" s="426">
        <f>T29/W29</f>
        <v>8.0291970802919707E-2</v>
      </c>
      <c r="V29" s="94">
        <v>4.04</v>
      </c>
      <c r="W29" s="39">
        <f>INDEX('TSE OTC全部'!$W:$W,MATCH($G29,'TSE OTC全部'!$G:$G,0))</f>
        <v>41.1</v>
      </c>
      <c r="Y29" s="430">
        <f>W29-X29</f>
        <v>41.1</v>
      </c>
      <c r="Z29" s="433" t="e">
        <f>Y29/X29</f>
        <v>#DIV/0!</v>
      </c>
      <c r="AA29" s="340">
        <v>-17.39</v>
      </c>
      <c r="AB29" s="389">
        <v>20.67</v>
      </c>
      <c r="AC29" s="22" t="s">
        <v>5273</v>
      </c>
      <c r="AD29" s="84">
        <v>44698</v>
      </c>
      <c r="AF29" s="33">
        <f>AE29-AD29</f>
        <v>-44698</v>
      </c>
      <c r="AG29" s="402" t="s">
        <v>6880</v>
      </c>
      <c r="AH29" s="66">
        <f>AI29/AJ29</f>
        <v>0.93371757925072041</v>
      </c>
      <c r="AI29" s="254">
        <f>INDEX('TSE OTC全部'!$AI:$AI,MATCH($G29,'TSE OTC全部'!$G:$G,0))</f>
        <v>81</v>
      </c>
      <c r="AJ29" s="391">
        <v>86.75</v>
      </c>
      <c r="AM29" s="245"/>
      <c r="AR29" s="402" t="s">
        <v>6831</v>
      </c>
    </row>
    <row r="30" spans="1:44">
      <c r="B30" s="79"/>
      <c r="C30" s="79"/>
      <c r="D30" s="79"/>
      <c r="E30" s="79"/>
      <c r="F30" s="6"/>
      <c r="G30" s="80"/>
      <c r="H30" s="96"/>
      <c r="I30" s="22"/>
      <c r="J30" s="102"/>
      <c r="K30" s="5"/>
      <c r="L30" s="79"/>
      <c r="M30" s="403"/>
      <c r="N30" s="240"/>
      <c r="O30" s="359"/>
      <c r="Q30" s="342"/>
      <c r="R30" s="81"/>
      <c r="S30" s="324"/>
      <c r="T30" s="186"/>
      <c r="U30" s="426"/>
      <c r="W30" s="39"/>
      <c r="Z30" s="433"/>
      <c r="AC30" s="22"/>
      <c r="AF30" s="33"/>
      <c r="AG30" s="402"/>
      <c r="AH30" s="66"/>
      <c r="AI30" s="254"/>
      <c r="AJ30" s="391"/>
      <c r="AM30" s="245"/>
      <c r="AR30" s="402"/>
    </row>
    <row r="31" spans="1:44">
      <c r="A31" s="343">
        <v>8.5399999999999991</v>
      </c>
      <c r="B31" s="79">
        <v>168</v>
      </c>
      <c r="C31" s="79">
        <v>146</v>
      </c>
      <c r="D31" s="79">
        <v>0</v>
      </c>
      <c r="E31" s="79">
        <v>40</v>
      </c>
      <c r="F31" s="6">
        <v>26.21</v>
      </c>
      <c r="G31" s="80">
        <v>6781</v>
      </c>
      <c r="H31" s="132" t="s">
        <v>6707</v>
      </c>
      <c r="I31" s="22" t="s">
        <v>5948</v>
      </c>
      <c r="J31" s="8">
        <v>6</v>
      </c>
      <c r="K31" s="5"/>
      <c r="L31" s="79">
        <v>1</v>
      </c>
      <c r="M31" s="403">
        <v>0</v>
      </c>
      <c r="N31" s="240">
        <v>1</v>
      </c>
      <c r="O31" s="359">
        <v>879</v>
      </c>
      <c r="P31" s="79">
        <v>808</v>
      </c>
      <c r="Q31" s="342">
        <v>10</v>
      </c>
      <c r="R31" s="81">
        <v>83</v>
      </c>
      <c r="S31" s="324">
        <v>368</v>
      </c>
      <c r="T31" s="186">
        <v>15</v>
      </c>
      <c r="U31" s="426">
        <f t="shared" ref="U31:U42" si="12">T31/W31</f>
        <v>1.3888888888888888E-2</v>
      </c>
      <c r="V31" s="94">
        <v>30.47</v>
      </c>
      <c r="W31" s="39">
        <f>INDEX('TSE OTC全部'!$W:$W,MATCH($G31,'TSE OTC全部'!$G:$G,0))</f>
        <v>1080</v>
      </c>
      <c r="X31" s="207">
        <v>1115</v>
      </c>
      <c r="Y31" s="431">
        <f t="shared" ref="Y31:Y42" si="13">W31-X31</f>
        <v>-35</v>
      </c>
      <c r="Z31" s="433">
        <f t="shared" ref="Z31:Z42" si="14">Y31/X31</f>
        <v>-3.1390134529147982E-2</v>
      </c>
      <c r="AA31" s="340">
        <v>-50.57</v>
      </c>
      <c r="AB31" s="389">
        <v>16.170000000000002</v>
      </c>
      <c r="AC31" s="22" t="s">
        <v>5948</v>
      </c>
      <c r="AD31" s="84">
        <v>44697</v>
      </c>
      <c r="AF31" s="33">
        <f t="shared" ref="AF31:AF42" si="15">AE31-AD31</f>
        <v>-44697</v>
      </c>
      <c r="AG31" s="402" t="s">
        <v>6708</v>
      </c>
      <c r="AH31" s="66">
        <f t="shared" ref="AH31:AH42" si="16">AI31/AJ31</f>
        <v>1.6409623689080814</v>
      </c>
      <c r="AI31" s="254">
        <f>INDEX('TSE OTC全部'!$AI:$AI,MATCH($G31,'TSE OTC全部'!$G:$G,0))</f>
        <v>1463</v>
      </c>
      <c r="AJ31" s="391">
        <v>891.55</v>
      </c>
      <c r="AM31" s="245"/>
      <c r="AR31" s="402" t="str">
        <f>INDEX(基本資料!N:N,MATCH($G31,基本資料!A:A,0))</f>
        <v>低</v>
      </c>
    </row>
    <row r="32" spans="1:44">
      <c r="A32" s="343">
        <v>7.61</v>
      </c>
      <c r="B32" s="79">
        <v>24</v>
      </c>
      <c r="C32" s="79">
        <v>22</v>
      </c>
      <c r="D32" s="79">
        <v>729</v>
      </c>
      <c r="E32" s="79">
        <v>45</v>
      </c>
      <c r="F32" s="6">
        <v>56.84</v>
      </c>
      <c r="G32" s="80">
        <v>3529</v>
      </c>
      <c r="H32" s="132" t="s">
        <v>6709</v>
      </c>
      <c r="I32" s="16" t="s">
        <v>5432</v>
      </c>
      <c r="J32" s="8">
        <v>6</v>
      </c>
      <c r="K32" s="5"/>
      <c r="L32" s="79">
        <v>1</v>
      </c>
      <c r="M32" s="403">
        <v>0</v>
      </c>
      <c r="N32" s="240">
        <v>1</v>
      </c>
      <c r="O32" s="359">
        <v>844</v>
      </c>
      <c r="P32" s="79">
        <v>13</v>
      </c>
      <c r="Q32" s="342">
        <v>53</v>
      </c>
      <c r="R32" s="81">
        <v>13</v>
      </c>
      <c r="S32" s="324">
        <v>497</v>
      </c>
      <c r="T32" s="186">
        <v>14</v>
      </c>
      <c r="U32" s="426">
        <f t="shared" si="12"/>
        <v>1.064638783269962E-2</v>
      </c>
      <c r="V32" s="94">
        <v>15.76</v>
      </c>
      <c r="W32" s="39">
        <f>INDEX('TSE OTC全部'!$W:$W,MATCH($G32,'TSE OTC全部'!$G:$G,0))</f>
        <v>1315</v>
      </c>
      <c r="X32" s="207">
        <v>1405</v>
      </c>
      <c r="Y32" s="431">
        <f t="shared" si="13"/>
        <v>-90</v>
      </c>
      <c r="Z32" s="433">
        <f t="shared" si="14"/>
        <v>-6.4056939501779361E-2</v>
      </c>
      <c r="AA32" s="340">
        <v>-49.8</v>
      </c>
      <c r="AB32" s="389">
        <v>22.51</v>
      </c>
      <c r="AC32" s="16" t="s">
        <v>5432</v>
      </c>
      <c r="AD32" s="84">
        <v>44697</v>
      </c>
      <c r="AF32" s="33">
        <f t="shared" si="15"/>
        <v>-44697</v>
      </c>
      <c r="AG32" s="402" t="s">
        <v>6798</v>
      </c>
      <c r="AH32" s="66">
        <f t="shared" si="16"/>
        <v>1.3730655251893316</v>
      </c>
      <c r="AI32" s="254">
        <f>INDEX('TSE OTC全部'!$AI:$AI,MATCH($G32,'TSE OTC全部'!$G:$G,0))</f>
        <v>1668</v>
      </c>
      <c r="AJ32" s="391">
        <v>1214.8</v>
      </c>
      <c r="AM32" s="245"/>
      <c r="AR32" s="402" t="str">
        <f>INDEX(基本資料!N:N,MATCH($G32,基本資料!A:A,0))</f>
        <v>低</v>
      </c>
    </row>
    <row r="33" spans="1:44">
      <c r="A33" s="343">
        <v>3.42</v>
      </c>
      <c r="B33" s="79">
        <v>-8</v>
      </c>
      <c r="C33" s="79">
        <v>-11</v>
      </c>
      <c r="D33" s="79">
        <v>-12</v>
      </c>
      <c r="E33" s="79">
        <v>21</v>
      </c>
      <c r="F33" s="6">
        <v>20.5</v>
      </c>
      <c r="G33" s="80">
        <v>6515</v>
      </c>
      <c r="H33" s="132" t="s">
        <v>6709</v>
      </c>
      <c r="I33" s="22" t="s">
        <v>5896</v>
      </c>
      <c r="J33" s="8" t="s">
        <v>6799</v>
      </c>
      <c r="K33" s="5"/>
      <c r="L33" s="79">
        <v>3</v>
      </c>
      <c r="M33" s="403">
        <v>0</v>
      </c>
      <c r="N33" s="240">
        <v>3</v>
      </c>
      <c r="O33" s="359">
        <v>810</v>
      </c>
      <c r="P33" s="79">
        <v>1039</v>
      </c>
      <c r="Q33" s="342">
        <v>602</v>
      </c>
      <c r="R33" s="81">
        <v>26</v>
      </c>
      <c r="S33" s="324">
        <v>114</v>
      </c>
      <c r="T33" s="186">
        <v>11</v>
      </c>
      <c r="U33" s="426">
        <f t="shared" si="12"/>
        <v>2.9689608636977057E-2</v>
      </c>
      <c r="V33" s="94">
        <v>14.48</v>
      </c>
      <c r="W33" s="39">
        <f>INDEX('TSE OTC全部'!$W:$W,MATCH($G33,'TSE OTC全部'!$G:$G,0))</f>
        <v>370.5</v>
      </c>
      <c r="X33" s="207">
        <v>370</v>
      </c>
      <c r="Y33" s="430">
        <f t="shared" si="13"/>
        <v>0.5</v>
      </c>
      <c r="Z33" s="433">
        <f t="shared" si="14"/>
        <v>1.3513513513513514E-3</v>
      </c>
      <c r="AA33" s="340">
        <v>-30.27</v>
      </c>
      <c r="AB33" s="389">
        <v>16.510000000000002</v>
      </c>
      <c r="AC33" s="22" t="s">
        <v>5896</v>
      </c>
      <c r="AD33" s="84">
        <v>44697</v>
      </c>
      <c r="AF33" s="33">
        <f t="shared" si="15"/>
        <v>-44697</v>
      </c>
      <c r="AG33" s="402" t="s">
        <v>6800</v>
      </c>
      <c r="AH33" s="66">
        <f t="shared" si="16"/>
        <v>4.1316572940787299</v>
      </c>
      <c r="AI33" s="254">
        <f>INDEX('TSE OTC全部'!$AI:$AI,MATCH($G33,'TSE OTC全部'!$G:$G,0))</f>
        <v>1249</v>
      </c>
      <c r="AJ33" s="391">
        <v>302.3</v>
      </c>
      <c r="AM33" s="245"/>
      <c r="AR33" s="402" t="str">
        <f>INDEX(基本資料!N:N,MATCH($G33,基本資料!A:A,0))</f>
        <v>中</v>
      </c>
    </row>
    <row r="34" spans="1:44">
      <c r="A34" s="343">
        <v>43.72</v>
      </c>
      <c r="B34" s="79">
        <v>-9</v>
      </c>
      <c r="C34" s="79">
        <v>49</v>
      </c>
      <c r="D34" s="79">
        <v>-8</v>
      </c>
      <c r="E34" s="79">
        <v>5</v>
      </c>
      <c r="F34" s="6">
        <v>36.130000000000003</v>
      </c>
      <c r="G34" s="80">
        <v>6488</v>
      </c>
      <c r="H34" s="132" t="s">
        <v>6709</v>
      </c>
      <c r="I34" s="16" t="s">
        <v>5885</v>
      </c>
      <c r="J34" s="8">
        <v>6</v>
      </c>
      <c r="K34" s="5"/>
      <c r="L34" s="79">
        <v>1</v>
      </c>
      <c r="M34" s="403">
        <v>0</v>
      </c>
      <c r="N34" s="240">
        <v>1</v>
      </c>
      <c r="O34" s="359">
        <v>941</v>
      </c>
      <c r="P34" s="79">
        <v>297</v>
      </c>
      <c r="Q34" s="342">
        <v>199</v>
      </c>
      <c r="R34" s="81">
        <v>155</v>
      </c>
      <c r="S34" s="324">
        <v>605</v>
      </c>
      <c r="T34" s="186">
        <v>8</v>
      </c>
      <c r="U34" s="426">
        <f t="shared" si="12"/>
        <v>1.4260249554367201E-2</v>
      </c>
      <c r="V34" s="94">
        <v>25.1</v>
      </c>
      <c r="W34" s="39">
        <f>INDEX('TSE OTC全部'!$W:$W,MATCH($G34,'TSE OTC全部'!$G:$G,0))</f>
        <v>561</v>
      </c>
      <c r="X34" s="207">
        <v>572</v>
      </c>
      <c r="Y34" s="430">
        <f t="shared" si="13"/>
        <v>-11</v>
      </c>
      <c r="Z34" s="433">
        <f t="shared" si="14"/>
        <v>-1.9230769230769232E-2</v>
      </c>
      <c r="AA34" s="340">
        <v>-47.12</v>
      </c>
      <c r="AB34" s="389">
        <v>16.45</v>
      </c>
      <c r="AC34" s="16" t="s">
        <v>5885</v>
      </c>
      <c r="AD34" s="84">
        <v>44697</v>
      </c>
      <c r="AF34" s="33">
        <f t="shared" si="15"/>
        <v>-44697</v>
      </c>
      <c r="AG34" s="402" t="s">
        <v>6722</v>
      </c>
      <c r="AH34" s="66">
        <f t="shared" si="16"/>
        <v>1.6918518518518519</v>
      </c>
      <c r="AI34" s="254">
        <f>INDEX('TSE OTC全部'!$AI:$AI,MATCH($G34,'TSE OTC全部'!$G:$G,0))</f>
        <v>4568</v>
      </c>
      <c r="AJ34" s="391">
        <v>2700</v>
      </c>
      <c r="AM34" s="245"/>
      <c r="AR34" s="402" t="str">
        <f>INDEX(基本資料!N:N,MATCH($G34,基本資料!A:A,0))</f>
        <v>低</v>
      </c>
    </row>
    <row r="35" spans="1:44">
      <c r="A35" s="343">
        <v>13.4</v>
      </c>
      <c r="B35" s="79">
        <v>77</v>
      </c>
      <c r="C35" s="79">
        <v>78</v>
      </c>
      <c r="D35" s="79">
        <v>17</v>
      </c>
      <c r="E35" s="79">
        <v>75</v>
      </c>
      <c r="F35" s="6">
        <v>14.02</v>
      </c>
      <c r="G35" s="80">
        <v>3443</v>
      </c>
      <c r="H35" s="132" t="s">
        <v>6709</v>
      </c>
      <c r="I35" s="22" t="s">
        <v>5407</v>
      </c>
      <c r="J35" s="8" t="s">
        <v>6413</v>
      </c>
      <c r="K35" s="5"/>
      <c r="L35" s="79">
        <v>2</v>
      </c>
      <c r="M35" s="403">
        <v>0</v>
      </c>
      <c r="N35" s="240">
        <v>2</v>
      </c>
      <c r="O35" s="359">
        <v>752</v>
      </c>
      <c r="P35" s="79">
        <v>41</v>
      </c>
      <c r="Q35" s="342">
        <v>132</v>
      </c>
      <c r="R35" s="81">
        <v>36</v>
      </c>
      <c r="S35" s="324">
        <v>87</v>
      </c>
      <c r="T35" s="186">
        <v>7</v>
      </c>
      <c r="U35" s="426">
        <f t="shared" si="12"/>
        <v>1.3539651837524178E-2</v>
      </c>
      <c r="V35" s="94">
        <v>12.67</v>
      </c>
      <c r="W35" s="39">
        <f>INDEX('TSE OTC全部'!$W:$W,MATCH($G35,'TSE OTC全部'!$G:$G,0))</f>
        <v>517</v>
      </c>
      <c r="X35" s="207">
        <v>529</v>
      </c>
      <c r="Y35" s="430">
        <f t="shared" si="13"/>
        <v>-12</v>
      </c>
      <c r="Z35" s="433">
        <f t="shared" si="14"/>
        <v>-2.2684310018903593E-2</v>
      </c>
      <c r="AA35" s="340">
        <v>-23.6</v>
      </c>
      <c r="AB35" s="389">
        <v>58.08</v>
      </c>
      <c r="AC35" s="22" t="s">
        <v>5407</v>
      </c>
      <c r="AD35" s="84">
        <v>44697</v>
      </c>
      <c r="AF35" s="33">
        <f t="shared" si="15"/>
        <v>-44697</v>
      </c>
      <c r="AG35" s="402" t="s">
        <v>6742</v>
      </c>
      <c r="AH35" s="66">
        <f t="shared" si="16"/>
        <v>1.4563263722764594</v>
      </c>
      <c r="AI35" s="254">
        <f>INDEX('TSE OTC全部'!$AI:$AI,MATCH($G35,'TSE OTC全部'!$G:$G,0))</f>
        <v>4505</v>
      </c>
      <c r="AJ35" s="391">
        <v>3093.4</v>
      </c>
      <c r="AM35" s="245"/>
      <c r="AR35" s="402" t="str">
        <f>INDEX(基本資料!N:N,MATCH($G35,基本資料!A:A,0))</f>
        <v>中</v>
      </c>
    </row>
    <row r="36" spans="1:44">
      <c r="A36" s="343">
        <v>9.52</v>
      </c>
      <c r="B36" s="79">
        <v>109</v>
      </c>
      <c r="C36" s="79">
        <v>54</v>
      </c>
      <c r="D36" s="79">
        <v>-5</v>
      </c>
      <c r="E36" s="79">
        <v>21</v>
      </c>
      <c r="F36" s="6">
        <v>44.64</v>
      </c>
      <c r="G36" s="80">
        <v>2059</v>
      </c>
      <c r="H36" s="132" t="s">
        <v>6707</v>
      </c>
      <c r="I36" s="22" t="s">
        <v>4997</v>
      </c>
      <c r="J36" s="102" t="s">
        <v>6415</v>
      </c>
      <c r="K36" s="5"/>
      <c r="L36" s="79">
        <v>1</v>
      </c>
      <c r="M36" s="403">
        <v>0</v>
      </c>
      <c r="N36" s="240">
        <v>1</v>
      </c>
      <c r="O36" s="359">
        <v>1140</v>
      </c>
      <c r="P36" s="79">
        <v>312</v>
      </c>
      <c r="Q36" s="342">
        <v>310</v>
      </c>
      <c r="R36" s="81">
        <v>188</v>
      </c>
      <c r="S36" s="324">
        <v>563</v>
      </c>
      <c r="T36" s="186">
        <v>10.88</v>
      </c>
      <c r="U36" s="426">
        <f t="shared" si="12"/>
        <v>2.4868571428571431E-2</v>
      </c>
      <c r="V36" s="94">
        <v>26.75</v>
      </c>
      <c r="W36" s="39">
        <f>INDEX('TSE OTC全部'!$W:$W,MATCH($G36,'TSE OTC全部'!$G:$G,0))</f>
        <v>437.5</v>
      </c>
      <c r="X36" s="207">
        <v>443.5</v>
      </c>
      <c r="Y36" s="430">
        <f t="shared" si="13"/>
        <v>-6</v>
      </c>
      <c r="Z36" s="433">
        <f t="shared" si="14"/>
        <v>-1.3528748590755355E-2</v>
      </c>
      <c r="AA36" s="340">
        <v>-21.15</v>
      </c>
      <c r="AB36" s="389">
        <v>42.98</v>
      </c>
      <c r="AC36" s="22" t="s">
        <v>4997</v>
      </c>
      <c r="AD36" s="84">
        <v>44697</v>
      </c>
      <c r="AF36" s="33">
        <f t="shared" si="15"/>
        <v>-44697</v>
      </c>
      <c r="AG36" s="402" t="s">
        <v>6802</v>
      </c>
      <c r="AH36" s="66">
        <f t="shared" si="16"/>
        <v>1.0551984039015738</v>
      </c>
      <c r="AI36" s="254">
        <f>INDEX('TSE OTC全部'!$AI:$AI,MATCH($G36,'TSE OTC全部'!$G:$G,0))</f>
        <v>238</v>
      </c>
      <c r="AJ36" s="391">
        <v>225.55</v>
      </c>
      <c r="AM36" s="245"/>
      <c r="AR36" s="402" t="str">
        <f>INDEX(基本資料!N:N,MATCH($G36,基本資料!A:A,0))</f>
        <v>中</v>
      </c>
    </row>
    <row r="37" spans="1:44">
      <c r="A37" s="343">
        <v>58.62</v>
      </c>
      <c r="B37" s="79">
        <v>-22</v>
      </c>
      <c r="C37" s="79">
        <v>56</v>
      </c>
      <c r="D37" s="79">
        <v>-8</v>
      </c>
      <c r="E37" s="79">
        <v>9</v>
      </c>
      <c r="F37" s="6">
        <v>33.06</v>
      </c>
      <c r="G37" s="80">
        <v>5483</v>
      </c>
      <c r="H37" s="132" t="s">
        <v>6709</v>
      </c>
      <c r="I37" s="16" t="s">
        <v>5701</v>
      </c>
      <c r="J37" s="102" t="s">
        <v>6415</v>
      </c>
      <c r="K37" s="5"/>
      <c r="L37" s="79">
        <v>1</v>
      </c>
      <c r="M37" s="403">
        <v>0</v>
      </c>
      <c r="N37" s="240">
        <v>1</v>
      </c>
      <c r="O37" s="359">
        <v>611</v>
      </c>
      <c r="P37" s="79">
        <v>267</v>
      </c>
      <c r="Q37" s="342">
        <v>254</v>
      </c>
      <c r="R37" s="81">
        <v>45</v>
      </c>
      <c r="S37" s="324">
        <v>303</v>
      </c>
      <c r="T37" s="186">
        <v>4.5</v>
      </c>
      <c r="U37" s="426">
        <f t="shared" si="12"/>
        <v>2.8391167192429023E-2</v>
      </c>
      <c r="V37" s="94">
        <v>11.28</v>
      </c>
      <c r="W37" s="39">
        <f>INDEX('TSE OTC全部'!$W:$W,MATCH($G37,'TSE OTC全部'!$G:$G,0))</f>
        <v>158.5</v>
      </c>
      <c r="X37" s="207">
        <v>163</v>
      </c>
      <c r="Y37" s="430">
        <f t="shared" si="13"/>
        <v>-4.5</v>
      </c>
      <c r="Z37" s="433">
        <f t="shared" si="14"/>
        <v>-2.7607361963190184E-2</v>
      </c>
      <c r="AA37" s="340">
        <v>-38.96</v>
      </c>
      <c r="AB37" s="389">
        <v>24.08</v>
      </c>
      <c r="AC37" s="16" t="s">
        <v>5701</v>
      </c>
      <c r="AD37" s="84">
        <v>44697</v>
      </c>
      <c r="AF37" s="33">
        <f t="shared" si="15"/>
        <v>-44697</v>
      </c>
      <c r="AG37" s="402" t="s">
        <v>6803</v>
      </c>
      <c r="AH37" s="66">
        <f t="shared" si="16"/>
        <v>1.9189106116632362</v>
      </c>
      <c r="AI37" s="254">
        <f>INDEX('TSE OTC全部'!$AI:$AI,MATCH($G37,'TSE OTC全部'!$G:$G,0))</f>
        <v>10301</v>
      </c>
      <c r="AJ37" s="391">
        <v>5368.15</v>
      </c>
      <c r="AM37" s="245"/>
      <c r="AR37" s="402" t="str">
        <f>INDEX(基本資料!N:N,MATCH($G37,基本資料!A:A,0))</f>
        <v>低</v>
      </c>
    </row>
    <row r="38" spans="1:44">
      <c r="A38" s="343">
        <v>14.33</v>
      </c>
      <c r="B38" s="79">
        <v>137</v>
      </c>
      <c r="C38" s="79">
        <v>170</v>
      </c>
      <c r="D38" s="79">
        <v>-18</v>
      </c>
      <c r="E38" s="79">
        <v>30</v>
      </c>
      <c r="F38" s="6">
        <v>12</v>
      </c>
      <c r="G38" s="80">
        <v>2636</v>
      </c>
      <c r="H38" s="132" t="s">
        <v>6716</v>
      </c>
      <c r="I38" s="22" t="s">
        <v>5198</v>
      </c>
      <c r="J38" s="8">
        <v>4</v>
      </c>
      <c r="K38" s="5"/>
      <c r="L38" s="79">
        <v>1</v>
      </c>
      <c r="M38" s="403">
        <v>0</v>
      </c>
      <c r="N38" s="240">
        <v>1</v>
      </c>
      <c r="O38" s="359">
        <v>91</v>
      </c>
      <c r="P38" s="79">
        <v>178</v>
      </c>
      <c r="Q38" s="342">
        <v>428</v>
      </c>
      <c r="R38" s="81">
        <v>494</v>
      </c>
      <c r="S38" s="324">
        <v>41</v>
      </c>
      <c r="T38" s="186">
        <v>13</v>
      </c>
      <c r="U38" s="426">
        <f t="shared" si="12"/>
        <v>0.11063829787234042</v>
      </c>
      <c r="V38" s="94">
        <v>33.549999999999997</v>
      </c>
      <c r="W38" s="39">
        <f>INDEX('TSE OTC全部'!$W:$W,MATCH($G38,'TSE OTC全部'!$G:$G,0))</f>
        <v>117.5</v>
      </c>
      <c r="X38" s="207">
        <v>118.5</v>
      </c>
      <c r="Y38" s="430">
        <f t="shared" si="13"/>
        <v>-1</v>
      </c>
      <c r="Z38" s="433">
        <f t="shared" si="14"/>
        <v>-8.4388185654008432E-3</v>
      </c>
      <c r="AA38" s="340">
        <v>-64.33</v>
      </c>
      <c r="AB38" s="389">
        <v>17.84</v>
      </c>
      <c r="AC38" s="22" t="s">
        <v>5198</v>
      </c>
      <c r="AD38" s="84">
        <v>44697</v>
      </c>
      <c r="AF38" s="33">
        <f t="shared" si="15"/>
        <v>-44697</v>
      </c>
      <c r="AG38" s="402" t="s">
        <v>6804</v>
      </c>
      <c r="AH38" s="66">
        <f t="shared" si="16"/>
        <v>1.0047560331160825</v>
      </c>
      <c r="AI38" s="254">
        <f>INDEX('TSE OTC全部'!$AI:$AI,MATCH($G38,'TSE OTC全部'!$G:$G,0))</f>
        <v>1426</v>
      </c>
      <c r="AJ38" s="391">
        <v>1419.25</v>
      </c>
      <c r="AM38" s="245"/>
      <c r="AR38" s="402" t="str">
        <f>INDEX(基本資料!N:N,MATCH($G38,基本資料!A:A,0))</f>
        <v>低</v>
      </c>
    </row>
    <row r="39" spans="1:44">
      <c r="A39" s="343">
        <v>9.31</v>
      </c>
      <c r="B39" s="79">
        <v>29</v>
      </c>
      <c r="C39" s="79">
        <v>98</v>
      </c>
      <c r="D39" s="79">
        <v>118</v>
      </c>
      <c r="E39" s="79">
        <v>275</v>
      </c>
      <c r="F39" s="6">
        <v>39.17</v>
      </c>
      <c r="G39" s="79">
        <v>4736</v>
      </c>
      <c r="H39" s="96" t="s">
        <v>6752</v>
      </c>
      <c r="I39" s="16" t="s">
        <v>5591</v>
      </c>
      <c r="J39" s="8">
        <v>24</v>
      </c>
      <c r="K39" s="5"/>
      <c r="L39" s="79">
        <v>2</v>
      </c>
      <c r="M39" s="403">
        <v>0</v>
      </c>
      <c r="N39" s="240">
        <v>2</v>
      </c>
      <c r="O39" s="359">
        <v>289</v>
      </c>
      <c r="P39" s="79">
        <v>280</v>
      </c>
      <c r="Q39" s="342">
        <v>371</v>
      </c>
      <c r="R39" s="81">
        <v>342</v>
      </c>
      <c r="S39" s="324">
        <v>271</v>
      </c>
      <c r="T39" s="186">
        <v>15</v>
      </c>
      <c r="U39" s="426">
        <f t="shared" si="12"/>
        <v>6.6666666666666666E-2</v>
      </c>
      <c r="V39" s="94">
        <v>22.83</v>
      </c>
      <c r="W39" s="39">
        <f>INDEX('TSE OTC全部'!$W:$W,MATCH($G39,'TSE OTC全部'!$G:$G,0))</f>
        <v>225</v>
      </c>
      <c r="X39" s="207">
        <v>231.5</v>
      </c>
      <c r="Y39" s="430">
        <f t="shared" si="13"/>
        <v>-6.5</v>
      </c>
      <c r="Z39" s="433">
        <f t="shared" si="14"/>
        <v>-2.8077753779697623E-2</v>
      </c>
      <c r="AA39" s="340">
        <v>-27.42</v>
      </c>
      <c r="AB39" s="389">
        <v>58.78</v>
      </c>
      <c r="AC39" s="16" t="s">
        <v>5591</v>
      </c>
      <c r="AD39" s="84">
        <v>44697</v>
      </c>
      <c r="AF39" s="33">
        <f t="shared" si="15"/>
        <v>-44697</v>
      </c>
      <c r="AG39" s="402" t="s">
        <v>6805</v>
      </c>
      <c r="AH39" s="66">
        <f t="shared" si="16"/>
        <v>0.72659699609594763</v>
      </c>
      <c r="AI39" s="254">
        <f>INDEX('TSE OTC全部'!$AI:$AI,MATCH($G39,'TSE OTC全部'!$G:$G,0))</f>
        <v>4262</v>
      </c>
      <c r="AJ39" s="391">
        <v>5865.7</v>
      </c>
      <c r="AM39" s="245"/>
      <c r="AR39" s="402" t="str">
        <f>INDEX(基本資料!N:N,MATCH($G39,基本資料!A:A,0))</f>
        <v>中</v>
      </c>
    </row>
    <row r="40" spans="1:44">
      <c r="A40" s="343">
        <v>7.81</v>
      </c>
      <c r="B40" s="79">
        <v>-11</v>
      </c>
      <c r="C40" s="79">
        <v>-17</v>
      </c>
      <c r="D40" s="79">
        <v>-11</v>
      </c>
      <c r="E40" s="79">
        <v>-18</v>
      </c>
      <c r="F40" s="6">
        <v>16.37</v>
      </c>
      <c r="G40" s="79">
        <v>3530</v>
      </c>
      <c r="H40" s="96" t="s">
        <v>6709</v>
      </c>
      <c r="I40" s="22" t="s">
        <v>5433</v>
      </c>
      <c r="J40" s="102" t="s">
        <v>6806</v>
      </c>
      <c r="K40" s="5"/>
      <c r="L40" s="79">
        <v>7</v>
      </c>
      <c r="M40" s="403">
        <v>0</v>
      </c>
      <c r="N40" s="240">
        <v>7</v>
      </c>
      <c r="O40" s="359">
        <v>252</v>
      </c>
      <c r="P40" s="79">
        <v>260</v>
      </c>
      <c r="Q40" s="342">
        <v>98</v>
      </c>
      <c r="R40" s="81">
        <v>458</v>
      </c>
      <c r="S40" s="324">
        <v>114</v>
      </c>
      <c r="T40" s="186">
        <v>3.5</v>
      </c>
      <c r="U40" s="426">
        <f t="shared" si="12"/>
        <v>2.8688524590163935E-2</v>
      </c>
      <c r="V40" s="94">
        <v>9.44</v>
      </c>
      <c r="W40" s="39">
        <f>INDEX('TSE OTC全部'!$W:$W,MATCH($G40,'TSE OTC全部'!$G:$G,0))</f>
        <v>122</v>
      </c>
      <c r="X40" s="207">
        <v>124.5</v>
      </c>
      <c r="Y40" s="430">
        <f t="shared" si="13"/>
        <v>-2.5</v>
      </c>
      <c r="Z40" s="433">
        <f t="shared" si="14"/>
        <v>-2.0080321285140562E-2</v>
      </c>
      <c r="AA40" s="340">
        <v>-50.31</v>
      </c>
      <c r="AB40" s="389">
        <v>74.489999999999995</v>
      </c>
      <c r="AC40" s="22" t="s">
        <v>5433</v>
      </c>
      <c r="AD40" s="84">
        <v>44697</v>
      </c>
      <c r="AF40" s="33">
        <f t="shared" si="15"/>
        <v>-44697</v>
      </c>
      <c r="AG40" s="402" t="s">
        <v>6807</v>
      </c>
      <c r="AH40" s="66">
        <f t="shared" si="16"/>
        <v>0.17102504689396447</v>
      </c>
      <c r="AI40" s="254">
        <f>INDEX('TSE OTC全部'!$AI:$AI,MATCH($G40,'TSE OTC全部'!$G:$G,0))</f>
        <v>155</v>
      </c>
      <c r="AJ40" s="391">
        <v>906.3</v>
      </c>
      <c r="AM40" s="245"/>
      <c r="AR40" s="402" t="str">
        <f>INDEX(基本資料!N:N,MATCH($G40,基本資料!A:A,0))</f>
        <v>低</v>
      </c>
    </row>
    <row r="41" spans="1:44">
      <c r="A41" s="343">
        <v>19.7</v>
      </c>
      <c r="B41" s="79">
        <v>29</v>
      </c>
      <c r="C41" s="79">
        <v>34</v>
      </c>
      <c r="D41" s="79">
        <v>-7</v>
      </c>
      <c r="E41" s="79">
        <v>15</v>
      </c>
      <c r="F41" s="6">
        <v>14.38</v>
      </c>
      <c r="G41" s="80">
        <v>8299</v>
      </c>
      <c r="H41" s="96" t="s">
        <v>6709</v>
      </c>
      <c r="I41" s="16" t="s">
        <v>6010</v>
      </c>
      <c r="J41" s="102" t="s">
        <v>6419</v>
      </c>
      <c r="K41" s="5"/>
      <c r="L41" s="79">
        <v>2</v>
      </c>
      <c r="M41" s="403">
        <v>0</v>
      </c>
      <c r="N41" s="240">
        <v>2</v>
      </c>
      <c r="O41" s="359">
        <v>366</v>
      </c>
      <c r="P41" s="79">
        <v>105</v>
      </c>
      <c r="Q41" s="342">
        <v>133</v>
      </c>
      <c r="R41" s="81">
        <v>82</v>
      </c>
      <c r="S41" s="324">
        <v>191</v>
      </c>
      <c r="T41" s="186">
        <v>13</v>
      </c>
      <c r="U41" s="426">
        <f t="shared" si="12"/>
        <v>3.462050599201065E-2</v>
      </c>
      <c r="V41" s="94">
        <v>43.87</v>
      </c>
      <c r="W41" s="39">
        <f>INDEX('TSE OTC全部'!$W:$W,MATCH($G41,'TSE OTC全部'!$G:$G,0))</f>
        <v>375.5</v>
      </c>
      <c r="X41" s="207">
        <v>387</v>
      </c>
      <c r="Y41" s="430">
        <f t="shared" si="13"/>
        <v>-11.5</v>
      </c>
      <c r="Z41" s="433">
        <f t="shared" si="14"/>
        <v>-2.9715762273901807E-2</v>
      </c>
      <c r="AA41" s="340">
        <v>-32.11</v>
      </c>
      <c r="AB41" s="389">
        <v>11.25</v>
      </c>
      <c r="AC41" s="16" t="s">
        <v>6010</v>
      </c>
      <c r="AD41" s="84">
        <v>44697</v>
      </c>
      <c r="AF41" s="33">
        <f t="shared" si="15"/>
        <v>-44697</v>
      </c>
      <c r="AG41" s="402" t="s">
        <v>6808</v>
      </c>
      <c r="AH41" s="66">
        <f t="shared" si="16"/>
        <v>0.87461890243902451</v>
      </c>
      <c r="AI41" s="254">
        <f>INDEX('TSE OTC全部'!$AI:$AI,MATCH($G41,'TSE OTC全部'!$G:$G,0))</f>
        <v>1836</v>
      </c>
      <c r="AJ41" s="391">
        <v>2099.1999999999998</v>
      </c>
      <c r="AM41" s="245"/>
      <c r="AR41" s="402" t="str">
        <f>INDEX(基本資料!N:N,MATCH($G41,基本資料!A:A,0))</f>
        <v>低</v>
      </c>
    </row>
    <row r="42" spans="1:44">
      <c r="A42" s="343">
        <v>7.45</v>
      </c>
      <c r="B42" s="79">
        <v>-7</v>
      </c>
      <c r="C42" s="79">
        <v>-11</v>
      </c>
      <c r="D42" s="79">
        <v>-37</v>
      </c>
      <c r="E42" s="79">
        <v>14</v>
      </c>
      <c r="F42" s="6">
        <v>9.1</v>
      </c>
      <c r="G42" s="80">
        <v>1599</v>
      </c>
      <c r="H42" s="96" t="s">
        <v>6809</v>
      </c>
      <c r="I42" s="16" t="s">
        <v>4907</v>
      </c>
      <c r="J42" s="102" t="s">
        <v>6419</v>
      </c>
      <c r="K42" s="5"/>
      <c r="L42" s="79">
        <v>1</v>
      </c>
      <c r="M42" s="403">
        <v>0</v>
      </c>
      <c r="N42" s="240">
        <v>1</v>
      </c>
      <c r="O42" s="359">
        <v>584</v>
      </c>
      <c r="P42" s="79">
        <v>928</v>
      </c>
      <c r="Q42" s="342">
        <v>383</v>
      </c>
      <c r="R42" s="81" t="s">
        <v>6279</v>
      </c>
      <c r="S42" s="324">
        <v>747</v>
      </c>
      <c r="T42" s="186">
        <v>3</v>
      </c>
      <c r="U42" s="426">
        <f t="shared" si="12"/>
        <v>6.3157894736842107E-2</v>
      </c>
      <c r="V42" s="94">
        <v>4.7</v>
      </c>
      <c r="W42" s="39">
        <f>INDEX('TSE OTC全部'!$W:$W,MATCH($G42,'TSE OTC全部'!$G:$G,0))</f>
        <v>47.5</v>
      </c>
      <c r="X42" s="207">
        <v>48.25</v>
      </c>
      <c r="Y42" s="430">
        <f t="shared" si="13"/>
        <v>-0.75</v>
      </c>
      <c r="Z42" s="433">
        <f t="shared" si="14"/>
        <v>-1.5544041450777202E-2</v>
      </c>
      <c r="AA42" s="340">
        <v>-24.27</v>
      </c>
      <c r="AB42" s="389">
        <v>25.51</v>
      </c>
      <c r="AC42" s="16" t="s">
        <v>4907</v>
      </c>
      <c r="AD42" s="84">
        <v>44697</v>
      </c>
      <c r="AF42" s="33">
        <f t="shared" si="15"/>
        <v>-44697</v>
      </c>
      <c r="AG42" s="402" t="s">
        <v>6810</v>
      </c>
      <c r="AH42" s="66">
        <f t="shared" si="16"/>
        <v>0.19125683060109289</v>
      </c>
      <c r="AI42" s="254">
        <f>INDEX('TSE OTC全部'!$AI:$AI,MATCH($G42,'TSE OTC全部'!$G:$G,0))</f>
        <v>154</v>
      </c>
      <c r="AJ42" s="391">
        <v>805.2</v>
      </c>
      <c r="AM42" s="245"/>
      <c r="AR42" s="402" t="str">
        <f>INDEX(基本資料!N:N,MATCH($G42,基本資料!A:A,0))</f>
        <v>中</v>
      </c>
    </row>
    <row r="43" spans="1:44">
      <c r="B43" s="79"/>
      <c r="C43" s="79"/>
      <c r="D43" s="79"/>
      <c r="E43" s="79"/>
      <c r="F43" s="6"/>
      <c r="G43" s="80"/>
      <c r="H43" s="96"/>
      <c r="I43" s="22"/>
      <c r="J43" s="102"/>
      <c r="K43" s="5"/>
      <c r="L43" s="79"/>
      <c r="M43" s="403"/>
      <c r="N43" s="240"/>
      <c r="O43" s="359"/>
      <c r="Q43" s="342"/>
      <c r="R43" s="81"/>
      <c r="S43" s="324"/>
      <c r="T43" s="186"/>
      <c r="U43" s="426"/>
      <c r="W43" s="39"/>
      <c r="Z43" s="433"/>
      <c r="AC43" s="97"/>
      <c r="AF43" s="33"/>
      <c r="AG43" s="402"/>
      <c r="AH43" s="66"/>
      <c r="AI43" s="254"/>
      <c r="AJ43" s="391"/>
      <c r="AM43" s="245"/>
      <c r="AR43" s="385"/>
    </row>
    <row r="44" spans="1:44">
      <c r="A44" s="343">
        <v>7.12</v>
      </c>
      <c r="B44" s="79">
        <v>78</v>
      </c>
      <c r="C44" s="79">
        <v>85</v>
      </c>
      <c r="D44" s="79">
        <v>6</v>
      </c>
      <c r="E44" s="79">
        <v>-9</v>
      </c>
      <c r="F44" s="6">
        <v>17.53</v>
      </c>
      <c r="G44" s="80">
        <v>3661</v>
      </c>
      <c r="H44" s="132" t="s">
        <v>6709</v>
      </c>
      <c r="I44" s="22" t="s">
        <v>6710</v>
      </c>
      <c r="J44" s="8">
        <v>62</v>
      </c>
      <c r="K44" s="5"/>
      <c r="L44" s="79">
        <v>2</v>
      </c>
      <c r="M44" s="403">
        <v>0</v>
      </c>
      <c r="N44" s="240">
        <v>2</v>
      </c>
      <c r="O44" s="359">
        <v>436</v>
      </c>
      <c r="P44" s="79">
        <v>127</v>
      </c>
      <c r="Q44" s="342">
        <v>51</v>
      </c>
      <c r="R44" s="81">
        <v>6</v>
      </c>
      <c r="S44" s="324">
        <v>39</v>
      </c>
      <c r="T44" s="186">
        <v>10.59</v>
      </c>
      <c r="U44" s="426">
        <f t="shared" ref="U44:U48" si="17">T44/W44</f>
        <v>1.1792873051224945E-2</v>
      </c>
      <c r="V44" s="94">
        <v>21.4</v>
      </c>
      <c r="W44" s="39">
        <f>INDEX('TSE OTC全部'!$W:$W,MATCH($G44,'TSE OTC全部'!$G:$G,0))</f>
        <v>898</v>
      </c>
      <c r="X44" s="207">
        <v>950</v>
      </c>
      <c r="Y44" s="430">
        <f t="shared" ref="Y44:Y48" si="18">W44-X44</f>
        <v>-52</v>
      </c>
      <c r="Z44" s="433">
        <f t="shared" ref="Z44:Z48" si="19">Y44/X44</f>
        <v>-5.473684210526316E-2</v>
      </c>
      <c r="AA44" s="340">
        <v>-29.21</v>
      </c>
      <c r="AB44" s="389">
        <v>33.369999999999997</v>
      </c>
      <c r="AC44" s="23" t="s">
        <v>6710</v>
      </c>
      <c r="AD44" s="84">
        <v>44694</v>
      </c>
      <c r="AF44" s="33">
        <f t="shared" ref="AF44:AF48" si="20">AE44-AD44</f>
        <v>-44694</v>
      </c>
      <c r="AG44" s="402" t="s">
        <v>6711</v>
      </c>
      <c r="AH44" s="66">
        <f t="shared" ref="AH44:AH48" si="21">AI44/AJ44</f>
        <v>0.86656908589266979</v>
      </c>
      <c r="AI44" s="254">
        <f>INDEX('TSE OTC全部'!$AI:$AI,MATCH($G44,'TSE OTC全部'!$G:$G,0))</f>
        <v>3345</v>
      </c>
      <c r="AJ44" s="391">
        <v>3860.05</v>
      </c>
      <c r="AM44" s="245"/>
      <c r="AR44" s="402" t="str">
        <f>INDEX(基本資料!N:N,MATCH($G44,基本資料!A:A,0))</f>
        <v>中</v>
      </c>
    </row>
    <row r="45" spans="1:44">
      <c r="A45" s="343">
        <v>9.4</v>
      </c>
      <c r="B45" s="79">
        <v>121</v>
      </c>
      <c r="C45" s="79">
        <v>95</v>
      </c>
      <c r="D45" s="79">
        <v>3</v>
      </c>
      <c r="E45" s="79">
        <v>30</v>
      </c>
      <c r="F45" s="6">
        <v>17.04</v>
      </c>
      <c r="G45" s="79">
        <v>6223</v>
      </c>
      <c r="H45" s="132" t="s">
        <v>6709</v>
      </c>
      <c r="I45" s="16" t="s">
        <v>5818</v>
      </c>
      <c r="J45" s="8" t="s">
        <v>6770</v>
      </c>
      <c r="K45" s="5">
        <v>7</v>
      </c>
      <c r="L45" s="79">
        <v>3</v>
      </c>
      <c r="M45" s="403">
        <v>1</v>
      </c>
      <c r="N45" s="240">
        <v>2</v>
      </c>
      <c r="O45" s="359">
        <v>53</v>
      </c>
      <c r="P45" s="79">
        <v>582</v>
      </c>
      <c r="Q45" s="342">
        <v>852</v>
      </c>
      <c r="R45" s="81">
        <v>43</v>
      </c>
      <c r="S45" s="324">
        <v>43</v>
      </c>
      <c r="T45" s="186">
        <v>4</v>
      </c>
      <c r="U45" s="426">
        <f t="shared" si="17"/>
        <v>4.0983606557377053E-2</v>
      </c>
      <c r="V45" s="94">
        <v>9.2100000000000009</v>
      </c>
      <c r="W45" s="39">
        <f>INDEX('TSE OTC全部'!$W:$W,MATCH($G45,'TSE OTC全部'!$G:$G,0))</f>
        <v>97.6</v>
      </c>
      <c r="X45" s="207">
        <v>103</v>
      </c>
      <c r="Y45" s="430">
        <f t="shared" si="18"/>
        <v>-5.4000000000000057</v>
      </c>
      <c r="Z45" s="433">
        <f t="shared" si="19"/>
        <v>-5.2427184466019475E-2</v>
      </c>
      <c r="AA45" s="340">
        <v>-42.25</v>
      </c>
      <c r="AB45" s="389">
        <v>37.020000000000003</v>
      </c>
      <c r="AC45" s="97" t="s">
        <v>5818</v>
      </c>
      <c r="AD45" s="84">
        <v>44694</v>
      </c>
      <c r="AF45" s="33">
        <f t="shared" si="20"/>
        <v>-44694</v>
      </c>
      <c r="AG45" s="402" t="s">
        <v>6746</v>
      </c>
      <c r="AH45" s="66">
        <f t="shared" si="21"/>
        <v>3.3065322265200572</v>
      </c>
      <c r="AI45" s="254">
        <f>INDEX('TSE OTC全部'!$AI:$AI,MATCH($G45,'TSE OTC全部'!$G:$G,0))</f>
        <v>3804</v>
      </c>
      <c r="AJ45" s="391">
        <v>1150.45</v>
      </c>
      <c r="AK45" s="50" t="s">
        <v>6755</v>
      </c>
      <c r="AM45" s="245"/>
      <c r="AR45" s="402" t="str">
        <f>INDEX(基本資料!N:N,MATCH($G45,基本資料!A:A,0))</f>
        <v>低</v>
      </c>
    </row>
    <row r="46" spans="1:44">
      <c r="A46" s="343">
        <v>84.48</v>
      </c>
      <c r="B46" s="79">
        <v>14</v>
      </c>
      <c r="C46" s="79">
        <v>-4</v>
      </c>
      <c r="D46" s="79">
        <v>-12</v>
      </c>
      <c r="E46" s="79">
        <v>3</v>
      </c>
      <c r="F46" s="6">
        <v>8.98</v>
      </c>
      <c r="G46" s="80">
        <v>2377</v>
      </c>
      <c r="H46" s="132" t="s">
        <v>6744</v>
      </c>
      <c r="I46" s="22" t="s">
        <v>5075</v>
      </c>
      <c r="J46" s="102" t="s">
        <v>6415</v>
      </c>
      <c r="K46" s="5"/>
      <c r="L46" s="79">
        <v>19</v>
      </c>
      <c r="M46" s="403">
        <v>0</v>
      </c>
      <c r="N46" s="240">
        <v>19</v>
      </c>
      <c r="O46" s="359">
        <v>1088</v>
      </c>
      <c r="P46" s="79">
        <v>21</v>
      </c>
      <c r="Q46" s="342">
        <v>143</v>
      </c>
      <c r="R46" s="81">
        <v>38</v>
      </c>
      <c r="S46" s="324">
        <v>563</v>
      </c>
      <c r="T46" s="186">
        <v>10.5</v>
      </c>
      <c r="U46" s="426">
        <f t="shared" si="17"/>
        <v>8.2352941176470587E-2</v>
      </c>
      <c r="V46" s="94">
        <v>20.74</v>
      </c>
      <c r="W46" s="39">
        <f>INDEX('TSE OTC全部'!$W:$W,MATCH($G46,'TSE OTC全部'!$G:$G,0))</f>
        <v>127.5</v>
      </c>
      <c r="X46" s="207">
        <v>130.5</v>
      </c>
      <c r="Y46" s="430">
        <f t="shared" si="18"/>
        <v>-3</v>
      </c>
      <c r="Z46" s="433">
        <f t="shared" si="19"/>
        <v>-2.2988505747126436E-2</v>
      </c>
      <c r="AA46" s="340">
        <v>-30.91</v>
      </c>
      <c r="AB46" s="389">
        <v>20.83</v>
      </c>
      <c r="AC46" s="23" t="s">
        <v>5075</v>
      </c>
      <c r="AD46" s="84">
        <v>44694</v>
      </c>
      <c r="AF46" s="33">
        <f t="shared" si="20"/>
        <v>-44694</v>
      </c>
      <c r="AG46" s="402" t="s">
        <v>6747</v>
      </c>
      <c r="AH46" s="66">
        <f t="shared" si="21"/>
        <v>1.0491138372773881</v>
      </c>
      <c r="AI46" s="254">
        <f>INDEX('TSE OTC全部'!$AI:$AI,MATCH($G46,'TSE OTC全部'!$G:$G,0))</f>
        <v>3673</v>
      </c>
      <c r="AJ46" s="391">
        <v>3501.05</v>
      </c>
      <c r="AM46" s="245"/>
      <c r="AR46" s="402" t="str">
        <f>INDEX(基本資料!N:N,MATCH($G46,基本資料!A:A,0))</f>
        <v>低</v>
      </c>
    </row>
    <row r="47" spans="1:44">
      <c r="A47" s="343">
        <v>8.61</v>
      </c>
      <c r="B47" s="79">
        <v>108</v>
      </c>
      <c r="C47" s="79">
        <v>105</v>
      </c>
      <c r="D47" s="79">
        <v>-4</v>
      </c>
      <c r="E47" s="79">
        <v>16</v>
      </c>
      <c r="F47" s="6">
        <v>29.7</v>
      </c>
      <c r="G47" s="80">
        <v>8081</v>
      </c>
      <c r="H47" s="132" t="s">
        <v>6709</v>
      </c>
      <c r="I47" s="22" t="s">
        <v>5973</v>
      </c>
      <c r="J47" s="8">
        <v>32</v>
      </c>
      <c r="K47" s="5"/>
      <c r="L47" s="79">
        <v>2</v>
      </c>
      <c r="M47" s="403">
        <v>0</v>
      </c>
      <c r="N47" s="240">
        <v>2</v>
      </c>
      <c r="O47" s="359">
        <v>408</v>
      </c>
      <c r="P47" s="79">
        <v>341</v>
      </c>
      <c r="Q47" s="342">
        <v>274</v>
      </c>
      <c r="R47" s="81">
        <v>309</v>
      </c>
      <c r="S47" s="324">
        <v>253</v>
      </c>
      <c r="T47" s="186">
        <v>16</v>
      </c>
      <c r="U47" s="426">
        <f t="shared" si="17"/>
        <v>7.4592074592074592E-2</v>
      </c>
      <c r="V47" s="94">
        <v>28.81</v>
      </c>
      <c r="W47" s="39">
        <f>INDEX('TSE OTC全部'!$W:$W,MATCH($G47,'TSE OTC全部'!$G:$G,0))</f>
        <v>214.5</v>
      </c>
      <c r="X47" s="207">
        <v>221</v>
      </c>
      <c r="Y47" s="430">
        <f t="shared" si="18"/>
        <v>-6.5</v>
      </c>
      <c r="Z47" s="433">
        <f t="shared" si="19"/>
        <v>-2.9411764705882353E-2</v>
      </c>
      <c r="AA47" s="340">
        <v>-25.75</v>
      </c>
      <c r="AB47" s="389">
        <v>31.8</v>
      </c>
      <c r="AC47" s="23" t="s">
        <v>5973</v>
      </c>
      <c r="AD47" s="84">
        <v>44694</v>
      </c>
      <c r="AF47" s="33">
        <f t="shared" si="20"/>
        <v>-44694</v>
      </c>
      <c r="AG47" s="402" t="s">
        <v>6751</v>
      </c>
      <c r="AH47" s="66">
        <f t="shared" si="21"/>
        <v>2.6561003222154489</v>
      </c>
      <c r="AI47" s="254">
        <f>INDEX('TSE OTC全部'!$AI:$AI,MATCH($G47,'TSE OTC全部'!$G:$G,0))</f>
        <v>1525</v>
      </c>
      <c r="AJ47" s="391">
        <v>574.15</v>
      </c>
      <c r="AK47" s="50" t="s">
        <v>6755</v>
      </c>
      <c r="AM47" s="245"/>
      <c r="AR47" s="402" t="str">
        <f>INDEX(基本資料!N:N,MATCH($G47,基本資料!A:A,0))</f>
        <v>低</v>
      </c>
    </row>
    <row r="48" spans="1:44">
      <c r="A48" s="343">
        <v>6.18</v>
      </c>
      <c r="B48" s="79">
        <v>445</v>
      </c>
      <c r="C48" s="79">
        <v>173</v>
      </c>
      <c r="D48" s="79">
        <v>14</v>
      </c>
      <c r="E48" s="79">
        <v>83</v>
      </c>
      <c r="F48" s="6">
        <v>26.48</v>
      </c>
      <c r="G48" s="80">
        <v>6712</v>
      </c>
      <c r="H48" s="96" t="s">
        <v>6752</v>
      </c>
      <c r="I48" s="16" t="s">
        <v>6412</v>
      </c>
      <c r="J48" s="102" t="s">
        <v>6419</v>
      </c>
      <c r="K48" s="5"/>
      <c r="L48" s="79">
        <v>1</v>
      </c>
      <c r="M48" s="403">
        <v>0</v>
      </c>
      <c r="N48" s="240">
        <v>1</v>
      </c>
      <c r="O48" s="359">
        <v>1135</v>
      </c>
      <c r="P48" s="79">
        <v>230</v>
      </c>
      <c r="Q48" s="342">
        <v>1009</v>
      </c>
      <c r="R48" s="81">
        <v>213</v>
      </c>
      <c r="S48" s="324">
        <v>497</v>
      </c>
      <c r="T48" s="186">
        <v>6</v>
      </c>
      <c r="U48" s="426">
        <f t="shared" si="17"/>
        <v>3.1746031746031744E-2</v>
      </c>
      <c r="V48" s="94">
        <v>6.06</v>
      </c>
      <c r="W48" s="39">
        <f>INDEX('TSE OTC全部'!$W:$W,MATCH($G48,'TSE OTC全部'!$G:$G,0))</f>
        <v>189</v>
      </c>
      <c r="X48" s="207">
        <v>192.5</v>
      </c>
      <c r="Y48" s="430">
        <f t="shared" si="18"/>
        <v>-3.5</v>
      </c>
      <c r="Z48" s="433">
        <f t="shared" si="19"/>
        <v>-1.8181818181818181E-2</v>
      </c>
      <c r="AA48" s="340">
        <v>-59.96</v>
      </c>
      <c r="AB48" s="389">
        <v>35.799999999999997</v>
      </c>
      <c r="AC48" s="23" t="s">
        <v>6412</v>
      </c>
      <c r="AD48" s="84">
        <v>44694</v>
      </c>
      <c r="AF48" s="33">
        <f t="shared" si="20"/>
        <v>-44694</v>
      </c>
      <c r="AG48" s="402" t="s">
        <v>6753</v>
      </c>
      <c r="AH48" s="66">
        <f t="shared" si="21"/>
        <v>0.49957329482045559</v>
      </c>
      <c r="AI48" s="254">
        <f>INDEX('TSE OTC全部'!$AI:$AI,MATCH($G48,'TSE OTC全部'!$G:$G,0))</f>
        <v>761</v>
      </c>
      <c r="AJ48" s="391">
        <v>1523.3</v>
      </c>
      <c r="AM48" s="245"/>
      <c r="AR48" s="402" t="str">
        <f>INDEX(基本資料!N:N,MATCH($G48,基本資料!A:A,0))</f>
        <v>低</v>
      </c>
    </row>
    <row r="49" spans="1:44">
      <c r="A49" s="343">
        <v>636</v>
      </c>
      <c r="B49" s="79">
        <v>10</v>
      </c>
      <c r="C49" s="79">
        <v>3</v>
      </c>
      <c r="D49" s="79">
        <v>-5</v>
      </c>
      <c r="E49" s="79">
        <v>3</v>
      </c>
      <c r="F49" s="6">
        <v>18.77</v>
      </c>
      <c r="G49" s="80">
        <v>1301</v>
      </c>
      <c r="H49" s="96" t="s">
        <v>6714</v>
      </c>
      <c r="I49" s="22" t="s">
        <v>4800</v>
      </c>
      <c r="J49" s="102" t="s">
        <v>6415</v>
      </c>
      <c r="K49" s="5" t="s">
        <v>6794</v>
      </c>
      <c r="L49" s="79">
        <v>1</v>
      </c>
      <c r="M49" s="403">
        <v>1</v>
      </c>
      <c r="N49" s="240">
        <v>0</v>
      </c>
      <c r="O49" s="359">
        <v>1422</v>
      </c>
      <c r="P49" s="79">
        <v>252</v>
      </c>
      <c r="Q49" s="342">
        <v>135</v>
      </c>
      <c r="R49" s="81">
        <v>159</v>
      </c>
      <c r="S49" s="324">
        <v>497</v>
      </c>
      <c r="T49" s="186">
        <v>8.1999999999999993</v>
      </c>
      <c r="U49" s="426">
        <f t="shared" ref="U49:U54" si="22">T49/W49</f>
        <v>7.9999999999999988E-2</v>
      </c>
      <c r="V49" s="94">
        <v>11.46</v>
      </c>
      <c r="W49" s="39">
        <f>INDEX('TSE OTC全部'!$W:$W,MATCH($G49,'TSE OTC全部'!$G:$G,0))</f>
        <v>102.5</v>
      </c>
      <c r="X49" s="207">
        <v>102.5</v>
      </c>
      <c r="Y49" s="430">
        <f t="shared" ref="Y49:Y54" si="23">W49-X49</f>
        <v>0</v>
      </c>
      <c r="Z49" s="433">
        <f t="shared" ref="Z49:Z54" si="24">Y49/X49</f>
        <v>0</v>
      </c>
      <c r="AA49" s="340">
        <v>-15.7</v>
      </c>
      <c r="AB49" s="389">
        <v>33.17</v>
      </c>
      <c r="AC49" s="97" t="s">
        <v>4800</v>
      </c>
      <c r="AD49" s="84">
        <v>44693</v>
      </c>
      <c r="AF49" s="33">
        <f t="shared" ref="AF49:AF54" si="25">AE49-AD49</f>
        <v>-44693</v>
      </c>
      <c r="AG49" s="402" t="s">
        <v>6715</v>
      </c>
      <c r="AH49" s="66">
        <f t="shared" ref="AH49:AH88" si="26">AI49/AJ49</f>
        <v>0.8936726872145595</v>
      </c>
      <c r="AI49" s="254">
        <f>INDEX('TSE OTC全部'!$AI:$AI,MATCH($G49,'TSE OTC全部'!$G:$G,0))</f>
        <v>5841</v>
      </c>
      <c r="AJ49" s="391">
        <v>6535.95</v>
      </c>
      <c r="AM49" s="245"/>
      <c r="AR49" s="402" t="str">
        <f>INDEX(基本資料!N:N,MATCH($G49,基本資料!A:A,0))</f>
        <v>低</v>
      </c>
    </row>
    <row r="50" spans="1:44">
      <c r="A50" s="343">
        <v>76.36</v>
      </c>
      <c r="B50" s="79">
        <v>200</v>
      </c>
      <c r="C50" s="79">
        <v>180</v>
      </c>
      <c r="D50" s="79">
        <v>9</v>
      </c>
      <c r="E50" s="79">
        <v>73</v>
      </c>
      <c r="F50" s="6">
        <v>48.27</v>
      </c>
      <c r="G50" s="79">
        <v>2637</v>
      </c>
      <c r="H50" s="132" t="s">
        <v>6716</v>
      </c>
      <c r="I50" s="22" t="s">
        <v>6717</v>
      </c>
      <c r="J50" s="102" t="s">
        <v>6415</v>
      </c>
      <c r="K50" s="5"/>
      <c r="L50" s="79">
        <v>1</v>
      </c>
      <c r="M50" s="403">
        <v>0</v>
      </c>
      <c r="N50" s="240">
        <v>1</v>
      </c>
      <c r="O50" s="359">
        <v>705</v>
      </c>
      <c r="P50" s="79">
        <v>207</v>
      </c>
      <c r="Q50" s="342">
        <v>260</v>
      </c>
      <c r="R50" s="81">
        <v>77</v>
      </c>
      <c r="S50" s="324">
        <v>149</v>
      </c>
      <c r="T50" s="186">
        <v>5.5</v>
      </c>
      <c r="U50" s="426">
        <f t="shared" si="22"/>
        <v>5.7591623036649213E-2</v>
      </c>
      <c r="V50" s="94">
        <v>13.44</v>
      </c>
      <c r="W50" s="39">
        <f>INDEX('TSE OTC全部'!$W:$W,MATCH($G50,'TSE OTC全部'!$G:$G,0))</f>
        <v>95.5</v>
      </c>
      <c r="X50" s="207">
        <v>100.5</v>
      </c>
      <c r="Y50" s="430">
        <f t="shared" si="23"/>
        <v>-5</v>
      </c>
      <c r="Z50" s="433">
        <f t="shared" si="24"/>
        <v>-4.975124378109453E-2</v>
      </c>
      <c r="AA50" s="340">
        <v>-19.010000000000002</v>
      </c>
      <c r="AB50" s="341">
        <v>66.819999999999993</v>
      </c>
      <c r="AC50" s="23" t="s">
        <v>6717</v>
      </c>
      <c r="AD50" s="84">
        <v>44693</v>
      </c>
      <c r="AF50" s="33">
        <f t="shared" si="25"/>
        <v>-44693</v>
      </c>
      <c r="AG50" s="402" t="s">
        <v>6718</v>
      </c>
      <c r="AH50" s="66">
        <f t="shared" si="26"/>
        <v>0.71697098305325191</v>
      </c>
      <c r="AI50" s="254">
        <f>INDEX('TSE OTC全部'!$AI:$AI,MATCH($G50,'TSE OTC全部'!$G:$G,0))</f>
        <v>24259</v>
      </c>
      <c r="AJ50" s="391">
        <v>33835.4</v>
      </c>
      <c r="AM50" s="245"/>
      <c r="AR50" s="402" t="str">
        <f>INDEX(基本資料!N:N,MATCH($G50,基本資料!A:A,0))</f>
        <v>高</v>
      </c>
    </row>
    <row r="51" spans="1:44">
      <c r="A51" s="343">
        <v>4.17</v>
      </c>
      <c r="B51" s="79">
        <v>5</v>
      </c>
      <c r="C51" s="79">
        <v>-3</v>
      </c>
      <c r="D51" s="79">
        <v>17</v>
      </c>
      <c r="E51" s="79">
        <v>39</v>
      </c>
      <c r="F51" s="6">
        <v>48.52</v>
      </c>
      <c r="G51" s="79">
        <v>4171</v>
      </c>
      <c r="H51" s="96" t="s">
        <v>6719</v>
      </c>
      <c r="I51" s="16" t="s">
        <v>5536</v>
      </c>
      <c r="J51" s="8">
        <v>452</v>
      </c>
      <c r="K51" s="5"/>
      <c r="L51" s="79">
        <v>3</v>
      </c>
      <c r="M51" s="403">
        <v>0</v>
      </c>
      <c r="N51" s="240">
        <v>3</v>
      </c>
      <c r="O51" s="359">
        <v>51</v>
      </c>
      <c r="P51" s="79">
        <v>132</v>
      </c>
      <c r="Q51" s="342">
        <v>226</v>
      </c>
      <c r="R51" s="81" t="s">
        <v>6279</v>
      </c>
      <c r="S51" s="324">
        <v>139</v>
      </c>
      <c r="T51" s="186">
        <v>6</v>
      </c>
      <c r="U51" s="426">
        <f t="shared" si="22"/>
        <v>4.7430830039525688E-2</v>
      </c>
      <c r="V51" s="94">
        <v>9.24</v>
      </c>
      <c r="W51" s="39">
        <f>INDEX('TSE OTC全部'!$W:$W,MATCH($G51,'TSE OTC全部'!$G:$G,0))</f>
        <v>126.5</v>
      </c>
      <c r="X51" s="207">
        <v>129.5</v>
      </c>
      <c r="Y51" s="430">
        <f t="shared" si="23"/>
        <v>-3</v>
      </c>
      <c r="Z51" s="433">
        <f t="shared" si="24"/>
        <v>-2.3166023166023165E-2</v>
      </c>
      <c r="AA51" s="340">
        <v>-30.95</v>
      </c>
      <c r="AB51" s="341">
        <v>60.65</v>
      </c>
      <c r="AC51" s="23" t="s">
        <v>5536</v>
      </c>
      <c r="AD51" s="84">
        <v>44693</v>
      </c>
      <c r="AF51" s="33">
        <f t="shared" si="25"/>
        <v>-44693</v>
      </c>
      <c r="AG51" s="402" t="s">
        <v>6720</v>
      </c>
      <c r="AH51" s="66">
        <f t="shared" si="26"/>
        <v>0.17306300286756313</v>
      </c>
      <c r="AI51" s="254">
        <f>INDEX('TSE OTC全部'!$AI:$AI,MATCH($G51,'TSE OTC全部'!$G:$G,0))</f>
        <v>4973</v>
      </c>
      <c r="AJ51" s="391">
        <v>28735.200000000001</v>
      </c>
      <c r="AM51" s="245"/>
      <c r="AR51" s="402" t="str">
        <f>INDEX(基本資料!N:N,MATCH($G51,基本資料!A:A,0))</f>
        <v>中</v>
      </c>
    </row>
    <row r="52" spans="1:44">
      <c r="A52" s="343">
        <v>122</v>
      </c>
      <c r="B52" s="79">
        <v>61</v>
      </c>
      <c r="C52" s="79">
        <v>67</v>
      </c>
      <c r="D52" s="79">
        <v>2</v>
      </c>
      <c r="E52" s="79">
        <v>22</v>
      </c>
      <c r="F52" s="6">
        <v>25.55</v>
      </c>
      <c r="G52" s="79">
        <v>2449</v>
      </c>
      <c r="H52" s="132" t="s">
        <v>6709</v>
      </c>
      <c r="I52" s="22" t="s">
        <v>6724</v>
      </c>
      <c r="J52" s="102" t="s">
        <v>6409</v>
      </c>
      <c r="K52" s="5"/>
      <c r="L52" s="79">
        <v>1</v>
      </c>
      <c r="M52" s="403">
        <v>0</v>
      </c>
      <c r="N52" s="240">
        <v>1</v>
      </c>
      <c r="O52" s="359">
        <v>989</v>
      </c>
      <c r="P52" s="79">
        <v>8</v>
      </c>
      <c r="Q52" s="342">
        <v>143</v>
      </c>
      <c r="R52" s="81">
        <v>55</v>
      </c>
      <c r="S52" s="324">
        <v>368</v>
      </c>
      <c r="T52" s="186">
        <v>3</v>
      </c>
      <c r="U52" s="426">
        <f t="shared" si="22"/>
        <v>6.9605568445475635E-2</v>
      </c>
      <c r="V52" s="94">
        <v>4.79</v>
      </c>
      <c r="W52" s="39">
        <f>INDEX('TSE OTC全部'!$W:$W,MATCH($G52,'TSE OTC全部'!$G:$G,0))</f>
        <v>43.1</v>
      </c>
      <c r="X52" s="207">
        <v>43.05</v>
      </c>
      <c r="Y52" s="430">
        <f t="shared" si="23"/>
        <v>5.0000000000004263E-2</v>
      </c>
      <c r="Z52" s="433">
        <f t="shared" si="24"/>
        <v>1.1614401858305288E-3</v>
      </c>
      <c r="AA52" s="340">
        <v>-16.440000000000001</v>
      </c>
      <c r="AB52" s="341">
        <v>49.3</v>
      </c>
      <c r="AC52" s="23" t="s">
        <v>6724</v>
      </c>
      <c r="AD52" s="84">
        <v>44693</v>
      </c>
      <c r="AF52" s="33">
        <f t="shared" si="25"/>
        <v>-44693</v>
      </c>
      <c r="AG52" s="402" t="s">
        <v>6725</v>
      </c>
      <c r="AH52" s="66">
        <f t="shared" si="26"/>
        <v>1.0632686488437302</v>
      </c>
      <c r="AI52" s="254">
        <f>INDEX('TSE OTC全部'!$AI:$AI,MATCH($G52,'TSE OTC全部'!$G:$G,0))</f>
        <v>5745</v>
      </c>
      <c r="AJ52" s="391">
        <v>5403.15</v>
      </c>
      <c r="AK52" s="50" t="s">
        <v>6755</v>
      </c>
      <c r="AM52" s="245"/>
      <c r="AR52" s="402" t="str">
        <f>INDEX(基本資料!N:N,MATCH($G52,基本資料!A:A,0))</f>
        <v>中</v>
      </c>
    </row>
    <row r="53" spans="1:44">
      <c r="A53" s="343">
        <v>354</v>
      </c>
      <c r="B53" s="79">
        <v>-6</v>
      </c>
      <c r="C53" s="79">
        <v>-10</v>
      </c>
      <c r="D53" s="79">
        <v>6</v>
      </c>
      <c r="E53" s="79">
        <v>11</v>
      </c>
      <c r="F53" s="6">
        <v>18.940000000000001</v>
      </c>
      <c r="G53" s="80">
        <v>1102</v>
      </c>
      <c r="H53" s="96" t="s">
        <v>6727</v>
      </c>
      <c r="I53" s="22" t="s">
        <v>4772</v>
      </c>
      <c r="J53" s="102" t="s">
        <v>6728</v>
      </c>
      <c r="K53" s="5" t="s">
        <v>6761</v>
      </c>
      <c r="L53" s="79">
        <v>16</v>
      </c>
      <c r="M53" s="403">
        <v>3</v>
      </c>
      <c r="N53" s="240">
        <v>13</v>
      </c>
      <c r="O53" s="359">
        <v>1422</v>
      </c>
      <c r="P53" s="79">
        <v>52</v>
      </c>
      <c r="Q53" s="342">
        <v>312</v>
      </c>
      <c r="R53" s="81">
        <v>70</v>
      </c>
      <c r="S53" s="324">
        <v>303</v>
      </c>
      <c r="T53" s="186">
        <v>3.4</v>
      </c>
      <c r="U53" s="426">
        <f t="shared" si="22"/>
        <v>7.5639599555061166E-2</v>
      </c>
      <c r="V53" s="94">
        <v>4.74</v>
      </c>
      <c r="W53" s="39">
        <f>INDEX('TSE OTC全部'!$W:$W,MATCH($G53,'TSE OTC全部'!$G:$G,0))</f>
        <v>44.95</v>
      </c>
      <c r="X53" s="207">
        <v>44.8</v>
      </c>
      <c r="Y53" s="430">
        <f t="shared" si="23"/>
        <v>0.15000000000000568</v>
      </c>
      <c r="Z53" s="433">
        <f t="shared" si="24"/>
        <v>3.3482142857144126E-3</v>
      </c>
      <c r="AA53" s="340">
        <v>-15.49</v>
      </c>
      <c r="AB53" s="341">
        <v>48.96</v>
      </c>
      <c r="AC53" s="97" t="s">
        <v>4772</v>
      </c>
      <c r="AD53" s="84">
        <v>44693</v>
      </c>
      <c r="AF53" s="33">
        <f t="shared" si="25"/>
        <v>-44693</v>
      </c>
      <c r="AG53" s="402" t="s">
        <v>6729</v>
      </c>
      <c r="AH53" s="66">
        <f t="shared" si="26"/>
        <v>0.99915255123926294</v>
      </c>
      <c r="AI53" s="254">
        <f>INDEX('TSE OTC全部'!$AI:$AI,MATCH($G53,'TSE OTC全部'!$G:$G,0))</f>
        <v>4775</v>
      </c>
      <c r="AJ53" s="391">
        <v>4779.05</v>
      </c>
      <c r="AM53" s="245"/>
      <c r="AR53" s="402" t="str">
        <f>INDEX(基本資料!N:N,MATCH($G53,基本資料!A:A,0))</f>
        <v>低</v>
      </c>
    </row>
    <row r="54" spans="1:44">
      <c r="A54" s="343">
        <v>5.8</v>
      </c>
      <c r="B54" s="79">
        <v>-29</v>
      </c>
      <c r="C54" s="79">
        <v>-29</v>
      </c>
      <c r="D54" s="79">
        <v>0</v>
      </c>
      <c r="E54" s="79">
        <v>50</v>
      </c>
      <c r="F54" s="6">
        <v>12.97</v>
      </c>
      <c r="G54" s="80">
        <v>4763</v>
      </c>
      <c r="H54" s="132" t="s">
        <v>6732</v>
      </c>
      <c r="I54" s="22" t="s">
        <v>6733</v>
      </c>
      <c r="J54" s="102" t="s">
        <v>6419</v>
      </c>
      <c r="K54" s="5"/>
      <c r="L54" s="79">
        <v>1</v>
      </c>
      <c r="M54" s="403">
        <v>0</v>
      </c>
      <c r="N54" s="240">
        <v>1</v>
      </c>
      <c r="O54" s="359">
        <v>498</v>
      </c>
      <c r="P54" s="79">
        <v>968</v>
      </c>
      <c r="Q54" s="342">
        <v>33</v>
      </c>
      <c r="R54" s="81" t="s">
        <v>6279</v>
      </c>
      <c r="S54" s="324">
        <v>999</v>
      </c>
      <c r="T54" s="186">
        <v>5.5</v>
      </c>
      <c r="U54" s="426">
        <f t="shared" si="22"/>
        <v>5.5220883534136546E-2</v>
      </c>
      <c r="V54" s="94">
        <v>6.43</v>
      </c>
      <c r="W54" s="39">
        <f>INDEX('TSE OTC全部'!$W:$W,MATCH($G54,'TSE OTC全部'!$G:$G,0))</f>
        <v>99.6</v>
      </c>
      <c r="X54" s="207">
        <v>99.5</v>
      </c>
      <c r="Y54" s="430">
        <f t="shared" si="23"/>
        <v>9.9999999999994316E-2</v>
      </c>
      <c r="Z54" s="433">
        <f t="shared" si="24"/>
        <v>1.0050251256280836E-3</v>
      </c>
      <c r="AA54" s="340">
        <v>-16.36</v>
      </c>
      <c r="AB54" s="341">
        <v>51.18</v>
      </c>
      <c r="AC54" s="23" t="s">
        <v>6733</v>
      </c>
      <c r="AD54" s="84">
        <v>44693</v>
      </c>
      <c r="AF54" s="33">
        <f t="shared" si="25"/>
        <v>-44693</v>
      </c>
      <c r="AG54" s="402" t="s">
        <v>6734</v>
      </c>
      <c r="AH54" s="66">
        <f t="shared" si="26"/>
        <v>1.9801980198019802</v>
      </c>
      <c r="AI54" s="254">
        <f>INDEX('TSE OTC全部'!$AI:$AI,MATCH($G54,'TSE OTC全部'!$G:$G,0))</f>
        <v>270</v>
      </c>
      <c r="AJ54" s="391">
        <v>136.35</v>
      </c>
      <c r="AM54" s="245"/>
      <c r="AR54" s="402" t="str">
        <f>INDEX(基本資料!N:N,MATCH($G54,基本資料!A:A,0))</f>
        <v>中</v>
      </c>
    </row>
    <row r="55" spans="1:44">
      <c r="A55" s="343">
        <v>3.2</v>
      </c>
      <c r="B55" s="79">
        <v>33</v>
      </c>
      <c r="C55" s="79">
        <v>11</v>
      </c>
      <c r="D55" s="79">
        <v>-54</v>
      </c>
      <c r="E55" s="79">
        <v>-31</v>
      </c>
      <c r="F55" s="6">
        <v>18.12</v>
      </c>
      <c r="G55" s="80">
        <v>6591</v>
      </c>
      <c r="H55" s="96" t="s">
        <v>1145</v>
      </c>
      <c r="I55" s="22" t="s">
        <v>470</v>
      </c>
      <c r="J55" s="8" t="s">
        <v>6795</v>
      </c>
      <c r="K55" s="5"/>
      <c r="L55" s="79">
        <v>0</v>
      </c>
      <c r="M55" s="403">
        <v>0</v>
      </c>
      <c r="N55" s="240">
        <v>0</v>
      </c>
      <c r="O55" s="359">
        <v>106</v>
      </c>
      <c r="P55" s="79">
        <v>121</v>
      </c>
      <c r="Q55" s="342">
        <v>255</v>
      </c>
      <c r="R55" s="81">
        <v>217</v>
      </c>
      <c r="S55" s="324">
        <v>393</v>
      </c>
      <c r="T55" s="186">
        <v>4</v>
      </c>
      <c r="U55" s="426">
        <f t="shared" ref="U55" si="27">$T55/$W55</f>
        <v>6.5040650406504072E-2</v>
      </c>
      <c r="V55" s="94">
        <v>8.31</v>
      </c>
      <c r="W55" s="39">
        <f>RTD("money.excel",,"6591","Price")</f>
        <v>61.5</v>
      </c>
      <c r="X55" s="207">
        <v>60.9</v>
      </c>
      <c r="Y55" s="430">
        <f t="shared" ref="Y55" si="28">W55-X55</f>
        <v>0.60000000000000142</v>
      </c>
      <c r="Z55" s="433">
        <f t="shared" ref="Z55" si="29">Y55/X55</f>
        <v>9.8522167487684973E-3</v>
      </c>
      <c r="AA55" s="340">
        <v>-15.46</v>
      </c>
      <c r="AB55" s="341">
        <v>63.5</v>
      </c>
      <c r="AC55" s="97" t="s">
        <v>470</v>
      </c>
      <c r="AD55" s="84">
        <v>44692</v>
      </c>
      <c r="AF55" s="33">
        <f t="shared" ref="AF55:AF106" si="30">AE55-AD55</f>
        <v>-44692</v>
      </c>
      <c r="AG55" s="402" t="s">
        <v>2315</v>
      </c>
      <c r="AH55" s="66">
        <f t="shared" si="26"/>
        <v>0.56863909228840948</v>
      </c>
      <c r="AI55" s="254">
        <f>RTD("money.excel",,$G55,"PredictVolume")</f>
        <v>431</v>
      </c>
      <c r="AJ55" s="391">
        <v>757.95</v>
      </c>
      <c r="AM55" s="245"/>
      <c r="AR55" s="402" t="str">
        <f>INDEX(基本資料!N:N,MATCH($G55,基本資料!A:A,0))</f>
        <v>高</v>
      </c>
    </row>
    <row r="56" spans="1:44">
      <c r="A56" s="343">
        <v>7.99</v>
      </c>
      <c r="B56" s="79">
        <v>-19</v>
      </c>
      <c r="C56" s="79">
        <v>-34</v>
      </c>
      <c r="D56" s="79">
        <v>-6</v>
      </c>
      <c r="E56" s="79">
        <v>-34</v>
      </c>
      <c r="F56" s="6">
        <v>35.94</v>
      </c>
      <c r="G56" s="80">
        <v>3257</v>
      </c>
      <c r="H56" s="344" t="s">
        <v>307</v>
      </c>
      <c r="I56" s="22" t="s">
        <v>4046</v>
      </c>
      <c r="J56" s="102" t="s">
        <v>6409</v>
      </c>
      <c r="K56" s="5"/>
      <c r="L56" s="79">
        <v>1</v>
      </c>
      <c r="M56" s="403">
        <v>0</v>
      </c>
      <c r="N56" s="240">
        <v>1</v>
      </c>
      <c r="O56" s="359">
        <v>686</v>
      </c>
      <c r="P56" s="79">
        <v>138</v>
      </c>
      <c r="Q56" s="342">
        <v>668</v>
      </c>
      <c r="R56" s="81" t="s">
        <v>6279</v>
      </c>
      <c r="S56" s="324">
        <v>439</v>
      </c>
      <c r="T56" s="186">
        <v>5</v>
      </c>
      <c r="U56" s="426">
        <f t="shared" ref="U56:U58" si="31">$T56/$W56</f>
        <v>7.0028011204481794E-2</v>
      </c>
      <c r="V56" s="94">
        <v>4.9400000000000004</v>
      </c>
      <c r="W56" s="39">
        <f>RTD("money.excel",,"3257","Price")</f>
        <v>71.400000000000006</v>
      </c>
      <c r="X56" s="207">
        <v>71.400000000000006</v>
      </c>
      <c r="Y56" s="430">
        <f t="shared" ref="Y56:Y58" si="32">W56-X56</f>
        <v>0</v>
      </c>
      <c r="Z56" s="433">
        <f t="shared" ref="Z56:Z58" si="33">Y56/X56</f>
        <v>0</v>
      </c>
      <c r="AA56" s="340">
        <v>-22.75</v>
      </c>
      <c r="AB56" s="389">
        <v>42.76</v>
      </c>
      <c r="AC56" s="97" t="s">
        <v>4046</v>
      </c>
      <c r="AD56" s="84">
        <v>44692</v>
      </c>
      <c r="AF56" s="33">
        <f t="shared" si="30"/>
        <v>-44692</v>
      </c>
      <c r="AG56" s="402" t="s">
        <v>1950</v>
      </c>
      <c r="AH56" s="66">
        <f t="shared" si="26"/>
        <v>0.94466936572199722</v>
      </c>
      <c r="AI56" s="254">
        <f>RTD("money.excel",,$G56,"PredictVolume")</f>
        <v>105</v>
      </c>
      <c r="AJ56" s="391">
        <v>111.15</v>
      </c>
      <c r="AM56" s="245"/>
      <c r="AR56" s="402" t="str">
        <f>INDEX(基本資料!N:N,MATCH($G56,基本資料!A:A,0))</f>
        <v>中</v>
      </c>
    </row>
    <row r="57" spans="1:44">
      <c r="A57" s="343">
        <v>8.31</v>
      </c>
      <c r="B57" s="79">
        <v>39</v>
      </c>
      <c r="C57" s="79">
        <v>64</v>
      </c>
      <c r="D57" s="79">
        <v>-28</v>
      </c>
      <c r="E57" s="79">
        <v>-21</v>
      </c>
      <c r="F57" s="6">
        <v>20.48</v>
      </c>
      <c r="G57" s="80">
        <v>9942</v>
      </c>
      <c r="H57" s="403" t="s">
        <v>1959</v>
      </c>
      <c r="I57" s="22" t="s">
        <v>706</v>
      </c>
      <c r="J57" s="102" t="s">
        <v>6409</v>
      </c>
      <c r="K57" s="5"/>
      <c r="L57" s="79">
        <v>1</v>
      </c>
      <c r="M57" s="403">
        <v>0</v>
      </c>
      <c r="N57" s="240">
        <v>1</v>
      </c>
      <c r="O57" s="359">
        <v>1007</v>
      </c>
      <c r="P57" s="79" t="s">
        <v>6279</v>
      </c>
      <c r="Q57" s="342">
        <v>913</v>
      </c>
      <c r="R57" s="81" t="s">
        <v>6279</v>
      </c>
      <c r="S57" s="324">
        <v>999</v>
      </c>
      <c r="T57" s="186">
        <v>5</v>
      </c>
      <c r="U57" s="426">
        <f t="shared" si="31"/>
        <v>5.9311981020166077E-2</v>
      </c>
      <c r="V57" s="94">
        <v>6.49</v>
      </c>
      <c r="W57" s="39">
        <f>RTD("money.excel",,"9942","Price")</f>
        <v>84.3</v>
      </c>
      <c r="X57" s="207">
        <v>84.5</v>
      </c>
      <c r="Y57" s="430">
        <f t="shared" si="32"/>
        <v>-0.20000000000000284</v>
      </c>
      <c r="Z57" s="433">
        <f t="shared" si="33"/>
        <v>-2.3668639053254772E-3</v>
      </c>
      <c r="AA57" s="340">
        <v>-25.76</v>
      </c>
      <c r="AB57" s="389">
        <v>28.08</v>
      </c>
      <c r="AC57" s="23" t="s">
        <v>706</v>
      </c>
      <c r="AD57" s="84">
        <v>44692</v>
      </c>
      <c r="AF57" s="33">
        <f t="shared" si="30"/>
        <v>-44692</v>
      </c>
      <c r="AG57" s="402" t="s">
        <v>2849</v>
      </c>
      <c r="AH57" s="66">
        <f t="shared" si="26"/>
        <v>0.51764705882352946</v>
      </c>
      <c r="AI57" s="254">
        <f>RTD("money.excel",,$G57,"PredictVolume")</f>
        <v>33</v>
      </c>
      <c r="AJ57" s="391">
        <v>63.75</v>
      </c>
      <c r="AM57" s="245"/>
      <c r="AR57" s="402" t="str">
        <f>INDEX(基本資料!N:N,MATCH($G57,基本資料!A:A,0))</f>
        <v>低</v>
      </c>
    </row>
    <row r="58" spans="1:44">
      <c r="A58" s="343">
        <v>5.67</v>
      </c>
      <c r="B58" s="79">
        <v>61</v>
      </c>
      <c r="C58" s="79">
        <v>24</v>
      </c>
      <c r="D58" s="79">
        <v>4</v>
      </c>
      <c r="E58" s="79">
        <v>16</v>
      </c>
      <c r="F58" s="6">
        <v>19.510000000000002</v>
      </c>
      <c r="G58" s="80">
        <v>3551</v>
      </c>
      <c r="H58" s="403" t="s">
        <v>314</v>
      </c>
      <c r="I58" s="16" t="s">
        <v>478</v>
      </c>
      <c r="J58" s="102" t="s">
        <v>6409</v>
      </c>
      <c r="K58" s="5"/>
      <c r="L58" s="79">
        <v>1</v>
      </c>
      <c r="M58" s="403">
        <v>0</v>
      </c>
      <c r="N58" s="240">
        <v>1</v>
      </c>
      <c r="O58" s="359">
        <v>511</v>
      </c>
      <c r="P58" s="79">
        <v>263</v>
      </c>
      <c r="Q58" s="342">
        <v>727</v>
      </c>
      <c r="R58" s="81">
        <v>244</v>
      </c>
      <c r="S58" s="324">
        <v>217</v>
      </c>
      <c r="T58" s="186">
        <v>3.5</v>
      </c>
      <c r="U58" s="426">
        <f t="shared" si="31"/>
        <v>5.4858934169278999E-2</v>
      </c>
      <c r="V58" s="94">
        <v>7.34</v>
      </c>
      <c r="W58" s="39">
        <f>RTD("money.excel",,"3551","Price")</f>
        <v>63.8</v>
      </c>
      <c r="X58" s="207">
        <v>64.400000000000006</v>
      </c>
      <c r="Y58" s="430">
        <f t="shared" si="32"/>
        <v>-0.60000000000000853</v>
      </c>
      <c r="Z58" s="433">
        <f t="shared" si="33"/>
        <v>-9.3167701863355358E-3</v>
      </c>
      <c r="AA58" s="340">
        <v>-20.350000000000001</v>
      </c>
      <c r="AB58" s="389">
        <v>15.76</v>
      </c>
      <c r="AC58" s="24" t="s">
        <v>478</v>
      </c>
      <c r="AD58" s="84">
        <v>44692</v>
      </c>
      <c r="AF58" s="33">
        <f t="shared" si="30"/>
        <v>-44692</v>
      </c>
      <c r="AG58" s="402" t="s">
        <v>2308</v>
      </c>
      <c r="AH58" s="66">
        <f t="shared" si="26"/>
        <v>1.1649016641452345</v>
      </c>
      <c r="AI58" s="254">
        <f>RTD("money.excel",,$G58,"PredictVolume")</f>
        <v>154</v>
      </c>
      <c r="AJ58" s="391">
        <v>132.19999999999999</v>
      </c>
      <c r="AM58" s="245"/>
      <c r="AR58" s="402" t="str">
        <f>INDEX(基本資料!N:N,MATCH($G58,基本資料!A:A,0))</f>
        <v>中</v>
      </c>
    </row>
    <row r="59" spans="1:44">
      <c r="A59" s="343">
        <v>21.65</v>
      </c>
      <c r="B59" s="79">
        <v>-13</v>
      </c>
      <c r="C59" s="79">
        <v>-27</v>
      </c>
      <c r="D59" s="79">
        <v>-10</v>
      </c>
      <c r="E59" s="79">
        <v>-40</v>
      </c>
      <c r="F59" s="6">
        <v>32.42</v>
      </c>
      <c r="G59" s="80">
        <v>3545</v>
      </c>
      <c r="H59" s="403" t="s">
        <v>307</v>
      </c>
      <c r="I59" s="22" t="s">
        <v>347</v>
      </c>
      <c r="J59" s="8">
        <v>27</v>
      </c>
      <c r="K59" s="5"/>
      <c r="L59" s="79">
        <v>2</v>
      </c>
      <c r="M59" s="403">
        <v>0</v>
      </c>
      <c r="N59" s="240">
        <v>2</v>
      </c>
      <c r="O59" s="359">
        <v>60</v>
      </c>
      <c r="P59" s="79">
        <v>86</v>
      </c>
      <c r="Q59" s="342">
        <v>401</v>
      </c>
      <c r="R59" s="81">
        <v>491</v>
      </c>
      <c r="S59" s="324">
        <v>63</v>
      </c>
      <c r="T59" s="186">
        <v>15.71</v>
      </c>
      <c r="U59" s="426">
        <f t="shared" ref="U59" si="34">$T59/$W59</f>
        <v>0.13902654867256639</v>
      </c>
      <c r="V59" s="94">
        <v>29.55</v>
      </c>
      <c r="W59" s="39">
        <f>RTD("money.excel",,"3545","Price")</f>
        <v>113</v>
      </c>
      <c r="X59" s="207">
        <v>116.5</v>
      </c>
      <c r="Y59" s="430">
        <f t="shared" ref="Y59" si="35">W59-X59</f>
        <v>-3.5</v>
      </c>
      <c r="Z59" s="433">
        <f t="shared" ref="Z59" si="36">Y59/X59</f>
        <v>-3.0042918454935622E-2</v>
      </c>
      <c r="AA59" s="340">
        <v>-60.57</v>
      </c>
      <c r="AB59" s="389">
        <v>13.45</v>
      </c>
      <c r="AC59" s="97" t="s">
        <v>347</v>
      </c>
      <c r="AD59" s="84">
        <v>44692</v>
      </c>
      <c r="AF59" s="33">
        <f t="shared" si="30"/>
        <v>-44692</v>
      </c>
      <c r="AG59" s="402" t="s">
        <v>2343</v>
      </c>
      <c r="AH59" s="66">
        <f t="shared" si="26"/>
        <v>0.65373293782035979</v>
      </c>
      <c r="AI59" s="254">
        <f>RTD("money.excel",,$G59,"PredictVolume")</f>
        <v>2876</v>
      </c>
      <c r="AJ59" s="391">
        <v>4399.3500000000004</v>
      </c>
      <c r="AM59" s="245"/>
      <c r="AR59" s="402" t="str">
        <f>INDEX(基本資料!N:N,MATCH($G59,基本資料!A:A,0))</f>
        <v>低</v>
      </c>
    </row>
    <row r="60" spans="1:44">
      <c r="A60" s="343">
        <v>18.989999999999998</v>
      </c>
      <c r="B60" s="79">
        <v>14</v>
      </c>
      <c r="C60" s="79">
        <v>23</v>
      </c>
      <c r="D60" s="79">
        <v>7</v>
      </c>
      <c r="E60" s="79">
        <v>7</v>
      </c>
      <c r="F60" s="6">
        <v>9.98</v>
      </c>
      <c r="G60" s="80">
        <v>4927</v>
      </c>
      <c r="H60" s="344" t="s">
        <v>308</v>
      </c>
      <c r="I60" s="22" t="s">
        <v>447</v>
      </c>
      <c r="J60" s="8">
        <v>6</v>
      </c>
      <c r="K60" s="5"/>
      <c r="L60" s="79">
        <v>1</v>
      </c>
      <c r="M60" s="403">
        <v>0</v>
      </c>
      <c r="N60" s="240">
        <v>1</v>
      </c>
      <c r="O60" s="359">
        <v>291</v>
      </c>
      <c r="P60" s="79">
        <v>194</v>
      </c>
      <c r="Q60" s="342">
        <v>283</v>
      </c>
      <c r="R60" s="81">
        <v>37</v>
      </c>
      <c r="S60" s="324">
        <v>35</v>
      </c>
      <c r="T60" s="186">
        <v>4</v>
      </c>
      <c r="U60" s="426">
        <f t="shared" ref="U60" si="37">$T60/$W60</f>
        <v>4.2689434364994665E-2</v>
      </c>
      <c r="V60" s="94">
        <v>7.25</v>
      </c>
      <c r="W60" s="39">
        <f>RTD("money.excel",,"4927","Price")</f>
        <v>93.7</v>
      </c>
      <c r="X60" s="207">
        <v>97.2</v>
      </c>
      <c r="Y60" s="430">
        <f t="shared" ref="Y60" si="38">W60-X60</f>
        <v>-3.5</v>
      </c>
      <c r="Z60" s="433">
        <f t="shared" ref="Z60" si="39">Y60/X60</f>
        <v>-3.6008230452674893E-2</v>
      </c>
      <c r="AA60" s="340">
        <v>-29.57</v>
      </c>
      <c r="AB60" s="389">
        <v>41.99</v>
      </c>
      <c r="AC60" s="23" t="s">
        <v>447</v>
      </c>
      <c r="AD60" s="84">
        <v>44691</v>
      </c>
      <c r="AF60" s="33">
        <f t="shared" si="30"/>
        <v>-44691</v>
      </c>
      <c r="AG60" s="402" t="s">
        <v>1043</v>
      </c>
      <c r="AH60" s="66">
        <f t="shared" si="26"/>
        <v>0.39455757597776531</v>
      </c>
      <c r="AI60" s="254">
        <f>RTD("money.excel",,$G60,"PredictVolume")</f>
        <v>1086</v>
      </c>
      <c r="AJ60" s="391">
        <v>2752.45</v>
      </c>
      <c r="AM60" s="245"/>
      <c r="AR60" s="402" t="str">
        <f>INDEX(基本資料!N:N,MATCH($G60,基本資料!A:A,0))</f>
        <v>中</v>
      </c>
    </row>
    <row r="61" spans="1:44">
      <c r="A61" s="343">
        <v>84.51</v>
      </c>
      <c r="B61" s="79">
        <v>456.97</v>
      </c>
      <c r="C61" s="79">
        <v>649.22</v>
      </c>
      <c r="D61" s="79">
        <v>51.51</v>
      </c>
      <c r="E61" s="79">
        <v>24.15</v>
      </c>
      <c r="F61" s="6">
        <v>27.18</v>
      </c>
      <c r="G61" s="79">
        <v>2606</v>
      </c>
      <c r="H61" s="344" t="s">
        <v>302</v>
      </c>
      <c r="I61" s="22" t="s">
        <v>4618</v>
      </c>
      <c r="J61" s="8">
        <v>6</v>
      </c>
      <c r="K61" s="5"/>
      <c r="L61" s="79">
        <v>1</v>
      </c>
      <c r="M61" s="403">
        <v>0</v>
      </c>
      <c r="N61" s="240">
        <v>1</v>
      </c>
      <c r="O61" s="359">
        <v>629</v>
      </c>
      <c r="P61" s="79">
        <v>163</v>
      </c>
      <c r="Q61" s="342">
        <v>454</v>
      </c>
      <c r="R61" s="81">
        <v>27</v>
      </c>
      <c r="S61" s="324">
        <v>166</v>
      </c>
      <c r="T61" s="186">
        <v>3</v>
      </c>
      <c r="U61" s="426">
        <f t="shared" ref="U61:U67" si="40">$T61/$W61</f>
        <v>4.8859934853420196E-2</v>
      </c>
      <c r="V61" s="94">
        <v>6.38</v>
      </c>
      <c r="W61" s="39">
        <f>RTD("money.excel",,"2606","Price")</f>
        <v>61.4</v>
      </c>
      <c r="X61" s="207">
        <v>66.7</v>
      </c>
      <c r="Y61" s="430">
        <f t="shared" ref="Y61:Y62" si="41">W61-X61</f>
        <v>-5.3000000000000043</v>
      </c>
      <c r="Z61" s="433">
        <f t="shared" ref="Z61:Z62" si="42">Y61/X61</f>
        <v>-7.9460269865067532E-2</v>
      </c>
      <c r="AA61" s="340">
        <v>-31.54</v>
      </c>
      <c r="AB61" s="341">
        <v>61.45</v>
      </c>
      <c r="AC61" s="23" t="s">
        <v>4618</v>
      </c>
      <c r="AD61" s="84">
        <v>44690</v>
      </c>
      <c r="AF61" s="33">
        <f t="shared" si="30"/>
        <v>-44690</v>
      </c>
      <c r="AG61" s="401" t="s">
        <v>3266</v>
      </c>
      <c r="AH61" s="66">
        <f t="shared" si="26"/>
        <v>0.81892475420659139</v>
      </c>
      <c r="AI61" s="254">
        <f>RTD("money.excel",,$G61,"PredictVolume")</f>
        <v>18358</v>
      </c>
      <c r="AJ61" s="391">
        <v>22417.200000000001</v>
      </c>
      <c r="AM61" s="245"/>
      <c r="AR61" s="402" t="str">
        <f>INDEX(基本資料!N:N,MATCH($G61,基本資料!A:A,0))</f>
        <v>中</v>
      </c>
    </row>
    <row r="62" spans="1:44">
      <c r="A62" s="343">
        <v>1180</v>
      </c>
      <c r="B62" s="79">
        <v>61.85</v>
      </c>
      <c r="C62" s="79">
        <v>0</v>
      </c>
      <c r="D62" s="79">
        <v>-25.13</v>
      </c>
      <c r="E62" s="79">
        <v>-32.01</v>
      </c>
      <c r="F62" s="6">
        <v>0</v>
      </c>
      <c r="G62" s="80">
        <v>2881</v>
      </c>
      <c r="H62" s="403" t="s">
        <v>304</v>
      </c>
      <c r="I62" s="22" t="s">
        <v>68</v>
      </c>
      <c r="J62" s="102" t="s">
        <v>6415</v>
      </c>
      <c r="K62" s="5"/>
      <c r="L62" s="79">
        <v>1</v>
      </c>
      <c r="M62" s="403">
        <v>0</v>
      </c>
      <c r="N62" s="240">
        <v>1</v>
      </c>
      <c r="O62" s="359">
        <v>1286</v>
      </c>
      <c r="P62" s="79">
        <v>480</v>
      </c>
      <c r="Q62" s="342">
        <v>277</v>
      </c>
      <c r="R62" s="81">
        <v>184</v>
      </c>
      <c r="S62" s="324">
        <v>563</v>
      </c>
      <c r="T62" s="6">
        <v>4</v>
      </c>
      <c r="U62" s="426">
        <f t="shared" si="40"/>
        <v>6.4102564102564111E-2</v>
      </c>
      <c r="V62" s="94">
        <v>13.44</v>
      </c>
      <c r="W62" s="39">
        <f>RTD("money.excel",,"2881","Price")</f>
        <v>62.4</v>
      </c>
      <c r="X62" s="207">
        <v>69.900000000000006</v>
      </c>
      <c r="Y62" s="430">
        <f t="shared" si="41"/>
        <v>-7.5000000000000071</v>
      </c>
      <c r="Z62" s="433">
        <f t="shared" si="42"/>
        <v>-0.10729613733905588</v>
      </c>
      <c r="AA62" s="340">
        <v>-16.8</v>
      </c>
      <c r="AB62" s="341">
        <v>47.57</v>
      </c>
      <c r="AC62" s="23" t="s">
        <v>68</v>
      </c>
      <c r="AD62" s="84">
        <v>44690</v>
      </c>
      <c r="AF62" s="33">
        <f t="shared" si="30"/>
        <v>-44690</v>
      </c>
      <c r="AG62" s="402" t="s">
        <v>2598</v>
      </c>
      <c r="AH62" s="66">
        <f t="shared" si="26"/>
        <v>2.3009535408334143</v>
      </c>
      <c r="AI62" s="254">
        <f>RTD("money.excel",,$G62,"PredictVolume")</f>
        <v>49878</v>
      </c>
      <c r="AJ62" s="391">
        <v>21677.1</v>
      </c>
      <c r="AK62" s="50" t="s">
        <v>6796</v>
      </c>
      <c r="AM62" s="245"/>
      <c r="AR62" s="402" t="str">
        <f>INDEX(基本資料!N:N,MATCH($G62,基本資料!A:A,0))</f>
        <v>低</v>
      </c>
    </row>
    <row r="63" spans="1:44">
      <c r="A63" s="343">
        <v>8.57</v>
      </c>
      <c r="B63" s="79">
        <v>73.94</v>
      </c>
      <c r="C63" s="79">
        <v>-17.239999999999998</v>
      </c>
      <c r="D63" s="79">
        <v>90.18</v>
      </c>
      <c r="E63" s="79">
        <v>18.23</v>
      </c>
      <c r="F63" s="6">
        <v>11.57</v>
      </c>
      <c r="G63" s="79">
        <v>6508</v>
      </c>
      <c r="H63" s="344" t="s">
        <v>1037</v>
      </c>
      <c r="I63" s="16" t="s">
        <v>1039</v>
      </c>
      <c r="J63" s="8">
        <v>234</v>
      </c>
      <c r="K63" s="5">
        <v>7</v>
      </c>
      <c r="L63" s="79">
        <v>3</v>
      </c>
      <c r="M63" s="403">
        <v>1</v>
      </c>
      <c r="N63" s="240">
        <v>2</v>
      </c>
      <c r="O63" s="359">
        <v>108</v>
      </c>
      <c r="P63" s="79">
        <v>859</v>
      </c>
      <c r="Q63" s="342">
        <v>1060</v>
      </c>
      <c r="R63" s="81" t="s">
        <v>6279</v>
      </c>
      <c r="S63" s="324">
        <v>201</v>
      </c>
      <c r="T63" s="186">
        <v>3</v>
      </c>
      <c r="U63" s="426">
        <f t="shared" si="40"/>
        <v>6.3291139240506333E-2</v>
      </c>
      <c r="V63" s="94">
        <v>3.85</v>
      </c>
      <c r="W63" s="39">
        <f>RTD("money.excel",,"6508","Price")</f>
        <v>47.4</v>
      </c>
      <c r="X63" s="207">
        <v>57</v>
      </c>
      <c r="Y63" s="430">
        <f>W63-X63</f>
        <v>-9.6000000000000014</v>
      </c>
      <c r="Z63" s="433">
        <f>Y63/X63</f>
        <v>-0.16842105263157897</v>
      </c>
      <c r="AA63" s="340">
        <v>-18.690000000000001</v>
      </c>
      <c r="AB63" s="341">
        <v>68.53</v>
      </c>
      <c r="AC63" s="97" t="s">
        <v>1039</v>
      </c>
      <c r="AD63" s="84">
        <v>44690</v>
      </c>
      <c r="AF63" s="33">
        <f t="shared" si="30"/>
        <v>-44690</v>
      </c>
      <c r="AG63" s="402" t="s">
        <v>2703</v>
      </c>
      <c r="AH63" s="66">
        <f t="shared" si="26"/>
        <v>0.45358470396734774</v>
      </c>
      <c r="AI63" s="254">
        <f>RTD("money.excel",,$G63,"PredictVolume")</f>
        <v>13069</v>
      </c>
      <c r="AJ63" s="391">
        <v>28812.7</v>
      </c>
      <c r="AM63" s="245"/>
      <c r="AR63" s="402" t="str">
        <f>INDEX(基本資料!N:N,MATCH($G63,基本資料!A:A,0))</f>
        <v>中</v>
      </c>
    </row>
    <row r="64" spans="1:44">
      <c r="A64" s="343">
        <v>4.25</v>
      </c>
      <c r="B64" s="79">
        <v>9.66</v>
      </c>
      <c r="C64" s="79">
        <v>14.49</v>
      </c>
      <c r="D64" s="79">
        <v>32.520000000000003</v>
      </c>
      <c r="E64" s="79">
        <v>13.01</v>
      </c>
      <c r="F64" s="6">
        <v>15.33</v>
      </c>
      <c r="G64" s="80">
        <v>3611</v>
      </c>
      <c r="H64" s="96" t="s">
        <v>1145</v>
      </c>
      <c r="I64" s="16" t="s">
        <v>2211</v>
      </c>
      <c r="J64" s="102" t="s">
        <v>6409</v>
      </c>
      <c r="K64" s="5"/>
      <c r="L64" s="79">
        <v>1</v>
      </c>
      <c r="M64" s="403">
        <v>0</v>
      </c>
      <c r="N64" s="240">
        <v>1</v>
      </c>
      <c r="O64" s="359">
        <v>1111</v>
      </c>
      <c r="P64" s="79">
        <v>418</v>
      </c>
      <c r="Q64" s="342">
        <v>466</v>
      </c>
      <c r="R64" s="81">
        <v>491</v>
      </c>
      <c r="S64" s="324">
        <v>999</v>
      </c>
      <c r="T64" s="186">
        <v>11</v>
      </c>
      <c r="U64" s="426">
        <f t="shared" si="40"/>
        <v>6.4705882352941183E-2</v>
      </c>
      <c r="V64" s="94">
        <v>18.47</v>
      </c>
      <c r="W64" s="39">
        <f>RTD("money.excel",,"3611","Price")</f>
        <v>170</v>
      </c>
      <c r="X64" s="207">
        <v>190.5</v>
      </c>
      <c r="Y64" s="430">
        <f t="shared" ref="Y64" si="43">W64-X64</f>
        <v>-20.5</v>
      </c>
      <c r="Z64" s="433">
        <f t="shared" ref="Z64" si="44">Y64/X64</f>
        <v>-0.10761154855643044</v>
      </c>
      <c r="AA64" s="340">
        <v>-22.87</v>
      </c>
      <c r="AB64" s="389">
        <v>15.72</v>
      </c>
      <c r="AC64" s="24" t="s">
        <v>2211</v>
      </c>
      <c r="AD64" s="84">
        <v>44690</v>
      </c>
      <c r="AF64" s="33">
        <f t="shared" si="30"/>
        <v>-44690</v>
      </c>
      <c r="AG64" s="401" t="s">
        <v>2888</v>
      </c>
      <c r="AH64" s="66">
        <f t="shared" si="26"/>
        <v>3.6647727272727271</v>
      </c>
      <c r="AI64" s="254">
        <f>RTD("money.excel",,$G64,"PredictVolume")</f>
        <v>129</v>
      </c>
      <c r="AJ64" s="391">
        <v>35.200000000000003</v>
      </c>
      <c r="AK64" s="50" t="s">
        <v>6755</v>
      </c>
      <c r="AM64" s="245"/>
      <c r="AR64" s="402" t="str">
        <f>INDEX(基本資料!N:N,MATCH($G64,基本資料!A:A,0))</f>
        <v>低</v>
      </c>
    </row>
    <row r="65" spans="1:44">
      <c r="A65" s="343">
        <v>6.27</v>
      </c>
      <c r="B65" s="79">
        <v>-34</v>
      </c>
      <c r="C65" s="79">
        <v>-62</v>
      </c>
      <c r="D65" s="79">
        <v>42.11</v>
      </c>
      <c r="E65" s="79">
        <v>-14.44</v>
      </c>
      <c r="F65" s="6">
        <v>12.31</v>
      </c>
      <c r="G65" s="79">
        <v>3679</v>
      </c>
      <c r="H65" s="450" t="s">
        <v>308</v>
      </c>
      <c r="I65" s="22" t="s">
        <v>227</v>
      </c>
      <c r="J65" s="102" t="s">
        <v>6409</v>
      </c>
      <c r="K65" s="5"/>
      <c r="L65" s="79">
        <v>1</v>
      </c>
      <c r="M65" s="403">
        <v>0</v>
      </c>
      <c r="N65" s="240">
        <v>1</v>
      </c>
      <c r="O65" s="359">
        <v>1150</v>
      </c>
      <c r="P65" s="79">
        <v>553</v>
      </c>
      <c r="Q65" s="342">
        <v>424</v>
      </c>
      <c r="R65" s="81" t="s">
        <v>6279</v>
      </c>
      <c r="S65" s="324">
        <v>999</v>
      </c>
      <c r="T65" s="186">
        <v>9</v>
      </c>
      <c r="U65" s="426">
        <f t="shared" si="40"/>
        <v>0.10778443113772455</v>
      </c>
      <c r="V65" s="94">
        <v>8.5</v>
      </c>
      <c r="W65" s="39">
        <f>RTD("money.excel",,"3679","Price")</f>
        <v>83.5</v>
      </c>
      <c r="X65" s="207">
        <v>87.7</v>
      </c>
      <c r="Y65" s="430">
        <f t="shared" ref="Y65:Y67" si="45">W65-X65</f>
        <v>-4.2000000000000028</v>
      </c>
      <c r="Z65" s="433">
        <f t="shared" ref="Z65:Z67" si="46">Y65/X65</f>
        <v>-4.7890535917901968E-2</v>
      </c>
      <c r="AA65" s="340">
        <v>-39.93</v>
      </c>
      <c r="AB65" s="389">
        <v>40.71</v>
      </c>
      <c r="AC65" s="23" t="s">
        <v>227</v>
      </c>
      <c r="AD65" s="84">
        <v>44690</v>
      </c>
      <c r="AF65" s="33">
        <f t="shared" si="30"/>
        <v>-44690</v>
      </c>
      <c r="AG65" s="402" t="s">
        <v>1969</v>
      </c>
      <c r="AH65" s="66">
        <f t="shared" si="26"/>
        <v>2.7828348504551363</v>
      </c>
      <c r="AI65" s="254">
        <f>RTD("money.excel",,$G65,"PredictVolume")</f>
        <v>107</v>
      </c>
      <c r="AJ65" s="391">
        <v>38.450000000000003</v>
      </c>
      <c r="AM65" s="245"/>
      <c r="AR65" s="402" t="str">
        <f>INDEX(基本資料!N:N,MATCH($G65,基本資料!A:A,0))</f>
        <v>低</v>
      </c>
    </row>
    <row r="66" spans="1:44">
      <c r="A66" s="343">
        <v>9.01</v>
      </c>
      <c r="B66" s="79">
        <v>4</v>
      </c>
      <c r="C66" s="79">
        <v>0</v>
      </c>
      <c r="D66" s="79">
        <v>19.64</v>
      </c>
      <c r="E66" s="79">
        <v>8</v>
      </c>
      <c r="F66" s="6">
        <v>26.02</v>
      </c>
      <c r="G66" s="80">
        <v>3217</v>
      </c>
      <c r="H66" s="403" t="s">
        <v>308</v>
      </c>
      <c r="I66" s="16" t="s">
        <v>402</v>
      </c>
      <c r="J66" s="102" t="s">
        <v>6409</v>
      </c>
      <c r="K66" s="5"/>
      <c r="L66" s="79">
        <v>1</v>
      </c>
      <c r="M66" s="403">
        <v>0</v>
      </c>
      <c r="N66" s="240">
        <v>1</v>
      </c>
      <c r="O66" s="359">
        <v>440</v>
      </c>
      <c r="P66" s="79">
        <v>767</v>
      </c>
      <c r="Q66" s="342">
        <v>888</v>
      </c>
      <c r="R66" s="81">
        <v>62</v>
      </c>
      <c r="S66" s="324">
        <v>143</v>
      </c>
      <c r="T66" s="186">
        <v>5.6</v>
      </c>
      <c r="U66" s="426">
        <f t="shared" si="40"/>
        <v>6.3564131668558455E-2</v>
      </c>
      <c r="V66" s="94">
        <v>7.11</v>
      </c>
      <c r="W66" s="39">
        <f>RTD("money.excel",,"3217","Price")</f>
        <v>88.1</v>
      </c>
      <c r="X66" s="207">
        <v>94.6</v>
      </c>
      <c r="Y66" s="430">
        <f t="shared" si="45"/>
        <v>-6.5</v>
      </c>
      <c r="Z66" s="433">
        <f t="shared" si="46"/>
        <v>-6.8710359408033828E-2</v>
      </c>
      <c r="AA66" s="340">
        <v>-36.47</v>
      </c>
      <c r="AB66" s="389">
        <v>16.22</v>
      </c>
      <c r="AC66" s="24" t="s">
        <v>402</v>
      </c>
      <c r="AD66" s="84">
        <v>44690</v>
      </c>
      <c r="AF66" s="33">
        <f t="shared" si="30"/>
        <v>-44690</v>
      </c>
      <c r="AG66" s="402" t="s">
        <v>4552</v>
      </c>
      <c r="AH66" s="66">
        <f t="shared" si="26"/>
        <v>1.1200585651537336</v>
      </c>
      <c r="AI66" s="254">
        <f>RTD("money.excel",,$G66,"PredictVolume")</f>
        <v>765</v>
      </c>
      <c r="AJ66" s="391">
        <v>683</v>
      </c>
      <c r="AM66" s="245"/>
      <c r="AR66" s="402" t="str">
        <f>INDEX(基本資料!N:N,MATCH($G66,基本資料!A:A,0))</f>
        <v>低</v>
      </c>
    </row>
    <row r="67" spans="1:44">
      <c r="A67" s="343">
        <v>22.74</v>
      </c>
      <c r="B67" s="79">
        <v>-5</v>
      </c>
      <c r="C67" s="79">
        <v>-2</v>
      </c>
      <c r="D67" s="79">
        <v>16.27</v>
      </c>
      <c r="E67" s="79">
        <v>-32.200000000000003</v>
      </c>
      <c r="F67" s="6">
        <v>12.13</v>
      </c>
      <c r="G67" s="80">
        <v>3078</v>
      </c>
      <c r="H67" s="403" t="s">
        <v>308</v>
      </c>
      <c r="I67" s="16" t="s">
        <v>4536</v>
      </c>
      <c r="J67" s="102" t="s">
        <v>6409</v>
      </c>
      <c r="K67" s="5"/>
      <c r="L67" s="79">
        <v>1</v>
      </c>
      <c r="M67" s="403">
        <v>0</v>
      </c>
      <c r="N67" s="240">
        <v>1</v>
      </c>
      <c r="O67" s="359">
        <v>546</v>
      </c>
      <c r="P67" s="79">
        <v>238</v>
      </c>
      <c r="Q67" s="342">
        <v>1454</v>
      </c>
      <c r="R67" s="81" t="s">
        <v>6279</v>
      </c>
      <c r="S67" s="324">
        <v>999</v>
      </c>
      <c r="T67" s="186">
        <v>3.25</v>
      </c>
      <c r="U67" s="426">
        <f t="shared" si="40"/>
        <v>9.5870206489675522E-2</v>
      </c>
      <c r="V67" s="94">
        <v>4.3</v>
      </c>
      <c r="W67" s="39">
        <f>RTD("money.excel",,"3078","Price")</f>
        <v>33.9</v>
      </c>
      <c r="X67" s="207">
        <v>35.75</v>
      </c>
      <c r="Y67" s="430">
        <f t="shared" si="45"/>
        <v>-1.8500000000000014</v>
      </c>
      <c r="Z67" s="433">
        <f t="shared" si="46"/>
        <v>-5.1748251748251789E-2</v>
      </c>
      <c r="AA67" s="340">
        <v>-36.659999999999997</v>
      </c>
      <c r="AB67" s="389">
        <v>34.21</v>
      </c>
      <c r="AC67" s="24" t="s">
        <v>4536</v>
      </c>
      <c r="AD67" s="84">
        <v>44690</v>
      </c>
      <c r="AF67" s="33">
        <f t="shared" si="30"/>
        <v>-44690</v>
      </c>
      <c r="AG67" s="401" t="s">
        <v>2372</v>
      </c>
      <c r="AH67" s="66">
        <f t="shared" si="26"/>
        <v>0.60842144314598401</v>
      </c>
      <c r="AI67" s="254">
        <f>RTD("money.excel",,$G67,"PredictVolume")</f>
        <v>164</v>
      </c>
      <c r="AJ67" s="391">
        <v>269.55</v>
      </c>
      <c r="AM67" s="245"/>
      <c r="AR67" s="402" t="str">
        <f>INDEX(基本資料!N:N,MATCH($G67,基本資料!A:A,0))</f>
        <v>低</v>
      </c>
    </row>
    <row r="68" spans="1:44">
      <c r="A68" s="343">
        <v>35.299999999999997</v>
      </c>
      <c r="B68" s="79">
        <v>60</v>
      </c>
      <c r="C68" s="79">
        <v>47</v>
      </c>
      <c r="D68" s="79">
        <v>3</v>
      </c>
      <c r="E68" s="80">
        <v>-3</v>
      </c>
      <c r="F68" s="79">
        <v>10.199999999999999</v>
      </c>
      <c r="G68" s="80">
        <v>3017</v>
      </c>
      <c r="H68" s="450" t="s">
        <v>1145</v>
      </c>
      <c r="I68" s="22" t="s">
        <v>117</v>
      </c>
      <c r="J68" s="8" t="s">
        <v>6762</v>
      </c>
      <c r="K68" s="5"/>
      <c r="L68" s="156">
        <v>0</v>
      </c>
      <c r="M68" s="337">
        <v>0</v>
      </c>
      <c r="N68" s="240">
        <v>0</v>
      </c>
      <c r="O68" s="359">
        <v>482</v>
      </c>
      <c r="P68" s="79">
        <v>384</v>
      </c>
      <c r="Q68" s="342">
        <v>126</v>
      </c>
      <c r="R68" s="81">
        <v>7</v>
      </c>
      <c r="S68" s="324">
        <v>29</v>
      </c>
      <c r="T68" s="384">
        <v>4.3</v>
      </c>
      <c r="U68" s="426">
        <f t="shared" ref="U68" si="47">T68/W68</f>
        <v>4.114832535885167E-2</v>
      </c>
      <c r="V68" s="94">
        <v>8.2100000000000009</v>
      </c>
      <c r="W68" s="39">
        <f>RTD("money.excel",,"3017","Price")</f>
        <v>104.5</v>
      </c>
      <c r="X68" s="207">
        <v>105.5</v>
      </c>
      <c r="Y68" s="430">
        <f t="shared" ref="Y68" si="48">W68-X68</f>
        <v>-1</v>
      </c>
      <c r="Z68" s="433">
        <f t="shared" ref="Z68" si="49">Y68/X68</f>
        <v>-9.4786729857819912E-3</v>
      </c>
      <c r="AA68" s="340">
        <v>-15.29</v>
      </c>
      <c r="AB68" s="389">
        <v>32.85</v>
      </c>
      <c r="AC68" s="97" t="s">
        <v>6760</v>
      </c>
      <c r="AD68" s="84">
        <v>44687</v>
      </c>
      <c r="AF68" s="33">
        <f t="shared" si="30"/>
        <v>-44687</v>
      </c>
      <c r="AG68" s="402" t="s">
        <v>2926</v>
      </c>
      <c r="AH68" s="66">
        <f t="shared" si="26"/>
        <v>0.42279309082107014</v>
      </c>
      <c r="AI68" s="254">
        <f>RTD("money.excel",,$G68,"PredictVolume")</f>
        <v>3406</v>
      </c>
      <c r="AJ68" s="391">
        <v>8055.95</v>
      </c>
      <c r="AM68" s="245"/>
      <c r="AR68" s="402" t="str">
        <f>INDEX(基本資料!N:N,MATCH($G68,基本資料!A:A,0))</f>
        <v>中</v>
      </c>
    </row>
    <row r="69" spans="1:44">
      <c r="A69" s="343">
        <v>54.4</v>
      </c>
      <c r="B69" s="79">
        <v>90</v>
      </c>
      <c r="C69" s="79">
        <v>79</v>
      </c>
      <c r="D69" s="79">
        <v>14</v>
      </c>
      <c r="E69" s="79">
        <v>21</v>
      </c>
      <c r="F69" s="79">
        <v>27.29</v>
      </c>
      <c r="G69" s="80">
        <v>2327</v>
      </c>
      <c r="H69" s="450" t="s">
        <v>3388</v>
      </c>
      <c r="I69" s="22" t="s">
        <v>4476</v>
      </c>
      <c r="J69" s="102" t="s">
        <v>6818</v>
      </c>
      <c r="K69" s="5"/>
      <c r="L69" s="79">
        <v>15</v>
      </c>
      <c r="M69" s="403">
        <v>0</v>
      </c>
      <c r="N69" s="240">
        <v>15</v>
      </c>
      <c r="O69" s="359">
        <v>655</v>
      </c>
      <c r="P69" s="79">
        <v>27</v>
      </c>
      <c r="Q69" s="342">
        <v>108</v>
      </c>
      <c r="R69" s="81">
        <v>126</v>
      </c>
      <c r="S69" s="324">
        <v>497</v>
      </c>
      <c r="T69" s="384">
        <v>10</v>
      </c>
      <c r="U69" s="426">
        <f t="shared" ref="U69:U70" si="50">T69/W69</f>
        <v>2.621231979030144E-2</v>
      </c>
      <c r="V69" s="94">
        <v>46.44</v>
      </c>
      <c r="W69" s="39">
        <f>RTD("money.excel",,"2327","Price")</f>
        <v>381.5</v>
      </c>
      <c r="X69" s="207">
        <v>408</v>
      </c>
      <c r="Y69" s="430">
        <f t="shared" ref="Y69:Y70" si="51">W69-X69</f>
        <v>-26.5</v>
      </c>
      <c r="Z69" s="433">
        <f t="shared" ref="Z69:Z70" si="52">Y69/X69</f>
        <v>-6.4950980392156868E-2</v>
      </c>
      <c r="AA69" s="340">
        <v>-32.200000000000003</v>
      </c>
      <c r="AB69" s="389">
        <v>29.29</v>
      </c>
      <c r="AC69" s="464" t="s">
        <v>4476</v>
      </c>
      <c r="AD69" s="84">
        <v>44687</v>
      </c>
      <c r="AF69" s="33">
        <f t="shared" si="30"/>
        <v>-44687</v>
      </c>
      <c r="AG69" s="401" t="s">
        <v>4477</v>
      </c>
      <c r="AH69" s="66">
        <f t="shared" si="26"/>
        <v>1.0452946054371457</v>
      </c>
      <c r="AI69" s="254">
        <f>RTD("money.excel",,$G69,"PredictVolume")</f>
        <v>2332</v>
      </c>
      <c r="AJ69" s="391">
        <v>2230.9499999999998</v>
      </c>
      <c r="AM69" s="245"/>
      <c r="AR69" s="402" t="str">
        <f>INDEX(基本資料!N:N,MATCH($G69,基本資料!A:A,0))</f>
        <v>低</v>
      </c>
    </row>
    <row r="70" spans="1:44">
      <c r="A70" s="343">
        <v>435</v>
      </c>
      <c r="B70" s="79">
        <v>125</v>
      </c>
      <c r="C70" s="79">
        <v>78</v>
      </c>
      <c r="D70" s="79">
        <v>18</v>
      </c>
      <c r="E70" s="79">
        <v>23</v>
      </c>
      <c r="F70" s="79">
        <v>10.9</v>
      </c>
      <c r="G70" s="80">
        <v>3711</v>
      </c>
      <c r="H70" s="403" t="s">
        <v>307</v>
      </c>
      <c r="I70" s="22" t="s">
        <v>12</v>
      </c>
      <c r="J70" s="102" t="s">
        <v>6415</v>
      </c>
      <c r="K70" s="5"/>
      <c r="L70" s="79">
        <v>4</v>
      </c>
      <c r="M70" s="403">
        <v>0</v>
      </c>
      <c r="N70" s="240">
        <v>4</v>
      </c>
      <c r="O70" s="359">
        <v>1219</v>
      </c>
      <c r="P70" s="79">
        <v>494</v>
      </c>
      <c r="Q70" s="342">
        <v>16</v>
      </c>
      <c r="R70" s="81">
        <v>154</v>
      </c>
      <c r="S70" s="324">
        <v>563</v>
      </c>
      <c r="T70" s="384">
        <v>7</v>
      </c>
      <c r="U70" s="426">
        <f t="shared" si="50"/>
        <v>7.3917634635691662E-2</v>
      </c>
      <c r="V70" s="94">
        <v>14.83</v>
      </c>
      <c r="W70" s="39">
        <f>RTD("money.excel",,"3711","Price")</f>
        <v>94.7</v>
      </c>
      <c r="X70" s="207">
        <v>95.8</v>
      </c>
      <c r="Y70" s="430">
        <f t="shared" si="51"/>
        <v>-1.0999999999999943</v>
      </c>
      <c r="Z70" s="433">
        <f t="shared" si="52"/>
        <v>-1.1482254697285954E-2</v>
      </c>
      <c r="AA70" s="340">
        <v>-26.14</v>
      </c>
      <c r="AB70" s="389">
        <v>42.14</v>
      </c>
      <c r="AC70" s="23" t="s">
        <v>12</v>
      </c>
      <c r="AD70" s="84">
        <v>44687</v>
      </c>
      <c r="AF70" s="33">
        <f t="shared" si="30"/>
        <v>-44687</v>
      </c>
      <c r="AG70" s="401" t="s">
        <v>2389</v>
      </c>
      <c r="AH70" s="66">
        <f t="shared" si="26"/>
        <v>0.57026805928124347</v>
      </c>
      <c r="AI70" s="254">
        <f>RTD("money.excel",,$G70,"PredictVolume")</f>
        <v>5995</v>
      </c>
      <c r="AJ70" s="391">
        <v>10512.6</v>
      </c>
      <c r="AM70" s="245"/>
      <c r="AR70" s="402" t="str">
        <f>INDEX(基本資料!N:N,MATCH($G70,基本資料!A:A,0))</f>
        <v>低</v>
      </c>
    </row>
    <row r="71" spans="1:44">
      <c r="A71" s="343">
        <v>10.7</v>
      </c>
      <c r="B71" s="79">
        <v>170</v>
      </c>
      <c r="C71" s="79">
        <v>170</v>
      </c>
      <c r="D71" s="79">
        <v>43</v>
      </c>
      <c r="E71" s="79">
        <v>62</v>
      </c>
      <c r="F71" s="79">
        <v>7.96</v>
      </c>
      <c r="G71" s="80">
        <v>4739</v>
      </c>
      <c r="H71" s="403" t="s">
        <v>3577</v>
      </c>
      <c r="I71" s="22" t="s">
        <v>171</v>
      </c>
      <c r="J71" s="8">
        <v>42</v>
      </c>
      <c r="K71" s="5"/>
      <c r="L71" s="156">
        <v>2</v>
      </c>
      <c r="M71" s="337">
        <v>0</v>
      </c>
      <c r="N71" s="240">
        <v>2</v>
      </c>
      <c r="O71" s="359">
        <v>66</v>
      </c>
      <c r="P71" s="79" t="s">
        <v>6279</v>
      </c>
      <c r="Q71" s="342">
        <v>978</v>
      </c>
      <c r="R71" s="81">
        <v>110</v>
      </c>
      <c r="S71" s="324">
        <v>12</v>
      </c>
      <c r="T71" s="384">
        <v>3</v>
      </c>
      <c r="U71" s="426">
        <f t="shared" ref="U71:U72" si="53">T71/W71</f>
        <v>2.3346303501945526E-2</v>
      </c>
      <c r="V71" s="94">
        <v>4.7</v>
      </c>
      <c r="W71" s="39">
        <f>RTD("money.excel",,"4739","Price")</f>
        <v>128.5</v>
      </c>
      <c r="X71" s="207">
        <v>131.5</v>
      </c>
      <c r="Y71" s="430">
        <f t="shared" ref="Y71:Y72" si="54">W71-X71</f>
        <v>-3</v>
      </c>
      <c r="Z71" s="433">
        <f t="shared" ref="Z71:Z72" si="55">Y71/X71</f>
        <v>-2.2813688212927757E-2</v>
      </c>
      <c r="AA71" s="340">
        <v>-22.95</v>
      </c>
      <c r="AB71" s="389">
        <v>29.06</v>
      </c>
      <c r="AC71" s="23" t="s">
        <v>171</v>
      </c>
      <c r="AD71" s="84">
        <v>44687</v>
      </c>
      <c r="AF71" s="33">
        <f t="shared" si="30"/>
        <v>-44687</v>
      </c>
      <c r="AG71" s="401" t="s">
        <v>2289</v>
      </c>
      <c r="AH71" s="66">
        <f t="shared" si="26"/>
        <v>0.84295956335161337</v>
      </c>
      <c r="AI71" s="254">
        <f>RTD("money.excel",,$G71,"PredictVolume")</f>
        <v>3251</v>
      </c>
      <c r="AJ71" s="391">
        <v>3856.65</v>
      </c>
      <c r="AM71" s="245"/>
      <c r="AR71" s="402" t="str">
        <f>INDEX(基本資料!N:N,MATCH($G71,基本資料!A:A,0))</f>
        <v>中</v>
      </c>
    </row>
    <row r="72" spans="1:44">
      <c r="A72" s="343">
        <v>5.19</v>
      </c>
      <c r="B72" s="79">
        <v>25</v>
      </c>
      <c r="C72" s="79">
        <v>17</v>
      </c>
      <c r="D72" s="80">
        <v>-8</v>
      </c>
      <c r="E72" s="80">
        <v>-5</v>
      </c>
      <c r="F72" s="79">
        <v>38.28</v>
      </c>
      <c r="G72" s="80">
        <v>8499</v>
      </c>
      <c r="H72" s="450" t="s">
        <v>1959</v>
      </c>
      <c r="I72" s="22" t="s">
        <v>4611</v>
      </c>
      <c r="J72" s="102" t="s">
        <v>6409</v>
      </c>
      <c r="K72" s="5"/>
      <c r="L72" s="79">
        <v>1</v>
      </c>
      <c r="M72" s="403">
        <v>0</v>
      </c>
      <c r="N72" s="240">
        <v>1</v>
      </c>
      <c r="O72" s="359">
        <v>776</v>
      </c>
      <c r="P72" s="79">
        <v>767</v>
      </c>
      <c r="Q72" s="342">
        <v>23</v>
      </c>
      <c r="R72" s="81" t="s">
        <v>6279</v>
      </c>
      <c r="S72" s="324">
        <v>999</v>
      </c>
      <c r="T72" s="384">
        <v>8</v>
      </c>
      <c r="U72" s="426">
        <f t="shared" si="53"/>
        <v>7.2398190045248875E-2</v>
      </c>
      <c r="V72" s="94">
        <v>14.14</v>
      </c>
      <c r="W72" s="39">
        <f>RTD("money.excel",,"8499","Price")</f>
        <v>110.5</v>
      </c>
      <c r="X72" s="207">
        <v>113</v>
      </c>
      <c r="Y72" s="430">
        <f t="shared" si="54"/>
        <v>-2.5</v>
      </c>
      <c r="Z72" s="433">
        <f t="shared" si="55"/>
        <v>-2.2123893805309734E-2</v>
      </c>
      <c r="AA72" s="340">
        <v>-22.26</v>
      </c>
      <c r="AB72" s="389">
        <v>21.29</v>
      </c>
      <c r="AC72" s="23" t="s">
        <v>4611</v>
      </c>
      <c r="AD72" s="84">
        <v>44687</v>
      </c>
      <c r="AF72" s="33">
        <f t="shared" si="30"/>
        <v>-44687</v>
      </c>
      <c r="AG72" s="417" t="s">
        <v>1880</v>
      </c>
      <c r="AH72" s="66">
        <f t="shared" si="26"/>
        <v>0.48734770384254922</v>
      </c>
      <c r="AI72" s="254">
        <f>RTD("money.excel",,$G72,"PredictVolume")</f>
        <v>26</v>
      </c>
      <c r="AJ72" s="391">
        <v>53.35</v>
      </c>
      <c r="AM72" s="245"/>
      <c r="AR72" s="402" t="str">
        <f>INDEX(基本資料!N:N,MATCH($G72,基本資料!A:A,0))</f>
        <v>低</v>
      </c>
    </row>
    <row r="73" spans="1:44">
      <c r="A73" s="343">
        <v>12.3</v>
      </c>
      <c r="B73" s="80">
        <v>-75</v>
      </c>
      <c r="C73" s="80">
        <v>-74</v>
      </c>
      <c r="D73" s="79">
        <v>48</v>
      </c>
      <c r="E73" s="79">
        <v>20</v>
      </c>
      <c r="F73" s="79">
        <v>3.87</v>
      </c>
      <c r="G73" s="79">
        <v>1582</v>
      </c>
      <c r="H73" s="344" t="s">
        <v>3388</v>
      </c>
      <c r="I73" s="22" t="s">
        <v>4463</v>
      </c>
      <c r="J73" s="102" t="s">
        <v>6409</v>
      </c>
      <c r="K73" s="5"/>
      <c r="L73" s="79">
        <v>1</v>
      </c>
      <c r="M73" s="403">
        <v>0</v>
      </c>
      <c r="N73" s="240">
        <v>1</v>
      </c>
      <c r="O73" s="359">
        <v>895</v>
      </c>
      <c r="P73" s="79">
        <v>859</v>
      </c>
      <c r="Q73" s="342">
        <v>432</v>
      </c>
      <c r="R73" s="81" t="s">
        <v>6279</v>
      </c>
      <c r="S73" s="324">
        <v>891</v>
      </c>
      <c r="T73" s="384">
        <v>5.3</v>
      </c>
      <c r="U73" s="426">
        <f t="shared" ref="U73:U77" si="56">T73/W73</f>
        <v>7.8402366863905323E-2</v>
      </c>
      <c r="V73" s="94">
        <v>1.27</v>
      </c>
      <c r="W73" s="39">
        <f>RTD("money.excel",,"1582","Price")</f>
        <v>67.599999999999994</v>
      </c>
      <c r="X73" s="207">
        <v>69</v>
      </c>
      <c r="Y73" s="430">
        <f t="shared" ref="Y73:Y77" si="57">W73-X73</f>
        <v>-1.4000000000000057</v>
      </c>
      <c r="Z73" s="433">
        <f t="shared" ref="Z73:Z77" si="58">Y73/X73</f>
        <v>-2.028985507246385E-2</v>
      </c>
      <c r="AA73" s="340">
        <v>-16.350000000000001</v>
      </c>
      <c r="AB73" s="341">
        <v>64.239999999999995</v>
      </c>
      <c r="AC73" s="23" t="s">
        <v>4463</v>
      </c>
      <c r="AD73" s="84">
        <v>44687</v>
      </c>
      <c r="AF73" s="33">
        <f t="shared" si="30"/>
        <v>-44687</v>
      </c>
      <c r="AG73" s="402" t="s">
        <v>4464</v>
      </c>
      <c r="AH73" s="66">
        <f t="shared" si="26"/>
        <v>1.5900449360525406</v>
      </c>
      <c r="AI73" s="254">
        <f>RTD("money.excel",,$G73,"PredictVolume")</f>
        <v>230</v>
      </c>
      <c r="AJ73" s="391">
        <v>144.65</v>
      </c>
      <c r="AM73" s="245"/>
      <c r="AR73" s="402" t="str">
        <f>INDEX(基本資料!N:N,MATCH($G73,基本資料!A:A,0))</f>
        <v>低</v>
      </c>
    </row>
    <row r="74" spans="1:44">
      <c r="A74" s="343">
        <v>12.8</v>
      </c>
      <c r="B74" s="80">
        <v>-5</v>
      </c>
      <c r="C74" s="80">
        <v>-15</v>
      </c>
      <c r="D74" s="79">
        <v>47</v>
      </c>
      <c r="E74" s="80">
        <v>-10</v>
      </c>
      <c r="F74" s="79">
        <v>12.21</v>
      </c>
      <c r="G74" s="80">
        <v>4935</v>
      </c>
      <c r="H74" s="403" t="s">
        <v>1877</v>
      </c>
      <c r="I74" s="22" t="s">
        <v>4229</v>
      </c>
      <c r="J74" s="102" t="s">
        <v>6409</v>
      </c>
      <c r="K74" s="5"/>
      <c r="L74" s="79">
        <v>1</v>
      </c>
      <c r="M74" s="403">
        <v>0</v>
      </c>
      <c r="N74" s="240">
        <v>1</v>
      </c>
      <c r="O74" s="359">
        <v>574</v>
      </c>
      <c r="P74" s="79">
        <v>553</v>
      </c>
      <c r="Q74" s="342">
        <v>217</v>
      </c>
      <c r="R74" s="81" t="s">
        <v>6279</v>
      </c>
      <c r="S74" s="324">
        <v>999</v>
      </c>
      <c r="T74" s="384">
        <v>5</v>
      </c>
      <c r="U74" s="426">
        <f t="shared" si="56"/>
        <v>8.5034013605442174E-2</v>
      </c>
      <c r="V74" s="94">
        <v>9.74</v>
      </c>
      <c r="W74" s="39">
        <f>RTD("money.excel",,"4935","Price")</f>
        <v>58.8</v>
      </c>
      <c r="X74" s="207">
        <v>60</v>
      </c>
      <c r="Y74" s="430">
        <f t="shared" si="57"/>
        <v>-1.2000000000000028</v>
      </c>
      <c r="Z74" s="433">
        <f t="shared" si="58"/>
        <v>-2.0000000000000049E-2</v>
      </c>
      <c r="AA74" s="340">
        <v>-43.7</v>
      </c>
      <c r="AB74" s="389">
        <v>15.76</v>
      </c>
      <c r="AC74" s="23" t="s">
        <v>4229</v>
      </c>
      <c r="AD74" s="84">
        <v>44687</v>
      </c>
      <c r="AF74" s="33">
        <f t="shared" si="30"/>
        <v>-44687</v>
      </c>
      <c r="AG74" s="402" t="s">
        <v>2282</v>
      </c>
      <c r="AH74" s="66">
        <f t="shared" si="26"/>
        <v>0.27370749239701408</v>
      </c>
      <c r="AI74" s="254">
        <f>RTD("money.excel",,$G74,"PredictVolume")</f>
        <v>99</v>
      </c>
      <c r="AJ74" s="391">
        <v>361.7</v>
      </c>
      <c r="AM74" s="245"/>
      <c r="AR74" s="402" t="str">
        <f>INDEX(基本資料!N:N,MATCH($G74,基本資料!A:A,0))</f>
        <v>低</v>
      </c>
    </row>
    <row r="75" spans="1:44">
      <c r="A75" s="343">
        <v>21.6</v>
      </c>
      <c r="B75" s="79">
        <v>181</v>
      </c>
      <c r="C75" s="79">
        <v>65</v>
      </c>
      <c r="D75" s="80">
        <v>-3</v>
      </c>
      <c r="E75" s="80">
        <v>-25</v>
      </c>
      <c r="F75" s="79">
        <v>-0.44</v>
      </c>
      <c r="G75" s="79">
        <v>2439</v>
      </c>
      <c r="H75" s="450" t="s">
        <v>311</v>
      </c>
      <c r="I75" s="22" t="s">
        <v>211</v>
      </c>
      <c r="J75" s="102" t="s">
        <v>6409</v>
      </c>
      <c r="K75" s="5"/>
      <c r="L75" s="79">
        <v>3</v>
      </c>
      <c r="M75" s="403">
        <v>0</v>
      </c>
      <c r="N75" s="240">
        <v>3</v>
      </c>
      <c r="O75" s="359">
        <v>555</v>
      </c>
      <c r="P75" s="79">
        <v>17</v>
      </c>
      <c r="Q75" s="342">
        <v>480</v>
      </c>
      <c r="R75" s="81">
        <v>491</v>
      </c>
      <c r="S75" s="324">
        <v>605</v>
      </c>
      <c r="T75" s="384">
        <v>4</v>
      </c>
      <c r="U75" s="426">
        <f t="shared" si="56"/>
        <v>5.0955414012738856E-2</v>
      </c>
      <c r="V75" s="94">
        <v>5.83</v>
      </c>
      <c r="W75" s="39">
        <f>RTD("money.excel",,"2439","Price")</f>
        <v>78.5</v>
      </c>
      <c r="X75" s="207">
        <v>82.1</v>
      </c>
      <c r="Y75" s="430">
        <f t="shared" si="57"/>
        <v>-3.5999999999999943</v>
      </c>
      <c r="Z75" s="433">
        <f t="shared" si="58"/>
        <v>-4.3848964677222831E-2</v>
      </c>
      <c r="AA75" s="340">
        <v>-31.11</v>
      </c>
      <c r="AB75" s="389">
        <v>42.51</v>
      </c>
      <c r="AC75" s="23" t="s">
        <v>211</v>
      </c>
      <c r="AD75" s="84">
        <v>44687</v>
      </c>
      <c r="AF75" s="33">
        <f t="shared" si="30"/>
        <v>-44687</v>
      </c>
      <c r="AG75" s="401" t="s">
        <v>2374</v>
      </c>
      <c r="AH75" s="66">
        <f t="shared" si="26"/>
        <v>1.2518548495885606</v>
      </c>
      <c r="AI75" s="254">
        <f>RTD("money.excel",,$G75,"PredictVolume")</f>
        <v>464</v>
      </c>
      <c r="AJ75" s="391">
        <v>370.65</v>
      </c>
      <c r="AM75" s="245"/>
      <c r="AR75" s="402" t="str">
        <f>INDEX(基本資料!N:N,MATCH($G75,基本資料!A:A,0))</f>
        <v>低</v>
      </c>
    </row>
    <row r="76" spans="1:44">
      <c r="A76" s="343">
        <v>5.87</v>
      </c>
      <c r="B76" s="79">
        <v>95</v>
      </c>
      <c r="C76" s="80">
        <v>-12</v>
      </c>
      <c r="D76" s="79">
        <v>1</v>
      </c>
      <c r="E76" s="80">
        <v>-27</v>
      </c>
      <c r="F76" s="79">
        <v>11.56</v>
      </c>
      <c r="G76" s="80">
        <v>3213</v>
      </c>
      <c r="H76" s="96" t="s">
        <v>1145</v>
      </c>
      <c r="I76" s="16" t="s">
        <v>2203</v>
      </c>
      <c r="J76" s="102" t="s">
        <v>6409</v>
      </c>
      <c r="K76" s="5"/>
      <c r="L76" s="79">
        <v>1</v>
      </c>
      <c r="M76" s="403">
        <v>0</v>
      </c>
      <c r="N76" s="240">
        <v>1</v>
      </c>
      <c r="O76" s="359">
        <v>1193</v>
      </c>
      <c r="P76" s="79">
        <v>132</v>
      </c>
      <c r="Q76" s="342">
        <v>709</v>
      </c>
      <c r="R76" s="81" t="s">
        <v>6279</v>
      </c>
      <c r="S76" s="324">
        <v>800</v>
      </c>
      <c r="T76" s="384">
        <v>3.7</v>
      </c>
      <c r="U76" s="426">
        <f t="shared" si="56"/>
        <v>7.5742067553735928E-2</v>
      </c>
      <c r="V76" s="94">
        <v>10.88</v>
      </c>
      <c r="W76" s="39">
        <f>RTD("money.excel",,"3213","Price")</f>
        <v>48.85</v>
      </c>
      <c r="X76" s="207">
        <v>50.8</v>
      </c>
      <c r="Y76" s="430">
        <f t="shared" si="57"/>
        <v>-1.9499999999999957</v>
      </c>
      <c r="Z76" s="433">
        <f t="shared" si="58"/>
        <v>-3.8385826771653461E-2</v>
      </c>
      <c r="AA76" s="340">
        <v>-22.42</v>
      </c>
      <c r="AB76" s="389">
        <v>7.47</v>
      </c>
      <c r="AC76" s="24" t="s">
        <v>2203</v>
      </c>
      <c r="AD76" s="84">
        <v>44687</v>
      </c>
      <c r="AF76" s="33">
        <f t="shared" si="30"/>
        <v>-44687</v>
      </c>
      <c r="AG76" s="402" t="s">
        <v>2436</v>
      </c>
      <c r="AH76" s="66">
        <f t="shared" si="26"/>
        <v>2.0396600566572238</v>
      </c>
      <c r="AI76" s="254">
        <f>RTD("money.excel",,$G76,"PredictVolume")</f>
        <v>180</v>
      </c>
      <c r="AJ76" s="391">
        <v>88.25</v>
      </c>
      <c r="AM76" s="245"/>
      <c r="AR76" s="402" t="str">
        <f>INDEX(基本資料!N:N,MATCH($G76,基本資料!A:A,0))</f>
        <v>低</v>
      </c>
    </row>
    <row r="77" spans="1:44">
      <c r="A77" s="343">
        <v>44.3</v>
      </c>
      <c r="B77" s="79">
        <v>59</v>
      </c>
      <c r="C77" s="79">
        <v>78</v>
      </c>
      <c r="D77" s="79">
        <v>26</v>
      </c>
      <c r="E77" s="80">
        <v>-6</v>
      </c>
      <c r="F77" s="79">
        <v>9.65</v>
      </c>
      <c r="G77" s="80">
        <v>2393</v>
      </c>
      <c r="H77" s="403" t="s">
        <v>1877</v>
      </c>
      <c r="I77" s="22" t="s">
        <v>4134</v>
      </c>
      <c r="J77" s="102" t="s">
        <v>6409</v>
      </c>
      <c r="K77" s="5"/>
      <c r="L77" s="79">
        <v>1</v>
      </c>
      <c r="M77" s="403">
        <v>0</v>
      </c>
      <c r="N77" s="240">
        <v>1</v>
      </c>
      <c r="O77" s="359">
        <v>863</v>
      </c>
      <c r="P77" s="79">
        <v>202</v>
      </c>
      <c r="Q77" s="342">
        <v>174</v>
      </c>
      <c r="R77" s="81">
        <v>268</v>
      </c>
      <c r="S77" s="324">
        <v>201</v>
      </c>
      <c r="T77" s="384">
        <v>3.5</v>
      </c>
      <c r="U77" s="426">
        <f t="shared" si="56"/>
        <v>7.9908675799086767E-2</v>
      </c>
      <c r="V77" s="94">
        <v>4.38</v>
      </c>
      <c r="W77" s="39">
        <f>RTD("money.excel",,"2393","Price")</f>
        <v>43.8</v>
      </c>
      <c r="X77" s="207">
        <v>43.3</v>
      </c>
      <c r="Y77" s="430">
        <f t="shared" si="57"/>
        <v>0.5</v>
      </c>
      <c r="Z77" s="433">
        <f t="shared" si="58"/>
        <v>1.1547344110854504E-2</v>
      </c>
      <c r="AA77" s="340">
        <v>-35.92</v>
      </c>
      <c r="AB77" s="389">
        <v>11.15</v>
      </c>
      <c r="AC77" s="23" t="s">
        <v>4134</v>
      </c>
      <c r="AD77" s="84">
        <v>44687</v>
      </c>
      <c r="AF77" s="33">
        <f t="shared" si="30"/>
        <v>-44687</v>
      </c>
      <c r="AG77" s="401" t="s">
        <v>4716</v>
      </c>
      <c r="AH77" s="66">
        <f t="shared" si="26"/>
        <v>0.84691527856694282</v>
      </c>
      <c r="AI77" s="254">
        <f>RTD("money.excel",,$G77,"PredictVolume")</f>
        <v>1416</v>
      </c>
      <c r="AJ77" s="391">
        <v>1671.95</v>
      </c>
      <c r="AM77" s="245"/>
      <c r="AR77" s="402" t="str">
        <f>INDEX(基本資料!N:N,MATCH($G77,基本資料!A:A,0))</f>
        <v>低</v>
      </c>
    </row>
    <row r="78" spans="1:44">
      <c r="A78" s="343">
        <v>18.100000000000001</v>
      </c>
      <c r="B78" s="79">
        <v>28</v>
      </c>
      <c r="C78" s="79">
        <v>23</v>
      </c>
      <c r="D78" s="80">
        <v>-5</v>
      </c>
      <c r="E78" s="80">
        <v>-71</v>
      </c>
      <c r="F78" s="79">
        <v>7.76</v>
      </c>
      <c r="G78" s="80">
        <v>1515</v>
      </c>
      <c r="H78" s="403" t="s">
        <v>3355</v>
      </c>
      <c r="I78" s="22" t="s">
        <v>516</v>
      </c>
      <c r="J78" s="102" t="s">
        <v>6409</v>
      </c>
      <c r="K78" s="5"/>
      <c r="L78" s="79">
        <v>1</v>
      </c>
      <c r="M78" s="403">
        <v>0</v>
      </c>
      <c r="N78" s="240">
        <v>1</v>
      </c>
      <c r="O78" s="359">
        <v>494</v>
      </c>
      <c r="P78" s="79">
        <v>340</v>
      </c>
      <c r="Q78" s="342">
        <v>504</v>
      </c>
      <c r="R78" s="81">
        <v>491</v>
      </c>
      <c r="S78" s="324">
        <v>800</v>
      </c>
      <c r="T78" s="384">
        <v>3</v>
      </c>
      <c r="U78" s="426">
        <f t="shared" ref="U78:U79" si="59">T78/W78</f>
        <v>8.0536912751677847E-2</v>
      </c>
      <c r="V78" s="94">
        <v>3.73</v>
      </c>
      <c r="W78" s="39">
        <f>RTD("money.excel",,"1515","Price")</f>
        <v>37.25</v>
      </c>
      <c r="X78" s="207">
        <v>39.299999999999997</v>
      </c>
      <c r="Y78" s="430">
        <f t="shared" ref="Y78:Y79" si="60">W78-X78</f>
        <v>-2.0499999999999972</v>
      </c>
      <c r="Z78" s="433">
        <f t="shared" ref="Z78:Z79" si="61">Y78/X78</f>
        <v>-5.2162849872773469E-2</v>
      </c>
      <c r="AA78" s="340">
        <v>-52.49</v>
      </c>
      <c r="AB78" s="389">
        <v>21.61</v>
      </c>
      <c r="AC78" s="23" t="s">
        <v>516</v>
      </c>
      <c r="AD78" s="84">
        <v>44687</v>
      </c>
      <c r="AF78" s="33">
        <f t="shared" si="30"/>
        <v>-44687</v>
      </c>
      <c r="AG78" s="402" t="s">
        <v>1974</v>
      </c>
      <c r="AH78" s="66">
        <f t="shared" si="26"/>
        <v>1.5016190978236312</v>
      </c>
      <c r="AI78" s="254">
        <f>RTD("money.excel",,$G78,"PredictVolume")</f>
        <v>997</v>
      </c>
      <c r="AJ78" s="391">
        <v>663.95</v>
      </c>
      <c r="AM78" s="245"/>
      <c r="AR78" s="402" t="str">
        <f>INDEX(基本資料!N:N,MATCH($G78,基本資料!A:A,0))</f>
        <v>低</v>
      </c>
    </row>
    <row r="79" spans="1:44">
      <c r="A79" s="343">
        <v>19.5</v>
      </c>
      <c r="B79" s="80">
        <v>-19</v>
      </c>
      <c r="C79" s="80">
        <v>-22</v>
      </c>
      <c r="D79" s="79">
        <v>35</v>
      </c>
      <c r="E79" s="79">
        <v>14</v>
      </c>
      <c r="F79" s="79">
        <v>6.43</v>
      </c>
      <c r="G79" s="80">
        <v>2387</v>
      </c>
      <c r="H79" s="450" t="s">
        <v>1145</v>
      </c>
      <c r="I79" s="22" t="s">
        <v>234</v>
      </c>
      <c r="J79" s="102" t="s">
        <v>6409</v>
      </c>
      <c r="K79" s="5"/>
      <c r="L79" s="79">
        <v>1</v>
      </c>
      <c r="M79" s="403">
        <v>0</v>
      </c>
      <c r="N79" s="240">
        <v>1</v>
      </c>
      <c r="O79" s="359">
        <v>594</v>
      </c>
      <c r="P79" s="79">
        <v>622</v>
      </c>
      <c r="Q79" s="342">
        <v>1035</v>
      </c>
      <c r="R79" s="81">
        <v>152</v>
      </c>
      <c r="S79" s="324">
        <v>747</v>
      </c>
      <c r="T79" s="384">
        <v>3</v>
      </c>
      <c r="U79" s="426">
        <f t="shared" si="59"/>
        <v>8.3798882681564255E-2</v>
      </c>
      <c r="V79" s="94">
        <v>5.31</v>
      </c>
      <c r="W79" s="39">
        <f>RTD("money.excel",,"2387","Price")</f>
        <v>35.799999999999997</v>
      </c>
      <c r="X79" s="207">
        <v>36.5</v>
      </c>
      <c r="Y79" s="430">
        <f t="shared" si="60"/>
        <v>-0.70000000000000284</v>
      </c>
      <c r="Z79" s="433">
        <f t="shared" si="61"/>
        <v>-1.9178082191780899E-2</v>
      </c>
      <c r="AA79" s="340">
        <v>-38.35</v>
      </c>
      <c r="AB79" s="389">
        <v>26.54</v>
      </c>
      <c r="AC79" s="23" t="s">
        <v>234</v>
      </c>
      <c r="AD79" s="84">
        <v>44687</v>
      </c>
      <c r="AF79" s="33">
        <f t="shared" si="30"/>
        <v>-44687</v>
      </c>
      <c r="AG79" s="402" t="s">
        <v>2282</v>
      </c>
      <c r="AH79" s="66">
        <f t="shared" si="26"/>
        <v>0.67832538420773714</v>
      </c>
      <c r="AI79" s="254">
        <f>RTD("money.excel",,$G79,"PredictVolume")</f>
        <v>256</v>
      </c>
      <c r="AJ79" s="391">
        <v>377.4</v>
      </c>
      <c r="AM79" s="245"/>
      <c r="AR79" s="402" t="str">
        <f>INDEX(基本資料!N:N,MATCH($G79,基本資料!A:A,0))</f>
        <v>低</v>
      </c>
    </row>
    <row r="80" spans="1:44">
      <c r="A80" s="343">
        <v>4.8899999999999997</v>
      </c>
      <c r="B80" s="79">
        <v>14</v>
      </c>
      <c r="C80" s="79">
        <v>10</v>
      </c>
      <c r="D80" s="79">
        <v>22</v>
      </c>
      <c r="E80" s="79">
        <v>10</v>
      </c>
      <c r="F80" s="79">
        <v>28.22</v>
      </c>
      <c r="G80" s="80">
        <v>6732</v>
      </c>
      <c r="H80" s="450" t="s">
        <v>307</v>
      </c>
      <c r="I80" s="16" t="s">
        <v>1917</v>
      </c>
      <c r="J80" s="102" t="s">
        <v>6419</v>
      </c>
      <c r="K80" s="5"/>
      <c r="L80" s="79">
        <v>1</v>
      </c>
      <c r="M80" s="403">
        <v>0</v>
      </c>
      <c r="N80" s="240">
        <v>1</v>
      </c>
      <c r="O80" s="359">
        <v>675</v>
      </c>
      <c r="P80" s="79">
        <v>1054</v>
      </c>
      <c r="Q80" s="342">
        <v>720</v>
      </c>
      <c r="R80" s="81">
        <v>96</v>
      </c>
      <c r="S80" s="324">
        <v>288</v>
      </c>
      <c r="T80" s="384">
        <v>30</v>
      </c>
      <c r="U80" s="426">
        <f t="shared" ref="U80:U81" si="62">T80/W80</f>
        <v>9.569377990430622E-2</v>
      </c>
      <c r="V80" s="94">
        <v>34.86</v>
      </c>
      <c r="W80" s="39">
        <f>RTD("money.excel",,"6732","Price")</f>
        <v>313.5</v>
      </c>
      <c r="X80" s="207">
        <v>335</v>
      </c>
      <c r="Y80" s="430">
        <f t="shared" ref="Y80:Y81" si="63">W80-X80</f>
        <v>-21.5</v>
      </c>
      <c r="Z80" s="433">
        <f t="shared" ref="Z80:Z81" si="64">Y80/X80</f>
        <v>-6.4179104477611937E-2</v>
      </c>
      <c r="AA80" s="340">
        <v>-60.47</v>
      </c>
      <c r="AB80" s="389">
        <v>13.46</v>
      </c>
      <c r="AC80" s="24" t="s">
        <v>1917</v>
      </c>
      <c r="AD80" s="84">
        <v>44687</v>
      </c>
      <c r="AF80" s="33">
        <f t="shared" si="30"/>
        <v>-44687</v>
      </c>
      <c r="AG80" s="402" t="s">
        <v>2539</v>
      </c>
      <c r="AH80" s="66">
        <f t="shared" si="26"/>
        <v>0.73118279569892475</v>
      </c>
      <c r="AI80" s="254">
        <f>RTD("money.excel",,$G80,"PredictVolume")</f>
        <v>187</v>
      </c>
      <c r="AJ80" s="391">
        <v>255.75</v>
      </c>
      <c r="AM80" s="245"/>
      <c r="AR80" s="402" t="str">
        <f>INDEX(基本資料!N:N,MATCH($G80,基本資料!A:A,0))</f>
        <v>低</v>
      </c>
    </row>
    <row r="81" spans="1:44">
      <c r="A81" s="343">
        <v>19</v>
      </c>
      <c r="B81" s="80">
        <v>-31</v>
      </c>
      <c r="C81" s="80">
        <v>-32</v>
      </c>
      <c r="D81" s="79">
        <v>10</v>
      </c>
      <c r="E81" s="80">
        <v>-20</v>
      </c>
      <c r="F81" s="79">
        <v>12.26</v>
      </c>
      <c r="G81" s="80">
        <v>2404</v>
      </c>
      <c r="H81" s="403" t="s">
        <v>314</v>
      </c>
      <c r="I81" s="22" t="s">
        <v>494</v>
      </c>
      <c r="J81" s="102" t="s">
        <v>6419</v>
      </c>
      <c r="K81" s="5"/>
      <c r="L81" s="156">
        <v>1</v>
      </c>
      <c r="M81" s="337">
        <v>0</v>
      </c>
      <c r="N81" s="240">
        <v>1</v>
      </c>
      <c r="O81" s="359">
        <v>941</v>
      </c>
      <c r="P81" s="79">
        <v>22</v>
      </c>
      <c r="Q81" s="342">
        <v>244</v>
      </c>
      <c r="R81" s="81">
        <v>136</v>
      </c>
      <c r="S81" s="324">
        <v>368</v>
      </c>
      <c r="T81" s="384">
        <v>13</v>
      </c>
      <c r="U81" s="426">
        <f t="shared" si="62"/>
        <v>7.4498567335243557E-2</v>
      </c>
      <c r="V81" s="94">
        <v>14.53</v>
      </c>
      <c r="W81" s="39">
        <f>RTD("money.excel",,"2404","Price")</f>
        <v>174.5</v>
      </c>
      <c r="X81" s="207">
        <v>178</v>
      </c>
      <c r="Y81" s="430">
        <f t="shared" si="63"/>
        <v>-3.5</v>
      </c>
      <c r="Z81" s="433">
        <f t="shared" si="64"/>
        <v>-1.9662921348314606E-2</v>
      </c>
      <c r="AA81" s="340">
        <v>-25.67</v>
      </c>
      <c r="AB81" s="389">
        <v>41.13</v>
      </c>
      <c r="AC81" s="23" t="s">
        <v>494</v>
      </c>
      <c r="AD81" s="84">
        <v>44687</v>
      </c>
      <c r="AF81" s="33">
        <f t="shared" si="30"/>
        <v>-44687</v>
      </c>
      <c r="AG81" s="402" t="s">
        <v>1444</v>
      </c>
      <c r="AH81" s="66">
        <f t="shared" si="26"/>
        <v>0.51015096304008334</v>
      </c>
      <c r="AI81" s="254">
        <f>RTD("money.excel",,$G81,"PredictVolume")</f>
        <v>294</v>
      </c>
      <c r="AJ81" s="391">
        <v>576.29999999999995</v>
      </c>
      <c r="AM81" s="245"/>
      <c r="AR81" s="402" t="str">
        <f>INDEX(基本資料!N:N,MATCH($G81,基本資料!A:A,0))</f>
        <v>低</v>
      </c>
    </row>
    <row r="82" spans="1:44">
      <c r="A82" s="343">
        <v>73.400000000000006</v>
      </c>
      <c r="B82" s="79">
        <v>93</v>
      </c>
      <c r="C82" s="80">
        <v>-26</v>
      </c>
      <c r="D82" s="79">
        <v>25</v>
      </c>
      <c r="E82" s="79">
        <v>6</v>
      </c>
      <c r="F82" s="79">
        <v>1.42</v>
      </c>
      <c r="G82" s="79">
        <v>2915</v>
      </c>
      <c r="H82" s="344" t="s">
        <v>310</v>
      </c>
      <c r="I82" s="22" t="s">
        <v>4667</v>
      </c>
      <c r="J82" s="102" t="s">
        <v>6419</v>
      </c>
      <c r="K82" s="5"/>
      <c r="L82" s="79">
        <v>1</v>
      </c>
      <c r="M82" s="403">
        <v>0</v>
      </c>
      <c r="N82" s="240">
        <v>1</v>
      </c>
      <c r="O82" s="359">
        <v>792</v>
      </c>
      <c r="P82" s="79">
        <v>25</v>
      </c>
      <c r="Q82" s="342">
        <v>523</v>
      </c>
      <c r="R82" s="81">
        <v>439</v>
      </c>
      <c r="S82" s="324">
        <v>393</v>
      </c>
      <c r="T82" s="384">
        <v>5</v>
      </c>
      <c r="U82" s="426">
        <f t="shared" ref="U82:U83" si="65">T82/W82</f>
        <v>6.1728395061728392E-2</v>
      </c>
      <c r="V82" s="94">
        <v>25.42</v>
      </c>
      <c r="W82" s="39">
        <f>RTD("money.excel",,"2915","Price")</f>
        <v>81</v>
      </c>
      <c r="X82" s="207">
        <v>101</v>
      </c>
      <c r="Y82" s="430">
        <f t="shared" ref="Y82:Y83" si="66">W82-X82</f>
        <v>-20</v>
      </c>
      <c r="Z82" s="433">
        <f t="shared" ref="Z82:Z83" si="67">Y82/X82</f>
        <v>-0.19801980198019803</v>
      </c>
      <c r="AA82" s="340">
        <v>-24.07</v>
      </c>
      <c r="AB82" s="341">
        <v>54.51</v>
      </c>
      <c r="AC82" s="23" t="s">
        <v>4667</v>
      </c>
      <c r="AD82" s="84">
        <v>44687</v>
      </c>
      <c r="AF82" s="33">
        <f t="shared" si="30"/>
        <v>-44687</v>
      </c>
      <c r="AG82" s="401" t="s">
        <v>2058</v>
      </c>
      <c r="AH82" s="66">
        <f t="shared" si="26"/>
        <v>1.3176369088619395</v>
      </c>
      <c r="AI82" s="254">
        <f>RTD("money.excel",,$G82,"PredictVolume")</f>
        <v>9469</v>
      </c>
      <c r="AJ82" s="391">
        <v>7186.35</v>
      </c>
      <c r="AK82" s="50" t="s">
        <v>6796</v>
      </c>
      <c r="AM82" s="245"/>
      <c r="AR82" s="402" t="str">
        <f>INDEX(基本資料!N:N,MATCH($G82,基本資料!A:A,0))</f>
        <v>低</v>
      </c>
    </row>
    <row r="83" spans="1:44">
      <c r="A83" s="343">
        <v>3.3</v>
      </c>
      <c r="B83" s="79">
        <v>112</v>
      </c>
      <c r="C83" s="79">
        <v>94</v>
      </c>
      <c r="D83" s="79">
        <v>28</v>
      </c>
      <c r="E83" s="79">
        <v>29</v>
      </c>
      <c r="F83" s="79">
        <v>19.71</v>
      </c>
      <c r="G83" s="80">
        <v>6651</v>
      </c>
      <c r="H83" s="450" t="s">
        <v>307</v>
      </c>
      <c r="I83" s="16" t="s">
        <v>2336</v>
      </c>
      <c r="J83" s="102" t="s">
        <v>6419</v>
      </c>
      <c r="K83" s="5"/>
      <c r="L83" s="79">
        <v>3</v>
      </c>
      <c r="M83" s="403">
        <v>0</v>
      </c>
      <c r="N83" s="240">
        <v>3</v>
      </c>
      <c r="O83" s="359">
        <v>785</v>
      </c>
      <c r="P83" s="79" t="s">
        <v>6279</v>
      </c>
      <c r="Q83" s="342">
        <v>1300</v>
      </c>
      <c r="R83" s="81" t="s">
        <v>6279</v>
      </c>
      <c r="S83" s="324">
        <v>497</v>
      </c>
      <c r="T83" s="384">
        <v>4.5</v>
      </c>
      <c r="U83" s="426">
        <f t="shared" si="65"/>
        <v>5.1724137931034482E-2</v>
      </c>
      <c r="V83" s="94">
        <v>7.8</v>
      </c>
      <c r="W83" s="39">
        <f>RTD("money.excel",,"6651","Price")</f>
        <v>87</v>
      </c>
      <c r="X83" s="207">
        <v>87.6</v>
      </c>
      <c r="Y83" s="430">
        <f t="shared" si="66"/>
        <v>-0.59999999999999432</v>
      </c>
      <c r="Z83" s="433">
        <f t="shared" si="67"/>
        <v>-6.8493150684930861E-3</v>
      </c>
      <c r="AA83" s="340">
        <v>-42.42</v>
      </c>
      <c r="AB83" s="389">
        <v>24.82</v>
      </c>
      <c r="AC83" s="24" t="s">
        <v>2336</v>
      </c>
      <c r="AD83" s="84">
        <v>44687</v>
      </c>
      <c r="AF83" s="33">
        <f t="shared" si="30"/>
        <v>-44687</v>
      </c>
      <c r="AG83" s="402" t="s">
        <v>2175</v>
      </c>
      <c r="AH83" s="66">
        <f t="shared" si="26"/>
        <v>0.55933484504913067</v>
      </c>
      <c r="AI83" s="254">
        <f>RTD("money.excel",,$G83,"PredictVolume")</f>
        <v>37</v>
      </c>
      <c r="AJ83" s="391">
        <v>66.150000000000006</v>
      </c>
      <c r="AM83" s="245"/>
      <c r="AR83" s="402" t="str">
        <f>INDEX(基本資料!N:N,MATCH($G83,基本資料!A:A,0))</f>
        <v>低</v>
      </c>
    </row>
    <row r="84" spans="1:44">
      <c r="A84" s="343">
        <v>4.87</v>
      </c>
      <c r="B84" s="79">
        <v>155</v>
      </c>
      <c r="C84" s="79">
        <v>55</v>
      </c>
      <c r="D84" s="79">
        <v>29</v>
      </c>
      <c r="E84" s="79">
        <v>-1</v>
      </c>
      <c r="F84" s="79">
        <v>10.83</v>
      </c>
      <c r="G84" s="80">
        <v>3138</v>
      </c>
      <c r="H84" s="403" t="s">
        <v>311</v>
      </c>
      <c r="I84" s="22" t="s">
        <v>2110</v>
      </c>
      <c r="J84" s="102" t="s">
        <v>6419</v>
      </c>
      <c r="K84" s="5"/>
      <c r="L84" s="79">
        <v>1</v>
      </c>
      <c r="M84" s="403">
        <v>0</v>
      </c>
      <c r="N84" s="240">
        <v>1</v>
      </c>
      <c r="O84" s="359">
        <v>429</v>
      </c>
      <c r="P84" s="79">
        <v>622</v>
      </c>
      <c r="Q84" s="342">
        <v>1313</v>
      </c>
      <c r="R84" s="81" t="s">
        <v>6279</v>
      </c>
      <c r="S84" s="324">
        <v>393</v>
      </c>
      <c r="T84" s="384">
        <v>3</v>
      </c>
      <c r="U84" s="426">
        <f>T84/W84</f>
        <v>1.9933554817275746E-2</v>
      </c>
      <c r="V84" s="94">
        <v>5.96</v>
      </c>
      <c r="W84" s="39">
        <f>RTD("money.excel",,"3138","Price")</f>
        <v>150.5</v>
      </c>
      <c r="X84" s="207">
        <v>156</v>
      </c>
      <c r="Y84" s="430">
        <f>W84-X84</f>
        <v>-5.5</v>
      </c>
      <c r="Z84" s="433">
        <f>Y84/X84</f>
        <v>-3.5256410256410256E-2</v>
      </c>
      <c r="AA84" s="340">
        <v>-43.64</v>
      </c>
      <c r="AB84" s="389">
        <v>24.09</v>
      </c>
      <c r="AC84" s="23" t="s">
        <v>2110</v>
      </c>
      <c r="AD84" s="84">
        <v>44687</v>
      </c>
      <c r="AF84" s="33">
        <f t="shared" si="30"/>
        <v>-44687</v>
      </c>
      <c r="AG84" s="401" t="s">
        <v>4348</v>
      </c>
      <c r="AH84" s="66">
        <f t="shared" si="26"/>
        <v>1.4115226337448559</v>
      </c>
      <c r="AI84" s="254">
        <f>RTD("money.excel",,$G84,"PredictVolume")</f>
        <v>343</v>
      </c>
      <c r="AJ84" s="391">
        <v>243</v>
      </c>
      <c r="AM84" s="245"/>
      <c r="AR84" s="402" t="str">
        <f>INDEX(基本資料!N:N,MATCH($G84,基本資料!A:A,0))</f>
        <v>低</v>
      </c>
    </row>
    <row r="85" spans="1:44">
      <c r="A85" s="343">
        <v>8.85</v>
      </c>
      <c r="B85" s="80">
        <v>-98</v>
      </c>
      <c r="C85" s="80">
        <v>-109</v>
      </c>
      <c r="D85" s="79">
        <v>32</v>
      </c>
      <c r="E85" s="80">
        <v>-44</v>
      </c>
      <c r="F85" s="79">
        <v>-3.48</v>
      </c>
      <c r="G85" s="79">
        <v>4968</v>
      </c>
      <c r="H85" s="344" t="s">
        <v>3038</v>
      </c>
      <c r="I85" s="22" t="s">
        <v>350</v>
      </c>
      <c r="J85" s="102" t="s">
        <v>6820</v>
      </c>
      <c r="K85" s="5"/>
      <c r="L85" s="79">
        <v>1</v>
      </c>
      <c r="M85" s="403">
        <v>0</v>
      </c>
      <c r="N85" s="240">
        <v>1</v>
      </c>
      <c r="O85" s="359">
        <v>134</v>
      </c>
      <c r="P85" s="79">
        <v>99</v>
      </c>
      <c r="Q85" s="342">
        <v>171</v>
      </c>
      <c r="R85" s="81">
        <v>100</v>
      </c>
      <c r="S85" s="324">
        <v>114</v>
      </c>
      <c r="T85" s="384">
        <v>3.5</v>
      </c>
      <c r="U85" s="426">
        <f t="shared" ref="U85:U89" si="68">T85/W85</f>
        <v>1.6990291262135922E-2</v>
      </c>
      <c r="V85" s="94">
        <v>2.58</v>
      </c>
      <c r="W85" s="39">
        <f>RTD("money.excel",,"4968","Price")</f>
        <v>206</v>
      </c>
      <c r="X85" s="207">
        <v>226</v>
      </c>
      <c r="Y85" s="430">
        <f t="shared" ref="Y85:Y89" si="69">W85-X85</f>
        <v>-20</v>
      </c>
      <c r="Z85" s="433">
        <f t="shared" ref="Z85:Z89" si="70">Y85/X85</f>
        <v>-8.8495575221238937E-2</v>
      </c>
      <c r="AA85" s="340">
        <v>-60.57</v>
      </c>
      <c r="AB85" s="341">
        <v>63.82</v>
      </c>
      <c r="AC85" s="97" t="s">
        <v>350</v>
      </c>
      <c r="AD85" s="84">
        <v>44686</v>
      </c>
      <c r="AF85" s="33">
        <f t="shared" si="30"/>
        <v>-44686</v>
      </c>
      <c r="AG85" s="402" t="s">
        <v>2007</v>
      </c>
      <c r="AH85" s="66">
        <f t="shared" si="26"/>
        <v>0.51794739998286643</v>
      </c>
      <c r="AI85" s="254">
        <f>RTD("money.excel",,$G85,"PredictVolume")</f>
        <v>3023</v>
      </c>
      <c r="AJ85" s="391">
        <v>5836.5</v>
      </c>
      <c r="AM85" s="245"/>
      <c r="AR85" s="402" t="str">
        <f>INDEX(基本資料!N:N,MATCH($G85,基本資料!A:A,0))</f>
        <v>低</v>
      </c>
    </row>
    <row r="86" spans="1:44">
      <c r="A86" s="343">
        <v>349</v>
      </c>
      <c r="B86" s="92">
        <v>1258</v>
      </c>
      <c r="C86" s="79">
        <v>945</v>
      </c>
      <c r="D86" s="79">
        <v>13</v>
      </c>
      <c r="E86" s="79">
        <v>80</v>
      </c>
      <c r="F86" s="79">
        <v>60.95</v>
      </c>
      <c r="G86" s="79">
        <v>2609</v>
      </c>
      <c r="H86" s="344" t="s">
        <v>302</v>
      </c>
      <c r="I86" s="22" t="s">
        <v>865</v>
      </c>
      <c r="J86" s="102" t="s">
        <v>6407</v>
      </c>
      <c r="K86" s="5"/>
      <c r="L86" s="79">
        <v>3</v>
      </c>
      <c r="M86" s="403">
        <v>0</v>
      </c>
      <c r="N86" s="240">
        <v>3</v>
      </c>
      <c r="O86" s="359">
        <v>288</v>
      </c>
      <c r="P86" s="79">
        <v>577</v>
      </c>
      <c r="Q86" s="342">
        <v>341</v>
      </c>
      <c r="R86" s="81">
        <v>194</v>
      </c>
      <c r="S86" s="324">
        <v>177</v>
      </c>
      <c r="T86" s="384">
        <v>20</v>
      </c>
      <c r="U86" s="426">
        <f t="shared" si="68"/>
        <v>0.16806722689075632</v>
      </c>
      <c r="V86" s="94">
        <v>49.11</v>
      </c>
      <c r="W86" s="39">
        <f>RTD("money.excel",,"2609","Price")</f>
        <v>119</v>
      </c>
      <c r="X86" s="207">
        <v>132.5</v>
      </c>
      <c r="Y86" s="430">
        <f t="shared" si="69"/>
        <v>-13.5</v>
      </c>
      <c r="Z86" s="433">
        <f t="shared" si="70"/>
        <v>-0.10188679245283019</v>
      </c>
      <c r="AA86" s="340">
        <v>-44.56</v>
      </c>
      <c r="AB86" s="341">
        <v>61.47</v>
      </c>
      <c r="AC86" s="23" t="s">
        <v>865</v>
      </c>
      <c r="AD86" s="84">
        <v>44686</v>
      </c>
      <c r="AF86" s="33">
        <f t="shared" si="30"/>
        <v>-44686</v>
      </c>
      <c r="AG86" s="402" t="s">
        <v>3265</v>
      </c>
      <c r="AH86" s="66">
        <f t="shared" si="26"/>
        <v>1.4349580801872064</v>
      </c>
      <c r="AI86" s="254">
        <f>RTD("money.excel",,$G86,"PredictVolume")</f>
        <v>72604</v>
      </c>
      <c r="AJ86" s="391">
        <v>50596.6</v>
      </c>
      <c r="AM86" s="245"/>
      <c r="AR86" s="402" t="str">
        <f>INDEX(基本資料!N:N,MATCH($G86,基本資料!A:A,0))</f>
        <v>中</v>
      </c>
    </row>
    <row r="87" spans="1:44">
      <c r="A87" s="343">
        <v>529</v>
      </c>
      <c r="B87" s="79">
        <v>814</v>
      </c>
      <c r="C87" s="79">
        <v>721</v>
      </c>
      <c r="D87" s="79">
        <v>6</v>
      </c>
      <c r="E87" s="79">
        <v>83</v>
      </c>
      <c r="F87" s="79">
        <v>58.21</v>
      </c>
      <c r="G87" s="79">
        <v>2603</v>
      </c>
      <c r="H87" s="344" t="s">
        <v>302</v>
      </c>
      <c r="I87" s="22" t="s">
        <v>264</v>
      </c>
      <c r="J87" s="102" t="s">
        <v>6408</v>
      </c>
      <c r="K87" s="5"/>
      <c r="L87" s="79">
        <v>5</v>
      </c>
      <c r="M87" s="403">
        <v>0</v>
      </c>
      <c r="N87" s="240">
        <v>5</v>
      </c>
      <c r="O87" s="359">
        <v>294</v>
      </c>
      <c r="P87" s="79">
        <v>97</v>
      </c>
      <c r="Q87" s="342">
        <v>203</v>
      </c>
      <c r="R87" s="81">
        <v>98</v>
      </c>
      <c r="S87" s="324">
        <v>124</v>
      </c>
      <c r="T87" s="384">
        <v>18</v>
      </c>
      <c r="U87" s="426">
        <f t="shared" si="68"/>
        <v>0.13090909090909092</v>
      </c>
      <c r="V87" s="94">
        <v>45.68</v>
      </c>
      <c r="W87" s="39">
        <f>RTD("money.excel",,"2603","Price")</f>
        <v>137.5</v>
      </c>
      <c r="X87" s="207">
        <v>155</v>
      </c>
      <c r="Y87" s="430">
        <f t="shared" si="69"/>
        <v>-17.5</v>
      </c>
      <c r="Z87" s="433">
        <f t="shared" si="70"/>
        <v>-0.11290322580645161</v>
      </c>
      <c r="AA87" s="340">
        <v>-34.979999999999997</v>
      </c>
      <c r="AB87" s="341">
        <v>49.12</v>
      </c>
      <c r="AC87" s="23" t="s">
        <v>264</v>
      </c>
      <c r="AD87" s="84">
        <v>44686</v>
      </c>
      <c r="AF87" s="33">
        <f t="shared" si="30"/>
        <v>-44686</v>
      </c>
      <c r="AG87" s="401" t="s">
        <v>3265</v>
      </c>
      <c r="AH87" s="66">
        <f t="shared" si="26"/>
        <v>1.3682601449739995</v>
      </c>
      <c r="AI87" s="447">
        <f>RTD("money.excel",,$G87,"PredictVolume")</f>
        <v>126969</v>
      </c>
      <c r="AJ87" s="391">
        <v>92795.95</v>
      </c>
      <c r="AM87" s="245"/>
      <c r="AR87" s="402" t="str">
        <f>INDEX(基本資料!N:N,MATCH($G87,基本資料!A:A,0))</f>
        <v>中</v>
      </c>
    </row>
    <row r="88" spans="1:44">
      <c r="A88" s="343">
        <v>56.8</v>
      </c>
      <c r="B88" s="79">
        <v>25</v>
      </c>
      <c r="C88" s="79">
        <v>22</v>
      </c>
      <c r="D88" s="79">
        <v>23</v>
      </c>
      <c r="E88" s="79">
        <v>6</v>
      </c>
      <c r="F88" s="79">
        <v>29.03</v>
      </c>
      <c r="G88" s="80">
        <v>2441</v>
      </c>
      <c r="H88" s="403" t="s">
        <v>3038</v>
      </c>
      <c r="I88" s="22" t="s">
        <v>275</v>
      </c>
      <c r="J88" s="102" t="s">
        <v>6406</v>
      </c>
      <c r="K88" s="5"/>
      <c r="L88" s="156">
        <v>7</v>
      </c>
      <c r="M88" s="337">
        <v>0</v>
      </c>
      <c r="N88" s="240">
        <v>7</v>
      </c>
      <c r="O88" s="359">
        <v>1171</v>
      </c>
      <c r="P88" s="79">
        <v>53</v>
      </c>
      <c r="Q88" s="342">
        <v>369</v>
      </c>
      <c r="R88" s="81">
        <v>57</v>
      </c>
      <c r="S88" s="324">
        <v>465</v>
      </c>
      <c r="T88" s="384">
        <v>5</v>
      </c>
      <c r="U88" s="426">
        <f t="shared" si="68"/>
        <v>6.9735006973500699E-2</v>
      </c>
      <c r="V88" s="94">
        <v>8.51</v>
      </c>
      <c r="W88" s="39">
        <f>RTD("money.excel",,"2441","Price")</f>
        <v>71.7</v>
      </c>
      <c r="X88" s="207">
        <v>71.3</v>
      </c>
      <c r="Y88" s="430">
        <f t="shared" si="69"/>
        <v>0.40000000000000568</v>
      </c>
      <c r="Z88" s="433">
        <f t="shared" si="70"/>
        <v>5.6100981767181722E-3</v>
      </c>
      <c r="AA88" s="340">
        <v>-29.15</v>
      </c>
      <c r="AB88" s="389">
        <v>30.68</v>
      </c>
      <c r="AC88" s="23" t="s">
        <v>275</v>
      </c>
      <c r="AD88" s="84">
        <v>44686</v>
      </c>
      <c r="AF88" s="33">
        <f t="shared" si="30"/>
        <v>-44686</v>
      </c>
      <c r="AG88" s="401" t="s">
        <v>3019</v>
      </c>
      <c r="AH88" s="66">
        <f t="shared" si="26"/>
        <v>1.3506882922175276</v>
      </c>
      <c r="AI88" s="254">
        <f>RTD("money.excel",,$G88,"PredictVolume")</f>
        <v>991</v>
      </c>
      <c r="AJ88" s="391">
        <v>733.7</v>
      </c>
      <c r="AM88" s="245"/>
      <c r="AR88" s="402" t="str">
        <f>INDEX(基本資料!N:N,MATCH($G88,基本資料!A:A,0))</f>
        <v>低</v>
      </c>
    </row>
    <row r="89" spans="1:44">
      <c r="A89" s="343">
        <v>4.83</v>
      </c>
      <c r="B89" s="79">
        <v>19</v>
      </c>
      <c r="C89" s="79">
        <v>5</v>
      </c>
      <c r="D89" s="80">
        <v>-10</v>
      </c>
      <c r="E89" s="80">
        <v>-8</v>
      </c>
      <c r="F89" s="79">
        <v>8.94</v>
      </c>
      <c r="G89" s="80">
        <v>6150</v>
      </c>
      <c r="H89" s="403" t="s">
        <v>1145</v>
      </c>
      <c r="I89" s="16" t="s">
        <v>1787</v>
      </c>
      <c r="J89" s="8">
        <v>4</v>
      </c>
      <c r="K89" s="5"/>
      <c r="L89" s="79">
        <v>1</v>
      </c>
      <c r="M89" s="403">
        <v>0</v>
      </c>
      <c r="N89" s="240">
        <v>1</v>
      </c>
      <c r="O89" s="359">
        <v>28</v>
      </c>
      <c r="P89" s="79">
        <v>30</v>
      </c>
      <c r="Q89" s="342">
        <v>503</v>
      </c>
      <c r="R89" s="81" t="s">
        <v>6279</v>
      </c>
      <c r="S89" s="324">
        <v>29</v>
      </c>
      <c r="T89" s="384">
        <v>11</v>
      </c>
      <c r="U89" s="426">
        <f t="shared" si="68"/>
        <v>0.10679611650485436</v>
      </c>
      <c r="V89" s="94">
        <v>24.26</v>
      </c>
      <c r="W89" s="39">
        <f>RTD("money.excel",,"6150","Price")</f>
        <v>103</v>
      </c>
      <c r="X89" s="207">
        <v>117.5</v>
      </c>
      <c r="Y89" s="430">
        <f t="shared" si="69"/>
        <v>-14.5</v>
      </c>
      <c r="Z89" s="433">
        <f t="shared" si="70"/>
        <v>-0.12340425531914893</v>
      </c>
      <c r="AA89" s="340">
        <v>-43.42</v>
      </c>
      <c r="AB89" s="389">
        <v>15.37</v>
      </c>
      <c r="AC89" s="24" t="s">
        <v>1787</v>
      </c>
      <c r="AD89" s="84">
        <v>44686</v>
      </c>
      <c r="AF89" s="33">
        <f t="shared" si="30"/>
        <v>-44686</v>
      </c>
      <c r="AG89" s="402" t="s">
        <v>2717</v>
      </c>
      <c r="AH89" s="66">
        <f t="shared" ref="AH89:AH142" si="71">AI89/AJ89</f>
        <v>0.53223250156647384</v>
      </c>
      <c r="AI89" s="254">
        <f>RTD("money.excel",,$G89,"PredictVolume")</f>
        <v>722</v>
      </c>
      <c r="AJ89" s="391">
        <v>1356.55</v>
      </c>
      <c r="AM89" s="245"/>
      <c r="AR89" s="402" t="str">
        <f>INDEX(基本資料!N:N,MATCH($G89,基本資料!A:A,0))</f>
        <v>低</v>
      </c>
    </row>
    <row r="90" spans="1:44">
      <c r="A90" s="343">
        <v>7.15</v>
      </c>
      <c r="B90" s="79">
        <v>121</v>
      </c>
      <c r="C90" s="79">
        <v>102</v>
      </c>
      <c r="D90" s="79">
        <v>22</v>
      </c>
      <c r="E90" s="79">
        <v>1</v>
      </c>
      <c r="F90" s="79">
        <v>14.04</v>
      </c>
      <c r="G90" s="80">
        <v>6672</v>
      </c>
      <c r="H90" s="344" t="s">
        <v>308</v>
      </c>
      <c r="I90" s="22" t="s">
        <v>1500</v>
      </c>
      <c r="J90" s="102" t="s">
        <v>6409</v>
      </c>
      <c r="K90" s="5"/>
      <c r="L90" s="79">
        <v>1</v>
      </c>
      <c r="M90" s="403">
        <v>0</v>
      </c>
      <c r="N90" s="240">
        <v>1</v>
      </c>
      <c r="O90" s="359">
        <v>205</v>
      </c>
      <c r="P90" s="79">
        <v>1054</v>
      </c>
      <c r="Q90" s="342">
        <v>222</v>
      </c>
      <c r="R90" s="81" t="s">
        <v>6279</v>
      </c>
      <c r="S90" s="324">
        <v>224</v>
      </c>
      <c r="T90" s="384">
        <v>6.6</v>
      </c>
      <c r="U90" s="426">
        <f t="shared" ref="U90:U94" si="72">T90/W90</f>
        <v>7.4324324324324328E-2</v>
      </c>
      <c r="V90" s="94">
        <v>10.7</v>
      </c>
      <c r="W90" s="39">
        <f>RTD("money.excel",,"6672","Price")</f>
        <v>88.8</v>
      </c>
      <c r="X90" s="207">
        <v>97.1</v>
      </c>
      <c r="Y90" s="430">
        <f t="shared" ref="Y90:Y94" si="73">W90-X90</f>
        <v>-8.2999999999999972</v>
      </c>
      <c r="Z90" s="433">
        <f t="shared" ref="Z90:Z94" si="74">Y90/X90</f>
        <v>-8.5478887744593182E-2</v>
      </c>
      <c r="AA90" s="340">
        <v>-50.57</v>
      </c>
      <c r="AB90" s="389">
        <v>21.05</v>
      </c>
      <c r="AC90" s="23" t="s">
        <v>1500</v>
      </c>
      <c r="AD90" s="84">
        <v>44686</v>
      </c>
      <c r="AF90" s="33">
        <f t="shared" si="30"/>
        <v>-44686</v>
      </c>
      <c r="AG90" s="402" t="s">
        <v>3277</v>
      </c>
      <c r="AH90" s="66">
        <f t="shared" si="71"/>
        <v>0.43202033036848791</v>
      </c>
      <c r="AI90" s="254">
        <f>RTD("money.excel",,$G90,"PredictVolume")</f>
        <v>187</v>
      </c>
      <c r="AJ90" s="391">
        <v>432.85</v>
      </c>
      <c r="AM90" s="245"/>
      <c r="AR90" s="402" t="str">
        <f>INDEX(基本資料!N:N,MATCH($G90,基本資料!A:A,0))</f>
        <v>低</v>
      </c>
    </row>
    <row r="91" spans="1:44">
      <c r="A91" s="343">
        <v>3.16</v>
      </c>
      <c r="B91" s="80">
        <v>-21</v>
      </c>
      <c r="C91" s="80">
        <v>-25</v>
      </c>
      <c r="D91" s="79">
        <v>5</v>
      </c>
      <c r="E91" s="79">
        <v>12</v>
      </c>
      <c r="F91" s="79">
        <v>30.92</v>
      </c>
      <c r="G91" s="80">
        <v>6643</v>
      </c>
      <c r="H91" s="208" t="s">
        <v>3038</v>
      </c>
      <c r="I91" s="16" t="s">
        <v>1598</v>
      </c>
      <c r="J91" s="102" t="s">
        <v>6409</v>
      </c>
      <c r="K91" s="5"/>
      <c r="L91" s="79">
        <v>3</v>
      </c>
      <c r="M91" s="403">
        <v>0</v>
      </c>
      <c r="N91" s="240">
        <v>3</v>
      </c>
      <c r="O91" s="359">
        <v>297</v>
      </c>
      <c r="P91" s="79">
        <v>901</v>
      </c>
      <c r="Q91" s="342">
        <v>549</v>
      </c>
      <c r="R91" s="81" t="s">
        <v>6279</v>
      </c>
      <c r="S91" s="324">
        <v>410</v>
      </c>
      <c r="T91" s="384">
        <v>6.3</v>
      </c>
      <c r="U91" s="426">
        <f t="shared" si="72"/>
        <v>2.2499999999999999E-2</v>
      </c>
      <c r="V91" s="94">
        <v>8.1199999999999992</v>
      </c>
      <c r="W91" s="39">
        <f>RTD("money.excel",,"6643","Price")</f>
        <v>280</v>
      </c>
      <c r="X91" s="207">
        <v>289</v>
      </c>
      <c r="Y91" s="430">
        <f t="shared" si="73"/>
        <v>-9</v>
      </c>
      <c r="Z91" s="433">
        <f t="shared" si="74"/>
        <v>-3.1141868512110725E-2</v>
      </c>
      <c r="AA91" s="340">
        <v>-40.869999999999997</v>
      </c>
      <c r="AB91" s="389">
        <v>20.22</v>
      </c>
      <c r="AC91" s="24" t="s">
        <v>1598</v>
      </c>
      <c r="AD91" s="84">
        <v>44686</v>
      </c>
      <c r="AF91" s="33">
        <f t="shared" si="30"/>
        <v>-44686</v>
      </c>
      <c r="AG91" s="401" t="s">
        <v>2923</v>
      </c>
      <c r="AH91" s="66">
        <f t="shared" si="71"/>
        <v>0.48027444253859347</v>
      </c>
      <c r="AI91" s="254">
        <f>RTD("money.excel",,$G91,"PredictVolume")</f>
        <v>70</v>
      </c>
      <c r="AJ91" s="391">
        <v>145.75</v>
      </c>
      <c r="AM91" s="245"/>
      <c r="AR91" s="402" t="str">
        <f>INDEX(基本資料!N:N,MATCH($G91,基本資料!A:A,0))</f>
        <v>低</v>
      </c>
    </row>
    <row r="92" spans="1:44">
      <c r="A92" s="343">
        <v>14.8</v>
      </c>
      <c r="B92" s="79">
        <v>2</v>
      </c>
      <c r="C92" s="79">
        <v>0</v>
      </c>
      <c r="D92" s="79">
        <v>79</v>
      </c>
      <c r="E92" s="79">
        <v>5</v>
      </c>
      <c r="F92" s="79">
        <v>23.59</v>
      </c>
      <c r="G92" s="80">
        <v>1707</v>
      </c>
      <c r="H92" s="450" t="s">
        <v>4723</v>
      </c>
      <c r="I92" s="22" t="s">
        <v>3672</v>
      </c>
      <c r="J92" s="102" t="s">
        <v>6409</v>
      </c>
      <c r="K92" s="5"/>
      <c r="L92" s="79">
        <v>1</v>
      </c>
      <c r="M92" s="403">
        <v>0</v>
      </c>
      <c r="N92" s="240">
        <v>1</v>
      </c>
      <c r="O92" s="359">
        <v>1119</v>
      </c>
      <c r="P92" s="79">
        <v>859</v>
      </c>
      <c r="Q92" s="342">
        <v>467</v>
      </c>
      <c r="R92" s="81">
        <v>491</v>
      </c>
      <c r="S92" s="324">
        <v>891</v>
      </c>
      <c r="T92" s="384">
        <v>6.1</v>
      </c>
      <c r="U92" s="426">
        <f t="shared" si="72"/>
        <v>4.2361111111111106E-2</v>
      </c>
      <c r="V92" s="94">
        <v>8.82</v>
      </c>
      <c r="W92" s="39">
        <f>RTD("money.excel",,"1707","Price")</f>
        <v>144</v>
      </c>
      <c r="X92" s="207">
        <v>144.5</v>
      </c>
      <c r="Y92" s="430">
        <f t="shared" si="73"/>
        <v>-0.5</v>
      </c>
      <c r="Z92" s="433">
        <f t="shared" si="74"/>
        <v>-3.4602076124567475E-3</v>
      </c>
      <c r="AA92" s="340">
        <v>-18.47</v>
      </c>
      <c r="AB92" s="389">
        <v>38.24</v>
      </c>
      <c r="AC92" s="23" t="s">
        <v>3672</v>
      </c>
      <c r="AD92" s="84">
        <v>44686</v>
      </c>
      <c r="AF92" s="33">
        <f t="shared" si="30"/>
        <v>-44686</v>
      </c>
      <c r="AG92" s="401" t="s">
        <v>3673</v>
      </c>
      <c r="AH92" s="66">
        <f t="shared" si="71"/>
        <v>1.5477792732166891</v>
      </c>
      <c r="AI92" s="254">
        <f>RTD("money.excel",,$G92,"PredictVolume")</f>
        <v>230</v>
      </c>
      <c r="AJ92" s="391">
        <v>148.6</v>
      </c>
      <c r="AM92" s="245"/>
      <c r="AR92" s="402" t="str">
        <f>INDEX(基本資料!N:N,MATCH($G92,基本資料!A:A,0))</f>
        <v>低</v>
      </c>
    </row>
    <row r="93" spans="1:44">
      <c r="A93" s="343">
        <v>6.43</v>
      </c>
      <c r="B93" s="80">
        <v>-26</v>
      </c>
      <c r="C93" s="80">
        <v>-29</v>
      </c>
      <c r="D93" s="79">
        <v>30</v>
      </c>
      <c r="E93" s="80">
        <v>-37</v>
      </c>
      <c r="F93" s="79">
        <v>20.62</v>
      </c>
      <c r="G93" s="80">
        <v>5215</v>
      </c>
      <c r="H93" s="450" t="s">
        <v>1145</v>
      </c>
      <c r="I93" s="22" t="s">
        <v>468</v>
      </c>
      <c r="J93" s="102" t="s">
        <v>6409</v>
      </c>
      <c r="K93" s="5"/>
      <c r="L93" s="79">
        <v>2</v>
      </c>
      <c r="M93" s="403">
        <v>0</v>
      </c>
      <c r="N93" s="240">
        <v>2</v>
      </c>
      <c r="O93" s="359">
        <v>484</v>
      </c>
      <c r="P93" s="79">
        <v>1118</v>
      </c>
      <c r="Q93" s="342">
        <v>214</v>
      </c>
      <c r="R93" s="81" t="s">
        <v>6279</v>
      </c>
      <c r="S93" s="324">
        <v>999</v>
      </c>
      <c r="T93" s="384">
        <v>5</v>
      </c>
      <c r="U93" s="426">
        <f t="shared" si="72"/>
        <v>9.3283582089552231E-2</v>
      </c>
      <c r="V93" s="94">
        <v>8.8000000000000007</v>
      </c>
      <c r="W93" s="39">
        <f>RTD("money.excel",,"5215","Price")</f>
        <v>53.6</v>
      </c>
      <c r="X93" s="207">
        <v>55</v>
      </c>
      <c r="Y93" s="430">
        <f t="shared" si="73"/>
        <v>-1.3999999999999986</v>
      </c>
      <c r="Z93" s="433">
        <f t="shared" si="74"/>
        <v>-2.5454545454545428E-2</v>
      </c>
      <c r="AA93" s="340">
        <v>-57.49</v>
      </c>
      <c r="AB93" s="389">
        <v>16.27</v>
      </c>
      <c r="AC93" s="23" t="s">
        <v>468</v>
      </c>
      <c r="AD93" s="84">
        <v>44686</v>
      </c>
      <c r="AF93" s="33">
        <f t="shared" si="30"/>
        <v>-44686</v>
      </c>
      <c r="AG93" s="402" t="s">
        <v>2282</v>
      </c>
      <c r="AH93" s="66">
        <f t="shared" si="71"/>
        <v>1.0372340425531914</v>
      </c>
      <c r="AI93" s="254">
        <f>RTD("money.excel",,$G93,"PredictVolume")</f>
        <v>195</v>
      </c>
      <c r="AJ93" s="391">
        <v>188</v>
      </c>
      <c r="AM93" s="245"/>
      <c r="AR93" s="402" t="str">
        <f>INDEX(基本資料!N:N,MATCH($G93,基本資料!A:A,0))</f>
        <v>低</v>
      </c>
    </row>
    <row r="94" spans="1:44">
      <c r="A94" s="343">
        <v>8.56</v>
      </c>
      <c r="B94" s="79">
        <v>12</v>
      </c>
      <c r="C94" s="79">
        <v>19</v>
      </c>
      <c r="D94" s="79">
        <v>18</v>
      </c>
      <c r="E94" s="79">
        <v>49</v>
      </c>
      <c r="F94" s="79">
        <v>16.41</v>
      </c>
      <c r="G94" s="80">
        <v>6224</v>
      </c>
      <c r="H94" s="450" t="s">
        <v>3388</v>
      </c>
      <c r="I94" s="22" t="s">
        <v>230</v>
      </c>
      <c r="J94" s="102" t="s">
        <v>6409</v>
      </c>
      <c r="K94" s="5"/>
      <c r="L94" s="79">
        <v>2</v>
      </c>
      <c r="M94" s="403">
        <v>0</v>
      </c>
      <c r="N94" s="240">
        <v>2</v>
      </c>
      <c r="O94" s="359">
        <v>518</v>
      </c>
      <c r="P94" s="79">
        <v>901</v>
      </c>
      <c r="Q94" s="342">
        <v>574</v>
      </c>
      <c r="R94" s="81" t="s">
        <v>6279</v>
      </c>
      <c r="S94" s="324">
        <v>439</v>
      </c>
      <c r="T94" s="384">
        <v>4.25</v>
      </c>
      <c r="U94" s="426">
        <f t="shared" si="72"/>
        <v>5.1640340218712028E-2</v>
      </c>
      <c r="V94" s="94">
        <v>6.04</v>
      </c>
      <c r="W94" s="39">
        <f>RTD("money.excel",,"6224","Price")</f>
        <v>82.3</v>
      </c>
      <c r="X94" s="207">
        <v>89.7</v>
      </c>
      <c r="Y94" s="430">
        <f t="shared" si="73"/>
        <v>-7.4000000000000057</v>
      </c>
      <c r="Z94" s="433">
        <f t="shared" si="74"/>
        <v>-8.2497212931995606E-2</v>
      </c>
      <c r="AA94" s="340">
        <v>-53.14</v>
      </c>
      <c r="AB94" s="389">
        <v>15.49</v>
      </c>
      <c r="AC94" s="23" t="s">
        <v>230</v>
      </c>
      <c r="AD94" s="84">
        <v>44686</v>
      </c>
      <c r="AF94" s="33">
        <f t="shared" si="30"/>
        <v>-44686</v>
      </c>
      <c r="AG94" s="417" t="s">
        <v>3071</v>
      </c>
      <c r="AH94" s="66">
        <f t="shared" si="71"/>
        <v>3.1499418829910883</v>
      </c>
      <c r="AI94" s="254">
        <f>RTD("money.excel",,$G94,"PredictVolume")</f>
        <v>813</v>
      </c>
      <c r="AJ94" s="391">
        <v>258.10000000000002</v>
      </c>
      <c r="AK94" s="50" t="s">
        <v>6755</v>
      </c>
      <c r="AM94" s="245"/>
      <c r="AR94" s="402" t="str">
        <f>INDEX(基本資料!N:N,MATCH($G94,基本資料!A:A,0))</f>
        <v>低</v>
      </c>
    </row>
    <row r="95" spans="1:44">
      <c r="A95" s="343">
        <v>6.97</v>
      </c>
      <c r="B95" s="79">
        <v>56</v>
      </c>
      <c r="C95" s="79">
        <v>51</v>
      </c>
      <c r="D95" s="79">
        <v>23</v>
      </c>
      <c r="E95" s="79">
        <v>2</v>
      </c>
      <c r="F95" s="79">
        <v>9.5</v>
      </c>
      <c r="G95" s="80">
        <v>3484</v>
      </c>
      <c r="H95" s="344" t="s">
        <v>308</v>
      </c>
      <c r="I95" s="16" t="s">
        <v>406</v>
      </c>
      <c r="J95" s="102" t="s">
        <v>6409</v>
      </c>
      <c r="K95" s="5"/>
      <c r="L95" s="79">
        <v>1</v>
      </c>
      <c r="M95" s="403">
        <v>0</v>
      </c>
      <c r="N95" s="240">
        <v>1</v>
      </c>
      <c r="O95" s="359">
        <v>390</v>
      </c>
      <c r="P95" s="79">
        <v>393</v>
      </c>
      <c r="Q95" s="342">
        <v>976</v>
      </c>
      <c r="R95" s="81" t="s">
        <v>6279</v>
      </c>
      <c r="S95" s="324">
        <v>410</v>
      </c>
      <c r="T95" s="384">
        <v>4.0999999999999996</v>
      </c>
      <c r="U95" s="426">
        <f t="shared" ref="U95:U96" si="75">T95/W95</f>
        <v>6.699346405228758E-2</v>
      </c>
      <c r="V95" s="94">
        <v>8.16</v>
      </c>
      <c r="W95" s="39">
        <f>RTD("money.excel",,"3484","Price")</f>
        <v>61.2</v>
      </c>
      <c r="X95" s="207">
        <v>66.2</v>
      </c>
      <c r="Y95" s="430">
        <f t="shared" ref="Y95:Y96" si="76">W95-X95</f>
        <v>-5</v>
      </c>
      <c r="Z95" s="433">
        <f t="shared" ref="Z95:Z96" si="77">Y95/X95</f>
        <v>-7.5528700906344406E-2</v>
      </c>
      <c r="AA95" s="340">
        <v>-32.29</v>
      </c>
      <c r="AB95" s="389">
        <v>14.31</v>
      </c>
      <c r="AC95" s="24" t="s">
        <v>406</v>
      </c>
      <c r="AD95" s="84">
        <v>44686</v>
      </c>
      <c r="AF95" s="33">
        <f t="shared" si="30"/>
        <v>-44686</v>
      </c>
      <c r="AG95" s="402" t="s">
        <v>2893</v>
      </c>
      <c r="AH95" s="66">
        <f t="shared" si="71"/>
        <v>0.75630252100840345</v>
      </c>
      <c r="AI95" s="254">
        <f>RTD("money.excel",,$G95,"PredictVolume")</f>
        <v>234</v>
      </c>
      <c r="AJ95" s="391">
        <v>309.39999999999998</v>
      </c>
      <c r="AM95" s="245"/>
      <c r="AR95" s="402" t="str">
        <f>INDEX(基本資料!N:N,MATCH($G95,基本資料!A:A,0))</f>
        <v>低</v>
      </c>
    </row>
    <row r="96" spans="1:44">
      <c r="A96" s="343">
        <v>26.7</v>
      </c>
      <c r="B96" s="80">
        <v>-28</v>
      </c>
      <c r="C96" s="80">
        <v>-19</v>
      </c>
      <c r="D96" s="79">
        <v>13</v>
      </c>
      <c r="E96" s="80">
        <v>-11</v>
      </c>
      <c r="F96" s="79">
        <v>12.51</v>
      </c>
      <c r="G96" s="80">
        <v>6790</v>
      </c>
      <c r="H96" s="344" t="s">
        <v>235</v>
      </c>
      <c r="I96" s="22" t="s">
        <v>3437</v>
      </c>
      <c r="J96" s="102" t="s">
        <v>6409</v>
      </c>
      <c r="K96" s="5"/>
      <c r="L96" s="79">
        <v>1</v>
      </c>
      <c r="M96" s="403">
        <v>0</v>
      </c>
      <c r="N96" s="240">
        <v>1</v>
      </c>
      <c r="O96" s="359">
        <v>1464</v>
      </c>
      <c r="P96" s="79">
        <v>467</v>
      </c>
      <c r="Q96" s="342">
        <v>904</v>
      </c>
      <c r="R96" s="81" t="s">
        <v>6279</v>
      </c>
      <c r="S96" s="324">
        <v>999</v>
      </c>
      <c r="T96" s="384">
        <v>3</v>
      </c>
      <c r="U96" s="426">
        <f t="shared" si="75"/>
        <v>7.0175438596491224E-2</v>
      </c>
      <c r="V96" s="94">
        <v>4.3099999999999996</v>
      </c>
      <c r="W96" s="39">
        <f>RTD("money.excel",,"6790","Price")</f>
        <v>42.75</v>
      </c>
      <c r="X96" s="207">
        <v>46.8</v>
      </c>
      <c r="Y96" s="430">
        <f t="shared" si="76"/>
        <v>-4.0499999999999972</v>
      </c>
      <c r="Z96" s="433">
        <f t="shared" si="77"/>
        <v>-8.6538461538461481E-2</v>
      </c>
      <c r="AA96" s="340">
        <v>-40.799999999999997</v>
      </c>
      <c r="AB96" s="389">
        <v>26.01</v>
      </c>
      <c r="AC96" s="23" t="s">
        <v>3437</v>
      </c>
      <c r="AD96" s="84">
        <v>44686</v>
      </c>
      <c r="AF96" s="33">
        <f t="shared" si="30"/>
        <v>-44686</v>
      </c>
      <c r="AG96" s="402" t="s">
        <v>3438</v>
      </c>
      <c r="AH96" s="66">
        <f t="shared" si="71"/>
        <v>0.86399999999999999</v>
      </c>
      <c r="AI96" s="254">
        <f>RTD("money.excel",,$G96,"PredictVolume")</f>
        <v>108</v>
      </c>
      <c r="AJ96" s="391">
        <v>125</v>
      </c>
      <c r="AK96" s="50" t="s">
        <v>6755</v>
      </c>
      <c r="AM96" s="245"/>
      <c r="AR96" s="402" t="str">
        <f>INDEX(基本資料!N:N,MATCH($G96,基本資料!A:A,0))</f>
        <v>無</v>
      </c>
    </row>
    <row r="97" spans="1:44">
      <c r="A97" s="343">
        <v>56</v>
      </c>
      <c r="B97" s="80">
        <v>-6</v>
      </c>
      <c r="C97" s="80">
        <v>-15</v>
      </c>
      <c r="D97" s="79">
        <v>81</v>
      </c>
      <c r="E97" s="79">
        <v>30</v>
      </c>
      <c r="F97" s="79">
        <v>9.1300000000000008</v>
      </c>
      <c r="G97" s="80">
        <v>2345</v>
      </c>
      <c r="H97" s="208" t="s">
        <v>311</v>
      </c>
      <c r="I97" s="22" t="s">
        <v>4321</v>
      </c>
      <c r="J97" s="102" t="s">
        <v>6233</v>
      </c>
      <c r="K97" s="5"/>
      <c r="L97" s="79">
        <v>5</v>
      </c>
      <c r="M97" s="403">
        <v>0</v>
      </c>
      <c r="N97" s="240">
        <v>5</v>
      </c>
      <c r="O97" s="359">
        <v>1214</v>
      </c>
      <c r="P97" s="79">
        <v>109</v>
      </c>
      <c r="Q97" s="342">
        <v>30</v>
      </c>
      <c r="R97" s="81">
        <v>168</v>
      </c>
      <c r="S97" s="324">
        <v>648</v>
      </c>
      <c r="T97" s="384">
        <v>6</v>
      </c>
      <c r="U97" s="426">
        <f t="shared" ref="U97:U99" si="78">T97/W97</f>
        <v>2.5477707006369428E-2</v>
      </c>
      <c r="V97" s="94">
        <v>8.44</v>
      </c>
      <c r="W97" s="39">
        <f>RTD("money.excel",,"2345","Price")</f>
        <v>235.5</v>
      </c>
      <c r="X97" s="207">
        <v>236</v>
      </c>
      <c r="Y97" s="430">
        <f t="shared" ref="Y97:Y99" si="79">W97-X97</f>
        <v>-0.5</v>
      </c>
      <c r="Z97" s="433">
        <f t="shared" ref="Z97:Z99" si="80">Y97/X97</f>
        <v>-2.1186440677966102E-3</v>
      </c>
      <c r="AA97" s="340">
        <v>-34.32</v>
      </c>
      <c r="AB97" s="341">
        <v>46.95</v>
      </c>
      <c r="AC97" s="23" t="s">
        <v>4321</v>
      </c>
      <c r="AD97" s="84">
        <v>44685</v>
      </c>
      <c r="AF97" s="33">
        <f t="shared" si="30"/>
        <v>-44685</v>
      </c>
      <c r="AG97" s="401" t="s">
        <v>4322</v>
      </c>
      <c r="AH97" s="66">
        <f t="shared" si="71"/>
        <v>1.3688999172870142</v>
      </c>
      <c r="AI97" s="254">
        <f>RTD("money.excel",,$G97,"PredictVolume")</f>
        <v>2979</v>
      </c>
      <c r="AJ97" s="391">
        <v>2176.1999999999998</v>
      </c>
      <c r="AM97" s="245"/>
      <c r="AR97" s="402" t="str">
        <f>INDEX(基本資料!N:N,MATCH($G97,基本資料!A:A,0))</f>
        <v>低</v>
      </c>
    </row>
    <row r="98" spans="1:44">
      <c r="A98" s="343">
        <v>27.1</v>
      </c>
      <c r="B98" s="79">
        <v>8</v>
      </c>
      <c r="C98" s="79">
        <v>25</v>
      </c>
      <c r="D98" s="79">
        <v>33</v>
      </c>
      <c r="E98" s="79">
        <v>6</v>
      </c>
      <c r="F98" s="79">
        <v>28.8</v>
      </c>
      <c r="G98" s="79">
        <v>3374</v>
      </c>
      <c r="H98" s="132" t="s">
        <v>307</v>
      </c>
      <c r="I98" s="16" t="s">
        <v>167</v>
      </c>
      <c r="J98" s="102" t="s">
        <v>3544</v>
      </c>
      <c r="K98" s="5"/>
      <c r="L98" s="79">
        <v>9</v>
      </c>
      <c r="M98" s="403">
        <v>0</v>
      </c>
      <c r="N98" s="240">
        <v>9</v>
      </c>
      <c r="O98" s="359">
        <v>299</v>
      </c>
      <c r="P98" s="79">
        <v>198</v>
      </c>
      <c r="Q98" s="342">
        <v>701</v>
      </c>
      <c r="R98" s="81">
        <v>73</v>
      </c>
      <c r="S98" s="324">
        <v>271</v>
      </c>
      <c r="T98" s="384">
        <v>3</v>
      </c>
      <c r="U98" s="426">
        <f t="shared" si="78"/>
        <v>2.2222222222222223E-2</v>
      </c>
      <c r="V98" s="94">
        <v>6.92</v>
      </c>
      <c r="W98" s="39">
        <f>RTD("money.excel",,"3374","Price")</f>
        <v>135</v>
      </c>
      <c r="X98" s="207">
        <v>139</v>
      </c>
      <c r="Y98" s="430">
        <f t="shared" si="79"/>
        <v>-4</v>
      </c>
      <c r="Z98" s="433">
        <f t="shared" si="80"/>
        <v>-2.8776978417266189E-2</v>
      </c>
      <c r="AA98" s="340">
        <v>-28.83</v>
      </c>
      <c r="AB98" s="341">
        <v>65.16</v>
      </c>
      <c r="AC98" s="24" t="s">
        <v>167</v>
      </c>
      <c r="AD98" s="84">
        <v>44685</v>
      </c>
      <c r="AF98" s="33">
        <f t="shared" si="30"/>
        <v>-44685</v>
      </c>
      <c r="AG98" s="401" t="s">
        <v>2321</v>
      </c>
      <c r="AH98" s="66">
        <f t="shared" si="71"/>
        <v>0.36890545946804409</v>
      </c>
      <c r="AI98" s="254">
        <f>RTD("money.excel",,$G98,"PredictVolume")</f>
        <v>2439</v>
      </c>
      <c r="AJ98" s="391">
        <v>6611.45</v>
      </c>
      <c r="AM98" s="245"/>
      <c r="AR98" s="402" t="str">
        <f>INDEX(基本資料!N:N,MATCH($G98,基本資料!A:A,0))</f>
        <v>低</v>
      </c>
    </row>
    <row r="99" spans="1:44">
      <c r="A99" s="343">
        <v>45.3</v>
      </c>
      <c r="B99" s="79">
        <v>57</v>
      </c>
      <c r="C99" s="79">
        <v>46</v>
      </c>
      <c r="D99" s="79">
        <v>20</v>
      </c>
      <c r="E99" s="79">
        <v>44</v>
      </c>
      <c r="F99" s="79">
        <v>21.73</v>
      </c>
      <c r="G99" s="79">
        <v>6257</v>
      </c>
      <c r="H99" s="344" t="s">
        <v>307</v>
      </c>
      <c r="I99" s="22" t="s">
        <v>4061</v>
      </c>
      <c r="J99" s="8" t="s">
        <v>6827</v>
      </c>
      <c r="K99" s="5"/>
      <c r="L99" s="79">
        <v>2</v>
      </c>
      <c r="M99" s="403">
        <v>0</v>
      </c>
      <c r="N99" s="240">
        <v>2</v>
      </c>
      <c r="O99" s="359">
        <v>575</v>
      </c>
      <c r="P99" s="79" t="s">
        <v>6279</v>
      </c>
      <c r="Q99" s="342">
        <v>263</v>
      </c>
      <c r="R99" s="81">
        <v>274</v>
      </c>
      <c r="S99" s="324">
        <v>303</v>
      </c>
      <c r="T99" s="384">
        <v>4.0999999999999996</v>
      </c>
      <c r="U99" s="426">
        <f t="shared" si="78"/>
        <v>6.9965870307167222E-2</v>
      </c>
      <c r="V99" s="94">
        <v>6.83</v>
      </c>
      <c r="W99" s="39">
        <f>RTD("money.excel",,"6257","Price")</f>
        <v>58.6</v>
      </c>
      <c r="X99" s="207">
        <v>59</v>
      </c>
      <c r="Y99" s="430">
        <f t="shared" si="79"/>
        <v>-0.39999999999999858</v>
      </c>
      <c r="Z99" s="433">
        <f t="shared" si="80"/>
        <v>-6.7796610169491281E-3</v>
      </c>
      <c r="AA99" s="340">
        <v>-18.57</v>
      </c>
      <c r="AB99" s="389">
        <v>52.54</v>
      </c>
      <c r="AC99" s="23" t="s">
        <v>4061</v>
      </c>
      <c r="AD99" s="84">
        <v>44685</v>
      </c>
      <c r="AF99" s="33">
        <f t="shared" si="30"/>
        <v>-44685</v>
      </c>
      <c r="AG99" s="402" t="s">
        <v>2805</v>
      </c>
      <c r="AH99" s="66">
        <f t="shared" si="71"/>
        <v>0.5958769395138771</v>
      </c>
      <c r="AI99" s="254">
        <f>RTD("money.excel",,$G99,"PredictVolume")</f>
        <v>1227</v>
      </c>
      <c r="AJ99" s="391">
        <v>2059.15</v>
      </c>
      <c r="AM99" s="245"/>
      <c r="AR99" s="402" t="str">
        <f>INDEX(基本資料!N:N,MATCH($G99,基本資料!A:A,0))</f>
        <v>低</v>
      </c>
    </row>
    <row r="100" spans="1:44">
      <c r="A100" s="343">
        <v>7.95</v>
      </c>
      <c r="B100" s="79">
        <v>41</v>
      </c>
      <c r="C100" s="79">
        <v>58</v>
      </c>
      <c r="D100" s="79">
        <v>53</v>
      </c>
      <c r="E100" s="80">
        <v>-1</v>
      </c>
      <c r="F100" s="79">
        <v>33.61</v>
      </c>
      <c r="G100" s="80">
        <v>4137</v>
      </c>
      <c r="H100" s="403" t="s">
        <v>4723</v>
      </c>
      <c r="I100" s="22" t="s">
        <v>3753</v>
      </c>
      <c r="J100" s="102" t="s">
        <v>6373</v>
      </c>
      <c r="K100" s="5" t="s">
        <v>6822</v>
      </c>
      <c r="L100" s="79">
        <v>1</v>
      </c>
      <c r="M100" s="403">
        <v>6</v>
      </c>
      <c r="N100" s="240">
        <v>-5</v>
      </c>
      <c r="O100" s="359">
        <v>1156</v>
      </c>
      <c r="P100" s="79">
        <v>249</v>
      </c>
      <c r="Q100" s="342">
        <v>31</v>
      </c>
      <c r="R100" s="81">
        <v>491</v>
      </c>
      <c r="S100" s="324">
        <v>605</v>
      </c>
      <c r="T100" s="384">
        <v>12</v>
      </c>
      <c r="U100" s="426">
        <f t="shared" ref="U100:U101" si="81">T100/W100</f>
        <v>6.6666666666666666E-2</v>
      </c>
      <c r="V100" s="94">
        <v>17.05</v>
      </c>
      <c r="W100" s="39">
        <f>RTD("money.excel",,"4137","Price")</f>
        <v>180</v>
      </c>
      <c r="X100" s="207">
        <v>185</v>
      </c>
      <c r="Y100" s="430">
        <f t="shared" ref="Y100:Y101" si="82">W100-X100</f>
        <v>-5</v>
      </c>
      <c r="Z100" s="433">
        <f t="shared" ref="Z100:Z101" si="83">Y100/X100</f>
        <v>-2.7027027027027029E-2</v>
      </c>
      <c r="AA100" s="340">
        <v>-30.23</v>
      </c>
      <c r="AB100" s="389">
        <v>12.43</v>
      </c>
      <c r="AC100" s="97" t="s">
        <v>3753</v>
      </c>
      <c r="AD100" s="84">
        <v>44685</v>
      </c>
      <c r="AF100" s="33">
        <f t="shared" si="30"/>
        <v>-44685</v>
      </c>
      <c r="AG100" s="401" t="s">
        <v>3754</v>
      </c>
      <c r="AH100" s="66">
        <f t="shared" si="71"/>
        <v>0.84040404040404038</v>
      </c>
      <c r="AI100" s="254">
        <f>RTD("money.excel",,$G100,"PredictVolume")</f>
        <v>104</v>
      </c>
      <c r="AJ100" s="391">
        <v>123.75</v>
      </c>
      <c r="AM100" s="245"/>
      <c r="AR100" s="402" t="str">
        <f>INDEX(基本資料!N:N,MATCH($G100,基本資料!A:A,0))</f>
        <v>低</v>
      </c>
    </row>
    <row r="101" spans="1:44">
      <c r="A101" s="343">
        <v>6.93</v>
      </c>
      <c r="B101" s="80">
        <v>-136</v>
      </c>
      <c r="C101" s="80">
        <v>-135</v>
      </c>
      <c r="D101" s="79">
        <v>80</v>
      </c>
      <c r="E101" s="79">
        <v>9</v>
      </c>
      <c r="F101" s="79">
        <v>-8.73</v>
      </c>
      <c r="G101" s="79">
        <v>6462</v>
      </c>
      <c r="H101" s="96" t="s">
        <v>307</v>
      </c>
      <c r="I101" s="16" t="s">
        <v>220</v>
      </c>
      <c r="J101" s="102" t="s">
        <v>6373</v>
      </c>
      <c r="K101" s="5"/>
      <c r="L101" s="79">
        <v>1</v>
      </c>
      <c r="M101" s="403">
        <v>0</v>
      </c>
      <c r="N101" s="240">
        <v>1</v>
      </c>
      <c r="O101" s="359">
        <v>194</v>
      </c>
      <c r="P101" s="79">
        <v>69</v>
      </c>
      <c r="Q101" s="342">
        <v>328</v>
      </c>
      <c r="R101" s="81" t="s">
        <v>6279</v>
      </c>
      <c r="S101" s="324">
        <v>533</v>
      </c>
      <c r="T101" s="384">
        <v>10</v>
      </c>
      <c r="U101" s="426">
        <f t="shared" si="81"/>
        <v>9.0090090090090086E-2</v>
      </c>
      <c r="V101" s="94">
        <v>-3.11</v>
      </c>
      <c r="W101" s="39">
        <f>RTD("money.excel",,"6462","Price")</f>
        <v>111</v>
      </c>
      <c r="X101" s="207">
        <v>114.5</v>
      </c>
      <c r="Y101" s="430">
        <f t="shared" si="82"/>
        <v>-3.5</v>
      </c>
      <c r="Z101" s="433">
        <f t="shared" si="83"/>
        <v>-3.0567685589519649E-2</v>
      </c>
      <c r="AA101" s="340">
        <v>-37.049999999999997</v>
      </c>
      <c r="AB101" s="341">
        <v>65.36</v>
      </c>
      <c r="AC101" s="24" t="s">
        <v>220</v>
      </c>
      <c r="AD101" s="84">
        <v>44685</v>
      </c>
      <c r="AF101" s="33">
        <f t="shared" si="30"/>
        <v>-44685</v>
      </c>
      <c r="AG101" s="401" t="s">
        <v>1441</v>
      </c>
      <c r="AH101" s="66">
        <f t="shared" si="71"/>
        <v>1.0862445414847162</v>
      </c>
      <c r="AI101" s="254">
        <f>RTD("money.excel",,$G101,"PredictVolume")</f>
        <v>597</v>
      </c>
      <c r="AJ101" s="391">
        <v>549.6</v>
      </c>
      <c r="AM101" s="245"/>
      <c r="AR101" s="402" t="str">
        <f>INDEX(基本資料!N:N,MATCH($G101,基本資料!A:A,0))</f>
        <v>低</v>
      </c>
    </row>
    <row r="102" spans="1:44">
      <c r="A102" s="343">
        <v>28.1</v>
      </c>
      <c r="B102" s="79">
        <v>208</v>
      </c>
      <c r="C102" s="79">
        <v>128</v>
      </c>
      <c r="D102" s="79">
        <v>58</v>
      </c>
      <c r="E102" s="80">
        <v>-1</v>
      </c>
      <c r="F102" s="79">
        <v>9.75</v>
      </c>
      <c r="G102" s="80">
        <v>3019</v>
      </c>
      <c r="H102" s="450" t="s">
        <v>1877</v>
      </c>
      <c r="I102" s="22" t="s">
        <v>4148</v>
      </c>
      <c r="J102" s="102" t="s">
        <v>6373</v>
      </c>
      <c r="K102" s="5"/>
      <c r="L102" s="79">
        <v>1</v>
      </c>
      <c r="M102" s="403">
        <v>0</v>
      </c>
      <c r="N102" s="240">
        <v>1</v>
      </c>
      <c r="O102" s="359">
        <v>197</v>
      </c>
      <c r="P102" s="79">
        <v>231</v>
      </c>
      <c r="Q102" s="342">
        <v>591</v>
      </c>
      <c r="R102" s="81">
        <v>328</v>
      </c>
      <c r="S102" s="324">
        <v>344</v>
      </c>
      <c r="T102" s="384">
        <v>3.7</v>
      </c>
      <c r="U102" s="426">
        <f t="shared" ref="U102:U103" si="84">T102/W102</f>
        <v>5.845181674565561E-2</v>
      </c>
      <c r="V102" s="94">
        <v>5.34</v>
      </c>
      <c r="W102" s="39">
        <f>RTD("money.excel",,"3019","Price")</f>
        <v>63.3</v>
      </c>
      <c r="X102" s="207">
        <v>71.599999999999994</v>
      </c>
      <c r="Y102" s="430">
        <f t="shared" ref="Y102:Y103" si="85">W102-X102</f>
        <v>-8.2999999999999972</v>
      </c>
      <c r="Z102" s="433">
        <f t="shared" ref="Z102:Z103" si="86">Y102/X102</f>
        <v>-0.11592178770949718</v>
      </c>
      <c r="AA102" s="340">
        <v>-31.11</v>
      </c>
      <c r="AB102" s="389">
        <v>17.920000000000002</v>
      </c>
      <c r="AC102" s="23" t="s">
        <v>4148</v>
      </c>
      <c r="AD102" s="84">
        <v>44685</v>
      </c>
      <c r="AF102" s="33">
        <f t="shared" si="30"/>
        <v>-44685</v>
      </c>
      <c r="AG102" s="401" t="s">
        <v>2030</v>
      </c>
      <c r="AH102" s="66">
        <f t="shared" si="71"/>
        <v>0.64342683036114345</v>
      </c>
      <c r="AI102" s="254">
        <f>RTD("money.excel",,$G102,"PredictVolume")</f>
        <v>718</v>
      </c>
      <c r="AJ102" s="391">
        <v>1115.9000000000001</v>
      </c>
      <c r="AM102" s="245"/>
      <c r="AR102" s="402" t="str">
        <f>INDEX(基本資料!N:N,MATCH($G102,基本資料!A:A,0))</f>
        <v>低</v>
      </c>
    </row>
    <row r="103" spans="1:44">
      <c r="A103" s="343">
        <v>10.7</v>
      </c>
      <c r="B103" s="79">
        <v>128</v>
      </c>
      <c r="C103" s="79">
        <v>104</v>
      </c>
      <c r="D103" s="79">
        <v>13</v>
      </c>
      <c r="E103" s="80">
        <v>-12</v>
      </c>
      <c r="F103" s="79">
        <v>18.23</v>
      </c>
      <c r="G103" s="80">
        <v>8182</v>
      </c>
      <c r="H103" s="403" t="s">
        <v>3388</v>
      </c>
      <c r="I103" s="16" t="s">
        <v>443</v>
      </c>
      <c r="J103" s="102" t="s">
        <v>6373</v>
      </c>
      <c r="K103" s="5"/>
      <c r="L103" s="79">
        <v>1</v>
      </c>
      <c r="M103" s="403">
        <v>0</v>
      </c>
      <c r="N103" s="240">
        <v>1</v>
      </c>
      <c r="O103" s="359">
        <v>399</v>
      </c>
      <c r="P103" s="79">
        <v>983</v>
      </c>
      <c r="Q103" s="342">
        <v>72</v>
      </c>
      <c r="R103" s="81" t="s">
        <v>6279</v>
      </c>
      <c r="S103" s="324">
        <v>368</v>
      </c>
      <c r="T103" s="384">
        <v>3</v>
      </c>
      <c r="U103" s="426">
        <f t="shared" si="84"/>
        <v>7.0588235294117646E-2</v>
      </c>
      <c r="V103" s="94">
        <v>4.76</v>
      </c>
      <c r="W103" s="39">
        <f>RTD("money.excel",,"8182","Price")</f>
        <v>42.5</v>
      </c>
      <c r="X103" s="207">
        <v>43.35</v>
      </c>
      <c r="Y103" s="430">
        <f t="shared" si="85"/>
        <v>-0.85000000000000142</v>
      </c>
      <c r="Z103" s="433">
        <f t="shared" si="86"/>
        <v>-1.9607843137254933E-2</v>
      </c>
      <c r="AA103" s="340">
        <v>-33.799999999999997</v>
      </c>
      <c r="AB103" s="389">
        <v>19.43</v>
      </c>
      <c r="AC103" s="24" t="s">
        <v>443</v>
      </c>
      <c r="AD103" s="84">
        <v>44685</v>
      </c>
      <c r="AF103" s="33">
        <f t="shared" si="30"/>
        <v>-44685</v>
      </c>
      <c r="AG103" s="402" t="s">
        <v>1406</v>
      </c>
      <c r="AH103" s="66">
        <f t="shared" si="71"/>
        <v>1.0431947840260798</v>
      </c>
      <c r="AI103" s="254">
        <f>RTD("money.excel",,$G103,"PredictVolume")</f>
        <v>128</v>
      </c>
      <c r="AJ103" s="391">
        <v>122.7</v>
      </c>
      <c r="AM103" s="245"/>
      <c r="AR103" s="402" t="str">
        <f>INDEX(基本資料!N:N,MATCH($G103,基本資料!A:A,0))</f>
        <v>低</v>
      </c>
    </row>
    <row r="104" spans="1:44">
      <c r="A104" s="343">
        <v>24.1</v>
      </c>
      <c r="B104" s="79">
        <v>28</v>
      </c>
      <c r="C104" s="79">
        <v>26</v>
      </c>
      <c r="D104" s="80">
        <v>-1</v>
      </c>
      <c r="E104" s="80">
        <v>-2</v>
      </c>
      <c r="F104" s="79">
        <v>11.69</v>
      </c>
      <c r="G104" s="80">
        <v>1477</v>
      </c>
      <c r="H104" s="344" t="s">
        <v>294</v>
      </c>
      <c r="I104" s="22" t="s">
        <v>3589</v>
      </c>
      <c r="J104" s="102" t="s">
        <v>3544</v>
      </c>
      <c r="K104" s="5">
        <v>9</v>
      </c>
      <c r="L104" s="156">
        <v>4</v>
      </c>
      <c r="M104" s="337">
        <v>1</v>
      </c>
      <c r="N104" s="240">
        <v>3</v>
      </c>
      <c r="O104" s="359">
        <v>1085</v>
      </c>
      <c r="P104" s="79">
        <v>181</v>
      </c>
      <c r="Q104" s="342">
        <v>237</v>
      </c>
      <c r="R104" s="81">
        <v>107</v>
      </c>
      <c r="S104" s="324">
        <v>439</v>
      </c>
      <c r="T104" s="384">
        <v>9.5</v>
      </c>
      <c r="U104" s="426">
        <f t="shared" ref="U104:U106" si="87">T104/W104</f>
        <v>5.7750759878419454E-2</v>
      </c>
      <c r="V104" s="94">
        <v>11.25</v>
      </c>
      <c r="W104" s="39">
        <f>RTD("money.excel",,"1477","Price")</f>
        <v>164.5</v>
      </c>
      <c r="X104" s="207">
        <v>185</v>
      </c>
      <c r="Y104" s="430">
        <f t="shared" ref="Y104:Y106" si="88">W104-X104</f>
        <v>-20.5</v>
      </c>
      <c r="Z104" s="433">
        <f t="shared" ref="Z104:Z106" si="89">Y104/X104</f>
        <v>-0.11081081081081082</v>
      </c>
      <c r="AA104" s="340">
        <v>-36.68</v>
      </c>
      <c r="AB104" s="389">
        <v>21.16</v>
      </c>
      <c r="AC104" s="97" t="s">
        <v>3589</v>
      </c>
      <c r="AD104" s="84">
        <v>44684</v>
      </c>
      <c r="AF104" s="33">
        <f t="shared" si="30"/>
        <v>-44684</v>
      </c>
      <c r="AG104" s="401" t="s">
        <v>3332</v>
      </c>
      <c r="AH104" s="66">
        <f t="shared" si="71"/>
        <v>0.34211910678977636</v>
      </c>
      <c r="AI104" s="254">
        <f>RTD("money.excel",,$G104,"PredictVolume")</f>
        <v>943</v>
      </c>
      <c r="AJ104" s="391">
        <v>2756.35</v>
      </c>
      <c r="AM104" s="245"/>
      <c r="AR104" s="402" t="str">
        <f>INDEX(基本資料!N:N,MATCH($G104,基本資料!A:A,0))</f>
        <v>低</v>
      </c>
    </row>
    <row r="105" spans="1:44">
      <c r="A105" s="343">
        <v>42.2</v>
      </c>
      <c r="B105" s="79">
        <v>80</v>
      </c>
      <c r="C105" s="79">
        <v>9</v>
      </c>
      <c r="D105" s="79">
        <v>72</v>
      </c>
      <c r="E105" s="79">
        <v>26</v>
      </c>
      <c r="F105" s="79">
        <v>17.489999999999998</v>
      </c>
      <c r="G105" s="80">
        <v>2360</v>
      </c>
      <c r="H105" s="403" t="s">
        <v>314</v>
      </c>
      <c r="I105" s="22" t="s">
        <v>44</v>
      </c>
      <c r="J105" s="102" t="s">
        <v>3544</v>
      </c>
      <c r="L105" s="79">
        <v>1</v>
      </c>
      <c r="M105" s="403">
        <v>0</v>
      </c>
      <c r="N105" s="240">
        <v>1</v>
      </c>
      <c r="O105" s="359">
        <v>1321</v>
      </c>
      <c r="P105" s="79">
        <v>739</v>
      </c>
      <c r="Q105" s="342">
        <v>29</v>
      </c>
      <c r="R105" s="81">
        <v>236</v>
      </c>
      <c r="S105" s="324">
        <v>800</v>
      </c>
      <c r="T105" s="384">
        <v>7</v>
      </c>
      <c r="U105" s="426">
        <f t="shared" si="87"/>
        <v>4.4303797468354431E-2</v>
      </c>
      <c r="V105" s="94">
        <v>9.9600000000000009</v>
      </c>
      <c r="W105" s="39">
        <f>RTD("money.excel",,"2360","Price")</f>
        <v>158</v>
      </c>
      <c r="X105" s="207">
        <v>166</v>
      </c>
      <c r="Y105" s="430">
        <f t="shared" si="88"/>
        <v>-8</v>
      </c>
      <c r="Z105" s="433">
        <f t="shared" si="89"/>
        <v>-4.8192771084337352E-2</v>
      </c>
      <c r="AA105" s="340">
        <v>-30.14</v>
      </c>
      <c r="AB105" s="389">
        <v>18.12</v>
      </c>
      <c r="AC105" s="23" t="s">
        <v>44</v>
      </c>
      <c r="AD105" s="84">
        <v>44684</v>
      </c>
      <c r="AF105" s="33">
        <f t="shared" si="30"/>
        <v>-44684</v>
      </c>
      <c r="AG105" s="401" t="s">
        <v>3062</v>
      </c>
      <c r="AH105" s="66">
        <f t="shared" si="71"/>
        <v>0.52636135399532513</v>
      </c>
      <c r="AI105" s="254">
        <f>RTD("money.excel",,$G105,"PredictVolume")</f>
        <v>304</v>
      </c>
      <c r="AJ105" s="391">
        <v>577.54999999999995</v>
      </c>
      <c r="AM105" s="245"/>
      <c r="AR105" s="402" t="str">
        <f>INDEX(基本資料!N:N,MATCH($G105,基本資料!A:A,0))</f>
        <v>低</v>
      </c>
    </row>
    <row r="106" spans="1:44">
      <c r="A106" s="343">
        <v>952</v>
      </c>
      <c r="B106" s="79">
        <v>569</v>
      </c>
      <c r="C106" s="92">
        <v>1892</v>
      </c>
      <c r="D106" s="79">
        <v>31</v>
      </c>
      <c r="E106" s="79">
        <v>47</v>
      </c>
      <c r="F106" s="79">
        <v>8.9</v>
      </c>
      <c r="G106" s="80">
        <v>6505</v>
      </c>
      <c r="H106" s="403" t="s">
        <v>312</v>
      </c>
      <c r="I106" s="22" t="s">
        <v>4670</v>
      </c>
      <c r="J106" s="102" t="s">
        <v>3544</v>
      </c>
      <c r="L106" s="79">
        <v>5</v>
      </c>
      <c r="M106" s="403">
        <v>0</v>
      </c>
      <c r="N106" s="240">
        <v>5</v>
      </c>
      <c r="O106" s="359">
        <v>1439</v>
      </c>
      <c r="P106" s="79">
        <v>934</v>
      </c>
      <c r="Q106" s="342">
        <v>636</v>
      </c>
      <c r="R106" s="81">
        <v>340</v>
      </c>
      <c r="S106" s="324">
        <v>410</v>
      </c>
      <c r="T106" s="384">
        <v>3.8</v>
      </c>
      <c r="U106" s="426">
        <f t="shared" si="87"/>
        <v>4.1621029572836803E-2</v>
      </c>
      <c r="V106" s="94">
        <v>5.19</v>
      </c>
      <c r="W106" s="39">
        <f>RTD("money.excel",,"6505","Price")</f>
        <v>91.3</v>
      </c>
      <c r="X106" s="207">
        <v>91.3</v>
      </c>
      <c r="Y106" s="430">
        <f t="shared" si="88"/>
        <v>0</v>
      </c>
      <c r="Z106" s="433">
        <f t="shared" si="89"/>
        <v>0</v>
      </c>
      <c r="AA106" s="340">
        <v>-22.04</v>
      </c>
      <c r="AB106" s="389">
        <v>15.87</v>
      </c>
      <c r="AC106" s="23" t="s">
        <v>4670</v>
      </c>
      <c r="AD106" s="84">
        <v>44684</v>
      </c>
      <c r="AF106" s="33">
        <f t="shared" si="30"/>
        <v>-44684</v>
      </c>
      <c r="AG106" s="402" t="s">
        <v>2595</v>
      </c>
      <c r="AH106" s="66">
        <f t="shared" si="71"/>
        <v>0.5892324221081533</v>
      </c>
      <c r="AI106" s="254">
        <f>RTD("money.excel",,$G106,"PredictVolume")</f>
        <v>1234</v>
      </c>
      <c r="AJ106" s="391">
        <v>2094.25</v>
      </c>
      <c r="AM106" s="245"/>
      <c r="AR106" s="402" t="str">
        <f>INDEX(基本資料!N:N,MATCH($G106,基本資料!A:A,0))</f>
        <v>低</v>
      </c>
    </row>
    <row r="107" spans="1:44">
      <c r="A107" s="343">
        <v>59.3</v>
      </c>
      <c r="B107" s="79">
        <v>181</v>
      </c>
      <c r="C107" s="79">
        <v>259</v>
      </c>
      <c r="D107" s="79">
        <v>6</v>
      </c>
      <c r="E107" s="79">
        <v>5</v>
      </c>
      <c r="F107" s="79">
        <v>34.700000000000003</v>
      </c>
      <c r="G107" s="80">
        <v>1308</v>
      </c>
      <c r="H107" s="403" t="s">
        <v>3328</v>
      </c>
      <c r="I107" s="22" t="s">
        <v>109</v>
      </c>
      <c r="J107" s="8">
        <v>4</v>
      </c>
      <c r="L107" s="79">
        <v>1</v>
      </c>
      <c r="M107" s="403">
        <v>0</v>
      </c>
      <c r="N107" s="240">
        <v>1</v>
      </c>
      <c r="O107" s="359">
        <v>727</v>
      </c>
      <c r="P107" s="79">
        <v>437</v>
      </c>
      <c r="Q107" s="342">
        <v>661</v>
      </c>
      <c r="R107" s="81">
        <v>122</v>
      </c>
      <c r="S107" s="324">
        <v>149</v>
      </c>
      <c r="T107" s="384">
        <v>3</v>
      </c>
      <c r="U107" s="426">
        <f t="shared" ref="U107:U109" si="90">T107/W107</f>
        <v>0.10657193605683837</v>
      </c>
      <c r="V107" s="94">
        <v>5.28</v>
      </c>
      <c r="W107" s="39">
        <f>RTD("money.excel",,$G107,"Price")</f>
        <v>28.15</v>
      </c>
      <c r="X107" s="207">
        <v>36.9</v>
      </c>
      <c r="Y107" s="430">
        <f t="shared" ref="Y107:Y109" si="91">W107-X107</f>
        <v>-8.75</v>
      </c>
      <c r="Z107" s="433">
        <f t="shared" ref="Z107:Z109" si="92">Y107/X107</f>
        <v>-0.23712737127371275</v>
      </c>
      <c r="AA107" s="340">
        <v>-29.94</v>
      </c>
      <c r="AB107" s="389">
        <v>40.950000000000003</v>
      </c>
      <c r="AC107" s="23" t="s">
        <v>109</v>
      </c>
      <c r="AD107" s="84">
        <v>44680</v>
      </c>
      <c r="AF107" s="33">
        <f t="shared" ref="AF107:AF142" si="93">AE107-AD107</f>
        <v>-44680</v>
      </c>
      <c r="AG107" s="401" t="s">
        <v>2752</v>
      </c>
      <c r="AH107" s="66">
        <f t="shared" si="71"/>
        <v>0.7964657941172737</v>
      </c>
      <c r="AI107" s="254">
        <f>RTD("money.excel",,$G107,"PredictVolume")</f>
        <v>3137</v>
      </c>
      <c r="AJ107" s="391">
        <v>3938.65</v>
      </c>
      <c r="AK107" s="461"/>
      <c r="AM107" s="245"/>
      <c r="AR107" s="402" t="str">
        <f>INDEX(基本資料!N:N,MATCH($G107,基本資料!A:A,0))</f>
        <v>低</v>
      </c>
    </row>
    <row r="108" spans="1:44">
      <c r="A108" s="343">
        <v>30.3</v>
      </c>
      <c r="B108" s="79">
        <v>57</v>
      </c>
      <c r="C108" s="79">
        <v>34</v>
      </c>
      <c r="D108" s="79">
        <v>47</v>
      </c>
      <c r="E108" s="80">
        <v>-3</v>
      </c>
      <c r="F108" s="79">
        <v>30.91</v>
      </c>
      <c r="G108" s="80">
        <v>2458</v>
      </c>
      <c r="H108" s="403" t="s">
        <v>3038</v>
      </c>
      <c r="I108" s="22" t="s">
        <v>57</v>
      </c>
      <c r="J108" s="102" t="s">
        <v>6239</v>
      </c>
      <c r="K108" s="5" t="s">
        <v>6761</v>
      </c>
      <c r="L108" s="156">
        <v>4</v>
      </c>
      <c r="M108" s="337">
        <v>6</v>
      </c>
      <c r="N108" s="240">
        <v>-2</v>
      </c>
      <c r="O108" s="359">
        <v>752</v>
      </c>
      <c r="P108" s="79">
        <v>14</v>
      </c>
      <c r="Q108" s="342">
        <v>270</v>
      </c>
      <c r="R108" s="81">
        <v>31</v>
      </c>
      <c r="S108" s="324">
        <v>368</v>
      </c>
      <c r="T108" s="384">
        <v>13.5</v>
      </c>
      <c r="U108" s="426">
        <f t="shared" si="90"/>
        <v>9.5070422535211266E-2</v>
      </c>
      <c r="V108" s="94">
        <v>17.57</v>
      </c>
      <c r="W108" s="39">
        <f>RTD("money.excel",,"2458","Price")</f>
        <v>142</v>
      </c>
      <c r="X108" s="207">
        <v>152.5</v>
      </c>
      <c r="Y108" s="430">
        <f t="shared" si="91"/>
        <v>-10.5</v>
      </c>
      <c r="Z108" s="433">
        <f t="shared" si="92"/>
        <v>-6.8852459016393447E-2</v>
      </c>
      <c r="AA108" s="340">
        <v>-30.47</v>
      </c>
      <c r="AB108" s="389">
        <v>22.27</v>
      </c>
      <c r="AC108" s="97" t="s">
        <v>6764</v>
      </c>
      <c r="AD108" s="84">
        <v>44680</v>
      </c>
      <c r="AF108" s="33">
        <f t="shared" si="93"/>
        <v>-44680</v>
      </c>
      <c r="AG108" s="401" t="s">
        <v>2343</v>
      </c>
      <c r="AH108" s="66">
        <f t="shared" si="71"/>
        <v>0.52433812351203279</v>
      </c>
      <c r="AI108" s="254">
        <f>RTD("money.excel",,$G108,"PredictVolume")</f>
        <v>914</v>
      </c>
      <c r="AJ108" s="391">
        <v>1743.15</v>
      </c>
      <c r="AM108" s="245"/>
      <c r="AR108" s="402" t="str">
        <f>INDEX(基本資料!N:N,MATCH($G108,基本資料!A:A,0))</f>
        <v>低</v>
      </c>
    </row>
    <row r="109" spans="1:44">
      <c r="A109" s="343">
        <v>75.900000000000006</v>
      </c>
      <c r="B109" s="79">
        <v>43</v>
      </c>
      <c r="C109" s="79">
        <v>35</v>
      </c>
      <c r="D109" s="79">
        <v>9</v>
      </c>
      <c r="E109" s="79">
        <v>9</v>
      </c>
      <c r="F109" s="79">
        <v>17.329999999999998</v>
      </c>
      <c r="G109" s="80">
        <v>6239</v>
      </c>
      <c r="H109" s="344" t="s">
        <v>3038</v>
      </c>
      <c r="I109" s="22" t="s">
        <v>22</v>
      </c>
      <c r="J109" s="102" t="s">
        <v>3544</v>
      </c>
      <c r="L109" s="79">
        <v>2</v>
      </c>
      <c r="M109" s="403">
        <v>0</v>
      </c>
      <c r="N109" s="240">
        <v>2</v>
      </c>
      <c r="O109" s="359">
        <v>1137</v>
      </c>
      <c r="P109" s="79">
        <v>84</v>
      </c>
      <c r="Q109" s="342">
        <v>89</v>
      </c>
      <c r="R109" s="81">
        <v>104</v>
      </c>
      <c r="S109" s="324">
        <v>605</v>
      </c>
      <c r="T109" s="384">
        <v>6.8</v>
      </c>
      <c r="U109" s="426">
        <f t="shared" si="90"/>
        <v>7.2649572649572655E-2</v>
      </c>
      <c r="V109" s="94">
        <v>11.54</v>
      </c>
      <c r="W109" s="39">
        <f>RTD("money.excel",,"6239","Price")</f>
        <v>93.6</v>
      </c>
      <c r="X109" s="207">
        <v>94.1</v>
      </c>
      <c r="Y109" s="430">
        <f t="shared" si="91"/>
        <v>-0.5</v>
      </c>
      <c r="Z109" s="433">
        <f t="shared" si="92"/>
        <v>-5.3134962805526037E-3</v>
      </c>
      <c r="AA109" s="340">
        <v>-19.66</v>
      </c>
      <c r="AB109" s="389">
        <v>29.62</v>
      </c>
      <c r="AC109" s="23" t="s">
        <v>22</v>
      </c>
      <c r="AD109" s="84">
        <v>44680</v>
      </c>
      <c r="AF109" s="33">
        <f t="shared" si="93"/>
        <v>-44680</v>
      </c>
      <c r="AG109" s="401" t="s">
        <v>2297</v>
      </c>
      <c r="AH109" s="66">
        <f t="shared" si="71"/>
        <v>0.37442776778190268</v>
      </c>
      <c r="AI109" s="254">
        <f>RTD("money.excel",,$G109,"PredictVolume")</f>
        <v>822</v>
      </c>
      <c r="AJ109" s="391">
        <v>2195.35</v>
      </c>
      <c r="AM109" s="245"/>
      <c r="AR109" s="402" t="str">
        <f>INDEX(基本資料!N:N,MATCH($G109,基本資料!A:A,0))</f>
        <v>低</v>
      </c>
    </row>
    <row r="110" spans="1:44">
      <c r="A110" s="343">
        <v>73.8</v>
      </c>
      <c r="B110" s="79">
        <v>67</v>
      </c>
      <c r="C110" s="79">
        <v>42</v>
      </c>
      <c r="D110" s="79">
        <v>15</v>
      </c>
      <c r="E110" s="79">
        <v>6</v>
      </c>
      <c r="F110" s="79">
        <v>25.46</v>
      </c>
      <c r="G110" s="80">
        <v>6147</v>
      </c>
      <c r="H110" s="96" t="s">
        <v>3038</v>
      </c>
      <c r="I110" s="166" t="s">
        <v>2914</v>
      </c>
      <c r="J110" s="102" t="s">
        <v>6233</v>
      </c>
      <c r="L110" s="79">
        <v>15</v>
      </c>
      <c r="M110" s="403">
        <v>0</v>
      </c>
      <c r="N110" s="240">
        <v>15</v>
      </c>
      <c r="O110" s="359">
        <v>801</v>
      </c>
      <c r="P110" s="79">
        <v>294</v>
      </c>
      <c r="Q110" s="342">
        <v>243</v>
      </c>
      <c r="R110" s="81">
        <v>89</v>
      </c>
      <c r="S110" s="324">
        <v>323</v>
      </c>
      <c r="T110" s="384">
        <v>6</v>
      </c>
      <c r="U110" s="426">
        <f t="shared" ref="U110" si="94">T110/W110</f>
        <v>8.8495575221238937E-2</v>
      </c>
      <c r="V110" s="94">
        <v>9.1</v>
      </c>
      <c r="W110" s="39">
        <f>RTD("money.excel",,"6147","Price")</f>
        <v>67.8</v>
      </c>
      <c r="X110" s="207">
        <v>68.2</v>
      </c>
      <c r="Y110" s="430">
        <f t="shared" ref="Y110" si="95">W110-X110</f>
        <v>-0.40000000000000568</v>
      </c>
      <c r="Z110" s="433">
        <f t="shared" ref="Z110" si="96">Y110/X110</f>
        <v>-5.8651026392962709E-3</v>
      </c>
      <c r="AA110" s="340">
        <v>-23.56</v>
      </c>
      <c r="AB110" s="389">
        <v>34.99</v>
      </c>
      <c r="AC110" s="24" t="s">
        <v>2914</v>
      </c>
      <c r="AD110" s="84">
        <v>44680</v>
      </c>
      <c r="AF110" s="33">
        <f t="shared" si="93"/>
        <v>-44680</v>
      </c>
      <c r="AG110" s="401" t="s">
        <v>2290</v>
      </c>
      <c r="AH110" s="66">
        <f t="shared" si="71"/>
        <v>0.48555555555555557</v>
      </c>
      <c r="AI110" s="254">
        <f>RTD("money.excel",,$G110,"PredictVolume")</f>
        <v>1311</v>
      </c>
      <c r="AJ110" s="391">
        <v>2700</v>
      </c>
      <c r="AM110" s="245"/>
      <c r="AR110" s="402" t="str">
        <f>INDEX(基本資料!N:N,MATCH($G110,基本資料!A:A,0))</f>
        <v>低</v>
      </c>
    </row>
    <row r="111" spans="1:44">
      <c r="A111" s="343">
        <v>6.58</v>
      </c>
      <c r="B111" s="79">
        <v>12</v>
      </c>
      <c r="C111" s="79">
        <v>11</v>
      </c>
      <c r="D111" s="79">
        <v>29</v>
      </c>
      <c r="E111" s="79">
        <v>29</v>
      </c>
      <c r="F111" s="79">
        <v>11.93</v>
      </c>
      <c r="G111" s="80">
        <v>5288</v>
      </c>
      <c r="H111" s="403" t="s">
        <v>295</v>
      </c>
      <c r="I111" s="22" t="s">
        <v>584</v>
      </c>
      <c r="J111" s="102" t="s">
        <v>4718</v>
      </c>
      <c r="L111" s="79">
        <v>2</v>
      </c>
      <c r="M111" s="403">
        <v>0</v>
      </c>
      <c r="N111" s="240">
        <v>2</v>
      </c>
      <c r="O111" s="359">
        <v>596</v>
      </c>
      <c r="P111" s="79">
        <v>519</v>
      </c>
      <c r="Q111" s="342">
        <v>36</v>
      </c>
      <c r="R111" s="81">
        <v>331</v>
      </c>
      <c r="S111" s="324">
        <v>800</v>
      </c>
      <c r="T111" s="384">
        <v>4.5</v>
      </c>
      <c r="U111" s="426">
        <f t="shared" ref="U111" si="97">T111/W111</f>
        <v>3.0508474576271188E-2</v>
      </c>
      <c r="V111" s="94">
        <v>9.5299999999999994</v>
      </c>
      <c r="W111" s="39">
        <f>RTD("money.excel",,"5288","Price")</f>
        <v>147.5</v>
      </c>
      <c r="X111" s="207">
        <v>151</v>
      </c>
      <c r="Y111" s="430">
        <f t="shared" ref="Y111" si="98">W111-X111</f>
        <v>-3.5</v>
      </c>
      <c r="Z111" s="433">
        <f t="shared" ref="Z111" si="99">Y111/X111</f>
        <v>-2.3178807947019868E-2</v>
      </c>
      <c r="AA111" s="340">
        <v>-15.54</v>
      </c>
      <c r="AB111" s="341">
        <v>53.36</v>
      </c>
      <c r="AC111" s="23" t="s">
        <v>584</v>
      </c>
      <c r="AD111" s="84">
        <v>44679</v>
      </c>
      <c r="AF111" s="33">
        <f t="shared" si="93"/>
        <v>-44679</v>
      </c>
      <c r="AG111" s="402" t="s">
        <v>2749</v>
      </c>
      <c r="AH111" s="66">
        <f t="shared" si="71"/>
        <v>0.8306010928961749</v>
      </c>
      <c r="AI111" s="254">
        <f>RTD("money.excel",,$G111,"PredictVolume")</f>
        <v>38</v>
      </c>
      <c r="AJ111" s="391">
        <v>45.75</v>
      </c>
      <c r="AM111" s="245"/>
      <c r="AR111" s="402" t="str">
        <f>INDEX(基本資料!N:N,MATCH($G111,基本資料!A:A,0))</f>
        <v>中</v>
      </c>
    </row>
    <row r="112" spans="1:44">
      <c r="A112" s="343">
        <v>8.3800000000000008</v>
      </c>
      <c r="B112" s="79">
        <v>252</v>
      </c>
      <c r="C112" s="79">
        <v>192</v>
      </c>
      <c r="D112" s="79">
        <v>251</v>
      </c>
      <c r="E112" s="79">
        <v>24</v>
      </c>
      <c r="F112" s="79">
        <v>25.36</v>
      </c>
      <c r="G112" s="80">
        <v>8924</v>
      </c>
      <c r="H112" s="403" t="s">
        <v>1959</v>
      </c>
      <c r="I112" s="16" t="s">
        <v>662</v>
      </c>
      <c r="J112" s="102" t="s">
        <v>3543</v>
      </c>
      <c r="L112" s="79">
        <v>1</v>
      </c>
      <c r="M112" s="403">
        <v>0</v>
      </c>
      <c r="N112" s="240">
        <v>1</v>
      </c>
      <c r="O112" s="359">
        <v>462</v>
      </c>
      <c r="P112" s="79">
        <v>127</v>
      </c>
      <c r="Q112" s="342">
        <v>902</v>
      </c>
      <c r="R112" s="81">
        <v>88</v>
      </c>
      <c r="S112" s="324">
        <v>201</v>
      </c>
      <c r="T112" s="384">
        <v>13.7</v>
      </c>
      <c r="U112" s="426">
        <f t="shared" ref="U112:U114" si="100">T112/W112</f>
        <v>0.10620155038759689</v>
      </c>
      <c r="V112" s="94">
        <v>20.149999999999999</v>
      </c>
      <c r="W112" s="39">
        <f>RTD("money.excel",,"8924","Price")</f>
        <v>129</v>
      </c>
      <c r="X112" s="207">
        <v>143</v>
      </c>
      <c r="Y112" s="430">
        <f t="shared" ref="Y112:Y114" si="101">W112-X112</f>
        <v>-14</v>
      </c>
      <c r="Z112" s="433">
        <f t="shared" ref="Z112:Z114" si="102">Y112/X112</f>
        <v>-9.7902097902097904E-2</v>
      </c>
      <c r="AA112" s="340">
        <v>-23.86</v>
      </c>
      <c r="AB112" s="389">
        <v>37.36</v>
      </c>
      <c r="AC112" s="24" t="s">
        <v>6823</v>
      </c>
      <c r="AD112" s="84">
        <v>44679</v>
      </c>
      <c r="AF112" s="33">
        <f t="shared" si="93"/>
        <v>-44679</v>
      </c>
      <c r="AG112" s="402" t="s">
        <v>3059</v>
      </c>
      <c r="AH112" s="66">
        <f t="shared" si="71"/>
        <v>1.1828793774319066</v>
      </c>
      <c r="AI112" s="254">
        <f>RTD("money.excel",,$G112,"PredictVolume")</f>
        <v>532</v>
      </c>
      <c r="AJ112" s="391">
        <v>449.75</v>
      </c>
      <c r="AM112" s="245"/>
      <c r="AR112" s="402" t="str">
        <f>INDEX(基本資料!N:N,MATCH($G112,基本資料!A:A,0))</f>
        <v>低</v>
      </c>
    </row>
    <row r="113" spans="1:44">
      <c r="A113" s="343">
        <v>32.1</v>
      </c>
      <c r="B113" s="79">
        <v>227</v>
      </c>
      <c r="C113" s="79">
        <v>461</v>
      </c>
      <c r="D113" s="79">
        <v>62</v>
      </c>
      <c r="E113" s="79">
        <v>89</v>
      </c>
      <c r="F113" s="79">
        <v>18.7</v>
      </c>
      <c r="G113" s="79">
        <v>2031</v>
      </c>
      <c r="H113" s="403" t="s">
        <v>3090</v>
      </c>
      <c r="I113" s="22" t="s">
        <v>3946</v>
      </c>
      <c r="J113" s="8" t="s">
        <v>3544</v>
      </c>
      <c r="L113" s="79">
        <v>1</v>
      </c>
      <c r="M113" s="403">
        <v>0</v>
      </c>
      <c r="N113" s="240">
        <v>1</v>
      </c>
      <c r="O113" s="359">
        <v>348</v>
      </c>
      <c r="P113" s="79">
        <v>332</v>
      </c>
      <c r="Q113" s="342">
        <v>471</v>
      </c>
      <c r="R113" s="81">
        <v>77</v>
      </c>
      <c r="S113" s="324">
        <v>224</v>
      </c>
      <c r="T113" s="384">
        <v>4</v>
      </c>
      <c r="U113" s="426">
        <f t="shared" si="100"/>
        <v>8.1799591002044994E-2</v>
      </c>
      <c r="V113" s="94">
        <v>8.66</v>
      </c>
      <c r="W113" s="39">
        <f>RTD("money.excel",,"2031","Price")</f>
        <v>48.9</v>
      </c>
      <c r="X113" s="207">
        <v>65.2</v>
      </c>
      <c r="Y113" s="430">
        <f t="shared" si="101"/>
        <v>-16.300000000000004</v>
      </c>
      <c r="Z113" s="433">
        <f t="shared" si="102"/>
        <v>-0.25000000000000006</v>
      </c>
      <c r="AA113" s="340">
        <v>-31.29</v>
      </c>
      <c r="AB113" s="341">
        <v>61.64</v>
      </c>
      <c r="AC113" s="23" t="s">
        <v>3946</v>
      </c>
      <c r="AD113" s="84">
        <v>44679</v>
      </c>
      <c r="AF113" s="33">
        <f t="shared" si="93"/>
        <v>-44679</v>
      </c>
      <c r="AG113" s="402" t="s">
        <v>3947</v>
      </c>
      <c r="AH113" s="66">
        <f t="shared" si="71"/>
        <v>0.69306049212773679</v>
      </c>
      <c r="AI113" s="254">
        <f>RTD("money.excel",,$G113,"PredictVolume")</f>
        <v>5060</v>
      </c>
      <c r="AJ113" s="391">
        <v>7300.95</v>
      </c>
      <c r="AM113" s="245"/>
      <c r="AR113" s="402" t="str">
        <f>INDEX(基本資料!N:N,MATCH($G113,基本資料!A:A,0))</f>
        <v>低</v>
      </c>
    </row>
    <row r="114" spans="1:44">
      <c r="A114" s="343">
        <v>33.200000000000003</v>
      </c>
      <c r="B114" s="79">
        <v>48</v>
      </c>
      <c r="C114" s="79">
        <v>47</v>
      </c>
      <c r="D114" s="79">
        <v>18</v>
      </c>
      <c r="E114" s="79">
        <v>22</v>
      </c>
      <c r="F114" s="79">
        <v>17.98</v>
      </c>
      <c r="G114" s="80">
        <v>2383</v>
      </c>
      <c r="H114" s="403" t="s">
        <v>308</v>
      </c>
      <c r="I114" s="22" t="s">
        <v>4486</v>
      </c>
      <c r="J114" s="102" t="s">
        <v>3544</v>
      </c>
      <c r="L114" s="79">
        <v>1</v>
      </c>
      <c r="M114" s="403">
        <v>0</v>
      </c>
      <c r="N114" s="240">
        <v>1</v>
      </c>
      <c r="O114" s="359">
        <v>1123</v>
      </c>
      <c r="P114" s="79">
        <v>1118</v>
      </c>
      <c r="Q114" s="342">
        <v>107</v>
      </c>
      <c r="R114" s="81">
        <v>86</v>
      </c>
      <c r="S114" s="324">
        <v>344</v>
      </c>
      <c r="T114" s="384">
        <v>10</v>
      </c>
      <c r="U114" s="426">
        <f t="shared" si="100"/>
        <v>4.5558086560364468E-2</v>
      </c>
      <c r="V114" s="94">
        <v>17.579999999999998</v>
      </c>
      <c r="W114" s="39">
        <f>RTD("money.excel",,"2383","Price")</f>
        <v>219.5</v>
      </c>
      <c r="X114" s="207">
        <v>237.5</v>
      </c>
      <c r="Y114" s="430">
        <f t="shared" si="101"/>
        <v>-18</v>
      </c>
      <c r="Z114" s="433">
        <f t="shared" si="102"/>
        <v>-7.5789473684210532E-2</v>
      </c>
      <c r="AA114" s="340">
        <v>-21.81</v>
      </c>
      <c r="AB114" s="389">
        <v>21.92</v>
      </c>
      <c r="AC114" s="23" t="s">
        <v>4486</v>
      </c>
      <c r="AD114" s="84">
        <v>44679</v>
      </c>
      <c r="AF114" s="33">
        <f t="shared" si="93"/>
        <v>-44679</v>
      </c>
      <c r="AG114" s="401" t="s">
        <v>3277</v>
      </c>
      <c r="AH114" s="66">
        <f t="shared" si="71"/>
        <v>2.0001837278378298</v>
      </c>
      <c r="AI114" s="254">
        <f>RTD("money.excel",,$G114,"PredictVolume")</f>
        <v>3266</v>
      </c>
      <c r="AJ114" s="391">
        <v>1632.85</v>
      </c>
      <c r="AM114" s="245"/>
      <c r="AR114" s="402" t="str">
        <f>INDEX(基本資料!N:N,MATCH($G114,基本資料!A:A,0))</f>
        <v>低</v>
      </c>
    </row>
    <row r="115" spans="1:44">
      <c r="A115" s="343">
        <v>6.87</v>
      </c>
      <c r="B115" s="80">
        <v>-51</v>
      </c>
      <c r="C115" s="80">
        <v>-54</v>
      </c>
      <c r="D115" s="79">
        <v>15</v>
      </c>
      <c r="E115" s="80">
        <v>-18</v>
      </c>
      <c r="F115" s="79">
        <v>8.2100000000000009</v>
      </c>
      <c r="G115" s="79">
        <v>4977</v>
      </c>
      <c r="H115" s="344" t="s">
        <v>311</v>
      </c>
      <c r="I115" s="22" t="s">
        <v>4397</v>
      </c>
      <c r="J115" s="102" t="s">
        <v>4718</v>
      </c>
      <c r="L115" s="79">
        <v>1</v>
      </c>
      <c r="M115" s="403">
        <v>0</v>
      </c>
      <c r="N115" s="240">
        <v>1</v>
      </c>
      <c r="O115" s="359">
        <v>615</v>
      </c>
      <c r="P115" s="79">
        <v>519</v>
      </c>
      <c r="Q115" s="342">
        <v>124</v>
      </c>
      <c r="R115" s="81" t="s">
        <v>6279</v>
      </c>
      <c r="S115" s="324">
        <v>999</v>
      </c>
      <c r="T115" s="384">
        <v>3.2</v>
      </c>
      <c r="U115" s="426">
        <f t="shared" ref="U115" si="103">T115/W115</f>
        <v>4.1558441558441558E-2</v>
      </c>
      <c r="V115" s="94">
        <v>3.88</v>
      </c>
      <c r="W115" s="39">
        <f>RTD("money.excel",,"4977","Price")</f>
        <v>77</v>
      </c>
      <c r="X115" s="207">
        <v>79.599999999999994</v>
      </c>
      <c r="Y115" s="430">
        <f t="shared" ref="Y115" si="104">W115-X115</f>
        <v>-2.5999999999999943</v>
      </c>
      <c r="Z115" s="433">
        <f t="shared" ref="Z115" si="105">Y115/X115</f>
        <v>-3.2663316582914506E-2</v>
      </c>
      <c r="AA115" s="340">
        <v>-20.69</v>
      </c>
      <c r="AB115" s="341">
        <v>68.5</v>
      </c>
      <c r="AC115" s="23" t="s">
        <v>4397</v>
      </c>
      <c r="AD115" s="84">
        <v>44678</v>
      </c>
      <c r="AF115" s="33">
        <f t="shared" si="93"/>
        <v>-44678</v>
      </c>
      <c r="AG115" s="417" t="s">
        <v>4356</v>
      </c>
      <c r="AH115" s="66">
        <f t="shared" si="71"/>
        <v>1.0589812332439679</v>
      </c>
      <c r="AI115" s="254">
        <f>RTD("money.excel",,$G115,"PredictVolume")</f>
        <v>79</v>
      </c>
      <c r="AJ115" s="391">
        <v>74.599999999999994</v>
      </c>
      <c r="AM115" s="245"/>
      <c r="AR115" s="402" t="str">
        <f>INDEX(基本資料!N:N,MATCH($G115,基本資料!A:A,0))</f>
        <v>低</v>
      </c>
    </row>
    <row r="116" spans="1:44">
      <c r="A116" s="343">
        <v>6.85</v>
      </c>
      <c r="B116" s="79">
        <v>176</v>
      </c>
      <c r="C116" s="79">
        <v>166</v>
      </c>
      <c r="D116" s="79">
        <v>20</v>
      </c>
      <c r="E116" s="79">
        <v>36</v>
      </c>
      <c r="F116" s="79">
        <v>30.58</v>
      </c>
      <c r="G116" s="80">
        <v>6756</v>
      </c>
      <c r="H116" s="403" t="s">
        <v>3038</v>
      </c>
      <c r="I116" s="22" t="s">
        <v>2132</v>
      </c>
      <c r="J116" s="8" t="s">
        <v>3542</v>
      </c>
      <c r="L116" s="79">
        <v>1</v>
      </c>
      <c r="M116" s="403">
        <v>0</v>
      </c>
      <c r="N116" s="240">
        <v>1</v>
      </c>
      <c r="O116" s="359">
        <v>506</v>
      </c>
      <c r="P116" s="79">
        <v>934</v>
      </c>
      <c r="Q116" s="342">
        <v>765</v>
      </c>
      <c r="R116" s="81">
        <v>316</v>
      </c>
      <c r="S116" s="324">
        <v>149</v>
      </c>
      <c r="T116" s="384">
        <v>10.99</v>
      </c>
      <c r="U116" s="426">
        <f t="shared" ref="U116:U117" si="106">T116/W116</f>
        <v>3.7766323024054985E-2</v>
      </c>
      <c r="V116" s="94">
        <v>13.04</v>
      </c>
      <c r="W116" s="39">
        <f>RTD("money.excel",,"6756","Price")</f>
        <v>291</v>
      </c>
      <c r="X116" s="207">
        <v>312</v>
      </c>
      <c r="Y116" s="430">
        <f t="shared" ref="Y116:Y117" si="107">W116-X116</f>
        <v>-21</v>
      </c>
      <c r="Z116" s="433">
        <f t="shared" ref="Z116:Z117" si="108">Y116/X116</f>
        <v>-6.7307692307692304E-2</v>
      </c>
      <c r="AA116" s="340">
        <v>-51.12</v>
      </c>
      <c r="AB116" s="389">
        <v>7.24</v>
      </c>
      <c r="AC116" s="23" t="s">
        <v>2132</v>
      </c>
      <c r="AD116" s="84">
        <v>44677</v>
      </c>
      <c r="AF116" s="33">
        <f t="shared" si="93"/>
        <v>-44677</v>
      </c>
      <c r="AG116" s="402" t="s">
        <v>2133</v>
      </c>
      <c r="AH116" s="66">
        <f t="shared" si="71"/>
        <v>0.90634441087613293</v>
      </c>
      <c r="AI116" s="254">
        <f>RTD("money.excel",,$G116,"PredictVolume")</f>
        <v>630</v>
      </c>
      <c r="AJ116" s="391">
        <v>695.1</v>
      </c>
      <c r="AM116" s="245"/>
      <c r="AR116" s="402" t="str">
        <f>INDEX(基本資料!N:N,MATCH($G116,基本資料!A:A,0))</f>
        <v>低</v>
      </c>
    </row>
    <row r="117" spans="1:44">
      <c r="A117" s="343">
        <v>4.47</v>
      </c>
      <c r="B117" s="79">
        <v>26</v>
      </c>
      <c r="C117" s="79">
        <v>22</v>
      </c>
      <c r="D117" s="80">
        <v>-1</v>
      </c>
      <c r="E117" s="80">
        <v>-27</v>
      </c>
      <c r="F117" s="79">
        <v>38.86</v>
      </c>
      <c r="G117" s="80">
        <v>3563</v>
      </c>
      <c r="H117" s="403" t="s">
        <v>1877</v>
      </c>
      <c r="I117" s="22" t="s">
        <v>179</v>
      </c>
      <c r="J117" s="102" t="s">
        <v>3542</v>
      </c>
      <c r="K117" s="355" t="s">
        <v>6822</v>
      </c>
      <c r="L117" s="79">
        <v>2</v>
      </c>
      <c r="M117" s="403">
        <v>3</v>
      </c>
      <c r="N117" s="240">
        <v>-1</v>
      </c>
      <c r="O117" s="359">
        <v>438</v>
      </c>
      <c r="P117" s="79">
        <v>84</v>
      </c>
      <c r="Q117" s="342">
        <v>537</v>
      </c>
      <c r="R117" s="81" t="s">
        <v>6279</v>
      </c>
      <c r="S117" s="324">
        <v>410</v>
      </c>
      <c r="T117" s="384">
        <v>10</v>
      </c>
      <c r="U117" s="426">
        <f t="shared" si="106"/>
        <v>5.5710306406685235E-2</v>
      </c>
      <c r="V117" s="94">
        <v>18.510000000000002</v>
      </c>
      <c r="W117" s="39">
        <f>RTD("money.excel",,"3563","Price")</f>
        <v>179.5</v>
      </c>
      <c r="X117" s="207">
        <v>191</v>
      </c>
      <c r="Y117" s="430">
        <f t="shared" si="107"/>
        <v>-11.5</v>
      </c>
      <c r="Z117" s="433">
        <f t="shared" si="108"/>
        <v>-6.0209424083769635E-2</v>
      </c>
      <c r="AA117" s="340">
        <v>-36.01</v>
      </c>
      <c r="AB117" s="389">
        <v>5.38</v>
      </c>
      <c r="AC117" s="97" t="s">
        <v>179</v>
      </c>
      <c r="AD117" s="84">
        <v>44677</v>
      </c>
      <c r="AF117" s="33">
        <f t="shared" si="93"/>
        <v>-44677</v>
      </c>
      <c r="AG117" s="417" t="s">
        <v>4199</v>
      </c>
      <c r="AH117" s="66">
        <f t="shared" si="71"/>
        <v>0.37363777893098082</v>
      </c>
      <c r="AI117" s="254">
        <f>RTD("money.excel",,$G117,"PredictVolume")</f>
        <v>36</v>
      </c>
      <c r="AJ117" s="391">
        <v>96.35</v>
      </c>
      <c r="AM117" s="245"/>
      <c r="AR117" s="402" t="str">
        <f>INDEX(基本資料!N:N,MATCH($G117,基本資料!A:A,0))</f>
        <v>低</v>
      </c>
    </row>
    <row r="118" spans="1:44">
      <c r="A118" s="343">
        <v>10.3</v>
      </c>
      <c r="B118" s="79">
        <v>62</v>
      </c>
      <c r="C118" s="79">
        <v>49</v>
      </c>
      <c r="D118" s="79">
        <v>27</v>
      </c>
      <c r="E118" s="79">
        <v>4</v>
      </c>
      <c r="F118" s="79">
        <v>21.58</v>
      </c>
      <c r="G118" s="80">
        <v>3357</v>
      </c>
      <c r="H118" s="403" t="s">
        <v>308</v>
      </c>
      <c r="I118" s="16" t="s">
        <v>3235</v>
      </c>
      <c r="J118" s="102" t="s">
        <v>3542</v>
      </c>
      <c r="L118" s="79">
        <v>1</v>
      </c>
      <c r="M118" s="403">
        <v>0</v>
      </c>
      <c r="N118" s="240">
        <v>1</v>
      </c>
      <c r="O118" s="359">
        <v>1092</v>
      </c>
      <c r="P118" s="79" t="s">
        <v>6279</v>
      </c>
      <c r="Q118" s="342">
        <v>469</v>
      </c>
      <c r="R118" s="81" t="s">
        <v>6279</v>
      </c>
      <c r="S118" s="324">
        <v>999</v>
      </c>
      <c r="T118" s="384">
        <v>7</v>
      </c>
      <c r="U118" s="426">
        <f t="shared" ref="U118:U119" si="109">T118/W118</f>
        <v>6.6350710900473939E-2</v>
      </c>
      <c r="V118" s="94">
        <v>10.07</v>
      </c>
      <c r="W118" s="39">
        <f>RTD("money.excel",,"3357","Price")</f>
        <v>105.5</v>
      </c>
      <c r="X118" s="207">
        <v>112</v>
      </c>
      <c r="Y118" s="430">
        <f t="shared" ref="Y118:Y119" si="110">W118-X118</f>
        <v>-6.5</v>
      </c>
      <c r="Z118" s="433">
        <f t="shared" ref="Z118:Z119" si="111">Y118/X118</f>
        <v>-5.8035714285714288E-2</v>
      </c>
      <c r="AA118" s="340">
        <v>-39.840000000000003</v>
      </c>
      <c r="AB118" s="389">
        <v>16.260000000000002</v>
      </c>
      <c r="AC118" s="24" t="s">
        <v>3235</v>
      </c>
      <c r="AD118" s="84">
        <v>44677</v>
      </c>
      <c r="AF118" s="33">
        <f t="shared" si="93"/>
        <v>-44677</v>
      </c>
      <c r="AG118" s="402" t="s">
        <v>3236</v>
      </c>
      <c r="AH118" s="66">
        <f t="shared" si="71"/>
        <v>0.46351931330472101</v>
      </c>
      <c r="AI118" s="254">
        <f>RTD("money.excel",,$G118,"PredictVolume")</f>
        <v>54</v>
      </c>
      <c r="AJ118" s="391">
        <v>116.5</v>
      </c>
      <c r="AM118" s="245"/>
      <c r="AR118" s="402" t="str">
        <f>INDEX(基本資料!N:N,MATCH($G118,基本資料!A:A,0))</f>
        <v>低</v>
      </c>
    </row>
    <row r="119" spans="1:44">
      <c r="A119" s="343">
        <v>6.66</v>
      </c>
      <c r="B119" s="80">
        <v>-51</v>
      </c>
      <c r="C119" s="79">
        <v>54</v>
      </c>
      <c r="D119" s="79">
        <v>69</v>
      </c>
      <c r="E119" s="79">
        <v>2</v>
      </c>
      <c r="F119" s="79">
        <v>28.05</v>
      </c>
      <c r="G119" s="80">
        <v>8481</v>
      </c>
      <c r="H119" s="403" t="s">
        <v>235</v>
      </c>
      <c r="I119" s="22" t="s">
        <v>693</v>
      </c>
      <c r="J119" s="102" t="s">
        <v>3542</v>
      </c>
      <c r="L119" s="79">
        <v>1</v>
      </c>
      <c r="M119" s="403">
        <v>0</v>
      </c>
      <c r="N119" s="240">
        <v>1</v>
      </c>
      <c r="O119" s="359">
        <v>1318</v>
      </c>
      <c r="P119" s="79">
        <v>1054</v>
      </c>
      <c r="Q119" s="342">
        <v>1377</v>
      </c>
      <c r="R119" s="81" t="s">
        <v>6279</v>
      </c>
      <c r="S119" s="324">
        <v>999</v>
      </c>
      <c r="T119" s="384">
        <v>6.5</v>
      </c>
      <c r="U119" s="426">
        <f t="shared" si="109"/>
        <v>9.730538922155689E-2</v>
      </c>
      <c r="V119" s="94">
        <v>12.51</v>
      </c>
      <c r="W119" s="39">
        <f>RTD("money.excel",,"8481","Price")</f>
        <v>66.8</v>
      </c>
      <c r="X119" s="207">
        <v>68.5</v>
      </c>
      <c r="Y119" s="430">
        <f t="shared" si="110"/>
        <v>-1.7000000000000028</v>
      </c>
      <c r="Z119" s="433">
        <f t="shared" si="111"/>
        <v>-2.4817518248175224E-2</v>
      </c>
      <c r="AA119" s="340">
        <v>-25.47</v>
      </c>
      <c r="AB119" s="341">
        <v>58.06</v>
      </c>
      <c r="AC119" s="23" t="s">
        <v>693</v>
      </c>
      <c r="AD119" s="84">
        <v>44677</v>
      </c>
      <c r="AF119" s="33">
        <f t="shared" si="93"/>
        <v>-44677</v>
      </c>
      <c r="AG119" s="402" t="s">
        <v>2834</v>
      </c>
      <c r="AH119" s="66">
        <f t="shared" si="71"/>
        <v>0.76666666666666672</v>
      </c>
      <c r="AI119" s="254">
        <f>RTD("money.excel",,$G119,"PredictVolume")</f>
        <v>23</v>
      </c>
      <c r="AJ119" s="391">
        <v>30</v>
      </c>
      <c r="AM119" s="245"/>
      <c r="AR119" s="402" t="str">
        <f>INDEX(基本資料!N:N,MATCH($G119,基本資料!A:A,0))</f>
        <v>低</v>
      </c>
    </row>
    <row r="120" spans="1:44">
      <c r="A120" s="343">
        <v>10.6</v>
      </c>
      <c r="B120" s="79">
        <v>95</v>
      </c>
      <c r="C120" s="79">
        <v>98</v>
      </c>
      <c r="D120" s="79">
        <v>61</v>
      </c>
      <c r="E120" s="80">
        <v>-76</v>
      </c>
      <c r="F120" s="79">
        <v>53.5</v>
      </c>
      <c r="G120" s="80">
        <v>6582</v>
      </c>
      <c r="H120" s="344" t="s">
        <v>300</v>
      </c>
      <c r="I120" s="22" t="s">
        <v>4010</v>
      </c>
      <c r="J120" s="102" t="s">
        <v>6254</v>
      </c>
      <c r="L120" s="79">
        <v>5</v>
      </c>
      <c r="M120" s="403">
        <v>0</v>
      </c>
      <c r="N120" s="240">
        <v>5</v>
      </c>
      <c r="O120" s="359">
        <v>962</v>
      </c>
      <c r="P120" s="79">
        <v>622</v>
      </c>
      <c r="Q120" s="342">
        <v>309</v>
      </c>
      <c r="R120" s="81">
        <v>491</v>
      </c>
      <c r="S120" s="324">
        <v>999</v>
      </c>
      <c r="T120" s="384">
        <v>15</v>
      </c>
      <c r="U120" s="426">
        <f t="shared" ref="U120:U122" si="112">T120/W120</f>
        <v>0.15400410677618068</v>
      </c>
      <c r="V120" s="94">
        <v>32.74</v>
      </c>
      <c r="W120" s="39">
        <f>RTD("money.excel",,"6582","Price")</f>
        <v>97.4</v>
      </c>
      <c r="X120" s="207">
        <v>116</v>
      </c>
      <c r="Y120" s="430">
        <f t="shared" ref="Y120:Y122" si="113">W120-X120</f>
        <v>-18.599999999999994</v>
      </c>
      <c r="Z120" s="433">
        <f t="shared" ref="Z120:Z122" si="114">Y120/X120</f>
        <v>-0.16034482758620686</v>
      </c>
      <c r="AA120" s="340">
        <v>-64.11</v>
      </c>
      <c r="AB120" s="389">
        <v>9.85</v>
      </c>
      <c r="AC120" s="23" t="s">
        <v>4010</v>
      </c>
      <c r="AD120" s="84">
        <v>44676</v>
      </c>
      <c r="AF120" s="33">
        <f t="shared" si="93"/>
        <v>-44676</v>
      </c>
      <c r="AG120" s="402" t="s">
        <v>4011</v>
      </c>
      <c r="AH120" s="66">
        <f t="shared" si="71"/>
        <v>0.4126132170412613</v>
      </c>
      <c r="AI120" s="254">
        <f>RTD("money.excel",,$G120,"PredictVolume")</f>
        <v>246</v>
      </c>
      <c r="AJ120" s="391">
        <v>596.20000000000005</v>
      </c>
      <c r="AM120" s="245"/>
      <c r="AR120" s="402" t="str">
        <f>INDEX(基本資料!N:N,MATCH($G120,基本資料!A:A,0))</f>
        <v>低</v>
      </c>
    </row>
    <row r="121" spans="1:44">
      <c r="A121" s="343">
        <v>3.28</v>
      </c>
      <c r="B121" s="80">
        <v>-4</v>
      </c>
      <c r="C121" s="80">
        <v>-8</v>
      </c>
      <c r="D121" s="79">
        <v>27</v>
      </c>
      <c r="E121" s="80">
        <v>-7</v>
      </c>
      <c r="F121" s="79">
        <v>25.49</v>
      </c>
      <c r="G121" s="80">
        <v>6510</v>
      </c>
      <c r="H121" s="450" t="s">
        <v>3038</v>
      </c>
      <c r="I121" s="16" t="s">
        <v>221</v>
      </c>
      <c r="J121" s="102" t="s">
        <v>3542</v>
      </c>
      <c r="L121" s="79">
        <v>1</v>
      </c>
      <c r="M121" s="403">
        <v>0</v>
      </c>
      <c r="N121" s="240">
        <v>1</v>
      </c>
      <c r="O121" s="359">
        <v>413</v>
      </c>
      <c r="P121" s="79">
        <v>242</v>
      </c>
      <c r="Q121" s="342">
        <v>476</v>
      </c>
      <c r="R121" s="81">
        <v>247</v>
      </c>
      <c r="S121" s="324">
        <v>253</v>
      </c>
      <c r="T121" s="384">
        <v>13.6</v>
      </c>
      <c r="U121" s="426">
        <f t="shared" si="112"/>
        <v>2.8422152560083593E-2</v>
      </c>
      <c r="V121" s="94">
        <v>27.2</v>
      </c>
      <c r="W121" s="39">
        <f>RTD("money.excel",,"6510","Price")</f>
        <v>478.5</v>
      </c>
      <c r="X121" s="207">
        <v>540</v>
      </c>
      <c r="Y121" s="430">
        <f t="shared" si="113"/>
        <v>-61.5</v>
      </c>
      <c r="Z121" s="433">
        <f t="shared" si="114"/>
        <v>-0.11388888888888889</v>
      </c>
      <c r="AA121" s="340">
        <v>-31.87</v>
      </c>
      <c r="AB121" s="389">
        <v>11.1</v>
      </c>
      <c r="AC121" s="24" t="s">
        <v>221</v>
      </c>
      <c r="AD121" s="84">
        <v>44676</v>
      </c>
      <c r="AF121" s="33">
        <f t="shared" si="93"/>
        <v>-44676</v>
      </c>
      <c r="AG121" s="401" t="s">
        <v>1442</v>
      </c>
      <c r="AH121" s="66">
        <f t="shared" si="71"/>
        <v>0.62519734764761603</v>
      </c>
      <c r="AI121" s="254">
        <f>RTD("money.excel",,$G121,"PredictVolume")</f>
        <v>99</v>
      </c>
      <c r="AJ121" s="391">
        <v>158.35</v>
      </c>
      <c r="AM121" s="245"/>
      <c r="AR121" s="402" t="str">
        <f>INDEX(基本資料!N:N,MATCH($G121,基本資料!A:A,0))</f>
        <v>低</v>
      </c>
    </row>
    <row r="122" spans="1:44">
      <c r="A122" s="343">
        <v>12.2</v>
      </c>
      <c r="B122" s="79">
        <v>63</v>
      </c>
      <c r="C122" s="79">
        <v>64</v>
      </c>
      <c r="D122" s="79">
        <v>23</v>
      </c>
      <c r="E122" s="80">
        <v>-12</v>
      </c>
      <c r="F122" s="79">
        <v>15.47</v>
      </c>
      <c r="G122" s="80">
        <v>3515</v>
      </c>
      <c r="H122" s="450" t="s">
        <v>1145</v>
      </c>
      <c r="I122" s="22" t="s">
        <v>466</v>
      </c>
      <c r="J122" s="102" t="s">
        <v>3542</v>
      </c>
      <c r="L122" s="79">
        <v>1</v>
      </c>
      <c r="M122" s="403">
        <v>0</v>
      </c>
      <c r="N122" s="240">
        <v>1</v>
      </c>
      <c r="O122" s="359">
        <v>790</v>
      </c>
      <c r="P122" s="79">
        <v>983</v>
      </c>
      <c r="Q122" s="342">
        <v>449</v>
      </c>
      <c r="R122" s="81">
        <v>164</v>
      </c>
      <c r="S122" s="324">
        <v>130</v>
      </c>
      <c r="T122" s="384">
        <v>13</v>
      </c>
      <c r="U122" s="426">
        <f t="shared" si="112"/>
        <v>8.387096774193549E-2</v>
      </c>
      <c r="V122" s="94">
        <v>19.72</v>
      </c>
      <c r="W122" s="39">
        <f>RTD("money.excel",,"3515","Price")</f>
        <v>155</v>
      </c>
      <c r="X122" s="207">
        <v>168</v>
      </c>
      <c r="Y122" s="430">
        <f t="shared" si="113"/>
        <v>-13</v>
      </c>
      <c r="Z122" s="433">
        <f t="shared" si="114"/>
        <v>-7.7380952380952384E-2</v>
      </c>
      <c r="AA122" s="340">
        <v>-40.89</v>
      </c>
      <c r="AB122" s="389">
        <v>8.25</v>
      </c>
      <c r="AC122" s="23" t="s">
        <v>466</v>
      </c>
      <c r="AD122" s="84">
        <v>44676</v>
      </c>
      <c r="AF122" s="33">
        <f t="shared" si="93"/>
        <v>-44676</v>
      </c>
      <c r="AG122" s="402" t="s">
        <v>2718</v>
      </c>
      <c r="AH122" s="66">
        <f t="shared" si="71"/>
        <v>0.51117337524772777</v>
      </c>
      <c r="AI122" s="254">
        <f>RTD("money.excel",,$G122,"PredictVolume")</f>
        <v>374</v>
      </c>
      <c r="AJ122" s="391">
        <v>731.65</v>
      </c>
      <c r="AM122" s="245"/>
      <c r="AR122" s="402" t="str">
        <f>INDEX(基本資料!N:N,MATCH($G122,基本資料!A:A,0))</f>
        <v>低</v>
      </c>
    </row>
    <row r="123" spans="1:44">
      <c r="A123" s="343">
        <v>38.299999999999997</v>
      </c>
      <c r="B123" s="79">
        <v>17</v>
      </c>
      <c r="C123" s="79">
        <v>18</v>
      </c>
      <c r="D123" s="79">
        <v>14</v>
      </c>
      <c r="E123" s="79">
        <v>0</v>
      </c>
      <c r="F123" s="79">
        <v>11.74</v>
      </c>
      <c r="G123" s="80">
        <v>6213</v>
      </c>
      <c r="H123" s="450" t="s">
        <v>308</v>
      </c>
      <c r="I123" s="22" t="s">
        <v>58</v>
      </c>
      <c r="J123" s="102" t="s">
        <v>3542</v>
      </c>
      <c r="L123" s="79">
        <v>1</v>
      </c>
      <c r="M123" s="403">
        <v>0</v>
      </c>
      <c r="N123" s="240">
        <v>1</v>
      </c>
      <c r="O123" s="359">
        <v>798</v>
      </c>
      <c r="P123" s="79">
        <v>767</v>
      </c>
      <c r="Q123" s="342">
        <v>541</v>
      </c>
      <c r="R123" s="81">
        <v>418</v>
      </c>
      <c r="S123" s="324">
        <v>323</v>
      </c>
      <c r="T123" s="384">
        <v>5</v>
      </c>
      <c r="U123" s="426">
        <f t="shared" ref="U123:U125" si="115">T123/W123</f>
        <v>5.0761421319796954E-2</v>
      </c>
      <c r="V123" s="94">
        <v>9.2200000000000006</v>
      </c>
      <c r="W123" s="39">
        <f>RTD("money.excel",,"6213","Price")</f>
        <v>98.5</v>
      </c>
      <c r="X123" s="207">
        <v>105</v>
      </c>
      <c r="Y123" s="430">
        <f t="shared" ref="Y123:Y125" si="116">W123-X123</f>
        <v>-6.5</v>
      </c>
      <c r="Z123" s="433">
        <f t="shared" ref="Z123:Z125" si="117">Y123/X123</f>
        <v>-6.1904761904761907E-2</v>
      </c>
      <c r="AA123" s="340">
        <v>-37.24</v>
      </c>
      <c r="AB123" s="389">
        <v>16.7</v>
      </c>
      <c r="AC123" s="23" t="s">
        <v>58</v>
      </c>
      <c r="AD123" s="84">
        <v>44676</v>
      </c>
      <c r="AF123" s="33">
        <f t="shared" si="93"/>
        <v>-44676</v>
      </c>
      <c r="AG123" s="401" t="s">
        <v>3277</v>
      </c>
      <c r="AH123" s="66">
        <f t="shared" si="71"/>
        <v>0.616529364868456</v>
      </c>
      <c r="AI123" s="254">
        <f>RTD("money.excel",,$G123,"PredictVolume")</f>
        <v>696</v>
      </c>
      <c r="AJ123" s="391">
        <v>1128.9000000000001</v>
      </c>
      <c r="AM123" s="245"/>
      <c r="AR123" s="402" t="str">
        <f>INDEX(基本資料!N:N,MATCH($G123,基本資料!A:A,0))</f>
        <v>低</v>
      </c>
    </row>
    <row r="124" spans="1:44">
      <c r="A124" s="343">
        <v>33.700000000000003</v>
      </c>
      <c r="B124" s="79">
        <v>16</v>
      </c>
      <c r="C124" s="79">
        <v>47</v>
      </c>
      <c r="D124" s="79">
        <v>36</v>
      </c>
      <c r="E124" s="79">
        <v>20</v>
      </c>
      <c r="F124" s="79">
        <v>2.83</v>
      </c>
      <c r="G124" s="79">
        <v>6456</v>
      </c>
      <c r="H124" s="208" t="s">
        <v>1877</v>
      </c>
      <c r="I124" s="22" t="s">
        <v>4289</v>
      </c>
      <c r="J124" s="102" t="s">
        <v>6824</v>
      </c>
      <c r="L124" s="79">
        <v>5</v>
      </c>
      <c r="M124" s="403">
        <v>0</v>
      </c>
      <c r="N124" s="240">
        <v>5</v>
      </c>
      <c r="O124" s="359">
        <v>644</v>
      </c>
      <c r="P124" s="79">
        <v>332</v>
      </c>
      <c r="Q124" s="342">
        <v>56</v>
      </c>
      <c r="R124" s="81">
        <v>309</v>
      </c>
      <c r="S124" s="324">
        <v>648</v>
      </c>
      <c r="T124" s="384">
        <v>5</v>
      </c>
      <c r="U124" s="426">
        <f t="shared" si="115"/>
        <v>6.0679611650485431E-2</v>
      </c>
      <c r="V124" s="94">
        <v>12.97</v>
      </c>
      <c r="W124" s="39">
        <f>RTD("money.excel",,"6456","Price")</f>
        <v>82.4</v>
      </c>
      <c r="X124" s="207">
        <v>94.6</v>
      </c>
      <c r="Y124" s="430">
        <f t="shared" si="116"/>
        <v>-12.199999999999989</v>
      </c>
      <c r="Z124" s="433">
        <f t="shared" si="117"/>
        <v>-0.12896405919661721</v>
      </c>
      <c r="AA124" s="340">
        <v>-26.51</v>
      </c>
      <c r="AB124" s="341">
        <v>59.75</v>
      </c>
      <c r="AC124" s="23" t="s">
        <v>4289</v>
      </c>
      <c r="AD124" s="84">
        <v>44676</v>
      </c>
      <c r="AF124" s="33">
        <f t="shared" si="93"/>
        <v>-44676</v>
      </c>
      <c r="AG124" s="401" t="s">
        <v>4290</v>
      </c>
      <c r="AH124" s="66">
        <f t="shared" si="71"/>
        <v>0.97680583167660706</v>
      </c>
      <c r="AI124" s="254">
        <f>RTD("money.excel",,$G124,"PredictVolume")</f>
        <v>737</v>
      </c>
      <c r="AJ124" s="391">
        <v>754.5</v>
      </c>
      <c r="AM124" s="245"/>
      <c r="AR124" s="402" t="str">
        <f>INDEX(基本資料!N:N,MATCH($G124,基本資料!A:A,0))</f>
        <v>低</v>
      </c>
    </row>
    <row r="125" spans="1:44">
      <c r="A125" s="343">
        <v>8.0299999999999994</v>
      </c>
      <c r="B125" s="80">
        <v>-19</v>
      </c>
      <c r="C125" s="80">
        <v>-19</v>
      </c>
      <c r="D125" s="80">
        <v>-6</v>
      </c>
      <c r="E125" s="79">
        <v>29</v>
      </c>
      <c r="F125" s="79">
        <v>11.85</v>
      </c>
      <c r="G125" s="80">
        <v>3557</v>
      </c>
      <c r="H125" s="403" t="s">
        <v>1959</v>
      </c>
      <c r="I125" s="22" t="s">
        <v>445</v>
      </c>
      <c r="J125" s="102" t="s">
        <v>3542</v>
      </c>
      <c r="L125" s="79">
        <v>1</v>
      </c>
      <c r="M125" s="403">
        <v>0</v>
      </c>
      <c r="N125" s="240">
        <v>1</v>
      </c>
      <c r="O125" s="359">
        <v>270</v>
      </c>
      <c r="P125" s="79" t="s">
        <v>6279</v>
      </c>
      <c r="Q125" s="342">
        <v>293</v>
      </c>
      <c r="R125" s="81" t="s">
        <v>6279</v>
      </c>
      <c r="S125" s="324">
        <v>999</v>
      </c>
      <c r="T125" s="384">
        <v>3</v>
      </c>
      <c r="U125" s="426">
        <f t="shared" si="115"/>
        <v>4.0540540540540543E-2</v>
      </c>
      <c r="V125" s="94">
        <v>7.88</v>
      </c>
      <c r="W125" s="39">
        <f>RTD("money.excel",,"3557","Price")</f>
        <v>74</v>
      </c>
      <c r="X125" s="207">
        <v>73.3</v>
      </c>
      <c r="Y125" s="430">
        <f t="shared" si="116"/>
        <v>0.70000000000000284</v>
      </c>
      <c r="Z125" s="433">
        <f t="shared" si="117"/>
        <v>9.549795361528007E-3</v>
      </c>
      <c r="AA125" s="340">
        <v>-17.38</v>
      </c>
      <c r="AB125" s="389">
        <v>33.56</v>
      </c>
      <c r="AC125" s="23" t="s">
        <v>445</v>
      </c>
      <c r="AD125" s="84">
        <v>44676</v>
      </c>
      <c r="AF125" s="33">
        <f t="shared" si="93"/>
        <v>-44676</v>
      </c>
      <c r="AG125" s="402" t="s">
        <v>3403</v>
      </c>
      <c r="AH125" s="66">
        <f t="shared" si="71"/>
        <v>3.5472242249459267</v>
      </c>
      <c r="AI125" s="254">
        <f>RTD("money.excel",,$G125,"PredictVolume")</f>
        <v>246</v>
      </c>
      <c r="AJ125" s="391">
        <v>69.349999999999994</v>
      </c>
      <c r="AM125" s="245"/>
      <c r="AR125" s="402" t="str">
        <f>INDEX(基本資料!N:N,MATCH($G125,基本資料!A:A,0))</f>
        <v>低</v>
      </c>
    </row>
    <row r="126" spans="1:44">
      <c r="A126" s="343">
        <v>14.2</v>
      </c>
      <c r="B126" s="79">
        <v>34</v>
      </c>
      <c r="C126" s="79">
        <v>30</v>
      </c>
      <c r="D126" s="79">
        <v>7</v>
      </c>
      <c r="E126" s="79">
        <v>3</v>
      </c>
      <c r="F126" s="79">
        <v>13.48</v>
      </c>
      <c r="G126" s="80">
        <v>4942</v>
      </c>
      <c r="H126" s="344" t="s">
        <v>1877</v>
      </c>
      <c r="I126" s="22" t="s">
        <v>4230</v>
      </c>
      <c r="J126" s="102" t="s">
        <v>3543</v>
      </c>
      <c r="L126" s="79">
        <v>1</v>
      </c>
      <c r="M126" s="403">
        <v>0</v>
      </c>
      <c r="N126" s="240">
        <v>1</v>
      </c>
      <c r="O126" s="359">
        <v>851</v>
      </c>
      <c r="P126" s="79">
        <v>502</v>
      </c>
      <c r="Q126" s="342">
        <v>375</v>
      </c>
      <c r="R126" s="81">
        <v>491</v>
      </c>
      <c r="S126" s="324">
        <v>698</v>
      </c>
      <c r="T126" s="384">
        <v>3</v>
      </c>
      <c r="U126" s="426">
        <f t="shared" ref="U126:U129" si="118">T126/W126</f>
        <v>6.9767441860465115E-2</v>
      </c>
      <c r="V126" s="94">
        <v>6.38</v>
      </c>
      <c r="W126" s="39">
        <f>RTD("money.excel",,"4942","Price")</f>
        <v>43</v>
      </c>
      <c r="X126" s="207">
        <v>46.15</v>
      </c>
      <c r="Y126" s="430">
        <f t="shared" ref="Y126:Y129" si="119">W126-X126</f>
        <v>-3.1499999999999986</v>
      </c>
      <c r="Z126" s="433">
        <f t="shared" ref="Z126:Z129" si="120">Y126/X126</f>
        <v>-6.8255687973997808E-2</v>
      </c>
      <c r="AA126" s="340">
        <v>-16.22</v>
      </c>
      <c r="AB126" s="389">
        <v>27.52</v>
      </c>
      <c r="AC126" s="23" t="s">
        <v>4230</v>
      </c>
      <c r="AD126" s="84">
        <v>44676</v>
      </c>
      <c r="AF126" s="33">
        <f t="shared" si="93"/>
        <v>-44676</v>
      </c>
      <c r="AG126" s="402" t="s">
        <v>2583</v>
      </c>
      <c r="AH126" s="66">
        <f t="shared" si="71"/>
        <v>1.3537862186510836</v>
      </c>
      <c r="AI126" s="254">
        <f>RTD("money.excel",,$G126,"PredictVolume")</f>
        <v>278</v>
      </c>
      <c r="AJ126" s="391">
        <v>205.35</v>
      </c>
      <c r="AM126" s="245"/>
      <c r="AR126" s="402" t="str">
        <f>INDEX(基本資料!N:N,MATCH($G126,基本資料!A:A,0))</f>
        <v>低</v>
      </c>
    </row>
    <row r="127" spans="1:44">
      <c r="A127" s="343">
        <v>12</v>
      </c>
      <c r="B127" s="79">
        <v>226</v>
      </c>
      <c r="C127" s="79">
        <v>242</v>
      </c>
      <c r="D127" s="79">
        <v>2</v>
      </c>
      <c r="E127" s="79">
        <v>20</v>
      </c>
      <c r="F127" s="79">
        <v>36.65</v>
      </c>
      <c r="G127" s="80">
        <v>8016</v>
      </c>
      <c r="H127" s="450" t="s">
        <v>3038</v>
      </c>
      <c r="I127" s="22" t="s">
        <v>4066</v>
      </c>
      <c r="J127" s="8" t="s">
        <v>6825</v>
      </c>
      <c r="L127" s="79">
        <v>0</v>
      </c>
      <c r="M127" s="403">
        <v>0</v>
      </c>
      <c r="N127" s="240">
        <v>0</v>
      </c>
      <c r="O127" s="359">
        <v>201</v>
      </c>
      <c r="P127" s="79">
        <v>287</v>
      </c>
      <c r="Q127" s="342">
        <v>208</v>
      </c>
      <c r="R127" s="81">
        <v>186</v>
      </c>
      <c r="S127" s="324">
        <v>92</v>
      </c>
      <c r="T127" s="384">
        <v>32</v>
      </c>
      <c r="U127" s="426">
        <f t="shared" si="118"/>
        <v>0.13114754098360656</v>
      </c>
      <c r="V127" s="94">
        <v>50.03</v>
      </c>
      <c r="W127" s="39">
        <f>RTD("money.excel",,"8016","Price")</f>
        <v>244</v>
      </c>
      <c r="X127" s="207">
        <v>258</v>
      </c>
      <c r="Y127" s="430">
        <f t="shared" si="119"/>
        <v>-14</v>
      </c>
      <c r="Z127" s="433">
        <f t="shared" si="120"/>
        <v>-5.4263565891472867E-2</v>
      </c>
      <c r="AA127" s="340">
        <v>-37.090000000000003</v>
      </c>
      <c r="AB127" s="389">
        <v>21.03</v>
      </c>
      <c r="AC127" s="97" t="s">
        <v>4066</v>
      </c>
      <c r="AD127" s="84">
        <v>44676</v>
      </c>
      <c r="AF127" s="33">
        <f t="shared" si="93"/>
        <v>-44676</v>
      </c>
      <c r="AG127" s="401" t="s">
        <v>2774</v>
      </c>
      <c r="AH127" s="66">
        <f t="shared" si="71"/>
        <v>0.72196987807793445</v>
      </c>
      <c r="AI127" s="254">
        <f>RTD("money.excel",,$G127,"PredictVolume")</f>
        <v>906</v>
      </c>
      <c r="AJ127" s="391">
        <v>1254.9000000000001</v>
      </c>
      <c r="AM127" s="245"/>
      <c r="AR127" s="402" t="str">
        <f>INDEX(基本資料!N:N,MATCH($G127,基本資料!A:A,0))</f>
        <v>低</v>
      </c>
    </row>
    <row r="128" spans="1:44">
      <c r="A128" s="343">
        <v>72.7</v>
      </c>
      <c r="B128" s="79">
        <v>113</v>
      </c>
      <c r="C128" s="79">
        <v>55</v>
      </c>
      <c r="D128" s="79">
        <v>12</v>
      </c>
      <c r="E128" s="79">
        <v>0</v>
      </c>
      <c r="F128" s="79">
        <v>20.3</v>
      </c>
      <c r="G128" s="80">
        <v>8150</v>
      </c>
      <c r="H128" s="403" t="s">
        <v>3038</v>
      </c>
      <c r="I128" s="22" t="s">
        <v>276</v>
      </c>
      <c r="J128" s="8" t="s">
        <v>6825</v>
      </c>
      <c r="L128" s="79">
        <v>0</v>
      </c>
      <c r="M128" s="403">
        <v>0</v>
      </c>
      <c r="N128" s="240">
        <v>0</v>
      </c>
      <c r="O128" s="359">
        <v>811</v>
      </c>
      <c r="P128" s="79">
        <v>231</v>
      </c>
      <c r="Q128" s="342">
        <v>113</v>
      </c>
      <c r="R128" s="81">
        <v>217</v>
      </c>
      <c r="S128" s="324">
        <v>253</v>
      </c>
      <c r="T128" s="384">
        <v>4.3</v>
      </c>
      <c r="U128" s="426">
        <f t="shared" si="118"/>
        <v>9.2473118279569888E-2</v>
      </c>
      <c r="V128" s="94">
        <v>6.96</v>
      </c>
      <c r="W128" s="39">
        <f>RTD("money.excel",,"8150","Price")</f>
        <v>46.5</v>
      </c>
      <c r="X128" s="207">
        <v>47.8</v>
      </c>
      <c r="Y128" s="430">
        <f t="shared" si="119"/>
        <v>-1.2999999999999972</v>
      </c>
      <c r="Z128" s="433">
        <f t="shared" si="120"/>
        <v>-2.7196652719665215E-2</v>
      </c>
      <c r="AA128" s="340">
        <v>-22.85</v>
      </c>
      <c r="AB128" s="341">
        <v>47.02</v>
      </c>
      <c r="AC128" s="97" t="s">
        <v>276</v>
      </c>
      <c r="AD128" s="84">
        <v>44676</v>
      </c>
      <c r="AF128" s="33">
        <f t="shared" si="93"/>
        <v>-44676</v>
      </c>
      <c r="AG128" s="401" t="s">
        <v>2297</v>
      </c>
      <c r="AH128" s="66">
        <f t="shared" si="71"/>
        <v>0.65794470854778087</v>
      </c>
      <c r="AI128" s="254">
        <f>RTD("money.excel",,$G128,"PredictVolume")</f>
        <v>2512</v>
      </c>
      <c r="AJ128" s="391">
        <v>3817.95</v>
      </c>
      <c r="AM128" s="245"/>
      <c r="AR128" s="402" t="str">
        <f>INDEX(基本資料!N:N,MATCH($G128,基本資料!A:A,0))</f>
        <v>低</v>
      </c>
    </row>
    <row r="129" spans="1:44">
      <c r="A129" s="343">
        <v>18.399999999999999</v>
      </c>
      <c r="B129" s="79">
        <v>60</v>
      </c>
      <c r="C129" s="79">
        <v>53</v>
      </c>
      <c r="D129" s="79">
        <v>9</v>
      </c>
      <c r="E129" s="80">
        <v>-16</v>
      </c>
      <c r="F129" s="79">
        <v>29.28</v>
      </c>
      <c r="G129" s="80">
        <v>2455</v>
      </c>
      <c r="H129" s="450" t="s">
        <v>4314</v>
      </c>
      <c r="I129" s="22" t="s">
        <v>4332</v>
      </c>
      <c r="J129" s="8" t="s">
        <v>6689</v>
      </c>
      <c r="K129" s="5" t="s">
        <v>6761</v>
      </c>
      <c r="L129" s="156">
        <v>6</v>
      </c>
      <c r="M129" s="337">
        <v>13</v>
      </c>
      <c r="N129" s="240">
        <v>-7</v>
      </c>
      <c r="O129" s="359">
        <v>182</v>
      </c>
      <c r="P129" s="79">
        <v>82</v>
      </c>
      <c r="Q129" s="342">
        <v>191</v>
      </c>
      <c r="R129" s="81">
        <v>209</v>
      </c>
      <c r="S129" s="324">
        <v>72</v>
      </c>
      <c r="T129" s="384">
        <v>4</v>
      </c>
      <c r="U129" s="426">
        <f t="shared" si="118"/>
        <v>4.4593088071348937E-2</v>
      </c>
      <c r="V129" s="94">
        <v>4.62</v>
      </c>
      <c r="W129" s="39">
        <f>RTD("money.excel",,"2455","Price")</f>
        <v>89.7</v>
      </c>
      <c r="X129" s="207">
        <v>94.8</v>
      </c>
      <c r="Y129" s="430">
        <f t="shared" si="119"/>
        <v>-5.0999999999999943</v>
      </c>
      <c r="Z129" s="433">
        <f t="shared" si="120"/>
        <v>-5.3797468354430319E-2</v>
      </c>
      <c r="AA129" s="340">
        <v>-40.43</v>
      </c>
      <c r="AB129" s="389">
        <v>13.61</v>
      </c>
      <c r="AC129" s="97" t="s">
        <v>4332</v>
      </c>
      <c r="AD129" s="84">
        <v>44676</v>
      </c>
      <c r="AF129" s="33">
        <f t="shared" si="93"/>
        <v>-44676</v>
      </c>
      <c r="AG129" s="401" t="s">
        <v>2324</v>
      </c>
      <c r="AH129" s="66">
        <f t="shared" si="71"/>
        <v>0.6761400575833566</v>
      </c>
      <c r="AI129" s="254">
        <f>RTD("money.excel",,$G129,"PredictVolume")</f>
        <v>2548</v>
      </c>
      <c r="AJ129" s="391">
        <v>3768.45</v>
      </c>
      <c r="AM129" s="245"/>
      <c r="AR129" s="402" t="str">
        <f>INDEX(基本資料!N:N,MATCH($G129,基本資料!A:A,0))</f>
        <v>低</v>
      </c>
    </row>
    <row r="130" spans="1:44">
      <c r="A130" s="343">
        <v>46.5</v>
      </c>
      <c r="B130" s="80">
        <v>-1</v>
      </c>
      <c r="C130" s="80">
        <v>-5</v>
      </c>
      <c r="D130" s="79">
        <v>40</v>
      </c>
      <c r="E130" s="79">
        <v>15</v>
      </c>
      <c r="F130" s="79">
        <v>13.29</v>
      </c>
      <c r="G130" s="79">
        <v>6176</v>
      </c>
      <c r="H130" s="208" t="s">
        <v>1877</v>
      </c>
      <c r="I130" s="22" t="s">
        <v>4271</v>
      </c>
      <c r="J130" s="102" t="s">
        <v>6223</v>
      </c>
      <c r="L130" s="79">
        <v>17</v>
      </c>
      <c r="M130" s="403">
        <v>0</v>
      </c>
      <c r="N130" s="240">
        <v>17</v>
      </c>
      <c r="O130" s="359">
        <v>1072</v>
      </c>
      <c r="P130" s="79">
        <v>4</v>
      </c>
      <c r="Q130" s="342">
        <v>176</v>
      </c>
      <c r="R130" s="81">
        <v>32</v>
      </c>
      <c r="S130" s="324">
        <v>439</v>
      </c>
      <c r="T130" s="384">
        <v>8</v>
      </c>
      <c r="U130" s="426">
        <f t="shared" ref="U130:U132" si="121">T130/W130</f>
        <v>7.7669902912621352E-2</v>
      </c>
      <c r="V130" s="94">
        <v>11.16</v>
      </c>
      <c r="W130" s="39">
        <f>RTD("money.excel",,"6176","Price")</f>
        <v>103</v>
      </c>
      <c r="X130" s="207">
        <v>105.5</v>
      </c>
      <c r="Y130" s="430">
        <f t="shared" ref="Y130:Y132" si="122">W130-X130</f>
        <v>-2.5</v>
      </c>
      <c r="Z130" s="433">
        <f t="shared" ref="Z130:Z132" si="123">Y130/X130</f>
        <v>-2.3696682464454975E-2</v>
      </c>
      <c r="AA130" s="340">
        <v>-18.39</v>
      </c>
      <c r="AB130" s="341">
        <v>74.14</v>
      </c>
      <c r="AC130" s="23" t="s">
        <v>4271</v>
      </c>
      <c r="AD130" s="84">
        <v>44673</v>
      </c>
      <c r="AF130" s="33">
        <f t="shared" si="93"/>
        <v>-44673</v>
      </c>
      <c r="AG130" s="401" t="s">
        <v>4194</v>
      </c>
      <c r="AH130" s="66">
        <f t="shared" si="71"/>
        <v>0.98992017712521119</v>
      </c>
      <c r="AI130" s="254">
        <f>RTD("money.excel",,$G130,"PredictVolume")</f>
        <v>1699</v>
      </c>
      <c r="AJ130" s="391">
        <v>1716.3</v>
      </c>
      <c r="AM130" s="245"/>
      <c r="AR130" s="402" t="str">
        <f>INDEX(基本資料!N:N,MATCH($G130,基本資料!A:A,0))</f>
        <v>中</v>
      </c>
    </row>
    <row r="131" spans="1:44">
      <c r="A131" s="343">
        <v>28.6</v>
      </c>
      <c r="B131" s="79">
        <v>364</v>
      </c>
      <c r="C131" s="79">
        <v>408</v>
      </c>
      <c r="D131" s="79">
        <v>16</v>
      </c>
      <c r="E131" s="80">
        <v>-4</v>
      </c>
      <c r="F131" s="79">
        <v>24.64</v>
      </c>
      <c r="G131" s="80">
        <v>3006</v>
      </c>
      <c r="H131" s="403" t="s">
        <v>3038</v>
      </c>
      <c r="I131" s="22" t="s">
        <v>95</v>
      </c>
      <c r="J131" s="8" t="s">
        <v>6765</v>
      </c>
      <c r="K131" s="5">
        <v>9</v>
      </c>
      <c r="L131" s="156">
        <v>0</v>
      </c>
      <c r="M131" s="337">
        <v>1</v>
      </c>
      <c r="N131" s="240">
        <v>-1</v>
      </c>
      <c r="O131" s="359">
        <v>26</v>
      </c>
      <c r="P131" s="79">
        <v>1054</v>
      </c>
      <c r="Q131" s="342">
        <v>380</v>
      </c>
      <c r="R131" s="81">
        <v>172</v>
      </c>
      <c r="S131" s="324">
        <v>14</v>
      </c>
      <c r="T131" s="384">
        <v>8</v>
      </c>
      <c r="U131" s="426">
        <f t="shared" si="121"/>
        <v>6.8376068376068383E-2</v>
      </c>
      <c r="V131" s="94">
        <v>17.760000000000002</v>
      </c>
      <c r="W131" s="39">
        <f>RTD("money.excel",,"3006","Price")</f>
        <v>117</v>
      </c>
      <c r="X131" s="207">
        <v>129</v>
      </c>
      <c r="Y131" s="430">
        <f t="shared" si="122"/>
        <v>-12</v>
      </c>
      <c r="Z131" s="433">
        <f t="shared" si="123"/>
        <v>-9.3023255813953487E-2</v>
      </c>
      <c r="AA131" s="340">
        <v>-37.56</v>
      </c>
      <c r="AB131" s="389">
        <v>28.49</v>
      </c>
      <c r="AC131" s="97" t="s">
        <v>95</v>
      </c>
      <c r="AD131" s="84">
        <v>44673</v>
      </c>
      <c r="AF131" s="33">
        <f t="shared" si="93"/>
        <v>-44673</v>
      </c>
      <c r="AG131" s="401" t="s">
        <v>2128</v>
      </c>
      <c r="AH131" s="66">
        <f t="shared" si="71"/>
        <v>0.52561300799967925</v>
      </c>
      <c r="AI131" s="254">
        <f>RTD("money.excel",,$G131,"PredictVolume")</f>
        <v>6554</v>
      </c>
      <c r="AJ131" s="391">
        <v>12469.25</v>
      </c>
      <c r="AM131" s="245"/>
      <c r="AR131" s="402" t="str">
        <f>INDEX(基本資料!N:N,MATCH($G131,基本資料!A:A,0))</f>
        <v>低</v>
      </c>
    </row>
    <row r="132" spans="1:44">
      <c r="A132" s="343">
        <v>88.1</v>
      </c>
      <c r="B132" s="80">
        <v>-7</v>
      </c>
      <c r="C132" s="80">
        <v>-9</v>
      </c>
      <c r="D132" s="79">
        <v>29</v>
      </c>
      <c r="E132" s="79">
        <v>21</v>
      </c>
      <c r="F132" s="79">
        <v>9.06</v>
      </c>
      <c r="G132" s="80">
        <v>9910</v>
      </c>
      <c r="H132" s="344" t="s">
        <v>235</v>
      </c>
      <c r="I132" s="22" t="s">
        <v>4613</v>
      </c>
      <c r="J132" s="102" t="s">
        <v>3544</v>
      </c>
      <c r="L132" s="79">
        <v>1</v>
      </c>
      <c r="M132" s="403">
        <v>0</v>
      </c>
      <c r="N132" s="240">
        <v>1</v>
      </c>
      <c r="O132" s="359">
        <v>1427</v>
      </c>
      <c r="P132" s="79">
        <v>739</v>
      </c>
      <c r="Q132" s="342">
        <v>303</v>
      </c>
      <c r="R132" s="81">
        <v>201</v>
      </c>
      <c r="S132" s="324">
        <v>605</v>
      </c>
      <c r="T132" s="384">
        <v>4.0999999999999996</v>
      </c>
      <c r="U132" s="426">
        <f t="shared" si="121"/>
        <v>2.2777777777777775E-2</v>
      </c>
      <c r="V132" s="94">
        <v>5.15</v>
      </c>
      <c r="W132" s="39">
        <f>RTD("money.excel",,"9910","Price")</f>
        <v>180</v>
      </c>
      <c r="X132" s="207">
        <v>191.5</v>
      </c>
      <c r="Y132" s="430">
        <f t="shared" si="122"/>
        <v>-11.5</v>
      </c>
      <c r="Z132" s="433">
        <f t="shared" si="123"/>
        <v>-6.0052219321148827E-2</v>
      </c>
      <c r="AA132" s="340">
        <v>-23.97</v>
      </c>
      <c r="AB132" s="389">
        <v>33.44</v>
      </c>
      <c r="AC132" s="23" t="s">
        <v>4613</v>
      </c>
      <c r="AD132" s="84">
        <v>44673</v>
      </c>
      <c r="AF132" s="33">
        <f t="shared" si="93"/>
        <v>-44673</v>
      </c>
      <c r="AG132" s="401" t="s">
        <v>1419</v>
      </c>
      <c r="AH132" s="66">
        <f t="shared" si="71"/>
        <v>1.1314120675582344</v>
      </c>
      <c r="AI132" s="254">
        <f>RTD("money.excel",,$G132,"PredictVolume")</f>
        <v>901</v>
      </c>
      <c r="AJ132" s="391">
        <v>796.35</v>
      </c>
      <c r="AM132" s="245"/>
      <c r="AR132" s="402" t="str">
        <f>INDEX(基本資料!N:N,MATCH($G132,基本資料!A:A,0))</f>
        <v>低</v>
      </c>
    </row>
    <row r="133" spans="1:44">
      <c r="A133" s="343">
        <v>20</v>
      </c>
      <c r="B133" s="79">
        <v>32</v>
      </c>
      <c r="C133" s="79">
        <v>37</v>
      </c>
      <c r="D133" s="79">
        <v>65</v>
      </c>
      <c r="E133" s="79">
        <v>18</v>
      </c>
      <c r="F133" s="79">
        <v>32.35</v>
      </c>
      <c r="G133" s="80">
        <v>1590</v>
      </c>
      <c r="H133" s="450" t="s">
        <v>295</v>
      </c>
      <c r="I133" s="22" t="s">
        <v>127</v>
      </c>
      <c r="J133" s="102" t="s">
        <v>4718</v>
      </c>
      <c r="K133" s="355" t="s">
        <v>6822</v>
      </c>
      <c r="L133" s="79">
        <v>1</v>
      </c>
      <c r="M133" s="403">
        <v>1</v>
      </c>
      <c r="N133" s="240">
        <v>0</v>
      </c>
      <c r="O133" s="359">
        <v>1267</v>
      </c>
      <c r="P133" s="79">
        <v>739</v>
      </c>
      <c r="Q133" s="342">
        <v>7</v>
      </c>
      <c r="R133" s="81">
        <v>221</v>
      </c>
      <c r="S133" s="324">
        <v>800</v>
      </c>
      <c r="T133" s="384">
        <v>13.31</v>
      </c>
      <c r="U133" s="426">
        <f t="shared" ref="U133:U136" si="124">T133/W133</f>
        <v>1.567726737338045E-2</v>
      </c>
      <c r="V133" s="94">
        <v>33.979999999999997</v>
      </c>
      <c r="W133" s="423">
        <f>RTD("money.excel",,"1590","Price")</f>
        <v>849</v>
      </c>
      <c r="X133" s="207">
        <v>854</v>
      </c>
      <c r="Y133" s="431">
        <f t="shared" ref="Y133:Y136" si="125">W133-X133</f>
        <v>-5</v>
      </c>
      <c r="Z133" s="433">
        <f t="shared" ref="Z133:Z136" si="126">Y133/X133</f>
        <v>-5.8548009367681503E-3</v>
      </c>
      <c r="AA133" s="340">
        <v>-26.69</v>
      </c>
      <c r="AB133" s="389">
        <v>43.97</v>
      </c>
      <c r="AC133" s="97" t="s">
        <v>127</v>
      </c>
      <c r="AD133" s="84">
        <v>44673</v>
      </c>
      <c r="AF133" s="33">
        <f t="shared" si="93"/>
        <v>-44673</v>
      </c>
      <c r="AG133" s="401" t="s">
        <v>2535</v>
      </c>
      <c r="AH133" s="66">
        <f t="shared" si="71"/>
        <v>0.84855092214045602</v>
      </c>
      <c r="AI133" s="254">
        <f>RTD("money.excel",,$G133,"PredictVolume")</f>
        <v>467</v>
      </c>
      <c r="AJ133" s="391">
        <v>550.35</v>
      </c>
      <c r="AM133" s="245"/>
      <c r="AR133" s="402" t="str">
        <f>INDEX(基本資料!N:N,MATCH($G133,基本資料!A:A,0))</f>
        <v>中</v>
      </c>
    </row>
    <row r="134" spans="1:44">
      <c r="A134" s="343">
        <v>11.8</v>
      </c>
      <c r="B134" s="80">
        <v>-12</v>
      </c>
      <c r="C134" s="80">
        <v>-14</v>
      </c>
      <c r="D134" s="79">
        <v>13</v>
      </c>
      <c r="E134" s="80">
        <v>-32</v>
      </c>
      <c r="F134" s="79">
        <v>20.16</v>
      </c>
      <c r="G134" s="80">
        <v>8436</v>
      </c>
      <c r="H134" s="132" t="s">
        <v>309</v>
      </c>
      <c r="I134" s="16" t="s">
        <v>3873</v>
      </c>
      <c r="J134" s="102" t="s">
        <v>4718</v>
      </c>
      <c r="L134" s="79">
        <v>1</v>
      </c>
      <c r="M134" s="403">
        <v>0</v>
      </c>
      <c r="N134" s="240">
        <v>1</v>
      </c>
      <c r="O134" s="359">
        <v>509</v>
      </c>
      <c r="P134" s="79">
        <v>217</v>
      </c>
      <c r="Q134" s="342">
        <v>168</v>
      </c>
      <c r="R134" s="81">
        <v>284</v>
      </c>
      <c r="S134" s="324">
        <v>323</v>
      </c>
      <c r="T134" s="384">
        <v>8.8800000000000008</v>
      </c>
      <c r="U134" s="426">
        <f t="shared" si="124"/>
        <v>6.1666666666666675E-2</v>
      </c>
      <c r="V134" s="94">
        <v>13.18</v>
      </c>
      <c r="W134" s="39">
        <f>RTD("money.excel",,"8436","Price")</f>
        <v>144</v>
      </c>
      <c r="X134" s="207">
        <v>176</v>
      </c>
      <c r="Y134" s="430">
        <f t="shared" si="125"/>
        <v>-32</v>
      </c>
      <c r="Z134" s="433">
        <f t="shared" si="126"/>
        <v>-0.18181818181818182</v>
      </c>
      <c r="AA134" s="340">
        <v>-48.86</v>
      </c>
      <c r="AB134" s="389">
        <v>16.07</v>
      </c>
      <c r="AC134" s="24" t="s">
        <v>3873</v>
      </c>
      <c r="AD134" s="84">
        <v>44673</v>
      </c>
      <c r="AF134" s="33">
        <f t="shared" si="93"/>
        <v>-44673</v>
      </c>
      <c r="AG134" s="401" t="s">
        <v>3874</v>
      </c>
      <c r="AH134" s="66">
        <f t="shared" si="71"/>
        <v>0.61880786097125218</v>
      </c>
      <c r="AI134" s="254">
        <f>RTD("money.excel",,$G134,"PredictVolume")</f>
        <v>381</v>
      </c>
      <c r="AJ134" s="391">
        <v>615.70000000000005</v>
      </c>
      <c r="AM134" s="245"/>
      <c r="AR134" s="402" t="str">
        <f>INDEX(基本資料!N:N,MATCH($G134,基本資料!A:A,0))</f>
        <v>低</v>
      </c>
    </row>
    <row r="135" spans="1:44">
      <c r="A135" s="343">
        <v>6.22</v>
      </c>
      <c r="B135" s="79">
        <v>80</v>
      </c>
      <c r="C135" s="79">
        <v>24</v>
      </c>
      <c r="D135" s="79">
        <v>60</v>
      </c>
      <c r="E135" s="79">
        <v>29</v>
      </c>
      <c r="F135" s="79">
        <v>12.59</v>
      </c>
      <c r="G135" s="79">
        <v>3491</v>
      </c>
      <c r="H135" s="403" t="s">
        <v>4314</v>
      </c>
      <c r="I135" s="16" t="s">
        <v>4367</v>
      </c>
      <c r="J135" s="8">
        <v>42</v>
      </c>
      <c r="K135" s="5"/>
      <c r="L135" s="156">
        <v>2</v>
      </c>
      <c r="M135" s="337">
        <v>0</v>
      </c>
      <c r="N135" s="240">
        <v>2</v>
      </c>
      <c r="O135" s="359">
        <v>104</v>
      </c>
      <c r="P135" s="79">
        <v>224</v>
      </c>
      <c r="Q135" s="342">
        <v>419</v>
      </c>
      <c r="R135" s="81">
        <v>96</v>
      </c>
      <c r="S135" s="324">
        <v>16</v>
      </c>
      <c r="T135" s="384">
        <v>4</v>
      </c>
      <c r="U135" s="426">
        <f t="shared" si="124"/>
        <v>2.9090909090909091E-2</v>
      </c>
      <c r="V135" s="94">
        <v>3.81</v>
      </c>
      <c r="W135" s="39">
        <f>RTD("money.excel",,"3491","Price")</f>
        <v>137.5</v>
      </c>
      <c r="X135" s="207">
        <v>169.5</v>
      </c>
      <c r="Y135" s="430">
        <f t="shared" si="125"/>
        <v>-32</v>
      </c>
      <c r="Z135" s="433">
        <f t="shared" si="126"/>
        <v>-0.1887905604719764</v>
      </c>
      <c r="AA135" s="340">
        <v>-24.24</v>
      </c>
      <c r="AB135" s="341">
        <v>58.58</v>
      </c>
      <c r="AC135" s="24" t="s">
        <v>4367</v>
      </c>
      <c r="AD135" s="84">
        <v>44673</v>
      </c>
      <c r="AF135" s="33">
        <f t="shared" si="93"/>
        <v>-44673</v>
      </c>
      <c r="AG135" s="401" t="s">
        <v>4368</v>
      </c>
      <c r="AH135" s="66">
        <f t="shared" si="71"/>
        <v>0.40300798035604668</v>
      </c>
      <c r="AI135" s="254">
        <f>RTD("money.excel",,$G135,"PredictVolume")</f>
        <v>1313</v>
      </c>
      <c r="AJ135" s="391">
        <v>3258</v>
      </c>
      <c r="AM135" s="245"/>
      <c r="AR135" s="402" t="str">
        <f>INDEX(基本資料!N:N,MATCH($G135,基本資料!A:A,0))</f>
        <v>中</v>
      </c>
    </row>
    <row r="136" spans="1:44">
      <c r="A136" s="343">
        <v>18.2</v>
      </c>
      <c r="B136" s="79">
        <v>126</v>
      </c>
      <c r="C136" s="79">
        <v>103</v>
      </c>
      <c r="D136" s="79">
        <v>18</v>
      </c>
      <c r="E136" s="79">
        <v>11</v>
      </c>
      <c r="F136" s="79">
        <v>10.99</v>
      </c>
      <c r="G136" s="79">
        <v>2351</v>
      </c>
      <c r="H136" s="208" t="s">
        <v>3038</v>
      </c>
      <c r="I136" s="22" t="s">
        <v>61</v>
      </c>
      <c r="J136" s="8">
        <v>42</v>
      </c>
      <c r="L136" s="79">
        <v>2</v>
      </c>
      <c r="M136" s="403">
        <v>0</v>
      </c>
      <c r="N136" s="240">
        <v>2</v>
      </c>
      <c r="O136" s="359">
        <v>714</v>
      </c>
      <c r="P136" s="79">
        <v>693</v>
      </c>
      <c r="Q136" s="342">
        <v>298</v>
      </c>
      <c r="R136" s="81">
        <v>21</v>
      </c>
      <c r="S136" s="324">
        <v>92</v>
      </c>
      <c r="T136" s="384">
        <v>3</v>
      </c>
      <c r="U136" s="426">
        <f t="shared" si="124"/>
        <v>2.2556390977443608E-2</v>
      </c>
      <c r="V136" s="94">
        <v>4.68</v>
      </c>
      <c r="W136" s="39">
        <f>RTD("money.excel",,"2351","Price")</f>
        <v>133</v>
      </c>
      <c r="X136" s="207">
        <v>143.5</v>
      </c>
      <c r="Y136" s="430">
        <f t="shared" si="125"/>
        <v>-10.5</v>
      </c>
      <c r="Z136" s="433">
        <f t="shared" si="126"/>
        <v>-7.3170731707317069E-2</v>
      </c>
      <c r="AA136" s="340">
        <v>-27.25</v>
      </c>
      <c r="AB136" s="389">
        <v>38.29</v>
      </c>
      <c r="AC136" s="23" t="s">
        <v>61</v>
      </c>
      <c r="AD136" s="84">
        <v>44673</v>
      </c>
      <c r="AF136" s="33">
        <f t="shared" si="93"/>
        <v>-44673</v>
      </c>
      <c r="AG136" s="401" t="s">
        <v>3367</v>
      </c>
      <c r="AH136" s="66">
        <f t="shared" si="71"/>
        <v>0.79987325155040523</v>
      </c>
      <c r="AI136" s="254">
        <f>RTD("money.excel",,$G136,"PredictVolume")</f>
        <v>1767</v>
      </c>
      <c r="AJ136" s="391">
        <v>2209.1</v>
      </c>
      <c r="AM136" s="245"/>
      <c r="AR136" s="402" t="str">
        <f>INDEX(基本資料!N:N,MATCH($G136,基本資料!A:A,0))</f>
        <v>低</v>
      </c>
    </row>
    <row r="137" spans="1:44">
      <c r="A137" s="343">
        <v>6.08</v>
      </c>
      <c r="B137" s="79">
        <v>13</v>
      </c>
      <c r="C137" s="80">
        <v>-14</v>
      </c>
      <c r="D137" s="79">
        <v>19</v>
      </c>
      <c r="E137" s="80">
        <v>-21</v>
      </c>
      <c r="F137" s="79">
        <v>12</v>
      </c>
      <c r="G137" s="80">
        <v>4190</v>
      </c>
      <c r="H137" s="403" t="s">
        <v>6240</v>
      </c>
      <c r="I137" s="22" t="s">
        <v>3793</v>
      </c>
      <c r="J137" s="102" t="s">
        <v>3542</v>
      </c>
      <c r="L137" s="79">
        <v>12</v>
      </c>
      <c r="M137" s="403">
        <v>0</v>
      </c>
      <c r="N137" s="240">
        <v>12</v>
      </c>
      <c r="O137" s="359">
        <v>708</v>
      </c>
      <c r="P137" s="79">
        <v>622</v>
      </c>
      <c r="Q137" s="342">
        <v>40</v>
      </c>
      <c r="R137" s="81" t="s">
        <v>6279</v>
      </c>
      <c r="S137" s="324">
        <v>999</v>
      </c>
      <c r="T137" s="384">
        <v>3.5</v>
      </c>
      <c r="U137" s="426">
        <f>T137/W137</f>
        <v>5.6910569105691054E-2</v>
      </c>
      <c r="V137" s="94">
        <v>4.99</v>
      </c>
      <c r="W137" s="39">
        <f>RTD("money.excel",,"4190","Price")</f>
        <v>61.5</v>
      </c>
      <c r="X137" s="207">
        <v>69.400000000000006</v>
      </c>
      <c r="Y137" s="430">
        <f>W137-X137</f>
        <v>-7.9000000000000057</v>
      </c>
      <c r="Z137" s="433">
        <f>Y137/X137</f>
        <v>-0.11383285302593667</v>
      </c>
      <c r="AA137" s="340">
        <v>-16.97</v>
      </c>
      <c r="AB137" s="341">
        <v>66.92</v>
      </c>
      <c r="AC137" s="23" t="s">
        <v>3793</v>
      </c>
      <c r="AD137" s="84">
        <v>44673</v>
      </c>
      <c r="AF137" s="33">
        <f t="shared" si="93"/>
        <v>-44673</v>
      </c>
      <c r="AG137" s="402" t="s">
        <v>3794</v>
      </c>
      <c r="AH137" s="66">
        <f t="shared" si="71"/>
        <v>2.8778718258766625</v>
      </c>
      <c r="AI137" s="254">
        <f>RTD("money.excel",,$G137,"PredictVolume")</f>
        <v>119</v>
      </c>
      <c r="AJ137" s="391">
        <v>41.35</v>
      </c>
      <c r="AK137" s="50" t="s">
        <v>6755</v>
      </c>
      <c r="AM137" s="245"/>
      <c r="AR137" s="402" t="str">
        <f>INDEX(基本資料!N:N,MATCH($G137,基本資料!A:A,0))</f>
        <v>低</v>
      </c>
    </row>
    <row r="138" spans="1:44">
      <c r="A138" s="343">
        <v>7.49</v>
      </c>
      <c r="B138" s="80">
        <v>-20</v>
      </c>
      <c r="C138" s="80">
        <v>-6</v>
      </c>
      <c r="D138" s="79">
        <v>10</v>
      </c>
      <c r="E138" s="80">
        <v>-16</v>
      </c>
      <c r="F138" s="79">
        <v>10.63</v>
      </c>
      <c r="G138" s="80">
        <v>9951</v>
      </c>
      <c r="H138" s="344" t="s">
        <v>295</v>
      </c>
      <c r="I138" s="16" t="s">
        <v>224</v>
      </c>
      <c r="J138" s="102" t="s">
        <v>6824</v>
      </c>
      <c r="L138" s="79">
        <v>4</v>
      </c>
      <c r="M138" s="403">
        <v>0</v>
      </c>
      <c r="N138" s="240">
        <v>4</v>
      </c>
      <c r="O138" s="359">
        <v>829</v>
      </c>
      <c r="P138" s="79">
        <v>577</v>
      </c>
      <c r="Q138" s="342">
        <v>562</v>
      </c>
      <c r="R138" s="81" t="s">
        <v>6279</v>
      </c>
      <c r="S138" s="324">
        <v>891</v>
      </c>
      <c r="T138" s="384">
        <v>3.3</v>
      </c>
      <c r="U138" s="426">
        <f t="shared" ref="U138:U139" si="127">T138/W138</f>
        <v>4.954954954954955E-2</v>
      </c>
      <c r="V138" s="94">
        <v>5.33</v>
      </c>
      <c r="W138" s="39">
        <f>RTD("money.excel",,"9951","Price")</f>
        <v>66.599999999999994</v>
      </c>
      <c r="X138" s="207">
        <v>73.099999999999994</v>
      </c>
      <c r="Y138" s="430">
        <f t="shared" ref="Y138:Y139" si="128">W138-X138</f>
        <v>-6.5</v>
      </c>
      <c r="Z138" s="433">
        <f t="shared" ref="Z138:Z139" si="129">Y138/X138</f>
        <v>-8.8919288645690847E-2</v>
      </c>
      <c r="AA138" s="340">
        <v>-28.54</v>
      </c>
      <c r="AB138" s="389">
        <v>19.18</v>
      </c>
      <c r="AC138" s="24" t="s">
        <v>224</v>
      </c>
      <c r="AD138" s="84">
        <v>44673</v>
      </c>
      <c r="AF138" s="33">
        <f t="shared" si="93"/>
        <v>-44673</v>
      </c>
      <c r="AG138" s="401" t="s">
        <v>2542</v>
      </c>
      <c r="AH138" s="66">
        <f t="shared" si="71"/>
        <v>2.5630252100840334</v>
      </c>
      <c r="AI138" s="254">
        <f>RTD("money.excel",,$G138,"PredictVolume")</f>
        <v>183</v>
      </c>
      <c r="AJ138" s="391">
        <v>71.400000000000006</v>
      </c>
      <c r="AM138" s="245"/>
      <c r="AR138" s="402" t="str">
        <f>INDEX(基本資料!N:N,MATCH($G138,基本資料!A:A,0))</f>
        <v>低</v>
      </c>
    </row>
    <row r="139" spans="1:44">
      <c r="A139" s="343">
        <v>18.5</v>
      </c>
      <c r="B139" s="79">
        <v>39</v>
      </c>
      <c r="C139" s="79">
        <v>39</v>
      </c>
      <c r="D139" s="79">
        <v>12</v>
      </c>
      <c r="E139" s="79">
        <v>3</v>
      </c>
      <c r="F139" s="79">
        <v>9.7200000000000006</v>
      </c>
      <c r="G139" s="80">
        <v>6121</v>
      </c>
      <c r="H139" s="96" t="s">
        <v>1145</v>
      </c>
      <c r="I139" s="16" t="s">
        <v>4090</v>
      </c>
      <c r="J139" s="102" t="s">
        <v>6239</v>
      </c>
      <c r="L139" s="79">
        <v>2</v>
      </c>
      <c r="M139" s="403">
        <v>0</v>
      </c>
      <c r="N139" s="240">
        <v>2</v>
      </c>
      <c r="O139" s="359">
        <v>1001</v>
      </c>
      <c r="P139" s="79">
        <v>95</v>
      </c>
      <c r="Q139" s="342">
        <v>84</v>
      </c>
      <c r="R139" s="81">
        <v>123</v>
      </c>
      <c r="S139" s="324">
        <v>648</v>
      </c>
      <c r="T139" s="384">
        <v>26</v>
      </c>
      <c r="U139" s="426">
        <f t="shared" si="127"/>
        <v>8.9041095890410954E-2</v>
      </c>
      <c r="V139" s="94">
        <v>34.5</v>
      </c>
      <c r="W139" s="39">
        <f>RTD("money.excel",,"6121","Price")</f>
        <v>292</v>
      </c>
      <c r="X139" s="207">
        <v>303</v>
      </c>
      <c r="Y139" s="430">
        <f t="shared" si="128"/>
        <v>-11</v>
      </c>
      <c r="Z139" s="433">
        <f t="shared" si="129"/>
        <v>-3.6303630363036306E-2</v>
      </c>
      <c r="AA139" s="340">
        <v>-20.13</v>
      </c>
      <c r="AB139" s="389">
        <v>27.16</v>
      </c>
      <c r="AC139" s="24" t="s">
        <v>4090</v>
      </c>
      <c r="AD139" s="84">
        <v>44673</v>
      </c>
      <c r="AF139" s="33">
        <f t="shared" si="93"/>
        <v>-44673</v>
      </c>
      <c r="AG139" s="401" t="s">
        <v>2553</v>
      </c>
      <c r="AH139" s="66">
        <f t="shared" si="71"/>
        <v>0.76351016360932078</v>
      </c>
      <c r="AI139" s="254">
        <f>RTD("money.excel",,$G139,"PredictVolume")</f>
        <v>308</v>
      </c>
      <c r="AJ139" s="391">
        <v>403.4</v>
      </c>
      <c r="AM139" s="245"/>
      <c r="AR139" s="402" t="str">
        <f>INDEX(基本資料!N:N,MATCH($G139,基本資料!A:A,0))</f>
        <v>低</v>
      </c>
    </row>
    <row r="140" spans="1:44">
      <c r="A140" s="343">
        <v>10.6</v>
      </c>
      <c r="B140" s="79">
        <v>6</v>
      </c>
      <c r="C140" s="80">
        <v>-13</v>
      </c>
      <c r="D140" s="79">
        <v>41</v>
      </c>
      <c r="E140" s="79">
        <v>16</v>
      </c>
      <c r="F140" s="79">
        <v>3.31</v>
      </c>
      <c r="G140" s="79">
        <v>6414</v>
      </c>
      <c r="H140" s="208" t="s">
        <v>1145</v>
      </c>
      <c r="I140" s="22" t="s">
        <v>213</v>
      </c>
      <c r="J140" s="8" t="s">
        <v>6826</v>
      </c>
      <c r="L140" s="79">
        <v>4</v>
      </c>
      <c r="M140" s="403">
        <v>0</v>
      </c>
      <c r="N140" s="240">
        <v>4</v>
      </c>
      <c r="O140" s="359">
        <v>362</v>
      </c>
      <c r="P140" s="79">
        <v>480</v>
      </c>
      <c r="Q140" s="342">
        <v>467</v>
      </c>
      <c r="R140" s="81">
        <v>254</v>
      </c>
      <c r="S140" s="324">
        <v>323</v>
      </c>
      <c r="T140" s="384">
        <v>7</v>
      </c>
      <c r="U140" s="426">
        <f t="shared" ref="U140" si="130">T140/W140</f>
        <v>3.608247422680412E-2</v>
      </c>
      <c r="V140" s="94">
        <v>13.92</v>
      </c>
      <c r="W140" s="39">
        <f>RTD("money.excel",,"6414","Price")</f>
        <v>194</v>
      </c>
      <c r="X140" s="207">
        <v>222</v>
      </c>
      <c r="Y140" s="430">
        <f t="shared" ref="Y140" si="131">W140-X140</f>
        <v>-28</v>
      </c>
      <c r="Z140" s="433">
        <f t="shared" ref="Z140" si="132">Y140/X140</f>
        <v>-0.12612612612612611</v>
      </c>
      <c r="AA140" s="340">
        <v>-20.65</v>
      </c>
      <c r="AB140" s="341">
        <v>53.58</v>
      </c>
      <c r="AC140" s="23" t="s">
        <v>213</v>
      </c>
      <c r="AD140" s="84">
        <v>44672</v>
      </c>
      <c r="AF140" s="33">
        <f t="shared" si="93"/>
        <v>-44672</v>
      </c>
      <c r="AG140" s="401" t="s">
        <v>1505</v>
      </c>
      <c r="AH140" s="66">
        <f t="shared" si="71"/>
        <v>0.67435897435897441</v>
      </c>
      <c r="AI140" s="254">
        <f>RTD("money.excel",,$G140,"PredictVolume")</f>
        <v>526</v>
      </c>
      <c r="AJ140" s="391">
        <v>780</v>
      </c>
      <c r="AM140" s="245"/>
      <c r="AR140" s="402" t="str">
        <f>INDEX(基本資料!N:N,MATCH($G140,基本資料!A:A,0))</f>
        <v>低</v>
      </c>
    </row>
    <row r="141" spans="1:44">
      <c r="A141" s="343">
        <v>5.86</v>
      </c>
      <c r="B141" s="79">
        <v>23</v>
      </c>
      <c r="C141" s="79">
        <v>17</v>
      </c>
      <c r="D141" s="79">
        <v>21</v>
      </c>
      <c r="E141" s="80">
        <v>-3</v>
      </c>
      <c r="F141" s="79">
        <v>27.21</v>
      </c>
      <c r="G141" s="80">
        <v>3526</v>
      </c>
      <c r="H141" s="403" t="s">
        <v>308</v>
      </c>
      <c r="I141" s="16" t="s">
        <v>156</v>
      </c>
      <c r="J141" s="8">
        <v>6</v>
      </c>
      <c r="L141" s="79">
        <v>1</v>
      </c>
      <c r="M141" s="403">
        <v>0</v>
      </c>
      <c r="N141" s="240">
        <v>1</v>
      </c>
      <c r="O141" s="359">
        <v>528</v>
      </c>
      <c r="P141" s="79">
        <v>83</v>
      </c>
      <c r="Q141" s="342">
        <v>847</v>
      </c>
      <c r="R141" s="81">
        <v>65</v>
      </c>
      <c r="S141" s="324">
        <v>62</v>
      </c>
      <c r="T141" s="384">
        <v>11.16</v>
      </c>
      <c r="U141" s="426">
        <f t="shared" ref="U141" si="133">T141/W141</f>
        <v>6.7027027027027022E-2</v>
      </c>
      <c r="V141" s="94">
        <v>11.23</v>
      </c>
      <c r="W141" s="39">
        <f>RTD("money.excel",,"3526","Price")</f>
        <v>166.5</v>
      </c>
      <c r="X141" s="207">
        <v>180.5</v>
      </c>
      <c r="Y141" s="430">
        <f t="shared" ref="Y141" si="134">W141-X141</f>
        <v>-14</v>
      </c>
      <c r="Z141" s="433">
        <f t="shared" ref="Z141" si="135">Y141/X141</f>
        <v>-7.7562326869806089E-2</v>
      </c>
      <c r="AA141" s="340">
        <v>-21.37</v>
      </c>
      <c r="AB141" s="389">
        <v>32.880000000000003</v>
      </c>
      <c r="AC141" s="24" t="s">
        <v>156</v>
      </c>
      <c r="AD141" s="84">
        <v>44672</v>
      </c>
      <c r="AF141" s="33">
        <f t="shared" si="93"/>
        <v>-44672</v>
      </c>
      <c r="AG141" s="401" t="s">
        <v>1902</v>
      </c>
      <c r="AH141" s="66">
        <f t="shared" si="71"/>
        <v>0.82502343816585699</v>
      </c>
      <c r="AI141" s="254">
        <f>RTD("money.excel",,$G141,"PredictVolume")</f>
        <v>484</v>
      </c>
      <c r="AJ141" s="391">
        <v>586.65</v>
      </c>
      <c r="AM141" s="245"/>
      <c r="AR141" s="402" t="str">
        <f>INDEX(基本資料!N:N,MATCH($G141,基本資料!A:A,0))</f>
        <v>低</v>
      </c>
    </row>
    <row r="142" spans="1:44">
      <c r="A142" s="343">
        <v>259</v>
      </c>
      <c r="B142" s="79">
        <v>4</v>
      </c>
      <c r="C142" s="80">
        <v>-1</v>
      </c>
      <c r="D142" s="79">
        <v>19</v>
      </c>
      <c r="E142" s="79">
        <v>13</v>
      </c>
      <c r="F142" s="79">
        <v>9.9700000000000006</v>
      </c>
      <c r="G142" s="80">
        <v>2308</v>
      </c>
      <c r="H142" s="403" t="s">
        <v>308</v>
      </c>
      <c r="I142" s="22" t="s">
        <v>4470</v>
      </c>
      <c r="J142" s="102" t="s">
        <v>3544</v>
      </c>
      <c r="L142" s="79">
        <v>12</v>
      </c>
      <c r="M142" s="403">
        <v>0</v>
      </c>
      <c r="N142" s="240">
        <v>12</v>
      </c>
      <c r="O142" s="359">
        <v>1321</v>
      </c>
      <c r="P142" s="79">
        <v>467</v>
      </c>
      <c r="Q142" s="342">
        <v>34</v>
      </c>
      <c r="R142" s="81">
        <v>145</v>
      </c>
      <c r="S142" s="324">
        <v>605</v>
      </c>
      <c r="T142" s="384">
        <v>5.5</v>
      </c>
      <c r="U142" s="426">
        <f t="shared" ref="U142" si="136">T142/W142</f>
        <v>2.4663677130044841E-2</v>
      </c>
      <c r="V142" s="94">
        <v>10.32</v>
      </c>
      <c r="W142" s="39">
        <f>RTD("money.excel",,"2308","Price")</f>
        <v>223</v>
      </c>
      <c r="X142" s="207">
        <v>254</v>
      </c>
      <c r="Y142" s="430">
        <f t="shared" ref="Y142" si="137">W142-X142</f>
        <v>-31</v>
      </c>
      <c r="Z142" s="433">
        <f t="shared" ref="Z142" si="138">Y142/X142</f>
        <v>-0.12204724409448819</v>
      </c>
      <c r="AA142" s="340">
        <v>-25.07</v>
      </c>
      <c r="AB142" s="341">
        <v>51.52</v>
      </c>
      <c r="AC142" s="23" t="s">
        <v>4470</v>
      </c>
      <c r="AD142" s="84">
        <v>44672</v>
      </c>
      <c r="AF142" s="33">
        <f t="shared" si="93"/>
        <v>-44672</v>
      </c>
      <c r="AG142" s="417" t="s">
        <v>4471</v>
      </c>
      <c r="AH142" s="66">
        <f t="shared" si="71"/>
        <v>0.5988483685220729</v>
      </c>
      <c r="AI142" s="254">
        <f>RTD("money.excel",,$G142,"PredictVolume")</f>
        <v>2886</v>
      </c>
      <c r="AJ142" s="391">
        <v>4819.25</v>
      </c>
      <c r="AM142" s="245"/>
      <c r="AR142" s="402" t="str">
        <f>INDEX(基本資料!N:N,MATCH($G142,基本資料!A:A,0))</f>
        <v>低</v>
      </c>
    </row>
    <row r="143" spans="1:44" s="248" customFormat="1">
      <c r="A143" s="91"/>
      <c r="B143" s="79"/>
      <c r="C143" s="79"/>
      <c r="D143" s="79"/>
      <c r="E143" s="79"/>
      <c r="F143" s="79"/>
      <c r="G143" s="41"/>
      <c r="H143" s="344"/>
      <c r="I143" s="153"/>
      <c r="J143" s="1"/>
      <c r="K143" s="355"/>
      <c r="L143" s="91"/>
      <c r="M143" s="404"/>
      <c r="O143" s="359"/>
      <c r="P143" s="79"/>
      <c r="Q143" s="342"/>
      <c r="R143" s="104"/>
      <c r="S143" s="419"/>
      <c r="T143" s="384"/>
      <c r="U143" s="425"/>
      <c r="V143" s="94"/>
      <c r="W143" s="31">
        <f>SUM(W44:W142)</f>
        <v>13371.850000000002</v>
      </c>
      <c r="X143" s="73">
        <f>SUM(X44:X142)</f>
        <v>14213.800000000003</v>
      </c>
      <c r="Y143" s="458">
        <f t="shared" ref="Y143" si="139">W143-X143</f>
        <v>-841.95000000000073</v>
      </c>
      <c r="Z143" s="434">
        <f t="shared" ref="Z143" si="140">Y143/X143</f>
        <v>-5.9234687416454469E-2</v>
      </c>
      <c r="AA143" s="340"/>
      <c r="AB143" s="389"/>
      <c r="AC143" s="437">
        <f>W143*(0.001425*0.5)+W143*0.003+X143*(0.001425*0.5)</f>
        <v>59.770325625000005</v>
      </c>
      <c r="AD143" s="6">
        <f>Y143-AC143</f>
        <v>-901.72032562500078</v>
      </c>
      <c r="AE143" s="83"/>
      <c r="AF143" s="186"/>
      <c r="AG143" s="132" t="s">
        <v>6215</v>
      </c>
      <c r="AH143" s="444"/>
      <c r="AI143" s="257"/>
      <c r="AK143" s="461"/>
      <c r="AR143" s="256"/>
    </row>
    <row r="144" spans="1:44" ht="17.25" customHeight="1">
      <c r="B144" s="90"/>
      <c r="C144" s="90"/>
      <c r="D144" s="90"/>
      <c r="E144" s="90"/>
      <c r="F144" s="344"/>
      <c r="G144" s="26"/>
      <c r="I144" s="50"/>
      <c r="L144" s="407"/>
      <c r="O144" s="359"/>
      <c r="P144" s="344"/>
      <c r="Q144" s="342"/>
      <c r="W144" s="39"/>
      <c r="Z144" s="433"/>
      <c r="AC144" s="24"/>
      <c r="AE144" s="72"/>
      <c r="AG144" s="439"/>
      <c r="AH144" s="445"/>
      <c r="AI144" s="448"/>
      <c r="AJ144" s="239"/>
      <c r="AM144" s="234"/>
      <c r="AR144" s="402"/>
    </row>
    <row r="145" spans="1:44">
      <c r="A145" s="342" t="s">
        <v>1672</v>
      </c>
      <c r="B145" s="90" t="s">
        <v>1571</v>
      </c>
      <c r="C145" s="90" t="s">
        <v>1572</v>
      </c>
      <c r="D145" s="90" t="s">
        <v>1573</v>
      </c>
      <c r="E145" s="90" t="s">
        <v>1574</v>
      </c>
      <c r="F145" s="344" t="s">
        <v>1059</v>
      </c>
      <c r="G145" s="26" t="s">
        <v>3441</v>
      </c>
      <c r="H145" s="344" t="s">
        <v>320</v>
      </c>
      <c r="I145" s="8" t="s">
        <v>6214</v>
      </c>
      <c r="J145" s="8" t="s">
        <v>6211</v>
      </c>
      <c r="K145" s="5" t="s">
        <v>6212</v>
      </c>
      <c r="L145" s="79" t="s">
        <v>6197</v>
      </c>
      <c r="M145" s="403" t="s">
        <v>6198</v>
      </c>
      <c r="N145" s="240" t="s">
        <v>6199</v>
      </c>
      <c r="O145" s="412" t="s">
        <v>4718</v>
      </c>
      <c r="P145" s="344" t="s">
        <v>3543</v>
      </c>
      <c r="Q145" s="414" t="s">
        <v>3542</v>
      </c>
      <c r="R145" s="104" t="s">
        <v>3544</v>
      </c>
      <c r="S145" s="418" t="s">
        <v>4715</v>
      </c>
      <c r="T145" s="29" t="s">
        <v>66</v>
      </c>
      <c r="U145" s="424" t="s">
        <v>4728</v>
      </c>
      <c r="V145" s="387" t="s">
        <v>3272</v>
      </c>
      <c r="W145" s="388" t="s">
        <v>2</v>
      </c>
      <c r="X145" s="427" t="s">
        <v>1398</v>
      </c>
      <c r="Y145" s="14" t="s">
        <v>5</v>
      </c>
      <c r="Z145" s="21" t="s">
        <v>3</v>
      </c>
      <c r="AA145" s="403" t="s">
        <v>6166</v>
      </c>
      <c r="AB145" s="436" t="s">
        <v>6404</v>
      </c>
      <c r="AC145" s="8" t="s">
        <v>6214</v>
      </c>
      <c r="AD145" s="55" t="s">
        <v>1399</v>
      </c>
      <c r="AE145" s="72" t="s">
        <v>1156</v>
      </c>
      <c r="AF145" s="10" t="s">
        <v>1157</v>
      </c>
      <c r="AG145" s="438" t="s">
        <v>4739</v>
      </c>
      <c r="AH145" s="441" t="s">
        <v>6696</v>
      </c>
      <c r="AI145" s="50" t="s">
        <v>3360</v>
      </c>
      <c r="AJ145" s="22" t="s">
        <v>6695</v>
      </c>
      <c r="AM145" s="234"/>
      <c r="AR145" s="402"/>
    </row>
    <row r="146" spans="1:44">
      <c r="A146" s="342"/>
      <c r="B146" s="90"/>
      <c r="C146" s="90"/>
      <c r="D146" s="90"/>
      <c r="E146" s="90"/>
      <c r="F146" s="451"/>
      <c r="G146" s="26"/>
      <c r="H146" s="451"/>
      <c r="I146" s="8"/>
      <c r="J146" s="8"/>
      <c r="K146" s="5"/>
      <c r="L146" s="79"/>
      <c r="M146" s="403"/>
      <c r="N146" s="240"/>
      <c r="P146" s="451"/>
      <c r="S146" s="418"/>
      <c r="T146" s="29"/>
      <c r="U146" s="424"/>
      <c r="V146" s="387"/>
      <c r="W146" s="388"/>
      <c r="X146" s="427"/>
      <c r="Y146" s="14"/>
      <c r="Z146" s="21"/>
      <c r="AA146" s="403"/>
      <c r="AB146" s="436"/>
      <c r="AC146" s="8"/>
      <c r="AD146" s="55"/>
      <c r="AE146" s="72"/>
      <c r="AF146" s="10"/>
      <c r="AG146" s="438"/>
      <c r="AH146" s="441"/>
      <c r="AI146" s="50"/>
      <c r="AJ146" s="22"/>
      <c r="AM146" s="234"/>
      <c r="AR146" s="402"/>
    </row>
    <row r="147" spans="1:44">
      <c r="A147" s="343">
        <v>1248</v>
      </c>
      <c r="B147" s="79">
        <v>102</v>
      </c>
      <c r="C147" s="79">
        <v>193</v>
      </c>
      <c r="D147" s="79">
        <v>2</v>
      </c>
      <c r="E147" s="79">
        <v>39</v>
      </c>
      <c r="F147" s="6">
        <v>35.21</v>
      </c>
      <c r="G147" s="80">
        <v>2303</v>
      </c>
      <c r="H147" s="132" t="s">
        <v>6709</v>
      </c>
      <c r="I147" s="22" t="s">
        <v>5031</v>
      </c>
      <c r="J147" s="102" t="s">
        <v>6409</v>
      </c>
      <c r="K147" s="5"/>
      <c r="L147" s="79">
        <v>2</v>
      </c>
      <c r="M147" s="403">
        <v>0</v>
      </c>
      <c r="N147" s="240">
        <v>1</v>
      </c>
      <c r="O147" s="359">
        <v>698</v>
      </c>
      <c r="P147" s="79">
        <v>182</v>
      </c>
      <c r="Q147" s="342">
        <v>172</v>
      </c>
      <c r="R147" s="81">
        <v>92</v>
      </c>
      <c r="S147" s="324">
        <v>288</v>
      </c>
      <c r="T147" s="186">
        <v>3</v>
      </c>
      <c r="U147" s="426">
        <f>T147/W147</f>
        <v>6.0362173038229376E-2</v>
      </c>
      <c r="V147" s="94">
        <v>5.33</v>
      </c>
      <c r="W147" s="39">
        <v>49.7</v>
      </c>
      <c r="X147" s="207">
        <v>48.2</v>
      </c>
      <c r="Y147" s="430">
        <f t="shared" ref="Y147:Y164" si="141">W147-X147</f>
        <v>1.5</v>
      </c>
      <c r="Z147" s="434">
        <f t="shared" ref="Z147:Z164" si="142">Y147/X147</f>
        <v>3.1120331950207466E-2</v>
      </c>
      <c r="AA147" s="340">
        <v>-32.43</v>
      </c>
      <c r="AB147" s="389">
        <v>35.36</v>
      </c>
      <c r="AC147" s="23" t="s">
        <v>5031</v>
      </c>
      <c r="AD147" s="84">
        <v>44693</v>
      </c>
      <c r="AE147" s="83">
        <v>44697</v>
      </c>
      <c r="AF147" s="33">
        <f t="shared" ref="AF147:AF164" si="143">AE147-AD147</f>
        <v>4</v>
      </c>
      <c r="AG147" s="402" t="s">
        <v>6723</v>
      </c>
      <c r="AH147" s="66"/>
      <c r="AI147" s="447"/>
      <c r="AJ147" s="391"/>
      <c r="AM147" s="245"/>
      <c r="AR147" s="402" t="str">
        <f>INDEX(基本資料!N:N,MATCH($G147,基本資料!A:A,0))</f>
        <v>低</v>
      </c>
    </row>
    <row r="148" spans="1:44">
      <c r="A148" s="343">
        <v>22.67</v>
      </c>
      <c r="B148" s="79">
        <v>-17</v>
      </c>
      <c r="C148" s="79">
        <v>-22</v>
      </c>
      <c r="D148" s="79">
        <v>-26</v>
      </c>
      <c r="E148" s="79">
        <v>-18</v>
      </c>
      <c r="F148" s="6">
        <v>4.62</v>
      </c>
      <c r="G148" s="80">
        <v>3596</v>
      </c>
      <c r="H148" s="96" t="s">
        <v>6712</v>
      </c>
      <c r="I148" s="22" t="s">
        <v>5460</v>
      </c>
      <c r="J148" s="8" t="s">
        <v>6793</v>
      </c>
      <c r="K148" s="5"/>
      <c r="L148" s="79">
        <v>0</v>
      </c>
      <c r="M148" s="403">
        <v>0</v>
      </c>
      <c r="N148" s="240">
        <v>0</v>
      </c>
      <c r="O148" s="359">
        <v>466</v>
      </c>
      <c r="P148" s="79">
        <v>848</v>
      </c>
      <c r="Q148" s="342">
        <v>441</v>
      </c>
      <c r="R148" s="81">
        <v>18</v>
      </c>
      <c r="S148" s="324">
        <v>101</v>
      </c>
      <c r="T148" s="186">
        <v>6.71</v>
      </c>
      <c r="U148" s="426">
        <f>T148/W148</f>
        <v>5.8602620087336244E-2</v>
      </c>
      <c r="V148" s="94">
        <v>8.23</v>
      </c>
      <c r="W148" s="39">
        <v>114.5</v>
      </c>
      <c r="X148" s="207">
        <v>112</v>
      </c>
      <c r="Y148" s="430">
        <f t="shared" si="141"/>
        <v>2.5</v>
      </c>
      <c r="Z148" s="434">
        <f t="shared" si="142"/>
        <v>2.2321428571428572E-2</v>
      </c>
      <c r="AA148" s="340">
        <v>-20.14</v>
      </c>
      <c r="AB148" s="389">
        <v>38.49</v>
      </c>
      <c r="AC148" s="97" t="s">
        <v>5460</v>
      </c>
      <c r="AD148" s="84">
        <v>44693</v>
      </c>
      <c r="AE148" s="83">
        <v>44697</v>
      </c>
      <c r="AF148" s="33">
        <f t="shared" si="143"/>
        <v>4</v>
      </c>
      <c r="AG148" s="402" t="s">
        <v>6713</v>
      </c>
      <c r="AH148" s="66"/>
      <c r="AI148" s="254"/>
      <c r="AJ148" s="391"/>
      <c r="AM148" s="245"/>
      <c r="AR148" s="402" t="str">
        <f>INDEX(基本資料!N:N,MATCH($G148,基本資料!A:A,0))</f>
        <v>中</v>
      </c>
    </row>
    <row r="149" spans="1:44">
      <c r="A149" s="343">
        <v>6.9</v>
      </c>
      <c r="B149" s="80">
        <v>-71</v>
      </c>
      <c r="C149" s="80">
        <v>-77</v>
      </c>
      <c r="D149" s="80">
        <v>-4</v>
      </c>
      <c r="E149" s="80">
        <v>-52</v>
      </c>
      <c r="F149" s="79">
        <v>20.93</v>
      </c>
      <c r="G149" s="80">
        <v>3152</v>
      </c>
      <c r="H149" s="96" t="s">
        <v>311</v>
      </c>
      <c r="I149" s="16" t="s">
        <v>4349</v>
      </c>
      <c r="J149" s="102" t="s">
        <v>6409</v>
      </c>
      <c r="K149" s="5"/>
      <c r="L149" s="79">
        <v>1</v>
      </c>
      <c r="M149" s="403">
        <v>0</v>
      </c>
      <c r="N149" s="240">
        <v>1</v>
      </c>
      <c r="O149" s="359">
        <v>727</v>
      </c>
      <c r="P149" s="79">
        <v>221</v>
      </c>
      <c r="Q149" s="342">
        <v>318</v>
      </c>
      <c r="R149" s="81">
        <v>295</v>
      </c>
      <c r="S149" s="324">
        <v>800</v>
      </c>
      <c r="T149" s="384">
        <v>8</v>
      </c>
      <c r="U149" s="426">
        <f>T149/W149</f>
        <v>3.3472803347280332E-2</v>
      </c>
      <c r="V149" s="94">
        <v>11.93</v>
      </c>
      <c r="W149" s="39">
        <v>239</v>
      </c>
      <c r="X149" s="207">
        <v>235</v>
      </c>
      <c r="Y149" s="430">
        <f t="shared" si="141"/>
        <v>4</v>
      </c>
      <c r="Z149" s="434">
        <f t="shared" si="142"/>
        <v>1.7021276595744681E-2</v>
      </c>
      <c r="AA149" s="340">
        <v>-55.69</v>
      </c>
      <c r="AB149" s="389">
        <v>23.32</v>
      </c>
      <c r="AC149" s="24" t="s">
        <v>4349</v>
      </c>
      <c r="AD149" s="84">
        <v>44687</v>
      </c>
      <c r="AE149" s="83">
        <v>44697</v>
      </c>
      <c r="AF149" s="33">
        <f t="shared" si="143"/>
        <v>10</v>
      </c>
      <c r="AG149" s="401" t="s">
        <v>4350</v>
      </c>
      <c r="AH149" s="66"/>
      <c r="AI149" s="254"/>
      <c r="AJ149" s="391"/>
      <c r="AM149" s="245"/>
      <c r="AR149" s="402" t="str">
        <f>INDEX(基本資料!N:N,MATCH($G149,基本資料!A:A,0))</f>
        <v>低</v>
      </c>
    </row>
    <row r="150" spans="1:44">
      <c r="A150" s="343">
        <v>13.6</v>
      </c>
      <c r="B150" s="79">
        <v>114</v>
      </c>
      <c r="C150" s="79">
        <v>120</v>
      </c>
      <c r="D150" s="79">
        <v>-5</v>
      </c>
      <c r="E150" s="79">
        <v>53</v>
      </c>
      <c r="F150" s="6">
        <v>6.9</v>
      </c>
      <c r="G150" s="79">
        <v>5609</v>
      </c>
      <c r="H150" s="132" t="s">
        <v>6716</v>
      </c>
      <c r="I150" s="16" t="s">
        <v>5722</v>
      </c>
      <c r="J150" s="102" t="s">
        <v>6749</v>
      </c>
      <c r="K150" s="5"/>
      <c r="L150" s="79">
        <v>11</v>
      </c>
      <c r="M150" s="403">
        <v>0</v>
      </c>
      <c r="N150" s="240">
        <v>11</v>
      </c>
      <c r="O150" s="359">
        <v>541</v>
      </c>
      <c r="P150" s="79">
        <v>607</v>
      </c>
      <c r="Q150" s="342">
        <v>292</v>
      </c>
      <c r="R150" s="81">
        <v>234</v>
      </c>
      <c r="S150" s="324">
        <v>191</v>
      </c>
      <c r="T150" s="186">
        <v>10.199999999999999</v>
      </c>
      <c r="U150" s="426">
        <f>T150/W150</f>
        <v>9.1071428571428567E-2</v>
      </c>
      <c r="V150" s="94">
        <v>19.68</v>
      </c>
      <c r="W150" s="39">
        <v>112</v>
      </c>
      <c r="X150" s="207">
        <v>109.5</v>
      </c>
      <c r="Y150" s="430">
        <f t="shared" si="141"/>
        <v>2.5</v>
      </c>
      <c r="Z150" s="434">
        <f t="shared" si="142"/>
        <v>2.2831050228310501E-2</v>
      </c>
      <c r="AA150" s="340">
        <v>-32.19</v>
      </c>
      <c r="AB150" s="341">
        <v>58.64</v>
      </c>
      <c r="AC150" s="23" t="s">
        <v>5722</v>
      </c>
      <c r="AD150" s="84">
        <v>44694</v>
      </c>
      <c r="AE150" s="83">
        <v>44697</v>
      </c>
      <c r="AF150" s="33">
        <f t="shared" si="143"/>
        <v>3</v>
      </c>
      <c r="AG150" s="402" t="s">
        <v>6750</v>
      </c>
      <c r="AH150" s="66"/>
      <c r="AI150" s="254"/>
      <c r="AJ150" s="391"/>
      <c r="AM150" s="245"/>
      <c r="AR150" s="402" t="str">
        <f>INDEX(基本資料!N:N,MATCH($G150,基本資料!A:A,0))</f>
        <v>中</v>
      </c>
    </row>
    <row r="151" spans="1:44">
      <c r="A151" s="343">
        <v>7.51</v>
      </c>
      <c r="B151" s="79">
        <v>438</v>
      </c>
      <c r="C151" s="79">
        <v>126</v>
      </c>
      <c r="D151" s="79">
        <v>-21</v>
      </c>
      <c r="E151" s="79">
        <v>32</v>
      </c>
      <c r="F151" s="6">
        <v>11.47</v>
      </c>
      <c r="G151" s="80">
        <v>8114</v>
      </c>
      <c r="H151" s="96" t="s">
        <v>6744</v>
      </c>
      <c r="I151" s="22" t="s">
        <v>5988</v>
      </c>
      <c r="J151" s="8" t="s">
        <v>6762</v>
      </c>
      <c r="K151" s="5"/>
      <c r="L151" s="79">
        <v>0</v>
      </c>
      <c r="M151" s="403">
        <v>0</v>
      </c>
      <c r="N151" s="240">
        <v>0</v>
      </c>
      <c r="O151" s="359">
        <v>910</v>
      </c>
      <c r="P151" s="79">
        <v>844</v>
      </c>
      <c r="Q151" s="342">
        <v>478</v>
      </c>
      <c r="R151" s="81">
        <v>98</v>
      </c>
      <c r="S151" s="324">
        <v>439</v>
      </c>
      <c r="T151" s="186">
        <v>4.5</v>
      </c>
      <c r="U151" s="426">
        <f>T151/W151</f>
        <v>3.9130434782608699E-2</v>
      </c>
      <c r="V151" s="94">
        <v>6.21</v>
      </c>
      <c r="W151" s="39">
        <v>115</v>
      </c>
      <c r="X151" s="207">
        <v>112</v>
      </c>
      <c r="Y151" s="430">
        <f t="shared" si="141"/>
        <v>3</v>
      </c>
      <c r="Z151" s="434">
        <f t="shared" si="142"/>
        <v>2.6785714285714284E-2</v>
      </c>
      <c r="AA151" s="340">
        <v>-23.44</v>
      </c>
      <c r="AB151" s="341">
        <v>56.44</v>
      </c>
      <c r="AC151" s="97" t="s">
        <v>5988</v>
      </c>
      <c r="AD151" s="84">
        <v>44694</v>
      </c>
      <c r="AE151" s="83">
        <v>44697</v>
      </c>
      <c r="AF151" s="33">
        <f t="shared" si="143"/>
        <v>3</v>
      </c>
      <c r="AG151" s="402" t="s">
        <v>6745</v>
      </c>
      <c r="AH151" s="66"/>
      <c r="AI151" s="254"/>
      <c r="AJ151" s="391"/>
      <c r="AM151" s="245"/>
      <c r="AR151" s="402" t="str">
        <f>INDEX(基本資料!N:N,MATCH($G151,基本資料!A:A,0))</f>
        <v>中</v>
      </c>
    </row>
    <row r="152" spans="1:44">
      <c r="A152" s="343">
        <v>42.4</v>
      </c>
      <c r="B152" s="79">
        <v>-19.45</v>
      </c>
      <c r="C152" s="79">
        <v>-17.46</v>
      </c>
      <c r="D152" s="79">
        <v>-2</v>
      </c>
      <c r="E152" s="79">
        <v>-11.03</v>
      </c>
      <c r="F152" s="6">
        <v>24.53</v>
      </c>
      <c r="G152" s="80">
        <v>3105</v>
      </c>
      <c r="H152" s="96" t="s">
        <v>307</v>
      </c>
      <c r="I152" s="16" t="s">
        <v>258</v>
      </c>
      <c r="J152" s="102" t="s">
        <v>6410</v>
      </c>
      <c r="K152" s="5"/>
      <c r="L152" s="79">
        <v>1</v>
      </c>
      <c r="M152" s="403">
        <v>0</v>
      </c>
      <c r="N152" s="240">
        <v>1</v>
      </c>
      <c r="O152" s="359">
        <v>850</v>
      </c>
      <c r="P152" s="79">
        <v>109</v>
      </c>
      <c r="Q152" s="342">
        <v>100</v>
      </c>
      <c r="R152" s="81">
        <v>166</v>
      </c>
      <c r="S152" s="324">
        <v>439</v>
      </c>
      <c r="T152" s="186">
        <v>8</v>
      </c>
      <c r="U152" s="426">
        <f>$T152/$W152</f>
        <v>0.04</v>
      </c>
      <c r="V152" s="94">
        <v>12.9</v>
      </c>
      <c r="W152" s="39">
        <v>200</v>
      </c>
      <c r="X152" s="207">
        <v>196</v>
      </c>
      <c r="Y152" s="430">
        <f t="shared" si="141"/>
        <v>4</v>
      </c>
      <c r="Z152" s="434">
        <f t="shared" si="142"/>
        <v>2.0408163265306121E-2</v>
      </c>
      <c r="AA152" s="340">
        <v>-50.62</v>
      </c>
      <c r="AB152" s="389">
        <v>4.5199999999999996</v>
      </c>
      <c r="AC152" s="24" t="s">
        <v>258</v>
      </c>
      <c r="AD152" s="84">
        <v>44690</v>
      </c>
      <c r="AE152" s="83">
        <v>44697</v>
      </c>
      <c r="AF152" s="33">
        <f t="shared" si="143"/>
        <v>7</v>
      </c>
      <c r="AG152" s="401" t="s">
        <v>2324</v>
      </c>
      <c r="AH152" s="66"/>
      <c r="AI152" s="254"/>
      <c r="AJ152" s="391"/>
      <c r="AM152" s="245"/>
      <c r="AR152" s="402" t="str">
        <f>INDEX(基本資料!N:N,MATCH($G152,基本資料!A:A,0))</f>
        <v>低</v>
      </c>
    </row>
    <row r="153" spans="1:44">
      <c r="A153" s="343">
        <v>72.97</v>
      </c>
      <c r="B153" s="79">
        <v>-59</v>
      </c>
      <c r="C153" s="79">
        <v>-41</v>
      </c>
      <c r="D153" s="79">
        <v>-58</v>
      </c>
      <c r="E153" s="79">
        <v>-70</v>
      </c>
      <c r="F153" s="6">
        <v>21.32</v>
      </c>
      <c r="G153" s="79">
        <v>2474</v>
      </c>
      <c r="H153" s="208" t="s">
        <v>314</v>
      </c>
      <c r="I153" s="22" t="s">
        <v>273</v>
      </c>
      <c r="J153" s="102" t="s">
        <v>6703</v>
      </c>
      <c r="K153" s="5"/>
      <c r="L153" s="79">
        <v>11</v>
      </c>
      <c r="M153" s="403">
        <v>0</v>
      </c>
      <c r="N153" s="240">
        <v>1</v>
      </c>
      <c r="O153" s="359">
        <v>918</v>
      </c>
      <c r="P153" s="79">
        <v>356</v>
      </c>
      <c r="Q153" s="342">
        <v>97</v>
      </c>
      <c r="R153" s="81">
        <v>313</v>
      </c>
      <c r="S153" s="324">
        <v>533</v>
      </c>
      <c r="T153" s="186">
        <v>10</v>
      </c>
      <c r="U153" s="426">
        <f>$T153/$W153</f>
        <v>6.5789473684210523E-2</v>
      </c>
      <c r="V153" s="94">
        <v>10.79</v>
      </c>
      <c r="W153" s="39">
        <v>152</v>
      </c>
      <c r="X153" s="207">
        <v>149</v>
      </c>
      <c r="Y153" s="430">
        <f t="shared" si="141"/>
        <v>3</v>
      </c>
      <c r="Z153" s="434">
        <f t="shared" si="142"/>
        <v>2.0134228187919462E-2</v>
      </c>
      <c r="AA153" s="340">
        <v>-19.010000000000002</v>
      </c>
      <c r="AB153" s="341">
        <v>70.92</v>
      </c>
      <c r="AC153" s="23" t="s">
        <v>273</v>
      </c>
      <c r="AD153" s="84">
        <v>44692</v>
      </c>
      <c r="AE153" s="83">
        <v>44697</v>
      </c>
      <c r="AF153" s="33">
        <f t="shared" si="143"/>
        <v>5</v>
      </c>
      <c r="AG153" s="401" t="s">
        <v>2393</v>
      </c>
      <c r="AH153" s="66"/>
      <c r="AI153" s="254"/>
      <c r="AJ153" s="391"/>
      <c r="AM153" s="245"/>
      <c r="AR153" s="402" t="str">
        <f>INDEX(基本資料!N:N,MATCH($G153,基本資料!A:A,0))</f>
        <v>低</v>
      </c>
    </row>
    <row r="154" spans="1:44">
      <c r="A154" s="343">
        <v>63.56</v>
      </c>
      <c r="B154" s="79">
        <v>207</v>
      </c>
      <c r="C154" s="79">
        <v>243</v>
      </c>
      <c r="D154" s="79">
        <v>-19</v>
      </c>
      <c r="E154" s="79">
        <v>-30</v>
      </c>
      <c r="F154" s="6">
        <v>11.88</v>
      </c>
      <c r="G154" s="80">
        <v>2376</v>
      </c>
      <c r="H154" s="96" t="s">
        <v>6744</v>
      </c>
      <c r="I154" s="22" t="s">
        <v>5074</v>
      </c>
      <c r="J154" s="102" t="s">
        <v>6410</v>
      </c>
      <c r="K154" s="5"/>
      <c r="L154" s="79">
        <v>1</v>
      </c>
      <c r="M154" s="403">
        <v>0</v>
      </c>
      <c r="N154" s="240">
        <v>1</v>
      </c>
      <c r="O154" s="359">
        <v>702</v>
      </c>
      <c r="P154" s="79">
        <v>7</v>
      </c>
      <c r="Q154" s="342">
        <v>275</v>
      </c>
      <c r="R154" s="81">
        <v>48</v>
      </c>
      <c r="S154" s="324">
        <v>135</v>
      </c>
      <c r="T154" s="186">
        <v>12</v>
      </c>
      <c r="U154" s="426">
        <f>T154/W154</f>
        <v>0.10762331838565023</v>
      </c>
      <c r="V154" s="94">
        <v>21</v>
      </c>
      <c r="W154" s="39">
        <v>111.5</v>
      </c>
      <c r="X154" s="207">
        <v>106.5</v>
      </c>
      <c r="Y154" s="430">
        <f t="shared" si="141"/>
        <v>5</v>
      </c>
      <c r="Z154" s="434">
        <f t="shared" si="142"/>
        <v>4.6948356807511735E-2</v>
      </c>
      <c r="AA154" s="340">
        <v>-36.06</v>
      </c>
      <c r="AB154" s="389">
        <v>8.5299999999999994</v>
      </c>
      <c r="AC154" s="23" t="s">
        <v>5074</v>
      </c>
      <c r="AD154" s="84">
        <v>44694</v>
      </c>
      <c r="AE154" s="83">
        <v>44697</v>
      </c>
      <c r="AF154" s="33">
        <f t="shared" si="143"/>
        <v>3</v>
      </c>
      <c r="AG154" s="402" t="s">
        <v>6747</v>
      </c>
      <c r="AH154" s="66"/>
      <c r="AI154" s="254"/>
      <c r="AJ154" s="391"/>
      <c r="AM154" s="245"/>
      <c r="AR154" s="402" t="str">
        <f>INDEX(基本資料!N:N,MATCH($G154,基本資料!A:A,0))</f>
        <v>低</v>
      </c>
    </row>
    <row r="155" spans="1:44">
      <c r="A155" s="343">
        <v>7.4</v>
      </c>
      <c r="B155" s="79">
        <v>99</v>
      </c>
      <c r="C155" s="79">
        <v>98</v>
      </c>
      <c r="D155" s="79">
        <v>1</v>
      </c>
      <c r="E155" s="79">
        <v>28</v>
      </c>
      <c r="F155" s="6">
        <v>23.65</v>
      </c>
      <c r="G155" s="80">
        <v>6138</v>
      </c>
      <c r="H155" s="132" t="s">
        <v>6709</v>
      </c>
      <c r="I155" s="16" t="s">
        <v>5760</v>
      </c>
      <c r="J155" s="8">
        <v>4</v>
      </c>
      <c r="K155" s="5"/>
      <c r="L155" s="79">
        <v>1</v>
      </c>
      <c r="M155" s="403">
        <v>0</v>
      </c>
      <c r="N155" s="240">
        <v>1</v>
      </c>
      <c r="O155" s="359">
        <v>201</v>
      </c>
      <c r="P155" s="79">
        <v>141</v>
      </c>
      <c r="Q155" s="342">
        <v>299</v>
      </c>
      <c r="R155" s="81">
        <v>40</v>
      </c>
      <c r="S155" s="324">
        <v>10</v>
      </c>
      <c r="T155" s="186">
        <v>9.02</v>
      </c>
      <c r="U155" s="426">
        <f>T155/W155</f>
        <v>4.2748815165876773E-2</v>
      </c>
      <c r="V155" s="94">
        <v>14.88</v>
      </c>
      <c r="W155" s="39">
        <v>211</v>
      </c>
      <c r="X155" s="207">
        <v>206</v>
      </c>
      <c r="Y155" s="430">
        <f t="shared" si="141"/>
        <v>5</v>
      </c>
      <c r="Z155" s="434">
        <f t="shared" si="142"/>
        <v>2.4271844660194174E-2</v>
      </c>
      <c r="AA155" s="340">
        <v>-29.72</v>
      </c>
      <c r="AB155" s="389">
        <v>28.63</v>
      </c>
      <c r="AC155" s="23" t="s">
        <v>5760</v>
      </c>
      <c r="AD155" s="84">
        <v>44694</v>
      </c>
      <c r="AE155" s="83">
        <v>44697</v>
      </c>
      <c r="AF155" s="33">
        <f t="shared" si="143"/>
        <v>3</v>
      </c>
      <c r="AG155" s="402" t="s">
        <v>6748</v>
      </c>
      <c r="AH155" s="66"/>
      <c r="AI155" s="254"/>
      <c r="AJ155" s="391"/>
      <c r="AM155" s="245"/>
      <c r="AR155" s="402" t="str">
        <f>INDEX(基本資料!N:N,MATCH($G155,基本資料!A:A,0))</f>
        <v>中</v>
      </c>
    </row>
    <row r="156" spans="1:44">
      <c r="A156" s="343">
        <v>17.8</v>
      </c>
      <c r="B156" s="79">
        <v>120</v>
      </c>
      <c r="C156" s="79">
        <v>264</v>
      </c>
      <c r="D156" s="80">
        <v>-28</v>
      </c>
      <c r="E156" s="80">
        <v>-13</v>
      </c>
      <c r="F156" s="79">
        <v>12.77</v>
      </c>
      <c r="G156" s="80">
        <v>2436</v>
      </c>
      <c r="H156" s="403" t="s">
        <v>307</v>
      </c>
      <c r="I156" s="22" t="s">
        <v>112</v>
      </c>
      <c r="J156" s="102" t="s">
        <v>6419</v>
      </c>
      <c r="K156" s="5"/>
      <c r="L156" s="156">
        <v>1</v>
      </c>
      <c r="M156" s="337">
        <v>0</v>
      </c>
      <c r="N156" s="240">
        <v>1</v>
      </c>
      <c r="O156" s="359">
        <v>53</v>
      </c>
      <c r="P156" s="79">
        <v>378</v>
      </c>
      <c r="Q156" s="342">
        <v>764</v>
      </c>
      <c r="R156" s="81">
        <v>345</v>
      </c>
      <c r="S156" s="324">
        <v>37</v>
      </c>
      <c r="T156" s="384">
        <v>3</v>
      </c>
      <c r="U156" s="426">
        <f>T156/W156</f>
        <v>4.4247787610619468E-2</v>
      </c>
      <c r="V156" s="94">
        <v>3.94</v>
      </c>
      <c r="W156" s="39">
        <v>67.8</v>
      </c>
      <c r="X156" s="207">
        <v>66.2</v>
      </c>
      <c r="Y156" s="430">
        <f t="shared" si="141"/>
        <v>1.5999999999999943</v>
      </c>
      <c r="Z156" s="434">
        <f t="shared" si="142"/>
        <v>2.4169184290030125E-2</v>
      </c>
      <c r="AA156" s="340">
        <v>-37.49</v>
      </c>
      <c r="AB156" s="389">
        <v>21.34</v>
      </c>
      <c r="AC156" s="23" t="s">
        <v>112</v>
      </c>
      <c r="AD156" s="84">
        <v>44687</v>
      </c>
      <c r="AE156" s="83">
        <v>44697</v>
      </c>
      <c r="AF156" s="33">
        <f t="shared" si="143"/>
        <v>10</v>
      </c>
      <c r="AG156" s="402" t="s">
        <v>2193</v>
      </c>
      <c r="AH156" s="66"/>
      <c r="AI156" s="254"/>
      <c r="AJ156" s="391"/>
      <c r="AM156" s="245"/>
      <c r="AR156" s="402" t="str">
        <f>INDEX(基本資料!N:N,MATCH($G156,基本資料!A:A,0))</f>
        <v>低</v>
      </c>
    </row>
    <row r="157" spans="1:44">
      <c r="A157" s="343">
        <v>9.17</v>
      </c>
      <c r="B157" s="79">
        <v>81</v>
      </c>
      <c r="C157" s="79">
        <v>87</v>
      </c>
      <c r="D157" s="79">
        <v>27</v>
      </c>
      <c r="E157" s="79">
        <v>25</v>
      </c>
      <c r="F157" s="6">
        <v>27.55</v>
      </c>
      <c r="G157" s="80">
        <v>6411</v>
      </c>
      <c r="H157" s="96" t="s">
        <v>6709</v>
      </c>
      <c r="I157" s="16" t="s">
        <v>5860</v>
      </c>
      <c r="J157" s="102" t="s">
        <v>6410</v>
      </c>
      <c r="K157" s="5">
        <v>7</v>
      </c>
      <c r="L157" s="79">
        <v>1</v>
      </c>
      <c r="M157" s="403">
        <v>1</v>
      </c>
      <c r="N157" s="240">
        <v>0</v>
      </c>
      <c r="O157" s="359">
        <v>81</v>
      </c>
      <c r="P157" s="79">
        <v>357</v>
      </c>
      <c r="Q157" s="342">
        <v>365</v>
      </c>
      <c r="R157" s="81">
        <v>343</v>
      </c>
      <c r="S157" s="324">
        <v>5</v>
      </c>
      <c r="T157" s="186">
        <v>7.22</v>
      </c>
      <c r="U157" s="426">
        <f>T157/W157</f>
        <v>4.9115646258503398E-2</v>
      </c>
      <c r="V157" s="94">
        <v>10.33</v>
      </c>
      <c r="W157" s="39">
        <v>147</v>
      </c>
      <c r="X157" s="207">
        <v>144</v>
      </c>
      <c r="Y157" s="430">
        <f t="shared" si="141"/>
        <v>3</v>
      </c>
      <c r="Z157" s="434">
        <f t="shared" si="142"/>
        <v>2.0833333333333332E-2</v>
      </c>
      <c r="AA157" s="340">
        <v>-51.66</v>
      </c>
      <c r="AB157" s="389">
        <v>22.83</v>
      </c>
      <c r="AC157" s="97" t="s">
        <v>5860</v>
      </c>
      <c r="AD157" s="84">
        <v>44693</v>
      </c>
      <c r="AE157" s="83">
        <v>44697</v>
      </c>
      <c r="AF157" s="33">
        <f t="shared" si="143"/>
        <v>4</v>
      </c>
      <c r="AG157" s="402" t="s">
        <v>6726</v>
      </c>
      <c r="AH157" s="66"/>
      <c r="AI157" s="254"/>
      <c r="AJ157" s="391"/>
      <c r="AM157" s="245"/>
      <c r="AR157" s="402" t="str">
        <f>INDEX(基本資料!N:N,MATCH($G157,基本資料!A:A,0))</f>
        <v>低</v>
      </c>
    </row>
    <row r="158" spans="1:44">
      <c r="A158" s="343">
        <v>64.61</v>
      </c>
      <c r="B158" s="79">
        <v>188</v>
      </c>
      <c r="C158" s="79">
        <v>213</v>
      </c>
      <c r="D158" s="79">
        <v>-14</v>
      </c>
      <c r="E158" s="79">
        <v>7</v>
      </c>
      <c r="F158" s="6">
        <v>24.64</v>
      </c>
      <c r="G158" s="80">
        <v>8046</v>
      </c>
      <c r="H158" s="403" t="s">
        <v>3388</v>
      </c>
      <c r="I158" s="22" t="s">
        <v>278</v>
      </c>
      <c r="J158" s="102" t="s">
        <v>6410</v>
      </c>
      <c r="K158" s="5"/>
      <c r="L158" s="79">
        <v>1</v>
      </c>
      <c r="M158" s="403">
        <v>0</v>
      </c>
      <c r="N158" s="240">
        <v>1</v>
      </c>
      <c r="O158" s="359">
        <v>981</v>
      </c>
      <c r="P158" s="79">
        <v>231</v>
      </c>
      <c r="Q158" s="342">
        <v>498</v>
      </c>
      <c r="R158" s="81">
        <v>43</v>
      </c>
      <c r="S158" s="324">
        <v>465</v>
      </c>
      <c r="T158" s="186">
        <v>10</v>
      </c>
      <c r="U158" s="426">
        <f>$T158/$W158</f>
        <v>2.4213075060532687E-2</v>
      </c>
      <c r="V158" s="94">
        <v>19.93</v>
      </c>
      <c r="W158" s="39">
        <v>413</v>
      </c>
      <c r="X158" s="207">
        <v>404</v>
      </c>
      <c r="Y158" s="430">
        <f t="shared" si="141"/>
        <v>9</v>
      </c>
      <c r="Z158" s="434">
        <f t="shared" si="142"/>
        <v>2.2277227722772276E-2</v>
      </c>
      <c r="AA158" s="340">
        <v>-35.97</v>
      </c>
      <c r="AB158" s="389">
        <v>15.46</v>
      </c>
      <c r="AC158" s="23" t="s">
        <v>278</v>
      </c>
      <c r="AD158" s="84">
        <v>44692</v>
      </c>
      <c r="AE158" s="83">
        <v>44697</v>
      </c>
      <c r="AF158" s="33">
        <f t="shared" si="143"/>
        <v>5</v>
      </c>
      <c r="AG158" s="401" t="s">
        <v>2304</v>
      </c>
      <c r="AH158" s="66"/>
      <c r="AI158" s="254"/>
      <c r="AJ158" s="391"/>
      <c r="AM158" s="245"/>
      <c r="AR158" s="402" t="str">
        <f>INDEX(基本資料!N:N,MATCH($G158,基本資料!A:A,0))</f>
        <v>低</v>
      </c>
    </row>
    <row r="159" spans="1:44">
      <c r="A159" s="343">
        <v>309</v>
      </c>
      <c r="B159" s="79">
        <v>142</v>
      </c>
      <c r="C159" s="79">
        <v>106</v>
      </c>
      <c r="D159" s="80">
        <v>-2</v>
      </c>
      <c r="E159" s="80">
        <v>-10</v>
      </c>
      <c r="F159" s="79">
        <v>31.39</v>
      </c>
      <c r="G159" s="80">
        <v>2408</v>
      </c>
      <c r="H159" s="403" t="s">
        <v>307</v>
      </c>
      <c r="I159" s="22" t="s">
        <v>209</v>
      </c>
      <c r="J159" s="102" t="s">
        <v>6763</v>
      </c>
      <c r="K159" s="5"/>
      <c r="L159" s="156">
        <v>12</v>
      </c>
      <c r="M159" s="337">
        <v>0</v>
      </c>
      <c r="N159" s="240">
        <v>12</v>
      </c>
      <c r="O159" s="359">
        <v>1127</v>
      </c>
      <c r="P159" s="79">
        <v>274</v>
      </c>
      <c r="Q159" s="342">
        <v>315</v>
      </c>
      <c r="R159" s="81">
        <v>113</v>
      </c>
      <c r="S159" s="324">
        <v>410</v>
      </c>
      <c r="T159" s="384">
        <v>3.7</v>
      </c>
      <c r="U159" s="426">
        <f>T159/W159</f>
        <v>5.4977711738484404E-2</v>
      </c>
      <c r="V159" s="94">
        <v>8.64</v>
      </c>
      <c r="W159" s="39">
        <v>67.3</v>
      </c>
      <c r="X159" s="207">
        <v>65.8</v>
      </c>
      <c r="Y159" s="430">
        <f t="shared" si="141"/>
        <v>1.5</v>
      </c>
      <c r="Z159" s="434">
        <f t="shared" si="142"/>
        <v>2.2796352583586626E-2</v>
      </c>
      <c r="AA159" s="340">
        <v>-20.8</v>
      </c>
      <c r="AB159" s="389">
        <v>20.36</v>
      </c>
      <c r="AC159" s="23" t="s">
        <v>209</v>
      </c>
      <c r="AD159" s="84">
        <v>44687</v>
      </c>
      <c r="AE159" s="83">
        <v>44697</v>
      </c>
      <c r="AF159" s="33">
        <f t="shared" si="143"/>
        <v>10</v>
      </c>
      <c r="AG159" s="401" t="s">
        <v>2557</v>
      </c>
      <c r="AH159" s="66"/>
      <c r="AI159" s="254"/>
      <c r="AJ159" s="391"/>
      <c r="AM159" s="245"/>
      <c r="AR159" s="402" t="str">
        <f>INDEX(基本資料!N:N,MATCH($G159,基本資料!A:A,0))</f>
        <v>低</v>
      </c>
    </row>
    <row r="160" spans="1:44">
      <c r="A160" s="343">
        <v>4.97</v>
      </c>
      <c r="B160" s="79">
        <v>89</v>
      </c>
      <c r="C160" s="79">
        <v>86</v>
      </c>
      <c r="D160" s="79">
        <v>1</v>
      </c>
      <c r="E160" s="79">
        <v>37</v>
      </c>
      <c r="F160" s="6">
        <v>22.39</v>
      </c>
      <c r="G160" s="80">
        <v>8155</v>
      </c>
      <c r="H160" s="132" t="s">
        <v>6707</v>
      </c>
      <c r="I160" s="16" t="s">
        <v>5992</v>
      </c>
      <c r="J160" s="8" t="s">
        <v>6801</v>
      </c>
      <c r="K160" s="5"/>
      <c r="L160" s="79">
        <v>5</v>
      </c>
      <c r="M160" s="403">
        <v>0</v>
      </c>
      <c r="N160" s="240">
        <v>4</v>
      </c>
      <c r="O160" s="359">
        <v>214</v>
      </c>
      <c r="P160" s="79">
        <v>252</v>
      </c>
      <c r="Q160" s="342">
        <v>1150</v>
      </c>
      <c r="R160" s="81">
        <v>1</v>
      </c>
      <c r="S160" s="324">
        <v>7</v>
      </c>
      <c r="T160" s="186">
        <v>6</v>
      </c>
      <c r="U160" s="426">
        <f>T160/W160</f>
        <v>3.4883720930232558E-2</v>
      </c>
      <c r="V160" s="94">
        <v>9.51</v>
      </c>
      <c r="W160" s="39">
        <v>172</v>
      </c>
      <c r="X160" s="207">
        <v>168.5</v>
      </c>
      <c r="Y160" s="430">
        <f t="shared" si="141"/>
        <v>3.5</v>
      </c>
      <c r="Z160" s="434">
        <f t="shared" si="142"/>
        <v>2.0771513353115726E-2</v>
      </c>
      <c r="AA160" s="340">
        <v>-27.02</v>
      </c>
      <c r="AB160" s="389">
        <v>24.19</v>
      </c>
      <c r="AC160" s="16" t="s">
        <v>5992</v>
      </c>
      <c r="AD160" s="84">
        <v>44697</v>
      </c>
      <c r="AE160" s="311">
        <v>44697</v>
      </c>
      <c r="AF160" s="33">
        <f t="shared" si="143"/>
        <v>0</v>
      </c>
      <c r="AG160" s="402" t="s">
        <v>6735</v>
      </c>
      <c r="AH160" s="66"/>
      <c r="AI160" s="254"/>
      <c r="AJ160" s="391"/>
      <c r="AM160" s="245"/>
      <c r="AR160" s="402" t="str">
        <f>INDEX(基本資料!N:N,MATCH($G160,基本資料!A:A,0))</f>
        <v>中</v>
      </c>
    </row>
    <row r="161" spans="1:44">
      <c r="A161" s="142">
        <v>4.4000000000000004</v>
      </c>
      <c r="B161" s="79">
        <v>194</v>
      </c>
      <c r="C161" s="79">
        <v>170</v>
      </c>
      <c r="D161" s="79">
        <v>0</v>
      </c>
      <c r="E161" s="79">
        <v>34.49</v>
      </c>
      <c r="F161" s="6">
        <v>32.71</v>
      </c>
      <c r="G161" s="80">
        <v>6485</v>
      </c>
      <c r="H161" s="403" t="s">
        <v>307</v>
      </c>
      <c r="I161" s="16" t="s">
        <v>232</v>
      </c>
      <c r="J161" s="102" t="s">
        <v>6419</v>
      </c>
      <c r="K161" s="5"/>
      <c r="L161" s="79">
        <v>2</v>
      </c>
      <c r="M161" s="403">
        <v>0</v>
      </c>
      <c r="N161" s="240">
        <v>2</v>
      </c>
      <c r="O161" s="359">
        <v>16</v>
      </c>
      <c r="P161" s="79">
        <v>124</v>
      </c>
      <c r="Q161" s="342">
        <v>805</v>
      </c>
      <c r="R161" s="81">
        <v>418</v>
      </c>
      <c r="S161" s="324">
        <v>8</v>
      </c>
      <c r="T161" s="186">
        <v>5</v>
      </c>
      <c r="U161" s="426">
        <f>$T161/$W161</f>
        <v>4.1322314049586778E-2</v>
      </c>
      <c r="V161" s="94">
        <v>14.29</v>
      </c>
      <c r="W161" s="39">
        <v>121</v>
      </c>
      <c r="X161" s="207">
        <v>118.5</v>
      </c>
      <c r="Y161" s="430">
        <f t="shared" si="141"/>
        <v>2.5</v>
      </c>
      <c r="Z161" s="434">
        <f t="shared" si="142"/>
        <v>2.1097046413502109E-2</v>
      </c>
      <c r="AA161" s="340">
        <v>-37.43</v>
      </c>
      <c r="AB161" s="389">
        <v>26.12</v>
      </c>
      <c r="AC161" s="24" t="s">
        <v>232</v>
      </c>
      <c r="AD161" s="84">
        <v>44690</v>
      </c>
      <c r="AE161" s="83">
        <v>44697</v>
      </c>
      <c r="AF161" s="33">
        <f t="shared" si="143"/>
        <v>7</v>
      </c>
      <c r="AG161" s="402" t="s">
        <v>2364</v>
      </c>
      <c r="AH161" s="66"/>
      <c r="AI161" s="254"/>
      <c r="AJ161" s="391"/>
      <c r="AM161" s="245"/>
      <c r="AR161" s="402" t="str">
        <f>INDEX(基本資料!N:N,MATCH($G161,基本資料!A:A,0))</f>
        <v>低</v>
      </c>
    </row>
    <row r="162" spans="1:44">
      <c r="A162" s="343">
        <v>88.3</v>
      </c>
      <c r="B162" s="79">
        <v>107</v>
      </c>
      <c r="C162" s="79">
        <v>98</v>
      </c>
      <c r="D162" s="79">
        <v>45</v>
      </c>
      <c r="E162" s="79">
        <v>39</v>
      </c>
      <c r="F162" s="79">
        <v>2.36</v>
      </c>
      <c r="G162" s="80">
        <v>3036</v>
      </c>
      <c r="H162" s="403" t="s">
        <v>3218</v>
      </c>
      <c r="I162" s="22" t="s">
        <v>266</v>
      </c>
      <c r="J162" s="102" t="s">
        <v>6819</v>
      </c>
      <c r="K162" s="5"/>
      <c r="L162" s="79">
        <v>1</v>
      </c>
      <c r="M162" s="403">
        <v>0</v>
      </c>
      <c r="N162" s="240">
        <v>1</v>
      </c>
      <c r="O162" s="359">
        <v>1028</v>
      </c>
      <c r="P162" s="79">
        <v>1118</v>
      </c>
      <c r="Q162" s="342">
        <v>267</v>
      </c>
      <c r="R162" s="81">
        <v>263</v>
      </c>
      <c r="S162" s="324">
        <v>497</v>
      </c>
      <c r="T162" s="384">
        <v>5.5</v>
      </c>
      <c r="U162" s="426">
        <f>T162/W162</f>
        <v>7.9250720461095089E-2</v>
      </c>
      <c r="V162" s="94">
        <v>10.039999999999999</v>
      </c>
      <c r="W162" s="39">
        <v>69.400000000000006</v>
      </c>
      <c r="X162" s="207">
        <v>68</v>
      </c>
      <c r="Y162" s="430">
        <f t="shared" si="141"/>
        <v>1.4000000000000057</v>
      </c>
      <c r="Z162" s="434">
        <f t="shared" si="142"/>
        <v>2.058823529411773E-2</v>
      </c>
      <c r="AA162" s="340">
        <v>-31.09</v>
      </c>
      <c r="AB162" s="389">
        <v>11.79</v>
      </c>
      <c r="AC162" s="23" t="s">
        <v>266</v>
      </c>
      <c r="AD162" s="84">
        <v>44687</v>
      </c>
      <c r="AE162" s="83">
        <v>44697</v>
      </c>
      <c r="AF162" s="33">
        <f t="shared" si="143"/>
        <v>10</v>
      </c>
      <c r="AG162" s="401" t="s">
        <v>2876</v>
      </c>
      <c r="AH162" s="66"/>
      <c r="AI162" s="254"/>
      <c r="AJ162" s="391"/>
      <c r="AM162" s="245"/>
      <c r="AR162" s="402" t="str">
        <f>INDEX(基本資料!N:N,MATCH($G162,基本資料!A:A,0))</f>
        <v>低</v>
      </c>
    </row>
    <row r="163" spans="1:44">
      <c r="A163" s="343">
        <v>41.99</v>
      </c>
      <c r="B163" s="79">
        <v>14</v>
      </c>
      <c r="C163" s="79">
        <v>14</v>
      </c>
      <c r="D163" s="79">
        <v>2</v>
      </c>
      <c r="E163" s="79">
        <v>46</v>
      </c>
      <c r="F163" s="6">
        <v>12.89</v>
      </c>
      <c r="G163" s="79">
        <v>2211</v>
      </c>
      <c r="H163" s="132" t="s">
        <v>6740</v>
      </c>
      <c r="I163" s="22" t="s">
        <v>5017</v>
      </c>
      <c r="J163" s="102" t="s">
        <v>6703</v>
      </c>
      <c r="K163" s="5"/>
      <c r="L163" s="79">
        <v>3</v>
      </c>
      <c r="M163" s="403">
        <v>0</v>
      </c>
      <c r="N163" s="240">
        <v>3</v>
      </c>
      <c r="O163" s="359">
        <v>1242</v>
      </c>
      <c r="P163" s="79" t="s">
        <v>6279</v>
      </c>
      <c r="Q163" s="342">
        <v>1028</v>
      </c>
      <c r="R163" s="81" t="s">
        <v>6279</v>
      </c>
      <c r="S163" s="324">
        <v>999</v>
      </c>
      <c r="T163" s="186">
        <v>3</v>
      </c>
      <c r="U163" s="426">
        <f>T163/W163</f>
        <v>4.8231511254019289E-2</v>
      </c>
      <c r="V163" s="94">
        <v>3.29</v>
      </c>
      <c r="W163" s="39">
        <v>62.2</v>
      </c>
      <c r="X163" s="207">
        <v>60.7</v>
      </c>
      <c r="Y163" s="430">
        <f t="shared" si="141"/>
        <v>1.5</v>
      </c>
      <c r="Z163" s="434">
        <f t="shared" si="142"/>
        <v>2.4711696869851727E-2</v>
      </c>
      <c r="AA163" s="340">
        <v>-21.27</v>
      </c>
      <c r="AB163" s="389">
        <v>36.25</v>
      </c>
      <c r="AC163" s="22" t="s">
        <v>5017</v>
      </c>
      <c r="AD163" s="84">
        <v>44697</v>
      </c>
      <c r="AE163" s="311">
        <v>44697</v>
      </c>
      <c r="AF163" s="33">
        <f t="shared" si="143"/>
        <v>0</v>
      </c>
      <c r="AG163" s="402" t="s">
        <v>6741</v>
      </c>
      <c r="AH163" s="66"/>
      <c r="AI163" s="254"/>
      <c r="AJ163" s="391"/>
      <c r="AM163" s="245"/>
      <c r="AR163" s="402" t="str">
        <f>INDEX(基本資料!N:N,MATCH($G163,基本資料!A:A,0))</f>
        <v>高</v>
      </c>
    </row>
    <row r="164" spans="1:44">
      <c r="A164" s="343">
        <v>6.6</v>
      </c>
      <c r="B164" s="79">
        <v>-17</v>
      </c>
      <c r="C164" s="79">
        <v>-14</v>
      </c>
      <c r="D164" s="79">
        <v>0</v>
      </c>
      <c r="E164" s="79">
        <v>13</v>
      </c>
      <c r="F164" s="6">
        <v>10.97</v>
      </c>
      <c r="G164" s="79">
        <v>2753</v>
      </c>
      <c r="H164" s="132" t="s">
        <v>6738</v>
      </c>
      <c r="I164" s="22" t="s">
        <v>6141</v>
      </c>
      <c r="J164" s="102" t="s">
        <v>6703</v>
      </c>
      <c r="K164" s="5"/>
      <c r="L164" s="79">
        <v>1</v>
      </c>
      <c r="M164" s="403">
        <v>0</v>
      </c>
      <c r="N164" s="240">
        <v>1</v>
      </c>
      <c r="O164" s="359">
        <v>546</v>
      </c>
      <c r="P164" s="79" t="s">
        <v>6279</v>
      </c>
      <c r="Q164" s="342">
        <v>1044</v>
      </c>
      <c r="R164" s="81" t="s">
        <v>6279</v>
      </c>
      <c r="S164" s="324">
        <v>891</v>
      </c>
      <c r="T164" s="186">
        <v>4.2300000000000004</v>
      </c>
      <c r="U164" s="426">
        <f>T164/W164</f>
        <v>3.0000000000000002E-2</v>
      </c>
      <c r="V164" s="94">
        <v>8.89</v>
      </c>
      <c r="W164" s="39">
        <v>141</v>
      </c>
      <c r="X164" s="207">
        <v>138</v>
      </c>
      <c r="Y164" s="430">
        <f t="shared" si="141"/>
        <v>3</v>
      </c>
      <c r="Z164" s="434">
        <f t="shared" si="142"/>
        <v>2.1739130434782608E-2</v>
      </c>
      <c r="AA164" s="340">
        <v>-30.98</v>
      </c>
      <c r="AB164" s="341">
        <v>61.82</v>
      </c>
      <c r="AC164" s="23" t="s">
        <v>6141</v>
      </c>
      <c r="AD164" s="84">
        <v>44693</v>
      </c>
      <c r="AE164" s="83">
        <v>44697</v>
      </c>
      <c r="AF164" s="33">
        <f t="shared" si="143"/>
        <v>4</v>
      </c>
      <c r="AG164" s="402" t="s">
        <v>6739</v>
      </c>
      <c r="AH164" s="66"/>
      <c r="AI164" s="254"/>
      <c r="AJ164" s="391"/>
      <c r="AM164" s="245"/>
      <c r="AR164" s="402" t="str">
        <f>INDEX(基本資料!N:N,MATCH($G164,基本資料!A:A,0))</f>
        <v>無</v>
      </c>
    </row>
    <row r="165" spans="1:44">
      <c r="A165" s="343">
        <v>8.07</v>
      </c>
      <c r="B165" s="79">
        <v>146</v>
      </c>
      <c r="C165" s="79">
        <v>356</v>
      </c>
      <c r="D165" s="79">
        <v>5</v>
      </c>
      <c r="E165" s="79">
        <v>2</v>
      </c>
      <c r="F165" s="79">
        <v>35.82</v>
      </c>
      <c r="G165" s="80">
        <v>6531</v>
      </c>
      <c r="H165" s="403" t="s">
        <v>3038</v>
      </c>
      <c r="I165" s="22" t="s">
        <v>354</v>
      </c>
      <c r="J165" s="102" t="s">
        <v>6232</v>
      </c>
      <c r="L165" s="79">
        <v>2</v>
      </c>
      <c r="M165" s="403">
        <v>0</v>
      </c>
      <c r="N165" s="240">
        <v>2</v>
      </c>
      <c r="O165" s="359">
        <v>120</v>
      </c>
      <c r="P165" s="79">
        <v>337</v>
      </c>
      <c r="Q165" s="342">
        <v>335</v>
      </c>
      <c r="R165" s="81">
        <v>278</v>
      </c>
      <c r="S165" s="324">
        <v>29</v>
      </c>
      <c r="T165" s="384">
        <v>6</v>
      </c>
      <c r="U165" s="426">
        <f t="shared" ref="U165:U174" si="144">T165/W165</f>
        <v>2.1126760563380281E-2</v>
      </c>
      <c r="V165" s="94">
        <v>10.94</v>
      </c>
      <c r="W165" s="39">
        <v>284</v>
      </c>
      <c r="X165" s="207">
        <v>278</v>
      </c>
      <c r="Y165" s="430">
        <f t="shared" ref="Y165:Y174" si="145">W165-X165</f>
        <v>6</v>
      </c>
      <c r="Z165" s="434">
        <f t="shared" ref="Z165:Z174" si="146">Y165/X165</f>
        <v>2.1582733812949641E-2</v>
      </c>
      <c r="AA165" s="340">
        <v>-65.66</v>
      </c>
      <c r="AB165" s="389">
        <v>8.51</v>
      </c>
      <c r="AC165" s="22" t="s">
        <v>354</v>
      </c>
      <c r="AD165" s="84">
        <v>44672</v>
      </c>
      <c r="AE165" s="83">
        <v>44694</v>
      </c>
      <c r="AF165" s="33">
        <f t="shared" ref="AF165:AF174" si="147">AE165-AD165</f>
        <v>22</v>
      </c>
      <c r="AG165" s="402" t="s">
        <v>2128</v>
      </c>
      <c r="AH165" s="66"/>
      <c r="AI165" s="254"/>
      <c r="AJ165" s="391"/>
      <c r="AK165" s="50" t="s">
        <v>6755</v>
      </c>
      <c r="AM165" s="245"/>
      <c r="AR165" s="402" t="str">
        <f>INDEX(基本資料!N:N,MATCH($G165,基本資料!A:A,0))</f>
        <v>低</v>
      </c>
    </row>
    <row r="166" spans="1:44">
      <c r="A166" s="343">
        <v>3.47</v>
      </c>
      <c r="B166" s="79">
        <v>43</v>
      </c>
      <c r="C166" s="79">
        <v>46</v>
      </c>
      <c r="D166" s="79">
        <v>1</v>
      </c>
      <c r="E166" s="79">
        <v>35</v>
      </c>
      <c r="F166" s="79">
        <v>27</v>
      </c>
      <c r="G166" s="80">
        <v>6788</v>
      </c>
      <c r="H166" s="450" t="s">
        <v>3038</v>
      </c>
      <c r="I166" s="16" t="s">
        <v>3439</v>
      </c>
      <c r="J166" s="102" t="s">
        <v>4718</v>
      </c>
      <c r="L166" s="79">
        <v>1</v>
      </c>
      <c r="M166" s="403">
        <v>0</v>
      </c>
      <c r="N166" s="240">
        <v>1</v>
      </c>
      <c r="O166" s="359">
        <v>1059</v>
      </c>
      <c r="P166" s="79">
        <v>901</v>
      </c>
      <c r="Q166" s="342">
        <v>963</v>
      </c>
      <c r="R166" s="81" t="s">
        <v>6279</v>
      </c>
      <c r="S166" s="324">
        <v>368</v>
      </c>
      <c r="T166" s="384">
        <v>5</v>
      </c>
      <c r="U166" s="426">
        <f t="shared" si="144"/>
        <v>4.2194092827004218E-2</v>
      </c>
      <c r="V166" s="94">
        <v>7.21</v>
      </c>
      <c r="W166" s="39">
        <v>118.5</v>
      </c>
      <c r="X166" s="207">
        <v>116</v>
      </c>
      <c r="Y166" s="430">
        <f t="shared" si="145"/>
        <v>2.5</v>
      </c>
      <c r="Z166" s="434">
        <f t="shared" si="146"/>
        <v>2.1551724137931036E-2</v>
      </c>
      <c r="AA166" s="340">
        <v>-60.46</v>
      </c>
      <c r="AB166" s="389">
        <v>4.67</v>
      </c>
      <c r="AC166" s="16" t="s">
        <v>3439</v>
      </c>
      <c r="AD166" s="84">
        <v>44677</v>
      </c>
      <c r="AE166" s="83">
        <v>44694</v>
      </c>
      <c r="AF166" s="33">
        <f t="shared" si="147"/>
        <v>17</v>
      </c>
      <c r="AG166" s="402" t="s">
        <v>3440</v>
      </c>
      <c r="AH166" s="66"/>
      <c r="AI166" s="254"/>
      <c r="AJ166" s="391"/>
      <c r="AK166" s="50" t="s">
        <v>6755</v>
      </c>
      <c r="AM166" s="245"/>
      <c r="AR166" s="402" t="str">
        <f>INDEX(基本資料!N:N,MATCH($G166,基本資料!A:A,0))</f>
        <v>無</v>
      </c>
    </row>
    <row r="167" spans="1:44">
      <c r="A167" s="343">
        <v>8.1199999999999992</v>
      </c>
      <c r="B167" s="79">
        <v>60</v>
      </c>
      <c r="C167" s="79">
        <v>61</v>
      </c>
      <c r="D167" s="79">
        <v>-1</v>
      </c>
      <c r="E167" s="79">
        <v>18</v>
      </c>
      <c r="F167" s="6">
        <v>30.79</v>
      </c>
      <c r="G167" s="80">
        <v>4966</v>
      </c>
      <c r="H167" s="132" t="s">
        <v>6709</v>
      </c>
      <c r="I167" s="16" t="s">
        <v>6736</v>
      </c>
      <c r="J167" s="102" t="s">
        <v>6703</v>
      </c>
      <c r="K167" s="5"/>
      <c r="L167" s="79">
        <v>1</v>
      </c>
      <c r="M167" s="403">
        <v>0</v>
      </c>
      <c r="N167" s="240">
        <v>1</v>
      </c>
      <c r="O167" s="359">
        <v>936</v>
      </c>
      <c r="P167" s="79">
        <v>314</v>
      </c>
      <c r="Q167" s="342">
        <v>23</v>
      </c>
      <c r="R167" s="81">
        <v>80</v>
      </c>
      <c r="S167" s="324">
        <v>393</v>
      </c>
      <c r="T167" s="186">
        <v>18.23</v>
      </c>
      <c r="U167" s="426">
        <f t="shared" si="144"/>
        <v>1.2572413793103449E-2</v>
      </c>
      <c r="V167" s="94">
        <v>74.11</v>
      </c>
      <c r="W167" s="39">
        <v>1450</v>
      </c>
      <c r="X167" s="207">
        <v>1420</v>
      </c>
      <c r="Y167" s="431">
        <f t="shared" si="145"/>
        <v>30</v>
      </c>
      <c r="Z167" s="434">
        <f t="shared" si="146"/>
        <v>2.1126760563380281E-2</v>
      </c>
      <c r="AA167" s="340">
        <v>-35.04</v>
      </c>
      <c r="AB167" s="389">
        <v>26.02</v>
      </c>
      <c r="AC167" s="16" t="s">
        <v>6736</v>
      </c>
      <c r="AD167" s="84">
        <v>44694</v>
      </c>
      <c r="AE167" s="311">
        <v>44694</v>
      </c>
      <c r="AF167" s="33">
        <f t="shared" si="147"/>
        <v>0</v>
      </c>
      <c r="AG167" s="402" t="s">
        <v>6737</v>
      </c>
      <c r="AH167" s="66"/>
      <c r="AI167" s="254"/>
      <c r="AJ167" s="391"/>
      <c r="AM167" s="245"/>
      <c r="AR167" s="402" t="str">
        <f>INDEX(基本資料!N:N,MATCH($G167,基本資料!A:A,0))</f>
        <v>低</v>
      </c>
    </row>
    <row r="168" spans="1:44">
      <c r="A168" s="343">
        <v>29.3</v>
      </c>
      <c r="B168" s="79">
        <v>14</v>
      </c>
      <c r="C168" s="79">
        <v>-11</v>
      </c>
      <c r="D168" s="79">
        <v>15</v>
      </c>
      <c r="E168" s="79">
        <v>16</v>
      </c>
      <c r="F168" s="6">
        <v>22.77</v>
      </c>
      <c r="G168" s="80">
        <v>8464</v>
      </c>
      <c r="H168" s="96" t="s">
        <v>6730</v>
      </c>
      <c r="I168" s="22" t="s">
        <v>6040</v>
      </c>
      <c r="J168" s="102" t="s">
        <v>6702</v>
      </c>
      <c r="K168" s="5"/>
      <c r="L168" s="79">
        <v>2</v>
      </c>
      <c r="M168" s="403">
        <v>0</v>
      </c>
      <c r="N168" s="240">
        <v>2</v>
      </c>
      <c r="O168" s="359">
        <v>687</v>
      </c>
      <c r="P168" s="79">
        <v>756</v>
      </c>
      <c r="Q168" s="342">
        <v>88</v>
      </c>
      <c r="R168" s="81">
        <v>293</v>
      </c>
      <c r="S168" s="324">
        <v>891</v>
      </c>
      <c r="T168" s="186">
        <v>11</v>
      </c>
      <c r="U168" s="426">
        <f t="shared" si="144"/>
        <v>3.5714285714285712E-2</v>
      </c>
      <c r="V168" s="94">
        <v>18.91</v>
      </c>
      <c r="W168" s="39">
        <v>308</v>
      </c>
      <c r="X168" s="207">
        <v>302</v>
      </c>
      <c r="Y168" s="430">
        <f t="shared" si="145"/>
        <v>6</v>
      </c>
      <c r="Z168" s="434">
        <f t="shared" si="146"/>
        <v>1.9867549668874173E-2</v>
      </c>
      <c r="AA168" s="340">
        <v>-39.24</v>
      </c>
      <c r="AB168" s="389">
        <v>15.62</v>
      </c>
      <c r="AC168" s="22" t="s">
        <v>6040</v>
      </c>
      <c r="AD168" s="84">
        <v>44693</v>
      </c>
      <c r="AE168" s="83">
        <v>44694</v>
      </c>
      <c r="AF168" s="33">
        <f t="shared" si="147"/>
        <v>1</v>
      </c>
      <c r="AG168" s="402" t="s">
        <v>6731</v>
      </c>
      <c r="AH168" s="66"/>
      <c r="AI168" s="254"/>
      <c r="AJ168" s="391"/>
      <c r="AM168" s="245"/>
      <c r="AR168" s="402" t="str">
        <f>INDEX(基本資料!N:N,MATCH($G168,基本資料!A:A,0))</f>
        <v>低</v>
      </c>
    </row>
    <row r="169" spans="1:44">
      <c r="A169" s="343">
        <v>8.5399999999999991</v>
      </c>
      <c r="B169" s="79">
        <v>168</v>
      </c>
      <c r="C169" s="79">
        <v>146</v>
      </c>
      <c r="D169" s="79">
        <v>0</v>
      </c>
      <c r="E169" s="79">
        <v>40</v>
      </c>
      <c r="F169" s="6">
        <v>26.21</v>
      </c>
      <c r="G169" s="80">
        <v>6781</v>
      </c>
      <c r="H169" s="132" t="s">
        <v>6707</v>
      </c>
      <c r="I169" s="22" t="s">
        <v>5948</v>
      </c>
      <c r="J169" s="8">
        <v>6</v>
      </c>
      <c r="K169" s="5"/>
      <c r="L169" s="79">
        <v>1</v>
      </c>
      <c r="M169" s="403">
        <v>0</v>
      </c>
      <c r="N169" s="240">
        <v>1</v>
      </c>
      <c r="O169" s="359">
        <v>879</v>
      </c>
      <c r="P169" s="79">
        <v>808</v>
      </c>
      <c r="Q169" s="342">
        <v>10</v>
      </c>
      <c r="R169" s="81">
        <v>83</v>
      </c>
      <c r="S169" s="324">
        <v>368</v>
      </c>
      <c r="T169" s="186">
        <v>15</v>
      </c>
      <c r="U169" s="426">
        <f t="shared" si="144"/>
        <v>1.4150943396226415E-2</v>
      </c>
      <c r="V169" s="94">
        <v>30.66</v>
      </c>
      <c r="W169" s="39">
        <v>1060</v>
      </c>
      <c r="X169" s="207">
        <v>1035</v>
      </c>
      <c r="Y169" s="431">
        <f t="shared" si="145"/>
        <v>25</v>
      </c>
      <c r="Z169" s="434">
        <f t="shared" si="146"/>
        <v>2.4154589371980676E-2</v>
      </c>
      <c r="AA169" s="340">
        <v>-50.57</v>
      </c>
      <c r="AB169" s="389">
        <v>16.170000000000002</v>
      </c>
      <c r="AC169" s="22" t="s">
        <v>5948</v>
      </c>
      <c r="AD169" s="84">
        <v>44694</v>
      </c>
      <c r="AE169" s="311">
        <v>44694</v>
      </c>
      <c r="AF169" s="33">
        <f t="shared" si="147"/>
        <v>0</v>
      </c>
      <c r="AG169" s="402" t="s">
        <v>6708</v>
      </c>
      <c r="AH169" s="66"/>
      <c r="AI169" s="254"/>
      <c r="AJ169" s="391"/>
      <c r="AM169" s="245"/>
      <c r="AR169" s="402" t="str">
        <f>INDEX(基本資料!N:N,MATCH($G169,基本資料!A:A,0))</f>
        <v>低</v>
      </c>
    </row>
    <row r="170" spans="1:44">
      <c r="A170" s="343">
        <v>13.4</v>
      </c>
      <c r="B170" s="79">
        <v>77</v>
      </c>
      <c r="C170" s="79">
        <v>78</v>
      </c>
      <c r="D170" s="79">
        <v>17</v>
      </c>
      <c r="E170" s="79">
        <v>75</v>
      </c>
      <c r="F170" s="6">
        <v>14.02</v>
      </c>
      <c r="G170" s="79">
        <v>3443</v>
      </c>
      <c r="H170" s="132" t="s">
        <v>6709</v>
      </c>
      <c r="I170" s="22" t="s">
        <v>5407</v>
      </c>
      <c r="J170" s="8" t="s">
        <v>6413</v>
      </c>
      <c r="K170" s="5"/>
      <c r="L170" s="79">
        <v>2</v>
      </c>
      <c r="M170" s="403">
        <v>0</v>
      </c>
      <c r="N170" s="240">
        <v>2</v>
      </c>
      <c r="O170" s="359">
        <v>752</v>
      </c>
      <c r="P170" s="79">
        <v>41</v>
      </c>
      <c r="Q170" s="342">
        <v>132</v>
      </c>
      <c r="R170" s="81">
        <v>36</v>
      </c>
      <c r="S170" s="324">
        <v>87</v>
      </c>
      <c r="T170" s="186">
        <v>7</v>
      </c>
      <c r="U170" s="426">
        <f t="shared" si="144"/>
        <v>1.3207547169811321E-2</v>
      </c>
      <c r="V170" s="94">
        <v>12.67</v>
      </c>
      <c r="W170" s="39">
        <v>530</v>
      </c>
      <c r="X170" s="207">
        <v>518</v>
      </c>
      <c r="Y170" s="430">
        <f t="shared" si="145"/>
        <v>12</v>
      </c>
      <c r="Z170" s="434">
        <f t="shared" si="146"/>
        <v>2.3166023166023165E-2</v>
      </c>
      <c r="AA170" s="340">
        <v>-23.6</v>
      </c>
      <c r="AB170" s="341">
        <v>58.08</v>
      </c>
      <c r="AC170" s="22" t="s">
        <v>5407</v>
      </c>
      <c r="AD170" s="84">
        <v>44694</v>
      </c>
      <c r="AE170" s="311">
        <v>44694</v>
      </c>
      <c r="AF170" s="33">
        <f t="shared" si="147"/>
        <v>0</v>
      </c>
      <c r="AG170" s="402" t="s">
        <v>6742</v>
      </c>
      <c r="AH170" s="66"/>
      <c r="AI170" s="254"/>
      <c r="AJ170" s="391"/>
      <c r="AM170" s="245"/>
      <c r="AR170" s="402" t="str">
        <f>INDEX(基本資料!N:N,MATCH($G170,基本資料!A:A,0))</f>
        <v>中</v>
      </c>
    </row>
    <row r="171" spans="1:44">
      <c r="A171" s="343">
        <v>41.99</v>
      </c>
      <c r="B171" s="79">
        <v>14</v>
      </c>
      <c r="C171" s="79">
        <v>14</v>
      </c>
      <c r="D171" s="79">
        <v>2</v>
      </c>
      <c r="E171" s="79">
        <v>46</v>
      </c>
      <c r="F171" s="6">
        <v>12.89</v>
      </c>
      <c r="G171" s="79">
        <v>2211</v>
      </c>
      <c r="H171" s="96" t="s">
        <v>6740</v>
      </c>
      <c r="I171" s="22" t="s">
        <v>5017</v>
      </c>
      <c r="J171" s="102" t="s">
        <v>6703</v>
      </c>
      <c r="K171" s="5"/>
      <c r="L171" s="79">
        <v>1</v>
      </c>
      <c r="M171" s="403">
        <v>0</v>
      </c>
      <c r="N171" s="240">
        <v>1</v>
      </c>
      <c r="O171" s="359">
        <v>1233</v>
      </c>
      <c r="P171" s="79" t="s">
        <v>6279</v>
      </c>
      <c r="Q171" s="342">
        <v>1015</v>
      </c>
      <c r="R171" s="81" t="s">
        <v>6279</v>
      </c>
      <c r="S171" s="324">
        <v>999</v>
      </c>
      <c r="T171" s="186">
        <v>3</v>
      </c>
      <c r="U171" s="426">
        <f t="shared" si="144"/>
        <v>4.9586776859504134E-2</v>
      </c>
      <c r="V171" s="94">
        <v>3.12</v>
      </c>
      <c r="W171" s="39">
        <v>60.5</v>
      </c>
      <c r="X171" s="207">
        <v>59.2</v>
      </c>
      <c r="Y171" s="430">
        <f t="shared" si="145"/>
        <v>1.2999999999999972</v>
      </c>
      <c r="Z171" s="434">
        <f t="shared" si="146"/>
        <v>2.1959459459459412E-2</v>
      </c>
      <c r="AA171" s="340">
        <v>-19.510000000000002</v>
      </c>
      <c r="AB171" s="389">
        <v>41.41</v>
      </c>
      <c r="AC171" s="22" t="s">
        <v>5017</v>
      </c>
      <c r="AD171" s="84">
        <v>44694</v>
      </c>
      <c r="AE171" s="311">
        <v>44694</v>
      </c>
      <c r="AF171" s="33">
        <f t="shared" si="147"/>
        <v>0</v>
      </c>
      <c r="AG171" s="402" t="s">
        <v>6741</v>
      </c>
      <c r="AH171" s="66"/>
      <c r="AI171" s="254"/>
      <c r="AJ171" s="391"/>
      <c r="AM171" s="245"/>
      <c r="AR171" s="402" t="str">
        <f>INDEX(基本資料!N:N,MATCH($G171,基本資料!A:A,0))</f>
        <v>高</v>
      </c>
    </row>
    <row r="172" spans="1:44">
      <c r="A172" s="343">
        <v>43.72</v>
      </c>
      <c r="B172" s="79">
        <v>-35</v>
      </c>
      <c r="C172" s="79">
        <v>49</v>
      </c>
      <c r="D172" s="79">
        <v>-8</v>
      </c>
      <c r="E172" s="79">
        <v>5</v>
      </c>
      <c r="F172" s="6">
        <v>36.159999999999997</v>
      </c>
      <c r="G172" s="80">
        <v>6488</v>
      </c>
      <c r="H172" s="132" t="s">
        <v>6709</v>
      </c>
      <c r="I172" s="16" t="s">
        <v>5885</v>
      </c>
      <c r="J172" s="102" t="s">
        <v>6409</v>
      </c>
      <c r="K172" s="5"/>
      <c r="L172" s="79">
        <v>1</v>
      </c>
      <c r="M172" s="403">
        <v>0</v>
      </c>
      <c r="N172" s="240">
        <v>1</v>
      </c>
      <c r="O172" s="359">
        <v>949</v>
      </c>
      <c r="P172" s="79">
        <v>291</v>
      </c>
      <c r="Q172" s="342">
        <v>199</v>
      </c>
      <c r="R172" s="81">
        <v>156</v>
      </c>
      <c r="S172" s="324">
        <v>605</v>
      </c>
      <c r="T172" s="186">
        <v>16</v>
      </c>
      <c r="U172" s="426">
        <f t="shared" si="144"/>
        <v>2.9465930018416207E-2</v>
      </c>
      <c r="V172" s="94">
        <v>25.1</v>
      </c>
      <c r="W172" s="39">
        <v>543</v>
      </c>
      <c r="X172" s="207">
        <v>530</v>
      </c>
      <c r="Y172" s="430">
        <f t="shared" si="145"/>
        <v>13</v>
      </c>
      <c r="Z172" s="434">
        <f t="shared" si="146"/>
        <v>2.4528301886792454E-2</v>
      </c>
      <c r="AA172" s="340">
        <v>-45.16</v>
      </c>
      <c r="AB172" s="389">
        <v>19.600000000000001</v>
      </c>
      <c r="AC172" s="16" t="s">
        <v>5885</v>
      </c>
      <c r="AD172" s="84">
        <v>44693</v>
      </c>
      <c r="AE172" s="83">
        <v>44694</v>
      </c>
      <c r="AF172" s="33">
        <f t="shared" si="147"/>
        <v>1</v>
      </c>
      <c r="AG172" s="402" t="s">
        <v>6722</v>
      </c>
      <c r="AH172" s="66"/>
      <c r="AI172" s="254"/>
      <c r="AJ172" s="391"/>
      <c r="AM172" s="245"/>
      <c r="AR172" s="402" t="str">
        <f>INDEX(基本資料!N:N,MATCH($G172,基本資料!A:A,0))</f>
        <v>低</v>
      </c>
    </row>
    <row r="173" spans="1:44">
      <c r="A173" s="343">
        <v>41.97</v>
      </c>
      <c r="B173" s="79">
        <v>344</v>
      </c>
      <c r="C173" s="79">
        <v>278</v>
      </c>
      <c r="D173" s="79">
        <v>-2</v>
      </c>
      <c r="E173" s="79">
        <v>6</v>
      </c>
      <c r="F173" s="6">
        <v>13.45</v>
      </c>
      <c r="G173" s="79">
        <v>4919</v>
      </c>
      <c r="H173" s="132" t="s">
        <v>6709</v>
      </c>
      <c r="I173" s="22" t="s">
        <v>5611</v>
      </c>
      <c r="J173" s="8">
        <v>6</v>
      </c>
      <c r="K173" s="5"/>
      <c r="L173" s="79">
        <v>1</v>
      </c>
      <c r="M173" s="403">
        <v>0</v>
      </c>
      <c r="N173" s="240">
        <v>1</v>
      </c>
      <c r="O173" s="359">
        <v>298</v>
      </c>
      <c r="P173" s="79">
        <v>265</v>
      </c>
      <c r="Q173" s="342">
        <v>626</v>
      </c>
      <c r="R173" s="81">
        <v>16</v>
      </c>
      <c r="S173" s="324">
        <v>19</v>
      </c>
      <c r="T173" s="186">
        <v>5</v>
      </c>
      <c r="U173" s="426">
        <f t="shared" si="144"/>
        <v>2.9498525073746312E-2</v>
      </c>
      <c r="V173" s="94">
        <v>9.48</v>
      </c>
      <c r="W173" s="39">
        <v>169.5</v>
      </c>
      <c r="X173" s="207">
        <v>166</v>
      </c>
      <c r="Y173" s="430">
        <f t="shared" si="145"/>
        <v>3.5</v>
      </c>
      <c r="Z173" s="434">
        <f t="shared" si="146"/>
        <v>2.1084337349397589E-2</v>
      </c>
      <c r="AA173" s="340">
        <v>-20.49</v>
      </c>
      <c r="AB173" s="389">
        <v>41.99</v>
      </c>
      <c r="AC173" s="22" t="s">
        <v>5611</v>
      </c>
      <c r="AD173" s="84">
        <v>44694</v>
      </c>
      <c r="AE173" s="311">
        <v>44694</v>
      </c>
      <c r="AF173" s="33">
        <f t="shared" si="147"/>
        <v>0</v>
      </c>
      <c r="AG173" s="402" t="s">
        <v>6743</v>
      </c>
      <c r="AH173" s="66"/>
      <c r="AI173" s="254"/>
      <c r="AJ173" s="391"/>
      <c r="AM173" s="245"/>
      <c r="AR173" s="402" t="str">
        <f>INDEX(基本資料!N:N,MATCH($G173,基本資料!A:A,0))</f>
        <v>中</v>
      </c>
    </row>
    <row r="174" spans="1:44">
      <c r="A174" s="343">
        <v>4.97</v>
      </c>
      <c r="B174" s="79">
        <v>-26</v>
      </c>
      <c r="C174" s="79">
        <v>-29</v>
      </c>
      <c r="D174" s="79">
        <v>1</v>
      </c>
      <c r="E174" s="79">
        <v>37</v>
      </c>
      <c r="F174" s="6">
        <v>15.7</v>
      </c>
      <c r="G174" s="80">
        <v>8155</v>
      </c>
      <c r="H174" s="132" t="s">
        <v>6707</v>
      </c>
      <c r="I174" s="16" t="s">
        <v>5992</v>
      </c>
      <c r="J174" s="8">
        <v>92</v>
      </c>
      <c r="K174" s="5"/>
      <c r="L174" s="79">
        <v>2</v>
      </c>
      <c r="M174" s="403">
        <v>0</v>
      </c>
      <c r="N174" s="240">
        <v>2</v>
      </c>
      <c r="O174" s="359">
        <v>221</v>
      </c>
      <c r="P174" s="79">
        <v>180</v>
      </c>
      <c r="Q174" s="342">
        <v>1120</v>
      </c>
      <c r="R174" s="81">
        <v>1</v>
      </c>
      <c r="S174" s="324">
        <v>7</v>
      </c>
      <c r="T174" s="186">
        <v>6</v>
      </c>
      <c r="U174" s="426">
        <f t="shared" si="144"/>
        <v>3.5502958579881658E-2</v>
      </c>
      <c r="V174" s="94">
        <v>7.85</v>
      </c>
      <c r="W174" s="39">
        <v>169</v>
      </c>
      <c r="X174" s="207">
        <v>165</v>
      </c>
      <c r="Y174" s="430">
        <f t="shared" si="145"/>
        <v>4</v>
      </c>
      <c r="Z174" s="434">
        <f t="shared" si="146"/>
        <v>2.4242424242424242E-2</v>
      </c>
      <c r="AA174" s="340">
        <v>-22.86</v>
      </c>
      <c r="AB174" s="389">
        <v>27.94</v>
      </c>
      <c r="AC174" s="16" t="s">
        <v>5992</v>
      </c>
      <c r="AD174" s="84">
        <v>44693</v>
      </c>
      <c r="AE174" s="83">
        <v>44694</v>
      </c>
      <c r="AF174" s="33">
        <f t="shared" si="147"/>
        <v>1</v>
      </c>
      <c r="AG174" s="402" t="s">
        <v>6735</v>
      </c>
      <c r="AH174" s="66"/>
      <c r="AI174" s="254"/>
      <c r="AJ174" s="391"/>
      <c r="AM174" s="245"/>
      <c r="AR174" s="402" t="str">
        <f>INDEX(基本資料!N:N,MATCH($G174,基本資料!A:A,0))</f>
        <v>中</v>
      </c>
    </row>
    <row r="175" spans="1:44">
      <c r="A175" s="343">
        <v>8.6199999999999992</v>
      </c>
      <c r="B175" s="79">
        <v>108</v>
      </c>
      <c r="C175" s="79">
        <v>105</v>
      </c>
      <c r="D175" s="79">
        <v>19</v>
      </c>
      <c r="E175" s="79">
        <v>24</v>
      </c>
      <c r="F175" s="79">
        <v>29.7</v>
      </c>
      <c r="G175" s="80">
        <v>8081</v>
      </c>
      <c r="H175" s="403" t="s">
        <v>307</v>
      </c>
      <c r="I175" s="22" t="s">
        <v>357</v>
      </c>
      <c r="J175" s="102" t="s">
        <v>6416</v>
      </c>
      <c r="K175" s="5"/>
      <c r="L175" s="79">
        <v>2</v>
      </c>
      <c r="M175" s="403">
        <v>0</v>
      </c>
      <c r="N175" s="240">
        <v>2</v>
      </c>
      <c r="O175" s="359">
        <v>588</v>
      </c>
      <c r="P175" s="79">
        <v>365</v>
      </c>
      <c r="Q175" s="342">
        <v>280</v>
      </c>
      <c r="R175" s="81">
        <v>274</v>
      </c>
      <c r="S175" s="324">
        <v>253</v>
      </c>
      <c r="T175" s="384">
        <v>16</v>
      </c>
      <c r="U175" s="426">
        <f>T175/W175</f>
        <v>7.6009501187648459E-2</v>
      </c>
      <c r="V175" s="94">
        <v>25.45</v>
      </c>
      <c r="W175" s="39">
        <v>210.5</v>
      </c>
      <c r="X175" s="207">
        <v>205</v>
      </c>
      <c r="Y175" s="430">
        <f t="shared" ref="Y175:Y181" si="148">W175-X175</f>
        <v>5.5</v>
      </c>
      <c r="Z175" s="434">
        <f t="shared" ref="Z175:Z181" si="149">Y175/X175</f>
        <v>2.6829268292682926E-2</v>
      </c>
      <c r="AA175" s="340">
        <v>-30.07</v>
      </c>
      <c r="AB175" s="389">
        <v>21.61</v>
      </c>
      <c r="AC175" s="22" t="s">
        <v>357</v>
      </c>
      <c r="AD175" s="84">
        <v>44687</v>
      </c>
      <c r="AE175" s="83">
        <v>44693</v>
      </c>
      <c r="AF175" s="33">
        <f t="shared" ref="AF175:AF181" si="150">AE175-AD175</f>
        <v>6</v>
      </c>
      <c r="AG175" s="402" t="s">
        <v>1437</v>
      </c>
      <c r="AH175" s="66"/>
      <c r="AI175" s="254"/>
      <c r="AJ175" s="391"/>
      <c r="AK175" s="50" t="s">
        <v>6755</v>
      </c>
      <c r="AM175" s="245"/>
      <c r="AR175" s="402" t="str">
        <f>INDEX(基本資料!N:N,MATCH($G175,基本資料!A:A,0))</f>
        <v>低</v>
      </c>
    </row>
    <row r="176" spans="1:44">
      <c r="A176" s="343">
        <v>8.5399999999999991</v>
      </c>
      <c r="B176" s="79">
        <v>168</v>
      </c>
      <c r="C176" s="79">
        <v>146</v>
      </c>
      <c r="D176" s="79">
        <v>0</v>
      </c>
      <c r="E176" s="79">
        <v>40</v>
      </c>
      <c r="F176" s="6">
        <v>26.21</v>
      </c>
      <c r="G176" s="80">
        <v>6781</v>
      </c>
      <c r="H176" s="96" t="s">
        <v>6707</v>
      </c>
      <c r="I176" s="22" t="s">
        <v>5948</v>
      </c>
      <c r="J176" s="8">
        <v>6</v>
      </c>
      <c r="K176" s="5"/>
      <c r="L176" s="79">
        <v>1</v>
      </c>
      <c r="M176" s="403">
        <v>0</v>
      </c>
      <c r="N176" s="240">
        <v>1</v>
      </c>
      <c r="O176" s="359">
        <v>854</v>
      </c>
      <c r="P176" s="79">
        <v>778</v>
      </c>
      <c r="Q176" s="342">
        <v>9</v>
      </c>
      <c r="R176" s="81">
        <v>88</v>
      </c>
      <c r="S176" s="324">
        <v>368</v>
      </c>
      <c r="T176" s="186">
        <v>15</v>
      </c>
      <c r="U176" s="426">
        <f>T176/W176</f>
        <v>1.4999999999999999E-2</v>
      </c>
      <c r="V176" s="94">
        <v>30.66</v>
      </c>
      <c r="W176" s="39">
        <v>1000</v>
      </c>
      <c r="X176" s="207">
        <v>978</v>
      </c>
      <c r="Y176" s="431">
        <f t="shared" si="148"/>
        <v>22</v>
      </c>
      <c r="Z176" s="434">
        <f t="shared" si="149"/>
        <v>2.2494887525562373E-2</v>
      </c>
      <c r="AA176" s="340">
        <v>-49.88</v>
      </c>
      <c r="AB176" s="389">
        <f>INDEX('TSE OTC全部'!$AB:$AB,MATCH($G176,'TSE OTC全部'!$G:$G,0))</f>
        <v>30.55</v>
      </c>
      <c r="AC176" s="22" t="s">
        <v>5948</v>
      </c>
      <c r="AD176" s="84">
        <v>44693</v>
      </c>
      <c r="AE176" s="311">
        <v>44693</v>
      </c>
      <c r="AF176" s="33">
        <f t="shared" si="150"/>
        <v>0</v>
      </c>
      <c r="AG176" s="402" t="s">
        <v>6708</v>
      </c>
      <c r="AH176" s="66"/>
      <c r="AI176" s="254"/>
      <c r="AJ176" s="391"/>
      <c r="AM176" s="245"/>
      <c r="AR176" s="402" t="str">
        <f>INDEX(基本資料!N:N,MATCH($G176,基本資料!A:A,0))</f>
        <v>低</v>
      </c>
    </row>
    <row r="177" spans="1:44">
      <c r="A177" s="343">
        <v>13.4</v>
      </c>
      <c r="B177" s="79">
        <v>71</v>
      </c>
      <c r="C177" s="79">
        <v>73</v>
      </c>
      <c r="D177" s="79">
        <v>17</v>
      </c>
      <c r="E177" s="79">
        <v>75</v>
      </c>
      <c r="F177" s="6">
        <v>11.08</v>
      </c>
      <c r="G177" s="79">
        <v>3443</v>
      </c>
      <c r="H177" s="208" t="s">
        <v>307</v>
      </c>
      <c r="I177" s="22" t="s">
        <v>49</v>
      </c>
      <c r="J177" s="102" t="s">
        <v>6415</v>
      </c>
      <c r="K177" s="5"/>
      <c r="L177" s="79">
        <v>1</v>
      </c>
      <c r="M177" s="403">
        <v>0</v>
      </c>
      <c r="N177" s="240">
        <v>1</v>
      </c>
      <c r="O177" s="359">
        <v>739</v>
      </c>
      <c r="P177" s="79">
        <v>42</v>
      </c>
      <c r="Q177" s="342">
        <v>132</v>
      </c>
      <c r="R177" s="81">
        <v>50</v>
      </c>
      <c r="S177" s="324">
        <v>87</v>
      </c>
      <c r="T177" s="186">
        <v>7</v>
      </c>
      <c r="U177" s="426">
        <f>$T177/$W177</f>
        <v>1.3806706114398421E-2</v>
      </c>
      <c r="V177" s="94">
        <v>12.67</v>
      </c>
      <c r="W177" s="39">
        <v>507</v>
      </c>
      <c r="X177" s="207">
        <v>496</v>
      </c>
      <c r="Y177" s="430">
        <f t="shared" si="148"/>
        <v>11</v>
      </c>
      <c r="Z177" s="434">
        <f t="shared" si="149"/>
        <v>2.2177419354838711E-2</v>
      </c>
      <c r="AA177" s="340">
        <v>-24.81</v>
      </c>
      <c r="AB177" s="341">
        <v>56.53</v>
      </c>
      <c r="AC177" s="22" t="s">
        <v>49</v>
      </c>
      <c r="AD177" s="84">
        <v>44692</v>
      </c>
      <c r="AE177" s="83">
        <v>44693</v>
      </c>
      <c r="AF177" s="33">
        <f t="shared" si="150"/>
        <v>1</v>
      </c>
      <c r="AG177" s="401" t="s">
        <v>3314</v>
      </c>
      <c r="AH177" s="66"/>
      <c r="AI177" s="254"/>
      <c r="AJ177" s="391"/>
      <c r="AM177" s="245"/>
      <c r="AR177" s="402" t="str">
        <f>INDEX(基本資料!N:N,MATCH($G177,基本資料!A:A,0))</f>
        <v>中</v>
      </c>
    </row>
    <row r="178" spans="1:44">
      <c r="A178" s="343">
        <v>7.12</v>
      </c>
      <c r="B178" s="79">
        <v>78</v>
      </c>
      <c r="C178" s="79">
        <v>85</v>
      </c>
      <c r="D178" s="79">
        <v>6</v>
      </c>
      <c r="E178" s="79">
        <v>-9</v>
      </c>
      <c r="F178" s="6">
        <v>17.53</v>
      </c>
      <c r="G178" s="80">
        <v>3661</v>
      </c>
      <c r="H178" s="132" t="s">
        <v>6709</v>
      </c>
      <c r="I178" s="22" t="s">
        <v>6710</v>
      </c>
      <c r="J178" s="8">
        <v>6</v>
      </c>
      <c r="K178" s="5"/>
      <c r="L178" s="79">
        <v>1</v>
      </c>
      <c r="M178" s="403">
        <v>0</v>
      </c>
      <c r="N178" s="240">
        <v>1</v>
      </c>
      <c r="O178" s="359">
        <v>437</v>
      </c>
      <c r="P178" s="79">
        <v>121</v>
      </c>
      <c r="Q178" s="342">
        <v>51</v>
      </c>
      <c r="R178" s="81">
        <v>6</v>
      </c>
      <c r="S178" s="324">
        <v>39</v>
      </c>
      <c r="T178" s="186">
        <v>10.59</v>
      </c>
      <c r="U178" s="426">
        <f>T178/W178</f>
        <v>1.126595744680851E-2</v>
      </c>
      <c r="V178" s="94">
        <v>21.4</v>
      </c>
      <c r="W178" s="39">
        <v>940</v>
      </c>
      <c r="X178" s="207">
        <v>918</v>
      </c>
      <c r="Y178" s="430">
        <f t="shared" si="148"/>
        <v>22</v>
      </c>
      <c r="Z178" s="434">
        <f t="shared" si="149"/>
        <v>2.3965141612200435E-2</v>
      </c>
      <c r="AA178" s="340">
        <v>-30.42</v>
      </c>
      <c r="AB178" s="389">
        <f>INDEX('TSE OTC全部'!$AB:$AB,MATCH($G178,'TSE OTC全部'!$G:$G,0))</f>
        <v>32.83</v>
      </c>
      <c r="AC178" s="22" t="s">
        <v>6710</v>
      </c>
      <c r="AD178" s="84">
        <v>44693</v>
      </c>
      <c r="AE178" s="311">
        <v>44693</v>
      </c>
      <c r="AF178" s="33">
        <f t="shared" si="150"/>
        <v>0</v>
      </c>
      <c r="AG178" s="402" t="s">
        <v>6711</v>
      </c>
      <c r="AH178" s="66"/>
      <c r="AI178" s="254"/>
      <c r="AJ178" s="391"/>
      <c r="AM178" s="245"/>
      <c r="AR178" s="402" t="str">
        <f>INDEX(基本資料!N:N,MATCH($G178,基本資料!A:A,0))</f>
        <v>中</v>
      </c>
    </row>
    <row r="179" spans="1:44">
      <c r="A179" s="343">
        <v>4.5</v>
      </c>
      <c r="B179" s="79">
        <v>120</v>
      </c>
      <c r="C179" s="79">
        <v>142</v>
      </c>
      <c r="D179" s="79">
        <v>19</v>
      </c>
      <c r="E179" s="80">
        <v>-2</v>
      </c>
      <c r="F179" s="79">
        <v>16.13</v>
      </c>
      <c r="G179" s="80">
        <v>5245</v>
      </c>
      <c r="H179" s="403" t="s">
        <v>1877</v>
      </c>
      <c r="I179" s="16" t="s">
        <v>4250</v>
      </c>
      <c r="J179" s="102" t="s">
        <v>3543</v>
      </c>
      <c r="L179" s="79">
        <v>1</v>
      </c>
      <c r="M179" s="403">
        <v>0</v>
      </c>
      <c r="N179" s="240">
        <v>1</v>
      </c>
      <c r="O179" s="359">
        <v>130</v>
      </c>
      <c r="P179" s="79">
        <v>210</v>
      </c>
      <c r="Q179" s="342">
        <v>366</v>
      </c>
      <c r="R179" s="81">
        <v>334</v>
      </c>
      <c r="S179" s="324">
        <v>253</v>
      </c>
      <c r="T179" s="384">
        <v>4.5</v>
      </c>
      <c r="U179" s="426">
        <f>T179/W179</f>
        <v>6.6469719350073855E-2</v>
      </c>
      <c r="V179" s="94">
        <v>4.43</v>
      </c>
      <c r="W179" s="39">
        <v>67.7</v>
      </c>
      <c r="X179" s="207">
        <v>66.3</v>
      </c>
      <c r="Y179" s="430">
        <f t="shared" si="148"/>
        <v>1.4000000000000057</v>
      </c>
      <c r="Z179" s="434">
        <f t="shared" si="149"/>
        <v>2.1116138763197675E-2</v>
      </c>
      <c r="AA179" s="340">
        <v>-38.450000000000003</v>
      </c>
      <c r="AB179" s="389">
        <v>16.05</v>
      </c>
      <c r="AC179" s="16" t="s">
        <v>4250</v>
      </c>
      <c r="AD179" s="84">
        <v>44676</v>
      </c>
      <c r="AE179" s="83">
        <v>44693</v>
      </c>
      <c r="AF179" s="33">
        <f t="shared" si="150"/>
        <v>17</v>
      </c>
      <c r="AG179" s="401" t="s">
        <v>4251</v>
      </c>
      <c r="AH179" s="66"/>
      <c r="AI179" s="254"/>
      <c r="AJ179" s="391"/>
      <c r="AM179" s="245"/>
      <c r="AR179" s="402" t="str">
        <f>INDEX(基本資料!N:N,MATCH($G179,基本資料!A:A,0))</f>
        <v>中</v>
      </c>
    </row>
    <row r="180" spans="1:44">
      <c r="A180" s="343">
        <v>24.85</v>
      </c>
      <c r="B180" s="79">
        <v>298</v>
      </c>
      <c r="C180" s="79">
        <v>430</v>
      </c>
      <c r="D180" s="79">
        <v>1</v>
      </c>
      <c r="E180" s="79">
        <v>100</v>
      </c>
      <c r="F180" s="6">
        <v>22.94</v>
      </c>
      <c r="G180" s="80">
        <v>3035</v>
      </c>
      <c r="H180" s="96" t="s">
        <v>6709</v>
      </c>
      <c r="I180" s="22" t="s">
        <v>5290</v>
      </c>
      <c r="J180" s="8">
        <v>42</v>
      </c>
      <c r="K180" s="5"/>
      <c r="L180" s="79">
        <v>2</v>
      </c>
      <c r="M180" s="403">
        <v>0</v>
      </c>
      <c r="N180" s="240">
        <v>2</v>
      </c>
      <c r="O180" s="359">
        <v>314</v>
      </c>
      <c r="P180" s="79">
        <v>78</v>
      </c>
      <c r="Q180" s="342">
        <v>182</v>
      </c>
      <c r="R180" s="81">
        <v>2</v>
      </c>
      <c r="S180" s="324">
        <v>3</v>
      </c>
      <c r="T180" s="186">
        <v>3.3</v>
      </c>
      <c r="U180" s="426">
        <f>T180/W180</f>
        <v>1.2716763005780346E-2</v>
      </c>
      <c r="V180" s="94">
        <v>6.66</v>
      </c>
      <c r="W180" s="39">
        <v>259.5</v>
      </c>
      <c r="X180" s="207">
        <v>253.5</v>
      </c>
      <c r="Y180" s="430">
        <f t="shared" si="148"/>
        <v>6</v>
      </c>
      <c r="Z180" s="434">
        <f t="shared" si="149"/>
        <v>2.3668639053254437E-2</v>
      </c>
      <c r="AA180" s="340">
        <v>-22.32</v>
      </c>
      <c r="AB180" s="389">
        <f>INDEX('TSE OTC全部'!$AB:$AB,MATCH($G180,'TSE OTC全部'!$G:$G,0))</f>
        <v>34.06</v>
      </c>
      <c r="AC180" s="22" t="s">
        <v>5290</v>
      </c>
      <c r="AD180" s="84">
        <v>44693</v>
      </c>
      <c r="AE180" s="311">
        <v>44693</v>
      </c>
      <c r="AF180" s="33">
        <f t="shared" si="150"/>
        <v>0</v>
      </c>
      <c r="AG180" s="402" t="s">
        <v>6721</v>
      </c>
      <c r="AH180" s="66"/>
      <c r="AI180" s="254"/>
      <c r="AJ180" s="391"/>
      <c r="AM180" s="245"/>
      <c r="AR180" s="402" t="str">
        <f>INDEX(基本資料!N:N,MATCH($G180,基本資料!A:A,0))</f>
        <v>高</v>
      </c>
    </row>
    <row r="181" spans="1:44">
      <c r="A181" s="343">
        <v>8.1300000000000008</v>
      </c>
      <c r="B181" s="79">
        <v>231</v>
      </c>
      <c r="C181" s="79">
        <v>245</v>
      </c>
      <c r="D181" s="79">
        <v>-18</v>
      </c>
      <c r="E181" s="79">
        <v>5</v>
      </c>
      <c r="F181" s="6">
        <v>19.72</v>
      </c>
      <c r="G181" s="79">
        <v>8261</v>
      </c>
      <c r="H181" s="344" t="s">
        <v>307</v>
      </c>
      <c r="I181" s="22" t="s">
        <v>322</v>
      </c>
      <c r="J181" s="8">
        <v>4</v>
      </c>
      <c r="K181" s="5"/>
      <c r="L181" s="79">
        <v>1</v>
      </c>
      <c r="M181" s="403">
        <v>0</v>
      </c>
      <c r="N181" s="240">
        <v>1</v>
      </c>
      <c r="O181" s="359">
        <v>40</v>
      </c>
      <c r="P181" s="79">
        <v>100</v>
      </c>
      <c r="Q181" s="342">
        <v>410</v>
      </c>
      <c r="R181" s="81">
        <v>491</v>
      </c>
      <c r="S181" s="324">
        <v>25</v>
      </c>
      <c r="T181" s="186">
        <v>6</v>
      </c>
      <c r="U181" s="426">
        <f>$T181/$W181</f>
        <v>5.4545454545454543E-2</v>
      </c>
      <c r="V181" s="94">
        <v>10.15</v>
      </c>
      <c r="W181" s="39">
        <v>110</v>
      </c>
      <c r="X181" s="207">
        <v>107.5</v>
      </c>
      <c r="Y181" s="430">
        <f t="shared" si="148"/>
        <v>2.5</v>
      </c>
      <c r="Z181" s="434">
        <f t="shared" si="149"/>
        <v>2.3255813953488372E-2</v>
      </c>
      <c r="AA181" s="340">
        <v>-20.8</v>
      </c>
      <c r="AB181" s="341">
        <v>47.93</v>
      </c>
      <c r="AC181" s="23" t="s">
        <v>322</v>
      </c>
      <c r="AD181" s="84">
        <v>44692</v>
      </c>
      <c r="AE181" s="83">
        <v>44693</v>
      </c>
      <c r="AF181" s="33">
        <f t="shared" si="150"/>
        <v>1</v>
      </c>
      <c r="AG181" s="402" t="s">
        <v>2175</v>
      </c>
      <c r="AH181" s="66"/>
      <c r="AI181" s="254"/>
      <c r="AJ181" s="391"/>
      <c r="AM181" s="245"/>
      <c r="AR181" s="402" t="str">
        <f>INDEX(基本資料!N:N,MATCH($G181,基本資料!A:A,0))</f>
        <v>中</v>
      </c>
    </row>
    <row r="182" spans="1:44">
      <c r="A182" s="343">
        <v>147</v>
      </c>
      <c r="B182" s="79">
        <v>168</v>
      </c>
      <c r="C182" s="79">
        <v>482</v>
      </c>
      <c r="D182" s="79">
        <v>11</v>
      </c>
      <c r="E182" s="79">
        <v>37</v>
      </c>
      <c r="F182" s="79">
        <v>23.41</v>
      </c>
      <c r="G182" s="80">
        <v>3037</v>
      </c>
      <c r="H182" s="403" t="s">
        <v>3388</v>
      </c>
      <c r="I182" s="22" t="s">
        <v>2916</v>
      </c>
      <c r="J182" s="102" t="s">
        <v>6415</v>
      </c>
      <c r="K182" s="5"/>
      <c r="L182" s="79">
        <v>1</v>
      </c>
      <c r="M182" s="403">
        <v>0</v>
      </c>
      <c r="N182" s="240">
        <v>1</v>
      </c>
      <c r="O182" s="359">
        <v>662</v>
      </c>
      <c r="P182" s="79">
        <v>192</v>
      </c>
      <c r="Q182" s="342">
        <v>118</v>
      </c>
      <c r="R182" s="81">
        <v>25</v>
      </c>
      <c r="S182" s="324">
        <v>143</v>
      </c>
      <c r="T182" s="384">
        <v>3.4</v>
      </c>
      <c r="U182" s="426">
        <f>T182/W182</f>
        <v>1.5777262180974479E-2</v>
      </c>
      <c r="V182" s="94">
        <v>11.36</v>
      </c>
      <c r="W182" s="39">
        <v>215.5</v>
      </c>
      <c r="X182" s="207">
        <v>211.5</v>
      </c>
      <c r="Y182" s="430">
        <f t="shared" ref="Y182:Y190" si="151">W182-X182</f>
        <v>4</v>
      </c>
      <c r="Z182" s="434">
        <f t="shared" ref="Z182:Z190" si="152">Y182/X182</f>
        <v>1.8912529550827423E-2</v>
      </c>
      <c r="AA182" s="340">
        <v>-16.48</v>
      </c>
      <c r="AB182" s="389">
        <v>36.44</v>
      </c>
      <c r="AC182" s="23" t="s">
        <v>2916</v>
      </c>
      <c r="AD182" s="84">
        <v>44687</v>
      </c>
      <c r="AE182" s="83">
        <v>44692</v>
      </c>
      <c r="AF182" s="33">
        <f t="shared" ref="AF182:AF244" si="153">AE182-AD182</f>
        <v>5</v>
      </c>
      <c r="AG182" s="401" t="s">
        <v>4531</v>
      </c>
      <c r="AH182" s="443"/>
      <c r="AI182" s="254"/>
      <c r="AJ182" s="392"/>
      <c r="AM182" s="245"/>
      <c r="AR182" s="402" t="str">
        <f>INDEX(基本資料!N:N,MATCH($G182,基本資料!A:A,0))</f>
        <v>高</v>
      </c>
    </row>
    <row r="183" spans="1:44">
      <c r="A183" s="343">
        <v>16.649999999999999</v>
      </c>
      <c r="B183" s="79">
        <v>2</v>
      </c>
      <c r="C183" s="79">
        <v>-2</v>
      </c>
      <c r="D183" s="79">
        <v>22</v>
      </c>
      <c r="E183" s="79">
        <v>24</v>
      </c>
      <c r="F183" s="6">
        <v>3.6</v>
      </c>
      <c r="G183" s="80">
        <v>2430</v>
      </c>
      <c r="H183" s="403" t="s">
        <v>329</v>
      </c>
      <c r="I183" s="22" t="s">
        <v>89</v>
      </c>
      <c r="J183" s="102" t="s">
        <v>6419</v>
      </c>
      <c r="K183" s="5"/>
      <c r="L183" s="79">
        <v>1</v>
      </c>
      <c r="M183" s="403">
        <v>0</v>
      </c>
      <c r="N183" s="240">
        <v>1</v>
      </c>
      <c r="O183" s="359">
        <v>1058</v>
      </c>
      <c r="P183" s="79">
        <v>514</v>
      </c>
      <c r="Q183" s="342">
        <v>640</v>
      </c>
      <c r="R183" s="81" t="s">
        <v>6279</v>
      </c>
      <c r="S183" s="324">
        <v>410</v>
      </c>
      <c r="T183" s="186">
        <v>3.54</v>
      </c>
      <c r="U183" s="426">
        <f>$T183/$W183</f>
        <v>9.6721311475409827E-2</v>
      </c>
      <c r="V183" s="94">
        <v>3.95</v>
      </c>
      <c r="W183" s="39">
        <v>36.6</v>
      </c>
      <c r="X183" s="207">
        <v>35.9</v>
      </c>
      <c r="Y183" s="430">
        <f t="shared" si="151"/>
        <v>0.70000000000000284</v>
      </c>
      <c r="Z183" s="434">
        <f t="shared" si="152"/>
        <v>1.9498607242339913E-2</v>
      </c>
      <c r="AA183" s="340">
        <v>-30.1</v>
      </c>
      <c r="AB183" s="389">
        <v>14.4</v>
      </c>
      <c r="AC183" s="23" t="s">
        <v>89</v>
      </c>
      <c r="AD183" s="84">
        <v>44691</v>
      </c>
      <c r="AE183" s="83">
        <v>44692</v>
      </c>
      <c r="AF183" s="33">
        <f t="shared" si="153"/>
        <v>1</v>
      </c>
      <c r="AG183" s="401" t="s">
        <v>2872</v>
      </c>
      <c r="AH183" s="443"/>
      <c r="AI183" s="254"/>
      <c r="AJ183" s="391"/>
      <c r="AM183" s="245"/>
      <c r="AR183" s="402" t="str">
        <f>INDEX(基本資料!N:N,MATCH($G183,基本資料!A:A,0))</f>
        <v>低</v>
      </c>
    </row>
    <row r="184" spans="1:44">
      <c r="A184" s="343">
        <v>8.5399999999999991</v>
      </c>
      <c r="B184" s="79">
        <v>168</v>
      </c>
      <c r="C184" s="79">
        <v>146</v>
      </c>
      <c r="D184" s="79">
        <v>0</v>
      </c>
      <c r="E184" s="79">
        <v>40</v>
      </c>
      <c r="F184" s="79">
        <v>26.21</v>
      </c>
      <c r="G184" s="80">
        <v>6781</v>
      </c>
      <c r="H184" s="403" t="s">
        <v>3388</v>
      </c>
      <c r="I184" s="22" t="s">
        <v>3092</v>
      </c>
      <c r="J184" s="8" t="s">
        <v>6413</v>
      </c>
      <c r="K184" s="5"/>
      <c r="L184" s="79">
        <v>2</v>
      </c>
      <c r="M184" s="403">
        <v>0</v>
      </c>
      <c r="N184" s="240">
        <v>2</v>
      </c>
      <c r="O184" s="359">
        <v>881</v>
      </c>
      <c r="P184" s="79">
        <v>983</v>
      </c>
      <c r="Q184" s="342">
        <v>9</v>
      </c>
      <c r="R184" s="81">
        <v>95</v>
      </c>
      <c r="S184" s="324">
        <v>368</v>
      </c>
      <c r="T184" s="384">
        <v>15</v>
      </c>
      <c r="U184" s="426">
        <f>T184/W184</f>
        <v>1.5789473684210527E-2</v>
      </c>
      <c r="V184" s="94">
        <v>30.66</v>
      </c>
      <c r="W184" s="423">
        <v>950</v>
      </c>
      <c r="X184" s="207">
        <v>928</v>
      </c>
      <c r="Y184" s="431">
        <f t="shared" si="151"/>
        <v>22</v>
      </c>
      <c r="Z184" s="434">
        <f t="shared" si="152"/>
        <v>2.3706896551724137E-2</v>
      </c>
      <c r="AA184" s="340">
        <v>-52.01</v>
      </c>
      <c r="AB184" s="389">
        <v>14.22</v>
      </c>
      <c r="AC184" s="23" t="s">
        <v>3092</v>
      </c>
      <c r="AD184" s="84">
        <v>44687</v>
      </c>
      <c r="AE184" s="83">
        <v>44692</v>
      </c>
      <c r="AF184" s="33">
        <f t="shared" si="153"/>
        <v>5</v>
      </c>
      <c r="AG184" s="402" t="s">
        <v>3097</v>
      </c>
      <c r="AH184" s="443"/>
      <c r="AI184" s="254"/>
      <c r="AJ184" s="392"/>
      <c r="AM184" s="245"/>
      <c r="AR184" s="402" t="str">
        <f>INDEX(基本資料!N:N,MATCH($G184,基本資料!A:A,0))</f>
        <v>低</v>
      </c>
    </row>
    <row r="185" spans="1:44">
      <c r="A185" s="343">
        <v>6.21</v>
      </c>
      <c r="B185" s="79">
        <v>141</v>
      </c>
      <c r="C185" s="79">
        <v>145</v>
      </c>
      <c r="D185" s="79">
        <v>0</v>
      </c>
      <c r="E185" s="79">
        <v>52</v>
      </c>
      <c r="F185" s="6">
        <v>34.74</v>
      </c>
      <c r="G185" s="80">
        <v>3169</v>
      </c>
      <c r="H185" s="96" t="s">
        <v>307</v>
      </c>
      <c r="I185" s="16" t="s">
        <v>359</v>
      </c>
      <c r="J185" s="8">
        <v>62</v>
      </c>
      <c r="K185" s="5"/>
      <c r="L185" s="79">
        <v>2</v>
      </c>
      <c r="M185" s="403">
        <v>0</v>
      </c>
      <c r="N185" s="240">
        <v>2</v>
      </c>
      <c r="O185" s="359">
        <v>19</v>
      </c>
      <c r="P185" s="79">
        <v>221</v>
      </c>
      <c r="Q185" s="342">
        <v>873</v>
      </c>
      <c r="R185" s="81">
        <v>169</v>
      </c>
      <c r="S185" s="324">
        <v>10</v>
      </c>
      <c r="T185" s="186">
        <v>5</v>
      </c>
      <c r="U185" s="426">
        <f>$T185/$W185</f>
        <v>3.0581039755351681E-2</v>
      </c>
      <c r="V185" s="94">
        <v>7.09</v>
      </c>
      <c r="W185" s="39">
        <v>163.5</v>
      </c>
      <c r="X185" s="207">
        <v>160</v>
      </c>
      <c r="Y185" s="430">
        <f t="shared" si="151"/>
        <v>3.5</v>
      </c>
      <c r="Z185" s="434">
        <f t="shared" si="152"/>
        <v>2.1874999999999999E-2</v>
      </c>
      <c r="AA185" s="340">
        <v>-46.91</v>
      </c>
      <c r="AB185" s="389">
        <v>19.34</v>
      </c>
      <c r="AC185" s="24" t="s">
        <v>359</v>
      </c>
      <c r="AD185" s="84">
        <v>44692</v>
      </c>
      <c r="AE185" s="311">
        <v>44692</v>
      </c>
      <c r="AF185" s="33">
        <f t="shared" si="153"/>
        <v>0</v>
      </c>
      <c r="AG185" s="402" t="s">
        <v>2892</v>
      </c>
      <c r="AH185" s="443"/>
      <c r="AI185" s="254"/>
      <c r="AJ185" s="391"/>
      <c r="AM185" s="245"/>
      <c r="AR185" s="402" t="str">
        <f>INDEX(基本資料!N:N,MATCH($G185,基本資料!A:A,0))</f>
        <v>低</v>
      </c>
    </row>
    <row r="186" spans="1:44">
      <c r="A186" s="343">
        <v>4.97</v>
      </c>
      <c r="B186" s="79">
        <v>-26</v>
      </c>
      <c r="C186" s="79">
        <v>-29</v>
      </c>
      <c r="D186" s="79">
        <v>1</v>
      </c>
      <c r="E186" s="79">
        <v>37</v>
      </c>
      <c r="F186" s="6">
        <v>15.7</v>
      </c>
      <c r="G186" s="80">
        <v>8155</v>
      </c>
      <c r="H186" s="344" t="s">
        <v>3388</v>
      </c>
      <c r="I186" s="16" t="s">
        <v>84</v>
      </c>
      <c r="J186" s="8">
        <v>69</v>
      </c>
      <c r="K186" s="5"/>
      <c r="L186" s="79">
        <v>2</v>
      </c>
      <c r="M186" s="403">
        <v>0</v>
      </c>
      <c r="N186" s="240">
        <v>2</v>
      </c>
      <c r="O186" s="359">
        <v>210</v>
      </c>
      <c r="P186" s="79">
        <v>192</v>
      </c>
      <c r="Q186" s="342">
        <v>1113</v>
      </c>
      <c r="R186" s="81">
        <v>1</v>
      </c>
      <c r="S186" s="324">
        <v>7</v>
      </c>
      <c r="T186" s="186">
        <v>6</v>
      </c>
      <c r="U186" s="426">
        <f>$T186/$W186</f>
        <v>3.5928143712574849E-2</v>
      </c>
      <c r="V186" s="94">
        <v>7.85</v>
      </c>
      <c r="W186" s="39">
        <v>167</v>
      </c>
      <c r="X186" s="207">
        <v>163</v>
      </c>
      <c r="Y186" s="430">
        <f t="shared" si="151"/>
        <v>4</v>
      </c>
      <c r="Z186" s="434">
        <f t="shared" si="152"/>
        <v>2.4539877300613498E-2</v>
      </c>
      <c r="AA186" s="340">
        <v>-25.4</v>
      </c>
      <c r="AB186" s="389">
        <v>25.64</v>
      </c>
      <c r="AC186" s="24" t="s">
        <v>84</v>
      </c>
      <c r="AD186" s="84">
        <v>44692</v>
      </c>
      <c r="AE186" s="311">
        <v>44692</v>
      </c>
      <c r="AF186" s="33">
        <f t="shared" si="153"/>
        <v>0</v>
      </c>
      <c r="AG186" s="401" t="s">
        <v>1048</v>
      </c>
      <c r="AH186" s="443"/>
      <c r="AI186" s="254"/>
      <c r="AJ186" s="391"/>
      <c r="AM186" s="245"/>
      <c r="AR186" s="402" t="str">
        <f>INDEX(基本資料!N:N,MATCH($G186,基本資料!A:A,0))</f>
        <v>中</v>
      </c>
    </row>
    <row r="187" spans="1:44">
      <c r="A187" s="343">
        <v>10</v>
      </c>
      <c r="B187" s="79">
        <v>68</v>
      </c>
      <c r="C187" s="79">
        <v>53</v>
      </c>
      <c r="D187" s="80">
        <v>-8</v>
      </c>
      <c r="E187" s="79">
        <v>73</v>
      </c>
      <c r="F187" s="79">
        <v>15.09</v>
      </c>
      <c r="G187" s="79">
        <v>4755</v>
      </c>
      <c r="H187" s="344" t="s">
        <v>3577</v>
      </c>
      <c r="I187" s="22" t="s">
        <v>766</v>
      </c>
      <c r="J187" s="102" t="s">
        <v>6410</v>
      </c>
      <c r="K187" s="5"/>
      <c r="L187" s="79">
        <v>1</v>
      </c>
      <c r="M187" s="403">
        <v>0</v>
      </c>
      <c r="N187" s="240">
        <v>1</v>
      </c>
      <c r="O187" s="359">
        <v>596</v>
      </c>
      <c r="P187" s="79">
        <v>606</v>
      </c>
      <c r="Q187" s="342">
        <v>179</v>
      </c>
      <c r="R187" s="81">
        <v>223</v>
      </c>
      <c r="S187" s="324">
        <v>191</v>
      </c>
      <c r="T187" s="384">
        <v>5</v>
      </c>
      <c r="U187" s="426">
        <f>T187/W187</f>
        <v>2.8011204481792718E-2</v>
      </c>
      <c r="V187" s="94">
        <v>6.69</v>
      </c>
      <c r="W187" s="39">
        <v>178.5</v>
      </c>
      <c r="X187" s="207">
        <v>175</v>
      </c>
      <c r="Y187" s="430">
        <f t="shared" si="151"/>
        <v>3.5</v>
      </c>
      <c r="Z187" s="434">
        <f t="shared" si="152"/>
        <v>0.02</v>
      </c>
      <c r="AA187" s="340">
        <v>-17.010000000000002</v>
      </c>
      <c r="AB187" s="341">
        <v>55.21</v>
      </c>
      <c r="AC187" s="23" t="s">
        <v>766</v>
      </c>
      <c r="AD187" s="84">
        <v>44687</v>
      </c>
      <c r="AE187" s="83">
        <v>44692</v>
      </c>
      <c r="AF187" s="33">
        <f t="shared" si="153"/>
        <v>5</v>
      </c>
      <c r="AG187" s="402" t="s">
        <v>3636</v>
      </c>
      <c r="AH187" s="443"/>
      <c r="AI187" s="254"/>
      <c r="AJ187" s="392"/>
      <c r="AM187" s="245"/>
      <c r="AR187" s="402" t="str">
        <f>INDEX(基本資料!N:N,MATCH($G187,基本資料!A:A,0))</f>
        <v>高</v>
      </c>
    </row>
    <row r="188" spans="1:44">
      <c r="A188" s="343">
        <v>13.61</v>
      </c>
      <c r="B188" s="79">
        <v>114.08</v>
      </c>
      <c r="C188" s="79">
        <v>120.59</v>
      </c>
      <c r="D188" s="79">
        <v>-5</v>
      </c>
      <c r="E188" s="79">
        <v>53.05</v>
      </c>
      <c r="F188" s="6">
        <v>6.9</v>
      </c>
      <c r="G188" s="79">
        <v>5609</v>
      </c>
      <c r="H188" s="344" t="s">
        <v>302</v>
      </c>
      <c r="I188" s="16" t="s">
        <v>863</v>
      </c>
      <c r="J188" s="102" t="s">
        <v>6409</v>
      </c>
      <c r="K188" s="5"/>
      <c r="L188" s="79">
        <v>1</v>
      </c>
      <c r="M188" s="403">
        <v>0</v>
      </c>
      <c r="N188" s="240">
        <v>1</v>
      </c>
      <c r="O188" s="359">
        <v>503</v>
      </c>
      <c r="P188" s="79">
        <v>714</v>
      </c>
      <c r="Q188" s="342">
        <v>304</v>
      </c>
      <c r="R188" s="81">
        <v>260</v>
      </c>
      <c r="S188" s="324">
        <v>191</v>
      </c>
      <c r="T188" s="186">
        <v>10.199999999999999</v>
      </c>
      <c r="U188" s="426">
        <f t="shared" ref="U188:U195" si="154">$T188/$W188</f>
        <v>9.1891891891891883E-2</v>
      </c>
      <c r="V188" s="94">
        <v>17.63</v>
      </c>
      <c r="W188" s="39">
        <v>111</v>
      </c>
      <c r="X188" s="207">
        <v>109</v>
      </c>
      <c r="Y188" s="430">
        <f t="shared" si="151"/>
        <v>2</v>
      </c>
      <c r="Z188" s="434">
        <f t="shared" si="152"/>
        <v>1.834862385321101E-2</v>
      </c>
      <c r="AA188" s="340">
        <v>-32.19</v>
      </c>
      <c r="AB188" s="341">
        <v>59.84</v>
      </c>
      <c r="AC188" s="24" t="s">
        <v>863</v>
      </c>
      <c r="AD188" s="84">
        <v>44690</v>
      </c>
      <c r="AE188" s="83">
        <v>44692</v>
      </c>
      <c r="AF188" s="33">
        <f t="shared" si="153"/>
        <v>2</v>
      </c>
      <c r="AG188" s="402" t="s">
        <v>2806</v>
      </c>
      <c r="AH188" s="443"/>
      <c r="AI188" s="254"/>
      <c r="AJ188" s="392"/>
      <c r="AM188" s="245"/>
      <c r="AR188" s="402" t="str">
        <f>INDEX(基本資料!N:N,MATCH($G188,基本資料!A:A,0))</f>
        <v>中</v>
      </c>
    </row>
    <row r="189" spans="1:44">
      <c r="A189" s="343">
        <v>9.17</v>
      </c>
      <c r="B189" s="79">
        <v>81</v>
      </c>
      <c r="C189" s="79">
        <v>87</v>
      </c>
      <c r="D189" s="79">
        <v>27</v>
      </c>
      <c r="E189" s="79">
        <v>25</v>
      </c>
      <c r="F189" s="6">
        <v>27.55</v>
      </c>
      <c r="G189" s="80">
        <v>6411</v>
      </c>
      <c r="H189" s="96" t="s">
        <v>307</v>
      </c>
      <c r="I189" s="16" t="s">
        <v>251</v>
      </c>
      <c r="J189" s="8" t="s">
        <v>6701</v>
      </c>
      <c r="K189" s="5"/>
      <c r="L189" s="79">
        <v>3</v>
      </c>
      <c r="M189" s="403">
        <v>0</v>
      </c>
      <c r="N189" s="240">
        <v>3</v>
      </c>
      <c r="O189" s="359">
        <v>82</v>
      </c>
      <c r="P189" s="79">
        <v>398</v>
      </c>
      <c r="Q189" s="342">
        <v>371</v>
      </c>
      <c r="R189" s="81">
        <v>344</v>
      </c>
      <c r="S189" s="324">
        <v>5</v>
      </c>
      <c r="T189" s="186">
        <v>7.22</v>
      </c>
      <c r="U189" s="426">
        <f t="shared" si="154"/>
        <v>4.9452054794520549E-2</v>
      </c>
      <c r="V189" s="94">
        <v>10.33</v>
      </c>
      <c r="W189" s="39">
        <v>146</v>
      </c>
      <c r="X189" s="207">
        <v>142.5</v>
      </c>
      <c r="Y189" s="430">
        <f t="shared" si="151"/>
        <v>3.5</v>
      </c>
      <c r="Z189" s="434">
        <f t="shared" si="152"/>
        <v>2.456140350877193E-2</v>
      </c>
      <c r="AA189" s="340">
        <v>-53.64</v>
      </c>
      <c r="AB189" s="389">
        <v>19.93</v>
      </c>
      <c r="AC189" s="24" t="s">
        <v>251</v>
      </c>
      <c r="AD189" s="84">
        <v>44692</v>
      </c>
      <c r="AE189" s="311">
        <v>44692</v>
      </c>
      <c r="AF189" s="33">
        <f t="shared" si="153"/>
        <v>0</v>
      </c>
      <c r="AG189" s="402" t="s">
        <v>2147</v>
      </c>
      <c r="AH189" s="443"/>
      <c r="AI189" s="254"/>
      <c r="AJ189" s="391"/>
      <c r="AM189" s="245"/>
      <c r="AR189" s="402" t="str">
        <f>INDEX(基本資料!N:N,MATCH($G189,基本資料!A:A,0))</f>
        <v>低</v>
      </c>
    </row>
    <row r="190" spans="1:44">
      <c r="A190" s="343">
        <v>9.4700000000000006</v>
      </c>
      <c r="B190" s="79">
        <v>78</v>
      </c>
      <c r="C190" s="79">
        <v>113</v>
      </c>
      <c r="D190" s="79">
        <v>6</v>
      </c>
      <c r="E190" s="79">
        <v>33</v>
      </c>
      <c r="F190" s="6">
        <v>30.86</v>
      </c>
      <c r="G190" s="80">
        <v>6415</v>
      </c>
      <c r="H190" s="403" t="s">
        <v>307</v>
      </c>
      <c r="I190" s="22" t="s">
        <v>256</v>
      </c>
      <c r="J190" s="8" t="s">
        <v>6702</v>
      </c>
      <c r="K190" s="5"/>
      <c r="L190" s="79">
        <v>2</v>
      </c>
      <c r="M190" s="403">
        <v>0</v>
      </c>
      <c r="N190" s="240">
        <v>2</v>
      </c>
      <c r="O190" s="359">
        <v>1184</v>
      </c>
      <c r="P190" s="79">
        <v>709</v>
      </c>
      <c r="Q190" s="342">
        <v>1</v>
      </c>
      <c r="R190" s="81">
        <v>117</v>
      </c>
      <c r="S190" s="324">
        <v>344</v>
      </c>
      <c r="T190" s="186">
        <v>17.98</v>
      </c>
      <c r="U190" s="426">
        <f t="shared" si="154"/>
        <v>7.0927021696252463E-3</v>
      </c>
      <c r="V190" s="94">
        <v>61.55</v>
      </c>
      <c r="W190" s="423">
        <v>2535</v>
      </c>
      <c r="X190" s="207">
        <v>2485</v>
      </c>
      <c r="Y190" s="431">
        <f t="shared" si="151"/>
        <v>50</v>
      </c>
      <c r="Z190" s="434">
        <f t="shared" si="152"/>
        <v>2.0120724346076459E-2</v>
      </c>
      <c r="AA190" s="340">
        <v>-56.01</v>
      </c>
      <c r="AB190" s="389">
        <v>12.69</v>
      </c>
      <c r="AC190" s="23" t="s">
        <v>256</v>
      </c>
      <c r="AD190" s="84">
        <v>44692</v>
      </c>
      <c r="AE190" s="311">
        <v>44692</v>
      </c>
      <c r="AF190" s="33">
        <f t="shared" si="153"/>
        <v>0</v>
      </c>
      <c r="AG190" s="401" t="s">
        <v>1437</v>
      </c>
      <c r="AH190" s="443"/>
      <c r="AI190" s="254"/>
      <c r="AJ190" s="391"/>
      <c r="AM190" s="245"/>
      <c r="AR190" s="402" t="str">
        <f>INDEX(基本資料!N:N,MATCH($G190,基本資料!A:A,0))</f>
        <v>低</v>
      </c>
    </row>
    <row r="191" spans="1:44">
      <c r="A191" s="343">
        <v>60.85</v>
      </c>
      <c r="B191" s="79">
        <v>89</v>
      </c>
      <c r="C191" s="79">
        <v>84</v>
      </c>
      <c r="D191" s="79">
        <v>-1</v>
      </c>
      <c r="E191" s="79">
        <v>11</v>
      </c>
      <c r="F191" s="6">
        <v>36.369999999999997</v>
      </c>
      <c r="G191" s="80">
        <v>3034</v>
      </c>
      <c r="H191" s="344" t="s">
        <v>307</v>
      </c>
      <c r="I191" s="22" t="s">
        <v>4040</v>
      </c>
      <c r="J191" s="102" t="s">
        <v>6415</v>
      </c>
      <c r="K191" s="5"/>
      <c r="L191" s="79">
        <v>1</v>
      </c>
      <c r="M191" s="403">
        <v>1</v>
      </c>
      <c r="N191" s="240">
        <v>0</v>
      </c>
      <c r="O191" s="359">
        <v>745</v>
      </c>
      <c r="P191" s="79">
        <v>79</v>
      </c>
      <c r="Q191" s="342">
        <v>80</v>
      </c>
      <c r="R191" s="81">
        <v>53</v>
      </c>
      <c r="S191" s="324">
        <v>224</v>
      </c>
      <c r="T191" s="186">
        <v>51.5</v>
      </c>
      <c r="U191" s="426">
        <f t="shared" si="154"/>
        <v>0.13411458333333334</v>
      </c>
      <c r="V191" s="94">
        <v>72.510000000000005</v>
      </c>
      <c r="W191" s="39">
        <v>384</v>
      </c>
      <c r="X191" s="207">
        <v>375</v>
      </c>
      <c r="Y191" s="430">
        <f t="shared" ref="Y191:Y196" si="155">W191-X191</f>
        <v>9</v>
      </c>
      <c r="Z191" s="434">
        <f t="shared" ref="Z191:Z196" si="156">Y191/X191</f>
        <v>2.4E-2</v>
      </c>
      <c r="AA191" s="340">
        <v>-35.049999999999997</v>
      </c>
      <c r="AB191" s="389">
        <v>23.08</v>
      </c>
      <c r="AC191" s="23" t="s">
        <v>4040</v>
      </c>
      <c r="AD191" s="84">
        <v>44691</v>
      </c>
      <c r="AE191" s="311">
        <v>44691</v>
      </c>
      <c r="AF191" s="33">
        <f t="shared" si="153"/>
        <v>0</v>
      </c>
      <c r="AG191" s="401" t="s">
        <v>2559</v>
      </c>
      <c r="AH191" s="443"/>
      <c r="AI191" s="254"/>
      <c r="AJ191" s="391"/>
      <c r="AM191" s="245"/>
      <c r="AR191" s="402" t="str">
        <f>INDEX(基本資料!N:N,MATCH($G191,基本資料!A:A,0))</f>
        <v>低</v>
      </c>
    </row>
    <row r="192" spans="1:44">
      <c r="A192" s="343">
        <v>13.4</v>
      </c>
      <c r="B192" s="79">
        <v>77</v>
      </c>
      <c r="C192" s="79">
        <v>78</v>
      </c>
      <c r="D192" s="79">
        <v>17</v>
      </c>
      <c r="E192" s="79">
        <v>75</v>
      </c>
      <c r="F192" s="6">
        <v>14.02</v>
      </c>
      <c r="G192" s="79">
        <v>3443</v>
      </c>
      <c r="H192" s="208" t="s">
        <v>307</v>
      </c>
      <c r="I192" s="22" t="s">
        <v>49</v>
      </c>
      <c r="J192" s="102" t="s">
        <v>6415</v>
      </c>
      <c r="K192" s="5"/>
      <c r="L192" s="79">
        <v>1</v>
      </c>
      <c r="M192" s="403">
        <v>1</v>
      </c>
      <c r="N192" s="240">
        <v>0</v>
      </c>
      <c r="O192" s="359">
        <v>764</v>
      </c>
      <c r="P192" s="79">
        <v>43</v>
      </c>
      <c r="Q192" s="342">
        <v>134</v>
      </c>
      <c r="R192" s="81">
        <v>49</v>
      </c>
      <c r="S192" s="324">
        <v>87</v>
      </c>
      <c r="T192" s="186">
        <v>7</v>
      </c>
      <c r="U192" s="426">
        <f t="shared" si="154"/>
        <v>1.5086206896551725E-2</v>
      </c>
      <c r="V192" s="94">
        <v>12.67</v>
      </c>
      <c r="W192" s="39">
        <v>464</v>
      </c>
      <c r="X192" s="207">
        <v>452.5</v>
      </c>
      <c r="Y192" s="430">
        <f t="shared" si="155"/>
        <v>11.5</v>
      </c>
      <c r="Z192" s="434">
        <f t="shared" si="156"/>
        <v>2.541436464088398E-2</v>
      </c>
      <c r="AA192" s="340">
        <v>-29.5</v>
      </c>
      <c r="AB192" s="341">
        <v>50.53</v>
      </c>
      <c r="AC192" s="23" t="s">
        <v>49</v>
      </c>
      <c r="AD192" s="84">
        <v>44691</v>
      </c>
      <c r="AE192" s="311">
        <v>44691</v>
      </c>
      <c r="AF192" s="33">
        <f t="shared" si="153"/>
        <v>0</v>
      </c>
      <c r="AG192" s="401" t="s">
        <v>3314</v>
      </c>
      <c r="AH192" s="443"/>
      <c r="AI192" s="254"/>
      <c r="AJ192" s="391"/>
      <c r="AM192" s="245"/>
      <c r="AR192" s="402" t="str">
        <f>INDEX(基本資料!N:N,MATCH($G192,基本資料!A:A,0))</f>
        <v>中</v>
      </c>
    </row>
    <row r="193" spans="1:44">
      <c r="A193" s="343">
        <v>4.9800000000000004</v>
      </c>
      <c r="B193" s="79">
        <v>-26</v>
      </c>
      <c r="C193" s="79">
        <v>-29</v>
      </c>
      <c r="D193" s="79">
        <v>1</v>
      </c>
      <c r="E193" s="79">
        <v>37</v>
      </c>
      <c r="F193" s="6">
        <v>15.7</v>
      </c>
      <c r="G193" s="80">
        <v>8155</v>
      </c>
      <c r="H193" s="344" t="s">
        <v>308</v>
      </c>
      <c r="I193" s="16" t="s">
        <v>84</v>
      </c>
      <c r="J193" s="8">
        <v>6</v>
      </c>
      <c r="K193" s="5"/>
      <c r="L193" s="79">
        <v>1</v>
      </c>
      <c r="M193" s="403">
        <v>0</v>
      </c>
      <c r="N193" s="240">
        <v>1</v>
      </c>
      <c r="O193" s="359">
        <v>227</v>
      </c>
      <c r="P193" s="79">
        <v>215</v>
      </c>
      <c r="Q193" s="342">
        <v>1113</v>
      </c>
      <c r="R193" s="81">
        <v>1</v>
      </c>
      <c r="S193" s="324">
        <v>7</v>
      </c>
      <c r="T193" s="186">
        <v>6</v>
      </c>
      <c r="U193" s="426">
        <f t="shared" si="154"/>
        <v>3.7974683544303799E-2</v>
      </c>
      <c r="V193" s="94">
        <v>7.85</v>
      </c>
      <c r="W193" s="39">
        <v>158</v>
      </c>
      <c r="X193" s="207">
        <v>154</v>
      </c>
      <c r="Y193" s="430">
        <f t="shared" si="155"/>
        <v>4</v>
      </c>
      <c r="Z193" s="434">
        <f t="shared" si="156"/>
        <v>2.5974025974025976E-2</v>
      </c>
      <c r="AA193" s="340">
        <v>-29.33</v>
      </c>
      <c r="AB193" s="389">
        <v>22.1</v>
      </c>
      <c r="AC193" s="24" t="s">
        <v>84</v>
      </c>
      <c r="AD193" s="84">
        <v>44691</v>
      </c>
      <c r="AE193" s="311">
        <v>44691</v>
      </c>
      <c r="AF193" s="33">
        <f t="shared" si="153"/>
        <v>0</v>
      </c>
      <c r="AG193" s="401" t="s">
        <v>1048</v>
      </c>
      <c r="AH193" s="443"/>
      <c r="AI193" s="254"/>
      <c r="AJ193" s="391"/>
      <c r="AM193" s="245"/>
      <c r="AR193" s="402" t="str">
        <f>INDEX(基本資料!N:N,MATCH($G193,基本資料!A:A,0))</f>
        <v>中</v>
      </c>
    </row>
    <row r="194" spans="1:44">
      <c r="A194" s="343">
        <v>8</v>
      </c>
      <c r="B194" s="79">
        <v>-19</v>
      </c>
      <c r="C194" s="79">
        <v>-34</v>
      </c>
      <c r="D194" s="79">
        <v>-6</v>
      </c>
      <c r="E194" s="79">
        <v>-34</v>
      </c>
      <c r="F194" s="6">
        <v>28.77</v>
      </c>
      <c r="G194" s="80">
        <v>3257</v>
      </c>
      <c r="H194" s="344" t="s">
        <v>307</v>
      </c>
      <c r="I194" s="22" t="s">
        <v>4046</v>
      </c>
      <c r="J194" s="102" t="s">
        <v>6409</v>
      </c>
      <c r="K194" s="5"/>
      <c r="L194" s="79">
        <v>1</v>
      </c>
      <c r="M194" s="403">
        <v>0</v>
      </c>
      <c r="N194" s="240">
        <v>1</v>
      </c>
      <c r="O194" s="359">
        <v>685</v>
      </c>
      <c r="P194" s="79">
        <v>140</v>
      </c>
      <c r="Q194" s="342">
        <v>667</v>
      </c>
      <c r="R194" s="81" t="s">
        <v>6279</v>
      </c>
      <c r="S194" s="324">
        <v>439</v>
      </c>
      <c r="T194" s="186">
        <v>5</v>
      </c>
      <c r="U194" s="426">
        <f t="shared" si="154"/>
        <v>7.0126227208976155E-2</v>
      </c>
      <c r="V194" s="94">
        <v>4.9400000000000004</v>
      </c>
      <c r="W194" s="39">
        <v>71.3</v>
      </c>
      <c r="X194" s="207">
        <v>69.7</v>
      </c>
      <c r="Y194" s="430">
        <f t="shared" si="155"/>
        <v>1.5999999999999943</v>
      </c>
      <c r="Z194" s="434">
        <f t="shared" si="156"/>
        <v>2.2955523672883706E-2</v>
      </c>
      <c r="AA194" s="340">
        <v>-23.51</v>
      </c>
      <c r="AB194" s="389">
        <v>41.07</v>
      </c>
      <c r="AC194" s="23" t="s">
        <v>4046</v>
      </c>
      <c r="AD194" s="84">
        <v>44691</v>
      </c>
      <c r="AE194" s="311">
        <v>44691</v>
      </c>
      <c r="AF194" s="33">
        <f t="shared" si="153"/>
        <v>0</v>
      </c>
      <c r="AG194" s="402" t="s">
        <v>1950</v>
      </c>
      <c r="AH194" s="443"/>
      <c r="AI194" s="254"/>
      <c r="AJ194" s="391"/>
      <c r="AM194" s="245"/>
      <c r="AR194" s="402" t="str">
        <f>INDEX(基本資料!N:N,MATCH($G194,基本資料!A:A,0))</f>
        <v>中</v>
      </c>
    </row>
    <row r="195" spans="1:44">
      <c r="A195" s="343">
        <v>122</v>
      </c>
      <c r="B195" s="79">
        <v>43</v>
      </c>
      <c r="C195" s="79">
        <v>42</v>
      </c>
      <c r="D195" s="79">
        <v>2</v>
      </c>
      <c r="E195" s="79">
        <v>22</v>
      </c>
      <c r="F195" s="6">
        <v>19.57</v>
      </c>
      <c r="G195" s="79">
        <v>2449</v>
      </c>
      <c r="H195" s="344" t="s">
        <v>307</v>
      </c>
      <c r="I195" s="22" t="s">
        <v>47</v>
      </c>
      <c r="J195" s="8">
        <v>4</v>
      </c>
      <c r="K195" s="5"/>
      <c r="L195" s="79">
        <v>1</v>
      </c>
      <c r="M195" s="403">
        <v>0</v>
      </c>
      <c r="N195" s="240">
        <v>1</v>
      </c>
      <c r="O195" s="359">
        <v>999</v>
      </c>
      <c r="P195" s="79">
        <v>8</v>
      </c>
      <c r="Q195" s="342">
        <v>149</v>
      </c>
      <c r="R195" s="81">
        <v>56</v>
      </c>
      <c r="S195" s="324">
        <v>368</v>
      </c>
      <c r="T195" s="186">
        <v>3</v>
      </c>
      <c r="U195" s="426">
        <f t="shared" si="154"/>
        <v>7.0588235294117646E-2</v>
      </c>
      <c r="V195" s="94">
        <v>4.2300000000000004</v>
      </c>
      <c r="W195" s="39">
        <v>42.5</v>
      </c>
      <c r="X195" s="207">
        <v>41.6</v>
      </c>
      <c r="Y195" s="430">
        <f t="shared" si="155"/>
        <v>0.89999999999999858</v>
      </c>
      <c r="Z195" s="434">
        <f t="shared" si="156"/>
        <v>2.1634615384615349E-2</v>
      </c>
      <c r="AA195" s="340">
        <v>-16.54</v>
      </c>
      <c r="AB195" s="341">
        <v>48.96</v>
      </c>
      <c r="AC195" s="23" t="s">
        <v>47</v>
      </c>
      <c r="AD195" s="84">
        <v>44691</v>
      </c>
      <c r="AE195" s="311">
        <v>44691</v>
      </c>
      <c r="AF195" s="33">
        <f t="shared" si="153"/>
        <v>0</v>
      </c>
      <c r="AG195" s="401" t="s">
        <v>2297</v>
      </c>
      <c r="AH195" s="443"/>
      <c r="AI195" s="254"/>
      <c r="AJ195" s="391"/>
      <c r="AM195" s="245"/>
      <c r="AR195" s="402" t="str">
        <f>INDEX(基本資料!N:N,MATCH($G195,基本資料!A:A,0))</f>
        <v>中</v>
      </c>
    </row>
    <row r="196" spans="1:44">
      <c r="A196" s="343">
        <v>7.48</v>
      </c>
      <c r="B196" s="79">
        <v>238</v>
      </c>
      <c r="C196" s="79">
        <v>197</v>
      </c>
      <c r="D196" s="79">
        <v>0</v>
      </c>
      <c r="E196" s="79">
        <v>34</v>
      </c>
      <c r="F196" s="79">
        <v>32.159999999999997</v>
      </c>
      <c r="G196" s="80">
        <v>3141</v>
      </c>
      <c r="H196" s="96" t="s">
        <v>307</v>
      </c>
      <c r="I196" s="16" t="s">
        <v>181</v>
      </c>
      <c r="J196" s="8">
        <v>5</v>
      </c>
      <c r="K196" s="5"/>
      <c r="L196" s="79">
        <v>1</v>
      </c>
      <c r="M196" s="403">
        <v>0</v>
      </c>
      <c r="N196" s="240">
        <v>1</v>
      </c>
      <c r="O196" s="359">
        <v>19</v>
      </c>
      <c r="P196" s="79">
        <v>168</v>
      </c>
      <c r="Q196" s="342">
        <v>686</v>
      </c>
      <c r="R196" s="81">
        <v>198</v>
      </c>
      <c r="S196" s="324">
        <v>3</v>
      </c>
      <c r="T196" s="384">
        <v>4</v>
      </c>
      <c r="U196" s="426">
        <f t="shared" ref="U196:U201" si="157">T196/W196</f>
        <v>2.6936026936026935E-2</v>
      </c>
      <c r="V196" s="94">
        <v>11.99</v>
      </c>
      <c r="W196" s="39">
        <v>148.5</v>
      </c>
      <c r="X196" s="207">
        <v>144.5</v>
      </c>
      <c r="Y196" s="430">
        <f t="shared" si="155"/>
        <v>4</v>
      </c>
      <c r="Z196" s="434">
        <f t="shared" si="156"/>
        <v>2.768166089965398E-2</v>
      </c>
      <c r="AA196" s="340">
        <v>-48.21</v>
      </c>
      <c r="AB196" s="389">
        <v>25.39</v>
      </c>
      <c r="AC196" s="24" t="s">
        <v>181</v>
      </c>
      <c r="AD196" s="84">
        <v>44687</v>
      </c>
      <c r="AE196" s="83">
        <v>44691</v>
      </c>
      <c r="AF196" s="33">
        <f t="shared" si="153"/>
        <v>4</v>
      </c>
      <c r="AG196" s="417" t="s">
        <v>2145</v>
      </c>
      <c r="AH196" s="443"/>
      <c r="AI196" s="254"/>
      <c r="AJ196" s="392"/>
      <c r="AM196" s="245"/>
      <c r="AR196" s="402" t="str">
        <f>INDEX(基本資料!N:N,MATCH($G196,基本資料!A:A,0))</f>
        <v>低</v>
      </c>
    </row>
    <row r="197" spans="1:44">
      <c r="A197" s="343">
        <v>84.4</v>
      </c>
      <c r="B197" s="79">
        <v>112</v>
      </c>
      <c r="C197" s="79">
        <v>117</v>
      </c>
      <c r="D197" s="79">
        <v>19</v>
      </c>
      <c r="E197" s="79">
        <v>0</v>
      </c>
      <c r="F197" s="79">
        <v>9.9</v>
      </c>
      <c r="G197" s="80">
        <v>2377</v>
      </c>
      <c r="H197" s="450" t="s">
        <v>1145</v>
      </c>
      <c r="I197" s="22" t="s">
        <v>3380</v>
      </c>
      <c r="J197" s="102" t="s">
        <v>6406</v>
      </c>
      <c r="K197" s="5"/>
      <c r="L197" s="79">
        <v>2</v>
      </c>
      <c r="M197" s="403">
        <v>0</v>
      </c>
      <c r="N197" s="240">
        <v>2</v>
      </c>
      <c r="O197" s="359">
        <v>1082</v>
      </c>
      <c r="P197" s="79">
        <v>20</v>
      </c>
      <c r="Q197" s="342">
        <v>142</v>
      </c>
      <c r="R197" s="81">
        <v>41</v>
      </c>
      <c r="S197" s="324">
        <v>563</v>
      </c>
      <c r="T197" s="384">
        <v>10.5</v>
      </c>
      <c r="U197" s="426">
        <f t="shared" si="157"/>
        <v>8.3333333333333329E-2</v>
      </c>
      <c r="V197" s="94">
        <v>20.03</v>
      </c>
      <c r="W197" s="39">
        <v>126</v>
      </c>
      <c r="X197" s="207">
        <v>123.5</v>
      </c>
      <c r="Y197" s="430">
        <f>W197-X197</f>
        <v>2.5</v>
      </c>
      <c r="Z197" s="434">
        <f>Y197/X197</f>
        <v>2.0242914979757085E-2</v>
      </c>
      <c r="AA197" s="340">
        <v>-32.26</v>
      </c>
      <c r="AB197" s="389">
        <v>12.39</v>
      </c>
      <c r="AC197" s="23" t="s">
        <v>3380</v>
      </c>
      <c r="AD197" s="84">
        <v>44687</v>
      </c>
      <c r="AE197" s="83">
        <v>44690</v>
      </c>
      <c r="AF197" s="33">
        <f t="shared" si="153"/>
        <v>3</v>
      </c>
      <c r="AG197" s="402" t="s">
        <v>2717</v>
      </c>
      <c r="AH197" s="443"/>
      <c r="AI197" s="254"/>
      <c r="AJ197" s="392"/>
      <c r="AM197" s="245"/>
      <c r="AR197" s="402" t="str">
        <f>INDEX(基本資料!N:N,MATCH($G197,基本資料!A:A,0))</f>
        <v>低</v>
      </c>
    </row>
    <row r="198" spans="1:44">
      <c r="A198" s="343">
        <v>13.4</v>
      </c>
      <c r="B198" s="79">
        <v>77</v>
      </c>
      <c r="C198" s="79">
        <v>78</v>
      </c>
      <c r="D198" s="79">
        <v>17</v>
      </c>
      <c r="E198" s="79">
        <v>75</v>
      </c>
      <c r="F198" s="79">
        <v>14.02</v>
      </c>
      <c r="G198" s="79">
        <v>3443</v>
      </c>
      <c r="H198" s="450" t="s">
        <v>307</v>
      </c>
      <c r="I198" s="22" t="s">
        <v>49</v>
      </c>
      <c r="J198" s="8">
        <v>6</v>
      </c>
      <c r="K198" s="5"/>
      <c r="L198" s="79">
        <v>1</v>
      </c>
      <c r="M198" s="403">
        <v>0</v>
      </c>
      <c r="N198" s="240">
        <v>1</v>
      </c>
      <c r="O198" s="359">
        <v>771</v>
      </c>
      <c r="P198" s="79">
        <v>42</v>
      </c>
      <c r="Q198" s="342">
        <v>134</v>
      </c>
      <c r="R198" s="81">
        <v>50</v>
      </c>
      <c r="S198" s="324">
        <v>87</v>
      </c>
      <c r="T198" s="384">
        <v>7</v>
      </c>
      <c r="U198" s="426">
        <f t="shared" si="157"/>
        <v>1.4492753623188406E-2</v>
      </c>
      <c r="V198" s="94">
        <v>12.67</v>
      </c>
      <c r="W198" s="39">
        <v>483</v>
      </c>
      <c r="X198" s="207">
        <v>471.5</v>
      </c>
      <c r="Y198" s="430">
        <f>W198-X198</f>
        <v>11.5</v>
      </c>
      <c r="Z198" s="434">
        <f>Y198/X198</f>
        <v>2.4390243902439025E-2</v>
      </c>
      <c r="AA198" s="340">
        <v>-26.17</v>
      </c>
      <c r="AB198" s="341">
        <v>45.56</v>
      </c>
      <c r="AC198" s="23" t="s">
        <v>49</v>
      </c>
      <c r="AD198" s="84">
        <v>44687</v>
      </c>
      <c r="AE198" s="311">
        <v>44687</v>
      </c>
      <c r="AF198" s="33">
        <f t="shared" si="153"/>
        <v>0</v>
      </c>
      <c r="AG198" s="401" t="s">
        <v>3314</v>
      </c>
      <c r="AH198" s="443"/>
      <c r="AI198" s="254"/>
      <c r="AJ198" s="392"/>
      <c r="AM198" s="245"/>
      <c r="AR198" s="402" t="str">
        <f>INDEX(基本資料!N:N,MATCH($G198,基本資料!A:A,0))</f>
        <v>中</v>
      </c>
    </row>
    <row r="199" spans="1:44">
      <c r="A199" s="343">
        <v>41.9</v>
      </c>
      <c r="B199" s="79">
        <v>451</v>
      </c>
      <c r="C199" s="79">
        <v>932</v>
      </c>
      <c r="D199" s="79">
        <v>8</v>
      </c>
      <c r="E199" s="80">
        <v>-2</v>
      </c>
      <c r="F199" s="79">
        <v>8.0299999999999994</v>
      </c>
      <c r="G199" s="79">
        <v>4919</v>
      </c>
      <c r="H199" s="344" t="s">
        <v>307</v>
      </c>
      <c r="I199" s="22" t="s">
        <v>118</v>
      </c>
      <c r="J199" s="8" t="s">
        <v>6413</v>
      </c>
      <c r="K199" s="5"/>
      <c r="L199" s="79">
        <v>2</v>
      </c>
      <c r="M199" s="403">
        <v>0</v>
      </c>
      <c r="N199" s="240">
        <v>2</v>
      </c>
      <c r="O199" s="359">
        <v>306</v>
      </c>
      <c r="P199" s="79">
        <v>235</v>
      </c>
      <c r="Q199" s="342">
        <v>573</v>
      </c>
      <c r="R199" s="81">
        <v>18</v>
      </c>
      <c r="S199" s="324">
        <v>19</v>
      </c>
      <c r="T199" s="384">
        <v>5</v>
      </c>
      <c r="U199" s="426">
        <f t="shared" si="157"/>
        <v>2.976190476190476E-2</v>
      </c>
      <c r="V199" s="94">
        <v>9.48</v>
      </c>
      <c r="W199" s="39">
        <v>168</v>
      </c>
      <c r="X199" s="207">
        <v>164.5</v>
      </c>
      <c r="Y199" s="430">
        <f>W199-X199</f>
        <v>3.5</v>
      </c>
      <c r="Z199" s="434">
        <f>Y199/X199</f>
        <v>2.1276595744680851E-2</v>
      </c>
      <c r="AA199" s="340">
        <v>-18.05</v>
      </c>
      <c r="AB199" s="389">
        <v>41.32</v>
      </c>
      <c r="AC199" s="23" t="s">
        <v>118</v>
      </c>
      <c r="AD199" s="84">
        <v>44687</v>
      </c>
      <c r="AE199" s="311">
        <v>44687</v>
      </c>
      <c r="AF199" s="33">
        <f t="shared" si="153"/>
        <v>0</v>
      </c>
      <c r="AG199" s="401" t="s">
        <v>3020</v>
      </c>
      <c r="AH199" s="443"/>
      <c r="AI199" s="254"/>
      <c r="AJ199" s="392"/>
      <c r="AM199" s="245"/>
      <c r="AR199" s="402" t="str">
        <f>INDEX(基本資料!N:N,MATCH($G199,基本資料!A:A,0))</f>
        <v>中</v>
      </c>
    </row>
    <row r="200" spans="1:44">
      <c r="A200" s="343">
        <v>8.1300000000000008</v>
      </c>
      <c r="B200" s="79">
        <v>151</v>
      </c>
      <c r="C200" s="79">
        <v>120</v>
      </c>
      <c r="D200" s="79">
        <v>14</v>
      </c>
      <c r="E200" s="79">
        <v>5</v>
      </c>
      <c r="F200" s="79">
        <v>26.94</v>
      </c>
      <c r="G200" s="80">
        <v>8261</v>
      </c>
      <c r="H200" s="344" t="s">
        <v>3038</v>
      </c>
      <c r="I200" s="22" t="s">
        <v>322</v>
      </c>
      <c r="J200" s="8">
        <v>5</v>
      </c>
      <c r="K200" s="5"/>
      <c r="L200" s="79">
        <v>1</v>
      </c>
      <c r="M200" s="403">
        <v>0</v>
      </c>
      <c r="N200" s="240">
        <v>1</v>
      </c>
      <c r="O200" s="359">
        <v>40</v>
      </c>
      <c r="P200" s="79">
        <v>114</v>
      </c>
      <c r="Q200" s="342">
        <v>407</v>
      </c>
      <c r="R200" s="81">
        <v>491</v>
      </c>
      <c r="S200" s="324">
        <v>25</v>
      </c>
      <c r="T200" s="384">
        <v>6</v>
      </c>
      <c r="U200" s="426">
        <f t="shared" si="157"/>
        <v>5.4545454545454543E-2</v>
      </c>
      <c r="V200" s="94">
        <v>10.15</v>
      </c>
      <c r="W200" s="39">
        <v>110</v>
      </c>
      <c r="X200" s="207">
        <v>108</v>
      </c>
      <c r="Y200" s="430">
        <f>W200-X200</f>
        <v>2</v>
      </c>
      <c r="Z200" s="434">
        <f>Y200/X200</f>
        <v>1.8518518518518517E-2</v>
      </c>
      <c r="AA200" s="340">
        <v>-27.01</v>
      </c>
      <c r="AB200" s="389">
        <v>29.06</v>
      </c>
      <c r="AC200" s="23" t="s">
        <v>322</v>
      </c>
      <c r="AD200" s="84">
        <v>44686</v>
      </c>
      <c r="AE200" s="83">
        <v>44687</v>
      </c>
      <c r="AF200" s="33">
        <f t="shared" si="153"/>
        <v>1</v>
      </c>
      <c r="AG200" s="402" t="s">
        <v>2175</v>
      </c>
      <c r="AH200" s="443"/>
      <c r="AI200" s="254"/>
      <c r="AJ200" s="392"/>
      <c r="AM200" s="245"/>
      <c r="AR200" s="402" t="str">
        <f>INDEX(基本資料!N:N,MATCH($G200,基本資料!A:A,0))</f>
        <v>中</v>
      </c>
    </row>
    <row r="201" spans="1:44">
      <c r="A201" s="343">
        <v>4.9800000000000004</v>
      </c>
      <c r="B201" s="80">
        <v>-26</v>
      </c>
      <c r="C201" s="80">
        <v>-29</v>
      </c>
      <c r="D201" s="79">
        <v>0</v>
      </c>
      <c r="E201" s="79">
        <v>36</v>
      </c>
      <c r="F201" s="79">
        <v>15.7</v>
      </c>
      <c r="G201" s="80">
        <v>8155</v>
      </c>
      <c r="H201" s="403" t="s">
        <v>3388</v>
      </c>
      <c r="I201" s="16" t="s">
        <v>84</v>
      </c>
      <c r="J201" s="8" t="s">
        <v>6417</v>
      </c>
      <c r="K201" s="5"/>
      <c r="L201" s="79">
        <v>2</v>
      </c>
      <c r="M201" s="403">
        <v>0</v>
      </c>
      <c r="N201" s="240">
        <v>2</v>
      </c>
      <c r="O201" s="359">
        <v>224</v>
      </c>
      <c r="P201" s="79">
        <v>214</v>
      </c>
      <c r="Q201" s="342">
        <v>1075</v>
      </c>
      <c r="R201" s="81">
        <v>2</v>
      </c>
      <c r="S201" s="324">
        <v>7</v>
      </c>
      <c r="T201" s="384">
        <v>6</v>
      </c>
      <c r="U201" s="426">
        <f t="shared" si="157"/>
        <v>3.8216560509554139E-2</v>
      </c>
      <c r="V201" s="94">
        <v>7.85</v>
      </c>
      <c r="W201" s="39">
        <v>157</v>
      </c>
      <c r="X201" s="207">
        <v>154</v>
      </c>
      <c r="Y201" s="430">
        <f>W201-X201</f>
        <v>3</v>
      </c>
      <c r="Z201" s="434">
        <f>Y201/X201</f>
        <v>1.948051948051948E-2</v>
      </c>
      <c r="AA201" s="340">
        <v>-27.12</v>
      </c>
      <c r="AB201" s="389">
        <v>25.13</v>
      </c>
      <c r="AC201" s="24" t="s">
        <v>84</v>
      </c>
      <c r="AD201" s="84">
        <v>44687</v>
      </c>
      <c r="AE201" s="311">
        <v>44687</v>
      </c>
      <c r="AF201" s="33">
        <f t="shared" si="153"/>
        <v>0</v>
      </c>
      <c r="AG201" s="401" t="s">
        <v>1048</v>
      </c>
      <c r="AH201" s="443"/>
      <c r="AI201" s="254"/>
      <c r="AJ201" s="392"/>
      <c r="AM201" s="245"/>
      <c r="AR201" s="402" t="str">
        <f>INDEX(基本資料!N:N,MATCH($G201,基本資料!A:A,0))</f>
        <v>中</v>
      </c>
    </row>
    <row r="202" spans="1:44">
      <c r="A202" s="343">
        <v>84.5</v>
      </c>
      <c r="B202" s="79">
        <v>456</v>
      </c>
      <c r="C202" s="79">
        <v>649</v>
      </c>
      <c r="D202" s="79">
        <v>51</v>
      </c>
      <c r="E202" s="79">
        <v>24</v>
      </c>
      <c r="F202" s="79">
        <v>27.18</v>
      </c>
      <c r="G202" s="79">
        <v>2606</v>
      </c>
      <c r="H202" s="344" t="s">
        <v>302</v>
      </c>
      <c r="I202" s="22" t="s">
        <v>4618</v>
      </c>
      <c r="J202" s="102" t="s">
        <v>3544</v>
      </c>
      <c r="L202" s="79">
        <v>1</v>
      </c>
      <c r="M202" s="403">
        <v>0</v>
      </c>
      <c r="N202" s="240">
        <v>1</v>
      </c>
      <c r="O202" s="359">
        <v>629</v>
      </c>
      <c r="P202" s="79">
        <v>163</v>
      </c>
      <c r="Q202" s="342">
        <v>454</v>
      </c>
      <c r="R202" s="81">
        <v>27</v>
      </c>
      <c r="S202" s="324">
        <v>166</v>
      </c>
      <c r="T202" s="384">
        <v>3</v>
      </c>
      <c r="U202" s="426">
        <f t="shared" ref="U202" si="158">T202/W202</f>
        <v>4.5180722891566258E-2</v>
      </c>
      <c r="V202" s="94">
        <v>5.79</v>
      </c>
      <c r="W202" s="39">
        <v>66.400000000000006</v>
      </c>
      <c r="X202" s="207">
        <v>64.8</v>
      </c>
      <c r="Y202" s="430">
        <f t="shared" ref="Y202" si="159">W202-X202</f>
        <v>1.6000000000000085</v>
      </c>
      <c r="Z202" s="434">
        <f t="shared" ref="Z202" si="160">Y202/X202</f>
        <v>2.4691358024691492E-2</v>
      </c>
      <c r="AA202" s="340">
        <v>-33.090000000000003</v>
      </c>
      <c r="AB202" s="341">
        <v>59.4</v>
      </c>
      <c r="AC202" s="23" t="s">
        <v>4618</v>
      </c>
      <c r="AD202" s="84">
        <v>44679</v>
      </c>
      <c r="AE202" s="83">
        <v>44687</v>
      </c>
      <c r="AF202" s="33">
        <f t="shared" si="153"/>
        <v>8</v>
      </c>
      <c r="AG202" s="401" t="s">
        <v>3266</v>
      </c>
      <c r="AH202" s="443"/>
      <c r="AI202" s="254"/>
      <c r="AJ202" s="392"/>
      <c r="AM202" s="245"/>
      <c r="AR202" s="402" t="str">
        <f>INDEX(基本資料!N:N,MATCH($G202,基本資料!A:A,0))</f>
        <v>中</v>
      </c>
    </row>
    <row r="203" spans="1:44">
      <c r="A203" s="343">
        <v>122</v>
      </c>
      <c r="B203" s="79">
        <v>43</v>
      </c>
      <c r="C203" s="79">
        <v>42</v>
      </c>
      <c r="D203" s="79">
        <v>26</v>
      </c>
      <c r="E203" s="79">
        <v>23</v>
      </c>
      <c r="F203" s="79">
        <v>19.57</v>
      </c>
      <c r="G203" s="80">
        <v>2449</v>
      </c>
      <c r="H203" s="403" t="s">
        <v>3038</v>
      </c>
      <c r="I203" s="22" t="s">
        <v>47</v>
      </c>
      <c r="J203" s="102" t="s">
        <v>6238</v>
      </c>
      <c r="L203" s="79">
        <v>3</v>
      </c>
      <c r="M203" s="403">
        <v>0</v>
      </c>
      <c r="N203" s="240">
        <v>3</v>
      </c>
      <c r="O203" s="359">
        <v>993</v>
      </c>
      <c r="P203" s="79">
        <v>8</v>
      </c>
      <c r="Q203" s="342">
        <v>157</v>
      </c>
      <c r="R203" s="81">
        <v>54</v>
      </c>
      <c r="S203" s="324">
        <v>368</v>
      </c>
      <c r="T203" s="384">
        <v>3</v>
      </c>
      <c r="U203" s="426">
        <f t="shared" ref="U203:U210" si="161">T203/W203</f>
        <v>7.1770334928229665E-2</v>
      </c>
      <c r="V203" s="94">
        <v>4.2300000000000004</v>
      </c>
      <c r="W203" s="39">
        <v>41.8</v>
      </c>
      <c r="X203" s="207">
        <v>40.799999999999997</v>
      </c>
      <c r="Y203" s="430">
        <f t="shared" ref="Y203:Y210" si="162">W203-X203</f>
        <v>1</v>
      </c>
      <c r="Z203" s="434">
        <f t="shared" ref="Z203:Z210" si="163">Y203/X203</f>
        <v>2.4509803921568631E-2</v>
      </c>
      <c r="AA203" s="340">
        <v>-20.14</v>
      </c>
      <c r="AB203" s="389">
        <v>19.16</v>
      </c>
      <c r="AC203" s="23" t="s">
        <v>47</v>
      </c>
      <c r="AD203" s="84">
        <v>44673</v>
      </c>
      <c r="AE203" s="83">
        <v>44687</v>
      </c>
      <c r="AF203" s="33">
        <f t="shared" si="153"/>
        <v>14</v>
      </c>
      <c r="AG203" s="401" t="s">
        <v>2297</v>
      </c>
      <c r="AH203" s="443"/>
      <c r="AI203" s="254"/>
      <c r="AJ203" s="392"/>
      <c r="AM203" s="245"/>
      <c r="AR203" s="402" t="str">
        <f>INDEX(基本資料!N:N,MATCH($G203,基本資料!A:A,0))</f>
        <v>中</v>
      </c>
    </row>
    <row r="204" spans="1:44">
      <c r="A204" s="343">
        <v>9.18</v>
      </c>
      <c r="B204" s="79">
        <v>81</v>
      </c>
      <c r="C204" s="79">
        <v>87</v>
      </c>
      <c r="D204" s="79">
        <v>5</v>
      </c>
      <c r="E204" s="80">
        <v>-12</v>
      </c>
      <c r="F204" s="79">
        <v>27.55</v>
      </c>
      <c r="G204" s="80">
        <v>6411</v>
      </c>
      <c r="H204" s="96" t="s">
        <v>307</v>
      </c>
      <c r="I204" s="16" t="s">
        <v>251</v>
      </c>
      <c r="J204" s="8" t="s">
        <v>6418</v>
      </c>
      <c r="K204" s="5"/>
      <c r="L204" s="79">
        <v>2</v>
      </c>
      <c r="M204" s="403">
        <v>0</v>
      </c>
      <c r="N204" s="240">
        <v>2</v>
      </c>
      <c r="O204" s="359">
        <v>88</v>
      </c>
      <c r="P204" s="79">
        <v>519</v>
      </c>
      <c r="Q204" s="342">
        <v>346</v>
      </c>
      <c r="R204" s="81">
        <v>297</v>
      </c>
      <c r="S204" s="324">
        <v>5</v>
      </c>
      <c r="T204" s="384">
        <v>7.22</v>
      </c>
      <c r="U204" s="426">
        <f t="shared" si="161"/>
        <v>4.8456375838926175E-2</v>
      </c>
      <c r="V204" s="94">
        <v>10.33</v>
      </c>
      <c r="W204" s="39">
        <v>149</v>
      </c>
      <c r="X204" s="207">
        <v>145.5</v>
      </c>
      <c r="Y204" s="430">
        <f t="shared" si="162"/>
        <v>3.5</v>
      </c>
      <c r="Z204" s="434">
        <f t="shared" si="163"/>
        <v>2.4054982817869417E-2</v>
      </c>
      <c r="AA204" s="340">
        <v>-50.33</v>
      </c>
      <c r="AB204" s="389">
        <v>19.149999999999999</v>
      </c>
      <c r="AC204" s="24" t="s">
        <v>251</v>
      </c>
      <c r="AD204" s="84">
        <v>44687</v>
      </c>
      <c r="AE204" s="311">
        <v>44687</v>
      </c>
      <c r="AF204" s="33">
        <f t="shared" si="153"/>
        <v>0</v>
      </c>
      <c r="AG204" s="402" t="s">
        <v>2147</v>
      </c>
      <c r="AH204" s="443"/>
      <c r="AI204" s="254"/>
      <c r="AJ204" s="392"/>
      <c r="AM204" s="245"/>
      <c r="AR204" s="402" t="str">
        <f>INDEX(基本資料!N:N,MATCH($G204,基本資料!A:A,0))</f>
        <v>低</v>
      </c>
    </row>
    <row r="205" spans="1:44">
      <c r="A205" s="343">
        <v>17.8</v>
      </c>
      <c r="B205" s="79">
        <v>89</v>
      </c>
      <c r="C205" s="79">
        <v>52</v>
      </c>
      <c r="D205" s="79">
        <v>16</v>
      </c>
      <c r="E205" s="79">
        <v>7</v>
      </c>
      <c r="F205" s="79">
        <v>24.59</v>
      </c>
      <c r="G205" s="80">
        <v>6271</v>
      </c>
      <c r="H205" s="403" t="s">
        <v>307</v>
      </c>
      <c r="I205" s="22" t="s">
        <v>55</v>
      </c>
      <c r="J205" s="102" t="s">
        <v>6410</v>
      </c>
      <c r="K205" s="5"/>
      <c r="L205" s="79">
        <v>1</v>
      </c>
      <c r="M205" s="403">
        <v>0</v>
      </c>
      <c r="N205" s="240">
        <v>1</v>
      </c>
      <c r="O205" s="359">
        <v>636</v>
      </c>
      <c r="P205" s="79">
        <v>136</v>
      </c>
      <c r="Q205" s="342">
        <v>117</v>
      </c>
      <c r="R205" s="81">
        <v>11</v>
      </c>
      <c r="S205" s="324">
        <v>43</v>
      </c>
      <c r="T205" s="384">
        <v>9</v>
      </c>
      <c r="U205" s="426">
        <f t="shared" si="161"/>
        <v>3.7499999999999999E-2</v>
      </c>
      <c r="V205" s="94">
        <v>17.89</v>
      </c>
      <c r="W205" s="39">
        <v>240</v>
      </c>
      <c r="X205" s="207">
        <v>235</v>
      </c>
      <c r="Y205" s="430">
        <f t="shared" si="162"/>
        <v>5</v>
      </c>
      <c r="Z205" s="434">
        <f t="shared" si="163"/>
        <v>2.1276595744680851E-2</v>
      </c>
      <c r="AA205" s="340">
        <v>-25.35</v>
      </c>
      <c r="AB205" s="389">
        <v>24.89</v>
      </c>
      <c r="AC205" s="23" t="s">
        <v>55</v>
      </c>
      <c r="AD205" s="84">
        <v>44687</v>
      </c>
      <c r="AE205" s="311">
        <v>44687</v>
      </c>
      <c r="AF205" s="33">
        <f t="shared" si="153"/>
        <v>0</v>
      </c>
      <c r="AG205" s="401" t="s">
        <v>2295</v>
      </c>
      <c r="AH205" s="443"/>
      <c r="AI205" s="254"/>
      <c r="AJ205" s="392"/>
      <c r="AM205" s="245"/>
      <c r="AR205" s="402" t="str">
        <f>INDEX(基本資料!N:N,MATCH($G205,基本資料!A:A,0))</f>
        <v>中</v>
      </c>
    </row>
    <row r="206" spans="1:44">
      <c r="A206" s="343">
        <v>5.81</v>
      </c>
      <c r="B206" s="80">
        <v>-29</v>
      </c>
      <c r="C206" s="80">
        <v>-29</v>
      </c>
      <c r="D206" s="79">
        <v>72</v>
      </c>
      <c r="E206" s="79">
        <v>45</v>
      </c>
      <c r="F206" s="79">
        <v>12.97</v>
      </c>
      <c r="G206" s="80">
        <v>4763</v>
      </c>
      <c r="H206" s="403" t="s">
        <v>755</v>
      </c>
      <c r="I206" s="22" t="s">
        <v>3637</v>
      </c>
      <c r="J206" s="102" t="s">
        <v>4718</v>
      </c>
      <c r="L206" s="79">
        <v>1</v>
      </c>
      <c r="M206" s="403">
        <v>0</v>
      </c>
      <c r="N206" s="240">
        <v>1</v>
      </c>
      <c r="O206" s="359">
        <v>530</v>
      </c>
      <c r="P206" s="79">
        <v>1054</v>
      </c>
      <c r="Q206" s="342">
        <v>32</v>
      </c>
      <c r="R206" s="81" t="s">
        <v>6279</v>
      </c>
      <c r="S206" s="324">
        <v>999</v>
      </c>
      <c r="T206" s="384">
        <v>5.5</v>
      </c>
      <c r="U206" s="426">
        <f t="shared" si="161"/>
        <v>5.6352459016393443E-2</v>
      </c>
      <c r="V206" s="94">
        <v>6.43</v>
      </c>
      <c r="W206" s="39">
        <v>97.6</v>
      </c>
      <c r="X206" s="207">
        <v>96</v>
      </c>
      <c r="Y206" s="430">
        <f t="shared" si="162"/>
        <v>1.5999999999999943</v>
      </c>
      <c r="Z206" s="434">
        <f t="shared" si="163"/>
        <v>1.6666666666666607E-2</v>
      </c>
      <c r="AA206" s="340">
        <v>-18.809999999999999</v>
      </c>
      <c r="AB206" s="389">
        <v>36.79</v>
      </c>
      <c r="AC206" s="23" t="s">
        <v>3637</v>
      </c>
      <c r="AD206" s="84">
        <v>44684</v>
      </c>
      <c r="AE206" s="83">
        <v>44687</v>
      </c>
      <c r="AF206" s="33">
        <f t="shared" si="153"/>
        <v>3</v>
      </c>
      <c r="AG206" s="402" t="s">
        <v>3638</v>
      </c>
      <c r="AH206" s="443"/>
      <c r="AI206" s="254"/>
      <c r="AJ206" s="392"/>
      <c r="AM206" s="245"/>
      <c r="AR206" s="402" t="str">
        <f>INDEX(基本資料!N:N,MATCH($G206,基本資料!A:A,0))</f>
        <v>中</v>
      </c>
    </row>
    <row r="207" spans="1:44">
      <c r="A207" s="343">
        <v>4.72</v>
      </c>
      <c r="B207" s="79">
        <v>121</v>
      </c>
      <c r="C207" s="79">
        <v>135</v>
      </c>
      <c r="D207" s="79">
        <v>28</v>
      </c>
      <c r="E207" s="79">
        <v>5</v>
      </c>
      <c r="F207" s="79">
        <v>19.690000000000001</v>
      </c>
      <c r="G207" s="80">
        <v>3438</v>
      </c>
      <c r="H207" s="96" t="s">
        <v>307</v>
      </c>
      <c r="I207" s="16" t="s">
        <v>362</v>
      </c>
      <c r="J207" s="102" t="s">
        <v>6419</v>
      </c>
      <c r="K207" s="5"/>
      <c r="L207" s="79">
        <v>1</v>
      </c>
      <c r="M207" s="403">
        <v>0</v>
      </c>
      <c r="N207" s="240">
        <v>1</v>
      </c>
      <c r="O207" s="359">
        <v>357</v>
      </c>
      <c r="P207" s="79">
        <v>30</v>
      </c>
      <c r="Q207" s="342">
        <v>1034</v>
      </c>
      <c r="R207" s="81" t="s">
        <v>6279</v>
      </c>
      <c r="S207" s="324">
        <v>497</v>
      </c>
      <c r="T207" s="384">
        <v>3.6</v>
      </c>
      <c r="U207" s="426">
        <f t="shared" si="161"/>
        <v>5.4135338345864661E-2</v>
      </c>
      <c r="V207" s="94">
        <v>5.14</v>
      </c>
      <c r="W207" s="39">
        <v>66.5</v>
      </c>
      <c r="X207" s="207">
        <v>65.900000000000006</v>
      </c>
      <c r="Y207" s="430">
        <f t="shared" si="162"/>
        <v>0.59999999999999432</v>
      </c>
      <c r="Z207" s="434">
        <f t="shared" si="163"/>
        <v>9.1047040971167573E-3</v>
      </c>
      <c r="AA207" s="340">
        <v>-43.68</v>
      </c>
      <c r="AB207" s="389">
        <v>24.31</v>
      </c>
      <c r="AC207" s="24" t="s">
        <v>362</v>
      </c>
      <c r="AD207" s="84">
        <v>44687</v>
      </c>
      <c r="AE207" s="311">
        <v>44687</v>
      </c>
      <c r="AF207" s="33">
        <f t="shared" si="153"/>
        <v>0</v>
      </c>
      <c r="AG207" s="402" t="s">
        <v>1437</v>
      </c>
      <c r="AH207" s="443"/>
      <c r="AI207" s="254"/>
      <c r="AJ207" s="392"/>
      <c r="AM207" s="245"/>
      <c r="AR207" s="402" t="str">
        <f>INDEX(基本資料!N:N,MATCH($G207,基本資料!A:A,0))</f>
        <v>低</v>
      </c>
    </row>
    <row r="208" spans="1:44">
      <c r="A208" s="343">
        <v>38.200000000000003</v>
      </c>
      <c r="B208" s="79">
        <v>119</v>
      </c>
      <c r="C208" s="79">
        <v>130</v>
      </c>
      <c r="D208" s="79">
        <v>17</v>
      </c>
      <c r="E208" s="79">
        <v>11</v>
      </c>
      <c r="F208" s="79">
        <v>16.52</v>
      </c>
      <c r="G208" s="80">
        <v>2481</v>
      </c>
      <c r="H208" s="403" t="s">
        <v>307</v>
      </c>
      <c r="I208" s="22" t="s">
        <v>183</v>
      </c>
      <c r="J208" s="8" t="s">
        <v>6414</v>
      </c>
      <c r="K208" s="5"/>
      <c r="L208" s="79">
        <v>2</v>
      </c>
      <c r="M208" s="403">
        <v>0</v>
      </c>
      <c r="N208" s="240">
        <v>2</v>
      </c>
      <c r="O208" s="359">
        <v>163</v>
      </c>
      <c r="P208" s="79">
        <v>424</v>
      </c>
      <c r="Q208" s="342">
        <v>400</v>
      </c>
      <c r="R208" s="81">
        <v>158</v>
      </c>
      <c r="S208" s="324">
        <v>21</v>
      </c>
      <c r="T208" s="384">
        <v>3</v>
      </c>
      <c r="U208" s="426">
        <f t="shared" si="161"/>
        <v>3.7037037037037035E-2</v>
      </c>
      <c r="V208" s="94">
        <v>5.77</v>
      </c>
      <c r="W208" s="39">
        <v>81</v>
      </c>
      <c r="X208" s="207">
        <v>79.2</v>
      </c>
      <c r="Y208" s="430">
        <f t="shared" si="162"/>
        <v>1.7999999999999972</v>
      </c>
      <c r="Z208" s="434">
        <f t="shared" si="163"/>
        <v>2.272727272727269E-2</v>
      </c>
      <c r="AA208" s="340">
        <v>-34.880000000000003</v>
      </c>
      <c r="AB208" s="389">
        <v>21.92</v>
      </c>
      <c r="AC208" s="23" t="s">
        <v>183</v>
      </c>
      <c r="AD208" s="84">
        <v>44687</v>
      </c>
      <c r="AE208" s="311">
        <v>44687</v>
      </c>
      <c r="AF208" s="33">
        <f t="shared" si="153"/>
        <v>0</v>
      </c>
      <c r="AG208" s="417" t="s">
        <v>2184</v>
      </c>
      <c r="AH208" s="443"/>
      <c r="AI208" s="254"/>
      <c r="AJ208" s="392"/>
      <c r="AM208" s="245"/>
      <c r="AR208" s="402" t="str">
        <f>INDEX(基本資料!N:N,MATCH($G208,基本資料!A:A,0))</f>
        <v>低</v>
      </c>
    </row>
    <row r="209" spans="1:44">
      <c r="A209" s="343">
        <v>25.2</v>
      </c>
      <c r="B209" s="79">
        <v>181</v>
      </c>
      <c r="C209" s="79">
        <v>158</v>
      </c>
      <c r="D209" s="80">
        <v>-5</v>
      </c>
      <c r="E209" s="79">
        <v>1</v>
      </c>
      <c r="F209" s="79">
        <v>21.4</v>
      </c>
      <c r="G209" s="80">
        <v>8358</v>
      </c>
      <c r="H209" s="403" t="s">
        <v>3388</v>
      </c>
      <c r="I209" s="16" t="s">
        <v>222</v>
      </c>
      <c r="J209" s="102" t="s">
        <v>6410</v>
      </c>
      <c r="K209" s="5"/>
      <c r="L209" s="79">
        <v>1</v>
      </c>
      <c r="M209" s="403">
        <v>0</v>
      </c>
      <c r="N209" s="240">
        <v>1</v>
      </c>
      <c r="O209" s="359">
        <v>308</v>
      </c>
      <c r="P209" s="79">
        <v>314</v>
      </c>
      <c r="Q209" s="342">
        <v>636</v>
      </c>
      <c r="R209" s="81">
        <v>36</v>
      </c>
      <c r="S209" s="324">
        <v>157</v>
      </c>
      <c r="T209" s="384">
        <v>4.2</v>
      </c>
      <c r="U209" s="426">
        <f t="shared" si="161"/>
        <v>6.965174129353234E-2</v>
      </c>
      <c r="V209" s="94">
        <v>6.03</v>
      </c>
      <c r="W209" s="39">
        <v>60.3</v>
      </c>
      <c r="X209" s="207">
        <v>58.9</v>
      </c>
      <c r="Y209" s="430">
        <f t="shared" si="162"/>
        <v>1.3999999999999986</v>
      </c>
      <c r="Z209" s="434">
        <f t="shared" si="163"/>
        <v>2.3769100169779265E-2</v>
      </c>
      <c r="AA209" s="340">
        <v>-34.770000000000003</v>
      </c>
      <c r="AB209" s="389">
        <v>17.39</v>
      </c>
      <c r="AC209" s="24" t="s">
        <v>222</v>
      </c>
      <c r="AD209" s="84">
        <v>44687</v>
      </c>
      <c r="AE209" s="311">
        <v>44687</v>
      </c>
      <c r="AF209" s="33">
        <f t="shared" si="153"/>
        <v>0</v>
      </c>
      <c r="AG209" s="401" t="s">
        <v>2430</v>
      </c>
      <c r="AH209" s="443"/>
      <c r="AI209" s="254"/>
      <c r="AJ209" s="392"/>
      <c r="AM209" s="245"/>
      <c r="AR209" s="402" t="str">
        <f>INDEX(基本資料!N:N,MATCH($G209,基本資料!A:A,0))</f>
        <v>低</v>
      </c>
    </row>
    <row r="210" spans="1:44">
      <c r="A210" s="343">
        <v>4.4000000000000004</v>
      </c>
      <c r="B210" s="79">
        <v>194</v>
      </c>
      <c r="C210" s="79">
        <v>170</v>
      </c>
      <c r="D210" s="79">
        <v>6</v>
      </c>
      <c r="E210" s="79">
        <v>47</v>
      </c>
      <c r="F210" s="79">
        <v>32.71</v>
      </c>
      <c r="G210" s="80">
        <v>6485</v>
      </c>
      <c r="H210" s="403" t="s">
        <v>307</v>
      </c>
      <c r="I210" s="16" t="s">
        <v>232</v>
      </c>
      <c r="J210" s="102" t="s">
        <v>6419</v>
      </c>
      <c r="K210" s="5"/>
      <c r="L210" s="79">
        <v>1</v>
      </c>
      <c r="M210" s="403">
        <v>0</v>
      </c>
      <c r="N210" s="240">
        <v>1</v>
      </c>
      <c r="O210" s="359">
        <v>16</v>
      </c>
      <c r="P210" s="79">
        <v>124</v>
      </c>
      <c r="Q210" s="342">
        <v>805</v>
      </c>
      <c r="R210" s="81">
        <v>418</v>
      </c>
      <c r="S210" s="324">
        <v>8</v>
      </c>
      <c r="T210" s="384">
        <v>5</v>
      </c>
      <c r="U210" s="426">
        <f t="shared" si="161"/>
        <v>4.1841004184100417E-2</v>
      </c>
      <c r="V210" s="94">
        <v>14.29</v>
      </c>
      <c r="W210" s="39">
        <v>119.5</v>
      </c>
      <c r="X210" s="207">
        <v>117</v>
      </c>
      <c r="Y210" s="430">
        <f t="shared" si="162"/>
        <v>2.5</v>
      </c>
      <c r="Z210" s="434">
        <f t="shared" si="163"/>
        <v>2.1367521367521368E-2</v>
      </c>
      <c r="AA210" s="340">
        <v>-36.39</v>
      </c>
      <c r="AB210" s="389">
        <v>27.49</v>
      </c>
      <c r="AC210" s="24" t="s">
        <v>232</v>
      </c>
      <c r="AD210" s="84">
        <v>44687</v>
      </c>
      <c r="AE210" s="311">
        <v>44687</v>
      </c>
      <c r="AF210" s="33">
        <f t="shared" si="153"/>
        <v>0</v>
      </c>
      <c r="AG210" s="402" t="s">
        <v>2364</v>
      </c>
      <c r="AH210" s="443"/>
      <c r="AI210" s="254"/>
      <c r="AJ210" s="392"/>
      <c r="AM210" s="245"/>
      <c r="AR210" s="402" t="str">
        <f>INDEX(基本資料!N:N,MATCH($G210,基本資料!A:A,0))</f>
        <v>低</v>
      </c>
    </row>
    <row r="211" spans="1:44">
      <c r="A211" s="343">
        <v>41.9</v>
      </c>
      <c r="B211" s="79">
        <v>451</v>
      </c>
      <c r="C211" s="79">
        <v>932</v>
      </c>
      <c r="D211" s="79">
        <v>8</v>
      </c>
      <c r="E211" s="80">
        <v>-2</v>
      </c>
      <c r="F211" s="79">
        <v>8.0299999999999994</v>
      </c>
      <c r="G211" s="79">
        <v>4919</v>
      </c>
      <c r="H211" s="344" t="s">
        <v>3038</v>
      </c>
      <c r="I211" s="22" t="s">
        <v>118</v>
      </c>
      <c r="J211" s="8" t="s">
        <v>3544</v>
      </c>
      <c r="L211" s="79">
        <v>1</v>
      </c>
      <c r="M211" s="403">
        <v>0</v>
      </c>
      <c r="N211" s="240">
        <v>1</v>
      </c>
      <c r="O211" s="359">
        <v>306</v>
      </c>
      <c r="P211" s="79">
        <v>235</v>
      </c>
      <c r="Q211" s="342">
        <v>573</v>
      </c>
      <c r="R211" s="81">
        <v>18</v>
      </c>
      <c r="S211" s="324">
        <v>19</v>
      </c>
      <c r="T211" s="384">
        <v>5</v>
      </c>
      <c r="U211" s="426">
        <f t="shared" ref="U211:U223" si="164">T211/W211</f>
        <v>2.976190476190476E-2</v>
      </c>
      <c r="V211" s="94">
        <v>7.34</v>
      </c>
      <c r="W211" s="39">
        <v>168</v>
      </c>
      <c r="X211" s="207">
        <v>161.5</v>
      </c>
      <c r="Y211" s="430">
        <f t="shared" ref="Y211:Y223" si="165">W211-X211</f>
        <v>6.5</v>
      </c>
      <c r="Z211" s="434">
        <f t="shared" ref="Z211:Z223" si="166">Y211/X211</f>
        <v>4.0247678018575851E-2</v>
      </c>
      <c r="AA211" s="340">
        <v>-18.78</v>
      </c>
      <c r="AB211" s="341">
        <v>53.03</v>
      </c>
      <c r="AC211" s="23" t="s">
        <v>118</v>
      </c>
      <c r="AD211" s="84">
        <v>44673</v>
      </c>
      <c r="AE211" s="83">
        <v>44686</v>
      </c>
      <c r="AF211" s="33">
        <f t="shared" si="153"/>
        <v>13</v>
      </c>
      <c r="AG211" s="401" t="s">
        <v>3020</v>
      </c>
      <c r="AH211" s="443"/>
      <c r="AI211" s="254"/>
      <c r="AJ211" s="392"/>
      <c r="AM211" s="245"/>
      <c r="AR211" s="402" t="str">
        <f>INDEX(基本資料!N:N,MATCH($G211,基本資料!A:A,0))</f>
        <v>中</v>
      </c>
    </row>
    <row r="212" spans="1:44">
      <c r="A212" s="343">
        <v>7.48</v>
      </c>
      <c r="B212" s="79">
        <v>238</v>
      </c>
      <c r="C212" s="79">
        <v>197</v>
      </c>
      <c r="D212" s="79">
        <v>11</v>
      </c>
      <c r="E212" s="79">
        <v>35</v>
      </c>
      <c r="F212" s="79">
        <v>32.159999999999997</v>
      </c>
      <c r="G212" s="80">
        <v>3141</v>
      </c>
      <c r="H212" s="132" t="s">
        <v>307</v>
      </c>
      <c r="I212" s="16" t="s">
        <v>181</v>
      </c>
      <c r="J212" s="8" t="s">
        <v>6374</v>
      </c>
      <c r="K212" s="5"/>
      <c r="L212" s="79">
        <v>2</v>
      </c>
      <c r="M212" s="403">
        <v>0</v>
      </c>
      <c r="N212" s="240">
        <v>2</v>
      </c>
      <c r="O212" s="359">
        <v>19</v>
      </c>
      <c r="P212" s="79">
        <v>168</v>
      </c>
      <c r="Q212" s="342">
        <v>686</v>
      </c>
      <c r="R212" s="81">
        <v>198</v>
      </c>
      <c r="S212" s="324">
        <v>3</v>
      </c>
      <c r="T212" s="384">
        <v>4</v>
      </c>
      <c r="U212" s="426">
        <f t="shared" si="164"/>
        <v>2.7027027027027029E-2</v>
      </c>
      <c r="V212" s="94">
        <v>11.99</v>
      </c>
      <c r="W212" s="39">
        <v>148</v>
      </c>
      <c r="X212" s="207">
        <v>141</v>
      </c>
      <c r="Y212" s="430">
        <f t="shared" si="165"/>
        <v>7</v>
      </c>
      <c r="Z212" s="434">
        <f t="shared" si="166"/>
        <v>4.9645390070921988E-2</v>
      </c>
      <c r="AA212" s="340">
        <v>-51.11</v>
      </c>
      <c r="AB212" s="389">
        <v>21.66</v>
      </c>
      <c r="AC212" s="24" t="s">
        <v>181</v>
      </c>
      <c r="AD212" s="84">
        <v>44685</v>
      </c>
      <c r="AE212" s="83">
        <v>44686</v>
      </c>
      <c r="AF212" s="33">
        <f t="shared" si="153"/>
        <v>1</v>
      </c>
      <c r="AG212" s="417" t="s">
        <v>2145</v>
      </c>
      <c r="AH212" s="443"/>
      <c r="AI212" s="254"/>
      <c r="AJ212" s="392"/>
      <c r="AM212" s="245"/>
      <c r="AR212" s="402" t="str">
        <f>INDEX(基本資料!N:N,MATCH($G212,基本資料!A:A,0))</f>
        <v>低</v>
      </c>
    </row>
    <row r="213" spans="1:44">
      <c r="A213" s="343">
        <v>1386</v>
      </c>
      <c r="B213" s="79">
        <v>34</v>
      </c>
      <c r="C213" s="79">
        <v>34</v>
      </c>
      <c r="D213" s="79">
        <v>11</v>
      </c>
      <c r="E213" s="79">
        <v>15</v>
      </c>
      <c r="F213" s="79">
        <v>2.4900000000000002</v>
      </c>
      <c r="G213" s="80">
        <v>2317</v>
      </c>
      <c r="H213" s="403" t="s">
        <v>314</v>
      </c>
      <c r="I213" s="22" t="s">
        <v>4</v>
      </c>
      <c r="J213" s="102" t="s">
        <v>3544</v>
      </c>
      <c r="L213" s="79">
        <v>1</v>
      </c>
      <c r="M213" s="403">
        <v>0</v>
      </c>
      <c r="N213" s="240">
        <v>1</v>
      </c>
      <c r="O213" s="359">
        <v>1174</v>
      </c>
      <c r="P213" s="79">
        <v>337</v>
      </c>
      <c r="Q213" s="342">
        <v>91</v>
      </c>
      <c r="R213" s="81">
        <v>164</v>
      </c>
      <c r="S213" s="324">
        <v>533</v>
      </c>
      <c r="T213" s="384">
        <v>5.2</v>
      </c>
      <c r="U213" s="426">
        <f t="shared" si="164"/>
        <v>4.9523809523809526E-2</v>
      </c>
      <c r="V213" s="94">
        <v>10.050000000000001</v>
      </c>
      <c r="W213" s="39">
        <v>105</v>
      </c>
      <c r="X213" s="207">
        <v>102</v>
      </c>
      <c r="Y213" s="430">
        <f t="shared" si="165"/>
        <v>3</v>
      </c>
      <c r="Z213" s="434">
        <f t="shared" si="166"/>
        <v>2.9411764705882353E-2</v>
      </c>
      <c r="AA213" s="340">
        <v>-15.42</v>
      </c>
      <c r="AB213" s="389">
        <v>37.35</v>
      </c>
      <c r="AC213" s="23" t="s">
        <v>4</v>
      </c>
      <c r="AD213" s="84">
        <v>44680</v>
      </c>
      <c r="AE213" s="83">
        <v>44686</v>
      </c>
      <c r="AF213" s="33">
        <f t="shared" si="153"/>
        <v>6</v>
      </c>
      <c r="AG213" s="402" t="s">
        <v>2561</v>
      </c>
      <c r="AH213" s="443"/>
      <c r="AI213" s="254"/>
      <c r="AJ213" s="392"/>
      <c r="AM213" s="245"/>
      <c r="AR213" s="402" t="str">
        <f>INDEX(基本資料!N:N,MATCH($G213,基本資料!A:A,0))</f>
        <v>中</v>
      </c>
    </row>
    <row r="214" spans="1:44">
      <c r="A214" s="343">
        <v>84.4</v>
      </c>
      <c r="B214" s="79">
        <v>112</v>
      </c>
      <c r="C214" s="79">
        <v>117</v>
      </c>
      <c r="D214" s="79">
        <v>19</v>
      </c>
      <c r="E214" s="79">
        <v>0</v>
      </c>
      <c r="F214" s="79">
        <v>9.9</v>
      </c>
      <c r="G214" s="80">
        <v>2377</v>
      </c>
      <c r="H214" s="208" t="s">
        <v>1145</v>
      </c>
      <c r="I214" s="22" t="s">
        <v>3380</v>
      </c>
      <c r="J214" s="102" t="s">
        <v>3544</v>
      </c>
      <c r="L214" s="79">
        <v>1</v>
      </c>
      <c r="M214" s="403">
        <v>0</v>
      </c>
      <c r="N214" s="240">
        <v>1</v>
      </c>
      <c r="O214" s="359">
        <v>1082</v>
      </c>
      <c r="P214" s="79">
        <v>20</v>
      </c>
      <c r="Q214" s="342">
        <v>142</v>
      </c>
      <c r="R214" s="81">
        <v>41</v>
      </c>
      <c r="S214" s="324">
        <v>563</v>
      </c>
      <c r="T214" s="384">
        <v>10.5</v>
      </c>
      <c r="U214" s="426">
        <f t="shared" si="164"/>
        <v>8.2677165354330714E-2</v>
      </c>
      <c r="V214" s="94">
        <v>20.03</v>
      </c>
      <c r="W214" s="39">
        <v>127</v>
      </c>
      <c r="X214" s="207">
        <v>124</v>
      </c>
      <c r="Y214" s="430">
        <f t="shared" si="165"/>
        <v>3</v>
      </c>
      <c r="Z214" s="434">
        <f t="shared" si="166"/>
        <v>2.4193548387096774E-2</v>
      </c>
      <c r="AA214" s="340">
        <v>-33.869999999999997</v>
      </c>
      <c r="AB214" s="389">
        <v>8.94</v>
      </c>
      <c r="AC214" s="23" t="s">
        <v>3380</v>
      </c>
      <c r="AD214" s="84">
        <v>44672</v>
      </c>
      <c r="AE214" s="83">
        <v>44686</v>
      </c>
      <c r="AF214" s="33">
        <f t="shared" si="153"/>
        <v>14</v>
      </c>
      <c r="AG214" s="402" t="s">
        <v>2717</v>
      </c>
      <c r="AH214" s="443"/>
      <c r="AI214" s="254"/>
      <c r="AJ214" s="392"/>
      <c r="AM214" s="245"/>
      <c r="AR214" s="402" t="str">
        <f>INDEX(基本資料!N:N,MATCH($G214,基本資料!A:A,0))</f>
        <v>低</v>
      </c>
    </row>
    <row r="215" spans="1:44">
      <c r="A215" s="343">
        <v>8.6199999999999992</v>
      </c>
      <c r="B215" s="79">
        <v>108</v>
      </c>
      <c r="C215" s="79">
        <v>105</v>
      </c>
      <c r="D215" s="79">
        <v>19</v>
      </c>
      <c r="E215" s="79">
        <v>24</v>
      </c>
      <c r="F215" s="79">
        <v>29.7</v>
      </c>
      <c r="G215" s="80">
        <v>8081</v>
      </c>
      <c r="H215" s="344" t="s">
        <v>307</v>
      </c>
      <c r="I215" s="22" t="s">
        <v>357</v>
      </c>
      <c r="J215" s="102" t="s">
        <v>6373</v>
      </c>
      <c r="K215" s="5"/>
      <c r="L215" s="79">
        <v>1</v>
      </c>
      <c r="M215" s="403">
        <v>0</v>
      </c>
      <c r="N215" s="240">
        <v>1</v>
      </c>
      <c r="O215" s="359">
        <v>588</v>
      </c>
      <c r="P215" s="79">
        <v>365</v>
      </c>
      <c r="Q215" s="342">
        <v>280</v>
      </c>
      <c r="R215" s="81">
        <v>274</v>
      </c>
      <c r="S215" s="324">
        <v>253</v>
      </c>
      <c r="T215" s="384">
        <v>16</v>
      </c>
      <c r="U215" s="426">
        <f t="shared" si="164"/>
        <v>7.6190476190476197E-2</v>
      </c>
      <c r="V215" s="94">
        <v>25.45</v>
      </c>
      <c r="W215" s="39">
        <v>210</v>
      </c>
      <c r="X215" s="207">
        <v>204.5</v>
      </c>
      <c r="Y215" s="430">
        <f t="shared" si="165"/>
        <v>5.5</v>
      </c>
      <c r="Z215" s="434">
        <f t="shared" si="166"/>
        <v>2.6894865525672371E-2</v>
      </c>
      <c r="AA215" s="340">
        <v>-33.06</v>
      </c>
      <c r="AB215" s="389">
        <v>16.39</v>
      </c>
      <c r="AC215" s="23" t="s">
        <v>357</v>
      </c>
      <c r="AD215" s="84">
        <v>44685</v>
      </c>
      <c r="AE215" s="83">
        <v>44686</v>
      </c>
      <c r="AF215" s="33">
        <f t="shared" si="153"/>
        <v>1</v>
      </c>
      <c r="AG215" s="402" t="s">
        <v>1437</v>
      </c>
      <c r="AH215" s="443"/>
      <c r="AI215" s="254"/>
      <c r="AJ215" s="392"/>
      <c r="AM215" s="245"/>
      <c r="AR215" s="402" t="str">
        <f>INDEX(基本資料!N:N,MATCH($G215,基本資料!A:A,0))</f>
        <v>低</v>
      </c>
    </row>
    <row r="216" spans="1:44">
      <c r="A216" s="343">
        <v>309</v>
      </c>
      <c r="B216" s="79">
        <v>197</v>
      </c>
      <c r="C216" s="79">
        <v>222</v>
      </c>
      <c r="D216" s="79">
        <v>4</v>
      </c>
      <c r="E216" s="79">
        <v>5</v>
      </c>
      <c r="F216" s="79">
        <v>31.76</v>
      </c>
      <c r="G216" s="80">
        <v>2408</v>
      </c>
      <c r="H216" s="403" t="s">
        <v>3038</v>
      </c>
      <c r="I216" s="22" t="s">
        <v>209</v>
      </c>
      <c r="J216" s="102" t="s">
        <v>3544</v>
      </c>
      <c r="L216" s="79">
        <v>1</v>
      </c>
      <c r="M216" s="403">
        <v>0</v>
      </c>
      <c r="N216" s="240">
        <v>1</v>
      </c>
      <c r="O216" s="359">
        <v>1127</v>
      </c>
      <c r="P216" s="79">
        <v>274</v>
      </c>
      <c r="Q216" s="342">
        <v>315</v>
      </c>
      <c r="R216" s="81">
        <v>113</v>
      </c>
      <c r="S216" s="324">
        <v>410</v>
      </c>
      <c r="T216" s="384">
        <v>3.7</v>
      </c>
      <c r="U216" s="426">
        <f t="shared" si="164"/>
        <v>5.4977711738484404E-2</v>
      </c>
      <c r="V216" s="94">
        <v>7.41</v>
      </c>
      <c r="W216" s="39">
        <v>67.3</v>
      </c>
      <c r="X216" s="207">
        <v>65.400000000000006</v>
      </c>
      <c r="Y216" s="430">
        <f t="shared" si="165"/>
        <v>1.8999999999999915</v>
      </c>
      <c r="Z216" s="434">
        <f t="shared" si="166"/>
        <v>2.9051987767583966E-2</v>
      </c>
      <c r="AA216" s="340">
        <v>-22.46</v>
      </c>
      <c r="AB216" s="389">
        <v>15.35</v>
      </c>
      <c r="AC216" s="23" t="s">
        <v>209</v>
      </c>
      <c r="AD216" s="84">
        <v>44684</v>
      </c>
      <c r="AE216" s="83">
        <v>44686</v>
      </c>
      <c r="AF216" s="33">
        <f t="shared" si="153"/>
        <v>2</v>
      </c>
      <c r="AG216" s="401" t="s">
        <v>2557</v>
      </c>
      <c r="AH216" s="443"/>
      <c r="AI216" s="254"/>
      <c r="AJ216" s="392"/>
      <c r="AM216" s="245"/>
      <c r="AR216" s="402" t="str">
        <f>INDEX(基本資料!N:N,MATCH($G216,基本資料!A:A,0))</f>
        <v>低</v>
      </c>
    </row>
    <row r="217" spans="1:44">
      <c r="A217" s="343">
        <v>25.2</v>
      </c>
      <c r="B217" s="79">
        <v>181</v>
      </c>
      <c r="C217" s="79">
        <v>158</v>
      </c>
      <c r="D217" s="80">
        <v>-5</v>
      </c>
      <c r="E217" s="79">
        <v>1</v>
      </c>
      <c r="F217" s="79">
        <v>21.4</v>
      </c>
      <c r="G217" s="80">
        <v>8358</v>
      </c>
      <c r="H217" s="403" t="s">
        <v>3388</v>
      </c>
      <c r="I217" s="16" t="s">
        <v>222</v>
      </c>
      <c r="J217" s="102" t="s">
        <v>6373</v>
      </c>
      <c r="K217" s="5"/>
      <c r="L217" s="79">
        <v>1</v>
      </c>
      <c r="M217" s="403">
        <v>0</v>
      </c>
      <c r="N217" s="240">
        <v>1</v>
      </c>
      <c r="O217" s="359">
        <v>308</v>
      </c>
      <c r="P217" s="79">
        <v>314</v>
      </c>
      <c r="Q217" s="342">
        <v>636</v>
      </c>
      <c r="R217" s="81">
        <v>36</v>
      </c>
      <c r="S217" s="324">
        <v>157</v>
      </c>
      <c r="T217" s="384">
        <v>4.2</v>
      </c>
      <c r="U217" s="426">
        <f t="shared" si="164"/>
        <v>6.8403908794788276E-2</v>
      </c>
      <c r="V217" s="94">
        <v>6.03</v>
      </c>
      <c r="W217" s="39">
        <v>61.4</v>
      </c>
      <c r="X217" s="207">
        <v>59.4</v>
      </c>
      <c r="Y217" s="430">
        <f t="shared" si="165"/>
        <v>2</v>
      </c>
      <c r="Z217" s="434">
        <f t="shared" si="166"/>
        <v>3.3670033670033669E-2</v>
      </c>
      <c r="AA217" s="340">
        <v>-36.92</v>
      </c>
      <c r="AB217" s="389">
        <v>13.5</v>
      </c>
      <c r="AC217" s="24" t="s">
        <v>222</v>
      </c>
      <c r="AD217" s="84">
        <v>44685</v>
      </c>
      <c r="AE217" s="83">
        <v>44686</v>
      </c>
      <c r="AF217" s="33">
        <f t="shared" si="153"/>
        <v>1</v>
      </c>
      <c r="AG217" s="401" t="s">
        <v>2430</v>
      </c>
      <c r="AH217" s="443"/>
      <c r="AI217" s="254"/>
      <c r="AJ217" s="392"/>
      <c r="AM217" s="245"/>
      <c r="AR217" s="402" t="str">
        <f>INDEX(基本資料!N:N,MATCH($G217,基本資料!A:A,0))</f>
        <v>低</v>
      </c>
    </row>
    <row r="218" spans="1:44">
      <c r="A218" s="343">
        <v>21.6</v>
      </c>
      <c r="B218" s="80">
        <v>-2</v>
      </c>
      <c r="C218" s="80">
        <v>-3</v>
      </c>
      <c r="D218" s="79">
        <v>50</v>
      </c>
      <c r="E218" s="80">
        <v>-12</v>
      </c>
      <c r="F218" s="79">
        <v>3.04</v>
      </c>
      <c r="G218" s="80">
        <v>2439</v>
      </c>
      <c r="H218" s="208" t="s">
        <v>311</v>
      </c>
      <c r="I218" s="22" t="s">
        <v>211</v>
      </c>
      <c r="J218" s="102" t="s">
        <v>6255</v>
      </c>
      <c r="L218" s="79">
        <v>2</v>
      </c>
      <c r="M218" s="403">
        <v>0</v>
      </c>
      <c r="N218" s="240">
        <v>2</v>
      </c>
      <c r="O218" s="359">
        <v>555</v>
      </c>
      <c r="P218" s="79">
        <v>17</v>
      </c>
      <c r="Q218" s="342">
        <v>480</v>
      </c>
      <c r="R218" s="81">
        <v>491</v>
      </c>
      <c r="S218" s="324">
        <v>605</v>
      </c>
      <c r="T218" s="384">
        <v>4</v>
      </c>
      <c r="U218" s="426">
        <f t="shared" si="164"/>
        <v>4.7225501770956316E-2</v>
      </c>
      <c r="V218" s="94">
        <v>5.43</v>
      </c>
      <c r="W218" s="39">
        <v>84.7</v>
      </c>
      <c r="X218" s="207">
        <v>82.5</v>
      </c>
      <c r="Y218" s="430">
        <f t="shared" si="165"/>
        <v>2.2000000000000028</v>
      </c>
      <c r="Z218" s="434">
        <f t="shared" si="166"/>
        <v>2.66666666666667E-2</v>
      </c>
      <c r="AA218" s="340">
        <v>-31.11</v>
      </c>
      <c r="AB218" s="389">
        <v>33.69</v>
      </c>
      <c r="AC218" s="23" t="s">
        <v>211</v>
      </c>
      <c r="AD218" s="84">
        <v>44676</v>
      </c>
      <c r="AE218" s="83">
        <v>44686</v>
      </c>
      <c r="AF218" s="33">
        <f t="shared" si="153"/>
        <v>10</v>
      </c>
      <c r="AG218" s="401" t="s">
        <v>2374</v>
      </c>
      <c r="AH218" s="443"/>
      <c r="AI218" s="254"/>
      <c r="AJ218" s="392"/>
      <c r="AM218" s="245"/>
      <c r="AR218" s="402" t="str">
        <f>INDEX(基本資料!N:N,MATCH($G218,基本資料!A:A,0))</f>
        <v>低</v>
      </c>
    </row>
    <row r="219" spans="1:44">
      <c r="A219" s="343">
        <v>3.3</v>
      </c>
      <c r="B219" s="79">
        <v>112</v>
      </c>
      <c r="C219" s="79">
        <v>94</v>
      </c>
      <c r="D219" s="79">
        <v>28</v>
      </c>
      <c r="E219" s="79">
        <v>29</v>
      </c>
      <c r="F219" s="79">
        <v>19.71</v>
      </c>
      <c r="G219" s="80">
        <v>6651</v>
      </c>
      <c r="H219" s="450" t="s">
        <v>307</v>
      </c>
      <c r="I219" s="16" t="s">
        <v>2336</v>
      </c>
      <c r="J219" s="102" t="s">
        <v>6375</v>
      </c>
      <c r="K219" s="5"/>
      <c r="L219" s="79">
        <v>1</v>
      </c>
      <c r="M219" s="403">
        <v>0</v>
      </c>
      <c r="N219" s="240">
        <v>1</v>
      </c>
      <c r="O219" s="359">
        <v>785</v>
      </c>
      <c r="P219" s="79" t="s">
        <v>6279</v>
      </c>
      <c r="Q219" s="342">
        <v>1300</v>
      </c>
      <c r="R219" s="81" t="s">
        <v>6279</v>
      </c>
      <c r="S219" s="324">
        <v>497</v>
      </c>
      <c r="T219" s="384">
        <v>4.5</v>
      </c>
      <c r="U219" s="426">
        <f t="shared" si="164"/>
        <v>5.0448430493273543E-2</v>
      </c>
      <c r="V219" s="94">
        <v>7.8</v>
      </c>
      <c r="W219" s="39">
        <v>89.2</v>
      </c>
      <c r="X219" s="207">
        <v>86.3</v>
      </c>
      <c r="Y219" s="430">
        <f t="shared" si="165"/>
        <v>2.9000000000000057</v>
      </c>
      <c r="Z219" s="434">
        <f t="shared" si="166"/>
        <v>3.3603707995365072E-2</v>
      </c>
      <c r="AA219" s="340">
        <v>-46.08</v>
      </c>
      <c r="AB219" s="389">
        <v>16.02</v>
      </c>
      <c r="AC219" s="24" t="s">
        <v>2336</v>
      </c>
      <c r="AD219" s="84">
        <v>44685</v>
      </c>
      <c r="AE219" s="83">
        <v>44686</v>
      </c>
      <c r="AF219" s="33">
        <f t="shared" si="153"/>
        <v>1</v>
      </c>
      <c r="AG219" s="402" t="s">
        <v>2175</v>
      </c>
      <c r="AH219" s="443"/>
      <c r="AI219" s="254"/>
      <c r="AJ219" s="392"/>
      <c r="AM219" s="245"/>
      <c r="AR219" s="402" t="str">
        <f>INDEX(基本資料!N:N,MATCH($G219,基本資料!A:A,0))</f>
        <v>低</v>
      </c>
    </row>
    <row r="220" spans="1:44">
      <c r="A220" s="343">
        <v>24.8</v>
      </c>
      <c r="B220" s="79">
        <v>298</v>
      </c>
      <c r="C220" s="79">
        <v>430</v>
      </c>
      <c r="D220" s="79">
        <v>5</v>
      </c>
      <c r="E220" s="79">
        <v>91</v>
      </c>
      <c r="F220" s="79">
        <v>22.94</v>
      </c>
      <c r="G220" s="80">
        <v>3035</v>
      </c>
      <c r="H220" s="344" t="s">
        <v>307</v>
      </c>
      <c r="I220" s="22" t="s">
        <v>1825</v>
      </c>
      <c r="J220" s="8" t="s">
        <v>3544</v>
      </c>
      <c r="K220" s="5"/>
      <c r="L220" s="79">
        <v>1</v>
      </c>
      <c r="M220" s="403">
        <v>0</v>
      </c>
      <c r="N220" s="240">
        <v>1</v>
      </c>
      <c r="O220" s="359">
        <v>333</v>
      </c>
      <c r="P220" s="79">
        <v>75</v>
      </c>
      <c r="Q220" s="342">
        <v>190</v>
      </c>
      <c r="R220" s="81">
        <v>1</v>
      </c>
      <c r="S220" s="324">
        <v>3</v>
      </c>
      <c r="T220" s="384">
        <v>3.3</v>
      </c>
      <c r="U220" s="426">
        <f t="shared" si="164"/>
        <v>1.206581352833638E-2</v>
      </c>
      <c r="V220" s="94">
        <v>6.66</v>
      </c>
      <c r="W220" s="39">
        <v>273.5</v>
      </c>
      <c r="X220" s="207">
        <v>267.5</v>
      </c>
      <c r="Y220" s="430">
        <f t="shared" si="165"/>
        <v>6</v>
      </c>
      <c r="Z220" s="434">
        <f t="shared" si="166"/>
        <v>2.2429906542056073E-2</v>
      </c>
      <c r="AA220" s="340">
        <v>-20.21</v>
      </c>
      <c r="AB220" s="389">
        <v>42.89</v>
      </c>
      <c r="AC220" s="23" t="s">
        <v>1825</v>
      </c>
      <c r="AD220" s="84">
        <v>44685</v>
      </c>
      <c r="AE220" s="83">
        <v>44686</v>
      </c>
      <c r="AF220" s="33">
        <f t="shared" si="153"/>
        <v>1</v>
      </c>
      <c r="AG220" s="401" t="s">
        <v>2314</v>
      </c>
      <c r="AH220" s="443"/>
      <c r="AI220" s="254"/>
      <c r="AJ220" s="392"/>
      <c r="AM220" s="245"/>
      <c r="AR220" s="402" t="str">
        <f>INDEX(基本資料!N:N,MATCH($G220,基本資料!A:A,0))</f>
        <v>高</v>
      </c>
    </row>
    <row r="221" spans="1:44">
      <c r="A221" s="343">
        <v>435</v>
      </c>
      <c r="B221" s="79">
        <v>125</v>
      </c>
      <c r="C221" s="79">
        <v>78</v>
      </c>
      <c r="D221" s="79">
        <v>18</v>
      </c>
      <c r="E221" s="79">
        <v>23</v>
      </c>
      <c r="F221" s="79">
        <v>10.9</v>
      </c>
      <c r="G221" s="80">
        <v>3711</v>
      </c>
      <c r="H221" s="344" t="s">
        <v>3038</v>
      </c>
      <c r="I221" s="22" t="s">
        <v>12</v>
      </c>
      <c r="J221" s="102" t="s">
        <v>3544</v>
      </c>
      <c r="L221" s="79">
        <v>1</v>
      </c>
      <c r="M221" s="403">
        <v>0</v>
      </c>
      <c r="N221" s="240">
        <v>1</v>
      </c>
      <c r="O221" s="359">
        <v>1219</v>
      </c>
      <c r="P221" s="79">
        <v>494</v>
      </c>
      <c r="Q221" s="342">
        <v>16</v>
      </c>
      <c r="R221" s="81">
        <v>154</v>
      </c>
      <c r="S221" s="324">
        <v>563</v>
      </c>
      <c r="T221" s="384">
        <v>7</v>
      </c>
      <c r="U221" s="426">
        <f t="shared" si="164"/>
        <v>7.128309572301425E-2</v>
      </c>
      <c r="V221" s="94">
        <v>14.83</v>
      </c>
      <c r="W221" s="39">
        <v>98.2</v>
      </c>
      <c r="X221" s="207">
        <v>96</v>
      </c>
      <c r="Y221" s="430">
        <f t="shared" si="165"/>
        <v>2.2000000000000028</v>
      </c>
      <c r="Z221" s="434">
        <f t="shared" si="166"/>
        <v>2.2916666666666696E-2</v>
      </c>
      <c r="AA221" s="340">
        <v>-28.39</v>
      </c>
      <c r="AB221" s="389">
        <v>37.4</v>
      </c>
      <c r="AC221" s="23" t="s">
        <v>12</v>
      </c>
      <c r="AD221" s="84">
        <v>44684</v>
      </c>
      <c r="AE221" s="83">
        <v>44686</v>
      </c>
      <c r="AF221" s="33">
        <f t="shared" si="153"/>
        <v>2</v>
      </c>
      <c r="AG221" s="401" t="s">
        <v>2389</v>
      </c>
      <c r="AH221" s="443"/>
      <c r="AI221" s="254"/>
      <c r="AJ221" s="392"/>
      <c r="AM221" s="245"/>
      <c r="AR221" s="402" t="str">
        <f>INDEX(基本資料!N:N,MATCH($G221,基本資料!A:A,0))</f>
        <v>低</v>
      </c>
    </row>
    <row r="222" spans="1:44">
      <c r="A222" s="343">
        <v>3.58</v>
      </c>
      <c r="B222" s="79">
        <v>63</v>
      </c>
      <c r="C222" s="79">
        <v>27</v>
      </c>
      <c r="D222" s="79">
        <v>51</v>
      </c>
      <c r="E222" s="79">
        <v>59</v>
      </c>
      <c r="F222" s="79">
        <v>14.98</v>
      </c>
      <c r="G222" s="80">
        <v>4572</v>
      </c>
      <c r="H222" s="403" t="s">
        <v>3355</v>
      </c>
      <c r="I222" s="22" t="s">
        <v>1691</v>
      </c>
      <c r="J222" s="102" t="s">
        <v>6373</v>
      </c>
      <c r="K222" s="5"/>
      <c r="L222" s="79">
        <v>1</v>
      </c>
      <c r="M222" s="403">
        <v>0</v>
      </c>
      <c r="N222" s="240">
        <v>1</v>
      </c>
      <c r="O222" s="359">
        <v>1025</v>
      </c>
      <c r="P222" s="79">
        <v>594</v>
      </c>
      <c r="Q222" s="342">
        <v>1266</v>
      </c>
      <c r="R222" s="81" t="s">
        <v>6279</v>
      </c>
      <c r="S222" s="324">
        <v>999</v>
      </c>
      <c r="T222" s="384">
        <v>5</v>
      </c>
      <c r="U222" s="426">
        <f t="shared" si="164"/>
        <v>4.8543689320388349E-2</v>
      </c>
      <c r="V222" s="94">
        <v>1.5</v>
      </c>
      <c r="W222" s="39">
        <v>103</v>
      </c>
      <c r="X222" s="207">
        <v>100.5</v>
      </c>
      <c r="Y222" s="430">
        <f t="shared" si="165"/>
        <v>2.5</v>
      </c>
      <c r="Z222" s="434">
        <f t="shared" si="166"/>
        <v>2.4875621890547265E-2</v>
      </c>
      <c r="AA222" s="340">
        <v>-20</v>
      </c>
      <c r="AB222" s="389">
        <v>42.78</v>
      </c>
      <c r="AC222" s="23" t="s">
        <v>1691</v>
      </c>
      <c r="AD222" s="84">
        <v>44685</v>
      </c>
      <c r="AE222" s="83">
        <v>44686</v>
      </c>
      <c r="AF222" s="33">
        <f t="shared" si="153"/>
        <v>1</v>
      </c>
      <c r="AG222" s="402" t="s">
        <v>2748</v>
      </c>
      <c r="AH222" s="443"/>
      <c r="AI222" s="254"/>
      <c r="AJ222" s="392"/>
      <c r="AM222" s="245"/>
      <c r="AR222" s="402" t="str">
        <f>INDEX(基本資料!N:N,MATCH($G222,基本資料!A:A,0))</f>
        <v>中</v>
      </c>
    </row>
    <row r="223" spans="1:44">
      <c r="A223" s="343">
        <v>38.200000000000003</v>
      </c>
      <c r="B223" s="79">
        <v>119</v>
      </c>
      <c r="C223" s="79">
        <v>130</v>
      </c>
      <c r="D223" s="79">
        <v>17</v>
      </c>
      <c r="E223" s="79">
        <v>11</v>
      </c>
      <c r="F223" s="79">
        <v>16.52</v>
      </c>
      <c r="G223" s="80">
        <v>2481</v>
      </c>
      <c r="H223" s="344" t="s">
        <v>3038</v>
      </c>
      <c r="I223" s="22" t="s">
        <v>183</v>
      </c>
      <c r="J223" s="102" t="s">
        <v>6410</v>
      </c>
      <c r="K223" s="5"/>
      <c r="L223" s="79">
        <v>1</v>
      </c>
      <c r="M223" s="403">
        <v>0</v>
      </c>
      <c r="N223" s="240">
        <v>1</v>
      </c>
      <c r="O223" s="359">
        <v>163</v>
      </c>
      <c r="P223" s="79">
        <v>424</v>
      </c>
      <c r="Q223" s="342">
        <v>400</v>
      </c>
      <c r="R223" s="81">
        <v>158</v>
      </c>
      <c r="S223" s="324">
        <v>21</v>
      </c>
      <c r="T223" s="384">
        <v>3</v>
      </c>
      <c r="U223" s="426">
        <f t="shared" si="164"/>
        <v>3.6452004860267319E-2</v>
      </c>
      <c r="V223" s="94">
        <v>5.77</v>
      </c>
      <c r="W223" s="39">
        <v>82.3</v>
      </c>
      <c r="X223" s="207">
        <v>80.400000000000006</v>
      </c>
      <c r="Y223" s="430">
        <f t="shared" si="165"/>
        <v>1.8999999999999915</v>
      </c>
      <c r="Z223" s="434">
        <f t="shared" si="166"/>
        <v>2.3631840796019793E-2</v>
      </c>
      <c r="AA223" s="340">
        <v>-37.119999999999997</v>
      </c>
      <c r="AB223" s="389">
        <v>19.38</v>
      </c>
      <c r="AC223" s="23" t="s">
        <v>183</v>
      </c>
      <c r="AD223" s="84">
        <v>44686</v>
      </c>
      <c r="AE223" s="311">
        <v>44686</v>
      </c>
      <c r="AF223" s="33">
        <f t="shared" si="153"/>
        <v>0</v>
      </c>
      <c r="AG223" s="417" t="s">
        <v>2184</v>
      </c>
      <c r="AH223" s="443"/>
      <c r="AI223" s="254"/>
      <c r="AJ223" s="392"/>
      <c r="AM223" s="245"/>
      <c r="AR223" s="402" t="str">
        <f>INDEX(基本資料!N:N,MATCH($G223,基本資料!A:A,0))</f>
        <v>低</v>
      </c>
    </row>
    <row r="224" spans="1:44">
      <c r="A224" s="343">
        <v>8.1300000000000008</v>
      </c>
      <c r="B224" s="79">
        <v>231</v>
      </c>
      <c r="C224" s="79">
        <v>245</v>
      </c>
      <c r="D224" s="79">
        <v>14</v>
      </c>
      <c r="E224" s="79">
        <v>5</v>
      </c>
      <c r="F224" s="79">
        <v>19.72</v>
      </c>
      <c r="G224" s="80">
        <v>8261</v>
      </c>
      <c r="H224" s="403" t="s">
        <v>3038</v>
      </c>
      <c r="I224" s="22" t="s">
        <v>322</v>
      </c>
      <c r="J224" s="8" t="s">
        <v>3542</v>
      </c>
      <c r="L224" s="79">
        <v>1</v>
      </c>
      <c r="M224" s="403">
        <v>0</v>
      </c>
      <c r="N224" s="240">
        <v>1</v>
      </c>
      <c r="O224" s="359">
        <v>40</v>
      </c>
      <c r="P224" s="79">
        <v>114</v>
      </c>
      <c r="Q224" s="342">
        <v>407</v>
      </c>
      <c r="R224" s="81">
        <v>491</v>
      </c>
      <c r="S224" s="324">
        <v>25</v>
      </c>
      <c r="T224" s="384">
        <v>6</v>
      </c>
      <c r="U224" s="426">
        <f t="shared" ref="U224:U230" si="167">T224/W224</f>
        <v>0.06</v>
      </c>
      <c r="V224" s="94">
        <v>8.0299999999999994</v>
      </c>
      <c r="W224" s="39">
        <v>100</v>
      </c>
      <c r="X224" s="207">
        <v>90.6</v>
      </c>
      <c r="Y224" s="430">
        <f t="shared" ref="Y224:Y230" si="168">W224-X224</f>
        <v>9.4000000000000057</v>
      </c>
      <c r="Z224" s="434">
        <f t="shared" ref="Z224:Z230" si="169">Y224/X224</f>
        <v>0.10375275938189853</v>
      </c>
      <c r="AA224" s="340">
        <v>-34.090000000000003</v>
      </c>
      <c r="AB224" s="389">
        <v>24.26</v>
      </c>
      <c r="AC224" s="23" t="s">
        <v>322</v>
      </c>
      <c r="AD224" s="84">
        <v>44679</v>
      </c>
      <c r="AE224" s="83">
        <v>44685</v>
      </c>
      <c r="AF224" s="33">
        <f t="shared" si="153"/>
        <v>6</v>
      </c>
      <c r="AG224" s="402" t="s">
        <v>2175</v>
      </c>
      <c r="AH224" s="443"/>
      <c r="AI224" s="254"/>
      <c r="AJ224" s="392"/>
      <c r="AM224" s="245"/>
      <c r="AR224" s="402" t="str">
        <f>INDEX(基本資料!N:N,MATCH($G224,基本資料!A:A,0))</f>
        <v>中</v>
      </c>
    </row>
    <row r="225" spans="1:44">
      <c r="A225" s="343">
        <v>58.6</v>
      </c>
      <c r="B225" s="80">
        <v>-1</v>
      </c>
      <c r="C225" s="79">
        <v>21</v>
      </c>
      <c r="D225" s="79">
        <v>8</v>
      </c>
      <c r="E225" s="79">
        <v>8</v>
      </c>
      <c r="F225" s="79">
        <v>26.26</v>
      </c>
      <c r="G225" s="80">
        <v>5483</v>
      </c>
      <c r="H225" s="96" t="s">
        <v>3038</v>
      </c>
      <c r="I225" s="16" t="s">
        <v>145</v>
      </c>
      <c r="J225" s="102" t="s">
        <v>3543</v>
      </c>
      <c r="L225" s="79">
        <v>1</v>
      </c>
      <c r="M225" s="403">
        <v>0</v>
      </c>
      <c r="N225" s="240">
        <v>1</v>
      </c>
      <c r="O225" s="359">
        <v>623</v>
      </c>
      <c r="P225" s="79">
        <v>263</v>
      </c>
      <c r="Q225" s="342">
        <v>254</v>
      </c>
      <c r="R225" s="81">
        <v>47</v>
      </c>
      <c r="S225" s="324">
        <v>303</v>
      </c>
      <c r="T225" s="384">
        <v>3.5</v>
      </c>
      <c r="U225" s="426">
        <f t="shared" si="167"/>
        <v>2.2508038585209004E-2</v>
      </c>
      <c r="V225" s="94">
        <v>12.22</v>
      </c>
      <c r="W225" s="39">
        <v>155.5</v>
      </c>
      <c r="X225" s="207">
        <v>150.5</v>
      </c>
      <c r="Y225" s="430">
        <f t="shared" si="168"/>
        <v>5</v>
      </c>
      <c r="Z225" s="434">
        <f t="shared" si="169"/>
        <v>3.3222591362126248E-2</v>
      </c>
      <c r="AA225" s="340">
        <v>-40.56</v>
      </c>
      <c r="AB225" s="389">
        <v>8.4700000000000006</v>
      </c>
      <c r="AC225" s="24" t="s">
        <v>145</v>
      </c>
      <c r="AD225" s="84">
        <v>44677</v>
      </c>
      <c r="AE225" s="83">
        <v>44685</v>
      </c>
      <c r="AF225" s="33">
        <f t="shared" si="153"/>
        <v>8</v>
      </c>
      <c r="AG225" s="401" t="s">
        <v>2350</v>
      </c>
      <c r="AH225" s="443"/>
      <c r="AI225" s="254"/>
      <c r="AJ225" s="392"/>
      <c r="AM225" s="245"/>
      <c r="AR225" s="402" t="str">
        <f>INDEX(基本資料!N:N,MATCH($G225,基本資料!A:A,0))</f>
        <v>低</v>
      </c>
    </row>
    <row r="226" spans="1:44">
      <c r="A226" s="343">
        <v>529</v>
      </c>
      <c r="B226" s="79">
        <v>814</v>
      </c>
      <c r="C226" s="79">
        <v>721</v>
      </c>
      <c r="D226" s="79">
        <v>6</v>
      </c>
      <c r="E226" s="79">
        <v>83</v>
      </c>
      <c r="F226" s="79">
        <v>58.21</v>
      </c>
      <c r="G226" s="79">
        <v>2603</v>
      </c>
      <c r="H226" s="344" t="s">
        <v>302</v>
      </c>
      <c r="I226" s="22" t="s">
        <v>264</v>
      </c>
      <c r="J226" s="102" t="s">
        <v>6234</v>
      </c>
      <c r="L226" s="79">
        <v>3</v>
      </c>
      <c r="M226" s="403">
        <v>0</v>
      </c>
      <c r="N226" s="240">
        <v>3</v>
      </c>
      <c r="O226" s="359">
        <v>294</v>
      </c>
      <c r="P226" s="79">
        <v>97</v>
      </c>
      <c r="Q226" s="342">
        <v>203</v>
      </c>
      <c r="R226" s="81">
        <v>98</v>
      </c>
      <c r="S226" s="324">
        <v>124</v>
      </c>
      <c r="T226" s="384">
        <v>18</v>
      </c>
      <c r="U226" s="426">
        <f t="shared" si="167"/>
        <v>0.12040133779264214</v>
      </c>
      <c r="V226" s="94">
        <v>45.68</v>
      </c>
      <c r="W226" s="39">
        <v>149.5</v>
      </c>
      <c r="X226" s="207">
        <v>146</v>
      </c>
      <c r="Y226" s="430">
        <f t="shared" si="168"/>
        <v>3.5</v>
      </c>
      <c r="Z226" s="434">
        <f t="shared" si="169"/>
        <v>2.3972602739726026E-2</v>
      </c>
      <c r="AA226" s="340">
        <v>-38.409999999999997</v>
      </c>
      <c r="AB226" s="389">
        <v>41.1</v>
      </c>
      <c r="AC226" s="23" t="s">
        <v>264</v>
      </c>
      <c r="AD226" s="84">
        <v>44672</v>
      </c>
      <c r="AE226" s="83">
        <v>44685</v>
      </c>
      <c r="AF226" s="33">
        <f t="shared" si="153"/>
        <v>13</v>
      </c>
      <c r="AG226" s="401" t="s">
        <v>3265</v>
      </c>
      <c r="AH226" s="443"/>
      <c r="AI226" s="447"/>
      <c r="AJ226" s="392"/>
      <c r="AM226" s="245"/>
      <c r="AR226" s="402" t="str">
        <f>INDEX(基本資料!N:N,MATCH($G226,基本資料!A:A,0))</f>
        <v>中</v>
      </c>
    </row>
    <row r="227" spans="1:44">
      <c r="A227" s="343">
        <v>349</v>
      </c>
      <c r="B227" s="92">
        <v>1258</v>
      </c>
      <c r="C227" s="79">
        <v>945</v>
      </c>
      <c r="D227" s="79">
        <v>13</v>
      </c>
      <c r="E227" s="79">
        <v>80</v>
      </c>
      <c r="F227" s="79">
        <v>60.95</v>
      </c>
      <c r="G227" s="79">
        <v>2609</v>
      </c>
      <c r="H227" s="403" t="s">
        <v>302</v>
      </c>
      <c r="I227" s="22" t="s">
        <v>865</v>
      </c>
      <c r="J227" s="102" t="s">
        <v>6233</v>
      </c>
      <c r="L227" s="79">
        <v>2</v>
      </c>
      <c r="M227" s="403">
        <v>0</v>
      </c>
      <c r="N227" s="240">
        <v>2</v>
      </c>
      <c r="O227" s="359">
        <v>288</v>
      </c>
      <c r="P227" s="79">
        <v>577</v>
      </c>
      <c r="Q227" s="342">
        <v>341</v>
      </c>
      <c r="R227" s="81">
        <v>194</v>
      </c>
      <c r="S227" s="324">
        <v>177</v>
      </c>
      <c r="T227" s="384">
        <v>20</v>
      </c>
      <c r="U227" s="426">
        <f t="shared" si="167"/>
        <v>0.1556420233463035</v>
      </c>
      <c r="V227" s="94">
        <v>49.11</v>
      </c>
      <c r="W227" s="39">
        <v>128.5</v>
      </c>
      <c r="X227" s="207">
        <v>125.5</v>
      </c>
      <c r="Y227" s="430">
        <f t="shared" si="168"/>
        <v>3</v>
      </c>
      <c r="Z227" s="434">
        <f t="shared" si="169"/>
        <v>2.3904382470119521E-2</v>
      </c>
      <c r="AA227" s="340">
        <v>-47.33</v>
      </c>
      <c r="AB227" s="341">
        <v>58.01</v>
      </c>
      <c r="AC227" s="23" t="s">
        <v>865</v>
      </c>
      <c r="AD227" s="84">
        <v>44672</v>
      </c>
      <c r="AE227" s="83">
        <v>44685</v>
      </c>
      <c r="AF227" s="33">
        <f t="shared" si="153"/>
        <v>13</v>
      </c>
      <c r="AG227" s="402" t="s">
        <v>3265</v>
      </c>
      <c r="AH227" s="443"/>
      <c r="AI227" s="447"/>
      <c r="AJ227" s="392"/>
      <c r="AM227" s="245"/>
      <c r="AR227" s="402" t="str">
        <f>INDEX(基本資料!N:N,MATCH($G227,基本資料!A:A,0))</f>
        <v>中</v>
      </c>
    </row>
    <row r="228" spans="1:44">
      <c r="A228" s="343">
        <v>63.5</v>
      </c>
      <c r="B228" s="79">
        <v>207</v>
      </c>
      <c r="C228" s="79">
        <v>243</v>
      </c>
      <c r="D228" s="79">
        <v>6</v>
      </c>
      <c r="E228" s="79">
        <v>-13</v>
      </c>
      <c r="F228" s="79">
        <v>11.88</v>
      </c>
      <c r="G228" s="80">
        <v>2376</v>
      </c>
      <c r="H228" s="208" t="s">
        <v>1145</v>
      </c>
      <c r="I228" s="22" t="s">
        <v>4077</v>
      </c>
      <c r="J228" s="102" t="s">
        <v>3543</v>
      </c>
      <c r="L228" s="79">
        <v>1</v>
      </c>
      <c r="M228" s="403">
        <v>0</v>
      </c>
      <c r="N228" s="240">
        <v>1</v>
      </c>
      <c r="O228" s="359">
        <v>707</v>
      </c>
      <c r="P228" s="79">
        <v>7</v>
      </c>
      <c r="Q228" s="342">
        <v>279</v>
      </c>
      <c r="R228" s="81">
        <v>38</v>
      </c>
      <c r="S228" s="324">
        <v>135</v>
      </c>
      <c r="T228" s="384">
        <v>12</v>
      </c>
      <c r="U228" s="426">
        <f t="shared" si="167"/>
        <v>0.10714285714285714</v>
      </c>
      <c r="V228" s="94">
        <v>21</v>
      </c>
      <c r="W228" s="39">
        <v>112</v>
      </c>
      <c r="X228" s="207">
        <v>109.5</v>
      </c>
      <c r="Y228" s="430">
        <f t="shared" si="168"/>
        <v>2.5</v>
      </c>
      <c r="Z228" s="434">
        <f t="shared" si="169"/>
        <v>2.2831050228310501E-2</v>
      </c>
      <c r="AA228" s="340">
        <v>-34.24</v>
      </c>
      <c r="AB228" s="389">
        <v>8.76</v>
      </c>
      <c r="AC228" s="23" t="s">
        <v>4077</v>
      </c>
      <c r="AD228" s="84">
        <v>44684</v>
      </c>
      <c r="AE228" s="83">
        <v>44685</v>
      </c>
      <c r="AF228" s="33">
        <f t="shared" si="153"/>
        <v>1</v>
      </c>
      <c r="AG228" s="402" t="s">
        <v>2717</v>
      </c>
      <c r="AH228" s="443"/>
      <c r="AI228" s="254"/>
      <c r="AJ228" s="392"/>
      <c r="AM228" s="245"/>
      <c r="AR228" s="402" t="str">
        <f>INDEX(基本資料!N:N,MATCH($G228,基本資料!A:A,0))</f>
        <v>低</v>
      </c>
    </row>
    <row r="229" spans="1:44">
      <c r="A229" s="343">
        <v>6.22</v>
      </c>
      <c r="B229" s="79">
        <v>141</v>
      </c>
      <c r="C229" s="79">
        <v>145</v>
      </c>
      <c r="D229" s="79">
        <v>28</v>
      </c>
      <c r="E229" s="79">
        <v>51</v>
      </c>
      <c r="F229" s="79">
        <v>34.74</v>
      </c>
      <c r="G229" s="80">
        <v>3169</v>
      </c>
      <c r="H229" s="96" t="s">
        <v>3038</v>
      </c>
      <c r="I229" s="16" t="s">
        <v>359</v>
      </c>
      <c r="J229" s="8" t="s">
        <v>4718</v>
      </c>
      <c r="L229" s="79">
        <v>1</v>
      </c>
      <c r="M229" s="403">
        <v>0</v>
      </c>
      <c r="N229" s="240">
        <v>1</v>
      </c>
      <c r="O229" s="359">
        <v>17</v>
      </c>
      <c r="P229" s="79">
        <v>223</v>
      </c>
      <c r="Q229" s="342">
        <v>926</v>
      </c>
      <c r="R229" s="81">
        <v>385</v>
      </c>
      <c r="S229" s="324">
        <v>10</v>
      </c>
      <c r="T229" s="384">
        <v>5</v>
      </c>
      <c r="U229" s="426">
        <f t="shared" si="167"/>
        <v>3.1847133757961783E-2</v>
      </c>
      <c r="V229" s="94">
        <v>6.39</v>
      </c>
      <c r="W229" s="39">
        <v>157</v>
      </c>
      <c r="X229" s="207">
        <v>153.5</v>
      </c>
      <c r="Y229" s="430">
        <f t="shared" si="168"/>
        <v>3.5</v>
      </c>
      <c r="Z229" s="434">
        <f t="shared" si="169"/>
        <v>2.2801302931596091E-2</v>
      </c>
      <c r="AA229" s="340">
        <v>-50.58</v>
      </c>
      <c r="AB229" s="389">
        <v>16.829999999999998</v>
      </c>
      <c r="AC229" s="24" t="s">
        <v>359</v>
      </c>
      <c r="AD229" s="84">
        <v>44680</v>
      </c>
      <c r="AE229" s="83">
        <v>44685</v>
      </c>
      <c r="AF229" s="33">
        <f t="shared" si="153"/>
        <v>5</v>
      </c>
      <c r="AG229" s="402" t="s">
        <v>2892</v>
      </c>
      <c r="AH229" s="443"/>
      <c r="AI229" s="254"/>
      <c r="AJ229" s="392"/>
      <c r="AM229" s="245"/>
      <c r="AR229" s="402" t="str">
        <f>INDEX(基本資料!N:N,MATCH($G229,基本資料!A:A,0))</f>
        <v>低</v>
      </c>
    </row>
    <row r="230" spans="1:44">
      <c r="A230" s="343">
        <v>6.43</v>
      </c>
      <c r="B230" s="80">
        <v>-26</v>
      </c>
      <c r="C230" s="80">
        <v>-29</v>
      </c>
      <c r="D230" s="79">
        <v>30</v>
      </c>
      <c r="E230" s="80">
        <v>-37</v>
      </c>
      <c r="F230" s="79">
        <v>20.62</v>
      </c>
      <c r="G230" s="80">
        <v>5215</v>
      </c>
      <c r="H230" s="450" t="s">
        <v>1145</v>
      </c>
      <c r="I230" s="22" t="s">
        <v>468</v>
      </c>
      <c r="J230" s="102" t="s">
        <v>6373</v>
      </c>
      <c r="K230" s="5"/>
      <c r="L230" s="79">
        <v>1</v>
      </c>
      <c r="M230" s="403">
        <v>0</v>
      </c>
      <c r="N230" s="240">
        <v>1</v>
      </c>
      <c r="O230" s="359">
        <v>484</v>
      </c>
      <c r="P230" s="79">
        <v>1118</v>
      </c>
      <c r="Q230" s="342">
        <v>214</v>
      </c>
      <c r="R230" s="81" t="s">
        <v>6279</v>
      </c>
      <c r="S230" s="324">
        <v>999</v>
      </c>
      <c r="T230" s="384">
        <v>5</v>
      </c>
      <c r="U230" s="426">
        <f t="shared" si="167"/>
        <v>9.0579710144927536E-2</v>
      </c>
      <c r="V230" s="94">
        <v>8.8000000000000007</v>
      </c>
      <c r="W230" s="39">
        <v>55.2</v>
      </c>
      <c r="X230" s="207">
        <v>53.8</v>
      </c>
      <c r="Y230" s="430">
        <f t="shared" si="168"/>
        <v>1.4000000000000057</v>
      </c>
      <c r="Z230" s="434">
        <f t="shared" si="169"/>
        <v>2.6022304832713863E-2</v>
      </c>
      <c r="AA230" s="340">
        <v>-57.88</v>
      </c>
      <c r="AB230" s="389">
        <v>15.39</v>
      </c>
      <c r="AC230" s="23" t="s">
        <v>468</v>
      </c>
      <c r="AD230" s="84">
        <v>44685</v>
      </c>
      <c r="AE230" s="311">
        <v>44685</v>
      </c>
      <c r="AF230" s="33">
        <f t="shared" si="153"/>
        <v>0</v>
      </c>
      <c r="AG230" s="402" t="s">
        <v>2282</v>
      </c>
      <c r="AH230" s="443"/>
      <c r="AI230" s="254"/>
      <c r="AJ230" s="392"/>
      <c r="AM230" s="245"/>
      <c r="AR230" s="402" t="str">
        <f>INDEX(基本資料!N:N,MATCH($G230,基本資料!A:A,0))</f>
        <v>低</v>
      </c>
    </row>
    <row r="231" spans="1:44">
      <c r="A231" s="343">
        <v>27.1</v>
      </c>
      <c r="B231" s="79">
        <v>8</v>
      </c>
      <c r="C231" s="79">
        <v>25</v>
      </c>
      <c r="D231" s="79">
        <v>33</v>
      </c>
      <c r="E231" s="79">
        <v>6</v>
      </c>
      <c r="F231" s="79">
        <v>28.8</v>
      </c>
      <c r="G231" s="79">
        <v>3374</v>
      </c>
      <c r="H231" s="132" t="s">
        <v>3038</v>
      </c>
      <c r="I231" s="16" t="s">
        <v>167</v>
      </c>
      <c r="J231" s="8" t="s">
        <v>6235</v>
      </c>
      <c r="L231" s="79">
        <v>2</v>
      </c>
      <c r="M231" s="403">
        <v>0</v>
      </c>
      <c r="N231" s="240">
        <v>2</v>
      </c>
      <c r="O231" s="359">
        <v>299</v>
      </c>
      <c r="P231" s="79">
        <v>198</v>
      </c>
      <c r="Q231" s="342">
        <v>701</v>
      </c>
      <c r="R231" s="81">
        <v>73</v>
      </c>
      <c r="S231" s="324">
        <v>271</v>
      </c>
      <c r="T231" s="384">
        <v>3</v>
      </c>
      <c r="U231" s="426">
        <f>T231/W231</f>
        <v>2.1201413427561839E-2</v>
      </c>
      <c r="V231" s="94">
        <v>6.92</v>
      </c>
      <c r="W231" s="39">
        <v>141.5</v>
      </c>
      <c r="X231" s="207">
        <v>137.5</v>
      </c>
      <c r="Y231" s="430">
        <f>W231-X231</f>
        <v>4</v>
      </c>
      <c r="Z231" s="434">
        <f>Y231/X231</f>
        <v>2.9090909090909091E-2</v>
      </c>
      <c r="AA231" s="340">
        <v>-29.35</v>
      </c>
      <c r="AB231" s="341">
        <v>58.88</v>
      </c>
      <c r="AC231" s="24" t="s">
        <v>167</v>
      </c>
      <c r="AD231" s="84">
        <v>44679</v>
      </c>
      <c r="AE231" s="83">
        <v>44684</v>
      </c>
      <c r="AF231" s="33">
        <f t="shared" si="153"/>
        <v>5</v>
      </c>
      <c r="AG231" s="401" t="s">
        <v>2321</v>
      </c>
      <c r="AH231" s="443"/>
      <c r="AI231" s="254"/>
      <c r="AJ231" s="392"/>
      <c r="AM231" s="245"/>
      <c r="AR231" s="402" t="str">
        <f>INDEX(基本資料!N:N,MATCH($G231,基本資料!A:A,0))</f>
        <v>低</v>
      </c>
    </row>
    <row r="232" spans="1:44">
      <c r="A232" s="343">
        <v>29.2</v>
      </c>
      <c r="B232" s="79">
        <v>69</v>
      </c>
      <c r="C232" s="79">
        <v>88</v>
      </c>
      <c r="D232" s="79">
        <v>3</v>
      </c>
      <c r="E232" s="79">
        <v>36</v>
      </c>
      <c r="F232" s="79">
        <v>7.15</v>
      </c>
      <c r="G232" s="80">
        <v>6278</v>
      </c>
      <c r="H232" s="403" t="s">
        <v>1877</v>
      </c>
      <c r="I232" s="22" t="s">
        <v>4280</v>
      </c>
      <c r="J232" s="102" t="s">
        <v>3542</v>
      </c>
      <c r="L232" s="79">
        <v>1</v>
      </c>
      <c r="M232" s="403">
        <v>0</v>
      </c>
      <c r="N232" s="240">
        <v>1</v>
      </c>
      <c r="O232" s="359">
        <v>379</v>
      </c>
      <c r="P232" s="79">
        <v>273</v>
      </c>
      <c r="Q232" s="342">
        <v>359</v>
      </c>
      <c r="R232" s="81">
        <v>142</v>
      </c>
      <c r="S232" s="324">
        <v>166</v>
      </c>
      <c r="T232" s="384">
        <v>6</v>
      </c>
      <c r="U232" s="426">
        <f>T232/W232</f>
        <v>5.6338028169014086E-2</v>
      </c>
      <c r="V232" s="94">
        <v>12.7</v>
      </c>
      <c r="W232" s="39">
        <v>106.5</v>
      </c>
      <c r="X232" s="207">
        <v>103</v>
      </c>
      <c r="Y232" s="430">
        <f>W232-X232</f>
        <v>3.5</v>
      </c>
      <c r="Z232" s="434">
        <f>Y232/X232</f>
        <v>3.3980582524271843E-2</v>
      </c>
      <c r="AA232" s="340">
        <v>-25</v>
      </c>
      <c r="AB232" s="389">
        <v>14.1</v>
      </c>
      <c r="AC232" s="23" t="s">
        <v>4280</v>
      </c>
      <c r="AD232" s="84">
        <v>44676</v>
      </c>
      <c r="AE232" s="83">
        <v>44684</v>
      </c>
      <c r="AF232" s="33">
        <f t="shared" si="153"/>
        <v>8</v>
      </c>
      <c r="AG232" s="402" t="s">
        <v>4281</v>
      </c>
      <c r="AH232" s="443"/>
      <c r="AI232" s="254"/>
      <c r="AJ232" s="392"/>
      <c r="AM232" s="245"/>
      <c r="AR232" s="402" t="str">
        <f>INDEX(基本資料!N:N,MATCH($G232,基本資料!A:A,0))</f>
        <v>低</v>
      </c>
    </row>
    <row r="233" spans="1:44">
      <c r="A233" s="343">
        <v>7.41</v>
      </c>
      <c r="B233" s="79">
        <v>100</v>
      </c>
      <c r="C233" s="79">
        <v>109</v>
      </c>
      <c r="D233" s="79">
        <v>13</v>
      </c>
      <c r="E233" s="79">
        <v>32</v>
      </c>
      <c r="F233" s="79">
        <v>20.53</v>
      </c>
      <c r="G233" s="80">
        <v>6138</v>
      </c>
      <c r="H233" s="96" t="s">
        <v>3038</v>
      </c>
      <c r="I233" s="16" t="s">
        <v>159</v>
      </c>
      <c r="J233" s="102" t="s">
        <v>3543</v>
      </c>
      <c r="L233" s="79">
        <v>1</v>
      </c>
      <c r="M233" s="403">
        <v>0</v>
      </c>
      <c r="N233" s="240">
        <v>1</v>
      </c>
      <c r="O233" s="359">
        <v>214</v>
      </c>
      <c r="P233" s="79">
        <v>157</v>
      </c>
      <c r="Q233" s="342">
        <v>307</v>
      </c>
      <c r="R233" s="81">
        <v>33</v>
      </c>
      <c r="S233" s="324">
        <v>10</v>
      </c>
      <c r="T233" s="384">
        <v>9.02</v>
      </c>
      <c r="U233" s="426">
        <f>T233/W233</f>
        <v>4.5903307888040708E-2</v>
      </c>
      <c r="V233" s="94">
        <v>12.9</v>
      </c>
      <c r="W233" s="39">
        <v>196.5</v>
      </c>
      <c r="X233" s="207">
        <v>192</v>
      </c>
      <c r="Y233" s="430">
        <f>W233-X233</f>
        <v>4.5</v>
      </c>
      <c r="Z233" s="434">
        <f>Y233/X233</f>
        <v>2.34375E-2</v>
      </c>
      <c r="AA233" s="340">
        <v>-33.57</v>
      </c>
      <c r="AB233" s="389">
        <v>33.85</v>
      </c>
      <c r="AC233" s="24" t="s">
        <v>159</v>
      </c>
      <c r="AD233" s="84">
        <v>44684</v>
      </c>
      <c r="AE233" s="311">
        <v>44684</v>
      </c>
      <c r="AF233" s="33">
        <f t="shared" si="153"/>
        <v>0</v>
      </c>
      <c r="AG233" s="401" t="s">
        <v>3560</v>
      </c>
      <c r="AH233" s="443"/>
      <c r="AI233" s="254"/>
      <c r="AJ233" s="392"/>
      <c r="AM233" s="245"/>
      <c r="AR233" s="402" t="str">
        <f>INDEX(基本資料!N:N,MATCH($G233,基本資料!A:A,0))</f>
        <v>中</v>
      </c>
    </row>
    <row r="234" spans="1:44" s="248" customFormat="1">
      <c r="A234" s="91"/>
      <c r="B234" s="79"/>
      <c r="C234" s="79"/>
      <c r="D234" s="79"/>
      <c r="E234" s="79"/>
      <c r="F234" s="79"/>
      <c r="G234" s="41"/>
      <c r="H234" s="92"/>
      <c r="I234" s="353"/>
      <c r="J234" s="1"/>
      <c r="K234" s="355"/>
      <c r="L234" s="91"/>
      <c r="M234" s="404"/>
      <c r="O234" s="359"/>
      <c r="P234" s="79"/>
      <c r="Q234" s="342"/>
      <c r="R234" s="104"/>
      <c r="S234" s="324"/>
      <c r="T234" s="384"/>
      <c r="U234" s="425"/>
      <c r="V234" s="94"/>
      <c r="W234" s="31">
        <f>SUM(W147:W233)</f>
        <v>21009.9</v>
      </c>
      <c r="X234" s="73">
        <f>SUM(X147:X233)</f>
        <v>20526.100000000002</v>
      </c>
      <c r="Y234" s="430">
        <f t="shared" ref="Y234" si="170">W234-X234</f>
        <v>483.79999999999927</v>
      </c>
      <c r="Z234" s="103">
        <f t="shared" ref="Z234" si="171">Y234/X234</f>
        <v>2.3569991376832387E-2</v>
      </c>
      <c r="AA234" s="340"/>
      <c r="AB234" s="389"/>
      <c r="AC234" s="437">
        <f>W234*(0.001425*0.5)+W234*0.003+X234*(0.001425*0.5)</f>
        <v>92.624100000000013</v>
      </c>
      <c r="AD234" s="6">
        <f>Y234-AC234</f>
        <v>391.17589999999927</v>
      </c>
      <c r="AE234" s="298"/>
      <c r="AF234" s="33"/>
      <c r="AG234" s="132" t="s">
        <v>6372</v>
      </c>
      <c r="AH234" s="444"/>
      <c r="AI234" s="257"/>
      <c r="AK234" s="461"/>
      <c r="AR234" s="402"/>
    </row>
    <row r="235" spans="1:44">
      <c r="B235" s="90"/>
      <c r="C235" s="90"/>
      <c r="D235" s="90"/>
      <c r="E235" s="90"/>
      <c r="F235" s="344"/>
      <c r="G235" s="26"/>
      <c r="H235" s="344"/>
      <c r="I235" s="8"/>
      <c r="J235" s="8"/>
      <c r="L235" s="79"/>
      <c r="M235" s="403"/>
      <c r="N235" s="240"/>
      <c r="O235" s="359"/>
      <c r="Q235" s="342"/>
      <c r="S235" s="324"/>
      <c r="W235" s="39"/>
      <c r="Z235" s="433"/>
      <c r="AC235" s="42"/>
      <c r="AE235" s="72"/>
      <c r="AF235" s="33"/>
      <c r="AG235" s="402"/>
      <c r="AH235" s="442"/>
      <c r="AI235" s="446"/>
      <c r="AM235" s="234"/>
      <c r="AR235" s="402"/>
    </row>
    <row r="236" spans="1:44">
      <c r="A236" s="343">
        <v>3.16</v>
      </c>
      <c r="B236" s="79">
        <v>340</v>
      </c>
      <c r="C236" s="79">
        <v>323</v>
      </c>
      <c r="D236" s="79">
        <v>15</v>
      </c>
      <c r="E236" s="79">
        <v>12</v>
      </c>
      <c r="F236" s="79">
        <v>30.05</v>
      </c>
      <c r="G236" s="80">
        <v>6494</v>
      </c>
      <c r="H236" s="450" t="s">
        <v>3038</v>
      </c>
      <c r="I236" s="16" t="s">
        <v>380</v>
      </c>
      <c r="J236" s="8" t="s">
        <v>3542</v>
      </c>
      <c r="L236" s="79">
        <v>1</v>
      </c>
      <c r="M236" s="403">
        <v>0</v>
      </c>
      <c r="N236" s="240">
        <v>1</v>
      </c>
      <c r="O236" s="359">
        <v>58</v>
      </c>
      <c r="P236" s="79">
        <v>138</v>
      </c>
      <c r="Q236" s="342">
        <v>532</v>
      </c>
      <c r="R236" s="81">
        <v>439</v>
      </c>
      <c r="S236" s="324">
        <v>52</v>
      </c>
      <c r="T236" s="384">
        <v>8</v>
      </c>
      <c r="U236" s="426">
        <f t="shared" ref="U236:U242" si="172">T236/W236</f>
        <v>6.8085106382978725E-2</v>
      </c>
      <c r="V236" s="94">
        <v>17.21</v>
      </c>
      <c r="W236" s="39">
        <v>117.5</v>
      </c>
      <c r="X236" s="207">
        <v>113.5</v>
      </c>
      <c r="Y236" s="430">
        <f t="shared" ref="Y236:Y242" si="173">W236-X236</f>
        <v>4</v>
      </c>
      <c r="Z236" s="434">
        <f t="shared" ref="Z236:Z242" si="174">Y236/X236</f>
        <v>3.5242290748898682E-2</v>
      </c>
      <c r="AA236" s="340">
        <v>-38.19</v>
      </c>
      <c r="AB236" s="389">
        <v>15.24</v>
      </c>
      <c r="AC236" s="24" t="s">
        <v>380</v>
      </c>
      <c r="AD236" s="84">
        <v>44679</v>
      </c>
      <c r="AE236" s="83">
        <v>44680</v>
      </c>
      <c r="AF236" s="33">
        <f t="shared" si="153"/>
        <v>1</v>
      </c>
      <c r="AG236" s="402" t="s">
        <v>2365</v>
      </c>
      <c r="AH236" s="443"/>
      <c r="AI236" s="254"/>
      <c r="AJ236" s="392"/>
      <c r="AM236" s="245"/>
      <c r="AR236" s="402" t="str">
        <f>INDEX(基本資料!N:N,MATCH($G236,基本資料!A:A,0))</f>
        <v>低</v>
      </c>
    </row>
    <row r="237" spans="1:44">
      <c r="A237" s="343">
        <v>4.4400000000000004</v>
      </c>
      <c r="B237" s="79">
        <v>730</v>
      </c>
      <c r="C237" s="92">
        <v>2520</v>
      </c>
      <c r="D237" s="79">
        <v>44</v>
      </c>
      <c r="E237" s="79">
        <v>22</v>
      </c>
      <c r="F237" s="79">
        <v>18.47</v>
      </c>
      <c r="G237" s="80">
        <v>3527</v>
      </c>
      <c r="H237" s="403" t="s">
        <v>3038</v>
      </c>
      <c r="I237" s="16" t="s">
        <v>326</v>
      </c>
      <c r="J237" s="102" t="s">
        <v>4718</v>
      </c>
      <c r="L237" s="79">
        <v>1</v>
      </c>
      <c r="M237" s="403">
        <v>0</v>
      </c>
      <c r="N237" s="240">
        <v>1</v>
      </c>
      <c r="O237" s="359">
        <v>135</v>
      </c>
      <c r="P237" s="79">
        <v>378</v>
      </c>
      <c r="Q237" s="342">
        <v>603</v>
      </c>
      <c r="R237" s="81">
        <v>195</v>
      </c>
      <c r="S237" s="324">
        <v>48</v>
      </c>
      <c r="T237" s="384">
        <v>8</v>
      </c>
      <c r="U237" s="426">
        <f t="shared" si="172"/>
        <v>5.3333333333333337E-2</v>
      </c>
      <c r="V237" s="94">
        <v>12.69</v>
      </c>
      <c r="W237" s="39">
        <v>150</v>
      </c>
      <c r="X237" s="207">
        <v>146.5</v>
      </c>
      <c r="Y237" s="430">
        <f t="shared" si="173"/>
        <v>3.5</v>
      </c>
      <c r="Z237" s="434">
        <f t="shared" si="174"/>
        <v>2.3890784982935155E-2</v>
      </c>
      <c r="AA237" s="340">
        <v>-46.06</v>
      </c>
      <c r="AB237" s="389">
        <v>12.63</v>
      </c>
      <c r="AC237" s="24" t="s">
        <v>326</v>
      </c>
      <c r="AD237" s="84">
        <v>44676</v>
      </c>
      <c r="AE237" s="83">
        <v>44680</v>
      </c>
      <c r="AF237" s="33">
        <f t="shared" si="153"/>
        <v>4</v>
      </c>
      <c r="AG237" s="402" t="s">
        <v>2355</v>
      </c>
      <c r="AH237" s="443"/>
      <c r="AI237" s="254"/>
      <c r="AJ237" s="392"/>
      <c r="AM237" s="245"/>
      <c r="AR237" s="402" t="str">
        <f>INDEX(基本資料!N:N,MATCH($G237,基本資料!A:A,0))</f>
        <v>低</v>
      </c>
    </row>
    <row r="238" spans="1:44">
      <c r="A238" s="343">
        <v>56</v>
      </c>
      <c r="B238" s="80">
        <v>-6</v>
      </c>
      <c r="C238" s="80">
        <v>-15</v>
      </c>
      <c r="D238" s="79">
        <v>81</v>
      </c>
      <c r="E238" s="79">
        <v>30</v>
      </c>
      <c r="F238" s="79">
        <v>9.1300000000000008</v>
      </c>
      <c r="G238" s="80">
        <v>2345</v>
      </c>
      <c r="H238" s="450" t="s">
        <v>4314</v>
      </c>
      <c r="I238" s="22" t="s">
        <v>4321</v>
      </c>
      <c r="J238" s="102" t="s">
        <v>3544</v>
      </c>
      <c r="L238" s="79">
        <v>1</v>
      </c>
      <c r="M238" s="403">
        <v>0</v>
      </c>
      <c r="N238" s="240">
        <v>1</v>
      </c>
      <c r="O238" s="359">
        <v>1214</v>
      </c>
      <c r="P238" s="79">
        <v>109</v>
      </c>
      <c r="Q238" s="342">
        <v>30</v>
      </c>
      <c r="R238" s="81">
        <v>168</v>
      </c>
      <c r="S238" s="324">
        <v>648</v>
      </c>
      <c r="T238" s="384">
        <v>6</v>
      </c>
      <c r="U238" s="426">
        <f t="shared" si="172"/>
        <v>2.6726057906458798E-2</v>
      </c>
      <c r="V238" s="94">
        <v>8.44</v>
      </c>
      <c r="W238" s="39">
        <v>224.5</v>
      </c>
      <c r="X238" s="207">
        <v>219.5</v>
      </c>
      <c r="Y238" s="430">
        <f t="shared" si="173"/>
        <v>5</v>
      </c>
      <c r="Z238" s="434">
        <f t="shared" si="174"/>
        <v>2.2779043280182234E-2</v>
      </c>
      <c r="AA238" s="340">
        <v>-39.119999999999997</v>
      </c>
      <c r="AB238" s="389">
        <v>29.03</v>
      </c>
      <c r="AC238" s="23" t="s">
        <v>4321</v>
      </c>
      <c r="AD238" s="84">
        <v>44679</v>
      </c>
      <c r="AE238" s="83">
        <v>44680</v>
      </c>
      <c r="AF238" s="33">
        <f t="shared" si="153"/>
        <v>1</v>
      </c>
      <c r="AG238" s="401" t="s">
        <v>4322</v>
      </c>
      <c r="AH238" s="443"/>
      <c r="AI238" s="254"/>
      <c r="AJ238" s="392"/>
      <c r="AM238" s="245"/>
      <c r="AR238" s="402" t="str">
        <f>INDEX(基本資料!N:N,MATCH($G238,基本資料!A:A,0))</f>
        <v>低</v>
      </c>
    </row>
    <row r="239" spans="1:44">
      <c r="A239" s="343">
        <v>4.4000000000000004</v>
      </c>
      <c r="B239" s="92">
        <v>1610</v>
      </c>
      <c r="C239" s="92">
        <v>2987</v>
      </c>
      <c r="D239" s="79">
        <v>6</v>
      </c>
      <c r="E239" s="79">
        <v>47</v>
      </c>
      <c r="F239" s="79">
        <v>31.91</v>
      </c>
      <c r="G239" s="80">
        <v>6485</v>
      </c>
      <c r="H239" s="403" t="s">
        <v>3038</v>
      </c>
      <c r="I239" s="16" t="s">
        <v>232</v>
      </c>
      <c r="J239" s="8" t="s">
        <v>3542</v>
      </c>
      <c r="L239" s="79">
        <v>1</v>
      </c>
      <c r="M239" s="403">
        <v>0</v>
      </c>
      <c r="N239" s="240">
        <v>1</v>
      </c>
      <c r="O239" s="359">
        <v>16</v>
      </c>
      <c r="P239" s="79">
        <v>124</v>
      </c>
      <c r="Q239" s="342">
        <v>805</v>
      </c>
      <c r="R239" s="81">
        <v>418</v>
      </c>
      <c r="S239" s="324">
        <v>8</v>
      </c>
      <c r="T239" s="384">
        <v>5</v>
      </c>
      <c r="U239" s="426">
        <f t="shared" si="172"/>
        <v>4.2735042735042736E-2</v>
      </c>
      <c r="V239" s="94">
        <v>12.29</v>
      </c>
      <c r="W239" s="39">
        <v>117</v>
      </c>
      <c r="X239" s="207">
        <v>114.5</v>
      </c>
      <c r="Y239" s="430">
        <f t="shared" si="173"/>
        <v>2.5</v>
      </c>
      <c r="Z239" s="434">
        <f>Y239/X239</f>
        <v>2.1834061135371178E-2</v>
      </c>
      <c r="AA239" s="340">
        <v>-40.58</v>
      </c>
      <c r="AB239" s="389">
        <v>25.26</v>
      </c>
      <c r="AC239" s="24" t="s">
        <v>232</v>
      </c>
      <c r="AD239" s="84">
        <v>44679</v>
      </c>
      <c r="AE239" s="83">
        <v>44680</v>
      </c>
      <c r="AF239" s="33">
        <f t="shared" si="153"/>
        <v>1</v>
      </c>
      <c r="AG239" s="402" t="s">
        <v>2364</v>
      </c>
      <c r="AH239" s="443"/>
      <c r="AI239" s="254"/>
      <c r="AJ239" s="392"/>
      <c r="AM239" s="245"/>
      <c r="AR239" s="402" t="str">
        <f>INDEX(基本資料!N:N,MATCH($G239,基本資料!A:A,0))</f>
        <v>低</v>
      </c>
    </row>
    <row r="240" spans="1:44">
      <c r="A240" s="343">
        <v>13.4</v>
      </c>
      <c r="B240" s="80">
        <v>-23</v>
      </c>
      <c r="C240" s="80">
        <v>-27</v>
      </c>
      <c r="D240" s="79">
        <v>43</v>
      </c>
      <c r="E240" s="80">
        <v>-6</v>
      </c>
      <c r="F240" s="79">
        <v>49.29</v>
      </c>
      <c r="G240" s="80">
        <v>3008</v>
      </c>
      <c r="H240" s="344" t="s">
        <v>1877</v>
      </c>
      <c r="I240" s="22" t="s">
        <v>1839</v>
      </c>
      <c r="J240" s="102" t="s">
        <v>3542</v>
      </c>
      <c r="L240" s="79">
        <v>1</v>
      </c>
      <c r="M240" s="403">
        <v>0</v>
      </c>
      <c r="N240" s="240">
        <v>1</v>
      </c>
      <c r="O240" s="359">
        <v>872</v>
      </c>
      <c r="P240" s="79">
        <v>60</v>
      </c>
      <c r="Q240" s="342">
        <v>140</v>
      </c>
      <c r="R240" s="81">
        <v>184</v>
      </c>
      <c r="S240" s="324">
        <v>648</v>
      </c>
      <c r="T240" s="384">
        <v>39</v>
      </c>
      <c r="U240" s="426">
        <f t="shared" si="172"/>
        <v>2.2413793103448276E-2</v>
      </c>
      <c r="V240" s="94">
        <v>139.21</v>
      </c>
      <c r="W240" s="396">
        <v>1740</v>
      </c>
      <c r="X240" s="207">
        <v>1705</v>
      </c>
      <c r="Y240" s="431">
        <f t="shared" si="173"/>
        <v>35</v>
      </c>
      <c r="Z240" s="434">
        <f t="shared" si="174"/>
        <v>2.0527859237536656E-2</v>
      </c>
      <c r="AA240" s="340">
        <v>-47.37</v>
      </c>
      <c r="AB240" s="389">
        <v>10.08</v>
      </c>
      <c r="AC240" s="23" t="s">
        <v>1839</v>
      </c>
      <c r="AD240" s="84">
        <v>44673</v>
      </c>
      <c r="AE240" s="83">
        <v>44680</v>
      </c>
      <c r="AF240" s="33">
        <f t="shared" si="153"/>
        <v>7</v>
      </c>
      <c r="AG240" s="402" t="s">
        <v>4147</v>
      </c>
      <c r="AH240" s="443"/>
      <c r="AI240" s="254"/>
      <c r="AJ240" s="392"/>
      <c r="AM240" s="245"/>
      <c r="AR240" s="402" t="str">
        <f>INDEX(基本資料!N:N,MATCH($G240,基本資料!A:A,0))</f>
        <v>低</v>
      </c>
    </row>
    <row r="241" spans="1:44">
      <c r="A241" s="343">
        <v>8.57</v>
      </c>
      <c r="B241" s="79">
        <v>73</v>
      </c>
      <c r="C241" s="80">
        <v>-17</v>
      </c>
      <c r="D241" s="79">
        <v>90</v>
      </c>
      <c r="E241" s="79">
        <v>18</v>
      </c>
      <c r="F241" s="79">
        <v>11.57</v>
      </c>
      <c r="G241" s="79">
        <v>6508</v>
      </c>
      <c r="H241" s="403" t="s">
        <v>6259</v>
      </c>
      <c r="I241" s="16" t="s">
        <v>1039</v>
      </c>
      <c r="J241" s="8" t="s">
        <v>6258</v>
      </c>
      <c r="L241" s="79">
        <v>2</v>
      </c>
      <c r="M241" s="403">
        <v>0</v>
      </c>
      <c r="N241" s="240">
        <v>2</v>
      </c>
      <c r="O241" s="359">
        <v>108</v>
      </c>
      <c r="P241" s="79">
        <v>859</v>
      </c>
      <c r="Q241" s="342">
        <v>1060</v>
      </c>
      <c r="R241" s="81" t="s">
        <v>6279</v>
      </c>
      <c r="S241" s="324">
        <v>201</v>
      </c>
      <c r="T241" s="384">
        <v>3</v>
      </c>
      <c r="U241" s="426">
        <f t="shared" si="172"/>
        <v>5.3763440860215055E-2</v>
      </c>
      <c r="V241" s="94">
        <v>3.85</v>
      </c>
      <c r="W241" s="39">
        <v>55.8</v>
      </c>
      <c r="X241" s="207">
        <v>54.6</v>
      </c>
      <c r="Y241" s="430">
        <f t="shared" si="173"/>
        <v>1.1999999999999957</v>
      </c>
      <c r="Z241" s="434">
        <f t="shared" si="174"/>
        <v>2.19780219780219E-2</v>
      </c>
      <c r="AA241" s="340">
        <v>-21.02</v>
      </c>
      <c r="AB241" s="341">
        <v>70.11</v>
      </c>
      <c r="AC241" s="24" t="s">
        <v>1039</v>
      </c>
      <c r="AD241" s="84">
        <v>44677</v>
      </c>
      <c r="AE241" s="83">
        <v>44680</v>
      </c>
      <c r="AF241" s="33">
        <f t="shared" si="153"/>
        <v>3</v>
      </c>
      <c r="AG241" s="402" t="s">
        <v>2703</v>
      </c>
      <c r="AH241" s="443"/>
      <c r="AI241" s="254"/>
      <c r="AJ241" s="392"/>
      <c r="AM241" s="245"/>
      <c r="AR241" s="402" t="str">
        <f>INDEX(基本資料!N:N,MATCH($G241,基本資料!A:A,0))</f>
        <v>中</v>
      </c>
    </row>
    <row r="242" spans="1:44">
      <c r="A242" s="343">
        <v>4.83</v>
      </c>
      <c r="B242" s="92">
        <v>3611</v>
      </c>
      <c r="C242" s="92">
        <v>3370</v>
      </c>
      <c r="D242" s="80">
        <v>-10</v>
      </c>
      <c r="E242" s="80">
        <v>-8</v>
      </c>
      <c r="F242" s="79">
        <v>15.49</v>
      </c>
      <c r="G242" s="80">
        <v>6150</v>
      </c>
      <c r="H242" s="403" t="s">
        <v>1145</v>
      </c>
      <c r="I242" s="16" t="s">
        <v>1787</v>
      </c>
      <c r="J242" s="8" t="s">
        <v>3543</v>
      </c>
      <c r="L242" s="79">
        <v>1</v>
      </c>
      <c r="M242" s="403">
        <v>0</v>
      </c>
      <c r="N242" s="240">
        <v>1</v>
      </c>
      <c r="O242" s="359">
        <v>28</v>
      </c>
      <c r="P242" s="79">
        <v>30</v>
      </c>
      <c r="Q242" s="342">
        <v>503</v>
      </c>
      <c r="R242" s="81" t="s">
        <v>6279</v>
      </c>
      <c r="S242" s="324">
        <v>29</v>
      </c>
      <c r="T242" s="384">
        <v>11</v>
      </c>
      <c r="U242" s="426">
        <f t="shared" si="172"/>
        <v>9.5238095238095233E-2</v>
      </c>
      <c r="V242" s="94">
        <v>24.26</v>
      </c>
      <c r="W242" s="39">
        <v>115.5</v>
      </c>
      <c r="X242" s="207">
        <v>112.5</v>
      </c>
      <c r="Y242" s="430">
        <f t="shared" si="173"/>
        <v>3</v>
      </c>
      <c r="Z242" s="434">
        <f t="shared" si="174"/>
        <v>2.6666666666666668E-2</v>
      </c>
      <c r="AA242" s="340">
        <v>-45.91</v>
      </c>
      <c r="AB242" s="389">
        <v>12.63</v>
      </c>
      <c r="AC242" s="24" t="s">
        <v>1787</v>
      </c>
      <c r="AD242" s="84">
        <v>44680</v>
      </c>
      <c r="AE242" s="311">
        <v>44680</v>
      </c>
      <c r="AF242" s="33">
        <f t="shared" si="153"/>
        <v>0</v>
      </c>
      <c r="AG242" s="402" t="s">
        <v>2717</v>
      </c>
      <c r="AH242" s="443"/>
      <c r="AI242" s="254"/>
      <c r="AJ242" s="392"/>
      <c r="AM242" s="245"/>
      <c r="AR242" s="402" t="str">
        <f>INDEX(基本資料!N:N,MATCH($G242,基本資料!A:A,0))</f>
        <v>低</v>
      </c>
    </row>
    <row r="243" spans="1:44">
      <c r="A243" s="343">
        <v>76.3</v>
      </c>
      <c r="B243" s="92">
        <v>7300</v>
      </c>
      <c r="C243" s="79">
        <v>751</v>
      </c>
      <c r="D243" s="79">
        <v>35</v>
      </c>
      <c r="E243" s="79">
        <v>60</v>
      </c>
      <c r="F243" s="79">
        <v>43.08</v>
      </c>
      <c r="G243" s="80">
        <v>2637</v>
      </c>
      <c r="H243" s="403" t="s">
        <v>302</v>
      </c>
      <c r="I243" s="22" t="s">
        <v>871</v>
      </c>
      <c r="J243" s="8" t="s">
        <v>3544</v>
      </c>
      <c r="L243" s="79">
        <v>1</v>
      </c>
      <c r="M243" s="403">
        <v>0</v>
      </c>
      <c r="N243" s="240">
        <v>1</v>
      </c>
      <c r="O243" s="359">
        <v>701</v>
      </c>
      <c r="P243" s="79">
        <v>184</v>
      </c>
      <c r="Q243" s="342">
        <v>245</v>
      </c>
      <c r="R243" s="81">
        <v>77</v>
      </c>
      <c r="S243" s="324">
        <v>149</v>
      </c>
      <c r="T243" s="384">
        <v>5.5</v>
      </c>
      <c r="U243" s="426">
        <f t="shared" ref="U243" si="175">T243/W243</f>
        <v>6.1111111111111109E-2</v>
      </c>
      <c r="V243" s="94">
        <v>11.05</v>
      </c>
      <c r="W243" s="39">
        <v>90</v>
      </c>
      <c r="X243" s="207">
        <v>87.9</v>
      </c>
      <c r="Y243" s="430">
        <f t="shared" ref="Y243" si="176">W243-X243</f>
        <v>2.0999999999999943</v>
      </c>
      <c r="Z243" s="434">
        <f t="shared" ref="Z243" si="177">Y243/X243</f>
        <v>2.3890784982935086E-2</v>
      </c>
      <c r="AA243" s="340">
        <v>-28.93</v>
      </c>
      <c r="AB243" s="341">
        <v>47.56</v>
      </c>
      <c r="AC243" s="23" t="s">
        <v>871</v>
      </c>
      <c r="AD243" s="84">
        <v>44679</v>
      </c>
      <c r="AE243" s="83">
        <v>44680</v>
      </c>
      <c r="AF243" s="33">
        <f t="shared" si="153"/>
        <v>1</v>
      </c>
      <c r="AG243" s="402" t="s">
        <v>2014</v>
      </c>
      <c r="AH243" s="443"/>
      <c r="AI243" s="254"/>
      <c r="AJ243" s="392"/>
      <c r="AM243" s="245"/>
      <c r="AR243" s="402" t="str">
        <f>INDEX(基本資料!N:N,MATCH($G243,基本資料!A:A,0))</f>
        <v>高</v>
      </c>
    </row>
    <row r="244" spans="1:44">
      <c r="A244" s="343">
        <v>10.8</v>
      </c>
      <c r="B244" s="79">
        <v>133</v>
      </c>
      <c r="C244" s="79">
        <v>144</v>
      </c>
      <c r="D244" s="79">
        <v>15</v>
      </c>
      <c r="E244" s="79">
        <v>29</v>
      </c>
      <c r="F244" s="79">
        <v>22.08</v>
      </c>
      <c r="G244" s="80">
        <v>4952</v>
      </c>
      <c r="H244" s="403" t="s">
        <v>3038</v>
      </c>
      <c r="I244" s="22" t="s">
        <v>176</v>
      </c>
      <c r="J244" s="102" t="s">
        <v>3544</v>
      </c>
      <c r="L244" s="79">
        <v>1</v>
      </c>
      <c r="M244" s="403">
        <v>0</v>
      </c>
      <c r="N244" s="240">
        <v>1</v>
      </c>
      <c r="O244" s="359">
        <v>306</v>
      </c>
      <c r="P244" s="79">
        <v>553</v>
      </c>
      <c r="Q244" s="342">
        <v>688</v>
      </c>
      <c r="R244" s="81">
        <v>403</v>
      </c>
      <c r="S244" s="324">
        <v>271</v>
      </c>
      <c r="T244" s="384">
        <v>5.4</v>
      </c>
      <c r="U244" s="426">
        <f>T244/W244</f>
        <v>7.6813655761024197E-2</v>
      </c>
      <c r="V244" s="94">
        <v>6.05</v>
      </c>
      <c r="W244" s="39">
        <v>70.3</v>
      </c>
      <c r="X244" s="207">
        <v>68.7</v>
      </c>
      <c r="Y244" s="430">
        <f>W244-X244</f>
        <v>1.5999999999999943</v>
      </c>
      <c r="Z244" s="434">
        <f>Y244/X244</f>
        <v>2.3289665211062509E-2</v>
      </c>
      <c r="AA244" s="340">
        <v>-29.51</v>
      </c>
      <c r="AB244" s="389">
        <v>37.229999999999997</v>
      </c>
      <c r="AC244" s="23" t="s">
        <v>176</v>
      </c>
      <c r="AD244" s="84">
        <v>44679</v>
      </c>
      <c r="AE244" s="83">
        <v>44680</v>
      </c>
      <c r="AF244" s="33">
        <f t="shared" si="153"/>
        <v>1</v>
      </c>
      <c r="AG244" s="401" t="s">
        <v>2104</v>
      </c>
      <c r="AH244" s="443"/>
      <c r="AI244" s="254"/>
      <c r="AJ244" s="392"/>
      <c r="AM244" s="245"/>
      <c r="AR244" s="402" t="str">
        <f>INDEX(基本資料!N:N,MATCH($G244,基本資料!A:A,0))</f>
        <v>中</v>
      </c>
    </row>
    <row r="245" spans="1:44">
      <c r="A245" s="343">
        <v>18.899999999999999</v>
      </c>
      <c r="B245" s="79">
        <v>14</v>
      </c>
      <c r="C245" s="79">
        <v>23</v>
      </c>
      <c r="D245" s="80">
        <v>-1</v>
      </c>
      <c r="E245" s="79">
        <v>22</v>
      </c>
      <c r="F245" s="79">
        <v>9.98</v>
      </c>
      <c r="G245" s="80">
        <v>4927</v>
      </c>
      <c r="H245" s="403" t="s">
        <v>308</v>
      </c>
      <c r="I245" s="22" t="s">
        <v>447</v>
      </c>
      <c r="J245" s="102" t="s">
        <v>3544</v>
      </c>
      <c r="L245" s="79">
        <v>1</v>
      </c>
      <c r="M245" s="403">
        <v>0</v>
      </c>
      <c r="N245" s="240">
        <v>1</v>
      </c>
      <c r="O245" s="359">
        <v>299</v>
      </c>
      <c r="P245" s="79">
        <v>198</v>
      </c>
      <c r="Q245" s="342">
        <v>274</v>
      </c>
      <c r="R245" s="81">
        <v>48</v>
      </c>
      <c r="S245" s="324">
        <v>35</v>
      </c>
      <c r="T245" s="384">
        <v>4</v>
      </c>
      <c r="U245" s="426">
        <f>T245/W245</f>
        <v>4.1407867494824016E-2</v>
      </c>
      <c r="V245" s="94">
        <v>7.25</v>
      </c>
      <c r="W245" s="39">
        <v>96.6</v>
      </c>
      <c r="X245" s="207">
        <v>94.4</v>
      </c>
      <c r="Y245" s="430">
        <f>W245-X245</f>
        <v>2.1999999999999886</v>
      </c>
      <c r="Z245" s="434">
        <f>Y245/X245</f>
        <v>2.3305084745762591E-2</v>
      </c>
      <c r="AA245" s="340">
        <v>-31.88</v>
      </c>
      <c r="AB245" s="389">
        <v>33.47</v>
      </c>
      <c r="AC245" s="23" t="s">
        <v>447</v>
      </c>
      <c r="AD245" s="84">
        <v>44679</v>
      </c>
      <c r="AE245" s="83">
        <v>44680</v>
      </c>
      <c r="AF245" s="33">
        <f t="shared" ref="AF245:AF308" si="178">AE245-AD245</f>
        <v>1</v>
      </c>
      <c r="AG245" s="402" t="s">
        <v>1043</v>
      </c>
      <c r="AH245" s="443"/>
      <c r="AI245" s="254"/>
      <c r="AJ245" s="393"/>
      <c r="AM245" s="245"/>
      <c r="AR245" s="402" t="str">
        <f>INDEX(基本資料!N:N,MATCH($G245,基本資料!A:A,0))</f>
        <v>中</v>
      </c>
    </row>
    <row r="246" spans="1:44">
      <c r="A246" s="343">
        <v>952</v>
      </c>
      <c r="B246" s="79">
        <v>569</v>
      </c>
      <c r="C246" s="92">
        <v>1892</v>
      </c>
      <c r="D246" s="79">
        <v>31</v>
      </c>
      <c r="E246" s="79">
        <v>47</v>
      </c>
      <c r="F246" s="79">
        <v>8.9</v>
      </c>
      <c r="G246" s="80">
        <v>6505</v>
      </c>
      <c r="H246" s="403" t="s">
        <v>312</v>
      </c>
      <c r="I246" s="22" t="s">
        <v>4670</v>
      </c>
      <c r="J246" s="102" t="s">
        <v>3544</v>
      </c>
      <c r="L246" s="79">
        <v>1</v>
      </c>
      <c r="M246" s="403">
        <v>0</v>
      </c>
      <c r="N246" s="240">
        <v>1</v>
      </c>
      <c r="O246" s="359">
        <v>1439</v>
      </c>
      <c r="P246" s="79">
        <v>934</v>
      </c>
      <c r="Q246" s="342">
        <v>636</v>
      </c>
      <c r="R246" s="81">
        <v>340</v>
      </c>
      <c r="S246" s="324">
        <v>410</v>
      </c>
      <c r="T246" s="384">
        <v>3.8</v>
      </c>
      <c r="U246" s="426">
        <f>T246/W246</f>
        <v>4.1394335511982572E-2</v>
      </c>
      <c r="V246" s="94">
        <v>5.19</v>
      </c>
      <c r="W246" s="39">
        <v>91.8</v>
      </c>
      <c r="X246" s="207">
        <v>89.8</v>
      </c>
      <c r="Y246" s="430">
        <f>W246-X246</f>
        <v>2</v>
      </c>
      <c r="Z246" s="434">
        <f>Y246/X246</f>
        <v>2.2271714922048998E-2</v>
      </c>
      <c r="AA246" s="340">
        <v>-24.09</v>
      </c>
      <c r="AB246" s="389">
        <v>9.9700000000000006</v>
      </c>
      <c r="AC246" s="23" t="s">
        <v>4670</v>
      </c>
      <c r="AD246" s="84">
        <v>44680</v>
      </c>
      <c r="AE246" s="311">
        <v>44680</v>
      </c>
      <c r="AF246" s="33">
        <f t="shared" si="178"/>
        <v>0</v>
      </c>
      <c r="AG246" s="402" t="s">
        <v>2595</v>
      </c>
      <c r="AH246" s="443"/>
      <c r="AI246" s="254"/>
      <c r="AJ246" s="392"/>
      <c r="AM246" s="245"/>
      <c r="AR246" s="402" t="str">
        <f>INDEX(基本資料!N:N,MATCH($G246,基本資料!A:A,0))</f>
        <v>低</v>
      </c>
    </row>
    <row r="247" spans="1:44">
      <c r="A247" s="343">
        <v>49.2</v>
      </c>
      <c r="B247" s="79">
        <v>107</v>
      </c>
      <c r="C247" s="79">
        <v>105</v>
      </c>
      <c r="D247" s="79">
        <v>33</v>
      </c>
      <c r="E247" s="80">
        <v>-44</v>
      </c>
      <c r="F247" s="79">
        <v>42.15</v>
      </c>
      <c r="G247" s="80">
        <v>2108</v>
      </c>
      <c r="H247" s="403" t="s">
        <v>300</v>
      </c>
      <c r="I247" s="22" t="s">
        <v>4003</v>
      </c>
      <c r="J247" s="102" t="s">
        <v>3542</v>
      </c>
      <c r="L247" s="79">
        <v>1</v>
      </c>
      <c r="M247" s="403">
        <v>0</v>
      </c>
      <c r="N247" s="240">
        <v>1</v>
      </c>
      <c r="O247" s="359">
        <v>836</v>
      </c>
      <c r="P247" s="79">
        <v>71</v>
      </c>
      <c r="Q247" s="342">
        <v>565</v>
      </c>
      <c r="R247" s="81">
        <v>319</v>
      </c>
      <c r="S247" s="324">
        <v>410</v>
      </c>
      <c r="T247" s="384">
        <v>7</v>
      </c>
      <c r="U247" s="426">
        <f>T247/W247</f>
        <v>0.12773722627737227</v>
      </c>
      <c r="V247" s="94">
        <v>14.92</v>
      </c>
      <c r="W247" s="39">
        <v>54.8</v>
      </c>
      <c r="X247" s="207">
        <v>53.5</v>
      </c>
      <c r="Y247" s="430">
        <f>W247-X247</f>
        <v>1.2999999999999972</v>
      </c>
      <c r="Z247" s="434">
        <f>Y247/X247</f>
        <v>2.4299065420560696E-2</v>
      </c>
      <c r="AA247" s="340">
        <v>-70.11</v>
      </c>
      <c r="AB247" s="389">
        <v>4.4800000000000004</v>
      </c>
      <c r="AC247" s="23" t="s">
        <v>4003</v>
      </c>
      <c r="AD247" s="84">
        <v>44679</v>
      </c>
      <c r="AE247" s="83">
        <v>44680</v>
      </c>
      <c r="AF247" s="33">
        <f t="shared" si="178"/>
        <v>1</v>
      </c>
      <c r="AG247" s="402" t="s">
        <v>4004</v>
      </c>
      <c r="AH247" s="443"/>
      <c r="AI247" s="254"/>
      <c r="AJ247" s="392"/>
      <c r="AM247" s="245"/>
      <c r="AR247" s="402" t="str">
        <f>INDEX(基本資料!N:N,MATCH($G247,基本資料!A:A,0))</f>
        <v>低</v>
      </c>
    </row>
    <row r="248" spans="1:44">
      <c r="A248" s="343">
        <v>75.900000000000006</v>
      </c>
      <c r="B248" s="79">
        <v>43</v>
      </c>
      <c r="C248" s="79">
        <v>35</v>
      </c>
      <c r="D248" s="79">
        <v>9</v>
      </c>
      <c r="E248" s="79">
        <v>9</v>
      </c>
      <c r="F248" s="79">
        <v>17.329999999999998</v>
      </c>
      <c r="G248" s="79">
        <v>6239</v>
      </c>
      <c r="H248" s="403" t="s">
        <v>3038</v>
      </c>
      <c r="I248" s="22" t="s">
        <v>22</v>
      </c>
      <c r="J248" s="8" t="s">
        <v>3544</v>
      </c>
      <c r="L248" s="79">
        <v>1</v>
      </c>
      <c r="M248" s="403">
        <v>0</v>
      </c>
      <c r="N248" s="240">
        <v>1</v>
      </c>
      <c r="O248" s="359">
        <v>1137</v>
      </c>
      <c r="P248" s="79">
        <v>84</v>
      </c>
      <c r="Q248" s="342">
        <v>89</v>
      </c>
      <c r="R248" s="81">
        <v>104</v>
      </c>
      <c r="S248" s="324">
        <v>605</v>
      </c>
      <c r="T248" s="384">
        <v>6.8</v>
      </c>
      <c r="U248" s="426">
        <f t="shared" ref="U248:U254" si="179">T248/W248</f>
        <v>7.0833333333333331E-2</v>
      </c>
      <c r="V248" s="94">
        <v>11.54</v>
      </c>
      <c r="W248" s="39">
        <v>96</v>
      </c>
      <c r="X248" s="207">
        <v>93.2</v>
      </c>
      <c r="Y248" s="430">
        <f t="shared" ref="Y248:Y254" si="180">W248-X248</f>
        <v>2.7999999999999972</v>
      </c>
      <c r="Z248" s="434">
        <f t="shared" ref="Z248:Z254" si="181">Y248/X248</f>
        <v>3.0042918454935591E-2</v>
      </c>
      <c r="AA248" s="340">
        <v>-18.97</v>
      </c>
      <c r="AB248" s="389">
        <v>31.93</v>
      </c>
      <c r="AC248" s="23" t="s">
        <v>22</v>
      </c>
      <c r="AD248" s="84">
        <v>44676</v>
      </c>
      <c r="AE248" s="83">
        <v>44679</v>
      </c>
      <c r="AF248" s="33">
        <f t="shared" si="178"/>
        <v>3</v>
      </c>
      <c r="AG248" s="401" t="s">
        <v>2297</v>
      </c>
      <c r="AH248" s="443"/>
      <c r="AI248" s="254"/>
      <c r="AJ248" s="392"/>
      <c r="AM248" s="245"/>
      <c r="AR248" s="402" t="str">
        <f>INDEX(基本資料!N:N,MATCH($G248,基本資料!A:A,0))</f>
        <v>低</v>
      </c>
    </row>
    <row r="249" spans="1:44">
      <c r="A249" s="343">
        <v>59.3</v>
      </c>
      <c r="B249" s="79">
        <v>181</v>
      </c>
      <c r="C249" s="79">
        <v>259</v>
      </c>
      <c r="D249" s="79">
        <v>6</v>
      </c>
      <c r="E249" s="79">
        <v>5</v>
      </c>
      <c r="F249" s="79">
        <v>34.700000000000003</v>
      </c>
      <c r="G249" s="80">
        <v>1308</v>
      </c>
      <c r="H249" s="403" t="s">
        <v>3328</v>
      </c>
      <c r="I249" s="22" t="s">
        <v>109</v>
      </c>
      <c r="J249" s="102" t="s">
        <v>3543</v>
      </c>
      <c r="L249" s="79">
        <v>1</v>
      </c>
      <c r="M249" s="403">
        <v>0</v>
      </c>
      <c r="N249" s="240">
        <v>1</v>
      </c>
      <c r="O249" s="359">
        <v>727</v>
      </c>
      <c r="P249" s="79">
        <v>437</v>
      </c>
      <c r="Q249" s="342">
        <v>661</v>
      </c>
      <c r="R249" s="81">
        <v>122</v>
      </c>
      <c r="S249" s="324">
        <v>149</v>
      </c>
      <c r="T249" s="384">
        <v>3</v>
      </c>
      <c r="U249" s="426">
        <f t="shared" si="179"/>
        <v>8.3333333333333329E-2</v>
      </c>
      <c r="V249" s="94">
        <v>5.28</v>
      </c>
      <c r="W249" s="39">
        <v>36</v>
      </c>
      <c r="X249" s="207">
        <v>35.15</v>
      </c>
      <c r="Y249" s="430">
        <f t="shared" si="180"/>
        <v>0.85000000000000142</v>
      </c>
      <c r="Z249" s="434">
        <f t="shared" si="181"/>
        <v>2.4182076813655803E-2</v>
      </c>
      <c r="AA249" s="340">
        <v>-31.27</v>
      </c>
      <c r="AB249" s="389">
        <v>34.85</v>
      </c>
      <c r="AC249" s="23" t="s">
        <v>109</v>
      </c>
      <c r="AD249" s="84">
        <v>44678</v>
      </c>
      <c r="AE249" s="83">
        <v>44679</v>
      </c>
      <c r="AF249" s="33">
        <f t="shared" si="178"/>
        <v>1</v>
      </c>
      <c r="AG249" s="401" t="s">
        <v>2752</v>
      </c>
      <c r="AH249" s="443"/>
      <c r="AI249" s="254"/>
      <c r="AJ249" s="392"/>
      <c r="AK249" s="461"/>
      <c r="AM249" s="245"/>
      <c r="AR249" s="402" t="str">
        <f>INDEX(基本資料!N:N,MATCH($G249,基本資料!A:A,0))</f>
        <v>低</v>
      </c>
    </row>
    <row r="250" spans="1:44">
      <c r="A250" s="343">
        <v>4.4400000000000004</v>
      </c>
      <c r="B250" s="79">
        <v>249</v>
      </c>
      <c r="C250" s="79">
        <v>154</v>
      </c>
      <c r="D250" s="79">
        <v>19</v>
      </c>
      <c r="E250" s="79">
        <v>16</v>
      </c>
      <c r="F250" s="79">
        <v>16.510000000000002</v>
      </c>
      <c r="G250" s="79">
        <v>3675</v>
      </c>
      <c r="H250" s="96" t="s">
        <v>3038</v>
      </c>
      <c r="I250" s="16" t="s">
        <v>365</v>
      </c>
      <c r="J250" s="8" t="s">
        <v>3544</v>
      </c>
      <c r="L250" s="79">
        <v>1</v>
      </c>
      <c r="M250" s="403">
        <v>0</v>
      </c>
      <c r="N250" s="240">
        <v>1</v>
      </c>
      <c r="O250" s="359">
        <v>326</v>
      </c>
      <c r="P250" s="79">
        <v>365</v>
      </c>
      <c r="Q250" s="342">
        <v>69</v>
      </c>
      <c r="R250" s="81">
        <v>3</v>
      </c>
      <c r="S250" s="324">
        <v>22</v>
      </c>
      <c r="T250" s="384">
        <v>5</v>
      </c>
      <c r="U250" s="426">
        <f t="shared" si="179"/>
        <v>1.5197568389057751E-2</v>
      </c>
      <c r="V250" s="94">
        <v>7.36</v>
      </c>
      <c r="W250" s="39">
        <v>329</v>
      </c>
      <c r="X250" s="207">
        <v>322.5</v>
      </c>
      <c r="Y250" s="430">
        <f t="shared" si="180"/>
        <v>6.5</v>
      </c>
      <c r="Z250" s="434">
        <f t="shared" si="181"/>
        <v>2.0155038759689922E-2</v>
      </c>
      <c r="AA250" s="340">
        <v>-15.12</v>
      </c>
      <c r="AB250" s="341">
        <v>55.56</v>
      </c>
      <c r="AC250" s="24" t="s">
        <v>365</v>
      </c>
      <c r="AD250" s="84">
        <v>44677</v>
      </c>
      <c r="AE250" s="83">
        <v>44679</v>
      </c>
      <c r="AF250" s="33">
        <f t="shared" si="178"/>
        <v>2</v>
      </c>
      <c r="AG250" s="402" t="s">
        <v>2939</v>
      </c>
      <c r="AH250" s="443"/>
      <c r="AI250" s="254"/>
      <c r="AJ250" s="392"/>
      <c r="AM250" s="245"/>
      <c r="AR250" s="402" t="str">
        <f>INDEX(基本資料!N:N,MATCH($G250,基本資料!A:A,0))</f>
        <v>高</v>
      </c>
    </row>
    <row r="251" spans="1:44">
      <c r="A251" s="343">
        <v>84.5</v>
      </c>
      <c r="B251" s="79">
        <v>456</v>
      </c>
      <c r="C251" s="79">
        <v>649</v>
      </c>
      <c r="D251" s="79">
        <v>51</v>
      </c>
      <c r="E251" s="79">
        <v>24</v>
      </c>
      <c r="F251" s="79">
        <v>27.18</v>
      </c>
      <c r="G251" s="79">
        <v>2606</v>
      </c>
      <c r="H251" s="344" t="s">
        <v>302</v>
      </c>
      <c r="I251" s="22" t="s">
        <v>4618</v>
      </c>
      <c r="J251" s="102" t="s">
        <v>3544</v>
      </c>
      <c r="L251" s="79">
        <v>1</v>
      </c>
      <c r="M251" s="403">
        <v>0</v>
      </c>
      <c r="N251" s="240">
        <v>1</v>
      </c>
      <c r="O251" s="359">
        <v>629</v>
      </c>
      <c r="P251" s="79">
        <v>163</v>
      </c>
      <c r="Q251" s="342">
        <v>454</v>
      </c>
      <c r="R251" s="81">
        <v>27</v>
      </c>
      <c r="S251" s="324">
        <v>166</v>
      </c>
      <c r="T251" s="384">
        <v>3</v>
      </c>
      <c r="U251" s="426">
        <f t="shared" si="179"/>
        <v>4.7770700636942678E-2</v>
      </c>
      <c r="V251" s="94">
        <v>5.79</v>
      </c>
      <c r="W251" s="39">
        <v>62.8</v>
      </c>
      <c r="X251" s="207">
        <v>61.3</v>
      </c>
      <c r="Y251" s="430">
        <f t="shared" si="180"/>
        <v>1.5</v>
      </c>
      <c r="Z251" s="434">
        <f t="shared" si="181"/>
        <v>2.4469820554649267E-2</v>
      </c>
      <c r="AA251" s="340">
        <v>-34.85</v>
      </c>
      <c r="AB251" s="341">
        <v>56.21</v>
      </c>
      <c r="AC251" s="23" t="s">
        <v>4618</v>
      </c>
      <c r="AD251" s="84">
        <v>44678</v>
      </c>
      <c r="AE251" s="311">
        <v>44678</v>
      </c>
      <c r="AF251" s="33">
        <f t="shared" si="178"/>
        <v>0</v>
      </c>
      <c r="AG251" s="401" t="s">
        <v>3266</v>
      </c>
      <c r="AH251" s="443"/>
      <c r="AI251" s="254"/>
      <c r="AJ251" s="392"/>
      <c r="AM251" s="245"/>
      <c r="AR251" s="402" t="str">
        <f>INDEX(基本資料!N:N,MATCH($G251,基本資料!A:A,0))</f>
        <v>中</v>
      </c>
    </row>
    <row r="252" spans="1:44">
      <c r="A252" s="343">
        <v>27.1</v>
      </c>
      <c r="B252" s="79">
        <v>8</v>
      </c>
      <c r="C252" s="79">
        <v>25</v>
      </c>
      <c r="D252" s="79">
        <v>33</v>
      </c>
      <c r="E252" s="79">
        <v>6</v>
      </c>
      <c r="F252" s="79">
        <v>28.8</v>
      </c>
      <c r="G252" s="79">
        <v>3374</v>
      </c>
      <c r="H252" s="132" t="s">
        <v>3038</v>
      </c>
      <c r="I252" s="16" t="s">
        <v>167</v>
      </c>
      <c r="J252" s="8" t="s">
        <v>6235</v>
      </c>
      <c r="L252" s="79">
        <v>2</v>
      </c>
      <c r="M252" s="403">
        <v>0</v>
      </c>
      <c r="N252" s="240">
        <v>2</v>
      </c>
      <c r="O252" s="359">
        <v>299</v>
      </c>
      <c r="P252" s="79">
        <v>198</v>
      </c>
      <c r="Q252" s="342">
        <v>701</v>
      </c>
      <c r="R252" s="81">
        <v>73</v>
      </c>
      <c r="S252" s="324">
        <v>271</v>
      </c>
      <c r="T252" s="384">
        <v>3</v>
      </c>
      <c r="U252" s="426">
        <f t="shared" si="179"/>
        <v>2.2988505747126436E-2</v>
      </c>
      <c r="V252" s="94">
        <v>6.92</v>
      </c>
      <c r="W252" s="39">
        <v>130.5</v>
      </c>
      <c r="X252" s="207">
        <v>127.5</v>
      </c>
      <c r="Y252" s="430">
        <f t="shared" si="180"/>
        <v>3</v>
      </c>
      <c r="Z252" s="434">
        <f t="shared" si="181"/>
        <v>2.3529411764705882E-2</v>
      </c>
      <c r="AA252" s="340">
        <v>-31.69</v>
      </c>
      <c r="AB252" s="341">
        <v>53.42</v>
      </c>
      <c r="AC252" s="24" t="s">
        <v>167</v>
      </c>
      <c r="AD252" s="84">
        <v>44678</v>
      </c>
      <c r="AE252" s="311">
        <v>44678</v>
      </c>
      <c r="AF252" s="33">
        <f t="shared" si="178"/>
        <v>0</v>
      </c>
      <c r="AG252" s="401" t="s">
        <v>2321</v>
      </c>
      <c r="AH252" s="443"/>
      <c r="AI252" s="254"/>
      <c r="AJ252" s="392"/>
      <c r="AM252" s="245"/>
      <c r="AR252" s="402" t="str">
        <f>INDEX(基本資料!N:N,MATCH($G252,基本資料!A:A,0))</f>
        <v>低</v>
      </c>
    </row>
    <row r="253" spans="1:44">
      <c r="A253" s="343">
        <v>7.87</v>
      </c>
      <c r="B253" s="79">
        <v>111</v>
      </c>
      <c r="C253" s="79">
        <v>118</v>
      </c>
      <c r="D253" s="79">
        <v>9</v>
      </c>
      <c r="E253" s="79">
        <v>31</v>
      </c>
      <c r="F253" s="79">
        <v>4.3600000000000003</v>
      </c>
      <c r="G253" s="79">
        <v>6469</v>
      </c>
      <c r="H253" s="403" t="s">
        <v>309</v>
      </c>
      <c r="I253" s="16" t="s">
        <v>3823</v>
      </c>
      <c r="J253" s="102" t="s">
        <v>3544</v>
      </c>
      <c r="L253" s="79">
        <v>1</v>
      </c>
      <c r="M253" s="403">
        <v>0</v>
      </c>
      <c r="N253" s="240">
        <v>1</v>
      </c>
      <c r="O253" s="359">
        <v>641</v>
      </c>
      <c r="P253" s="79">
        <v>670</v>
      </c>
      <c r="Q253" s="342">
        <v>749</v>
      </c>
      <c r="R253" s="81">
        <v>174</v>
      </c>
      <c r="S253" s="324">
        <v>497</v>
      </c>
      <c r="T253" s="384">
        <v>5.14</v>
      </c>
      <c r="U253" s="426">
        <f t="shared" si="179"/>
        <v>1.86231884057971E-2</v>
      </c>
      <c r="V253" s="94">
        <v>6.2</v>
      </c>
      <c r="W253" s="39">
        <v>276</v>
      </c>
      <c r="X253" s="207">
        <v>270</v>
      </c>
      <c r="Y253" s="430">
        <f t="shared" si="180"/>
        <v>6</v>
      </c>
      <c r="Z253" s="434">
        <f t="shared" si="181"/>
        <v>2.2222222222222223E-2</v>
      </c>
      <c r="AA253" s="340">
        <v>-21.65</v>
      </c>
      <c r="AB253" s="341">
        <v>59.39</v>
      </c>
      <c r="AC253" s="24" t="s">
        <v>3823</v>
      </c>
      <c r="AD253" s="84">
        <v>44678</v>
      </c>
      <c r="AE253" s="311">
        <v>44678</v>
      </c>
      <c r="AF253" s="33">
        <f t="shared" si="178"/>
        <v>0</v>
      </c>
      <c r="AG253" s="402" t="s">
        <v>3824</v>
      </c>
      <c r="AH253" s="443"/>
      <c r="AI253" s="254"/>
      <c r="AJ253" s="392"/>
      <c r="AM253" s="245"/>
      <c r="AR253" s="402" t="str">
        <f>INDEX(基本資料!N:N,MATCH($G253,基本資料!A:A,0))</f>
        <v>中</v>
      </c>
    </row>
    <row r="254" spans="1:44">
      <c r="A254" s="343">
        <v>27.1</v>
      </c>
      <c r="B254" s="79">
        <v>8</v>
      </c>
      <c r="C254" s="79">
        <v>25</v>
      </c>
      <c r="D254" s="79">
        <v>33</v>
      </c>
      <c r="E254" s="79">
        <v>6</v>
      </c>
      <c r="F254" s="79">
        <v>28.8</v>
      </c>
      <c r="G254" s="79">
        <v>3374</v>
      </c>
      <c r="H254" s="132" t="s">
        <v>3038</v>
      </c>
      <c r="I254" s="16" t="s">
        <v>167</v>
      </c>
      <c r="J254" s="8" t="s">
        <v>6235</v>
      </c>
      <c r="L254" s="79">
        <v>2</v>
      </c>
      <c r="M254" s="403">
        <v>0</v>
      </c>
      <c r="N254" s="240">
        <v>2</v>
      </c>
      <c r="O254" s="359">
        <v>299</v>
      </c>
      <c r="P254" s="79">
        <v>198</v>
      </c>
      <c r="Q254" s="342">
        <v>701</v>
      </c>
      <c r="R254" s="81">
        <v>73</v>
      </c>
      <c r="S254" s="324">
        <v>271</v>
      </c>
      <c r="T254" s="384">
        <v>3</v>
      </c>
      <c r="U254" s="426">
        <f t="shared" si="179"/>
        <v>2.1201413427561839E-2</v>
      </c>
      <c r="V254" s="94">
        <v>6.92</v>
      </c>
      <c r="W254" s="39">
        <v>141.5</v>
      </c>
      <c r="X254" s="207">
        <v>138.5</v>
      </c>
      <c r="Y254" s="430">
        <f t="shared" si="180"/>
        <v>3</v>
      </c>
      <c r="Z254" s="434">
        <f t="shared" si="181"/>
        <v>2.1660649819494584E-2</v>
      </c>
      <c r="AA254" s="340">
        <v>-28.31</v>
      </c>
      <c r="AB254" s="341">
        <v>51.04</v>
      </c>
      <c r="AC254" s="24" t="s">
        <v>167</v>
      </c>
      <c r="AD254" s="84">
        <v>44673</v>
      </c>
      <c r="AE254" s="83">
        <v>44677</v>
      </c>
      <c r="AF254" s="33">
        <f t="shared" si="178"/>
        <v>4</v>
      </c>
      <c r="AG254" s="401" t="s">
        <v>2321</v>
      </c>
      <c r="AH254" s="443"/>
      <c r="AI254" s="254"/>
      <c r="AJ254" s="392"/>
      <c r="AM254" s="245"/>
      <c r="AR254" s="402" t="str">
        <f>INDEX(基本資料!N:N,MATCH($G254,基本資料!A:A,0))</f>
        <v>低</v>
      </c>
    </row>
    <row r="255" spans="1:44">
      <c r="A255" s="343">
        <v>4.04</v>
      </c>
      <c r="B255" s="80">
        <v>-37</v>
      </c>
      <c r="C255" s="80">
        <v>-38</v>
      </c>
      <c r="D255" s="79">
        <v>86</v>
      </c>
      <c r="E255" s="79">
        <v>38</v>
      </c>
      <c r="F255" s="79">
        <v>27.02</v>
      </c>
      <c r="G255" s="79">
        <v>5474</v>
      </c>
      <c r="H255" s="132" t="s">
        <v>1145</v>
      </c>
      <c r="I255" s="16" t="s">
        <v>2227</v>
      </c>
      <c r="J255" s="8" t="s">
        <v>4718</v>
      </c>
      <c r="L255" s="79">
        <v>1</v>
      </c>
      <c r="M255" s="403">
        <v>0</v>
      </c>
      <c r="N255" s="240">
        <v>1</v>
      </c>
      <c r="O255" s="359">
        <v>498</v>
      </c>
      <c r="P255" s="79">
        <v>606</v>
      </c>
      <c r="Q255" s="342">
        <v>913</v>
      </c>
      <c r="R255" s="81" t="s">
        <v>6279</v>
      </c>
      <c r="S255" s="324">
        <v>698</v>
      </c>
      <c r="T255" s="384">
        <v>5</v>
      </c>
      <c r="U255" s="426">
        <f t="shared" ref="U255" si="182">T255/W255</f>
        <v>4.2918454935622317E-2</v>
      </c>
      <c r="V255" s="94">
        <v>10.54</v>
      </c>
      <c r="W255" s="39">
        <v>116.5</v>
      </c>
      <c r="X255" s="207">
        <v>114.5</v>
      </c>
      <c r="Y255" s="430">
        <f t="shared" ref="Y255" si="183">W255-X255</f>
        <v>2</v>
      </c>
      <c r="Z255" s="434">
        <f t="shared" ref="Z255" si="184">Y255/X255</f>
        <v>1.7467248908296942E-2</v>
      </c>
      <c r="AA255" s="340">
        <v>-39.340000000000003</v>
      </c>
      <c r="AB255" s="341">
        <v>45.57</v>
      </c>
      <c r="AC255" s="24" t="s">
        <v>2227</v>
      </c>
      <c r="AD255" s="84">
        <v>44677</v>
      </c>
      <c r="AE255" s="311">
        <v>44677</v>
      </c>
      <c r="AF255" s="33">
        <f t="shared" si="178"/>
        <v>0</v>
      </c>
      <c r="AG255" s="402" t="s">
        <v>2434</v>
      </c>
      <c r="AH255" s="443"/>
      <c r="AI255" s="254"/>
      <c r="AJ255" s="392"/>
      <c r="AM255" s="245"/>
      <c r="AR255" s="402" t="str">
        <f>INDEX(基本資料!N:N,MATCH($G255,基本資料!A:A,0))</f>
        <v>低</v>
      </c>
    </row>
    <row r="256" spans="1:44">
      <c r="A256" s="343">
        <v>4.4400000000000004</v>
      </c>
      <c r="B256" s="79">
        <v>249</v>
      </c>
      <c r="C256" s="79">
        <v>154</v>
      </c>
      <c r="D256" s="79">
        <v>19</v>
      </c>
      <c r="E256" s="79">
        <v>16</v>
      </c>
      <c r="F256" s="79">
        <v>16.510000000000002</v>
      </c>
      <c r="G256" s="79">
        <v>3675</v>
      </c>
      <c r="H256" s="96" t="s">
        <v>3038</v>
      </c>
      <c r="I256" s="16" t="s">
        <v>365</v>
      </c>
      <c r="J256" s="8" t="s">
        <v>3544</v>
      </c>
      <c r="L256" s="79">
        <v>1</v>
      </c>
      <c r="M256" s="403">
        <v>0</v>
      </c>
      <c r="N256" s="240">
        <v>1</v>
      </c>
      <c r="O256" s="359">
        <v>326</v>
      </c>
      <c r="P256" s="79">
        <v>365</v>
      </c>
      <c r="Q256" s="342">
        <v>69</v>
      </c>
      <c r="R256" s="81">
        <v>3</v>
      </c>
      <c r="S256" s="324">
        <v>22</v>
      </c>
      <c r="T256" s="384">
        <v>5</v>
      </c>
      <c r="U256" s="426">
        <f>T256/W256</f>
        <v>1.6611295681063124E-2</v>
      </c>
      <c r="V256" s="94">
        <v>7.36</v>
      </c>
      <c r="W256" s="39">
        <v>301</v>
      </c>
      <c r="X256" s="207">
        <v>294.5</v>
      </c>
      <c r="Y256" s="430">
        <f>W256-X256</f>
        <v>6.5</v>
      </c>
      <c r="Z256" s="434">
        <f>Y256/X256</f>
        <v>2.2071307300509338E-2</v>
      </c>
      <c r="AA256" s="340">
        <v>-16.489999999999998</v>
      </c>
      <c r="AB256" s="341">
        <v>59.28</v>
      </c>
      <c r="AC256" s="24" t="s">
        <v>365</v>
      </c>
      <c r="AD256" s="84">
        <v>44676</v>
      </c>
      <c r="AE256" s="311">
        <v>44676</v>
      </c>
      <c r="AF256" s="33">
        <f t="shared" si="178"/>
        <v>0</v>
      </c>
      <c r="AG256" s="402" t="s">
        <v>2939</v>
      </c>
      <c r="AH256" s="443"/>
      <c r="AI256" s="254"/>
      <c r="AJ256" s="392"/>
      <c r="AM256" s="245"/>
      <c r="AR256" s="402" t="str">
        <f>INDEX(基本資料!N:N,MATCH($G256,基本資料!A:A,0))</f>
        <v>高</v>
      </c>
    </row>
    <row r="257" spans="1:44">
      <c r="A257" s="343">
        <v>4.04</v>
      </c>
      <c r="B257" s="80">
        <v>-37</v>
      </c>
      <c r="C257" s="80">
        <v>-38</v>
      </c>
      <c r="D257" s="79">
        <v>86</v>
      </c>
      <c r="E257" s="79">
        <v>38</v>
      </c>
      <c r="F257" s="79">
        <v>27.02</v>
      </c>
      <c r="G257" s="79">
        <v>5474</v>
      </c>
      <c r="H257" s="132" t="s">
        <v>1145</v>
      </c>
      <c r="I257" s="16" t="s">
        <v>2227</v>
      </c>
      <c r="J257" s="102" t="s">
        <v>3542</v>
      </c>
      <c r="L257" s="79">
        <v>1</v>
      </c>
      <c r="M257" s="403">
        <v>0</v>
      </c>
      <c r="N257" s="240">
        <v>1</v>
      </c>
      <c r="O257" s="359">
        <v>498</v>
      </c>
      <c r="P257" s="79">
        <v>606</v>
      </c>
      <c r="Q257" s="342">
        <v>913</v>
      </c>
      <c r="R257" s="81" t="s">
        <v>6279</v>
      </c>
      <c r="S257" s="324">
        <v>698</v>
      </c>
      <c r="T257" s="384">
        <v>5</v>
      </c>
      <c r="U257" s="426">
        <f t="shared" ref="U257" si="185">T257/W257</f>
        <v>4.3859649122807015E-2</v>
      </c>
      <c r="V257" s="94">
        <v>10.54</v>
      </c>
      <c r="W257" s="39">
        <v>114</v>
      </c>
      <c r="X257" s="207">
        <v>111</v>
      </c>
      <c r="Y257" s="430">
        <f t="shared" ref="Y257" si="186">W257-X257</f>
        <v>3</v>
      </c>
      <c r="Z257" s="434">
        <f t="shared" ref="Z257" si="187">Y257/X257</f>
        <v>2.7027027027027029E-2</v>
      </c>
      <c r="AA257" s="340">
        <v>-39.07</v>
      </c>
      <c r="AB257" s="389">
        <v>41.6</v>
      </c>
      <c r="AC257" s="24" t="s">
        <v>2227</v>
      </c>
      <c r="AD257" s="84">
        <v>44673</v>
      </c>
      <c r="AE257" s="311">
        <v>44673</v>
      </c>
      <c r="AF257" s="33">
        <f t="shared" si="178"/>
        <v>0</v>
      </c>
      <c r="AG257" s="402" t="s">
        <v>2434</v>
      </c>
      <c r="AH257" s="443"/>
      <c r="AI257" s="254"/>
      <c r="AJ257" s="392"/>
      <c r="AM257" s="245"/>
      <c r="AR257" s="402" t="str">
        <f>INDEX(基本資料!N:N,MATCH($G257,基本資料!A:A,0))</f>
        <v>低</v>
      </c>
    </row>
    <row r="258" spans="1:44">
      <c r="A258" s="343">
        <v>8.85</v>
      </c>
      <c r="B258" s="80">
        <v>-46</v>
      </c>
      <c r="C258" s="80">
        <v>-47</v>
      </c>
      <c r="D258" s="79">
        <v>32</v>
      </c>
      <c r="E258" s="80">
        <v>-44</v>
      </c>
      <c r="F258" s="79">
        <v>10.039999999999999</v>
      </c>
      <c r="G258" s="79">
        <v>4968</v>
      </c>
      <c r="H258" s="344" t="s">
        <v>3038</v>
      </c>
      <c r="I258" s="22" t="s">
        <v>350</v>
      </c>
      <c r="J258" s="8" t="s">
        <v>6235</v>
      </c>
      <c r="L258" s="79">
        <v>2</v>
      </c>
      <c r="M258" s="403">
        <v>0</v>
      </c>
      <c r="N258" s="240">
        <v>2</v>
      </c>
      <c r="O258" s="359">
        <v>134</v>
      </c>
      <c r="P258" s="79">
        <v>99</v>
      </c>
      <c r="Q258" s="342">
        <v>171</v>
      </c>
      <c r="R258" s="81">
        <v>100</v>
      </c>
      <c r="S258" s="324">
        <v>114</v>
      </c>
      <c r="T258" s="384">
        <v>3.5</v>
      </c>
      <c r="U258" s="426">
        <f>T258/W258</f>
        <v>1.5909090909090907E-2</v>
      </c>
      <c r="V258" s="94">
        <v>6.14</v>
      </c>
      <c r="W258" s="39">
        <v>220</v>
      </c>
      <c r="X258" s="207">
        <v>215.5</v>
      </c>
      <c r="Y258" s="430">
        <f>W258-X258</f>
        <v>4.5</v>
      </c>
      <c r="Z258" s="434">
        <f>Y258/X258</f>
        <v>2.0881670533642691E-2</v>
      </c>
      <c r="AA258" s="340">
        <v>-61.29</v>
      </c>
      <c r="AB258" s="341">
        <v>46.16</v>
      </c>
      <c r="AC258" s="23" t="s">
        <v>350</v>
      </c>
      <c r="AD258" s="84">
        <v>44673</v>
      </c>
      <c r="AE258" s="311">
        <v>44673</v>
      </c>
      <c r="AF258" s="33">
        <f t="shared" si="178"/>
        <v>0</v>
      </c>
      <c r="AG258" s="402" t="s">
        <v>2007</v>
      </c>
      <c r="AH258" s="443"/>
      <c r="AI258" s="254"/>
      <c r="AJ258" s="391"/>
      <c r="AM258" s="245"/>
      <c r="AR258" s="402" t="str">
        <f>INDEX(基本資料!N:N,MATCH($G258,基本資料!A:A,0))</f>
        <v>低</v>
      </c>
    </row>
    <row r="259" spans="1:44">
      <c r="A259" s="343">
        <v>24.1</v>
      </c>
      <c r="B259" s="79">
        <v>28</v>
      </c>
      <c r="C259" s="79">
        <v>26</v>
      </c>
      <c r="D259" s="80">
        <v>-1</v>
      </c>
      <c r="E259" s="80">
        <v>-2</v>
      </c>
      <c r="F259" s="79">
        <v>11.69</v>
      </c>
      <c r="G259" s="80">
        <v>1477</v>
      </c>
      <c r="H259" s="403" t="s">
        <v>294</v>
      </c>
      <c r="I259" s="22" t="s">
        <v>3589</v>
      </c>
      <c r="J259" s="8" t="s">
        <v>3544</v>
      </c>
      <c r="L259" s="79">
        <v>1</v>
      </c>
      <c r="M259" s="403">
        <v>0</v>
      </c>
      <c r="N259" s="240">
        <v>1</v>
      </c>
      <c r="O259" s="359">
        <v>1085</v>
      </c>
      <c r="P259" s="79">
        <v>181</v>
      </c>
      <c r="Q259" s="342">
        <v>237</v>
      </c>
      <c r="R259" s="81">
        <v>107</v>
      </c>
      <c r="S259" s="324">
        <v>439</v>
      </c>
      <c r="T259" s="384">
        <v>9.5</v>
      </c>
      <c r="U259" s="426">
        <f>T259/W259</f>
        <v>4.960835509138381E-2</v>
      </c>
      <c r="V259" s="94">
        <v>11.25</v>
      </c>
      <c r="W259" s="39">
        <v>191.5</v>
      </c>
      <c r="X259" s="207">
        <v>186.5</v>
      </c>
      <c r="Y259" s="430">
        <f>W259-X259</f>
        <v>5</v>
      </c>
      <c r="Z259" s="434">
        <f>Y259/X259</f>
        <v>2.6809651474530832E-2</v>
      </c>
      <c r="AA259" s="340">
        <v>-34.65</v>
      </c>
      <c r="AB259" s="389">
        <v>21.31</v>
      </c>
      <c r="AC259" s="23" t="s">
        <v>3589</v>
      </c>
      <c r="AD259" s="84">
        <v>44673</v>
      </c>
      <c r="AE259" s="311">
        <v>44673</v>
      </c>
      <c r="AF259" s="33">
        <f t="shared" si="178"/>
        <v>0</v>
      </c>
      <c r="AG259" s="401" t="s">
        <v>3332</v>
      </c>
      <c r="AH259" s="443"/>
      <c r="AI259" s="254"/>
      <c r="AJ259" s="392"/>
      <c r="AM259" s="245"/>
      <c r="AR259" s="402" t="str">
        <f>INDEX(基本資料!N:N,MATCH($G259,基本資料!A:A,0))</f>
        <v>低</v>
      </c>
    </row>
    <row r="260" spans="1:44">
      <c r="A260" s="343">
        <v>18.399999999999999</v>
      </c>
      <c r="B260" s="79">
        <v>60</v>
      </c>
      <c r="C260" s="79">
        <v>53</v>
      </c>
      <c r="D260" s="79">
        <v>9</v>
      </c>
      <c r="E260" s="80">
        <v>-19</v>
      </c>
      <c r="F260" s="79">
        <v>29.28</v>
      </c>
      <c r="G260" s="80">
        <v>2455</v>
      </c>
      <c r="H260" s="450" t="s">
        <v>4314</v>
      </c>
      <c r="I260" s="22" t="s">
        <v>4332</v>
      </c>
      <c r="J260" s="8" t="s">
        <v>6235</v>
      </c>
      <c r="L260" s="79">
        <v>2</v>
      </c>
      <c r="M260" s="403">
        <v>0</v>
      </c>
      <c r="N260" s="240">
        <v>2</v>
      </c>
      <c r="O260" s="359">
        <v>182</v>
      </c>
      <c r="P260" s="79">
        <v>82</v>
      </c>
      <c r="Q260" s="342">
        <v>191</v>
      </c>
      <c r="R260" s="81">
        <v>209</v>
      </c>
      <c r="S260" s="324">
        <v>72</v>
      </c>
      <c r="T260" s="384">
        <v>4</v>
      </c>
      <c r="U260" s="426">
        <f>T260/W260</f>
        <v>4.1407867494824016E-2</v>
      </c>
      <c r="V260" s="94">
        <v>4.62</v>
      </c>
      <c r="W260" s="39">
        <v>96.6</v>
      </c>
      <c r="X260" s="207">
        <v>94.3</v>
      </c>
      <c r="Y260" s="430">
        <f>W260-X260</f>
        <v>2.2999999999999972</v>
      </c>
      <c r="Z260" s="434">
        <f>Y260/X260</f>
        <v>2.4390243902438994E-2</v>
      </c>
      <c r="AA260" s="340">
        <v>-40.92</v>
      </c>
      <c r="AB260" s="389">
        <v>13.61</v>
      </c>
      <c r="AC260" s="23" t="s">
        <v>4332</v>
      </c>
      <c r="AD260" s="84">
        <v>44673</v>
      </c>
      <c r="AE260" s="311">
        <v>44673</v>
      </c>
      <c r="AF260" s="33">
        <f t="shared" si="178"/>
        <v>0</v>
      </c>
      <c r="AG260" s="401" t="s">
        <v>2324</v>
      </c>
      <c r="AH260" s="443"/>
      <c r="AI260" s="254"/>
      <c r="AJ260" s="392"/>
      <c r="AM260" s="245"/>
      <c r="AR260" s="402" t="str">
        <f>INDEX(基本資料!N:N,MATCH($G260,基本資料!A:A,0))</f>
        <v>低</v>
      </c>
    </row>
    <row r="261" spans="1:44">
      <c r="A261" s="343">
        <v>35.299999999999997</v>
      </c>
      <c r="B261" s="79">
        <v>60</v>
      </c>
      <c r="C261" s="79">
        <v>47</v>
      </c>
      <c r="D261" s="79">
        <v>3</v>
      </c>
      <c r="E261" s="80">
        <v>-3</v>
      </c>
      <c r="F261" s="79">
        <v>10.199999999999999</v>
      </c>
      <c r="G261" s="79">
        <v>3017</v>
      </c>
      <c r="H261" s="450" t="s">
        <v>6236</v>
      </c>
      <c r="I261" s="22" t="s">
        <v>117</v>
      </c>
      <c r="J261" s="102" t="s">
        <v>3544</v>
      </c>
      <c r="L261" s="79">
        <v>1</v>
      </c>
      <c r="M261" s="403">
        <v>0</v>
      </c>
      <c r="N261" s="240">
        <v>1</v>
      </c>
      <c r="O261" s="359">
        <v>482</v>
      </c>
      <c r="P261" s="79">
        <v>384</v>
      </c>
      <c r="Q261" s="342">
        <v>126</v>
      </c>
      <c r="R261" s="81">
        <v>7</v>
      </c>
      <c r="S261" s="324">
        <v>29</v>
      </c>
      <c r="T261" s="384">
        <v>4.3</v>
      </c>
      <c r="U261" s="426">
        <f t="shared" ref="U261" si="188">T261/W261</f>
        <v>3.8392857142857138E-2</v>
      </c>
      <c r="V261" s="94">
        <v>8.2100000000000009</v>
      </c>
      <c r="W261" s="39">
        <v>112</v>
      </c>
      <c r="X261" s="207">
        <v>109.5</v>
      </c>
      <c r="Y261" s="430">
        <f t="shared" ref="Y261" si="189">W261-X261</f>
        <v>2.5</v>
      </c>
      <c r="Z261" s="434">
        <f t="shared" ref="Z261" si="190">Y261/X261</f>
        <v>2.2831050228310501E-2</v>
      </c>
      <c r="AA261" s="340">
        <v>-15.69</v>
      </c>
      <c r="AB261" s="389">
        <v>39.36</v>
      </c>
      <c r="AC261" s="23" t="s">
        <v>117</v>
      </c>
      <c r="AD261" s="84">
        <v>44672</v>
      </c>
      <c r="AE261" s="311">
        <v>44672</v>
      </c>
      <c r="AF261" s="33">
        <f t="shared" si="178"/>
        <v>0</v>
      </c>
      <c r="AG261" s="402" t="s">
        <v>2926</v>
      </c>
      <c r="AH261" s="443"/>
      <c r="AI261" s="254"/>
      <c r="AJ261" s="392"/>
      <c r="AM261" s="245"/>
      <c r="AR261" s="402" t="str">
        <f>INDEX(基本資料!N:N,MATCH($G261,基本資料!A:A,0))</f>
        <v>中</v>
      </c>
    </row>
    <row r="262" spans="1:44">
      <c r="A262" s="343">
        <v>27.1</v>
      </c>
      <c r="B262" s="79">
        <v>8</v>
      </c>
      <c r="C262" s="79">
        <v>25</v>
      </c>
      <c r="D262" s="79">
        <v>33</v>
      </c>
      <c r="E262" s="79">
        <v>6</v>
      </c>
      <c r="F262" s="79">
        <v>28.8</v>
      </c>
      <c r="G262" s="79">
        <v>3374</v>
      </c>
      <c r="H262" s="132" t="s">
        <v>3038</v>
      </c>
      <c r="I262" s="16" t="s">
        <v>167</v>
      </c>
      <c r="J262" s="8" t="s">
        <v>6235</v>
      </c>
      <c r="L262" s="79">
        <v>2</v>
      </c>
      <c r="M262" s="403">
        <v>0</v>
      </c>
      <c r="N262" s="240">
        <v>2</v>
      </c>
      <c r="O262" s="359">
        <v>299</v>
      </c>
      <c r="P262" s="79">
        <v>198</v>
      </c>
      <c r="Q262" s="342">
        <v>701</v>
      </c>
      <c r="R262" s="81">
        <v>73</v>
      </c>
      <c r="S262" s="324">
        <v>271</v>
      </c>
      <c r="T262" s="384">
        <v>3</v>
      </c>
      <c r="U262" s="426">
        <f>T262/W262</f>
        <v>2.2222222222222223E-2</v>
      </c>
      <c r="V262" s="94">
        <v>6.92</v>
      </c>
      <c r="W262" s="39">
        <v>135</v>
      </c>
      <c r="X262" s="207">
        <v>132</v>
      </c>
      <c r="Y262" s="430">
        <f>W262-X262</f>
        <v>3</v>
      </c>
      <c r="Z262" s="434">
        <f>Y262/X262</f>
        <v>2.2727272727272728E-2</v>
      </c>
      <c r="AA262" s="340">
        <v>-32.21</v>
      </c>
      <c r="AB262" s="341">
        <v>46.68</v>
      </c>
      <c r="AC262" s="24" t="s">
        <v>167</v>
      </c>
      <c r="AD262" s="84">
        <v>44672</v>
      </c>
      <c r="AE262" s="311">
        <v>44672</v>
      </c>
      <c r="AF262" s="33">
        <f t="shared" si="178"/>
        <v>0</v>
      </c>
      <c r="AG262" s="401" t="s">
        <v>2321</v>
      </c>
      <c r="AH262" s="443"/>
      <c r="AI262" s="254"/>
      <c r="AJ262" s="392"/>
      <c r="AM262" s="245"/>
      <c r="AR262" s="402" t="str">
        <f>INDEX(基本資料!N:N,MATCH($G262,基本資料!A:A,0))</f>
        <v>低</v>
      </c>
    </row>
    <row r="263" spans="1:44">
      <c r="A263" s="343">
        <v>9.0299999999999994</v>
      </c>
      <c r="B263" s="79">
        <v>73</v>
      </c>
      <c r="C263" s="79">
        <v>79</v>
      </c>
      <c r="D263" s="79">
        <v>8</v>
      </c>
      <c r="E263" s="79">
        <v>75</v>
      </c>
      <c r="F263" s="79">
        <v>21.07</v>
      </c>
      <c r="G263" s="80">
        <v>6104</v>
      </c>
      <c r="H263" s="96" t="s">
        <v>3038</v>
      </c>
      <c r="I263" s="16" t="s">
        <v>372</v>
      </c>
      <c r="J263" s="50" t="s">
        <v>6204</v>
      </c>
      <c r="L263" s="79">
        <v>4</v>
      </c>
      <c r="M263" s="403">
        <v>0</v>
      </c>
      <c r="N263" s="240">
        <v>4</v>
      </c>
      <c r="O263" s="359">
        <v>20</v>
      </c>
      <c r="P263" s="79">
        <v>122</v>
      </c>
      <c r="Q263" s="342">
        <v>571</v>
      </c>
      <c r="R263" s="81">
        <v>14</v>
      </c>
      <c r="S263" s="324">
        <v>2</v>
      </c>
      <c r="T263" s="384">
        <v>4.5</v>
      </c>
      <c r="U263" s="426">
        <f>T263/W263</f>
        <v>1.9313304721030045E-2</v>
      </c>
      <c r="V263" s="94">
        <v>6.41</v>
      </c>
      <c r="W263" s="39">
        <v>233</v>
      </c>
      <c r="X263" s="207">
        <v>227.5</v>
      </c>
      <c r="Y263" s="430">
        <f>W263-X263</f>
        <v>5.5</v>
      </c>
      <c r="Z263" s="434">
        <f>Y263/X263</f>
        <v>2.4175824175824177E-2</v>
      </c>
      <c r="AA263" s="340">
        <v>-31.33</v>
      </c>
      <c r="AB263" s="389">
        <v>34.35</v>
      </c>
      <c r="AC263" s="24" t="s">
        <v>372</v>
      </c>
      <c r="AD263" s="84">
        <v>44672</v>
      </c>
      <c r="AE263" s="311">
        <v>44672</v>
      </c>
      <c r="AF263" s="33">
        <f t="shared" si="178"/>
        <v>0</v>
      </c>
      <c r="AG263" s="402" t="s">
        <v>3045</v>
      </c>
      <c r="AH263" s="443"/>
      <c r="AI263" s="254"/>
      <c r="AJ263" s="288"/>
      <c r="AM263" s="245"/>
      <c r="AR263" s="402" t="str">
        <f>INDEX(基本資料!N:N,MATCH($G263,基本資料!A:A,0))</f>
        <v>中</v>
      </c>
    </row>
    <row r="264" spans="1:44">
      <c r="A264" s="343">
        <v>84.5</v>
      </c>
      <c r="B264" s="79">
        <v>456</v>
      </c>
      <c r="C264" s="79">
        <v>649</v>
      </c>
      <c r="D264" s="79">
        <v>51</v>
      </c>
      <c r="E264" s="79">
        <v>24</v>
      </c>
      <c r="F264" s="79">
        <v>27.18</v>
      </c>
      <c r="G264" s="79">
        <v>2606</v>
      </c>
      <c r="H264" s="344" t="s">
        <v>302</v>
      </c>
      <c r="I264" s="22" t="s">
        <v>4618</v>
      </c>
      <c r="J264" s="8" t="s">
        <v>6202</v>
      </c>
      <c r="L264" s="79">
        <v>3</v>
      </c>
      <c r="M264" s="403">
        <v>1</v>
      </c>
      <c r="N264" s="240">
        <v>2</v>
      </c>
      <c r="O264" s="359">
        <v>629</v>
      </c>
      <c r="P264" s="79">
        <v>163</v>
      </c>
      <c r="Q264" s="342">
        <v>454</v>
      </c>
      <c r="R264" s="81">
        <v>27</v>
      </c>
      <c r="S264" s="324">
        <v>166</v>
      </c>
      <c r="T264" s="384">
        <v>3</v>
      </c>
      <c r="U264" s="426">
        <f t="shared" ref="U264" si="191">T264/W264</f>
        <v>4.405286343612335E-2</v>
      </c>
      <c r="V264" s="94">
        <v>5.79</v>
      </c>
      <c r="W264" s="39">
        <v>68.099999999999994</v>
      </c>
      <c r="X264" s="207">
        <v>66.400000000000006</v>
      </c>
      <c r="Y264" s="430">
        <f t="shared" ref="Y264" si="192">W264-X264</f>
        <v>1.6999999999999886</v>
      </c>
      <c r="Z264" s="434">
        <f t="shared" ref="Z264" si="193">Y264/X264</f>
        <v>2.5602409638554043E-2</v>
      </c>
      <c r="AA264" s="340">
        <v>-32.78</v>
      </c>
      <c r="AB264" s="341">
        <v>58.29</v>
      </c>
      <c r="AC264" s="23" t="s">
        <v>4618</v>
      </c>
      <c r="AD264" s="84">
        <v>44671</v>
      </c>
      <c r="AE264" s="311">
        <v>44671</v>
      </c>
      <c r="AF264" s="33">
        <f t="shared" si="178"/>
        <v>0</v>
      </c>
      <c r="AG264" s="401" t="s">
        <v>3266</v>
      </c>
      <c r="AH264" s="443"/>
      <c r="AI264" s="254"/>
      <c r="AJ264" s="392"/>
      <c r="AM264" s="245"/>
      <c r="AR264" s="402" t="str">
        <f>INDEX(基本資料!N:N,MATCH($G264,基本資料!A:A,0))</f>
        <v>中</v>
      </c>
    </row>
    <row r="265" spans="1:44">
      <c r="A265" s="343">
        <v>44.5</v>
      </c>
      <c r="B265" s="79">
        <v>116</v>
      </c>
      <c r="C265" s="79">
        <v>119</v>
      </c>
      <c r="D265" s="79">
        <v>16</v>
      </c>
      <c r="E265" s="79">
        <v>66</v>
      </c>
      <c r="F265" s="79">
        <v>0.92</v>
      </c>
      <c r="G265" s="79">
        <v>6443</v>
      </c>
      <c r="H265" s="344" t="s">
        <v>1877</v>
      </c>
      <c r="I265" s="22" t="s">
        <v>4287</v>
      </c>
      <c r="J265" s="50" t="s">
        <v>6204</v>
      </c>
      <c r="L265" s="79">
        <v>5</v>
      </c>
      <c r="M265" s="403">
        <v>0</v>
      </c>
      <c r="N265" s="240">
        <v>5</v>
      </c>
      <c r="O265" s="359">
        <v>100</v>
      </c>
      <c r="P265" s="79">
        <v>231</v>
      </c>
      <c r="Q265" s="342">
        <v>295</v>
      </c>
      <c r="R265" s="81">
        <v>17</v>
      </c>
      <c r="S265" s="324">
        <v>56</v>
      </c>
      <c r="T265" s="384">
        <v>0</v>
      </c>
      <c r="U265" s="426">
        <f t="shared" ref="U265" si="194">T265/W265</f>
        <v>0</v>
      </c>
      <c r="V265" s="94">
        <v>0.1</v>
      </c>
      <c r="W265" s="39">
        <v>46.65</v>
      </c>
      <c r="X265" s="207">
        <v>45.5</v>
      </c>
      <c r="Y265" s="430">
        <f t="shared" ref="Y265" si="195">W265-X265</f>
        <v>1.1499999999999986</v>
      </c>
      <c r="Z265" s="434">
        <f t="shared" ref="Z265" si="196">Y265/X265</f>
        <v>2.5274725274725244E-2</v>
      </c>
      <c r="AA265" s="340">
        <v>-5.85</v>
      </c>
      <c r="AB265" s="341">
        <v>73.900000000000006</v>
      </c>
      <c r="AC265" s="23" t="s">
        <v>4287</v>
      </c>
      <c r="AD265" s="84">
        <v>44669</v>
      </c>
      <c r="AE265" s="311">
        <v>44669</v>
      </c>
      <c r="AF265" s="33">
        <f t="shared" si="178"/>
        <v>0</v>
      </c>
      <c r="AG265" s="402" t="s">
        <v>4288</v>
      </c>
      <c r="AH265" s="443"/>
      <c r="AI265" s="447"/>
      <c r="AJ265" s="392"/>
      <c r="AM265" s="245"/>
      <c r="AR265" s="402" t="str">
        <f>INDEX(基本資料!N:N,MATCH($G265,基本資料!A:A,0))</f>
        <v>中</v>
      </c>
    </row>
    <row r="266" spans="1:44">
      <c r="A266" s="343">
        <v>4.18</v>
      </c>
      <c r="B266" s="79">
        <v>40</v>
      </c>
      <c r="C266" s="79">
        <v>35</v>
      </c>
      <c r="D266" s="79">
        <v>113</v>
      </c>
      <c r="E266" s="80">
        <v>-19</v>
      </c>
      <c r="F266" s="79">
        <v>47.66</v>
      </c>
      <c r="G266" s="79">
        <v>4171</v>
      </c>
      <c r="H266" s="344" t="s">
        <v>1037</v>
      </c>
      <c r="I266" s="16" t="s">
        <v>1038</v>
      </c>
      <c r="J266" s="8" t="s">
        <v>6167</v>
      </c>
      <c r="L266" s="79">
        <v>2</v>
      </c>
      <c r="M266" s="403">
        <v>0</v>
      </c>
      <c r="N266" s="240">
        <v>2</v>
      </c>
      <c r="O266" s="359">
        <v>37</v>
      </c>
      <c r="P266" s="79">
        <v>138</v>
      </c>
      <c r="Q266" s="342">
        <v>262</v>
      </c>
      <c r="R266" s="81" t="s">
        <v>6279</v>
      </c>
      <c r="S266" s="324">
        <v>139</v>
      </c>
      <c r="T266" s="384">
        <v>6</v>
      </c>
      <c r="U266" s="426">
        <f>T266/W266</f>
        <v>3.8338658146964855E-2</v>
      </c>
      <c r="V266" s="94">
        <v>9.14</v>
      </c>
      <c r="W266" s="39">
        <v>156.5</v>
      </c>
      <c r="X266" s="207">
        <v>152.5</v>
      </c>
      <c r="Y266" s="430">
        <f>W266-X266</f>
        <v>4</v>
      </c>
      <c r="Z266" s="434">
        <f>Y266/X266</f>
        <v>2.6229508196721311E-2</v>
      </c>
      <c r="AA266" s="340">
        <v>-19.829999999999998</v>
      </c>
      <c r="AB266" s="341">
        <v>64.540000000000006</v>
      </c>
      <c r="AC266" s="24" t="s">
        <v>1038</v>
      </c>
      <c r="AD266" s="84">
        <v>44669</v>
      </c>
      <c r="AE266" s="311">
        <v>44669</v>
      </c>
      <c r="AF266" s="33">
        <f t="shared" si="178"/>
        <v>0</v>
      </c>
      <c r="AG266" s="402" t="s">
        <v>2702</v>
      </c>
      <c r="AH266" s="443"/>
      <c r="AI266" s="254"/>
      <c r="AJ266" s="392"/>
      <c r="AM266" s="245"/>
      <c r="AR266" s="402" t="str">
        <f>INDEX(基本資料!N:N,MATCH($G266,基本資料!A:A,0))</f>
        <v>中</v>
      </c>
    </row>
    <row r="267" spans="1:44" s="248" customFormat="1">
      <c r="A267" s="91"/>
      <c r="B267" s="79"/>
      <c r="C267" s="79"/>
      <c r="D267" s="79"/>
      <c r="E267" s="79"/>
      <c r="F267" s="79"/>
      <c r="G267" s="41"/>
      <c r="H267" s="344"/>
      <c r="I267" s="153"/>
      <c r="J267" s="1"/>
      <c r="K267" s="355"/>
      <c r="L267" s="91"/>
      <c r="M267" s="404"/>
      <c r="O267" s="359"/>
      <c r="P267" s="79"/>
      <c r="Q267" s="342"/>
      <c r="R267" s="104"/>
      <c r="S267" s="324"/>
      <c r="T267" s="384"/>
      <c r="U267" s="425"/>
      <c r="V267" s="94"/>
      <c r="W267" s="31">
        <f>SUM(W236:W266)</f>
        <v>5786.4500000000007</v>
      </c>
      <c r="X267" s="73">
        <f>SUM(X236:X266)</f>
        <v>5658.25</v>
      </c>
      <c r="Y267" s="430">
        <f t="shared" ref="Y267" si="197">W267-X267</f>
        <v>128.20000000000073</v>
      </c>
      <c r="Z267" s="103">
        <f t="shared" ref="Z267" si="198">Y267/X267</f>
        <v>2.2657181990898376E-2</v>
      </c>
      <c r="AA267" s="340"/>
      <c r="AB267" s="389"/>
      <c r="AC267" s="437">
        <f>W267*(0.001425*0.5)+W267*0.003+X267*(0.001425*0.5)</f>
        <v>25.513698750000003</v>
      </c>
      <c r="AD267" s="6">
        <f>Y267-AC267</f>
        <v>102.68630125000072</v>
      </c>
      <c r="AE267" s="83"/>
      <c r="AF267" s="33"/>
      <c r="AG267" s="132" t="s">
        <v>6215</v>
      </c>
      <c r="AH267" s="444"/>
      <c r="AI267" s="257"/>
      <c r="AK267" s="461"/>
      <c r="AR267" s="402"/>
    </row>
    <row r="268" spans="1:44">
      <c r="B268" s="90"/>
      <c r="C268" s="90"/>
      <c r="D268" s="90"/>
      <c r="E268" s="90"/>
      <c r="F268" s="344"/>
      <c r="G268" s="26"/>
      <c r="H268" s="344"/>
      <c r="I268" s="50"/>
      <c r="J268" s="8"/>
      <c r="L268" s="79"/>
      <c r="M268" s="403"/>
      <c r="N268" s="240"/>
      <c r="O268" s="359"/>
      <c r="Q268" s="342"/>
      <c r="S268" s="324"/>
      <c r="W268" s="39"/>
      <c r="Z268" s="433"/>
      <c r="AC268" s="24"/>
      <c r="AE268" s="72"/>
      <c r="AF268" s="33"/>
      <c r="AG268" s="402"/>
      <c r="AH268" s="442"/>
      <c r="AI268" s="446"/>
      <c r="AM268" s="234"/>
      <c r="AR268" s="402"/>
    </row>
    <row r="269" spans="1:44">
      <c r="A269" s="343">
        <v>23.1</v>
      </c>
      <c r="B269" s="79">
        <v>77</v>
      </c>
      <c r="C269" s="79">
        <v>55</v>
      </c>
      <c r="D269" s="80">
        <v>-23</v>
      </c>
      <c r="E269" s="79">
        <v>2</v>
      </c>
      <c r="F269" s="79">
        <v>17.600000000000001</v>
      </c>
      <c r="G269" s="79">
        <v>9958</v>
      </c>
      <c r="H269" s="344" t="s">
        <v>299</v>
      </c>
      <c r="I269" s="22" t="s">
        <v>3987</v>
      </c>
      <c r="J269" s="50" t="s">
        <v>6204</v>
      </c>
      <c r="L269" s="79">
        <v>5</v>
      </c>
      <c r="M269" s="403">
        <v>0</v>
      </c>
      <c r="N269" s="240">
        <v>5</v>
      </c>
      <c r="O269" s="359">
        <v>181</v>
      </c>
      <c r="P269" s="79">
        <v>553</v>
      </c>
      <c r="Q269" s="342">
        <v>501</v>
      </c>
      <c r="R269" s="81">
        <v>60</v>
      </c>
      <c r="S269" s="324">
        <v>201</v>
      </c>
      <c r="T269" s="384">
        <v>3</v>
      </c>
      <c r="U269" s="426">
        <f>T269/W269</f>
        <v>2.3529411764705882E-2</v>
      </c>
      <c r="V269" s="94">
        <v>5.46</v>
      </c>
      <c r="W269" s="39">
        <v>127.5</v>
      </c>
      <c r="X269" s="207">
        <v>124.5</v>
      </c>
      <c r="Y269" s="430">
        <f>W269-X269</f>
        <v>3</v>
      </c>
      <c r="Z269" s="434">
        <f>Y269/X269</f>
        <v>2.4096385542168676E-2</v>
      </c>
      <c r="AA269" s="340">
        <v>-13.89</v>
      </c>
      <c r="AC269" s="23" t="s">
        <v>3987</v>
      </c>
      <c r="AD269" s="84">
        <v>44666</v>
      </c>
      <c r="AE269" s="311">
        <v>44666</v>
      </c>
      <c r="AF269" s="33">
        <f t="shared" si="178"/>
        <v>0</v>
      </c>
      <c r="AG269" s="402" t="s">
        <v>3988</v>
      </c>
      <c r="AH269" s="443"/>
      <c r="AI269" s="254"/>
      <c r="AJ269" s="392"/>
      <c r="AM269" s="245"/>
      <c r="AR269" s="402" t="str">
        <f>INDEX(基本資料!N:N,MATCH($G269,基本資料!A:A,0))</f>
        <v>中</v>
      </c>
    </row>
    <row r="270" spans="1:44">
      <c r="A270" s="343">
        <v>32.1</v>
      </c>
      <c r="B270" s="79">
        <v>227</v>
      </c>
      <c r="C270" s="79">
        <v>461</v>
      </c>
      <c r="D270" s="79">
        <v>62</v>
      </c>
      <c r="E270" s="79">
        <v>89</v>
      </c>
      <c r="F270" s="79">
        <v>17.739999999999998</v>
      </c>
      <c r="G270" s="79">
        <v>2031</v>
      </c>
      <c r="H270" s="344" t="s">
        <v>299</v>
      </c>
      <c r="I270" s="22" t="s">
        <v>3946</v>
      </c>
      <c r="J270" s="50" t="s">
        <v>6204</v>
      </c>
      <c r="L270" s="79">
        <v>5</v>
      </c>
      <c r="M270" s="403">
        <v>0</v>
      </c>
      <c r="N270" s="240">
        <v>5</v>
      </c>
      <c r="O270" s="359">
        <v>348</v>
      </c>
      <c r="P270" s="79">
        <v>332</v>
      </c>
      <c r="Q270" s="342">
        <v>471</v>
      </c>
      <c r="R270" s="81">
        <v>77</v>
      </c>
      <c r="S270" s="324">
        <v>224</v>
      </c>
      <c r="T270" s="384">
        <v>4</v>
      </c>
      <c r="U270" s="426">
        <f>T270/W270</f>
        <v>5.2151238591916553E-2</v>
      </c>
      <c r="V270" s="94">
        <v>8.66</v>
      </c>
      <c r="W270" s="39">
        <v>76.7</v>
      </c>
      <c r="X270" s="207">
        <v>74.900000000000006</v>
      </c>
      <c r="Y270" s="430">
        <f>W270-X270</f>
        <v>1.7999999999999972</v>
      </c>
      <c r="Z270" s="434">
        <f>Y270/X270</f>
        <v>2.4032042723631467E-2</v>
      </c>
      <c r="AA270" s="340">
        <v>-20.93</v>
      </c>
      <c r="AC270" s="23" t="s">
        <v>3946</v>
      </c>
      <c r="AD270" s="84">
        <v>44666</v>
      </c>
      <c r="AE270" s="311">
        <v>44666</v>
      </c>
      <c r="AF270" s="33">
        <f t="shared" si="178"/>
        <v>0</v>
      </c>
      <c r="AG270" s="402" t="s">
        <v>3947</v>
      </c>
      <c r="AH270" s="443"/>
      <c r="AI270" s="254"/>
      <c r="AJ270" s="392"/>
      <c r="AM270" s="245"/>
      <c r="AR270" s="402" t="str">
        <f>INDEX(基本資料!N:N,MATCH($G270,基本資料!A:A,0))</f>
        <v>低</v>
      </c>
    </row>
    <row r="271" spans="1:44">
      <c r="A271" s="343">
        <v>12.1</v>
      </c>
      <c r="B271" s="79">
        <v>140</v>
      </c>
      <c r="C271" s="79">
        <v>151</v>
      </c>
      <c r="D271" s="79">
        <v>30</v>
      </c>
      <c r="E271" s="79">
        <v>53</v>
      </c>
      <c r="F271" s="79">
        <v>13.68</v>
      </c>
      <c r="G271" s="79">
        <v>8183</v>
      </c>
      <c r="H271" s="344" t="s">
        <v>314</v>
      </c>
      <c r="I271" s="16" t="s">
        <v>239</v>
      </c>
      <c r="J271" s="50" t="s">
        <v>6204</v>
      </c>
      <c r="L271" s="79">
        <v>6</v>
      </c>
      <c r="M271" s="403">
        <v>0</v>
      </c>
      <c r="N271" s="240">
        <v>6</v>
      </c>
      <c r="O271" s="359">
        <v>97</v>
      </c>
      <c r="P271" s="79">
        <v>255</v>
      </c>
      <c r="Q271" s="342">
        <v>1241</v>
      </c>
      <c r="R271" s="81">
        <v>69</v>
      </c>
      <c r="S271" s="324">
        <v>92</v>
      </c>
      <c r="U271" s="426">
        <f t="shared" ref="U271" si="199">T271/W271</f>
        <v>0</v>
      </c>
      <c r="V271" s="94">
        <v>4.16</v>
      </c>
      <c r="W271" s="39">
        <v>76.7</v>
      </c>
      <c r="X271" s="207">
        <v>74.900000000000006</v>
      </c>
      <c r="Y271" s="430">
        <f t="shared" ref="Y271" si="200">W271-X271</f>
        <v>1.7999999999999972</v>
      </c>
      <c r="Z271" s="434">
        <f t="shared" ref="Z271" si="201">Y271/X271</f>
        <v>2.4032042723631467E-2</v>
      </c>
      <c r="AA271" s="340">
        <v>-3.16</v>
      </c>
      <c r="AC271" s="24" t="s">
        <v>239</v>
      </c>
      <c r="AD271" s="84">
        <v>44665</v>
      </c>
      <c r="AE271" s="311">
        <v>44665</v>
      </c>
      <c r="AF271" s="33">
        <f t="shared" si="178"/>
        <v>0</v>
      </c>
      <c r="AG271" s="401" t="s">
        <v>2327</v>
      </c>
      <c r="AH271" s="443"/>
      <c r="AI271" s="254"/>
      <c r="AJ271" s="392"/>
      <c r="AM271" s="245"/>
      <c r="AR271" s="402" t="str">
        <f>INDEX(基本資料!N:N,MATCH($G271,基本資料!A:A,0))</f>
        <v>中</v>
      </c>
    </row>
    <row r="272" spans="1:44">
      <c r="A272" s="343">
        <v>12.2</v>
      </c>
      <c r="B272" s="79">
        <v>26</v>
      </c>
      <c r="C272" s="79">
        <v>52</v>
      </c>
      <c r="D272" s="79">
        <v>36</v>
      </c>
      <c r="E272" s="79">
        <v>40</v>
      </c>
      <c r="F272" s="79">
        <v>19.43</v>
      </c>
      <c r="G272" s="79">
        <v>3653</v>
      </c>
      <c r="H272" s="450" t="s">
        <v>308</v>
      </c>
      <c r="I272" s="22" t="s">
        <v>392</v>
      </c>
      <c r="J272" s="102" t="s">
        <v>3542</v>
      </c>
      <c r="L272" s="79">
        <v>1</v>
      </c>
      <c r="M272" s="403">
        <v>0</v>
      </c>
      <c r="N272" s="240">
        <v>1</v>
      </c>
      <c r="O272" s="359">
        <v>911</v>
      </c>
      <c r="P272" s="79">
        <v>393</v>
      </c>
      <c r="Q272" s="342">
        <v>472</v>
      </c>
      <c r="R272" s="81">
        <v>5</v>
      </c>
      <c r="S272" s="324">
        <v>130</v>
      </c>
      <c r="T272" s="384">
        <v>7</v>
      </c>
      <c r="U272" s="426">
        <f>T272/W272</f>
        <v>1.7478152309612985E-2</v>
      </c>
      <c r="V272" s="94">
        <v>6.82</v>
      </c>
      <c r="W272" s="39">
        <v>400.5</v>
      </c>
      <c r="X272" s="207">
        <v>389.5</v>
      </c>
      <c r="Y272" s="430">
        <f>W272-X272</f>
        <v>11</v>
      </c>
      <c r="Z272" s="434">
        <f>Y272/X272</f>
        <v>2.8241335044929396E-2</v>
      </c>
      <c r="AA272" s="340">
        <v>-15.18</v>
      </c>
      <c r="AC272" s="23" t="s">
        <v>392</v>
      </c>
      <c r="AD272" s="84">
        <v>44663</v>
      </c>
      <c r="AE272" s="83">
        <v>44664</v>
      </c>
      <c r="AF272" s="33">
        <f t="shared" si="178"/>
        <v>1</v>
      </c>
      <c r="AG272" s="402" t="s">
        <v>2401</v>
      </c>
      <c r="AH272" s="445"/>
      <c r="AI272" s="448"/>
      <c r="AJ272" s="239"/>
      <c r="AM272" s="245"/>
      <c r="AR272" s="402" t="str">
        <f>INDEX(基本資料!N:N,MATCH($G272,基本資料!A:A,0))</f>
        <v>中</v>
      </c>
    </row>
    <row r="273" spans="1:44">
      <c r="A273" s="343">
        <v>24.8</v>
      </c>
      <c r="B273" s="80">
        <v>-15</v>
      </c>
      <c r="C273" s="79">
        <v>19</v>
      </c>
      <c r="D273" s="80">
        <v>-35</v>
      </c>
      <c r="E273" s="79">
        <v>1</v>
      </c>
      <c r="F273" s="79">
        <v>25.15</v>
      </c>
      <c r="G273" s="79">
        <v>4105</v>
      </c>
      <c r="H273" s="344" t="s">
        <v>309</v>
      </c>
      <c r="I273" s="16" t="s">
        <v>3720</v>
      </c>
      <c r="J273" s="102" t="s">
        <v>3542</v>
      </c>
      <c r="L273" s="79">
        <v>2</v>
      </c>
      <c r="M273" s="403">
        <v>0</v>
      </c>
      <c r="N273" s="240">
        <v>2</v>
      </c>
      <c r="O273" s="359">
        <v>866</v>
      </c>
      <c r="P273" s="79">
        <v>541</v>
      </c>
      <c r="Q273" s="342">
        <v>361</v>
      </c>
      <c r="R273" s="81">
        <v>180</v>
      </c>
      <c r="S273" s="324">
        <v>563</v>
      </c>
      <c r="T273" s="384">
        <v>3</v>
      </c>
      <c r="U273" s="426">
        <f t="shared" ref="U273" si="202">T273/W273</f>
        <v>4.2253521126760563E-2</v>
      </c>
      <c r="V273" s="94">
        <v>3.02</v>
      </c>
      <c r="W273" s="39">
        <v>71</v>
      </c>
      <c r="X273" s="207">
        <v>69.3</v>
      </c>
      <c r="Y273" s="430">
        <f t="shared" ref="Y273" si="203">W273-X273</f>
        <v>1.7000000000000028</v>
      </c>
      <c r="Z273" s="434">
        <f t="shared" ref="Z273" si="204">Y273/X273</f>
        <v>2.4531024531024574E-2</v>
      </c>
      <c r="AA273" s="340">
        <v>-28.72</v>
      </c>
      <c r="AC273" s="24" t="s">
        <v>3720</v>
      </c>
      <c r="AD273" s="84">
        <v>44658</v>
      </c>
      <c r="AE273" s="83">
        <v>44664</v>
      </c>
      <c r="AF273" s="33">
        <f t="shared" si="178"/>
        <v>6</v>
      </c>
      <c r="AG273" s="401" t="s">
        <v>3721</v>
      </c>
      <c r="AH273" s="445"/>
      <c r="AI273" s="448"/>
      <c r="AJ273" s="239"/>
      <c r="AM273" s="245"/>
      <c r="AR273" s="402" t="str">
        <f>INDEX(基本資料!N:N,MATCH($G273,基本資料!A:A,0))</f>
        <v>低</v>
      </c>
    </row>
    <row r="274" spans="1:44">
      <c r="A274" s="343">
        <v>3.44</v>
      </c>
      <c r="B274" s="79">
        <v>30</v>
      </c>
      <c r="C274" s="79">
        <v>30</v>
      </c>
      <c r="D274" s="79">
        <v>29</v>
      </c>
      <c r="E274" s="79">
        <v>66</v>
      </c>
      <c r="F274" s="79">
        <v>45.42</v>
      </c>
      <c r="G274" s="79">
        <v>5274</v>
      </c>
      <c r="H274" s="96" t="s">
        <v>3038</v>
      </c>
      <c r="I274" s="16" t="s">
        <v>217</v>
      </c>
      <c r="J274" s="102" t="s">
        <v>3544</v>
      </c>
      <c r="L274" s="79">
        <v>1</v>
      </c>
      <c r="M274" s="403">
        <v>0</v>
      </c>
      <c r="N274" s="240">
        <v>1</v>
      </c>
      <c r="O274" s="359">
        <v>1167</v>
      </c>
      <c r="P274" s="79">
        <v>577</v>
      </c>
      <c r="Q274" s="342">
        <v>47</v>
      </c>
      <c r="R274" s="81">
        <v>28</v>
      </c>
      <c r="S274" s="324">
        <v>605</v>
      </c>
      <c r="T274" s="384">
        <v>36</v>
      </c>
      <c r="U274" s="426">
        <f>T274/W274</f>
        <v>1.1410459587955626E-2</v>
      </c>
      <c r="V274" s="94">
        <v>38.32</v>
      </c>
      <c r="W274" s="423">
        <v>3155</v>
      </c>
      <c r="X274" s="207">
        <v>3085</v>
      </c>
      <c r="Y274" s="431">
        <f>W274-X274</f>
        <v>70</v>
      </c>
      <c r="Z274" s="434">
        <f>Y274/X274</f>
        <v>2.2690437601296597E-2</v>
      </c>
      <c r="AA274" s="340">
        <v>-17.55</v>
      </c>
      <c r="AC274" s="24" t="s">
        <v>217</v>
      </c>
      <c r="AD274" s="84">
        <v>44664</v>
      </c>
      <c r="AE274" s="311">
        <v>44664</v>
      </c>
      <c r="AF274" s="33">
        <f t="shared" si="178"/>
        <v>0</v>
      </c>
      <c r="AG274" s="401" t="s">
        <v>2357</v>
      </c>
      <c r="AH274" s="443"/>
      <c r="AI274" s="254"/>
      <c r="AJ274" s="392"/>
      <c r="AM274" s="245"/>
      <c r="AR274" s="402" t="str">
        <f>INDEX(基本資料!N:N,MATCH($G274,基本資料!A:A,0))</f>
        <v>中</v>
      </c>
    </row>
    <row r="275" spans="1:44">
      <c r="A275" s="343">
        <v>10.199999999999999</v>
      </c>
      <c r="B275" s="79">
        <v>7</v>
      </c>
      <c r="C275" s="79">
        <v>4</v>
      </c>
      <c r="D275" s="79">
        <v>9</v>
      </c>
      <c r="E275" s="79">
        <v>13</v>
      </c>
      <c r="F275" s="79">
        <v>17.010000000000002</v>
      </c>
      <c r="G275" s="80">
        <v>5234</v>
      </c>
      <c r="H275" s="403" t="s">
        <v>1877</v>
      </c>
      <c r="I275" s="22" t="s">
        <v>4246</v>
      </c>
      <c r="J275" s="102" t="s">
        <v>4718</v>
      </c>
      <c r="L275" s="79">
        <v>1</v>
      </c>
      <c r="M275" s="403">
        <v>0</v>
      </c>
      <c r="N275" s="240">
        <v>1</v>
      </c>
      <c r="O275" s="359">
        <v>843</v>
      </c>
      <c r="P275" s="79">
        <v>531</v>
      </c>
      <c r="Q275" s="342">
        <v>474</v>
      </c>
      <c r="R275" s="81">
        <v>183</v>
      </c>
      <c r="S275" s="324">
        <v>439</v>
      </c>
      <c r="T275" s="384">
        <v>5.3</v>
      </c>
      <c r="U275" s="426">
        <f>T275/W275</f>
        <v>4.7533632286995517E-2</v>
      </c>
      <c r="V275" s="94">
        <v>6.43</v>
      </c>
      <c r="W275" s="39">
        <v>111.5</v>
      </c>
      <c r="X275" s="207">
        <v>110</v>
      </c>
      <c r="Y275" s="430">
        <f>W275-X275</f>
        <v>1.5</v>
      </c>
      <c r="Z275" s="434">
        <f>Y275/X275</f>
        <v>1.3636363636363636E-2</v>
      </c>
      <c r="AA275" s="340">
        <v>-32.520000000000003</v>
      </c>
      <c r="AC275" s="23" t="s">
        <v>4246</v>
      </c>
      <c r="AD275" s="84">
        <v>44663</v>
      </c>
      <c r="AE275" s="83">
        <v>44664</v>
      </c>
      <c r="AF275" s="33">
        <f t="shared" si="178"/>
        <v>1</v>
      </c>
      <c r="AG275" s="402" t="s">
        <v>4247</v>
      </c>
      <c r="AH275" s="445"/>
      <c r="AI275" s="448"/>
      <c r="AJ275" s="239"/>
      <c r="AM275" s="245"/>
      <c r="AR275" s="402" t="str">
        <f>INDEX(基本資料!N:N,MATCH($G275,基本資料!A:A,0))</f>
        <v>低</v>
      </c>
    </row>
    <row r="276" spans="1:44">
      <c r="A276" s="343">
        <v>3.44</v>
      </c>
      <c r="B276" s="79">
        <v>30</v>
      </c>
      <c r="C276" s="79">
        <v>30</v>
      </c>
      <c r="D276" s="79">
        <v>29</v>
      </c>
      <c r="E276" s="79">
        <v>66</v>
      </c>
      <c r="F276" s="79">
        <v>45.42</v>
      </c>
      <c r="G276" s="80">
        <v>5274</v>
      </c>
      <c r="H276" s="132" t="s">
        <v>3038</v>
      </c>
      <c r="I276" s="16" t="s">
        <v>217</v>
      </c>
      <c r="J276" s="102" t="s">
        <v>3544</v>
      </c>
      <c r="L276" s="91"/>
      <c r="O276" s="359">
        <v>1167</v>
      </c>
      <c r="P276" s="79">
        <v>577</v>
      </c>
      <c r="Q276" s="342">
        <v>47</v>
      </c>
      <c r="R276" s="81">
        <v>28</v>
      </c>
      <c r="S276" s="324">
        <v>605</v>
      </c>
      <c r="T276" s="384">
        <v>36</v>
      </c>
      <c r="U276" s="426">
        <f t="shared" ref="U276" si="205">T276/W276</f>
        <v>1.1783960720130934E-2</v>
      </c>
      <c r="V276" s="94">
        <v>38.32</v>
      </c>
      <c r="W276" s="423">
        <v>3055</v>
      </c>
      <c r="X276" s="207">
        <v>3015</v>
      </c>
      <c r="Y276" s="431">
        <f t="shared" ref="Y276" si="206">W276-X276</f>
        <v>40</v>
      </c>
      <c r="Z276" s="434">
        <f t="shared" ref="Z276" si="207">Y276/X276</f>
        <v>1.3266998341625208E-2</v>
      </c>
      <c r="AA276" s="340">
        <v>-17.96</v>
      </c>
      <c r="AC276" s="24" t="s">
        <v>217</v>
      </c>
      <c r="AD276" s="84">
        <v>44662</v>
      </c>
      <c r="AE276" s="311">
        <v>44662</v>
      </c>
      <c r="AF276" s="33">
        <f t="shared" si="178"/>
        <v>0</v>
      </c>
      <c r="AG276" s="401" t="s">
        <v>2357</v>
      </c>
      <c r="AH276" s="443"/>
      <c r="AI276" s="254"/>
      <c r="AJ276" s="392"/>
      <c r="AM276" s="245"/>
      <c r="AR276" s="402" t="str">
        <f>INDEX(基本資料!N:N,MATCH($G276,基本資料!A:A,0))</f>
        <v>中</v>
      </c>
    </row>
    <row r="277" spans="1:44">
      <c r="A277" s="343">
        <v>5.81</v>
      </c>
      <c r="B277" s="80">
        <v>-29</v>
      </c>
      <c r="C277" s="80">
        <v>-29</v>
      </c>
      <c r="D277" s="79">
        <v>72</v>
      </c>
      <c r="E277" s="79">
        <v>45</v>
      </c>
      <c r="F277" s="79">
        <v>12.97</v>
      </c>
      <c r="G277" s="80">
        <v>4763</v>
      </c>
      <c r="H277" s="344" t="s">
        <v>3577</v>
      </c>
      <c r="I277" s="22" t="s">
        <v>3637</v>
      </c>
      <c r="J277" s="102" t="s">
        <v>3542</v>
      </c>
      <c r="L277" s="91"/>
      <c r="O277" s="359">
        <v>530</v>
      </c>
      <c r="P277" s="79">
        <v>1054</v>
      </c>
      <c r="Q277" s="342">
        <v>32</v>
      </c>
      <c r="R277" s="81" t="s">
        <v>6279</v>
      </c>
      <c r="S277" s="324">
        <v>999</v>
      </c>
      <c r="T277" s="384">
        <v>5.5</v>
      </c>
      <c r="U277" s="426">
        <f>T277/W277</f>
        <v>5.3921568627450983E-2</v>
      </c>
      <c r="V277" s="94">
        <v>9.18</v>
      </c>
      <c r="W277" s="39">
        <v>102</v>
      </c>
      <c r="X277" s="207">
        <v>100</v>
      </c>
      <c r="Y277" s="430">
        <f>W277-X277</f>
        <v>2</v>
      </c>
      <c r="Z277" s="434">
        <f>Y277/X277</f>
        <v>0.02</v>
      </c>
      <c r="AA277" s="340">
        <v>-28.61</v>
      </c>
      <c r="AC277" s="23" t="s">
        <v>3637</v>
      </c>
      <c r="AD277" s="84">
        <v>44658</v>
      </c>
      <c r="AE277" s="83">
        <v>44659</v>
      </c>
      <c r="AF277" s="33">
        <f t="shared" si="178"/>
        <v>1</v>
      </c>
      <c r="AG277" s="402" t="s">
        <v>3638</v>
      </c>
      <c r="AH277" s="443"/>
      <c r="AI277" s="254"/>
      <c r="AJ277" s="392"/>
      <c r="AM277" s="245"/>
      <c r="AR277" s="402" t="str">
        <f>INDEX(基本資料!N:N,MATCH($G277,基本資料!A:A,0))</f>
        <v>中</v>
      </c>
    </row>
    <row r="278" spans="1:44" s="248" customFormat="1">
      <c r="A278" s="91"/>
      <c r="B278" s="79"/>
      <c r="C278" s="79"/>
      <c r="D278" s="79"/>
      <c r="E278" s="79"/>
      <c r="F278" s="79"/>
      <c r="G278" s="41"/>
      <c r="H278" s="344"/>
      <c r="I278" s="153"/>
      <c r="J278" s="1"/>
      <c r="K278" s="355"/>
      <c r="L278" s="91"/>
      <c r="M278" s="404"/>
      <c r="O278" s="359"/>
      <c r="P278" s="79"/>
      <c r="Q278" s="342"/>
      <c r="R278" s="81"/>
      <c r="S278" s="419"/>
      <c r="T278" s="384"/>
      <c r="U278" s="425"/>
      <c r="V278" s="94"/>
      <c r="W278" s="31">
        <f>SUM(W269:W277)</f>
        <v>7175.9</v>
      </c>
      <c r="X278" s="73">
        <f>SUM(X269:X277)</f>
        <v>7043.1</v>
      </c>
      <c r="Y278" s="430">
        <f t="shared" ref="Y278" si="208">W278-X278</f>
        <v>132.79999999999927</v>
      </c>
      <c r="Z278" s="103">
        <f t="shared" ref="Z278" si="209">Y278/X278</f>
        <v>1.8855333588902509E-2</v>
      </c>
      <c r="AA278" s="340"/>
      <c r="AB278" s="389"/>
      <c r="AC278" s="437">
        <f>W278*(0.001425*0.5)+W278*0.003+X278*(0.001425*0.5)</f>
        <v>31.658737500000001</v>
      </c>
      <c r="AD278" s="6">
        <f>Y278-AC278</f>
        <v>101.14126249999927</v>
      </c>
      <c r="AE278" s="83"/>
      <c r="AF278" s="33"/>
      <c r="AG278" s="132" t="s">
        <v>6213</v>
      </c>
      <c r="AH278" s="444"/>
      <c r="AI278" s="257"/>
      <c r="AK278" s="461"/>
      <c r="AR278" s="402"/>
    </row>
    <row r="279" spans="1:44">
      <c r="B279" s="90"/>
      <c r="C279" s="90"/>
      <c r="D279" s="90"/>
      <c r="E279" s="90"/>
      <c r="F279" s="344"/>
      <c r="G279" s="26"/>
      <c r="H279" s="344"/>
      <c r="I279" s="50"/>
      <c r="J279" s="8"/>
      <c r="L279" s="91"/>
      <c r="O279" s="359"/>
      <c r="Q279" s="342"/>
      <c r="R279" s="81"/>
      <c r="W279" s="39"/>
      <c r="Z279" s="433"/>
      <c r="AC279" s="24"/>
      <c r="AE279" s="72"/>
      <c r="AF279" s="33"/>
      <c r="AG279" s="402"/>
      <c r="AH279" s="442"/>
      <c r="AI279" s="446"/>
      <c r="AM279" s="234"/>
      <c r="AR279" s="402"/>
    </row>
    <row r="280" spans="1:44">
      <c r="A280" s="343">
        <v>4.4400000000000004</v>
      </c>
      <c r="B280" s="79">
        <v>249</v>
      </c>
      <c r="C280" s="79">
        <v>154</v>
      </c>
      <c r="D280" s="80">
        <v>-15</v>
      </c>
      <c r="E280" s="79">
        <v>19</v>
      </c>
      <c r="F280" s="79">
        <v>16.510000000000002</v>
      </c>
      <c r="G280" s="79">
        <v>3675</v>
      </c>
      <c r="H280" s="132" t="s">
        <v>3038</v>
      </c>
      <c r="I280" s="16" t="s">
        <v>365</v>
      </c>
      <c r="J280" s="8" t="s">
        <v>4742</v>
      </c>
      <c r="L280" s="91"/>
      <c r="O280" s="359">
        <v>326</v>
      </c>
      <c r="P280" s="79">
        <v>365</v>
      </c>
      <c r="Q280" s="342">
        <v>69</v>
      </c>
      <c r="R280" s="81">
        <v>3</v>
      </c>
      <c r="S280" s="324">
        <v>22</v>
      </c>
      <c r="T280" s="384">
        <v>5</v>
      </c>
      <c r="U280" s="426">
        <f>T280/W280</f>
        <v>1.5015015015015015E-2</v>
      </c>
      <c r="V280" s="94">
        <v>7.36</v>
      </c>
      <c r="W280" s="39">
        <v>333</v>
      </c>
      <c r="X280" s="207">
        <v>308.5</v>
      </c>
      <c r="Y280" s="430">
        <f>W280-X280</f>
        <v>24.5</v>
      </c>
      <c r="Z280" s="434">
        <f>Y280/X280</f>
        <v>7.9416531604538085E-2</v>
      </c>
      <c r="AA280" s="340">
        <v>-6.88</v>
      </c>
      <c r="AC280" s="24" t="s">
        <v>365</v>
      </c>
      <c r="AD280" s="84">
        <v>44650</v>
      </c>
      <c r="AE280" s="83">
        <v>44651</v>
      </c>
      <c r="AF280" s="33">
        <f t="shared" si="178"/>
        <v>1</v>
      </c>
      <c r="AG280" s="402" t="s">
        <v>2939</v>
      </c>
      <c r="AH280" s="443"/>
      <c r="AI280" s="254"/>
      <c r="AJ280" s="392"/>
      <c r="AM280" s="245"/>
      <c r="AR280" s="402" t="str">
        <f>INDEX(基本資料!N:N,MATCH($G280,基本資料!A:A,0))</f>
        <v>高</v>
      </c>
    </row>
    <row r="281" spans="1:44">
      <c r="A281" s="343">
        <v>24.9</v>
      </c>
      <c r="B281" s="79">
        <v>285</v>
      </c>
      <c r="C281" s="79">
        <v>220</v>
      </c>
      <c r="D281" s="79">
        <v>17</v>
      </c>
      <c r="E281" s="79">
        <v>172</v>
      </c>
      <c r="F281" s="79">
        <v>16.97</v>
      </c>
      <c r="G281" s="79">
        <v>1708</v>
      </c>
      <c r="H281" s="344" t="s">
        <v>755</v>
      </c>
      <c r="I281" s="22" t="s">
        <v>757</v>
      </c>
      <c r="J281" s="8" t="s">
        <v>4742</v>
      </c>
      <c r="L281" s="91"/>
      <c r="O281" s="359">
        <v>41</v>
      </c>
      <c r="P281" s="79">
        <v>168</v>
      </c>
      <c r="Q281" s="342">
        <v>413</v>
      </c>
      <c r="R281" s="81">
        <v>193</v>
      </c>
      <c r="S281" s="324">
        <v>38</v>
      </c>
      <c r="T281" s="384">
        <v>2</v>
      </c>
      <c r="U281" s="426">
        <f>T281/W281</f>
        <v>3.2840722495894911E-2</v>
      </c>
      <c r="V281" s="94">
        <v>2.81</v>
      </c>
      <c r="W281" s="39">
        <v>60.9</v>
      </c>
      <c r="X281" s="207">
        <v>55.4</v>
      </c>
      <c r="Y281" s="430">
        <f>W281-X281</f>
        <v>5.5</v>
      </c>
      <c r="Z281" s="434">
        <f>Y281/X281</f>
        <v>9.927797833935019E-2</v>
      </c>
      <c r="AA281" s="340">
        <v>-1.26</v>
      </c>
      <c r="AC281" s="23" t="s">
        <v>757</v>
      </c>
      <c r="AD281" s="84">
        <v>44648</v>
      </c>
      <c r="AE281" s="83">
        <v>44649</v>
      </c>
      <c r="AF281" s="33">
        <f t="shared" si="178"/>
        <v>1</v>
      </c>
      <c r="AG281" s="402" t="s">
        <v>1524</v>
      </c>
      <c r="AH281" s="443"/>
      <c r="AI281" s="254"/>
      <c r="AJ281" s="392"/>
      <c r="AM281" s="245"/>
      <c r="AR281" s="402" t="str">
        <f>INDEX(基本資料!N:N,MATCH($G281,基本資料!A:A,0))</f>
        <v>中</v>
      </c>
    </row>
    <row r="282" spans="1:44">
      <c r="A282" s="343">
        <v>13.4</v>
      </c>
      <c r="B282" s="79">
        <v>284</v>
      </c>
      <c r="C282" s="79">
        <v>230</v>
      </c>
      <c r="D282" s="80">
        <v>-3</v>
      </c>
      <c r="E282" s="79">
        <v>74</v>
      </c>
      <c r="F282" s="79">
        <v>11.28</v>
      </c>
      <c r="G282" s="79">
        <v>3305</v>
      </c>
      <c r="H282" s="344" t="s">
        <v>314</v>
      </c>
      <c r="I282" s="22" t="s">
        <v>504</v>
      </c>
      <c r="J282" s="8" t="s">
        <v>4742</v>
      </c>
      <c r="L282" s="91"/>
      <c r="O282" s="359">
        <v>85</v>
      </c>
      <c r="P282" s="79">
        <v>327</v>
      </c>
      <c r="Q282" s="342">
        <v>845</v>
      </c>
      <c r="R282" s="81">
        <v>351</v>
      </c>
      <c r="S282" s="324">
        <v>114</v>
      </c>
      <c r="T282" s="384">
        <v>2.5</v>
      </c>
      <c r="U282" s="426">
        <f t="shared" ref="U282" si="210">T282/W282</f>
        <v>3.048780487804878E-2</v>
      </c>
      <c r="V282" s="94">
        <v>4.29</v>
      </c>
      <c r="W282" s="39">
        <v>82</v>
      </c>
      <c r="X282" s="207">
        <v>78.3</v>
      </c>
      <c r="Y282" s="430">
        <f t="shared" ref="Y282" si="211">W282-X282</f>
        <v>3.7000000000000028</v>
      </c>
      <c r="Z282" s="434">
        <f t="shared" ref="Z282" si="212">Y282/X282</f>
        <v>4.7254150702426605E-2</v>
      </c>
      <c r="AA282" s="340">
        <v>-13.42</v>
      </c>
      <c r="AC282" s="23" t="s">
        <v>504</v>
      </c>
      <c r="AD282" s="84">
        <v>44648</v>
      </c>
      <c r="AE282" s="83">
        <v>44649</v>
      </c>
      <c r="AF282" s="33">
        <f t="shared" si="178"/>
        <v>1</v>
      </c>
      <c r="AG282" s="402" t="s">
        <v>2574</v>
      </c>
      <c r="AH282" s="443"/>
      <c r="AI282" s="254"/>
      <c r="AJ282" s="392"/>
      <c r="AM282" s="245"/>
      <c r="AR282" s="402" t="str">
        <f>INDEX(基本資料!N:N,MATCH($G282,基本資料!A:A,0))</f>
        <v>中</v>
      </c>
    </row>
    <row r="283" spans="1:44">
      <c r="A283" s="343">
        <v>7.5</v>
      </c>
      <c r="B283" s="79">
        <v>192</v>
      </c>
      <c r="C283" s="79">
        <v>175</v>
      </c>
      <c r="D283" s="80">
        <v>-11</v>
      </c>
      <c r="E283" s="79">
        <v>117</v>
      </c>
      <c r="F283" s="79">
        <v>10.11</v>
      </c>
      <c r="G283" s="79">
        <v>4721</v>
      </c>
      <c r="H283" s="344" t="s">
        <v>3577</v>
      </c>
      <c r="I283" s="16" t="s">
        <v>3628</v>
      </c>
      <c r="J283" s="8" t="s">
        <v>4742</v>
      </c>
      <c r="L283" s="91"/>
      <c r="O283" s="359">
        <v>113</v>
      </c>
      <c r="P283" s="79">
        <v>221</v>
      </c>
      <c r="Q283" s="342">
        <v>1198</v>
      </c>
      <c r="R283" s="81">
        <v>460</v>
      </c>
      <c r="S283" s="324">
        <v>13</v>
      </c>
      <c r="T283" s="384">
        <v>3.8</v>
      </c>
      <c r="U283" s="426">
        <f>T283/W283</f>
        <v>2.4050632911392405E-2</v>
      </c>
      <c r="V283" s="94">
        <v>4.8099999999999996</v>
      </c>
      <c r="W283" s="39">
        <v>158</v>
      </c>
      <c r="X283" s="207">
        <v>155</v>
      </c>
      <c r="Y283" s="430">
        <f>W283-X283</f>
        <v>3</v>
      </c>
      <c r="Z283" s="434">
        <f>Y283/X283</f>
        <v>1.935483870967742E-2</v>
      </c>
      <c r="AA283" s="340">
        <v>-15.99</v>
      </c>
      <c r="AC283" s="24" t="s">
        <v>3628</v>
      </c>
      <c r="AD283" s="84">
        <v>44645</v>
      </c>
      <c r="AE283" s="83">
        <v>44649</v>
      </c>
      <c r="AF283" s="33">
        <f t="shared" si="178"/>
        <v>4</v>
      </c>
      <c r="AG283" s="401" t="s">
        <v>2289</v>
      </c>
      <c r="AH283" s="443"/>
      <c r="AI283" s="254"/>
      <c r="AJ283" s="392"/>
      <c r="AM283" s="245"/>
      <c r="AR283" s="402" t="str">
        <f>INDEX(基本資料!N:N,MATCH($G283,基本資料!A:A,0))</f>
        <v>中</v>
      </c>
    </row>
    <row r="284" spans="1:44">
      <c r="A284" s="343">
        <v>8.07</v>
      </c>
      <c r="B284" s="79">
        <v>484</v>
      </c>
      <c r="C284" s="79">
        <v>69</v>
      </c>
      <c r="D284" s="80">
        <v>-11</v>
      </c>
      <c r="E284" s="79">
        <v>25</v>
      </c>
      <c r="F284" s="79">
        <v>4.95</v>
      </c>
      <c r="G284" s="79">
        <v>5603</v>
      </c>
      <c r="H284" s="208" t="s">
        <v>302</v>
      </c>
      <c r="I284" s="16" t="s">
        <v>81</v>
      </c>
      <c r="J284" s="8" t="s">
        <v>4736</v>
      </c>
      <c r="L284" s="91"/>
      <c r="O284" s="359">
        <v>433</v>
      </c>
      <c r="P284" s="79">
        <v>138</v>
      </c>
      <c r="Q284" s="342">
        <v>361</v>
      </c>
      <c r="R284" s="81" t="s">
        <v>6279</v>
      </c>
      <c r="S284" s="324">
        <v>231</v>
      </c>
      <c r="T284" s="384">
        <v>7</v>
      </c>
      <c r="U284" s="426">
        <f t="shared" ref="U284" si="213">T284/W284</f>
        <v>0.145985401459854</v>
      </c>
      <c r="V284" s="94">
        <v>9.34</v>
      </c>
      <c r="W284" s="39">
        <v>47.95</v>
      </c>
      <c r="X284" s="207">
        <v>47.05</v>
      </c>
      <c r="Y284" s="430">
        <f t="shared" ref="Y284" si="214">W284-X284</f>
        <v>0.90000000000000568</v>
      </c>
      <c r="Z284" s="434">
        <f t="shared" ref="Z284" si="215">Y284/X284</f>
        <v>1.9128586609989496E-2</v>
      </c>
      <c r="AA284" s="340">
        <v>-7.94</v>
      </c>
      <c r="AC284" s="24" t="s">
        <v>81</v>
      </c>
      <c r="AD284" s="84">
        <v>44649</v>
      </c>
      <c r="AE284" s="311">
        <v>44649</v>
      </c>
      <c r="AF284" s="33">
        <f t="shared" si="178"/>
        <v>0</v>
      </c>
      <c r="AG284" s="401" t="s">
        <v>2662</v>
      </c>
      <c r="AH284" s="443"/>
      <c r="AI284" s="254"/>
      <c r="AJ284" s="392"/>
      <c r="AM284" s="245"/>
      <c r="AR284" s="402" t="str">
        <f>INDEX(基本資料!N:N,MATCH($G284,基本資料!A:A,0))</f>
        <v>高</v>
      </c>
    </row>
    <row r="285" spans="1:44">
      <c r="A285" s="343">
        <v>17.8</v>
      </c>
      <c r="B285" s="79">
        <v>120</v>
      </c>
      <c r="C285" s="79">
        <v>264</v>
      </c>
      <c r="D285" s="80">
        <v>-16</v>
      </c>
      <c r="E285" s="79">
        <v>46</v>
      </c>
      <c r="F285" s="79">
        <v>12.77</v>
      </c>
      <c r="G285" s="80">
        <v>2436</v>
      </c>
      <c r="H285" s="344" t="s">
        <v>3038</v>
      </c>
      <c r="I285" s="22" t="s">
        <v>112</v>
      </c>
      <c r="J285" s="8" t="s">
        <v>4736</v>
      </c>
      <c r="L285" s="91"/>
      <c r="O285" s="359">
        <v>53</v>
      </c>
      <c r="P285" s="79">
        <v>378</v>
      </c>
      <c r="Q285" s="342">
        <v>764</v>
      </c>
      <c r="R285" s="81">
        <v>345</v>
      </c>
      <c r="S285" s="324">
        <v>37</v>
      </c>
      <c r="T285" s="384">
        <v>3</v>
      </c>
      <c r="U285" s="426">
        <f t="shared" ref="U285" si="216">T285/W285</f>
        <v>3.2967032967032968E-2</v>
      </c>
      <c r="V285" s="94">
        <v>4.25</v>
      </c>
      <c r="W285" s="39">
        <v>91</v>
      </c>
      <c r="X285" s="207">
        <v>89.4</v>
      </c>
      <c r="Y285" s="430">
        <f t="shared" ref="Y285" si="217">W285-X285</f>
        <v>1.5999999999999943</v>
      </c>
      <c r="Z285" s="434">
        <f t="shared" ref="Z285" si="218">Y285/X285</f>
        <v>1.7897091722595012E-2</v>
      </c>
      <c r="AA285" s="340">
        <v>-20.079999999999998</v>
      </c>
      <c r="AC285" s="23" t="s">
        <v>112</v>
      </c>
      <c r="AD285" s="84">
        <v>44644</v>
      </c>
      <c r="AE285" s="83">
        <v>44645</v>
      </c>
      <c r="AF285" s="33">
        <f t="shared" si="178"/>
        <v>1</v>
      </c>
      <c r="AG285" s="402" t="s">
        <v>2193</v>
      </c>
      <c r="AH285" s="443"/>
      <c r="AI285" s="254"/>
      <c r="AJ285" s="392"/>
      <c r="AM285" s="245"/>
      <c r="AR285" s="402" t="str">
        <f>INDEX(基本資料!N:N,MATCH($G285,基本資料!A:A,0))</f>
        <v>低</v>
      </c>
    </row>
    <row r="286" spans="1:44">
      <c r="A286" s="343">
        <v>6.22</v>
      </c>
      <c r="B286" s="79">
        <v>64</v>
      </c>
      <c r="C286" s="79">
        <v>6</v>
      </c>
      <c r="D286" s="80">
        <v>-23</v>
      </c>
      <c r="E286" s="79">
        <v>26</v>
      </c>
      <c r="F286" s="79">
        <v>11.41</v>
      </c>
      <c r="G286" s="80">
        <v>3491</v>
      </c>
      <c r="H286" s="344" t="s">
        <v>311</v>
      </c>
      <c r="I286" s="16" t="s">
        <v>4367</v>
      </c>
      <c r="J286" s="8" t="s">
        <v>4736</v>
      </c>
      <c r="L286" s="91"/>
      <c r="O286" s="359">
        <v>104</v>
      </c>
      <c r="P286" s="79">
        <v>224</v>
      </c>
      <c r="Q286" s="342">
        <v>419</v>
      </c>
      <c r="R286" s="81">
        <v>96</v>
      </c>
      <c r="S286" s="324">
        <v>16</v>
      </c>
      <c r="T286" s="384">
        <v>2.5</v>
      </c>
      <c r="U286" s="426">
        <f>T286/W286</f>
        <v>1.3812154696132596E-2</v>
      </c>
      <c r="V286" s="94">
        <v>3.19</v>
      </c>
      <c r="W286" s="39">
        <v>181</v>
      </c>
      <c r="X286" s="207">
        <v>178</v>
      </c>
      <c r="Y286" s="430">
        <f>W286-X286</f>
        <v>3</v>
      </c>
      <c r="Z286" s="434">
        <f>Y286/X286</f>
        <v>1.6853932584269662E-2</v>
      </c>
      <c r="AA286" s="340">
        <v>-24.89</v>
      </c>
      <c r="AC286" s="24" t="s">
        <v>4367</v>
      </c>
      <c r="AD286" s="84">
        <v>44643</v>
      </c>
      <c r="AE286" s="83">
        <v>44644</v>
      </c>
      <c r="AF286" s="33">
        <f t="shared" si="178"/>
        <v>1</v>
      </c>
      <c r="AG286" s="401" t="s">
        <v>4368</v>
      </c>
      <c r="AH286" s="443"/>
      <c r="AI286" s="254"/>
      <c r="AJ286" s="392"/>
      <c r="AM286" s="245"/>
      <c r="AR286" s="402" t="str">
        <f>INDEX(基本資料!N:N,MATCH($G286,基本資料!A:A,0))</f>
        <v>中</v>
      </c>
    </row>
    <row r="287" spans="1:44">
      <c r="A287" s="343">
        <v>14.5</v>
      </c>
      <c r="B287" s="80">
        <v>-29</v>
      </c>
      <c r="C287" s="80">
        <v>-55</v>
      </c>
      <c r="D287" s="80">
        <v>-38</v>
      </c>
      <c r="E287" s="79">
        <v>15</v>
      </c>
      <c r="F287" s="79">
        <v>55.39</v>
      </c>
      <c r="G287" s="79">
        <v>4162</v>
      </c>
      <c r="H287" s="344" t="s">
        <v>309</v>
      </c>
      <c r="I287" s="16" t="s">
        <v>37</v>
      </c>
      <c r="J287" s="8" t="s">
        <v>4736</v>
      </c>
      <c r="L287" s="91"/>
      <c r="O287" s="359">
        <v>267</v>
      </c>
      <c r="P287" s="79">
        <v>306</v>
      </c>
      <c r="Q287" s="342">
        <v>761</v>
      </c>
      <c r="R287" s="81">
        <v>217</v>
      </c>
      <c r="S287" s="324">
        <v>271</v>
      </c>
      <c r="T287" s="384">
        <v>2.7</v>
      </c>
      <c r="U287" s="426">
        <f>T287/W287</f>
        <v>2.7383367139959435E-2</v>
      </c>
      <c r="V287" s="94">
        <v>2.94</v>
      </c>
      <c r="W287" s="39">
        <v>98.6</v>
      </c>
      <c r="X287" s="207">
        <v>96.4</v>
      </c>
      <c r="Y287" s="430">
        <f>W287-X287</f>
        <v>2.1999999999999886</v>
      </c>
      <c r="Z287" s="434">
        <f>Y287/X287</f>
        <v>2.2821576763485358E-2</v>
      </c>
      <c r="AA287" s="340">
        <v>-3.78</v>
      </c>
      <c r="AC287" s="24" t="s">
        <v>37</v>
      </c>
      <c r="AD287" s="84">
        <v>44643</v>
      </c>
      <c r="AE287" s="83">
        <v>44644</v>
      </c>
      <c r="AF287" s="33">
        <f t="shared" si="178"/>
        <v>1</v>
      </c>
      <c r="AG287" s="401" t="s">
        <v>3777</v>
      </c>
      <c r="AH287" s="443"/>
      <c r="AI287" s="254"/>
      <c r="AJ287" s="392"/>
      <c r="AM287" s="245"/>
      <c r="AR287" s="402" t="str">
        <f>INDEX(基本資料!N:N,MATCH($G287,基本資料!A:A,0))</f>
        <v>中</v>
      </c>
    </row>
    <row r="288" spans="1:44">
      <c r="A288" s="343">
        <v>11.7</v>
      </c>
      <c r="B288" s="79">
        <v>179</v>
      </c>
      <c r="C288" s="79">
        <v>203</v>
      </c>
      <c r="D288" s="80">
        <v>-19</v>
      </c>
      <c r="E288" s="79">
        <v>49</v>
      </c>
      <c r="F288" s="79">
        <v>19.670000000000002</v>
      </c>
      <c r="G288" s="79">
        <v>3624</v>
      </c>
      <c r="H288" s="344" t="s">
        <v>308</v>
      </c>
      <c r="I288" s="16" t="s">
        <v>4577</v>
      </c>
      <c r="J288" s="8" t="s">
        <v>4736</v>
      </c>
      <c r="L288" s="91"/>
      <c r="O288" s="359">
        <v>205</v>
      </c>
      <c r="P288" s="79">
        <v>176</v>
      </c>
      <c r="Q288" s="342">
        <v>97</v>
      </c>
      <c r="R288" s="81">
        <v>9</v>
      </c>
      <c r="S288" s="324">
        <v>24</v>
      </c>
      <c r="T288" s="384">
        <v>2.2000000000000002</v>
      </c>
      <c r="U288" s="426">
        <f>T288/W288</f>
        <v>2.4553571428571432E-2</v>
      </c>
      <c r="V288" s="94">
        <v>4.04</v>
      </c>
      <c r="W288" s="39">
        <v>89.6</v>
      </c>
      <c r="X288" s="207">
        <v>88</v>
      </c>
      <c r="Y288" s="430">
        <f>W288-X288</f>
        <v>1.5999999999999943</v>
      </c>
      <c r="Z288" s="434">
        <f>Y288/X288</f>
        <v>1.8181818181818118E-2</v>
      </c>
      <c r="AA288" s="340">
        <v>-4.51</v>
      </c>
      <c r="AC288" s="24" t="s">
        <v>4577</v>
      </c>
      <c r="AD288" s="84">
        <v>44644</v>
      </c>
      <c r="AE288" s="311">
        <v>44644</v>
      </c>
      <c r="AF288" s="33">
        <f t="shared" si="178"/>
        <v>0</v>
      </c>
      <c r="AG288" s="402" t="s">
        <v>2406</v>
      </c>
      <c r="AH288" s="443"/>
      <c r="AI288" s="254"/>
      <c r="AJ288" s="392"/>
      <c r="AM288" s="245"/>
      <c r="AR288" s="402" t="str">
        <f>INDEX(基本資料!N:N,MATCH($G288,基本資料!A:A,0))</f>
        <v>中</v>
      </c>
    </row>
    <row r="289" spans="1:44">
      <c r="A289" s="343">
        <v>4.4000000000000004</v>
      </c>
      <c r="B289" s="92">
        <v>1610</v>
      </c>
      <c r="C289" s="92">
        <v>2987</v>
      </c>
      <c r="D289" s="80">
        <v>-2</v>
      </c>
      <c r="E289" s="79">
        <v>51</v>
      </c>
      <c r="F289" s="79">
        <v>31.91</v>
      </c>
      <c r="G289" s="79">
        <v>6485</v>
      </c>
      <c r="H289" s="344" t="s">
        <v>3038</v>
      </c>
      <c r="I289" s="16" t="s">
        <v>232</v>
      </c>
      <c r="J289" s="8" t="s">
        <v>4736</v>
      </c>
      <c r="L289" s="91"/>
      <c r="O289" s="359">
        <v>16</v>
      </c>
      <c r="P289" s="79">
        <v>124</v>
      </c>
      <c r="Q289" s="342">
        <v>805</v>
      </c>
      <c r="R289" s="81">
        <v>418</v>
      </c>
      <c r="S289" s="324">
        <v>8</v>
      </c>
      <c r="T289" s="384">
        <v>5</v>
      </c>
      <c r="U289" s="426">
        <f>T289/W289</f>
        <v>3.2786885245901641E-2</v>
      </c>
      <c r="V289" s="94">
        <v>12.29</v>
      </c>
      <c r="W289" s="39">
        <v>152.5</v>
      </c>
      <c r="X289" s="207">
        <v>150</v>
      </c>
      <c r="Y289" s="430">
        <f>W289-X289</f>
        <v>2.5</v>
      </c>
      <c r="Z289" s="434">
        <f>Y289/X289</f>
        <v>1.6666666666666666E-2</v>
      </c>
      <c r="AA289" s="340">
        <v>-20.94</v>
      </c>
      <c r="AC289" s="24" t="s">
        <v>232</v>
      </c>
      <c r="AD289" s="84">
        <v>44644</v>
      </c>
      <c r="AE289" s="311">
        <v>44644</v>
      </c>
      <c r="AF289" s="33">
        <f t="shared" si="178"/>
        <v>0</v>
      </c>
      <c r="AG289" s="402" t="s">
        <v>2364</v>
      </c>
      <c r="AH289" s="443"/>
      <c r="AI289" s="254"/>
      <c r="AJ289" s="392"/>
      <c r="AM289" s="245"/>
      <c r="AR289" s="402" t="str">
        <f>INDEX(基本資料!N:N,MATCH($G289,基本資料!A:A,0))</f>
        <v>低</v>
      </c>
    </row>
    <row r="290" spans="1:44">
      <c r="A290" s="343">
        <v>7.09</v>
      </c>
      <c r="B290" s="79">
        <v>89</v>
      </c>
      <c r="C290" s="79">
        <v>88</v>
      </c>
      <c r="D290" s="79">
        <v>1</v>
      </c>
      <c r="E290" s="79">
        <v>1</v>
      </c>
      <c r="F290" s="79">
        <v>17.809999999999999</v>
      </c>
      <c r="G290" s="80">
        <v>3661</v>
      </c>
      <c r="H290" s="403" t="s">
        <v>3038</v>
      </c>
      <c r="I290" s="22" t="s">
        <v>4051</v>
      </c>
      <c r="J290" s="8" t="s">
        <v>4736</v>
      </c>
      <c r="L290" s="91"/>
      <c r="O290" s="359">
        <v>450</v>
      </c>
      <c r="P290" s="79">
        <v>109</v>
      </c>
      <c r="Q290" s="342">
        <v>51</v>
      </c>
      <c r="R290" s="81">
        <v>6</v>
      </c>
      <c r="S290" s="324">
        <v>39</v>
      </c>
      <c r="T290" s="384">
        <v>10.59</v>
      </c>
      <c r="U290" s="426">
        <f t="shared" ref="U290" si="219">T290/W290</f>
        <v>1.0433497536945812E-2</v>
      </c>
      <c r="V290" s="94">
        <v>21.4</v>
      </c>
      <c r="W290" s="423">
        <v>1015</v>
      </c>
      <c r="X290" s="207">
        <v>999</v>
      </c>
      <c r="Y290" s="431">
        <f t="shared" ref="Y290" si="220">W290-X290</f>
        <v>16</v>
      </c>
      <c r="Z290" s="434">
        <f t="shared" ref="Z290" si="221">Y290/X290</f>
        <v>1.6016016016016016E-2</v>
      </c>
      <c r="AA290" s="340">
        <v>-26.79</v>
      </c>
      <c r="AC290" s="23" t="s">
        <v>4051</v>
      </c>
      <c r="AD290" s="84">
        <v>44643</v>
      </c>
      <c r="AE290" s="83">
        <v>44644</v>
      </c>
      <c r="AF290" s="33">
        <f t="shared" si="178"/>
        <v>1</v>
      </c>
      <c r="AG290" s="402" t="s">
        <v>3040</v>
      </c>
      <c r="AH290" s="443"/>
      <c r="AI290" s="254"/>
      <c r="AJ290" s="392"/>
      <c r="AM290" s="245"/>
      <c r="AR290" s="402" t="str">
        <f>INDEX(基本資料!N:N,MATCH($G290,基本資料!A:A,0))</f>
        <v>中</v>
      </c>
    </row>
    <row r="291" spans="1:44">
      <c r="A291" s="343">
        <v>10.7</v>
      </c>
      <c r="B291" s="79">
        <v>170</v>
      </c>
      <c r="C291" s="79">
        <v>170</v>
      </c>
      <c r="D291" s="79">
        <v>1</v>
      </c>
      <c r="E291" s="79">
        <v>41</v>
      </c>
      <c r="F291" s="79">
        <v>7.96</v>
      </c>
      <c r="G291" s="79">
        <v>4739</v>
      </c>
      <c r="H291" s="344" t="s">
        <v>3577</v>
      </c>
      <c r="I291" s="22" t="s">
        <v>3631</v>
      </c>
      <c r="J291" s="8" t="s">
        <v>4736</v>
      </c>
      <c r="L291" s="91"/>
      <c r="O291" s="359">
        <v>66</v>
      </c>
      <c r="P291" s="79" t="s">
        <v>6279</v>
      </c>
      <c r="Q291" s="342">
        <v>978</v>
      </c>
      <c r="R291" s="81">
        <v>110</v>
      </c>
      <c r="S291" s="324">
        <v>12</v>
      </c>
      <c r="T291" s="384">
        <v>3</v>
      </c>
      <c r="U291" s="426">
        <f t="shared" ref="U291" si="222">T291/W291</f>
        <v>1.8018018018018018E-2</v>
      </c>
      <c r="V291" s="94">
        <v>4.7</v>
      </c>
      <c r="W291" s="39">
        <v>166.5</v>
      </c>
      <c r="X291" s="207">
        <v>163.5</v>
      </c>
      <c r="Y291" s="430">
        <f t="shared" ref="Y291" si="223">W291-X291</f>
        <v>3</v>
      </c>
      <c r="Z291" s="434">
        <f t="shared" ref="Z291" si="224">Y291/X291</f>
        <v>1.834862385321101E-2</v>
      </c>
      <c r="AA291" s="340">
        <v>-7.65</v>
      </c>
      <c r="AC291" s="23" t="s">
        <v>3631</v>
      </c>
      <c r="AD291" s="84">
        <v>44634</v>
      </c>
      <c r="AE291" s="83">
        <v>44644</v>
      </c>
      <c r="AF291" s="33">
        <f t="shared" si="178"/>
        <v>10</v>
      </c>
      <c r="AG291" s="401" t="s">
        <v>2289</v>
      </c>
      <c r="AH291" s="443"/>
      <c r="AI291" s="254"/>
      <c r="AJ291" s="392"/>
      <c r="AM291" s="245"/>
      <c r="AR291" s="402" t="str">
        <f>INDEX(基本資料!N:N,MATCH($G291,基本資料!A:A,0))</f>
        <v>中</v>
      </c>
    </row>
    <row r="292" spans="1:44">
      <c r="A292" s="343">
        <v>3.34</v>
      </c>
      <c r="B292" s="79">
        <v>84</v>
      </c>
      <c r="C292" s="79">
        <v>110</v>
      </c>
      <c r="D292" s="79">
        <v>34</v>
      </c>
      <c r="E292" s="79">
        <v>33</v>
      </c>
      <c r="F292" s="79">
        <v>15</v>
      </c>
      <c r="G292" s="79">
        <v>6435</v>
      </c>
      <c r="H292" s="344" t="s">
        <v>3038</v>
      </c>
      <c r="I292" s="16" t="s">
        <v>4062</v>
      </c>
      <c r="J292" s="8" t="s">
        <v>4736</v>
      </c>
      <c r="L292" s="91"/>
      <c r="O292" s="359">
        <v>123</v>
      </c>
      <c r="P292" s="79">
        <v>114</v>
      </c>
      <c r="Q292" s="342">
        <v>950</v>
      </c>
      <c r="R292" s="81" t="s">
        <v>6279</v>
      </c>
      <c r="S292" s="324">
        <v>157</v>
      </c>
      <c r="T292" s="384">
        <v>5</v>
      </c>
      <c r="U292" s="426">
        <f>T292/W292</f>
        <v>3.1545741324921134E-2</v>
      </c>
      <c r="V292" s="94">
        <v>11.25</v>
      </c>
      <c r="W292" s="39">
        <v>158.5</v>
      </c>
      <c r="X292" s="207">
        <v>155</v>
      </c>
      <c r="Y292" s="430">
        <f>W292-X292</f>
        <v>3.5</v>
      </c>
      <c r="Z292" s="434">
        <f>Y292/X292</f>
        <v>2.2580645161290321E-2</v>
      </c>
      <c r="AA292" s="340">
        <v>-10.23</v>
      </c>
      <c r="AC292" s="24" t="s">
        <v>4062</v>
      </c>
      <c r="AD292" s="84">
        <v>44607</v>
      </c>
      <c r="AE292" s="83">
        <v>44643</v>
      </c>
      <c r="AF292" s="33">
        <f t="shared" si="178"/>
        <v>36</v>
      </c>
      <c r="AG292" s="402" t="s">
        <v>2174</v>
      </c>
      <c r="AH292" s="443"/>
      <c r="AI292" s="254"/>
      <c r="AJ292" s="392"/>
      <c r="AM292" s="245"/>
      <c r="AR292" s="402" t="str">
        <f>INDEX(基本資料!N:N,MATCH($G292,基本資料!A:A,0))</f>
        <v>中</v>
      </c>
    </row>
    <row r="293" spans="1:44">
      <c r="A293" s="343">
        <v>4.4400000000000004</v>
      </c>
      <c r="B293" s="79">
        <v>249</v>
      </c>
      <c r="C293" s="79">
        <v>154</v>
      </c>
      <c r="D293" s="80">
        <v>-15</v>
      </c>
      <c r="E293" s="79">
        <v>19</v>
      </c>
      <c r="F293" s="79">
        <v>16.510000000000002</v>
      </c>
      <c r="G293" s="79">
        <v>3675</v>
      </c>
      <c r="H293" s="96" t="s">
        <v>3038</v>
      </c>
      <c r="I293" s="16" t="s">
        <v>365</v>
      </c>
      <c r="J293" s="8" t="s">
        <v>4736</v>
      </c>
      <c r="L293" s="91"/>
      <c r="O293" s="359">
        <v>326</v>
      </c>
      <c r="P293" s="79">
        <v>365</v>
      </c>
      <c r="Q293" s="342">
        <v>69</v>
      </c>
      <c r="R293" s="81">
        <v>3</v>
      </c>
      <c r="S293" s="324">
        <v>22</v>
      </c>
      <c r="T293" s="384">
        <v>5</v>
      </c>
      <c r="U293" s="426">
        <f t="shared" ref="U293" si="225">T293/W293</f>
        <v>1.6977928692699491E-2</v>
      </c>
      <c r="V293" s="94">
        <v>7.36</v>
      </c>
      <c r="W293" s="39">
        <v>294.5</v>
      </c>
      <c r="X293" s="207">
        <v>288.5</v>
      </c>
      <c r="Y293" s="430">
        <f t="shared" ref="Y293" si="226">W293-X293</f>
        <v>6</v>
      </c>
      <c r="Z293" s="434">
        <f t="shared" ref="Z293" si="227">Y293/X293</f>
        <v>2.0797227036395149E-2</v>
      </c>
      <c r="AA293" s="340">
        <v>-10.16</v>
      </c>
      <c r="AC293" s="24" t="s">
        <v>365</v>
      </c>
      <c r="AD293" s="84">
        <v>44638</v>
      </c>
      <c r="AE293" s="83">
        <v>44643</v>
      </c>
      <c r="AF293" s="33">
        <f t="shared" si="178"/>
        <v>5</v>
      </c>
      <c r="AG293" s="402" t="s">
        <v>2939</v>
      </c>
      <c r="AH293" s="443"/>
      <c r="AI293" s="254"/>
      <c r="AJ293" s="392"/>
      <c r="AM293" s="245"/>
      <c r="AR293" s="402" t="str">
        <f>INDEX(基本資料!N:N,MATCH($G293,基本資料!A:A,0))</f>
        <v>高</v>
      </c>
    </row>
    <row r="294" spans="1:44">
      <c r="A294" s="343">
        <v>8.33</v>
      </c>
      <c r="B294" s="79">
        <v>119</v>
      </c>
      <c r="C294" s="79">
        <v>111</v>
      </c>
      <c r="D294" s="79">
        <v>30</v>
      </c>
      <c r="E294" s="79">
        <v>43</v>
      </c>
      <c r="F294" s="79">
        <v>24.41</v>
      </c>
      <c r="G294" s="79">
        <v>6187</v>
      </c>
      <c r="H294" s="403" t="s">
        <v>3353</v>
      </c>
      <c r="I294" s="16" t="s">
        <v>4686</v>
      </c>
      <c r="J294" s="8" t="s">
        <v>4742</v>
      </c>
      <c r="L294" s="91"/>
      <c r="O294" s="359">
        <v>204</v>
      </c>
      <c r="P294" s="79">
        <v>46</v>
      </c>
      <c r="Q294" s="342">
        <v>1096</v>
      </c>
      <c r="R294" s="81">
        <v>4</v>
      </c>
      <c r="S294" s="324">
        <v>92</v>
      </c>
      <c r="T294" s="384">
        <v>4.5</v>
      </c>
      <c r="U294" s="426">
        <f>T294/W294</f>
        <v>3.0612244897959183E-2</v>
      </c>
      <c r="V294" s="94">
        <v>6.37</v>
      </c>
      <c r="W294" s="39">
        <v>147</v>
      </c>
      <c r="X294" s="207">
        <v>144</v>
      </c>
      <c r="Y294" s="430">
        <f>W294-X294</f>
        <v>3</v>
      </c>
      <c r="Z294" s="434">
        <f>Y294/X294</f>
        <v>2.0833333333333332E-2</v>
      </c>
      <c r="AA294" s="340">
        <v>-13.31</v>
      </c>
      <c r="AC294" s="24" t="s">
        <v>4686</v>
      </c>
      <c r="AD294" s="84">
        <v>44638</v>
      </c>
      <c r="AE294" s="83">
        <v>44643</v>
      </c>
      <c r="AF294" s="33">
        <f t="shared" si="178"/>
        <v>5</v>
      </c>
      <c r="AG294" s="402" t="s">
        <v>2308</v>
      </c>
      <c r="AH294" s="443"/>
      <c r="AI294" s="254"/>
      <c r="AJ294" s="392"/>
      <c r="AM294" s="245"/>
      <c r="AR294" s="402" t="str">
        <f>INDEX(基本資料!N:N,MATCH($G294,基本資料!A:A,0))</f>
        <v>低</v>
      </c>
    </row>
    <row r="295" spans="1:44">
      <c r="A295" s="343">
        <v>4.5599999999999996</v>
      </c>
      <c r="B295" s="79">
        <v>23</v>
      </c>
      <c r="C295" s="80">
        <v>-4</v>
      </c>
      <c r="D295" s="80">
        <v>-21</v>
      </c>
      <c r="E295" s="79">
        <v>52</v>
      </c>
      <c r="F295" s="79">
        <v>16.68</v>
      </c>
      <c r="G295" s="79">
        <v>8091</v>
      </c>
      <c r="H295" s="132" t="s">
        <v>308</v>
      </c>
      <c r="I295" s="16" t="s">
        <v>162</v>
      </c>
      <c r="J295" s="8" t="s">
        <v>4736</v>
      </c>
      <c r="L295" s="91"/>
      <c r="O295" s="359">
        <v>383</v>
      </c>
      <c r="P295" s="79">
        <v>103</v>
      </c>
      <c r="Q295" s="342">
        <v>802</v>
      </c>
      <c r="R295" s="81">
        <v>268</v>
      </c>
      <c r="S295" s="324">
        <v>344</v>
      </c>
      <c r="T295" s="384">
        <v>4</v>
      </c>
      <c r="U295" s="426">
        <f>T295/W295</f>
        <v>4.1152263374485597E-2</v>
      </c>
      <c r="V295" s="94">
        <v>5.91</v>
      </c>
      <c r="W295" s="39">
        <v>97.2</v>
      </c>
      <c r="X295" s="207">
        <v>95.2</v>
      </c>
      <c r="Y295" s="430">
        <f>W295-X295</f>
        <v>2</v>
      </c>
      <c r="Z295" s="434">
        <f>Y295/X295</f>
        <v>2.1008403361344536E-2</v>
      </c>
      <c r="AA295" s="340">
        <v>-2.88</v>
      </c>
      <c r="AC295" s="24" t="s">
        <v>162</v>
      </c>
      <c r="AD295" s="84">
        <v>44643</v>
      </c>
      <c r="AE295" s="311">
        <v>44643</v>
      </c>
      <c r="AF295" s="33">
        <f t="shared" si="178"/>
        <v>0</v>
      </c>
      <c r="AG295" s="401" t="s">
        <v>2427</v>
      </c>
      <c r="AH295" s="443"/>
      <c r="AI295" s="254"/>
      <c r="AJ295" s="392"/>
      <c r="AM295" s="245"/>
      <c r="AR295" s="402" t="str">
        <f>INDEX(基本資料!N:N,MATCH($G295,基本資料!A:A,0))</f>
        <v>高</v>
      </c>
    </row>
    <row r="296" spans="1:44">
      <c r="A296" s="343">
        <v>9.15</v>
      </c>
      <c r="B296" s="79">
        <v>164</v>
      </c>
      <c r="C296" s="79">
        <v>92</v>
      </c>
      <c r="D296" s="80">
        <v>-9</v>
      </c>
      <c r="E296" s="79">
        <v>14</v>
      </c>
      <c r="F296" s="79">
        <v>11.14</v>
      </c>
      <c r="G296" s="79">
        <v>8255</v>
      </c>
      <c r="H296" s="344" t="s">
        <v>295</v>
      </c>
      <c r="I296" s="16" t="s">
        <v>3596</v>
      </c>
      <c r="J296" s="8" t="s">
        <v>4742</v>
      </c>
      <c r="L296" s="91"/>
      <c r="O296" s="359">
        <v>321</v>
      </c>
      <c r="P296" s="79">
        <v>300</v>
      </c>
      <c r="Q296" s="342">
        <v>590</v>
      </c>
      <c r="R296" s="81">
        <v>84</v>
      </c>
      <c r="S296" s="324">
        <v>32</v>
      </c>
      <c r="T296" s="384">
        <v>4</v>
      </c>
      <c r="U296" s="426">
        <f>T296/W296</f>
        <v>1.6064257028112448E-2</v>
      </c>
      <c r="V296" s="94">
        <v>5.25</v>
      </c>
      <c r="W296" s="39">
        <v>249</v>
      </c>
      <c r="X296" s="207">
        <v>245</v>
      </c>
      <c r="Y296" s="430">
        <f>W296-X296</f>
        <v>4</v>
      </c>
      <c r="Z296" s="434">
        <f>Y296/X296</f>
        <v>1.6326530612244899E-2</v>
      </c>
      <c r="AA296" s="340">
        <v>-18.86</v>
      </c>
      <c r="AC296" s="24" t="s">
        <v>3596</v>
      </c>
      <c r="AD296" s="84">
        <v>44641</v>
      </c>
      <c r="AE296" s="83">
        <v>44642</v>
      </c>
      <c r="AF296" s="33">
        <f t="shared" si="178"/>
        <v>1</v>
      </c>
      <c r="AG296" s="401" t="s">
        <v>2340</v>
      </c>
      <c r="AH296" s="443"/>
      <c r="AI296" s="254"/>
      <c r="AJ296" s="392"/>
      <c r="AM296" s="245"/>
      <c r="AR296" s="402" t="str">
        <f>INDEX(基本資料!N:N,MATCH($G296,基本資料!A:A,0))</f>
        <v>低</v>
      </c>
    </row>
    <row r="297" spans="1:44">
      <c r="A297" s="343">
        <v>28.6</v>
      </c>
      <c r="B297" s="79">
        <v>364</v>
      </c>
      <c r="C297" s="79">
        <v>408</v>
      </c>
      <c r="D297" s="80">
        <v>-7</v>
      </c>
      <c r="E297" s="79">
        <v>9</v>
      </c>
      <c r="F297" s="79">
        <v>24.64</v>
      </c>
      <c r="G297" s="79">
        <v>3006</v>
      </c>
      <c r="H297" s="344" t="s">
        <v>3038</v>
      </c>
      <c r="I297" s="22" t="s">
        <v>95</v>
      </c>
      <c r="J297" s="8" t="s">
        <v>4742</v>
      </c>
      <c r="L297" s="91"/>
      <c r="O297" s="359">
        <v>26</v>
      </c>
      <c r="P297" s="79">
        <v>1054</v>
      </c>
      <c r="Q297" s="342">
        <v>380</v>
      </c>
      <c r="R297" s="81">
        <v>172</v>
      </c>
      <c r="S297" s="324">
        <v>14</v>
      </c>
      <c r="T297" s="384">
        <v>8</v>
      </c>
      <c r="U297" s="426">
        <f t="shared" ref="U297" si="228">T297/W297</f>
        <v>4.4444444444444446E-2</v>
      </c>
      <c r="V297" s="94">
        <v>17.760000000000002</v>
      </c>
      <c r="W297" s="39">
        <v>180</v>
      </c>
      <c r="X297" s="207">
        <v>175.5</v>
      </c>
      <c r="Y297" s="430">
        <f t="shared" ref="Y297" si="229">W297-X297</f>
        <v>4.5</v>
      </c>
      <c r="Z297" s="434">
        <f t="shared" ref="Z297" si="230">Y297/X297</f>
        <v>2.564102564102564E-2</v>
      </c>
      <c r="AA297" s="340">
        <v>-18.309999999999999</v>
      </c>
      <c r="AC297" s="23" t="s">
        <v>95</v>
      </c>
      <c r="AD297" s="84">
        <v>44638</v>
      </c>
      <c r="AE297" s="83">
        <v>44641</v>
      </c>
      <c r="AF297" s="33">
        <f t="shared" si="178"/>
        <v>3</v>
      </c>
      <c r="AG297" s="401" t="s">
        <v>2128</v>
      </c>
      <c r="AH297" s="443"/>
      <c r="AI297" s="254"/>
      <c r="AJ297" s="392"/>
      <c r="AM297" s="245"/>
      <c r="AR297" s="402" t="str">
        <f>INDEX(基本資料!N:N,MATCH($G297,基本資料!A:A,0))</f>
        <v>低</v>
      </c>
    </row>
    <row r="298" spans="1:44">
      <c r="A298" s="343">
        <v>8.1300000000000008</v>
      </c>
      <c r="B298" s="79">
        <v>231</v>
      </c>
      <c r="C298" s="79">
        <v>245</v>
      </c>
      <c r="D298" s="80">
        <v>-6</v>
      </c>
      <c r="E298" s="79">
        <v>28</v>
      </c>
      <c r="F298" s="79">
        <v>19.72</v>
      </c>
      <c r="G298" s="79">
        <v>8261</v>
      </c>
      <c r="H298" s="344" t="s">
        <v>3038</v>
      </c>
      <c r="I298" s="22" t="s">
        <v>322</v>
      </c>
      <c r="J298" s="8" t="s">
        <v>4736</v>
      </c>
      <c r="L298" s="91"/>
      <c r="O298" s="359">
        <v>40</v>
      </c>
      <c r="P298" s="79">
        <v>114</v>
      </c>
      <c r="Q298" s="342">
        <v>407</v>
      </c>
      <c r="R298" s="81">
        <v>491</v>
      </c>
      <c r="S298" s="324">
        <v>25</v>
      </c>
      <c r="T298" s="384">
        <v>6</v>
      </c>
      <c r="U298" s="426">
        <f>T298/W298</f>
        <v>5.2173913043478258E-2</v>
      </c>
      <c r="V298" s="94">
        <v>8.0299999999999994</v>
      </c>
      <c r="W298" s="39">
        <v>115</v>
      </c>
      <c r="X298" s="207">
        <v>111.5</v>
      </c>
      <c r="Y298" s="430">
        <f>W298-X298</f>
        <v>3.5</v>
      </c>
      <c r="Z298" s="434">
        <f>Y298/X298</f>
        <v>3.1390134529147982E-2</v>
      </c>
      <c r="AA298" s="340">
        <v>-18.25</v>
      </c>
      <c r="AC298" s="23" t="s">
        <v>322</v>
      </c>
      <c r="AD298" s="84">
        <v>44638</v>
      </c>
      <c r="AE298" s="83">
        <v>44641</v>
      </c>
      <c r="AF298" s="33">
        <f t="shared" si="178"/>
        <v>3</v>
      </c>
      <c r="AG298" s="402" t="s">
        <v>2175</v>
      </c>
      <c r="AH298" s="443"/>
      <c r="AI298" s="254"/>
      <c r="AJ298" s="392"/>
      <c r="AM298" s="245"/>
      <c r="AR298" s="402" t="str">
        <f>INDEX(基本資料!N:N,MATCH($G298,基本資料!A:A,0))</f>
        <v>中</v>
      </c>
    </row>
    <row r="299" spans="1:44">
      <c r="A299" s="343">
        <v>9.15</v>
      </c>
      <c r="B299" s="79">
        <v>164</v>
      </c>
      <c r="C299" s="79">
        <v>92</v>
      </c>
      <c r="D299" s="80">
        <v>-9</v>
      </c>
      <c r="E299" s="79">
        <v>14</v>
      </c>
      <c r="F299" s="79">
        <v>11.14</v>
      </c>
      <c r="G299" s="79">
        <v>8255</v>
      </c>
      <c r="H299" s="344" t="s">
        <v>295</v>
      </c>
      <c r="I299" s="16" t="s">
        <v>3596</v>
      </c>
      <c r="J299" s="8" t="s">
        <v>4736</v>
      </c>
      <c r="L299" s="91"/>
      <c r="O299" s="359">
        <v>321</v>
      </c>
      <c r="P299" s="79">
        <v>300</v>
      </c>
      <c r="Q299" s="342">
        <v>590</v>
      </c>
      <c r="R299" s="81">
        <v>84</v>
      </c>
      <c r="S299" s="324">
        <v>32</v>
      </c>
      <c r="T299" s="384">
        <v>4</v>
      </c>
      <c r="U299" s="426">
        <f>T299/W299</f>
        <v>1.6427104722792608E-2</v>
      </c>
      <c r="V299" s="94">
        <v>3.09</v>
      </c>
      <c r="W299" s="39">
        <v>243.5</v>
      </c>
      <c r="X299" s="207">
        <v>233.5</v>
      </c>
      <c r="Y299" s="430">
        <f>W299-X299</f>
        <v>10</v>
      </c>
      <c r="Z299" s="434">
        <f>Y299/X299</f>
        <v>4.2826552462526764E-2</v>
      </c>
      <c r="AA299" s="340">
        <v>-22.39</v>
      </c>
      <c r="AC299" s="24" t="s">
        <v>3596</v>
      </c>
      <c r="AD299" s="84">
        <v>44638</v>
      </c>
      <c r="AE299" s="83">
        <v>44641</v>
      </c>
      <c r="AF299" s="33">
        <f t="shared" si="178"/>
        <v>3</v>
      </c>
      <c r="AG299" s="401" t="s">
        <v>2340</v>
      </c>
      <c r="AH299" s="443"/>
      <c r="AI299" s="254"/>
      <c r="AJ299" s="392"/>
      <c r="AM299" s="245"/>
      <c r="AR299" s="402" t="str">
        <f>INDEX(基本資料!N:N,MATCH($G299,基本資料!A:A,0))</f>
        <v>低</v>
      </c>
    </row>
    <row r="300" spans="1:44">
      <c r="A300" s="343">
        <v>7.11</v>
      </c>
      <c r="B300" s="79">
        <v>71</v>
      </c>
      <c r="C300" s="79">
        <v>65</v>
      </c>
      <c r="D300" s="80">
        <v>-20</v>
      </c>
      <c r="E300" s="79">
        <v>30</v>
      </c>
      <c r="F300" s="79">
        <v>16.79</v>
      </c>
      <c r="G300" s="79">
        <v>6438</v>
      </c>
      <c r="H300" s="344" t="s">
        <v>314</v>
      </c>
      <c r="I300" s="22" t="s">
        <v>484</v>
      </c>
      <c r="J300" s="8" t="s">
        <v>4736</v>
      </c>
      <c r="L300" s="407"/>
      <c r="O300" s="359">
        <v>124</v>
      </c>
      <c r="P300" s="79">
        <v>480</v>
      </c>
      <c r="Q300" s="342">
        <v>389</v>
      </c>
      <c r="R300" s="81">
        <v>42</v>
      </c>
      <c r="S300" s="324">
        <v>92</v>
      </c>
      <c r="T300" s="384">
        <v>6.5</v>
      </c>
      <c r="U300" s="426">
        <f>T300/W300</f>
        <v>5.078125E-2</v>
      </c>
      <c r="V300" s="94">
        <v>10.36</v>
      </c>
      <c r="W300" s="39">
        <v>128</v>
      </c>
      <c r="X300" s="207">
        <v>123</v>
      </c>
      <c r="Y300" s="430">
        <f>W300-X300</f>
        <v>5</v>
      </c>
      <c r="Z300" s="434">
        <f>Y300/X300</f>
        <v>4.065040650406504E-2</v>
      </c>
      <c r="AA300" s="340">
        <v>-7.58</v>
      </c>
      <c r="AC300" s="23" t="s">
        <v>484</v>
      </c>
      <c r="AD300" s="84">
        <v>44638</v>
      </c>
      <c r="AE300" s="83">
        <v>44641</v>
      </c>
      <c r="AF300" s="33">
        <f t="shared" si="178"/>
        <v>3</v>
      </c>
      <c r="AG300" s="402" t="s">
        <v>2308</v>
      </c>
      <c r="AH300" s="443"/>
      <c r="AI300" s="254"/>
      <c r="AJ300" s="392"/>
      <c r="AM300" s="245"/>
      <c r="AR300" s="402" t="str">
        <f>INDEX(基本資料!N:N,MATCH($G300,基本資料!A:A,0))</f>
        <v>中</v>
      </c>
    </row>
    <row r="301" spans="1:44">
      <c r="A301" s="343">
        <v>3.42</v>
      </c>
      <c r="B301" s="80">
        <v>-39</v>
      </c>
      <c r="C301" s="80">
        <v>-40</v>
      </c>
      <c r="D301" s="79">
        <v>-26</v>
      </c>
      <c r="E301" s="79">
        <v>60</v>
      </c>
      <c r="F301" s="79">
        <v>16.149999999999999</v>
      </c>
      <c r="G301" s="79">
        <v>6515</v>
      </c>
      <c r="H301" s="344" t="s">
        <v>3038</v>
      </c>
      <c r="I301" s="22" t="s">
        <v>2263</v>
      </c>
      <c r="J301" s="8" t="s">
        <v>4742</v>
      </c>
      <c r="L301" s="91"/>
      <c r="O301" s="359">
        <v>744</v>
      </c>
      <c r="P301" s="79" t="s">
        <v>6279</v>
      </c>
      <c r="Q301" s="342">
        <v>592</v>
      </c>
      <c r="R301" s="81">
        <v>29</v>
      </c>
      <c r="S301" s="324">
        <v>114</v>
      </c>
      <c r="T301" s="384">
        <v>11</v>
      </c>
      <c r="U301" s="426">
        <f t="shared" ref="U301" si="231">T301/W301</f>
        <v>2.430939226519337E-2</v>
      </c>
      <c r="V301" s="94">
        <v>11.24</v>
      </c>
      <c r="W301" s="39">
        <v>452.5</v>
      </c>
      <c r="X301" s="207">
        <v>431</v>
      </c>
      <c r="Y301" s="430">
        <f t="shared" ref="Y301" si="232">W301-X301</f>
        <v>21.5</v>
      </c>
      <c r="Z301" s="434">
        <f t="shared" ref="Z301" si="233">Y301/X301</f>
        <v>4.9883990719257539E-2</v>
      </c>
      <c r="AA301" s="340">
        <v>-3.46</v>
      </c>
      <c r="AC301" s="23" t="s">
        <v>2263</v>
      </c>
      <c r="AD301" s="84">
        <v>44638</v>
      </c>
      <c r="AE301" s="83">
        <v>44641</v>
      </c>
      <c r="AF301" s="33">
        <f t="shared" si="178"/>
        <v>3</v>
      </c>
      <c r="AG301" s="401" t="s">
        <v>2265</v>
      </c>
      <c r="AH301" s="443"/>
      <c r="AI301" s="254"/>
      <c r="AJ301" s="392"/>
      <c r="AM301" s="245"/>
      <c r="AR301" s="402" t="str">
        <f>INDEX(基本資料!N:N,MATCH($G301,基本資料!A:A,0))</f>
        <v>中</v>
      </c>
    </row>
    <row r="302" spans="1:44">
      <c r="A302" s="343">
        <v>7.11</v>
      </c>
      <c r="B302" s="79">
        <v>71</v>
      </c>
      <c r="C302" s="79">
        <v>65</v>
      </c>
      <c r="D302" s="80">
        <v>-20</v>
      </c>
      <c r="E302" s="79">
        <v>30</v>
      </c>
      <c r="F302" s="79">
        <v>16.79</v>
      </c>
      <c r="G302" s="79">
        <v>6438</v>
      </c>
      <c r="H302" s="344" t="s">
        <v>314</v>
      </c>
      <c r="I302" s="22" t="s">
        <v>484</v>
      </c>
      <c r="J302" s="8" t="s">
        <v>4736</v>
      </c>
      <c r="L302" s="407"/>
      <c r="O302" s="359">
        <v>124</v>
      </c>
      <c r="P302" s="79">
        <v>480</v>
      </c>
      <c r="Q302" s="342">
        <v>389</v>
      </c>
      <c r="R302" s="81">
        <v>42</v>
      </c>
      <c r="S302" s="324">
        <v>92</v>
      </c>
      <c r="T302" s="384">
        <v>6.5</v>
      </c>
      <c r="U302" s="426">
        <f>T302/W302</f>
        <v>4.924242424242424E-2</v>
      </c>
      <c r="V302" s="94">
        <v>10.36</v>
      </c>
      <c r="W302" s="39">
        <v>132</v>
      </c>
      <c r="X302" s="207">
        <v>129.5</v>
      </c>
      <c r="Y302" s="430">
        <f>W302-X302</f>
        <v>2.5</v>
      </c>
      <c r="Z302" s="434">
        <f>Y302/X302</f>
        <v>1.9305019305019305E-2</v>
      </c>
      <c r="AA302" s="340">
        <v>-5.3</v>
      </c>
      <c r="AC302" s="23" t="s">
        <v>484</v>
      </c>
      <c r="AD302" s="84">
        <v>44641</v>
      </c>
      <c r="AE302" s="311">
        <v>44641</v>
      </c>
      <c r="AF302" s="33">
        <f t="shared" si="178"/>
        <v>0</v>
      </c>
      <c r="AG302" s="402" t="s">
        <v>2308</v>
      </c>
      <c r="AH302" s="443"/>
      <c r="AI302" s="254"/>
      <c r="AJ302" s="392"/>
      <c r="AM302" s="245"/>
      <c r="AR302" s="402" t="str">
        <f>INDEX(基本資料!N:N,MATCH($G302,基本資料!A:A,0))</f>
        <v>中</v>
      </c>
    </row>
    <row r="303" spans="1:44">
      <c r="A303" s="343">
        <v>11.7</v>
      </c>
      <c r="B303" s="79">
        <v>179</v>
      </c>
      <c r="C303" s="79">
        <v>203</v>
      </c>
      <c r="D303" s="80">
        <v>-19</v>
      </c>
      <c r="E303" s="79">
        <v>49</v>
      </c>
      <c r="F303" s="79">
        <v>19.670000000000002</v>
      </c>
      <c r="G303" s="79">
        <v>3624</v>
      </c>
      <c r="H303" s="344" t="s">
        <v>308</v>
      </c>
      <c r="I303" s="16" t="s">
        <v>4577</v>
      </c>
      <c r="J303" s="8" t="s">
        <v>4742</v>
      </c>
      <c r="L303" s="91"/>
      <c r="O303" s="359">
        <v>205</v>
      </c>
      <c r="P303" s="79">
        <v>176</v>
      </c>
      <c r="Q303" s="342">
        <v>97</v>
      </c>
      <c r="R303" s="81">
        <v>9</v>
      </c>
      <c r="S303" s="324">
        <v>24</v>
      </c>
      <c r="T303" s="384">
        <v>2.2000000000000002</v>
      </c>
      <c r="U303" s="426">
        <f>T303/W303</f>
        <v>2.5056947608200458E-2</v>
      </c>
      <c r="V303" s="94">
        <v>4.04</v>
      </c>
      <c r="W303" s="39">
        <v>87.8</v>
      </c>
      <c r="X303" s="207">
        <v>86.2</v>
      </c>
      <c r="Y303" s="430">
        <f>W303-X303</f>
        <v>1.5999999999999943</v>
      </c>
      <c r="Z303" s="434">
        <f>Y303/X303</f>
        <v>1.8561484918793437E-2</v>
      </c>
      <c r="AA303" s="340">
        <v>-9.8699999999999992</v>
      </c>
      <c r="AC303" s="24" t="s">
        <v>4577</v>
      </c>
      <c r="AD303" s="84">
        <v>44641</v>
      </c>
      <c r="AE303" s="311">
        <v>44641</v>
      </c>
      <c r="AF303" s="33">
        <f t="shared" si="178"/>
        <v>0</v>
      </c>
      <c r="AG303" s="402" t="s">
        <v>2406</v>
      </c>
      <c r="AH303" s="443"/>
      <c r="AI303" s="254"/>
      <c r="AJ303" s="392"/>
      <c r="AM303" s="245"/>
      <c r="AR303" s="402" t="str">
        <f>INDEX(基本資料!N:N,MATCH($G303,基本資料!A:A,0))</f>
        <v>中</v>
      </c>
    </row>
    <row r="304" spans="1:44">
      <c r="A304" s="343">
        <v>6.22</v>
      </c>
      <c r="B304" s="79">
        <v>64</v>
      </c>
      <c r="C304" s="79">
        <v>6</v>
      </c>
      <c r="D304" s="80">
        <v>-13</v>
      </c>
      <c r="E304" s="79">
        <v>7</v>
      </c>
      <c r="F304" s="79">
        <v>11.41</v>
      </c>
      <c r="G304" s="80">
        <v>3491</v>
      </c>
      <c r="H304" s="403" t="s">
        <v>311</v>
      </c>
      <c r="I304" s="16" t="s">
        <v>4367</v>
      </c>
      <c r="J304" s="8" t="s">
        <v>4736</v>
      </c>
      <c r="L304" s="91"/>
      <c r="O304" s="359">
        <v>104</v>
      </c>
      <c r="P304" s="79">
        <v>224</v>
      </c>
      <c r="Q304" s="342">
        <v>419</v>
      </c>
      <c r="R304" s="81">
        <v>96</v>
      </c>
      <c r="S304" s="324">
        <v>16</v>
      </c>
      <c r="T304" s="384">
        <v>2.5</v>
      </c>
      <c r="U304" s="426">
        <f>T304/W304</f>
        <v>1.4326647564469915E-2</v>
      </c>
      <c r="V304" s="94">
        <v>3.19</v>
      </c>
      <c r="W304" s="39">
        <v>174.5</v>
      </c>
      <c r="X304" s="207">
        <v>171.5</v>
      </c>
      <c r="Y304" s="430">
        <f>W304-X304</f>
        <v>3</v>
      </c>
      <c r="Z304" s="434">
        <f>Y304/X304</f>
        <v>1.7492711370262391E-2</v>
      </c>
      <c r="AA304" s="340">
        <v>-26.64</v>
      </c>
      <c r="AC304" s="24" t="s">
        <v>4367</v>
      </c>
      <c r="AD304" s="84">
        <v>44602</v>
      </c>
      <c r="AE304" s="83">
        <v>44641</v>
      </c>
      <c r="AF304" s="33">
        <f t="shared" si="178"/>
        <v>39</v>
      </c>
      <c r="AG304" s="401" t="s">
        <v>4368</v>
      </c>
      <c r="AH304" s="443"/>
      <c r="AI304" s="254"/>
      <c r="AJ304" s="392"/>
      <c r="AM304" s="245"/>
      <c r="AR304" s="402" t="str">
        <f>INDEX(基本資料!N:N,MATCH($G304,基本資料!A:A,0))</f>
        <v>中</v>
      </c>
    </row>
    <row r="305" spans="1:44">
      <c r="A305" s="343">
        <v>24.8</v>
      </c>
      <c r="B305" s="79">
        <v>403</v>
      </c>
      <c r="C305" s="79">
        <v>840</v>
      </c>
      <c r="D305" s="80">
        <v>-1</v>
      </c>
      <c r="E305" s="79">
        <v>122</v>
      </c>
      <c r="F305" s="79">
        <v>17.34</v>
      </c>
      <c r="G305" s="79">
        <v>3035</v>
      </c>
      <c r="H305" s="403" t="s">
        <v>3038</v>
      </c>
      <c r="I305" s="22" t="s">
        <v>1825</v>
      </c>
      <c r="J305" s="8" t="s">
        <v>4736</v>
      </c>
      <c r="L305" s="91"/>
      <c r="O305" s="359">
        <v>333</v>
      </c>
      <c r="P305" s="79">
        <v>75</v>
      </c>
      <c r="Q305" s="342">
        <v>190</v>
      </c>
      <c r="R305" s="81">
        <v>1</v>
      </c>
      <c r="S305" s="324">
        <v>3</v>
      </c>
      <c r="T305" s="384">
        <v>3.3</v>
      </c>
      <c r="U305" s="426">
        <f>T305/W305</f>
        <v>1.1764705882352941E-2</v>
      </c>
      <c r="V305" s="94">
        <v>2.82</v>
      </c>
      <c r="W305" s="39">
        <v>280.5</v>
      </c>
      <c r="X305" s="207">
        <v>275.5</v>
      </c>
      <c r="Y305" s="430">
        <f>W305-X305</f>
        <v>5</v>
      </c>
      <c r="Z305" s="434">
        <f>Y305/X305</f>
        <v>1.8148820326678767E-2</v>
      </c>
      <c r="AA305" s="340">
        <v>-16.16</v>
      </c>
      <c r="AC305" s="23" t="s">
        <v>1825</v>
      </c>
      <c r="AD305" s="84">
        <v>44638</v>
      </c>
      <c r="AE305" s="83">
        <v>44641</v>
      </c>
      <c r="AF305" s="33">
        <f t="shared" si="178"/>
        <v>3</v>
      </c>
      <c r="AG305" s="401" t="s">
        <v>2314</v>
      </c>
      <c r="AH305" s="443"/>
      <c r="AI305" s="254"/>
      <c r="AJ305" s="392"/>
      <c r="AM305" s="245"/>
      <c r="AR305" s="402" t="str">
        <f>INDEX(基本資料!N:N,MATCH($G305,基本資料!A:A,0))</f>
        <v>高</v>
      </c>
    </row>
    <row r="306" spans="1:44">
      <c r="A306" s="343">
        <v>9.0299999999999994</v>
      </c>
      <c r="B306" s="79">
        <v>23</v>
      </c>
      <c r="C306" s="79">
        <v>31</v>
      </c>
      <c r="D306" s="80">
        <v>-10</v>
      </c>
      <c r="E306" s="79">
        <v>160</v>
      </c>
      <c r="F306" s="79">
        <v>18.86</v>
      </c>
      <c r="G306" s="79">
        <v>6104</v>
      </c>
      <c r="H306" s="132" t="s">
        <v>3038</v>
      </c>
      <c r="I306" s="16" t="s">
        <v>372</v>
      </c>
      <c r="J306" s="8" t="s">
        <v>4742</v>
      </c>
      <c r="L306" s="91"/>
      <c r="O306" s="359">
        <v>20</v>
      </c>
      <c r="P306" s="79">
        <v>122</v>
      </c>
      <c r="Q306" s="342">
        <v>571</v>
      </c>
      <c r="R306" s="81">
        <v>14</v>
      </c>
      <c r="S306" s="324">
        <v>2</v>
      </c>
      <c r="T306" s="384">
        <v>4.5</v>
      </c>
      <c r="U306" s="426">
        <f>T306/W306</f>
        <v>1.4975041597337771E-2</v>
      </c>
      <c r="V306" s="94">
        <v>6.41</v>
      </c>
      <c r="W306" s="39">
        <v>300.5</v>
      </c>
      <c r="X306" s="207">
        <v>295</v>
      </c>
      <c r="Y306" s="430">
        <f>W306-X306</f>
        <v>5.5</v>
      </c>
      <c r="Z306" s="434">
        <f>Y306/X306</f>
        <v>1.864406779661017E-2</v>
      </c>
      <c r="AA306" s="340">
        <v>-3.5</v>
      </c>
      <c r="AC306" s="24" t="s">
        <v>372</v>
      </c>
      <c r="AD306" s="84">
        <v>44634</v>
      </c>
      <c r="AE306" s="83">
        <v>44641</v>
      </c>
      <c r="AF306" s="33">
        <f t="shared" si="178"/>
        <v>7</v>
      </c>
      <c r="AG306" s="402" t="s">
        <v>3045</v>
      </c>
      <c r="AH306" s="443"/>
      <c r="AI306" s="254"/>
      <c r="AJ306" s="288"/>
      <c r="AM306" s="245"/>
      <c r="AR306" s="402" t="str">
        <f>INDEX(基本資料!N:N,MATCH($G306,基本資料!A:A,0))</f>
        <v>中</v>
      </c>
    </row>
    <row r="307" spans="1:44">
      <c r="A307" s="343">
        <v>11.7</v>
      </c>
      <c r="B307" s="79">
        <v>179</v>
      </c>
      <c r="C307" s="79">
        <v>203</v>
      </c>
      <c r="D307" s="80">
        <v>-19</v>
      </c>
      <c r="E307" s="79">
        <v>49</v>
      </c>
      <c r="F307" s="79">
        <v>19.670000000000002</v>
      </c>
      <c r="G307" s="80">
        <v>3624</v>
      </c>
      <c r="H307" s="403" t="s">
        <v>3388</v>
      </c>
      <c r="I307" s="16" t="s">
        <v>4577</v>
      </c>
      <c r="J307" s="8" t="s">
        <v>4736</v>
      </c>
      <c r="L307" s="91"/>
      <c r="O307" s="359">
        <v>205</v>
      </c>
      <c r="P307" s="79">
        <v>176</v>
      </c>
      <c r="Q307" s="342">
        <v>97</v>
      </c>
      <c r="R307" s="81">
        <v>9</v>
      </c>
      <c r="S307" s="324">
        <v>24</v>
      </c>
      <c r="T307" s="384">
        <v>2.2000000000000002</v>
      </c>
      <c r="U307" s="426">
        <f t="shared" ref="U307" si="234">T307/W307</f>
        <v>2.802547770700637E-2</v>
      </c>
      <c r="V307" s="94">
        <v>4.04</v>
      </c>
      <c r="W307" s="39">
        <v>78.5</v>
      </c>
      <c r="X307" s="207">
        <v>76.099999999999994</v>
      </c>
      <c r="Y307" s="430">
        <f t="shared" ref="Y307" si="235">W307-X307</f>
        <v>2.4000000000000057</v>
      </c>
      <c r="Z307" s="434">
        <f t="shared" ref="Z307" si="236">Y307/X307</f>
        <v>3.1537450722733326E-2</v>
      </c>
      <c r="AA307" s="340">
        <v>-22.75</v>
      </c>
      <c r="AC307" s="24" t="s">
        <v>4577</v>
      </c>
      <c r="AD307" s="84">
        <v>44637</v>
      </c>
      <c r="AE307" s="83">
        <v>44638</v>
      </c>
      <c r="AF307" s="33">
        <f t="shared" si="178"/>
        <v>1</v>
      </c>
      <c r="AG307" s="402" t="s">
        <v>2406</v>
      </c>
      <c r="AH307" s="443"/>
      <c r="AI307" s="254"/>
      <c r="AJ307" s="392"/>
      <c r="AM307" s="245"/>
      <c r="AR307" s="402" t="str">
        <f>INDEX(基本資料!N:N,MATCH($G307,基本資料!A:A,0))</f>
        <v>中</v>
      </c>
    </row>
    <row r="308" spans="1:44">
      <c r="A308" s="343">
        <v>4.5599999999999996</v>
      </c>
      <c r="B308" s="79">
        <v>23</v>
      </c>
      <c r="C308" s="80">
        <v>-4</v>
      </c>
      <c r="D308" s="80">
        <v>-21</v>
      </c>
      <c r="E308" s="79">
        <v>52</v>
      </c>
      <c r="F308" s="79">
        <v>16.68</v>
      </c>
      <c r="G308" s="79">
        <v>8091</v>
      </c>
      <c r="H308" s="132" t="s">
        <v>3388</v>
      </c>
      <c r="I308" s="16" t="s">
        <v>6133</v>
      </c>
      <c r="J308" s="8" t="s">
        <v>4736</v>
      </c>
      <c r="L308" s="91"/>
      <c r="O308" s="359">
        <v>383</v>
      </c>
      <c r="P308" s="79">
        <v>103</v>
      </c>
      <c r="Q308" s="342">
        <v>802</v>
      </c>
      <c r="R308" s="81">
        <v>268</v>
      </c>
      <c r="S308" s="324">
        <v>344</v>
      </c>
      <c r="T308" s="384">
        <v>2.58</v>
      </c>
      <c r="U308" s="426">
        <f>T308/W308</f>
        <v>2.7505330490405117E-2</v>
      </c>
      <c r="V308" s="94">
        <v>4.63</v>
      </c>
      <c r="W308" s="39">
        <v>93.8</v>
      </c>
      <c r="X308" s="207">
        <v>92</v>
      </c>
      <c r="Y308" s="430">
        <f t="shared" ref="Y308:Y313" si="237">W308-X308</f>
        <v>1.7999999999999972</v>
      </c>
      <c r="Z308" s="434">
        <f t="shared" ref="Z308:Z313" si="238">Y308/X308</f>
        <v>1.9565217391304318E-2</v>
      </c>
      <c r="AA308" s="340">
        <v>-3.54</v>
      </c>
      <c r="AC308" s="24" t="s">
        <v>6133</v>
      </c>
      <c r="AD308" s="84">
        <v>44634</v>
      </c>
      <c r="AE308" s="83">
        <v>44638</v>
      </c>
      <c r="AF308" s="33">
        <f t="shared" si="178"/>
        <v>4</v>
      </c>
      <c r="AG308" s="401" t="s">
        <v>2427</v>
      </c>
      <c r="AH308" s="443"/>
      <c r="AI308" s="254"/>
      <c r="AJ308" s="392"/>
      <c r="AM308" s="245"/>
      <c r="AR308" s="402" t="str">
        <f>INDEX(基本資料!N:N,MATCH($G308,基本資料!A:A,0))</f>
        <v>高</v>
      </c>
    </row>
    <row r="309" spans="1:44">
      <c r="A309" s="343">
        <v>28.6</v>
      </c>
      <c r="B309" s="79">
        <v>364</v>
      </c>
      <c r="C309" s="79">
        <v>408</v>
      </c>
      <c r="D309" s="80">
        <v>-12</v>
      </c>
      <c r="E309" s="79">
        <v>3</v>
      </c>
      <c r="F309" s="79">
        <v>24.64</v>
      </c>
      <c r="G309" s="79">
        <v>3006</v>
      </c>
      <c r="H309" s="344" t="s">
        <v>3038</v>
      </c>
      <c r="I309" s="22" t="s">
        <v>95</v>
      </c>
      <c r="J309" s="8" t="s">
        <v>4736</v>
      </c>
      <c r="L309" s="91"/>
      <c r="O309" s="359">
        <v>26</v>
      </c>
      <c r="P309" s="79">
        <v>1054</v>
      </c>
      <c r="Q309" s="342">
        <v>380</v>
      </c>
      <c r="R309" s="81">
        <v>172</v>
      </c>
      <c r="S309" s="324">
        <v>14</v>
      </c>
      <c r="T309" s="384">
        <v>8</v>
      </c>
      <c r="U309" s="426">
        <f>T309/W309</f>
        <v>4.6376811594202899E-2</v>
      </c>
      <c r="V309" s="94">
        <v>17.760000000000002</v>
      </c>
      <c r="W309" s="39">
        <v>172.5</v>
      </c>
      <c r="X309" s="207">
        <v>166.5</v>
      </c>
      <c r="Y309" s="430">
        <f t="shared" si="237"/>
        <v>6</v>
      </c>
      <c r="Z309" s="434">
        <f t="shared" si="238"/>
        <v>3.6036036036036036E-2</v>
      </c>
      <c r="AA309" s="340">
        <v>-20.66</v>
      </c>
      <c r="AC309" s="23" t="s">
        <v>95</v>
      </c>
      <c r="AD309" s="84">
        <v>44627</v>
      </c>
      <c r="AE309" s="83">
        <v>44637</v>
      </c>
      <c r="AF309" s="33">
        <f t="shared" ref="AF309:AF362" si="239">AE309-AD309</f>
        <v>10</v>
      </c>
      <c r="AG309" s="401" t="s">
        <v>2128</v>
      </c>
      <c r="AH309" s="443"/>
      <c r="AI309" s="254"/>
      <c r="AJ309" s="392"/>
      <c r="AM309" s="245"/>
      <c r="AR309" s="402" t="str">
        <f>INDEX(基本資料!N:N,MATCH($G309,基本資料!A:A,0))</f>
        <v>低</v>
      </c>
    </row>
    <row r="310" spans="1:44">
      <c r="A310" s="343">
        <v>28.6</v>
      </c>
      <c r="B310" s="79">
        <v>364</v>
      </c>
      <c r="C310" s="79">
        <v>408</v>
      </c>
      <c r="D310" s="80">
        <v>-12</v>
      </c>
      <c r="E310" s="79">
        <v>3</v>
      </c>
      <c r="F310" s="79">
        <v>24.64</v>
      </c>
      <c r="G310" s="79">
        <v>3006</v>
      </c>
      <c r="H310" s="344" t="s">
        <v>3038</v>
      </c>
      <c r="I310" s="22" t="s">
        <v>95</v>
      </c>
      <c r="J310" s="8" t="s">
        <v>4736</v>
      </c>
      <c r="L310" s="91"/>
      <c r="O310" s="359">
        <v>26</v>
      </c>
      <c r="P310" s="79">
        <v>1054</v>
      </c>
      <c r="Q310" s="342">
        <v>380</v>
      </c>
      <c r="R310" s="81">
        <v>172</v>
      </c>
      <c r="S310" s="324">
        <v>14</v>
      </c>
      <c r="T310" s="384">
        <v>8</v>
      </c>
      <c r="U310" s="426">
        <f>T310/W310</f>
        <v>4.6376811594202899E-2</v>
      </c>
      <c r="V310" s="94">
        <v>17.760000000000002</v>
      </c>
      <c r="W310" s="39">
        <v>172.5</v>
      </c>
      <c r="X310" s="207">
        <v>172</v>
      </c>
      <c r="Y310" s="430">
        <f t="shared" si="237"/>
        <v>0.5</v>
      </c>
      <c r="Z310" s="434">
        <f t="shared" si="238"/>
        <v>2.9069767441860465E-3</v>
      </c>
      <c r="AA310" s="340">
        <v>-19.48</v>
      </c>
      <c r="AC310" s="23" t="s">
        <v>95</v>
      </c>
      <c r="AD310" s="84">
        <v>44624</v>
      </c>
      <c r="AE310" s="83">
        <v>44637</v>
      </c>
      <c r="AF310" s="33">
        <f t="shared" si="239"/>
        <v>13</v>
      </c>
      <c r="AG310" s="401" t="s">
        <v>2128</v>
      </c>
      <c r="AH310" s="443"/>
      <c r="AI310" s="254"/>
      <c r="AJ310" s="392"/>
      <c r="AM310" s="245"/>
      <c r="AR310" s="402" t="str">
        <f>INDEX(基本資料!N:N,MATCH($G310,基本資料!A:A,0))</f>
        <v>低</v>
      </c>
    </row>
    <row r="311" spans="1:44">
      <c r="A311" s="343">
        <v>8.33</v>
      </c>
      <c r="B311" s="79">
        <v>119</v>
      </c>
      <c r="C311" s="79">
        <v>111</v>
      </c>
      <c r="D311" s="79">
        <v>30</v>
      </c>
      <c r="E311" s="79">
        <v>43</v>
      </c>
      <c r="F311" s="79">
        <v>24.41</v>
      </c>
      <c r="G311" s="79">
        <v>6187</v>
      </c>
      <c r="H311" s="403" t="s">
        <v>314</v>
      </c>
      <c r="I311" s="16" t="s">
        <v>4686</v>
      </c>
      <c r="J311" s="8" t="s">
        <v>4736</v>
      </c>
      <c r="L311" s="91"/>
      <c r="O311" s="359">
        <v>204</v>
      </c>
      <c r="P311" s="79">
        <v>46</v>
      </c>
      <c r="Q311" s="342">
        <v>1096</v>
      </c>
      <c r="R311" s="81">
        <v>4</v>
      </c>
      <c r="S311" s="324">
        <v>92</v>
      </c>
      <c r="T311" s="384">
        <v>4.5</v>
      </c>
      <c r="U311" s="426">
        <f>T311/W311</f>
        <v>3.0716723549488054E-2</v>
      </c>
      <c r="V311" s="94">
        <v>6.65</v>
      </c>
      <c r="W311" s="39">
        <v>146.5</v>
      </c>
      <c r="X311" s="207">
        <v>144</v>
      </c>
      <c r="Y311" s="430">
        <f t="shared" si="237"/>
        <v>2.5</v>
      </c>
      <c r="Z311" s="434">
        <f t="shared" si="238"/>
        <v>1.7361111111111112E-2</v>
      </c>
      <c r="AA311" s="340">
        <v>-17.75</v>
      </c>
      <c r="AC311" s="24" t="s">
        <v>4686</v>
      </c>
      <c r="AD311" s="84">
        <v>44634</v>
      </c>
      <c r="AE311" s="83">
        <v>44637</v>
      </c>
      <c r="AF311" s="33">
        <f t="shared" si="239"/>
        <v>3</v>
      </c>
      <c r="AG311" s="402" t="s">
        <v>2308</v>
      </c>
      <c r="AH311" s="443"/>
      <c r="AI311" s="254"/>
      <c r="AJ311" s="392"/>
      <c r="AM311" s="245"/>
      <c r="AR311" s="402" t="str">
        <f>INDEX(基本資料!N:N,MATCH($G311,基本資料!A:A,0))</f>
        <v>低</v>
      </c>
    </row>
    <row r="312" spans="1:44">
      <c r="A312" s="343">
        <v>7.31</v>
      </c>
      <c r="B312" s="79">
        <v>71</v>
      </c>
      <c r="C312" s="79">
        <v>65</v>
      </c>
      <c r="D312" s="80">
        <v>-20</v>
      </c>
      <c r="E312" s="79">
        <v>30</v>
      </c>
      <c r="F312" s="79">
        <v>16.79</v>
      </c>
      <c r="G312" s="79">
        <v>6438</v>
      </c>
      <c r="H312" s="403" t="s">
        <v>314</v>
      </c>
      <c r="I312" s="22" t="s">
        <v>4687</v>
      </c>
      <c r="J312" s="8" t="s">
        <v>4736</v>
      </c>
      <c r="L312" s="407"/>
      <c r="O312" s="359">
        <v>124</v>
      </c>
      <c r="P312" s="79">
        <v>480</v>
      </c>
      <c r="Q312" s="342">
        <v>389</v>
      </c>
      <c r="R312" s="81">
        <v>42</v>
      </c>
      <c r="S312" s="324">
        <v>92</v>
      </c>
      <c r="T312" s="384">
        <v>6.5</v>
      </c>
      <c r="U312" s="426">
        <f t="shared" ref="U312:U318" si="240">T312/W312</f>
        <v>5.3278688524590161E-2</v>
      </c>
      <c r="V312" s="94">
        <v>10.36</v>
      </c>
      <c r="W312" s="39">
        <v>122</v>
      </c>
      <c r="X312" s="207">
        <v>120</v>
      </c>
      <c r="Y312" s="430">
        <f t="shared" si="237"/>
        <v>2</v>
      </c>
      <c r="Z312" s="434">
        <f t="shared" si="238"/>
        <v>1.6666666666666666E-2</v>
      </c>
      <c r="AA312" s="340">
        <v>-9.4700000000000006</v>
      </c>
      <c r="AC312" s="23" t="s">
        <v>4687</v>
      </c>
      <c r="AD312" s="84">
        <v>44631</v>
      </c>
      <c r="AE312" s="83">
        <v>44634</v>
      </c>
      <c r="AF312" s="33">
        <f t="shared" si="239"/>
        <v>3</v>
      </c>
      <c r="AG312" s="402" t="s">
        <v>2308</v>
      </c>
      <c r="AH312" s="443"/>
      <c r="AI312" s="254"/>
      <c r="AJ312" s="392"/>
      <c r="AM312" s="245"/>
      <c r="AR312" s="402" t="str">
        <f>INDEX(基本資料!N:N,MATCH($G312,基本資料!A:A,0))</f>
        <v>中</v>
      </c>
    </row>
    <row r="313" spans="1:44">
      <c r="A313" s="343">
        <v>9.0299999999999994</v>
      </c>
      <c r="B313" s="79">
        <v>23</v>
      </c>
      <c r="C313" s="79">
        <v>31</v>
      </c>
      <c r="D313" s="79">
        <v>13</v>
      </c>
      <c r="E313" s="79">
        <v>123</v>
      </c>
      <c r="F313" s="79">
        <v>18.86</v>
      </c>
      <c r="G313" s="79">
        <v>6104</v>
      </c>
      <c r="H313" s="132" t="s">
        <v>3038</v>
      </c>
      <c r="I313" s="16" t="s">
        <v>372</v>
      </c>
      <c r="J313" s="8" t="s">
        <v>4736</v>
      </c>
      <c r="L313" s="91"/>
      <c r="O313" s="359">
        <v>20</v>
      </c>
      <c r="P313" s="79">
        <v>122</v>
      </c>
      <c r="Q313" s="342">
        <v>571</v>
      </c>
      <c r="R313" s="81">
        <v>14</v>
      </c>
      <c r="S313" s="324">
        <v>2</v>
      </c>
      <c r="T313" s="384">
        <v>3</v>
      </c>
      <c r="U313" s="426">
        <f t="shared" si="240"/>
        <v>1.0084033613445379E-2</v>
      </c>
      <c r="V313" s="94">
        <v>4.42</v>
      </c>
      <c r="W313" s="39">
        <v>297.5</v>
      </c>
      <c r="X313" s="207">
        <v>292.5</v>
      </c>
      <c r="Y313" s="430">
        <f t="shared" si="237"/>
        <v>5</v>
      </c>
      <c r="Z313" s="434">
        <f t="shared" si="238"/>
        <v>1.7094017094017096E-2</v>
      </c>
      <c r="AA313" s="340">
        <v>-2.17</v>
      </c>
      <c r="AC313" s="24" t="s">
        <v>372</v>
      </c>
      <c r="AD313" s="84">
        <v>44624</v>
      </c>
      <c r="AE313" s="83">
        <v>44634</v>
      </c>
      <c r="AF313" s="33">
        <f t="shared" si="239"/>
        <v>10</v>
      </c>
      <c r="AG313" s="402" t="s">
        <v>3045</v>
      </c>
      <c r="AH313" s="443"/>
      <c r="AI313" s="254"/>
      <c r="AJ313" s="288"/>
      <c r="AM313" s="245"/>
      <c r="AR313" s="402" t="str">
        <f>INDEX(基本資料!N:N,MATCH($G313,基本資料!A:A,0))</f>
        <v>中</v>
      </c>
    </row>
    <row r="314" spans="1:44">
      <c r="A314" s="343">
        <v>4.9800000000000004</v>
      </c>
      <c r="B314" s="80">
        <v>-42</v>
      </c>
      <c r="C314" s="80">
        <v>-44</v>
      </c>
      <c r="D314" s="80">
        <v>-8</v>
      </c>
      <c r="E314" s="79">
        <v>64</v>
      </c>
      <c r="F314" s="79">
        <v>14.35</v>
      </c>
      <c r="G314" s="79">
        <v>8155</v>
      </c>
      <c r="H314" s="403" t="s">
        <v>3388</v>
      </c>
      <c r="I314" s="16" t="s">
        <v>84</v>
      </c>
      <c r="J314" s="8" t="s">
        <v>4736</v>
      </c>
      <c r="L314" s="91"/>
      <c r="O314" s="359">
        <v>224</v>
      </c>
      <c r="P314" s="79">
        <v>214</v>
      </c>
      <c r="Q314" s="342">
        <v>1075</v>
      </c>
      <c r="R314" s="81">
        <v>2</v>
      </c>
      <c r="S314" s="324">
        <v>7</v>
      </c>
      <c r="T314" s="384">
        <v>7</v>
      </c>
      <c r="U314" s="426">
        <f t="shared" si="240"/>
        <v>3.5897435897435895E-2</v>
      </c>
      <c r="V314" s="94">
        <v>6.99</v>
      </c>
      <c r="W314" s="39">
        <v>195</v>
      </c>
      <c r="X314" s="207">
        <v>191.5</v>
      </c>
      <c r="Y314" s="430">
        <f t="shared" ref="Y314:Y329" si="241">W314-X314</f>
        <v>3.5</v>
      </c>
      <c r="Z314" s="434">
        <f t="shared" ref="Z314:Z329" si="242">Y314/X314</f>
        <v>1.8276762402088774E-2</v>
      </c>
      <c r="AA314" s="340">
        <v>-4.96</v>
      </c>
      <c r="AC314" s="24" t="s">
        <v>84</v>
      </c>
      <c r="AD314" s="84">
        <v>44631</v>
      </c>
      <c r="AE314" s="311">
        <v>44631</v>
      </c>
      <c r="AF314" s="33">
        <f t="shared" si="239"/>
        <v>0</v>
      </c>
      <c r="AG314" s="401" t="s">
        <v>1048</v>
      </c>
      <c r="AH314" s="443"/>
      <c r="AI314" s="254"/>
      <c r="AJ314" s="392"/>
      <c r="AM314" s="245"/>
      <c r="AR314" s="402" t="str">
        <f>INDEX(基本資料!N:N,MATCH($G314,基本資料!A:A,0))</f>
        <v>中</v>
      </c>
    </row>
    <row r="315" spans="1:44">
      <c r="A315" s="343">
        <v>10.7</v>
      </c>
      <c r="B315" s="79">
        <v>170</v>
      </c>
      <c r="C315" s="79">
        <v>170</v>
      </c>
      <c r="D315" s="79">
        <v>1</v>
      </c>
      <c r="E315" s="79">
        <v>41</v>
      </c>
      <c r="F315" s="79">
        <v>7.96</v>
      </c>
      <c r="G315" s="79">
        <v>4739</v>
      </c>
      <c r="H315" s="344" t="s">
        <v>3577</v>
      </c>
      <c r="I315" s="22" t="s">
        <v>3631</v>
      </c>
      <c r="J315" s="8" t="s">
        <v>3543</v>
      </c>
      <c r="L315" s="91"/>
      <c r="O315" s="359">
        <v>66</v>
      </c>
      <c r="P315" s="79" t="s">
        <v>6279</v>
      </c>
      <c r="Q315" s="342">
        <v>978</v>
      </c>
      <c r="R315" s="81">
        <v>110</v>
      </c>
      <c r="S315" s="324">
        <v>12</v>
      </c>
      <c r="T315" s="384">
        <v>3</v>
      </c>
      <c r="U315" s="426">
        <f t="shared" si="240"/>
        <v>1.8633540372670808E-2</v>
      </c>
      <c r="V315" s="94">
        <v>4.7</v>
      </c>
      <c r="W315" s="39">
        <v>161</v>
      </c>
      <c r="X315" s="207">
        <v>158</v>
      </c>
      <c r="Y315" s="430">
        <f t="shared" si="241"/>
        <v>3</v>
      </c>
      <c r="Z315" s="434">
        <f t="shared" si="242"/>
        <v>1.8987341772151899E-2</v>
      </c>
      <c r="AA315" s="340">
        <v>-13.31</v>
      </c>
      <c r="AC315" s="23" t="s">
        <v>3631</v>
      </c>
      <c r="AD315" s="84">
        <v>44630</v>
      </c>
      <c r="AE315" s="83">
        <v>44631</v>
      </c>
      <c r="AF315" s="33">
        <f t="shared" si="239"/>
        <v>1</v>
      </c>
      <c r="AG315" s="401" t="s">
        <v>2289</v>
      </c>
      <c r="AH315" s="443"/>
      <c r="AI315" s="254"/>
      <c r="AJ315" s="392"/>
      <c r="AM315" s="245"/>
      <c r="AR315" s="402" t="str">
        <f>INDEX(基本資料!N:N,MATCH($G315,基本資料!A:A,0))</f>
        <v>中</v>
      </c>
    </row>
    <row r="316" spans="1:44">
      <c r="A316" s="343">
        <v>4.4400000000000004</v>
      </c>
      <c r="B316" s="79">
        <v>249</v>
      </c>
      <c r="C316" s="79">
        <v>154</v>
      </c>
      <c r="D316" s="80">
        <v>-15</v>
      </c>
      <c r="E316" s="79">
        <v>19</v>
      </c>
      <c r="F316" s="79">
        <v>16.510000000000002</v>
      </c>
      <c r="G316" s="79">
        <v>3675</v>
      </c>
      <c r="H316" s="132" t="s">
        <v>3038</v>
      </c>
      <c r="I316" s="16" t="s">
        <v>365</v>
      </c>
      <c r="J316" s="8" t="s">
        <v>4736</v>
      </c>
      <c r="L316" s="91"/>
      <c r="O316" s="359">
        <v>326</v>
      </c>
      <c r="P316" s="79">
        <v>365</v>
      </c>
      <c r="Q316" s="342">
        <v>69</v>
      </c>
      <c r="R316" s="81">
        <v>3</v>
      </c>
      <c r="S316" s="324">
        <v>22</v>
      </c>
      <c r="T316" s="384">
        <v>5</v>
      </c>
      <c r="U316" s="426">
        <f t="shared" si="240"/>
        <v>1.7211703958691909E-2</v>
      </c>
      <c r="V316" s="94">
        <v>7.36</v>
      </c>
      <c r="W316" s="39">
        <v>290.5</v>
      </c>
      <c r="X316" s="207">
        <v>284.5</v>
      </c>
      <c r="Y316" s="430">
        <f t="shared" si="241"/>
        <v>6</v>
      </c>
      <c r="Z316" s="434">
        <f t="shared" si="242"/>
        <v>2.10896309314587E-2</v>
      </c>
      <c r="AA316" s="340">
        <v>-11.09</v>
      </c>
      <c r="AC316" s="24" t="s">
        <v>365</v>
      </c>
      <c r="AD316" s="84">
        <v>44627</v>
      </c>
      <c r="AE316" s="83">
        <v>44631</v>
      </c>
      <c r="AF316" s="33">
        <f t="shared" si="239"/>
        <v>4</v>
      </c>
      <c r="AG316" s="402" t="s">
        <v>2939</v>
      </c>
      <c r="AH316" s="443"/>
      <c r="AI316" s="254"/>
      <c r="AJ316" s="392"/>
      <c r="AM316" s="245"/>
      <c r="AR316" s="402" t="str">
        <f>INDEX(基本資料!N:N,MATCH($G316,基本資料!A:A,0))</f>
        <v>高</v>
      </c>
    </row>
    <row r="317" spans="1:44">
      <c r="A317" s="343">
        <v>4.9800000000000004</v>
      </c>
      <c r="B317" s="80">
        <v>-42</v>
      </c>
      <c r="C317" s="80">
        <v>-44</v>
      </c>
      <c r="D317" s="79">
        <v>13</v>
      </c>
      <c r="E317" s="79">
        <v>36</v>
      </c>
      <c r="F317" s="79">
        <v>14.35</v>
      </c>
      <c r="G317" s="80">
        <v>8155</v>
      </c>
      <c r="H317" s="403" t="s">
        <v>3388</v>
      </c>
      <c r="I317" s="16" t="s">
        <v>84</v>
      </c>
      <c r="J317" s="8" t="s">
        <v>4736</v>
      </c>
      <c r="L317" s="91"/>
      <c r="O317" s="359">
        <v>224</v>
      </c>
      <c r="P317" s="79">
        <v>214</v>
      </c>
      <c r="Q317" s="342">
        <v>1075</v>
      </c>
      <c r="R317" s="81">
        <v>2</v>
      </c>
      <c r="S317" s="324">
        <v>7</v>
      </c>
      <c r="T317" s="384">
        <v>7</v>
      </c>
      <c r="U317" s="426">
        <f t="shared" si="240"/>
        <v>3.9886039886039885E-2</v>
      </c>
      <c r="V317" s="94">
        <v>6.99</v>
      </c>
      <c r="W317" s="39">
        <v>175.5</v>
      </c>
      <c r="X317" s="207">
        <v>172.5</v>
      </c>
      <c r="Y317" s="430">
        <f t="shared" si="241"/>
        <v>3</v>
      </c>
      <c r="Z317" s="434">
        <f t="shared" si="242"/>
        <v>1.7391304347826087E-2</v>
      </c>
      <c r="AA317" s="340">
        <v>-18.61</v>
      </c>
      <c r="AC317" s="24" t="s">
        <v>84</v>
      </c>
      <c r="AD317" s="84">
        <v>44629</v>
      </c>
      <c r="AE317" s="311">
        <v>44629</v>
      </c>
      <c r="AF317" s="33">
        <f t="shared" si="239"/>
        <v>0</v>
      </c>
      <c r="AG317" s="401" t="s">
        <v>1048</v>
      </c>
      <c r="AH317" s="443"/>
      <c r="AI317" s="254"/>
      <c r="AJ317" s="392"/>
      <c r="AM317" s="245"/>
      <c r="AR317" s="402" t="str">
        <f>INDEX(基本資料!N:N,MATCH($G317,基本資料!A:A,0))</f>
        <v>中</v>
      </c>
    </row>
    <row r="318" spans="1:44">
      <c r="A318" s="343">
        <v>28.6</v>
      </c>
      <c r="B318" s="79">
        <v>364</v>
      </c>
      <c r="C318" s="79">
        <v>408</v>
      </c>
      <c r="D318" s="80">
        <v>-12</v>
      </c>
      <c r="E318" s="79">
        <v>3</v>
      </c>
      <c r="F318" s="79">
        <v>24.64</v>
      </c>
      <c r="G318" s="79">
        <v>3006</v>
      </c>
      <c r="H318" s="403" t="s">
        <v>3038</v>
      </c>
      <c r="I318" s="22" t="s">
        <v>95</v>
      </c>
      <c r="J318" s="8" t="s">
        <v>4736</v>
      </c>
      <c r="L318" s="91"/>
      <c r="O318" s="359">
        <v>26</v>
      </c>
      <c r="P318" s="79">
        <v>1054</v>
      </c>
      <c r="Q318" s="342">
        <v>380</v>
      </c>
      <c r="R318" s="81">
        <v>172</v>
      </c>
      <c r="S318" s="324">
        <v>14</v>
      </c>
      <c r="T318" s="384">
        <v>8</v>
      </c>
      <c r="U318" s="426">
        <f t="shared" si="240"/>
        <v>4.6647230320699708E-2</v>
      </c>
      <c r="V318" s="94">
        <v>17.760000000000002</v>
      </c>
      <c r="W318" s="39">
        <v>171.5</v>
      </c>
      <c r="X318" s="207">
        <v>165</v>
      </c>
      <c r="Y318" s="430">
        <f t="shared" si="241"/>
        <v>6.5</v>
      </c>
      <c r="Z318" s="434">
        <f t="shared" si="242"/>
        <v>3.9393939393939391E-2</v>
      </c>
      <c r="AA318" s="340">
        <v>-24.88</v>
      </c>
      <c r="AC318" s="23" t="s">
        <v>95</v>
      </c>
      <c r="AD318" s="84">
        <v>44623</v>
      </c>
      <c r="AE318" s="83">
        <v>44624</v>
      </c>
      <c r="AF318" s="33">
        <f t="shared" si="239"/>
        <v>1</v>
      </c>
      <c r="AG318" s="401" t="s">
        <v>2128</v>
      </c>
      <c r="AH318" s="443"/>
      <c r="AI318" s="254"/>
      <c r="AJ318" s="392"/>
      <c r="AM318" s="245"/>
      <c r="AR318" s="402" t="str">
        <f>INDEX(基本資料!N:N,MATCH($G318,基本資料!A:A,0))</f>
        <v>低</v>
      </c>
    </row>
    <row r="319" spans="1:44">
      <c r="A319" s="343">
        <v>10.7</v>
      </c>
      <c r="B319" s="79">
        <v>170</v>
      </c>
      <c r="C319" s="79">
        <v>170</v>
      </c>
      <c r="D319" s="79">
        <v>7</v>
      </c>
      <c r="E319" s="79">
        <v>28</v>
      </c>
      <c r="F319" s="79">
        <v>7.96</v>
      </c>
      <c r="G319" s="79">
        <v>4739</v>
      </c>
      <c r="H319" s="344" t="s">
        <v>3577</v>
      </c>
      <c r="I319" s="22" t="s">
        <v>3631</v>
      </c>
      <c r="J319" s="8" t="s">
        <v>4736</v>
      </c>
      <c r="L319" s="91"/>
      <c r="O319" s="359">
        <v>66</v>
      </c>
      <c r="P319" s="79" t="s">
        <v>6279</v>
      </c>
      <c r="Q319" s="342">
        <v>978</v>
      </c>
      <c r="R319" s="81">
        <v>110</v>
      </c>
      <c r="S319" s="324">
        <v>12</v>
      </c>
      <c r="T319" s="384">
        <v>3</v>
      </c>
      <c r="U319" s="426">
        <f t="shared" ref="U319:U328" si="243">T319/W319</f>
        <v>1.9292604501607719E-2</v>
      </c>
      <c r="V319" s="94">
        <v>4.7</v>
      </c>
      <c r="W319" s="39">
        <v>155.5</v>
      </c>
      <c r="X319" s="207">
        <v>149.5</v>
      </c>
      <c r="Y319" s="430">
        <f t="shared" si="241"/>
        <v>6</v>
      </c>
      <c r="Z319" s="434">
        <f t="shared" si="242"/>
        <v>4.0133779264214048E-2</v>
      </c>
      <c r="AA319" s="340">
        <v>-14.45</v>
      </c>
      <c r="AC319" s="23" t="s">
        <v>3631</v>
      </c>
      <c r="AD319" s="84">
        <v>44622</v>
      </c>
      <c r="AE319" s="83">
        <v>44623</v>
      </c>
      <c r="AF319" s="33">
        <f t="shared" si="239"/>
        <v>1</v>
      </c>
      <c r="AG319" s="401" t="s">
        <v>2289</v>
      </c>
      <c r="AH319" s="443"/>
      <c r="AI319" s="254"/>
      <c r="AJ319" s="392"/>
      <c r="AM319" s="245"/>
      <c r="AR319" s="402" t="str">
        <f>INDEX(基本資料!N:N,MATCH($G319,基本資料!A:A,0))</f>
        <v>中</v>
      </c>
    </row>
    <row r="320" spans="1:44">
      <c r="A320" s="343">
        <v>28.6</v>
      </c>
      <c r="B320" s="79">
        <v>364</v>
      </c>
      <c r="C320" s="79">
        <v>371</v>
      </c>
      <c r="D320" s="80">
        <v>-12</v>
      </c>
      <c r="E320" s="79">
        <v>3</v>
      </c>
      <c r="F320" s="79">
        <v>24.55</v>
      </c>
      <c r="G320" s="79">
        <v>3006</v>
      </c>
      <c r="H320" s="344" t="s">
        <v>3038</v>
      </c>
      <c r="I320" s="22" t="s">
        <v>95</v>
      </c>
      <c r="J320" s="8" t="s">
        <v>4736</v>
      </c>
      <c r="L320" s="91"/>
      <c r="O320" s="359">
        <v>26</v>
      </c>
      <c r="P320" s="79">
        <v>1054</v>
      </c>
      <c r="Q320" s="342">
        <v>380</v>
      </c>
      <c r="R320" s="81">
        <v>172</v>
      </c>
      <c r="S320" s="324">
        <v>14</v>
      </c>
      <c r="T320" s="384">
        <v>2</v>
      </c>
      <c r="U320" s="426">
        <f t="shared" si="243"/>
        <v>1.2121212121212121E-2</v>
      </c>
      <c r="V320" s="94">
        <v>14.61</v>
      </c>
      <c r="W320" s="39">
        <v>165</v>
      </c>
      <c r="X320" s="207">
        <v>162.5</v>
      </c>
      <c r="Y320" s="430">
        <f t="shared" si="241"/>
        <v>2.5</v>
      </c>
      <c r="Z320" s="434">
        <f t="shared" si="242"/>
        <v>1.5384615384615385E-2</v>
      </c>
      <c r="AA320" s="340">
        <v>-23.71</v>
      </c>
      <c r="AC320" s="23" t="s">
        <v>95</v>
      </c>
      <c r="AD320" s="84">
        <v>44613</v>
      </c>
      <c r="AE320" s="83">
        <v>44623</v>
      </c>
      <c r="AF320" s="33">
        <f t="shared" si="239"/>
        <v>10</v>
      </c>
      <c r="AG320" s="401" t="s">
        <v>2128</v>
      </c>
      <c r="AH320" s="443"/>
      <c r="AI320" s="254"/>
      <c r="AJ320" s="392"/>
      <c r="AM320" s="245"/>
      <c r="AR320" s="402" t="str">
        <f>INDEX(基本資料!N:N,MATCH($G320,基本資料!A:A,0))</f>
        <v>低</v>
      </c>
    </row>
    <row r="321" spans="1:44">
      <c r="A321" s="343">
        <v>7.31</v>
      </c>
      <c r="B321" s="79">
        <v>95</v>
      </c>
      <c r="C321" s="79">
        <v>94</v>
      </c>
      <c r="D321" s="79">
        <v>1</v>
      </c>
      <c r="E321" s="79">
        <v>26</v>
      </c>
      <c r="F321" s="79">
        <v>16.350000000000001</v>
      </c>
      <c r="G321" s="79">
        <v>6438</v>
      </c>
      <c r="H321" s="403" t="s">
        <v>314</v>
      </c>
      <c r="I321" s="22" t="s">
        <v>4687</v>
      </c>
      <c r="J321" s="8" t="s">
        <v>4736</v>
      </c>
      <c r="L321" s="407"/>
      <c r="O321" s="359">
        <v>124</v>
      </c>
      <c r="P321" s="79">
        <v>480</v>
      </c>
      <c r="Q321" s="342">
        <v>389</v>
      </c>
      <c r="R321" s="81">
        <v>42</v>
      </c>
      <c r="S321" s="324">
        <v>92</v>
      </c>
      <c r="T321" s="384">
        <v>4.1399999999999997</v>
      </c>
      <c r="U321" s="426">
        <f t="shared" si="243"/>
        <v>3.3658536585365849E-2</v>
      </c>
      <c r="V321" s="94">
        <v>9.81</v>
      </c>
      <c r="W321" s="39">
        <v>123</v>
      </c>
      <c r="X321" s="207">
        <v>121.5</v>
      </c>
      <c r="Y321" s="430">
        <f t="shared" si="241"/>
        <v>1.5</v>
      </c>
      <c r="Z321" s="434">
        <f t="shared" si="242"/>
        <v>1.2345679012345678E-2</v>
      </c>
      <c r="AA321" s="340">
        <v>-8.7100000000000009</v>
      </c>
      <c r="AC321" s="23" t="s">
        <v>4687</v>
      </c>
      <c r="AD321" s="84">
        <v>44600</v>
      </c>
      <c r="AE321" s="83">
        <v>44623</v>
      </c>
      <c r="AF321" s="33">
        <f t="shared" si="239"/>
        <v>23</v>
      </c>
      <c r="AG321" s="402" t="s">
        <v>2308</v>
      </c>
      <c r="AH321" s="443"/>
      <c r="AI321" s="254"/>
      <c r="AJ321" s="392"/>
      <c r="AM321" s="245"/>
      <c r="AR321" s="402" t="str">
        <f>INDEX(基本資料!N:N,MATCH($G321,基本資料!A:A,0))</f>
        <v>中</v>
      </c>
    </row>
    <row r="322" spans="1:44">
      <c r="A322" s="343">
        <v>6.22</v>
      </c>
      <c r="B322" s="79">
        <v>159</v>
      </c>
      <c r="C322" s="79">
        <v>141</v>
      </c>
      <c r="D322" s="79">
        <v>3</v>
      </c>
      <c r="E322" s="79">
        <v>59</v>
      </c>
      <c r="F322" s="79">
        <v>32.9</v>
      </c>
      <c r="G322" s="80">
        <v>3169</v>
      </c>
      <c r="H322" s="96" t="s">
        <v>3038</v>
      </c>
      <c r="I322" s="16" t="s">
        <v>359</v>
      </c>
      <c r="J322" s="8" t="s">
        <v>4736</v>
      </c>
      <c r="L322" s="91"/>
      <c r="O322" s="359">
        <v>17</v>
      </c>
      <c r="P322" s="79">
        <v>223</v>
      </c>
      <c r="Q322" s="342">
        <v>926</v>
      </c>
      <c r="R322" s="81">
        <v>385</v>
      </c>
      <c r="S322" s="324">
        <v>10</v>
      </c>
      <c r="T322" s="384">
        <v>2.5</v>
      </c>
      <c r="U322" s="426">
        <f t="shared" si="243"/>
        <v>1.1160714285714286E-2</v>
      </c>
      <c r="V322" s="94">
        <v>5.5</v>
      </c>
      <c r="W322" s="39">
        <v>224</v>
      </c>
      <c r="X322" s="207">
        <v>219.5</v>
      </c>
      <c r="Y322" s="430">
        <f t="shared" si="241"/>
        <v>4.5</v>
      </c>
      <c r="Z322" s="434">
        <f t="shared" si="242"/>
        <v>2.0501138952164009E-2</v>
      </c>
      <c r="AA322" s="340">
        <v>-26.71</v>
      </c>
      <c r="AC322" s="24" t="s">
        <v>359</v>
      </c>
      <c r="AD322" s="84">
        <v>44609</v>
      </c>
      <c r="AE322" s="83">
        <v>44623</v>
      </c>
      <c r="AF322" s="33">
        <f t="shared" si="239"/>
        <v>14</v>
      </c>
      <c r="AG322" s="402" t="s">
        <v>2892</v>
      </c>
      <c r="AH322" s="443"/>
      <c r="AI322" s="254"/>
      <c r="AJ322" s="392"/>
      <c r="AM322" s="245"/>
      <c r="AR322" s="402" t="str">
        <f>INDEX(基本資料!N:N,MATCH($G322,基本資料!A:A,0))</f>
        <v>低</v>
      </c>
    </row>
    <row r="323" spans="1:44">
      <c r="A323" s="343">
        <v>6.22</v>
      </c>
      <c r="B323" s="79">
        <v>159</v>
      </c>
      <c r="C323" s="79">
        <v>141</v>
      </c>
      <c r="D323" s="79">
        <v>3</v>
      </c>
      <c r="E323" s="79">
        <v>59</v>
      </c>
      <c r="F323" s="79">
        <v>32.9</v>
      </c>
      <c r="G323" s="80">
        <v>3169</v>
      </c>
      <c r="H323" s="132" t="s">
        <v>3038</v>
      </c>
      <c r="I323" s="16" t="s">
        <v>359</v>
      </c>
      <c r="J323" s="8" t="s">
        <v>4736</v>
      </c>
      <c r="L323" s="91"/>
      <c r="O323" s="359">
        <v>17</v>
      </c>
      <c r="P323" s="79">
        <v>223</v>
      </c>
      <c r="Q323" s="342">
        <v>926</v>
      </c>
      <c r="R323" s="81">
        <v>385</v>
      </c>
      <c r="S323" s="324">
        <v>10</v>
      </c>
      <c r="T323" s="384">
        <v>2.5</v>
      </c>
      <c r="U323" s="426">
        <f t="shared" si="243"/>
        <v>1.1160714285714286E-2</v>
      </c>
      <c r="V323" s="94">
        <v>5.5</v>
      </c>
      <c r="W323" s="39">
        <v>224</v>
      </c>
      <c r="X323" s="207">
        <v>222</v>
      </c>
      <c r="Y323" s="430">
        <f t="shared" si="241"/>
        <v>2</v>
      </c>
      <c r="Z323" s="434">
        <f t="shared" si="242"/>
        <v>9.0090090090090089E-3</v>
      </c>
      <c r="AA323" s="340">
        <v>-26.54</v>
      </c>
      <c r="AC323" s="24" t="s">
        <v>359</v>
      </c>
      <c r="AD323" s="84">
        <v>44602</v>
      </c>
      <c r="AE323" s="83">
        <v>44623</v>
      </c>
      <c r="AF323" s="33">
        <f t="shared" si="239"/>
        <v>21</v>
      </c>
      <c r="AG323" s="402" t="s">
        <v>2892</v>
      </c>
      <c r="AH323" s="443"/>
      <c r="AI323" s="254"/>
      <c r="AJ323" s="392"/>
      <c r="AM323" s="245"/>
      <c r="AR323" s="402" t="str">
        <f>INDEX(基本資料!N:N,MATCH($G323,基本資料!A:A,0))</f>
        <v>低</v>
      </c>
    </row>
    <row r="324" spans="1:44">
      <c r="A324" s="343">
        <v>4.9800000000000004</v>
      </c>
      <c r="B324" s="80">
        <v>-42</v>
      </c>
      <c r="C324" s="80">
        <v>-44</v>
      </c>
      <c r="D324" s="79">
        <v>13</v>
      </c>
      <c r="E324" s="79">
        <v>36</v>
      </c>
      <c r="F324" s="79">
        <v>14.35</v>
      </c>
      <c r="G324" s="79">
        <v>8155</v>
      </c>
      <c r="H324" s="403" t="s">
        <v>3388</v>
      </c>
      <c r="I324" s="16" t="s">
        <v>84</v>
      </c>
      <c r="J324" s="8" t="s">
        <v>4736</v>
      </c>
      <c r="L324" s="91"/>
      <c r="O324" s="359">
        <v>224</v>
      </c>
      <c r="P324" s="79">
        <v>214</v>
      </c>
      <c r="Q324" s="342">
        <v>1075</v>
      </c>
      <c r="R324" s="81">
        <v>2</v>
      </c>
      <c r="S324" s="324">
        <v>7</v>
      </c>
      <c r="T324" s="384">
        <v>7</v>
      </c>
      <c r="U324" s="426">
        <f t="shared" si="243"/>
        <v>3.5087719298245612E-2</v>
      </c>
      <c r="V324" s="94">
        <v>6.99</v>
      </c>
      <c r="W324" s="39">
        <v>199.5</v>
      </c>
      <c r="X324" s="207">
        <v>195</v>
      </c>
      <c r="Y324" s="430">
        <f t="shared" si="241"/>
        <v>4.5</v>
      </c>
      <c r="Z324" s="434">
        <f t="shared" si="242"/>
        <v>2.3076923076923078E-2</v>
      </c>
      <c r="AA324" s="340">
        <v>-2.99</v>
      </c>
      <c r="AC324" s="24" t="s">
        <v>84</v>
      </c>
      <c r="AD324" s="84">
        <v>44614</v>
      </c>
      <c r="AE324" s="83">
        <v>44623</v>
      </c>
      <c r="AF324" s="33">
        <f t="shared" si="239"/>
        <v>9</v>
      </c>
      <c r="AG324" s="401" t="s">
        <v>1048</v>
      </c>
      <c r="AH324" s="443"/>
      <c r="AI324" s="254"/>
      <c r="AJ324" s="392"/>
      <c r="AM324" s="245"/>
      <c r="AR324" s="402" t="str">
        <f>INDEX(基本資料!N:N,MATCH($G324,基本資料!A:A,0))</f>
        <v>中</v>
      </c>
    </row>
    <row r="325" spans="1:44">
      <c r="A325" s="343">
        <v>4.9800000000000004</v>
      </c>
      <c r="B325" s="80">
        <v>-42</v>
      </c>
      <c r="C325" s="80">
        <v>-44</v>
      </c>
      <c r="D325" s="79">
        <v>4</v>
      </c>
      <c r="E325" s="79">
        <v>38</v>
      </c>
      <c r="F325" s="79">
        <v>14.35</v>
      </c>
      <c r="G325" s="79">
        <v>8155</v>
      </c>
      <c r="H325" s="344" t="s">
        <v>308</v>
      </c>
      <c r="I325" s="16" t="s">
        <v>84</v>
      </c>
      <c r="J325" s="8" t="s">
        <v>4742</v>
      </c>
      <c r="L325" s="91"/>
      <c r="O325" s="359">
        <v>224</v>
      </c>
      <c r="P325" s="79">
        <v>214</v>
      </c>
      <c r="Q325" s="342">
        <v>1075</v>
      </c>
      <c r="R325" s="81">
        <v>2</v>
      </c>
      <c r="S325" s="324">
        <v>7</v>
      </c>
      <c r="T325" s="384">
        <v>7</v>
      </c>
      <c r="U325" s="426">
        <f t="shared" si="243"/>
        <v>3.5087719298245612E-2</v>
      </c>
      <c r="V325" s="94">
        <v>6.99</v>
      </c>
      <c r="W325" s="39">
        <v>199.5</v>
      </c>
      <c r="X325" s="207">
        <v>196.5</v>
      </c>
      <c r="Y325" s="430">
        <f t="shared" si="241"/>
        <v>3</v>
      </c>
      <c r="Z325" s="434">
        <f t="shared" si="242"/>
        <v>1.5267175572519083E-2</v>
      </c>
      <c r="AA325" s="340">
        <v>0</v>
      </c>
      <c r="AC325" s="24" t="s">
        <v>84</v>
      </c>
      <c r="AD325" s="84">
        <v>44600</v>
      </c>
      <c r="AE325" s="83">
        <v>44623</v>
      </c>
      <c r="AF325" s="33">
        <f t="shared" si="239"/>
        <v>23</v>
      </c>
      <c r="AG325" s="401" t="s">
        <v>1048</v>
      </c>
      <c r="AH325" s="443"/>
      <c r="AI325" s="254"/>
      <c r="AJ325" s="392"/>
      <c r="AM325" s="245"/>
      <c r="AR325" s="402" t="str">
        <f>INDEX(基本資料!N:N,MATCH($G325,基本資料!A:A,0))</f>
        <v>中</v>
      </c>
    </row>
    <row r="326" spans="1:44">
      <c r="A326" s="343">
        <v>9.0299999999999994</v>
      </c>
      <c r="B326" s="79">
        <v>23</v>
      </c>
      <c r="C326" s="79">
        <v>31</v>
      </c>
      <c r="D326" s="79">
        <v>13</v>
      </c>
      <c r="E326" s="79">
        <v>123</v>
      </c>
      <c r="F326" s="79">
        <v>18.86</v>
      </c>
      <c r="G326" s="79">
        <v>6104</v>
      </c>
      <c r="H326" s="132" t="s">
        <v>3038</v>
      </c>
      <c r="I326" s="16" t="s">
        <v>372</v>
      </c>
      <c r="J326" s="8" t="s">
        <v>4736</v>
      </c>
      <c r="L326" s="91"/>
      <c r="O326" s="359">
        <v>20</v>
      </c>
      <c r="P326" s="79">
        <v>122</v>
      </c>
      <c r="Q326" s="342">
        <v>571</v>
      </c>
      <c r="R326" s="81">
        <v>14</v>
      </c>
      <c r="S326" s="324">
        <v>2</v>
      </c>
      <c r="T326" s="384">
        <v>3</v>
      </c>
      <c r="U326" s="426">
        <f t="shared" si="243"/>
        <v>1.160541586073501E-2</v>
      </c>
      <c r="V326" s="94">
        <v>4.42</v>
      </c>
      <c r="W326" s="39">
        <v>258.5</v>
      </c>
      <c r="X326" s="207">
        <v>236.5</v>
      </c>
      <c r="Y326" s="430">
        <f t="shared" si="241"/>
        <v>22</v>
      </c>
      <c r="Z326" s="434">
        <f t="shared" si="242"/>
        <v>9.3023255813953487E-2</v>
      </c>
      <c r="AA326" s="340">
        <v>-12.64</v>
      </c>
      <c r="AC326" s="24" t="s">
        <v>372</v>
      </c>
      <c r="AD326" s="84">
        <v>44616</v>
      </c>
      <c r="AE326" s="83">
        <v>44622</v>
      </c>
      <c r="AF326" s="33">
        <f t="shared" si="239"/>
        <v>6</v>
      </c>
      <c r="AG326" s="402" t="s">
        <v>3045</v>
      </c>
      <c r="AH326" s="443"/>
      <c r="AI326" s="254"/>
      <c r="AJ326" s="288"/>
      <c r="AM326" s="245"/>
      <c r="AR326" s="402" t="str">
        <f>INDEX(基本資料!N:N,MATCH($G326,基本資料!A:A,0))</f>
        <v>中</v>
      </c>
    </row>
    <row r="327" spans="1:44">
      <c r="A327" s="343">
        <v>9.0299999999999994</v>
      </c>
      <c r="B327" s="79">
        <v>23</v>
      </c>
      <c r="C327" s="79">
        <v>31</v>
      </c>
      <c r="D327" s="79">
        <v>13</v>
      </c>
      <c r="E327" s="79">
        <v>123</v>
      </c>
      <c r="F327" s="79">
        <v>18.86</v>
      </c>
      <c r="G327" s="79">
        <v>6104</v>
      </c>
      <c r="H327" s="132" t="s">
        <v>3038</v>
      </c>
      <c r="I327" s="16" t="s">
        <v>372</v>
      </c>
      <c r="J327" s="8" t="s">
        <v>4736</v>
      </c>
      <c r="L327" s="91"/>
      <c r="O327" s="359">
        <v>20</v>
      </c>
      <c r="P327" s="79">
        <v>122</v>
      </c>
      <c r="Q327" s="342">
        <v>571</v>
      </c>
      <c r="R327" s="81">
        <v>14</v>
      </c>
      <c r="S327" s="324">
        <v>2</v>
      </c>
      <c r="T327" s="384">
        <v>3</v>
      </c>
      <c r="U327" s="426">
        <f t="shared" si="243"/>
        <v>1.160541586073501E-2</v>
      </c>
      <c r="V327" s="94">
        <v>4.42</v>
      </c>
      <c r="W327" s="39">
        <v>258.5</v>
      </c>
      <c r="X327" s="207">
        <v>271</v>
      </c>
      <c r="Y327" s="430">
        <f t="shared" si="241"/>
        <v>-12.5</v>
      </c>
      <c r="Z327" s="435">
        <f t="shared" si="242"/>
        <v>-4.6125461254612546E-2</v>
      </c>
      <c r="AA327" s="340">
        <v>0</v>
      </c>
      <c r="AC327" s="24" t="s">
        <v>372</v>
      </c>
      <c r="AD327" s="84">
        <v>44606</v>
      </c>
      <c r="AE327" s="83">
        <v>44622</v>
      </c>
      <c r="AF327" s="33">
        <f t="shared" si="239"/>
        <v>16</v>
      </c>
      <c r="AG327" s="402" t="s">
        <v>3045</v>
      </c>
      <c r="AH327" s="443"/>
      <c r="AI327" s="254"/>
      <c r="AJ327" s="288"/>
      <c r="AM327" s="245"/>
      <c r="AR327" s="402" t="str">
        <f>INDEX(基本資料!N:N,MATCH($G327,基本資料!A:A,0))</f>
        <v>中</v>
      </c>
    </row>
    <row r="328" spans="1:44">
      <c r="A328" s="343">
        <v>8.33</v>
      </c>
      <c r="B328" s="79">
        <v>119</v>
      </c>
      <c r="C328" s="79">
        <v>111</v>
      </c>
      <c r="D328" s="79">
        <v>31</v>
      </c>
      <c r="E328" s="79">
        <v>-5</v>
      </c>
      <c r="F328" s="79">
        <v>24.41</v>
      </c>
      <c r="G328" s="79">
        <v>6187</v>
      </c>
      <c r="H328" s="344" t="s">
        <v>314</v>
      </c>
      <c r="I328" s="16" t="s">
        <v>4686</v>
      </c>
      <c r="J328" s="8" t="s">
        <v>4748</v>
      </c>
      <c r="L328" s="91"/>
      <c r="O328" s="359">
        <v>204</v>
      </c>
      <c r="P328" s="79">
        <v>46</v>
      </c>
      <c r="Q328" s="342">
        <v>1096</v>
      </c>
      <c r="R328" s="81">
        <v>4</v>
      </c>
      <c r="S328" s="324">
        <v>92</v>
      </c>
      <c r="T328" s="384">
        <v>4.5</v>
      </c>
      <c r="U328" s="426">
        <f t="shared" si="243"/>
        <v>3.214285714285714E-2</v>
      </c>
      <c r="V328" s="94">
        <v>6.37</v>
      </c>
      <c r="W328" s="39">
        <v>140</v>
      </c>
      <c r="X328" s="207">
        <v>137.5</v>
      </c>
      <c r="Y328" s="430">
        <f t="shared" si="241"/>
        <v>2.5</v>
      </c>
      <c r="Z328" s="434">
        <f t="shared" si="242"/>
        <v>1.8181818181818181E-2</v>
      </c>
      <c r="AA328" s="340">
        <v>-18.34</v>
      </c>
      <c r="AC328" s="24" t="s">
        <v>4686</v>
      </c>
      <c r="AD328" s="84">
        <v>44616</v>
      </c>
      <c r="AE328" s="83">
        <v>44621</v>
      </c>
      <c r="AF328" s="33">
        <f t="shared" si="239"/>
        <v>5</v>
      </c>
      <c r="AG328" s="402" t="s">
        <v>2308</v>
      </c>
      <c r="AH328" s="443"/>
      <c r="AI328" s="254"/>
      <c r="AJ328" s="392"/>
      <c r="AM328" s="245"/>
      <c r="AR328" s="402" t="str">
        <f>INDEX(基本資料!N:N,MATCH($G328,基本資料!A:A,0))</f>
        <v>低</v>
      </c>
    </row>
    <row r="329" spans="1:44" s="248" customFormat="1">
      <c r="A329" s="91"/>
      <c r="B329" s="79"/>
      <c r="C329" s="79"/>
      <c r="D329" s="79"/>
      <c r="E329" s="79"/>
      <c r="F329" s="79"/>
      <c r="G329" s="41"/>
      <c r="H329" s="344"/>
      <c r="I329" s="153"/>
      <c r="J329" s="1"/>
      <c r="K329" s="355"/>
      <c r="L329" s="91"/>
      <c r="M329" s="404"/>
      <c r="O329" s="359"/>
      <c r="P329" s="79"/>
      <c r="Q329" s="342"/>
      <c r="R329" s="104"/>
      <c r="S329" s="419"/>
      <c r="T329" s="384"/>
      <c r="U329" s="425"/>
      <c r="V329" s="94"/>
      <c r="W329" s="31">
        <f>SUM(W280:W328)</f>
        <v>9540.85</v>
      </c>
      <c r="X329" s="73">
        <f>SUM(X280:X328)</f>
        <v>9314.5499999999993</v>
      </c>
      <c r="Y329" s="430">
        <f t="shared" si="241"/>
        <v>226.30000000000109</v>
      </c>
      <c r="Z329" s="103">
        <f t="shared" si="242"/>
        <v>2.4295322908782616E-2</v>
      </c>
      <c r="AA329" s="340"/>
      <c r="AB329" s="389"/>
      <c r="AC329" s="437">
        <f>W329*(0.001425*0.5)+W329*0.003+X329*(0.001425*0.5)</f>
        <v>42.057022500000002</v>
      </c>
      <c r="AD329" s="6">
        <f>Y329-AC329</f>
        <v>184.24297750000107</v>
      </c>
      <c r="AE329" s="83"/>
      <c r="AF329" s="33"/>
      <c r="AG329" s="132" t="s">
        <v>4751</v>
      </c>
      <c r="AH329" s="444"/>
      <c r="AI329" s="257"/>
      <c r="AK329" s="461"/>
      <c r="AR329" s="402"/>
    </row>
    <row r="330" spans="1:44">
      <c r="B330" s="79"/>
      <c r="C330" s="79"/>
      <c r="D330" s="79"/>
      <c r="E330" s="79"/>
      <c r="F330" s="79"/>
      <c r="G330" s="79"/>
      <c r="H330" s="344"/>
      <c r="I330" s="16"/>
      <c r="J330" s="8"/>
      <c r="L330" s="91"/>
      <c r="O330" s="359"/>
      <c r="Q330" s="342"/>
      <c r="U330" s="426"/>
      <c r="W330" s="39"/>
      <c r="Z330" s="434"/>
      <c r="AC330" s="24"/>
      <c r="AF330" s="33"/>
      <c r="AG330" s="402"/>
      <c r="AH330" s="443"/>
      <c r="AI330" s="254"/>
      <c r="AJ330" s="392"/>
      <c r="AM330" s="245"/>
      <c r="AR330" s="402"/>
    </row>
    <row r="331" spans="1:44">
      <c r="A331" s="343">
        <v>24.8</v>
      </c>
      <c r="B331" s="79">
        <v>403</v>
      </c>
      <c r="C331" s="79">
        <v>840</v>
      </c>
      <c r="D331" s="79">
        <v>12</v>
      </c>
      <c r="E331" s="79">
        <v>117</v>
      </c>
      <c r="F331" s="79">
        <v>17.34</v>
      </c>
      <c r="G331" s="79">
        <v>3035</v>
      </c>
      <c r="H331" s="344" t="s">
        <v>3038</v>
      </c>
      <c r="I331" s="22" t="s">
        <v>1825</v>
      </c>
      <c r="J331" s="8" t="s">
        <v>4742</v>
      </c>
      <c r="L331" s="91"/>
      <c r="O331" s="359">
        <v>333</v>
      </c>
      <c r="P331" s="79">
        <v>75</v>
      </c>
      <c r="Q331" s="342">
        <v>190</v>
      </c>
      <c r="R331" s="81">
        <v>1</v>
      </c>
      <c r="S331" s="324">
        <v>3</v>
      </c>
      <c r="T331" s="384">
        <v>3.3</v>
      </c>
      <c r="U331" s="426">
        <f t="shared" ref="U331:U358" si="244">T331/W331</f>
        <v>1.2890624999999999E-2</v>
      </c>
      <c r="V331" s="94">
        <v>2.82</v>
      </c>
      <c r="W331" s="39">
        <v>256</v>
      </c>
      <c r="X331" s="207">
        <v>242.5</v>
      </c>
      <c r="Y331" s="430">
        <f t="shared" ref="Y331:Y359" si="245">W331-X331</f>
        <v>13.5</v>
      </c>
      <c r="Z331" s="434">
        <f t="shared" ref="Z331:Z359" si="246">Y331/X331</f>
        <v>5.5670103092783509E-2</v>
      </c>
      <c r="AA331" s="340">
        <v>-4.1100000000000003</v>
      </c>
      <c r="AC331" s="23" t="s">
        <v>1825</v>
      </c>
      <c r="AD331" s="84">
        <v>44616</v>
      </c>
      <c r="AE331" s="83">
        <v>44617</v>
      </c>
      <c r="AF331" s="33">
        <f t="shared" si="239"/>
        <v>1</v>
      </c>
      <c r="AG331" s="401" t="s">
        <v>2314</v>
      </c>
      <c r="AH331" s="443"/>
      <c r="AI331" s="254"/>
      <c r="AJ331" s="392"/>
      <c r="AM331" s="245"/>
      <c r="AR331" s="402" t="str">
        <f>INDEX(基本資料!N:N,MATCH($G331,基本資料!A:A,0))</f>
        <v>高</v>
      </c>
    </row>
    <row r="332" spans="1:44">
      <c r="A332" s="343">
        <v>25.2</v>
      </c>
      <c r="B332" s="79">
        <v>181</v>
      </c>
      <c r="C332" s="79">
        <v>158</v>
      </c>
      <c r="D332" s="80">
        <v>-7</v>
      </c>
      <c r="E332" s="79">
        <v>27</v>
      </c>
      <c r="F332" s="79">
        <v>21.4</v>
      </c>
      <c r="G332" s="79">
        <v>8358</v>
      </c>
      <c r="H332" s="344" t="s">
        <v>308</v>
      </c>
      <c r="I332" s="16" t="s">
        <v>222</v>
      </c>
      <c r="J332" s="8" t="s">
        <v>4736</v>
      </c>
      <c r="L332" s="91"/>
      <c r="O332" s="359">
        <v>308</v>
      </c>
      <c r="P332" s="79">
        <v>314</v>
      </c>
      <c r="Q332" s="342">
        <v>636</v>
      </c>
      <c r="R332" s="81">
        <v>36</v>
      </c>
      <c r="S332" s="324">
        <v>157</v>
      </c>
      <c r="T332" s="384">
        <v>4.2</v>
      </c>
      <c r="U332" s="426">
        <f t="shared" si="244"/>
        <v>5.5702917771883284E-2</v>
      </c>
      <c r="V332" s="94">
        <v>2.14</v>
      </c>
      <c r="W332" s="39">
        <v>75.400000000000006</v>
      </c>
      <c r="X332" s="207">
        <v>74.099999999999994</v>
      </c>
      <c r="Y332" s="430">
        <f t="shared" si="245"/>
        <v>1.3000000000000114</v>
      </c>
      <c r="Z332" s="434">
        <f t="shared" si="246"/>
        <v>1.7543859649122962E-2</v>
      </c>
      <c r="AA332" s="340">
        <v>-20.13</v>
      </c>
      <c r="AC332" s="24" t="s">
        <v>222</v>
      </c>
      <c r="AD332" s="84">
        <v>44616</v>
      </c>
      <c r="AE332" s="83">
        <v>44617</v>
      </c>
      <c r="AF332" s="33">
        <f t="shared" si="239"/>
        <v>1</v>
      </c>
      <c r="AG332" s="401" t="s">
        <v>2430</v>
      </c>
      <c r="AH332" s="443"/>
      <c r="AI332" s="254"/>
      <c r="AJ332" s="392"/>
      <c r="AM332" s="245"/>
      <c r="AR332" s="402" t="str">
        <f>INDEX(基本資料!N:N,MATCH($G332,基本資料!A:A,0))</f>
        <v>低</v>
      </c>
    </row>
    <row r="333" spans="1:44">
      <c r="A333" s="343">
        <v>19.7</v>
      </c>
      <c r="B333" s="79">
        <v>28</v>
      </c>
      <c r="C333" s="79">
        <v>80</v>
      </c>
      <c r="D333" s="79">
        <v>8</v>
      </c>
      <c r="E333" s="79">
        <v>33</v>
      </c>
      <c r="F333" s="79">
        <v>15.8</v>
      </c>
      <c r="G333" s="79">
        <v>8299</v>
      </c>
      <c r="H333" s="208" t="s">
        <v>3038</v>
      </c>
      <c r="I333" s="16" t="s">
        <v>4072</v>
      </c>
      <c r="J333" s="8" t="s">
        <v>4736</v>
      </c>
      <c r="L333" s="91"/>
      <c r="O333" s="359">
        <v>404</v>
      </c>
      <c r="P333" s="79">
        <v>104</v>
      </c>
      <c r="Q333" s="342">
        <v>132</v>
      </c>
      <c r="R333" s="81">
        <v>79</v>
      </c>
      <c r="S333" s="324">
        <v>191</v>
      </c>
      <c r="T333" s="384">
        <v>10</v>
      </c>
      <c r="U333" s="426">
        <f t="shared" si="244"/>
        <v>1.8975332068311195E-2</v>
      </c>
      <c r="V333" s="94">
        <v>51.35</v>
      </c>
      <c r="W333" s="39">
        <v>527</v>
      </c>
      <c r="X333" s="207">
        <v>517</v>
      </c>
      <c r="Y333" s="430">
        <f t="shared" si="245"/>
        <v>10</v>
      </c>
      <c r="Z333" s="434">
        <f t="shared" si="246"/>
        <v>1.9342359767891684E-2</v>
      </c>
      <c r="AA333" s="340">
        <v>-16.29</v>
      </c>
      <c r="AC333" s="24" t="s">
        <v>4072</v>
      </c>
      <c r="AD333" s="84">
        <v>44610</v>
      </c>
      <c r="AE333" s="311">
        <v>44610</v>
      </c>
      <c r="AF333" s="33">
        <f t="shared" si="239"/>
        <v>0</v>
      </c>
      <c r="AG333" s="401" t="s">
        <v>2128</v>
      </c>
      <c r="AH333" s="443"/>
      <c r="AI333" s="254"/>
      <c r="AJ333" s="392"/>
      <c r="AM333" s="245"/>
      <c r="AR333" s="402" t="str">
        <f>INDEX(基本資料!N:N,MATCH($G333,基本資料!A:A,0))</f>
        <v>低</v>
      </c>
    </row>
    <row r="334" spans="1:44">
      <c r="A334" s="343">
        <v>4.4400000000000004</v>
      </c>
      <c r="B334" s="92">
        <v>1166</v>
      </c>
      <c r="C334" s="218">
        <v>25679</v>
      </c>
      <c r="D334" s="79">
        <v>5</v>
      </c>
      <c r="E334" s="79">
        <v>26</v>
      </c>
      <c r="F334" s="79">
        <v>18.239999999999998</v>
      </c>
      <c r="G334" s="79">
        <v>3527</v>
      </c>
      <c r="H334" s="344" t="s">
        <v>3038</v>
      </c>
      <c r="I334" s="16" t="s">
        <v>326</v>
      </c>
      <c r="J334" s="8" t="s">
        <v>4736</v>
      </c>
      <c r="L334" s="91"/>
      <c r="O334" s="359">
        <v>135</v>
      </c>
      <c r="P334" s="79">
        <v>378</v>
      </c>
      <c r="Q334" s="342">
        <v>603</v>
      </c>
      <c r="R334" s="81">
        <v>195</v>
      </c>
      <c r="S334" s="324">
        <v>48</v>
      </c>
      <c r="T334" s="384">
        <v>2</v>
      </c>
      <c r="U334" s="426">
        <f t="shared" si="244"/>
        <v>1.0362694300518135E-2</v>
      </c>
      <c r="V334" s="94">
        <v>10.47</v>
      </c>
      <c r="W334" s="39">
        <v>193</v>
      </c>
      <c r="X334" s="207">
        <v>189.5</v>
      </c>
      <c r="Y334" s="430">
        <f t="shared" si="245"/>
        <v>3.5</v>
      </c>
      <c r="Z334" s="434">
        <f t="shared" si="246"/>
        <v>1.8469656992084433E-2</v>
      </c>
      <c r="AA334" s="340">
        <v>-31.18</v>
      </c>
      <c r="AC334" s="24" t="s">
        <v>326</v>
      </c>
      <c r="AD334" s="84">
        <v>44609</v>
      </c>
      <c r="AE334" s="83">
        <v>44610</v>
      </c>
      <c r="AF334" s="33">
        <f t="shared" si="239"/>
        <v>1</v>
      </c>
      <c r="AG334" s="402" t="s">
        <v>2355</v>
      </c>
      <c r="AH334" s="443"/>
      <c r="AI334" s="254"/>
      <c r="AJ334" s="392"/>
      <c r="AM334" s="245"/>
      <c r="AR334" s="402" t="str">
        <f>INDEX(基本資料!N:N,MATCH($G334,基本資料!A:A,0))</f>
        <v>低</v>
      </c>
    </row>
    <row r="335" spans="1:44">
      <c r="A335" s="343">
        <v>8.84</v>
      </c>
      <c r="B335" s="80">
        <v>-8</v>
      </c>
      <c r="C335" s="80">
        <v>-16</v>
      </c>
      <c r="D335" s="80">
        <v>-1</v>
      </c>
      <c r="E335" s="79">
        <v>10</v>
      </c>
      <c r="F335" s="79">
        <v>10.72</v>
      </c>
      <c r="G335" s="79">
        <v>3324</v>
      </c>
      <c r="H335" s="344" t="s">
        <v>314</v>
      </c>
      <c r="I335" s="16" t="s">
        <v>228</v>
      </c>
      <c r="J335" s="8" t="s">
        <v>4736</v>
      </c>
      <c r="L335" s="91"/>
      <c r="O335" s="359">
        <v>51</v>
      </c>
      <c r="P335" s="79">
        <v>80</v>
      </c>
      <c r="Q335" s="342">
        <v>421</v>
      </c>
      <c r="R335" s="81">
        <v>85</v>
      </c>
      <c r="S335" s="324">
        <v>25</v>
      </c>
      <c r="T335" s="384">
        <v>5.6</v>
      </c>
      <c r="U335" s="426">
        <f t="shared" si="244"/>
        <v>2.2444889779559118E-2</v>
      </c>
      <c r="V335" s="94">
        <v>12.05</v>
      </c>
      <c r="W335" s="39">
        <v>249.5</v>
      </c>
      <c r="X335" s="207">
        <v>245</v>
      </c>
      <c r="Y335" s="430">
        <f t="shared" si="245"/>
        <v>4.5</v>
      </c>
      <c r="Z335" s="434">
        <f t="shared" si="246"/>
        <v>1.8367346938775512E-2</v>
      </c>
      <c r="AA335" s="340">
        <v>-1.64</v>
      </c>
      <c r="AC335" s="24" t="s">
        <v>228</v>
      </c>
      <c r="AD335" s="84">
        <v>44608</v>
      </c>
      <c r="AE335" s="83">
        <v>44609</v>
      </c>
      <c r="AF335" s="33">
        <f t="shared" si="239"/>
        <v>1</v>
      </c>
      <c r="AG335" s="402" t="s">
        <v>2924</v>
      </c>
      <c r="AH335" s="443"/>
      <c r="AI335" s="254"/>
      <c r="AJ335" s="392"/>
      <c r="AM335" s="245"/>
      <c r="AR335" s="402" t="str">
        <f>INDEX(基本資料!N:N,MATCH($G335,基本資料!A:A,0))</f>
        <v>低</v>
      </c>
    </row>
    <row r="336" spans="1:44">
      <c r="A336" s="343">
        <v>4.4400000000000004</v>
      </c>
      <c r="B336" s="79">
        <v>193</v>
      </c>
      <c r="C336" s="79">
        <v>122</v>
      </c>
      <c r="D336" s="79">
        <v>0</v>
      </c>
      <c r="E336" s="79">
        <v>18</v>
      </c>
      <c r="F336" s="79">
        <v>15.78</v>
      </c>
      <c r="G336" s="79">
        <v>3675</v>
      </c>
      <c r="H336" s="132" t="s">
        <v>3038</v>
      </c>
      <c r="I336" s="16" t="s">
        <v>365</v>
      </c>
      <c r="J336" s="8" t="s">
        <v>4736</v>
      </c>
      <c r="L336" s="91"/>
      <c r="O336" s="359">
        <v>326</v>
      </c>
      <c r="P336" s="79">
        <v>365</v>
      </c>
      <c r="Q336" s="342">
        <v>69</v>
      </c>
      <c r="R336" s="81">
        <v>3</v>
      </c>
      <c r="S336" s="324">
        <v>22</v>
      </c>
      <c r="T336" s="384">
        <v>2</v>
      </c>
      <c r="U336" s="426">
        <f t="shared" si="244"/>
        <v>7.0298769771528994E-3</v>
      </c>
      <c r="V336" s="94">
        <v>5.49</v>
      </c>
      <c r="W336" s="39">
        <v>284.5</v>
      </c>
      <c r="X336" s="207">
        <v>279</v>
      </c>
      <c r="Y336" s="430">
        <f t="shared" si="245"/>
        <v>5.5</v>
      </c>
      <c r="Z336" s="434">
        <f t="shared" si="246"/>
        <v>1.9713261648745518E-2</v>
      </c>
      <c r="AA336" s="340">
        <v>-16.41</v>
      </c>
      <c r="AC336" s="24" t="s">
        <v>365</v>
      </c>
      <c r="AD336" s="84">
        <v>44608</v>
      </c>
      <c r="AE336" s="83">
        <v>44609</v>
      </c>
      <c r="AF336" s="33">
        <f t="shared" si="239"/>
        <v>1</v>
      </c>
      <c r="AG336" s="402" t="s">
        <v>2939</v>
      </c>
      <c r="AH336" s="443"/>
      <c r="AI336" s="254"/>
      <c r="AJ336" s="392"/>
      <c r="AM336" s="245"/>
      <c r="AR336" s="402" t="str">
        <f>INDEX(基本資料!N:N,MATCH($G336,基本資料!A:A,0))</f>
        <v>高</v>
      </c>
    </row>
    <row r="337" spans="1:44">
      <c r="A337" s="343">
        <v>19.7</v>
      </c>
      <c r="B337" s="79">
        <v>28</v>
      </c>
      <c r="C337" s="79">
        <v>80</v>
      </c>
      <c r="D337" s="79">
        <v>8</v>
      </c>
      <c r="E337" s="79">
        <v>33</v>
      </c>
      <c r="F337" s="79">
        <v>15.8</v>
      </c>
      <c r="G337" s="79">
        <v>8299</v>
      </c>
      <c r="H337" s="208" t="s">
        <v>3038</v>
      </c>
      <c r="I337" s="16" t="s">
        <v>4072</v>
      </c>
      <c r="J337" s="8" t="s">
        <v>4736</v>
      </c>
      <c r="L337" s="91"/>
      <c r="O337" s="359">
        <v>404</v>
      </c>
      <c r="P337" s="79">
        <v>104</v>
      </c>
      <c r="Q337" s="342">
        <v>132</v>
      </c>
      <c r="R337" s="81">
        <v>79</v>
      </c>
      <c r="S337" s="324">
        <v>191</v>
      </c>
      <c r="T337" s="384">
        <v>10</v>
      </c>
      <c r="U337" s="426">
        <f t="shared" si="244"/>
        <v>1.9607843137254902E-2</v>
      </c>
      <c r="V337" s="94">
        <v>51.35</v>
      </c>
      <c r="W337" s="39">
        <v>510</v>
      </c>
      <c r="X337" s="207">
        <v>487</v>
      </c>
      <c r="Y337" s="430">
        <f t="shared" si="245"/>
        <v>23</v>
      </c>
      <c r="Z337" s="434">
        <f t="shared" si="246"/>
        <v>4.7227926078028747E-2</v>
      </c>
      <c r="AA337" s="340">
        <v>-20.97</v>
      </c>
      <c r="AC337" s="24" t="s">
        <v>4072</v>
      </c>
      <c r="AD337" s="84">
        <v>44606</v>
      </c>
      <c r="AE337" s="83">
        <v>44608</v>
      </c>
      <c r="AF337" s="33">
        <f t="shared" si="239"/>
        <v>2</v>
      </c>
      <c r="AG337" s="401" t="s">
        <v>2128</v>
      </c>
      <c r="AH337" s="443"/>
      <c r="AI337" s="254"/>
      <c r="AJ337" s="392"/>
      <c r="AM337" s="245"/>
      <c r="AR337" s="402" t="str">
        <f>INDEX(基本資料!N:N,MATCH($G337,基本資料!A:A,0))</f>
        <v>低</v>
      </c>
    </row>
    <row r="338" spans="1:44">
      <c r="A338" s="343">
        <v>19.7</v>
      </c>
      <c r="B338" s="79">
        <v>28</v>
      </c>
      <c r="C338" s="79">
        <v>80</v>
      </c>
      <c r="D338" s="79">
        <v>8</v>
      </c>
      <c r="E338" s="79">
        <v>33</v>
      </c>
      <c r="F338" s="79">
        <v>15.8</v>
      </c>
      <c r="G338" s="79">
        <v>8299</v>
      </c>
      <c r="H338" s="208" t="s">
        <v>3038</v>
      </c>
      <c r="I338" s="16" t="s">
        <v>4072</v>
      </c>
      <c r="J338" s="8" t="s">
        <v>4736</v>
      </c>
      <c r="L338" s="91"/>
      <c r="O338" s="359">
        <v>404</v>
      </c>
      <c r="P338" s="79">
        <v>104</v>
      </c>
      <c r="Q338" s="342">
        <v>132</v>
      </c>
      <c r="R338" s="81">
        <v>79</v>
      </c>
      <c r="S338" s="324">
        <v>191</v>
      </c>
      <c r="T338" s="384">
        <v>10</v>
      </c>
      <c r="U338" s="426">
        <f t="shared" si="244"/>
        <v>1.9607843137254902E-2</v>
      </c>
      <c r="V338" s="94">
        <v>51.35</v>
      </c>
      <c r="W338" s="39">
        <v>510</v>
      </c>
      <c r="X338" s="207">
        <v>499.5</v>
      </c>
      <c r="Y338" s="430">
        <f t="shared" si="245"/>
        <v>10.5</v>
      </c>
      <c r="Z338" s="434">
        <f t="shared" si="246"/>
        <v>2.1021021021021023E-2</v>
      </c>
      <c r="AA338" s="340">
        <v>-20</v>
      </c>
      <c r="AC338" s="24" t="s">
        <v>4072</v>
      </c>
      <c r="AD338" s="84">
        <v>44603</v>
      </c>
      <c r="AE338" s="83">
        <v>44608</v>
      </c>
      <c r="AF338" s="33">
        <f t="shared" si="239"/>
        <v>5</v>
      </c>
      <c r="AG338" s="401" t="s">
        <v>2128</v>
      </c>
      <c r="AH338" s="443"/>
      <c r="AI338" s="254"/>
      <c r="AJ338" s="392"/>
      <c r="AM338" s="245"/>
      <c r="AR338" s="402" t="str">
        <f>INDEX(基本資料!N:N,MATCH($G338,基本資料!A:A,0))</f>
        <v>低</v>
      </c>
    </row>
    <row r="339" spans="1:44">
      <c r="A339" s="343">
        <v>26.3</v>
      </c>
      <c r="B339" s="79">
        <v>116</v>
      </c>
      <c r="C339" s="79">
        <v>35</v>
      </c>
      <c r="D339" s="79">
        <v>1</v>
      </c>
      <c r="E339" s="79">
        <v>13</v>
      </c>
      <c r="F339" s="79">
        <v>7.23</v>
      </c>
      <c r="G339" s="79">
        <v>3260</v>
      </c>
      <c r="H339" s="132" t="s">
        <v>3038</v>
      </c>
      <c r="I339" s="16" t="s">
        <v>215</v>
      </c>
      <c r="J339" s="8" t="s">
        <v>4736</v>
      </c>
      <c r="L339" s="91"/>
      <c r="O339" s="359">
        <v>180</v>
      </c>
      <c r="P339" s="79">
        <v>300</v>
      </c>
      <c r="Q339" s="342">
        <v>624</v>
      </c>
      <c r="R339" s="81">
        <v>397</v>
      </c>
      <c r="S339" s="324">
        <v>118</v>
      </c>
      <c r="T339" s="384">
        <v>3.18</v>
      </c>
      <c r="U339" s="426">
        <f t="shared" si="244"/>
        <v>3.4678298800436207E-2</v>
      </c>
      <c r="V339" s="94">
        <v>10.55</v>
      </c>
      <c r="W339" s="39">
        <v>91.7</v>
      </c>
      <c r="X339" s="207">
        <v>90</v>
      </c>
      <c r="Y339" s="430">
        <f t="shared" si="245"/>
        <v>1.7000000000000028</v>
      </c>
      <c r="Z339" s="434">
        <f t="shared" si="246"/>
        <v>1.888888888888892E-2</v>
      </c>
      <c r="AA339" s="340">
        <v>-30.98</v>
      </c>
      <c r="AC339" s="24" t="s">
        <v>215</v>
      </c>
      <c r="AD339" s="84">
        <v>44603</v>
      </c>
      <c r="AE339" s="83">
        <v>44608</v>
      </c>
      <c r="AF339" s="33">
        <f t="shared" si="239"/>
        <v>5</v>
      </c>
      <c r="AG339" s="401" t="s">
        <v>1413</v>
      </c>
      <c r="AH339" s="443"/>
      <c r="AI339" s="254"/>
      <c r="AJ339" s="392"/>
      <c r="AM339" s="245"/>
      <c r="AR339" s="402" t="str">
        <f>INDEX(基本資料!N:N,MATCH($G339,基本資料!A:A,0))</f>
        <v>低</v>
      </c>
    </row>
    <row r="340" spans="1:44">
      <c r="A340" s="343">
        <v>4.4400000000000004</v>
      </c>
      <c r="B340" s="92">
        <v>1166</v>
      </c>
      <c r="C340" s="218">
        <v>25679</v>
      </c>
      <c r="D340" s="80">
        <v>-1</v>
      </c>
      <c r="E340" s="79">
        <v>11</v>
      </c>
      <c r="F340" s="79">
        <v>18.239999999999998</v>
      </c>
      <c r="G340" s="80">
        <v>3527</v>
      </c>
      <c r="H340" s="344" t="s">
        <v>3038</v>
      </c>
      <c r="I340" s="16" t="s">
        <v>326</v>
      </c>
      <c r="J340" s="8" t="s">
        <v>4736</v>
      </c>
      <c r="L340" s="91"/>
      <c r="O340" s="359">
        <v>135</v>
      </c>
      <c r="P340" s="79">
        <v>378</v>
      </c>
      <c r="Q340" s="342">
        <v>603</v>
      </c>
      <c r="R340" s="81">
        <v>195</v>
      </c>
      <c r="S340" s="324">
        <v>48</v>
      </c>
      <c r="T340" s="384">
        <v>2</v>
      </c>
      <c r="U340" s="426">
        <f t="shared" si="244"/>
        <v>1.06951871657754E-2</v>
      </c>
      <c r="V340" s="94">
        <v>10.47</v>
      </c>
      <c r="W340" s="39">
        <v>187</v>
      </c>
      <c r="X340" s="207">
        <v>183.5</v>
      </c>
      <c r="Y340" s="430">
        <f t="shared" si="245"/>
        <v>3.5</v>
      </c>
      <c r="Z340" s="434">
        <f t="shared" si="246"/>
        <v>1.9073569482288829E-2</v>
      </c>
      <c r="AA340" s="340">
        <v>-34.950000000000003</v>
      </c>
      <c r="AC340" s="24" t="s">
        <v>326</v>
      </c>
      <c r="AD340" s="84">
        <v>44602</v>
      </c>
      <c r="AE340" s="83">
        <v>44608</v>
      </c>
      <c r="AF340" s="33">
        <f t="shared" si="239"/>
        <v>6</v>
      </c>
      <c r="AG340" s="402" t="s">
        <v>2355</v>
      </c>
      <c r="AH340" s="443"/>
      <c r="AI340" s="254"/>
      <c r="AJ340" s="392"/>
      <c r="AM340" s="245"/>
      <c r="AR340" s="402" t="str">
        <f>INDEX(基本資料!N:N,MATCH($G340,基本資料!A:A,0))</f>
        <v>低</v>
      </c>
    </row>
    <row r="341" spans="1:44">
      <c r="A341" s="343">
        <v>16.100000000000001</v>
      </c>
      <c r="B341" s="79">
        <v>101</v>
      </c>
      <c r="C341" s="79">
        <v>100</v>
      </c>
      <c r="D341" s="79">
        <v>8</v>
      </c>
      <c r="E341" s="79">
        <v>12</v>
      </c>
      <c r="F341" s="79">
        <v>29.73</v>
      </c>
      <c r="G341" s="79">
        <v>3014</v>
      </c>
      <c r="H341" s="344" t="s">
        <v>3038</v>
      </c>
      <c r="I341" s="22" t="s">
        <v>97</v>
      </c>
      <c r="J341" s="8" t="s">
        <v>4742</v>
      </c>
      <c r="L341" s="91"/>
      <c r="O341" s="359">
        <v>565</v>
      </c>
      <c r="P341" s="79">
        <v>639</v>
      </c>
      <c r="Q341" s="342">
        <v>551</v>
      </c>
      <c r="R341" s="81">
        <v>354</v>
      </c>
      <c r="S341" s="324">
        <v>224</v>
      </c>
      <c r="T341" s="384">
        <v>6</v>
      </c>
      <c r="U341" s="426">
        <f t="shared" si="244"/>
        <v>5.2863436123348019E-2</v>
      </c>
      <c r="V341" s="94">
        <v>10.19</v>
      </c>
      <c r="W341" s="39">
        <v>113.5</v>
      </c>
      <c r="X341" s="207">
        <v>111.5</v>
      </c>
      <c r="Y341" s="430">
        <f t="shared" si="245"/>
        <v>2</v>
      </c>
      <c r="Z341" s="434">
        <f t="shared" si="246"/>
        <v>1.7937219730941704E-2</v>
      </c>
      <c r="AA341" s="340">
        <v>-21.6</v>
      </c>
      <c r="AC341" s="23" t="s">
        <v>97</v>
      </c>
      <c r="AD341" s="84">
        <v>44606</v>
      </c>
      <c r="AE341" s="311">
        <v>44606</v>
      </c>
      <c r="AF341" s="33">
        <f t="shared" si="239"/>
        <v>0</v>
      </c>
      <c r="AG341" s="401" t="s">
        <v>1437</v>
      </c>
      <c r="AH341" s="443"/>
      <c r="AI341" s="254"/>
      <c r="AJ341" s="392"/>
      <c r="AM341" s="245"/>
      <c r="AR341" s="402" t="str">
        <f>INDEX(基本資料!N:N,MATCH($G341,基本資料!A:A,0))</f>
        <v>低</v>
      </c>
    </row>
    <row r="342" spans="1:44">
      <c r="A342" s="343">
        <v>6.13</v>
      </c>
      <c r="B342" s="79">
        <v>56</v>
      </c>
      <c r="C342" s="79">
        <v>58</v>
      </c>
      <c r="D342" s="79">
        <v>25</v>
      </c>
      <c r="E342" s="79">
        <v>47</v>
      </c>
      <c r="F342" s="79">
        <v>28.75</v>
      </c>
      <c r="G342" s="79">
        <v>3556</v>
      </c>
      <c r="H342" s="132" t="s">
        <v>3038</v>
      </c>
      <c r="I342" s="16" t="s">
        <v>363</v>
      </c>
      <c r="J342" s="8" t="s">
        <v>4736</v>
      </c>
      <c r="L342" s="91"/>
      <c r="O342" s="359">
        <v>232</v>
      </c>
      <c r="P342" s="79">
        <v>337</v>
      </c>
      <c r="Q342" s="342">
        <v>680</v>
      </c>
      <c r="R342" s="81">
        <v>304</v>
      </c>
      <c r="S342" s="324">
        <v>78</v>
      </c>
      <c r="T342" s="384">
        <v>3.45</v>
      </c>
      <c r="U342" s="426">
        <f t="shared" si="244"/>
        <v>3.8851351351351357E-2</v>
      </c>
      <c r="V342" s="94">
        <v>5.72</v>
      </c>
      <c r="W342" s="39">
        <v>88.8</v>
      </c>
      <c r="X342" s="207">
        <v>86.7</v>
      </c>
      <c r="Y342" s="430">
        <f t="shared" si="245"/>
        <v>2.0999999999999943</v>
      </c>
      <c r="Z342" s="434">
        <f t="shared" si="246"/>
        <v>2.4221453287197166E-2</v>
      </c>
      <c r="AA342" s="340">
        <v>-26.67</v>
      </c>
      <c r="AC342" s="24" t="s">
        <v>363</v>
      </c>
      <c r="AD342" s="84">
        <v>44606</v>
      </c>
      <c r="AE342" s="311">
        <v>44606</v>
      </c>
      <c r="AF342" s="33">
        <f t="shared" si="239"/>
        <v>0</v>
      </c>
      <c r="AG342" s="402" t="s">
        <v>2356</v>
      </c>
      <c r="AH342" s="443"/>
      <c r="AI342" s="254"/>
      <c r="AJ342" s="392"/>
      <c r="AM342" s="245"/>
      <c r="AR342" s="402" t="str">
        <f>INDEX(基本資料!N:N,MATCH($G342,基本資料!A:A,0))</f>
        <v>低</v>
      </c>
    </row>
    <row r="343" spans="1:44">
      <c r="A343" s="343">
        <v>9.0299999999999994</v>
      </c>
      <c r="B343" s="79">
        <v>23</v>
      </c>
      <c r="C343" s="79">
        <v>31</v>
      </c>
      <c r="D343" s="79">
        <v>13</v>
      </c>
      <c r="E343" s="79">
        <v>123</v>
      </c>
      <c r="F343" s="79">
        <v>18.86</v>
      </c>
      <c r="G343" s="79">
        <v>6104</v>
      </c>
      <c r="H343" s="132" t="s">
        <v>3038</v>
      </c>
      <c r="I343" s="16" t="s">
        <v>372</v>
      </c>
      <c r="J343" s="8" t="s">
        <v>4736</v>
      </c>
      <c r="L343" s="91"/>
      <c r="O343" s="359">
        <v>20</v>
      </c>
      <c r="P343" s="79">
        <v>122</v>
      </c>
      <c r="Q343" s="342">
        <v>571</v>
      </c>
      <c r="R343" s="81">
        <v>14</v>
      </c>
      <c r="S343" s="324">
        <v>2</v>
      </c>
      <c r="T343" s="384">
        <v>3</v>
      </c>
      <c r="U343" s="426">
        <f t="shared" si="244"/>
        <v>1.1952191235059761E-2</v>
      </c>
      <c r="V343" s="94">
        <v>4.42</v>
      </c>
      <c r="W343" s="39">
        <v>251</v>
      </c>
      <c r="X343" s="207">
        <v>245</v>
      </c>
      <c r="Y343" s="430">
        <f t="shared" si="245"/>
        <v>6</v>
      </c>
      <c r="Z343" s="434">
        <f t="shared" si="246"/>
        <v>2.4489795918367346E-2</v>
      </c>
      <c r="AA343" s="340">
        <v>-4.46</v>
      </c>
      <c r="AC343" s="24" t="s">
        <v>372</v>
      </c>
      <c r="AD343" s="84">
        <v>44603</v>
      </c>
      <c r="AE343" s="311">
        <v>44603</v>
      </c>
      <c r="AF343" s="33">
        <f t="shared" si="239"/>
        <v>0</v>
      </c>
      <c r="AG343" s="402" t="s">
        <v>3045</v>
      </c>
      <c r="AH343" s="443"/>
      <c r="AI343" s="254"/>
      <c r="AJ343" s="288"/>
      <c r="AM343" s="245"/>
      <c r="AR343" s="402" t="str">
        <f>INDEX(基本資料!N:N,MATCH($G343,基本資料!A:A,0))</f>
        <v>中</v>
      </c>
    </row>
    <row r="344" spans="1:44">
      <c r="A344" s="343">
        <v>9.0299999999999994</v>
      </c>
      <c r="B344" s="79">
        <v>23</v>
      </c>
      <c r="C344" s="79">
        <v>31</v>
      </c>
      <c r="D344" s="79">
        <v>13</v>
      </c>
      <c r="E344" s="79">
        <v>123</v>
      </c>
      <c r="F344" s="79">
        <v>18.86</v>
      </c>
      <c r="G344" s="79">
        <v>6104</v>
      </c>
      <c r="H344" s="132" t="s">
        <v>3038</v>
      </c>
      <c r="I344" s="16" t="s">
        <v>372</v>
      </c>
      <c r="J344" s="8" t="s">
        <v>4736</v>
      </c>
      <c r="L344" s="91"/>
      <c r="O344" s="359">
        <v>20</v>
      </c>
      <c r="P344" s="79">
        <v>122</v>
      </c>
      <c r="Q344" s="342">
        <v>571</v>
      </c>
      <c r="R344" s="81">
        <v>14</v>
      </c>
      <c r="S344" s="324">
        <v>2</v>
      </c>
      <c r="T344" s="384">
        <v>3</v>
      </c>
      <c r="U344" s="426">
        <f t="shared" si="244"/>
        <v>1.1952191235059761E-2</v>
      </c>
      <c r="V344" s="94">
        <v>4.42</v>
      </c>
      <c r="W344" s="39">
        <v>251</v>
      </c>
      <c r="X344" s="207">
        <v>258</v>
      </c>
      <c r="Y344" s="430">
        <f t="shared" si="245"/>
        <v>-7</v>
      </c>
      <c r="Z344" s="435">
        <f t="shared" si="246"/>
        <v>-2.7131782945736434E-2</v>
      </c>
      <c r="AA344" s="340">
        <v>0</v>
      </c>
      <c r="AC344" s="24" t="s">
        <v>372</v>
      </c>
      <c r="AD344" s="84">
        <v>44602</v>
      </c>
      <c r="AE344" s="83">
        <v>44603</v>
      </c>
      <c r="AF344" s="33">
        <f t="shared" si="239"/>
        <v>1</v>
      </c>
      <c r="AG344" s="402" t="s">
        <v>3045</v>
      </c>
      <c r="AH344" s="443"/>
      <c r="AI344" s="254"/>
      <c r="AJ344" s="288"/>
      <c r="AM344" s="245"/>
      <c r="AR344" s="402" t="str">
        <f>INDEX(基本資料!N:N,MATCH($G344,基本資料!A:A,0))</f>
        <v>中</v>
      </c>
    </row>
    <row r="345" spans="1:44">
      <c r="A345" s="343">
        <v>4.91</v>
      </c>
      <c r="B345" s="79">
        <v>16</v>
      </c>
      <c r="C345" s="79">
        <v>0</v>
      </c>
      <c r="D345" s="79">
        <v>25</v>
      </c>
      <c r="E345" s="79">
        <v>10</v>
      </c>
      <c r="F345" s="79">
        <v>5.41</v>
      </c>
      <c r="G345" s="79">
        <v>3558</v>
      </c>
      <c r="H345" s="344" t="s">
        <v>311</v>
      </c>
      <c r="I345" s="16" t="s">
        <v>4371</v>
      </c>
      <c r="J345" s="8" t="s">
        <v>4736</v>
      </c>
      <c r="L345" s="91"/>
      <c r="O345" s="359">
        <v>140</v>
      </c>
      <c r="P345" s="79">
        <v>156</v>
      </c>
      <c r="Q345" s="342">
        <v>898</v>
      </c>
      <c r="R345" s="81">
        <v>13</v>
      </c>
      <c r="S345" s="324">
        <v>166</v>
      </c>
      <c r="T345" s="384">
        <v>4</v>
      </c>
      <c r="U345" s="426">
        <f t="shared" si="244"/>
        <v>3.3057851239669422E-2</v>
      </c>
      <c r="V345" s="94">
        <v>8.49</v>
      </c>
      <c r="W345" s="39">
        <v>121</v>
      </c>
      <c r="X345" s="207">
        <v>119</v>
      </c>
      <c r="Y345" s="430">
        <f t="shared" si="245"/>
        <v>2</v>
      </c>
      <c r="Z345" s="434">
        <f t="shared" si="246"/>
        <v>1.680672268907563E-2</v>
      </c>
      <c r="AA345" s="340">
        <v>-2.46</v>
      </c>
      <c r="AC345" s="24" t="s">
        <v>4371</v>
      </c>
      <c r="AD345" s="84">
        <v>44601</v>
      </c>
      <c r="AE345" s="83">
        <v>44603</v>
      </c>
      <c r="AF345" s="33">
        <f t="shared" si="239"/>
        <v>2</v>
      </c>
      <c r="AG345" s="401" t="s">
        <v>4372</v>
      </c>
      <c r="AH345" s="443"/>
      <c r="AI345" s="254"/>
      <c r="AJ345" s="392"/>
      <c r="AM345" s="245"/>
      <c r="AR345" s="402" t="str">
        <f>INDEX(基本資料!N:N,MATCH($G345,基本資料!A:A,0))</f>
        <v>高</v>
      </c>
    </row>
    <row r="346" spans="1:44">
      <c r="A346" s="343">
        <v>7.31</v>
      </c>
      <c r="B346" s="79">
        <v>254</v>
      </c>
      <c r="C346" s="79">
        <v>240</v>
      </c>
      <c r="D346" s="79">
        <v>4</v>
      </c>
      <c r="E346" s="79">
        <v>69</v>
      </c>
      <c r="F346" s="79">
        <v>20.85</v>
      </c>
      <c r="G346" s="79">
        <v>6706</v>
      </c>
      <c r="H346" s="403" t="s">
        <v>306</v>
      </c>
      <c r="I346" s="22" t="s">
        <v>1741</v>
      </c>
      <c r="J346" s="8" t="s">
        <v>4736</v>
      </c>
      <c r="L346" s="91"/>
      <c r="O346" s="359">
        <v>115</v>
      </c>
      <c r="P346" s="79">
        <v>511</v>
      </c>
      <c r="Q346" s="342">
        <v>437</v>
      </c>
      <c r="R346" s="81" t="s">
        <v>6279</v>
      </c>
      <c r="S346" s="324">
        <v>33</v>
      </c>
      <c r="T346" s="384">
        <v>4</v>
      </c>
      <c r="U346" s="426">
        <f t="shared" si="244"/>
        <v>1.5810276679841896E-2</v>
      </c>
      <c r="V346" s="94">
        <v>11.85</v>
      </c>
      <c r="W346" s="39">
        <v>253</v>
      </c>
      <c r="X346" s="207">
        <v>247.5</v>
      </c>
      <c r="Y346" s="430">
        <f t="shared" si="245"/>
        <v>5.5</v>
      </c>
      <c r="Z346" s="434">
        <f t="shared" si="246"/>
        <v>2.2222222222222223E-2</v>
      </c>
      <c r="AA346" s="340">
        <v>-7.34</v>
      </c>
      <c r="AC346" s="23" t="s">
        <v>1741</v>
      </c>
      <c r="AD346" s="84">
        <v>44601</v>
      </c>
      <c r="AE346" s="311">
        <v>44601</v>
      </c>
      <c r="AF346" s="33">
        <f t="shared" si="239"/>
        <v>0</v>
      </c>
      <c r="AG346" s="417" t="s">
        <v>1864</v>
      </c>
      <c r="AH346" s="443"/>
      <c r="AI346" s="254"/>
      <c r="AJ346" s="392"/>
      <c r="AM346" s="245"/>
      <c r="AR346" s="402" t="str">
        <f>INDEX(基本資料!N:N,MATCH($G346,基本資料!A:A,0))</f>
        <v>低</v>
      </c>
    </row>
    <row r="347" spans="1:44">
      <c r="A347" s="343">
        <v>5.99</v>
      </c>
      <c r="B347" s="79">
        <v>135</v>
      </c>
      <c r="C347" s="79">
        <v>168</v>
      </c>
      <c r="D347" s="79">
        <v>0</v>
      </c>
      <c r="E347" s="79">
        <v>29</v>
      </c>
      <c r="F347" s="79">
        <v>18.399999999999999</v>
      </c>
      <c r="G347" s="79">
        <v>3455</v>
      </c>
      <c r="H347" s="403" t="s">
        <v>306</v>
      </c>
      <c r="I347" s="16" t="s">
        <v>4186</v>
      </c>
      <c r="J347" s="8" t="s">
        <v>4742</v>
      </c>
      <c r="L347" s="91"/>
      <c r="O347" s="359">
        <v>107</v>
      </c>
      <c r="P347" s="79">
        <v>308</v>
      </c>
      <c r="Q347" s="342">
        <v>912</v>
      </c>
      <c r="R347" s="81">
        <v>129</v>
      </c>
      <c r="S347" s="324">
        <v>83</v>
      </c>
      <c r="T347" s="384">
        <v>4</v>
      </c>
      <c r="U347" s="426">
        <f t="shared" si="244"/>
        <v>3.5555555555555556E-2</v>
      </c>
      <c r="V347" s="94">
        <v>6.76</v>
      </c>
      <c r="W347" s="39">
        <v>112.5</v>
      </c>
      <c r="X347" s="207">
        <v>110.5</v>
      </c>
      <c r="Y347" s="430">
        <f t="shared" si="245"/>
        <v>2</v>
      </c>
      <c r="Z347" s="434">
        <f t="shared" si="246"/>
        <v>1.8099547511312219E-2</v>
      </c>
      <c r="AA347" s="340">
        <v>-7.56</v>
      </c>
      <c r="AC347" s="24" t="s">
        <v>4186</v>
      </c>
      <c r="AD347" s="84">
        <v>44601</v>
      </c>
      <c r="AE347" s="311">
        <v>44601</v>
      </c>
      <c r="AF347" s="33">
        <f t="shared" si="239"/>
        <v>0</v>
      </c>
      <c r="AG347" s="402" t="s">
        <v>2433</v>
      </c>
      <c r="AH347" s="443"/>
      <c r="AI347" s="254"/>
      <c r="AM347" s="245"/>
      <c r="AR347" s="402" t="str">
        <f>INDEX(基本資料!N:N,MATCH($G347,基本資料!A:A,0))</f>
        <v>中</v>
      </c>
    </row>
    <row r="348" spans="1:44">
      <c r="A348" s="343">
        <v>6.01</v>
      </c>
      <c r="B348" s="80">
        <v>-60</v>
      </c>
      <c r="C348" s="80">
        <v>-58</v>
      </c>
      <c r="D348" s="79">
        <v>15</v>
      </c>
      <c r="E348" s="79">
        <v>70</v>
      </c>
      <c r="F348" s="79">
        <v>1.66</v>
      </c>
      <c r="G348" s="79">
        <v>3548</v>
      </c>
      <c r="H348" s="344" t="s">
        <v>308</v>
      </c>
      <c r="I348" s="16" t="s">
        <v>141</v>
      </c>
      <c r="J348" s="8" t="s">
        <v>4736</v>
      </c>
      <c r="L348" s="91"/>
      <c r="O348" s="359">
        <v>48</v>
      </c>
      <c r="P348" s="79">
        <v>308</v>
      </c>
      <c r="Q348" s="342">
        <v>664</v>
      </c>
      <c r="R348" s="81">
        <v>475</v>
      </c>
      <c r="S348" s="324">
        <v>439</v>
      </c>
      <c r="T348" s="384">
        <v>2.5</v>
      </c>
      <c r="U348" s="426">
        <f t="shared" si="244"/>
        <v>3.2216494845360828E-2</v>
      </c>
      <c r="V348" s="94">
        <v>2.6</v>
      </c>
      <c r="W348" s="39">
        <v>77.599999999999994</v>
      </c>
      <c r="X348" s="207">
        <v>75.8</v>
      </c>
      <c r="Y348" s="430">
        <f t="shared" si="245"/>
        <v>1.7999999999999972</v>
      </c>
      <c r="Z348" s="434">
        <f t="shared" si="246"/>
        <v>2.3746701846965663E-2</v>
      </c>
      <c r="AA348" s="340">
        <v>-10.71</v>
      </c>
      <c r="AC348" s="24" t="s">
        <v>141</v>
      </c>
      <c r="AD348" s="84">
        <v>44601</v>
      </c>
      <c r="AE348" s="311">
        <v>44601</v>
      </c>
      <c r="AF348" s="33">
        <f t="shared" si="239"/>
        <v>0</v>
      </c>
      <c r="AG348" s="401" t="s">
        <v>2889</v>
      </c>
      <c r="AH348" s="443"/>
      <c r="AI348" s="254"/>
      <c r="AJ348" s="392"/>
      <c r="AM348" s="245"/>
      <c r="AR348" s="402" t="str">
        <f>INDEX(基本資料!N:N,MATCH($G348,基本資料!A:A,0))</f>
        <v>中</v>
      </c>
    </row>
    <row r="349" spans="1:44">
      <c r="A349" s="343">
        <v>13.5</v>
      </c>
      <c r="B349" s="79">
        <v>144</v>
      </c>
      <c r="C349" s="79">
        <v>119</v>
      </c>
      <c r="D349" s="79">
        <v>0</v>
      </c>
      <c r="E349" s="79">
        <v>13</v>
      </c>
      <c r="F349" s="79">
        <v>11.15</v>
      </c>
      <c r="G349" s="79">
        <v>8938</v>
      </c>
      <c r="H349" s="344" t="s">
        <v>1959</v>
      </c>
      <c r="I349" s="16" t="s">
        <v>86</v>
      </c>
      <c r="J349" s="8" t="s">
        <v>4736</v>
      </c>
      <c r="L349" s="91"/>
      <c r="O349" s="359">
        <v>766</v>
      </c>
      <c r="P349" s="79">
        <v>97</v>
      </c>
      <c r="Q349" s="342">
        <v>406</v>
      </c>
      <c r="R349" s="81">
        <v>286</v>
      </c>
      <c r="S349" s="324">
        <v>465</v>
      </c>
      <c r="T349" s="384">
        <v>2.7</v>
      </c>
      <c r="U349" s="426">
        <f t="shared" si="244"/>
        <v>3.2258064516129031E-2</v>
      </c>
      <c r="V349" s="94">
        <v>9</v>
      </c>
      <c r="W349" s="39">
        <v>83.7</v>
      </c>
      <c r="X349" s="207">
        <v>82</v>
      </c>
      <c r="Y349" s="430">
        <f t="shared" si="245"/>
        <v>1.7000000000000028</v>
      </c>
      <c r="Z349" s="434">
        <f t="shared" si="246"/>
        <v>2.0731707317073206E-2</v>
      </c>
      <c r="AA349" s="340">
        <v>-14.26</v>
      </c>
      <c r="AC349" s="24" t="s">
        <v>86</v>
      </c>
      <c r="AD349" s="84">
        <v>44599</v>
      </c>
      <c r="AE349" s="83">
        <v>44601</v>
      </c>
      <c r="AF349" s="33">
        <f t="shared" si="239"/>
        <v>2</v>
      </c>
      <c r="AG349" s="402" t="s">
        <v>3059</v>
      </c>
      <c r="AH349" s="443"/>
      <c r="AI349" s="254"/>
      <c r="AJ349" s="392"/>
      <c r="AM349" s="245"/>
      <c r="AR349" s="402" t="str">
        <f>INDEX(基本資料!N:N,MATCH($G349,基本資料!A:A,0))</f>
        <v>高</v>
      </c>
    </row>
    <row r="350" spans="1:44">
      <c r="A350" s="343">
        <v>5.85</v>
      </c>
      <c r="B350" s="79">
        <v>18</v>
      </c>
      <c r="C350" s="79">
        <v>10</v>
      </c>
      <c r="D350" s="80">
        <v>-3</v>
      </c>
      <c r="E350" s="79">
        <v>10</v>
      </c>
      <c r="F350" s="79">
        <v>26.73</v>
      </c>
      <c r="G350" s="79">
        <v>3526</v>
      </c>
      <c r="H350" s="344" t="s">
        <v>308</v>
      </c>
      <c r="I350" s="16" t="s">
        <v>156</v>
      </c>
      <c r="J350" s="8" t="s">
        <v>4742</v>
      </c>
      <c r="O350" s="359">
        <v>528</v>
      </c>
      <c r="P350" s="79">
        <v>83</v>
      </c>
      <c r="Q350" s="342">
        <v>847</v>
      </c>
      <c r="R350" s="81">
        <v>65</v>
      </c>
      <c r="S350" s="324">
        <v>62</v>
      </c>
      <c r="T350" s="384">
        <v>9.1300000000000008</v>
      </c>
      <c r="U350" s="426">
        <f t="shared" si="244"/>
        <v>4.3270142180094791E-2</v>
      </c>
      <c r="V350" s="94">
        <v>9.74</v>
      </c>
      <c r="W350" s="39">
        <v>211</v>
      </c>
      <c r="X350" s="207">
        <v>207</v>
      </c>
      <c r="Y350" s="430">
        <f t="shared" si="245"/>
        <v>4</v>
      </c>
      <c r="Z350" s="434">
        <f t="shared" si="246"/>
        <v>1.932367149758454E-2</v>
      </c>
      <c r="AA350" s="340">
        <v>-8.59</v>
      </c>
      <c r="AC350" s="24" t="s">
        <v>156</v>
      </c>
      <c r="AD350" s="84">
        <v>44600</v>
      </c>
      <c r="AE350" s="83">
        <v>44601</v>
      </c>
      <c r="AF350" s="33">
        <f t="shared" si="239"/>
        <v>1</v>
      </c>
      <c r="AG350" s="401" t="s">
        <v>1902</v>
      </c>
      <c r="AH350" s="443"/>
      <c r="AI350" s="254"/>
      <c r="AJ350" s="394"/>
      <c r="AM350" s="245"/>
      <c r="AR350" s="402" t="str">
        <f>INDEX(基本資料!N:N,MATCH($G350,基本資料!A:A,0))</f>
        <v>低</v>
      </c>
    </row>
    <row r="351" spans="1:44">
      <c r="A351" s="343">
        <v>7.31</v>
      </c>
      <c r="B351" s="79">
        <v>254</v>
      </c>
      <c r="C351" s="79">
        <v>240</v>
      </c>
      <c r="D351" s="79">
        <v>4</v>
      </c>
      <c r="E351" s="79">
        <v>69</v>
      </c>
      <c r="F351" s="79">
        <v>20.85</v>
      </c>
      <c r="G351" s="79">
        <v>6706</v>
      </c>
      <c r="H351" s="403" t="s">
        <v>306</v>
      </c>
      <c r="I351" s="22" t="s">
        <v>1741</v>
      </c>
      <c r="J351" s="8" t="s">
        <v>4736</v>
      </c>
      <c r="L351" s="91"/>
      <c r="O351" s="359">
        <v>115</v>
      </c>
      <c r="P351" s="79">
        <v>511</v>
      </c>
      <c r="Q351" s="342">
        <v>437</v>
      </c>
      <c r="R351" s="81" t="s">
        <v>6279</v>
      </c>
      <c r="S351" s="324">
        <v>33</v>
      </c>
      <c r="T351" s="384">
        <v>4</v>
      </c>
      <c r="U351" s="426">
        <f t="shared" si="244"/>
        <v>1.680672268907563E-2</v>
      </c>
      <c r="V351" s="94">
        <v>11.85</v>
      </c>
      <c r="W351" s="39">
        <v>238</v>
      </c>
      <c r="X351" s="207">
        <v>232.5</v>
      </c>
      <c r="Y351" s="430">
        <f t="shared" si="245"/>
        <v>5.5</v>
      </c>
      <c r="Z351" s="434">
        <f t="shared" si="246"/>
        <v>2.3655913978494623E-2</v>
      </c>
      <c r="AA351" s="340">
        <v>-8.49</v>
      </c>
      <c r="AC351" s="23" t="s">
        <v>1741</v>
      </c>
      <c r="AD351" s="84">
        <v>44600</v>
      </c>
      <c r="AE351" s="311">
        <v>44600</v>
      </c>
      <c r="AF351" s="33">
        <f t="shared" si="239"/>
        <v>0</v>
      </c>
      <c r="AG351" s="417" t="s">
        <v>1864</v>
      </c>
      <c r="AH351" s="443"/>
      <c r="AI351" s="254"/>
      <c r="AJ351" s="392"/>
      <c r="AM351" s="245"/>
      <c r="AR351" s="402" t="str">
        <f>INDEX(基本資料!N:N,MATCH($G351,基本資料!A:A,0))</f>
        <v>低</v>
      </c>
    </row>
    <row r="352" spans="1:44">
      <c r="A352" s="343">
        <v>9.0299999999999994</v>
      </c>
      <c r="B352" s="79">
        <v>23</v>
      </c>
      <c r="C352" s="79">
        <v>31</v>
      </c>
      <c r="D352" s="79">
        <v>12</v>
      </c>
      <c r="E352" s="79">
        <v>90</v>
      </c>
      <c r="F352" s="79">
        <v>18.86</v>
      </c>
      <c r="G352" s="79">
        <v>6104</v>
      </c>
      <c r="H352" s="132" t="s">
        <v>3038</v>
      </c>
      <c r="I352" s="16" t="s">
        <v>372</v>
      </c>
      <c r="J352" s="8" t="s">
        <v>4742</v>
      </c>
      <c r="L352" s="91"/>
      <c r="O352" s="359">
        <v>20</v>
      </c>
      <c r="P352" s="79">
        <v>122</v>
      </c>
      <c r="Q352" s="342">
        <v>571</v>
      </c>
      <c r="R352" s="81">
        <v>14</v>
      </c>
      <c r="S352" s="324">
        <v>2</v>
      </c>
      <c r="T352" s="384">
        <v>3</v>
      </c>
      <c r="U352" s="426">
        <f t="shared" si="244"/>
        <v>1.3698630136986301E-2</v>
      </c>
      <c r="V352" s="94">
        <v>4.42</v>
      </c>
      <c r="W352" s="39">
        <v>219</v>
      </c>
      <c r="X352" s="207">
        <v>214</v>
      </c>
      <c r="Y352" s="430">
        <f t="shared" si="245"/>
        <v>5</v>
      </c>
      <c r="Z352" s="434">
        <f t="shared" si="246"/>
        <v>2.336448598130841E-2</v>
      </c>
      <c r="AA352" s="340">
        <v>-3.83</v>
      </c>
      <c r="AC352" s="24" t="s">
        <v>372</v>
      </c>
      <c r="AD352" s="84">
        <v>44600</v>
      </c>
      <c r="AE352" s="311">
        <v>44600</v>
      </c>
      <c r="AF352" s="33">
        <f t="shared" si="239"/>
        <v>0</v>
      </c>
      <c r="AG352" s="402" t="s">
        <v>3045</v>
      </c>
      <c r="AH352" s="443"/>
      <c r="AI352" s="254"/>
      <c r="AJ352" s="288"/>
      <c r="AM352" s="245"/>
      <c r="AR352" s="402" t="str">
        <f>INDEX(基本資料!N:N,MATCH($G352,基本資料!A:A,0))</f>
        <v>中</v>
      </c>
    </row>
    <row r="353" spans="1:44">
      <c r="A353" s="343">
        <v>6.01</v>
      </c>
      <c r="B353" s="80">
        <v>-60</v>
      </c>
      <c r="C353" s="80">
        <v>-58</v>
      </c>
      <c r="D353" s="79">
        <v>15</v>
      </c>
      <c r="E353" s="79">
        <v>70</v>
      </c>
      <c r="F353" s="79">
        <v>1.66</v>
      </c>
      <c r="G353" s="79">
        <v>3548</v>
      </c>
      <c r="H353" s="403" t="s">
        <v>3388</v>
      </c>
      <c r="I353" s="16" t="s">
        <v>141</v>
      </c>
      <c r="J353" s="8" t="s">
        <v>4736</v>
      </c>
      <c r="L353" s="91"/>
      <c r="O353" s="359">
        <v>48</v>
      </c>
      <c r="P353" s="79">
        <v>308</v>
      </c>
      <c r="Q353" s="342">
        <v>664</v>
      </c>
      <c r="R353" s="81">
        <v>475</v>
      </c>
      <c r="S353" s="324">
        <v>439</v>
      </c>
      <c r="T353" s="384">
        <v>2.5</v>
      </c>
      <c r="U353" s="426">
        <f t="shared" si="244"/>
        <v>3.3921302578018994E-2</v>
      </c>
      <c r="V353" s="94">
        <v>2.6</v>
      </c>
      <c r="W353" s="39">
        <v>73.7</v>
      </c>
      <c r="X353" s="207">
        <v>72.2</v>
      </c>
      <c r="Y353" s="430">
        <f t="shared" si="245"/>
        <v>1.5</v>
      </c>
      <c r="Z353" s="434">
        <f t="shared" si="246"/>
        <v>2.077562326869806E-2</v>
      </c>
      <c r="AA353" s="340">
        <v>-18</v>
      </c>
      <c r="AC353" s="24" t="s">
        <v>141</v>
      </c>
      <c r="AD353" s="84">
        <v>44600</v>
      </c>
      <c r="AE353" s="311">
        <v>44600</v>
      </c>
      <c r="AF353" s="33">
        <f t="shared" si="239"/>
        <v>0</v>
      </c>
      <c r="AG353" s="401" t="s">
        <v>2889</v>
      </c>
      <c r="AH353" s="443"/>
      <c r="AI353" s="254"/>
      <c r="AJ353" s="392"/>
      <c r="AM353" s="245"/>
      <c r="AR353" s="402" t="str">
        <f>INDEX(基本資料!N:N,MATCH($G353,基本資料!A:A,0))</f>
        <v>中</v>
      </c>
    </row>
    <row r="354" spans="1:44">
      <c r="A354" s="343">
        <v>3.81</v>
      </c>
      <c r="B354" s="79">
        <v>84</v>
      </c>
      <c r="C354" s="79">
        <v>120</v>
      </c>
      <c r="D354" s="79">
        <v>2</v>
      </c>
      <c r="E354" s="79">
        <v>32</v>
      </c>
      <c r="F354" s="79">
        <v>15.8</v>
      </c>
      <c r="G354" s="80">
        <v>6548</v>
      </c>
      <c r="H354" s="208" t="s">
        <v>3038</v>
      </c>
      <c r="I354" s="16" t="s">
        <v>1397</v>
      </c>
      <c r="J354" s="8" t="s">
        <v>4736</v>
      </c>
      <c r="L354" s="91"/>
      <c r="O354" s="359">
        <v>873</v>
      </c>
      <c r="P354" s="79">
        <v>983</v>
      </c>
      <c r="Q354" s="342">
        <v>660</v>
      </c>
      <c r="R354" s="81">
        <v>284</v>
      </c>
      <c r="S354" s="324">
        <v>5</v>
      </c>
      <c r="T354" s="384">
        <v>0.68</v>
      </c>
      <c r="U354" s="426">
        <f t="shared" si="244"/>
        <v>6.4761904761904765E-3</v>
      </c>
      <c r="V354" s="94">
        <v>3.64</v>
      </c>
      <c r="W354" s="39">
        <v>105</v>
      </c>
      <c r="X354" s="207">
        <v>99.4</v>
      </c>
      <c r="Y354" s="430">
        <f t="shared" si="245"/>
        <v>5.5999999999999943</v>
      </c>
      <c r="Z354" s="434">
        <f t="shared" si="246"/>
        <v>5.6338028169014023E-2</v>
      </c>
      <c r="AA354" s="340">
        <v>-14.89</v>
      </c>
      <c r="AC354" s="24" t="s">
        <v>1397</v>
      </c>
      <c r="AD354" s="84">
        <v>44587</v>
      </c>
      <c r="AE354" s="83">
        <v>44600</v>
      </c>
      <c r="AF354" s="33">
        <f t="shared" si="239"/>
        <v>13</v>
      </c>
      <c r="AG354" s="401" t="s">
        <v>2804</v>
      </c>
      <c r="AH354" s="443"/>
      <c r="AI354" s="254"/>
      <c r="AJ354" s="392"/>
      <c r="AM354" s="245"/>
      <c r="AR354" s="402" t="str">
        <f>INDEX(基本資料!N:N,MATCH($G354,基本資料!A:A,0))</f>
        <v>低</v>
      </c>
    </row>
    <row r="355" spans="1:44">
      <c r="A355" s="343">
        <v>5.85</v>
      </c>
      <c r="B355" s="79">
        <v>18</v>
      </c>
      <c r="C355" s="79">
        <v>10</v>
      </c>
      <c r="D355" s="80">
        <v>-3</v>
      </c>
      <c r="E355" s="79">
        <v>10</v>
      </c>
      <c r="F355" s="79">
        <v>26.73</v>
      </c>
      <c r="G355" s="79">
        <v>3526</v>
      </c>
      <c r="H355" s="344" t="s">
        <v>308</v>
      </c>
      <c r="I355" s="16" t="s">
        <v>156</v>
      </c>
      <c r="J355" s="8" t="s">
        <v>4736</v>
      </c>
      <c r="O355" s="359">
        <v>528</v>
      </c>
      <c r="P355" s="79">
        <v>83</v>
      </c>
      <c r="Q355" s="342">
        <v>847</v>
      </c>
      <c r="R355" s="81">
        <v>65</v>
      </c>
      <c r="S355" s="324">
        <v>62</v>
      </c>
      <c r="T355" s="384">
        <v>9.1300000000000008</v>
      </c>
      <c r="U355" s="426">
        <f t="shared" si="244"/>
        <v>4.5310173697270473E-2</v>
      </c>
      <c r="V355" s="94">
        <v>9.74</v>
      </c>
      <c r="W355" s="39">
        <v>201.5</v>
      </c>
      <c r="X355" s="207">
        <v>197</v>
      </c>
      <c r="Y355" s="430">
        <f t="shared" si="245"/>
        <v>4.5</v>
      </c>
      <c r="Z355" s="434">
        <f t="shared" si="246"/>
        <v>2.2842639593908629E-2</v>
      </c>
      <c r="AA355" s="340">
        <v>-16.52</v>
      </c>
      <c r="AC355" s="24" t="s">
        <v>156</v>
      </c>
      <c r="AD355" s="84">
        <v>44599</v>
      </c>
      <c r="AE355" s="311">
        <v>44599</v>
      </c>
      <c r="AF355" s="33">
        <f t="shared" si="239"/>
        <v>0</v>
      </c>
      <c r="AG355" s="401" t="s">
        <v>1902</v>
      </c>
      <c r="AH355" s="443"/>
      <c r="AI355" s="254"/>
      <c r="AJ355" s="394"/>
      <c r="AM355" s="245"/>
      <c r="AR355" s="402" t="str">
        <f>INDEX(基本資料!N:N,MATCH($G355,基本資料!A:A,0))</f>
        <v>低</v>
      </c>
    </row>
    <row r="356" spans="1:44">
      <c r="A356" s="343">
        <v>4.9800000000000004</v>
      </c>
      <c r="B356" s="80">
        <v>-42</v>
      </c>
      <c r="C356" s="80">
        <v>-44</v>
      </c>
      <c r="D356" s="79">
        <v>4</v>
      </c>
      <c r="E356" s="79">
        <v>38</v>
      </c>
      <c r="F356" s="79">
        <v>14.35</v>
      </c>
      <c r="G356" s="79">
        <v>8155</v>
      </c>
      <c r="H356" s="344" t="s">
        <v>308</v>
      </c>
      <c r="I356" s="16" t="s">
        <v>84</v>
      </c>
      <c r="J356" s="8" t="s">
        <v>4736</v>
      </c>
      <c r="L356" s="91"/>
      <c r="O356" s="359">
        <v>224</v>
      </c>
      <c r="P356" s="79">
        <v>214</v>
      </c>
      <c r="Q356" s="342">
        <v>1075</v>
      </c>
      <c r="R356" s="81">
        <v>2</v>
      </c>
      <c r="S356" s="324">
        <v>7</v>
      </c>
      <c r="T356" s="384">
        <v>7</v>
      </c>
      <c r="U356" s="426">
        <f t="shared" si="244"/>
        <v>3.6363636363636362E-2</v>
      </c>
      <c r="V356" s="94">
        <v>6.99</v>
      </c>
      <c r="W356" s="39">
        <v>192.5</v>
      </c>
      <c r="X356" s="207">
        <v>188</v>
      </c>
      <c r="Y356" s="430">
        <f t="shared" si="245"/>
        <v>4.5</v>
      </c>
      <c r="Z356" s="434">
        <f t="shared" si="246"/>
        <v>2.3936170212765957E-2</v>
      </c>
      <c r="AA356" s="340">
        <v>-5.91</v>
      </c>
      <c r="AC356" s="24" t="s">
        <v>84</v>
      </c>
      <c r="AD356" s="84">
        <v>44599</v>
      </c>
      <c r="AE356" s="311">
        <v>44599</v>
      </c>
      <c r="AF356" s="33">
        <f t="shared" si="239"/>
        <v>0</v>
      </c>
      <c r="AG356" s="401" t="s">
        <v>1048</v>
      </c>
      <c r="AH356" s="443"/>
      <c r="AI356" s="254"/>
      <c r="AJ356" s="392"/>
      <c r="AM356" s="245"/>
      <c r="AR356" s="402" t="str">
        <f>INDEX(基本資料!N:N,MATCH($G356,基本資料!A:A,0))</f>
        <v>中</v>
      </c>
    </row>
    <row r="357" spans="1:44">
      <c r="A357" s="343">
        <v>8.84</v>
      </c>
      <c r="B357" s="80">
        <v>-8</v>
      </c>
      <c r="C357" s="80">
        <v>-16</v>
      </c>
      <c r="D357" s="79">
        <v>1</v>
      </c>
      <c r="E357" s="79">
        <v>19</v>
      </c>
      <c r="F357" s="79">
        <v>9.17</v>
      </c>
      <c r="G357" s="79">
        <v>3324</v>
      </c>
      <c r="H357" s="403" t="s">
        <v>314</v>
      </c>
      <c r="I357" s="16" t="s">
        <v>228</v>
      </c>
      <c r="J357" s="8" t="s">
        <v>4736</v>
      </c>
      <c r="L357" s="91"/>
      <c r="O357" s="359">
        <v>51</v>
      </c>
      <c r="P357" s="79">
        <v>80</v>
      </c>
      <c r="Q357" s="342">
        <v>421</v>
      </c>
      <c r="R357" s="81">
        <v>85</v>
      </c>
      <c r="S357" s="324">
        <v>25</v>
      </c>
      <c r="T357" s="384">
        <v>5.6</v>
      </c>
      <c r="U357" s="426">
        <f t="shared" si="244"/>
        <v>2.4190064794816415E-2</v>
      </c>
      <c r="V357" s="94">
        <v>12.05</v>
      </c>
      <c r="W357" s="39">
        <v>231.5</v>
      </c>
      <c r="X357" s="207">
        <v>226</v>
      </c>
      <c r="Y357" s="430">
        <f t="shared" si="245"/>
        <v>5.5</v>
      </c>
      <c r="Z357" s="434">
        <f t="shared" si="246"/>
        <v>2.4336283185840708E-2</v>
      </c>
      <c r="AA357" s="340">
        <v>-4.5999999999999996</v>
      </c>
      <c r="AC357" s="24" t="s">
        <v>228</v>
      </c>
      <c r="AD357" s="84">
        <v>44599</v>
      </c>
      <c r="AE357" s="311">
        <v>44599</v>
      </c>
      <c r="AF357" s="33">
        <f t="shared" si="239"/>
        <v>0</v>
      </c>
      <c r="AG357" s="402" t="s">
        <v>2924</v>
      </c>
      <c r="AH357" s="443"/>
      <c r="AI357" s="254"/>
      <c r="AJ357" s="392"/>
      <c r="AM357" s="245"/>
      <c r="AR357" s="402" t="str">
        <f>INDEX(基本資料!N:N,MATCH($G357,基本資料!A:A,0))</f>
        <v>低</v>
      </c>
    </row>
    <row r="358" spans="1:44">
      <c r="A358" s="343">
        <v>15.06</v>
      </c>
      <c r="B358" s="79">
        <v>18</v>
      </c>
      <c r="C358" s="79">
        <v>9</v>
      </c>
      <c r="D358" s="79">
        <v>6</v>
      </c>
      <c r="E358" s="79">
        <v>44</v>
      </c>
      <c r="F358" s="79">
        <v>9.18</v>
      </c>
      <c r="G358" s="79">
        <v>3665</v>
      </c>
      <c r="H358" s="208" t="s">
        <v>314</v>
      </c>
      <c r="I358" s="22" t="s">
        <v>267</v>
      </c>
      <c r="J358" s="8" t="s">
        <v>4736</v>
      </c>
      <c r="L358" s="91"/>
      <c r="O358" s="359">
        <v>603</v>
      </c>
      <c r="P358" s="79">
        <v>87</v>
      </c>
      <c r="Q358" s="342">
        <v>85</v>
      </c>
      <c r="R358" s="81">
        <v>68</v>
      </c>
      <c r="S358" s="324">
        <v>166</v>
      </c>
      <c r="T358" s="384">
        <v>8.1</v>
      </c>
      <c r="U358" s="426">
        <f t="shared" si="244"/>
        <v>2.6470588235294117E-2</v>
      </c>
      <c r="V358" s="94">
        <v>15.51</v>
      </c>
      <c r="W358" s="39">
        <v>306</v>
      </c>
      <c r="X358" s="207">
        <v>291</v>
      </c>
      <c r="Y358" s="430">
        <f t="shared" si="245"/>
        <v>15</v>
      </c>
      <c r="Z358" s="434">
        <f t="shared" si="246"/>
        <v>5.1546391752577317E-2</v>
      </c>
      <c r="AA358" s="340">
        <v>0</v>
      </c>
      <c r="AC358" s="23" t="s">
        <v>267</v>
      </c>
      <c r="AD358" s="84">
        <v>44587</v>
      </c>
      <c r="AE358" s="83">
        <v>44599</v>
      </c>
      <c r="AF358" s="33">
        <f t="shared" si="239"/>
        <v>12</v>
      </c>
      <c r="AG358" s="401" t="s">
        <v>2310</v>
      </c>
      <c r="AH358" s="443"/>
      <c r="AI358" s="254"/>
      <c r="AJ358" s="392"/>
      <c r="AM358" s="245"/>
      <c r="AR358" s="402" t="str">
        <f>INDEX(基本資料!N:N,MATCH($G358,基本資料!A:A,0))</f>
        <v>高</v>
      </c>
    </row>
    <row r="359" spans="1:44" s="248" customFormat="1">
      <c r="A359" s="91"/>
      <c r="B359" s="79"/>
      <c r="C359" s="79"/>
      <c r="D359" s="79"/>
      <c r="E359" s="79"/>
      <c r="F359" s="79"/>
      <c r="G359" s="41"/>
      <c r="H359" s="344"/>
      <c r="I359" s="153"/>
      <c r="J359" s="1"/>
      <c r="K359" s="355"/>
      <c r="L359" s="91"/>
      <c r="M359" s="404"/>
      <c r="O359" s="359"/>
      <c r="P359" s="79"/>
      <c r="Q359" s="342"/>
      <c r="R359" s="81"/>
      <c r="S359" s="419"/>
      <c r="T359" s="384"/>
      <c r="U359" s="426"/>
      <c r="V359" s="94"/>
      <c r="W359" s="31">
        <f>SUM(W333:W358)</f>
        <v>5682.9999999999991</v>
      </c>
      <c r="X359" s="73">
        <f>SUM(X333:X358)</f>
        <v>5553.5999999999995</v>
      </c>
      <c r="Y359" s="430">
        <f t="shared" si="245"/>
        <v>129.39999999999964</v>
      </c>
      <c r="Z359" s="103">
        <f t="shared" si="246"/>
        <v>2.3300201670988126E-2</v>
      </c>
      <c r="AA359" s="340"/>
      <c r="AB359" s="389"/>
      <c r="AC359" s="437">
        <f>W359*(0.001425*0.5)+W359*0.003+X359*(0.001425*0.5)</f>
        <v>25.055077499999996</v>
      </c>
      <c r="AD359" s="6">
        <f>Y359-AC359</f>
        <v>104.34492249999964</v>
      </c>
      <c r="AE359" s="83"/>
      <c r="AF359" s="33"/>
      <c r="AG359" s="132" t="s">
        <v>4741</v>
      </c>
      <c r="AH359" s="444"/>
      <c r="AI359" s="257"/>
      <c r="AK359" s="461"/>
      <c r="AR359" s="402"/>
    </row>
    <row r="360" spans="1:44">
      <c r="B360" s="90"/>
      <c r="C360" s="90"/>
      <c r="D360" s="90"/>
      <c r="E360" s="90"/>
      <c r="F360" s="344"/>
      <c r="G360" s="26"/>
      <c r="H360" s="344"/>
      <c r="I360" s="50"/>
      <c r="J360" s="8"/>
      <c r="L360" s="91"/>
      <c r="O360" s="359"/>
      <c r="Q360" s="342"/>
      <c r="R360" s="81"/>
      <c r="W360" s="39"/>
      <c r="Z360" s="433"/>
      <c r="AC360" s="24"/>
      <c r="AE360" s="72"/>
      <c r="AF360" s="33"/>
      <c r="AG360" s="402"/>
      <c r="AH360" s="442"/>
      <c r="AI360" s="446"/>
      <c r="AM360" s="234"/>
      <c r="AR360" s="402"/>
    </row>
    <row r="361" spans="1:44">
      <c r="A361" s="343">
        <v>15.06</v>
      </c>
      <c r="B361" s="79">
        <v>18</v>
      </c>
      <c r="C361" s="79">
        <v>9</v>
      </c>
      <c r="D361" s="79">
        <v>6</v>
      </c>
      <c r="E361" s="79">
        <v>44</v>
      </c>
      <c r="F361" s="79">
        <v>9.18</v>
      </c>
      <c r="G361" s="79">
        <v>3665</v>
      </c>
      <c r="H361" s="208" t="s">
        <v>314</v>
      </c>
      <c r="I361" s="22" t="s">
        <v>267</v>
      </c>
      <c r="J361" s="8" t="s">
        <v>4736</v>
      </c>
      <c r="L361" s="91"/>
      <c r="O361" s="359">
        <v>603</v>
      </c>
      <c r="P361" s="79">
        <v>87</v>
      </c>
      <c r="Q361" s="342">
        <v>85</v>
      </c>
      <c r="R361" s="81">
        <v>68</v>
      </c>
      <c r="S361" s="324">
        <v>166</v>
      </c>
      <c r="T361" s="384">
        <v>8.1</v>
      </c>
      <c r="U361" s="426">
        <f>T361/W361</f>
        <v>2.8723404255319149E-2</v>
      </c>
      <c r="V361" s="94">
        <v>15.51</v>
      </c>
      <c r="W361" s="39">
        <v>282</v>
      </c>
      <c r="X361" s="207">
        <v>276</v>
      </c>
      <c r="Y361" s="430">
        <f>W361-X361</f>
        <v>6</v>
      </c>
      <c r="Z361" s="434">
        <f>Y361/X361</f>
        <v>2.1739130434782608E-2</v>
      </c>
      <c r="AA361" s="340">
        <v>-2.29</v>
      </c>
      <c r="AC361" s="23" t="s">
        <v>267</v>
      </c>
      <c r="AD361" s="84">
        <v>44586</v>
      </c>
      <c r="AE361" s="311">
        <v>44586</v>
      </c>
      <c r="AF361" s="33">
        <f t="shared" si="239"/>
        <v>0</v>
      </c>
      <c r="AG361" s="401" t="s">
        <v>2310</v>
      </c>
      <c r="AH361" s="443"/>
      <c r="AI361" s="254"/>
      <c r="AJ361" s="392"/>
      <c r="AM361" s="245"/>
      <c r="AR361" s="402" t="str">
        <f>INDEX(基本資料!N:N,MATCH($G361,基本資料!A:A,0))</f>
        <v>高</v>
      </c>
    </row>
    <row r="362" spans="1:44">
      <c r="A362" s="343">
        <v>54</v>
      </c>
      <c r="B362" s="79">
        <v>73</v>
      </c>
      <c r="C362" s="79">
        <v>135</v>
      </c>
      <c r="D362" s="79">
        <v>0</v>
      </c>
      <c r="E362" s="79">
        <v>52</v>
      </c>
      <c r="F362" s="79">
        <v>18.690000000000001</v>
      </c>
      <c r="G362" s="80">
        <v>6182</v>
      </c>
      <c r="H362" s="450" t="s">
        <v>3038</v>
      </c>
      <c r="I362" s="16" t="s">
        <v>166</v>
      </c>
      <c r="J362" s="8" t="s">
        <v>4736</v>
      </c>
      <c r="L362" s="407"/>
      <c r="O362" s="359">
        <v>110</v>
      </c>
      <c r="P362" s="79">
        <v>1054</v>
      </c>
      <c r="Q362" s="342">
        <v>383</v>
      </c>
      <c r="R362" s="81" t="s">
        <v>6279</v>
      </c>
      <c r="S362" s="324">
        <v>33</v>
      </c>
      <c r="T362" s="384">
        <v>1.1000000000000001</v>
      </c>
      <c r="U362" s="426">
        <f>T362/W362</f>
        <v>1.4416775884665795E-2</v>
      </c>
      <c r="V362" s="94">
        <v>1.54</v>
      </c>
      <c r="W362" s="39">
        <v>76.3</v>
      </c>
      <c r="X362" s="207">
        <v>74.5</v>
      </c>
      <c r="Y362" s="430">
        <f>W362-X362</f>
        <v>1.7999999999999972</v>
      </c>
      <c r="Z362" s="434">
        <f>Y362/X362</f>
        <v>2.4161073825503317E-2</v>
      </c>
      <c r="AA362" s="340">
        <v>-15.87</v>
      </c>
      <c r="AC362" s="24" t="s">
        <v>166</v>
      </c>
      <c r="AD362" s="84">
        <v>44586</v>
      </c>
      <c r="AE362" s="311">
        <v>44586</v>
      </c>
      <c r="AF362" s="33">
        <f t="shared" si="239"/>
        <v>0</v>
      </c>
      <c r="AG362" s="401" t="s">
        <v>2167</v>
      </c>
      <c r="AH362" s="443"/>
      <c r="AI362" s="254"/>
      <c r="AJ362" s="392"/>
      <c r="AM362" s="245"/>
      <c r="AR362" s="402" t="str">
        <f>INDEX(基本資料!N:N,MATCH($G362,基本資料!A:A,0))</f>
        <v>低</v>
      </c>
    </row>
    <row r="363" spans="1:44" s="248" customFormat="1">
      <c r="A363" s="91"/>
      <c r="B363" s="79"/>
      <c r="C363" s="79"/>
      <c r="D363" s="79"/>
      <c r="E363" s="79"/>
      <c r="F363" s="79"/>
      <c r="G363" s="41"/>
      <c r="H363" s="344"/>
      <c r="I363" s="153"/>
      <c r="J363" s="1"/>
      <c r="K363" s="355"/>
      <c r="L363" s="91"/>
      <c r="M363" s="404"/>
      <c r="O363" s="359"/>
      <c r="P363" s="79"/>
      <c r="Q363" s="342"/>
      <c r="R363" s="104"/>
      <c r="S363" s="419"/>
      <c r="T363" s="384"/>
      <c r="U363" s="426"/>
      <c r="V363" s="94"/>
      <c r="W363" s="31">
        <f>SUM(W361:W362)</f>
        <v>358.3</v>
      </c>
      <c r="X363" s="73">
        <f>SUM(X361:X362)</f>
        <v>350.5</v>
      </c>
      <c r="Y363" s="430">
        <f>W363-X363</f>
        <v>7.8000000000000114</v>
      </c>
      <c r="Z363" s="103">
        <f>Y363/X363</f>
        <v>2.2253922967189761E-2</v>
      </c>
      <c r="AA363" s="340"/>
      <c r="AB363" s="389"/>
      <c r="AC363" s="437">
        <f>W363*(0.001425*0.5)+W363*0.003+X363*(0.001425*0.5)</f>
        <v>1.57992</v>
      </c>
      <c r="AD363" s="6">
        <f>Y363-AC363</f>
        <v>6.2200800000000118</v>
      </c>
      <c r="AE363" s="83"/>
      <c r="AF363" s="186"/>
      <c r="AG363" s="132" t="s">
        <v>4740</v>
      </c>
      <c r="AH363" s="444"/>
      <c r="AI363" s="257"/>
      <c r="AK363" s="461"/>
      <c r="AR363" s="402"/>
    </row>
    <row r="364" spans="1:44" s="248" customFormat="1">
      <c r="A364" s="91"/>
      <c r="B364" s="79"/>
      <c r="C364" s="79"/>
      <c r="D364" s="79"/>
      <c r="E364" s="79"/>
      <c r="F364" s="79"/>
      <c r="G364" s="41"/>
      <c r="H364" s="344"/>
      <c r="I364" s="153"/>
      <c r="J364" s="1"/>
      <c r="K364" s="355"/>
      <c r="L364" s="91"/>
      <c r="M364" s="404"/>
      <c r="O364" s="359"/>
      <c r="P364" s="79"/>
      <c r="Q364" s="342"/>
      <c r="R364" s="104"/>
      <c r="S364" s="419"/>
      <c r="T364" s="384"/>
      <c r="U364" s="426"/>
      <c r="V364" s="94"/>
      <c r="W364" s="423"/>
      <c r="X364" s="428"/>
      <c r="Y364" s="430"/>
      <c r="Z364" s="434"/>
      <c r="AA364" s="340"/>
      <c r="AB364" s="389"/>
      <c r="AC364" s="437"/>
      <c r="AD364" s="207"/>
      <c r="AE364" s="83"/>
      <c r="AF364" s="186"/>
      <c r="AG364" s="91"/>
      <c r="AH364" s="444"/>
      <c r="AI364" s="257"/>
      <c r="AK364" s="461"/>
      <c r="AR364" s="256"/>
    </row>
    <row r="365" spans="1:44">
      <c r="L365" s="91"/>
      <c r="O365" s="359"/>
      <c r="Q365" s="342"/>
      <c r="U365" s="426"/>
    </row>
    <row r="366" spans="1:44">
      <c r="L366" s="407"/>
      <c r="O366" s="359"/>
      <c r="Q366" s="342"/>
    </row>
    <row r="367" spans="1:44">
      <c r="L367" s="91"/>
      <c r="O367" s="359"/>
      <c r="Q367" s="342"/>
    </row>
    <row r="368" spans="1:44">
      <c r="L368" s="91"/>
      <c r="O368" s="359"/>
      <c r="Q368" s="342"/>
    </row>
    <row r="369" spans="12:37">
      <c r="L369" s="91"/>
      <c r="O369" s="359"/>
      <c r="Q369" s="342"/>
    </row>
    <row r="370" spans="12:37">
      <c r="L370" s="91"/>
      <c r="O370" s="359"/>
      <c r="Q370" s="342"/>
      <c r="U370" s="426"/>
    </row>
    <row r="371" spans="12:37">
      <c r="L371" s="407"/>
      <c r="O371" s="359"/>
      <c r="Q371" s="342"/>
      <c r="U371" s="426"/>
    </row>
    <row r="372" spans="12:37">
      <c r="L372" s="91"/>
      <c r="O372" s="359"/>
      <c r="Q372" s="342"/>
      <c r="U372" s="426"/>
    </row>
    <row r="373" spans="12:37">
      <c r="L373" s="91"/>
      <c r="O373" s="359"/>
      <c r="Q373" s="342"/>
      <c r="U373" s="426"/>
    </row>
    <row r="374" spans="12:37">
      <c r="L374" s="91"/>
      <c r="O374" s="359"/>
      <c r="Q374" s="342"/>
      <c r="U374" s="426"/>
    </row>
    <row r="375" spans="12:37">
      <c r="L375" s="407"/>
      <c r="O375" s="359"/>
      <c r="Q375" s="342"/>
      <c r="U375" s="426"/>
    </row>
    <row r="376" spans="12:37">
      <c r="L376" s="91"/>
      <c r="O376" s="359"/>
      <c r="Q376" s="342"/>
      <c r="U376" s="426"/>
    </row>
    <row r="377" spans="12:37">
      <c r="L377" s="91"/>
      <c r="O377" s="359"/>
      <c r="Q377" s="342"/>
      <c r="U377" s="426"/>
    </row>
    <row r="378" spans="12:37">
      <c r="L378" s="91"/>
      <c r="O378" s="359"/>
      <c r="Q378" s="342"/>
      <c r="U378" s="426"/>
      <c r="AK378" s="461"/>
    </row>
    <row r="379" spans="12:37">
      <c r="L379" s="91"/>
      <c r="O379" s="359"/>
      <c r="Q379" s="342"/>
      <c r="U379" s="426"/>
      <c r="AK379" s="461"/>
    </row>
    <row r="380" spans="12:37">
      <c r="L380" s="91"/>
      <c r="O380" s="359"/>
      <c r="Q380" s="342"/>
      <c r="U380" s="426"/>
      <c r="AK380" s="461"/>
    </row>
    <row r="381" spans="12:37">
      <c r="L381" s="407"/>
      <c r="O381" s="359"/>
      <c r="Q381" s="342"/>
      <c r="U381" s="426"/>
      <c r="AK381" s="461"/>
    </row>
    <row r="382" spans="12:37">
      <c r="L382" s="407"/>
      <c r="O382" s="359"/>
      <c r="Q382" s="342"/>
      <c r="U382" s="426"/>
      <c r="AJ382" s="395"/>
      <c r="AK382" s="461"/>
    </row>
    <row r="383" spans="12:37">
      <c r="L383" s="91"/>
      <c r="O383" s="359"/>
      <c r="Q383" s="342"/>
      <c r="U383" s="426"/>
      <c r="AK383" s="461"/>
    </row>
    <row r="384" spans="12:37">
      <c r="L384" s="91"/>
      <c r="O384" s="359"/>
      <c r="Q384" s="342"/>
      <c r="U384" s="426"/>
      <c r="AK384" s="461"/>
    </row>
    <row r="385" spans="12:37">
      <c r="L385" s="91"/>
      <c r="O385" s="359"/>
      <c r="Q385" s="342"/>
      <c r="AK385" s="461"/>
    </row>
    <row r="386" spans="12:37">
      <c r="L386" s="91"/>
      <c r="O386" s="359"/>
      <c r="Q386" s="342"/>
      <c r="AK386" s="461"/>
    </row>
    <row r="387" spans="12:37">
      <c r="L387" s="91"/>
      <c r="O387" s="359"/>
      <c r="Q387" s="342"/>
      <c r="AK387" s="461"/>
    </row>
    <row r="388" spans="12:37">
      <c r="L388" s="91"/>
      <c r="O388" s="359"/>
      <c r="Q388" s="342"/>
      <c r="AK388" s="461"/>
    </row>
    <row r="389" spans="12:37">
      <c r="L389" s="91"/>
      <c r="O389" s="359"/>
      <c r="Q389" s="342"/>
      <c r="AK389" s="461"/>
    </row>
    <row r="390" spans="12:37">
      <c r="L390" s="91"/>
      <c r="O390" s="359"/>
      <c r="Q390" s="342"/>
      <c r="AK390" s="461"/>
    </row>
    <row r="391" spans="12:37">
      <c r="L391" s="91"/>
      <c r="O391" s="359"/>
      <c r="Q391" s="342"/>
      <c r="AK391" s="461"/>
    </row>
    <row r="392" spans="12:37">
      <c r="O392" s="359"/>
      <c r="Q392" s="342"/>
      <c r="AK392" s="461"/>
    </row>
    <row r="393" spans="12:37">
      <c r="L393" s="91"/>
      <c r="O393" s="359"/>
      <c r="Q393" s="342"/>
      <c r="AK393" s="461"/>
    </row>
    <row r="394" spans="12:37">
      <c r="L394" s="91"/>
      <c r="O394" s="359"/>
      <c r="Q394" s="342"/>
      <c r="U394" s="426"/>
      <c r="AK394" s="461"/>
    </row>
    <row r="395" spans="12:37">
      <c r="L395" s="91"/>
      <c r="O395" s="359"/>
      <c r="Q395" s="342"/>
      <c r="U395" s="426"/>
    </row>
    <row r="396" spans="12:37">
      <c r="L396" s="407"/>
      <c r="O396" s="359"/>
      <c r="Q396" s="342"/>
      <c r="U396" s="426"/>
    </row>
    <row r="397" spans="12:37">
      <c r="L397" s="91"/>
      <c r="O397" s="359"/>
      <c r="Q397" s="342"/>
      <c r="U397" s="426"/>
    </row>
    <row r="398" spans="12:37">
      <c r="L398" s="407"/>
      <c r="O398" s="359"/>
      <c r="Q398" s="342"/>
      <c r="U398" s="426"/>
    </row>
    <row r="399" spans="12:37">
      <c r="L399" s="91"/>
      <c r="O399" s="359"/>
      <c r="Q399" s="342"/>
      <c r="U399" s="426"/>
    </row>
    <row r="400" spans="12:37">
      <c r="L400" s="407"/>
      <c r="O400" s="359"/>
      <c r="Q400" s="342"/>
      <c r="U400" s="426"/>
    </row>
    <row r="401" spans="12:37">
      <c r="L401" s="91"/>
      <c r="O401" s="359"/>
      <c r="Q401" s="342"/>
      <c r="U401" s="426"/>
    </row>
    <row r="402" spans="12:37">
      <c r="L402" s="91"/>
      <c r="O402" s="359"/>
      <c r="Q402" s="342"/>
      <c r="U402" s="426"/>
    </row>
    <row r="403" spans="12:37">
      <c r="L403" s="91"/>
      <c r="O403" s="359"/>
      <c r="Q403" s="342"/>
    </row>
    <row r="404" spans="12:37">
      <c r="L404" s="91"/>
      <c r="O404" s="359"/>
      <c r="Q404" s="342"/>
      <c r="AK404" s="461"/>
    </row>
    <row r="405" spans="12:37">
      <c r="L405" s="91"/>
      <c r="O405" s="359"/>
      <c r="Q405" s="342"/>
      <c r="AK405" s="461"/>
    </row>
    <row r="406" spans="12:37">
      <c r="L406" s="91"/>
      <c r="O406" s="359"/>
      <c r="Q406" s="342"/>
      <c r="U406" s="426"/>
      <c r="AK406" s="461"/>
    </row>
    <row r="407" spans="12:37">
      <c r="L407" s="91"/>
      <c r="O407" s="359"/>
      <c r="Q407" s="342"/>
      <c r="U407" s="426"/>
      <c r="AK407" s="461"/>
    </row>
    <row r="408" spans="12:37">
      <c r="L408" s="91"/>
      <c r="O408" s="359"/>
      <c r="Q408" s="342"/>
      <c r="U408" s="426"/>
      <c r="AK408" s="461"/>
    </row>
    <row r="409" spans="12:37">
      <c r="L409" s="91"/>
      <c r="O409" s="359"/>
      <c r="Q409" s="342"/>
      <c r="U409" s="426"/>
      <c r="AK409" s="461"/>
    </row>
    <row r="410" spans="12:37">
      <c r="L410" s="407"/>
      <c r="O410" s="359"/>
      <c r="Q410" s="342"/>
      <c r="U410" s="426"/>
    </row>
    <row r="411" spans="12:37">
      <c r="L411" s="91"/>
      <c r="O411" s="359"/>
      <c r="Q411" s="342"/>
      <c r="U411" s="426"/>
    </row>
    <row r="412" spans="12:37">
      <c r="L412" s="91"/>
      <c r="O412" s="359"/>
      <c r="Q412" s="342"/>
    </row>
    <row r="413" spans="12:37">
      <c r="L413" s="91"/>
      <c r="O413" s="359"/>
      <c r="Q413" s="342"/>
    </row>
    <row r="414" spans="12:37">
      <c r="L414" s="91"/>
      <c r="O414" s="359"/>
      <c r="Q414" s="342"/>
    </row>
    <row r="415" spans="12:37">
      <c r="L415" s="91"/>
      <c r="O415" s="359"/>
      <c r="Q415" s="342"/>
    </row>
    <row r="416" spans="12:37">
      <c r="L416" s="407"/>
      <c r="O416" s="359"/>
      <c r="Q416" s="342"/>
    </row>
    <row r="417" spans="12:36">
      <c r="L417" s="91"/>
      <c r="O417" s="359"/>
      <c r="Q417" s="342"/>
    </row>
    <row r="418" spans="12:36">
      <c r="L418" s="91"/>
      <c r="O418" s="359"/>
      <c r="Q418" s="342"/>
    </row>
    <row r="419" spans="12:36">
      <c r="L419" s="407"/>
      <c r="O419" s="359"/>
      <c r="Q419" s="342"/>
    </row>
    <row r="420" spans="12:36">
      <c r="L420" s="91"/>
      <c r="O420" s="359"/>
      <c r="Q420" s="342"/>
    </row>
    <row r="421" spans="12:36">
      <c r="L421" s="91"/>
      <c r="O421" s="359"/>
      <c r="Q421" s="342"/>
    </row>
    <row r="422" spans="12:36">
      <c r="L422" s="91"/>
      <c r="O422" s="359"/>
      <c r="Q422" s="342"/>
    </row>
    <row r="423" spans="12:36">
      <c r="L423" s="91"/>
      <c r="O423" s="359"/>
      <c r="Q423" s="342"/>
      <c r="AJ423" s="396"/>
    </row>
    <row r="424" spans="12:36">
      <c r="L424" s="91"/>
      <c r="O424" s="359"/>
      <c r="Q424" s="342"/>
    </row>
    <row r="425" spans="12:36">
      <c r="L425" s="91"/>
      <c r="O425" s="359"/>
      <c r="Q425" s="342"/>
    </row>
    <row r="426" spans="12:36">
      <c r="L426" s="91"/>
      <c r="O426" s="359"/>
      <c r="Q426" s="342"/>
    </row>
    <row r="427" spans="12:36">
      <c r="L427" s="91"/>
      <c r="O427" s="359"/>
      <c r="Q427" s="342"/>
    </row>
    <row r="428" spans="12:36">
      <c r="L428" s="91"/>
      <c r="O428" s="359"/>
      <c r="Q428" s="342"/>
    </row>
    <row r="429" spans="12:36">
      <c r="L429" s="91"/>
      <c r="O429" s="359"/>
      <c r="Q429" s="342"/>
    </row>
    <row r="430" spans="12:36">
      <c r="L430" s="91"/>
      <c r="O430" s="359"/>
      <c r="Q430" s="342"/>
    </row>
    <row r="431" spans="12:36">
      <c r="L431" s="91"/>
      <c r="O431" s="359"/>
      <c r="Q431" s="342"/>
    </row>
    <row r="432" spans="12:36">
      <c r="L432" s="91"/>
      <c r="O432" s="359"/>
      <c r="Q432" s="342"/>
    </row>
    <row r="433" spans="12:17">
      <c r="L433" s="91"/>
      <c r="O433" s="359"/>
      <c r="Q433" s="342"/>
    </row>
    <row r="434" spans="12:17">
      <c r="L434" s="91"/>
      <c r="O434" s="359"/>
      <c r="Q434" s="342"/>
    </row>
    <row r="435" spans="12:17">
      <c r="L435" s="91"/>
      <c r="O435" s="359"/>
      <c r="Q435" s="342"/>
    </row>
    <row r="436" spans="12:17">
      <c r="L436" s="91"/>
      <c r="O436" s="359"/>
      <c r="Q436" s="342"/>
    </row>
    <row r="437" spans="12:17">
      <c r="L437" s="91"/>
      <c r="O437" s="359"/>
      <c r="Q437" s="342"/>
    </row>
    <row r="438" spans="12:17">
      <c r="L438" s="91"/>
      <c r="O438" s="359"/>
      <c r="Q438" s="342"/>
    </row>
    <row r="439" spans="12:17">
      <c r="L439" s="91"/>
      <c r="O439" s="359"/>
      <c r="Q439" s="342"/>
    </row>
    <row r="440" spans="12:17">
      <c r="L440" s="91"/>
      <c r="O440" s="359"/>
      <c r="Q440" s="342"/>
    </row>
    <row r="441" spans="12:17">
      <c r="L441" s="91"/>
      <c r="O441" s="359"/>
      <c r="Q441" s="342"/>
    </row>
    <row r="442" spans="12:17">
      <c r="L442" s="91"/>
      <c r="O442" s="359"/>
      <c r="Q442" s="342"/>
    </row>
    <row r="443" spans="12:17">
      <c r="L443" s="91"/>
      <c r="O443" s="359"/>
      <c r="Q443" s="342"/>
    </row>
    <row r="444" spans="12:17">
      <c r="L444" s="91"/>
      <c r="O444" s="359"/>
      <c r="Q444" s="342"/>
    </row>
    <row r="445" spans="12:17">
      <c r="L445" s="91"/>
      <c r="O445" s="359"/>
      <c r="Q445" s="342"/>
    </row>
    <row r="446" spans="12:17">
      <c r="L446" s="91"/>
      <c r="O446" s="359"/>
      <c r="Q446" s="342"/>
    </row>
    <row r="447" spans="12:17">
      <c r="L447" s="91"/>
      <c r="O447" s="359"/>
      <c r="Q447" s="342"/>
    </row>
    <row r="448" spans="12:17">
      <c r="L448" s="91"/>
      <c r="O448" s="359"/>
      <c r="Q448" s="342"/>
    </row>
    <row r="449" spans="12:17">
      <c r="L449" s="91"/>
      <c r="O449" s="359"/>
      <c r="Q449" s="342"/>
    </row>
    <row r="450" spans="12:17">
      <c r="L450" s="91"/>
      <c r="O450" s="359"/>
      <c r="Q450" s="342"/>
    </row>
    <row r="451" spans="12:17">
      <c r="L451" s="91"/>
      <c r="O451" s="359"/>
      <c r="Q451" s="342"/>
    </row>
    <row r="452" spans="12:17">
      <c r="L452" s="91"/>
      <c r="O452" s="359"/>
      <c r="Q452" s="342"/>
    </row>
    <row r="453" spans="12:17">
      <c r="L453" s="91"/>
      <c r="O453" s="359"/>
      <c r="Q453" s="342"/>
    </row>
    <row r="454" spans="12:17">
      <c r="L454" s="91"/>
      <c r="O454" s="359"/>
      <c r="Q454" s="342"/>
    </row>
    <row r="455" spans="12:17">
      <c r="L455" s="91"/>
      <c r="O455" s="359"/>
      <c r="Q455" s="342"/>
    </row>
    <row r="456" spans="12:17">
      <c r="L456" s="407"/>
      <c r="O456" s="359"/>
      <c r="Q456" s="342"/>
    </row>
    <row r="457" spans="12:17">
      <c r="L457" s="91"/>
      <c r="O457" s="359"/>
      <c r="Q457" s="342"/>
    </row>
    <row r="458" spans="12:17">
      <c r="L458" s="91"/>
      <c r="O458" s="359"/>
      <c r="Q458" s="342"/>
    </row>
    <row r="459" spans="12:17">
      <c r="L459" s="91"/>
      <c r="O459" s="359"/>
      <c r="Q459" s="342"/>
    </row>
    <row r="460" spans="12:17">
      <c r="L460" s="91"/>
      <c r="O460" s="359"/>
      <c r="Q460" s="342"/>
    </row>
    <row r="461" spans="12:17">
      <c r="L461" s="91"/>
      <c r="O461" s="359"/>
      <c r="Q461" s="342"/>
    </row>
    <row r="462" spans="12:17">
      <c r="L462" s="91"/>
      <c r="O462" s="359"/>
      <c r="Q462" s="342"/>
    </row>
    <row r="463" spans="12:17">
      <c r="L463" s="91"/>
      <c r="O463" s="359"/>
      <c r="Q463" s="342"/>
    </row>
    <row r="464" spans="12:17">
      <c r="L464" s="91"/>
      <c r="O464" s="359"/>
      <c r="Q464" s="342"/>
    </row>
    <row r="465" spans="12:17">
      <c r="L465" s="91"/>
      <c r="O465" s="359"/>
      <c r="Q465" s="342"/>
    </row>
    <row r="466" spans="12:17">
      <c r="L466" s="91"/>
      <c r="O466" s="359"/>
      <c r="Q466" s="342"/>
    </row>
    <row r="467" spans="12:17">
      <c r="L467" s="91"/>
      <c r="O467" s="359"/>
      <c r="Q467" s="342"/>
    </row>
    <row r="468" spans="12:17">
      <c r="L468" s="91"/>
      <c r="O468" s="359"/>
      <c r="Q468" s="342"/>
    </row>
    <row r="469" spans="12:17">
      <c r="L469" s="91"/>
      <c r="O469" s="359"/>
      <c r="Q469" s="342"/>
    </row>
    <row r="470" spans="12:17">
      <c r="L470" s="91"/>
      <c r="O470" s="359"/>
      <c r="Q470" s="342"/>
    </row>
    <row r="471" spans="12:17">
      <c r="L471" s="91"/>
      <c r="O471" s="359"/>
      <c r="Q471" s="342"/>
    </row>
    <row r="472" spans="12:17">
      <c r="L472" s="91"/>
      <c r="O472" s="359"/>
      <c r="Q472" s="342"/>
    </row>
    <row r="473" spans="12:17">
      <c r="L473" s="91"/>
      <c r="O473" s="359"/>
      <c r="Q473" s="342"/>
    </row>
    <row r="474" spans="12:17">
      <c r="L474" s="91"/>
      <c r="O474" s="359"/>
      <c r="Q474" s="342"/>
    </row>
    <row r="475" spans="12:17">
      <c r="L475" s="91"/>
      <c r="O475" s="359"/>
      <c r="Q475" s="342"/>
    </row>
    <row r="476" spans="12:17">
      <c r="L476" s="91"/>
      <c r="O476" s="359"/>
      <c r="Q476" s="342"/>
    </row>
    <row r="477" spans="12:17">
      <c r="L477" s="91"/>
      <c r="O477" s="359"/>
      <c r="Q477" s="342"/>
    </row>
    <row r="478" spans="12:17">
      <c r="L478" s="91"/>
      <c r="O478" s="359"/>
      <c r="Q478" s="342"/>
    </row>
    <row r="479" spans="12:17">
      <c r="L479" s="91"/>
      <c r="O479" s="359"/>
      <c r="Q479" s="342"/>
    </row>
    <row r="480" spans="12:17">
      <c r="L480" s="91"/>
      <c r="O480" s="359"/>
      <c r="Q480" s="342"/>
    </row>
    <row r="481" spans="12:17">
      <c r="L481" s="91"/>
      <c r="O481" s="359"/>
      <c r="Q481" s="342"/>
    </row>
    <row r="482" spans="12:17">
      <c r="L482" s="91"/>
      <c r="O482" s="359"/>
      <c r="Q482" s="342"/>
    </row>
    <row r="483" spans="12:17">
      <c r="L483" s="91"/>
      <c r="O483" s="359"/>
      <c r="Q483" s="342"/>
    </row>
    <row r="484" spans="12:17">
      <c r="L484" s="91"/>
      <c r="O484" s="359"/>
      <c r="Q484" s="342"/>
    </row>
    <row r="485" spans="12:17">
      <c r="O485" s="359"/>
      <c r="Q485" s="342"/>
    </row>
    <row r="486" spans="12:17">
      <c r="L486" s="91"/>
      <c r="O486" s="359"/>
      <c r="Q486" s="342"/>
    </row>
    <row r="487" spans="12:17">
      <c r="L487" s="91"/>
      <c r="O487" s="359"/>
      <c r="Q487" s="342"/>
    </row>
    <row r="488" spans="12:17">
      <c r="L488" s="91"/>
      <c r="O488" s="359"/>
      <c r="Q488" s="342"/>
    </row>
    <row r="489" spans="12:17">
      <c r="L489" s="91"/>
      <c r="O489" s="359"/>
      <c r="Q489" s="342"/>
    </row>
    <row r="490" spans="12:17">
      <c r="L490" s="91"/>
      <c r="O490" s="359"/>
      <c r="Q490" s="342"/>
    </row>
    <row r="491" spans="12:17">
      <c r="O491" s="359"/>
      <c r="Q491" s="342"/>
    </row>
    <row r="492" spans="12:17">
      <c r="L492" s="91"/>
      <c r="O492" s="359"/>
      <c r="Q492" s="342"/>
    </row>
    <row r="493" spans="12:17">
      <c r="L493" s="91"/>
      <c r="O493" s="359"/>
      <c r="Q493" s="342"/>
    </row>
    <row r="494" spans="12:17">
      <c r="L494" s="91"/>
      <c r="O494" s="359"/>
      <c r="Q494" s="342"/>
    </row>
    <row r="495" spans="12:17">
      <c r="L495" s="91"/>
      <c r="O495" s="359"/>
      <c r="Q495" s="342"/>
    </row>
    <row r="496" spans="12:17">
      <c r="L496" s="91"/>
      <c r="O496" s="359"/>
      <c r="Q496" s="342"/>
    </row>
    <row r="497" spans="12:17">
      <c r="L497" s="91"/>
      <c r="O497" s="359"/>
      <c r="Q497" s="342"/>
    </row>
    <row r="498" spans="12:17">
      <c r="L498" s="91"/>
      <c r="O498" s="359"/>
      <c r="Q498" s="342"/>
    </row>
    <row r="499" spans="12:17">
      <c r="L499" s="91"/>
      <c r="O499" s="359"/>
      <c r="Q499" s="342"/>
    </row>
    <row r="500" spans="12:17">
      <c r="L500" s="91"/>
      <c r="O500" s="359"/>
      <c r="Q500" s="342"/>
    </row>
    <row r="501" spans="12:17">
      <c r="L501" s="91"/>
      <c r="O501" s="359"/>
      <c r="Q501" s="342"/>
    </row>
    <row r="502" spans="12:17">
      <c r="L502" s="91"/>
      <c r="O502" s="359"/>
      <c r="Q502" s="342"/>
    </row>
    <row r="503" spans="12:17">
      <c r="L503" s="407"/>
      <c r="O503" s="359"/>
      <c r="Q503" s="342"/>
    </row>
    <row r="504" spans="12:17">
      <c r="L504" s="91"/>
      <c r="O504" s="359"/>
      <c r="Q504" s="342"/>
    </row>
    <row r="505" spans="12:17">
      <c r="O505" s="359"/>
      <c r="Q505" s="342"/>
    </row>
    <row r="506" spans="12:17">
      <c r="L506" s="91"/>
      <c r="O506" s="359"/>
      <c r="Q506" s="342"/>
    </row>
    <row r="507" spans="12:17">
      <c r="L507" s="91"/>
    </row>
    <row r="508" spans="12:17">
      <c r="L508" s="91"/>
    </row>
    <row r="509" spans="12:17">
      <c r="L509" s="91"/>
    </row>
    <row r="510" spans="12:17">
      <c r="L510" s="91"/>
    </row>
    <row r="511" spans="12:17">
      <c r="L511" s="91"/>
    </row>
    <row r="512" spans="12:17">
      <c r="L512" s="91"/>
    </row>
    <row r="513" spans="12:12">
      <c r="L513" s="91"/>
    </row>
    <row r="514" spans="12:12">
      <c r="L514" s="91"/>
    </row>
    <row r="515" spans="12:12">
      <c r="L515" s="91"/>
    </row>
    <row r="516" spans="12:12">
      <c r="L516" s="91"/>
    </row>
    <row r="518" spans="12:12">
      <c r="L518" s="91"/>
    </row>
    <row r="519" spans="12:12">
      <c r="L519" s="91"/>
    </row>
    <row r="520" spans="12:12">
      <c r="L520" s="91"/>
    </row>
    <row r="521" spans="12:12">
      <c r="L521" s="91"/>
    </row>
    <row r="522" spans="12:12">
      <c r="L522" s="91"/>
    </row>
    <row r="523" spans="12:12">
      <c r="L523" s="91"/>
    </row>
    <row r="524" spans="12:12">
      <c r="L524" s="91"/>
    </row>
    <row r="525" spans="12:12">
      <c r="L525" s="91"/>
    </row>
    <row r="526" spans="12:12">
      <c r="L526" s="91"/>
    </row>
    <row r="527" spans="12:12">
      <c r="L527" s="91"/>
    </row>
    <row r="528" spans="12:12">
      <c r="L528" s="91"/>
    </row>
    <row r="529" spans="12:36">
      <c r="L529" s="91"/>
    </row>
    <row r="530" spans="12:36">
      <c r="L530" s="91"/>
    </row>
    <row r="531" spans="12:36">
      <c r="L531" s="91"/>
    </row>
    <row r="532" spans="12:36">
      <c r="L532" s="91"/>
    </row>
    <row r="533" spans="12:36">
      <c r="L533" s="91"/>
      <c r="AJ533" s="396"/>
    </row>
    <row r="534" spans="12:36">
      <c r="L534" s="91"/>
      <c r="AJ534" s="396"/>
    </row>
    <row r="535" spans="12:36">
      <c r="L535" s="91"/>
    </row>
    <row r="536" spans="12:36">
      <c r="L536" s="91"/>
    </row>
    <row r="537" spans="12:36">
      <c r="L537" s="91"/>
    </row>
    <row r="538" spans="12:36">
      <c r="L538" s="91"/>
    </row>
    <row r="539" spans="12:36">
      <c r="L539" s="91"/>
    </row>
    <row r="540" spans="12:36">
      <c r="L540" s="91"/>
      <c r="AJ540" s="396"/>
    </row>
    <row r="541" spans="12:36">
      <c r="L541" s="91"/>
    </row>
    <row r="542" spans="12:36">
      <c r="L542" s="91"/>
    </row>
    <row r="543" spans="12:36">
      <c r="L543" s="91"/>
    </row>
    <row r="544" spans="12:36">
      <c r="L544" s="91"/>
      <c r="AJ544" s="397"/>
    </row>
    <row r="545" spans="12:36">
      <c r="L545" s="91"/>
      <c r="AJ545" s="397"/>
    </row>
    <row r="546" spans="12:36">
      <c r="L546" s="91"/>
    </row>
    <row r="547" spans="12:36">
      <c r="L547" s="91"/>
    </row>
    <row r="548" spans="12:36">
      <c r="L548" s="91"/>
    </row>
    <row r="549" spans="12:36">
      <c r="L549" s="91"/>
    </row>
    <row r="550" spans="12:36">
      <c r="L550" s="91"/>
    </row>
    <row r="551" spans="12:36">
      <c r="L551" s="91"/>
    </row>
    <row r="552" spans="12:36">
      <c r="L552" s="91"/>
    </row>
    <row r="553" spans="12:36">
      <c r="L553" s="91"/>
    </row>
    <row r="554" spans="12:36">
      <c r="L554" s="91"/>
    </row>
    <row r="555" spans="12:36">
      <c r="L555" s="91"/>
    </row>
    <row r="556" spans="12:36">
      <c r="L556" s="91"/>
    </row>
    <row r="557" spans="12:36">
      <c r="L557" s="91"/>
    </row>
    <row r="558" spans="12:36">
      <c r="L558" s="91"/>
    </row>
    <row r="559" spans="12:36">
      <c r="L559" s="91"/>
    </row>
    <row r="560" spans="12:36">
      <c r="L560" s="91"/>
    </row>
    <row r="561" spans="12:12">
      <c r="L561" s="91"/>
    </row>
    <row r="562" spans="12:12">
      <c r="L562" s="91"/>
    </row>
    <row r="563" spans="12:12">
      <c r="L563" s="91"/>
    </row>
    <row r="564" spans="12:12">
      <c r="L564" s="91"/>
    </row>
    <row r="565" spans="12:12">
      <c r="L565" s="91"/>
    </row>
    <row r="566" spans="12:12">
      <c r="L566" s="91"/>
    </row>
    <row r="567" spans="12:12">
      <c r="L567" s="91"/>
    </row>
    <row r="568" spans="12:12">
      <c r="L568" s="91"/>
    </row>
    <row r="569" spans="12:12">
      <c r="L569" s="91"/>
    </row>
    <row r="570" spans="12:12">
      <c r="L570" s="91"/>
    </row>
    <row r="571" spans="12:12">
      <c r="L571" s="91"/>
    </row>
    <row r="572" spans="12:12">
      <c r="L572" s="91"/>
    </row>
    <row r="573" spans="12:12">
      <c r="L573" s="91"/>
    </row>
    <row r="574" spans="12:12">
      <c r="L574" s="91"/>
    </row>
    <row r="575" spans="12:12">
      <c r="L575" s="91"/>
    </row>
    <row r="576" spans="12:12">
      <c r="L576" s="91"/>
    </row>
    <row r="577" spans="12:36">
      <c r="L577" s="91"/>
    </row>
    <row r="578" spans="12:36">
      <c r="L578" s="91"/>
    </row>
    <row r="579" spans="12:36">
      <c r="L579" s="407"/>
    </row>
    <row r="580" spans="12:36">
      <c r="L580" s="91"/>
    </row>
    <row r="581" spans="12:36">
      <c r="L581" s="91"/>
      <c r="AJ581" s="396"/>
    </row>
    <row r="582" spans="12:36">
      <c r="L582" s="91"/>
      <c r="AJ582" s="396"/>
    </row>
    <row r="583" spans="12:36">
      <c r="L583" s="91"/>
    </row>
    <row r="584" spans="12:36">
      <c r="L584" s="91"/>
    </row>
    <row r="585" spans="12:36">
      <c r="L585" s="91"/>
    </row>
    <row r="586" spans="12:36">
      <c r="L586" s="91"/>
    </row>
    <row r="587" spans="12:36">
      <c r="L587" s="80"/>
    </row>
    <row r="588" spans="12:36">
      <c r="L588" s="91"/>
    </row>
    <row r="589" spans="12:36">
      <c r="L589" s="91"/>
    </row>
    <row r="590" spans="12:36">
      <c r="L590" s="91"/>
    </row>
    <row r="591" spans="12:36">
      <c r="L591" s="91"/>
    </row>
    <row r="592" spans="12:36">
      <c r="L592" s="91"/>
    </row>
    <row r="593" spans="12:12">
      <c r="L593" s="91"/>
    </row>
    <row r="594" spans="12:12">
      <c r="L594" s="91"/>
    </row>
    <row r="595" spans="12:12">
      <c r="L595" s="91"/>
    </row>
    <row r="596" spans="12:12">
      <c r="L596" s="91"/>
    </row>
    <row r="597" spans="12:12">
      <c r="L597" s="91"/>
    </row>
    <row r="598" spans="12:12">
      <c r="L598" s="91"/>
    </row>
    <row r="599" spans="12:12">
      <c r="L599" s="91"/>
    </row>
    <row r="600" spans="12:12">
      <c r="L600" s="91"/>
    </row>
    <row r="601" spans="12:12">
      <c r="L601" s="91"/>
    </row>
    <row r="602" spans="12:12">
      <c r="L602" s="91"/>
    </row>
    <row r="603" spans="12:12">
      <c r="L603" s="91"/>
    </row>
    <row r="604" spans="12:12">
      <c r="L604" s="91"/>
    </row>
    <row r="605" spans="12:12">
      <c r="L605" s="91"/>
    </row>
    <row r="606" spans="12:12">
      <c r="L606" s="91"/>
    </row>
    <row r="607" spans="12:12">
      <c r="L607" s="91"/>
    </row>
    <row r="608" spans="12:12">
      <c r="L608" s="91"/>
    </row>
    <row r="609" spans="12:12">
      <c r="L609" s="91"/>
    </row>
    <row r="610" spans="12:12">
      <c r="L610" s="91"/>
    </row>
    <row r="611" spans="12:12">
      <c r="L611" s="91"/>
    </row>
    <row r="612" spans="12:12">
      <c r="L612" s="91"/>
    </row>
    <row r="613" spans="12:12">
      <c r="L613" s="91"/>
    </row>
    <row r="614" spans="12:12">
      <c r="L614" s="91"/>
    </row>
    <row r="615" spans="12:12">
      <c r="L615" s="91"/>
    </row>
    <row r="616" spans="12:12">
      <c r="L616" s="91"/>
    </row>
    <row r="617" spans="12:12">
      <c r="L617" s="407"/>
    </row>
    <row r="618" spans="12:12">
      <c r="L618" s="91"/>
    </row>
    <row r="620" spans="12:12">
      <c r="L620" s="91"/>
    </row>
    <row r="621" spans="12:12">
      <c r="L621" s="91"/>
    </row>
    <row r="622" spans="12:12">
      <c r="L622" s="91"/>
    </row>
    <row r="623" spans="12:12">
      <c r="L623" s="91"/>
    </row>
    <row r="624" spans="12:12">
      <c r="L624" s="91"/>
    </row>
    <row r="625" spans="12:12">
      <c r="L625" s="91"/>
    </row>
    <row r="626" spans="12:12">
      <c r="L626" s="91"/>
    </row>
    <row r="627" spans="12:12">
      <c r="L627" s="91"/>
    </row>
    <row r="628" spans="12:12">
      <c r="L628" s="91"/>
    </row>
    <row r="629" spans="12:12">
      <c r="L629" s="91"/>
    </row>
    <row r="630" spans="12:12">
      <c r="L630" s="91"/>
    </row>
    <row r="631" spans="12:12">
      <c r="L631" s="91"/>
    </row>
    <row r="632" spans="12:12">
      <c r="L632" s="91"/>
    </row>
    <row r="633" spans="12:12">
      <c r="L633" s="91"/>
    </row>
    <row r="634" spans="12:12">
      <c r="L634" s="91"/>
    </row>
    <row r="635" spans="12:12">
      <c r="L635" s="407"/>
    </row>
    <row r="636" spans="12:12">
      <c r="L636" s="91"/>
    </row>
    <row r="637" spans="12:12">
      <c r="L637" s="91"/>
    </row>
    <row r="638" spans="12:12">
      <c r="L638" s="91"/>
    </row>
    <row r="639" spans="12:12">
      <c r="L639" s="91"/>
    </row>
    <row r="640" spans="12:12">
      <c r="L640" s="91"/>
    </row>
    <row r="641" spans="12:12">
      <c r="L641" s="91"/>
    </row>
    <row r="642" spans="12:12">
      <c r="L642" s="91"/>
    </row>
    <row r="643" spans="12:12">
      <c r="L643" s="91"/>
    </row>
    <row r="644" spans="12:12">
      <c r="L644" s="91"/>
    </row>
    <row r="645" spans="12:12">
      <c r="L645" s="91"/>
    </row>
    <row r="646" spans="12:12">
      <c r="L646" s="91"/>
    </row>
    <row r="647" spans="12:12">
      <c r="L647" s="91"/>
    </row>
    <row r="648" spans="12:12">
      <c r="L648" s="91"/>
    </row>
    <row r="649" spans="12:12">
      <c r="L649" s="91"/>
    </row>
    <row r="650" spans="12:12">
      <c r="L650" s="91"/>
    </row>
    <row r="651" spans="12:12">
      <c r="L651" s="91"/>
    </row>
    <row r="652" spans="12:12">
      <c r="L652" s="91"/>
    </row>
    <row r="653" spans="12:12">
      <c r="L653" s="91"/>
    </row>
    <row r="654" spans="12:12">
      <c r="L654" s="91"/>
    </row>
    <row r="655" spans="12:12">
      <c r="L655" s="91"/>
    </row>
    <row r="656" spans="12:12">
      <c r="L656" s="91"/>
    </row>
    <row r="657" spans="12:12">
      <c r="L657" s="91"/>
    </row>
    <row r="658" spans="12:12">
      <c r="L658" s="91"/>
    </row>
    <row r="659" spans="12:12">
      <c r="L659" s="91"/>
    </row>
    <row r="660" spans="12:12">
      <c r="L660" s="91"/>
    </row>
    <row r="661" spans="12:12">
      <c r="L661" s="91"/>
    </row>
    <row r="662" spans="12:12">
      <c r="L662" s="91"/>
    </row>
    <row r="663" spans="12:12">
      <c r="L663" s="407"/>
    </row>
    <row r="664" spans="12:12">
      <c r="L664" s="91"/>
    </row>
    <row r="665" spans="12:12">
      <c r="L665" s="91"/>
    </row>
    <row r="666" spans="12:12">
      <c r="L666" s="91"/>
    </row>
    <row r="667" spans="12:12">
      <c r="L667" s="91"/>
    </row>
    <row r="668" spans="12:12">
      <c r="L668" s="91"/>
    </row>
    <row r="669" spans="12:12">
      <c r="L669" s="91"/>
    </row>
    <row r="670" spans="12:12">
      <c r="L670" s="91"/>
    </row>
    <row r="671" spans="12:12">
      <c r="L671" s="91"/>
    </row>
    <row r="672" spans="12:12">
      <c r="L672" s="91"/>
    </row>
    <row r="673" spans="12:12">
      <c r="L673" s="91"/>
    </row>
    <row r="674" spans="12:12">
      <c r="L674" s="91"/>
    </row>
    <row r="675" spans="12:12">
      <c r="L675" s="91"/>
    </row>
    <row r="676" spans="12:12">
      <c r="L676" s="91"/>
    </row>
    <row r="677" spans="12:12">
      <c r="L677" s="91"/>
    </row>
    <row r="678" spans="12:12">
      <c r="L678" s="91"/>
    </row>
    <row r="679" spans="12:12">
      <c r="L679" s="91"/>
    </row>
    <row r="680" spans="12:12">
      <c r="L680" s="91"/>
    </row>
    <row r="681" spans="12:12">
      <c r="L681" s="407"/>
    </row>
    <row r="682" spans="12:12">
      <c r="L682" s="91"/>
    </row>
    <row r="683" spans="12:12">
      <c r="L683" s="407"/>
    </row>
    <row r="684" spans="12:12">
      <c r="L684" s="91"/>
    </row>
    <row r="685" spans="12:12">
      <c r="L685" s="91"/>
    </row>
    <row r="686" spans="12:12">
      <c r="L686" s="91"/>
    </row>
    <row r="687" spans="12:12">
      <c r="L687" s="91"/>
    </row>
    <row r="688" spans="12:12">
      <c r="L688" s="91"/>
    </row>
    <row r="689" spans="12:12">
      <c r="L689" s="91"/>
    </row>
    <row r="690" spans="12:12">
      <c r="L690" s="91"/>
    </row>
    <row r="691" spans="12:12">
      <c r="L691" s="91"/>
    </row>
    <row r="692" spans="12:12">
      <c r="L692" s="91"/>
    </row>
    <row r="693" spans="12:12">
      <c r="L693" s="91"/>
    </row>
    <row r="694" spans="12:12">
      <c r="L694" s="91"/>
    </row>
    <row r="695" spans="12:12">
      <c r="L695" s="91"/>
    </row>
    <row r="696" spans="12:12">
      <c r="L696" s="91"/>
    </row>
    <row r="697" spans="12:12">
      <c r="L697" s="91"/>
    </row>
    <row r="698" spans="12:12">
      <c r="L698" s="91"/>
    </row>
    <row r="699" spans="12:12">
      <c r="L699" s="91"/>
    </row>
    <row r="700" spans="12:12">
      <c r="L700" s="91"/>
    </row>
    <row r="701" spans="12:12">
      <c r="L701" s="91"/>
    </row>
    <row r="702" spans="12:12">
      <c r="L702" s="91"/>
    </row>
    <row r="703" spans="12:12">
      <c r="L703" s="91"/>
    </row>
    <row r="704" spans="12:12">
      <c r="L704" s="91"/>
    </row>
    <row r="705" spans="12:12">
      <c r="L705" s="91"/>
    </row>
    <row r="706" spans="12:12">
      <c r="L706" s="91"/>
    </row>
    <row r="707" spans="12:12">
      <c r="L707" s="91"/>
    </row>
    <row r="708" spans="12:12">
      <c r="L708" s="91"/>
    </row>
    <row r="709" spans="12:12">
      <c r="L709" s="91"/>
    </row>
    <row r="710" spans="12:12">
      <c r="L710" s="91"/>
    </row>
    <row r="711" spans="12:12">
      <c r="L711" s="91"/>
    </row>
    <row r="712" spans="12:12">
      <c r="L712" s="91"/>
    </row>
    <row r="713" spans="12:12">
      <c r="L713" s="91"/>
    </row>
    <row r="714" spans="12:12">
      <c r="L714" s="91"/>
    </row>
    <row r="715" spans="12:12">
      <c r="L715" s="91"/>
    </row>
    <row r="716" spans="12:12">
      <c r="L716" s="91"/>
    </row>
    <row r="717" spans="12:12">
      <c r="L717" s="91"/>
    </row>
    <row r="718" spans="12:12">
      <c r="L718" s="407"/>
    </row>
    <row r="719" spans="12:12">
      <c r="L719" s="91"/>
    </row>
    <row r="720" spans="12:12">
      <c r="L720" s="91"/>
    </row>
    <row r="721" spans="12:12">
      <c r="L721" s="91"/>
    </row>
    <row r="722" spans="12:12">
      <c r="L722" s="91"/>
    </row>
    <row r="723" spans="12:12">
      <c r="L723" s="91"/>
    </row>
    <row r="724" spans="12:12">
      <c r="L724" s="91"/>
    </row>
    <row r="725" spans="12:12">
      <c r="L725" s="91"/>
    </row>
    <row r="726" spans="12:12">
      <c r="L726" s="91"/>
    </row>
    <row r="727" spans="12:12">
      <c r="L727" s="91"/>
    </row>
    <row r="728" spans="12:12">
      <c r="L728" s="91"/>
    </row>
    <row r="729" spans="12:12">
      <c r="L729" s="91"/>
    </row>
    <row r="730" spans="12:12">
      <c r="L730" s="91"/>
    </row>
    <row r="731" spans="12:12">
      <c r="L731" s="91"/>
    </row>
    <row r="732" spans="12:12">
      <c r="L732" s="91"/>
    </row>
    <row r="733" spans="12:12">
      <c r="L733" s="91"/>
    </row>
    <row r="734" spans="12:12">
      <c r="L734" s="91"/>
    </row>
    <row r="735" spans="12:12">
      <c r="L735" s="91"/>
    </row>
    <row r="736" spans="12:12">
      <c r="L736" s="91"/>
    </row>
    <row r="737" spans="12:12">
      <c r="L737" s="91"/>
    </row>
    <row r="738" spans="12:12">
      <c r="L738" s="91"/>
    </row>
    <row r="739" spans="12:12">
      <c r="L739" s="91"/>
    </row>
    <row r="740" spans="12:12">
      <c r="L740" s="91"/>
    </row>
    <row r="741" spans="12:12">
      <c r="L741" s="91"/>
    </row>
    <row r="742" spans="12:12">
      <c r="L742" s="91"/>
    </row>
    <row r="743" spans="12:12">
      <c r="L743" s="91"/>
    </row>
    <row r="744" spans="12:12">
      <c r="L744" s="91"/>
    </row>
    <row r="745" spans="12:12">
      <c r="L745" s="91"/>
    </row>
    <row r="746" spans="12:12">
      <c r="L746" s="91"/>
    </row>
    <row r="747" spans="12:12">
      <c r="L747" s="91"/>
    </row>
    <row r="748" spans="12:12">
      <c r="L748" s="91"/>
    </row>
    <row r="749" spans="12:12">
      <c r="L749" s="91"/>
    </row>
    <row r="750" spans="12:12">
      <c r="L750" s="91"/>
    </row>
    <row r="751" spans="12:12">
      <c r="L751" s="91"/>
    </row>
    <row r="752" spans="12:12">
      <c r="L752" s="91"/>
    </row>
    <row r="753" spans="12:12">
      <c r="L753" s="91"/>
    </row>
    <row r="754" spans="12:12">
      <c r="L754" s="91"/>
    </row>
    <row r="755" spans="12:12">
      <c r="L755" s="91"/>
    </row>
    <row r="756" spans="12:12">
      <c r="L756" s="91"/>
    </row>
    <row r="757" spans="12:12">
      <c r="L757" s="91"/>
    </row>
    <row r="758" spans="12:12">
      <c r="L758" s="91"/>
    </row>
    <row r="759" spans="12:12">
      <c r="L759" s="91"/>
    </row>
    <row r="760" spans="12:12">
      <c r="L760" s="91"/>
    </row>
    <row r="761" spans="12:12">
      <c r="L761" s="91"/>
    </row>
    <row r="762" spans="12:12">
      <c r="L762" s="91"/>
    </row>
    <row r="763" spans="12:12">
      <c r="L763" s="407"/>
    </row>
    <row r="764" spans="12:12">
      <c r="L764" s="91"/>
    </row>
    <row r="765" spans="12:12">
      <c r="L765" s="91"/>
    </row>
    <row r="766" spans="12:12">
      <c r="L766" s="91"/>
    </row>
    <row r="767" spans="12:12">
      <c r="L767" s="91"/>
    </row>
    <row r="768" spans="12:12">
      <c r="L768" s="91"/>
    </row>
    <row r="769" spans="12:12">
      <c r="L769" s="91"/>
    </row>
    <row r="770" spans="12:12">
      <c r="L770" s="91"/>
    </row>
    <row r="771" spans="12:12">
      <c r="L771" s="91"/>
    </row>
    <row r="772" spans="12:12">
      <c r="L772" s="91"/>
    </row>
    <row r="773" spans="12:12">
      <c r="L773" s="91"/>
    </row>
    <row r="774" spans="12:12">
      <c r="L774" s="91"/>
    </row>
    <row r="775" spans="12:12">
      <c r="L775" s="91"/>
    </row>
    <row r="776" spans="12:12">
      <c r="L776" s="91"/>
    </row>
    <row r="777" spans="12:12">
      <c r="L777" s="91"/>
    </row>
    <row r="778" spans="12:12">
      <c r="L778" s="91"/>
    </row>
    <row r="779" spans="12:12">
      <c r="L779" s="91"/>
    </row>
    <row r="780" spans="12:12">
      <c r="L780" s="91"/>
    </row>
    <row r="781" spans="12:12">
      <c r="L781" s="91"/>
    </row>
    <row r="782" spans="12:12">
      <c r="L782" s="91"/>
    </row>
    <row r="783" spans="12:12">
      <c r="L783" s="91"/>
    </row>
    <row r="784" spans="12:12">
      <c r="L784" s="91"/>
    </row>
    <row r="785" spans="12:12">
      <c r="L785" s="91"/>
    </row>
    <row r="786" spans="12:12">
      <c r="L786" s="91"/>
    </row>
    <row r="787" spans="12:12">
      <c r="L787" s="91"/>
    </row>
    <row r="788" spans="12:12">
      <c r="L788" s="91"/>
    </row>
    <row r="789" spans="12:12">
      <c r="L789" s="91"/>
    </row>
    <row r="790" spans="12:12">
      <c r="L790" s="91"/>
    </row>
    <row r="791" spans="12:12">
      <c r="L791" s="91"/>
    </row>
    <row r="792" spans="12:12">
      <c r="L792" s="91"/>
    </row>
    <row r="793" spans="12:12">
      <c r="L793" s="91"/>
    </row>
    <row r="794" spans="12:12">
      <c r="L794" s="91"/>
    </row>
    <row r="795" spans="12:12">
      <c r="L795" s="91"/>
    </row>
    <row r="796" spans="12:12">
      <c r="L796" s="91"/>
    </row>
    <row r="797" spans="12:12">
      <c r="L797" s="91"/>
    </row>
    <row r="798" spans="12:12">
      <c r="L798" s="91"/>
    </row>
    <row r="799" spans="12:12">
      <c r="L799" s="91"/>
    </row>
    <row r="800" spans="12:12">
      <c r="L800" s="91"/>
    </row>
    <row r="801" spans="12:12">
      <c r="L801" s="91"/>
    </row>
    <row r="802" spans="12:12">
      <c r="L802" s="91"/>
    </row>
    <row r="803" spans="12:12">
      <c r="L803" s="91"/>
    </row>
    <row r="804" spans="12:12">
      <c r="L804" s="405"/>
    </row>
    <row r="805" spans="12:12">
      <c r="L805" s="91"/>
    </row>
    <row r="806" spans="12:12">
      <c r="L806" s="91"/>
    </row>
    <row r="807" spans="12:12">
      <c r="L807" s="407"/>
    </row>
    <row r="808" spans="12:12">
      <c r="L808" s="91"/>
    </row>
    <row r="809" spans="12:12">
      <c r="L809" s="91"/>
    </row>
    <row r="810" spans="12:12">
      <c r="L810" s="91"/>
    </row>
    <row r="811" spans="12:12">
      <c r="L811" s="91"/>
    </row>
    <row r="812" spans="12:12">
      <c r="L812" s="91"/>
    </row>
    <row r="813" spans="12:12">
      <c r="L813" s="407"/>
    </row>
    <row r="814" spans="12:12">
      <c r="L814" s="91"/>
    </row>
    <row r="815" spans="12:12">
      <c r="L815" s="91"/>
    </row>
    <row r="816" spans="12:12">
      <c r="L816" s="91"/>
    </row>
    <row r="817" spans="12:12">
      <c r="L817" s="91"/>
    </row>
    <row r="818" spans="12:12">
      <c r="L818" s="91"/>
    </row>
    <row r="819" spans="12:12">
      <c r="L819" s="91"/>
    </row>
    <row r="820" spans="12:12">
      <c r="L820" s="91"/>
    </row>
    <row r="821" spans="12:12">
      <c r="L821" s="91"/>
    </row>
    <row r="822" spans="12:12">
      <c r="L822" s="91"/>
    </row>
    <row r="823" spans="12:12">
      <c r="L823" s="91"/>
    </row>
    <row r="824" spans="12:12">
      <c r="L824" s="407"/>
    </row>
    <row r="825" spans="12:12">
      <c r="L825" s="91"/>
    </row>
    <row r="826" spans="12:12">
      <c r="L826" s="91"/>
    </row>
    <row r="827" spans="12:12">
      <c r="L827" s="91"/>
    </row>
    <row r="828" spans="12:12">
      <c r="L828" s="91"/>
    </row>
    <row r="829" spans="12:12">
      <c r="L829" s="91"/>
    </row>
    <row r="830" spans="12:12">
      <c r="L830" s="91"/>
    </row>
    <row r="831" spans="12:12">
      <c r="L831" s="91"/>
    </row>
    <row r="832" spans="12:12">
      <c r="L832" s="91"/>
    </row>
    <row r="833" spans="12:12">
      <c r="L833" s="91"/>
    </row>
    <row r="834" spans="12:12">
      <c r="L834" s="407"/>
    </row>
    <row r="835" spans="12:12">
      <c r="L835" s="91"/>
    </row>
    <row r="836" spans="12:12">
      <c r="L836" s="91"/>
    </row>
    <row r="837" spans="12:12">
      <c r="L837" s="91"/>
    </row>
    <row r="838" spans="12:12">
      <c r="L838" s="91"/>
    </row>
    <row r="839" spans="12:12">
      <c r="L839" s="91"/>
    </row>
    <row r="840" spans="12:12">
      <c r="L840" s="91"/>
    </row>
    <row r="841" spans="12:12">
      <c r="L841" s="91"/>
    </row>
    <row r="842" spans="12:12">
      <c r="L842" s="407"/>
    </row>
    <row r="843" spans="12:12">
      <c r="L843" s="91"/>
    </row>
    <row r="844" spans="12:12">
      <c r="L844" s="91"/>
    </row>
    <row r="845" spans="12:12">
      <c r="L845" s="91"/>
    </row>
    <row r="846" spans="12:12">
      <c r="L846" s="91"/>
    </row>
    <row r="847" spans="12:12">
      <c r="L847" s="91"/>
    </row>
    <row r="848" spans="12:12">
      <c r="L848" s="91"/>
    </row>
    <row r="849" spans="12:12">
      <c r="L849" s="91"/>
    </row>
    <row r="850" spans="12:12">
      <c r="L850" s="91"/>
    </row>
    <row r="851" spans="12:12">
      <c r="L851" s="91"/>
    </row>
    <row r="852" spans="12:12">
      <c r="L852" s="407"/>
    </row>
    <row r="853" spans="12:12">
      <c r="L853" s="91"/>
    </row>
    <row r="854" spans="12:12">
      <c r="L854" s="91"/>
    </row>
    <row r="855" spans="12:12">
      <c r="L855" s="91"/>
    </row>
    <row r="856" spans="12:12">
      <c r="L856" s="91"/>
    </row>
    <row r="857" spans="12:12">
      <c r="L857" s="91"/>
    </row>
    <row r="858" spans="12:12">
      <c r="L858" s="91"/>
    </row>
    <row r="859" spans="12:12">
      <c r="L859" s="91"/>
    </row>
    <row r="860" spans="12:12">
      <c r="L860" s="91"/>
    </row>
    <row r="861" spans="12:12">
      <c r="L861" s="91"/>
    </row>
    <row r="862" spans="12:12">
      <c r="L862" s="91"/>
    </row>
    <row r="863" spans="12:12">
      <c r="L863" s="91"/>
    </row>
    <row r="864" spans="12:12">
      <c r="L864" s="91"/>
    </row>
    <row r="865" spans="12:12">
      <c r="L865" s="91"/>
    </row>
    <row r="866" spans="12:12">
      <c r="L866" s="91"/>
    </row>
    <row r="867" spans="12:12">
      <c r="L867" s="91"/>
    </row>
    <row r="868" spans="12:12">
      <c r="L868" s="91"/>
    </row>
    <row r="869" spans="12:12">
      <c r="L869" s="91"/>
    </row>
    <row r="870" spans="12:12">
      <c r="L870" s="91"/>
    </row>
    <row r="871" spans="12:12">
      <c r="L871" s="91"/>
    </row>
    <row r="872" spans="12:12">
      <c r="L872" s="91"/>
    </row>
    <row r="873" spans="12:12">
      <c r="L873" s="407"/>
    </row>
    <row r="874" spans="12:12">
      <c r="L874" s="91"/>
    </row>
    <row r="875" spans="12:12">
      <c r="L875" s="91"/>
    </row>
    <row r="876" spans="12:12">
      <c r="L876" s="91"/>
    </row>
    <row r="878" spans="12:12">
      <c r="L878" s="91"/>
    </row>
    <row r="879" spans="12:12">
      <c r="L879" s="91"/>
    </row>
    <row r="880" spans="12:12">
      <c r="L880" s="91"/>
    </row>
    <row r="881" spans="12:12">
      <c r="L881" s="91"/>
    </row>
    <row r="882" spans="12:12">
      <c r="L882" s="91"/>
    </row>
    <row r="883" spans="12:12">
      <c r="L883" s="91"/>
    </row>
    <row r="884" spans="12:12">
      <c r="L884" s="91"/>
    </row>
    <row r="885" spans="12:12">
      <c r="L885" s="91"/>
    </row>
    <row r="886" spans="12:12">
      <c r="L886" s="407"/>
    </row>
    <row r="887" spans="12:12">
      <c r="L887" s="91"/>
    </row>
    <row r="888" spans="12:12">
      <c r="L888" s="91"/>
    </row>
    <row r="889" spans="12:12">
      <c r="L889" s="91"/>
    </row>
    <row r="890" spans="12:12">
      <c r="L890" s="407"/>
    </row>
    <row r="891" spans="12:12">
      <c r="L891" s="91"/>
    </row>
    <row r="892" spans="12:12">
      <c r="L892" s="91"/>
    </row>
    <row r="893" spans="12:12">
      <c r="L893" s="91"/>
    </row>
    <row r="894" spans="12:12">
      <c r="L894" s="91"/>
    </row>
    <row r="895" spans="12:12">
      <c r="L895" s="91"/>
    </row>
    <row r="896" spans="12:12">
      <c r="L896" s="91"/>
    </row>
    <row r="897" spans="12:12">
      <c r="L897" s="91"/>
    </row>
    <row r="898" spans="12:12">
      <c r="L898" s="91"/>
    </row>
    <row r="899" spans="12:12">
      <c r="L899" s="91"/>
    </row>
    <row r="900" spans="12:12">
      <c r="L900" s="91"/>
    </row>
    <row r="901" spans="12:12">
      <c r="L901" s="91"/>
    </row>
    <row r="902" spans="12:12">
      <c r="L902" s="91"/>
    </row>
    <row r="903" spans="12:12">
      <c r="L903" s="91"/>
    </row>
    <row r="904" spans="12:12">
      <c r="L904" s="91"/>
    </row>
    <row r="905" spans="12:12">
      <c r="L905" s="91"/>
    </row>
    <row r="906" spans="12:12">
      <c r="L906" s="91"/>
    </row>
    <row r="907" spans="12:12">
      <c r="L907" s="91"/>
    </row>
    <row r="908" spans="12:12">
      <c r="L908" s="91"/>
    </row>
    <row r="909" spans="12:12">
      <c r="L909" s="91"/>
    </row>
    <row r="910" spans="12:12">
      <c r="L910" s="91"/>
    </row>
    <row r="911" spans="12:12">
      <c r="L911" s="91"/>
    </row>
    <row r="912" spans="12:12">
      <c r="L912" s="91"/>
    </row>
    <row r="913" spans="12:12">
      <c r="L913" s="91"/>
    </row>
    <row r="914" spans="12:12">
      <c r="L914" s="91"/>
    </row>
    <row r="915" spans="12:12">
      <c r="L915" s="91"/>
    </row>
    <row r="916" spans="12:12">
      <c r="L916" s="91"/>
    </row>
    <row r="917" spans="12:12">
      <c r="L917" s="91"/>
    </row>
    <row r="918" spans="12:12">
      <c r="L918" s="91"/>
    </row>
    <row r="919" spans="12:12">
      <c r="L919" s="91"/>
    </row>
    <row r="920" spans="12:12">
      <c r="L920" s="91"/>
    </row>
    <row r="921" spans="12:12">
      <c r="L921" s="91"/>
    </row>
    <row r="922" spans="12:12">
      <c r="L922" s="91"/>
    </row>
    <row r="923" spans="12:12">
      <c r="L923" s="91"/>
    </row>
    <row r="924" spans="12:12">
      <c r="L924" s="91"/>
    </row>
    <row r="925" spans="12:12">
      <c r="L925" s="91"/>
    </row>
    <row r="926" spans="12:12">
      <c r="L926" s="91"/>
    </row>
    <row r="927" spans="12:12">
      <c r="L927" s="91"/>
    </row>
    <row r="928" spans="12:12">
      <c r="L928" s="91"/>
    </row>
    <row r="929" spans="12:12">
      <c r="L929" s="91"/>
    </row>
    <row r="930" spans="12:12">
      <c r="L930" s="91"/>
    </row>
    <row r="931" spans="12:12">
      <c r="L931" s="91"/>
    </row>
    <row r="932" spans="12:12">
      <c r="L932" s="91"/>
    </row>
    <row r="933" spans="12:12">
      <c r="L933" s="91"/>
    </row>
    <row r="934" spans="12:12">
      <c r="L934" s="91"/>
    </row>
    <row r="935" spans="12:12">
      <c r="L935" s="79"/>
    </row>
    <row r="936" spans="12:12">
      <c r="L936" s="91"/>
    </row>
    <row r="937" spans="12:12">
      <c r="L937" s="91"/>
    </row>
    <row r="938" spans="12:12">
      <c r="L938" s="91"/>
    </row>
    <row r="939" spans="12:12">
      <c r="L939" s="91"/>
    </row>
    <row r="940" spans="12:12">
      <c r="L940" s="91"/>
    </row>
    <row r="941" spans="12:12">
      <c r="L941" s="91"/>
    </row>
    <row r="942" spans="12:12">
      <c r="L942" s="91"/>
    </row>
    <row r="943" spans="12:12">
      <c r="L943" s="91"/>
    </row>
    <row r="944" spans="12:12">
      <c r="L944" s="91"/>
    </row>
    <row r="945" spans="12:12">
      <c r="L945" s="91"/>
    </row>
    <row r="946" spans="12:12">
      <c r="L946" s="91"/>
    </row>
    <row r="947" spans="12:12">
      <c r="L947" s="91"/>
    </row>
    <row r="948" spans="12:12">
      <c r="L948" s="91"/>
    </row>
    <row r="949" spans="12:12">
      <c r="L949" s="91"/>
    </row>
    <row r="950" spans="12:12">
      <c r="L950" s="91"/>
    </row>
    <row r="951" spans="12:12">
      <c r="L951" s="91"/>
    </row>
    <row r="952" spans="12:12">
      <c r="L952" s="91"/>
    </row>
    <row r="953" spans="12:12">
      <c r="L953" s="91"/>
    </row>
    <row r="954" spans="12:12">
      <c r="L954" s="91"/>
    </row>
    <row r="955" spans="12:12">
      <c r="L955" s="91"/>
    </row>
    <row r="956" spans="12:12">
      <c r="L956" s="91"/>
    </row>
    <row r="957" spans="12:12">
      <c r="L957" s="91"/>
    </row>
    <row r="958" spans="12:12">
      <c r="L958" s="91"/>
    </row>
    <row r="959" spans="12:12">
      <c r="L959" s="91"/>
    </row>
    <row r="960" spans="12:12">
      <c r="L960" s="91"/>
    </row>
    <row r="961" spans="12:12">
      <c r="L961" s="91"/>
    </row>
    <row r="962" spans="12:12">
      <c r="L962" s="91"/>
    </row>
    <row r="963" spans="12:12">
      <c r="L963" s="91"/>
    </row>
    <row r="964" spans="12:12">
      <c r="L964" s="91"/>
    </row>
    <row r="965" spans="12:12">
      <c r="L965" s="91"/>
    </row>
    <row r="966" spans="12:12">
      <c r="L966" s="91"/>
    </row>
    <row r="967" spans="12:12">
      <c r="L967" s="91"/>
    </row>
    <row r="968" spans="12:12">
      <c r="L968" s="407"/>
    </row>
    <row r="969" spans="12:12">
      <c r="L969" s="407"/>
    </row>
    <row r="970" spans="12:12">
      <c r="L970" s="91"/>
    </row>
    <row r="971" spans="12:12">
      <c r="L971" s="91"/>
    </row>
    <row r="972" spans="12:12">
      <c r="L972" s="91"/>
    </row>
    <row r="973" spans="12:12">
      <c r="L973" s="91"/>
    </row>
    <row r="974" spans="12:12">
      <c r="L974" s="91"/>
    </row>
    <row r="975" spans="12:12">
      <c r="L975" s="91"/>
    </row>
    <row r="976" spans="12:12">
      <c r="L976" s="91"/>
    </row>
    <row r="977" spans="12:12">
      <c r="L977" s="91"/>
    </row>
    <row r="978" spans="12:12">
      <c r="L978" s="91"/>
    </row>
    <row r="979" spans="12:12">
      <c r="L979" s="91"/>
    </row>
    <row r="980" spans="12:12">
      <c r="L980" s="91"/>
    </row>
    <row r="981" spans="12:12">
      <c r="L981" s="91"/>
    </row>
    <row r="982" spans="12:12">
      <c r="L982" s="91"/>
    </row>
    <row r="983" spans="12:12">
      <c r="L983" s="91"/>
    </row>
    <row r="984" spans="12:12">
      <c r="L984" s="91"/>
    </row>
    <row r="985" spans="12:12">
      <c r="L985" s="91"/>
    </row>
    <row r="986" spans="12:12">
      <c r="L986" s="91"/>
    </row>
    <row r="987" spans="12:12">
      <c r="L987" s="91"/>
    </row>
    <row r="988" spans="12:12">
      <c r="L988" s="91"/>
    </row>
    <row r="989" spans="12:12">
      <c r="L989" s="91"/>
    </row>
    <row r="990" spans="12:12">
      <c r="L990" s="91"/>
    </row>
    <row r="991" spans="12:12">
      <c r="L991" s="91"/>
    </row>
    <row r="992" spans="12:12">
      <c r="L992" s="91"/>
    </row>
    <row r="993" spans="12:12">
      <c r="L993" s="91"/>
    </row>
    <row r="994" spans="12:12">
      <c r="L994" s="91"/>
    </row>
    <row r="995" spans="12:12">
      <c r="L995" s="91"/>
    </row>
    <row r="996" spans="12:12">
      <c r="L996" s="91"/>
    </row>
    <row r="997" spans="12:12">
      <c r="L997" s="91"/>
    </row>
    <row r="998" spans="12:12">
      <c r="L998" s="91"/>
    </row>
    <row r="999" spans="12:12">
      <c r="L999" s="91"/>
    </row>
    <row r="1000" spans="12:12">
      <c r="L1000" s="91"/>
    </row>
    <row r="1001" spans="12:12">
      <c r="L1001" s="91"/>
    </row>
    <row r="1002" spans="12:12">
      <c r="L1002" s="91"/>
    </row>
    <row r="1003" spans="12:12">
      <c r="L1003" s="91"/>
    </row>
    <row r="1004" spans="12:12">
      <c r="L1004" s="91"/>
    </row>
    <row r="1005" spans="12:12">
      <c r="L1005" s="91"/>
    </row>
    <row r="1006" spans="12:12">
      <c r="L1006" s="91"/>
    </row>
    <row r="1007" spans="12:12">
      <c r="L1007" s="91"/>
    </row>
    <row r="1008" spans="12:12">
      <c r="L1008" s="407"/>
    </row>
    <row r="1009" spans="12:12">
      <c r="L1009" s="91"/>
    </row>
    <row r="1010" spans="12:12">
      <c r="L1010" s="91"/>
    </row>
    <row r="1011" spans="12:12">
      <c r="L1011" s="91"/>
    </row>
    <row r="1012" spans="12:12">
      <c r="L1012" s="91"/>
    </row>
    <row r="1013" spans="12:12">
      <c r="L1013" s="91"/>
    </row>
    <row r="1014" spans="12:12">
      <c r="L1014" s="91"/>
    </row>
    <row r="1015" spans="12:12">
      <c r="L1015" s="91"/>
    </row>
    <row r="1016" spans="12:12">
      <c r="L1016" s="91"/>
    </row>
    <row r="1017" spans="12:12">
      <c r="L1017" s="91"/>
    </row>
    <row r="1018" spans="12:12">
      <c r="L1018" s="91"/>
    </row>
    <row r="1019" spans="12:12">
      <c r="L1019" s="91"/>
    </row>
    <row r="1020" spans="12:12">
      <c r="L1020" s="91"/>
    </row>
    <row r="1021" spans="12:12">
      <c r="L1021" s="91"/>
    </row>
    <row r="1022" spans="12:12">
      <c r="L1022" s="91"/>
    </row>
    <row r="1023" spans="12:12">
      <c r="L1023" s="91"/>
    </row>
    <row r="1024" spans="12:12">
      <c r="L1024" s="91"/>
    </row>
    <row r="1025" spans="12:12">
      <c r="L1025" s="91"/>
    </row>
    <row r="1026" spans="12:12">
      <c r="L1026" s="91"/>
    </row>
    <row r="1027" spans="12:12">
      <c r="L1027" s="91"/>
    </row>
    <row r="1028" spans="12:12">
      <c r="L1028" s="91"/>
    </row>
    <row r="1029" spans="12:12">
      <c r="L1029" s="91"/>
    </row>
    <row r="1030" spans="12:12">
      <c r="L1030" s="91"/>
    </row>
    <row r="1031" spans="12:12">
      <c r="L1031" s="91"/>
    </row>
    <row r="1032" spans="12:12">
      <c r="L1032" s="91"/>
    </row>
    <row r="1033" spans="12:12">
      <c r="L1033" s="91"/>
    </row>
    <row r="1034" spans="12:12">
      <c r="L1034" s="91"/>
    </row>
    <row r="1035" spans="12:12">
      <c r="L1035" s="91"/>
    </row>
    <row r="1036" spans="12:12">
      <c r="L1036" s="91"/>
    </row>
    <row r="1037" spans="12:12">
      <c r="L1037" s="91"/>
    </row>
    <row r="1038" spans="12:12">
      <c r="L1038" s="91"/>
    </row>
    <row r="1039" spans="12:12">
      <c r="L1039" s="91"/>
    </row>
    <row r="1040" spans="12:12">
      <c r="L1040" s="91"/>
    </row>
    <row r="1041" spans="12:12">
      <c r="L1041" s="91"/>
    </row>
    <row r="1042" spans="12:12">
      <c r="L1042" s="91"/>
    </row>
    <row r="1043" spans="12:12">
      <c r="L1043" s="91"/>
    </row>
    <row r="1044" spans="12:12">
      <c r="L1044" s="91"/>
    </row>
    <row r="1045" spans="12:12">
      <c r="L1045" s="91"/>
    </row>
    <row r="1046" spans="12:12">
      <c r="L1046" s="91"/>
    </row>
    <row r="1047" spans="12:12">
      <c r="L1047" s="91"/>
    </row>
    <row r="1048" spans="12:12">
      <c r="L1048" s="91"/>
    </row>
    <row r="1049" spans="12:12">
      <c r="L1049" s="91"/>
    </row>
    <row r="1050" spans="12:12">
      <c r="L1050" s="91"/>
    </row>
    <row r="1051" spans="12:12">
      <c r="L1051" s="91"/>
    </row>
    <row r="1052" spans="12:12">
      <c r="L1052" s="91"/>
    </row>
    <row r="1053" spans="12:12">
      <c r="L1053" s="91"/>
    </row>
    <row r="1054" spans="12:12">
      <c r="L1054" s="91"/>
    </row>
    <row r="1055" spans="12:12">
      <c r="L1055" s="91"/>
    </row>
    <row r="1056" spans="12:12">
      <c r="L1056" s="91"/>
    </row>
    <row r="1057" spans="12:12">
      <c r="L1057" s="91"/>
    </row>
    <row r="1058" spans="12:12">
      <c r="L1058" s="91"/>
    </row>
    <row r="1059" spans="12:12">
      <c r="L1059" s="91"/>
    </row>
    <row r="1060" spans="12:12">
      <c r="L1060" s="91"/>
    </row>
    <row r="1061" spans="12:12">
      <c r="L1061" s="91"/>
    </row>
    <row r="1062" spans="12:12">
      <c r="L1062" s="91"/>
    </row>
    <row r="1063" spans="12:12">
      <c r="L1063" s="91"/>
    </row>
    <row r="1064" spans="12:12">
      <c r="L1064" s="91"/>
    </row>
    <row r="1065" spans="12:12">
      <c r="L1065" s="91"/>
    </row>
    <row r="1066" spans="12:12">
      <c r="L1066" s="407"/>
    </row>
    <row r="1067" spans="12:12">
      <c r="L1067" s="91"/>
    </row>
    <row r="1068" spans="12:12">
      <c r="L1068" s="91"/>
    </row>
    <row r="1069" spans="12:12">
      <c r="L1069" s="91"/>
    </row>
    <row r="1070" spans="12:12">
      <c r="L1070" s="91"/>
    </row>
    <row r="1071" spans="12:12">
      <c r="L1071" s="91"/>
    </row>
    <row r="1072" spans="12:12">
      <c r="L1072" s="91"/>
    </row>
    <row r="1073" spans="12:12">
      <c r="L1073" s="91"/>
    </row>
    <row r="1074" spans="12:12">
      <c r="L1074" s="91"/>
    </row>
    <row r="1075" spans="12:12">
      <c r="L1075" s="91"/>
    </row>
    <row r="1076" spans="12:12">
      <c r="L1076" s="91"/>
    </row>
    <row r="1077" spans="12:12">
      <c r="L1077" s="91"/>
    </row>
    <row r="1078" spans="12:12">
      <c r="L1078" s="91"/>
    </row>
    <row r="1079" spans="12:12">
      <c r="L1079" s="91"/>
    </row>
    <row r="1080" spans="12:12">
      <c r="L1080" s="91"/>
    </row>
    <row r="1081" spans="12:12">
      <c r="L1081" s="91"/>
    </row>
    <row r="1082" spans="12:12">
      <c r="L1082" s="91"/>
    </row>
    <row r="1083" spans="12:12">
      <c r="L1083" s="91"/>
    </row>
    <row r="1084" spans="12:12">
      <c r="L1084" s="91"/>
    </row>
    <row r="1085" spans="12:12">
      <c r="L1085" s="91"/>
    </row>
    <row r="1086" spans="12:12">
      <c r="L1086" s="91"/>
    </row>
    <row r="1087" spans="12:12">
      <c r="L1087" s="91"/>
    </row>
    <row r="1088" spans="12:12">
      <c r="L1088" s="91"/>
    </row>
    <row r="1089" spans="12:12">
      <c r="L1089" s="91"/>
    </row>
    <row r="1090" spans="12:12">
      <c r="L1090" s="91"/>
    </row>
    <row r="1091" spans="12:12">
      <c r="L1091" s="91"/>
    </row>
    <row r="1092" spans="12:12">
      <c r="L1092" s="91"/>
    </row>
    <row r="1093" spans="12:12">
      <c r="L1093" s="91"/>
    </row>
    <row r="1094" spans="12:12">
      <c r="L1094" s="91"/>
    </row>
    <row r="1095" spans="12:12">
      <c r="L1095" s="91"/>
    </row>
    <row r="1096" spans="12:12">
      <c r="L1096" s="91"/>
    </row>
    <row r="1097" spans="12:12">
      <c r="L1097" s="91"/>
    </row>
    <row r="1098" spans="12:12">
      <c r="L1098" s="91"/>
    </row>
    <row r="1099" spans="12:12">
      <c r="L1099" s="91"/>
    </row>
    <row r="1100" spans="12:12">
      <c r="L1100" s="91"/>
    </row>
    <row r="1101" spans="12:12">
      <c r="L1101" s="91"/>
    </row>
    <row r="1102" spans="12:12">
      <c r="L1102" s="91"/>
    </row>
    <row r="1103" spans="12:12">
      <c r="L1103" s="91"/>
    </row>
    <row r="1104" spans="12:12">
      <c r="L1104" s="91"/>
    </row>
    <row r="1105" spans="12:12">
      <c r="L1105" s="91"/>
    </row>
    <row r="1106" spans="12:12">
      <c r="L1106" s="91"/>
    </row>
    <row r="1107" spans="12:12">
      <c r="L1107" s="91"/>
    </row>
    <row r="1108" spans="12:12">
      <c r="L1108" s="91"/>
    </row>
    <row r="1109" spans="12:12">
      <c r="L1109" s="91"/>
    </row>
    <row r="1110" spans="12:12">
      <c r="L1110" s="91"/>
    </row>
    <row r="1111" spans="12:12">
      <c r="L1111" s="91"/>
    </row>
    <row r="1112" spans="12:12">
      <c r="L1112" s="91"/>
    </row>
    <row r="1113" spans="12:12">
      <c r="L1113" s="91"/>
    </row>
    <row r="1114" spans="12:12">
      <c r="L1114" s="91"/>
    </row>
    <row r="1115" spans="12:12">
      <c r="L1115" s="91"/>
    </row>
    <row r="1116" spans="12:12">
      <c r="L1116" s="91"/>
    </row>
    <row r="1117" spans="12:12">
      <c r="L1117" s="91"/>
    </row>
    <row r="1118" spans="12:12">
      <c r="L1118" s="91"/>
    </row>
    <row r="1119" spans="12:12">
      <c r="L1119" s="91"/>
    </row>
    <row r="1120" spans="12:12">
      <c r="L1120" s="91"/>
    </row>
    <row r="1121" spans="12:12">
      <c r="L1121" s="91"/>
    </row>
    <row r="1122" spans="12:12">
      <c r="L1122" s="91"/>
    </row>
    <row r="1123" spans="12:12">
      <c r="L1123" s="407"/>
    </row>
    <row r="1124" spans="12:12">
      <c r="L1124" s="91"/>
    </row>
    <row r="1125" spans="12:12">
      <c r="L1125" s="91"/>
    </row>
    <row r="1126" spans="12:12">
      <c r="L1126" s="91"/>
    </row>
    <row r="1127" spans="12:12">
      <c r="L1127" s="91"/>
    </row>
    <row r="1128" spans="12:12">
      <c r="L1128" s="91"/>
    </row>
    <row r="1129" spans="12:12">
      <c r="L1129" s="91"/>
    </row>
    <row r="1130" spans="12:12">
      <c r="L1130" s="91"/>
    </row>
    <row r="1131" spans="12:12">
      <c r="L1131" s="91"/>
    </row>
    <row r="1132" spans="12:12">
      <c r="L1132" s="91"/>
    </row>
    <row r="1133" spans="12:12">
      <c r="L1133" s="91"/>
    </row>
    <row r="1134" spans="12:12">
      <c r="L1134" s="91"/>
    </row>
    <row r="1135" spans="12:12">
      <c r="L1135" s="91"/>
    </row>
    <row r="1136" spans="12:12">
      <c r="L1136" s="91"/>
    </row>
    <row r="1137" spans="12:12">
      <c r="L1137" s="91"/>
    </row>
    <row r="1138" spans="12:12">
      <c r="L1138" s="91"/>
    </row>
    <row r="1139" spans="12:12">
      <c r="L1139" s="91"/>
    </row>
    <row r="1140" spans="12:12">
      <c r="L1140" s="91"/>
    </row>
    <row r="1141" spans="12:12">
      <c r="L1141" s="91"/>
    </row>
    <row r="1142" spans="12:12">
      <c r="L1142" s="91"/>
    </row>
    <row r="1143" spans="12:12">
      <c r="L1143" s="91"/>
    </row>
    <row r="1144" spans="12:12">
      <c r="L1144" s="91"/>
    </row>
    <row r="1145" spans="12:12">
      <c r="L1145" s="91"/>
    </row>
    <row r="1146" spans="12:12">
      <c r="L1146" s="91"/>
    </row>
    <row r="1147" spans="12:12">
      <c r="L1147" s="91"/>
    </row>
    <row r="1148" spans="12:12">
      <c r="L1148" s="91"/>
    </row>
    <row r="1149" spans="12:12">
      <c r="L1149" s="91"/>
    </row>
    <row r="1150" spans="12:12">
      <c r="L1150" s="91"/>
    </row>
    <row r="1151" spans="12:12">
      <c r="L1151" s="408"/>
    </row>
    <row r="1152" spans="12:12">
      <c r="L1152" s="91"/>
    </row>
    <row r="1153" spans="12:12">
      <c r="L1153" s="91"/>
    </row>
    <row r="1154" spans="12:12">
      <c r="L1154" s="91"/>
    </row>
    <row r="1155" spans="12:12">
      <c r="L1155" s="91"/>
    </row>
    <row r="1156" spans="12:12">
      <c r="L1156" s="91"/>
    </row>
    <row r="1157" spans="12:12">
      <c r="L1157" s="91"/>
    </row>
    <row r="1158" spans="12:12">
      <c r="L1158" s="91"/>
    </row>
    <row r="1159" spans="12:12">
      <c r="L1159" s="91"/>
    </row>
    <row r="1160" spans="12:12">
      <c r="L1160" s="91"/>
    </row>
    <row r="1161" spans="12:12">
      <c r="L1161" s="91"/>
    </row>
    <row r="1162" spans="12:12">
      <c r="L1162" s="91"/>
    </row>
    <row r="1163" spans="12:12">
      <c r="L1163" s="91"/>
    </row>
    <row r="1164" spans="12:12">
      <c r="L1164" s="91"/>
    </row>
    <row r="1165" spans="12:12">
      <c r="L1165" s="407"/>
    </row>
    <row r="1166" spans="12:12">
      <c r="L1166" s="91"/>
    </row>
    <row r="1167" spans="12:12">
      <c r="L1167" s="91"/>
    </row>
    <row r="1168" spans="12:12">
      <c r="L1168" s="91"/>
    </row>
    <row r="1169" spans="12:12">
      <c r="L1169" s="91"/>
    </row>
    <row r="1170" spans="12:12">
      <c r="L1170" s="91"/>
    </row>
    <row r="1171" spans="12:12">
      <c r="L1171" s="91"/>
    </row>
    <row r="1172" spans="12:12">
      <c r="L1172" s="91"/>
    </row>
    <row r="1173" spans="12:12">
      <c r="L1173" s="91"/>
    </row>
    <row r="1175" spans="12:12">
      <c r="L1175" s="91"/>
    </row>
    <row r="1176" spans="12:12">
      <c r="L1176" s="91"/>
    </row>
    <row r="1177" spans="12:12">
      <c r="L1177" s="407"/>
    </row>
    <row r="1178" spans="12:12">
      <c r="L1178" s="91"/>
    </row>
    <row r="1179" spans="12:12">
      <c r="L1179" s="407"/>
    </row>
    <row r="1180" spans="12:12">
      <c r="L1180" s="91"/>
    </row>
    <row r="1181" spans="12:12">
      <c r="L1181" s="91"/>
    </row>
    <row r="1182" spans="12:12">
      <c r="L1182" s="91"/>
    </row>
    <row r="1183" spans="12:12">
      <c r="L1183" s="407"/>
    </row>
    <row r="1184" spans="12:12">
      <c r="L1184" s="405"/>
    </row>
    <row r="1186" spans="12:12">
      <c r="L1186" s="91"/>
    </row>
    <row r="1187" spans="12:12">
      <c r="L1187" s="407"/>
    </row>
    <row r="1188" spans="12:12">
      <c r="L1188" s="91"/>
    </row>
    <row r="1189" spans="12:12">
      <c r="L1189" s="91"/>
    </row>
    <row r="1190" spans="12:12">
      <c r="L1190" s="407"/>
    </row>
    <row r="1191" spans="12:12">
      <c r="L1191" s="91"/>
    </row>
    <row r="1192" spans="12:12">
      <c r="L1192" s="91"/>
    </row>
    <row r="1193" spans="12:12">
      <c r="L1193" s="91"/>
    </row>
    <row r="1194" spans="12:12">
      <c r="L1194" s="91"/>
    </row>
    <row r="1195" spans="12:12">
      <c r="L1195" s="91"/>
    </row>
    <row r="1196" spans="12:12">
      <c r="L1196" s="407"/>
    </row>
    <row r="1197" spans="12:12">
      <c r="L1197" s="91"/>
    </row>
    <row r="1198" spans="12:12">
      <c r="L1198" s="91"/>
    </row>
    <row r="1199" spans="12:12">
      <c r="L1199" s="91"/>
    </row>
    <row r="1200" spans="12:12">
      <c r="L1200" s="91"/>
    </row>
    <row r="1202" spans="12:12">
      <c r="L1202" s="407"/>
    </row>
    <row r="1203" spans="12:12">
      <c r="L1203" s="91"/>
    </row>
    <row r="1204" spans="12:12">
      <c r="L1204" s="91"/>
    </row>
    <row r="1205" spans="12:12">
      <c r="L1205" s="91"/>
    </row>
    <row r="1206" spans="12:12">
      <c r="L1206" s="91"/>
    </row>
    <row r="1207" spans="12:12">
      <c r="L1207" s="91"/>
    </row>
    <row r="1208" spans="12:12">
      <c r="L1208" s="91"/>
    </row>
    <row r="1209" spans="12:12">
      <c r="L1209" s="91"/>
    </row>
    <row r="1210" spans="12:12">
      <c r="L1210" s="91"/>
    </row>
    <row r="1211" spans="12:12">
      <c r="L1211" s="81"/>
    </row>
    <row r="1212" spans="12:12">
      <c r="L1212" s="91"/>
    </row>
    <row r="1213" spans="12:12">
      <c r="L1213" s="91"/>
    </row>
    <row r="1214" spans="12:12">
      <c r="L1214" s="91"/>
    </row>
    <row r="1215" spans="12:12">
      <c r="L1215" s="91"/>
    </row>
    <row r="1216" spans="12:12">
      <c r="L1216" s="91"/>
    </row>
    <row r="1217" spans="12:12">
      <c r="L1217" s="91"/>
    </row>
    <row r="1218" spans="12:12">
      <c r="L1218" s="91"/>
    </row>
    <row r="1219" spans="12:12">
      <c r="L1219" s="407"/>
    </row>
    <row r="1220" spans="12:12">
      <c r="L1220" s="91"/>
    </row>
    <row r="1221" spans="12:12">
      <c r="L1221" s="91"/>
    </row>
    <row r="1222" spans="12:12">
      <c r="L1222" s="91"/>
    </row>
    <row r="1223" spans="12:12">
      <c r="L1223" s="91"/>
    </row>
    <row r="1224" spans="12:12">
      <c r="L1224" s="91"/>
    </row>
    <row r="1225" spans="12:12">
      <c r="L1225" s="91"/>
    </row>
    <row r="1226" spans="12:12">
      <c r="L1226" s="407"/>
    </row>
    <row r="1227" spans="12:12">
      <c r="L1227" s="91"/>
    </row>
    <row r="1228" spans="12:12">
      <c r="L1228" s="91"/>
    </row>
    <row r="1229" spans="12:12">
      <c r="L1229" s="91"/>
    </row>
    <row r="1230" spans="12:12">
      <c r="L1230" s="91"/>
    </row>
    <row r="1231" spans="12:12">
      <c r="L1231" s="91"/>
    </row>
    <row r="1232" spans="12:12">
      <c r="L1232" s="91"/>
    </row>
    <row r="1233" spans="12:12">
      <c r="L1233" s="91"/>
    </row>
    <row r="1234" spans="12:12">
      <c r="L1234" s="407"/>
    </row>
    <row r="1235" spans="12:12">
      <c r="L1235" s="91"/>
    </row>
    <row r="1236" spans="12:12">
      <c r="L1236" s="91"/>
    </row>
    <row r="1237" spans="12:12">
      <c r="L1237" s="91"/>
    </row>
    <row r="1238" spans="12:12">
      <c r="L1238" s="91"/>
    </row>
    <row r="1239" spans="12:12">
      <c r="L1239" s="91"/>
    </row>
    <row r="1240" spans="12:12">
      <c r="L1240" s="91"/>
    </row>
    <row r="1241" spans="12:12">
      <c r="L1241" s="91"/>
    </row>
    <row r="1242" spans="12:12">
      <c r="L1242" s="91"/>
    </row>
    <row r="1243" spans="12:12">
      <c r="L1243" s="91"/>
    </row>
    <row r="1244" spans="12:12">
      <c r="L1244" s="405"/>
    </row>
    <row r="1245" spans="12:12">
      <c r="L1245" s="405"/>
    </row>
    <row r="1246" spans="12:12">
      <c r="L1246" s="91"/>
    </row>
    <row r="1247" spans="12:12">
      <c r="L1247" s="91"/>
    </row>
    <row r="1248" spans="12:12">
      <c r="L1248" s="91"/>
    </row>
    <row r="1249" spans="12:12">
      <c r="L1249" s="91"/>
    </row>
    <row r="1250" spans="12:12">
      <c r="L1250" s="91"/>
    </row>
    <row r="1251" spans="12:12">
      <c r="L1251" s="91"/>
    </row>
    <row r="1252" spans="12:12">
      <c r="L1252" s="91"/>
    </row>
    <row r="1253" spans="12:12">
      <c r="L1253" s="91"/>
    </row>
    <row r="1254" spans="12:12">
      <c r="L1254" s="91"/>
    </row>
    <row r="1255" spans="12:12">
      <c r="L1255" s="91"/>
    </row>
    <row r="1256" spans="12:12">
      <c r="L1256" s="91"/>
    </row>
    <row r="1257" spans="12:12">
      <c r="L1257" s="407"/>
    </row>
    <row r="1258" spans="12:12">
      <c r="L1258" s="91"/>
    </row>
    <row r="1259" spans="12:12">
      <c r="L1259" s="91"/>
    </row>
    <row r="1260" spans="12:12">
      <c r="L1260" s="407"/>
    </row>
    <row r="1261" spans="12:12">
      <c r="L1261" s="91"/>
    </row>
    <row r="1262" spans="12:12">
      <c r="L1262" s="91"/>
    </row>
    <row r="1263" spans="12:12">
      <c r="L1263" s="91"/>
    </row>
    <row r="1264" spans="12:12">
      <c r="L1264" s="405"/>
    </row>
    <row r="1266" spans="12:12">
      <c r="L1266" s="91"/>
    </row>
    <row r="1267" spans="12:12">
      <c r="L1267" s="91"/>
    </row>
    <row r="1268" spans="12:12">
      <c r="L1268" s="91"/>
    </row>
    <row r="1269" spans="12:12">
      <c r="L1269" s="91"/>
    </row>
    <row r="1270" spans="12:12">
      <c r="L1270" s="91"/>
    </row>
    <row r="1271" spans="12:12">
      <c r="L1271" s="91"/>
    </row>
    <row r="1272" spans="12:12">
      <c r="L1272" s="91"/>
    </row>
    <row r="1273" spans="12:12">
      <c r="L1273" s="91"/>
    </row>
    <row r="1274" spans="12:12">
      <c r="L1274" s="405"/>
    </row>
    <row r="1275" spans="12:12">
      <c r="L1275" s="91"/>
    </row>
    <row r="1276" spans="12:12">
      <c r="L1276" s="91"/>
    </row>
    <row r="1277" spans="12:12">
      <c r="L1277" s="91"/>
    </row>
    <row r="1278" spans="12:12">
      <c r="L1278" s="91"/>
    </row>
    <row r="1279" spans="12:12">
      <c r="L1279" s="91"/>
    </row>
    <row r="1280" spans="12:12">
      <c r="L1280" s="91"/>
    </row>
    <row r="1281" spans="12:12">
      <c r="L1281" s="91"/>
    </row>
    <row r="1282" spans="12:12">
      <c r="L1282" s="91"/>
    </row>
    <row r="1284" spans="12:12">
      <c r="L1284" s="91"/>
    </row>
    <row r="1285" spans="12:12">
      <c r="L1285" s="91"/>
    </row>
    <row r="1286" spans="12:12">
      <c r="L1286" s="91"/>
    </row>
    <row r="1287" spans="12:12">
      <c r="L1287" s="91"/>
    </row>
    <row r="1288" spans="12:12">
      <c r="L1288" s="407"/>
    </row>
    <row r="1289" spans="12:12">
      <c r="L1289" s="91"/>
    </row>
    <row r="1290" spans="12:12">
      <c r="L1290" s="91"/>
    </row>
    <row r="1291" spans="12:12">
      <c r="L1291" s="91"/>
    </row>
    <row r="1292" spans="12:12">
      <c r="L1292" s="91"/>
    </row>
    <row r="1293" spans="12:12">
      <c r="L1293" s="91"/>
    </row>
    <row r="1294" spans="12:12">
      <c r="L1294" s="91"/>
    </row>
    <row r="1295" spans="12:12">
      <c r="L1295" s="405"/>
    </row>
    <row r="1296" spans="12:12">
      <c r="L1296" s="91"/>
    </row>
    <row r="1297" spans="12:12">
      <c r="L1297" s="407"/>
    </row>
    <row r="1298" spans="12:12">
      <c r="L1298" s="91"/>
    </row>
    <row r="1299" spans="12:12">
      <c r="L1299" s="91"/>
    </row>
    <row r="1300" spans="12:12">
      <c r="L1300" s="91"/>
    </row>
    <row r="1301" spans="12:12">
      <c r="L1301" s="91"/>
    </row>
    <row r="1302" spans="12:12">
      <c r="L1302" s="91"/>
    </row>
    <row r="1303" spans="12:12">
      <c r="L1303" s="91"/>
    </row>
    <row r="1304" spans="12:12">
      <c r="L1304" s="91"/>
    </row>
    <row r="1305" spans="12:12">
      <c r="L1305" s="91"/>
    </row>
    <row r="1306" spans="12:12">
      <c r="L1306" s="91"/>
    </row>
    <row r="1307" spans="12:12">
      <c r="L1307" s="91"/>
    </row>
    <row r="1308" spans="12:12">
      <c r="L1308" s="91"/>
    </row>
    <row r="1309" spans="12:12">
      <c r="L1309" s="91"/>
    </row>
    <row r="1310" spans="12:12">
      <c r="L1310" s="91"/>
    </row>
    <row r="1311" spans="12:12">
      <c r="L1311" s="91"/>
    </row>
    <row r="1312" spans="12:12">
      <c r="L1312" s="91"/>
    </row>
    <row r="1313" spans="12:12">
      <c r="L1313" s="91"/>
    </row>
    <row r="1314" spans="12:12">
      <c r="L1314" s="91"/>
    </row>
    <row r="1315" spans="12:12">
      <c r="L1315" s="91"/>
    </row>
    <row r="1316" spans="12:12">
      <c r="L1316" s="405"/>
    </row>
    <row r="1317" spans="12:12">
      <c r="L1317" s="91"/>
    </row>
    <row r="1318" spans="12:12">
      <c r="L1318" s="91"/>
    </row>
    <row r="1319" spans="12:12">
      <c r="L1319" s="91"/>
    </row>
    <row r="1320" spans="12:12">
      <c r="L1320" s="91"/>
    </row>
    <row r="1321" spans="12:12">
      <c r="L1321" s="91"/>
    </row>
    <row r="1322" spans="12:12">
      <c r="L1322" s="79"/>
    </row>
    <row r="1323" spans="12:12">
      <c r="L1323" s="405"/>
    </row>
    <row r="1324" spans="12:12">
      <c r="L1324" s="407"/>
    </row>
    <row r="1325" spans="12:12">
      <c r="L1325" s="407"/>
    </row>
    <row r="1326" spans="12:12">
      <c r="L1326" s="91"/>
    </row>
    <row r="1327" spans="12:12">
      <c r="L1327" s="405"/>
    </row>
    <row r="1328" spans="12:12">
      <c r="L1328" s="91"/>
    </row>
    <row r="1329" spans="12:12">
      <c r="L1329" s="91"/>
    </row>
    <row r="1330" spans="12:12">
      <c r="L1330" s="91"/>
    </row>
    <row r="1331" spans="12:12">
      <c r="L1331" s="405"/>
    </row>
    <row r="1332" spans="12:12">
      <c r="L1332" s="91"/>
    </row>
    <row r="1334" spans="12:12">
      <c r="L1334" s="91"/>
    </row>
    <row r="1335" spans="12:12">
      <c r="L1335" s="405"/>
    </row>
    <row r="1336" spans="12:12">
      <c r="L1336" s="91"/>
    </row>
    <row r="1337" spans="12:12">
      <c r="L1337" s="91"/>
    </row>
    <row r="1338" spans="12:12">
      <c r="L1338" s="405"/>
    </row>
    <row r="1339" spans="12:12">
      <c r="L1339" s="91"/>
    </row>
    <row r="1340" spans="12:12">
      <c r="L1340" s="91"/>
    </row>
    <row r="1341" spans="12:12">
      <c r="L1341" s="91"/>
    </row>
    <row r="1342" spans="12:12">
      <c r="L1342" s="91"/>
    </row>
    <row r="1343" spans="12:12">
      <c r="L1343" s="91"/>
    </row>
    <row r="1344" spans="12:12">
      <c r="L1344" s="91"/>
    </row>
    <row r="1345" spans="12:14">
      <c r="L1345" s="91"/>
    </row>
    <row r="1346" spans="12:14">
      <c r="L1346" s="91"/>
    </row>
    <row r="1347" spans="12:14">
      <c r="L1347" s="91"/>
    </row>
    <row r="1348" spans="12:14">
      <c r="L1348" s="91"/>
    </row>
    <row r="1349" spans="12:14">
      <c r="L1349" s="407"/>
    </row>
    <row r="1350" spans="12:14">
      <c r="L1350" s="91"/>
    </row>
    <row r="1351" spans="12:14">
      <c r="L1351" s="91"/>
    </row>
    <row r="1352" spans="12:14">
      <c r="L1352" s="91"/>
    </row>
    <row r="1353" spans="12:14">
      <c r="L1353" s="91"/>
    </row>
    <row r="1354" spans="12:14">
      <c r="L1354" s="91"/>
      <c r="M1354" s="411" t="s">
        <v>3322</v>
      </c>
      <c r="N1354" s="410" t="s">
        <v>3322</v>
      </c>
    </row>
    <row r="1355" spans="12:14">
      <c r="L1355" s="91"/>
    </row>
    <row r="1356" spans="12:14">
      <c r="L1356" s="405"/>
    </row>
    <row r="1357" spans="12:14">
      <c r="L1357" s="91"/>
    </row>
    <row r="1358" spans="12:14">
      <c r="L1358" s="91"/>
    </row>
    <row r="1359" spans="12:14">
      <c r="L1359" s="91"/>
    </row>
    <row r="1360" spans="12:14">
      <c r="L1360" s="91"/>
    </row>
    <row r="1361" spans="12:12">
      <c r="L1361" s="407"/>
    </row>
    <row r="1363" spans="12:12">
      <c r="L1363" s="91"/>
    </row>
    <row r="1364" spans="12:12">
      <c r="L1364" s="91"/>
    </row>
    <row r="1365" spans="12:12">
      <c r="L1365" s="91"/>
    </row>
    <row r="1366" spans="12:12">
      <c r="L1366" s="79"/>
    </row>
    <row r="1367" spans="12:12">
      <c r="L1367" s="91"/>
    </row>
    <row r="1368" spans="12:12">
      <c r="L1368" s="407"/>
    </row>
    <row r="1369" spans="12:12">
      <c r="L1369" s="405"/>
    </row>
    <row r="1370" spans="12:12">
      <c r="L1370" s="91"/>
    </row>
    <row r="1371" spans="12:12">
      <c r="L1371" s="91"/>
    </row>
    <row r="1372" spans="12:12">
      <c r="L1372" s="91"/>
    </row>
    <row r="1373" spans="12:12">
      <c r="L1373" s="91"/>
    </row>
    <row r="1374" spans="12:12">
      <c r="L1374" s="91"/>
    </row>
    <row r="1375" spans="12:12">
      <c r="L1375" s="91"/>
    </row>
    <row r="1376" spans="12:12">
      <c r="L1376" s="91"/>
    </row>
    <row r="1377" spans="12:12">
      <c r="L1377" s="91"/>
    </row>
    <row r="1378" spans="12:12">
      <c r="L1378" s="91"/>
    </row>
    <row r="1379" spans="12:12">
      <c r="L1379" s="91"/>
    </row>
    <row r="1380" spans="12:12">
      <c r="L1380" s="91"/>
    </row>
    <row r="1381" spans="12:12">
      <c r="L1381" s="91"/>
    </row>
    <row r="1382" spans="12:12">
      <c r="L1382" s="91"/>
    </row>
    <row r="1383" spans="12:12">
      <c r="L1383" s="407"/>
    </row>
    <row r="1385" spans="12:12">
      <c r="L1385" s="91"/>
    </row>
    <row r="1386" spans="12:12">
      <c r="L1386" s="91"/>
    </row>
    <row r="1387" spans="12:12">
      <c r="L1387" s="91"/>
    </row>
    <row r="1388" spans="12:12">
      <c r="L1388" s="91"/>
    </row>
    <row r="1389" spans="12:12">
      <c r="L1389" s="91"/>
    </row>
    <row r="1390" spans="12:12">
      <c r="L1390" s="91"/>
    </row>
    <row r="1391" spans="12:12">
      <c r="L1391" s="91"/>
    </row>
    <row r="1392" spans="12:12">
      <c r="L1392" s="91"/>
    </row>
    <row r="1393" spans="12:12">
      <c r="L1393" s="91"/>
    </row>
    <row r="1394" spans="12:12">
      <c r="L1394" s="91"/>
    </row>
    <row r="1395" spans="12:12">
      <c r="L1395" s="91"/>
    </row>
    <row r="1396" spans="12:12">
      <c r="L1396" s="91"/>
    </row>
    <row r="1397" spans="12:12">
      <c r="L1397" s="91"/>
    </row>
    <row r="1398" spans="12:12">
      <c r="L1398" s="91"/>
    </row>
    <row r="1400" spans="12:12">
      <c r="L1400" s="91"/>
    </row>
    <row r="1401" spans="12:12">
      <c r="L1401" s="405"/>
    </row>
    <row r="1402" spans="12:12">
      <c r="L1402" s="91"/>
    </row>
    <row r="1403" spans="12:12">
      <c r="L1403" s="91"/>
    </row>
    <row r="1404" spans="12:12">
      <c r="L1404" s="91"/>
    </row>
    <row r="1405" spans="12:12">
      <c r="L1405" s="91"/>
    </row>
    <row r="1406" spans="12:12">
      <c r="L1406" s="91"/>
    </row>
    <row r="1407" spans="12:12">
      <c r="L1407" s="91"/>
    </row>
    <row r="1409" spans="12:12">
      <c r="L1409" s="91"/>
    </row>
    <row r="1410" spans="12:12">
      <c r="L1410" s="91"/>
    </row>
    <row r="1411" spans="12:12">
      <c r="L1411" s="91"/>
    </row>
    <row r="1412" spans="12:12">
      <c r="L1412" s="91"/>
    </row>
    <row r="1413" spans="12:12">
      <c r="L1413" s="91"/>
    </row>
    <row r="1414" spans="12:12">
      <c r="L1414" s="91"/>
    </row>
    <row r="1415" spans="12:12">
      <c r="L1415" s="91"/>
    </row>
    <row r="1416" spans="12:12">
      <c r="L1416" s="91"/>
    </row>
    <row r="1417" spans="12:12">
      <c r="L1417" s="91"/>
    </row>
    <row r="1418" spans="12:12">
      <c r="L1418" s="405"/>
    </row>
    <row r="1419" spans="12:12">
      <c r="L1419" s="91"/>
    </row>
    <row r="1420" spans="12:12">
      <c r="L1420" s="91"/>
    </row>
    <row r="1421" spans="12:12">
      <c r="L1421" s="91"/>
    </row>
    <row r="1423" spans="12:12">
      <c r="L1423" s="91"/>
    </row>
    <row r="1424" spans="12:12">
      <c r="L1424" s="91"/>
    </row>
    <row r="1425" spans="12:12">
      <c r="L1425" s="407"/>
    </row>
    <row r="1426" spans="12:12">
      <c r="L1426" s="91"/>
    </row>
    <row r="1427" spans="12:12">
      <c r="L1427" s="407"/>
    </row>
    <row r="1428" spans="12:12">
      <c r="L1428" s="91"/>
    </row>
    <row r="1429" spans="12:12">
      <c r="L1429" s="91"/>
    </row>
    <row r="1430" spans="12:12">
      <c r="L1430" s="91"/>
    </row>
    <row r="1431" spans="12:12">
      <c r="L1431" s="407"/>
    </row>
    <row r="1432" spans="12:12">
      <c r="L1432" s="407"/>
    </row>
    <row r="1433" spans="12:12">
      <c r="L1433" s="91"/>
    </row>
    <row r="1434" spans="12:12">
      <c r="L1434" s="91"/>
    </row>
    <row r="1435" spans="12:12">
      <c r="L1435" s="91"/>
    </row>
    <row r="1436" spans="12:12">
      <c r="L1436" s="91"/>
    </row>
    <row r="1437" spans="12:12">
      <c r="L1437" s="407"/>
    </row>
    <row r="1438" spans="12:12">
      <c r="L1438" s="91"/>
    </row>
    <row r="1439" spans="12:12">
      <c r="L1439" s="407"/>
    </row>
    <row r="1440" spans="12:12">
      <c r="L1440" s="91"/>
    </row>
    <row r="1441" spans="12:12">
      <c r="L1441" s="407"/>
    </row>
    <row r="1442" spans="12:12">
      <c r="L1442" s="91"/>
    </row>
    <row r="1443" spans="12:12">
      <c r="L1443" s="91"/>
    </row>
    <row r="1444" spans="12:12">
      <c r="L1444" s="91"/>
    </row>
    <row r="1445" spans="12:12">
      <c r="L1445" s="91"/>
    </row>
    <row r="1446" spans="12:12">
      <c r="L1446" s="91"/>
    </row>
    <row r="1447" spans="12:12">
      <c r="L1447" s="91"/>
    </row>
    <row r="1448" spans="12:12">
      <c r="L1448" s="91"/>
    </row>
    <row r="1449" spans="12:12">
      <c r="L1449" s="91"/>
    </row>
    <row r="1450" spans="12:12">
      <c r="L1450" s="91"/>
    </row>
    <row r="1451" spans="12:12">
      <c r="L1451" s="91"/>
    </row>
    <row r="1452" spans="12:12">
      <c r="L1452" s="91"/>
    </row>
    <row r="1453" spans="12:12">
      <c r="L1453" s="91"/>
    </row>
    <row r="1454" spans="12:12">
      <c r="L1454" s="91"/>
    </row>
    <row r="1455" spans="12:12">
      <c r="L1455" s="91"/>
    </row>
    <row r="1456" spans="12:12">
      <c r="L1456" s="91"/>
    </row>
    <row r="1457" spans="12:17">
      <c r="L1457" s="91"/>
    </row>
    <row r="1458" spans="12:17">
      <c r="L1458" s="407"/>
    </row>
    <row r="1459" spans="12:17">
      <c r="L1459" s="91"/>
    </row>
    <row r="1460" spans="12:17">
      <c r="L1460" s="91"/>
    </row>
    <row r="1461" spans="12:17">
      <c r="L1461" s="91"/>
    </row>
    <row r="1462" spans="12:17">
      <c r="L1462" s="91"/>
    </row>
    <row r="1463" spans="12:17">
      <c r="L1463" s="91"/>
    </row>
    <row r="1464" spans="12:17">
      <c r="L1464" s="91"/>
    </row>
    <row r="1465" spans="12:17">
      <c r="L1465" s="91"/>
    </row>
    <row r="1466" spans="12:17">
      <c r="L1466" s="407"/>
    </row>
    <row r="1467" spans="12:17">
      <c r="L1467" s="91"/>
    </row>
    <row r="1468" spans="12:17">
      <c r="L1468" s="91"/>
    </row>
    <row r="1469" spans="12:17">
      <c r="L1469" s="91"/>
    </row>
    <row r="1470" spans="12:17">
      <c r="L1470" s="91"/>
    </row>
    <row r="1471" spans="12:17">
      <c r="L1471" s="91"/>
    </row>
    <row r="1472" spans="12:17">
      <c r="L1472" s="91"/>
      <c r="O1472" s="413"/>
      <c r="Q1472" s="415"/>
    </row>
    <row r="1473" spans="12:17">
      <c r="L1473" s="91"/>
    </row>
    <row r="1474" spans="12:17">
      <c r="L1474" s="91"/>
    </row>
    <row r="1475" spans="12:17">
      <c r="L1475" s="91"/>
    </row>
    <row r="1476" spans="12:17">
      <c r="L1476" s="91"/>
    </row>
    <row r="1477" spans="12:17">
      <c r="L1477" s="405"/>
    </row>
    <row r="1478" spans="12:17">
      <c r="L1478" s="91"/>
    </row>
    <row r="1479" spans="12:17">
      <c r="L1479" s="91"/>
    </row>
    <row r="1480" spans="12:17">
      <c r="L1480" s="407"/>
    </row>
    <row r="1481" spans="12:17">
      <c r="L1481" s="91"/>
    </row>
    <row r="1482" spans="12:17">
      <c r="L1482" s="91"/>
      <c r="O1482" s="413"/>
      <c r="Q1482" s="415"/>
    </row>
    <row r="1483" spans="12:17">
      <c r="L1483" s="91"/>
    </row>
    <row r="1484" spans="12:17">
      <c r="L1484" s="91"/>
    </row>
    <row r="1485" spans="12:17">
      <c r="L1485" s="91"/>
    </row>
    <row r="1486" spans="12:17">
      <c r="L1486" s="91"/>
      <c r="O1486" s="413"/>
      <c r="Q1486" s="415"/>
    </row>
    <row r="1487" spans="12:17">
      <c r="L1487" s="91"/>
    </row>
    <row r="1488" spans="12:17">
      <c r="L1488" s="407"/>
    </row>
    <row r="1489" spans="12:17">
      <c r="L1489" s="407"/>
    </row>
    <row r="1490" spans="12:17">
      <c r="L1490" s="91"/>
    </row>
    <row r="1491" spans="12:17">
      <c r="L1491" s="407"/>
      <c r="O1491" s="413"/>
      <c r="Q1491" s="415"/>
    </row>
    <row r="1492" spans="12:17">
      <c r="L1492" s="91"/>
      <c r="O1492" s="413"/>
      <c r="Q1492" s="415"/>
    </row>
    <row r="1493" spans="12:17">
      <c r="L1493" s="91"/>
      <c r="O1493" s="413"/>
      <c r="Q1493" s="415"/>
    </row>
    <row r="1494" spans="12:17">
      <c r="L1494" s="91"/>
    </row>
    <row r="1495" spans="12:17">
      <c r="L1495" s="91"/>
      <c r="O1495" s="413"/>
      <c r="Q1495" s="415"/>
    </row>
    <row r="1496" spans="12:17">
      <c r="L1496" s="91"/>
      <c r="O1496" s="413"/>
      <c r="Q1496" s="415"/>
    </row>
    <row r="1497" spans="12:17">
      <c r="L1497" s="91"/>
    </row>
    <row r="1498" spans="12:17">
      <c r="L1498" s="91"/>
      <c r="O1498" s="413"/>
      <c r="Q1498" s="415"/>
    </row>
    <row r="1499" spans="12:17">
      <c r="L1499" s="407"/>
    </row>
    <row r="1500" spans="12:17">
      <c r="L1500" s="91"/>
      <c r="O1500" s="413"/>
      <c r="Q1500" s="415"/>
    </row>
    <row r="1501" spans="12:17">
      <c r="L1501" s="91"/>
      <c r="O1501" s="413"/>
      <c r="Q1501" s="415"/>
    </row>
    <row r="1502" spans="12:17">
      <c r="L1502" s="91"/>
      <c r="O1502" s="413"/>
      <c r="Q1502" s="415"/>
    </row>
    <row r="1503" spans="12:17">
      <c r="L1503" s="91"/>
      <c r="O1503" s="413"/>
      <c r="Q1503" s="415"/>
    </row>
    <row r="1504" spans="12:17">
      <c r="L1504" s="91"/>
      <c r="O1504" s="413"/>
      <c r="Q1504" s="415"/>
    </row>
    <row r="1505" spans="12:17">
      <c r="L1505" s="91"/>
      <c r="O1505" s="413"/>
      <c r="Q1505" s="415"/>
    </row>
    <row r="1506" spans="12:17">
      <c r="L1506" s="91"/>
      <c r="O1506" s="413"/>
      <c r="Q1506" s="415"/>
    </row>
    <row r="1507" spans="12:17">
      <c r="L1507" s="91"/>
      <c r="O1507" s="413"/>
      <c r="Q1507" s="415"/>
    </row>
    <row r="1508" spans="12:17">
      <c r="L1508" s="91"/>
    </row>
    <row r="1509" spans="12:17">
      <c r="L1509" s="91"/>
    </row>
    <row r="1510" spans="12:17">
      <c r="L1510" s="91"/>
    </row>
    <row r="1512" spans="12:17">
      <c r="L1512" s="91"/>
    </row>
    <row r="1513" spans="12:17">
      <c r="L1513" s="91"/>
    </row>
    <row r="1514" spans="12:17">
      <c r="L1514" s="91"/>
    </row>
    <row r="1515" spans="12:17">
      <c r="L1515" s="91"/>
    </row>
    <row r="1516" spans="12:17">
      <c r="L1516" s="91"/>
      <c r="O1516" s="413"/>
      <c r="Q1516" s="415"/>
    </row>
    <row r="1517" spans="12:17">
      <c r="L1517" s="91"/>
      <c r="O1517" s="413"/>
      <c r="Q1517" s="415"/>
    </row>
    <row r="1518" spans="12:17">
      <c r="L1518" s="91"/>
      <c r="O1518" s="413"/>
      <c r="Q1518" s="415"/>
    </row>
    <row r="1519" spans="12:17">
      <c r="L1519" s="407"/>
    </row>
    <row r="1520" spans="12:17">
      <c r="L1520" s="91"/>
      <c r="O1520" s="413"/>
      <c r="Q1520" s="415"/>
    </row>
    <row r="1521" spans="12:17">
      <c r="L1521" s="91"/>
      <c r="O1521" s="413"/>
      <c r="Q1521" s="415"/>
    </row>
    <row r="1522" spans="12:17">
      <c r="L1522" s="91"/>
      <c r="O1522" s="413"/>
      <c r="Q1522" s="415"/>
    </row>
    <row r="1523" spans="12:17">
      <c r="L1523" s="91"/>
      <c r="O1523" s="413"/>
      <c r="Q1523" s="415"/>
    </row>
    <row r="1524" spans="12:17">
      <c r="L1524" s="91"/>
    </row>
    <row r="1525" spans="12:17">
      <c r="L1525" s="91"/>
    </row>
    <row r="1526" spans="12:17">
      <c r="L1526" s="91"/>
    </row>
    <row r="1527" spans="12:17">
      <c r="L1527" s="91"/>
    </row>
    <row r="1528" spans="12:17">
      <c r="L1528" s="91"/>
    </row>
    <row r="1529" spans="12:17">
      <c r="L1529" s="91"/>
    </row>
    <row r="1530" spans="12:17">
      <c r="L1530" s="91"/>
    </row>
    <row r="1531" spans="12:17">
      <c r="L1531" s="91"/>
    </row>
    <row r="1532" spans="12:17">
      <c r="L1532" s="91"/>
    </row>
    <row r="1533" spans="12:17">
      <c r="L1533" s="91"/>
    </row>
    <row r="1534" spans="12:17">
      <c r="L1534" s="407"/>
    </row>
    <row r="1535" spans="12:17">
      <c r="L1535" s="407"/>
    </row>
    <row r="1536" spans="12:17">
      <c r="L1536" s="91"/>
    </row>
    <row r="1537" spans="12:12">
      <c r="L1537" s="91"/>
    </row>
    <row r="1538" spans="12:12">
      <c r="L1538" s="91"/>
    </row>
    <row r="1539" spans="12:12">
      <c r="L1539" s="91"/>
    </row>
    <row r="1540" spans="12:12">
      <c r="L1540" s="91"/>
    </row>
    <row r="1541" spans="12:12">
      <c r="L1541" s="91"/>
    </row>
    <row r="1542" spans="12:12">
      <c r="L1542" s="91"/>
    </row>
    <row r="1543" spans="12:12">
      <c r="L1543" s="91"/>
    </row>
    <row r="1544" spans="12:12">
      <c r="L1544" s="91"/>
    </row>
    <row r="1545" spans="12:12">
      <c r="L1545" s="407"/>
    </row>
    <row r="1546" spans="12:12">
      <c r="L1546" s="91"/>
    </row>
    <row r="1547" spans="12:12">
      <c r="L1547" s="91"/>
    </row>
    <row r="1548" spans="12:12">
      <c r="L1548" s="91"/>
    </row>
    <row r="1549" spans="12:12">
      <c r="L1549" s="91"/>
    </row>
    <row r="1550" spans="12:12">
      <c r="L1550" s="91"/>
    </row>
    <row r="1551" spans="12:12">
      <c r="L1551" s="91"/>
    </row>
    <row r="1552" spans="12:12">
      <c r="L1552" s="405"/>
    </row>
    <row r="1553" spans="12:12">
      <c r="L1553" s="91"/>
    </row>
    <row r="1555" spans="12:12">
      <c r="L1555" s="91"/>
    </row>
    <row r="1556" spans="12:12">
      <c r="L1556" s="407"/>
    </row>
    <row r="1557" spans="12:12">
      <c r="L1557" s="91"/>
    </row>
    <row r="1558" spans="12:12">
      <c r="L1558" s="91"/>
    </row>
    <row r="1559" spans="12:12">
      <c r="L1559" s="91"/>
    </row>
    <row r="1560" spans="12:12">
      <c r="L1560" s="91"/>
    </row>
    <row r="1561" spans="12:12">
      <c r="L1561" s="91"/>
    </row>
    <row r="1562" spans="12:12">
      <c r="L1562" s="91"/>
    </row>
    <row r="1563" spans="12:12">
      <c r="L1563" s="91"/>
    </row>
    <row r="1564" spans="12:12">
      <c r="L1564" s="91"/>
    </row>
    <row r="1565" spans="12:12">
      <c r="L1565" s="91"/>
    </row>
    <row r="1566" spans="12:12">
      <c r="L1566" s="91"/>
    </row>
    <row r="1567" spans="12:12">
      <c r="L1567" s="91"/>
    </row>
    <row r="1568" spans="12:12">
      <c r="L1568" s="91"/>
    </row>
    <row r="1569" spans="12:12">
      <c r="L1569" s="91"/>
    </row>
    <row r="1570" spans="12:12">
      <c r="L1570" s="91"/>
    </row>
    <row r="1571" spans="12:12">
      <c r="L1571" s="91"/>
    </row>
    <row r="1572" spans="12:12">
      <c r="L1572" s="91"/>
    </row>
    <row r="1573" spans="12:12">
      <c r="L1573" s="91"/>
    </row>
    <row r="1574" spans="12:12">
      <c r="L1574" s="91"/>
    </row>
    <row r="1575" spans="12:12">
      <c r="L1575" s="91"/>
    </row>
    <row r="1576" spans="12:12">
      <c r="L1576" s="91"/>
    </row>
    <row r="1577" spans="12:12">
      <c r="L1577" s="91"/>
    </row>
    <row r="1578" spans="12:12">
      <c r="L1578" s="91"/>
    </row>
    <row r="1579" spans="12:12">
      <c r="L1579" s="91"/>
    </row>
    <row r="1581" spans="12:12">
      <c r="L1581" s="91"/>
    </row>
    <row r="1582" spans="12:12">
      <c r="L1582" s="91"/>
    </row>
    <row r="1583" spans="12:12">
      <c r="L1583" s="91"/>
    </row>
    <row r="1584" spans="12:12">
      <c r="L1584" s="91"/>
    </row>
    <row r="1585" spans="1:32">
      <c r="L1585" s="91"/>
    </row>
    <row r="1586" spans="1:32">
      <c r="L1586" s="91"/>
    </row>
    <row r="1587" spans="1:32">
      <c r="L1587" s="91"/>
    </row>
    <row r="1588" spans="1:32">
      <c r="L1588" s="91"/>
    </row>
    <row r="1589" spans="1:32">
      <c r="L1589" s="80"/>
    </row>
    <row r="1590" spans="1:32">
      <c r="L1590" s="91"/>
    </row>
    <row r="1591" spans="1:32">
      <c r="L1591" s="91"/>
    </row>
    <row r="1592" spans="1:32">
      <c r="L1592" s="91"/>
    </row>
    <row r="1593" spans="1:32">
      <c r="L1593" s="91"/>
    </row>
    <row r="1594" spans="1:32">
      <c r="L1594" s="91"/>
    </row>
    <row r="1595" spans="1:32">
      <c r="L1595" s="91"/>
    </row>
    <row r="1596" spans="1:32">
      <c r="L1596" s="91"/>
    </row>
    <row r="1597" spans="1:32">
      <c r="L1597" s="91"/>
    </row>
    <row r="1598" spans="1:32">
      <c r="L1598" s="91"/>
    </row>
    <row r="1599" spans="1:32" ht="26.25">
      <c r="A1599" s="385"/>
      <c r="B1599" s="245"/>
      <c r="C1599" s="245"/>
      <c r="D1599" s="245"/>
      <c r="E1599" s="245"/>
      <c r="F1599" s="316"/>
      <c r="H1599" s="385"/>
      <c r="I1599" s="245"/>
      <c r="L1599" s="91"/>
      <c r="S1599" s="420"/>
      <c r="T1599" s="384" ph="1"/>
      <c r="V1599" s="421"/>
      <c r="Y1599" s="257"/>
      <c r="Z1599" s="257"/>
      <c r="AC1599" s="357"/>
      <c r="AD1599" s="257"/>
      <c r="AE1599" s="245"/>
      <c r="AF1599" s="386"/>
    </row>
    <row r="1600" spans="1:32">
      <c r="A1600" s="385"/>
      <c r="L1600" s="407"/>
      <c r="W1600" s="257"/>
      <c r="X1600" s="429"/>
    </row>
    <row r="1601" spans="1:32">
      <c r="L1601" s="81"/>
    </row>
    <row r="1602" spans="1:32">
      <c r="L1602" s="407"/>
    </row>
    <row r="1603" spans="1:32">
      <c r="L1603" s="91"/>
    </row>
    <row r="1604" spans="1:32">
      <c r="L1604" s="91"/>
    </row>
    <row r="1605" spans="1:32">
      <c r="L1605" s="91"/>
    </row>
    <row r="1606" spans="1:32">
      <c r="A1606" s="385"/>
      <c r="G1606" s="245"/>
      <c r="L1606" s="91"/>
    </row>
    <row r="1607" spans="1:32">
      <c r="L1607" s="91"/>
    </row>
    <row r="1608" spans="1:32">
      <c r="L1608" s="91"/>
    </row>
    <row r="1609" spans="1:32" ht="26.25">
      <c r="A1609" s="385"/>
      <c r="B1609" s="245"/>
      <c r="C1609" s="245"/>
      <c r="D1609" s="245"/>
      <c r="E1609" s="245"/>
      <c r="F1609" s="316"/>
      <c r="H1609" s="385"/>
      <c r="I1609" s="245"/>
      <c r="L1609" s="91"/>
      <c r="S1609" s="420"/>
      <c r="T1609" s="384" ph="1"/>
      <c r="V1609" s="421"/>
      <c r="Y1609" s="257"/>
      <c r="Z1609" s="257"/>
      <c r="AC1609" s="357"/>
      <c r="AD1609" s="257"/>
      <c r="AE1609" s="245"/>
      <c r="AF1609" s="386"/>
    </row>
    <row r="1610" spans="1:32">
      <c r="A1610" s="385"/>
      <c r="L1610" s="91"/>
      <c r="W1610" s="257"/>
      <c r="X1610" s="429"/>
    </row>
    <row r="1611" spans="1:32">
      <c r="L1611" s="91"/>
      <c r="R1611" s="416"/>
    </row>
    <row r="1612" spans="1:32">
      <c r="L1612" s="91"/>
    </row>
    <row r="1613" spans="1:32" ht="26.25">
      <c r="A1613" s="385"/>
      <c r="B1613" s="245"/>
      <c r="C1613" s="245"/>
      <c r="D1613" s="245"/>
      <c r="E1613" s="245"/>
      <c r="F1613" s="316"/>
      <c r="H1613" s="385"/>
      <c r="I1613" s="245"/>
      <c r="L1613" s="91"/>
      <c r="S1613" s="420"/>
      <c r="T1613" s="384" ph="1"/>
      <c r="V1613" s="421"/>
      <c r="Y1613" s="257"/>
      <c r="Z1613" s="257"/>
      <c r="AC1613" s="357"/>
      <c r="AD1613" s="257"/>
      <c r="AE1613" s="245"/>
      <c r="AF1613" s="386"/>
    </row>
    <row r="1614" spans="1:32">
      <c r="A1614" s="385"/>
      <c r="L1614" s="91"/>
      <c r="W1614" s="257"/>
      <c r="X1614" s="429"/>
    </row>
    <row r="1615" spans="1:32">
      <c r="L1615" s="91"/>
    </row>
    <row r="1616" spans="1:32">
      <c r="A1616" s="385"/>
      <c r="G1616" s="245"/>
      <c r="L1616" s="91"/>
    </row>
    <row r="1617" spans="1:32">
      <c r="L1617" s="91"/>
    </row>
    <row r="1618" spans="1:32" ht="26.25">
      <c r="A1618" s="385"/>
      <c r="B1618" s="245"/>
      <c r="C1618" s="245"/>
      <c r="D1618" s="245"/>
      <c r="E1618" s="245"/>
      <c r="F1618" s="316"/>
      <c r="H1618" s="385"/>
      <c r="I1618" s="245"/>
      <c r="L1618" s="91"/>
      <c r="S1618" s="420"/>
      <c r="T1618" s="384" ph="1"/>
      <c r="V1618" s="421"/>
      <c r="Y1618" s="257"/>
      <c r="Z1618" s="257"/>
      <c r="AC1618" s="357"/>
      <c r="AD1618" s="257"/>
      <c r="AE1618" s="245"/>
      <c r="AF1618" s="386"/>
    </row>
    <row r="1619" spans="1:32" ht="26.25">
      <c r="A1619" s="385"/>
      <c r="B1619" s="245"/>
      <c r="C1619" s="245"/>
      <c r="D1619" s="245"/>
      <c r="E1619" s="245"/>
      <c r="F1619" s="316"/>
      <c r="H1619" s="385"/>
      <c r="I1619" s="245"/>
      <c r="L1619" s="91"/>
      <c r="S1619" s="420"/>
      <c r="T1619" s="384" ph="1"/>
      <c r="V1619" s="421"/>
      <c r="W1619" s="257"/>
      <c r="X1619" s="429"/>
      <c r="Y1619" s="257"/>
      <c r="Z1619" s="257"/>
      <c r="AC1619" s="357"/>
      <c r="AD1619" s="257"/>
      <c r="AE1619" s="245"/>
      <c r="AF1619" s="386"/>
    </row>
    <row r="1620" spans="1:32" ht="26.25">
      <c r="A1620" s="385"/>
      <c r="B1620" s="245"/>
      <c r="C1620" s="245"/>
      <c r="D1620" s="245"/>
      <c r="E1620" s="245"/>
      <c r="F1620" s="316"/>
      <c r="G1620" s="245"/>
      <c r="H1620" s="385"/>
      <c r="I1620" s="245"/>
      <c r="L1620" s="91"/>
      <c r="S1620" s="420"/>
      <c r="T1620" s="384" ph="1"/>
      <c r="V1620" s="421"/>
      <c r="W1620" s="257"/>
      <c r="X1620" s="429"/>
      <c r="Y1620" s="257"/>
      <c r="Z1620" s="257"/>
      <c r="AC1620" s="357"/>
      <c r="AD1620" s="257"/>
      <c r="AE1620" s="245"/>
      <c r="AF1620" s="386"/>
    </row>
    <row r="1621" spans="1:32">
      <c r="A1621" s="385"/>
      <c r="L1621" s="91"/>
      <c r="R1621" s="416"/>
      <c r="W1621" s="257"/>
      <c r="X1621" s="429"/>
    </row>
    <row r="1622" spans="1:32" ht="26.25">
      <c r="A1622" s="385"/>
      <c r="B1622" s="245"/>
      <c r="C1622" s="245"/>
      <c r="D1622" s="245"/>
      <c r="E1622" s="245"/>
      <c r="F1622" s="316"/>
      <c r="H1622" s="385"/>
      <c r="I1622" s="245"/>
      <c r="L1622" s="91"/>
      <c r="S1622" s="420"/>
      <c r="T1622" s="384" ph="1"/>
      <c r="V1622" s="421"/>
      <c r="Y1622" s="257"/>
      <c r="Z1622" s="257"/>
      <c r="AC1622" s="357"/>
      <c r="AD1622" s="257"/>
      <c r="AE1622" s="245"/>
      <c r="AF1622" s="386"/>
    </row>
    <row r="1623" spans="1:32" ht="26.25">
      <c r="A1623" s="385"/>
      <c r="B1623" s="245"/>
      <c r="C1623" s="245"/>
      <c r="D1623" s="245"/>
      <c r="E1623" s="245"/>
      <c r="F1623" s="316"/>
      <c r="H1623" s="385"/>
      <c r="I1623" s="245"/>
      <c r="L1623" s="91"/>
      <c r="S1623" s="420"/>
      <c r="T1623" s="384" ph="1"/>
      <c r="V1623" s="421"/>
      <c r="W1623" s="257"/>
      <c r="X1623" s="429"/>
      <c r="Y1623" s="257"/>
      <c r="Z1623" s="257"/>
      <c r="AC1623" s="357"/>
      <c r="AD1623" s="257"/>
      <c r="AE1623" s="245"/>
      <c r="AF1623" s="386"/>
    </row>
    <row r="1624" spans="1:32">
      <c r="A1624" s="385"/>
      <c r="L1624" s="407"/>
      <c r="W1624" s="257"/>
      <c r="X1624" s="429"/>
    </row>
    <row r="1625" spans="1:32" ht="26.25">
      <c r="A1625" s="385"/>
      <c r="B1625" s="245"/>
      <c r="C1625" s="245"/>
      <c r="D1625" s="245"/>
      <c r="E1625" s="245"/>
      <c r="F1625" s="316"/>
      <c r="G1625" s="245"/>
      <c r="H1625" s="385"/>
      <c r="I1625" s="245"/>
      <c r="L1625" s="407"/>
      <c r="R1625" s="416"/>
      <c r="S1625" s="420"/>
      <c r="T1625" s="384" ph="1"/>
      <c r="V1625" s="421"/>
      <c r="Y1625" s="257"/>
      <c r="Z1625" s="257"/>
      <c r="AC1625" s="357"/>
      <c r="AD1625" s="257"/>
      <c r="AE1625" s="245"/>
      <c r="AF1625" s="386"/>
    </row>
    <row r="1626" spans="1:32">
      <c r="A1626" s="385"/>
      <c r="G1626" s="245"/>
      <c r="L1626" s="79"/>
      <c r="W1626" s="257"/>
      <c r="X1626" s="429"/>
    </row>
    <row r="1627" spans="1:32" ht="26.25">
      <c r="A1627" s="385"/>
      <c r="B1627" s="245"/>
      <c r="C1627" s="245"/>
      <c r="D1627" s="245"/>
      <c r="E1627" s="245"/>
      <c r="F1627" s="316"/>
      <c r="G1627" s="245"/>
      <c r="H1627" s="385"/>
      <c r="I1627" s="245"/>
      <c r="L1627" s="91"/>
      <c r="S1627" s="420"/>
      <c r="T1627" s="384" ph="1"/>
      <c r="V1627" s="421"/>
      <c r="Y1627" s="257"/>
      <c r="Z1627" s="257"/>
      <c r="AC1627" s="357"/>
      <c r="AD1627" s="257"/>
      <c r="AE1627" s="245"/>
      <c r="AF1627" s="386"/>
    </row>
    <row r="1628" spans="1:32" ht="26.25">
      <c r="A1628" s="385"/>
      <c r="B1628" s="245"/>
      <c r="C1628" s="245"/>
      <c r="D1628" s="245"/>
      <c r="E1628" s="245"/>
      <c r="F1628" s="316"/>
      <c r="H1628" s="385"/>
      <c r="I1628" s="245"/>
      <c r="L1628" s="91"/>
      <c r="S1628" s="420"/>
      <c r="T1628" s="384" ph="1"/>
      <c r="V1628" s="421"/>
      <c r="W1628" s="257"/>
      <c r="X1628" s="429"/>
      <c r="Y1628" s="257"/>
      <c r="Z1628" s="257"/>
      <c r="AC1628" s="357"/>
      <c r="AD1628" s="257"/>
      <c r="AE1628" s="245"/>
      <c r="AF1628" s="386"/>
    </row>
    <row r="1629" spans="1:32" ht="26.25">
      <c r="A1629" s="385"/>
      <c r="B1629" s="245"/>
      <c r="C1629" s="245"/>
      <c r="D1629" s="245"/>
      <c r="E1629" s="245"/>
      <c r="F1629" s="316"/>
      <c r="G1629" s="245"/>
      <c r="H1629" s="385"/>
      <c r="I1629" s="245"/>
      <c r="L1629" s="91"/>
      <c r="S1629" s="420"/>
      <c r="T1629" s="384" ph="1"/>
      <c r="V1629" s="421"/>
      <c r="W1629" s="257"/>
      <c r="X1629" s="429"/>
      <c r="Y1629" s="257"/>
      <c r="Z1629" s="257"/>
      <c r="AC1629" s="357"/>
      <c r="AD1629" s="257"/>
      <c r="AE1629" s="245"/>
      <c r="AF1629" s="386"/>
    </row>
    <row r="1630" spans="1:32" ht="26.25">
      <c r="A1630" s="385"/>
      <c r="B1630" s="245"/>
      <c r="C1630" s="245"/>
      <c r="D1630" s="245"/>
      <c r="E1630" s="245"/>
      <c r="F1630" s="316"/>
      <c r="G1630" s="245"/>
      <c r="H1630" s="385"/>
      <c r="I1630" s="245"/>
      <c r="L1630" s="91"/>
      <c r="R1630" s="416"/>
      <c r="S1630" s="420"/>
      <c r="T1630" s="384" ph="1"/>
      <c r="V1630" s="421"/>
      <c r="W1630" s="257"/>
      <c r="X1630" s="429"/>
      <c r="Y1630" s="257"/>
      <c r="Z1630" s="257"/>
      <c r="AC1630" s="357"/>
      <c r="AD1630" s="257"/>
      <c r="AE1630" s="245"/>
      <c r="AF1630" s="386"/>
    </row>
    <row r="1631" spans="1:32" ht="26.25">
      <c r="A1631" s="385"/>
      <c r="B1631" s="245"/>
      <c r="C1631" s="245"/>
      <c r="D1631" s="245"/>
      <c r="E1631" s="245"/>
      <c r="F1631" s="316"/>
      <c r="H1631" s="385"/>
      <c r="I1631" s="245"/>
      <c r="L1631" s="91"/>
      <c r="R1631" s="416"/>
      <c r="S1631" s="420"/>
      <c r="T1631" s="384" ph="1"/>
      <c r="V1631" s="421"/>
      <c r="W1631" s="257"/>
      <c r="X1631" s="429"/>
      <c r="Y1631" s="257"/>
      <c r="Z1631" s="257"/>
      <c r="AC1631" s="357"/>
      <c r="AD1631" s="257"/>
      <c r="AE1631" s="245"/>
      <c r="AF1631" s="386"/>
    </row>
    <row r="1632" spans="1:32" ht="26.25">
      <c r="A1632" s="385"/>
      <c r="B1632" s="245"/>
      <c r="C1632" s="245"/>
      <c r="D1632" s="245"/>
      <c r="E1632" s="245"/>
      <c r="F1632" s="316"/>
      <c r="G1632" s="245"/>
      <c r="H1632" s="385"/>
      <c r="I1632" s="245"/>
      <c r="L1632" s="91"/>
      <c r="R1632" s="416"/>
      <c r="S1632" s="420"/>
      <c r="T1632" s="384" ph="1"/>
      <c r="V1632" s="421"/>
      <c r="W1632" s="257"/>
      <c r="X1632" s="429"/>
      <c r="Y1632" s="257"/>
      <c r="Z1632" s="257"/>
      <c r="AC1632" s="357"/>
      <c r="AD1632" s="257"/>
      <c r="AE1632" s="245"/>
      <c r="AF1632" s="386"/>
    </row>
    <row r="1633" spans="1:32" ht="26.25">
      <c r="A1633" s="385"/>
      <c r="B1633" s="245"/>
      <c r="C1633" s="245"/>
      <c r="D1633" s="245"/>
      <c r="E1633" s="245"/>
      <c r="F1633" s="316"/>
      <c r="H1633" s="385"/>
      <c r="I1633" s="245"/>
      <c r="L1633" s="91"/>
      <c r="S1633" s="420"/>
      <c r="T1633" s="384" ph="1"/>
      <c r="V1633" s="421"/>
      <c r="W1633" s="257"/>
      <c r="X1633" s="429"/>
      <c r="Y1633" s="257"/>
      <c r="Z1633" s="257"/>
      <c r="AC1633" s="357"/>
      <c r="AD1633" s="257"/>
      <c r="AE1633" s="245"/>
      <c r="AF1633" s="386"/>
    </row>
    <row r="1634" spans="1:32" ht="26.25">
      <c r="A1634" s="385"/>
      <c r="B1634" s="245"/>
      <c r="C1634" s="245"/>
      <c r="D1634" s="245"/>
      <c r="E1634" s="245"/>
      <c r="F1634" s="316"/>
      <c r="G1634" s="245"/>
      <c r="H1634" s="385"/>
      <c r="I1634" s="245"/>
      <c r="L1634" s="91"/>
      <c r="R1634" s="416"/>
      <c r="S1634" s="420"/>
      <c r="T1634" s="384" ph="1"/>
      <c r="V1634" s="421"/>
      <c r="W1634" s="257"/>
      <c r="X1634" s="429"/>
      <c r="Y1634" s="257"/>
      <c r="Z1634" s="257"/>
      <c r="AC1634" s="357"/>
      <c r="AD1634" s="257"/>
      <c r="AE1634" s="245"/>
      <c r="AF1634" s="386"/>
    </row>
    <row r="1635" spans="1:32" ht="26.25">
      <c r="A1635" s="385"/>
      <c r="G1635" s="245"/>
      <c r="L1635" s="91"/>
      <c r="R1635" s="416"/>
      <c r="T1635" s="384" ph="1"/>
      <c r="W1635" s="257"/>
      <c r="X1635" s="429"/>
    </row>
    <row r="1636" spans="1:32" ht="26.25">
      <c r="A1636" s="385"/>
      <c r="G1636" s="245"/>
      <c r="L1636" s="91"/>
      <c r="T1636" s="384" ph="1"/>
    </row>
    <row r="1637" spans="1:32">
      <c r="A1637" s="385"/>
      <c r="G1637" s="245"/>
      <c r="L1637" s="91"/>
      <c r="R1637" s="416"/>
    </row>
    <row r="1638" spans="1:32" ht="26.25">
      <c r="A1638" s="385"/>
      <c r="G1638" s="245"/>
      <c r="L1638" s="91"/>
      <c r="T1638" s="384" ph="1"/>
    </row>
    <row r="1639" spans="1:32" ht="26.25">
      <c r="A1639" s="385"/>
      <c r="G1639" s="245"/>
      <c r="L1639" s="91"/>
      <c r="R1639" s="416"/>
      <c r="T1639" s="384" ph="1"/>
    </row>
    <row r="1640" spans="1:32" ht="26.25">
      <c r="A1640" s="385"/>
      <c r="G1640" s="245"/>
      <c r="L1640" s="407"/>
      <c r="R1640" s="416"/>
      <c r="T1640" s="384" ph="1"/>
    </row>
    <row r="1641" spans="1:32" ht="26.25">
      <c r="A1641" s="385"/>
      <c r="G1641" s="245"/>
      <c r="L1641" s="91"/>
      <c r="R1641" s="416"/>
      <c r="T1641" s="384" ph="1"/>
    </row>
    <row r="1642" spans="1:32" ht="26.25">
      <c r="A1642" s="385"/>
      <c r="L1642" s="91"/>
      <c r="R1642" s="416"/>
      <c r="T1642" s="384" ph="1"/>
    </row>
    <row r="1643" spans="1:32" ht="26.25">
      <c r="A1643" s="385"/>
      <c r="B1643" s="245"/>
      <c r="C1643" s="245"/>
      <c r="D1643" s="245"/>
      <c r="E1643" s="245"/>
      <c r="F1643" s="316"/>
      <c r="G1643" s="245"/>
      <c r="H1643" s="385"/>
      <c r="I1643" s="245"/>
      <c r="L1643" s="91"/>
      <c r="R1643" s="416"/>
      <c r="S1643" s="420"/>
      <c r="T1643" s="384" ph="1"/>
      <c r="V1643" s="421"/>
      <c r="W1643" s="257"/>
      <c r="X1643" s="429"/>
      <c r="Y1643" s="257"/>
      <c r="Z1643" s="257"/>
      <c r="AC1643" s="357"/>
      <c r="AD1643" s="257"/>
      <c r="AE1643" s="245"/>
      <c r="AF1643" s="246"/>
    </row>
    <row r="1644" spans="1:32" ht="26.25">
      <c r="A1644" s="385"/>
      <c r="B1644" s="245"/>
      <c r="C1644" s="245"/>
      <c r="D1644" s="245"/>
      <c r="E1644" s="245"/>
      <c r="F1644" s="316"/>
      <c r="G1644" s="245"/>
      <c r="H1644" s="385"/>
      <c r="I1644" s="245"/>
      <c r="L1644" s="91"/>
      <c r="R1644" s="416"/>
      <c r="S1644" s="420"/>
      <c r="T1644" s="384" ph="1"/>
      <c r="V1644" s="421"/>
      <c r="W1644" s="257"/>
      <c r="X1644" s="429"/>
      <c r="Y1644" s="257"/>
      <c r="Z1644" s="257"/>
      <c r="AC1644" s="357"/>
      <c r="AD1644" s="257"/>
      <c r="AE1644" s="245"/>
      <c r="AF1644" s="246"/>
    </row>
    <row r="1645" spans="1:32" ht="26.25">
      <c r="A1645" s="385"/>
      <c r="B1645" s="245"/>
      <c r="C1645" s="245"/>
      <c r="D1645" s="245"/>
      <c r="E1645" s="245"/>
      <c r="F1645" s="316"/>
      <c r="G1645" s="245"/>
      <c r="H1645" s="385"/>
      <c r="I1645" s="245"/>
      <c r="L1645" s="91"/>
      <c r="R1645" s="416"/>
      <c r="S1645" s="420"/>
      <c r="T1645" s="384" ph="1"/>
      <c r="V1645" s="421"/>
      <c r="W1645" s="257"/>
      <c r="X1645" s="429"/>
      <c r="Y1645" s="257"/>
      <c r="Z1645" s="257"/>
      <c r="AC1645" s="357"/>
      <c r="AD1645" s="257"/>
      <c r="AE1645" s="245"/>
      <c r="AF1645" s="246"/>
    </row>
    <row r="1646" spans="1:32">
      <c r="L1646" s="91"/>
      <c r="R1646" s="416"/>
    </row>
    <row r="1647" spans="1:32" ht="26.25">
      <c r="A1647" s="385"/>
      <c r="B1647" s="245"/>
      <c r="C1647" s="245"/>
      <c r="D1647" s="245"/>
      <c r="E1647" s="245"/>
      <c r="F1647" s="316"/>
      <c r="G1647" s="245"/>
      <c r="H1647" s="385"/>
      <c r="I1647" s="245"/>
      <c r="L1647" s="91"/>
      <c r="S1647" s="420"/>
      <c r="T1647" s="384" ph="1"/>
      <c r="V1647" s="421"/>
      <c r="W1647" s="257"/>
      <c r="X1647" s="429"/>
      <c r="Y1647" s="257"/>
      <c r="Z1647" s="257"/>
      <c r="AC1647" s="357"/>
      <c r="AD1647" s="257"/>
      <c r="AE1647" s="245"/>
      <c r="AF1647" s="246"/>
    </row>
    <row r="1648" spans="1:32" ht="26.25">
      <c r="A1648" s="385"/>
      <c r="B1648" s="245"/>
      <c r="C1648" s="245"/>
      <c r="D1648" s="245"/>
      <c r="E1648" s="245"/>
      <c r="F1648" s="316"/>
      <c r="G1648" s="245"/>
      <c r="H1648" s="385"/>
      <c r="I1648" s="245"/>
      <c r="L1648" s="91"/>
      <c r="S1648" s="420"/>
      <c r="T1648" s="384" ph="1"/>
      <c r="V1648" s="421"/>
      <c r="W1648" s="257"/>
      <c r="X1648" s="429"/>
      <c r="Y1648" s="257"/>
      <c r="Z1648" s="257"/>
      <c r="AC1648" s="357"/>
      <c r="AD1648" s="257"/>
      <c r="AE1648" s="245"/>
      <c r="AF1648" s="246"/>
    </row>
    <row r="1649" spans="1:32" ht="26.25">
      <c r="A1649" s="385"/>
      <c r="B1649" s="245"/>
      <c r="C1649" s="245"/>
      <c r="D1649" s="245"/>
      <c r="E1649" s="245"/>
      <c r="F1649" s="316"/>
      <c r="G1649" s="245"/>
      <c r="H1649" s="385"/>
      <c r="I1649" s="245"/>
      <c r="L1649" s="91"/>
      <c r="O1649" s="413"/>
      <c r="Q1649" s="415"/>
      <c r="S1649" s="420"/>
      <c r="T1649" s="384" ph="1"/>
      <c r="V1649" s="421"/>
      <c r="W1649" s="257"/>
      <c r="X1649" s="429"/>
      <c r="Y1649" s="257"/>
      <c r="Z1649" s="257"/>
      <c r="AC1649" s="357"/>
      <c r="AD1649" s="257"/>
      <c r="AE1649" s="245"/>
      <c r="AF1649" s="246"/>
    </row>
    <row r="1650" spans="1:32" ht="26.25">
      <c r="A1650" s="385"/>
      <c r="B1650" s="245"/>
      <c r="C1650" s="245"/>
      <c r="D1650" s="245"/>
      <c r="E1650" s="245"/>
      <c r="F1650" s="316"/>
      <c r="G1650" s="245"/>
      <c r="H1650" s="385"/>
      <c r="I1650" s="245"/>
      <c r="L1650" s="91"/>
      <c r="S1650" s="420"/>
      <c r="T1650" s="384" ph="1"/>
      <c r="V1650" s="421"/>
      <c r="W1650" s="257"/>
      <c r="X1650" s="429"/>
      <c r="Y1650" s="257"/>
      <c r="Z1650" s="257"/>
      <c r="AC1650" s="357"/>
      <c r="AD1650" s="257"/>
      <c r="AE1650" s="245"/>
      <c r="AF1650" s="246"/>
    </row>
    <row r="1651" spans="1:32">
      <c r="L1651" s="91"/>
    </row>
    <row r="1652" spans="1:32">
      <c r="L1652" s="79"/>
    </row>
    <row r="1653" spans="1:32">
      <c r="L1653" s="91"/>
    </row>
    <row r="1654" spans="1:32">
      <c r="L1654" s="91"/>
    </row>
    <row r="1655" spans="1:32">
      <c r="L1655" s="91"/>
      <c r="R1655" s="416"/>
    </row>
    <row r="1656" spans="1:32">
      <c r="L1656" s="91"/>
      <c r="R1656" s="416"/>
    </row>
    <row r="1657" spans="1:32">
      <c r="L1657" s="91"/>
      <c r="R1657" s="416"/>
    </row>
    <row r="1658" spans="1:32">
      <c r="L1658" s="91"/>
    </row>
    <row r="1659" spans="1:32">
      <c r="L1659" s="405"/>
      <c r="O1659" s="413"/>
      <c r="Q1659" s="415"/>
      <c r="R1659" s="416"/>
    </row>
    <row r="1660" spans="1:32">
      <c r="L1660" s="91"/>
      <c r="R1660" s="416"/>
    </row>
    <row r="1661" spans="1:32">
      <c r="L1661" s="91"/>
      <c r="R1661" s="416"/>
    </row>
    <row r="1662" spans="1:32">
      <c r="L1662" s="91"/>
      <c r="R1662" s="416"/>
    </row>
    <row r="1663" spans="1:32">
      <c r="L1663" s="91"/>
      <c r="O1663" s="413"/>
      <c r="Q1663" s="415"/>
    </row>
    <row r="1664" spans="1:32">
      <c r="L1664" s="91"/>
    </row>
    <row r="1665" spans="12:17">
      <c r="L1665" s="91"/>
    </row>
    <row r="1666" spans="12:17">
      <c r="L1666" s="91"/>
    </row>
    <row r="1667" spans="12:17">
      <c r="L1667" s="91"/>
    </row>
    <row r="1668" spans="12:17">
      <c r="L1668" s="91"/>
      <c r="O1668" s="413"/>
      <c r="Q1668" s="415"/>
    </row>
    <row r="1669" spans="12:17">
      <c r="L1669" s="91"/>
      <c r="O1669" s="413"/>
      <c r="Q1669" s="415"/>
    </row>
    <row r="1670" spans="12:17">
      <c r="L1670" s="91"/>
      <c r="O1670" s="413"/>
      <c r="Q1670" s="415"/>
    </row>
    <row r="1671" spans="12:17">
      <c r="L1671" s="91"/>
    </row>
    <row r="1672" spans="12:17">
      <c r="L1672" s="91"/>
      <c r="O1672" s="413"/>
      <c r="Q1672" s="415"/>
    </row>
    <row r="1673" spans="12:17">
      <c r="L1673" s="91"/>
      <c r="O1673" s="413"/>
      <c r="Q1673" s="415"/>
    </row>
    <row r="1674" spans="12:17">
      <c r="L1674" s="91"/>
    </row>
    <row r="1675" spans="12:17">
      <c r="L1675" s="91"/>
      <c r="O1675" s="413"/>
      <c r="Q1675" s="415"/>
    </row>
    <row r="1676" spans="12:17">
      <c r="L1676" s="91"/>
    </row>
    <row r="1677" spans="12:17">
      <c r="L1677" s="91"/>
      <c r="O1677" s="413"/>
      <c r="Q1677" s="415"/>
    </row>
    <row r="1678" spans="12:17">
      <c r="L1678" s="91"/>
      <c r="O1678" s="413"/>
      <c r="Q1678" s="415"/>
    </row>
    <row r="1679" spans="12:17">
      <c r="L1679" s="91"/>
      <c r="O1679" s="413"/>
      <c r="Q1679" s="415"/>
    </row>
    <row r="1680" spans="12:17">
      <c r="L1680" s="91"/>
      <c r="O1680" s="413"/>
      <c r="Q1680" s="415"/>
    </row>
    <row r="1681" spans="12:17">
      <c r="L1681" s="91"/>
      <c r="O1681" s="413"/>
      <c r="Q1681" s="415"/>
    </row>
    <row r="1682" spans="12:17">
      <c r="L1682" s="91"/>
      <c r="O1682" s="413"/>
      <c r="Q1682" s="415"/>
    </row>
    <row r="1683" spans="12:17">
      <c r="L1683" s="91"/>
      <c r="O1683" s="413"/>
      <c r="Q1683" s="415"/>
    </row>
    <row r="1684" spans="12:17">
      <c r="L1684" s="91"/>
      <c r="O1684" s="413"/>
      <c r="Q1684" s="415"/>
    </row>
    <row r="1685" spans="12:17">
      <c r="L1685" s="91"/>
      <c r="O1685" s="413"/>
      <c r="Q1685" s="415"/>
    </row>
    <row r="1686" spans="12:17">
      <c r="L1686" s="91"/>
      <c r="O1686" s="413"/>
      <c r="Q1686" s="415"/>
    </row>
    <row r="1687" spans="12:17">
      <c r="L1687" s="91"/>
    </row>
    <row r="1688" spans="12:17">
      <c r="L1688" s="91"/>
      <c r="O1688" s="413"/>
      <c r="Q1688" s="415"/>
    </row>
    <row r="1689" spans="12:17">
      <c r="L1689" s="91"/>
      <c r="O1689" s="413"/>
      <c r="Q1689" s="415"/>
    </row>
    <row r="1690" spans="12:17">
      <c r="L1690" s="91"/>
      <c r="O1690" s="413"/>
      <c r="Q1690" s="415"/>
    </row>
    <row r="1691" spans="12:17">
      <c r="L1691" s="91"/>
      <c r="O1691" s="413"/>
      <c r="Q1691" s="415"/>
    </row>
    <row r="1692" spans="12:17">
      <c r="L1692" s="91"/>
      <c r="O1692" s="413"/>
      <c r="Q1692" s="415"/>
    </row>
    <row r="1693" spans="12:17">
      <c r="L1693" s="91"/>
      <c r="O1693" s="413"/>
      <c r="Q1693" s="415"/>
    </row>
    <row r="1694" spans="12:17">
      <c r="L1694" s="91"/>
      <c r="O1694" s="413"/>
      <c r="Q1694" s="415"/>
    </row>
    <row r="1695" spans="12:17">
      <c r="L1695" s="91"/>
      <c r="O1695" s="413"/>
      <c r="Q1695" s="415"/>
    </row>
    <row r="1696" spans="12:17">
      <c r="L1696" s="91"/>
    </row>
    <row r="1697" spans="12:17">
      <c r="L1697" s="91"/>
      <c r="O1697" s="413"/>
      <c r="Q1697" s="415"/>
    </row>
    <row r="1698" spans="12:17">
      <c r="L1698" s="91"/>
      <c r="O1698" s="413"/>
      <c r="Q1698" s="415"/>
    </row>
    <row r="1699" spans="12:17">
      <c r="L1699" s="407"/>
      <c r="O1699" s="413"/>
      <c r="Q1699" s="415"/>
    </row>
    <row r="1700" spans="12:17">
      <c r="L1700" s="91"/>
      <c r="O1700" s="413"/>
      <c r="Q1700" s="415"/>
    </row>
    <row r="1701" spans="12:17">
      <c r="L1701" s="91"/>
      <c r="O1701" s="413"/>
      <c r="Q1701" s="415"/>
    </row>
    <row r="1702" spans="12:17">
      <c r="L1702" s="91"/>
      <c r="O1702" s="413"/>
      <c r="Q1702" s="415"/>
    </row>
    <row r="1703" spans="12:17">
      <c r="L1703" s="91"/>
      <c r="O1703" s="413"/>
      <c r="Q1703" s="415"/>
    </row>
    <row r="1704" spans="12:17">
      <c r="L1704" s="407"/>
      <c r="O1704" s="413"/>
      <c r="Q1704" s="415"/>
    </row>
    <row r="1705" spans="12:17">
      <c r="L1705" s="91"/>
      <c r="O1705" s="413"/>
      <c r="Q1705" s="415"/>
    </row>
    <row r="1706" spans="12:17">
      <c r="L1706" s="91"/>
      <c r="O1706" s="413"/>
      <c r="Q1706" s="415"/>
    </row>
    <row r="1707" spans="12:17">
      <c r="L1707" s="91"/>
      <c r="O1707" s="413"/>
      <c r="Q1707" s="415"/>
    </row>
    <row r="1708" spans="12:17">
      <c r="L1708" s="91"/>
    </row>
    <row r="1709" spans="12:17">
      <c r="L1709" s="91"/>
      <c r="O1709" s="413"/>
      <c r="Q1709" s="415"/>
    </row>
    <row r="1710" spans="12:17">
      <c r="L1710" s="91"/>
      <c r="O1710" s="413"/>
      <c r="Q1710" s="415"/>
    </row>
    <row r="1711" spans="12:17">
      <c r="L1711" s="409"/>
      <c r="O1711" s="413"/>
      <c r="Q1711" s="415"/>
    </row>
    <row r="1712" spans="12:17">
      <c r="L1712" s="91"/>
      <c r="O1712" s="413"/>
      <c r="Q1712" s="415"/>
    </row>
    <row r="1713" spans="12:17">
      <c r="L1713" s="91"/>
      <c r="O1713" s="413"/>
      <c r="Q1713" s="415"/>
    </row>
    <row r="1714" spans="12:17">
      <c r="L1714" s="91"/>
      <c r="O1714" s="413"/>
      <c r="Q1714" s="415"/>
    </row>
    <row r="1715" spans="12:17">
      <c r="L1715" s="91"/>
      <c r="O1715" s="413"/>
      <c r="Q1715" s="415"/>
    </row>
    <row r="1716" spans="12:17">
      <c r="L1716" s="91"/>
      <c r="O1716" s="413"/>
      <c r="Q1716" s="415"/>
    </row>
    <row r="1717" spans="12:17">
      <c r="L1717" s="91"/>
    </row>
    <row r="1718" spans="12:17">
      <c r="L1718" s="91"/>
      <c r="O1718" s="413"/>
      <c r="Q1718" s="415"/>
    </row>
    <row r="1719" spans="12:17">
      <c r="L1719" s="91"/>
      <c r="O1719" s="413"/>
      <c r="Q1719" s="415"/>
    </row>
    <row r="1720" spans="12:17">
      <c r="L1720" s="91"/>
      <c r="O1720" s="413"/>
      <c r="Q1720" s="415"/>
    </row>
    <row r="1721" spans="12:17">
      <c r="L1721" s="91"/>
      <c r="O1721" s="413"/>
      <c r="Q1721" s="415"/>
    </row>
    <row r="1722" spans="12:17">
      <c r="L1722" s="407"/>
      <c r="O1722" s="413"/>
      <c r="Q1722" s="415"/>
    </row>
    <row r="1723" spans="12:17">
      <c r="L1723" s="91"/>
      <c r="O1723" s="413"/>
      <c r="Q1723" s="415"/>
    </row>
    <row r="1724" spans="12:17">
      <c r="L1724" s="91"/>
      <c r="O1724" s="413"/>
      <c r="Q1724" s="415"/>
    </row>
    <row r="1725" spans="12:17">
      <c r="L1725" s="91"/>
      <c r="O1725" s="413"/>
      <c r="Q1725" s="415"/>
    </row>
    <row r="1726" spans="12:17">
      <c r="L1726" s="91"/>
      <c r="O1726" s="413"/>
      <c r="Q1726" s="415"/>
    </row>
    <row r="1727" spans="12:17">
      <c r="L1727" s="91"/>
      <c r="O1727" s="413"/>
      <c r="Q1727" s="415"/>
    </row>
    <row r="1728" spans="12:17">
      <c r="L1728" s="91"/>
      <c r="O1728" s="413"/>
      <c r="Q1728" s="415"/>
    </row>
    <row r="1729" spans="12:17">
      <c r="L1729" s="91"/>
      <c r="O1729" s="413"/>
      <c r="Q1729" s="415"/>
    </row>
    <row r="1730" spans="12:17">
      <c r="L1730" s="91"/>
      <c r="O1730" s="413"/>
      <c r="Q1730" s="415"/>
    </row>
    <row r="1731" spans="12:17">
      <c r="L1731" s="91"/>
      <c r="O1731" s="413"/>
      <c r="Q1731" s="415"/>
    </row>
    <row r="1732" spans="12:17">
      <c r="L1732" s="91"/>
      <c r="O1732" s="413"/>
      <c r="Q1732" s="415"/>
    </row>
    <row r="1733" spans="12:17">
      <c r="L1733" s="91"/>
      <c r="O1733" s="413"/>
      <c r="Q1733" s="415"/>
    </row>
    <row r="1734" spans="12:17">
      <c r="L1734" s="407"/>
      <c r="O1734" s="413"/>
      <c r="Q1734" s="415"/>
    </row>
    <row r="1735" spans="12:17">
      <c r="L1735" s="91"/>
      <c r="O1735" s="413"/>
      <c r="Q1735" s="415"/>
    </row>
    <row r="1736" spans="12:17">
      <c r="L1736" s="79"/>
      <c r="O1736" s="413"/>
      <c r="Q1736" s="415"/>
    </row>
    <row r="1737" spans="12:17">
      <c r="L1737" s="407"/>
      <c r="O1737" s="413"/>
      <c r="Q1737" s="415"/>
    </row>
    <row r="1738" spans="12:17">
      <c r="L1738" s="91"/>
      <c r="O1738" s="413"/>
      <c r="Q1738" s="415"/>
    </row>
    <row r="1739" spans="12:17">
      <c r="L1739" s="91"/>
      <c r="O1739" s="413"/>
      <c r="Q1739" s="415"/>
    </row>
    <row r="1740" spans="12:17">
      <c r="L1740" s="91"/>
      <c r="O1740" s="413"/>
      <c r="Q1740" s="415"/>
    </row>
    <row r="1741" spans="12:17">
      <c r="L1741" s="91"/>
      <c r="O1741" s="413"/>
      <c r="Q1741" s="415"/>
    </row>
    <row r="1742" spans="12:17">
      <c r="L1742" s="407"/>
      <c r="O1742" s="413"/>
      <c r="Q1742" s="415"/>
    </row>
    <row r="1743" spans="12:17">
      <c r="L1743" s="91"/>
      <c r="O1743" s="413"/>
      <c r="Q1743" s="415"/>
    </row>
    <row r="1744" spans="12:17">
      <c r="L1744" s="91"/>
      <c r="O1744" s="413"/>
      <c r="Q1744" s="415"/>
    </row>
    <row r="1745" spans="12:17">
      <c r="L1745" s="91"/>
      <c r="O1745" s="413"/>
      <c r="Q1745" s="415"/>
    </row>
    <row r="1746" spans="12:17">
      <c r="L1746" s="91"/>
      <c r="O1746" s="413"/>
      <c r="Q1746" s="415"/>
    </row>
    <row r="1747" spans="12:17">
      <c r="L1747" s="91"/>
      <c r="O1747" s="413"/>
      <c r="Q1747" s="415"/>
    </row>
    <row r="1748" spans="12:17">
      <c r="L1748" s="91"/>
      <c r="O1748" s="413"/>
      <c r="Q1748" s="415"/>
    </row>
    <row r="1749" spans="12:17">
      <c r="L1749" s="91"/>
      <c r="O1749" s="413"/>
      <c r="Q1749" s="415"/>
    </row>
    <row r="1750" spans="12:17">
      <c r="L1750" s="91"/>
      <c r="O1750" s="413"/>
      <c r="Q1750" s="415"/>
    </row>
    <row r="1751" spans="12:17">
      <c r="L1751" s="91"/>
      <c r="O1751" s="413"/>
      <c r="Q1751" s="415"/>
    </row>
    <row r="1752" spans="12:17">
      <c r="L1752" s="91"/>
      <c r="O1752" s="413"/>
      <c r="Q1752" s="415"/>
    </row>
    <row r="1753" spans="12:17">
      <c r="L1753" s="91"/>
      <c r="O1753" s="413"/>
      <c r="Q1753" s="415"/>
    </row>
    <row r="1754" spans="12:17">
      <c r="L1754" s="91"/>
      <c r="O1754" s="413"/>
      <c r="Q1754" s="415"/>
    </row>
    <row r="1755" spans="12:17">
      <c r="L1755" s="91"/>
      <c r="O1755" s="413"/>
      <c r="Q1755" s="415"/>
    </row>
    <row r="1756" spans="12:17">
      <c r="L1756" s="91"/>
      <c r="O1756" s="413"/>
      <c r="Q1756" s="415"/>
    </row>
    <row r="1757" spans="12:17">
      <c r="L1757" s="91"/>
      <c r="O1757" s="413"/>
      <c r="Q1757" s="415"/>
    </row>
    <row r="1758" spans="12:17">
      <c r="L1758" s="91"/>
      <c r="O1758" s="413"/>
      <c r="Q1758" s="415"/>
    </row>
    <row r="1759" spans="12:17">
      <c r="L1759" s="91"/>
      <c r="O1759" s="413"/>
      <c r="Q1759" s="415"/>
    </row>
    <row r="1760" spans="12:17">
      <c r="L1760" s="91"/>
      <c r="O1760" s="413"/>
      <c r="Q1760" s="415"/>
    </row>
    <row r="1761" spans="1:32">
      <c r="L1761" s="91"/>
      <c r="O1761" s="413"/>
      <c r="Q1761" s="415"/>
    </row>
    <row r="1762" spans="1:32">
      <c r="L1762" s="407"/>
      <c r="O1762" s="413"/>
      <c r="Q1762" s="415"/>
    </row>
    <row r="1763" spans="1:32">
      <c r="L1763" s="91"/>
      <c r="O1763" s="413"/>
      <c r="Q1763" s="415"/>
    </row>
    <row r="1764" spans="1:32">
      <c r="L1764" s="91"/>
      <c r="O1764" s="413"/>
      <c r="Q1764" s="415"/>
    </row>
    <row r="1765" spans="1:32">
      <c r="L1765" s="91"/>
      <c r="O1765" s="413"/>
      <c r="Q1765" s="415"/>
    </row>
    <row r="1766" spans="1:32">
      <c r="L1766" s="91"/>
      <c r="O1766" s="413"/>
      <c r="Q1766" s="415"/>
    </row>
    <row r="1767" spans="1:32">
      <c r="L1767" s="91"/>
      <c r="O1767" s="413"/>
      <c r="Q1767" s="415"/>
    </row>
    <row r="1768" spans="1:32">
      <c r="L1768" s="91"/>
      <c r="O1768" s="413"/>
      <c r="Q1768" s="415"/>
    </row>
    <row r="1769" spans="1:32">
      <c r="L1769" s="91"/>
      <c r="O1769" s="413"/>
      <c r="Q1769" s="415"/>
    </row>
    <row r="1770" spans="1:32">
      <c r="L1770" s="91"/>
      <c r="O1770" s="413"/>
      <c r="Q1770" s="415"/>
    </row>
    <row r="1771" spans="1:32">
      <c r="L1771" s="91"/>
      <c r="O1771" s="413"/>
      <c r="Q1771" s="415"/>
    </row>
    <row r="1772" spans="1:32">
      <c r="L1772" s="91"/>
      <c r="O1772" s="413"/>
      <c r="Q1772" s="415"/>
    </row>
    <row r="1773" spans="1:32">
      <c r="L1773" s="91"/>
      <c r="O1773" s="413"/>
      <c r="Q1773" s="415"/>
    </row>
    <row r="1774" spans="1:32">
      <c r="L1774" s="91"/>
      <c r="O1774" s="413"/>
      <c r="Q1774" s="415"/>
    </row>
    <row r="1775" spans="1:32">
      <c r="L1775" s="91"/>
      <c r="O1775" s="413"/>
      <c r="Q1775" s="415"/>
    </row>
    <row r="1776" spans="1:32" ht="26.25">
      <c r="A1776" s="385"/>
      <c r="B1776" s="245"/>
      <c r="C1776" s="245"/>
      <c r="D1776" s="245"/>
      <c r="E1776" s="245"/>
      <c r="F1776" s="316"/>
      <c r="G1776" s="245"/>
      <c r="H1776" s="385"/>
      <c r="I1776" s="245"/>
      <c r="L1776" s="91"/>
      <c r="O1776" s="413"/>
      <c r="Q1776" s="415"/>
      <c r="S1776" s="420"/>
      <c r="T1776" s="384" ph="1"/>
      <c r="V1776" s="421"/>
      <c r="W1776" s="257"/>
      <c r="X1776" s="429"/>
      <c r="Y1776" s="257"/>
      <c r="Z1776" s="257"/>
      <c r="AC1776" s="357"/>
      <c r="AD1776" s="257"/>
      <c r="AE1776" s="245"/>
      <c r="AF1776" s="246"/>
    </row>
    <row r="1777" spans="1:32">
      <c r="L1777" s="91"/>
      <c r="O1777" s="413"/>
      <c r="Q1777" s="415"/>
    </row>
    <row r="1778" spans="1:32">
      <c r="L1778" s="91"/>
      <c r="O1778" s="413"/>
      <c r="Q1778" s="415"/>
    </row>
    <row r="1779" spans="1:32">
      <c r="L1779" s="91"/>
      <c r="O1779" s="413"/>
      <c r="Q1779" s="415"/>
    </row>
    <row r="1780" spans="1:32">
      <c r="L1780" s="91"/>
      <c r="O1780" s="413"/>
      <c r="Q1780" s="415"/>
    </row>
    <row r="1781" spans="1:32">
      <c r="L1781" s="91"/>
      <c r="O1781" s="413"/>
      <c r="Q1781" s="415"/>
    </row>
    <row r="1782" spans="1:32">
      <c r="L1782" s="91"/>
      <c r="O1782" s="413"/>
      <c r="Q1782" s="415"/>
    </row>
    <row r="1783" spans="1:32">
      <c r="L1783" s="91"/>
      <c r="O1783" s="413"/>
      <c r="Q1783" s="415"/>
    </row>
    <row r="1784" spans="1:32">
      <c r="L1784" s="91"/>
      <c r="O1784" s="413"/>
      <c r="Q1784" s="415"/>
    </row>
    <row r="1785" spans="1:32">
      <c r="L1785" s="91"/>
      <c r="O1785" s="413"/>
      <c r="Q1785" s="415"/>
    </row>
    <row r="1786" spans="1:32" ht="26.25">
      <c r="A1786" s="385"/>
      <c r="B1786" s="245"/>
      <c r="C1786" s="245"/>
      <c r="D1786" s="245"/>
      <c r="E1786" s="245"/>
      <c r="F1786" s="316"/>
      <c r="G1786" s="245"/>
      <c r="H1786" s="385"/>
      <c r="I1786" s="245"/>
      <c r="L1786" s="91"/>
      <c r="O1786" s="413"/>
      <c r="Q1786" s="415"/>
      <c r="S1786" s="420"/>
      <c r="T1786" s="384" ph="1"/>
      <c r="V1786" s="421"/>
      <c r="W1786" s="257"/>
      <c r="X1786" s="429"/>
      <c r="Y1786" s="257"/>
      <c r="Z1786" s="257"/>
      <c r="AC1786" s="357"/>
      <c r="AD1786" s="257"/>
      <c r="AE1786" s="245"/>
      <c r="AF1786" s="246"/>
    </row>
    <row r="1787" spans="1:32">
      <c r="L1787" s="91"/>
      <c r="O1787" s="413"/>
      <c r="Q1787" s="415"/>
    </row>
    <row r="1788" spans="1:32">
      <c r="L1788" s="91"/>
      <c r="O1788" s="413"/>
      <c r="Q1788" s="415"/>
      <c r="R1788" s="416"/>
    </row>
    <row r="1789" spans="1:32">
      <c r="L1789" s="91"/>
      <c r="O1789" s="413"/>
      <c r="Q1789" s="415"/>
    </row>
    <row r="1790" spans="1:32" ht="26.25">
      <c r="A1790" s="385"/>
      <c r="B1790" s="245"/>
      <c r="C1790" s="245"/>
      <c r="D1790" s="245"/>
      <c r="E1790" s="245"/>
      <c r="F1790" s="316"/>
      <c r="G1790" s="245"/>
      <c r="H1790" s="385"/>
      <c r="I1790" s="245"/>
      <c r="L1790" s="91"/>
      <c r="O1790" s="413"/>
      <c r="Q1790" s="415"/>
      <c r="S1790" s="420"/>
      <c r="T1790" s="384" ph="1"/>
      <c r="V1790" s="421"/>
      <c r="W1790" s="257"/>
      <c r="X1790" s="429"/>
      <c r="Y1790" s="257"/>
      <c r="Z1790" s="257"/>
      <c r="AC1790" s="357"/>
      <c r="AD1790" s="257"/>
      <c r="AE1790" s="245"/>
      <c r="AF1790" s="246"/>
    </row>
    <row r="1791" spans="1:32">
      <c r="L1791" s="91"/>
      <c r="O1791" s="413"/>
      <c r="Q1791" s="415"/>
    </row>
    <row r="1792" spans="1:32">
      <c r="L1792" s="91"/>
      <c r="O1792" s="413"/>
      <c r="Q1792" s="415"/>
    </row>
    <row r="1793" spans="1:32">
      <c r="L1793" s="91"/>
      <c r="O1793" s="413"/>
      <c r="Q1793" s="415"/>
    </row>
    <row r="1794" spans="1:32">
      <c r="L1794" s="91"/>
      <c r="O1794" s="413"/>
      <c r="Q1794" s="415"/>
    </row>
    <row r="1795" spans="1:32" ht="26.25">
      <c r="A1795" s="385"/>
      <c r="B1795" s="245"/>
      <c r="C1795" s="245"/>
      <c r="D1795" s="245"/>
      <c r="E1795" s="245"/>
      <c r="F1795" s="316"/>
      <c r="G1795" s="245"/>
      <c r="H1795" s="385"/>
      <c r="I1795" s="245"/>
      <c r="L1795" s="91"/>
      <c r="O1795" s="413"/>
      <c r="Q1795" s="415"/>
      <c r="S1795" s="420"/>
      <c r="T1795" s="384" ph="1"/>
      <c r="V1795" s="421"/>
      <c r="W1795" s="257"/>
      <c r="X1795" s="429"/>
      <c r="Y1795" s="257"/>
      <c r="Z1795" s="257"/>
      <c r="AC1795" s="357"/>
      <c r="AD1795" s="257"/>
      <c r="AE1795" s="245"/>
      <c r="AF1795" s="246"/>
    </row>
    <row r="1796" spans="1:32" ht="26.25">
      <c r="A1796" s="385"/>
      <c r="B1796" s="245"/>
      <c r="C1796" s="245"/>
      <c r="D1796" s="245"/>
      <c r="E1796" s="245"/>
      <c r="F1796" s="316"/>
      <c r="G1796" s="245"/>
      <c r="H1796" s="385"/>
      <c r="I1796" s="245"/>
      <c r="L1796" s="91"/>
      <c r="O1796" s="413"/>
      <c r="Q1796" s="415"/>
      <c r="S1796" s="420"/>
      <c r="T1796" s="384" ph="1"/>
      <c r="V1796" s="421"/>
      <c r="W1796" s="257"/>
      <c r="X1796" s="429"/>
      <c r="Y1796" s="257"/>
      <c r="Z1796" s="257"/>
      <c r="AC1796" s="357"/>
      <c r="AD1796" s="257"/>
      <c r="AE1796" s="245"/>
      <c r="AF1796" s="246"/>
    </row>
    <row r="1797" spans="1:32" ht="26.25">
      <c r="A1797" s="385"/>
      <c r="B1797" s="245"/>
      <c r="C1797" s="245"/>
      <c r="D1797" s="245"/>
      <c r="E1797" s="245"/>
      <c r="F1797" s="316"/>
      <c r="G1797" s="245"/>
      <c r="H1797" s="385"/>
      <c r="I1797" s="245"/>
      <c r="L1797" s="91"/>
      <c r="O1797" s="413"/>
      <c r="Q1797" s="415"/>
      <c r="S1797" s="420"/>
      <c r="T1797" s="384" ph="1"/>
      <c r="V1797" s="421"/>
      <c r="W1797" s="257"/>
      <c r="X1797" s="429"/>
      <c r="Y1797" s="257"/>
      <c r="Z1797" s="257"/>
      <c r="AC1797" s="357"/>
      <c r="AD1797" s="257"/>
      <c r="AE1797" s="245"/>
      <c r="AF1797" s="246"/>
    </row>
    <row r="1798" spans="1:32">
      <c r="L1798" s="91"/>
      <c r="O1798" s="413"/>
      <c r="Q1798" s="415"/>
      <c r="R1798" s="416"/>
    </row>
    <row r="1799" spans="1:32" ht="26.25">
      <c r="A1799" s="385"/>
      <c r="B1799" s="245"/>
      <c r="C1799" s="245"/>
      <c r="D1799" s="245"/>
      <c r="E1799" s="245"/>
      <c r="F1799" s="316"/>
      <c r="G1799" s="245"/>
      <c r="H1799" s="385"/>
      <c r="I1799" s="245"/>
      <c r="L1799" s="91"/>
      <c r="O1799" s="413"/>
      <c r="Q1799" s="415"/>
      <c r="S1799" s="420"/>
      <c r="T1799" s="384" ph="1"/>
      <c r="V1799" s="421"/>
      <c r="W1799" s="257"/>
      <c r="X1799" s="429"/>
      <c r="Y1799" s="257"/>
      <c r="Z1799" s="257"/>
      <c r="AC1799" s="357"/>
      <c r="AD1799" s="257"/>
      <c r="AE1799" s="245"/>
      <c r="AF1799" s="246"/>
    </row>
    <row r="1800" spans="1:32" ht="26.25">
      <c r="A1800" s="385"/>
      <c r="B1800" s="245"/>
      <c r="C1800" s="245"/>
      <c r="D1800" s="245"/>
      <c r="E1800" s="245"/>
      <c r="F1800" s="316"/>
      <c r="G1800" s="245"/>
      <c r="H1800" s="385"/>
      <c r="I1800" s="245"/>
      <c r="L1800" s="91"/>
      <c r="O1800" s="413"/>
      <c r="Q1800" s="415"/>
      <c r="S1800" s="420"/>
      <c r="T1800" s="384" ph="1"/>
      <c r="V1800" s="421"/>
      <c r="W1800" s="257"/>
      <c r="X1800" s="429"/>
      <c r="Y1800" s="257"/>
      <c r="Z1800" s="257"/>
      <c r="AC1800" s="357"/>
      <c r="AD1800" s="257"/>
      <c r="AE1800" s="245"/>
      <c r="AF1800" s="246"/>
    </row>
    <row r="1801" spans="1:32">
      <c r="L1801" s="407"/>
      <c r="O1801" s="413"/>
      <c r="Q1801" s="415"/>
    </row>
    <row r="1802" spans="1:32" ht="26.25">
      <c r="A1802" s="385"/>
      <c r="B1802" s="245"/>
      <c r="C1802" s="245"/>
      <c r="D1802" s="245"/>
      <c r="E1802" s="245"/>
      <c r="F1802" s="316"/>
      <c r="G1802" s="245"/>
      <c r="H1802" s="385"/>
      <c r="I1802" s="245"/>
      <c r="L1802" s="91"/>
      <c r="O1802" s="413"/>
      <c r="Q1802" s="415"/>
      <c r="R1802" s="416"/>
      <c r="S1802" s="420"/>
      <c r="T1802" s="384" ph="1"/>
      <c r="V1802" s="421"/>
      <c r="W1802" s="257"/>
      <c r="X1802" s="429"/>
      <c r="Y1802" s="257"/>
      <c r="Z1802" s="257"/>
      <c r="AC1802" s="357"/>
      <c r="AD1802" s="257"/>
      <c r="AE1802" s="245"/>
      <c r="AF1802" s="246"/>
    </row>
    <row r="1803" spans="1:32">
      <c r="L1803" s="91"/>
      <c r="O1803" s="413"/>
      <c r="Q1803" s="415"/>
    </row>
    <row r="1804" spans="1:32" ht="26.25">
      <c r="A1804" s="385"/>
      <c r="B1804" s="245"/>
      <c r="C1804" s="245"/>
      <c r="D1804" s="245"/>
      <c r="E1804" s="245"/>
      <c r="F1804" s="316"/>
      <c r="G1804" s="245"/>
      <c r="H1804" s="385"/>
      <c r="I1804" s="245"/>
      <c r="L1804" s="91"/>
      <c r="O1804" s="413"/>
      <c r="Q1804" s="415"/>
      <c r="S1804" s="420"/>
      <c r="T1804" s="384" ph="1"/>
      <c r="V1804" s="421"/>
      <c r="W1804" s="257"/>
      <c r="X1804" s="429"/>
      <c r="Y1804" s="257"/>
      <c r="Z1804" s="257"/>
      <c r="AC1804" s="357"/>
      <c r="AD1804" s="257"/>
      <c r="AE1804" s="245"/>
      <c r="AF1804" s="246"/>
    </row>
    <row r="1805" spans="1:32" ht="26.25">
      <c r="A1805" s="385"/>
      <c r="B1805" s="245"/>
      <c r="C1805" s="245"/>
      <c r="D1805" s="245"/>
      <c r="E1805" s="245"/>
      <c r="F1805" s="316"/>
      <c r="G1805" s="245"/>
      <c r="H1805" s="385"/>
      <c r="I1805" s="245"/>
      <c r="L1805" s="91"/>
      <c r="O1805" s="413"/>
      <c r="Q1805" s="415"/>
      <c r="S1805" s="420"/>
      <c r="T1805" s="384" ph="1"/>
      <c r="V1805" s="421"/>
      <c r="W1805" s="257"/>
      <c r="X1805" s="429"/>
      <c r="Y1805" s="257"/>
      <c r="Z1805" s="257"/>
      <c r="AC1805" s="357"/>
      <c r="AD1805" s="257"/>
      <c r="AE1805" s="245"/>
      <c r="AF1805" s="246"/>
    </row>
    <row r="1806" spans="1:32" ht="26.25">
      <c r="A1806" s="385"/>
      <c r="B1806" s="245"/>
      <c r="C1806" s="245"/>
      <c r="D1806" s="245"/>
      <c r="E1806" s="245"/>
      <c r="F1806" s="316"/>
      <c r="G1806" s="245"/>
      <c r="H1806" s="385"/>
      <c r="I1806" s="245"/>
      <c r="L1806" s="91"/>
      <c r="O1806" s="413"/>
      <c r="Q1806" s="415"/>
      <c r="S1806" s="420"/>
      <c r="T1806" s="384" ph="1"/>
      <c r="V1806" s="421"/>
      <c r="W1806" s="257"/>
      <c r="X1806" s="429"/>
      <c r="Y1806" s="257"/>
      <c r="Z1806" s="257"/>
      <c r="AC1806" s="357"/>
      <c r="AD1806" s="257"/>
      <c r="AE1806" s="245"/>
      <c r="AF1806" s="246"/>
    </row>
    <row r="1807" spans="1:32" ht="26.25">
      <c r="A1807" s="385"/>
      <c r="B1807" s="245"/>
      <c r="C1807" s="245"/>
      <c r="D1807" s="245"/>
      <c r="E1807" s="245"/>
      <c r="F1807" s="316"/>
      <c r="G1807" s="245"/>
      <c r="H1807" s="385"/>
      <c r="I1807" s="245"/>
      <c r="L1807" s="91"/>
      <c r="O1807" s="413"/>
      <c r="Q1807" s="415"/>
      <c r="R1807" s="416"/>
      <c r="S1807" s="420"/>
      <c r="T1807" s="384" ph="1"/>
      <c r="V1807" s="421"/>
      <c r="W1807" s="257"/>
      <c r="X1807" s="429"/>
      <c r="Y1807" s="257"/>
      <c r="Z1807" s="257"/>
      <c r="AC1807" s="357"/>
      <c r="AD1807" s="257"/>
      <c r="AE1807" s="245"/>
      <c r="AF1807" s="246"/>
    </row>
    <row r="1808" spans="1:32" ht="26.25">
      <c r="A1808" s="385"/>
      <c r="B1808" s="245"/>
      <c r="C1808" s="245"/>
      <c r="D1808" s="245"/>
      <c r="E1808" s="245"/>
      <c r="F1808" s="316"/>
      <c r="G1808" s="245"/>
      <c r="H1808" s="385"/>
      <c r="I1808" s="245"/>
      <c r="L1808" s="91"/>
      <c r="O1808" s="413"/>
      <c r="Q1808" s="415"/>
      <c r="R1808" s="416"/>
      <c r="S1808" s="420"/>
      <c r="T1808" s="384" ph="1"/>
      <c r="V1808" s="421"/>
      <c r="W1808" s="257"/>
      <c r="X1808" s="429"/>
      <c r="Y1808" s="257"/>
      <c r="Z1808" s="257"/>
      <c r="AC1808" s="357"/>
      <c r="AD1808" s="257"/>
      <c r="AE1808" s="245"/>
      <c r="AF1808" s="246"/>
    </row>
    <row r="1809" spans="1:32" ht="26.25">
      <c r="A1809" s="385"/>
      <c r="B1809" s="245"/>
      <c r="C1809" s="245"/>
      <c r="D1809" s="245"/>
      <c r="E1809" s="245"/>
      <c r="F1809" s="316"/>
      <c r="G1809" s="245"/>
      <c r="H1809" s="385"/>
      <c r="I1809" s="245"/>
      <c r="L1809" s="91"/>
      <c r="O1809" s="413"/>
      <c r="Q1809" s="415"/>
      <c r="R1809" s="416"/>
      <c r="S1809" s="420"/>
      <c r="T1809" s="384" ph="1"/>
      <c r="V1809" s="421"/>
      <c r="W1809" s="257"/>
      <c r="X1809" s="429"/>
      <c r="Y1809" s="257"/>
      <c r="Z1809" s="257"/>
      <c r="AC1809" s="357"/>
      <c r="AD1809" s="257"/>
      <c r="AE1809" s="245"/>
      <c r="AF1809" s="246"/>
    </row>
    <row r="1810" spans="1:32" ht="26.25">
      <c r="A1810" s="385"/>
      <c r="B1810" s="245"/>
      <c r="C1810" s="245"/>
      <c r="D1810" s="245"/>
      <c r="E1810" s="245"/>
      <c r="F1810" s="316"/>
      <c r="G1810" s="245"/>
      <c r="H1810" s="385"/>
      <c r="I1810" s="245"/>
      <c r="L1810" s="91"/>
      <c r="O1810" s="413"/>
      <c r="Q1810" s="415"/>
      <c r="S1810" s="420"/>
      <c r="T1810" s="384" ph="1"/>
      <c r="V1810" s="421"/>
      <c r="W1810" s="257"/>
      <c r="X1810" s="429"/>
      <c r="Y1810" s="257"/>
      <c r="Z1810" s="257"/>
      <c r="AC1810" s="357"/>
      <c r="AD1810" s="257"/>
      <c r="AE1810" s="245"/>
      <c r="AF1810" s="246"/>
    </row>
    <row r="1811" spans="1:32" ht="26.25">
      <c r="A1811" s="385"/>
      <c r="B1811" s="245"/>
      <c r="C1811" s="245"/>
      <c r="D1811" s="245"/>
      <c r="E1811" s="245"/>
      <c r="F1811" s="316"/>
      <c r="G1811" s="245"/>
      <c r="H1811" s="385"/>
      <c r="I1811" s="245"/>
      <c r="L1811" s="91"/>
      <c r="O1811" s="413"/>
      <c r="Q1811" s="415"/>
      <c r="R1811" s="416"/>
      <c r="S1811" s="420"/>
      <c r="T1811" s="384" ph="1"/>
      <c r="V1811" s="421"/>
      <c r="W1811" s="257"/>
      <c r="X1811" s="429"/>
      <c r="Y1811" s="257"/>
      <c r="Z1811" s="257"/>
      <c r="AC1811" s="357"/>
      <c r="AD1811" s="257"/>
      <c r="AE1811" s="245"/>
      <c r="AF1811" s="246"/>
    </row>
    <row r="1812" spans="1:32" ht="26.25">
      <c r="A1812" s="385"/>
      <c r="B1812" s="245"/>
      <c r="C1812" s="245"/>
      <c r="D1812" s="245"/>
      <c r="E1812" s="245"/>
      <c r="F1812" s="316"/>
      <c r="G1812" s="245"/>
      <c r="H1812" s="385"/>
      <c r="I1812" s="245"/>
      <c r="L1812" s="91"/>
      <c r="O1812" s="413"/>
      <c r="Q1812" s="415"/>
      <c r="R1812" s="416"/>
      <c r="S1812" s="420"/>
      <c r="T1812" s="384" ph="1"/>
      <c r="V1812" s="421"/>
      <c r="W1812" s="257"/>
      <c r="X1812" s="429"/>
      <c r="Y1812" s="257"/>
      <c r="Z1812" s="257"/>
      <c r="AC1812" s="357"/>
      <c r="AD1812" s="257"/>
      <c r="AE1812" s="245"/>
      <c r="AF1812" s="246"/>
    </row>
    <row r="1813" spans="1:32" ht="26.25">
      <c r="A1813" s="385"/>
      <c r="B1813" s="245"/>
      <c r="C1813" s="245"/>
      <c r="D1813" s="245"/>
      <c r="E1813" s="245"/>
      <c r="F1813" s="316"/>
      <c r="G1813" s="245"/>
      <c r="H1813" s="385"/>
      <c r="I1813" s="245"/>
      <c r="L1813" s="91"/>
      <c r="O1813" s="413"/>
      <c r="Q1813" s="415"/>
      <c r="S1813" s="420"/>
      <c r="T1813" s="384" ph="1"/>
      <c r="V1813" s="421"/>
      <c r="W1813" s="257"/>
      <c r="X1813" s="429"/>
      <c r="Y1813" s="257"/>
      <c r="Z1813" s="257"/>
      <c r="AC1813" s="357"/>
      <c r="AD1813" s="257"/>
      <c r="AE1813" s="245"/>
      <c r="AF1813" s="246"/>
    </row>
    <row r="1814" spans="1:32">
      <c r="L1814" s="91"/>
      <c r="O1814" s="413"/>
      <c r="Q1814" s="415"/>
      <c r="R1814" s="416"/>
    </row>
    <row r="1815" spans="1:32" ht="26.25">
      <c r="A1815" s="385"/>
      <c r="B1815" s="245"/>
      <c r="C1815" s="245"/>
      <c r="D1815" s="245"/>
      <c r="E1815" s="245"/>
      <c r="F1815" s="316"/>
      <c r="G1815" s="245"/>
      <c r="H1815" s="385"/>
      <c r="I1815" s="245"/>
      <c r="L1815" s="91"/>
      <c r="O1815" s="413"/>
      <c r="Q1815" s="415"/>
      <c r="S1815" s="420"/>
      <c r="T1815" s="384" ph="1"/>
      <c r="V1815" s="421"/>
      <c r="W1815" s="257"/>
      <c r="X1815" s="429"/>
      <c r="Y1815" s="257"/>
      <c r="Z1815" s="257"/>
      <c r="AC1815" s="357"/>
      <c r="AD1815" s="257"/>
      <c r="AE1815" s="245"/>
      <c r="AF1815" s="246"/>
    </row>
    <row r="1816" spans="1:32" ht="26.25">
      <c r="A1816" s="385"/>
      <c r="B1816" s="245"/>
      <c r="C1816" s="245"/>
      <c r="D1816" s="245"/>
      <c r="E1816" s="245"/>
      <c r="F1816" s="316"/>
      <c r="G1816" s="245"/>
      <c r="H1816" s="385"/>
      <c r="I1816" s="245"/>
      <c r="L1816" s="91"/>
      <c r="O1816" s="413"/>
      <c r="Q1816" s="415"/>
      <c r="R1816" s="416"/>
      <c r="S1816" s="420"/>
      <c r="T1816" s="384" ph="1"/>
      <c r="V1816" s="421"/>
      <c r="W1816" s="257"/>
      <c r="X1816" s="429"/>
      <c r="Y1816" s="257"/>
      <c r="Z1816" s="257"/>
      <c r="AC1816" s="357"/>
      <c r="AD1816" s="257"/>
      <c r="AE1816" s="245"/>
      <c r="AF1816" s="246"/>
    </row>
    <row r="1817" spans="1:32" ht="26.25">
      <c r="A1817" s="385"/>
      <c r="B1817" s="245"/>
      <c r="C1817" s="245"/>
      <c r="D1817" s="245"/>
      <c r="E1817" s="245"/>
      <c r="F1817" s="316"/>
      <c r="G1817" s="245"/>
      <c r="H1817" s="385"/>
      <c r="I1817" s="245"/>
      <c r="L1817" s="91"/>
      <c r="O1817" s="413"/>
      <c r="Q1817" s="415"/>
      <c r="R1817" s="416"/>
      <c r="S1817" s="420"/>
      <c r="T1817" s="384" ph="1"/>
      <c r="V1817" s="421"/>
      <c r="W1817" s="257"/>
      <c r="X1817" s="429"/>
      <c r="Y1817" s="257"/>
      <c r="Z1817" s="257"/>
      <c r="AC1817" s="357"/>
      <c r="AD1817" s="257"/>
      <c r="AE1817" s="245"/>
      <c r="AF1817" s="246"/>
    </row>
    <row r="1818" spans="1:32" ht="26.25">
      <c r="A1818" s="385"/>
      <c r="B1818" s="245"/>
      <c r="C1818" s="245"/>
      <c r="D1818" s="245"/>
      <c r="E1818" s="245"/>
      <c r="F1818" s="316"/>
      <c r="G1818" s="245"/>
      <c r="H1818" s="385"/>
      <c r="I1818" s="245"/>
      <c r="L1818" s="91"/>
      <c r="O1818" s="413"/>
      <c r="Q1818" s="415"/>
      <c r="R1818" s="416"/>
      <c r="S1818" s="420"/>
      <c r="T1818" s="384" ph="1"/>
      <c r="V1818" s="421"/>
      <c r="W1818" s="257"/>
      <c r="X1818" s="429"/>
      <c r="Y1818" s="257"/>
      <c r="Z1818" s="257"/>
      <c r="AC1818" s="357"/>
      <c r="AD1818" s="257"/>
      <c r="AE1818" s="245"/>
      <c r="AF1818" s="246"/>
    </row>
    <row r="1819" spans="1:32" ht="26.25">
      <c r="A1819" s="385"/>
      <c r="B1819" s="245"/>
      <c r="C1819" s="245"/>
      <c r="D1819" s="245"/>
      <c r="E1819" s="245"/>
      <c r="F1819" s="316"/>
      <c r="G1819" s="245"/>
      <c r="H1819" s="385"/>
      <c r="I1819" s="245"/>
      <c r="L1819" s="91"/>
      <c r="O1819" s="413"/>
      <c r="Q1819" s="415"/>
      <c r="R1819" s="416"/>
      <c r="S1819" s="420"/>
      <c r="T1819" s="384" ph="1"/>
      <c r="V1819" s="421"/>
      <c r="W1819" s="257"/>
      <c r="X1819" s="429"/>
      <c r="Y1819" s="257"/>
      <c r="Z1819" s="257"/>
      <c r="AC1819" s="357"/>
      <c r="AD1819" s="257"/>
      <c r="AE1819" s="245"/>
      <c r="AF1819" s="246"/>
    </row>
    <row r="1820" spans="1:32" ht="26.25">
      <c r="A1820" s="385"/>
      <c r="B1820" s="245"/>
      <c r="C1820" s="245"/>
      <c r="D1820" s="245"/>
      <c r="E1820" s="245"/>
      <c r="F1820" s="316"/>
      <c r="G1820" s="245"/>
      <c r="H1820" s="385"/>
      <c r="I1820" s="245"/>
      <c r="L1820" s="91"/>
      <c r="O1820" s="413"/>
      <c r="Q1820" s="415"/>
      <c r="R1820" s="416"/>
      <c r="S1820" s="420"/>
      <c r="T1820" s="384" ph="1"/>
      <c r="V1820" s="421"/>
      <c r="W1820" s="257"/>
      <c r="X1820" s="429"/>
      <c r="Y1820" s="257"/>
      <c r="Z1820" s="257"/>
      <c r="AC1820" s="357"/>
      <c r="AD1820" s="257"/>
      <c r="AE1820" s="245"/>
      <c r="AF1820" s="246"/>
    </row>
    <row r="1821" spans="1:32" ht="26.25">
      <c r="A1821" s="385"/>
      <c r="B1821" s="245"/>
      <c r="C1821" s="245"/>
      <c r="D1821" s="245"/>
      <c r="E1821" s="245"/>
      <c r="F1821" s="316"/>
      <c r="G1821" s="245"/>
      <c r="H1821" s="385"/>
      <c r="I1821" s="245"/>
      <c r="L1821" s="91"/>
      <c r="O1821" s="413"/>
      <c r="Q1821" s="415"/>
      <c r="R1821" s="416"/>
      <c r="S1821" s="420"/>
      <c r="T1821" s="384" ph="1"/>
      <c r="V1821" s="421"/>
      <c r="W1821" s="257"/>
      <c r="X1821" s="429"/>
      <c r="Y1821" s="257"/>
      <c r="Z1821" s="257"/>
      <c r="AC1821" s="357"/>
      <c r="AD1821" s="257"/>
      <c r="AE1821" s="245"/>
      <c r="AF1821" s="246"/>
    </row>
    <row r="1822" spans="1:32" ht="26.25">
      <c r="A1822" s="385"/>
      <c r="B1822" s="245"/>
      <c r="C1822" s="245"/>
      <c r="D1822" s="245"/>
      <c r="E1822" s="245"/>
      <c r="F1822" s="316"/>
      <c r="G1822" s="245"/>
      <c r="H1822" s="385"/>
      <c r="I1822" s="245"/>
      <c r="L1822" s="91"/>
      <c r="O1822" s="413"/>
      <c r="Q1822" s="415"/>
      <c r="R1822" s="416"/>
      <c r="S1822" s="420"/>
      <c r="T1822" s="384" ph="1"/>
      <c r="V1822" s="421"/>
      <c r="W1822" s="257"/>
      <c r="X1822" s="429"/>
      <c r="Y1822" s="257"/>
      <c r="Z1822" s="257"/>
      <c r="AC1822" s="357"/>
      <c r="AD1822" s="257"/>
      <c r="AE1822" s="245"/>
      <c r="AF1822" s="246"/>
    </row>
    <row r="1823" spans="1:32">
      <c r="L1823" s="91"/>
      <c r="O1823" s="413"/>
      <c r="Q1823" s="415"/>
      <c r="R1823" s="416"/>
    </row>
    <row r="1824" spans="1:32" ht="26.25">
      <c r="A1824" s="385"/>
      <c r="B1824" s="245"/>
      <c r="C1824" s="245"/>
      <c r="D1824" s="245"/>
      <c r="E1824" s="245"/>
      <c r="F1824" s="316"/>
      <c r="G1824" s="245"/>
      <c r="H1824" s="385"/>
      <c r="I1824" s="245"/>
      <c r="L1824" s="91"/>
      <c r="O1824" s="413"/>
      <c r="Q1824" s="415"/>
      <c r="R1824" s="416"/>
      <c r="S1824" s="420"/>
      <c r="T1824" s="384" ph="1"/>
      <c r="V1824" s="421"/>
      <c r="W1824" s="257"/>
      <c r="X1824" s="429"/>
      <c r="Y1824" s="257"/>
      <c r="Z1824" s="257"/>
      <c r="AC1824" s="357"/>
      <c r="AD1824" s="257"/>
      <c r="AE1824" s="245"/>
      <c r="AF1824" s="246"/>
    </row>
    <row r="1825" spans="1:32" ht="26.25">
      <c r="A1825" s="385"/>
      <c r="B1825" s="245"/>
      <c r="C1825" s="245"/>
      <c r="D1825" s="245"/>
      <c r="E1825" s="245"/>
      <c r="F1825" s="316"/>
      <c r="G1825" s="245"/>
      <c r="H1825" s="385"/>
      <c r="I1825" s="245"/>
      <c r="L1825" s="91"/>
      <c r="O1825" s="413"/>
      <c r="Q1825" s="415"/>
      <c r="R1825" s="416"/>
      <c r="S1825" s="420"/>
      <c r="T1825" s="384" ph="1"/>
      <c r="V1825" s="421"/>
      <c r="W1825" s="257"/>
      <c r="X1825" s="429"/>
      <c r="Y1825" s="257"/>
      <c r="Z1825" s="257"/>
      <c r="AC1825" s="357"/>
      <c r="AD1825" s="257"/>
      <c r="AE1825" s="245"/>
      <c r="AF1825" s="246"/>
    </row>
    <row r="1826" spans="1:32" ht="26.25">
      <c r="A1826" s="385"/>
      <c r="B1826" s="245"/>
      <c r="C1826" s="245"/>
      <c r="D1826" s="245"/>
      <c r="E1826" s="245"/>
      <c r="F1826" s="316"/>
      <c r="G1826" s="245"/>
      <c r="H1826" s="385"/>
      <c r="I1826" s="245"/>
      <c r="L1826" s="91"/>
      <c r="O1826" s="413"/>
      <c r="Q1826" s="415"/>
      <c r="S1826" s="420"/>
      <c r="T1826" s="384" ph="1"/>
      <c r="V1826" s="421"/>
      <c r="W1826" s="257"/>
      <c r="X1826" s="429"/>
      <c r="Y1826" s="257"/>
      <c r="Z1826" s="257"/>
      <c r="AC1826" s="357"/>
      <c r="AD1826" s="257"/>
      <c r="AE1826" s="245"/>
      <c r="AF1826" s="246"/>
    </row>
    <row r="1827" spans="1:32" ht="26.25">
      <c r="A1827" s="385"/>
      <c r="B1827" s="245"/>
      <c r="C1827" s="245"/>
      <c r="D1827" s="245"/>
      <c r="E1827" s="245"/>
      <c r="F1827" s="316"/>
      <c r="G1827" s="245"/>
      <c r="H1827" s="385"/>
      <c r="I1827" s="245"/>
      <c r="L1827" s="91"/>
      <c r="O1827" s="413"/>
      <c r="Q1827" s="415"/>
      <c r="R1827" s="416"/>
      <c r="S1827" s="420"/>
      <c r="T1827" s="384" ph="1"/>
      <c r="V1827" s="421"/>
      <c r="W1827" s="257"/>
      <c r="X1827" s="429"/>
      <c r="Y1827" s="257"/>
      <c r="Z1827" s="257"/>
      <c r="AC1827" s="357"/>
      <c r="AD1827" s="257"/>
      <c r="AE1827" s="245"/>
      <c r="AF1827" s="246"/>
    </row>
    <row r="1828" spans="1:32" ht="26.25">
      <c r="A1828" s="385"/>
      <c r="B1828" s="245"/>
      <c r="C1828" s="245"/>
      <c r="D1828" s="245"/>
      <c r="E1828" s="245"/>
      <c r="F1828" s="316"/>
      <c r="G1828" s="245"/>
      <c r="H1828" s="385"/>
      <c r="I1828" s="245"/>
      <c r="L1828" s="91"/>
      <c r="O1828" s="413"/>
      <c r="Q1828" s="415"/>
      <c r="R1828" s="416"/>
      <c r="S1828" s="420"/>
      <c r="T1828" s="384" ph="1"/>
      <c r="V1828" s="421"/>
      <c r="W1828" s="257"/>
      <c r="X1828" s="429"/>
      <c r="Y1828" s="257"/>
      <c r="Z1828" s="257"/>
      <c r="AC1828" s="357"/>
      <c r="AD1828" s="257"/>
      <c r="AE1828" s="245"/>
      <c r="AF1828" s="246"/>
    </row>
    <row r="1829" spans="1:32" ht="26.25">
      <c r="A1829" s="385"/>
      <c r="B1829" s="245"/>
      <c r="C1829" s="245"/>
      <c r="D1829" s="245"/>
      <c r="E1829" s="245"/>
      <c r="F1829" s="316"/>
      <c r="G1829" s="245"/>
      <c r="H1829" s="385"/>
      <c r="I1829" s="245"/>
      <c r="L1829" s="91"/>
      <c r="O1829" s="413"/>
      <c r="Q1829" s="415"/>
      <c r="R1829" s="416"/>
      <c r="S1829" s="420"/>
      <c r="T1829" s="384" ph="1"/>
      <c r="V1829" s="421"/>
      <c r="W1829" s="257"/>
      <c r="X1829" s="429"/>
      <c r="Y1829" s="257"/>
      <c r="Z1829" s="257"/>
      <c r="AC1829" s="357"/>
      <c r="AD1829" s="257"/>
      <c r="AE1829" s="245"/>
      <c r="AF1829" s="246"/>
    </row>
    <row r="1830" spans="1:32" ht="26.25">
      <c r="A1830" s="385"/>
      <c r="B1830" s="245"/>
      <c r="C1830" s="245"/>
      <c r="D1830" s="245"/>
      <c r="E1830" s="245"/>
      <c r="F1830" s="316"/>
      <c r="G1830" s="245"/>
      <c r="H1830" s="385"/>
      <c r="I1830" s="245"/>
      <c r="L1830" s="91"/>
      <c r="O1830" s="413"/>
      <c r="Q1830" s="415"/>
      <c r="R1830" s="416"/>
      <c r="S1830" s="420"/>
      <c r="T1830" s="384" ph="1"/>
      <c r="V1830" s="421"/>
      <c r="W1830" s="257"/>
      <c r="X1830" s="429"/>
      <c r="Y1830" s="257"/>
      <c r="Z1830" s="257"/>
      <c r="AC1830" s="357"/>
      <c r="AD1830" s="257"/>
      <c r="AE1830" s="245"/>
      <c r="AF1830" s="246"/>
    </row>
    <row r="1831" spans="1:32" ht="26.25">
      <c r="A1831" s="385"/>
      <c r="B1831" s="245"/>
      <c r="C1831" s="245"/>
      <c r="D1831" s="245"/>
      <c r="E1831" s="245"/>
      <c r="F1831" s="316"/>
      <c r="G1831" s="245"/>
      <c r="H1831" s="385"/>
      <c r="I1831" s="245"/>
      <c r="L1831" s="91"/>
      <c r="O1831" s="413"/>
      <c r="Q1831" s="415"/>
      <c r="R1831" s="416"/>
      <c r="S1831" s="420"/>
      <c r="T1831" s="384" ph="1"/>
      <c r="V1831" s="421"/>
      <c r="W1831" s="257"/>
      <c r="X1831" s="429"/>
      <c r="Y1831" s="257"/>
      <c r="Z1831" s="257"/>
      <c r="AC1831" s="357"/>
      <c r="AD1831" s="257"/>
      <c r="AE1831" s="245"/>
      <c r="AF1831" s="246"/>
    </row>
    <row r="1832" spans="1:32" ht="26.25">
      <c r="A1832" s="385"/>
      <c r="B1832" s="245"/>
      <c r="C1832" s="245"/>
      <c r="D1832" s="245"/>
      <c r="E1832" s="245"/>
      <c r="F1832" s="316"/>
      <c r="G1832" s="245"/>
      <c r="H1832" s="385"/>
      <c r="I1832" s="245"/>
      <c r="L1832" s="91"/>
      <c r="O1832" s="413"/>
      <c r="Q1832" s="415"/>
      <c r="R1832" s="416"/>
      <c r="S1832" s="420"/>
      <c r="T1832" s="384" ph="1"/>
      <c r="V1832" s="421"/>
      <c r="W1832" s="257"/>
      <c r="X1832" s="429"/>
      <c r="Y1832" s="257"/>
      <c r="Z1832" s="257"/>
      <c r="AC1832" s="357"/>
      <c r="AD1832" s="257"/>
      <c r="AE1832" s="245"/>
      <c r="AF1832" s="246"/>
    </row>
    <row r="1833" spans="1:32" ht="26.25">
      <c r="A1833" s="385"/>
      <c r="B1833" s="245"/>
      <c r="C1833" s="245"/>
      <c r="D1833" s="245"/>
      <c r="E1833" s="245"/>
      <c r="F1833" s="316"/>
      <c r="G1833" s="245"/>
      <c r="H1833" s="385"/>
      <c r="I1833" s="245"/>
      <c r="L1833" s="91"/>
      <c r="O1833" s="413"/>
      <c r="Q1833" s="415"/>
      <c r="R1833" s="416"/>
      <c r="S1833" s="420"/>
      <c r="T1833" s="384" ph="1"/>
      <c r="V1833" s="421"/>
      <c r="W1833" s="257"/>
      <c r="X1833" s="429"/>
      <c r="Y1833" s="257"/>
      <c r="Z1833" s="257"/>
      <c r="AC1833" s="357"/>
      <c r="AD1833" s="257"/>
      <c r="AE1833" s="245"/>
      <c r="AF1833" s="246"/>
    </row>
    <row r="1834" spans="1:32" ht="26.25">
      <c r="A1834" s="385"/>
      <c r="B1834" s="245"/>
      <c r="C1834" s="245"/>
      <c r="D1834" s="245"/>
      <c r="E1834" s="245"/>
      <c r="F1834" s="316"/>
      <c r="G1834" s="245"/>
      <c r="H1834" s="385"/>
      <c r="I1834" s="245"/>
      <c r="L1834" s="405"/>
      <c r="O1834" s="413"/>
      <c r="Q1834" s="415"/>
      <c r="R1834" s="416"/>
      <c r="S1834" s="420"/>
      <c r="T1834" s="384" ph="1"/>
      <c r="V1834" s="421"/>
      <c r="W1834" s="257"/>
      <c r="X1834" s="429"/>
      <c r="Y1834" s="257"/>
      <c r="Z1834" s="257"/>
      <c r="AC1834" s="357"/>
      <c r="AD1834" s="257"/>
      <c r="AE1834" s="245"/>
      <c r="AF1834" s="246"/>
    </row>
    <row r="1835" spans="1:32">
      <c r="L1835" s="91"/>
      <c r="O1835" s="413"/>
      <c r="Q1835" s="415"/>
    </row>
    <row r="1836" spans="1:32" ht="26.25">
      <c r="A1836" s="385"/>
      <c r="B1836" s="245"/>
      <c r="C1836" s="245"/>
      <c r="D1836" s="245"/>
      <c r="E1836" s="245"/>
      <c r="F1836" s="316"/>
      <c r="G1836" s="245"/>
      <c r="H1836" s="385"/>
      <c r="I1836" s="245"/>
      <c r="L1836" s="91"/>
      <c r="O1836" s="413"/>
      <c r="Q1836" s="415"/>
      <c r="R1836" s="416"/>
      <c r="S1836" s="420"/>
      <c r="T1836" s="384" ph="1"/>
      <c r="V1836" s="421"/>
      <c r="W1836" s="257"/>
      <c r="X1836" s="429"/>
      <c r="Y1836" s="257"/>
      <c r="Z1836" s="257"/>
      <c r="AC1836" s="357"/>
      <c r="AD1836" s="257"/>
      <c r="AE1836" s="245"/>
      <c r="AF1836" s="246"/>
    </row>
    <row r="1837" spans="1:32" ht="26.25">
      <c r="A1837" s="385"/>
      <c r="B1837" s="245"/>
      <c r="C1837" s="245"/>
      <c r="D1837" s="245"/>
      <c r="E1837" s="245"/>
      <c r="F1837" s="316"/>
      <c r="G1837" s="245"/>
      <c r="H1837" s="385"/>
      <c r="I1837" s="245"/>
      <c r="L1837" s="91"/>
      <c r="O1837" s="413"/>
      <c r="Q1837" s="415"/>
      <c r="R1837" s="416"/>
      <c r="S1837" s="420"/>
      <c r="T1837" s="384" ph="1"/>
      <c r="V1837" s="421"/>
      <c r="W1837" s="257"/>
      <c r="X1837" s="429"/>
      <c r="Y1837" s="257"/>
      <c r="Z1837" s="257"/>
      <c r="AC1837" s="357"/>
      <c r="AD1837" s="257"/>
      <c r="AE1837" s="245"/>
      <c r="AF1837" s="246"/>
    </row>
    <row r="1838" spans="1:32" ht="26.25">
      <c r="A1838" s="385"/>
      <c r="B1838" s="245"/>
      <c r="C1838" s="245"/>
      <c r="D1838" s="245"/>
      <c r="E1838" s="245"/>
      <c r="F1838" s="316"/>
      <c r="G1838" s="245"/>
      <c r="H1838" s="385"/>
      <c r="I1838" s="245"/>
      <c r="L1838" s="91"/>
      <c r="O1838" s="413"/>
      <c r="Q1838" s="415"/>
      <c r="R1838" s="416"/>
      <c r="S1838" s="420"/>
      <c r="T1838" s="384" ph="1"/>
      <c r="V1838" s="421"/>
      <c r="W1838" s="257"/>
      <c r="X1838" s="429"/>
      <c r="Y1838" s="257"/>
      <c r="Z1838" s="257"/>
      <c r="AC1838" s="357"/>
      <c r="AD1838" s="257"/>
      <c r="AE1838" s="245"/>
      <c r="AF1838" s="246"/>
    </row>
    <row r="1839" spans="1:32" ht="26.25">
      <c r="A1839" s="385"/>
      <c r="B1839" s="245"/>
      <c r="C1839" s="245"/>
      <c r="D1839" s="245"/>
      <c r="E1839" s="245"/>
      <c r="F1839" s="316"/>
      <c r="G1839" s="245"/>
      <c r="H1839" s="385"/>
      <c r="I1839" s="245"/>
      <c r="L1839" s="91"/>
      <c r="O1839" s="413"/>
      <c r="Q1839" s="415"/>
      <c r="R1839" s="416"/>
      <c r="S1839" s="420"/>
      <c r="T1839" s="384" ph="1"/>
      <c r="V1839" s="421"/>
      <c r="W1839" s="257"/>
      <c r="X1839" s="429"/>
      <c r="Y1839" s="257"/>
      <c r="Z1839" s="257"/>
      <c r="AC1839" s="357"/>
      <c r="AD1839" s="257"/>
      <c r="AE1839" s="245"/>
      <c r="AF1839" s="246"/>
    </row>
    <row r="1840" spans="1:32" ht="26.25">
      <c r="A1840" s="385"/>
      <c r="B1840" s="245"/>
      <c r="C1840" s="245"/>
      <c r="D1840" s="245"/>
      <c r="E1840" s="245"/>
      <c r="F1840" s="316"/>
      <c r="G1840" s="245"/>
      <c r="H1840" s="385"/>
      <c r="I1840" s="245"/>
      <c r="L1840" s="91"/>
      <c r="O1840" s="413"/>
      <c r="Q1840" s="415"/>
      <c r="R1840" s="416"/>
      <c r="S1840" s="420"/>
      <c r="T1840" s="384" ph="1"/>
      <c r="V1840" s="421"/>
      <c r="W1840" s="257"/>
      <c r="X1840" s="429"/>
      <c r="Y1840" s="257"/>
      <c r="Z1840" s="257"/>
      <c r="AC1840" s="357"/>
      <c r="AD1840" s="257"/>
      <c r="AE1840" s="245"/>
      <c r="AF1840" s="246"/>
    </row>
    <row r="1841" spans="1:32" ht="26.25">
      <c r="A1841" s="385"/>
      <c r="B1841" s="245"/>
      <c r="C1841" s="245"/>
      <c r="D1841" s="245"/>
      <c r="E1841" s="245"/>
      <c r="F1841" s="316"/>
      <c r="G1841" s="245"/>
      <c r="H1841" s="385"/>
      <c r="I1841" s="245"/>
      <c r="L1841" s="91"/>
      <c r="O1841" s="413"/>
      <c r="Q1841" s="415"/>
      <c r="R1841" s="416"/>
      <c r="S1841" s="420"/>
      <c r="T1841" s="384" ph="1"/>
      <c r="V1841" s="421"/>
      <c r="W1841" s="257"/>
      <c r="X1841" s="429"/>
      <c r="Y1841" s="257"/>
      <c r="Z1841" s="257"/>
      <c r="AC1841" s="357"/>
      <c r="AD1841" s="257"/>
      <c r="AE1841" s="245"/>
      <c r="AF1841" s="246"/>
    </row>
    <row r="1842" spans="1:32" ht="26.25">
      <c r="A1842" s="385"/>
      <c r="B1842" s="245"/>
      <c r="C1842" s="245"/>
      <c r="D1842" s="245"/>
      <c r="E1842" s="245"/>
      <c r="F1842" s="316"/>
      <c r="G1842" s="245"/>
      <c r="H1842" s="385"/>
      <c r="I1842" s="245"/>
      <c r="L1842" s="91"/>
      <c r="O1842" s="413"/>
      <c r="Q1842" s="415"/>
      <c r="R1842" s="416"/>
      <c r="S1842" s="420"/>
      <c r="T1842" s="384" ph="1"/>
      <c r="V1842" s="421"/>
      <c r="W1842" s="257"/>
      <c r="X1842" s="429"/>
      <c r="Y1842" s="257"/>
      <c r="Z1842" s="257"/>
      <c r="AC1842" s="357"/>
      <c r="AD1842" s="257"/>
      <c r="AE1842" s="245"/>
      <c r="AF1842" s="246"/>
    </row>
    <row r="1843" spans="1:32" ht="26.25">
      <c r="A1843" s="385"/>
      <c r="B1843" s="245"/>
      <c r="C1843" s="245"/>
      <c r="D1843" s="245"/>
      <c r="E1843" s="245"/>
      <c r="F1843" s="316"/>
      <c r="G1843" s="245"/>
      <c r="H1843" s="385"/>
      <c r="I1843" s="245"/>
      <c r="L1843" s="91"/>
      <c r="O1843" s="413"/>
      <c r="Q1843" s="415"/>
      <c r="R1843" s="416"/>
      <c r="S1843" s="420"/>
      <c r="T1843" s="384" ph="1"/>
      <c r="V1843" s="421"/>
      <c r="W1843" s="257"/>
      <c r="X1843" s="429"/>
      <c r="Y1843" s="257"/>
      <c r="Z1843" s="257"/>
      <c r="AC1843" s="357"/>
      <c r="AD1843" s="257"/>
      <c r="AE1843" s="245"/>
      <c r="AF1843" s="246"/>
    </row>
    <row r="1844" spans="1:32">
      <c r="L1844" s="91"/>
      <c r="O1844" s="413"/>
      <c r="Q1844" s="415"/>
      <c r="R1844" s="416"/>
    </row>
    <row r="1845" spans="1:32" ht="26.25">
      <c r="A1845" s="385"/>
      <c r="B1845" s="245"/>
      <c r="C1845" s="245"/>
      <c r="D1845" s="245"/>
      <c r="E1845" s="245"/>
      <c r="F1845" s="316"/>
      <c r="G1845" s="245"/>
      <c r="H1845" s="385"/>
      <c r="I1845" s="245"/>
      <c r="L1845" s="91"/>
      <c r="O1845" s="413"/>
      <c r="Q1845" s="415"/>
      <c r="R1845" s="416"/>
      <c r="S1845" s="420"/>
      <c r="T1845" s="384" ph="1"/>
      <c r="V1845" s="421"/>
      <c r="W1845" s="257"/>
      <c r="X1845" s="429"/>
      <c r="Y1845" s="257"/>
      <c r="Z1845" s="257"/>
      <c r="AC1845" s="357"/>
      <c r="AD1845" s="257"/>
      <c r="AE1845" s="245"/>
      <c r="AF1845" s="246"/>
    </row>
    <row r="1846" spans="1:32" ht="26.25">
      <c r="A1846" s="385"/>
      <c r="B1846" s="245"/>
      <c r="C1846" s="245"/>
      <c r="D1846" s="245"/>
      <c r="E1846" s="245"/>
      <c r="F1846" s="316"/>
      <c r="G1846" s="245"/>
      <c r="H1846" s="385"/>
      <c r="I1846" s="245"/>
      <c r="L1846" s="91"/>
      <c r="O1846" s="413"/>
      <c r="Q1846" s="415"/>
      <c r="R1846" s="416"/>
      <c r="S1846" s="420"/>
      <c r="T1846" s="384" ph="1"/>
      <c r="V1846" s="421"/>
      <c r="W1846" s="257"/>
      <c r="X1846" s="429"/>
      <c r="Y1846" s="257"/>
      <c r="Z1846" s="257"/>
      <c r="AC1846" s="357"/>
      <c r="AD1846" s="257"/>
      <c r="AE1846" s="245"/>
      <c r="AF1846" s="246"/>
    </row>
    <row r="1847" spans="1:32" ht="26.25">
      <c r="A1847" s="385"/>
      <c r="B1847" s="245"/>
      <c r="C1847" s="245"/>
      <c r="D1847" s="245"/>
      <c r="E1847" s="245"/>
      <c r="F1847" s="316"/>
      <c r="G1847" s="245"/>
      <c r="H1847" s="385"/>
      <c r="I1847" s="245"/>
      <c r="L1847" s="91"/>
      <c r="O1847" s="413"/>
      <c r="Q1847" s="415"/>
      <c r="S1847" s="420"/>
      <c r="T1847" s="384" ph="1"/>
      <c r="V1847" s="421"/>
      <c r="W1847" s="257"/>
      <c r="X1847" s="429"/>
      <c r="Y1847" s="257"/>
      <c r="Z1847" s="257"/>
      <c r="AC1847" s="357"/>
      <c r="AD1847" s="257"/>
      <c r="AE1847" s="245"/>
      <c r="AF1847" s="246"/>
    </row>
    <row r="1848" spans="1:32" ht="26.25">
      <c r="A1848" s="385"/>
      <c r="B1848" s="245"/>
      <c r="C1848" s="245"/>
      <c r="D1848" s="245"/>
      <c r="E1848" s="245"/>
      <c r="F1848" s="316"/>
      <c r="G1848" s="245"/>
      <c r="H1848" s="385"/>
      <c r="I1848" s="245"/>
      <c r="L1848" s="407"/>
      <c r="O1848" s="413"/>
      <c r="Q1848" s="415"/>
      <c r="R1848" s="416"/>
      <c r="S1848" s="420"/>
      <c r="T1848" s="384" ph="1"/>
      <c r="V1848" s="421"/>
      <c r="W1848" s="257"/>
      <c r="X1848" s="429"/>
      <c r="Y1848" s="257"/>
      <c r="Z1848" s="257"/>
      <c r="AC1848" s="357"/>
      <c r="AD1848" s="257"/>
      <c r="AE1848" s="245"/>
      <c r="AF1848" s="246"/>
    </row>
    <row r="1849" spans="1:32" ht="26.25">
      <c r="A1849" s="385"/>
      <c r="B1849" s="245"/>
      <c r="C1849" s="245"/>
      <c r="D1849" s="245"/>
      <c r="E1849" s="245"/>
      <c r="F1849" s="316"/>
      <c r="G1849" s="245"/>
      <c r="H1849" s="385"/>
      <c r="I1849" s="245"/>
      <c r="L1849" s="91"/>
      <c r="O1849" s="413"/>
      <c r="Q1849" s="415"/>
      <c r="R1849" s="416"/>
      <c r="S1849" s="420"/>
      <c r="T1849" s="384" ph="1"/>
      <c r="V1849" s="421"/>
      <c r="W1849" s="257"/>
      <c r="X1849" s="429"/>
      <c r="Y1849" s="257"/>
      <c r="Z1849" s="257"/>
      <c r="AC1849" s="357"/>
      <c r="AD1849" s="257"/>
      <c r="AE1849" s="245"/>
      <c r="AF1849" s="246"/>
    </row>
    <row r="1850" spans="1:32" ht="26.25">
      <c r="A1850" s="385"/>
      <c r="B1850" s="245"/>
      <c r="C1850" s="245"/>
      <c r="D1850" s="245"/>
      <c r="E1850" s="245"/>
      <c r="F1850" s="316"/>
      <c r="G1850" s="245"/>
      <c r="H1850" s="385"/>
      <c r="I1850" s="245"/>
      <c r="L1850" s="91"/>
      <c r="O1850" s="413"/>
      <c r="Q1850" s="415"/>
      <c r="R1850" s="416"/>
      <c r="S1850" s="420"/>
      <c r="T1850" s="384" ph="1"/>
      <c r="V1850" s="421"/>
      <c r="W1850" s="257"/>
      <c r="X1850" s="429"/>
      <c r="Y1850" s="257"/>
      <c r="Z1850" s="257"/>
      <c r="AC1850" s="357"/>
      <c r="AD1850" s="257"/>
      <c r="AE1850" s="245"/>
      <c r="AF1850" s="246"/>
    </row>
    <row r="1851" spans="1:32" ht="26.25">
      <c r="A1851" s="385"/>
      <c r="B1851" s="245"/>
      <c r="C1851" s="245"/>
      <c r="D1851" s="245"/>
      <c r="E1851" s="245"/>
      <c r="F1851" s="316"/>
      <c r="G1851" s="245"/>
      <c r="H1851" s="385"/>
      <c r="I1851" s="245"/>
      <c r="L1851" s="91"/>
      <c r="O1851" s="413"/>
      <c r="Q1851" s="415"/>
      <c r="R1851" s="416"/>
      <c r="S1851" s="420"/>
      <c r="T1851" s="384" ph="1"/>
      <c r="V1851" s="421"/>
      <c r="W1851" s="257"/>
      <c r="X1851" s="429"/>
      <c r="Y1851" s="257"/>
      <c r="Z1851" s="257"/>
      <c r="AC1851" s="357"/>
      <c r="AD1851" s="257"/>
      <c r="AE1851" s="245"/>
      <c r="AF1851" s="246"/>
    </row>
    <row r="1852" spans="1:32" ht="26.25">
      <c r="A1852" s="385"/>
      <c r="B1852" s="245"/>
      <c r="C1852" s="245"/>
      <c r="D1852" s="245"/>
      <c r="E1852" s="245"/>
      <c r="F1852" s="316"/>
      <c r="G1852" s="245"/>
      <c r="H1852" s="385"/>
      <c r="I1852" s="245"/>
      <c r="L1852" s="91"/>
      <c r="O1852" s="413"/>
      <c r="Q1852" s="415"/>
      <c r="R1852" s="416"/>
      <c r="S1852" s="420"/>
      <c r="T1852" s="384" ph="1"/>
      <c r="V1852" s="421"/>
      <c r="W1852" s="257"/>
      <c r="X1852" s="429"/>
      <c r="Y1852" s="257"/>
      <c r="Z1852" s="257"/>
      <c r="AC1852" s="357"/>
      <c r="AD1852" s="257"/>
      <c r="AE1852" s="245"/>
      <c r="AF1852" s="246"/>
    </row>
    <row r="1853" spans="1:32" ht="26.25">
      <c r="A1853" s="385"/>
      <c r="B1853" s="245"/>
      <c r="C1853" s="245"/>
      <c r="D1853" s="245"/>
      <c r="E1853" s="245"/>
      <c r="F1853" s="316"/>
      <c r="G1853" s="245"/>
      <c r="H1853" s="385"/>
      <c r="I1853" s="245"/>
      <c r="L1853" s="91"/>
      <c r="O1853" s="413"/>
      <c r="Q1853" s="415"/>
      <c r="R1853" s="416"/>
      <c r="S1853" s="420"/>
      <c r="T1853" s="384" ph="1"/>
      <c r="V1853" s="421"/>
      <c r="W1853" s="257"/>
      <c r="X1853" s="429"/>
      <c r="Y1853" s="257"/>
      <c r="Z1853" s="257"/>
      <c r="AC1853" s="357"/>
      <c r="AD1853" s="257"/>
      <c r="AE1853" s="245"/>
      <c r="AF1853" s="246"/>
    </row>
    <row r="1854" spans="1:32" ht="26.25">
      <c r="A1854" s="385"/>
      <c r="B1854" s="245"/>
      <c r="C1854" s="245"/>
      <c r="D1854" s="245"/>
      <c r="E1854" s="245"/>
      <c r="F1854" s="316"/>
      <c r="G1854" s="245"/>
      <c r="H1854" s="385"/>
      <c r="I1854" s="245"/>
      <c r="L1854" s="91"/>
      <c r="O1854" s="413"/>
      <c r="Q1854" s="415"/>
      <c r="R1854" s="416"/>
      <c r="S1854" s="420"/>
      <c r="T1854" s="384" ph="1"/>
      <c r="V1854" s="421"/>
      <c r="W1854" s="257"/>
      <c r="X1854" s="429"/>
      <c r="Y1854" s="257"/>
      <c r="Z1854" s="257"/>
      <c r="AC1854" s="357"/>
      <c r="AD1854" s="257"/>
      <c r="AE1854" s="245"/>
      <c r="AF1854" s="246"/>
    </row>
    <row r="1855" spans="1:32" ht="26.25">
      <c r="A1855" s="385"/>
      <c r="B1855" s="245"/>
      <c r="C1855" s="245"/>
      <c r="D1855" s="245"/>
      <c r="E1855" s="245"/>
      <c r="F1855" s="316"/>
      <c r="G1855" s="245"/>
      <c r="H1855" s="385"/>
      <c r="I1855" s="245"/>
      <c r="L1855" s="91"/>
      <c r="O1855" s="413"/>
      <c r="Q1855" s="415"/>
      <c r="R1855" s="416"/>
      <c r="S1855" s="420"/>
      <c r="T1855" s="384" ph="1"/>
      <c r="V1855" s="421"/>
      <c r="W1855" s="257"/>
      <c r="X1855" s="429"/>
      <c r="Y1855" s="257"/>
      <c r="Z1855" s="257"/>
      <c r="AC1855" s="357"/>
      <c r="AD1855" s="257"/>
      <c r="AE1855" s="245"/>
      <c r="AF1855" s="246"/>
    </row>
    <row r="1856" spans="1:32" ht="26.25">
      <c r="A1856" s="385"/>
      <c r="B1856" s="245"/>
      <c r="C1856" s="245"/>
      <c r="D1856" s="245"/>
      <c r="E1856" s="245"/>
      <c r="F1856" s="316"/>
      <c r="G1856" s="245"/>
      <c r="H1856" s="385"/>
      <c r="I1856" s="245"/>
      <c r="L1856" s="91"/>
      <c r="O1856" s="413"/>
      <c r="Q1856" s="415"/>
      <c r="S1856" s="420"/>
      <c r="T1856" s="384" ph="1"/>
      <c r="V1856" s="421"/>
      <c r="W1856" s="257"/>
      <c r="X1856" s="429"/>
      <c r="Y1856" s="257"/>
      <c r="Z1856" s="257"/>
      <c r="AC1856" s="357"/>
      <c r="AD1856" s="257"/>
      <c r="AE1856" s="245"/>
      <c r="AF1856" s="246"/>
    </row>
    <row r="1857" spans="1:32" ht="26.25">
      <c r="A1857" s="385"/>
      <c r="B1857" s="245"/>
      <c r="C1857" s="245"/>
      <c r="D1857" s="245"/>
      <c r="E1857" s="245"/>
      <c r="F1857" s="316"/>
      <c r="G1857" s="245"/>
      <c r="H1857" s="385"/>
      <c r="I1857" s="245"/>
      <c r="L1857" s="91"/>
      <c r="O1857" s="413"/>
      <c r="Q1857" s="415"/>
      <c r="R1857" s="416"/>
      <c r="S1857" s="420"/>
      <c r="T1857" s="384" ph="1"/>
      <c r="V1857" s="421"/>
      <c r="W1857" s="257"/>
      <c r="X1857" s="429"/>
      <c r="Y1857" s="257"/>
      <c r="Z1857" s="257"/>
      <c r="AC1857" s="357"/>
      <c r="AD1857" s="257"/>
      <c r="AE1857" s="245"/>
      <c r="AF1857" s="246"/>
    </row>
    <row r="1858" spans="1:32" ht="26.25">
      <c r="A1858" s="385"/>
      <c r="B1858" s="245"/>
      <c r="C1858" s="245"/>
      <c r="D1858" s="245"/>
      <c r="E1858" s="245"/>
      <c r="F1858" s="316"/>
      <c r="G1858" s="245"/>
      <c r="H1858" s="385"/>
      <c r="I1858" s="245"/>
      <c r="L1858" s="91"/>
      <c r="O1858" s="413"/>
      <c r="Q1858" s="415"/>
      <c r="R1858" s="416"/>
      <c r="S1858" s="420"/>
      <c r="T1858" s="384" ph="1"/>
      <c r="V1858" s="421"/>
      <c r="W1858" s="257"/>
      <c r="X1858" s="429"/>
      <c r="Y1858" s="257"/>
      <c r="Z1858" s="257"/>
      <c r="AC1858" s="357"/>
      <c r="AD1858" s="257"/>
      <c r="AE1858" s="245"/>
      <c r="AF1858" s="246"/>
    </row>
    <row r="1859" spans="1:32" ht="26.25">
      <c r="A1859" s="385"/>
      <c r="B1859" s="245"/>
      <c r="C1859" s="245"/>
      <c r="D1859" s="245"/>
      <c r="E1859" s="245"/>
      <c r="F1859" s="316"/>
      <c r="G1859" s="245"/>
      <c r="H1859" s="385"/>
      <c r="I1859" s="245"/>
      <c r="L1859" s="91"/>
      <c r="O1859" s="413"/>
      <c r="Q1859" s="415"/>
      <c r="R1859" s="416"/>
      <c r="S1859" s="420"/>
      <c r="T1859" s="384" ph="1"/>
      <c r="V1859" s="421"/>
      <c r="W1859" s="257"/>
      <c r="X1859" s="429"/>
      <c r="Y1859" s="257"/>
      <c r="Z1859" s="257"/>
      <c r="AC1859" s="357"/>
      <c r="AD1859" s="257"/>
      <c r="AE1859" s="245"/>
      <c r="AF1859" s="246"/>
    </row>
    <row r="1860" spans="1:32" ht="26.25">
      <c r="A1860" s="385"/>
      <c r="B1860" s="245"/>
      <c r="C1860" s="245"/>
      <c r="D1860" s="245"/>
      <c r="E1860" s="245"/>
      <c r="F1860" s="316"/>
      <c r="G1860" s="245"/>
      <c r="H1860" s="385"/>
      <c r="I1860" s="245"/>
      <c r="L1860" s="91"/>
      <c r="O1860" s="413"/>
      <c r="Q1860" s="415"/>
      <c r="R1860" s="416"/>
      <c r="S1860" s="420"/>
      <c r="T1860" s="384" ph="1"/>
      <c r="V1860" s="421"/>
      <c r="W1860" s="257"/>
      <c r="X1860" s="429"/>
      <c r="Y1860" s="257"/>
      <c r="Z1860" s="257"/>
      <c r="AC1860" s="357"/>
      <c r="AD1860" s="257"/>
      <c r="AE1860" s="245"/>
      <c r="AF1860" s="246"/>
    </row>
    <row r="1861" spans="1:32" ht="26.25">
      <c r="A1861" s="385"/>
      <c r="B1861" s="245"/>
      <c r="C1861" s="245"/>
      <c r="D1861" s="245"/>
      <c r="E1861" s="245"/>
      <c r="F1861" s="316"/>
      <c r="G1861" s="245"/>
      <c r="H1861" s="385"/>
      <c r="I1861" s="245"/>
      <c r="L1861" s="91"/>
      <c r="O1861" s="413"/>
      <c r="Q1861" s="415"/>
      <c r="R1861" s="416"/>
      <c r="S1861" s="420"/>
      <c r="T1861" s="384" ph="1"/>
      <c r="V1861" s="421"/>
      <c r="W1861" s="257"/>
      <c r="X1861" s="429"/>
      <c r="Y1861" s="257"/>
      <c r="Z1861" s="257"/>
      <c r="AC1861" s="357"/>
      <c r="AD1861" s="257"/>
      <c r="AE1861" s="245"/>
      <c r="AF1861" s="246"/>
    </row>
    <row r="1862" spans="1:32" ht="26.25">
      <c r="A1862" s="385"/>
      <c r="B1862" s="245"/>
      <c r="C1862" s="245"/>
      <c r="D1862" s="245"/>
      <c r="E1862" s="245"/>
      <c r="F1862" s="316"/>
      <c r="G1862" s="245"/>
      <c r="H1862" s="385"/>
      <c r="I1862" s="245"/>
      <c r="L1862" s="91"/>
      <c r="O1862" s="413"/>
      <c r="Q1862" s="415"/>
      <c r="R1862" s="416"/>
      <c r="S1862" s="420"/>
      <c r="T1862" s="384" ph="1"/>
      <c r="V1862" s="421"/>
      <c r="W1862" s="257"/>
      <c r="X1862" s="429"/>
      <c r="Y1862" s="257"/>
      <c r="Z1862" s="257"/>
      <c r="AC1862" s="357"/>
      <c r="AD1862" s="257"/>
      <c r="AE1862" s="245"/>
      <c r="AF1862" s="246"/>
    </row>
    <row r="1863" spans="1:32" ht="26.25">
      <c r="A1863" s="385"/>
      <c r="B1863" s="245"/>
      <c r="C1863" s="245"/>
      <c r="D1863" s="245"/>
      <c r="E1863" s="245"/>
      <c r="F1863" s="316"/>
      <c r="G1863" s="245"/>
      <c r="H1863" s="385"/>
      <c r="I1863" s="245"/>
      <c r="L1863" s="79"/>
      <c r="O1863" s="413"/>
      <c r="Q1863" s="415"/>
      <c r="R1863" s="416"/>
      <c r="S1863" s="420"/>
      <c r="T1863" s="384" ph="1"/>
      <c r="V1863" s="421"/>
      <c r="W1863" s="257"/>
      <c r="X1863" s="429"/>
      <c r="Y1863" s="257"/>
      <c r="Z1863" s="257"/>
      <c r="AC1863" s="357"/>
      <c r="AD1863" s="257"/>
      <c r="AE1863" s="245"/>
      <c r="AF1863" s="246"/>
    </row>
    <row r="1864" spans="1:32" ht="26.25">
      <c r="A1864" s="385"/>
      <c r="B1864" s="245"/>
      <c r="C1864" s="245"/>
      <c r="D1864" s="245"/>
      <c r="E1864" s="245"/>
      <c r="F1864" s="316"/>
      <c r="G1864" s="245"/>
      <c r="H1864" s="385"/>
      <c r="I1864" s="245"/>
      <c r="L1864" s="91"/>
      <c r="O1864" s="413"/>
      <c r="Q1864" s="415"/>
      <c r="R1864" s="416"/>
      <c r="S1864" s="420"/>
      <c r="T1864" s="384" ph="1"/>
      <c r="V1864" s="421"/>
      <c r="W1864" s="257"/>
      <c r="X1864" s="429"/>
      <c r="Y1864" s="257"/>
      <c r="Z1864" s="257"/>
      <c r="AC1864" s="357"/>
      <c r="AD1864" s="257"/>
      <c r="AE1864" s="245"/>
      <c r="AF1864" s="246"/>
    </row>
    <row r="1865" spans="1:32" ht="26.25">
      <c r="A1865" s="385"/>
      <c r="B1865" s="245"/>
      <c r="C1865" s="245"/>
      <c r="D1865" s="245"/>
      <c r="E1865" s="245"/>
      <c r="F1865" s="316"/>
      <c r="G1865" s="245"/>
      <c r="H1865" s="385"/>
      <c r="I1865" s="245"/>
      <c r="L1865" s="91"/>
      <c r="O1865" s="413"/>
      <c r="Q1865" s="415"/>
      <c r="R1865" s="416"/>
      <c r="S1865" s="420"/>
      <c r="T1865" s="384" ph="1"/>
      <c r="V1865" s="421"/>
      <c r="W1865" s="257"/>
      <c r="X1865" s="429"/>
      <c r="Y1865" s="257"/>
      <c r="Z1865" s="257"/>
      <c r="AC1865" s="357"/>
      <c r="AD1865" s="257"/>
      <c r="AE1865" s="245"/>
      <c r="AF1865" s="246"/>
    </row>
    <row r="1866" spans="1:32" ht="26.25">
      <c r="A1866" s="385"/>
      <c r="B1866" s="245"/>
      <c r="C1866" s="245"/>
      <c r="D1866" s="245"/>
      <c r="E1866" s="245"/>
      <c r="F1866" s="316"/>
      <c r="G1866" s="245"/>
      <c r="H1866" s="385"/>
      <c r="I1866" s="245"/>
      <c r="L1866" s="91"/>
      <c r="O1866" s="413"/>
      <c r="Q1866" s="415"/>
      <c r="R1866" s="416"/>
      <c r="S1866" s="420"/>
      <c r="T1866" s="384" ph="1"/>
      <c r="V1866" s="421"/>
      <c r="W1866" s="257"/>
      <c r="X1866" s="429"/>
      <c r="Y1866" s="257"/>
      <c r="Z1866" s="257"/>
      <c r="AC1866" s="357"/>
      <c r="AD1866" s="257"/>
      <c r="AE1866" s="245"/>
      <c r="AF1866" s="246"/>
    </row>
    <row r="1867" spans="1:32" ht="26.25">
      <c r="A1867" s="385"/>
      <c r="B1867" s="245"/>
      <c r="C1867" s="245"/>
      <c r="D1867" s="245"/>
      <c r="E1867" s="245"/>
      <c r="F1867" s="316"/>
      <c r="G1867" s="245"/>
      <c r="H1867" s="385"/>
      <c r="I1867" s="245"/>
      <c r="L1867" s="91"/>
      <c r="O1867" s="413"/>
      <c r="Q1867" s="415"/>
      <c r="R1867" s="416"/>
      <c r="S1867" s="420"/>
      <c r="T1867" s="384" ph="1"/>
      <c r="V1867" s="421"/>
      <c r="W1867" s="257"/>
      <c r="X1867" s="429"/>
      <c r="Y1867" s="257"/>
      <c r="Z1867" s="257"/>
      <c r="AC1867" s="357"/>
      <c r="AD1867" s="257"/>
      <c r="AE1867" s="245"/>
      <c r="AF1867" s="246"/>
    </row>
    <row r="1868" spans="1:32" ht="26.25">
      <c r="A1868" s="385"/>
      <c r="B1868" s="245"/>
      <c r="C1868" s="245"/>
      <c r="D1868" s="245"/>
      <c r="E1868" s="245"/>
      <c r="F1868" s="316"/>
      <c r="G1868" s="245"/>
      <c r="H1868" s="385"/>
      <c r="I1868" s="245"/>
      <c r="L1868" s="91"/>
      <c r="O1868" s="413"/>
      <c r="Q1868" s="415"/>
      <c r="R1868" s="416"/>
      <c r="S1868" s="420"/>
      <c r="T1868" s="384" ph="1"/>
      <c r="V1868" s="421"/>
      <c r="W1868" s="257"/>
      <c r="X1868" s="429"/>
      <c r="Y1868" s="257"/>
      <c r="Z1868" s="257"/>
      <c r="AC1868" s="357"/>
      <c r="AD1868" s="257"/>
      <c r="AE1868" s="245"/>
      <c r="AF1868" s="246"/>
    </row>
    <row r="1869" spans="1:32" ht="26.25">
      <c r="A1869" s="385"/>
      <c r="B1869" s="245"/>
      <c r="C1869" s="245"/>
      <c r="D1869" s="245"/>
      <c r="E1869" s="245"/>
      <c r="F1869" s="316"/>
      <c r="G1869" s="245"/>
      <c r="H1869" s="385"/>
      <c r="I1869" s="245"/>
      <c r="L1869" s="91"/>
      <c r="O1869" s="413"/>
      <c r="Q1869" s="415"/>
      <c r="R1869" s="416"/>
      <c r="S1869" s="420"/>
      <c r="T1869" s="384" ph="1"/>
      <c r="V1869" s="421"/>
      <c r="W1869" s="257"/>
      <c r="X1869" s="429"/>
      <c r="Y1869" s="257"/>
      <c r="Z1869" s="257"/>
      <c r="AC1869" s="357"/>
      <c r="AD1869" s="257"/>
      <c r="AE1869" s="245"/>
      <c r="AF1869" s="246"/>
    </row>
    <row r="1870" spans="1:32" ht="26.25">
      <c r="A1870" s="385"/>
      <c r="B1870" s="245"/>
      <c r="C1870" s="245"/>
      <c r="D1870" s="245"/>
      <c r="E1870" s="245"/>
      <c r="F1870" s="316"/>
      <c r="G1870" s="245"/>
      <c r="H1870" s="385"/>
      <c r="I1870" s="245"/>
      <c r="L1870" s="91"/>
      <c r="O1870" s="413"/>
      <c r="Q1870" s="415"/>
      <c r="R1870" s="416"/>
      <c r="S1870" s="420"/>
      <c r="T1870" s="384" ph="1"/>
      <c r="V1870" s="421"/>
      <c r="W1870" s="257"/>
      <c r="X1870" s="429"/>
      <c r="Y1870" s="257"/>
      <c r="Z1870" s="257"/>
      <c r="AC1870" s="357"/>
      <c r="AD1870" s="257"/>
      <c r="AE1870" s="245"/>
      <c r="AF1870" s="246"/>
    </row>
    <row r="1871" spans="1:32" ht="26.25">
      <c r="A1871" s="385"/>
      <c r="B1871" s="245"/>
      <c r="C1871" s="245"/>
      <c r="D1871" s="245"/>
      <c r="E1871" s="245"/>
      <c r="F1871" s="316"/>
      <c r="G1871" s="245"/>
      <c r="H1871" s="385"/>
      <c r="I1871" s="245"/>
      <c r="L1871" s="91"/>
      <c r="O1871" s="413"/>
      <c r="Q1871" s="415"/>
      <c r="R1871" s="416"/>
      <c r="S1871" s="420"/>
      <c r="T1871" s="384" ph="1"/>
      <c r="V1871" s="421"/>
      <c r="W1871" s="257"/>
      <c r="X1871" s="429"/>
      <c r="Y1871" s="257"/>
      <c r="Z1871" s="257"/>
      <c r="AC1871" s="357"/>
      <c r="AD1871" s="257"/>
      <c r="AE1871" s="245"/>
      <c r="AF1871" s="246"/>
    </row>
    <row r="1872" spans="1:32" ht="26.25">
      <c r="A1872" s="385"/>
      <c r="B1872" s="245"/>
      <c r="C1872" s="245"/>
      <c r="D1872" s="245"/>
      <c r="E1872" s="245"/>
      <c r="F1872" s="316"/>
      <c r="G1872" s="245"/>
      <c r="H1872" s="385"/>
      <c r="I1872" s="245"/>
      <c r="L1872" s="91"/>
      <c r="O1872" s="413"/>
      <c r="Q1872" s="415"/>
      <c r="R1872" s="416"/>
      <c r="S1872" s="420"/>
      <c r="T1872" s="384" ph="1"/>
      <c r="V1872" s="421"/>
      <c r="W1872" s="257"/>
      <c r="X1872" s="429"/>
      <c r="Y1872" s="257"/>
      <c r="Z1872" s="257"/>
      <c r="AC1872" s="357"/>
      <c r="AD1872" s="257"/>
      <c r="AE1872" s="245"/>
      <c r="AF1872" s="246"/>
    </row>
    <row r="1873" spans="1:32" ht="26.25">
      <c r="A1873" s="385"/>
      <c r="B1873" s="245"/>
      <c r="C1873" s="245"/>
      <c r="D1873" s="245"/>
      <c r="E1873" s="245"/>
      <c r="F1873" s="316"/>
      <c r="G1873" s="245"/>
      <c r="H1873" s="385"/>
      <c r="I1873" s="245"/>
      <c r="L1873" s="91"/>
      <c r="O1873" s="413"/>
      <c r="Q1873" s="415"/>
      <c r="R1873" s="416"/>
      <c r="S1873" s="420"/>
      <c r="T1873" s="384" ph="1"/>
      <c r="V1873" s="421"/>
      <c r="W1873" s="257"/>
      <c r="X1873" s="429"/>
      <c r="Y1873" s="257"/>
      <c r="Z1873" s="257"/>
      <c r="AC1873" s="357"/>
      <c r="AD1873" s="257"/>
      <c r="AE1873" s="245"/>
      <c r="AF1873" s="246"/>
    </row>
    <row r="1874" spans="1:32" ht="26.25">
      <c r="A1874" s="385"/>
      <c r="B1874" s="245"/>
      <c r="C1874" s="245"/>
      <c r="D1874" s="245"/>
      <c r="E1874" s="245"/>
      <c r="F1874" s="316"/>
      <c r="G1874" s="245"/>
      <c r="H1874" s="385"/>
      <c r="I1874" s="245"/>
      <c r="L1874" s="91"/>
      <c r="O1874" s="413"/>
      <c r="Q1874" s="415"/>
      <c r="R1874" s="416"/>
      <c r="S1874" s="420"/>
      <c r="T1874" s="384" ph="1"/>
      <c r="V1874" s="421"/>
      <c r="W1874" s="257"/>
      <c r="X1874" s="429"/>
      <c r="Y1874" s="257"/>
      <c r="Z1874" s="257"/>
      <c r="AC1874" s="357"/>
      <c r="AD1874" s="257"/>
      <c r="AE1874" s="245"/>
      <c r="AF1874" s="246"/>
    </row>
    <row r="1875" spans="1:32" ht="26.25">
      <c r="A1875" s="385"/>
      <c r="B1875" s="245"/>
      <c r="C1875" s="245"/>
      <c r="D1875" s="245"/>
      <c r="E1875" s="245"/>
      <c r="F1875" s="316"/>
      <c r="G1875" s="245"/>
      <c r="H1875" s="385"/>
      <c r="I1875" s="245"/>
      <c r="L1875" s="91"/>
      <c r="O1875" s="413"/>
      <c r="Q1875" s="415"/>
      <c r="R1875" s="416"/>
      <c r="S1875" s="420"/>
      <c r="T1875" s="384" ph="1"/>
      <c r="V1875" s="421"/>
      <c r="W1875" s="257"/>
      <c r="X1875" s="429"/>
      <c r="Y1875" s="257"/>
      <c r="Z1875" s="257"/>
      <c r="AC1875" s="357"/>
      <c r="AD1875" s="257"/>
      <c r="AE1875" s="245"/>
      <c r="AF1875" s="246"/>
    </row>
    <row r="1876" spans="1:32" ht="26.25">
      <c r="A1876" s="385"/>
      <c r="B1876" s="245"/>
      <c r="C1876" s="245"/>
      <c r="D1876" s="245"/>
      <c r="E1876" s="245"/>
      <c r="F1876" s="316"/>
      <c r="G1876" s="245"/>
      <c r="H1876" s="385"/>
      <c r="I1876" s="245"/>
      <c r="L1876" s="91"/>
      <c r="O1876" s="413"/>
      <c r="Q1876" s="415"/>
      <c r="R1876" s="416"/>
      <c r="S1876" s="420"/>
      <c r="T1876" s="384" ph="1"/>
      <c r="V1876" s="421"/>
      <c r="W1876" s="257"/>
      <c r="X1876" s="429"/>
      <c r="Y1876" s="257"/>
      <c r="Z1876" s="257"/>
      <c r="AC1876" s="357"/>
      <c r="AD1876" s="257"/>
      <c r="AE1876" s="245"/>
      <c r="AF1876" s="246"/>
    </row>
    <row r="1877" spans="1:32" ht="26.25">
      <c r="A1877" s="385"/>
      <c r="B1877" s="245"/>
      <c r="C1877" s="245"/>
      <c r="D1877" s="245"/>
      <c r="E1877" s="245"/>
      <c r="F1877" s="316"/>
      <c r="G1877" s="245"/>
      <c r="H1877" s="385"/>
      <c r="I1877" s="245"/>
      <c r="L1877" s="407"/>
      <c r="O1877" s="413"/>
      <c r="Q1877" s="415"/>
      <c r="R1877" s="416"/>
      <c r="S1877" s="420"/>
      <c r="T1877" s="384" ph="1"/>
      <c r="V1877" s="421"/>
      <c r="W1877" s="257"/>
      <c r="X1877" s="429"/>
      <c r="Y1877" s="257"/>
      <c r="Z1877" s="257"/>
      <c r="AC1877" s="357"/>
      <c r="AD1877" s="257"/>
      <c r="AE1877" s="245"/>
      <c r="AF1877" s="246"/>
    </row>
    <row r="1878" spans="1:32" ht="26.25">
      <c r="A1878" s="385"/>
      <c r="B1878" s="245"/>
      <c r="C1878" s="245"/>
      <c r="D1878" s="245"/>
      <c r="E1878" s="245"/>
      <c r="F1878" s="316"/>
      <c r="G1878" s="245"/>
      <c r="H1878" s="385"/>
      <c r="I1878" s="245"/>
      <c r="L1878" s="91"/>
      <c r="O1878" s="413"/>
      <c r="Q1878" s="415"/>
      <c r="R1878" s="416"/>
      <c r="S1878" s="420"/>
      <c r="T1878" s="384" ph="1"/>
      <c r="V1878" s="421"/>
      <c r="W1878" s="257"/>
      <c r="X1878" s="429"/>
      <c r="Y1878" s="257"/>
      <c r="Z1878" s="257"/>
      <c r="AC1878" s="357"/>
      <c r="AD1878" s="257"/>
      <c r="AE1878" s="245"/>
      <c r="AF1878" s="246"/>
    </row>
    <row r="1879" spans="1:32" ht="26.25">
      <c r="A1879" s="385"/>
      <c r="B1879" s="245"/>
      <c r="C1879" s="245"/>
      <c r="D1879" s="245"/>
      <c r="E1879" s="245"/>
      <c r="F1879" s="316"/>
      <c r="G1879" s="245"/>
      <c r="H1879" s="385"/>
      <c r="I1879" s="245"/>
      <c r="L1879" s="91"/>
      <c r="O1879" s="413"/>
      <c r="Q1879" s="415"/>
      <c r="R1879" s="416"/>
      <c r="S1879" s="420"/>
      <c r="T1879" s="384" ph="1"/>
      <c r="V1879" s="421"/>
      <c r="W1879" s="257"/>
      <c r="X1879" s="429"/>
      <c r="Y1879" s="257"/>
      <c r="Z1879" s="257"/>
      <c r="AC1879" s="357"/>
      <c r="AD1879" s="257"/>
      <c r="AE1879" s="245"/>
      <c r="AF1879" s="246"/>
    </row>
    <row r="1880" spans="1:32" ht="26.25">
      <c r="A1880" s="385"/>
      <c r="B1880" s="245"/>
      <c r="C1880" s="245"/>
      <c r="D1880" s="245"/>
      <c r="E1880" s="245"/>
      <c r="F1880" s="316"/>
      <c r="G1880" s="245"/>
      <c r="H1880" s="385"/>
      <c r="I1880" s="245"/>
      <c r="L1880" s="91"/>
      <c r="O1880" s="413"/>
      <c r="Q1880" s="415"/>
      <c r="R1880" s="416"/>
      <c r="S1880" s="420"/>
      <c r="T1880" s="384" ph="1"/>
      <c r="V1880" s="421"/>
      <c r="W1880" s="257"/>
      <c r="X1880" s="429"/>
      <c r="Y1880" s="257"/>
      <c r="Z1880" s="257"/>
      <c r="AC1880" s="357"/>
      <c r="AD1880" s="257"/>
      <c r="AE1880" s="245"/>
      <c r="AF1880" s="246"/>
    </row>
    <row r="1881" spans="1:32" ht="26.25">
      <c r="A1881" s="385"/>
      <c r="B1881" s="245"/>
      <c r="C1881" s="245"/>
      <c r="D1881" s="245"/>
      <c r="E1881" s="245"/>
      <c r="F1881" s="316"/>
      <c r="G1881" s="245"/>
      <c r="H1881" s="385"/>
      <c r="I1881" s="245"/>
      <c r="L1881" s="91"/>
      <c r="O1881" s="413"/>
      <c r="Q1881" s="415"/>
      <c r="R1881" s="416"/>
      <c r="S1881" s="420"/>
      <c r="T1881" s="384" ph="1"/>
      <c r="V1881" s="421"/>
      <c r="W1881" s="257"/>
      <c r="X1881" s="429"/>
      <c r="Y1881" s="257"/>
      <c r="Z1881" s="257"/>
      <c r="AC1881" s="357"/>
      <c r="AD1881" s="257"/>
      <c r="AE1881" s="245"/>
      <c r="AF1881" s="246"/>
    </row>
    <row r="1882" spans="1:32" ht="26.25">
      <c r="A1882" s="385"/>
      <c r="B1882" s="245"/>
      <c r="C1882" s="245"/>
      <c r="D1882" s="245"/>
      <c r="E1882" s="245"/>
      <c r="F1882" s="316"/>
      <c r="G1882" s="245"/>
      <c r="H1882" s="385"/>
      <c r="I1882" s="245"/>
      <c r="L1882" s="91"/>
      <c r="O1882" s="413"/>
      <c r="Q1882" s="415"/>
      <c r="R1882" s="416"/>
      <c r="S1882" s="420"/>
      <c r="T1882" s="384" ph="1"/>
      <c r="V1882" s="421"/>
      <c r="W1882" s="257"/>
      <c r="X1882" s="429"/>
      <c r="Y1882" s="257"/>
      <c r="Z1882" s="257"/>
      <c r="AC1882" s="357"/>
      <c r="AD1882" s="257"/>
      <c r="AE1882" s="245"/>
      <c r="AF1882" s="246"/>
    </row>
    <row r="1883" spans="1:32" ht="26.25">
      <c r="A1883" s="385"/>
      <c r="B1883" s="245"/>
      <c r="C1883" s="245"/>
      <c r="D1883" s="245"/>
      <c r="E1883" s="245"/>
      <c r="F1883" s="316"/>
      <c r="G1883" s="245"/>
      <c r="H1883" s="385"/>
      <c r="I1883" s="245"/>
      <c r="L1883" s="91"/>
      <c r="O1883" s="413"/>
      <c r="Q1883" s="415"/>
      <c r="R1883" s="416"/>
      <c r="S1883" s="420"/>
      <c r="T1883" s="384" ph="1"/>
      <c r="V1883" s="421"/>
      <c r="W1883" s="257"/>
      <c r="X1883" s="429"/>
      <c r="Y1883" s="257"/>
      <c r="Z1883" s="257"/>
      <c r="AC1883" s="357"/>
      <c r="AD1883" s="257"/>
      <c r="AE1883" s="245"/>
      <c r="AF1883" s="246"/>
    </row>
    <row r="1884" spans="1:32" ht="26.25">
      <c r="A1884" s="385"/>
      <c r="B1884" s="245"/>
      <c r="C1884" s="245"/>
      <c r="D1884" s="245"/>
      <c r="E1884" s="245"/>
      <c r="F1884" s="316"/>
      <c r="G1884" s="245"/>
      <c r="H1884" s="385"/>
      <c r="I1884" s="245"/>
      <c r="L1884" s="91"/>
      <c r="O1884" s="413"/>
      <c r="Q1884" s="415"/>
      <c r="R1884" s="416"/>
      <c r="S1884" s="420"/>
      <c r="T1884" s="384" ph="1"/>
      <c r="V1884" s="421"/>
      <c r="W1884" s="257"/>
      <c r="X1884" s="429"/>
      <c r="Y1884" s="257"/>
      <c r="Z1884" s="257"/>
      <c r="AC1884" s="357"/>
      <c r="AD1884" s="257"/>
      <c r="AE1884" s="245"/>
      <c r="AF1884" s="246"/>
    </row>
    <row r="1885" spans="1:32" ht="26.25">
      <c r="A1885" s="385"/>
      <c r="B1885" s="245"/>
      <c r="C1885" s="245"/>
      <c r="D1885" s="245"/>
      <c r="E1885" s="245"/>
      <c r="F1885" s="316"/>
      <c r="G1885" s="245"/>
      <c r="H1885" s="385"/>
      <c r="I1885" s="245"/>
      <c r="L1885" s="91"/>
      <c r="O1885" s="413"/>
      <c r="Q1885" s="415"/>
      <c r="R1885" s="416"/>
      <c r="S1885" s="420"/>
      <c r="T1885" s="384" ph="1"/>
      <c r="V1885" s="421"/>
      <c r="W1885" s="257"/>
      <c r="X1885" s="429"/>
      <c r="Y1885" s="257"/>
      <c r="Z1885" s="257"/>
      <c r="AC1885" s="357"/>
      <c r="AD1885" s="257"/>
      <c r="AE1885" s="245"/>
      <c r="AF1885" s="246"/>
    </row>
    <row r="1886" spans="1:32" ht="26.25">
      <c r="A1886" s="385"/>
      <c r="B1886" s="245"/>
      <c r="C1886" s="245"/>
      <c r="D1886" s="245"/>
      <c r="E1886" s="245"/>
      <c r="F1886" s="316"/>
      <c r="G1886" s="245"/>
      <c r="H1886" s="385"/>
      <c r="I1886" s="245"/>
      <c r="L1886" s="91"/>
      <c r="O1886" s="413"/>
      <c r="Q1886" s="415"/>
      <c r="R1886" s="416"/>
      <c r="S1886" s="420"/>
      <c r="T1886" s="384" ph="1"/>
      <c r="V1886" s="421"/>
      <c r="W1886" s="257"/>
      <c r="X1886" s="429"/>
      <c r="Y1886" s="257"/>
      <c r="Z1886" s="257"/>
      <c r="AC1886" s="357"/>
      <c r="AD1886" s="257"/>
      <c r="AE1886" s="245"/>
      <c r="AF1886" s="246"/>
    </row>
    <row r="1887" spans="1:32" ht="26.25">
      <c r="A1887" s="385"/>
      <c r="B1887" s="245"/>
      <c r="C1887" s="245"/>
      <c r="D1887" s="245"/>
      <c r="E1887" s="245"/>
      <c r="F1887" s="316"/>
      <c r="G1887" s="245"/>
      <c r="H1887" s="385"/>
      <c r="I1887" s="245"/>
      <c r="L1887" s="91"/>
      <c r="O1887" s="413"/>
      <c r="Q1887" s="415"/>
      <c r="R1887" s="416"/>
      <c r="S1887" s="420"/>
      <c r="T1887" s="384" ph="1"/>
      <c r="V1887" s="421"/>
      <c r="W1887" s="257"/>
      <c r="X1887" s="429"/>
      <c r="Y1887" s="257"/>
      <c r="Z1887" s="257"/>
      <c r="AC1887" s="357"/>
      <c r="AD1887" s="257"/>
      <c r="AE1887" s="245"/>
      <c r="AF1887" s="246"/>
    </row>
    <row r="1888" spans="1:32" ht="26.25">
      <c r="A1888" s="385"/>
      <c r="B1888" s="245"/>
      <c r="C1888" s="245"/>
      <c r="D1888" s="245"/>
      <c r="E1888" s="245"/>
      <c r="F1888" s="316"/>
      <c r="G1888" s="245"/>
      <c r="H1888" s="385"/>
      <c r="I1888" s="245"/>
      <c r="L1888" s="407"/>
      <c r="O1888" s="413"/>
      <c r="Q1888" s="415"/>
      <c r="R1888" s="416"/>
      <c r="S1888" s="420"/>
      <c r="T1888" s="384" ph="1"/>
      <c r="V1888" s="421"/>
      <c r="W1888" s="257"/>
      <c r="X1888" s="429"/>
      <c r="Y1888" s="257"/>
      <c r="Z1888" s="257"/>
      <c r="AC1888" s="357"/>
      <c r="AD1888" s="257"/>
      <c r="AE1888" s="245"/>
      <c r="AF1888" s="246"/>
    </row>
    <row r="1889" spans="1:32" ht="26.25">
      <c r="A1889" s="385"/>
      <c r="B1889" s="245"/>
      <c r="C1889" s="245"/>
      <c r="D1889" s="245"/>
      <c r="E1889" s="245"/>
      <c r="F1889" s="316"/>
      <c r="G1889" s="245"/>
      <c r="H1889" s="385"/>
      <c r="I1889" s="245"/>
      <c r="L1889" s="91"/>
      <c r="O1889" s="413"/>
      <c r="Q1889" s="415"/>
      <c r="R1889" s="416"/>
      <c r="S1889" s="420"/>
      <c r="T1889" s="384" ph="1"/>
      <c r="V1889" s="421"/>
      <c r="W1889" s="257"/>
      <c r="X1889" s="429"/>
      <c r="Y1889" s="257"/>
      <c r="Z1889" s="257"/>
      <c r="AC1889" s="357"/>
      <c r="AD1889" s="257"/>
      <c r="AE1889" s="245"/>
      <c r="AF1889" s="246"/>
    </row>
    <row r="1890" spans="1:32" ht="26.25">
      <c r="A1890" s="385"/>
      <c r="B1890" s="245"/>
      <c r="C1890" s="245"/>
      <c r="D1890" s="245"/>
      <c r="E1890" s="245"/>
      <c r="F1890" s="316"/>
      <c r="G1890" s="245"/>
      <c r="H1890" s="385"/>
      <c r="I1890" s="245"/>
      <c r="L1890" s="91"/>
      <c r="O1890" s="413"/>
      <c r="Q1890" s="415"/>
      <c r="R1890" s="416"/>
      <c r="S1890" s="420"/>
      <c r="T1890" s="384" ph="1"/>
      <c r="V1890" s="421"/>
      <c r="W1890" s="257"/>
      <c r="X1890" s="429"/>
      <c r="Y1890" s="257"/>
      <c r="Z1890" s="257"/>
      <c r="AC1890" s="357"/>
      <c r="AD1890" s="257"/>
      <c r="AE1890" s="245"/>
      <c r="AF1890" s="246"/>
    </row>
    <row r="1891" spans="1:32" ht="26.25">
      <c r="A1891" s="385"/>
      <c r="B1891" s="245"/>
      <c r="C1891" s="245"/>
      <c r="D1891" s="245"/>
      <c r="E1891" s="245"/>
      <c r="F1891" s="316"/>
      <c r="G1891" s="245"/>
      <c r="H1891" s="385"/>
      <c r="I1891" s="245"/>
      <c r="L1891" s="407"/>
      <c r="O1891" s="413"/>
      <c r="Q1891" s="415"/>
      <c r="R1891" s="416"/>
      <c r="S1891" s="420"/>
      <c r="T1891" s="384" ph="1"/>
      <c r="V1891" s="421"/>
      <c r="W1891" s="257"/>
      <c r="X1891" s="429"/>
      <c r="Y1891" s="257"/>
      <c r="Z1891" s="257"/>
      <c r="AC1891" s="357"/>
      <c r="AD1891" s="257"/>
      <c r="AE1891" s="245"/>
      <c r="AF1891" s="246"/>
    </row>
    <row r="1892" spans="1:32" ht="26.25">
      <c r="A1892" s="385"/>
      <c r="B1892" s="245"/>
      <c r="C1892" s="245"/>
      <c r="D1892" s="245"/>
      <c r="E1892" s="245"/>
      <c r="F1892" s="316"/>
      <c r="G1892" s="245"/>
      <c r="H1892" s="385"/>
      <c r="I1892" s="245"/>
      <c r="L1892" s="91"/>
      <c r="O1892" s="413"/>
      <c r="Q1892" s="415"/>
      <c r="R1892" s="416"/>
      <c r="S1892" s="420"/>
      <c r="T1892" s="384" ph="1"/>
      <c r="V1892" s="421"/>
      <c r="W1892" s="257"/>
      <c r="X1892" s="429"/>
      <c r="Y1892" s="257"/>
      <c r="Z1892" s="257"/>
      <c r="AC1892" s="357"/>
      <c r="AD1892" s="257"/>
      <c r="AE1892" s="245"/>
      <c r="AF1892" s="246"/>
    </row>
    <row r="1893" spans="1:32" ht="26.25">
      <c r="A1893" s="385"/>
      <c r="B1893" s="245"/>
      <c r="C1893" s="245"/>
      <c r="D1893" s="245"/>
      <c r="E1893" s="245"/>
      <c r="F1893" s="316"/>
      <c r="G1893" s="245"/>
      <c r="H1893" s="385"/>
      <c r="I1893" s="245"/>
      <c r="L1893" s="91"/>
      <c r="O1893" s="413"/>
      <c r="Q1893" s="415"/>
      <c r="R1893" s="416"/>
      <c r="S1893" s="420"/>
      <c r="T1893" s="384" ph="1"/>
      <c r="V1893" s="421"/>
      <c r="W1893" s="257"/>
      <c r="X1893" s="429"/>
      <c r="Y1893" s="257"/>
      <c r="Z1893" s="257"/>
      <c r="AC1893" s="357"/>
      <c r="AD1893" s="257"/>
      <c r="AE1893" s="245"/>
      <c r="AF1893" s="246"/>
    </row>
    <row r="1894" spans="1:32" ht="26.25">
      <c r="A1894" s="385"/>
      <c r="B1894" s="245"/>
      <c r="C1894" s="245"/>
      <c r="D1894" s="245"/>
      <c r="E1894" s="245"/>
      <c r="F1894" s="316"/>
      <c r="G1894" s="245"/>
      <c r="H1894" s="385"/>
      <c r="I1894" s="245"/>
      <c r="L1894" s="91"/>
      <c r="O1894" s="413"/>
      <c r="Q1894" s="415"/>
      <c r="R1894" s="416"/>
      <c r="S1894" s="420"/>
      <c r="T1894" s="384" ph="1"/>
      <c r="V1894" s="421"/>
      <c r="W1894" s="257"/>
      <c r="X1894" s="429"/>
      <c r="Y1894" s="257"/>
      <c r="Z1894" s="257"/>
      <c r="AC1894" s="357"/>
      <c r="AD1894" s="257"/>
      <c r="AE1894" s="245"/>
      <c r="AF1894" s="246"/>
    </row>
    <row r="1895" spans="1:32" ht="26.25">
      <c r="A1895" s="385"/>
      <c r="B1895" s="245"/>
      <c r="C1895" s="245"/>
      <c r="D1895" s="245"/>
      <c r="E1895" s="245"/>
      <c r="F1895" s="316"/>
      <c r="G1895" s="245"/>
      <c r="H1895" s="385"/>
      <c r="I1895" s="245"/>
      <c r="L1895" s="91"/>
      <c r="O1895" s="413"/>
      <c r="Q1895" s="415"/>
      <c r="R1895" s="416"/>
      <c r="S1895" s="420"/>
      <c r="T1895" s="384" ph="1"/>
      <c r="V1895" s="421"/>
      <c r="W1895" s="257"/>
      <c r="X1895" s="429"/>
      <c r="Y1895" s="257"/>
      <c r="Z1895" s="257"/>
      <c r="AC1895" s="357"/>
      <c r="AD1895" s="257"/>
      <c r="AE1895" s="245"/>
      <c r="AF1895" s="246"/>
    </row>
    <row r="1896" spans="1:32" ht="26.25">
      <c r="A1896" s="385"/>
      <c r="B1896" s="245"/>
      <c r="C1896" s="245"/>
      <c r="D1896" s="245"/>
      <c r="E1896" s="245"/>
      <c r="F1896" s="316"/>
      <c r="G1896" s="245"/>
      <c r="H1896" s="385"/>
      <c r="I1896" s="245"/>
      <c r="L1896" s="91"/>
      <c r="O1896" s="413"/>
      <c r="Q1896" s="415"/>
      <c r="R1896" s="416"/>
      <c r="S1896" s="420"/>
      <c r="T1896" s="384" ph="1"/>
      <c r="V1896" s="421"/>
      <c r="W1896" s="257"/>
      <c r="X1896" s="429"/>
      <c r="Y1896" s="257"/>
      <c r="Z1896" s="257"/>
      <c r="AC1896" s="357"/>
      <c r="AD1896" s="257"/>
      <c r="AE1896" s="245"/>
      <c r="AF1896" s="246"/>
    </row>
    <row r="1897" spans="1:32" ht="26.25">
      <c r="A1897" s="385"/>
      <c r="B1897" s="245"/>
      <c r="C1897" s="245"/>
      <c r="D1897" s="245"/>
      <c r="E1897" s="245"/>
      <c r="F1897" s="316"/>
      <c r="G1897" s="245"/>
      <c r="H1897" s="385"/>
      <c r="I1897" s="245"/>
      <c r="L1897" s="91"/>
      <c r="O1897" s="413"/>
      <c r="Q1897" s="415"/>
      <c r="R1897" s="416"/>
      <c r="S1897" s="420"/>
      <c r="T1897" s="384" ph="1"/>
      <c r="V1897" s="421"/>
      <c r="W1897" s="257"/>
      <c r="X1897" s="429"/>
      <c r="Y1897" s="257"/>
      <c r="Z1897" s="257"/>
      <c r="AC1897" s="357"/>
      <c r="AD1897" s="257"/>
      <c r="AE1897" s="245"/>
      <c r="AF1897" s="246"/>
    </row>
    <row r="1898" spans="1:32" ht="26.25">
      <c r="A1898" s="385"/>
      <c r="B1898" s="245"/>
      <c r="C1898" s="245"/>
      <c r="D1898" s="245"/>
      <c r="E1898" s="245"/>
      <c r="F1898" s="316"/>
      <c r="G1898" s="245"/>
      <c r="H1898" s="385"/>
      <c r="I1898" s="245"/>
      <c r="L1898" s="91"/>
      <c r="O1898" s="413"/>
      <c r="Q1898" s="415"/>
      <c r="R1898" s="416"/>
      <c r="S1898" s="420"/>
      <c r="T1898" s="384" ph="1"/>
      <c r="V1898" s="421"/>
      <c r="W1898" s="257"/>
      <c r="X1898" s="429"/>
      <c r="Y1898" s="257"/>
      <c r="Z1898" s="257"/>
      <c r="AC1898" s="357"/>
      <c r="AD1898" s="257"/>
      <c r="AE1898" s="245"/>
      <c r="AF1898" s="246"/>
    </row>
    <row r="1899" spans="1:32" ht="26.25">
      <c r="A1899" s="385"/>
      <c r="B1899" s="245"/>
      <c r="C1899" s="245"/>
      <c r="D1899" s="245"/>
      <c r="E1899" s="245"/>
      <c r="F1899" s="316"/>
      <c r="G1899" s="245"/>
      <c r="H1899" s="385"/>
      <c r="I1899" s="245"/>
      <c r="L1899" s="91"/>
      <c r="O1899" s="413"/>
      <c r="Q1899" s="415"/>
      <c r="R1899" s="416"/>
      <c r="S1899" s="420"/>
      <c r="T1899" s="384" ph="1"/>
      <c r="V1899" s="421"/>
      <c r="W1899" s="257"/>
      <c r="X1899" s="429"/>
      <c r="Y1899" s="257"/>
      <c r="Z1899" s="257"/>
      <c r="AC1899" s="357"/>
      <c r="AD1899" s="257"/>
      <c r="AE1899" s="245"/>
      <c r="AF1899" s="246"/>
    </row>
    <row r="1900" spans="1:32" ht="26.25">
      <c r="A1900" s="385"/>
      <c r="B1900" s="245"/>
      <c r="C1900" s="245"/>
      <c r="D1900" s="245"/>
      <c r="E1900" s="245"/>
      <c r="F1900" s="316"/>
      <c r="G1900" s="245"/>
      <c r="H1900" s="385"/>
      <c r="I1900" s="245"/>
      <c r="L1900" s="91"/>
      <c r="O1900" s="413"/>
      <c r="Q1900" s="415"/>
      <c r="R1900" s="416"/>
      <c r="S1900" s="420"/>
      <c r="T1900" s="384" ph="1"/>
      <c r="V1900" s="421"/>
      <c r="W1900" s="257"/>
      <c r="X1900" s="429"/>
      <c r="Y1900" s="257"/>
      <c r="Z1900" s="257"/>
      <c r="AC1900" s="357"/>
      <c r="AD1900" s="257"/>
      <c r="AE1900" s="245"/>
      <c r="AF1900" s="246"/>
    </row>
    <row r="1901" spans="1:32" ht="26.25">
      <c r="A1901" s="385"/>
      <c r="B1901" s="245"/>
      <c r="C1901" s="245"/>
      <c r="D1901" s="245"/>
      <c r="E1901" s="245"/>
      <c r="F1901" s="316"/>
      <c r="G1901" s="245"/>
      <c r="H1901" s="385"/>
      <c r="I1901" s="245"/>
      <c r="L1901" s="91"/>
      <c r="O1901" s="413"/>
      <c r="Q1901" s="415"/>
      <c r="R1901" s="416"/>
      <c r="S1901" s="420"/>
      <c r="T1901" s="384" ph="1"/>
      <c r="V1901" s="421"/>
      <c r="W1901" s="257"/>
      <c r="X1901" s="429"/>
      <c r="Y1901" s="257"/>
      <c r="Z1901" s="257"/>
      <c r="AC1901" s="357"/>
      <c r="AD1901" s="257"/>
      <c r="AE1901" s="245"/>
      <c r="AF1901" s="246"/>
    </row>
    <row r="1902" spans="1:32" ht="26.25">
      <c r="A1902" s="385"/>
      <c r="B1902" s="245"/>
      <c r="C1902" s="245"/>
      <c r="D1902" s="245"/>
      <c r="E1902" s="245"/>
      <c r="F1902" s="316"/>
      <c r="G1902" s="245"/>
      <c r="H1902" s="385"/>
      <c r="I1902" s="245"/>
      <c r="L1902" s="91"/>
      <c r="O1902" s="413"/>
      <c r="Q1902" s="415"/>
      <c r="R1902" s="416"/>
      <c r="S1902" s="420"/>
      <c r="T1902" s="384" ph="1"/>
      <c r="V1902" s="421"/>
      <c r="W1902" s="257"/>
      <c r="X1902" s="429"/>
      <c r="Y1902" s="257"/>
      <c r="Z1902" s="257"/>
      <c r="AC1902" s="357"/>
      <c r="AD1902" s="257"/>
      <c r="AE1902" s="245"/>
      <c r="AF1902" s="246"/>
    </row>
    <row r="1903" spans="1:32" ht="26.25">
      <c r="A1903" s="385"/>
      <c r="B1903" s="245"/>
      <c r="C1903" s="245"/>
      <c r="D1903" s="245"/>
      <c r="E1903" s="245"/>
      <c r="F1903" s="316"/>
      <c r="G1903" s="245"/>
      <c r="H1903" s="385"/>
      <c r="I1903" s="245"/>
      <c r="L1903" s="91"/>
      <c r="O1903" s="413"/>
      <c r="Q1903" s="415"/>
      <c r="R1903" s="416"/>
      <c r="S1903" s="420"/>
      <c r="T1903" s="384" ph="1"/>
      <c r="V1903" s="421"/>
      <c r="W1903" s="257"/>
      <c r="X1903" s="429"/>
      <c r="Y1903" s="257"/>
      <c r="Z1903" s="257"/>
      <c r="AC1903" s="357"/>
      <c r="AD1903" s="257"/>
      <c r="AE1903" s="245"/>
      <c r="AF1903" s="246"/>
    </row>
    <row r="1904" spans="1:32" ht="26.25">
      <c r="A1904" s="385"/>
      <c r="B1904" s="245"/>
      <c r="C1904" s="245"/>
      <c r="D1904" s="245"/>
      <c r="E1904" s="245"/>
      <c r="F1904" s="316"/>
      <c r="G1904" s="245"/>
      <c r="H1904" s="385"/>
      <c r="I1904" s="245"/>
      <c r="L1904" s="91"/>
      <c r="O1904" s="413"/>
      <c r="Q1904" s="415"/>
      <c r="R1904" s="416"/>
      <c r="S1904" s="420"/>
      <c r="T1904" s="384" ph="1"/>
      <c r="V1904" s="421"/>
      <c r="W1904" s="257"/>
      <c r="X1904" s="429"/>
      <c r="Y1904" s="257"/>
      <c r="Z1904" s="257"/>
      <c r="AC1904" s="357"/>
      <c r="AD1904" s="257"/>
      <c r="AE1904" s="245"/>
      <c r="AF1904" s="246"/>
    </row>
    <row r="1905" spans="1:32" ht="26.25">
      <c r="A1905" s="385"/>
      <c r="B1905" s="245"/>
      <c r="C1905" s="245"/>
      <c r="D1905" s="245"/>
      <c r="E1905" s="245"/>
      <c r="F1905" s="316"/>
      <c r="G1905" s="245"/>
      <c r="H1905" s="385"/>
      <c r="I1905" s="245"/>
      <c r="L1905" s="91"/>
      <c r="O1905" s="413"/>
      <c r="Q1905" s="415"/>
      <c r="R1905" s="416"/>
      <c r="S1905" s="420"/>
      <c r="T1905" s="384" ph="1"/>
      <c r="V1905" s="421"/>
      <c r="W1905" s="257"/>
      <c r="X1905" s="429"/>
      <c r="Y1905" s="257"/>
      <c r="Z1905" s="257"/>
      <c r="AC1905" s="357"/>
      <c r="AD1905" s="257"/>
      <c r="AE1905" s="245"/>
      <c r="AF1905" s="246"/>
    </row>
    <row r="1906" spans="1:32" ht="26.25">
      <c r="A1906" s="385"/>
      <c r="B1906" s="245"/>
      <c r="C1906" s="245"/>
      <c r="D1906" s="245"/>
      <c r="E1906" s="245"/>
      <c r="F1906" s="316"/>
      <c r="G1906" s="245"/>
      <c r="H1906" s="385"/>
      <c r="I1906" s="245"/>
      <c r="L1906" s="91"/>
      <c r="O1906" s="413"/>
      <c r="Q1906" s="415"/>
      <c r="R1906" s="416"/>
      <c r="S1906" s="420"/>
      <c r="T1906" s="384" ph="1"/>
      <c r="V1906" s="421"/>
      <c r="W1906" s="257"/>
      <c r="X1906" s="429"/>
      <c r="Y1906" s="257"/>
      <c r="Z1906" s="257"/>
      <c r="AC1906" s="357"/>
      <c r="AD1906" s="257"/>
      <c r="AE1906" s="245"/>
      <c r="AF1906" s="246"/>
    </row>
    <row r="1907" spans="1:32" ht="26.25">
      <c r="A1907" s="385"/>
      <c r="B1907" s="245"/>
      <c r="C1907" s="245"/>
      <c r="D1907" s="245"/>
      <c r="E1907" s="245"/>
      <c r="F1907" s="316"/>
      <c r="G1907" s="245"/>
      <c r="H1907" s="385"/>
      <c r="I1907" s="245"/>
      <c r="L1907" s="91"/>
      <c r="O1907" s="413"/>
      <c r="Q1907" s="415"/>
      <c r="R1907" s="416"/>
      <c r="S1907" s="420"/>
      <c r="T1907" s="384" ph="1"/>
      <c r="V1907" s="421"/>
      <c r="W1907" s="257"/>
      <c r="X1907" s="429"/>
      <c r="Y1907" s="257"/>
      <c r="Z1907" s="257"/>
      <c r="AC1907" s="357"/>
      <c r="AD1907" s="257"/>
      <c r="AE1907" s="245"/>
      <c r="AF1907" s="246"/>
    </row>
    <row r="1908" spans="1:32" ht="26.25">
      <c r="A1908" s="385"/>
      <c r="B1908" s="245"/>
      <c r="C1908" s="245"/>
      <c r="D1908" s="245"/>
      <c r="E1908" s="245"/>
      <c r="F1908" s="316"/>
      <c r="G1908" s="245"/>
      <c r="H1908" s="385"/>
      <c r="I1908" s="245"/>
      <c r="L1908" s="91"/>
      <c r="O1908" s="413"/>
      <c r="Q1908" s="415"/>
      <c r="R1908" s="416"/>
      <c r="S1908" s="420"/>
      <c r="T1908" s="384" ph="1"/>
      <c r="V1908" s="421"/>
      <c r="W1908" s="257"/>
      <c r="X1908" s="429"/>
      <c r="Y1908" s="257"/>
      <c r="Z1908" s="257"/>
      <c r="AC1908" s="357"/>
      <c r="AD1908" s="257"/>
      <c r="AE1908" s="245"/>
      <c r="AF1908" s="246"/>
    </row>
    <row r="1909" spans="1:32" ht="26.25">
      <c r="A1909" s="385"/>
      <c r="B1909" s="245"/>
      <c r="C1909" s="245"/>
      <c r="D1909" s="245"/>
      <c r="E1909" s="245"/>
      <c r="F1909" s="316"/>
      <c r="G1909" s="245"/>
      <c r="H1909" s="385"/>
      <c r="I1909" s="245"/>
      <c r="L1909" s="91"/>
      <c r="O1909" s="413"/>
      <c r="Q1909" s="415"/>
      <c r="R1909" s="416"/>
      <c r="S1909" s="420"/>
      <c r="T1909" s="384" ph="1"/>
      <c r="V1909" s="421"/>
      <c r="W1909" s="257"/>
      <c r="X1909" s="429"/>
      <c r="Y1909" s="257"/>
      <c r="Z1909" s="257"/>
      <c r="AC1909" s="357"/>
      <c r="AD1909" s="257"/>
      <c r="AE1909" s="245"/>
      <c r="AF1909" s="246"/>
    </row>
    <row r="1910" spans="1:32" ht="26.25">
      <c r="A1910" s="385"/>
      <c r="B1910" s="245"/>
      <c r="C1910" s="245"/>
      <c r="D1910" s="245"/>
      <c r="E1910" s="245"/>
      <c r="F1910" s="316"/>
      <c r="G1910" s="245"/>
      <c r="H1910" s="385"/>
      <c r="I1910" s="245"/>
      <c r="L1910" s="91"/>
      <c r="O1910" s="413"/>
      <c r="Q1910" s="415"/>
      <c r="R1910" s="416"/>
      <c r="S1910" s="420"/>
      <c r="T1910" s="384" ph="1"/>
      <c r="V1910" s="421"/>
      <c r="W1910" s="257"/>
      <c r="X1910" s="429"/>
      <c r="Y1910" s="257"/>
      <c r="Z1910" s="257"/>
      <c r="AC1910" s="357"/>
      <c r="AD1910" s="257"/>
      <c r="AE1910" s="245"/>
      <c r="AF1910" s="246"/>
    </row>
    <row r="1911" spans="1:32" ht="26.25">
      <c r="A1911" s="385"/>
      <c r="B1911" s="245"/>
      <c r="C1911" s="245"/>
      <c r="D1911" s="245"/>
      <c r="E1911" s="245"/>
      <c r="F1911" s="316"/>
      <c r="G1911" s="245"/>
      <c r="H1911" s="385"/>
      <c r="I1911" s="245"/>
      <c r="L1911" s="91"/>
      <c r="O1911" s="413"/>
      <c r="Q1911" s="415"/>
      <c r="R1911" s="416"/>
      <c r="S1911" s="420"/>
      <c r="T1911" s="384" ph="1"/>
      <c r="V1911" s="421"/>
      <c r="W1911" s="257"/>
      <c r="X1911" s="429"/>
      <c r="Y1911" s="257"/>
      <c r="Z1911" s="257"/>
      <c r="AC1911" s="357"/>
      <c r="AD1911" s="257"/>
      <c r="AE1911" s="245"/>
      <c r="AF1911" s="246"/>
    </row>
    <row r="1912" spans="1:32" ht="26.25">
      <c r="A1912" s="385"/>
      <c r="B1912" s="245"/>
      <c r="C1912" s="245"/>
      <c r="D1912" s="245"/>
      <c r="E1912" s="245"/>
      <c r="F1912" s="316"/>
      <c r="G1912" s="245"/>
      <c r="H1912" s="385"/>
      <c r="I1912" s="245"/>
      <c r="L1912" s="91"/>
      <c r="O1912" s="413"/>
      <c r="Q1912" s="415"/>
      <c r="R1912" s="416"/>
      <c r="S1912" s="420"/>
      <c r="T1912" s="384" ph="1"/>
      <c r="V1912" s="421"/>
      <c r="W1912" s="257"/>
      <c r="X1912" s="429"/>
      <c r="Y1912" s="257"/>
      <c r="Z1912" s="257"/>
      <c r="AC1912" s="357"/>
      <c r="AD1912" s="257"/>
      <c r="AE1912" s="245"/>
      <c r="AF1912" s="246"/>
    </row>
    <row r="1913" spans="1:32" ht="26.25">
      <c r="A1913" s="385"/>
      <c r="B1913" s="245"/>
      <c r="C1913" s="245"/>
      <c r="D1913" s="245"/>
      <c r="E1913" s="245"/>
      <c r="F1913" s="316"/>
      <c r="G1913" s="245"/>
      <c r="H1913" s="385"/>
      <c r="I1913" s="245"/>
      <c r="L1913" s="91"/>
      <c r="O1913" s="413"/>
      <c r="Q1913" s="415"/>
      <c r="R1913" s="416"/>
      <c r="S1913" s="420"/>
      <c r="T1913" s="384" ph="1"/>
      <c r="V1913" s="421"/>
      <c r="W1913" s="257"/>
      <c r="X1913" s="429"/>
      <c r="Y1913" s="257"/>
      <c r="Z1913" s="257"/>
      <c r="AC1913" s="357"/>
      <c r="AD1913" s="257"/>
      <c r="AE1913" s="245"/>
      <c r="AF1913" s="246"/>
    </row>
    <row r="1914" spans="1:32" ht="26.25">
      <c r="A1914" s="385"/>
      <c r="B1914" s="245"/>
      <c r="C1914" s="245"/>
      <c r="D1914" s="245"/>
      <c r="E1914" s="245"/>
      <c r="F1914" s="316"/>
      <c r="G1914" s="245"/>
      <c r="H1914" s="385"/>
      <c r="I1914" s="245"/>
      <c r="L1914" s="407"/>
      <c r="O1914" s="413"/>
      <c r="Q1914" s="415"/>
      <c r="R1914" s="416"/>
      <c r="S1914" s="420"/>
      <c r="T1914" s="384" ph="1"/>
      <c r="V1914" s="421"/>
      <c r="W1914" s="257"/>
      <c r="X1914" s="429"/>
      <c r="Y1914" s="257"/>
      <c r="Z1914" s="257"/>
      <c r="AC1914" s="357"/>
      <c r="AD1914" s="257"/>
      <c r="AE1914" s="245"/>
      <c r="AF1914" s="246"/>
    </row>
    <row r="1915" spans="1:32" ht="26.25">
      <c r="A1915" s="385"/>
      <c r="B1915" s="245"/>
      <c r="C1915" s="245"/>
      <c r="D1915" s="245"/>
      <c r="E1915" s="245"/>
      <c r="F1915" s="316"/>
      <c r="G1915" s="245"/>
      <c r="H1915" s="385"/>
      <c r="I1915" s="245"/>
      <c r="L1915" s="91"/>
      <c r="O1915" s="413"/>
      <c r="Q1915" s="415"/>
      <c r="R1915" s="416"/>
      <c r="S1915" s="420"/>
      <c r="T1915" s="384" ph="1"/>
      <c r="V1915" s="421"/>
      <c r="W1915" s="257"/>
      <c r="X1915" s="429"/>
      <c r="Y1915" s="257"/>
      <c r="Z1915" s="257"/>
      <c r="AC1915" s="357"/>
      <c r="AD1915" s="257"/>
      <c r="AE1915" s="245"/>
      <c r="AF1915" s="246"/>
    </row>
    <row r="1916" spans="1:32" ht="26.25">
      <c r="A1916" s="385"/>
      <c r="B1916" s="245"/>
      <c r="C1916" s="245"/>
      <c r="D1916" s="245"/>
      <c r="E1916" s="245"/>
      <c r="F1916" s="316"/>
      <c r="G1916" s="245"/>
      <c r="H1916" s="385"/>
      <c r="I1916" s="245"/>
      <c r="L1916" s="91"/>
      <c r="O1916" s="413"/>
      <c r="Q1916" s="415"/>
      <c r="R1916" s="416"/>
      <c r="S1916" s="420"/>
      <c r="T1916" s="384" ph="1"/>
      <c r="V1916" s="421"/>
      <c r="W1916" s="257"/>
      <c r="X1916" s="429"/>
      <c r="Y1916" s="257"/>
      <c r="Z1916" s="257"/>
      <c r="AC1916" s="357"/>
      <c r="AD1916" s="257"/>
      <c r="AE1916" s="245"/>
      <c r="AF1916" s="246"/>
    </row>
    <row r="1917" spans="1:32" ht="26.25">
      <c r="A1917" s="385"/>
      <c r="B1917" s="245"/>
      <c r="C1917" s="245"/>
      <c r="D1917" s="245"/>
      <c r="E1917" s="245"/>
      <c r="F1917" s="316"/>
      <c r="G1917" s="245"/>
      <c r="H1917" s="385"/>
      <c r="I1917" s="245"/>
      <c r="L1917" s="91"/>
      <c r="O1917" s="413"/>
      <c r="Q1917" s="415"/>
      <c r="R1917" s="416"/>
      <c r="S1917" s="420"/>
      <c r="T1917" s="384" ph="1"/>
      <c r="V1917" s="421"/>
      <c r="W1917" s="257"/>
      <c r="X1917" s="429"/>
      <c r="Y1917" s="257"/>
      <c r="Z1917" s="257"/>
      <c r="AC1917" s="357"/>
      <c r="AD1917" s="257"/>
      <c r="AE1917" s="245"/>
      <c r="AF1917" s="246"/>
    </row>
    <row r="1918" spans="1:32" ht="26.25">
      <c r="A1918" s="385"/>
      <c r="B1918" s="245"/>
      <c r="C1918" s="245"/>
      <c r="D1918" s="245"/>
      <c r="E1918" s="245"/>
      <c r="F1918" s="316"/>
      <c r="G1918" s="245"/>
      <c r="H1918" s="385"/>
      <c r="I1918" s="245"/>
      <c r="L1918" s="91"/>
      <c r="O1918" s="413"/>
      <c r="Q1918" s="415"/>
      <c r="R1918" s="416"/>
      <c r="S1918" s="420"/>
      <c r="T1918" s="384" ph="1"/>
      <c r="V1918" s="421"/>
      <c r="W1918" s="257"/>
      <c r="X1918" s="429"/>
      <c r="Y1918" s="257"/>
      <c r="Z1918" s="257"/>
      <c r="AC1918" s="357"/>
      <c r="AD1918" s="257"/>
      <c r="AE1918" s="245"/>
      <c r="AF1918" s="246"/>
    </row>
    <row r="1919" spans="1:32" ht="26.25">
      <c r="A1919" s="385"/>
      <c r="B1919" s="245"/>
      <c r="C1919" s="245"/>
      <c r="D1919" s="245"/>
      <c r="E1919" s="245"/>
      <c r="F1919" s="316"/>
      <c r="G1919" s="245"/>
      <c r="H1919" s="385"/>
      <c r="I1919" s="245"/>
      <c r="L1919" s="91"/>
      <c r="O1919" s="413"/>
      <c r="Q1919" s="415"/>
      <c r="R1919" s="416"/>
      <c r="S1919" s="420"/>
      <c r="T1919" s="384" ph="1"/>
      <c r="V1919" s="421"/>
      <c r="W1919" s="257"/>
      <c r="X1919" s="429"/>
      <c r="Y1919" s="257"/>
      <c r="Z1919" s="257"/>
      <c r="AC1919" s="357"/>
      <c r="AD1919" s="257"/>
      <c r="AE1919" s="245"/>
      <c r="AF1919" s="246"/>
    </row>
    <row r="1920" spans="1:32" ht="26.25">
      <c r="A1920" s="385"/>
      <c r="B1920" s="245"/>
      <c r="C1920" s="245"/>
      <c r="D1920" s="245"/>
      <c r="E1920" s="245"/>
      <c r="F1920" s="316"/>
      <c r="G1920" s="245"/>
      <c r="H1920" s="385"/>
      <c r="I1920" s="245"/>
      <c r="L1920" s="91"/>
      <c r="O1920" s="413"/>
      <c r="Q1920" s="415"/>
      <c r="R1920" s="416"/>
      <c r="S1920" s="420"/>
      <c r="T1920" s="384" ph="1"/>
      <c r="V1920" s="421"/>
      <c r="W1920" s="257"/>
      <c r="X1920" s="429"/>
      <c r="Y1920" s="257"/>
      <c r="Z1920" s="257"/>
      <c r="AC1920" s="357"/>
      <c r="AD1920" s="257"/>
      <c r="AE1920" s="245"/>
      <c r="AF1920" s="246"/>
    </row>
    <row r="1921" spans="1:32" ht="26.25">
      <c r="A1921" s="385"/>
      <c r="B1921" s="245"/>
      <c r="C1921" s="245"/>
      <c r="D1921" s="245"/>
      <c r="E1921" s="245"/>
      <c r="F1921" s="316"/>
      <c r="G1921" s="245"/>
      <c r="H1921" s="385"/>
      <c r="I1921" s="245"/>
      <c r="L1921" s="91"/>
      <c r="O1921" s="413"/>
      <c r="Q1921" s="415"/>
      <c r="R1921" s="416"/>
      <c r="S1921" s="420"/>
      <c r="T1921" s="384" ph="1"/>
      <c r="V1921" s="421"/>
      <c r="W1921" s="257"/>
      <c r="X1921" s="429"/>
      <c r="Y1921" s="257"/>
      <c r="Z1921" s="257"/>
      <c r="AC1921" s="357"/>
      <c r="AD1921" s="257"/>
      <c r="AE1921" s="245"/>
      <c r="AF1921" s="246"/>
    </row>
    <row r="1922" spans="1:32" ht="26.25">
      <c r="A1922" s="385"/>
      <c r="B1922" s="245"/>
      <c r="C1922" s="245"/>
      <c r="D1922" s="245"/>
      <c r="E1922" s="245"/>
      <c r="F1922" s="316"/>
      <c r="G1922" s="245"/>
      <c r="H1922" s="385"/>
      <c r="I1922" s="245"/>
      <c r="L1922" s="91"/>
      <c r="O1922" s="413"/>
      <c r="Q1922" s="415"/>
      <c r="R1922" s="416"/>
      <c r="S1922" s="420"/>
      <c r="T1922" s="384" ph="1"/>
      <c r="V1922" s="421"/>
      <c r="W1922" s="257"/>
      <c r="X1922" s="429"/>
      <c r="Y1922" s="257"/>
      <c r="Z1922" s="257"/>
      <c r="AC1922" s="357"/>
      <c r="AD1922" s="257"/>
      <c r="AE1922" s="245"/>
      <c r="AF1922" s="246"/>
    </row>
    <row r="1923" spans="1:32" ht="26.25">
      <c r="A1923" s="385"/>
      <c r="B1923" s="245"/>
      <c r="C1923" s="245"/>
      <c r="D1923" s="245"/>
      <c r="E1923" s="245"/>
      <c r="F1923" s="316"/>
      <c r="G1923" s="245"/>
      <c r="H1923" s="385"/>
      <c r="I1923" s="245"/>
      <c r="L1923" s="91"/>
      <c r="O1923" s="413"/>
      <c r="Q1923" s="415"/>
      <c r="R1923" s="416"/>
      <c r="S1923" s="420"/>
      <c r="T1923" s="384" ph="1"/>
      <c r="V1923" s="421"/>
      <c r="W1923" s="257"/>
      <c r="X1923" s="429"/>
      <c r="Y1923" s="257"/>
      <c r="Z1923" s="257"/>
      <c r="AC1923" s="357"/>
      <c r="AD1923" s="257"/>
      <c r="AE1923" s="245"/>
      <c r="AF1923" s="246"/>
    </row>
    <row r="1924" spans="1:32" ht="26.25">
      <c r="A1924" s="385"/>
      <c r="B1924" s="245"/>
      <c r="C1924" s="245"/>
      <c r="D1924" s="245"/>
      <c r="E1924" s="245"/>
      <c r="F1924" s="316"/>
      <c r="G1924" s="245"/>
      <c r="H1924" s="385"/>
      <c r="I1924" s="245"/>
      <c r="L1924" s="91"/>
      <c r="O1924" s="413"/>
      <c r="Q1924" s="415"/>
      <c r="R1924" s="416"/>
      <c r="S1924" s="420"/>
      <c r="T1924" s="384" ph="1"/>
      <c r="V1924" s="421"/>
      <c r="W1924" s="257"/>
      <c r="X1924" s="429"/>
      <c r="Y1924" s="257"/>
      <c r="Z1924" s="257"/>
      <c r="AC1924" s="357"/>
      <c r="AD1924" s="257"/>
      <c r="AE1924" s="245"/>
      <c r="AF1924" s="246"/>
    </row>
    <row r="1925" spans="1:32" ht="26.25">
      <c r="A1925" s="385"/>
      <c r="B1925" s="245"/>
      <c r="C1925" s="245"/>
      <c r="D1925" s="245"/>
      <c r="E1925" s="245"/>
      <c r="F1925" s="316"/>
      <c r="G1925" s="245"/>
      <c r="H1925" s="385"/>
      <c r="I1925" s="245"/>
      <c r="L1925" s="91"/>
      <c r="O1925" s="413"/>
      <c r="Q1925" s="415"/>
      <c r="R1925" s="416"/>
      <c r="S1925" s="420"/>
      <c r="T1925" s="384" ph="1"/>
      <c r="V1925" s="421"/>
      <c r="W1925" s="257"/>
      <c r="X1925" s="429"/>
      <c r="Y1925" s="257"/>
      <c r="Z1925" s="257"/>
      <c r="AC1925" s="357"/>
      <c r="AD1925" s="257"/>
      <c r="AE1925" s="245"/>
      <c r="AF1925" s="246"/>
    </row>
    <row r="1926" spans="1:32" ht="26.25">
      <c r="A1926" s="385"/>
      <c r="B1926" s="245"/>
      <c r="C1926" s="245"/>
      <c r="D1926" s="245"/>
      <c r="E1926" s="245"/>
      <c r="F1926" s="316"/>
      <c r="G1926" s="245"/>
      <c r="H1926" s="385"/>
      <c r="I1926" s="245"/>
      <c r="L1926" s="91"/>
      <c r="O1926" s="413"/>
      <c r="Q1926" s="415"/>
      <c r="R1926" s="416"/>
      <c r="S1926" s="420"/>
      <c r="T1926" s="384" ph="1"/>
      <c r="V1926" s="421"/>
      <c r="W1926" s="257"/>
      <c r="X1926" s="429"/>
      <c r="Y1926" s="257"/>
      <c r="Z1926" s="257"/>
      <c r="AC1926" s="357"/>
      <c r="AD1926" s="257"/>
      <c r="AE1926" s="245"/>
      <c r="AF1926" s="246"/>
    </row>
    <row r="1927" spans="1:32" ht="26.25">
      <c r="A1927" s="385"/>
      <c r="B1927" s="245"/>
      <c r="C1927" s="245"/>
      <c r="D1927" s="245"/>
      <c r="E1927" s="245"/>
      <c r="F1927" s="316"/>
      <c r="G1927" s="245"/>
      <c r="H1927" s="385"/>
      <c r="I1927" s="245"/>
      <c r="L1927" s="91"/>
      <c r="O1927" s="413"/>
      <c r="Q1927" s="415"/>
      <c r="R1927" s="416"/>
      <c r="S1927" s="420"/>
      <c r="T1927" s="384" ph="1"/>
      <c r="V1927" s="421"/>
      <c r="W1927" s="257"/>
      <c r="X1927" s="429"/>
      <c r="Y1927" s="257"/>
      <c r="Z1927" s="257"/>
      <c r="AC1927" s="357"/>
      <c r="AD1927" s="257"/>
      <c r="AE1927" s="245"/>
      <c r="AF1927" s="246"/>
    </row>
    <row r="1928" spans="1:32" ht="26.25">
      <c r="A1928" s="385"/>
      <c r="B1928" s="245"/>
      <c r="C1928" s="245"/>
      <c r="D1928" s="245"/>
      <c r="E1928" s="245"/>
      <c r="F1928" s="316"/>
      <c r="G1928" s="245"/>
      <c r="H1928" s="385"/>
      <c r="I1928" s="245"/>
      <c r="L1928" s="91"/>
      <c r="O1928" s="413"/>
      <c r="Q1928" s="415"/>
      <c r="R1928" s="416"/>
      <c r="S1928" s="420"/>
      <c r="T1928" s="384" ph="1"/>
      <c r="V1928" s="421"/>
      <c r="W1928" s="257"/>
      <c r="X1928" s="429"/>
      <c r="Y1928" s="257"/>
      <c r="Z1928" s="257"/>
      <c r="AC1928" s="357"/>
      <c r="AD1928" s="257"/>
      <c r="AE1928" s="245"/>
      <c r="AF1928" s="246"/>
    </row>
    <row r="1929" spans="1:32" ht="26.25">
      <c r="A1929" s="385"/>
      <c r="B1929" s="245"/>
      <c r="C1929" s="245"/>
      <c r="D1929" s="245"/>
      <c r="E1929" s="245"/>
      <c r="F1929" s="316"/>
      <c r="G1929" s="245"/>
      <c r="H1929" s="385"/>
      <c r="I1929" s="245"/>
      <c r="L1929" s="91"/>
      <c r="O1929" s="413"/>
      <c r="Q1929" s="415"/>
      <c r="R1929" s="416"/>
      <c r="S1929" s="420"/>
      <c r="T1929" s="384" ph="1"/>
      <c r="V1929" s="421"/>
      <c r="W1929" s="257"/>
      <c r="X1929" s="429"/>
      <c r="Y1929" s="257"/>
      <c r="Z1929" s="257"/>
      <c r="AC1929" s="357"/>
      <c r="AD1929" s="257"/>
      <c r="AE1929" s="245"/>
      <c r="AF1929" s="246"/>
    </row>
    <row r="1930" spans="1:32" ht="26.25">
      <c r="A1930" s="385"/>
      <c r="B1930" s="245"/>
      <c r="C1930" s="245"/>
      <c r="D1930" s="245"/>
      <c r="E1930" s="245"/>
      <c r="F1930" s="316"/>
      <c r="G1930" s="245"/>
      <c r="H1930" s="385"/>
      <c r="I1930" s="245"/>
      <c r="L1930" s="91"/>
      <c r="O1930" s="413"/>
      <c r="Q1930" s="415"/>
      <c r="R1930" s="416"/>
      <c r="S1930" s="420"/>
      <c r="T1930" s="384" ph="1"/>
      <c r="V1930" s="421"/>
      <c r="W1930" s="257"/>
      <c r="X1930" s="429"/>
      <c r="Y1930" s="257"/>
      <c r="Z1930" s="257"/>
      <c r="AC1930" s="357"/>
      <c r="AD1930" s="257"/>
      <c r="AE1930" s="245"/>
      <c r="AF1930" s="246"/>
    </row>
    <row r="1931" spans="1:32" ht="26.25">
      <c r="A1931" s="385"/>
      <c r="B1931" s="245"/>
      <c r="C1931" s="245"/>
      <c r="D1931" s="245"/>
      <c r="E1931" s="245"/>
      <c r="F1931" s="316"/>
      <c r="G1931" s="245"/>
      <c r="H1931" s="385"/>
      <c r="I1931" s="245"/>
      <c r="L1931" s="91"/>
      <c r="O1931" s="413"/>
      <c r="Q1931" s="415"/>
      <c r="R1931" s="416"/>
      <c r="S1931" s="420"/>
      <c r="T1931" s="384" ph="1"/>
      <c r="V1931" s="421"/>
      <c r="W1931" s="257"/>
      <c r="X1931" s="429"/>
      <c r="Y1931" s="257"/>
      <c r="Z1931" s="257"/>
      <c r="AC1931" s="357"/>
      <c r="AD1931" s="257"/>
      <c r="AE1931" s="245"/>
      <c r="AF1931" s="246"/>
    </row>
    <row r="1932" spans="1:32" ht="26.25">
      <c r="A1932" s="385"/>
      <c r="B1932" s="245"/>
      <c r="C1932" s="245"/>
      <c r="D1932" s="245"/>
      <c r="E1932" s="245"/>
      <c r="F1932" s="316"/>
      <c r="G1932" s="245"/>
      <c r="H1932" s="385"/>
      <c r="I1932" s="245"/>
      <c r="L1932" s="91"/>
      <c r="O1932" s="413"/>
      <c r="Q1932" s="415"/>
      <c r="R1932" s="416"/>
      <c r="S1932" s="420"/>
      <c r="T1932" s="384" ph="1"/>
      <c r="V1932" s="421"/>
      <c r="W1932" s="257"/>
      <c r="X1932" s="429"/>
      <c r="Y1932" s="257"/>
      <c r="Z1932" s="257"/>
      <c r="AC1932" s="357"/>
      <c r="AD1932" s="257"/>
      <c r="AE1932" s="245"/>
      <c r="AF1932" s="246"/>
    </row>
    <row r="1933" spans="1:32" ht="26.25">
      <c r="A1933" s="385"/>
      <c r="B1933" s="245"/>
      <c r="C1933" s="245"/>
      <c r="D1933" s="245"/>
      <c r="E1933" s="245"/>
      <c r="F1933" s="316"/>
      <c r="G1933" s="245"/>
      <c r="H1933" s="385"/>
      <c r="I1933" s="245"/>
      <c r="L1933" s="91"/>
      <c r="O1933" s="413"/>
      <c r="Q1933" s="415"/>
      <c r="R1933" s="416"/>
      <c r="S1933" s="420"/>
      <c r="T1933" s="384" ph="1"/>
      <c r="V1933" s="421"/>
      <c r="W1933" s="257"/>
      <c r="X1933" s="429"/>
      <c r="Y1933" s="257"/>
      <c r="Z1933" s="257"/>
      <c r="AC1933" s="357"/>
      <c r="AD1933" s="257"/>
      <c r="AE1933" s="245"/>
      <c r="AF1933" s="246"/>
    </row>
    <row r="1934" spans="1:32" ht="26.25">
      <c r="A1934" s="385"/>
      <c r="B1934" s="245"/>
      <c r="C1934" s="245"/>
      <c r="D1934" s="245"/>
      <c r="E1934" s="245"/>
      <c r="F1934" s="316"/>
      <c r="G1934" s="245"/>
      <c r="H1934" s="385"/>
      <c r="I1934" s="245"/>
      <c r="L1934" s="91"/>
      <c r="O1934" s="413"/>
      <c r="Q1934" s="415"/>
      <c r="R1934" s="416"/>
      <c r="S1934" s="420"/>
      <c r="T1934" s="384" ph="1"/>
      <c r="V1934" s="421"/>
      <c r="W1934" s="257"/>
      <c r="X1934" s="429"/>
      <c r="Y1934" s="257"/>
      <c r="Z1934" s="257"/>
      <c r="AC1934" s="357"/>
      <c r="AD1934" s="257"/>
      <c r="AE1934" s="245"/>
      <c r="AF1934" s="246"/>
    </row>
    <row r="1935" spans="1:32" ht="26.25">
      <c r="A1935" s="385"/>
      <c r="B1935" s="245"/>
      <c r="C1935" s="245"/>
      <c r="D1935" s="245"/>
      <c r="E1935" s="245"/>
      <c r="F1935" s="316"/>
      <c r="G1935" s="245"/>
      <c r="H1935" s="385"/>
      <c r="I1935" s="245"/>
      <c r="L1935" s="91"/>
      <c r="O1935" s="413"/>
      <c r="Q1935" s="415"/>
      <c r="R1935" s="416"/>
      <c r="S1935" s="420"/>
      <c r="T1935" s="384" ph="1"/>
      <c r="V1935" s="421"/>
      <c r="W1935" s="257"/>
      <c r="X1935" s="429"/>
      <c r="Y1935" s="257"/>
      <c r="Z1935" s="257"/>
      <c r="AC1935" s="357"/>
      <c r="AD1935" s="257"/>
      <c r="AE1935" s="245"/>
      <c r="AF1935" s="246"/>
    </row>
    <row r="1936" spans="1:32" ht="26.25">
      <c r="A1936" s="385"/>
      <c r="B1936" s="245"/>
      <c r="C1936" s="245"/>
      <c r="D1936" s="245"/>
      <c r="E1936" s="245"/>
      <c r="F1936" s="316"/>
      <c r="G1936" s="245"/>
      <c r="H1936" s="385"/>
      <c r="I1936" s="245"/>
      <c r="L1936" s="91"/>
      <c r="O1936" s="413"/>
      <c r="Q1936" s="415"/>
      <c r="R1936" s="416"/>
      <c r="S1936" s="420"/>
      <c r="T1936" s="384" ph="1"/>
      <c r="V1936" s="421"/>
      <c r="W1936" s="257"/>
      <c r="X1936" s="429"/>
      <c r="Y1936" s="257"/>
      <c r="Z1936" s="257"/>
      <c r="AC1936" s="357"/>
      <c r="AD1936" s="257"/>
      <c r="AE1936" s="245"/>
      <c r="AF1936" s="246"/>
    </row>
    <row r="1937" spans="1:32" ht="26.25">
      <c r="A1937" s="385"/>
      <c r="B1937" s="245"/>
      <c r="C1937" s="245"/>
      <c r="D1937" s="245"/>
      <c r="E1937" s="245"/>
      <c r="F1937" s="316"/>
      <c r="G1937" s="245"/>
      <c r="H1937" s="385"/>
      <c r="I1937" s="245"/>
      <c r="L1937" s="91"/>
      <c r="O1937" s="413"/>
      <c r="Q1937" s="415"/>
      <c r="R1937" s="416"/>
      <c r="S1937" s="420"/>
      <c r="T1937" s="384" ph="1"/>
      <c r="V1937" s="421"/>
      <c r="W1937" s="257"/>
      <c r="X1937" s="429"/>
      <c r="Y1937" s="257"/>
      <c r="Z1937" s="257"/>
      <c r="AC1937" s="357"/>
      <c r="AD1937" s="257"/>
      <c r="AE1937" s="245"/>
      <c r="AF1937" s="246"/>
    </row>
    <row r="1938" spans="1:32" ht="26.25">
      <c r="A1938" s="385"/>
      <c r="B1938" s="245"/>
      <c r="C1938" s="245"/>
      <c r="D1938" s="245"/>
      <c r="E1938" s="245"/>
      <c r="F1938" s="316"/>
      <c r="G1938" s="245"/>
      <c r="H1938" s="385"/>
      <c r="I1938" s="245"/>
      <c r="L1938" s="91"/>
      <c r="O1938" s="413"/>
      <c r="Q1938" s="415"/>
      <c r="R1938" s="416"/>
      <c r="S1938" s="420"/>
      <c r="T1938" s="384" ph="1"/>
      <c r="V1938" s="421"/>
      <c r="W1938" s="257"/>
      <c r="X1938" s="429"/>
      <c r="Y1938" s="257"/>
      <c r="Z1938" s="257"/>
      <c r="AC1938" s="357"/>
      <c r="AD1938" s="257"/>
      <c r="AE1938" s="245"/>
      <c r="AF1938" s="246"/>
    </row>
    <row r="1939" spans="1:32" ht="26.25">
      <c r="A1939" s="385"/>
      <c r="B1939" s="245"/>
      <c r="C1939" s="245"/>
      <c r="D1939" s="245"/>
      <c r="E1939" s="245"/>
      <c r="F1939" s="316"/>
      <c r="G1939" s="245"/>
      <c r="H1939" s="385"/>
      <c r="I1939" s="245"/>
      <c r="L1939" s="91"/>
      <c r="O1939" s="413"/>
      <c r="Q1939" s="415"/>
      <c r="R1939" s="416"/>
      <c r="S1939" s="420"/>
      <c r="T1939" s="384" ph="1"/>
      <c r="V1939" s="421"/>
      <c r="W1939" s="257"/>
      <c r="X1939" s="429"/>
      <c r="Y1939" s="257"/>
      <c r="Z1939" s="257"/>
      <c r="AC1939" s="357"/>
      <c r="AD1939" s="257"/>
      <c r="AE1939" s="245"/>
      <c r="AF1939" s="246"/>
    </row>
    <row r="1940" spans="1:32" ht="26.25">
      <c r="A1940" s="385"/>
      <c r="B1940" s="245"/>
      <c r="C1940" s="245"/>
      <c r="D1940" s="245"/>
      <c r="E1940" s="245"/>
      <c r="F1940" s="316"/>
      <c r="G1940" s="245"/>
      <c r="H1940" s="385"/>
      <c r="I1940" s="245"/>
      <c r="L1940" s="91"/>
      <c r="O1940" s="413"/>
      <c r="Q1940" s="415"/>
      <c r="R1940" s="416"/>
      <c r="S1940" s="420"/>
      <c r="T1940" s="384" ph="1"/>
      <c r="V1940" s="421"/>
      <c r="W1940" s="257"/>
      <c r="X1940" s="429"/>
      <c r="Y1940" s="257"/>
      <c r="Z1940" s="257"/>
      <c r="AC1940" s="357"/>
      <c r="AD1940" s="257"/>
      <c r="AE1940" s="245"/>
      <c r="AF1940" s="246"/>
    </row>
    <row r="1941" spans="1:32" ht="26.25">
      <c r="A1941" s="385"/>
      <c r="B1941" s="245"/>
      <c r="C1941" s="245"/>
      <c r="D1941" s="245"/>
      <c r="E1941" s="245"/>
      <c r="F1941" s="316"/>
      <c r="G1941" s="245"/>
      <c r="H1941" s="385"/>
      <c r="I1941" s="245"/>
      <c r="L1941" s="91"/>
      <c r="O1941" s="413"/>
      <c r="Q1941" s="415"/>
      <c r="R1941" s="416"/>
      <c r="S1941" s="420"/>
      <c r="T1941" s="384" ph="1"/>
      <c r="V1941" s="421"/>
      <c r="W1941" s="257"/>
      <c r="X1941" s="429"/>
      <c r="Y1941" s="257"/>
      <c r="Z1941" s="257"/>
      <c r="AC1941" s="357"/>
      <c r="AD1941" s="257"/>
      <c r="AE1941" s="245"/>
      <c r="AF1941" s="246"/>
    </row>
    <row r="1942" spans="1:32" ht="26.25">
      <c r="A1942" s="385"/>
      <c r="B1942" s="245"/>
      <c r="C1942" s="245"/>
      <c r="D1942" s="245"/>
      <c r="E1942" s="245"/>
      <c r="F1942" s="316"/>
      <c r="G1942" s="245"/>
      <c r="H1942" s="385"/>
      <c r="I1942" s="245"/>
      <c r="L1942" s="91"/>
      <c r="O1942" s="413"/>
      <c r="Q1942" s="415"/>
      <c r="R1942" s="416"/>
      <c r="S1942" s="420"/>
      <c r="T1942" s="384" ph="1"/>
      <c r="V1942" s="421"/>
      <c r="W1942" s="257"/>
      <c r="X1942" s="429"/>
      <c r="Y1942" s="257"/>
      <c r="Z1942" s="257"/>
      <c r="AC1942" s="357"/>
      <c r="AD1942" s="257"/>
      <c r="AE1942" s="245"/>
      <c r="AF1942" s="246"/>
    </row>
    <row r="1943" spans="1:32" ht="26.25">
      <c r="A1943" s="385"/>
      <c r="B1943" s="245"/>
      <c r="C1943" s="245"/>
      <c r="D1943" s="245"/>
      <c r="E1943" s="245"/>
      <c r="F1943" s="316"/>
      <c r="G1943" s="245"/>
      <c r="H1943" s="385"/>
      <c r="I1943" s="245"/>
      <c r="L1943" s="91"/>
      <c r="O1943" s="413"/>
      <c r="Q1943" s="415"/>
      <c r="R1943" s="416"/>
      <c r="S1943" s="420"/>
      <c r="T1943" s="384" ph="1"/>
      <c r="V1943" s="421"/>
      <c r="W1943" s="257"/>
      <c r="X1943" s="429"/>
      <c r="Y1943" s="257"/>
      <c r="Z1943" s="257"/>
      <c r="AC1943" s="357"/>
      <c r="AD1943" s="257"/>
      <c r="AE1943" s="245"/>
      <c r="AF1943" s="246"/>
    </row>
    <row r="1944" spans="1:32" ht="26.25">
      <c r="A1944" s="385"/>
      <c r="B1944" s="245"/>
      <c r="C1944" s="245"/>
      <c r="D1944" s="245"/>
      <c r="E1944" s="245"/>
      <c r="F1944" s="316"/>
      <c r="G1944" s="245"/>
      <c r="H1944" s="385"/>
      <c r="I1944" s="245"/>
      <c r="L1944" s="91"/>
      <c r="O1944" s="413"/>
      <c r="Q1944" s="415"/>
      <c r="R1944" s="416"/>
      <c r="S1944" s="420"/>
      <c r="T1944" s="384" ph="1"/>
      <c r="V1944" s="421"/>
      <c r="W1944" s="257"/>
      <c r="X1944" s="429"/>
      <c r="Y1944" s="257"/>
      <c r="Z1944" s="257"/>
      <c r="AC1944" s="357"/>
      <c r="AD1944" s="257"/>
      <c r="AE1944" s="245"/>
      <c r="AF1944" s="246"/>
    </row>
    <row r="1945" spans="1:32" ht="26.25">
      <c r="A1945" s="385"/>
      <c r="B1945" s="245"/>
      <c r="C1945" s="245"/>
      <c r="D1945" s="245"/>
      <c r="E1945" s="245"/>
      <c r="F1945" s="316"/>
      <c r="G1945" s="245"/>
      <c r="H1945" s="385"/>
      <c r="I1945" s="245"/>
      <c r="L1945" s="91"/>
      <c r="O1945" s="413"/>
      <c r="Q1945" s="415"/>
      <c r="R1945" s="416"/>
      <c r="S1945" s="420"/>
      <c r="T1945" s="384" ph="1"/>
      <c r="V1945" s="421"/>
      <c r="W1945" s="257"/>
      <c r="X1945" s="429"/>
      <c r="Y1945" s="257"/>
      <c r="Z1945" s="257"/>
      <c r="AC1945" s="357"/>
      <c r="AD1945" s="257"/>
      <c r="AE1945" s="245"/>
      <c r="AF1945" s="246"/>
    </row>
    <row r="1946" spans="1:32" ht="26.25">
      <c r="A1946" s="385"/>
      <c r="B1946" s="245"/>
      <c r="C1946" s="245"/>
      <c r="D1946" s="245"/>
      <c r="E1946" s="245"/>
      <c r="F1946" s="316"/>
      <c r="G1946" s="245"/>
      <c r="H1946" s="385"/>
      <c r="I1946" s="245"/>
      <c r="L1946" s="91"/>
      <c r="O1946" s="413"/>
      <c r="Q1946" s="415"/>
      <c r="R1946" s="416"/>
      <c r="S1946" s="420"/>
      <c r="T1946" s="384" ph="1"/>
      <c r="V1946" s="421"/>
      <c r="W1946" s="257"/>
      <c r="X1946" s="429"/>
      <c r="Y1946" s="257"/>
      <c r="Z1946" s="257"/>
      <c r="AC1946" s="357"/>
      <c r="AD1946" s="257"/>
      <c r="AE1946" s="245"/>
      <c r="AF1946" s="246"/>
    </row>
    <row r="1947" spans="1:32" ht="26.25">
      <c r="A1947" s="385"/>
      <c r="B1947" s="245"/>
      <c r="C1947" s="245"/>
      <c r="D1947" s="245"/>
      <c r="E1947" s="245"/>
      <c r="F1947" s="316"/>
      <c r="G1947" s="245"/>
      <c r="H1947" s="385"/>
      <c r="I1947" s="245"/>
      <c r="L1947" s="407"/>
      <c r="O1947" s="413"/>
      <c r="Q1947" s="415"/>
      <c r="R1947" s="416"/>
      <c r="S1947" s="420"/>
      <c r="T1947" s="384" ph="1"/>
      <c r="V1947" s="421"/>
      <c r="W1947" s="257"/>
      <c r="X1947" s="429"/>
      <c r="Y1947" s="257"/>
      <c r="Z1947" s="257"/>
      <c r="AC1947" s="357"/>
      <c r="AD1947" s="257"/>
      <c r="AE1947" s="245"/>
      <c r="AF1947" s="246"/>
    </row>
    <row r="1948" spans="1:32" ht="26.25">
      <c r="A1948" s="385"/>
      <c r="B1948" s="245"/>
      <c r="C1948" s="245"/>
      <c r="D1948" s="245"/>
      <c r="E1948" s="245"/>
      <c r="F1948" s="316"/>
      <c r="G1948" s="245"/>
      <c r="H1948" s="385"/>
      <c r="I1948" s="245"/>
      <c r="L1948" s="407"/>
      <c r="O1948" s="413"/>
      <c r="Q1948" s="415"/>
      <c r="R1948" s="416"/>
      <c r="S1948" s="420"/>
      <c r="T1948" s="384" ph="1"/>
      <c r="V1948" s="421"/>
      <c r="W1948" s="257"/>
      <c r="X1948" s="429"/>
      <c r="Y1948" s="257"/>
      <c r="Z1948" s="257"/>
      <c r="AC1948" s="357"/>
      <c r="AD1948" s="257"/>
      <c r="AE1948" s="245"/>
      <c r="AF1948" s="246"/>
    </row>
    <row r="1949" spans="1:32" ht="26.25">
      <c r="A1949" s="385"/>
      <c r="B1949" s="245"/>
      <c r="C1949" s="245"/>
      <c r="D1949" s="245"/>
      <c r="E1949" s="245"/>
      <c r="F1949" s="316"/>
      <c r="G1949" s="245"/>
      <c r="H1949" s="385"/>
      <c r="I1949" s="245"/>
      <c r="L1949" s="91"/>
      <c r="O1949" s="413"/>
      <c r="Q1949" s="415"/>
      <c r="R1949" s="416"/>
      <c r="S1949" s="420"/>
      <c r="T1949" s="384" ph="1"/>
      <c r="V1949" s="421"/>
      <c r="W1949" s="257"/>
      <c r="X1949" s="429"/>
      <c r="Y1949" s="257"/>
      <c r="Z1949" s="257"/>
      <c r="AC1949" s="357"/>
      <c r="AD1949" s="257"/>
      <c r="AE1949" s="245"/>
      <c r="AF1949" s="246"/>
    </row>
    <row r="1950" spans="1:32" ht="26.25">
      <c r="A1950" s="385"/>
      <c r="B1950" s="245"/>
      <c r="C1950" s="245"/>
      <c r="D1950" s="245"/>
      <c r="E1950" s="245"/>
      <c r="F1950" s="316"/>
      <c r="G1950" s="245"/>
      <c r="H1950" s="385"/>
      <c r="I1950" s="245"/>
      <c r="L1950" s="91"/>
      <c r="O1950" s="413"/>
      <c r="Q1950" s="415"/>
      <c r="R1950" s="416"/>
      <c r="S1950" s="420"/>
      <c r="T1950" s="384" ph="1"/>
      <c r="V1950" s="421"/>
      <c r="W1950" s="257"/>
      <c r="X1950" s="429"/>
      <c r="Y1950" s="257"/>
      <c r="Z1950" s="257"/>
      <c r="AC1950" s="357"/>
      <c r="AD1950" s="257"/>
      <c r="AE1950" s="245"/>
      <c r="AF1950" s="246"/>
    </row>
    <row r="1951" spans="1:32" ht="26.25">
      <c r="A1951" s="385"/>
      <c r="B1951" s="245"/>
      <c r="C1951" s="245"/>
      <c r="D1951" s="245"/>
      <c r="E1951" s="245"/>
      <c r="F1951" s="316"/>
      <c r="G1951" s="245"/>
      <c r="H1951" s="385"/>
      <c r="I1951" s="245"/>
      <c r="L1951" s="91"/>
      <c r="O1951" s="413"/>
      <c r="Q1951" s="415"/>
      <c r="R1951" s="416"/>
      <c r="S1951" s="420"/>
      <c r="T1951" s="384" ph="1"/>
      <c r="V1951" s="421"/>
      <c r="W1951" s="257"/>
      <c r="X1951" s="429"/>
      <c r="Y1951" s="257"/>
      <c r="Z1951" s="257"/>
      <c r="AC1951" s="357"/>
      <c r="AD1951" s="257"/>
      <c r="AE1951" s="245"/>
      <c r="AF1951" s="246"/>
    </row>
    <row r="1952" spans="1:32" ht="26.25">
      <c r="A1952" s="385"/>
      <c r="B1952" s="245"/>
      <c r="C1952" s="245"/>
      <c r="D1952" s="245"/>
      <c r="E1952" s="245"/>
      <c r="F1952" s="316"/>
      <c r="G1952" s="245"/>
      <c r="H1952" s="385"/>
      <c r="I1952" s="245"/>
      <c r="L1952" s="91"/>
      <c r="O1952" s="413"/>
      <c r="Q1952" s="415"/>
      <c r="R1952" s="416"/>
      <c r="S1952" s="420"/>
      <c r="T1952" s="384" ph="1"/>
      <c r="V1952" s="421"/>
      <c r="W1952" s="257"/>
      <c r="X1952" s="429"/>
      <c r="Y1952" s="257"/>
      <c r="Z1952" s="257"/>
      <c r="AC1952" s="357"/>
      <c r="AD1952" s="257"/>
      <c r="AE1952" s="245"/>
      <c r="AF1952" s="246"/>
    </row>
    <row r="1953" spans="1:32" ht="26.25">
      <c r="A1953" s="385"/>
      <c r="B1953" s="245"/>
      <c r="C1953" s="245"/>
      <c r="D1953" s="245"/>
      <c r="E1953" s="245"/>
      <c r="F1953" s="316"/>
      <c r="G1953" s="245"/>
      <c r="H1953" s="385"/>
      <c r="I1953" s="245"/>
      <c r="L1953" s="91"/>
      <c r="O1953" s="413"/>
      <c r="Q1953" s="415"/>
      <c r="R1953" s="416"/>
      <c r="S1953" s="420"/>
      <c r="T1953" s="384" ph="1"/>
      <c r="V1953" s="421"/>
      <c r="W1953" s="257"/>
      <c r="X1953" s="429"/>
      <c r="Y1953" s="257"/>
      <c r="Z1953" s="257"/>
      <c r="AC1953" s="357"/>
      <c r="AD1953" s="257"/>
      <c r="AE1953" s="245"/>
      <c r="AF1953" s="246"/>
    </row>
    <row r="1954" spans="1:32" ht="26.25">
      <c r="A1954" s="385"/>
      <c r="B1954" s="245"/>
      <c r="C1954" s="245"/>
      <c r="D1954" s="245"/>
      <c r="E1954" s="245"/>
      <c r="F1954" s="316"/>
      <c r="G1954" s="245"/>
      <c r="H1954" s="385"/>
      <c r="I1954" s="245"/>
      <c r="L1954" s="91"/>
      <c r="O1954" s="413"/>
      <c r="Q1954" s="415"/>
      <c r="R1954" s="416"/>
      <c r="S1954" s="420"/>
      <c r="T1954" s="384" ph="1"/>
      <c r="V1954" s="421"/>
      <c r="W1954" s="257"/>
      <c r="X1954" s="429"/>
      <c r="Y1954" s="257"/>
      <c r="Z1954" s="257"/>
      <c r="AC1954" s="357"/>
      <c r="AD1954" s="257"/>
      <c r="AE1954" s="245"/>
      <c r="AF1954" s="246"/>
    </row>
    <row r="1955" spans="1:32" ht="26.25">
      <c r="A1955" s="385"/>
      <c r="B1955" s="245"/>
      <c r="C1955" s="245"/>
      <c r="D1955" s="245"/>
      <c r="E1955" s="245"/>
      <c r="F1955" s="316"/>
      <c r="G1955" s="245"/>
      <c r="H1955" s="385"/>
      <c r="I1955" s="245"/>
      <c r="L1955" s="91"/>
      <c r="O1955" s="413"/>
      <c r="Q1955" s="415"/>
      <c r="R1955" s="416"/>
      <c r="S1955" s="420"/>
      <c r="T1955" s="384" ph="1"/>
      <c r="V1955" s="421"/>
      <c r="W1955" s="257"/>
      <c r="X1955" s="429"/>
      <c r="Y1955" s="257"/>
      <c r="Z1955" s="257"/>
      <c r="AC1955" s="357"/>
      <c r="AD1955" s="257"/>
      <c r="AE1955" s="245"/>
      <c r="AF1955" s="246"/>
    </row>
    <row r="1956" spans="1:32" ht="26.25">
      <c r="A1956" s="385"/>
      <c r="B1956" s="245"/>
      <c r="C1956" s="245"/>
      <c r="D1956" s="245"/>
      <c r="E1956" s="245"/>
      <c r="F1956" s="316"/>
      <c r="G1956" s="245"/>
      <c r="H1956" s="385"/>
      <c r="I1956" s="245"/>
      <c r="L1956" s="91"/>
      <c r="O1956" s="413"/>
      <c r="Q1956" s="415"/>
      <c r="R1956" s="416"/>
      <c r="S1956" s="420"/>
      <c r="T1956" s="384" ph="1"/>
      <c r="V1956" s="421"/>
      <c r="W1956" s="257"/>
      <c r="X1956" s="429"/>
      <c r="Y1956" s="257"/>
      <c r="Z1956" s="257"/>
      <c r="AC1956" s="357"/>
      <c r="AD1956" s="257"/>
      <c r="AE1956" s="245"/>
      <c r="AF1956" s="246"/>
    </row>
    <row r="1957" spans="1:32" ht="26.25">
      <c r="A1957" s="385"/>
      <c r="B1957" s="245"/>
      <c r="C1957" s="245"/>
      <c r="D1957" s="245"/>
      <c r="E1957" s="245"/>
      <c r="F1957" s="316"/>
      <c r="G1957" s="245"/>
      <c r="H1957" s="385"/>
      <c r="I1957" s="245"/>
      <c r="L1957" s="407"/>
      <c r="O1957" s="413"/>
      <c r="Q1957" s="415"/>
      <c r="R1957" s="416"/>
      <c r="S1957" s="420"/>
      <c r="T1957" s="384" ph="1"/>
      <c r="V1957" s="421"/>
      <c r="W1957" s="257"/>
      <c r="X1957" s="429"/>
      <c r="Y1957" s="257"/>
      <c r="Z1957" s="257"/>
      <c r="AC1957" s="357"/>
      <c r="AD1957" s="257"/>
      <c r="AE1957" s="245"/>
      <c r="AF1957" s="246"/>
    </row>
    <row r="1958" spans="1:32" ht="26.25">
      <c r="A1958" s="385"/>
      <c r="B1958" s="245"/>
      <c r="C1958" s="245"/>
      <c r="D1958" s="245"/>
      <c r="E1958" s="245"/>
      <c r="F1958" s="316"/>
      <c r="G1958" s="245"/>
      <c r="H1958" s="385"/>
      <c r="I1958" s="245"/>
      <c r="L1958" s="91"/>
      <c r="O1958" s="413"/>
      <c r="Q1958" s="415"/>
      <c r="R1958" s="416"/>
      <c r="S1958" s="420"/>
      <c r="T1958" s="384" ph="1"/>
      <c r="V1958" s="421"/>
      <c r="W1958" s="257"/>
      <c r="X1958" s="429"/>
      <c r="Y1958" s="257"/>
      <c r="Z1958" s="257"/>
      <c r="AC1958" s="357"/>
      <c r="AD1958" s="257"/>
      <c r="AE1958" s="245"/>
      <c r="AF1958" s="246"/>
    </row>
    <row r="1959" spans="1:32" ht="26.25">
      <c r="A1959" s="385"/>
      <c r="B1959" s="245"/>
      <c r="C1959" s="245"/>
      <c r="D1959" s="245"/>
      <c r="E1959" s="245"/>
      <c r="F1959" s="316"/>
      <c r="G1959" s="245"/>
      <c r="H1959" s="385"/>
      <c r="I1959" s="245"/>
      <c r="L1959" s="91"/>
      <c r="O1959" s="413"/>
      <c r="Q1959" s="415"/>
      <c r="R1959" s="416"/>
      <c r="S1959" s="420"/>
      <c r="T1959" s="384" ph="1"/>
      <c r="V1959" s="421"/>
      <c r="W1959" s="257"/>
      <c r="X1959" s="429"/>
      <c r="Y1959" s="257"/>
      <c r="Z1959" s="257"/>
      <c r="AC1959" s="357"/>
      <c r="AD1959" s="257"/>
      <c r="AE1959" s="245"/>
      <c r="AF1959" s="246"/>
    </row>
    <row r="1960" spans="1:32" ht="26.25">
      <c r="A1960" s="385"/>
      <c r="B1960" s="245"/>
      <c r="C1960" s="245"/>
      <c r="D1960" s="245"/>
      <c r="E1960" s="245"/>
      <c r="F1960" s="316"/>
      <c r="G1960" s="245"/>
      <c r="H1960" s="385"/>
      <c r="I1960" s="245"/>
      <c r="L1960" s="91"/>
      <c r="O1960" s="413"/>
      <c r="Q1960" s="415"/>
      <c r="R1960" s="416"/>
      <c r="S1960" s="420"/>
      <c r="T1960" s="384" ph="1"/>
      <c r="V1960" s="421"/>
      <c r="W1960" s="257"/>
      <c r="X1960" s="429"/>
      <c r="Y1960" s="257"/>
      <c r="Z1960" s="257"/>
      <c r="AC1960" s="357"/>
      <c r="AD1960" s="257"/>
      <c r="AE1960" s="245"/>
      <c r="AF1960" s="246"/>
    </row>
    <row r="1961" spans="1:32" ht="26.25">
      <c r="A1961" s="385"/>
      <c r="B1961" s="245"/>
      <c r="C1961" s="245"/>
      <c r="D1961" s="245"/>
      <c r="E1961" s="245"/>
      <c r="F1961" s="316"/>
      <c r="G1961" s="245"/>
      <c r="H1961" s="385"/>
      <c r="I1961" s="245"/>
      <c r="L1961" s="91"/>
      <c r="O1961" s="413"/>
      <c r="Q1961" s="415"/>
      <c r="R1961" s="416"/>
      <c r="S1961" s="420"/>
      <c r="T1961" s="384" ph="1"/>
      <c r="V1961" s="421"/>
      <c r="W1961" s="257"/>
      <c r="X1961" s="429"/>
      <c r="Y1961" s="257"/>
      <c r="Z1961" s="257"/>
      <c r="AC1961" s="357"/>
      <c r="AD1961" s="257"/>
      <c r="AE1961" s="245"/>
      <c r="AF1961" s="246"/>
    </row>
    <row r="1962" spans="1:32" ht="26.25">
      <c r="A1962" s="385"/>
      <c r="B1962" s="245"/>
      <c r="C1962" s="245"/>
      <c r="D1962" s="245"/>
      <c r="E1962" s="245"/>
      <c r="F1962" s="316"/>
      <c r="G1962" s="245"/>
      <c r="H1962" s="385"/>
      <c r="I1962" s="245"/>
      <c r="L1962" s="91"/>
      <c r="O1962" s="413"/>
      <c r="Q1962" s="415"/>
      <c r="R1962" s="416"/>
      <c r="S1962" s="420"/>
      <c r="T1962" s="384" ph="1"/>
      <c r="V1962" s="421"/>
      <c r="W1962" s="257"/>
      <c r="X1962" s="429"/>
      <c r="Y1962" s="257"/>
      <c r="Z1962" s="257"/>
      <c r="AC1962" s="357"/>
      <c r="AD1962" s="257"/>
      <c r="AE1962" s="245"/>
      <c r="AF1962" s="246"/>
    </row>
    <row r="1963" spans="1:32" ht="26.25">
      <c r="A1963" s="385"/>
      <c r="B1963" s="245"/>
      <c r="C1963" s="245"/>
      <c r="D1963" s="245"/>
      <c r="E1963" s="245"/>
      <c r="F1963" s="316"/>
      <c r="G1963" s="245"/>
      <c r="H1963" s="385"/>
      <c r="I1963" s="245"/>
      <c r="L1963" s="91"/>
      <c r="O1963" s="413"/>
      <c r="Q1963" s="415"/>
      <c r="R1963" s="416"/>
      <c r="S1963" s="420"/>
      <c r="T1963" s="384" ph="1"/>
      <c r="V1963" s="421"/>
      <c r="W1963" s="257"/>
      <c r="X1963" s="429"/>
      <c r="Y1963" s="257"/>
      <c r="Z1963" s="257"/>
      <c r="AC1963" s="357"/>
      <c r="AD1963" s="257"/>
      <c r="AE1963" s="245"/>
      <c r="AF1963" s="246"/>
    </row>
    <row r="1964" spans="1:32" ht="26.25">
      <c r="A1964" s="385"/>
      <c r="B1964" s="245"/>
      <c r="C1964" s="245"/>
      <c r="D1964" s="245"/>
      <c r="E1964" s="245"/>
      <c r="F1964" s="316"/>
      <c r="G1964" s="245"/>
      <c r="H1964" s="385"/>
      <c r="I1964" s="245"/>
      <c r="L1964" s="91"/>
      <c r="O1964" s="413"/>
      <c r="Q1964" s="415"/>
      <c r="R1964" s="416"/>
      <c r="S1964" s="420"/>
      <c r="T1964" s="384" ph="1"/>
      <c r="V1964" s="421"/>
      <c r="W1964" s="257"/>
      <c r="X1964" s="429"/>
      <c r="Y1964" s="257"/>
      <c r="Z1964" s="257"/>
      <c r="AC1964" s="357"/>
      <c r="AD1964" s="257"/>
      <c r="AE1964" s="245"/>
      <c r="AF1964" s="246"/>
    </row>
    <row r="1965" spans="1:32" ht="26.25">
      <c r="A1965" s="385"/>
      <c r="B1965" s="245"/>
      <c r="C1965" s="245"/>
      <c r="D1965" s="245"/>
      <c r="E1965" s="245"/>
      <c r="F1965" s="316"/>
      <c r="G1965" s="245"/>
      <c r="H1965" s="385"/>
      <c r="I1965" s="245"/>
      <c r="L1965" s="91"/>
      <c r="O1965" s="413"/>
      <c r="Q1965" s="415"/>
      <c r="R1965" s="416"/>
      <c r="S1965" s="420"/>
      <c r="T1965" s="384" ph="1"/>
      <c r="V1965" s="421"/>
      <c r="W1965" s="257"/>
      <c r="X1965" s="429"/>
      <c r="Y1965" s="257"/>
      <c r="Z1965" s="257"/>
      <c r="AC1965" s="357"/>
      <c r="AD1965" s="257"/>
      <c r="AE1965" s="245"/>
      <c r="AF1965" s="246"/>
    </row>
    <row r="1966" spans="1:32" ht="26.25">
      <c r="A1966" s="385"/>
      <c r="B1966" s="245"/>
      <c r="C1966" s="245"/>
      <c r="D1966" s="245"/>
      <c r="E1966" s="245"/>
      <c r="F1966" s="316"/>
      <c r="G1966" s="245"/>
      <c r="H1966" s="385"/>
      <c r="I1966" s="245"/>
      <c r="L1966" s="91"/>
      <c r="O1966" s="413"/>
      <c r="Q1966" s="415"/>
      <c r="R1966" s="416"/>
      <c r="S1966" s="420"/>
      <c r="T1966" s="384" ph="1"/>
      <c r="V1966" s="421"/>
      <c r="W1966" s="257"/>
      <c r="X1966" s="429"/>
      <c r="Y1966" s="257"/>
      <c r="Z1966" s="257"/>
      <c r="AC1966" s="357"/>
      <c r="AD1966" s="257"/>
      <c r="AE1966" s="245"/>
      <c r="AF1966" s="246"/>
    </row>
    <row r="1967" spans="1:32" ht="26.25">
      <c r="A1967" s="385"/>
      <c r="B1967" s="245"/>
      <c r="C1967" s="245"/>
      <c r="D1967" s="245"/>
      <c r="E1967" s="245"/>
      <c r="F1967" s="316"/>
      <c r="G1967" s="245"/>
      <c r="H1967" s="385"/>
      <c r="I1967" s="245"/>
      <c r="L1967" s="407"/>
      <c r="O1967" s="413"/>
      <c r="Q1967" s="415"/>
      <c r="R1967" s="416"/>
      <c r="S1967" s="420"/>
      <c r="T1967" s="384" ph="1"/>
      <c r="V1967" s="421"/>
      <c r="W1967" s="257"/>
      <c r="X1967" s="429"/>
      <c r="Y1967" s="257"/>
      <c r="Z1967" s="257"/>
      <c r="AC1967" s="357"/>
      <c r="AD1967" s="257"/>
      <c r="AE1967" s="245"/>
      <c r="AF1967" s="246"/>
    </row>
    <row r="1968" spans="1:32" ht="26.25">
      <c r="A1968" s="385"/>
      <c r="B1968" s="245"/>
      <c r="C1968" s="245"/>
      <c r="D1968" s="245"/>
      <c r="E1968" s="245"/>
      <c r="F1968" s="316"/>
      <c r="G1968" s="245"/>
      <c r="H1968" s="385"/>
      <c r="I1968" s="245"/>
      <c r="L1968" s="91"/>
      <c r="O1968" s="413"/>
      <c r="Q1968" s="415"/>
      <c r="R1968" s="416"/>
      <c r="S1968" s="420"/>
      <c r="T1968" s="384" ph="1"/>
      <c r="V1968" s="421"/>
      <c r="W1968" s="257"/>
      <c r="X1968" s="429"/>
      <c r="Y1968" s="257"/>
      <c r="Z1968" s="257"/>
      <c r="AC1968" s="357"/>
      <c r="AD1968" s="257"/>
      <c r="AE1968" s="245"/>
      <c r="AF1968" s="246"/>
    </row>
    <row r="1969" spans="1:32" ht="26.25">
      <c r="A1969" s="385"/>
      <c r="B1969" s="245"/>
      <c r="C1969" s="245"/>
      <c r="D1969" s="245"/>
      <c r="E1969" s="245"/>
      <c r="F1969" s="316"/>
      <c r="G1969" s="245"/>
      <c r="H1969" s="385"/>
      <c r="I1969" s="245"/>
      <c r="L1969" s="91"/>
      <c r="O1969" s="413"/>
      <c r="Q1969" s="415"/>
      <c r="R1969" s="416"/>
      <c r="S1969" s="420"/>
      <c r="T1969" s="384" ph="1"/>
      <c r="V1969" s="421"/>
      <c r="W1969" s="257"/>
      <c r="X1969" s="429"/>
      <c r="Y1969" s="257"/>
      <c r="Z1969" s="257"/>
      <c r="AC1969" s="357"/>
      <c r="AD1969" s="257"/>
      <c r="AE1969" s="245"/>
      <c r="AF1969" s="246"/>
    </row>
    <row r="1970" spans="1:32" ht="26.25">
      <c r="A1970" s="385"/>
      <c r="B1970" s="245"/>
      <c r="C1970" s="245"/>
      <c r="D1970" s="245"/>
      <c r="E1970" s="245"/>
      <c r="F1970" s="316"/>
      <c r="G1970" s="245"/>
      <c r="H1970" s="385"/>
      <c r="I1970" s="245"/>
      <c r="L1970" s="91"/>
      <c r="O1970" s="413"/>
      <c r="Q1970" s="415"/>
      <c r="R1970" s="416"/>
      <c r="S1970" s="420"/>
      <c r="T1970" s="384" ph="1"/>
      <c r="V1970" s="421"/>
      <c r="W1970" s="257"/>
      <c r="X1970" s="429"/>
      <c r="Y1970" s="257"/>
      <c r="Z1970" s="257"/>
      <c r="AC1970" s="357"/>
      <c r="AD1970" s="257"/>
      <c r="AE1970" s="245"/>
      <c r="AF1970" s="246"/>
    </row>
    <row r="1971" spans="1:32" ht="26.25">
      <c r="A1971" s="385"/>
      <c r="B1971" s="245"/>
      <c r="C1971" s="245"/>
      <c r="D1971" s="245"/>
      <c r="E1971" s="245"/>
      <c r="F1971" s="316"/>
      <c r="G1971" s="245"/>
      <c r="H1971" s="385"/>
      <c r="I1971" s="245"/>
      <c r="L1971" s="407"/>
      <c r="O1971" s="413"/>
      <c r="Q1971" s="415"/>
      <c r="R1971" s="416"/>
      <c r="S1971" s="420"/>
      <c r="T1971" s="384" ph="1"/>
      <c r="V1971" s="421"/>
      <c r="W1971" s="257"/>
      <c r="X1971" s="429"/>
      <c r="Y1971" s="257"/>
      <c r="Z1971" s="257"/>
      <c r="AC1971" s="357"/>
      <c r="AD1971" s="257"/>
      <c r="AE1971" s="245"/>
      <c r="AF1971" s="246"/>
    </row>
    <row r="1972" spans="1:32" ht="26.25">
      <c r="A1972" s="385"/>
      <c r="B1972" s="245"/>
      <c r="C1972" s="245"/>
      <c r="D1972" s="245"/>
      <c r="E1972" s="245"/>
      <c r="F1972" s="316"/>
      <c r="G1972" s="245"/>
      <c r="H1972" s="385"/>
      <c r="I1972" s="245"/>
      <c r="L1972" s="91"/>
      <c r="O1972" s="413"/>
      <c r="Q1972" s="415"/>
      <c r="R1972" s="416"/>
      <c r="S1972" s="420"/>
      <c r="T1972" s="384" ph="1"/>
      <c r="V1972" s="421"/>
      <c r="W1972" s="257"/>
      <c r="X1972" s="429"/>
      <c r="Y1972" s="257"/>
      <c r="Z1972" s="257"/>
      <c r="AC1972" s="357"/>
      <c r="AD1972" s="257"/>
      <c r="AE1972" s="245"/>
      <c r="AF1972" s="246"/>
    </row>
    <row r="1973" spans="1:32" ht="26.25">
      <c r="A1973" s="385"/>
      <c r="B1973" s="245"/>
      <c r="C1973" s="245"/>
      <c r="D1973" s="245"/>
      <c r="E1973" s="245"/>
      <c r="F1973" s="316"/>
      <c r="G1973" s="245"/>
      <c r="H1973" s="385"/>
      <c r="I1973" s="245"/>
      <c r="L1973" s="91"/>
      <c r="O1973" s="413"/>
      <c r="Q1973" s="415"/>
      <c r="R1973" s="416"/>
      <c r="S1973" s="420"/>
      <c r="T1973" s="384" ph="1"/>
      <c r="V1973" s="421"/>
      <c r="W1973" s="257"/>
      <c r="X1973" s="429"/>
      <c r="Y1973" s="257"/>
      <c r="Z1973" s="257"/>
      <c r="AC1973" s="357"/>
      <c r="AD1973" s="257"/>
      <c r="AE1973" s="245"/>
      <c r="AF1973" s="246"/>
    </row>
    <row r="1974" spans="1:32" ht="26.25">
      <c r="A1974" s="385"/>
      <c r="B1974" s="245"/>
      <c r="C1974" s="245"/>
      <c r="D1974" s="245"/>
      <c r="E1974" s="245"/>
      <c r="F1974" s="316"/>
      <c r="G1974" s="245"/>
      <c r="H1974" s="385"/>
      <c r="I1974" s="245"/>
      <c r="L1974" s="91"/>
      <c r="O1974" s="413"/>
      <c r="Q1974" s="415"/>
      <c r="R1974" s="416"/>
      <c r="S1974" s="420"/>
      <c r="T1974" s="384" ph="1"/>
      <c r="V1974" s="421"/>
      <c r="W1974" s="257"/>
      <c r="X1974" s="429"/>
      <c r="Y1974" s="257"/>
      <c r="Z1974" s="257"/>
      <c r="AC1974" s="357"/>
      <c r="AD1974" s="257"/>
      <c r="AE1974" s="245"/>
      <c r="AF1974" s="246"/>
    </row>
    <row r="1975" spans="1:32" ht="26.25">
      <c r="A1975" s="385"/>
      <c r="B1975" s="245"/>
      <c r="C1975" s="245"/>
      <c r="D1975" s="245"/>
      <c r="E1975" s="245"/>
      <c r="F1975" s="316"/>
      <c r="G1975" s="245"/>
      <c r="H1975" s="385"/>
      <c r="I1975" s="245"/>
      <c r="L1975" s="91"/>
      <c r="O1975" s="413"/>
      <c r="Q1975" s="415"/>
      <c r="R1975" s="416"/>
      <c r="S1975" s="420"/>
      <c r="T1975" s="384" ph="1"/>
      <c r="V1975" s="421"/>
      <c r="W1975" s="257"/>
      <c r="X1975" s="429"/>
      <c r="Y1975" s="257"/>
      <c r="Z1975" s="257"/>
      <c r="AC1975" s="357"/>
      <c r="AD1975" s="257"/>
      <c r="AE1975" s="245"/>
      <c r="AF1975" s="246"/>
    </row>
    <row r="1976" spans="1:32" ht="26.25">
      <c r="A1976" s="385"/>
      <c r="B1976" s="245"/>
      <c r="C1976" s="245"/>
      <c r="D1976" s="245"/>
      <c r="E1976" s="245"/>
      <c r="F1976" s="316"/>
      <c r="G1976" s="245"/>
      <c r="H1976" s="385"/>
      <c r="I1976" s="245"/>
      <c r="L1976" s="91"/>
      <c r="O1976" s="413"/>
      <c r="Q1976" s="415"/>
      <c r="R1976" s="416"/>
      <c r="S1976" s="420"/>
      <c r="T1976" s="384" ph="1"/>
      <c r="V1976" s="421"/>
      <c r="W1976" s="257"/>
      <c r="X1976" s="429"/>
      <c r="Y1976" s="257"/>
      <c r="Z1976" s="257"/>
      <c r="AC1976" s="357"/>
      <c r="AD1976" s="257"/>
      <c r="AE1976" s="245"/>
      <c r="AF1976" s="246"/>
    </row>
    <row r="1977" spans="1:32" ht="26.25">
      <c r="A1977" s="385"/>
      <c r="B1977" s="245"/>
      <c r="C1977" s="245"/>
      <c r="D1977" s="245"/>
      <c r="E1977" s="245"/>
      <c r="F1977" s="316"/>
      <c r="G1977" s="245"/>
      <c r="H1977" s="385"/>
      <c r="I1977" s="245"/>
      <c r="L1977" s="91"/>
      <c r="O1977" s="413"/>
      <c r="Q1977" s="415"/>
      <c r="R1977" s="416"/>
      <c r="S1977" s="420"/>
      <c r="T1977" s="384" ph="1"/>
      <c r="V1977" s="421"/>
      <c r="W1977" s="257"/>
      <c r="X1977" s="429"/>
      <c r="Y1977" s="257"/>
      <c r="Z1977" s="257"/>
      <c r="AC1977" s="357"/>
      <c r="AD1977" s="257"/>
      <c r="AE1977" s="245"/>
      <c r="AF1977" s="246"/>
    </row>
    <row r="1978" spans="1:32" ht="26.25">
      <c r="A1978" s="385"/>
      <c r="B1978" s="245"/>
      <c r="C1978" s="245"/>
      <c r="D1978" s="245"/>
      <c r="E1978" s="245"/>
      <c r="F1978" s="316"/>
      <c r="G1978" s="245"/>
      <c r="H1978" s="385"/>
      <c r="I1978" s="245"/>
      <c r="L1978" s="91"/>
      <c r="O1978" s="413"/>
      <c r="Q1978" s="415"/>
      <c r="R1978" s="416"/>
      <c r="S1978" s="420"/>
      <c r="T1978" s="384" ph="1"/>
      <c r="V1978" s="421"/>
      <c r="W1978" s="257"/>
      <c r="X1978" s="429"/>
      <c r="Y1978" s="257"/>
      <c r="Z1978" s="257"/>
      <c r="AC1978" s="357"/>
      <c r="AD1978" s="257"/>
      <c r="AE1978" s="245"/>
      <c r="AF1978" s="246"/>
    </row>
    <row r="1979" spans="1:32" ht="26.25">
      <c r="A1979" s="385"/>
      <c r="B1979" s="245"/>
      <c r="C1979" s="245"/>
      <c r="D1979" s="245"/>
      <c r="E1979" s="245"/>
      <c r="F1979" s="316"/>
      <c r="G1979" s="245"/>
      <c r="H1979" s="385"/>
      <c r="I1979" s="245"/>
      <c r="L1979" s="91"/>
      <c r="O1979" s="413"/>
      <c r="Q1979" s="415"/>
      <c r="R1979" s="416"/>
      <c r="S1979" s="420"/>
      <c r="T1979" s="384" ph="1"/>
      <c r="V1979" s="421"/>
      <c r="W1979" s="257"/>
      <c r="X1979" s="429"/>
      <c r="Y1979" s="257"/>
      <c r="Z1979" s="257"/>
      <c r="AC1979" s="357"/>
      <c r="AD1979" s="257"/>
      <c r="AE1979" s="245"/>
      <c r="AF1979" s="246"/>
    </row>
    <row r="1980" spans="1:32" ht="26.25">
      <c r="A1980" s="385"/>
      <c r="B1980" s="245"/>
      <c r="C1980" s="245"/>
      <c r="D1980" s="245"/>
      <c r="E1980" s="245"/>
      <c r="F1980" s="316"/>
      <c r="G1980" s="245"/>
      <c r="H1980" s="385"/>
      <c r="I1980" s="245"/>
      <c r="L1980" s="91"/>
      <c r="O1980" s="413"/>
      <c r="Q1980" s="415"/>
      <c r="R1980" s="416"/>
      <c r="S1980" s="420"/>
      <c r="T1980" s="384" ph="1"/>
      <c r="V1980" s="421"/>
      <c r="W1980" s="257"/>
      <c r="X1980" s="429"/>
      <c r="Y1980" s="257"/>
      <c r="Z1980" s="257"/>
      <c r="AC1980" s="357"/>
      <c r="AD1980" s="257"/>
      <c r="AE1980" s="245"/>
      <c r="AF1980" s="246"/>
    </row>
    <row r="1981" spans="1:32" ht="26.25">
      <c r="A1981" s="385"/>
      <c r="B1981" s="245"/>
      <c r="C1981" s="245"/>
      <c r="D1981" s="245"/>
      <c r="E1981" s="245"/>
      <c r="F1981" s="316"/>
      <c r="G1981" s="245"/>
      <c r="H1981" s="385"/>
      <c r="I1981" s="245"/>
      <c r="L1981" s="91"/>
      <c r="O1981" s="413"/>
      <c r="Q1981" s="415"/>
      <c r="R1981" s="416"/>
      <c r="S1981" s="420"/>
      <c r="T1981" s="384" ph="1"/>
      <c r="V1981" s="421"/>
      <c r="W1981" s="257"/>
      <c r="X1981" s="429"/>
      <c r="Y1981" s="257"/>
      <c r="Z1981" s="257"/>
      <c r="AC1981" s="357"/>
      <c r="AD1981" s="257"/>
      <c r="AE1981" s="245"/>
      <c r="AF1981" s="246"/>
    </row>
    <row r="1982" spans="1:32" ht="26.25">
      <c r="A1982" s="385"/>
      <c r="B1982" s="245"/>
      <c r="C1982" s="245"/>
      <c r="D1982" s="245"/>
      <c r="E1982" s="245"/>
      <c r="F1982" s="316"/>
      <c r="G1982" s="245"/>
      <c r="H1982" s="385"/>
      <c r="I1982" s="245"/>
      <c r="L1982" s="91"/>
      <c r="O1982" s="413"/>
      <c r="Q1982" s="415"/>
      <c r="R1982" s="416"/>
      <c r="S1982" s="420"/>
      <c r="T1982" s="384" ph="1"/>
      <c r="V1982" s="421"/>
      <c r="W1982" s="257"/>
      <c r="X1982" s="429"/>
      <c r="Y1982" s="257"/>
      <c r="Z1982" s="257"/>
      <c r="AC1982" s="357"/>
      <c r="AD1982" s="257"/>
      <c r="AE1982" s="245"/>
      <c r="AF1982" s="246"/>
    </row>
    <row r="1983" spans="1:32" ht="26.25">
      <c r="A1983" s="385"/>
      <c r="B1983" s="245"/>
      <c r="C1983" s="245"/>
      <c r="D1983" s="245"/>
      <c r="E1983" s="245"/>
      <c r="F1983" s="316"/>
      <c r="G1983" s="245"/>
      <c r="H1983" s="385"/>
      <c r="I1983" s="245"/>
      <c r="L1983" s="91"/>
      <c r="O1983" s="413"/>
      <c r="Q1983" s="415"/>
      <c r="R1983" s="416"/>
      <c r="S1983" s="420"/>
      <c r="T1983" s="384" ph="1"/>
      <c r="V1983" s="421"/>
      <c r="W1983" s="257"/>
      <c r="X1983" s="429"/>
      <c r="Y1983" s="257"/>
      <c r="Z1983" s="257"/>
      <c r="AC1983" s="357"/>
      <c r="AD1983" s="257"/>
      <c r="AE1983" s="245"/>
      <c r="AF1983" s="246"/>
    </row>
    <row r="1984" spans="1:32" ht="26.25">
      <c r="A1984" s="385"/>
      <c r="B1984" s="245"/>
      <c r="C1984" s="245"/>
      <c r="D1984" s="245"/>
      <c r="E1984" s="245"/>
      <c r="F1984" s="316"/>
      <c r="G1984" s="245"/>
      <c r="H1984" s="385"/>
      <c r="I1984" s="245"/>
      <c r="L1984" s="91"/>
      <c r="O1984" s="413"/>
      <c r="Q1984" s="415"/>
      <c r="R1984" s="416"/>
      <c r="S1984" s="420"/>
      <c r="T1984" s="384" ph="1"/>
      <c r="V1984" s="421"/>
      <c r="W1984" s="257"/>
      <c r="X1984" s="429"/>
      <c r="Y1984" s="257"/>
      <c r="Z1984" s="257"/>
      <c r="AC1984" s="357"/>
      <c r="AD1984" s="257"/>
      <c r="AE1984" s="245"/>
      <c r="AF1984" s="246"/>
    </row>
    <row r="1985" spans="1:32" ht="26.25">
      <c r="A1985" s="385"/>
      <c r="B1985" s="245"/>
      <c r="C1985" s="245"/>
      <c r="D1985" s="245"/>
      <c r="E1985" s="245"/>
      <c r="F1985" s="316"/>
      <c r="G1985" s="245"/>
      <c r="H1985" s="385"/>
      <c r="I1985" s="245"/>
      <c r="L1985" s="91"/>
      <c r="O1985" s="413"/>
      <c r="Q1985" s="415"/>
      <c r="R1985" s="416"/>
      <c r="S1985" s="420"/>
      <c r="T1985" s="384" ph="1"/>
      <c r="V1985" s="421"/>
      <c r="W1985" s="257"/>
      <c r="X1985" s="429"/>
      <c r="Y1985" s="257"/>
      <c r="Z1985" s="257"/>
      <c r="AC1985" s="357"/>
      <c r="AD1985" s="257"/>
      <c r="AE1985" s="245"/>
      <c r="AF1985" s="246"/>
    </row>
    <row r="1986" spans="1:32" ht="26.25">
      <c r="A1986" s="385"/>
      <c r="B1986" s="245"/>
      <c r="C1986" s="245"/>
      <c r="D1986" s="245"/>
      <c r="E1986" s="245"/>
      <c r="F1986" s="316"/>
      <c r="G1986" s="245"/>
      <c r="H1986" s="385"/>
      <c r="I1986" s="245"/>
      <c r="L1986" s="91"/>
      <c r="O1986" s="413"/>
      <c r="Q1986" s="415"/>
      <c r="R1986" s="416"/>
      <c r="S1986" s="420"/>
      <c r="T1986" s="384" ph="1"/>
      <c r="V1986" s="421"/>
      <c r="W1986" s="257"/>
      <c r="X1986" s="429"/>
      <c r="Y1986" s="257"/>
      <c r="Z1986" s="257"/>
      <c r="AC1986" s="357"/>
      <c r="AD1986" s="257"/>
      <c r="AE1986" s="245"/>
      <c r="AF1986" s="246"/>
    </row>
    <row r="1987" spans="1:32" ht="26.25">
      <c r="A1987" s="385"/>
      <c r="B1987" s="245"/>
      <c r="C1987" s="245"/>
      <c r="D1987" s="245"/>
      <c r="E1987" s="245"/>
      <c r="F1987" s="316"/>
      <c r="G1987" s="245"/>
      <c r="H1987" s="385"/>
      <c r="I1987" s="245"/>
      <c r="L1987" s="91"/>
      <c r="O1987" s="413"/>
      <c r="Q1987" s="415"/>
      <c r="R1987" s="416"/>
      <c r="S1987" s="420"/>
      <c r="T1987" s="384" ph="1"/>
      <c r="V1987" s="421"/>
      <c r="W1987" s="257"/>
      <c r="X1987" s="429"/>
      <c r="Y1987" s="257"/>
      <c r="Z1987" s="257"/>
      <c r="AC1987" s="357"/>
      <c r="AD1987" s="257"/>
      <c r="AE1987" s="245"/>
      <c r="AF1987" s="246"/>
    </row>
    <row r="1988" spans="1:32" ht="26.25">
      <c r="A1988" s="385"/>
      <c r="B1988" s="245"/>
      <c r="C1988" s="245"/>
      <c r="D1988" s="245"/>
      <c r="E1988" s="245"/>
      <c r="F1988" s="316"/>
      <c r="G1988" s="245"/>
      <c r="H1988" s="385"/>
      <c r="I1988" s="245"/>
      <c r="L1988" s="91"/>
      <c r="O1988" s="413"/>
      <c r="Q1988" s="415"/>
      <c r="R1988" s="416"/>
      <c r="S1988" s="420"/>
      <c r="T1988" s="384" ph="1"/>
      <c r="V1988" s="421"/>
      <c r="W1988" s="257"/>
      <c r="X1988" s="429"/>
      <c r="Y1988" s="257"/>
      <c r="Z1988" s="257"/>
      <c r="AC1988" s="357"/>
      <c r="AD1988" s="257"/>
      <c r="AE1988" s="245"/>
      <c r="AF1988" s="246"/>
    </row>
    <row r="1989" spans="1:32" ht="26.25">
      <c r="A1989" s="385"/>
      <c r="B1989" s="245"/>
      <c r="C1989" s="245"/>
      <c r="D1989" s="245"/>
      <c r="E1989" s="245"/>
      <c r="F1989" s="316"/>
      <c r="G1989" s="245"/>
      <c r="H1989" s="385"/>
      <c r="I1989" s="245"/>
      <c r="L1989" s="91"/>
      <c r="O1989" s="413"/>
      <c r="Q1989" s="415"/>
      <c r="R1989" s="416"/>
      <c r="S1989" s="420"/>
      <c r="T1989" s="384" ph="1"/>
      <c r="V1989" s="421"/>
      <c r="W1989" s="257"/>
      <c r="X1989" s="429"/>
      <c r="Y1989" s="257"/>
      <c r="Z1989" s="257"/>
      <c r="AC1989" s="357"/>
      <c r="AD1989" s="257"/>
      <c r="AE1989" s="245"/>
      <c r="AF1989" s="246"/>
    </row>
    <row r="1990" spans="1:32" ht="26.25">
      <c r="A1990" s="385"/>
      <c r="B1990" s="245"/>
      <c r="C1990" s="245"/>
      <c r="D1990" s="245"/>
      <c r="E1990" s="245"/>
      <c r="F1990" s="316"/>
      <c r="G1990" s="245"/>
      <c r="H1990" s="385"/>
      <c r="I1990" s="245"/>
      <c r="L1990" s="91"/>
      <c r="O1990" s="413"/>
      <c r="Q1990" s="415"/>
      <c r="R1990" s="416"/>
      <c r="S1990" s="420"/>
      <c r="T1990" s="384" ph="1"/>
      <c r="V1990" s="421"/>
      <c r="W1990" s="257"/>
      <c r="X1990" s="429"/>
      <c r="Y1990" s="257"/>
      <c r="Z1990" s="257"/>
      <c r="AC1990" s="357"/>
      <c r="AD1990" s="257"/>
      <c r="AE1990" s="245"/>
      <c r="AF1990" s="246"/>
    </row>
    <row r="1991" spans="1:32" ht="26.25">
      <c r="A1991" s="385"/>
      <c r="B1991" s="245"/>
      <c r="C1991" s="245"/>
      <c r="D1991" s="245"/>
      <c r="E1991" s="245"/>
      <c r="F1991" s="316"/>
      <c r="G1991" s="245"/>
      <c r="H1991" s="385"/>
      <c r="I1991" s="245"/>
      <c r="L1991" s="91"/>
      <c r="O1991" s="413"/>
      <c r="Q1991" s="415"/>
      <c r="R1991" s="416"/>
      <c r="S1991" s="420"/>
      <c r="T1991" s="384" ph="1"/>
      <c r="V1991" s="421"/>
      <c r="W1991" s="257"/>
      <c r="X1991" s="429"/>
      <c r="Y1991" s="257"/>
      <c r="Z1991" s="257"/>
      <c r="AC1991" s="357"/>
      <c r="AD1991" s="257"/>
      <c r="AE1991" s="245"/>
      <c r="AF1991" s="246"/>
    </row>
    <row r="1992" spans="1:32" ht="26.25">
      <c r="A1992" s="385"/>
      <c r="B1992" s="245"/>
      <c r="C1992" s="245"/>
      <c r="D1992" s="245"/>
      <c r="E1992" s="245"/>
      <c r="F1992" s="316"/>
      <c r="G1992" s="245"/>
      <c r="H1992" s="385"/>
      <c r="I1992" s="245"/>
      <c r="L1992" s="91"/>
      <c r="O1992" s="413"/>
      <c r="Q1992" s="415"/>
      <c r="R1992" s="416"/>
      <c r="S1992" s="420"/>
      <c r="T1992" s="384" ph="1"/>
      <c r="V1992" s="421"/>
      <c r="W1992" s="257"/>
      <c r="X1992" s="429"/>
      <c r="Y1992" s="257"/>
      <c r="Z1992" s="257"/>
      <c r="AC1992" s="357"/>
      <c r="AD1992" s="257"/>
      <c r="AE1992" s="245"/>
      <c r="AF1992" s="246"/>
    </row>
    <row r="1993" spans="1:32" ht="26.25">
      <c r="A1993" s="385"/>
      <c r="B1993" s="245"/>
      <c r="C1993" s="245"/>
      <c r="D1993" s="245"/>
      <c r="E1993" s="245"/>
      <c r="F1993" s="316"/>
      <c r="G1993" s="245"/>
      <c r="H1993" s="385"/>
      <c r="I1993" s="245"/>
      <c r="O1993" s="413"/>
      <c r="Q1993" s="415"/>
      <c r="R1993" s="416"/>
      <c r="S1993" s="420"/>
      <c r="T1993" s="384" ph="1"/>
      <c r="V1993" s="421"/>
      <c r="W1993" s="257"/>
      <c r="X1993" s="429"/>
      <c r="Y1993" s="257"/>
      <c r="Z1993" s="257"/>
      <c r="AC1993" s="357"/>
      <c r="AD1993" s="257"/>
      <c r="AE1993" s="245"/>
      <c r="AF1993" s="246"/>
    </row>
    <row r="1994" spans="1:32" ht="26.25">
      <c r="A1994" s="385"/>
      <c r="B1994" s="245"/>
      <c r="C1994" s="245"/>
      <c r="D1994" s="245"/>
      <c r="E1994" s="245"/>
      <c r="F1994" s="316"/>
      <c r="G1994" s="245"/>
      <c r="H1994" s="385"/>
      <c r="I1994" s="245"/>
      <c r="L1994" s="91"/>
      <c r="O1994" s="413"/>
      <c r="Q1994" s="415"/>
      <c r="R1994" s="416"/>
      <c r="S1994" s="420"/>
      <c r="T1994" s="384" ph="1"/>
      <c r="V1994" s="421"/>
      <c r="W1994" s="257"/>
      <c r="X1994" s="429"/>
      <c r="Y1994" s="257"/>
      <c r="Z1994" s="257"/>
      <c r="AC1994" s="357"/>
      <c r="AD1994" s="257"/>
      <c r="AE1994" s="245"/>
      <c r="AF1994" s="246"/>
    </row>
    <row r="1995" spans="1:32" ht="26.25">
      <c r="A1995" s="385"/>
      <c r="B1995" s="245"/>
      <c r="C1995" s="245"/>
      <c r="D1995" s="245"/>
      <c r="E1995" s="245"/>
      <c r="F1995" s="316"/>
      <c r="G1995" s="245"/>
      <c r="H1995" s="385"/>
      <c r="I1995" s="245"/>
      <c r="L1995" s="91"/>
      <c r="O1995" s="413"/>
      <c r="Q1995" s="415"/>
      <c r="R1995" s="416"/>
      <c r="S1995" s="420"/>
      <c r="T1995" s="384" ph="1"/>
      <c r="V1995" s="421"/>
      <c r="W1995" s="257"/>
      <c r="X1995" s="429"/>
      <c r="Y1995" s="257"/>
      <c r="Z1995" s="257"/>
      <c r="AC1995" s="357"/>
      <c r="AD1995" s="257"/>
      <c r="AE1995" s="245"/>
      <c r="AF1995" s="246"/>
    </row>
    <row r="1996" spans="1:32" ht="26.25">
      <c r="A1996" s="385"/>
      <c r="B1996" s="245"/>
      <c r="C1996" s="245"/>
      <c r="D1996" s="245"/>
      <c r="E1996" s="245"/>
      <c r="F1996" s="316"/>
      <c r="G1996" s="245"/>
      <c r="H1996" s="385"/>
      <c r="I1996" s="245"/>
      <c r="L1996" s="91"/>
      <c r="O1996" s="413"/>
      <c r="Q1996" s="415"/>
      <c r="R1996" s="416"/>
      <c r="S1996" s="420"/>
      <c r="T1996" s="384" ph="1"/>
      <c r="V1996" s="421"/>
      <c r="W1996" s="257"/>
      <c r="X1996" s="429"/>
      <c r="Y1996" s="257"/>
      <c r="Z1996" s="257"/>
      <c r="AC1996" s="357"/>
      <c r="AD1996" s="257"/>
      <c r="AE1996" s="245"/>
      <c r="AF1996" s="246"/>
    </row>
    <row r="1997" spans="1:32" ht="26.25">
      <c r="A1997" s="385"/>
      <c r="B1997" s="245"/>
      <c r="C1997" s="245"/>
      <c r="D1997" s="245"/>
      <c r="E1997" s="245"/>
      <c r="F1997" s="316"/>
      <c r="G1997" s="245"/>
      <c r="H1997" s="385"/>
      <c r="I1997" s="245"/>
      <c r="L1997" s="91"/>
      <c r="O1997" s="413"/>
      <c r="Q1997" s="415"/>
      <c r="R1997" s="416"/>
      <c r="S1997" s="420"/>
      <c r="T1997" s="384" ph="1"/>
      <c r="V1997" s="421"/>
      <c r="W1997" s="257"/>
      <c r="X1997" s="429"/>
      <c r="Y1997" s="257"/>
      <c r="Z1997" s="257"/>
      <c r="AC1997" s="357"/>
      <c r="AD1997" s="257"/>
      <c r="AE1997" s="245"/>
      <c r="AF1997" s="246"/>
    </row>
    <row r="1998" spans="1:32" ht="26.25">
      <c r="A1998" s="385"/>
      <c r="B1998" s="245"/>
      <c r="C1998" s="245"/>
      <c r="D1998" s="245"/>
      <c r="E1998" s="245"/>
      <c r="F1998" s="316"/>
      <c r="G1998" s="245"/>
      <c r="H1998" s="385"/>
      <c r="I1998" s="245"/>
      <c r="L1998" s="91"/>
      <c r="O1998" s="413"/>
      <c r="Q1998" s="415"/>
      <c r="R1998" s="416"/>
      <c r="S1998" s="420"/>
      <c r="T1998" s="384" ph="1"/>
      <c r="V1998" s="421"/>
      <c r="W1998" s="257"/>
      <c r="X1998" s="429"/>
      <c r="Y1998" s="257"/>
      <c r="Z1998" s="257"/>
      <c r="AC1998" s="357"/>
      <c r="AD1998" s="257"/>
      <c r="AE1998" s="245"/>
      <c r="AF1998" s="246"/>
    </row>
    <row r="1999" spans="1:32" ht="26.25">
      <c r="A1999" s="385"/>
      <c r="B1999" s="245"/>
      <c r="C1999" s="245"/>
      <c r="D1999" s="245"/>
      <c r="E1999" s="245"/>
      <c r="F1999" s="316"/>
      <c r="G1999" s="245"/>
      <c r="H1999" s="385"/>
      <c r="I1999" s="245"/>
      <c r="L1999" s="91"/>
      <c r="O1999" s="413"/>
      <c r="Q1999" s="415"/>
      <c r="R1999" s="416"/>
      <c r="S1999" s="420"/>
      <c r="T1999" s="384" ph="1"/>
      <c r="V1999" s="421"/>
      <c r="W1999" s="257"/>
      <c r="X1999" s="429"/>
      <c r="Y1999" s="257"/>
      <c r="Z1999" s="257"/>
      <c r="AC1999" s="357"/>
      <c r="AD1999" s="257"/>
      <c r="AE1999" s="245"/>
      <c r="AF1999" s="246"/>
    </row>
    <row r="2000" spans="1:32" ht="26.25">
      <c r="A2000" s="385"/>
      <c r="B2000" s="245"/>
      <c r="C2000" s="245"/>
      <c r="D2000" s="245"/>
      <c r="E2000" s="245"/>
      <c r="F2000" s="316"/>
      <c r="G2000" s="245"/>
      <c r="H2000" s="385"/>
      <c r="I2000" s="245"/>
      <c r="L2000" s="91"/>
      <c r="O2000" s="413"/>
      <c r="Q2000" s="415"/>
      <c r="R2000" s="416"/>
      <c r="S2000" s="420"/>
      <c r="T2000" s="384" ph="1"/>
      <c r="V2000" s="421"/>
      <c r="W2000" s="257"/>
      <c r="X2000" s="429"/>
      <c r="Y2000" s="257"/>
      <c r="Z2000" s="257"/>
      <c r="AC2000" s="357"/>
      <c r="AD2000" s="257"/>
      <c r="AE2000" s="245"/>
      <c r="AF2000" s="246"/>
    </row>
    <row r="2001" spans="1:32" ht="26.25">
      <c r="A2001" s="385"/>
      <c r="B2001" s="245"/>
      <c r="C2001" s="245"/>
      <c r="D2001" s="245"/>
      <c r="E2001" s="245"/>
      <c r="F2001" s="316"/>
      <c r="G2001" s="245"/>
      <c r="H2001" s="385"/>
      <c r="I2001" s="245"/>
      <c r="L2001" s="91"/>
      <c r="O2001" s="413"/>
      <c r="Q2001" s="415"/>
      <c r="R2001" s="416"/>
      <c r="S2001" s="420"/>
      <c r="T2001" s="384" ph="1"/>
      <c r="V2001" s="421"/>
      <c r="W2001" s="257"/>
      <c r="X2001" s="429"/>
      <c r="Y2001" s="257"/>
      <c r="Z2001" s="257"/>
      <c r="AC2001" s="357"/>
      <c r="AD2001" s="257"/>
      <c r="AE2001" s="245"/>
      <c r="AF2001" s="246"/>
    </row>
    <row r="2002" spans="1:32" ht="26.25">
      <c r="A2002" s="385"/>
      <c r="B2002" s="245"/>
      <c r="C2002" s="245"/>
      <c r="D2002" s="245"/>
      <c r="E2002" s="245"/>
      <c r="F2002" s="316"/>
      <c r="G2002" s="245"/>
      <c r="H2002" s="385"/>
      <c r="I2002" s="245"/>
      <c r="L2002" s="91"/>
      <c r="O2002" s="413"/>
      <c r="Q2002" s="415"/>
      <c r="R2002" s="416"/>
      <c r="S2002" s="420"/>
      <c r="T2002" s="384" ph="1"/>
      <c r="V2002" s="421"/>
      <c r="W2002" s="257"/>
      <c r="X2002" s="429"/>
      <c r="Y2002" s="257"/>
      <c r="Z2002" s="257"/>
      <c r="AC2002" s="357"/>
      <c r="AD2002" s="257"/>
      <c r="AE2002" s="245"/>
      <c r="AF2002" s="246"/>
    </row>
    <row r="2003" spans="1:32" ht="26.25">
      <c r="A2003" s="385"/>
      <c r="B2003" s="245"/>
      <c r="C2003" s="245"/>
      <c r="D2003" s="245"/>
      <c r="E2003" s="245"/>
      <c r="F2003" s="316"/>
      <c r="G2003" s="245"/>
      <c r="H2003" s="385"/>
      <c r="I2003" s="245"/>
      <c r="L2003" s="91"/>
      <c r="O2003" s="413"/>
      <c r="Q2003" s="415"/>
      <c r="R2003" s="416"/>
      <c r="S2003" s="420"/>
      <c r="T2003" s="384" ph="1"/>
      <c r="V2003" s="421"/>
      <c r="W2003" s="257"/>
      <c r="X2003" s="429"/>
      <c r="Y2003" s="257"/>
      <c r="Z2003" s="257"/>
      <c r="AC2003" s="357"/>
      <c r="AD2003" s="257"/>
      <c r="AE2003" s="245"/>
      <c r="AF2003" s="246"/>
    </row>
    <row r="2004" spans="1:32" ht="26.25">
      <c r="A2004" s="385"/>
      <c r="B2004" s="245"/>
      <c r="C2004" s="245"/>
      <c r="D2004" s="245"/>
      <c r="E2004" s="245"/>
      <c r="F2004" s="316"/>
      <c r="G2004" s="245"/>
      <c r="H2004" s="385"/>
      <c r="I2004" s="245"/>
      <c r="L2004" s="91"/>
      <c r="O2004" s="413"/>
      <c r="Q2004" s="415"/>
      <c r="R2004" s="416"/>
      <c r="S2004" s="420"/>
      <c r="T2004" s="384" ph="1"/>
      <c r="V2004" s="421"/>
      <c r="W2004" s="257"/>
      <c r="X2004" s="429"/>
      <c r="Y2004" s="257"/>
      <c r="Z2004" s="257"/>
      <c r="AC2004" s="357"/>
      <c r="AD2004" s="257"/>
      <c r="AE2004" s="245"/>
      <c r="AF2004" s="246"/>
    </row>
    <row r="2005" spans="1:32" ht="26.25">
      <c r="A2005" s="385"/>
      <c r="B2005" s="245"/>
      <c r="C2005" s="245"/>
      <c r="D2005" s="245"/>
      <c r="E2005" s="245"/>
      <c r="F2005" s="316"/>
      <c r="G2005" s="245"/>
      <c r="H2005" s="385"/>
      <c r="I2005" s="245"/>
      <c r="L2005" s="91"/>
      <c r="O2005" s="413"/>
      <c r="Q2005" s="415"/>
      <c r="R2005" s="416"/>
      <c r="S2005" s="420"/>
      <c r="T2005" s="384" ph="1"/>
      <c r="V2005" s="421"/>
      <c r="W2005" s="257"/>
      <c r="X2005" s="429"/>
      <c r="Y2005" s="257"/>
      <c r="Z2005" s="257"/>
      <c r="AC2005" s="357"/>
      <c r="AD2005" s="257"/>
      <c r="AE2005" s="245"/>
      <c r="AF2005" s="246"/>
    </row>
    <row r="2006" spans="1:32" ht="26.25">
      <c r="A2006" s="385"/>
      <c r="B2006" s="245"/>
      <c r="C2006" s="245"/>
      <c r="D2006" s="245"/>
      <c r="E2006" s="245"/>
      <c r="F2006" s="316"/>
      <c r="G2006" s="245"/>
      <c r="H2006" s="385"/>
      <c r="I2006" s="245"/>
      <c r="L2006" s="91"/>
      <c r="O2006" s="413"/>
      <c r="Q2006" s="415"/>
      <c r="R2006" s="416"/>
      <c r="S2006" s="420"/>
      <c r="T2006" s="384" ph="1"/>
      <c r="V2006" s="421"/>
      <c r="W2006" s="257"/>
      <c r="X2006" s="429"/>
      <c r="Y2006" s="257"/>
      <c r="Z2006" s="257"/>
      <c r="AC2006" s="357"/>
      <c r="AD2006" s="257"/>
      <c r="AE2006" s="245"/>
      <c r="AF2006" s="246"/>
    </row>
    <row r="2007" spans="1:32" ht="26.25">
      <c r="A2007" s="385"/>
      <c r="B2007" s="245"/>
      <c r="C2007" s="245"/>
      <c r="D2007" s="245"/>
      <c r="E2007" s="245"/>
      <c r="F2007" s="316"/>
      <c r="G2007" s="245"/>
      <c r="H2007" s="385"/>
      <c r="I2007" s="245"/>
      <c r="L2007" s="91"/>
      <c r="O2007" s="413"/>
      <c r="Q2007" s="415"/>
      <c r="R2007" s="416"/>
      <c r="S2007" s="420"/>
      <c r="T2007" s="384" ph="1"/>
      <c r="V2007" s="421"/>
      <c r="W2007" s="257"/>
      <c r="X2007" s="429"/>
      <c r="Y2007" s="257"/>
      <c r="Z2007" s="257"/>
      <c r="AC2007" s="357"/>
      <c r="AD2007" s="257"/>
      <c r="AE2007" s="245"/>
      <c r="AF2007" s="246"/>
    </row>
    <row r="2008" spans="1:32" ht="26.25">
      <c r="A2008" s="385"/>
      <c r="B2008" s="245"/>
      <c r="C2008" s="245"/>
      <c r="D2008" s="245"/>
      <c r="E2008" s="245"/>
      <c r="F2008" s="316"/>
      <c r="G2008" s="245"/>
      <c r="H2008" s="385"/>
      <c r="I2008" s="245"/>
      <c r="L2008" s="91"/>
      <c r="O2008" s="413"/>
      <c r="Q2008" s="415"/>
      <c r="R2008" s="416"/>
      <c r="S2008" s="420"/>
      <c r="T2008" s="384" ph="1"/>
      <c r="V2008" s="421"/>
      <c r="W2008" s="257"/>
      <c r="X2008" s="429"/>
      <c r="Y2008" s="257"/>
      <c r="Z2008" s="257"/>
      <c r="AC2008" s="357"/>
      <c r="AD2008" s="257"/>
      <c r="AE2008" s="245"/>
      <c r="AF2008" s="246"/>
    </row>
    <row r="2009" spans="1:32" ht="26.25">
      <c r="A2009" s="385"/>
      <c r="B2009" s="245"/>
      <c r="C2009" s="245"/>
      <c r="D2009" s="245"/>
      <c r="E2009" s="245"/>
      <c r="F2009" s="316"/>
      <c r="G2009" s="245"/>
      <c r="H2009" s="385"/>
      <c r="I2009" s="245"/>
      <c r="L2009" s="91"/>
      <c r="O2009" s="413"/>
      <c r="Q2009" s="415"/>
      <c r="R2009" s="416"/>
      <c r="S2009" s="420"/>
      <c r="T2009" s="384" ph="1"/>
      <c r="V2009" s="421"/>
      <c r="W2009" s="257"/>
      <c r="X2009" s="429"/>
      <c r="Y2009" s="257"/>
      <c r="Z2009" s="257"/>
      <c r="AC2009" s="357"/>
      <c r="AD2009" s="257"/>
      <c r="AE2009" s="245"/>
      <c r="AF2009" s="246"/>
    </row>
    <row r="2010" spans="1:32" ht="26.25">
      <c r="A2010" s="385"/>
      <c r="B2010" s="245"/>
      <c r="C2010" s="245"/>
      <c r="D2010" s="245"/>
      <c r="E2010" s="245"/>
      <c r="F2010" s="316"/>
      <c r="G2010" s="245"/>
      <c r="H2010" s="385"/>
      <c r="I2010" s="245"/>
      <c r="L2010" s="91"/>
      <c r="O2010" s="413"/>
      <c r="Q2010" s="415"/>
      <c r="R2010" s="416"/>
      <c r="S2010" s="420"/>
      <c r="T2010" s="384" ph="1"/>
      <c r="V2010" s="421"/>
      <c r="W2010" s="257"/>
      <c r="X2010" s="429"/>
      <c r="Y2010" s="257"/>
      <c r="Z2010" s="257"/>
      <c r="AC2010" s="357"/>
      <c r="AD2010" s="257"/>
      <c r="AE2010" s="245"/>
      <c r="AF2010" s="246"/>
    </row>
    <row r="2011" spans="1:32" ht="26.25">
      <c r="A2011" s="385"/>
      <c r="B2011" s="245"/>
      <c r="C2011" s="245"/>
      <c r="D2011" s="245"/>
      <c r="E2011" s="245"/>
      <c r="F2011" s="316"/>
      <c r="G2011" s="245"/>
      <c r="H2011" s="385"/>
      <c r="I2011" s="245"/>
      <c r="L2011" s="91"/>
      <c r="O2011" s="413"/>
      <c r="Q2011" s="415"/>
      <c r="R2011" s="416"/>
      <c r="S2011" s="420"/>
      <c r="T2011" s="384" ph="1"/>
      <c r="V2011" s="421"/>
      <c r="W2011" s="257"/>
      <c r="X2011" s="429"/>
      <c r="Y2011" s="257"/>
      <c r="Z2011" s="257"/>
      <c r="AC2011" s="357"/>
      <c r="AD2011" s="257"/>
      <c r="AE2011" s="245"/>
      <c r="AF2011" s="246"/>
    </row>
    <row r="2012" spans="1:32" ht="26.25">
      <c r="A2012" s="385"/>
      <c r="B2012" s="245"/>
      <c r="C2012" s="245"/>
      <c r="D2012" s="245"/>
      <c r="E2012" s="245"/>
      <c r="F2012" s="316"/>
      <c r="G2012" s="245"/>
      <c r="H2012" s="385"/>
      <c r="I2012" s="245"/>
      <c r="L2012" s="91"/>
      <c r="O2012" s="413"/>
      <c r="Q2012" s="415"/>
      <c r="R2012" s="416"/>
      <c r="S2012" s="420"/>
      <c r="T2012" s="384" ph="1"/>
      <c r="V2012" s="421"/>
      <c r="W2012" s="257"/>
      <c r="X2012" s="429"/>
      <c r="Y2012" s="257"/>
      <c r="Z2012" s="257"/>
      <c r="AC2012" s="357"/>
      <c r="AD2012" s="257"/>
      <c r="AE2012" s="245"/>
      <c r="AF2012" s="246"/>
    </row>
    <row r="2013" spans="1:32" ht="26.25">
      <c r="A2013" s="385"/>
      <c r="B2013" s="245"/>
      <c r="C2013" s="245"/>
      <c r="D2013" s="245"/>
      <c r="E2013" s="245"/>
      <c r="F2013" s="316"/>
      <c r="G2013" s="245"/>
      <c r="H2013" s="385"/>
      <c r="I2013" s="245"/>
      <c r="L2013" s="91"/>
      <c r="O2013" s="413"/>
      <c r="Q2013" s="415"/>
      <c r="R2013" s="416"/>
      <c r="S2013" s="420"/>
      <c r="T2013" s="384" ph="1"/>
      <c r="V2013" s="421"/>
      <c r="W2013" s="257"/>
      <c r="X2013" s="429"/>
      <c r="Y2013" s="257"/>
      <c r="Z2013" s="257"/>
      <c r="AC2013" s="357"/>
      <c r="AD2013" s="257"/>
      <c r="AE2013" s="245"/>
      <c r="AF2013" s="246"/>
    </row>
    <row r="2014" spans="1:32" ht="26.25">
      <c r="A2014" s="385"/>
      <c r="B2014" s="245"/>
      <c r="C2014" s="245"/>
      <c r="D2014" s="245"/>
      <c r="E2014" s="245"/>
      <c r="F2014" s="316"/>
      <c r="G2014" s="245"/>
      <c r="H2014" s="385"/>
      <c r="I2014" s="245"/>
      <c r="L2014" s="91"/>
      <c r="O2014" s="413"/>
      <c r="Q2014" s="415"/>
      <c r="R2014" s="416"/>
      <c r="S2014" s="420"/>
      <c r="T2014" s="384" ph="1"/>
      <c r="V2014" s="421"/>
      <c r="W2014" s="257"/>
      <c r="X2014" s="429"/>
      <c r="Y2014" s="257"/>
      <c r="Z2014" s="257"/>
      <c r="AC2014" s="357"/>
      <c r="AD2014" s="257"/>
      <c r="AE2014" s="245"/>
      <c r="AF2014" s="246"/>
    </row>
    <row r="2015" spans="1:32" ht="26.25">
      <c r="A2015" s="385"/>
      <c r="B2015" s="245"/>
      <c r="C2015" s="245"/>
      <c r="D2015" s="245"/>
      <c r="E2015" s="245"/>
      <c r="F2015" s="316"/>
      <c r="G2015" s="245"/>
      <c r="H2015" s="385"/>
      <c r="I2015" s="245"/>
      <c r="L2015" s="91"/>
      <c r="O2015" s="413"/>
      <c r="Q2015" s="415"/>
      <c r="R2015" s="416"/>
      <c r="S2015" s="420"/>
      <c r="T2015" s="384" ph="1"/>
      <c r="V2015" s="421"/>
      <c r="W2015" s="257"/>
      <c r="X2015" s="429"/>
      <c r="Y2015" s="257"/>
      <c r="Z2015" s="257"/>
      <c r="AC2015" s="357"/>
      <c r="AD2015" s="257"/>
      <c r="AE2015" s="245"/>
      <c r="AF2015" s="246"/>
    </row>
    <row r="2016" spans="1:32" ht="26.25">
      <c r="A2016" s="385"/>
      <c r="B2016" s="245"/>
      <c r="C2016" s="245"/>
      <c r="D2016" s="245"/>
      <c r="E2016" s="245"/>
      <c r="F2016" s="316"/>
      <c r="G2016" s="245"/>
      <c r="H2016" s="385"/>
      <c r="I2016" s="245"/>
      <c r="L2016" s="91"/>
      <c r="O2016" s="413"/>
      <c r="Q2016" s="415"/>
      <c r="R2016" s="416"/>
      <c r="S2016" s="420"/>
      <c r="T2016" s="384" ph="1"/>
      <c r="V2016" s="421"/>
      <c r="W2016" s="257"/>
      <c r="X2016" s="429"/>
      <c r="Y2016" s="257"/>
      <c r="Z2016" s="257"/>
      <c r="AC2016" s="357"/>
      <c r="AD2016" s="257"/>
      <c r="AE2016" s="245"/>
      <c r="AF2016" s="246"/>
    </row>
    <row r="2017" spans="1:32" ht="26.25">
      <c r="A2017" s="385"/>
      <c r="B2017" s="245"/>
      <c r="C2017" s="245"/>
      <c r="D2017" s="245"/>
      <c r="E2017" s="245"/>
      <c r="F2017" s="316"/>
      <c r="G2017" s="245"/>
      <c r="H2017" s="385"/>
      <c r="I2017" s="245"/>
      <c r="L2017" s="91"/>
      <c r="O2017" s="413"/>
      <c r="Q2017" s="415"/>
      <c r="R2017" s="416"/>
      <c r="S2017" s="420"/>
      <c r="T2017" s="384" ph="1"/>
      <c r="V2017" s="421"/>
      <c r="W2017" s="257"/>
      <c r="X2017" s="429"/>
      <c r="Y2017" s="257"/>
      <c r="Z2017" s="257"/>
      <c r="AC2017" s="357"/>
      <c r="AD2017" s="257"/>
      <c r="AE2017" s="245"/>
      <c r="AF2017" s="246"/>
    </row>
    <row r="2018" spans="1:32" ht="26.25">
      <c r="A2018" s="385"/>
      <c r="B2018" s="245"/>
      <c r="C2018" s="245"/>
      <c r="D2018" s="245"/>
      <c r="E2018" s="245"/>
      <c r="F2018" s="316"/>
      <c r="G2018" s="245"/>
      <c r="H2018" s="385"/>
      <c r="I2018" s="245"/>
      <c r="L2018" s="91"/>
      <c r="O2018" s="413"/>
      <c r="Q2018" s="415"/>
      <c r="R2018" s="416"/>
      <c r="S2018" s="420"/>
      <c r="T2018" s="384" ph="1"/>
      <c r="V2018" s="421"/>
      <c r="W2018" s="257"/>
      <c r="X2018" s="429"/>
      <c r="Y2018" s="257"/>
      <c r="Z2018" s="257"/>
      <c r="AC2018" s="357"/>
      <c r="AD2018" s="257"/>
      <c r="AE2018" s="245"/>
      <c r="AF2018" s="246"/>
    </row>
    <row r="2019" spans="1:32" ht="26.25">
      <c r="A2019" s="385"/>
      <c r="B2019" s="245"/>
      <c r="C2019" s="245"/>
      <c r="D2019" s="245"/>
      <c r="E2019" s="245"/>
      <c r="F2019" s="316"/>
      <c r="G2019" s="245"/>
      <c r="H2019" s="385"/>
      <c r="I2019" s="245"/>
      <c r="L2019" s="91"/>
      <c r="O2019" s="413"/>
      <c r="Q2019" s="415"/>
      <c r="R2019" s="416"/>
      <c r="S2019" s="420"/>
      <c r="T2019" s="384" ph="1"/>
      <c r="V2019" s="421"/>
      <c r="W2019" s="257"/>
      <c r="X2019" s="429"/>
      <c r="Y2019" s="257"/>
      <c r="Z2019" s="257"/>
      <c r="AC2019" s="357"/>
      <c r="AD2019" s="257"/>
      <c r="AE2019" s="245"/>
      <c r="AF2019" s="246"/>
    </row>
    <row r="2020" spans="1:32" ht="26.25">
      <c r="A2020" s="385"/>
      <c r="B2020" s="245"/>
      <c r="C2020" s="245"/>
      <c r="D2020" s="245"/>
      <c r="E2020" s="245"/>
      <c r="F2020" s="316"/>
      <c r="G2020" s="245"/>
      <c r="H2020" s="385"/>
      <c r="I2020" s="245"/>
      <c r="L2020" s="91"/>
      <c r="O2020" s="413"/>
      <c r="Q2020" s="415"/>
      <c r="R2020" s="416"/>
      <c r="S2020" s="420"/>
      <c r="T2020" s="384" ph="1"/>
      <c r="V2020" s="421"/>
      <c r="W2020" s="257"/>
      <c r="X2020" s="429"/>
      <c r="Y2020" s="257"/>
      <c r="Z2020" s="257"/>
      <c r="AC2020" s="357"/>
      <c r="AD2020" s="257"/>
      <c r="AE2020" s="245"/>
      <c r="AF2020" s="246"/>
    </row>
    <row r="2021" spans="1:32" ht="26.25">
      <c r="A2021" s="385"/>
      <c r="B2021" s="245"/>
      <c r="C2021" s="245"/>
      <c r="D2021" s="245"/>
      <c r="E2021" s="245"/>
      <c r="F2021" s="316"/>
      <c r="G2021" s="245"/>
      <c r="H2021" s="385"/>
      <c r="I2021" s="245"/>
      <c r="L2021" s="91"/>
      <c r="O2021" s="413"/>
      <c r="Q2021" s="415"/>
      <c r="R2021" s="416"/>
      <c r="S2021" s="420"/>
      <c r="T2021" s="384" ph="1"/>
      <c r="V2021" s="421"/>
      <c r="W2021" s="257"/>
      <c r="X2021" s="429"/>
      <c r="Y2021" s="257"/>
      <c r="Z2021" s="257"/>
      <c r="AC2021" s="357"/>
      <c r="AD2021" s="257"/>
      <c r="AE2021" s="245"/>
      <c r="AF2021" s="246"/>
    </row>
    <row r="2022" spans="1:32" ht="26.25">
      <c r="A2022" s="385"/>
      <c r="B2022" s="245"/>
      <c r="C2022" s="245"/>
      <c r="D2022" s="245"/>
      <c r="E2022" s="245"/>
      <c r="F2022" s="316"/>
      <c r="G2022" s="245"/>
      <c r="H2022" s="385"/>
      <c r="I2022" s="245"/>
      <c r="L2022" s="91"/>
      <c r="O2022" s="413"/>
      <c r="Q2022" s="415"/>
      <c r="R2022" s="416"/>
      <c r="S2022" s="420"/>
      <c r="T2022" s="384" ph="1"/>
      <c r="V2022" s="421"/>
      <c r="W2022" s="257"/>
      <c r="X2022" s="429"/>
      <c r="Y2022" s="257"/>
      <c r="Z2022" s="257"/>
      <c r="AC2022" s="357"/>
      <c r="AD2022" s="257"/>
      <c r="AE2022" s="245"/>
      <c r="AF2022" s="246"/>
    </row>
    <row r="2023" spans="1:32" ht="26.25">
      <c r="A2023" s="385"/>
      <c r="B2023" s="245"/>
      <c r="C2023" s="245"/>
      <c r="D2023" s="245"/>
      <c r="E2023" s="245"/>
      <c r="F2023" s="316"/>
      <c r="G2023" s="245"/>
      <c r="H2023" s="385"/>
      <c r="I2023" s="245"/>
      <c r="L2023" s="91"/>
      <c r="O2023" s="413"/>
      <c r="Q2023" s="415"/>
      <c r="R2023" s="416"/>
      <c r="S2023" s="420"/>
      <c r="T2023" s="384" ph="1"/>
      <c r="V2023" s="421"/>
      <c r="W2023" s="257"/>
      <c r="X2023" s="429"/>
      <c r="Y2023" s="257"/>
      <c r="Z2023" s="257"/>
      <c r="AC2023" s="357"/>
      <c r="AD2023" s="257"/>
      <c r="AE2023" s="245"/>
      <c r="AF2023" s="246"/>
    </row>
    <row r="2024" spans="1:32" ht="26.25">
      <c r="A2024" s="385"/>
      <c r="B2024" s="245"/>
      <c r="C2024" s="245"/>
      <c r="D2024" s="245"/>
      <c r="E2024" s="245"/>
      <c r="F2024" s="316"/>
      <c r="G2024" s="245"/>
      <c r="H2024" s="385"/>
      <c r="I2024" s="245"/>
      <c r="L2024" s="91"/>
      <c r="O2024" s="413"/>
      <c r="Q2024" s="415"/>
      <c r="R2024" s="416"/>
      <c r="S2024" s="420"/>
      <c r="T2024" s="384" ph="1"/>
      <c r="V2024" s="421"/>
      <c r="W2024" s="257"/>
      <c r="X2024" s="429"/>
      <c r="Y2024" s="257"/>
      <c r="Z2024" s="257"/>
      <c r="AC2024" s="357"/>
      <c r="AD2024" s="257"/>
      <c r="AE2024" s="245"/>
      <c r="AF2024" s="246"/>
    </row>
    <row r="2025" spans="1:32" ht="26.25">
      <c r="A2025" s="385"/>
      <c r="B2025" s="245"/>
      <c r="C2025" s="245"/>
      <c r="D2025" s="245"/>
      <c r="E2025" s="245"/>
      <c r="F2025" s="316"/>
      <c r="G2025" s="245"/>
      <c r="H2025" s="385"/>
      <c r="I2025" s="245"/>
      <c r="L2025" s="91"/>
      <c r="O2025" s="413"/>
      <c r="Q2025" s="415"/>
      <c r="R2025" s="416"/>
      <c r="S2025" s="420"/>
      <c r="T2025" s="384" ph="1"/>
      <c r="V2025" s="421"/>
      <c r="W2025" s="257"/>
      <c r="X2025" s="429"/>
      <c r="Y2025" s="257"/>
      <c r="Z2025" s="257"/>
      <c r="AC2025" s="357"/>
      <c r="AD2025" s="257"/>
      <c r="AE2025" s="245"/>
      <c r="AF2025" s="246"/>
    </row>
    <row r="2026" spans="1:32" ht="26.25">
      <c r="A2026" s="385"/>
      <c r="B2026" s="245"/>
      <c r="C2026" s="245"/>
      <c r="D2026" s="245"/>
      <c r="E2026" s="245"/>
      <c r="F2026" s="316"/>
      <c r="G2026" s="245"/>
      <c r="H2026" s="385"/>
      <c r="I2026" s="245"/>
      <c r="L2026" s="91"/>
      <c r="O2026" s="413"/>
      <c r="Q2026" s="415"/>
      <c r="R2026" s="416"/>
      <c r="S2026" s="420"/>
      <c r="T2026" s="384" ph="1"/>
      <c r="V2026" s="421"/>
      <c r="W2026" s="257"/>
      <c r="X2026" s="429"/>
      <c r="Y2026" s="257"/>
      <c r="Z2026" s="257"/>
      <c r="AC2026" s="357"/>
      <c r="AD2026" s="257"/>
      <c r="AE2026" s="245"/>
      <c r="AF2026" s="246"/>
    </row>
    <row r="2027" spans="1:32" ht="26.25">
      <c r="A2027" s="385"/>
      <c r="B2027" s="245"/>
      <c r="C2027" s="245"/>
      <c r="D2027" s="245"/>
      <c r="E2027" s="245"/>
      <c r="F2027" s="316"/>
      <c r="G2027" s="245"/>
      <c r="H2027" s="385"/>
      <c r="I2027" s="245"/>
      <c r="L2027" s="91"/>
      <c r="O2027" s="413"/>
      <c r="Q2027" s="415"/>
      <c r="R2027" s="416"/>
      <c r="S2027" s="420"/>
      <c r="T2027" s="384" ph="1"/>
      <c r="V2027" s="421"/>
      <c r="W2027" s="257"/>
      <c r="X2027" s="429"/>
      <c r="Y2027" s="257"/>
      <c r="Z2027" s="257"/>
      <c r="AC2027" s="357"/>
      <c r="AD2027" s="257"/>
      <c r="AE2027" s="245"/>
      <c r="AF2027" s="246"/>
    </row>
    <row r="2028" spans="1:32" ht="26.25">
      <c r="A2028" s="385"/>
      <c r="B2028" s="245"/>
      <c r="C2028" s="245"/>
      <c r="D2028" s="245"/>
      <c r="E2028" s="245"/>
      <c r="F2028" s="316"/>
      <c r="G2028" s="245"/>
      <c r="H2028" s="385"/>
      <c r="I2028" s="245"/>
      <c r="L2028" s="91"/>
      <c r="O2028" s="413"/>
      <c r="Q2028" s="415"/>
      <c r="R2028" s="416"/>
      <c r="S2028" s="420"/>
      <c r="T2028" s="384" ph="1"/>
      <c r="V2028" s="421"/>
      <c r="W2028" s="257"/>
      <c r="X2028" s="429"/>
      <c r="Y2028" s="257"/>
      <c r="Z2028" s="257"/>
      <c r="AC2028" s="357"/>
      <c r="AD2028" s="257"/>
      <c r="AE2028" s="245"/>
      <c r="AF2028" s="246"/>
    </row>
    <row r="2029" spans="1:32" ht="26.25">
      <c r="A2029" s="385"/>
      <c r="B2029" s="245"/>
      <c r="C2029" s="245"/>
      <c r="D2029" s="245"/>
      <c r="E2029" s="245"/>
      <c r="F2029" s="316"/>
      <c r="G2029" s="245"/>
      <c r="H2029" s="385"/>
      <c r="I2029" s="245"/>
      <c r="L2029" s="91"/>
      <c r="O2029" s="413"/>
      <c r="Q2029" s="415"/>
      <c r="R2029" s="416"/>
      <c r="S2029" s="420"/>
      <c r="T2029" s="384" ph="1"/>
      <c r="V2029" s="421"/>
      <c r="W2029" s="257"/>
      <c r="X2029" s="429"/>
      <c r="Y2029" s="257"/>
      <c r="Z2029" s="257"/>
      <c r="AC2029" s="357"/>
      <c r="AD2029" s="257"/>
      <c r="AE2029" s="245"/>
      <c r="AF2029" s="246"/>
    </row>
    <row r="2030" spans="1:32" ht="26.25">
      <c r="A2030" s="385"/>
      <c r="B2030" s="245"/>
      <c r="C2030" s="245"/>
      <c r="D2030" s="245"/>
      <c r="E2030" s="245"/>
      <c r="F2030" s="316"/>
      <c r="G2030" s="245"/>
      <c r="H2030" s="385"/>
      <c r="I2030" s="245"/>
      <c r="L2030" s="91"/>
      <c r="O2030" s="413"/>
      <c r="Q2030" s="415"/>
      <c r="R2030" s="416"/>
      <c r="S2030" s="420"/>
      <c r="T2030" s="384" ph="1"/>
      <c r="V2030" s="421"/>
      <c r="W2030" s="257"/>
      <c r="X2030" s="429"/>
      <c r="Y2030" s="257"/>
      <c r="Z2030" s="257"/>
      <c r="AC2030" s="357"/>
      <c r="AD2030" s="257"/>
      <c r="AE2030" s="245"/>
      <c r="AF2030" s="246"/>
    </row>
    <row r="2031" spans="1:32" ht="26.25">
      <c r="A2031" s="385"/>
      <c r="B2031" s="245"/>
      <c r="C2031" s="245"/>
      <c r="D2031" s="245"/>
      <c r="E2031" s="245"/>
      <c r="F2031" s="316"/>
      <c r="G2031" s="245"/>
      <c r="H2031" s="385"/>
      <c r="I2031" s="245"/>
      <c r="L2031" s="91"/>
      <c r="O2031" s="413"/>
      <c r="Q2031" s="415"/>
      <c r="R2031" s="416"/>
      <c r="S2031" s="420"/>
      <c r="T2031" s="384" ph="1"/>
      <c r="V2031" s="421"/>
      <c r="W2031" s="257"/>
      <c r="X2031" s="429"/>
      <c r="Y2031" s="257"/>
      <c r="Z2031" s="257"/>
      <c r="AC2031" s="357"/>
      <c r="AD2031" s="257"/>
      <c r="AE2031" s="245"/>
      <c r="AF2031" s="246"/>
    </row>
    <row r="2032" spans="1:32" ht="26.25">
      <c r="A2032" s="385"/>
      <c r="B2032" s="245"/>
      <c r="C2032" s="245"/>
      <c r="D2032" s="245"/>
      <c r="E2032" s="245"/>
      <c r="F2032" s="316"/>
      <c r="G2032" s="245"/>
      <c r="H2032" s="385"/>
      <c r="I2032" s="245"/>
      <c r="L2032" s="91"/>
      <c r="O2032" s="413"/>
      <c r="Q2032" s="415"/>
      <c r="R2032" s="416"/>
      <c r="S2032" s="420"/>
      <c r="T2032" s="384" ph="1"/>
      <c r="V2032" s="421"/>
      <c r="W2032" s="257"/>
      <c r="X2032" s="429"/>
      <c r="Y2032" s="257"/>
      <c r="Z2032" s="257"/>
      <c r="AC2032" s="357"/>
      <c r="AD2032" s="257"/>
      <c r="AE2032" s="245"/>
      <c r="AF2032" s="246"/>
    </row>
    <row r="2033" spans="1:32" ht="26.25">
      <c r="A2033" s="385"/>
      <c r="B2033" s="245"/>
      <c r="C2033" s="245"/>
      <c r="D2033" s="245"/>
      <c r="E2033" s="245"/>
      <c r="F2033" s="316"/>
      <c r="G2033" s="245"/>
      <c r="H2033" s="385"/>
      <c r="I2033" s="245"/>
      <c r="L2033" s="91"/>
      <c r="O2033" s="413"/>
      <c r="Q2033" s="415"/>
      <c r="R2033" s="416"/>
      <c r="S2033" s="420"/>
      <c r="T2033" s="384" ph="1"/>
      <c r="V2033" s="421"/>
      <c r="W2033" s="257"/>
      <c r="X2033" s="429"/>
      <c r="Y2033" s="257"/>
      <c r="Z2033" s="257"/>
      <c r="AC2033" s="357"/>
      <c r="AD2033" s="257"/>
      <c r="AE2033" s="245"/>
      <c r="AF2033" s="246"/>
    </row>
    <row r="2034" spans="1:32" ht="26.25">
      <c r="A2034" s="385"/>
      <c r="B2034" s="245"/>
      <c r="C2034" s="245"/>
      <c r="D2034" s="245"/>
      <c r="E2034" s="245"/>
      <c r="F2034" s="316"/>
      <c r="G2034" s="245"/>
      <c r="H2034" s="385"/>
      <c r="I2034" s="245"/>
      <c r="L2034" s="91"/>
      <c r="O2034" s="413"/>
      <c r="Q2034" s="415"/>
      <c r="R2034" s="416"/>
      <c r="S2034" s="420"/>
      <c r="T2034" s="384" ph="1"/>
      <c r="V2034" s="421"/>
      <c r="W2034" s="257"/>
      <c r="X2034" s="429"/>
      <c r="Y2034" s="257"/>
      <c r="Z2034" s="257"/>
      <c r="AC2034" s="357"/>
      <c r="AD2034" s="257"/>
      <c r="AE2034" s="245"/>
      <c r="AF2034" s="246"/>
    </row>
    <row r="2035" spans="1:32" ht="26.25">
      <c r="A2035" s="385"/>
      <c r="B2035" s="245"/>
      <c r="C2035" s="245"/>
      <c r="D2035" s="245"/>
      <c r="E2035" s="245"/>
      <c r="F2035" s="316"/>
      <c r="G2035" s="245"/>
      <c r="H2035" s="385"/>
      <c r="I2035" s="245"/>
      <c r="L2035" s="91"/>
      <c r="O2035" s="413"/>
      <c r="Q2035" s="415"/>
      <c r="R2035" s="416"/>
      <c r="S2035" s="420"/>
      <c r="T2035" s="384" ph="1"/>
      <c r="V2035" s="421"/>
      <c r="W2035" s="257"/>
      <c r="X2035" s="429"/>
      <c r="Y2035" s="257"/>
      <c r="Z2035" s="257"/>
      <c r="AC2035" s="357"/>
      <c r="AD2035" s="257"/>
      <c r="AE2035" s="245"/>
      <c r="AF2035" s="246"/>
    </row>
    <row r="2036" spans="1:32" ht="26.25">
      <c r="A2036" s="385"/>
      <c r="B2036" s="245"/>
      <c r="C2036" s="245"/>
      <c r="D2036" s="245"/>
      <c r="E2036" s="245"/>
      <c r="F2036" s="316"/>
      <c r="G2036" s="245"/>
      <c r="H2036" s="385"/>
      <c r="I2036" s="245"/>
      <c r="L2036" s="91"/>
      <c r="O2036" s="413"/>
      <c r="Q2036" s="415"/>
      <c r="R2036" s="416"/>
      <c r="S2036" s="420"/>
      <c r="T2036" s="384" ph="1"/>
      <c r="V2036" s="421"/>
      <c r="W2036" s="257"/>
      <c r="X2036" s="429"/>
      <c r="Y2036" s="257"/>
      <c r="Z2036" s="257"/>
      <c r="AC2036" s="357"/>
      <c r="AD2036" s="257"/>
      <c r="AE2036" s="245"/>
      <c r="AF2036" s="246"/>
    </row>
    <row r="2037" spans="1:32" ht="26.25">
      <c r="A2037" s="385"/>
      <c r="B2037" s="245"/>
      <c r="C2037" s="245"/>
      <c r="D2037" s="245"/>
      <c r="E2037" s="245"/>
      <c r="F2037" s="316"/>
      <c r="G2037" s="245"/>
      <c r="H2037" s="385"/>
      <c r="I2037" s="245"/>
      <c r="L2037" s="91"/>
      <c r="O2037" s="413"/>
      <c r="Q2037" s="415"/>
      <c r="R2037" s="416"/>
      <c r="S2037" s="420"/>
      <c r="T2037" s="384" ph="1"/>
      <c r="V2037" s="421"/>
      <c r="W2037" s="257"/>
      <c r="X2037" s="429"/>
      <c r="Y2037" s="257"/>
      <c r="Z2037" s="257"/>
      <c r="AC2037" s="357"/>
      <c r="AD2037" s="257"/>
      <c r="AE2037" s="245"/>
      <c r="AF2037" s="246"/>
    </row>
    <row r="2038" spans="1:32" ht="26.25">
      <c r="A2038" s="385"/>
      <c r="B2038" s="245"/>
      <c r="C2038" s="245"/>
      <c r="D2038" s="245"/>
      <c r="E2038" s="245"/>
      <c r="F2038" s="316"/>
      <c r="G2038" s="245"/>
      <c r="H2038" s="385"/>
      <c r="I2038" s="245"/>
      <c r="L2038" s="407"/>
      <c r="O2038" s="413"/>
      <c r="Q2038" s="415"/>
      <c r="R2038" s="416"/>
      <c r="S2038" s="420"/>
      <c r="T2038" s="384" ph="1"/>
      <c r="V2038" s="421"/>
      <c r="W2038" s="257"/>
      <c r="X2038" s="429"/>
      <c r="Y2038" s="257"/>
      <c r="Z2038" s="257"/>
      <c r="AC2038" s="357"/>
      <c r="AD2038" s="257"/>
      <c r="AE2038" s="245"/>
      <c r="AF2038" s="246"/>
    </row>
    <row r="2039" spans="1:32" ht="26.25">
      <c r="A2039" s="385"/>
      <c r="B2039" s="245"/>
      <c r="C2039" s="245"/>
      <c r="D2039" s="245"/>
      <c r="E2039" s="245"/>
      <c r="F2039" s="316"/>
      <c r="G2039" s="245"/>
      <c r="H2039" s="385"/>
      <c r="I2039" s="245"/>
      <c r="L2039" s="91"/>
      <c r="O2039" s="413"/>
      <c r="Q2039" s="415"/>
      <c r="R2039" s="416"/>
      <c r="S2039" s="420"/>
      <c r="T2039" s="384" ph="1"/>
      <c r="V2039" s="421"/>
      <c r="W2039" s="257"/>
      <c r="X2039" s="429"/>
      <c r="Y2039" s="257"/>
      <c r="Z2039" s="257"/>
      <c r="AC2039" s="357"/>
      <c r="AD2039" s="257"/>
      <c r="AE2039" s="245"/>
      <c r="AF2039" s="246"/>
    </row>
    <row r="2040" spans="1:32" ht="26.25">
      <c r="A2040" s="385"/>
      <c r="B2040" s="245"/>
      <c r="C2040" s="245"/>
      <c r="D2040" s="245"/>
      <c r="E2040" s="245"/>
      <c r="F2040" s="316"/>
      <c r="G2040" s="245"/>
      <c r="H2040" s="385"/>
      <c r="I2040" s="245"/>
      <c r="L2040" s="91"/>
      <c r="O2040" s="413"/>
      <c r="Q2040" s="415"/>
      <c r="R2040" s="416"/>
      <c r="S2040" s="420"/>
      <c r="T2040" s="384" ph="1"/>
      <c r="V2040" s="421"/>
      <c r="W2040" s="257"/>
      <c r="X2040" s="429"/>
      <c r="Y2040" s="257"/>
      <c r="Z2040" s="257"/>
      <c r="AC2040" s="357"/>
      <c r="AD2040" s="257"/>
      <c r="AE2040" s="245"/>
      <c r="AF2040" s="246"/>
    </row>
    <row r="2041" spans="1:32" ht="26.25">
      <c r="A2041" s="385"/>
      <c r="B2041" s="245"/>
      <c r="C2041" s="245"/>
      <c r="D2041" s="245"/>
      <c r="E2041" s="245"/>
      <c r="F2041" s="316"/>
      <c r="G2041" s="245"/>
      <c r="H2041" s="385"/>
      <c r="I2041" s="245"/>
      <c r="L2041" s="91"/>
      <c r="O2041" s="413"/>
      <c r="Q2041" s="415"/>
      <c r="R2041" s="416"/>
      <c r="S2041" s="420"/>
      <c r="T2041" s="384" ph="1"/>
      <c r="V2041" s="421"/>
      <c r="W2041" s="257"/>
      <c r="X2041" s="429"/>
      <c r="Y2041" s="257"/>
      <c r="Z2041" s="257"/>
      <c r="AC2041" s="357"/>
      <c r="AD2041" s="257"/>
      <c r="AE2041" s="245"/>
      <c r="AF2041" s="246"/>
    </row>
    <row r="2042" spans="1:32" ht="26.25">
      <c r="A2042" s="385"/>
      <c r="B2042" s="245"/>
      <c r="C2042" s="245"/>
      <c r="D2042" s="245"/>
      <c r="E2042" s="245"/>
      <c r="F2042" s="316"/>
      <c r="G2042" s="245"/>
      <c r="H2042" s="385"/>
      <c r="I2042" s="245"/>
      <c r="L2042" s="91"/>
      <c r="O2042" s="413"/>
      <c r="Q2042" s="415"/>
      <c r="R2042" s="416"/>
      <c r="S2042" s="420"/>
      <c r="T2042" s="384" ph="1"/>
      <c r="V2042" s="421"/>
      <c r="W2042" s="257"/>
      <c r="X2042" s="429"/>
      <c r="Y2042" s="257"/>
      <c r="Z2042" s="257"/>
      <c r="AC2042" s="357"/>
      <c r="AD2042" s="257"/>
      <c r="AE2042" s="245"/>
      <c r="AF2042" s="246"/>
    </row>
    <row r="2043" spans="1:32" ht="26.25">
      <c r="A2043" s="385"/>
      <c r="B2043" s="245"/>
      <c r="C2043" s="245"/>
      <c r="D2043" s="245"/>
      <c r="E2043" s="245"/>
      <c r="F2043" s="316"/>
      <c r="G2043" s="245"/>
      <c r="H2043" s="385"/>
      <c r="I2043" s="245"/>
      <c r="L2043" s="91"/>
      <c r="O2043" s="413"/>
      <c r="Q2043" s="415"/>
      <c r="R2043" s="416"/>
      <c r="S2043" s="420"/>
      <c r="T2043" s="384" ph="1"/>
      <c r="V2043" s="421"/>
      <c r="W2043" s="257"/>
      <c r="X2043" s="429"/>
      <c r="Y2043" s="257"/>
      <c r="Z2043" s="257"/>
      <c r="AC2043" s="357"/>
      <c r="AD2043" s="257"/>
      <c r="AE2043" s="245"/>
      <c r="AF2043" s="246"/>
    </row>
    <row r="2044" spans="1:32" ht="26.25">
      <c r="A2044" s="385"/>
      <c r="B2044" s="245"/>
      <c r="C2044" s="245"/>
      <c r="D2044" s="245"/>
      <c r="E2044" s="245"/>
      <c r="F2044" s="316"/>
      <c r="G2044" s="245"/>
      <c r="H2044" s="385"/>
      <c r="I2044" s="245"/>
      <c r="L2044" s="91"/>
      <c r="O2044" s="413"/>
      <c r="Q2044" s="415"/>
      <c r="R2044" s="416"/>
      <c r="S2044" s="420"/>
      <c r="T2044" s="384" ph="1"/>
      <c r="V2044" s="421"/>
      <c r="W2044" s="257"/>
      <c r="X2044" s="429"/>
      <c r="Y2044" s="257"/>
      <c r="Z2044" s="257"/>
      <c r="AC2044" s="357"/>
      <c r="AD2044" s="257"/>
      <c r="AE2044" s="245"/>
      <c r="AF2044" s="246"/>
    </row>
    <row r="2045" spans="1:32" ht="26.25">
      <c r="A2045" s="385"/>
      <c r="B2045" s="245"/>
      <c r="C2045" s="245"/>
      <c r="D2045" s="245"/>
      <c r="E2045" s="245"/>
      <c r="F2045" s="316"/>
      <c r="G2045" s="245"/>
      <c r="H2045" s="385"/>
      <c r="I2045" s="245"/>
      <c r="L2045" s="91"/>
      <c r="O2045" s="413"/>
      <c r="Q2045" s="415"/>
      <c r="R2045" s="416"/>
      <c r="S2045" s="420"/>
      <c r="T2045" s="384" ph="1"/>
      <c r="V2045" s="421"/>
      <c r="W2045" s="257"/>
      <c r="X2045" s="429"/>
      <c r="Y2045" s="257"/>
      <c r="Z2045" s="257"/>
      <c r="AC2045" s="357"/>
      <c r="AD2045" s="257"/>
      <c r="AE2045" s="245"/>
      <c r="AF2045" s="246"/>
    </row>
    <row r="2046" spans="1:32" ht="26.25">
      <c r="A2046" s="385"/>
      <c r="B2046" s="245"/>
      <c r="C2046" s="245"/>
      <c r="D2046" s="245"/>
      <c r="E2046" s="245"/>
      <c r="F2046" s="316"/>
      <c r="G2046" s="245"/>
      <c r="H2046" s="385"/>
      <c r="I2046" s="245"/>
      <c r="L2046" s="91"/>
      <c r="O2046" s="413"/>
      <c r="Q2046" s="415"/>
      <c r="R2046" s="416"/>
      <c r="S2046" s="420"/>
      <c r="T2046" s="384" ph="1"/>
      <c r="V2046" s="421"/>
      <c r="W2046" s="257"/>
      <c r="X2046" s="429"/>
      <c r="Y2046" s="257"/>
      <c r="Z2046" s="257"/>
      <c r="AC2046" s="357"/>
      <c r="AD2046" s="257"/>
      <c r="AE2046" s="245"/>
      <c r="AF2046" s="246"/>
    </row>
    <row r="2047" spans="1:32" ht="26.25">
      <c r="A2047" s="385"/>
      <c r="B2047" s="245"/>
      <c r="C2047" s="245"/>
      <c r="D2047" s="245"/>
      <c r="E2047" s="245"/>
      <c r="F2047" s="316"/>
      <c r="G2047" s="245"/>
      <c r="H2047" s="385"/>
      <c r="I2047" s="245"/>
      <c r="L2047" s="91"/>
      <c r="O2047" s="413"/>
      <c r="Q2047" s="415"/>
      <c r="R2047" s="416"/>
      <c r="S2047" s="420"/>
      <c r="T2047" s="384" ph="1"/>
      <c r="V2047" s="421"/>
      <c r="W2047" s="257"/>
      <c r="X2047" s="429"/>
      <c r="Y2047" s="257"/>
      <c r="Z2047" s="257"/>
      <c r="AC2047" s="357"/>
      <c r="AD2047" s="257"/>
      <c r="AE2047" s="245"/>
      <c r="AF2047" s="246"/>
    </row>
    <row r="2048" spans="1:32" ht="26.25">
      <c r="A2048" s="385"/>
      <c r="B2048" s="245"/>
      <c r="C2048" s="245"/>
      <c r="D2048" s="245"/>
      <c r="E2048" s="245"/>
      <c r="F2048" s="316"/>
      <c r="G2048" s="245"/>
      <c r="H2048" s="385"/>
      <c r="I2048" s="245"/>
      <c r="L2048" s="91"/>
      <c r="O2048" s="413"/>
      <c r="Q2048" s="415"/>
      <c r="R2048" s="416"/>
      <c r="S2048" s="420"/>
      <c r="T2048" s="384" ph="1"/>
      <c r="V2048" s="421"/>
      <c r="W2048" s="257"/>
      <c r="X2048" s="429"/>
      <c r="Y2048" s="257"/>
      <c r="Z2048" s="257"/>
      <c r="AC2048" s="357"/>
      <c r="AD2048" s="257"/>
      <c r="AE2048" s="245"/>
      <c r="AF2048" s="246"/>
    </row>
    <row r="2049" spans="1:32" ht="26.25">
      <c r="A2049" s="385"/>
      <c r="B2049" s="245"/>
      <c r="C2049" s="245"/>
      <c r="D2049" s="245"/>
      <c r="E2049" s="245"/>
      <c r="F2049" s="316"/>
      <c r="G2049" s="245"/>
      <c r="H2049" s="385"/>
      <c r="I2049" s="245"/>
      <c r="L2049" s="91"/>
      <c r="O2049" s="413"/>
      <c r="Q2049" s="415"/>
      <c r="R2049" s="416"/>
      <c r="S2049" s="420"/>
      <c r="T2049" s="384" ph="1"/>
      <c r="V2049" s="421"/>
      <c r="W2049" s="257"/>
      <c r="X2049" s="429"/>
      <c r="Y2049" s="257"/>
      <c r="Z2049" s="257"/>
      <c r="AC2049" s="357"/>
      <c r="AD2049" s="257"/>
      <c r="AE2049" s="245"/>
      <c r="AF2049" s="246"/>
    </row>
    <row r="2050" spans="1:32" ht="26.25">
      <c r="A2050" s="385"/>
      <c r="B2050" s="245"/>
      <c r="C2050" s="245"/>
      <c r="D2050" s="245"/>
      <c r="E2050" s="245"/>
      <c r="F2050" s="316"/>
      <c r="G2050" s="245"/>
      <c r="H2050" s="385"/>
      <c r="I2050" s="245"/>
      <c r="L2050" s="91"/>
      <c r="O2050" s="413"/>
      <c r="Q2050" s="415"/>
      <c r="R2050" s="416"/>
      <c r="S2050" s="420"/>
      <c r="T2050" s="384" ph="1"/>
      <c r="V2050" s="421"/>
      <c r="W2050" s="257"/>
      <c r="X2050" s="429"/>
      <c r="Y2050" s="257"/>
      <c r="Z2050" s="257"/>
      <c r="AC2050" s="357"/>
      <c r="AD2050" s="257"/>
      <c r="AE2050" s="245"/>
      <c r="AF2050" s="246"/>
    </row>
    <row r="2051" spans="1:32" ht="26.25">
      <c r="A2051" s="385"/>
      <c r="B2051" s="245"/>
      <c r="C2051" s="245"/>
      <c r="D2051" s="245"/>
      <c r="E2051" s="245"/>
      <c r="F2051" s="316"/>
      <c r="G2051" s="245"/>
      <c r="H2051" s="385"/>
      <c r="I2051" s="245"/>
      <c r="L2051" s="91"/>
      <c r="O2051" s="413"/>
      <c r="Q2051" s="415"/>
      <c r="R2051" s="416"/>
      <c r="S2051" s="420"/>
      <c r="T2051" s="384" ph="1"/>
      <c r="V2051" s="421"/>
      <c r="W2051" s="257"/>
      <c r="X2051" s="429"/>
      <c r="Y2051" s="257"/>
      <c r="Z2051" s="257"/>
      <c r="AC2051" s="357"/>
      <c r="AD2051" s="257"/>
      <c r="AE2051" s="245"/>
      <c r="AF2051" s="246"/>
    </row>
    <row r="2052" spans="1:32" ht="26.25">
      <c r="A2052" s="385"/>
      <c r="B2052" s="245"/>
      <c r="C2052" s="245"/>
      <c r="D2052" s="245"/>
      <c r="E2052" s="245"/>
      <c r="F2052" s="316"/>
      <c r="G2052" s="245"/>
      <c r="H2052" s="385"/>
      <c r="I2052" s="245"/>
      <c r="L2052" s="91"/>
      <c r="O2052" s="413"/>
      <c r="Q2052" s="415"/>
      <c r="R2052" s="416"/>
      <c r="S2052" s="420"/>
      <c r="T2052" s="384" ph="1"/>
      <c r="V2052" s="421"/>
      <c r="W2052" s="257"/>
      <c r="X2052" s="429"/>
      <c r="Y2052" s="257"/>
      <c r="Z2052" s="257"/>
      <c r="AC2052" s="357"/>
      <c r="AD2052" s="257"/>
      <c r="AE2052" s="245"/>
      <c r="AF2052" s="246"/>
    </row>
    <row r="2053" spans="1:32" ht="26.25">
      <c r="A2053" s="385"/>
      <c r="B2053" s="245"/>
      <c r="C2053" s="245"/>
      <c r="D2053" s="245"/>
      <c r="E2053" s="245"/>
      <c r="F2053" s="316"/>
      <c r="G2053" s="245"/>
      <c r="H2053" s="385"/>
      <c r="I2053" s="245"/>
      <c r="L2053" s="91"/>
      <c r="O2053" s="413"/>
      <c r="Q2053" s="415"/>
      <c r="R2053" s="416"/>
      <c r="S2053" s="420"/>
      <c r="T2053" s="384" ph="1"/>
      <c r="V2053" s="421"/>
      <c r="W2053" s="257"/>
      <c r="X2053" s="429"/>
      <c r="Y2053" s="257"/>
      <c r="Z2053" s="257"/>
      <c r="AC2053" s="357"/>
      <c r="AD2053" s="257"/>
      <c r="AE2053" s="245"/>
      <c r="AF2053" s="246"/>
    </row>
    <row r="2054" spans="1:32" ht="26.25">
      <c r="A2054" s="385"/>
      <c r="B2054" s="245"/>
      <c r="C2054" s="245"/>
      <c r="D2054" s="245"/>
      <c r="E2054" s="245"/>
      <c r="F2054" s="316"/>
      <c r="G2054" s="245"/>
      <c r="H2054" s="385"/>
      <c r="I2054" s="245"/>
      <c r="L2054" s="91"/>
      <c r="O2054" s="413"/>
      <c r="Q2054" s="415"/>
      <c r="R2054" s="416"/>
      <c r="S2054" s="420"/>
      <c r="T2054" s="384" ph="1"/>
      <c r="V2054" s="421"/>
      <c r="W2054" s="257"/>
      <c r="X2054" s="429"/>
      <c r="Y2054" s="257"/>
      <c r="Z2054" s="257"/>
      <c r="AC2054" s="357"/>
      <c r="AD2054" s="257"/>
      <c r="AE2054" s="245"/>
      <c r="AF2054" s="246"/>
    </row>
    <row r="2055" spans="1:32" ht="26.25">
      <c r="A2055" s="385"/>
      <c r="B2055" s="245"/>
      <c r="C2055" s="245"/>
      <c r="D2055" s="245"/>
      <c r="E2055" s="245"/>
      <c r="F2055" s="316"/>
      <c r="G2055" s="245"/>
      <c r="H2055" s="385"/>
      <c r="I2055" s="245"/>
      <c r="L2055" s="91"/>
      <c r="O2055" s="413"/>
      <c r="Q2055" s="415"/>
      <c r="R2055" s="416"/>
      <c r="S2055" s="420"/>
      <c r="T2055" s="384" ph="1"/>
      <c r="V2055" s="421"/>
      <c r="W2055" s="257"/>
      <c r="X2055" s="429"/>
      <c r="Y2055" s="257"/>
      <c r="Z2055" s="257"/>
      <c r="AC2055" s="357"/>
      <c r="AD2055" s="257"/>
      <c r="AE2055" s="245"/>
      <c r="AF2055" s="246"/>
    </row>
    <row r="2056" spans="1:32" ht="26.25">
      <c r="A2056" s="385"/>
      <c r="B2056" s="245"/>
      <c r="C2056" s="245"/>
      <c r="D2056" s="245"/>
      <c r="E2056" s="245"/>
      <c r="F2056" s="316"/>
      <c r="G2056" s="245"/>
      <c r="H2056" s="385"/>
      <c r="I2056" s="245"/>
      <c r="L2056" s="91"/>
      <c r="O2056" s="413"/>
      <c r="Q2056" s="415"/>
      <c r="R2056" s="416"/>
      <c r="S2056" s="420"/>
      <c r="T2056" s="384" ph="1"/>
      <c r="V2056" s="421"/>
      <c r="W2056" s="257"/>
      <c r="X2056" s="429"/>
      <c r="Y2056" s="257"/>
      <c r="Z2056" s="257"/>
      <c r="AC2056" s="357"/>
      <c r="AD2056" s="257"/>
      <c r="AE2056" s="245"/>
      <c r="AF2056" s="246"/>
    </row>
    <row r="2057" spans="1:32" ht="26.25">
      <c r="A2057" s="385"/>
      <c r="B2057" s="245"/>
      <c r="C2057" s="245"/>
      <c r="D2057" s="245"/>
      <c r="E2057" s="245"/>
      <c r="F2057" s="316"/>
      <c r="G2057" s="245"/>
      <c r="H2057" s="385"/>
      <c r="I2057" s="245"/>
      <c r="L2057" s="91"/>
      <c r="O2057" s="413"/>
      <c r="Q2057" s="415"/>
      <c r="R2057" s="416"/>
      <c r="S2057" s="420"/>
      <c r="T2057" s="384" ph="1"/>
      <c r="V2057" s="421"/>
      <c r="W2057" s="257"/>
      <c r="X2057" s="429"/>
      <c r="Y2057" s="257"/>
      <c r="Z2057" s="257"/>
      <c r="AC2057" s="357"/>
      <c r="AD2057" s="257"/>
      <c r="AE2057" s="245"/>
      <c r="AF2057" s="246"/>
    </row>
    <row r="2058" spans="1:32" ht="26.25">
      <c r="A2058" s="385"/>
      <c r="B2058" s="245"/>
      <c r="C2058" s="245"/>
      <c r="D2058" s="245"/>
      <c r="E2058" s="245"/>
      <c r="F2058" s="316"/>
      <c r="G2058" s="245"/>
      <c r="H2058" s="385"/>
      <c r="I2058" s="245"/>
      <c r="L2058" s="91"/>
      <c r="O2058" s="413"/>
      <c r="Q2058" s="415"/>
      <c r="R2058" s="416"/>
      <c r="S2058" s="420"/>
      <c r="T2058" s="384" ph="1"/>
      <c r="V2058" s="421"/>
      <c r="W2058" s="257"/>
      <c r="X2058" s="429"/>
      <c r="Y2058" s="257"/>
      <c r="Z2058" s="257"/>
      <c r="AC2058" s="357"/>
      <c r="AD2058" s="257"/>
      <c r="AE2058" s="245"/>
      <c r="AF2058" s="246"/>
    </row>
    <row r="2059" spans="1:32" ht="26.25">
      <c r="A2059" s="385"/>
      <c r="B2059" s="245"/>
      <c r="C2059" s="245"/>
      <c r="D2059" s="245"/>
      <c r="E2059" s="245"/>
      <c r="F2059" s="316"/>
      <c r="G2059" s="245"/>
      <c r="H2059" s="385"/>
      <c r="I2059" s="245"/>
      <c r="L2059" s="91"/>
      <c r="O2059" s="413"/>
      <c r="Q2059" s="415"/>
      <c r="R2059" s="416"/>
      <c r="S2059" s="420"/>
      <c r="T2059" s="384" ph="1"/>
      <c r="V2059" s="421"/>
      <c r="W2059" s="257"/>
      <c r="X2059" s="429"/>
      <c r="Y2059" s="257"/>
      <c r="Z2059" s="257"/>
      <c r="AC2059" s="357"/>
      <c r="AD2059" s="257"/>
      <c r="AE2059" s="245"/>
      <c r="AF2059" s="246"/>
    </row>
    <row r="2060" spans="1:32" ht="26.25">
      <c r="A2060" s="385"/>
      <c r="B2060" s="245"/>
      <c r="C2060" s="245"/>
      <c r="D2060" s="245"/>
      <c r="E2060" s="245"/>
      <c r="F2060" s="316"/>
      <c r="G2060" s="245"/>
      <c r="H2060" s="385"/>
      <c r="I2060" s="245"/>
      <c r="L2060" s="91"/>
      <c r="O2060" s="413"/>
      <c r="Q2060" s="415"/>
      <c r="R2060" s="416"/>
      <c r="S2060" s="420"/>
      <c r="T2060" s="384" ph="1"/>
      <c r="V2060" s="421"/>
      <c r="W2060" s="257"/>
      <c r="X2060" s="429"/>
      <c r="Y2060" s="257"/>
      <c r="Z2060" s="257"/>
      <c r="AC2060" s="357"/>
      <c r="AD2060" s="257"/>
      <c r="AE2060" s="245"/>
      <c r="AF2060" s="246"/>
    </row>
    <row r="2061" spans="1:32" ht="26.25">
      <c r="A2061" s="385"/>
      <c r="B2061" s="245"/>
      <c r="C2061" s="245"/>
      <c r="D2061" s="245"/>
      <c r="E2061" s="245"/>
      <c r="F2061" s="316"/>
      <c r="G2061" s="245"/>
      <c r="H2061" s="385"/>
      <c r="I2061" s="245"/>
      <c r="L2061" s="91"/>
      <c r="O2061" s="413"/>
      <c r="Q2061" s="415"/>
      <c r="R2061" s="416"/>
      <c r="S2061" s="420"/>
      <c r="T2061" s="384" ph="1"/>
      <c r="V2061" s="421"/>
      <c r="W2061" s="257"/>
      <c r="X2061" s="429"/>
      <c r="Y2061" s="257"/>
      <c r="Z2061" s="257"/>
      <c r="AC2061" s="357"/>
      <c r="AD2061" s="257"/>
      <c r="AE2061" s="245"/>
      <c r="AF2061" s="246"/>
    </row>
    <row r="2062" spans="1:32" ht="26.25">
      <c r="A2062" s="385"/>
      <c r="B2062" s="245"/>
      <c r="C2062" s="245"/>
      <c r="D2062" s="245"/>
      <c r="E2062" s="245"/>
      <c r="F2062" s="316"/>
      <c r="G2062" s="245"/>
      <c r="H2062" s="385"/>
      <c r="I2062" s="245"/>
      <c r="L2062" s="91"/>
      <c r="O2062" s="413"/>
      <c r="Q2062" s="415"/>
      <c r="R2062" s="416"/>
      <c r="S2062" s="420"/>
      <c r="T2062" s="384" ph="1"/>
      <c r="V2062" s="421"/>
      <c r="W2062" s="257"/>
      <c r="X2062" s="429"/>
      <c r="Y2062" s="257"/>
      <c r="Z2062" s="257"/>
      <c r="AC2062" s="357"/>
      <c r="AD2062" s="257"/>
      <c r="AE2062" s="245"/>
      <c r="AF2062" s="246"/>
    </row>
    <row r="2063" spans="1:32" ht="26.25">
      <c r="A2063" s="385"/>
      <c r="B2063" s="245"/>
      <c r="C2063" s="245"/>
      <c r="D2063" s="245"/>
      <c r="E2063" s="245"/>
      <c r="F2063" s="316"/>
      <c r="G2063" s="245"/>
      <c r="H2063" s="385"/>
      <c r="I2063" s="245"/>
      <c r="L2063" s="91"/>
      <c r="O2063" s="413"/>
      <c r="Q2063" s="415"/>
      <c r="R2063" s="416"/>
      <c r="S2063" s="420"/>
      <c r="T2063" s="384" ph="1"/>
      <c r="V2063" s="421"/>
      <c r="W2063" s="257"/>
      <c r="X2063" s="429"/>
      <c r="Y2063" s="257"/>
      <c r="Z2063" s="257"/>
      <c r="AC2063" s="357"/>
      <c r="AD2063" s="257"/>
      <c r="AE2063" s="245"/>
      <c r="AF2063" s="246"/>
    </row>
    <row r="2064" spans="1:32" ht="26.25">
      <c r="A2064" s="385"/>
      <c r="B2064" s="245"/>
      <c r="C2064" s="245"/>
      <c r="D2064" s="245"/>
      <c r="E2064" s="245"/>
      <c r="F2064" s="316"/>
      <c r="G2064" s="245"/>
      <c r="H2064" s="385"/>
      <c r="I2064" s="245"/>
      <c r="L2064" s="91"/>
      <c r="O2064" s="413"/>
      <c r="Q2064" s="415"/>
      <c r="R2064" s="416"/>
      <c r="S2064" s="420"/>
      <c r="T2064" s="384" ph="1"/>
      <c r="V2064" s="421"/>
      <c r="W2064" s="257"/>
      <c r="X2064" s="429"/>
      <c r="Y2064" s="257"/>
      <c r="Z2064" s="257"/>
      <c r="AC2064" s="357"/>
      <c r="AD2064" s="257"/>
      <c r="AE2064" s="245"/>
      <c r="AF2064" s="246"/>
    </row>
    <row r="2065" spans="1:32" ht="26.25">
      <c r="A2065" s="385"/>
      <c r="B2065" s="245"/>
      <c r="C2065" s="245"/>
      <c r="D2065" s="245"/>
      <c r="E2065" s="245"/>
      <c r="F2065" s="316"/>
      <c r="G2065" s="245"/>
      <c r="H2065" s="385"/>
      <c r="I2065" s="245"/>
      <c r="L2065" s="91"/>
      <c r="O2065" s="413"/>
      <c r="Q2065" s="415"/>
      <c r="R2065" s="416"/>
      <c r="S2065" s="420"/>
      <c r="T2065" s="384" ph="1"/>
      <c r="V2065" s="421"/>
      <c r="W2065" s="257"/>
      <c r="X2065" s="429"/>
      <c r="Y2065" s="257"/>
      <c r="Z2065" s="257"/>
      <c r="AC2065" s="357"/>
      <c r="AD2065" s="257"/>
      <c r="AE2065" s="245"/>
      <c r="AF2065" s="246"/>
    </row>
    <row r="2066" spans="1:32" ht="26.25">
      <c r="A2066" s="385"/>
      <c r="B2066" s="245"/>
      <c r="C2066" s="245"/>
      <c r="D2066" s="245"/>
      <c r="E2066" s="245"/>
      <c r="F2066" s="316"/>
      <c r="G2066" s="245"/>
      <c r="H2066" s="385"/>
      <c r="I2066" s="245"/>
      <c r="L2066" s="91"/>
      <c r="O2066" s="413"/>
      <c r="Q2066" s="415"/>
      <c r="R2066" s="416"/>
      <c r="S2066" s="420"/>
      <c r="T2066" s="384" ph="1"/>
      <c r="V2066" s="421"/>
      <c r="W2066" s="257"/>
      <c r="X2066" s="429"/>
      <c r="Y2066" s="257"/>
      <c r="Z2066" s="257"/>
      <c r="AC2066" s="357"/>
      <c r="AD2066" s="257"/>
      <c r="AE2066" s="245"/>
      <c r="AF2066" s="246"/>
    </row>
    <row r="2067" spans="1:32" ht="26.25">
      <c r="A2067" s="385"/>
      <c r="B2067" s="245"/>
      <c r="C2067" s="245"/>
      <c r="D2067" s="245"/>
      <c r="E2067" s="245"/>
      <c r="F2067" s="316"/>
      <c r="G2067" s="245"/>
      <c r="H2067" s="385"/>
      <c r="I2067" s="245"/>
      <c r="L2067" s="91"/>
      <c r="O2067" s="413"/>
      <c r="Q2067" s="415"/>
      <c r="R2067" s="416"/>
      <c r="S2067" s="420"/>
      <c r="T2067" s="384" ph="1"/>
      <c r="V2067" s="421"/>
      <c r="W2067" s="257"/>
      <c r="X2067" s="429"/>
      <c r="Y2067" s="257"/>
      <c r="Z2067" s="257"/>
      <c r="AC2067" s="357"/>
      <c r="AD2067" s="257"/>
      <c r="AE2067" s="245"/>
      <c r="AF2067" s="246"/>
    </row>
    <row r="2068" spans="1:32" ht="26.25">
      <c r="A2068" s="385"/>
      <c r="B2068" s="245"/>
      <c r="C2068" s="245"/>
      <c r="D2068" s="245"/>
      <c r="E2068" s="245"/>
      <c r="F2068" s="316"/>
      <c r="G2068" s="245"/>
      <c r="H2068" s="385"/>
      <c r="I2068" s="245"/>
      <c r="L2068" s="91"/>
      <c r="O2068" s="413"/>
      <c r="Q2068" s="415"/>
      <c r="R2068" s="416"/>
      <c r="S2068" s="420"/>
      <c r="T2068" s="384" ph="1"/>
      <c r="V2068" s="421"/>
      <c r="W2068" s="257"/>
      <c r="X2068" s="429"/>
      <c r="Y2068" s="257"/>
      <c r="Z2068" s="257"/>
      <c r="AC2068" s="357"/>
      <c r="AD2068" s="257"/>
      <c r="AE2068" s="245"/>
      <c r="AF2068" s="246"/>
    </row>
    <row r="2069" spans="1:32" ht="26.25">
      <c r="A2069" s="385"/>
      <c r="B2069" s="245"/>
      <c r="C2069" s="245"/>
      <c r="D2069" s="245"/>
      <c r="E2069" s="245"/>
      <c r="F2069" s="316"/>
      <c r="G2069" s="245"/>
      <c r="H2069" s="385"/>
      <c r="I2069" s="245"/>
      <c r="L2069" s="91"/>
      <c r="O2069" s="413"/>
      <c r="Q2069" s="415"/>
      <c r="R2069" s="416"/>
      <c r="S2069" s="420"/>
      <c r="T2069" s="384" ph="1"/>
      <c r="V2069" s="421"/>
      <c r="W2069" s="257"/>
      <c r="X2069" s="429"/>
      <c r="Y2069" s="257"/>
      <c r="Z2069" s="257"/>
      <c r="AC2069" s="357"/>
      <c r="AD2069" s="257"/>
      <c r="AE2069" s="245"/>
      <c r="AF2069" s="246"/>
    </row>
    <row r="2070" spans="1:32" ht="26.25">
      <c r="A2070" s="385"/>
      <c r="B2070" s="245"/>
      <c r="C2070" s="245"/>
      <c r="D2070" s="245"/>
      <c r="E2070" s="245"/>
      <c r="F2070" s="316"/>
      <c r="G2070" s="245"/>
      <c r="H2070" s="385"/>
      <c r="I2070" s="245"/>
      <c r="L2070" s="91"/>
      <c r="O2070" s="413"/>
      <c r="Q2070" s="415"/>
      <c r="R2070" s="416"/>
      <c r="S2070" s="420"/>
      <c r="T2070" s="384" ph="1"/>
      <c r="V2070" s="421"/>
      <c r="W2070" s="257"/>
      <c r="X2070" s="429"/>
      <c r="Y2070" s="257"/>
      <c r="Z2070" s="257"/>
      <c r="AC2070" s="357"/>
      <c r="AD2070" s="257"/>
      <c r="AE2070" s="245"/>
      <c r="AF2070" s="246"/>
    </row>
    <row r="2071" spans="1:32" ht="26.25">
      <c r="A2071" s="385"/>
      <c r="B2071" s="245"/>
      <c r="C2071" s="245"/>
      <c r="D2071" s="245"/>
      <c r="E2071" s="245"/>
      <c r="F2071" s="316"/>
      <c r="G2071" s="245"/>
      <c r="H2071" s="385"/>
      <c r="I2071" s="245"/>
      <c r="L2071" s="91"/>
      <c r="O2071" s="413"/>
      <c r="Q2071" s="415"/>
      <c r="R2071" s="416"/>
      <c r="S2071" s="420"/>
      <c r="T2071" s="384" ph="1"/>
      <c r="V2071" s="421"/>
      <c r="W2071" s="257"/>
      <c r="X2071" s="429"/>
      <c r="Y2071" s="257"/>
      <c r="Z2071" s="257"/>
      <c r="AC2071" s="357"/>
      <c r="AD2071" s="257"/>
      <c r="AE2071" s="245"/>
      <c r="AF2071" s="246"/>
    </row>
    <row r="2072" spans="1:32" ht="26.25">
      <c r="A2072" s="385"/>
      <c r="B2072" s="245"/>
      <c r="C2072" s="245"/>
      <c r="D2072" s="245"/>
      <c r="E2072" s="245"/>
      <c r="F2072" s="316"/>
      <c r="G2072" s="245"/>
      <c r="H2072" s="385"/>
      <c r="I2072" s="245"/>
      <c r="L2072" s="91"/>
      <c r="O2072" s="413"/>
      <c r="Q2072" s="415"/>
      <c r="R2072" s="416"/>
      <c r="S2072" s="420"/>
      <c r="T2072" s="384" ph="1"/>
      <c r="V2072" s="421"/>
      <c r="W2072" s="257"/>
      <c r="X2072" s="429"/>
      <c r="Y2072" s="257"/>
      <c r="Z2072" s="257"/>
      <c r="AC2072" s="357"/>
      <c r="AD2072" s="257"/>
      <c r="AE2072" s="245"/>
      <c r="AF2072" s="246"/>
    </row>
    <row r="2073" spans="1:32" ht="26.25">
      <c r="A2073" s="385"/>
      <c r="B2073" s="245"/>
      <c r="C2073" s="245"/>
      <c r="D2073" s="245"/>
      <c r="E2073" s="245"/>
      <c r="F2073" s="316"/>
      <c r="G2073" s="245"/>
      <c r="H2073" s="385"/>
      <c r="I2073" s="245"/>
      <c r="L2073" s="91"/>
      <c r="O2073" s="413"/>
      <c r="Q2073" s="415"/>
      <c r="R2073" s="416"/>
      <c r="S2073" s="420"/>
      <c r="T2073" s="384" ph="1"/>
      <c r="V2073" s="421"/>
      <c r="W2073" s="257"/>
      <c r="X2073" s="429"/>
      <c r="Y2073" s="257"/>
      <c r="Z2073" s="257"/>
      <c r="AC2073" s="357"/>
      <c r="AD2073" s="257"/>
      <c r="AE2073" s="245"/>
      <c r="AF2073" s="246"/>
    </row>
    <row r="2074" spans="1:32" ht="26.25">
      <c r="A2074" s="385"/>
      <c r="B2074" s="245"/>
      <c r="C2074" s="245"/>
      <c r="D2074" s="245"/>
      <c r="E2074" s="245"/>
      <c r="F2074" s="316"/>
      <c r="G2074" s="245"/>
      <c r="H2074" s="385"/>
      <c r="I2074" s="245"/>
      <c r="L2074" s="91"/>
      <c r="O2074" s="413"/>
      <c r="Q2074" s="415"/>
      <c r="R2074" s="416"/>
      <c r="S2074" s="420"/>
      <c r="T2074" s="384" ph="1"/>
      <c r="V2074" s="421"/>
      <c r="W2074" s="257"/>
      <c r="X2074" s="429"/>
      <c r="Y2074" s="257"/>
      <c r="Z2074" s="257"/>
      <c r="AC2074" s="357"/>
      <c r="AD2074" s="257"/>
      <c r="AE2074" s="245"/>
      <c r="AF2074" s="246"/>
    </row>
    <row r="2075" spans="1:32" ht="26.25">
      <c r="A2075" s="385"/>
      <c r="B2075" s="245"/>
      <c r="C2075" s="245"/>
      <c r="D2075" s="245"/>
      <c r="E2075" s="245"/>
      <c r="F2075" s="316"/>
      <c r="G2075" s="245"/>
      <c r="H2075" s="385"/>
      <c r="I2075" s="245"/>
      <c r="L2075" s="91"/>
      <c r="O2075" s="413"/>
      <c r="Q2075" s="415"/>
      <c r="R2075" s="416"/>
      <c r="S2075" s="420"/>
      <c r="T2075" s="384" ph="1"/>
      <c r="V2075" s="421"/>
      <c r="W2075" s="257"/>
      <c r="X2075" s="429"/>
      <c r="Y2075" s="257"/>
      <c r="Z2075" s="257"/>
      <c r="AC2075" s="357"/>
      <c r="AD2075" s="257"/>
      <c r="AE2075" s="245"/>
      <c r="AF2075" s="246"/>
    </row>
    <row r="2076" spans="1:32" ht="26.25">
      <c r="A2076" s="385"/>
      <c r="B2076" s="245"/>
      <c r="C2076" s="245"/>
      <c r="D2076" s="245"/>
      <c r="E2076" s="245"/>
      <c r="F2076" s="316"/>
      <c r="G2076" s="245"/>
      <c r="H2076" s="385"/>
      <c r="I2076" s="245"/>
      <c r="L2076" s="91"/>
      <c r="O2076" s="413"/>
      <c r="Q2076" s="415"/>
      <c r="R2076" s="416"/>
      <c r="S2076" s="420"/>
      <c r="T2076" s="384" ph="1"/>
      <c r="V2076" s="421"/>
      <c r="W2076" s="257"/>
      <c r="X2076" s="429"/>
      <c r="Y2076" s="257"/>
      <c r="Z2076" s="257"/>
      <c r="AC2076" s="357"/>
      <c r="AD2076" s="257"/>
      <c r="AE2076" s="245"/>
      <c r="AF2076" s="246"/>
    </row>
    <row r="2077" spans="1:32" ht="26.25">
      <c r="A2077" s="385"/>
      <c r="B2077" s="245"/>
      <c r="C2077" s="245"/>
      <c r="D2077" s="245"/>
      <c r="E2077" s="245"/>
      <c r="F2077" s="316"/>
      <c r="G2077" s="245"/>
      <c r="H2077" s="385"/>
      <c r="I2077" s="245"/>
      <c r="L2077" s="91"/>
      <c r="O2077" s="413"/>
      <c r="Q2077" s="415"/>
      <c r="R2077" s="416"/>
      <c r="S2077" s="420"/>
      <c r="T2077" s="384" ph="1"/>
      <c r="V2077" s="421"/>
      <c r="W2077" s="257"/>
      <c r="X2077" s="429"/>
      <c r="Y2077" s="257"/>
      <c r="Z2077" s="257"/>
      <c r="AC2077" s="357"/>
      <c r="AD2077" s="257"/>
      <c r="AE2077" s="245"/>
      <c r="AF2077" s="246"/>
    </row>
    <row r="2078" spans="1:32" ht="26.25">
      <c r="A2078" s="385"/>
      <c r="B2078" s="245"/>
      <c r="C2078" s="245"/>
      <c r="D2078" s="245"/>
      <c r="E2078" s="245"/>
      <c r="F2078" s="316"/>
      <c r="G2078" s="245"/>
      <c r="H2078" s="385"/>
      <c r="I2078" s="245"/>
      <c r="L2078" s="91"/>
      <c r="O2078" s="413"/>
      <c r="Q2078" s="415"/>
      <c r="R2078" s="416"/>
      <c r="S2078" s="420"/>
      <c r="T2078" s="384" ph="1"/>
      <c r="V2078" s="421"/>
      <c r="W2078" s="257"/>
      <c r="X2078" s="429"/>
      <c r="Y2078" s="257"/>
      <c r="Z2078" s="257"/>
      <c r="AC2078" s="357"/>
      <c r="AD2078" s="257"/>
      <c r="AE2078" s="245"/>
      <c r="AF2078" s="246"/>
    </row>
    <row r="2079" spans="1:32" ht="26.25">
      <c r="A2079" s="385"/>
      <c r="B2079" s="245"/>
      <c r="C2079" s="245"/>
      <c r="D2079" s="245"/>
      <c r="E2079" s="245"/>
      <c r="F2079" s="316"/>
      <c r="G2079" s="245"/>
      <c r="H2079" s="385"/>
      <c r="I2079" s="245"/>
      <c r="L2079" s="91"/>
      <c r="O2079" s="413"/>
      <c r="Q2079" s="415"/>
      <c r="R2079" s="416"/>
      <c r="S2079" s="420"/>
      <c r="T2079" s="384" ph="1"/>
      <c r="V2079" s="421"/>
      <c r="W2079" s="257"/>
      <c r="X2079" s="429"/>
      <c r="Y2079" s="257"/>
      <c r="Z2079" s="257"/>
      <c r="AC2079" s="357"/>
      <c r="AD2079" s="257"/>
      <c r="AE2079" s="245"/>
      <c r="AF2079" s="246"/>
    </row>
    <row r="2080" spans="1:32" ht="26.25">
      <c r="A2080" s="385"/>
      <c r="B2080" s="245"/>
      <c r="C2080" s="245"/>
      <c r="D2080" s="245"/>
      <c r="E2080" s="245"/>
      <c r="F2080" s="316"/>
      <c r="G2080" s="245"/>
      <c r="H2080" s="385"/>
      <c r="I2080" s="245"/>
      <c r="L2080" s="91"/>
      <c r="O2080" s="413"/>
      <c r="Q2080" s="415"/>
      <c r="R2080" s="416"/>
      <c r="S2080" s="420"/>
      <c r="T2080" s="384" ph="1"/>
      <c r="V2080" s="421"/>
      <c r="W2080" s="257"/>
      <c r="X2080" s="429"/>
      <c r="Y2080" s="257"/>
      <c r="Z2080" s="257"/>
      <c r="AC2080" s="357"/>
      <c r="AD2080" s="257"/>
      <c r="AE2080" s="245"/>
      <c r="AF2080" s="246"/>
    </row>
    <row r="2081" spans="1:32" ht="26.25">
      <c r="A2081" s="385"/>
      <c r="B2081" s="245"/>
      <c r="C2081" s="245"/>
      <c r="D2081" s="245"/>
      <c r="E2081" s="245"/>
      <c r="F2081" s="316"/>
      <c r="G2081" s="245"/>
      <c r="H2081" s="385"/>
      <c r="I2081" s="245"/>
      <c r="L2081" s="407"/>
      <c r="O2081" s="413"/>
      <c r="Q2081" s="415"/>
      <c r="R2081" s="416"/>
      <c r="S2081" s="420"/>
      <c r="T2081" s="384" ph="1"/>
      <c r="V2081" s="421"/>
      <c r="W2081" s="257"/>
      <c r="X2081" s="429"/>
      <c r="Y2081" s="257"/>
      <c r="Z2081" s="257"/>
      <c r="AC2081" s="357"/>
      <c r="AD2081" s="257"/>
      <c r="AE2081" s="245"/>
      <c r="AF2081" s="246"/>
    </row>
    <row r="2082" spans="1:32" ht="26.25">
      <c r="A2082" s="385"/>
      <c r="B2082" s="245"/>
      <c r="C2082" s="245"/>
      <c r="D2082" s="245"/>
      <c r="E2082" s="245"/>
      <c r="F2082" s="316"/>
      <c r="G2082" s="245"/>
      <c r="H2082" s="385"/>
      <c r="I2082" s="245"/>
      <c r="L2082" s="407"/>
      <c r="O2082" s="413"/>
      <c r="Q2082" s="415"/>
      <c r="R2082" s="416"/>
      <c r="S2082" s="420"/>
      <c r="T2082" s="384" ph="1"/>
      <c r="V2082" s="421"/>
      <c r="W2082" s="257"/>
      <c r="X2082" s="429"/>
      <c r="Y2082" s="257"/>
      <c r="Z2082" s="257"/>
      <c r="AC2082" s="357"/>
      <c r="AD2082" s="257"/>
      <c r="AE2082" s="245"/>
      <c r="AF2082" s="246"/>
    </row>
    <row r="2083" spans="1:32" ht="26.25">
      <c r="A2083" s="385"/>
      <c r="B2083" s="245"/>
      <c r="C2083" s="245"/>
      <c r="D2083" s="245"/>
      <c r="E2083" s="245"/>
      <c r="F2083" s="316"/>
      <c r="G2083" s="245"/>
      <c r="H2083" s="385"/>
      <c r="I2083" s="245"/>
      <c r="L2083" s="91"/>
      <c r="O2083" s="413"/>
      <c r="Q2083" s="415"/>
      <c r="R2083" s="416"/>
      <c r="S2083" s="420"/>
      <c r="T2083" s="384" ph="1"/>
      <c r="V2083" s="421"/>
      <c r="W2083" s="257"/>
      <c r="X2083" s="429"/>
      <c r="Y2083" s="257"/>
      <c r="Z2083" s="257"/>
      <c r="AC2083" s="357"/>
      <c r="AD2083" s="257"/>
      <c r="AE2083" s="245"/>
      <c r="AF2083" s="246"/>
    </row>
    <row r="2084" spans="1:32" ht="26.25">
      <c r="A2084" s="385"/>
      <c r="B2084" s="245"/>
      <c r="C2084" s="245"/>
      <c r="D2084" s="245"/>
      <c r="E2084" s="245"/>
      <c r="F2084" s="316"/>
      <c r="G2084" s="245"/>
      <c r="H2084" s="385"/>
      <c r="I2084" s="245"/>
      <c r="L2084" s="91"/>
      <c r="O2084" s="413"/>
      <c r="Q2084" s="415"/>
      <c r="R2084" s="416"/>
      <c r="S2084" s="420"/>
      <c r="T2084" s="384" ph="1"/>
      <c r="V2084" s="421"/>
      <c r="W2084" s="257"/>
      <c r="X2084" s="429"/>
      <c r="Y2084" s="257"/>
      <c r="Z2084" s="257"/>
      <c r="AC2084" s="357"/>
      <c r="AD2084" s="257"/>
      <c r="AE2084" s="245"/>
      <c r="AF2084" s="246"/>
    </row>
    <row r="2085" spans="1:32" ht="26.25">
      <c r="A2085" s="385"/>
      <c r="B2085" s="245"/>
      <c r="C2085" s="245"/>
      <c r="D2085" s="245"/>
      <c r="E2085" s="245"/>
      <c r="F2085" s="316"/>
      <c r="G2085" s="245"/>
      <c r="H2085" s="385"/>
      <c r="I2085" s="245"/>
      <c r="L2085" s="91"/>
      <c r="O2085" s="413"/>
      <c r="Q2085" s="415"/>
      <c r="R2085" s="416"/>
      <c r="S2085" s="420"/>
      <c r="T2085" s="384" ph="1"/>
      <c r="V2085" s="421"/>
      <c r="W2085" s="257"/>
      <c r="X2085" s="429"/>
      <c r="Y2085" s="257"/>
      <c r="Z2085" s="257"/>
      <c r="AC2085" s="357"/>
      <c r="AD2085" s="257"/>
      <c r="AE2085" s="245"/>
      <c r="AF2085" s="246"/>
    </row>
    <row r="2086" spans="1:32" ht="26.25">
      <c r="A2086" s="385"/>
      <c r="B2086" s="245"/>
      <c r="C2086" s="245"/>
      <c r="D2086" s="245"/>
      <c r="E2086" s="245"/>
      <c r="F2086" s="316"/>
      <c r="G2086" s="245"/>
      <c r="H2086" s="385"/>
      <c r="I2086" s="245"/>
      <c r="L2086" s="91"/>
      <c r="O2086" s="413"/>
      <c r="Q2086" s="415"/>
      <c r="R2086" s="416"/>
      <c r="S2086" s="420"/>
      <c r="T2086" s="384" ph="1"/>
      <c r="V2086" s="421"/>
      <c r="W2086" s="257"/>
      <c r="X2086" s="429"/>
      <c r="Y2086" s="257"/>
      <c r="Z2086" s="257"/>
      <c r="AC2086" s="357"/>
      <c r="AD2086" s="257"/>
      <c r="AE2086" s="245"/>
      <c r="AF2086" s="246"/>
    </row>
    <row r="2087" spans="1:32" ht="26.25">
      <c r="A2087" s="385"/>
      <c r="B2087" s="245"/>
      <c r="C2087" s="245"/>
      <c r="D2087" s="245"/>
      <c r="E2087" s="245"/>
      <c r="F2087" s="316"/>
      <c r="G2087" s="245"/>
      <c r="H2087" s="385"/>
      <c r="I2087" s="245"/>
      <c r="L2087" s="91"/>
      <c r="O2087" s="413"/>
      <c r="Q2087" s="415"/>
      <c r="R2087" s="416"/>
      <c r="S2087" s="420"/>
      <c r="T2087" s="384" ph="1"/>
      <c r="V2087" s="421"/>
      <c r="W2087" s="257"/>
      <c r="X2087" s="429"/>
      <c r="Y2087" s="257"/>
      <c r="Z2087" s="257"/>
      <c r="AC2087" s="357"/>
      <c r="AD2087" s="257"/>
      <c r="AE2087" s="245"/>
      <c r="AF2087" s="246"/>
    </row>
    <row r="2088" spans="1:32" ht="26.25">
      <c r="A2088" s="385"/>
      <c r="B2088" s="245"/>
      <c r="C2088" s="245"/>
      <c r="D2088" s="245"/>
      <c r="E2088" s="245"/>
      <c r="F2088" s="316"/>
      <c r="G2088" s="245"/>
      <c r="H2088" s="385"/>
      <c r="I2088" s="245"/>
      <c r="L2088" s="91"/>
      <c r="O2088" s="413"/>
      <c r="Q2088" s="415"/>
      <c r="R2088" s="416"/>
      <c r="S2088" s="420"/>
      <c r="T2088" s="384" ph="1"/>
      <c r="V2088" s="421"/>
      <c r="W2088" s="257"/>
      <c r="X2088" s="429"/>
      <c r="Y2088" s="257"/>
      <c r="Z2088" s="257"/>
      <c r="AC2088" s="357"/>
      <c r="AD2088" s="257"/>
      <c r="AE2088" s="245"/>
      <c r="AF2088" s="246"/>
    </row>
    <row r="2089" spans="1:32" ht="26.25">
      <c r="A2089" s="385"/>
      <c r="B2089" s="245"/>
      <c r="C2089" s="245"/>
      <c r="D2089" s="245"/>
      <c r="E2089" s="245"/>
      <c r="F2089" s="316"/>
      <c r="G2089" s="245"/>
      <c r="H2089" s="385"/>
      <c r="I2089" s="245"/>
      <c r="L2089" s="91"/>
      <c r="O2089" s="413"/>
      <c r="Q2089" s="415"/>
      <c r="R2089" s="416"/>
      <c r="S2089" s="420"/>
      <c r="T2089" s="384" ph="1"/>
      <c r="V2089" s="421"/>
      <c r="W2089" s="257"/>
      <c r="X2089" s="429"/>
      <c r="Y2089" s="257"/>
      <c r="Z2089" s="257"/>
      <c r="AC2089" s="357"/>
      <c r="AD2089" s="257"/>
      <c r="AE2089" s="245"/>
      <c r="AF2089" s="246"/>
    </row>
    <row r="2090" spans="1:32" ht="26.25">
      <c r="A2090" s="385"/>
      <c r="B2090" s="245"/>
      <c r="C2090" s="245"/>
      <c r="D2090" s="245"/>
      <c r="E2090" s="245"/>
      <c r="F2090" s="316"/>
      <c r="G2090" s="245"/>
      <c r="H2090" s="385"/>
      <c r="I2090" s="245"/>
      <c r="L2090" s="91"/>
      <c r="O2090" s="413"/>
      <c r="Q2090" s="415"/>
      <c r="R2090" s="416"/>
      <c r="S2090" s="420"/>
      <c r="T2090" s="384" ph="1"/>
      <c r="V2090" s="421"/>
      <c r="W2090" s="257"/>
      <c r="X2090" s="429"/>
      <c r="Y2090" s="257"/>
      <c r="Z2090" s="257"/>
      <c r="AC2090" s="357"/>
      <c r="AD2090" s="257"/>
      <c r="AE2090" s="245"/>
      <c r="AF2090" s="246"/>
    </row>
    <row r="2091" spans="1:32" ht="26.25">
      <c r="A2091" s="385"/>
      <c r="B2091" s="245"/>
      <c r="C2091" s="245"/>
      <c r="D2091" s="245"/>
      <c r="E2091" s="245"/>
      <c r="F2091" s="316"/>
      <c r="G2091" s="245"/>
      <c r="H2091" s="385"/>
      <c r="I2091" s="245"/>
      <c r="L2091" s="91"/>
      <c r="O2091" s="413"/>
      <c r="Q2091" s="415"/>
      <c r="R2091" s="416"/>
      <c r="S2091" s="420"/>
      <c r="T2091" s="384" ph="1"/>
      <c r="V2091" s="421"/>
      <c r="W2091" s="257"/>
      <c r="X2091" s="429"/>
      <c r="Y2091" s="257"/>
      <c r="Z2091" s="257"/>
      <c r="AC2091" s="357"/>
      <c r="AD2091" s="257"/>
      <c r="AE2091" s="245"/>
      <c r="AF2091" s="246"/>
    </row>
    <row r="2092" spans="1:32" ht="26.25">
      <c r="A2092" s="385"/>
      <c r="B2092" s="245"/>
      <c r="C2092" s="245"/>
      <c r="D2092" s="245"/>
      <c r="E2092" s="245"/>
      <c r="F2092" s="316"/>
      <c r="G2092" s="245"/>
      <c r="H2092" s="385"/>
      <c r="I2092" s="245"/>
      <c r="L2092" s="91"/>
      <c r="O2092" s="413"/>
      <c r="Q2092" s="415"/>
      <c r="R2092" s="416"/>
      <c r="S2092" s="420"/>
      <c r="T2092" s="384" ph="1"/>
      <c r="V2092" s="421"/>
      <c r="W2092" s="257"/>
      <c r="X2092" s="429"/>
      <c r="Y2092" s="257"/>
      <c r="Z2092" s="257"/>
      <c r="AC2092" s="357"/>
      <c r="AD2092" s="257"/>
      <c r="AE2092" s="245"/>
      <c r="AF2092" s="246"/>
    </row>
    <row r="2093" spans="1:32" ht="26.25">
      <c r="A2093" s="385"/>
      <c r="B2093" s="245"/>
      <c r="C2093" s="245"/>
      <c r="D2093" s="245"/>
      <c r="E2093" s="245"/>
      <c r="F2093" s="316"/>
      <c r="G2093" s="245"/>
      <c r="H2093" s="385"/>
      <c r="I2093" s="245"/>
      <c r="L2093" s="91"/>
      <c r="O2093" s="413"/>
      <c r="Q2093" s="415"/>
      <c r="R2093" s="416"/>
      <c r="S2093" s="420"/>
      <c r="T2093" s="384" ph="1"/>
      <c r="V2093" s="421"/>
      <c r="W2093" s="257"/>
      <c r="X2093" s="429"/>
      <c r="Y2093" s="257"/>
      <c r="Z2093" s="257"/>
      <c r="AC2093" s="357"/>
      <c r="AD2093" s="257"/>
      <c r="AE2093" s="245"/>
      <c r="AF2093" s="246"/>
    </row>
    <row r="2094" spans="1:32" ht="26.25">
      <c r="A2094" s="385"/>
      <c r="B2094" s="245"/>
      <c r="C2094" s="245"/>
      <c r="D2094" s="245"/>
      <c r="E2094" s="245"/>
      <c r="F2094" s="316"/>
      <c r="G2094" s="245"/>
      <c r="H2094" s="385"/>
      <c r="I2094" s="245"/>
      <c r="L2094" s="91"/>
      <c r="O2094" s="413"/>
      <c r="Q2094" s="415"/>
      <c r="R2094" s="416"/>
      <c r="S2094" s="420"/>
      <c r="T2094" s="384" ph="1"/>
      <c r="V2094" s="421"/>
      <c r="W2094" s="257"/>
      <c r="X2094" s="429"/>
      <c r="Y2094" s="257"/>
      <c r="Z2094" s="257"/>
      <c r="AC2094" s="357"/>
      <c r="AD2094" s="257"/>
      <c r="AE2094" s="245"/>
      <c r="AF2094" s="246"/>
    </row>
    <row r="2095" spans="1:32" ht="26.25">
      <c r="A2095" s="385"/>
      <c r="B2095" s="245"/>
      <c r="C2095" s="245"/>
      <c r="D2095" s="245"/>
      <c r="E2095" s="245"/>
      <c r="F2095" s="316"/>
      <c r="G2095" s="245"/>
      <c r="H2095" s="385"/>
      <c r="I2095" s="245"/>
      <c r="L2095" s="407"/>
      <c r="O2095" s="413"/>
      <c r="Q2095" s="415"/>
      <c r="R2095" s="416"/>
      <c r="S2095" s="420"/>
      <c r="T2095" s="384" ph="1"/>
      <c r="V2095" s="421"/>
      <c r="W2095" s="257"/>
      <c r="X2095" s="429"/>
      <c r="Y2095" s="257"/>
      <c r="Z2095" s="257"/>
      <c r="AC2095" s="357"/>
      <c r="AD2095" s="257"/>
      <c r="AE2095" s="245"/>
      <c r="AF2095" s="246"/>
    </row>
    <row r="2096" spans="1:32" ht="26.25">
      <c r="A2096" s="385"/>
      <c r="B2096" s="245"/>
      <c r="C2096" s="245"/>
      <c r="D2096" s="245"/>
      <c r="E2096" s="245"/>
      <c r="F2096" s="316"/>
      <c r="G2096" s="245"/>
      <c r="H2096" s="385"/>
      <c r="I2096" s="245"/>
      <c r="L2096" s="91"/>
      <c r="O2096" s="413"/>
      <c r="Q2096" s="415"/>
      <c r="R2096" s="416"/>
      <c r="S2096" s="420"/>
      <c r="T2096" s="384" ph="1"/>
      <c r="V2096" s="421"/>
      <c r="W2096" s="257"/>
      <c r="X2096" s="429"/>
      <c r="Y2096" s="257"/>
      <c r="Z2096" s="257"/>
      <c r="AC2096" s="357"/>
      <c r="AD2096" s="257"/>
      <c r="AE2096" s="245"/>
      <c r="AF2096" s="246"/>
    </row>
    <row r="2097" spans="1:32" ht="26.25">
      <c r="A2097" s="385"/>
      <c r="B2097" s="245"/>
      <c r="C2097" s="245"/>
      <c r="D2097" s="245"/>
      <c r="E2097" s="245"/>
      <c r="F2097" s="316"/>
      <c r="G2097" s="245"/>
      <c r="H2097" s="385"/>
      <c r="I2097" s="245"/>
      <c r="L2097" s="91"/>
      <c r="O2097" s="413"/>
      <c r="Q2097" s="415"/>
      <c r="R2097" s="416"/>
      <c r="S2097" s="420"/>
      <c r="T2097" s="384" ph="1"/>
      <c r="V2097" s="421"/>
      <c r="W2097" s="257"/>
      <c r="X2097" s="429"/>
      <c r="Y2097" s="257"/>
      <c r="Z2097" s="257"/>
      <c r="AC2097" s="357"/>
      <c r="AD2097" s="257"/>
      <c r="AE2097" s="245"/>
      <c r="AF2097" s="246"/>
    </row>
    <row r="2098" spans="1:32" ht="26.25">
      <c r="A2098" s="385"/>
      <c r="B2098" s="245"/>
      <c r="C2098" s="245"/>
      <c r="D2098" s="245"/>
      <c r="E2098" s="245"/>
      <c r="F2098" s="316"/>
      <c r="G2098" s="245"/>
      <c r="H2098" s="385"/>
      <c r="I2098" s="245"/>
      <c r="L2098" s="91"/>
      <c r="O2098" s="413"/>
      <c r="Q2098" s="415"/>
      <c r="R2098" s="416"/>
      <c r="S2098" s="420"/>
      <c r="T2098" s="384" ph="1"/>
      <c r="V2098" s="421"/>
      <c r="W2098" s="257"/>
      <c r="X2098" s="429"/>
      <c r="Y2098" s="257"/>
      <c r="Z2098" s="257"/>
      <c r="AC2098" s="357"/>
      <c r="AD2098" s="257"/>
      <c r="AE2098" s="245"/>
      <c r="AF2098" s="246"/>
    </row>
    <row r="2099" spans="1:32" ht="26.25">
      <c r="A2099" s="385"/>
      <c r="B2099" s="245"/>
      <c r="C2099" s="245"/>
      <c r="D2099" s="245"/>
      <c r="E2099" s="245"/>
      <c r="F2099" s="316"/>
      <c r="G2099" s="245"/>
      <c r="H2099" s="385"/>
      <c r="I2099" s="245"/>
      <c r="L2099" s="91"/>
      <c r="O2099" s="413"/>
      <c r="Q2099" s="415"/>
      <c r="R2099" s="416"/>
      <c r="S2099" s="420"/>
      <c r="T2099" s="384" ph="1"/>
      <c r="V2099" s="421"/>
      <c r="W2099" s="257"/>
      <c r="X2099" s="429"/>
      <c r="Y2099" s="257"/>
      <c r="Z2099" s="257"/>
      <c r="AC2099" s="357"/>
      <c r="AD2099" s="257"/>
      <c r="AE2099" s="245"/>
      <c r="AF2099" s="246"/>
    </row>
    <row r="2100" spans="1:32" ht="26.25">
      <c r="A2100" s="385"/>
      <c r="B2100" s="245"/>
      <c r="C2100" s="245"/>
      <c r="D2100" s="245"/>
      <c r="E2100" s="245"/>
      <c r="F2100" s="316"/>
      <c r="G2100" s="245"/>
      <c r="H2100" s="385"/>
      <c r="I2100" s="245"/>
      <c r="L2100" s="91"/>
      <c r="O2100" s="413"/>
      <c r="Q2100" s="415"/>
      <c r="R2100" s="416"/>
      <c r="S2100" s="420"/>
      <c r="T2100" s="384" ph="1"/>
      <c r="V2100" s="421"/>
      <c r="W2100" s="257"/>
      <c r="X2100" s="429"/>
      <c r="Y2100" s="257"/>
      <c r="Z2100" s="257"/>
      <c r="AC2100" s="357"/>
      <c r="AD2100" s="257"/>
      <c r="AE2100" s="245"/>
      <c r="AF2100" s="246"/>
    </row>
    <row r="2101" spans="1:32" ht="26.25">
      <c r="A2101" s="385"/>
      <c r="B2101" s="245"/>
      <c r="C2101" s="245"/>
      <c r="D2101" s="245"/>
      <c r="E2101" s="245"/>
      <c r="F2101" s="316"/>
      <c r="G2101" s="245"/>
      <c r="H2101" s="385"/>
      <c r="I2101" s="245"/>
      <c r="L2101" s="91"/>
      <c r="O2101" s="413"/>
      <c r="Q2101" s="415"/>
      <c r="R2101" s="416"/>
      <c r="S2101" s="420"/>
      <c r="T2101" s="384" ph="1"/>
      <c r="V2101" s="421"/>
      <c r="W2101" s="257"/>
      <c r="X2101" s="429"/>
      <c r="Y2101" s="257"/>
      <c r="Z2101" s="257"/>
      <c r="AC2101" s="357"/>
      <c r="AD2101" s="257"/>
      <c r="AE2101" s="245"/>
      <c r="AF2101" s="246"/>
    </row>
    <row r="2102" spans="1:32" ht="26.25">
      <c r="A2102" s="385"/>
      <c r="B2102" s="245"/>
      <c r="C2102" s="245"/>
      <c r="D2102" s="245"/>
      <c r="E2102" s="245"/>
      <c r="F2102" s="316"/>
      <c r="G2102" s="245"/>
      <c r="H2102" s="385"/>
      <c r="I2102" s="245"/>
      <c r="L2102" s="80"/>
      <c r="O2102" s="413"/>
      <c r="Q2102" s="415"/>
      <c r="R2102" s="416"/>
      <c r="S2102" s="420"/>
      <c r="T2102" s="384" ph="1"/>
      <c r="V2102" s="421"/>
      <c r="W2102" s="257"/>
      <c r="X2102" s="429"/>
      <c r="Y2102" s="257"/>
      <c r="Z2102" s="257"/>
      <c r="AC2102" s="357"/>
      <c r="AD2102" s="257"/>
      <c r="AE2102" s="245"/>
      <c r="AF2102" s="246"/>
    </row>
    <row r="2103" spans="1:32" ht="26.25">
      <c r="A2103" s="385"/>
      <c r="B2103" s="245"/>
      <c r="C2103" s="245"/>
      <c r="D2103" s="245"/>
      <c r="E2103" s="245"/>
      <c r="F2103" s="316"/>
      <c r="G2103" s="245"/>
      <c r="H2103" s="385"/>
      <c r="I2103" s="245"/>
      <c r="L2103" s="91"/>
      <c r="O2103" s="413"/>
      <c r="Q2103" s="415"/>
      <c r="R2103" s="416"/>
      <c r="S2103" s="420"/>
      <c r="T2103" s="384" ph="1"/>
      <c r="V2103" s="421"/>
      <c r="W2103" s="257"/>
      <c r="X2103" s="429"/>
      <c r="Y2103" s="257"/>
      <c r="Z2103" s="257"/>
      <c r="AC2103" s="357"/>
      <c r="AD2103" s="257"/>
      <c r="AE2103" s="245"/>
      <c r="AF2103" s="246"/>
    </row>
    <row r="2104" spans="1:32" ht="26.25">
      <c r="A2104" s="385"/>
      <c r="B2104" s="245"/>
      <c r="C2104" s="245"/>
      <c r="D2104" s="245"/>
      <c r="E2104" s="245"/>
      <c r="F2104" s="316"/>
      <c r="G2104" s="245"/>
      <c r="H2104" s="385"/>
      <c r="I2104" s="245"/>
      <c r="L2104" s="91"/>
      <c r="O2104" s="413"/>
      <c r="Q2104" s="415"/>
      <c r="R2104" s="416"/>
      <c r="S2104" s="420"/>
      <c r="T2104" s="384" ph="1"/>
      <c r="V2104" s="421"/>
      <c r="W2104" s="257"/>
      <c r="X2104" s="429"/>
      <c r="Y2104" s="257"/>
      <c r="Z2104" s="257"/>
      <c r="AC2104" s="357"/>
      <c r="AD2104" s="257"/>
      <c r="AE2104" s="245"/>
      <c r="AF2104" s="246"/>
    </row>
    <row r="2105" spans="1:32" ht="26.25">
      <c r="A2105" s="385"/>
      <c r="B2105" s="245"/>
      <c r="C2105" s="245"/>
      <c r="D2105" s="245"/>
      <c r="E2105" s="245"/>
      <c r="F2105" s="316"/>
      <c r="G2105" s="245"/>
      <c r="H2105" s="385"/>
      <c r="I2105" s="245"/>
      <c r="L2105" s="91"/>
      <c r="O2105" s="413"/>
      <c r="Q2105" s="415"/>
      <c r="R2105" s="416"/>
      <c r="S2105" s="420"/>
      <c r="T2105" s="384" ph="1"/>
      <c r="V2105" s="421"/>
      <c r="W2105" s="257"/>
      <c r="X2105" s="429"/>
      <c r="Y2105" s="257"/>
      <c r="Z2105" s="257"/>
      <c r="AC2105" s="357"/>
      <c r="AD2105" s="257"/>
      <c r="AE2105" s="245"/>
      <c r="AF2105" s="246"/>
    </row>
    <row r="2106" spans="1:32" ht="26.25">
      <c r="A2106" s="385"/>
      <c r="B2106" s="245"/>
      <c r="C2106" s="245"/>
      <c r="D2106" s="245"/>
      <c r="E2106" s="245"/>
      <c r="F2106" s="316"/>
      <c r="G2106" s="245"/>
      <c r="H2106" s="385"/>
      <c r="I2106" s="245"/>
      <c r="L2106" s="91"/>
      <c r="O2106" s="413"/>
      <c r="Q2106" s="415"/>
      <c r="R2106" s="416"/>
      <c r="S2106" s="420"/>
      <c r="T2106" s="384" ph="1"/>
      <c r="V2106" s="421"/>
      <c r="W2106" s="257"/>
      <c r="X2106" s="429"/>
      <c r="Y2106" s="257"/>
      <c r="Z2106" s="257"/>
      <c r="AC2106" s="357"/>
      <c r="AD2106" s="257"/>
      <c r="AE2106" s="245"/>
      <c r="AF2106" s="246"/>
    </row>
    <row r="2107" spans="1:32" ht="26.25">
      <c r="A2107" s="385"/>
      <c r="B2107" s="245"/>
      <c r="C2107" s="245"/>
      <c r="D2107" s="245"/>
      <c r="E2107" s="245"/>
      <c r="F2107" s="316"/>
      <c r="G2107" s="245"/>
      <c r="H2107" s="385"/>
      <c r="I2107" s="245"/>
      <c r="L2107" s="91"/>
      <c r="O2107" s="413"/>
      <c r="Q2107" s="415"/>
      <c r="R2107" s="416"/>
      <c r="S2107" s="420"/>
      <c r="T2107" s="384" ph="1"/>
      <c r="V2107" s="421"/>
      <c r="W2107" s="257"/>
      <c r="X2107" s="429"/>
      <c r="Y2107" s="257"/>
      <c r="Z2107" s="257"/>
      <c r="AC2107" s="357"/>
      <c r="AD2107" s="257"/>
      <c r="AE2107" s="245"/>
      <c r="AF2107" s="246"/>
    </row>
    <row r="2108" spans="1:32" ht="26.25">
      <c r="A2108" s="385"/>
      <c r="B2108" s="245"/>
      <c r="C2108" s="245"/>
      <c r="D2108" s="245"/>
      <c r="E2108" s="245"/>
      <c r="F2108" s="316"/>
      <c r="G2108" s="245"/>
      <c r="H2108" s="385"/>
      <c r="I2108" s="245"/>
      <c r="L2108" s="91"/>
      <c r="O2108" s="413"/>
      <c r="Q2108" s="415"/>
      <c r="R2108" s="416"/>
      <c r="S2108" s="420"/>
      <c r="T2108" s="384" ph="1"/>
      <c r="V2108" s="421"/>
      <c r="W2108" s="257"/>
      <c r="X2108" s="429"/>
      <c r="Y2108" s="257"/>
      <c r="Z2108" s="257"/>
      <c r="AC2108" s="357"/>
      <c r="AD2108" s="257"/>
      <c r="AE2108" s="245"/>
      <c r="AF2108" s="246"/>
    </row>
    <row r="2109" spans="1:32" ht="26.25">
      <c r="A2109" s="385"/>
      <c r="B2109" s="245"/>
      <c r="C2109" s="245"/>
      <c r="D2109" s="245"/>
      <c r="E2109" s="245"/>
      <c r="F2109" s="316"/>
      <c r="G2109" s="245"/>
      <c r="H2109" s="385"/>
      <c r="I2109" s="245"/>
      <c r="L2109" s="91"/>
      <c r="O2109" s="413"/>
      <c r="Q2109" s="415"/>
      <c r="R2109" s="416"/>
      <c r="S2109" s="420"/>
      <c r="T2109" s="384" ph="1"/>
      <c r="V2109" s="421"/>
      <c r="W2109" s="257"/>
      <c r="X2109" s="429"/>
      <c r="Y2109" s="257"/>
      <c r="Z2109" s="257"/>
      <c r="AC2109" s="357"/>
      <c r="AD2109" s="257"/>
      <c r="AE2109" s="245"/>
      <c r="AF2109" s="246"/>
    </row>
    <row r="2110" spans="1:32" ht="26.25">
      <c r="A2110" s="385"/>
      <c r="B2110" s="245"/>
      <c r="C2110" s="245"/>
      <c r="D2110" s="245"/>
      <c r="E2110" s="245"/>
      <c r="F2110" s="316"/>
      <c r="G2110" s="245"/>
      <c r="H2110" s="385"/>
      <c r="I2110" s="245"/>
      <c r="L2110" s="91"/>
      <c r="O2110" s="413"/>
      <c r="Q2110" s="415"/>
      <c r="R2110" s="416"/>
      <c r="S2110" s="420"/>
      <c r="T2110" s="384" ph="1"/>
      <c r="V2110" s="421"/>
      <c r="W2110" s="257"/>
      <c r="X2110" s="429"/>
      <c r="Y2110" s="257"/>
      <c r="Z2110" s="257"/>
      <c r="AC2110" s="357"/>
      <c r="AD2110" s="257"/>
      <c r="AE2110" s="245"/>
      <c r="AF2110" s="246"/>
    </row>
    <row r="2111" spans="1:32" ht="26.25">
      <c r="A2111" s="385"/>
      <c r="B2111" s="245"/>
      <c r="C2111" s="245"/>
      <c r="D2111" s="245"/>
      <c r="E2111" s="245"/>
      <c r="F2111" s="316"/>
      <c r="G2111" s="245"/>
      <c r="H2111" s="385"/>
      <c r="I2111" s="245"/>
      <c r="L2111" s="91"/>
      <c r="O2111" s="413"/>
      <c r="Q2111" s="415"/>
      <c r="R2111" s="416"/>
      <c r="S2111" s="420"/>
      <c r="T2111" s="384" ph="1"/>
      <c r="V2111" s="421"/>
      <c r="W2111" s="257"/>
      <c r="X2111" s="429"/>
      <c r="Y2111" s="257"/>
      <c r="Z2111" s="257"/>
      <c r="AC2111" s="357"/>
      <c r="AD2111" s="257"/>
      <c r="AE2111" s="245"/>
      <c r="AF2111" s="246"/>
    </row>
    <row r="2112" spans="1:32" ht="26.25">
      <c r="A2112" s="385"/>
      <c r="B2112" s="245"/>
      <c r="C2112" s="245"/>
      <c r="D2112" s="245"/>
      <c r="E2112" s="245"/>
      <c r="F2112" s="316"/>
      <c r="G2112" s="245"/>
      <c r="H2112" s="385"/>
      <c r="I2112" s="245"/>
      <c r="L2112" s="91"/>
      <c r="O2112" s="413"/>
      <c r="Q2112" s="415"/>
      <c r="R2112" s="416"/>
      <c r="S2112" s="420"/>
      <c r="T2112" s="384" ph="1"/>
      <c r="V2112" s="421"/>
      <c r="W2112" s="257"/>
      <c r="X2112" s="429"/>
      <c r="Y2112" s="257"/>
      <c r="Z2112" s="257"/>
      <c r="AC2112" s="357"/>
      <c r="AD2112" s="257"/>
      <c r="AE2112" s="245"/>
      <c r="AF2112" s="246"/>
    </row>
    <row r="2113" spans="1:32" ht="26.25">
      <c r="A2113" s="385"/>
      <c r="B2113" s="245"/>
      <c r="C2113" s="245"/>
      <c r="D2113" s="245"/>
      <c r="E2113" s="245"/>
      <c r="F2113" s="316"/>
      <c r="G2113" s="245"/>
      <c r="H2113" s="385"/>
      <c r="I2113" s="245"/>
      <c r="L2113" s="91"/>
      <c r="O2113" s="413"/>
      <c r="Q2113" s="415"/>
      <c r="R2113" s="416"/>
      <c r="S2113" s="420"/>
      <c r="T2113" s="384" ph="1"/>
      <c r="V2113" s="421"/>
      <c r="W2113" s="257"/>
      <c r="X2113" s="429"/>
      <c r="Y2113" s="257"/>
      <c r="Z2113" s="257"/>
      <c r="AC2113" s="357"/>
      <c r="AD2113" s="257"/>
      <c r="AE2113" s="245"/>
      <c r="AF2113" s="246"/>
    </row>
    <row r="2114" spans="1:32" ht="26.25">
      <c r="A2114" s="385"/>
      <c r="B2114" s="245"/>
      <c r="C2114" s="245"/>
      <c r="D2114" s="245"/>
      <c r="E2114" s="245"/>
      <c r="F2114" s="316"/>
      <c r="G2114" s="245"/>
      <c r="H2114" s="385"/>
      <c r="I2114" s="245"/>
      <c r="L2114" s="91"/>
      <c r="O2114" s="413"/>
      <c r="Q2114" s="415"/>
      <c r="R2114" s="416"/>
      <c r="S2114" s="420"/>
      <c r="T2114" s="384" ph="1"/>
      <c r="V2114" s="421"/>
      <c r="W2114" s="257"/>
      <c r="X2114" s="429"/>
      <c r="Y2114" s="257"/>
      <c r="Z2114" s="257"/>
      <c r="AC2114" s="357"/>
      <c r="AD2114" s="257"/>
      <c r="AE2114" s="245"/>
      <c r="AF2114" s="246"/>
    </row>
    <row r="2115" spans="1:32" ht="26.25">
      <c r="A2115" s="385"/>
      <c r="B2115" s="245"/>
      <c r="C2115" s="245"/>
      <c r="D2115" s="245"/>
      <c r="E2115" s="245"/>
      <c r="F2115" s="316"/>
      <c r="G2115" s="245"/>
      <c r="H2115" s="385"/>
      <c r="I2115" s="245"/>
      <c r="L2115" s="91"/>
      <c r="O2115" s="413"/>
      <c r="Q2115" s="415"/>
      <c r="R2115" s="416"/>
      <c r="S2115" s="420"/>
      <c r="T2115" s="384" ph="1"/>
      <c r="V2115" s="421"/>
      <c r="W2115" s="257"/>
      <c r="X2115" s="429"/>
      <c r="Y2115" s="257"/>
      <c r="Z2115" s="257"/>
      <c r="AC2115" s="357"/>
      <c r="AD2115" s="257"/>
      <c r="AE2115" s="245"/>
      <c r="AF2115" s="246"/>
    </row>
    <row r="2116" spans="1:32" ht="26.25">
      <c r="A2116" s="385"/>
      <c r="B2116" s="245"/>
      <c r="C2116" s="245"/>
      <c r="D2116" s="245"/>
      <c r="E2116" s="245"/>
      <c r="F2116" s="316"/>
      <c r="G2116" s="245"/>
      <c r="H2116" s="385"/>
      <c r="I2116" s="245"/>
      <c r="L2116" s="91"/>
      <c r="O2116" s="413"/>
      <c r="Q2116" s="415"/>
      <c r="R2116" s="416"/>
      <c r="S2116" s="420"/>
      <c r="T2116" s="384" ph="1"/>
      <c r="V2116" s="421"/>
      <c r="W2116" s="257"/>
      <c r="X2116" s="429"/>
      <c r="Y2116" s="257"/>
      <c r="Z2116" s="257"/>
      <c r="AC2116" s="357"/>
      <c r="AD2116" s="257"/>
      <c r="AE2116" s="245"/>
      <c r="AF2116" s="246"/>
    </row>
    <row r="2117" spans="1:32" ht="26.25">
      <c r="A2117" s="385"/>
      <c r="B2117" s="245"/>
      <c r="C2117" s="245"/>
      <c r="D2117" s="245"/>
      <c r="E2117" s="245"/>
      <c r="F2117" s="316"/>
      <c r="G2117" s="245"/>
      <c r="H2117" s="385"/>
      <c r="I2117" s="245"/>
      <c r="L2117" s="91"/>
      <c r="O2117" s="413"/>
      <c r="Q2117" s="415"/>
      <c r="R2117" s="416"/>
      <c r="S2117" s="420"/>
      <c r="T2117" s="384" ph="1"/>
      <c r="V2117" s="421"/>
      <c r="W2117" s="257"/>
      <c r="X2117" s="429"/>
      <c r="Y2117" s="257"/>
      <c r="Z2117" s="257"/>
      <c r="AC2117" s="357"/>
      <c r="AD2117" s="257"/>
      <c r="AE2117" s="245"/>
      <c r="AF2117" s="246"/>
    </row>
    <row r="2118" spans="1:32" ht="26.25">
      <c r="A2118" s="385"/>
      <c r="B2118" s="245"/>
      <c r="C2118" s="245"/>
      <c r="D2118" s="245"/>
      <c r="E2118" s="245"/>
      <c r="F2118" s="316"/>
      <c r="G2118" s="245"/>
      <c r="H2118" s="385"/>
      <c r="I2118" s="245"/>
      <c r="L2118" s="91"/>
      <c r="O2118" s="413"/>
      <c r="Q2118" s="415"/>
      <c r="R2118" s="416"/>
      <c r="S2118" s="420"/>
      <c r="T2118" s="384" ph="1"/>
      <c r="V2118" s="421"/>
      <c r="W2118" s="257"/>
      <c r="X2118" s="429"/>
      <c r="Y2118" s="257"/>
      <c r="Z2118" s="257"/>
      <c r="AC2118" s="357"/>
      <c r="AD2118" s="257"/>
      <c r="AE2118" s="245"/>
      <c r="AF2118" s="246"/>
    </row>
    <row r="2119" spans="1:32" ht="26.25">
      <c r="A2119" s="385"/>
      <c r="B2119" s="245"/>
      <c r="C2119" s="245"/>
      <c r="D2119" s="245"/>
      <c r="E2119" s="245"/>
      <c r="F2119" s="316"/>
      <c r="G2119" s="245"/>
      <c r="H2119" s="385"/>
      <c r="I2119" s="245"/>
      <c r="L2119" s="91"/>
      <c r="O2119" s="413"/>
      <c r="Q2119" s="415"/>
      <c r="R2119" s="416"/>
      <c r="S2119" s="420"/>
      <c r="T2119" s="384" ph="1"/>
      <c r="V2119" s="421"/>
      <c r="W2119" s="257"/>
      <c r="X2119" s="429"/>
      <c r="Y2119" s="257"/>
      <c r="Z2119" s="257"/>
      <c r="AC2119" s="357"/>
      <c r="AD2119" s="257"/>
      <c r="AE2119" s="245"/>
      <c r="AF2119" s="246"/>
    </row>
    <row r="2120" spans="1:32" ht="26.25">
      <c r="A2120" s="385"/>
      <c r="B2120" s="245"/>
      <c r="C2120" s="245"/>
      <c r="D2120" s="245"/>
      <c r="E2120" s="245"/>
      <c r="F2120" s="316"/>
      <c r="G2120" s="245"/>
      <c r="H2120" s="385"/>
      <c r="I2120" s="245"/>
      <c r="L2120" s="91"/>
      <c r="O2120" s="413"/>
      <c r="Q2120" s="415"/>
      <c r="R2120" s="416"/>
      <c r="S2120" s="420"/>
      <c r="T2120" s="384" ph="1"/>
      <c r="V2120" s="421"/>
      <c r="W2120" s="257"/>
      <c r="X2120" s="429"/>
      <c r="Y2120" s="257"/>
      <c r="Z2120" s="257"/>
      <c r="AC2120" s="357"/>
      <c r="AD2120" s="257"/>
      <c r="AE2120" s="245"/>
      <c r="AF2120" s="246"/>
    </row>
    <row r="2121" spans="1:32" ht="26.25">
      <c r="A2121" s="385"/>
      <c r="B2121" s="245"/>
      <c r="C2121" s="245"/>
      <c r="D2121" s="245"/>
      <c r="E2121" s="245"/>
      <c r="F2121" s="316"/>
      <c r="G2121" s="245"/>
      <c r="H2121" s="385"/>
      <c r="I2121" s="245"/>
      <c r="L2121" s="91"/>
      <c r="O2121" s="413"/>
      <c r="Q2121" s="415"/>
      <c r="R2121" s="416"/>
      <c r="S2121" s="420"/>
      <c r="T2121" s="384" ph="1"/>
      <c r="V2121" s="421"/>
      <c r="W2121" s="257"/>
      <c r="X2121" s="429"/>
      <c r="Y2121" s="257"/>
      <c r="Z2121" s="257"/>
      <c r="AC2121" s="357"/>
      <c r="AD2121" s="257"/>
      <c r="AE2121" s="245"/>
      <c r="AF2121" s="246"/>
    </row>
    <row r="2122" spans="1:32" ht="26.25">
      <c r="A2122" s="385"/>
      <c r="B2122" s="245"/>
      <c r="C2122" s="245"/>
      <c r="D2122" s="245"/>
      <c r="E2122" s="245"/>
      <c r="F2122" s="316"/>
      <c r="G2122" s="245"/>
      <c r="H2122" s="385"/>
      <c r="I2122" s="245"/>
      <c r="L2122" s="91"/>
      <c r="O2122" s="413"/>
      <c r="Q2122" s="415"/>
      <c r="R2122" s="416"/>
      <c r="S2122" s="420"/>
      <c r="T2122" s="384" ph="1"/>
      <c r="V2122" s="421"/>
      <c r="W2122" s="257"/>
      <c r="X2122" s="429"/>
      <c r="Y2122" s="257"/>
      <c r="Z2122" s="257"/>
      <c r="AC2122" s="357"/>
      <c r="AD2122" s="257"/>
      <c r="AE2122" s="245"/>
      <c r="AF2122" s="246"/>
    </row>
    <row r="2123" spans="1:32" ht="26.25">
      <c r="A2123" s="385"/>
      <c r="B2123" s="245"/>
      <c r="C2123" s="245"/>
      <c r="D2123" s="245"/>
      <c r="E2123" s="245"/>
      <c r="F2123" s="316"/>
      <c r="G2123" s="245"/>
      <c r="H2123" s="385"/>
      <c r="I2123" s="245"/>
      <c r="L2123" s="91"/>
      <c r="O2123" s="413"/>
      <c r="Q2123" s="415"/>
      <c r="R2123" s="416"/>
      <c r="S2123" s="420"/>
      <c r="T2123" s="384" ph="1"/>
      <c r="V2123" s="421"/>
      <c r="W2123" s="257"/>
      <c r="X2123" s="429"/>
      <c r="Y2123" s="257"/>
      <c r="Z2123" s="257"/>
      <c r="AC2123" s="357"/>
      <c r="AD2123" s="257"/>
      <c r="AE2123" s="245"/>
      <c r="AF2123" s="246"/>
    </row>
    <row r="2124" spans="1:32" ht="26.25">
      <c r="A2124" s="385"/>
      <c r="B2124" s="245"/>
      <c r="C2124" s="245"/>
      <c r="D2124" s="245"/>
      <c r="E2124" s="245"/>
      <c r="F2124" s="316"/>
      <c r="G2124" s="245"/>
      <c r="H2124" s="385"/>
      <c r="I2124" s="245"/>
      <c r="L2124" s="91"/>
      <c r="O2124" s="413"/>
      <c r="Q2124" s="415"/>
      <c r="R2124" s="416"/>
      <c r="S2124" s="420"/>
      <c r="T2124" s="384" ph="1"/>
      <c r="V2124" s="421"/>
      <c r="W2124" s="257"/>
      <c r="X2124" s="429"/>
      <c r="Y2124" s="257"/>
      <c r="Z2124" s="257"/>
      <c r="AC2124" s="357"/>
      <c r="AD2124" s="257"/>
      <c r="AE2124" s="245"/>
      <c r="AF2124" s="246"/>
    </row>
    <row r="2125" spans="1:32" ht="26.25">
      <c r="A2125" s="385"/>
      <c r="B2125" s="245"/>
      <c r="C2125" s="245"/>
      <c r="D2125" s="245"/>
      <c r="E2125" s="245"/>
      <c r="F2125" s="316"/>
      <c r="G2125" s="245"/>
      <c r="H2125" s="385"/>
      <c r="I2125" s="245"/>
      <c r="L2125" s="91"/>
      <c r="O2125" s="413"/>
      <c r="Q2125" s="415"/>
      <c r="R2125" s="416"/>
      <c r="S2125" s="420"/>
      <c r="T2125" s="384" ph="1"/>
      <c r="V2125" s="421"/>
      <c r="W2125" s="257"/>
      <c r="X2125" s="429"/>
      <c r="Y2125" s="257"/>
      <c r="Z2125" s="257"/>
      <c r="AC2125" s="357"/>
      <c r="AD2125" s="257"/>
      <c r="AE2125" s="245"/>
      <c r="AF2125" s="246"/>
    </row>
    <row r="2126" spans="1:32" ht="26.25">
      <c r="A2126" s="385"/>
      <c r="B2126" s="245"/>
      <c r="C2126" s="245"/>
      <c r="D2126" s="245"/>
      <c r="E2126" s="245"/>
      <c r="F2126" s="316"/>
      <c r="G2126" s="245"/>
      <c r="H2126" s="385"/>
      <c r="I2126" s="245"/>
      <c r="L2126" s="91"/>
      <c r="O2126" s="413"/>
      <c r="Q2126" s="415"/>
      <c r="R2126" s="416"/>
      <c r="S2126" s="420"/>
      <c r="T2126" s="384" ph="1"/>
      <c r="V2126" s="421"/>
      <c r="W2126" s="257"/>
      <c r="X2126" s="429"/>
      <c r="Y2126" s="257"/>
      <c r="Z2126" s="257"/>
      <c r="AC2126" s="357"/>
      <c r="AD2126" s="257"/>
      <c r="AE2126" s="245"/>
      <c r="AF2126" s="246"/>
    </row>
    <row r="2127" spans="1:32" ht="26.25">
      <c r="A2127" s="385"/>
      <c r="B2127" s="245"/>
      <c r="C2127" s="245"/>
      <c r="D2127" s="245"/>
      <c r="E2127" s="245"/>
      <c r="F2127" s="316"/>
      <c r="G2127" s="245"/>
      <c r="H2127" s="385"/>
      <c r="I2127" s="245"/>
      <c r="L2127" s="91"/>
      <c r="O2127" s="413"/>
      <c r="Q2127" s="415"/>
      <c r="R2127" s="416"/>
      <c r="S2127" s="420"/>
      <c r="T2127" s="384" ph="1"/>
      <c r="V2127" s="421"/>
      <c r="W2127" s="257"/>
      <c r="X2127" s="429"/>
      <c r="Y2127" s="257"/>
      <c r="Z2127" s="257"/>
      <c r="AC2127" s="357"/>
      <c r="AD2127" s="257"/>
      <c r="AE2127" s="245"/>
      <c r="AF2127" s="246"/>
    </row>
    <row r="2128" spans="1:32" ht="26.25">
      <c r="A2128" s="385"/>
      <c r="B2128" s="245"/>
      <c r="C2128" s="245"/>
      <c r="D2128" s="245"/>
      <c r="E2128" s="245"/>
      <c r="F2128" s="316"/>
      <c r="G2128" s="245"/>
      <c r="H2128" s="385"/>
      <c r="I2128" s="245"/>
      <c r="L2128" s="91"/>
      <c r="O2128" s="413"/>
      <c r="Q2128" s="415"/>
      <c r="R2128" s="416"/>
      <c r="S2128" s="420"/>
      <c r="T2128" s="384" ph="1"/>
      <c r="V2128" s="421"/>
      <c r="W2128" s="257"/>
      <c r="X2128" s="429"/>
      <c r="Y2128" s="257"/>
      <c r="Z2128" s="257"/>
      <c r="AC2128" s="357"/>
      <c r="AD2128" s="257"/>
      <c r="AE2128" s="245"/>
      <c r="AF2128" s="246"/>
    </row>
    <row r="2129" spans="1:32" ht="26.25">
      <c r="A2129" s="385"/>
      <c r="B2129" s="245"/>
      <c r="C2129" s="245"/>
      <c r="D2129" s="245"/>
      <c r="E2129" s="245"/>
      <c r="F2129" s="316"/>
      <c r="G2129" s="245"/>
      <c r="H2129" s="385"/>
      <c r="I2129" s="245"/>
      <c r="L2129" s="91"/>
      <c r="O2129" s="413"/>
      <c r="Q2129" s="415"/>
      <c r="R2129" s="416"/>
      <c r="S2129" s="420"/>
      <c r="T2129" s="384" ph="1"/>
      <c r="V2129" s="421"/>
      <c r="W2129" s="257"/>
      <c r="X2129" s="429"/>
      <c r="Y2129" s="257"/>
      <c r="Z2129" s="257"/>
      <c r="AC2129" s="357"/>
      <c r="AD2129" s="257"/>
      <c r="AE2129" s="245"/>
      <c r="AF2129" s="246"/>
    </row>
    <row r="2130" spans="1:32" ht="26.25">
      <c r="A2130" s="385"/>
      <c r="B2130" s="245"/>
      <c r="C2130" s="245"/>
      <c r="D2130" s="245"/>
      <c r="E2130" s="245"/>
      <c r="F2130" s="316"/>
      <c r="G2130" s="245"/>
      <c r="H2130" s="385"/>
      <c r="I2130" s="245"/>
      <c r="L2130" s="91"/>
      <c r="O2130" s="413"/>
      <c r="Q2130" s="415"/>
      <c r="R2130" s="416"/>
      <c r="S2130" s="420"/>
      <c r="T2130" s="384" ph="1"/>
      <c r="V2130" s="421"/>
      <c r="W2130" s="257"/>
      <c r="X2130" s="429"/>
      <c r="Y2130" s="257"/>
      <c r="Z2130" s="257"/>
      <c r="AC2130" s="357"/>
      <c r="AD2130" s="257"/>
      <c r="AE2130" s="245"/>
      <c r="AF2130" s="246"/>
    </row>
    <row r="2131" spans="1:32" ht="26.25">
      <c r="A2131" s="385"/>
      <c r="B2131" s="245"/>
      <c r="C2131" s="245"/>
      <c r="D2131" s="245"/>
      <c r="E2131" s="245"/>
      <c r="F2131" s="316"/>
      <c r="G2131" s="245"/>
      <c r="H2131" s="385"/>
      <c r="I2131" s="245"/>
      <c r="L2131" s="91"/>
      <c r="O2131" s="413"/>
      <c r="Q2131" s="415"/>
      <c r="R2131" s="416"/>
      <c r="S2131" s="420"/>
      <c r="T2131" s="384" ph="1"/>
      <c r="V2131" s="421"/>
      <c r="W2131" s="257"/>
      <c r="X2131" s="429"/>
      <c r="Y2131" s="257"/>
      <c r="Z2131" s="257"/>
      <c r="AC2131" s="357"/>
      <c r="AD2131" s="257"/>
      <c r="AE2131" s="245"/>
      <c r="AF2131" s="246"/>
    </row>
    <row r="2132" spans="1:32" ht="26.25">
      <c r="A2132" s="385"/>
      <c r="B2132" s="245"/>
      <c r="C2132" s="245"/>
      <c r="D2132" s="245"/>
      <c r="E2132" s="245"/>
      <c r="F2132" s="316"/>
      <c r="G2132" s="245"/>
      <c r="H2132" s="385"/>
      <c r="I2132" s="245"/>
      <c r="L2132" s="91"/>
      <c r="O2132" s="413"/>
      <c r="Q2132" s="415"/>
      <c r="R2132" s="416"/>
      <c r="S2132" s="420"/>
      <c r="T2132" s="384" ph="1"/>
      <c r="V2132" s="421"/>
      <c r="W2132" s="257"/>
      <c r="X2132" s="429"/>
      <c r="Y2132" s="257"/>
      <c r="Z2132" s="257"/>
      <c r="AC2132" s="357"/>
      <c r="AD2132" s="257"/>
      <c r="AE2132" s="245"/>
      <c r="AF2132" s="246"/>
    </row>
    <row r="2133" spans="1:32" ht="26.25">
      <c r="A2133" s="385"/>
      <c r="B2133" s="245"/>
      <c r="C2133" s="245"/>
      <c r="D2133" s="245"/>
      <c r="E2133" s="245"/>
      <c r="F2133" s="316"/>
      <c r="G2133" s="245"/>
      <c r="H2133" s="385"/>
      <c r="I2133" s="245"/>
      <c r="L2133" s="91"/>
      <c r="O2133" s="413"/>
      <c r="Q2133" s="415"/>
      <c r="R2133" s="416"/>
      <c r="S2133" s="420"/>
      <c r="T2133" s="384" ph="1"/>
      <c r="V2133" s="421"/>
      <c r="W2133" s="257"/>
      <c r="X2133" s="429"/>
      <c r="Y2133" s="257"/>
      <c r="Z2133" s="257"/>
      <c r="AC2133" s="357"/>
      <c r="AD2133" s="257"/>
      <c r="AE2133" s="245"/>
      <c r="AF2133" s="246"/>
    </row>
    <row r="2134" spans="1:32" ht="26.25">
      <c r="A2134" s="385"/>
      <c r="B2134" s="245"/>
      <c r="C2134" s="245"/>
      <c r="D2134" s="245"/>
      <c r="E2134" s="245"/>
      <c r="F2134" s="316"/>
      <c r="G2134" s="245"/>
      <c r="H2134" s="385"/>
      <c r="I2134" s="245"/>
      <c r="L2134" s="91"/>
      <c r="O2134" s="413"/>
      <c r="Q2134" s="415"/>
      <c r="R2134" s="416"/>
      <c r="S2134" s="420"/>
      <c r="T2134" s="384" ph="1"/>
      <c r="V2134" s="421"/>
      <c r="W2134" s="257"/>
      <c r="X2134" s="429"/>
      <c r="Y2134" s="257"/>
      <c r="Z2134" s="257"/>
      <c r="AC2134" s="357"/>
      <c r="AD2134" s="257"/>
      <c r="AE2134" s="245"/>
      <c r="AF2134" s="246"/>
    </row>
    <row r="2135" spans="1:32" ht="26.25">
      <c r="A2135" s="385"/>
      <c r="B2135" s="245"/>
      <c r="C2135" s="245"/>
      <c r="D2135" s="245"/>
      <c r="E2135" s="245"/>
      <c r="F2135" s="316"/>
      <c r="G2135" s="245"/>
      <c r="H2135" s="385"/>
      <c r="I2135" s="245"/>
      <c r="L2135" s="405"/>
      <c r="O2135" s="413"/>
      <c r="Q2135" s="415"/>
      <c r="R2135" s="416"/>
      <c r="S2135" s="420"/>
      <c r="T2135" s="384" ph="1"/>
      <c r="V2135" s="421"/>
      <c r="W2135" s="257"/>
      <c r="X2135" s="429"/>
      <c r="Y2135" s="257"/>
      <c r="Z2135" s="257"/>
      <c r="AC2135" s="357"/>
      <c r="AD2135" s="257"/>
      <c r="AE2135" s="245"/>
      <c r="AF2135" s="246"/>
    </row>
    <row r="2136" spans="1:32" ht="26.25">
      <c r="A2136" s="385"/>
      <c r="B2136" s="245"/>
      <c r="C2136" s="245"/>
      <c r="D2136" s="245"/>
      <c r="E2136" s="245"/>
      <c r="F2136" s="316"/>
      <c r="G2136" s="245"/>
      <c r="H2136" s="385"/>
      <c r="I2136" s="245"/>
      <c r="L2136" s="91"/>
      <c r="O2136" s="413"/>
      <c r="Q2136" s="415"/>
      <c r="R2136" s="416"/>
      <c r="S2136" s="420"/>
      <c r="T2136" s="384" ph="1"/>
      <c r="V2136" s="421"/>
      <c r="W2136" s="257"/>
      <c r="X2136" s="429"/>
      <c r="Y2136" s="257"/>
      <c r="Z2136" s="257"/>
      <c r="AC2136" s="357"/>
      <c r="AD2136" s="257"/>
      <c r="AE2136" s="245"/>
      <c r="AF2136" s="246"/>
    </row>
    <row r="2137" spans="1:32" ht="26.25">
      <c r="A2137" s="385"/>
      <c r="B2137" s="245"/>
      <c r="C2137" s="245"/>
      <c r="D2137" s="245"/>
      <c r="E2137" s="245"/>
      <c r="F2137" s="316"/>
      <c r="G2137" s="245"/>
      <c r="H2137" s="385"/>
      <c r="I2137" s="245"/>
      <c r="L2137" s="91"/>
      <c r="O2137" s="413"/>
      <c r="Q2137" s="415"/>
      <c r="R2137" s="416"/>
      <c r="S2137" s="420"/>
      <c r="T2137" s="384" ph="1"/>
      <c r="V2137" s="421"/>
      <c r="W2137" s="257"/>
      <c r="X2137" s="429"/>
      <c r="Y2137" s="257"/>
      <c r="Z2137" s="257"/>
      <c r="AC2137" s="357"/>
      <c r="AD2137" s="257"/>
      <c r="AE2137" s="245"/>
      <c r="AF2137" s="246"/>
    </row>
    <row r="2138" spans="1:32" ht="26.25">
      <c r="A2138" s="385"/>
      <c r="B2138" s="245"/>
      <c r="C2138" s="245"/>
      <c r="D2138" s="245"/>
      <c r="E2138" s="245"/>
      <c r="F2138" s="316"/>
      <c r="G2138" s="245"/>
      <c r="H2138" s="385"/>
      <c r="I2138" s="245"/>
      <c r="L2138" s="91"/>
      <c r="O2138" s="413"/>
      <c r="Q2138" s="415"/>
      <c r="R2138" s="416"/>
      <c r="S2138" s="420"/>
      <c r="T2138" s="384" ph="1"/>
      <c r="V2138" s="421"/>
      <c r="W2138" s="257"/>
      <c r="X2138" s="429"/>
      <c r="Y2138" s="257"/>
      <c r="Z2138" s="257"/>
      <c r="AC2138" s="357"/>
      <c r="AD2138" s="257"/>
      <c r="AE2138" s="245"/>
      <c r="AF2138" s="246"/>
    </row>
    <row r="2139" spans="1:32" ht="26.25">
      <c r="A2139" s="385"/>
      <c r="B2139" s="245"/>
      <c r="C2139" s="245"/>
      <c r="D2139" s="245"/>
      <c r="E2139" s="245"/>
      <c r="F2139" s="316"/>
      <c r="G2139" s="245"/>
      <c r="H2139" s="385"/>
      <c r="I2139" s="245"/>
      <c r="L2139" s="91"/>
      <c r="O2139" s="413"/>
      <c r="Q2139" s="415"/>
      <c r="R2139" s="416"/>
      <c r="S2139" s="420"/>
      <c r="T2139" s="384" ph="1"/>
      <c r="V2139" s="421"/>
      <c r="W2139" s="257"/>
      <c r="X2139" s="429"/>
      <c r="Y2139" s="257"/>
      <c r="Z2139" s="257"/>
      <c r="AC2139" s="357"/>
      <c r="AD2139" s="257"/>
      <c r="AE2139" s="245"/>
      <c r="AF2139" s="246"/>
    </row>
    <row r="2140" spans="1:32" ht="26.25">
      <c r="A2140" s="385"/>
      <c r="B2140" s="245"/>
      <c r="C2140" s="245"/>
      <c r="D2140" s="245"/>
      <c r="E2140" s="245"/>
      <c r="F2140" s="316"/>
      <c r="G2140" s="245"/>
      <c r="H2140" s="385"/>
      <c r="I2140" s="245"/>
      <c r="L2140" s="91"/>
      <c r="O2140" s="413"/>
      <c r="Q2140" s="415"/>
      <c r="R2140" s="416"/>
      <c r="S2140" s="420"/>
      <c r="T2140" s="384" ph="1"/>
      <c r="V2140" s="421"/>
      <c r="W2140" s="257"/>
      <c r="X2140" s="429"/>
      <c r="Y2140" s="257"/>
      <c r="Z2140" s="257"/>
      <c r="AC2140" s="357"/>
      <c r="AD2140" s="257"/>
      <c r="AE2140" s="245"/>
      <c r="AF2140" s="246"/>
    </row>
    <row r="2141" spans="1:32" ht="26.25">
      <c r="A2141" s="385"/>
      <c r="B2141" s="245"/>
      <c r="C2141" s="245"/>
      <c r="D2141" s="245"/>
      <c r="E2141" s="245"/>
      <c r="F2141" s="316"/>
      <c r="G2141" s="245"/>
      <c r="H2141" s="385"/>
      <c r="I2141" s="245"/>
      <c r="L2141" s="91"/>
      <c r="O2141" s="413"/>
      <c r="Q2141" s="415"/>
      <c r="R2141" s="416"/>
      <c r="S2141" s="420"/>
      <c r="T2141" s="384" ph="1"/>
      <c r="V2141" s="421"/>
      <c r="W2141" s="257"/>
      <c r="X2141" s="429"/>
      <c r="Y2141" s="257"/>
      <c r="Z2141" s="257"/>
      <c r="AC2141" s="357"/>
      <c r="AD2141" s="257"/>
      <c r="AE2141" s="245"/>
      <c r="AF2141" s="246"/>
    </row>
    <row r="2142" spans="1:32" ht="26.25">
      <c r="A2142" s="385"/>
      <c r="B2142" s="245"/>
      <c r="C2142" s="245"/>
      <c r="D2142" s="245"/>
      <c r="E2142" s="245"/>
      <c r="F2142" s="316"/>
      <c r="G2142" s="245"/>
      <c r="H2142" s="385"/>
      <c r="I2142" s="245"/>
      <c r="L2142" s="91"/>
      <c r="O2142" s="413"/>
      <c r="Q2142" s="415"/>
      <c r="R2142" s="416"/>
      <c r="S2142" s="420"/>
      <c r="T2142" s="384" ph="1"/>
      <c r="V2142" s="421"/>
      <c r="W2142" s="257"/>
      <c r="X2142" s="429"/>
      <c r="Y2142" s="257"/>
      <c r="Z2142" s="257"/>
      <c r="AC2142" s="357"/>
      <c r="AD2142" s="257"/>
      <c r="AE2142" s="245"/>
      <c r="AF2142" s="246"/>
    </row>
    <row r="2143" spans="1:32" ht="26.25">
      <c r="A2143" s="385"/>
      <c r="B2143" s="245"/>
      <c r="C2143" s="245"/>
      <c r="D2143" s="245"/>
      <c r="E2143" s="245"/>
      <c r="F2143" s="316"/>
      <c r="G2143" s="245"/>
      <c r="H2143" s="385"/>
      <c r="I2143" s="245"/>
      <c r="L2143" s="91"/>
      <c r="O2143" s="413"/>
      <c r="Q2143" s="415"/>
      <c r="R2143" s="416"/>
      <c r="S2143" s="420"/>
      <c r="T2143" s="384" ph="1"/>
      <c r="V2143" s="421"/>
      <c r="W2143" s="257"/>
      <c r="X2143" s="429"/>
      <c r="Y2143" s="257"/>
      <c r="Z2143" s="257"/>
      <c r="AC2143" s="357"/>
      <c r="AD2143" s="257"/>
      <c r="AE2143" s="245"/>
      <c r="AF2143" s="246"/>
    </row>
    <row r="2144" spans="1:32" ht="26.25">
      <c r="A2144" s="385"/>
      <c r="B2144" s="245"/>
      <c r="C2144" s="245"/>
      <c r="D2144" s="245"/>
      <c r="E2144" s="245"/>
      <c r="F2144" s="316"/>
      <c r="G2144" s="245"/>
      <c r="H2144" s="385"/>
      <c r="I2144" s="245"/>
      <c r="L2144" s="91"/>
      <c r="O2144" s="413"/>
      <c r="Q2144" s="415"/>
      <c r="R2144" s="416"/>
      <c r="S2144" s="420"/>
      <c r="T2144" s="384" ph="1"/>
      <c r="V2144" s="421"/>
      <c r="W2144" s="257"/>
      <c r="X2144" s="429"/>
      <c r="Y2144" s="257"/>
      <c r="Z2144" s="257"/>
      <c r="AC2144" s="357"/>
      <c r="AD2144" s="257"/>
      <c r="AE2144" s="245"/>
      <c r="AF2144" s="246"/>
    </row>
    <row r="2145" spans="1:32" ht="26.25">
      <c r="A2145" s="385"/>
      <c r="B2145" s="245"/>
      <c r="C2145" s="245"/>
      <c r="D2145" s="245"/>
      <c r="E2145" s="245"/>
      <c r="F2145" s="316"/>
      <c r="G2145" s="245"/>
      <c r="H2145" s="385"/>
      <c r="I2145" s="245"/>
      <c r="L2145" s="91"/>
      <c r="O2145" s="413"/>
      <c r="Q2145" s="415"/>
      <c r="R2145" s="416"/>
      <c r="S2145" s="420"/>
      <c r="T2145" s="384" ph="1"/>
      <c r="V2145" s="421"/>
      <c r="W2145" s="257"/>
      <c r="X2145" s="429"/>
      <c r="Y2145" s="257"/>
      <c r="Z2145" s="257"/>
      <c r="AC2145" s="357"/>
      <c r="AD2145" s="257"/>
      <c r="AE2145" s="245"/>
      <c r="AF2145" s="246"/>
    </row>
    <row r="2146" spans="1:32" ht="26.25">
      <c r="A2146" s="385"/>
      <c r="B2146" s="245"/>
      <c r="C2146" s="245"/>
      <c r="D2146" s="245"/>
      <c r="E2146" s="245"/>
      <c r="F2146" s="316"/>
      <c r="G2146" s="245"/>
      <c r="H2146" s="385"/>
      <c r="I2146" s="245"/>
      <c r="L2146" s="91"/>
      <c r="O2146" s="413"/>
      <c r="Q2146" s="415"/>
      <c r="R2146" s="416"/>
      <c r="S2146" s="420"/>
      <c r="T2146" s="384" ph="1"/>
      <c r="V2146" s="421"/>
      <c r="W2146" s="257"/>
      <c r="X2146" s="429"/>
      <c r="Y2146" s="257"/>
      <c r="Z2146" s="257"/>
      <c r="AC2146" s="357"/>
      <c r="AD2146" s="257"/>
      <c r="AE2146" s="245"/>
      <c r="AF2146" s="246"/>
    </row>
    <row r="2147" spans="1:32" ht="26.25">
      <c r="A2147" s="385"/>
      <c r="B2147" s="245"/>
      <c r="C2147" s="245"/>
      <c r="D2147" s="245"/>
      <c r="E2147" s="245"/>
      <c r="F2147" s="316"/>
      <c r="G2147" s="245"/>
      <c r="H2147" s="385"/>
      <c r="I2147" s="245"/>
      <c r="L2147" s="91"/>
      <c r="O2147" s="413"/>
      <c r="Q2147" s="415"/>
      <c r="R2147" s="416"/>
      <c r="S2147" s="420"/>
      <c r="T2147" s="384" ph="1"/>
      <c r="V2147" s="421"/>
      <c r="W2147" s="257"/>
      <c r="X2147" s="429"/>
      <c r="Y2147" s="257"/>
      <c r="Z2147" s="257"/>
      <c r="AC2147" s="357"/>
      <c r="AD2147" s="257"/>
      <c r="AE2147" s="245"/>
      <c r="AF2147" s="246"/>
    </row>
    <row r="2148" spans="1:32" ht="26.25">
      <c r="A2148" s="385"/>
      <c r="B2148" s="245"/>
      <c r="C2148" s="245"/>
      <c r="D2148" s="245"/>
      <c r="E2148" s="245"/>
      <c r="F2148" s="316"/>
      <c r="G2148" s="245"/>
      <c r="H2148" s="385"/>
      <c r="I2148" s="245"/>
      <c r="L2148" s="91"/>
      <c r="O2148" s="413"/>
      <c r="Q2148" s="415"/>
      <c r="R2148" s="416"/>
      <c r="S2148" s="420"/>
      <c r="T2148" s="384" ph="1"/>
      <c r="V2148" s="421"/>
      <c r="W2148" s="257"/>
      <c r="X2148" s="429"/>
      <c r="Y2148" s="257"/>
      <c r="Z2148" s="257"/>
      <c r="AC2148" s="357"/>
      <c r="AD2148" s="257"/>
      <c r="AE2148" s="245"/>
      <c r="AF2148" s="246"/>
    </row>
    <row r="2149" spans="1:32" ht="26.25">
      <c r="A2149" s="385"/>
      <c r="B2149" s="245"/>
      <c r="C2149" s="245"/>
      <c r="D2149" s="245"/>
      <c r="E2149" s="245"/>
      <c r="F2149" s="316"/>
      <c r="G2149" s="245"/>
      <c r="H2149" s="385"/>
      <c r="I2149" s="245"/>
      <c r="L2149" s="91"/>
      <c r="O2149" s="413"/>
      <c r="Q2149" s="415"/>
      <c r="R2149" s="416"/>
      <c r="S2149" s="420"/>
      <c r="T2149" s="384" ph="1"/>
      <c r="V2149" s="421"/>
      <c r="W2149" s="257"/>
      <c r="X2149" s="429"/>
      <c r="Y2149" s="257"/>
      <c r="Z2149" s="257"/>
      <c r="AC2149" s="357"/>
      <c r="AD2149" s="257"/>
      <c r="AE2149" s="245"/>
      <c r="AF2149" s="246"/>
    </row>
    <row r="2150" spans="1:32" ht="26.25">
      <c r="A2150" s="385"/>
      <c r="B2150" s="245"/>
      <c r="C2150" s="245"/>
      <c r="D2150" s="245"/>
      <c r="E2150" s="245"/>
      <c r="F2150" s="316"/>
      <c r="G2150" s="245"/>
      <c r="H2150" s="385"/>
      <c r="I2150" s="245"/>
      <c r="L2150" s="91"/>
      <c r="O2150" s="413"/>
      <c r="Q2150" s="415"/>
      <c r="R2150" s="416"/>
      <c r="S2150" s="420"/>
      <c r="T2150" s="384" ph="1"/>
      <c r="V2150" s="421"/>
      <c r="W2150" s="257"/>
      <c r="X2150" s="429"/>
      <c r="Y2150" s="257"/>
      <c r="Z2150" s="257"/>
      <c r="AC2150" s="357"/>
      <c r="AD2150" s="257"/>
      <c r="AE2150" s="245"/>
      <c r="AF2150" s="246"/>
    </row>
    <row r="2151" spans="1:32" ht="26.25">
      <c r="A2151" s="385"/>
      <c r="B2151" s="245"/>
      <c r="C2151" s="245"/>
      <c r="D2151" s="245"/>
      <c r="E2151" s="245"/>
      <c r="F2151" s="316"/>
      <c r="G2151" s="245"/>
      <c r="H2151" s="385"/>
      <c r="I2151" s="245"/>
      <c r="L2151" s="91"/>
      <c r="O2151" s="413"/>
      <c r="Q2151" s="415"/>
      <c r="R2151" s="416"/>
      <c r="S2151" s="420"/>
      <c r="T2151" s="384" ph="1"/>
      <c r="V2151" s="421"/>
      <c r="W2151" s="257"/>
      <c r="X2151" s="429"/>
      <c r="Y2151" s="257"/>
      <c r="Z2151" s="257"/>
      <c r="AC2151" s="357"/>
      <c r="AD2151" s="257"/>
      <c r="AE2151" s="245"/>
      <c r="AF2151" s="246"/>
    </row>
    <row r="2152" spans="1:32" ht="26.25">
      <c r="A2152" s="385"/>
      <c r="B2152" s="245"/>
      <c r="C2152" s="245"/>
      <c r="D2152" s="245"/>
      <c r="E2152" s="245"/>
      <c r="F2152" s="316"/>
      <c r="G2152" s="245"/>
      <c r="H2152" s="385"/>
      <c r="I2152" s="245"/>
      <c r="L2152" s="91"/>
      <c r="O2152" s="413"/>
      <c r="Q2152" s="415"/>
      <c r="R2152" s="416"/>
      <c r="S2152" s="420"/>
      <c r="T2152" s="384" ph="1"/>
      <c r="V2152" s="421"/>
      <c r="W2152" s="257"/>
      <c r="X2152" s="429"/>
      <c r="Y2152" s="257"/>
      <c r="Z2152" s="257"/>
      <c r="AC2152" s="357"/>
      <c r="AD2152" s="257"/>
      <c r="AE2152" s="245"/>
      <c r="AF2152" s="246"/>
    </row>
    <row r="2153" spans="1:32" ht="26.25">
      <c r="A2153" s="385"/>
      <c r="B2153" s="245"/>
      <c r="C2153" s="245"/>
      <c r="D2153" s="245"/>
      <c r="E2153" s="245"/>
      <c r="F2153" s="316"/>
      <c r="G2153" s="245"/>
      <c r="H2153" s="385"/>
      <c r="I2153" s="245"/>
      <c r="L2153" s="91"/>
      <c r="O2153" s="413"/>
      <c r="Q2153" s="415"/>
      <c r="R2153" s="416"/>
      <c r="S2153" s="420"/>
      <c r="T2153" s="384" ph="1"/>
      <c r="V2153" s="421"/>
      <c r="W2153" s="257"/>
      <c r="X2153" s="429"/>
      <c r="Y2153" s="257"/>
      <c r="Z2153" s="257"/>
      <c r="AC2153" s="357"/>
      <c r="AD2153" s="257"/>
      <c r="AE2153" s="245"/>
      <c r="AF2153" s="246"/>
    </row>
    <row r="2154" spans="1:32" ht="26.25">
      <c r="A2154" s="385"/>
      <c r="B2154" s="245"/>
      <c r="C2154" s="245"/>
      <c r="D2154" s="245"/>
      <c r="E2154" s="245"/>
      <c r="F2154" s="316"/>
      <c r="G2154" s="245"/>
      <c r="H2154" s="385"/>
      <c r="I2154" s="245"/>
      <c r="L2154" s="91"/>
      <c r="O2154" s="413"/>
      <c r="Q2154" s="415"/>
      <c r="R2154" s="416"/>
      <c r="S2154" s="420"/>
      <c r="T2154" s="384" ph="1"/>
      <c r="V2154" s="421"/>
      <c r="W2154" s="257"/>
      <c r="X2154" s="429"/>
      <c r="Y2154" s="257"/>
      <c r="Z2154" s="257"/>
      <c r="AC2154" s="357"/>
      <c r="AD2154" s="257"/>
      <c r="AE2154" s="245"/>
      <c r="AF2154" s="246"/>
    </row>
    <row r="2155" spans="1:32" ht="26.25">
      <c r="A2155" s="385"/>
      <c r="B2155" s="245"/>
      <c r="C2155" s="245"/>
      <c r="D2155" s="245"/>
      <c r="E2155" s="245"/>
      <c r="F2155" s="316"/>
      <c r="G2155" s="245"/>
      <c r="H2155" s="385"/>
      <c r="I2155" s="245"/>
      <c r="L2155" s="91"/>
      <c r="O2155" s="413"/>
      <c r="Q2155" s="415"/>
      <c r="R2155" s="416"/>
      <c r="S2155" s="420"/>
      <c r="T2155" s="384" ph="1"/>
      <c r="V2155" s="421"/>
      <c r="W2155" s="257"/>
      <c r="X2155" s="429"/>
      <c r="Y2155" s="257"/>
      <c r="Z2155" s="257"/>
      <c r="AC2155" s="357"/>
      <c r="AD2155" s="257"/>
      <c r="AE2155" s="245"/>
      <c r="AF2155" s="246"/>
    </row>
    <row r="2156" spans="1:32" ht="26.25">
      <c r="A2156" s="385"/>
      <c r="B2156" s="245"/>
      <c r="C2156" s="245"/>
      <c r="D2156" s="245"/>
      <c r="E2156" s="245"/>
      <c r="F2156" s="316"/>
      <c r="G2156" s="245"/>
      <c r="H2156" s="385"/>
      <c r="I2156" s="245"/>
      <c r="L2156" s="91"/>
      <c r="O2156" s="413"/>
      <c r="Q2156" s="415"/>
      <c r="R2156" s="416"/>
      <c r="S2156" s="420"/>
      <c r="T2156" s="384" ph="1"/>
      <c r="V2156" s="421"/>
      <c r="W2156" s="257"/>
      <c r="X2156" s="429"/>
      <c r="Y2156" s="257"/>
      <c r="Z2156" s="257"/>
      <c r="AC2156" s="357"/>
      <c r="AD2156" s="257"/>
      <c r="AE2156" s="245"/>
      <c r="AF2156" s="246"/>
    </row>
    <row r="2157" spans="1:32" ht="26.25">
      <c r="A2157" s="385"/>
      <c r="B2157" s="245"/>
      <c r="C2157" s="245"/>
      <c r="D2157" s="245"/>
      <c r="E2157" s="245"/>
      <c r="F2157" s="316"/>
      <c r="G2157" s="245"/>
      <c r="H2157" s="385"/>
      <c r="I2157" s="245"/>
      <c r="L2157" s="91"/>
      <c r="O2157" s="413"/>
      <c r="Q2157" s="415"/>
      <c r="R2157" s="416"/>
      <c r="S2157" s="420"/>
      <c r="T2157" s="384" ph="1"/>
      <c r="V2157" s="421"/>
      <c r="W2157" s="257"/>
      <c r="X2157" s="429"/>
      <c r="Y2157" s="257"/>
      <c r="Z2157" s="257"/>
      <c r="AC2157" s="357"/>
      <c r="AD2157" s="257"/>
      <c r="AE2157" s="245"/>
      <c r="AF2157" s="246"/>
    </row>
    <row r="2158" spans="1:32" ht="26.25">
      <c r="A2158" s="385"/>
      <c r="B2158" s="245"/>
      <c r="C2158" s="245"/>
      <c r="D2158" s="245"/>
      <c r="E2158" s="245"/>
      <c r="F2158" s="316"/>
      <c r="G2158" s="245"/>
      <c r="H2158" s="385"/>
      <c r="I2158" s="245"/>
      <c r="L2158" s="91"/>
      <c r="O2158" s="413"/>
      <c r="Q2158" s="415"/>
      <c r="R2158" s="416"/>
      <c r="S2158" s="420"/>
      <c r="T2158" s="384" ph="1"/>
      <c r="V2158" s="421"/>
      <c r="W2158" s="257"/>
      <c r="X2158" s="429"/>
      <c r="Y2158" s="257"/>
      <c r="Z2158" s="257"/>
      <c r="AC2158" s="357"/>
      <c r="AD2158" s="257"/>
      <c r="AE2158" s="245"/>
      <c r="AF2158" s="246"/>
    </row>
    <row r="2159" spans="1:32" ht="26.25">
      <c r="A2159" s="385"/>
      <c r="B2159" s="245"/>
      <c r="C2159" s="245"/>
      <c r="D2159" s="245"/>
      <c r="E2159" s="245"/>
      <c r="F2159" s="316"/>
      <c r="G2159" s="245"/>
      <c r="H2159" s="385"/>
      <c r="I2159" s="245"/>
      <c r="L2159" s="407"/>
      <c r="O2159" s="413"/>
      <c r="Q2159" s="415"/>
      <c r="R2159" s="416"/>
      <c r="S2159" s="420"/>
      <c r="T2159" s="384" ph="1"/>
      <c r="V2159" s="421"/>
      <c r="W2159" s="257"/>
      <c r="X2159" s="429"/>
      <c r="Y2159" s="257"/>
      <c r="Z2159" s="257"/>
      <c r="AC2159" s="357"/>
      <c r="AD2159" s="257"/>
      <c r="AE2159" s="245"/>
      <c r="AF2159" s="246"/>
    </row>
    <row r="2160" spans="1:32" ht="26.25">
      <c r="A2160" s="385"/>
      <c r="B2160" s="245"/>
      <c r="C2160" s="245"/>
      <c r="D2160" s="245"/>
      <c r="E2160" s="245"/>
      <c r="F2160" s="316"/>
      <c r="G2160" s="245"/>
      <c r="H2160" s="385"/>
      <c r="I2160" s="245"/>
      <c r="L2160" s="91"/>
      <c r="O2160" s="413"/>
      <c r="Q2160" s="415"/>
      <c r="R2160" s="416"/>
      <c r="S2160" s="420"/>
      <c r="T2160" s="384" ph="1"/>
      <c r="V2160" s="421"/>
      <c r="W2160" s="257"/>
      <c r="X2160" s="429"/>
      <c r="Y2160" s="257"/>
      <c r="Z2160" s="257"/>
      <c r="AC2160" s="357"/>
      <c r="AD2160" s="257"/>
      <c r="AE2160" s="245"/>
      <c r="AF2160" s="246"/>
    </row>
    <row r="2161" spans="1:32" ht="26.25">
      <c r="A2161" s="385"/>
      <c r="B2161" s="245"/>
      <c r="C2161" s="245"/>
      <c r="D2161" s="245"/>
      <c r="E2161" s="245"/>
      <c r="F2161" s="316"/>
      <c r="G2161" s="245"/>
      <c r="H2161" s="385"/>
      <c r="I2161" s="245"/>
      <c r="L2161" s="91"/>
      <c r="O2161" s="413"/>
      <c r="Q2161" s="415"/>
      <c r="R2161" s="416"/>
      <c r="S2161" s="420"/>
      <c r="T2161" s="384" ph="1"/>
      <c r="V2161" s="421"/>
      <c r="W2161" s="257"/>
      <c r="X2161" s="429"/>
      <c r="Y2161" s="257"/>
      <c r="Z2161" s="257"/>
      <c r="AC2161" s="357"/>
      <c r="AD2161" s="257"/>
      <c r="AE2161" s="245"/>
      <c r="AF2161" s="246"/>
    </row>
    <row r="2162" spans="1:32" ht="26.25">
      <c r="A2162" s="385"/>
      <c r="B2162" s="245"/>
      <c r="C2162" s="245"/>
      <c r="D2162" s="245"/>
      <c r="E2162" s="245"/>
      <c r="F2162" s="316"/>
      <c r="G2162" s="245"/>
      <c r="H2162" s="385"/>
      <c r="I2162" s="245"/>
      <c r="L2162" s="91"/>
      <c r="O2162" s="413"/>
      <c r="Q2162" s="415"/>
      <c r="R2162" s="416"/>
      <c r="S2162" s="420"/>
      <c r="T2162" s="384" ph="1"/>
      <c r="V2162" s="421"/>
      <c r="W2162" s="257"/>
      <c r="X2162" s="429"/>
      <c r="Y2162" s="257"/>
      <c r="Z2162" s="257"/>
      <c r="AC2162" s="357"/>
      <c r="AD2162" s="257"/>
      <c r="AE2162" s="245"/>
      <c r="AF2162" s="246"/>
    </row>
    <row r="2163" spans="1:32" ht="26.25">
      <c r="A2163" s="385"/>
      <c r="B2163" s="245"/>
      <c r="C2163" s="245"/>
      <c r="D2163" s="245"/>
      <c r="E2163" s="245"/>
      <c r="F2163" s="316"/>
      <c r="G2163" s="245"/>
      <c r="H2163" s="385"/>
      <c r="I2163" s="245"/>
      <c r="L2163" s="91"/>
      <c r="O2163" s="413"/>
      <c r="Q2163" s="415"/>
      <c r="R2163" s="416"/>
      <c r="S2163" s="420"/>
      <c r="T2163" s="384" ph="1"/>
      <c r="V2163" s="421"/>
      <c r="W2163" s="257"/>
      <c r="X2163" s="429"/>
      <c r="Y2163" s="257"/>
      <c r="Z2163" s="257"/>
      <c r="AC2163" s="357"/>
      <c r="AD2163" s="257"/>
      <c r="AE2163" s="245"/>
      <c r="AF2163" s="246"/>
    </row>
    <row r="2164" spans="1:32" ht="26.25">
      <c r="A2164" s="385"/>
      <c r="B2164" s="245"/>
      <c r="C2164" s="245"/>
      <c r="D2164" s="245"/>
      <c r="E2164" s="245"/>
      <c r="F2164" s="316"/>
      <c r="G2164" s="245"/>
      <c r="H2164" s="385"/>
      <c r="I2164" s="245"/>
      <c r="L2164" s="407"/>
      <c r="O2164" s="413"/>
      <c r="Q2164" s="415"/>
      <c r="R2164" s="416"/>
      <c r="S2164" s="420"/>
      <c r="T2164" s="384" ph="1"/>
      <c r="V2164" s="421"/>
      <c r="W2164" s="257"/>
      <c r="X2164" s="429"/>
      <c r="Y2164" s="257"/>
      <c r="Z2164" s="257"/>
      <c r="AC2164" s="357"/>
      <c r="AD2164" s="257"/>
      <c r="AE2164" s="245"/>
      <c r="AF2164" s="246"/>
    </row>
    <row r="2165" spans="1:32" ht="26.25">
      <c r="A2165" s="385"/>
      <c r="B2165" s="245"/>
      <c r="C2165" s="245"/>
      <c r="D2165" s="245"/>
      <c r="E2165" s="245"/>
      <c r="F2165" s="316"/>
      <c r="G2165" s="245"/>
      <c r="H2165" s="385"/>
      <c r="I2165" s="245"/>
      <c r="L2165" s="91"/>
      <c r="O2165" s="413"/>
      <c r="Q2165" s="415"/>
      <c r="R2165" s="416"/>
      <c r="S2165" s="420"/>
      <c r="T2165" s="384" ph="1"/>
      <c r="V2165" s="421"/>
      <c r="W2165" s="257"/>
      <c r="X2165" s="429"/>
      <c r="Y2165" s="257"/>
      <c r="Z2165" s="257"/>
      <c r="AC2165" s="357"/>
      <c r="AD2165" s="257"/>
      <c r="AE2165" s="245"/>
      <c r="AF2165" s="246"/>
    </row>
    <row r="2166" spans="1:32" ht="26.25">
      <c r="A2166" s="385"/>
      <c r="B2166" s="245"/>
      <c r="C2166" s="245"/>
      <c r="D2166" s="245"/>
      <c r="E2166" s="245"/>
      <c r="F2166" s="316"/>
      <c r="G2166" s="245"/>
      <c r="H2166" s="385"/>
      <c r="I2166" s="245"/>
      <c r="L2166" s="91"/>
      <c r="O2166" s="413"/>
      <c r="Q2166" s="415"/>
      <c r="R2166" s="416"/>
      <c r="S2166" s="420"/>
      <c r="T2166" s="384" ph="1"/>
      <c r="V2166" s="421"/>
      <c r="W2166" s="257"/>
      <c r="X2166" s="429"/>
      <c r="Y2166" s="257"/>
      <c r="Z2166" s="257"/>
      <c r="AC2166" s="357"/>
      <c r="AD2166" s="257"/>
      <c r="AE2166" s="245"/>
      <c r="AF2166" s="246"/>
    </row>
    <row r="2167" spans="1:32" ht="26.25">
      <c r="A2167" s="385"/>
      <c r="B2167" s="245"/>
      <c r="C2167" s="245"/>
      <c r="D2167" s="245"/>
      <c r="E2167" s="245"/>
      <c r="F2167" s="316"/>
      <c r="G2167" s="245"/>
      <c r="H2167" s="385"/>
      <c r="I2167" s="245"/>
      <c r="L2167" s="91"/>
      <c r="O2167" s="413"/>
      <c r="Q2167" s="415"/>
      <c r="R2167" s="416"/>
      <c r="S2167" s="420"/>
      <c r="T2167" s="384" ph="1"/>
      <c r="V2167" s="421"/>
      <c r="W2167" s="257"/>
      <c r="X2167" s="429"/>
      <c r="Y2167" s="257"/>
      <c r="Z2167" s="257"/>
      <c r="AC2167" s="357"/>
      <c r="AD2167" s="257"/>
      <c r="AE2167" s="245"/>
      <c r="AF2167" s="246"/>
    </row>
    <row r="2168" spans="1:32" ht="26.25">
      <c r="A2168" s="385"/>
      <c r="B2168" s="245"/>
      <c r="C2168" s="245"/>
      <c r="D2168" s="245"/>
      <c r="E2168" s="245"/>
      <c r="F2168" s="316"/>
      <c r="G2168" s="245"/>
      <c r="H2168" s="385"/>
      <c r="I2168" s="245"/>
      <c r="L2168" s="91"/>
      <c r="O2168" s="413"/>
      <c r="Q2168" s="415"/>
      <c r="R2168" s="416"/>
      <c r="S2168" s="420"/>
      <c r="T2168" s="384" ph="1"/>
      <c r="V2168" s="421"/>
      <c r="W2168" s="257"/>
      <c r="X2168" s="429"/>
      <c r="Y2168" s="257"/>
      <c r="Z2168" s="257"/>
      <c r="AC2168" s="357"/>
      <c r="AD2168" s="257"/>
      <c r="AE2168" s="245"/>
      <c r="AF2168" s="246"/>
    </row>
    <row r="2169" spans="1:32" ht="26.25">
      <c r="A2169" s="385"/>
      <c r="B2169" s="245"/>
      <c r="C2169" s="245"/>
      <c r="D2169" s="245"/>
      <c r="E2169" s="245"/>
      <c r="F2169" s="316"/>
      <c r="G2169" s="245"/>
      <c r="H2169" s="385"/>
      <c r="I2169" s="245"/>
      <c r="L2169" s="91"/>
      <c r="O2169" s="413"/>
      <c r="Q2169" s="415"/>
      <c r="R2169" s="416"/>
      <c r="S2169" s="420"/>
      <c r="T2169" s="384" ph="1"/>
      <c r="V2169" s="421"/>
      <c r="W2169" s="257"/>
      <c r="X2169" s="429"/>
      <c r="Y2169" s="257"/>
      <c r="Z2169" s="257"/>
      <c r="AC2169" s="357"/>
      <c r="AD2169" s="257"/>
      <c r="AE2169" s="245"/>
      <c r="AF2169" s="246"/>
    </row>
    <row r="2170" spans="1:32" ht="26.25">
      <c r="A2170" s="385"/>
      <c r="B2170" s="245"/>
      <c r="C2170" s="245"/>
      <c r="D2170" s="245"/>
      <c r="E2170" s="245"/>
      <c r="F2170" s="316"/>
      <c r="G2170" s="245"/>
      <c r="H2170" s="385"/>
      <c r="I2170" s="245"/>
      <c r="L2170" s="91"/>
      <c r="O2170" s="413"/>
      <c r="Q2170" s="415"/>
      <c r="R2170" s="416"/>
      <c r="S2170" s="420"/>
      <c r="T2170" s="384" ph="1"/>
      <c r="V2170" s="421"/>
      <c r="W2170" s="257"/>
      <c r="X2170" s="429"/>
      <c r="Y2170" s="257"/>
      <c r="Z2170" s="257"/>
      <c r="AC2170" s="357"/>
      <c r="AD2170" s="257"/>
      <c r="AE2170" s="245"/>
      <c r="AF2170" s="246"/>
    </row>
    <row r="2171" spans="1:32" ht="26.25">
      <c r="A2171" s="385"/>
      <c r="B2171" s="245"/>
      <c r="C2171" s="245"/>
      <c r="D2171" s="245"/>
      <c r="E2171" s="245"/>
      <c r="F2171" s="316"/>
      <c r="G2171" s="245"/>
      <c r="H2171" s="385"/>
      <c r="I2171" s="245"/>
      <c r="L2171" s="91"/>
      <c r="O2171" s="413"/>
      <c r="Q2171" s="415"/>
      <c r="R2171" s="416"/>
      <c r="S2171" s="420"/>
      <c r="T2171" s="384" ph="1"/>
      <c r="V2171" s="421"/>
      <c r="W2171" s="257"/>
      <c r="X2171" s="429"/>
      <c r="Y2171" s="257"/>
      <c r="Z2171" s="257"/>
      <c r="AC2171" s="357"/>
      <c r="AD2171" s="257"/>
      <c r="AE2171" s="245"/>
      <c r="AF2171" s="246"/>
    </row>
    <row r="2172" spans="1:32" ht="26.25">
      <c r="A2172" s="385"/>
      <c r="B2172" s="245"/>
      <c r="C2172" s="245"/>
      <c r="D2172" s="245"/>
      <c r="E2172" s="245"/>
      <c r="F2172" s="316"/>
      <c r="G2172" s="245"/>
      <c r="H2172" s="385"/>
      <c r="I2172" s="245"/>
      <c r="L2172" s="91"/>
      <c r="O2172" s="413"/>
      <c r="Q2172" s="415"/>
      <c r="R2172" s="416"/>
      <c r="S2172" s="420"/>
      <c r="T2172" s="384" ph="1"/>
      <c r="V2172" s="421"/>
      <c r="W2172" s="257"/>
      <c r="X2172" s="429"/>
      <c r="Y2172" s="257"/>
      <c r="Z2172" s="257"/>
      <c r="AC2172" s="357"/>
      <c r="AD2172" s="257"/>
      <c r="AE2172" s="245"/>
      <c r="AF2172" s="246"/>
    </row>
    <row r="2173" spans="1:32" ht="26.25">
      <c r="A2173" s="385"/>
      <c r="B2173" s="245"/>
      <c r="C2173" s="245"/>
      <c r="D2173" s="245"/>
      <c r="E2173" s="245"/>
      <c r="F2173" s="316"/>
      <c r="G2173" s="245"/>
      <c r="H2173" s="385"/>
      <c r="I2173" s="245"/>
      <c r="L2173" s="91"/>
      <c r="O2173" s="413"/>
      <c r="Q2173" s="415"/>
      <c r="R2173" s="416"/>
      <c r="S2173" s="420"/>
      <c r="T2173" s="384" ph="1"/>
      <c r="V2173" s="421"/>
      <c r="W2173" s="257"/>
      <c r="X2173" s="429"/>
      <c r="Y2173" s="257"/>
      <c r="Z2173" s="257"/>
      <c r="AC2173" s="357"/>
      <c r="AD2173" s="257"/>
      <c r="AE2173" s="245"/>
      <c r="AF2173" s="246"/>
    </row>
    <row r="2174" spans="1:32" ht="26.25">
      <c r="A2174" s="385"/>
      <c r="B2174" s="245"/>
      <c r="C2174" s="245"/>
      <c r="D2174" s="245"/>
      <c r="E2174" s="245"/>
      <c r="F2174" s="316"/>
      <c r="G2174" s="245"/>
      <c r="H2174" s="385"/>
      <c r="I2174" s="245"/>
      <c r="L2174" s="91"/>
      <c r="O2174" s="413"/>
      <c r="Q2174" s="415"/>
      <c r="R2174" s="416"/>
      <c r="S2174" s="420"/>
      <c r="T2174" s="384" ph="1"/>
      <c r="V2174" s="421"/>
      <c r="W2174" s="257"/>
      <c r="X2174" s="429"/>
      <c r="Y2174" s="257"/>
      <c r="Z2174" s="257"/>
      <c r="AC2174" s="357"/>
      <c r="AD2174" s="257"/>
      <c r="AE2174" s="245"/>
      <c r="AF2174" s="246"/>
    </row>
    <row r="2175" spans="1:32" ht="26.25">
      <c r="A2175" s="385"/>
      <c r="B2175" s="245"/>
      <c r="C2175" s="245"/>
      <c r="D2175" s="245"/>
      <c r="E2175" s="245"/>
      <c r="F2175" s="316"/>
      <c r="G2175" s="245"/>
      <c r="H2175" s="385"/>
      <c r="I2175" s="245"/>
      <c r="L2175" s="91"/>
      <c r="O2175" s="413"/>
      <c r="Q2175" s="415"/>
      <c r="R2175" s="416"/>
      <c r="S2175" s="420"/>
      <c r="T2175" s="384" ph="1"/>
      <c r="V2175" s="421"/>
      <c r="W2175" s="257"/>
      <c r="X2175" s="429"/>
      <c r="Y2175" s="257"/>
      <c r="Z2175" s="257"/>
      <c r="AC2175" s="357"/>
      <c r="AD2175" s="257"/>
      <c r="AE2175" s="245"/>
      <c r="AF2175" s="246"/>
    </row>
    <row r="2176" spans="1:32" ht="26.25">
      <c r="A2176" s="385"/>
      <c r="B2176" s="245"/>
      <c r="C2176" s="245"/>
      <c r="D2176" s="245"/>
      <c r="E2176" s="245"/>
      <c r="F2176" s="316"/>
      <c r="G2176" s="245"/>
      <c r="H2176" s="385"/>
      <c r="I2176" s="245"/>
      <c r="L2176" s="407"/>
      <c r="O2176" s="413"/>
      <c r="Q2176" s="415"/>
      <c r="R2176" s="416"/>
      <c r="S2176" s="420"/>
      <c r="T2176" s="384" ph="1"/>
      <c r="V2176" s="421"/>
      <c r="W2176" s="257"/>
      <c r="X2176" s="429"/>
      <c r="Y2176" s="257"/>
      <c r="Z2176" s="257"/>
      <c r="AC2176" s="357"/>
      <c r="AD2176" s="257"/>
      <c r="AE2176" s="245"/>
      <c r="AF2176" s="246"/>
    </row>
    <row r="2177" spans="1:32" ht="26.25">
      <c r="A2177" s="385"/>
      <c r="B2177" s="245"/>
      <c r="C2177" s="245"/>
      <c r="D2177" s="245"/>
      <c r="E2177" s="245"/>
      <c r="F2177" s="316"/>
      <c r="G2177" s="245"/>
      <c r="H2177" s="385"/>
      <c r="I2177" s="245"/>
      <c r="L2177" s="407"/>
      <c r="O2177" s="413"/>
      <c r="Q2177" s="415"/>
      <c r="R2177" s="416"/>
      <c r="S2177" s="420"/>
      <c r="T2177" s="384" ph="1"/>
      <c r="V2177" s="421"/>
      <c r="W2177" s="257"/>
      <c r="X2177" s="429"/>
      <c r="Y2177" s="257"/>
      <c r="Z2177" s="257"/>
      <c r="AC2177" s="357"/>
      <c r="AD2177" s="257"/>
      <c r="AE2177" s="245"/>
      <c r="AF2177" s="246"/>
    </row>
    <row r="2178" spans="1:32" ht="26.25">
      <c r="A2178" s="385"/>
      <c r="B2178" s="245"/>
      <c r="C2178" s="245"/>
      <c r="D2178" s="245"/>
      <c r="E2178" s="245"/>
      <c r="F2178" s="316"/>
      <c r="G2178" s="245"/>
      <c r="H2178" s="385"/>
      <c r="I2178" s="245"/>
      <c r="L2178" s="407"/>
      <c r="O2178" s="413"/>
      <c r="Q2178" s="415"/>
      <c r="R2178" s="416"/>
      <c r="S2178" s="420"/>
      <c r="T2178" s="384" ph="1"/>
      <c r="V2178" s="421"/>
      <c r="W2178" s="257"/>
      <c r="X2178" s="429"/>
      <c r="Y2178" s="257"/>
      <c r="Z2178" s="257"/>
      <c r="AC2178" s="357"/>
      <c r="AD2178" s="257"/>
      <c r="AE2178" s="245"/>
      <c r="AF2178" s="246"/>
    </row>
    <row r="2179" spans="1:32" ht="26.25">
      <c r="A2179" s="385"/>
      <c r="B2179" s="245"/>
      <c r="C2179" s="245"/>
      <c r="D2179" s="245"/>
      <c r="E2179" s="245"/>
      <c r="F2179" s="316"/>
      <c r="G2179" s="245"/>
      <c r="H2179" s="385"/>
      <c r="I2179" s="245"/>
      <c r="L2179" s="407"/>
      <c r="O2179" s="413"/>
      <c r="Q2179" s="415"/>
      <c r="R2179" s="416"/>
      <c r="S2179" s="420"/>
      <c r="T2179" s="384" ph="1"/>
      <c r="V2179" s="421"/>
      <c r="W2179" s="257"/>
      <c r="X2179" s="429"/>
      <c r="Y2179" s="257"/>
      <c r="Z2179" s="257"/>
      <c r="AC2179" s="357"/>
      <c r="AD2179" s="257"/>
      <c r="AE2179" s="245"/>
      <c r="AF2179" s="246"/>
    </row>
    <row r="2180" spans="1:32" ht="26.25">
      <c r="A2180" s="385"/>
      <c r="B2180" s="245"/>
      <c r="C2180" s="245"/>
      <c r="D2180" s="245"/>
      <c r="E2180" s="245"/>
      <c r="F2180" s="316"/>
      <c r="G2180" s="245"/>
      <c r="H2180" s="385"/>
      <c r="I2180" s="245"/>
      <c r="L2180" s="407"/>
      <c r="O2180" s="413"/>
      <c r="Q2180" s="415"/>
      <c r="R2180" s="416"/>
      <c r="S2180" s="420"/>
      <c r="T2180" s="384" ph="1"/>
      <c r="V2180" s="421"/>
      <c r="W2180" s="257"/>
      <c r="X2180" s="429"/>
      <c r="Y2180" s="257"/>
      <c r="Z2180" s="257"/>
      <c r="AC2180" s="357"/>
      <c r="AD2180" s="257"/>
      <c r="AE2180" s="245"/>
      <c r="AF2180" s="246"/>
    </row>
    <row r="2181" spans="1:32" ht="26.25">
      <c r="A2181" s="385"/>
      <c r="B2181" s="245"/>
      <c r="C2181" s="245"/>
      <c r="D2181" s="245"/>
      <c r="E2181" s="245"/>
      <c r="F2181" s="316"/>
      <c r="G2181" s="245"/>
      <c r="H2181" s="385"/>
      <c r="I2181" s="245"/>
      <c r="L2181" s="407"/>
      <c r="O2181" s="413"/>
      <c r="Q2181" s="415"/>
      <c r="R2181" s="416"/>
      <c r="S2181" s="420"/>
      <c r="T2181" s="384" ph="1"/>
      <c r="V2181" s="421"/>
      <c r="W2181" s="257"/>
      <c r="X2181" s="429"/>
      <c r="Y2181" s="257"/>
      <c r="Z2181" s="257"/>
      <c r="AC2181" s="357"/>
      <c r="AD2181" s="257"/>
      <c r="AE2181" s="245"/>
      <c r="AF2181" s="246"/>
    </row>
    <row r="2182" spans="1:32" ht="26.25">
      <c r="A2182" s="385"/>
      <c r="B2182" s="245"/>
      <c r="C2182" s="245"/>
      <c r="D2182" s="245"/>
      <c r="E2182" s="245"/>
      <c r="F2182" s="316"/>
      <c r="G2182" s="245"/>
      <c r="H2182" s="385"/>
      <c r="I2182" s="245"/>
      <c r="L2182" s="407"/>
      <c r="O2182" s="413"/>
      <c r="Q2182" s="415"/>
      <c r="R2182" s="416"/>
      <c r="S2182" s="420"/>
      <c r="T2182" s="384" ph="1"/>
      <c r="V2182" s="421"/>
      <c r="W2182" s="257"/>
      <c r="X2182" s="429"/>
      <c r="Y2182" s="257"/>
      <c r="Z2182" s="257"/>
      <c r="AC2182" s="357"/>
      <c r="AD2182" s="257"/>
      <c r="AE2182" s="245"/>
      <c r="AF2182" s="246"/>
    </row>
    <row r="2183" spans="1:32" ht="26.25">
      <c r="A2183" s="385"/>
      <c r="B2183" s="245"/>
      <c r="C2183" s="245"/>
      <c r="D2183" s="245"/>
      <c r="E2183" s="245"/>
      <c r="F2183" s="316"/>
      <c r="G2183" s="245"/>
      <c r="H2183" s="385"/>
      <c r="I2183" s="245"/>
      <c r="L2183" s="407"/>
      <c r="O2183" s="413"/>
      <c r="Q2183" s="415"/>
      <c r="R2183" s="416"/>
      <c r="S2183" s="420"/>
      <c r="T2183" s="384" ph="1"/>
      <c r="V2183" s="421"/>
      <c r="W2183" s="257"/>
      <c r="X2183" s="429"/>
      <c r="Y2183" s="257"/>
      <c r="Z2183" s="257"/>
      <c r="AC2183" s="357"/>
      <c r="AD2183" s="257"/>
      <c r="AE2183" s="245"/>
      <c r="AF2183" s="246"/>
    </row>
    <row r="2184" spans="1:32" ht="26.25">
      <c r="A2184" s="385"/>
      <c r="B2184" s="245"/>
      <c r="C2184" s="245"/>
      <c r="D2184" s="245"/>
      <c r="E2184" s="245"/>
      <c r="F2184" s="316"/>
      <c r="G2184" s="245"/>
      <c r="H2184" s="385"/>
      <c r="I2184" s="245"/>
      <c r="L2184" s="407"/>
      <c r="O2184" s="413"/>
      <c r="Q2184" s="415"/>
      <c r="R2184" s="416"/>
      <c r="S2184" s="420"/>
      <c r="T2184" s="384" ph="1"/>
      <c r="V2184" s="421"/>
      <c r="W2184" s="257"/>
      <c r="X2184" s="429"/>
      <c r="Y2184" s="257"/>
      <c r="Z2184" s="257"/>
      <c r="AC2184" s="357"/>
      <c r="AD2184" s="257"/>
      <c r="AE2184" s="245"/>
      <c r="AF2184" s="246"/>
    </row>
    <row r="2185" spans="1:32" ht="26.25">
      <c r="A2185" s="385"/>
      <c r="B2185" s="245"/>
      <c r="C2185" s="245"/>
      <c r="D2185" s="245"/>
      <c r="E2185" s="245"/>
      <c r="F2185" s="316"/>
      <c r="G2185" s="245"/>
      <c r="H2185" s="385"/>
      <c r="I2185" s="245"/>
      <c r="L2185" s="91"/>
      <c r="O2185" s="413"/>
      <c r="Q2185" s="415"/>
      <c r="R2185" s="416"/>
      <c r="S2185" s="420"/>
      <c r="T2185" s="384" ph="1"/>
      <c r="V2185" s="421"/>
      <c r="W2185" s="257"/>
      <c r="X2185" s="429"/>
      <c r="Y2185" s="257"/>
      <c r="Z2185" s="257"/>
      <c r="AC2185" s="357"/>
      <c r="AD2185" s="257"/>
      <c r="AE2185" s="245"/>
      <c r="AF2185" s="246"/>
    </row>
    <row r="2186" spans="1:32" ht="26.25">
      <c r="A2186" s="385"/>
      <c r="B2186" s="245"/>
      <c r="C2186" s="245"/>
      <c r="D2186" s="245"/>
      <c r="E2186" s="245"/>
      <c r="F2186" s="316"/>
      <c r="G2186" s="245"/>
      <c r="H2186" s="385"/>
      <c r="I2186" s="245"/>
      <c r="L2186" s="407"/>
      <c r="O2186" s="413"/>
      <c r="Q2186" s="415"/>
      <c r="R2186" s="416"/>
      <c r="S2186" s="420"/>
      <c r="T2186" s="384" ph="1"/>
      <c r="V2186" s="421"/>
      <c r="W2186" s="257"/>
      <c r="X2186" s="429"/>
      <c r="Y2186" s="257"/>
      <c r="Z2186" s="257"/>
      <c r="AC2186" s="357"/>
      <c r="AD2186" s="257"/>
      <c r="AE2186" s="245"/>
      <c r="AF2186" s="246"/>
    </row>
    <row r="2187" spans="1:32" ht="26.25">
      <c r="A2187" s="385"/>
      <c r="B2187" s="245"/>
      <c r="C2187" s="245"/>
      <c r="D2187" s="245"/>
      <c r="E2187" s="245"/>
      <c r="F2187" s="316"/>
      <c r="G2187" s="245"/>
      <c r="H2187" s="385"/>
      <c r="I2187" s="245"/>
      <c r="L2187" s="407"/>
      <c r="O2187" s="413"/>
      <c r="Q2187" s="415"/>
      <c r="R2187" s="416"/>
      <c r="S2187" s="420"/>
      <c r="T2187" s="384" ph="1"/>
      <c r="V2187" s="421"/>
      <c r="W2187" s="257"/>
      <c r="X2187" s="429"/>
      <c r="Y2187" s="257"/>
      <c r="Z2187" s="257"/>
      <c r="AC2187" s="357"/>
      <c r="AD2187" s="257"/>
      <c r="AE2187" s="245"/>
      <c r="AF2187" s="246"/>
    </row>
    <row r="2188" spans="1:32" ht="26.25">
      <c r="A2188" s="385"/>
      <c r="B2188" s="245"/>
      <c r="C2188" s="245"/>
      <c r="D2188" s="245"/>
      <c r="E2188" s="245"/>
      <c r="F2188" s="316"/>
      <c r="G2188" s="245"/>
      <c r="H2188" s="385"/>
      <c r="I2188" s="245"/>
      <c r="L2188" s="407"/>
      <c r="O2188" s="413"/>
      <c r="Q2188" s="415"/>
      <c r="R2188" s="416"/>
      <c r="S2188" s="420"/>
      <c r="T2188" s="384" ph="1"/>
      <c r="V2188" s="421"/>
      <c r="W2188" s="257"/>
      <c r="X2188" s="429"/>
      <c r="Y2188" s="257"/>
      <c r="Z2188" s="257"/>
      <c r="AC2188" s="357"/>
      <c r="AD2188" s="257"/>
      <c r="AE2188" s="245"/>
      <c r="AF2188" s="246"/>
    </row>
    <row r="2189" spans="1:32" ht="26.25">
      <c r="A2189" s="385"/>
      <c r="B2189" s="245"/>
      <c r="C2189" s="245"/>
      <c r="D2189" s="245"/>
      <c r="E2189" s="245"/>
      <c r="F2189" s="316"/>
      <c r="G2189" s="245"/>
      <c r="H2189" s="385"/>
      <c r="I2189" s="245"/>
      <c r="L2189" s="91"/>
      <c r="O2189" s="413"/>
      <c r="Q2189" s="415"/>
      <c r="R2189" s="416"/>
      <c r="S2189" s="420"/>
      <c r="T2189" s="384" ph="1"/>
      <c r="V2189" s="421"/>
      <c r="W2189" s="257"/>
      <c r="X2189" s="429"/>
      <c r="Y2189" s="257"/>
      <c r="Z2189" s="257"/>
      <c r="AC2189" s="357"/>
      <c r="AD2189" s="257"/>
      <c r="AE2189" s="245"/>
      <c r="AF2189" s="246"/>
    </row>
    <row r="2190" spans="1:32" ht="26.25">
      <c r="A2190" s="385"/>
      <c r="B2190" s="245"/>
      <c r="C2190" s="245"/>
      <c r="D2190" s="245"/>
      <c r="E2190" s="245"/>
      <c r="F2190" s="316"/>
      <c r="G2190" s="245"/>
      <c r="H2190" s="385"/>
      <c r="I2190" s="245"/>
      <c r="L2190" s="407"/>
      <c r="O2190" s="413"/>
      <c r="Q2190" s="415"/>
      <c r="R2190" s="416"/>
      <c r="S2190" s="420"/>
      <c r="T2190" s="384" ph="1"/>
      <c r="V2190" s="421"/>
      <c r="W2190" s="257"/>
      <c r="X2190" s="429"/>
      <c r="Y2190" s="257"/>
      <c r="Z2190" s="257"/>
      <c r="AC2190" s="357"/>
      <c r="AD2190" s="257"/>
      <c r="AE2190" s="245"/>
      <c r="AF2190" s="246"/>
    </row>
    <row r="2191" spans="1:32" ht="26.25">
      <c r="A2191" s="385"/>
      <c r="B2191" s="245"/>
      <c r="C2191" s="245"/>
      <c r="D2191" s="245"/>
      <c r="E2191" s="245"/>
      <c r="F2191" s="316"/>
      <c r="G2191" s="245"/>
      <c r="H2191" s="385"/>
      <c r="I2191" s="245"/>
      <c r="L2191" s="407"/>
      <c r="O2191" s="413"/>
      <c r="Q2191" s="415"/>
      <c r="R2191" s="416"/>
      <c r="S2191" s="420"/>
      <c r="T2191" s="384" ph="1"/>
      <c r="V2191" s="421"/>
      <c r="W2191" s="257"/>
      <c r="X2191" s="429"/>
      <c r="Y2191" s="257"/>
      <c r="Z2191" s="257"/>
      <c r="AC2191" s="357"/>
      <c r="AD2191" s="257"/>
      <c r="AE2191" s="245"/>
      <c r="AF2191" s="246"/>
    </row>
    <row r="2192" spans="1:32" ht="26.25">
      <c r="A2192" s="385"/>
      <c r="B2192" s="245"/>
      <c r="C2192" s="245"/>
      <c r="D2192" s="245"/>
      <c r="E2192" s="245"/>
      <c r="F2192" s="316"/>
      <c r="G2192" s="245"/>
      <c r="H2192" s="385"/>
      <c r="I2192" s="245"/>
      <c r="L2192" s="91"/>
      <c r="O2192" s="413"/>
      <c r="Q2192" s="415"/>
      <c r="R2192" s="416"/>
      <c r="S2192" s="420"/>
      <c r="T2192" s="384" ph="1"/>
      <c r="V2192" s="421"/>
      <c r="W2192" s="257"/>
      <c r="X2192" s="429"/>
      <c r="Y2192" s="257"/>
      <c r="Z2192" s="257"/>
      <c r="AC2192" s="357"/>
      <c r="AD2192" s="257"/>
      <c r="AE2192" s="245"/>
      <c r="AF2192" s="246"/>
    </row>
    <row r="2193" spans="1:32" ht="26.25">
      <c r="A2193" s="385"/>
      <c r="B2193" s="245"/>
      <c r="C2193" s="245"/>
      <c r="D2193" s="245"/>
      <c r="E2193" s="245"/>
      <c r="F2193" s="316"/>
      <c r="G2193" s="245"/>
      <c r="H2193" s="385"/>
      <c r="I2193" s="245"/>
      <c r="L2193" s="91"/>
      <c r="O2193" s="413"/>
      <c r="Q2193" s="415"/>
      <c r="R2193" s="416"/>
      <c r="S2193" s="420"/>
      <c r="T2193" s="384" ph="1"/>
      <c r="V2193" s="421"/>
      <c r="W2193" s="257"/>
      <c r="X2193" s="429"/>
      <c r="Y2193" s="257"/>
      <c r="Z2193" s="257"/>
      <c r="AC2193" s="357"/>
      <c r="AD2193" s="257"/>
      <c r="AE2193" s="245"/>
      <c r="AF2193" s="246"/>
    </row>
    <row r="2194" spans="1:32" ht="26.25">
      <c r="A2194" s="385"/>
      <c r="B2194" s="245"/>
      <c r="C2194" s="245"/>
      <c r="D2194" s="245"/>
      <c r="E2194" s="245"/>
      <c r="F2194" s="316"/>
      <c r="G2194" s="245"/>
      <c r="H2194" s="385"/>
      <c r="I2194" s="245"/>
      <c r="O2194" s="413"/>
      <c r="Q2194" s="415"/>
      <c r="R2194" s="416"/>
      <c r="S2194" s="420"/>
      <c r="T2194" s="384" ph="1"/>
      <c r="V2194" s="421"/>
      <c r="W2194" s="257"/>
      <c r="X2194" s="429"/>
      <c r="Y2194" s="257"/>
      <c r="Z2194" s="257"/>
      <c r="AC2194" s="357"/>
      <c r="AD2194" s="257"/>
      <c r="AE2194" s="245"/>
      <c r="AF2194" s="246"/>
    </row>
    <row r="2195" spans="1:32" ht="26.25">
      <c r="A2195" s="385"/>
      <c r="B2195" s="245"/>
      <c r="C2195" s="245"/>
      <c r="D2195" s="245"/>
      <c r="E2195" s="245"/>
      <c r="F2195" s="316"/>
      <c r="G2195" s="245"/>
      <c r="H2195" s="385"/>
      <c r="I2195" s="245"/>
      <c r="O2195" s="413"/>
      <c r="Q2195" s="415"/>
      <c r="R2195" s="416"/>
      <c r="S2195" s="420"/>
      <c r="T2195" s="384" ph="1"/>
      <c r="V2195" s="421"/>
      <c r="W2195" s="257"/>
      <c r="X2195" s="429"/>
      <c r="Y2195" s="257"/>
      <c r="Z2195" s="257"/>
      <c r="AC2195" s="357"/>
      <c r="AD2195" s="257"/>
      <c r="AE2195" s="245"/>
      <c r="AF2195" s="246"/>
    </row>
    <row r="2196" spans="1:32" ht="26.25">
      <c r="A2196" s="385"/>
      <c r="B2196" s="245"/>
      <c r="C2196" s="245"/>
      <c r="D2196" s="245"/>
      <c r="E2196" s="245"/>
      <c r="F2196" s="316"/>
      <c r="G2196" s="245"/>
      <c r="H2196" s="385"/>
      <c r="I2196" s="245"/>
      <c r="O2196" s="413"/>
      <c r="Q2196" s="415"/>
      <c r="R2196" s="416"/>
      <c r="S2196" s="420"/>
      <c r="T2196" s="384" ph="1"/>
      <c r="V2196" s="421"/>
      <c r="W2196" s="257"/>
      <c r="X2196" s="429"/>
      <c r="Y2196" s="257"/>
      <c r="Z2196" s="257"/>
      <c r="AC2196" s="357"/>
      <c r="AD2196" s="257"/>
      <c r="AE2196" s="245"/>
      <c r="AF2196" s="246"/>
    </row>
    <row r="2197" spans="1:32" ht="26.25">
      <c r="A2197" s="385"/>
      <c r="B2197" s="245"/>
      <c r="C2197" s="245"/>
      <c r="D2197" s="245"/>
      <c r="E2197" s="245"/>
      <c r="F2197" s="316"/>
      <c r="G2197" s="245"/>
      <c r="H2197" s="385"/>
      <c r="I2197" s="245"/>
      <c r="O2197" s="413"/>
      <c r="Q2197" s="415"/>
      <c r="R2197" s="416"/>
      <c r="S2197" s="420"/>
      <c r="T2197" s="384" ph="1"/>
      <c r="V2197" s="421"/>
      <c r="W2197" s="257"/>
      <c r="X2197" s="429"/>
      <c r="Y2197" s="257"/>
      <c r="Z2197" s="257"/>
      <c r="AC2197" s="357"/>
      <c r="AD2197" s="257"/>
      <c r="AE2197" s="245"/>
      <c r="AF2197" s="246"/>
    </row>
    <row r="2198" spans="1:32" ht="26.25">
      <c r="A2198" s="385"/>
      <c r="B2198" s="245"/>
      <c r="C2198" s="245"/>
      <c r="D2198" s="245"/>
      <c r="E2198" s="245"/>
      <c r="F2198" s="316"/>
      <c r="G2198" s="245"/>
      <c r="H2198" s="385"/>
      <c r="I2198" s="245"/>
      <c r="O2198" s="413"/>
      <c r="Q2198" s="415"/>
      <c r="R2198" s="416"/>
      <c r="S2198" s="420"/>
      <c r="T2198" s="384" ph="1"/>
      <c r="V2198" s="421"/>
      <c r="W2198" s="257"/>
      <c r="X2198" s="429"/>
      <c r="Y2198" s="257"/>
      <c r="Z2198" s="257"/>
      <c r="AC2198" s="357"/>
      <c r="AD2198" s="257"/>
      <c r="AE2198" s="245"/>
      <c r="AF2198" s="246"/>
    </row>
    <row r="2199" spans="1:32" ht="26.25">
      <c r="A2199" s="385"/>
      <c r="B2199" s="245"/>
      <c r="C2199" s="245"/>
      <c r="D2199" s="245"/>
      <c r="E2199" s="245"/>
      <c r="F2199" s="316"/>
      <c r="G2199" s="245"/>
      <c r="H2199" s="385"/>
      <c r="I2199" s="245"/>
      <c r="O2199" s="413"/>
      <c r="Q2199" s="415"/>
      <c r="R2199" s="416"/>
      <c r="S2199" s="420"/>
      <c r="T2199" s="384" ph="1"/>
      <c r="V2199" s="421"/>
      <c r="W2199" s="257"/>
      <c r="X2199" s="429"/>
      <c r="Y2199" s="257"/>
      <c r="Z2199" s="257"/>
      <c r="AC2199" s="357"/>
      <c r="AD2199" s="257"/>
      <c r="AE2199" s="245"/>
      <c r="AF2199" s="246"/>
    </row>
    <row r="2200" spans="1:32" ht="26.25">
      <c r="A2200" s="385"/>
      <c r="B2200" s="245"/>
      <c r="C2200" s="245"/>
      <c r="D2200" s="245"/>
      <c r="E2200" s="245"/>
      <c r="F2200" s="316"/>
      <c r="G2200" s="245"/>
      <c r="H2200" s="385"/>
      <c r="I2200" s="245"/>
      <c r="O2200" s="413"/>
      <c r="Q2200" s="415"/>
      <c r="R2200" s="416"/>
      <c r="S2200" s="420"/>
      <c r="T2200" s="384" ph="1"/>
      <c r="V2200" s="421"/>
      <c r="W2200" s="257"/>
      <c r="X2200" s="429"/>
      <c r="Y2200" s="257"/>
      <c r="Z2200" s="257"/>
      <c r="AC2200" s="357"/>
      <c r="AD2200" s="257"/>
      <c r="AE2200" s="245"/>
      <c r="AF2200" s="246"/>
    </row>
    <row r="2201" spans="1:32" ht="26.25">
      <c r="A2201" s="385"/>
      <c r="B2201" s="245"/>
      <c r="C2201" s="245"/>
      <c r="D2201" s="245"/>
      <c r="E2201" s="245"/>
      <c r="F2201" s="316"/>
      <c r="G2201" s="245"/>
      <c r="H2201" s="385"/>
      <c r="I2201" s="245"/>
      <c r="O2201" s="413"/>
      <c r="Q2201" s="415"/>
      <c r="R2201" s="416"/>
      <c r="S2201" s="420"/>
      <c r="T2201" s="384" ph="1"/>
      <c r="V2201" s="421"/>
      <c r="W2201" s="257"/>
      <c r="X2201" s="429"/>
      <c r="Y2201" s="257"/>
      <c r="Z2201" s="257"/>
      <c r="AC2201" s="357"/>
      <c r="AD2201" s="257"/>
      <c r="AE2201" s="245"/>
      <c r="AF2201" s="246"/>
    </row>
    <row r="2202" spans="1:32" ht="26.25">
      <c r="A2202" s="385"/>
      <c r="B2202" s="245"/>
      <c r="C2202" s="245"/>
      <c r="D2202" s="245"/>
      <c r="E2202" s="245"/>
      <c r="F2202" s="316"/>
      <c r="G2202" s="245"/>
      <c r="H2202" s="385"/>
      <c r="I2202" s="245"/>
      <c r="O2202" s="413"/>
      <c r="Q2202" s="415"/>
      <c r="R2202" s="416"/>
      <c r="S2202" s="420"/>
      <c r="T2202" s="384" ph="1"/>
      <c r="V2202" s="421"/>
      <c r="W2202" s="257"/>
      <c r="X2202" s="429"/>
      <c r="Y2202" s="257"/>
      <c r="Z2202" s="257"/>
      <c r="AC2202" s="357"/>
      <c r="AD2202" s="257"/>
      <c r="AE2202" s="245"/>
      <c r="AF2202" s="246"/>
    </row>
    <row r="2203" spans="1:32" ht="26.25">
      <c r="A2203" s="385"/>
      <c r="B2203" s="245"/>
      <c r="C2203" s="245"/>
      <c r="D2203" s="245"/>
      <c r="E2203" s="245"/>
      <c r="F2203" s="316"/>
      <c r="G2203" s="245"/>
      <c r="H2203" s="385"/>
      <c r="I2203" s="245"/>
      <c r="O2203" s="413"/>
      <c r="Q2203" s="415"/>
      <c r="R2203" s="416"/>
      <c r="S2203" s="420"/>
      <c r="T2203" s="384" ph="1"/>
      <c r="V2203" s="421"/>
      <c r="W2203" s="257"/>
      <c r="X2203" s="429"/>
      <c r="Y2203" s="257"/>
      <c r="Z2203" s="257"/>
      <c r="AC2203" s="357"/>
      <c r="AD2203" s="257"/>
      <c r="AE2203" s="245"/>
      <c r="AF2203" s="246"/>
    </row>
    <row r="2204" spans="1:32" ht="26.25">
      <c r="A2204" s="385"/>
      <c r="B2204" s="245"/>
      <c r="C2204" s="245"/>
      <c r="D2204" s="245"/>
      <c r="E2204" s="245"/>
      <c r="F2204" s="316"/>
      <c r="G2204" s="245"/>
      <c r="H2204" s="385"/>
      <c r="I2204" s="245"/>
      <c r="O2204" s="413"/>
      <c r="Q2204" s="415"/>
      <c r="R2204" s="416"/>
      <c r="S2204" s="420"/>
      <c r="T2204" s="384" ph="1"/>
      <c r="V2204" s="421"/>
      <c r="W2204" s="257"/>
      <c r="X2204" s="429"/>
      <c r="Y2204" s="257"/>
      <c r="Z2204" s="257"/>
      <c r="AC2204" s="357"/>
      <c r="AD2204" s="257"/>
      <c r="AE2204" s="245"/>
      <c r="AF2204" s="246"/>
    </row>
    <row r="2205" spans="1:32" ht="26.25">
      <c r="A2205" s="385"/>
      <c r="B2205" s="245"/>
      <c r="C2205" s="245"/>
      <c r="D2205" s="245"/>
      <c r="E2205" s="245"/>
      <c r="F2205" s="316"/>
      <c r="G2205" s="245"/>
      <c r="H2205" s="385"/>
      <c r="I2205" s="245"/>
      <c r="O2205" s="413"/>
      <c r="Q2205" s="415"/>
      <c r="R2205" s="416"/>
      <c r="S2205" s="420"/>
      <c r="T2205" s="384" ph="1"/>
      <c r="V2205" s="421"/>
      <c r="W2205" s="257"/>
      <c r="X2205" s="429"/>
      <c r="Y2205" s="257"/>
      <c r="Z2205" s="257"/>
      <c r="AC2205" s="357"/>
      <c r="AD2205" s="257"/>
      <c r="AE2205" s="245"/>
      <c r="AF2205" s="246"/>
    </row>
    <row r="2206" spans="1:32" ht="26.25">
      <c r="A2206" s="385"/>
      <c r="B2206" s="245"/>
      <c r="C2206" s="245"/>
      <c r="D2206" s="245"/>
      <c r="E2206" s="245"/>
      <c r="F2206" s="316"/>
      <c r="G2206" s="245"/>
      <c r="H2206" s="385"/>
      <c r="I2206" s="245"/>
      <c r="O2206" s="413"/>
      <c r="Q2206" s="415"/>
      <c r="R2206" s="416"/>
      <c r="S2206" s="420"/>
      <c r="T2206" s="384" ph="1"/>
      <c r="V2206" s="421"/>
      <c r="W2206" s="257"/>
      <c r="X2206" s="429"/>
      <c r="Y2206" s="257"/>
      <c r="Z2206" s="257"/>
      <c r="AC2206" s="357"/>
      <c r="AD2206" s="257"/>
      <c r="AE2206" s="245"/>
      <c r="AF2206" s="246"/>
    </row>
    <row r="2207" spans="1:32" ht="26.25">
      <c r="A2207" s="385"/>
      <c r="B2207" s="245"/>
      <c r="C2207" s="245"/>
      <c r="D2207" s="245"/>
      <c r="E2207" s="245"/>
      <c r="F2207" s="316"/>
      <c r="G2207" s="245"/>
      <c r="H2207" s="385"/>
      <c r="I2207" s="245"/>
      <c r="O2207" s="413"/>
      <c r="Q2207" s="415"/>
      <c r="R2207" s="416"/>
      <c r="S2207" s="420"/>
      <c r="T2207" s="384" ph="1"/>
      <c r="V2207" s="421"/>
      <c r="W2207" s="257"/>
      <c r="X2207" s="429"/>
      <c r="Y2207" s="257"/>
      <c r="Z2207" s="257"/>
      <c r="AC2207" s="357"/>
      <c r="AD2207" s="257"/>
      <c r="AE2207" s="245"/>
      <c r="AF2207" s="246"/>
    </row>
    <row r="2208" spans="1:32" ht="26.25">
      <c r="A2208" s="385"/>
      <c r="B2208" s="245"/>
      <c r="C2208" s="245"/>
      <c r="D2208" s="245"/>
      <c r="E2208" s="245"/>
      <c r="F2208" s="316"/>
      <c r="G2208" s="245"/>
      <c r="H2208" s="385"/>
      <c r="I2208" s="245"/>
      <c r="O2208" s="413"/>
      <c r="Q2208" s="415"/>
      <c r="R2208" s="416"/>
      <c r="S2208" s="420"/>
      <c r="T2208" s="384" ph="1"/>
      <c r="V2208" s="421"/>
      <c r="W2208" s="257"/>
      <c r="X2208" s="429"/>
      <c r="Y2208" s="257"/>
      <c r="Z2208" s="257"/>
      <c r="AC2208" s="357"/>
      <c r="AD2208" s="257"/>
      <c r="AE2208" s="245"/>
      <c r="AF2208" s="246"/>
    </row>
    <row r="2209" spans="1:32" ht="26.25">
      <c r="A2209" s="385"/>
      <c r="B2209" s="245"/>
      <c r="C2209" s="245"/>
      <c r="D2209" s="245"/>
      <c r="E2209" s="245"/>
      <c r="F2209" s="316"/>
      <c r="G2209" s="245"/>
      <c r="H2209" s="385"/>
      <c r="I2209" s="245"/>
      <c r="O2209" s="413"/>
      <c r="Q2209" s="415"/>
      <c r="R2209" s="416"/>
      <c r="S2209" s="420"/>
      <c r="T2209" s="384" ph="1"/>
      <c r="V2209" s="421"/>
      <c r="W2209" s="257"/>
      <c r="X2209" s="429"/>
      <c r="Y2209" s="257"/>
      <c r="Z2209" s="257"/>
      <c r="AC2209" s="357"/>
      <c r="AD2209" s="257"/>
      <c r="AE2209" s="245"/>
      <c r="AF2209" s="246"/>
    </row>
    <row r="2210" spans="1:32" ht="26.25">
      <c r="A2210" s="385"/>
      <c r="B2210" s="245"/>
      <c r="C2210" s="245"/>
      <c r="D2210" s="245"/>
      <c r="E2210" s="245"/>
      <c r="F2210" s="316"/>
      <c r="G2210" s="245"/>
      <c r="H2210" s="385"/>
      <c r="I2210" s="245"/>
      <c r="O2210" s="413"/>
      <c r="Q2210" s="415"/>
      <c r="R2210" s="416"/>
      <c r="S2210" s="420"/>
      <c r="T2210" s="384" ph="1"/>
      <c r="V2210" s="421"/>
      <c r="W2210" s="257"/>
      <c r="X2210" s="429"/>
      <c r="Y2210" s="257"/>
      <c r="Z2210" s="257"/>
      <c r="AC2210" s="357"/>
      <c r="AD2210" s="257"/>
      <c r="AE2210" s="245"/>
      <c r="AF2210" s="246"/>
    </row>
    <row r="2211" spans="1:32" ht="26.25">
      <c r="A2211" s="385"/>
      <c r="B2211" s="245"/>
      <c r="C2211" s="245"/>
      <c r="D2211" s="245"/>
      <c r="E2211" s="245"/>
      <c r="F2211" s="316"/>
      <c r="G2211" s="245"/>
      <c r="H2211" s="385"/>
      <c r="I2211" s="245"/>
      <c r="O2211" s="413"/>
      <c r="Q2211" s="415"/>
      <c r="R2211" s="416"/>
      <c r="S2211" s="420"/>
      <c r="T2211" s="384" ph="1"/>
      <c r="V2211" s="421"/>
      <c r="W2211" s="257"/>
      <c r="X2211" s="429"/>
      <c r="Y2211" s="257"/>
      <c r="Z2211" s="257"/>
      <c r="AC2211" s="357"/>
      <c r="AD2211" s="257"/>
      <c r="AE2211" s="245"/>
      <c r="AF2211" s="246"/>
    </row>
    <row r="2212" spans="1:32" ht="26.25">
      <c r="A2212" s="385"/>
      <c r="B2212" s="245"/>
      <c r="C2212" s="245"/>
      <c r="D2212" s="245"/>
      <c r="E2212" s="245"/>
      <c r="F2212" s="316"/>
      <c r="G2212" s="245"/>
      <c r="H2212" s="385"/>
      <c r="I2212" s="245"/>
      <c r="O2212" s="413"/>
      <c r="Q2212" s="415"/>
      <c r="R2212" s="416"/>
      <c r="S2212" s="420"/>
      <c r="T2212" s="384" ph="1"/>
      <c r="V2212" s="421"/>
      <c r="W2212" s="257"/>
      <c r="X2212" s="429"/>
      <c r="Y2212" s="257"/>
      <c r="Z2212" s="257"/>
      <c r="AC2212" s="357"/>
      <c r="AD2212" s="257"/>
      <c r="AE2212" s="245"/>
      <c r="AF2212" s="246"/>
    </row>
    <row r="2213" spans="1:32" ht="26.25">
      <c r="A2213" s="385"/>
      <c r="B2213" s="245"/>
      <c r="C2213" s="245"/>
      <c r="D2213" s="245"/>
      <c r="E2213" s="245"/>
      <c r="F2213" s="316"/>
      <c r="G2213" s="245"/>
      <c r="H2213" s="385"/>
      <c r="I2213" s="245"/>
      <c r="O2213" s="413"/>
      <c r="Q2213" s="415"/>
      <c r="R2213" s="416"/>
      <c r="S2213" s="420"/>
      <c r="T2213" s="384" ph="1"/>
      <c r="V2213" s="421"/>
      <c r="W2213" s="257"/>
      <c r="X2213" s="429"/>
      <c r="Y2213" s="257"/>
      <c r="Z2213" s="257"/>
      <c r="AC2213" s="357"/>
      <c r="AD2213" s="257"/>
      <c r="AE2213" s="245"/>
      <c r="AF2213" s="246"/>
    </row>
    <row r="2214" spans="1:32" ht="26.25">
      <c r="A2214" s="385"/>
      <c r="B2214" s="245"/>
      <c r="C2214" s="245"/>
      <c r="D2214" s="245"/>
      <c r="E2214" s="245"/>
      <c r="F2214" s="316"/>
      <c r="G2214" s="245"/>
      <c r="H2214" s="385"/>
      <c r="I2214" s="245"/>
      <c r="O2214" s="413"/>
      <c r="Q2214" s="415"/>
      <c r="R2214" s="416"/>
      <c r="S2214" s="420"/>
      <c r="T2214" s="384" ph="1"/>
      <c r="V2214" s="421"/>
      <c r="W2214" s="257"/>
      <c r="X2214" s="429"/>
      <c r="Y2214" s="257"/>
      <c r="Z2214" s="257"/>
      <c r="AC2214" s="357"/>
      <c r="AD2214" s="257"/>
      <c r="AE2214" s="245"/>
      <c r="AF2214" s="246"/>
    </row>
    <row r="2215" spans="1:32" ht="26.25">
      <c r="A2215" s="385"/>
      <c r="B2215" s="245"/>
      <c r="C2215" s="245"/>
      <c r="D2215" s="245"/>
      <c r="E2215" s="245"/>
      <c r="F2215" s="316"/>
      <c r="G2215" s="245"/>
      <c r="H2215" s="385"/>
      <c r="I2215" s="245"/>
      <c r="O2215" s="413"/>
      <c r="Q2215" s="415"/>
      <c r="R2215" s="416"/>
      <c r="S2215" s="420"/>
      <c r="T2215" s="384" ph="1"/>
      <c r="V2215" s="421"/>
      <c r="W2215" s="257"/>
      <c r="X2215" s="429"/>
      <c r="Y2215" s="257"/>
      <c r="Z2215" s="257"/>
      <c r="AC2215" s="357"/>
      <c r="AD2215" s="257"/>
      <c r="AE2215" s="245"/>
      <c r="AF2215" s="246"/>
    </row>
    <row r="2216" spans="1:32" ht="26.25">
      <c r="A2216" s="385"/>
      <c r="B2216" s="245"/>
      <c r="C2216" s="245"/>
      <c r="D2216" s="245"/>
      <c r="E2216" s="245"/>
      <c r="F2216" s="316"/>
      <c r="G2216" s="245"/>
      <c r="H2216" s="385"/>
      <c r="I2216" s="245"/>
      <c r="O2216" s="413"/>
      <c r="Q2216" s="415"/>
      <c r="R2216" s="416"/>
      <c r="S2216" s="420"/>
      <c r="T2216" s="384" ph="1"/>
      <c r="V2216" s="421"/>
      <c r="W2216" s="257"/>
      <c r="X2216" s="429"/>
      <c r="Y2216" s="257"/>
      <c r="Z2216" s="257"/>
      <c r="AC2216" s="357"/>
      <c r="AD2216" s="257"/>
      <c r="AE2216" s="245"/>
      <c r="AF2216" s="246"/>
    </row>
    <row r="2217" spans="1:32" ht="26.25">
      <c r="A2217" s="385"/>
      <c r="B2217" s="245"/>
      <c r="C2217" s="245"/>
      <c r="D2217" s="245"/>
      <c r="E2217" s="245"/>
      <c r="F2217" s="316"/>
      <c r="G2217" s="245"/>
      <c r="H2217" s="385"/>
      <c r="I2217" s="245"/>
      <c r="O2217" s="413"/>
      <c r="Q2217" s="415"/>
      <c r="R2217" s="416"/>
      <c r="S2217" s="420"/>
      <c r="T2217" s="384" ph="1"/>
      <c r="V2217" s="421"/>
      <c r="W2217" s="257"/>
      <c r="X2217" s="429"/>
      <c r="Y2217" s="257"/>
      <c r="Z2217" s="257"/>
      <c r="AC2217" s="357"/>
      <c r="AD2217" s="257"/>
      <c r="AE2217" s="245"/>
      <c r="AF2217" s="246"/>
    </row>
    <row r="2218" spans="1:32" ht="26.25">
      <c r="A2218" s="385"/>
      <c r="B2218" s="245"/>
      <c r="C2218" s="245"/>
      <c r="D2218" s="245"/>
      <c r="E2218" s="245"/>
      <c r="F2218" s="316"/>
      <c r="G2218" s="245"/>
      <c r="H2218" s="385"/>
      <c r="I2218" s="245"/>
      <c r="O2218" s="413"/>
      <c r="Q2218" s="415"/>
      <c r="R2218" s="416"/>
      <c r="S2218" s="420"/>
      <c r="T2218" s="384" ph="1"/>
      <c r="V2218" s="421"/>
      <c r="W2218" s="257"/>
      <c r="X2218" s="429"/>
      <c r="Y2218" s="257"/>
      <c r="Z2218" s="257"/>
      <c r="AC2218" s="357"/>
      <c r="AD2218" s="257"/>
      <c r="AE2218" s="245"/>
      <c r="AF2218" s="246"/>
    </row>
    <row r="2219" spans="1:32" ht="26.25">
      <c r="A2219" s="385"/>
      <c r="B2219" s="245"/>
      <c r="C2219" s="245"/>
      <c r="D2219" s="245"/>
      <c r="E2219" s="245"/>
      <c r="F2219" s="316"/>
      <c r="G2219" s="245"/>
      <c r="H2219" s="385"/>
      <c r="I2219" s="245"/>
      <c r="O2219" s="413"/>
      <c r="Q2219" s="415"/>
      <c r="R2219" s="416"/>
      <c r="S2219" s="420"/>
      <c r="T2219" s="384" ph="1"/>
      <c r="V2219" s="421"/>
      <c r="W2219" s="257"/>
      <c r="X2219" s="429"/>
      <c r="Y2219" s="257"/>
      <c r="Z2219" s="257"/>
      <c r="AC2219" s="357"/>
      <c r="AD2219" s="257"/>
      <c r="AE2219" s="245"/>
      <c r="AF2219" s="246"/>
    </row>
    <row r="2220" spans="1:32" ht="26.25">
      <c r="A2220" s="385"/>
      <c r="B2220" s="245"/>
      <c r="C2220" s="245"/>
      <c r="D2220" s="245"/>
      <c r="E2220" s="245"/>
      <c r="F2220" s="316"/>
      <c r="G2220" s="245"/>
      <c r="H2220" s="385"/>
      <c r="I2220" s="245"/>
      <c r="O2220" s="413"/>
      <c r="Q2220" s="415"/>
      <c r="R2220" s="416"/>
      <c r="S2220" s="420"/>
      <c r="T2220" s="384" ph="1"/>
      <c r="V2220" s="421"/>
      <c r="W2220" s="257"/>
      <c r="X2220" s="429"/>
      <c r="Y2220" s="257"/>
      <c r="Z2220" s="257"/>
      <c r="AC2220" s="357"/>
      <c r="AD2220" s="257"/>
      <c r="AE2220" s="245"/>
      <c r="AF2220" s="246"/>
    </row>
    <row r="2221" spans="1:32" ht="26.25">
      <c r="A2221" s="385"/>
      <c r="B2221" s="245"/>
      <c r="C2221" s="245"/>
      <c r="D2221" s="245"/>
      <c r="E2221" s="245"/>
      <c r="F2221" s="316"/>
      <c r="G2221" s="245"/>
      <c r="H2221" s="385"/>
      <c r="I2221" s="245"/>
      <c r="O2221" s="413"/>
      <c r="Q2221" s="415"/>
      <c r="R2221" s="416"/>
      <c r="S2221" s="420"/>
      <c r="T2221" s="384" ph="1"/>
      <c r="V2221" s="421"/>
      <c r="W2221" s="257"/>
      <c r="X2221" s="429"/>
      <c r="Y2221" s="257"/>
      <c r="Z2221" s="257"/>
      <c r="AC2221" s="357"/>
      <c r="AD2221" s="257"/>
      <c r="AE2221" s="245"/>
      <c r="AF2221" s="246"/>
    </row>
    <row r="2222" spans="1:32" ht="26.25">
      <c r="A2222" s="385"/>
      <c r="B2222" s="245"/>
      <c r="C2222" s="245"/>
      <c r="D2222" s="245"/>
      <c r="E2222" s="245"/>
      <c r="F2222" s="316"/>
      <c r="G2222" s="245"/>
      <c r="H2222" s="385"/>
      <c r="I2222" s="245"/>
      <c r="O2222" s="413"/>
      <c r="Q2222" s="415"/>
      <c r="R2222" s="416"/>
      <c r="S2222" s="420"/>
      <c r="T2222" s="384" ph="1"/>
      <c r="V2222" s="421"/>
      <c r="W2222" s="257"/>
      <c r="X2222" s="429"/>
      <c r="Y2222" s="257"/>
      <c r="Z2222" s="257"/>
      <c r="AC2222" s="357"/>
      <c r="AD2222" s="257"/>
      <c r="AE2222" s="245"/>
      <c r="AF2222" s="246"/>
    </row>
    <row r="2223" spans="1:32" ht="26.25">
      <c r="A2223" s="385"/>
      <c r="B2223" s="245"/>
      <c r="C2223" s="245"/>
      <c r="D2223" s="245"/>
      <c r="E2223" s="245"/>
      <c r="F2223" s="316"/>
      <c r="G2223" s="245"/>
      <c r="H2223" s="385"/>
      <c r="I2223" s="245"/>
      <c r="O2223" s="413"/>
      <c r="Q2223" s="415"/>
      <c r="R2223" s="416"/>
      <c r="S2223" s="420"/>
      <c r="T2223" s="384" ph="1"/>
      <c r="V2223" s="421"/>
      <c r="W2223" s="257"/>
      <c r="X2223" s="429"/>
      <c r="Y2223" s="257"/>
      <c r="Z2223" s="257"/>
      <c r="AC2223" s="357"/>
      <c r="AD2223" s="257"/>
      <c r="AE2223" s="245"/>
      <c r="AF2223" s="246"/>
    </row>
    <row r="2224" spans="1:32" ht="26.25">
      <c r="A2224" s="385"/>
      <c r="B2224" s="245"/>
      <c r="C2224" s="245"/>
      <c r="D2224" s="245"/>
      <c r="E2224" s="245"/>
      <c r="F2224" s="316"/>
      <c r="G2224" s="245"/>
      <c r="H2224" s="385"/>
      <c r="I2224" s="245"/>
      <c r="O2224" s="413"/>
      <c r="Q2224" s="415"/>
      <c r="R2224" s="416"/>
      <c r="S2224" s="420"/>
      <c r="T2224" s="384" ph="1"/>
      <c r="V2224" s="421"/>
      <c r="W2224" s="257"/>
      <c r="X2224" s="429"/>
      <c r="Y2224" s="257"/>
      <c r="Z2224" s="257"/>
      <c r="AC2224" s="357"/>
      <c r="AD2224" s="257"/>
      <c r="AE2224" s="245"/>
      <c r="AF2224" s="246"/>
    </row>
    <row r="2225" spans="1:32" ht="26.25">
      <c r="A2225" s="385"/>
      <c r="B2225" s="245"/>
      <c r="C2225" s="245"/>
      <c r="D2225" s="245"/>
      <c r="E2225" s="245"/>
      <c r="F2225" s="316"/>
      <c r="G2225" s="245"/>
      <c r="H2225" s="385"/>
      <c r="I2225" s="245"/>
      <c r="O2225" s="413"/>
      <c r="Q2225" s="415"/>
      <c r="R2225" s="416"/>
      <c r="S2225" s="420"/>
      <c r="T2225" s="384" ph="1"/>
      <c r="V2225" s="421"/>
      <c r="W2225" s="257"/>
      <c r="X2225" s="429"/>
      <c r="Y2225" s="257"/>
      <c r="Z2225" s="257"/>
      <c r="AC2225" s="357"/>
      <c r="AD2225" s="257"/>
      <c r="AE2225" s="245"/>
      <c r="AF2225" s="246"/>
    </row>
    <row r="2226" spans="1:32" ht="26.25">
      <c r="A2226" s="385"/>
      <c r="B2226" s="245"/>
      <c r="C2226" s="245"/>
      <c r="D2226" s="245"/>
      <c r="E2226" s="245"/>
      <c r="F2226" s="316"/>
      <c r="G2226" s="245"/>
      <c r="H2226" s="385"/>
      <c r="I2226" s="245"/>
      <c r="O2226" s="413"/>
      <c r="Q2226" s="415"/>
      <c r="R2226" s="416"/>
      <c r="S2226" s="420"/>
      <c r="T2226" s="384" ph="1"/>
      <c r="V2226" s="421"/>
      <c r="W2226" s="257"/>
      <c r="X2226" s="429"/>
      <c r="Y2226" s="257"/>
      <c r="Z2226" s="257"/>
      <c r="AC2226" s="357"/>
      <c r="AD2226" s="257"/>
      <c r="AE2226" s="245"/>
      <c r="AF2226" s="246"/>
    </row>
    <row r="2227" spans="1:32" ht="26.25">
      <c r="A2227" s="385"/>
      <c r="B2227" s="245"/>
      <c r="C2227" s="245"/>
      <c r="D2227" s="245"/>
      <c r="E2227" s="245"/>
      <c r="F2227" s="316"/>
      <c r="G2227" s="245"/>
      <c r="H2227" s="385"/>
      <c r="I2227" s="245"/>
      <c r="O2227" s="413"/>
      <c r="Q2227" s="415"/>
      <c r="R2227" s="416"/>
      <c r="S2227" s="420"/>
      <c r="T2227" s="384" ph="1"/>
      <c r="V2227" s="421"/>
      <c r="W2227" s="257"/>
      <c r="X2227" s="429"/>
      <c r="Y2227" s="257"/>
      <c r="Z2227" s="257"/>
      <c r="AC2227" s="357"/>
      <c r="AD2227" s="257"/>
      <c r="AE2227" s="245"/>
      <c r="AF2227" s="246"/>
    </row>
    <row r="2228" spans="1:32" ht="26.25">
      <c r="A2228" s="385"/>
      <c r="B2228" s="245"/>
      <c r="C2228" s="245"/>
      <c r="D2228" s="245"/>
      <c r="E2228" s="245"/>
      <c r="F2228" s="316"/>
      <c r="G2228" s="245"/>
      <c r="H2228" s="385"/>
      <c r="I2228" s="245"/>
      <c r="O2228" s="413"/>
      <c r="Q2228" s="415"/>
      <c r="R2228" s="416"/>
      <c r="S2228" s="420"/>
      <c r="T2228" s="384" ph="1"/>
      <c r="V2228" s="421"/>
      <c r="W2228" s="257"/>
      <c r="X2228" s="429"/>
      <c r="Y2228" s="257"/>
      <c r="Z2228" s="257"/>
      <c r="AC2228" s="357"/>
      <c r="AD2228" s="257"/>
      <c r="AE2228" s="245"/>
      <c r="AF2228" s="246"/>
    </row>
    <row r="2229" spans="1:32" ht="26.25">
      <c r="A2229" s="385"/>
      <c r="B2229" s="245"/>
      <c r="C2229" s="245"/>
      <c r="D2229" s="245"/>
      <c r="E2229" s="245"/>
      <c r="F2229" s="316"/>
      <c r="G2229" s="245"/>
      <c r="H2229" s="385"/>
      <c r="I2229" s="245"/>
      <c r="O2229" s="413"/>
      <c r="Q2229" s="415"/>
      <c r="R2229" s="416"/>
      <c r="S2229" s="420"/>
      <c r="T2229" s="384" ph="1"/>
      <c r="V2229" s="421"/>
      <c r="W2229" s="257"/>
      <c r="X2229" s="429"/>
      <c r="Y2229" s="257"/>
      <c r="Z2229" s="257"/>
      <c r="AC2229" s="357"/>
      <c r="AD2229" s="257"/>
      <c r="AE2229" s="245"/>
      <c r="AF2229" s="246"/>
    </row>
    <row r="2230" spans="1:32" ht="26.25">
      <c r="A2230" s="385"/>
      <c r="B2230" s="245"/>
      <c r="C2230" s="245"/>
      <c r="D2230" s="245"/>
      <c r="E2230" s="245"/>
      <c r="F2230" s="316"/>
      <c r="G2230" s="245"/>
      <c r="H2230" s="385"/>
      <c r="I2230" s="245"/>
      <c r="O2230" s="413"/>
      <c r="Q2230" s="415"/>
      <c r="R2230" s="416"/>
      <c r="S2230" s="420"/>
      <c r="T2230" s="384" ph="1"/>
      <c r="V2230" s="421"/>
      <c r="W2230" s="257"/>
      <c r="X2230" s="429"/>
      <c r="Y2230" s="257"/>
      <c r="Z2230" s="257"/>
      <c r="AC2230" s="357"/>
      <c r="AD2230" s="257"/>
      <c r="AE2230" s="245"/>
      <c r="AF2230" s="246"/>
    </row>
    <row r="2231" spans="1:32" ht="26.25">
      <c r="A2231" s="385"/>
      <c r="B2231" s="245"/>
      <c r="C2231" s="245"/>
      <c r="D2231" s="245"/>
      <c r="E2231" s="245"/>
      <c r="F2231" s="316"/>
      <c r="G2231" s="245"/>
      <c r="H2231" s="385"/>
      <c r="I2231" s="245"/>
      <c r="O2231" s="413"/>
      <c r="Q2231" s="415"/>
      <c r="R2231" s="416"/>
      <c r="S2231" s="420"/>
      <c r="T2231" s="384" ph="1"/>
      <c r="V2231" s="421"/>
      <c r="W2231" s="257"/>
      <c r="X2231" s="429"/>
      <c r="Y2231" s="257"/>
      <c r="Z2231" s="257"/>
      <c r="AC2231" s="357"/>
      <c r="AD2231" s="257"/>
      <c r="AE2231" s="245"/>
      <c r="AF2231" s="246"/>
    </row>
    <row r="2232" spans="1:32" ht="26.25">
      <c r="A2232" s="385"/>
      <c r="B2232" s="245"/>
      <c r="C2232" s="245"/>
      <c r="D2232" s="245"/>
      <c r="E2232" s="245"/>
      <c r="F2232" s="316"/>
      <c r="G2232" s="245"/>
      <c r="H2232" s="385"/>
      <c r="I2232" s="245"/>
      <c r="O2232" s="413"/>
      <c r="Q2232" s="415"/>
      <c r="R2232" s="416"/>
      <c r="S2232" s="420"/>
      <c r="T2232" s="384" ph="1"/>
      <c r="V2232" s="421"/>
      <c r="W2232" s="257"/>
      <c r="X2232" s="429"/>
      <c r="Y2232" s="257"/>
      <c r="Z2232" s="257"/>
      <c r="AC2232" s="357"/>
      <c r="AD2232" s="257"/>
      <c r="AE2232" s="245"/>
      <c r="AF2232" s="246"/>
    </row>
    <row r="2233" spans="1:32" ht="26.25">
      <c r="A2233" s="385"/>
      <c r="B2233" s="245"/>
      <c r="C2233" s="245"/>
      <c r="D2233" s="245"/>
      <c r="E2233" s="245"/>
      <c r="F2233" s="316"/>
      <c r="G2233" s="245"/>
      <c r="H2233" s="385"/>
      <c r="I2233" s="245"/>
      <c r="O2233" s="413"/>
      <c r="Q2233" s="415"/>
      <c r="R2233" s="416"/>
      <c r="S2233" s="420"/>
      <c r="T2233" s="384" ph="1"/>
      <c r="V2233" s="421"/>
      <c r="W2233" s="257"/>
      <c r="X2233" s="429"/>
      <c r="Y2233" s="257"/>
      <c r="Z2233" s="257"/>
      <c r="AC2233" s="357"/>
      <c r="AD2233" s="257"/>
      <c r="AE2233" s="245"/>
      <c r="AF2233" s="246"/>
    </row>
    <row r="2234" spans="1:32" ht="26.25">
      <c r="A2234" s="385"/>
      <c r="B2234" s="245"/>
      <c r="C2234" s="245"/>
      <c r="D2234" s="245"/>
      <c r="E2234" s="245"/>
      <c r="F2234" s="316"/>
      <c r="G2234" s="245"/>
      <c r="H2234" s="385"/>
      <c r="I2234" s="245"/>
      <c r="O2234" s="413"/>
      <c r="Q2234" s="415"/>
      <c r="R2234" s="416"/>
      <c r="S2234" s="420"/>
      <c r="T2234" s="384" ph="1"/>
      <c r="V2234" s="421"/>
      <c r="W2234" s="257"/>
      <c r="X2234" s="429"/>
      <c r="Y2234" s="257"/>
      <c r="Z2234" s="257"/>
      <c r="AC2234" s="357"/>
      <c r="AD2234" s="257"/>
      <c r="AE2234" s="245"/>
      <c r="AF2234" s="246"/>
    </row>
    <row r="2235" spans="1:32" ht="26.25">
      <c r="A2235" s="385"/>
      <c r="B2235" s="245"/>
      <c r="C2235" s="245"/>
      <c r="D2235" s="245"/>
      <c r="E2235" s="245"/>
      <c r="F2235" s="316"/>
      <c r="G2235" s="245"/>
      <c r="H2235" s="385"/>
      <c r="I2235" s="245"/>
      <c r="O2235" s="413"/>
      <c r="Q2235" s="415"/>
      <c r="R2235" s="416"/>
      <c r="S2235" s="420"/>
      <c r="T2235" s="384" ph="1"/>
      <c r="V2235" s="421"/>
      <c r="W2235" s="257"/>
      <c r="X2235" s="429"/>
      <c r="Y2235" s="257"/>
      <c r="Z2235" s="257"/>
      <c r="AC2235" s="357"/>
      <c r="AD2235" s="257"/>
      <c r="AE2235" s="245"/>
      <c r="AF2235" s="246"/>
    </row>
    <row r="2236" spans="1:32" ht="26.25">
      <c r="A2236" s="385"/>
      <c r="B2236" s="245"/>
      <c r="C2236" s="245"/>
      <c r="D2236" s="245"/>
      <c r="E2236" s="245"/>
      <c r="F2236" s="316"/>
      <c r="G2236" s="245"/>
      <c r="H2236" s="385"/>
      <c r="I2236" s="245"/>
      <c r="O2236" s="413"/>
      <c r="Q2236" s="415"/>
      <c r="R2236" s="416"/>
      <c r="S2236" s="420"/>
      <c r="T2236" s="384" ph="1"/>
      <c r="V2236" s="421"/>
      <c r="W2236" s="257"/>
      <c r="X2236" s="429"/>
      <c r="Y2236" s="257"/>
      <c r="Z2236" s="257"/>
      <c r="AC2236" s="357"/>
      <c r="AD2236" s="257"/>
      <c r="AE2236" s="245"/>
      <c r="AF2236" s="246"/>
    </row>
    <row r="2237" spans="1:32" ht="26.25">
      <c r="A2237" s="385"/>
      <c r="B2237" s="245"/>
      <c r="C2237" s="245"/>
      <c r="D2237" s="245"/>
      <c r="E2237" s="245"/>
      <c r="F2237" s="316"/>
      <c r="G2237" s="245"/>
      <c r="H2237" s="385"/>
      <c r="I2237" s="245"/>
      <c r="O2237" s="413"/>
      <c r="Q2237" s="415"/>
      <c r="R2237" s="416"/>
      <c r="S2237" s="420"/>
      <c r="T2237" s="384" ph="1"/>
      <c r="V2237" s="421"/>
      <c r="W2237" s="257"/>
      <c r="X2237" s="429"/>
      <c r="Y2237" s="257"/>
      <c r="Z2237" s="257"/>
      <c r="AC2237" s="357"/>
      <c r="AD2237" s="257"/>
      <c r="AE2237" s="245"/>
      <c r="AF2237" s="246"/>
    </row>
    <row r="2238" spans="1:32" ht="26.25">
      <c r="A2238" s="385"/>
      <c r="B2238" s="245"/>
      <c r="C2238" s="245"/>
      <c r="D2238" s="245"/>
      <c r="E2238" s="245"/>
      <c r="F2238" s="316"/>
      <c r="G2238" s="245"/>
      <c r="H2238" s="385"/>
      <c r="I2238" s="245"/>
      <c r="O2238" s="413"/>
      <c r="Q2238" s="415"/>
      <c r="R2238" s="416"/>
      <c r="S2238" s="420"/>
      <c r="T2238" s="384" ph="1"/>
      <c r="V2238" s="421"/>
      <c r="W2238" s="257"/>
      <c r="X2238" s="429"/>
      <c r="Y2238" s="257"/>
      <c r="Z2238" s="257"/>
      <c r="AC2238" s="357"/>
      <c r="AD2238" s="257"/>
      <c r="AE2238" s="245"/>
      <c r="AF2238" s="246"/>
    </row>
    <row r="2239" spans="1:32" ht="26.25">
      <c r="A2239" s="385"/>
      <c r="B2239" s="245"/>
      <c r="C2239" s="245"/>
      <c r="D2239" s="245"/>
      <c r="E2239" s="245"/>
      <c r="F2239" s="316"/>
      <c r="G2239" s="245"/>
      <c r="H2239" s="385"/>
      <c r="I2239" s="245"/>
      <c r="O2239" s="413"/>
      <c r="Q2239" s="415"/>
      <c r="R2239" s="416"/>
      <c r="S2239" s="420"/>
      <c r="T2239" s="384" ph="1"/>
      <c r="V2239" s="421"/>
      <c r="W2239" s="257"/>
      <c r="X2239" s="429"/>
      <c r="Y2239" s="257"/>
      <c r="Z2239" s="257"/>
      <c r="AC2239" s="357"/>
      <c r="AD2239" s="257"/>
      <c r="AE2239" s="245"/>
      <c r="AF2239" s="246"/>
    </row>
    <row r="2240" spans="1:32" ht="26.25">
      <c r="A2240" s="385"/>
      <c r="B2240" s="245"/>
      <c r="C2240" s="245"/>
      <c r="D2240" s="245"/>
      <c r="E2240" s="245"/>
      <c r="F2240" s="316"/>
      <c r="G2240" s="245"/>
      <c r="H2240" s="385"/>
      <c r="I2240" s="245"/>
      <c r="O2240" s="413"/>
      <c r="Q2240" s="415"/>
      <c r="R2240" s="416"/>
      <c r="S2240" s="420"/>
      <c r="T2240" s="384" ph="1"/>
      <c r="V2240" s="421"/>
      <c r="W2240" s="257"/>
      <c r="X2240" s="429"/>
      <c r="Y2240" s="257"/>
      <c r="Z2240" s="257"/>
      <c r="AC2240" s="357"/>
      <c r="AD2240" s="257"/>
      <c r="AE2240" s="245"/>
      <c r="AF2240" s="246"/>
    </row>
    <row r="2241" spans="1:32" ht="26.25">
      <c r="A2241" s="385"/>
      <c r="B2241" s="245"/>
      <c r="C2241" s="245"/>
      <c r="D2241" s="245"/>
      <c r="E2241" s="245"/>
      <c r="F2241" s="316"/>
      <c r="G2241" s="245"/>
      <c r="H2241" s="385"/>
      <c r="I2241" s="245"/>
      <c r="O2241" s="413"/>
      <c r="Q2241" s="415"/>
      <c r="R2241" s="416"/>
      <c r="S2241" s="420"/>
      <c r="T2241" s="384" ph="1"/>
      <c r="V2241" s="421"/>
      <c r="W2241" s="257"/>
      <c r="X2241" s="429"/>
      <c r="Y2241" s="257"/>
      <c r="Z2241" s="257"/>
      <c r="AC2241" s="357"/>
      <c r="AD2241" s="257"/>
      <c r="AE2241" s="245"/>
      <c r="AF2241" s="246"/>
    </row>
    <row r="2242" spans="1:32" ht="26.25">
      <c r="A2242" s="385"/>
      <c r="B2242" s="245"/>
      <c r="C2242" s="245"/>
      <c r="D2242" s="245"/>
      <c r="E2242" s="245"/>
      <c r="F2242" s="316"/>
      <c r="G2242" s="245"/>
      <c r="H2242" s="385"/>
      <c r="I2242" s="245"/>
      <c r="O2242" s="413"/>
      <c r="Q2242" s="415"/>
      <c r="R2242" s="416"/>
      <c r="S2242" s="420"/>
      <c r="T2242" s="384" ph="1"/>
      <c r="V2242" s="421"/>
      <c r="W2242" s="257"/>
      <c r="X2242" s="429"/>
      <c r="Y2242" s="257"/>
      <c r="Z2242" s="257"/>
      <c r="AC2242" s="357"/>
      <c r="AD2242" s="257"/>
      <c r="AE2242" s="245"/>
      <c r="AF2242" s="246"/>
    </row>
    <row r="2243" spans="1:32" ht="26.25">
      <c r="A2243" s="385"/>
      <c r="B2243" s="245"/>
      <c r="C2243" s="245"/>
      <c r="D2243" s="245"/>
      <c r="E2243" s="245"/>
      <c r="F2243" s="316"/>
      <c r="G2243" s="245"/>
      <c r="H2243" s="385"/>
      <c r="I2243" s="245"/>
      <c r="O2243" s="413"/>
      <c r="Q2243" s="415"/>
      <c r="R2243" s="416"/>
      <c r="S2243" s="420"/>
      <c r="T2243" s="384" ph="1"/>
      <c r="V2243" s="421"/>
      <c r="W2243" s="257"/>
      <c r="X2243" s="429"/>
      <c r="Y2243" s="257"/>
      <c r="Z2243" s="257"/>
      <c r="AC2243" s="357"/>
      <c r="AD2243" s="257"/>
      <c r="AE2243" s="245"/>
      <c r="AF2243" s="246"/>
    </row>
    <row r="2244" spans="1:32" ht="26.25">
      <c r="A2244" s="385"/>
      <c r="B2244" s="245"/>
      <c r="C2244" s="245"/>
      <c r="D2244" s="245"/>
      <c r="E2244" s="245"/>
      <c r="F2244" s="316"/>
      <c r="G2244" s="245"/>
      <c r="H2244" s="385"/>
      <c r="I2244" s="245"/>
      <c r="O2244" s="413"/>
      <c r="Q2244" s="415"/>
      <c r="R2244" s="416"/>
      <c r="S2244" s="420"/>
      <c r="T2244" s="384" ph="1"/>
      <c r="V2244" s="421"/>
      <c r="W2244" s="257"/>
      <c r="X2244" s="429"/>
      <c r="Y2244" s="257"/>
      <c r="Z2244" s="257"/>
      <c r="AC2244" s="357"/>
      <c r="AD2244" s="257"/>
      <c r="AE2244" s="245"/>
      <c r="AF2244" s="246"/>
    </row>
    <row r="2245" spans="1:32" ht="26.25">
      <c r="A2245" s="385"/>
      <c r="B2245" s="245"/>
      <c r="C2245" s="245"/>
      <c r="D2245" s="245"/>
      <c r="E2245" s="245"/>
      <c r="F2245" s="316"/>
      <c r="G2245" s="245"/>
      <c r="H2245" s="385"/>
      <c r="I2245" s="245"/>
      <c r="O2245" s="413"/>
      <c r="Q2245" s="415"/>
      <c r="R2245" s="416"/>
      <c r="S2245" s="420"/>
      <c r="T2245" s="384" ph="1"/>
      <c r="V2245" s="421"/>
      <c r="W2245" s="257"/>
      <c r="X2245" s="429"/>
      <c r="Y2245" s="257"/>
      <c r="Z2245" s="257"/>
      <c r="AC2245" s="357"/>
      <c r="AD2245" s="257"/>
      <c r="AE2245" s="245"/>
      <c r="AF2245" s="246"/>
    </row>
    <row r="2246" spans="1:32" ht="26.25">
      <c r="A2246" s="385"/>
      <c r="B2246" s="245"/>
      <c r="C2246" s="245"/>
      <c r="D2246" s="245"/>
      <c r="E2246" s="245"/>
      <c r="F2246" s="316"/>
      <c r="G2246" s="245"/>
      <c r="H2246" s="385"/>
      <c r="I2246" s="245"/>
      <c r="O2246" s="413"/>
      <c r="Q2246" s="415"/>
      <c r="R2246" s="416"/>
      <c r="S2246" s="420"/>
      <c r="T2246" s="384" ph="1"/>
      <c r="V2246" s="421"/>
      <c r="W2246" s="257"/>
      <c r="X2246" s="429"/>
      <c r="Y2246" s="257"/>
      <c r="Z2246" s="257"/>
      <c r="AC2246" s="357"/>
      <c r="AD2246" s="257"/>
      <c r="AE2246" s="245"/>
      <c r="AF2246" s="246"/>
    </row>
    <row r="2247" spans="1:32" ht="26.25">
      <c r="A2247" s="385"/>
      <c r="B2247" s="245"/>
      <c r="C2247" s="245"/>
      <c r="D2247" s="245"/>
      <c r="E2247" s="245"/>
      <c r="F2247" s="316"/>
      <c r="G2247" s="245"/>
      <c r="H2247" s="385"/>
      <c r="I2247" s="245"/>
      <c r="O2247" s="413"/>
      <c r="Q2247" s="415"/>
      <c r="R2247" s="416"/>
      <c r="S2247" s="420"/>
      <c r="T2247" s="384" ph="1"/>
      <c r="V2247" s="421"/>
      <c r="W2247" s="257"/>
      <c r="X2247" s="429"/>
      <c r="Y2247" s="257"/>
      <c r="Z2247" s="257"/>
      <c r="AC2247" s="357"/>
      <c r="AD2247" s="257"/>
      <c r="AE2247" s="245"/>
      <c r="AF2247" s="246"/>
    </row>
    <row r="2248" spans="1:32" ht="26.25">
      <c r="A2248" s="385"/>
      <c r="B2248" s="245"/>
      <c r="C2248" s="245"/>
      <c r="D2248" s="245"/>
      <c r="E2248" s="245"/>
      <c r="F2248" s="316"/>
      <c r="G2248" s="245"/>
      <c r="H2248" s="385"/>
      <c r="I2248" s="245"/>
      <c r="O2248" s="413"/>
      <c r="Q2248" s="415"/>
      <c r="R2248" s="416"/>
      <c r="S2248" s="420"/>
      <c r="T2248" s="384" ph="1"/>
      <c r="V2248" s="421"/>
      <c r="W2248" s="257"/>
      <c r="X2248" s="429"/>
      <c r="Y2248" s="257"/>
      <c r="Z2248" s="257"/>
      <c r="AC2248" s="357"/>
      <c r="AD2248" s="257"/>
      <c r="AE2248" s="245"/>
      <c r="AF2248" s="246"/>
    </row>
    <row r="2249" spans="1:32" ht="26.25">
      <c r="A2249" s="385"/>
      <c r="B2249" s="245"/>
      <c r="C2249" s="245"/>
      <c r="D2249" s="245"/>
      <c r="E2249" s="245"/>
      <c r="F2249" s="316"/>
      <c r="G2249" s="245"/>
      <c r="H2249" s="385"/>
      <c r="I2249" s="245"/>
      <c r="O2249" s="413"/>
      <c r="Q2249" s="415"/>
      <c r="R2249" s="416"/>
      <c r="S2249" s="420"/>
      <c r="T2249" s="384" ph="1"/>
      <c r="V2249" s="421"/>
      <c r="W2249" s="257"/>
      <c r="X2249" s="429"/>
      <c r="Y2249" s="257"/>
      <c r="Z2249" s="257"/>
      <c r="AC2249" s="357"/>
      <c r="AD2249" s="257"/>
      <c r="AE2249" s="245"/>
      <c r="AF2249" s="246"/>
    </row>
    <row r="2250" spans="1:32" ht="26.25">
      <c r="A2250" s="385"/>
      <c r="B2250" s="245"/>
      <c r="C2250" s="245"/>
      <c r="D2250" s="245"/>
      <c r="E2250" s="245"/>
      <c r="F2250" s="316"/>
      <c r="G2250" s="245"/>
      <c r="H2250" s="385"/>
      <c r="I2250" s="245"/>
      <c r="O2250" s="413"/>
      <c r="Q2250" s="415"/>
      <c r="R2250" s="416"/>
      <c r="S2250" s="420"/>
      <c r="T2250" s="384" ph="1"/>
      <c r="V2250" s="421"/>
      <c r="W2250" s="257"/>
      <c r="X2250" s="429"/>
      <c r="Y2250" s="257"/>
      <c r="Z2250" s="257"/>
      <c r="AC2250" s="357"/>
      <c r="AD2250" s="257"/>
      <c r="AE2250" s="245"/>
      <c r="AF2250" s="246"/>
    </row>
    <row r="2251" spans="1:32" ht="26.25">
      <c r="A2251" s="385"/>
      <c r="B2251" s="245"/>
      <c r="C2251" s="245"/>
      <c r="D2251" s="245"/>
      <c r="E2251" s="245"/>
      <c r="F2251" s="316"/>
      <c r="G2251" s="245"/>
      <c r="H2251" s="385"/>
      <c r="I2251" s="245"/>
      <c r="O2251" s="413"/>
      <c r="Q2251" s="415"/>
      <c r="R2251" s="416"/>
      <c r="S2251" s="420"/>
      <c r="T2251" s="384" ph="1"/>
      <c r="V2251" s="421"/>
      <c r="W2251" s="257"/>
      <c r="X2251" s="429"/>
      <c r="Y2251" s="257"/>
      <c r="Z2251" s="257"/>
      <c r="AC2251" s="357"/>
      <c r="AD2251" s="257"/>
      <c r="AE2251" s="245"/>
      <c r="AF2251" s="246"/>
    </row>
    <row r="2252" spans="1:32" ht="26.25">
      <c r="A2252" s="385"/>
      <c r="B2252" s="245"/>
      <c r="C2252" s="245"/>
      <c r="D2252" s="245"/>
      <c r="E2252" s="245"/>
      <c r="F2252" s="316"/>
      <c r="G2252" s="245"/>
      <c r="H2252" s="385"/>
      <c r="I2252" s="245"/>
      <c r="O2252" s="413"/>
      <c r="Q2252" s="415"/>
      <c r="R2252" s="416"/>
      <c r="S2252" s="420"/>
      <c r="T2252" s="384" ph="1"/>
      <c r="V2252" s="421"/>
      <c r="W2252" s="257"/>
      <c r="X2252" s="429"/>
      <c r="Y2252" s="257"/>
      <c r="Z2252" s="257"/>
      <c r="AC2252" s="357"/>
      <c r="AD2252" s="257"/>
      <c r="AE2252" s="245"/>
      <c r="AF2252" s="246"/>
    </row>
    <row r="2253" spans="1:32" ht="26.25">
      <c r="A2253" s="385"/>
      <c r="B2253" s="245"/>
      <c r="C2253" s="245"/>
      <c r="D2253" s="245"/>
      <c r="E2253" s="245"/>
      <c r="F2253" s="316"/>
      <c r="G2253" s="245"/>
      <c r="H2253" s="385"/>
      <c r="I2253" s="245"/>
      <c r="O2253" s="413"/>
      <c r="Q2253" s="415"/>
      <c r="R2253" s="416"/>
      <c r="S2253" s="420"/>
      <c r="T2253" s="384" ph="1"/>
      <c r="V2253" s="421"/>
      <c r="W2253" s="257"/>
      <c r="X2253" s="429"/>
      <c r="Y2253" s="257"/>
      <c r="Z2253" s="257"/>
      <c r="AC2253" s="357"/>
      <c r="AD2253" s="257"/>
      <c r="AE2253" s="245"/>
      <c r="AF2253" s="246"/>
    </row>
    <row r="2254" spans="1:32" ht="26.25">
      <c r="A2254" s="385"/>
      <c r="B2254" s="245"/>
      <c r="C2254" s="245"/>
      <c r="D2254" s="245"/>
      <c r="E2254" s="245"/>
      <c r="F2254" s="316"/>
      <c r="G2254" s="245"/>
      <c r="H2254" s="385"/>
      <c r="I2254" s="245"/>
      <c r="O2254" s="413"/>
      <c r="Q2254" s="415"/>
      <c r="R2254" s="416"/>
      <c r="S2254" s="420"/>
      <c r="T2254" s="384" ph="1"/>
      <c r="V2254" s="421"/>
      <c r="W2254" s="257"/>
      <c r="X2254" s="429"/>
      <c r="Y2254" s="257"/>
      <c r="Z2254" s="257"/>
      <c r="AC2254" s="357"/>
      <c r="AD2254" s="257"/>
      <c r="AE2254" s="245"/>
      <c r="AF2254" s="246"/>
    </row>
    <row r="2255" spans="1:32" ht="26.25">
      <c r="A2255" s="385"/>
      <c r="B2255" s="245"/>
      <c r="C2255" s="245"/>
      <c r="D2255" s="245"/>
      <c r="E2255" s="245"/>
      <c r="F2255" s="316"/>
      <c r="G2255" s="245"/>
      <c r="H2255" s="385"/>
      <c r="I2255" s="245"/>
      <c r="O2255" s="413"/>
      <c r="Q2255" s="415"/>
      <c r="R2255" s="416"/>
      <c r="S2255" s="420"/>
      <c r="T2255" s="384" ph="1"/>
      <c r="V2255" s="421"/>
      <c r="W2255" s="257"/>
      <c r="X2255" s="429"/>
      <c r="Y2255" s="257"/>
      <c r="Z2255" s="257"/>
      <c r="AC2255" s="357"/>
      <c r="AD2255" s="257"/>
      <c r="AE2255" s="245"/>
      <c r="AF2255" s="246"/>
    </row>
    <row r="2256" spans="1:32" ht="26.25">
      <c r="A2256" s="385"/>
      <c r="B2256" s="245"/>
      <c r="C2256" s="245"/>
      <c r="D2256" s="245"/>
      <c r="E2256" s="245"/>
      <c r="F2256" s="316"/>
      <c r="G2256" s="245"/>
      <c r="H2256" s="385"/>
      <c r="I2256" s="245"/>
      <c r="O2256" s="413"/>
      <c r="Q2256" s="415"/>
      <c r="R2256" s="416"/>
      <c r="S2256" s="420"/>
      <c r="T2256" s="384" ph="1"/>
      <c r="V2256" s="421"/>
      <c r="W2256" s="257"/>
      <c r="X2256" s="429"/>
      <c r="Y2256" s="257"/>
      <c r="Z2256" s="257"/>
      <c r="AC2256" s="357"/>
      <c r="AD2256" s="257"/>
      <c r="AE2256" s="245"/>
      <c r="AF2256" s="246"/>
    </row>
    <row r="2257" spans="1:32" ht="26.25">
      <c r="A2257" s="385"/>
      <c r="B2257" s="245"/>
      <c r="C2257" s="245"/>
      <c r="D2257" s="245"/>
      <c r="E2257" s="245"/>
      <c r="F2257" s="316"/>
      <c r="G2257" s="245"/>
      <c r="H2257" s="385"/>
      <c r="I2257" s="245"/>
      <c r="O2257" s="413"/>
      <c r="Q2257" s="415"/>
      <c r="R2257" s="416"/>
      <c r="S2257" s="420"/>
      <c r="T2257" s="384" ph="1"/>
      <c r="V2257" s="421"/>
      <c r="W2257" s="257"/>
      <c r="X2257" s="429"/>
      <c r="Y2257" s="257"/>
      <c r="Z2257" s="257"/>
      <c r="AC2257" s="357"/>
      <c r="AD2257" s="257"/>
      <c r="AE2257" s="245"/>
      <c r="AF2257" s="246"/>
    </row>
    <row r="2258" spans="1:32" ht="26.25">
      <c r="A2258" s="385"/>
      <c r="B2258" s="245"/>
      <c r="C2258" s="245"/>
      <c r="D2258" s="245"/>
      <c r="E2258" s="245"/>
      <c r="F2258" s="316"/>
      <c r="G2258" s="245"/>
      <c r="H2258" s="385"/>
      <c r="I2258" s="245"/>
      <c r="O2258" s="413"/>
      <c r="Q2258" s="415"/>
      <c r="R2258" s="416"/>
      <c r="S2258" s="420"/>
      <c r="T2258" s="384" ph="1"/>
      <c r="V2258" s="421"/>
      <c r="W2258" s="257"/>
      <c r="X2258" s="429"/>
      <c r="Y2258" s="257"/>
      <c r="Z2258" s="257"/>
      <c r="AC2258" s="357"/>
      <c r="AD2258" s="257"/>
      <c r="AE2258" s="245"/>
      <c r="AF2258" s="246"/>
    </row>
    <row r="2259" spans="1:32" ht="26.25">
      <c r="A2259" s="385"/>
      <c r="B2259" s="245"/>
      <c r="C2259" s="245"/>
      <c r="D2259" s="245"/>
      <c r="E2259" s="245"/>
      <c r="F2259" s="316"/>
      <c r="G2259" s="245"/>
      <c r="H2259" s="385"/>
      <c r="I2259" s="245"/>
      <c r="O2259" s="413"/>
      <c r="Q2259" s="415"/>
      <c r="R2259" s="416"/>
      <c r="S2259" s="420"/>
      <c r="T2259" s="384" ph="1"/>
      <c r="V2259" s="421"/>
      <c r="W2259" s="257"/>
      <c r="X2259" s="429"/>
      <c r="Y2259" s="257"/>
      <c r="Z2259" s="257"/>
      <c r="AC2259" s="357"/>
      <c r="AD2259" s="257"/>
      <c r="AE2259" s="245"/>
      <c r="AF2259" s="246"/>
    </row>
    <row r="2260" spans="1:32" ht="26.25">
      <c r="A2260" s="385"/>
      <c r="B2260" s="245"/>
      <c r="C2260" s="245"/>
      <c r="D2260" s="245"/>
      <c r="E2260" s="245"/>
      <c r="F2260" s="316"/>
      <c r="G2260" s="245"/>
      <c r="H2260" s="385"/>
      <c r="I2260" s="245"/>
      <c r="O2260" s="413"/>
      <c r="Q2260" s="415"/>
      <c r="R2260" s="416"/>
      <c r="S2260" s="420"/>
      <c r="T2260" s="384" ph="1"/>
      <c r="V2260" s="421"/>
      <c r="W2260" s="257"/>
      <c r="X2260" s="429"/>
      <c r="Y2260" s="257"/>
      <c r="Z2260" s="257"/>
      <c r="AC2260" s="357"/>
      <c r="AD2260" s="257"/>
      <c r="AE2260" s="245"/>
      <c r="AF2260" s="246"/>
    </row>
    <row r="2261" spans="1:32" ht="26.25">
      <c r="A2261" s="385"/>
      <c r="B2261" s="245"/>
      <c r="C2261" s="245"/>
      <c r="D2261" s="245"/>
      <c r="E2261" s="245"/>
      <c r="F2261" s="316"/>
      <c r="G2261" s="245"/>
      <c r="H2261" s="385"/>
      <c r="I2261" s="245"/>
      <c r="O2261" s="413"/>
      <c r="Q2261" s="415"/>
      <c r="R2261" s="416"/>
      <c r="S2261" s="420"/>
      <c r="T2261" s="384" ph="1"/>
      <c r="V2261" s="421"/>
      <c r="W2261" s="257"/>
      <c r="X2261" s="429"/>
      <c r="Y2261" s="257"/>
      <c r="Z2261" s="257"/>
      <c r="AC2261" s="357"/>
      <c r="AD2261" s="257"/>
      <c r="AE2261" s="245"/>
      <c r="AF2261" s="246"/>
    </row>
    <row r="2262" spans="1:32" ht="26.25">
      <c r="A2262" s="385"/>
      <c r="B2262" s="245"/>
      <c r="C2262" s="245"/>
      <c r="D2262" s="245"/>
      <c r="E2262" s="245"/>
      <c r="F2262" s="316"/>
      <c r="G2262" s="245"/>
      <c r="H2262" s="385"/>
      <c r="I2262" s="245"/>
      <c r="O2262" s="413"/>
      <c r="Q2262" s="415"/>
      <c r="R2262" s="416"/>
      <c r="S2262" s="420"/>
      <c r="T2262" s="384" ph="1"/>
      <c r="V2262" s="421"/>
      <c r="W2262" s="257"/>
      <c r="X2262" s="429"/>
      <c r="Y2262" s="257"/>
      <c r="Z2262" s="257"/>
      <c r="AC2262" s="357"/>
      <c r="AD2262" s="257"/>
      <c r="AE2262" s="245"/>
      <c r="AF2262" s="246"/>
    </row>
    <row r="2263" spans="1:32" ht="26.25">
      <c r="A2263" s="385"/>
      <c r="B2263" s="245"/>
      <c r="C2263" s="245"/>
      <c r="D2263" s="245"/>
      <c r="E2263" s="245"/>
      <c r="F2263" s="316"/>
      <c r="G2263" s="245"/>
      <c r="H2263" s="385"/>
      <c r="I2263" s="245"/>
      <c r="O2263" s="413"/>
      <c r="Q2263" s="415"/>
      <c r="R2263" s="416"/>
      <c r="S2263" s="420"/>
      <c r="T2263" s="384" ph="1"/>
      <c r="V2263" s="421"/>
      <c r="W2263" s="257"/>
      <c r="X2263" s="429"/>
      <c r="Y2263" s="257"/>
      <c r="Z2263" s="257"/>
      <c r="AC2263" s="357"/>
      <c r="AD2263" s="257"/>
      <c r="AE2263" s="245"/>
      <c r="AF2263" s="246"/>
    </row>
    <row r="2264" spans="1:32" ht="26.25">
      <c r="A2264" s="385"/>
      <c r="B2264" s="245"/>
      <c r="C2264" s="245"/>
      <c r="D2264" s="245"/>
      <c r="E2264" s="245"/>
      <c r="F2264" s="316"/>
      <c r="G2264" s="245"/>
      <c r="H2264" s="385"/>
      <c r="I2264" s="245"/>
      <c r="O2264" s="413"/>
      <c r="Q2264" s="415"/>
      <c r="R2264" s="416"/>
      <c r="S2264" s="420"/>
      <c r="T2264" s="384" ph="1"/>
      <c r="V2264" s="421"/>
      <c r="W2264" s="257"/>
      <c r="X2264" s="429"/>
      <c r="Y2264" s="257"/>
      <c r="Z2264" s="257"/>
      <c r="AC2264" s="357"/>
      <c r="AD2264" s="257"/>
      <c r="AE2264" s="245"/>
      <c r="AF2264" s="246"/>
    </row>
    <row r="2265" spans="1:32" ht="26.25">
      <c r="A2265" s="385"/>
      <c r="B2265" s="245"/>
      <c r="C2265" s="245"/>
      <c r="D2265" s="245"/>
      <c r="E2265" s="245"/>
      <c r="F2265" s="316"/>
      <c r="G2265" s="245"/>
      <c r="H2265" s="385"/>
      <c r="I2265" s="245"/>
      <c r="O2265" s="413"/>
      <c r="Q2265" s="415"/>
      <c r="R2265" s="416"/>
      <c r="S2265" s="420"/>
      <c r="T2265" s="384" ph="1"/>
      <c r="V2265" s="421"/>
      <c r="W2265" s="257"/>
      <c r="X2265" s="429"/>
      <c r="Y2265" s="257"/>
      <c r="Z2265" s="257"/>
      <c r="AC2265" s="357"/>
      <c r="AD2265" s="257"/>
      <c r="AE2265" s="245"/>
      <c r="AF2265" s="246"/>
    </row>
    <row r="2266" spans="1:32" ht="26.25">
      <c r="A2266" s="385"/>
      <c r="B2266" s="245"/>
      <c r="C2266" s="245"/>
      <c r="D2266" s="245"/>
      <c r="E2266" s="245"/>
      <c r="F2266" s="316"/>
      <c r="G2266" s="245"/>
      <c r="H2266" s="385"/>
      <c r="I2266" s="245"/>
      <c r="O2266" s="413"/>
      <c r="Q2266" s="415"/>
      <c r="R2266" s="416"/>
      <c r="S2266" s="420"/>
      <c r="T2266" s="384" ph="1"/>
      <c r="V2266" s="421"/>
      <c r="W2266" s="257"/>
      <c r="X2266" s="429"/>
      <c r="Y2266" s="257"/>
      <c r="Z2266" s="257"/>
      <c r="AC2266" s="357"/>
      <c r="AD2266" s="257"/>
      <c r="AE2266" s="245"/>
      <c r="AF2266" s="246"/>
    </row>
    <row r="2267" spans="1:32" ht="26.25">
      <c r="A2267" s="385"/>
      <c r="B2267" s="245"/>
      <c r="C2267" s="245"/>
      <c r="D2267" s="245"/>
      <c r="E2267" s="245"/>
      <c r="F2267" s="316"/>
      <c r="G2267" s="245"/>
      <c r="H2267" s="385"/>
      <c r="I2267" s="245"/>
      <c r="O2267" s="413"/>
      <c r="Q2267" s="415"/>
      <c r="R2267" s="416"/>
      <c r="S2267" s="420"/>
      <c r="T2267" s="384" ph="1"/>
      <c r="V2267" s="421"/>
      <c r="W2267" s="257"/>
      <c r="X2267" s="429"/>
      <c r="Y2267" s="257"/>
      <c r="Z2267" s="257"/>
      <c r="AC2267" s="357"/>
      <c r="AD2267" s="257"/>
      <c r="AE2267" s="245"/>
      <c r="AF2267" s="246"/>
    </row>
    <row r="2268" spans="1:32" ht="26.25">
      <c r="A2268" s="385"/>
      <c r="B2268" s="245"/>
      <c r="C2268" s="245"/>
      <c r="D2268" s="245"/>
      <c r="E2268" s="245"/>
      <c r="F2268" s="316"/>
      <c r="G2268" s="245"/>
      <c r="H2268" s="385"/>
      <c r="I2268" s="245"/>
      <c r="O2268" s="413"/>
      <c r="Q2268" s="415"/>
      <c r="R2268" s="416"/>
      <c r="S2268" s="420"/>
      <c r="T2268" s="384" ph="1"/>
      <c r="V2268" s="421"/>
      <c r="W2268" s="257"/>
      <c r="X2268" s="429"/>
      <c r="Y2268" s="257"/>
      <c r="Z2268" s="257"/>
      <c r="AC2268" s="357"/>
      <c r="AD2268" s="257"/>
      <c r="AE2268" s="245"/>
      <c r="AF2268" s="246"/>
    </row>
    <row r="2269" spans="1:32" ht="26.25">
      <c r="A2269" s="385"/>
      <c r="B2269" s="245"/>
      <c r="C2269" s="245"/>
      <c r="D2269" s="245"/>
      <c r="E2269" s="245"/>
      <c r="F2269" s="316"/>
      <c r="G2269" s="245"/>
      <c r="H2269" s="385"/>
      <c r="I2269" s="245"/>
      <c r="O2269" s="413"/>
      <c r="Q2269" s="415"/>
      <c r="R2269" s="416"/>
      <c r="S2269" s="420"/>
      <c r="T2269" s="384" ph="1"/>
      <c r="V2269" s="421"/>
      <c r="W2269" s="257"/>
      <c r="X2269" s="429"/>
      <c r="Y2269" s="257"/>
      <c r="Z2269" s="257"/>
      <c r="AC2269" s="357"/>
      <c r="AD2269" s="257"/>
      <c r="AE2269" s="245"/>
      <c r="AF2269" s="246"/>
    </row>
    <row r="2270" spans="1:32" ht="26.25">
      <c r="A2270" s="385"/>
      <c r="B2270" s="245"/>
      <c r="C2270" s="245"/>
      <c r="D2270" s="245"/>
      <c r="E2270" s="245"/>
      <c r="F2270" s="316"/>
      <c r="G2270" s="245"/>
      <c r="H2270" s="385"/>
      <c r="I2270" s="245"/>
      <c r="O2270" s="413"/>
      <c r="Q2270" s="415"/>
      <c r="R2270" s="416"/>
      <c r="S2270" s="420"/>
      <c r="T2270" s="384" ph="1"/>
      <c r="V2270" s="421"/>
      <c r="W2270" s="257"/>
      <c r="X2270" s="429"/>
      <c r="Y2270" s="257"/>
      <c r="Z2270" s="257"/>
      <c r="AC2270" s="357"/>
      <c r="AD2270" s="257"/>
      <c r="AE2270" s="245"/>
      <c r="AF2270" s="246"/>
    </row>
    <row r="2271" spans="1:32" ht="26.25">
      <c r="A2271" s="385"/>
      <c r="B2271" s="245"/>
      <c r="C2271" s="245"/>
      <c r="D2271" s="245"/>
      <c r="E2271" s="245"/>
      <c r="F2271" s="316"/>
      <c r="G2271" s="245"/>
      <c r="H2271" s="385"/>
      <c r="I2271" s="245"/>
      <c r="O2271" s="413"/>
      <c r="Q2271" s="415"/>
      <c r="R2271" s="416"/>
      <c r="S2271" s="420"/>
      <c r="T2271" s="384" ph="1"/>
      <c r="V2271" s="421"/>
      <c r="W2271" s="257"/>
      <c r="X2271" s="429"/>
      <c r="Y2271" s="257"/>
      <c r="Z2271" s="257"/>
      <c r="AC2271" s="357"/>
      <c r="AD2271" s="257"/>
      <c r="AE2271" s="245"/>
      <c r="AF2271" s="246"/>
    </row>
    <row r="2272" spans="1:32" ht="26.25">
      <c r="A2272" s="385"/>
      <c r="B2272" s="245"/>
      <c r="C2272" s="245"/>
      <c r="D2272" s="245"/>
      <c r="E2272" s="245"/>
      <c r="F2272" s="316"/>
      <c r="G2272" s="245"/>
      <c r="H2272" s="385"/>
      <c r="I2272" s="245"/>
      <c r="O2272" s="413"/>
      <c r="Q2272" s="415"/>
      <c r="R2272" s="416"/>
      <c r="S2272" s="420"/>
      <c r="T2272" s="384" ph="1"/>
      <c r="V2272" s="421"/>
      <c r="W2272" s="257"/>
      <c r="X2272" s="429"/>
      <c r="Y2272" s="257"/>
      <c r="Z2272" s="257"/>
      <c r="AC2272" s="357"/>
      <c r="AD2272" s="257"/>
      <c r="AE2272" s="245"/>
      <c r="AF2272" s="246"/>
    </row>
    <row r="2273" spans="1:32" ht="26.25">
      <c r="A2273" s="385"/>
      <c r="B2273" s="245"/>
      <c r="C2273" s="245"/>
      <c r="D2273" s="245"/>
      <c r="E2273" s="245"/>
      <c r="F2273" s="316"/>
      <c r="G2273" s="245"/>
      <c r="H2273" s="385"/>
      <c r="I2273" s="245"/>
      <c r="O2273" s="413"/>
      <c r="Q2273" s="415"/>
      <c r="R2273" s="416"/>
      <c r="S2273" s="420"/>
      <c r="T2273" s="384" ph="1"/>
      <c r="V2273" s="421"/>
      <c r="W2273" s="257"/>
      <c r="X2273" s="429"/>
      <c r="Y2273" s="257"/>
      <c r="Z2273" s="257"/>
      <c r="AC2273" s="357"/>
      <c r="AD2273" s="257"/>
      <c r="AE2273" s="245"/>
      <c r="AF2273" s="246"/>
    </row>
    <row r="2274" spans="1:32" ht="26.25">
      <c r="A2274" s="385"/>
      <c r="B2274" s="245"/>
      <c r="C2274" s="245"/>
      <c r="D2274" s="245"/>
      <c r="E2274" s="245"/>
      <c r="F2274" s="316"/>
      <c r="G2274" s="245"/>
      <c r="H2274" s="385"/>
      <c r="I2274" s="245"/>
      <c r="O2274" s="413"/>
      <c r="Q2274" s="415"/>
      <c r="R2274" s="416"/>
      <c r="S2274" s="420"/>
      <c r="T2274" s="384" ph="1"/>
      <c r="V2274" s="421"/>
      <c r="W2274" s="257"/>
      <c r="X2274" s="429"/>
      <c r="Y2274" s="257"/>
      <c r="Z2274" s="257"/>
      <c r="AC2274" s="357"/>
      <c r="AD2274" s="257"/>
      <c r="AE2274" s="245"/>
      <c r="AF2274" s="246"/>
    </row>
    <row r="2275" spans="1:32" ht="26.25">
      <c r="A2275" s="385"/>
      <c r="B2275" s="245"/>
      <c r="C2275" s="245"/>
      <c r="D2275" s="245"/>
      <c r="E2275" s="245"/>
      <c r="F2275" s="316"/>
      <c r="G2275" s="245"/>
      <c r="H2275" s="385"/>
      <c r="I2275" s="245"/>
      <c r="O2275" s="413"/>
      <c r="Q2275" s="415"/>
      <c r="R2275" s="416"/>
      <c r="S2275" s="420"/>
      <c r="T2275" s="384" ph="1"/>
      <c r="V2275" s="421"/>
      <c r="W2275" s="257"/>
      <c r="X2275" s="429"/>
      <c r="Y2275" s="257"/>
      <c r="Z2275" s="257"/>
      <c r="AC2275" s="357"/>
      <c r="AD2275" s="257"/>
      <c r="AE2275" s="245"/>
      <c r="AF2275" s="246"/>
    </row>
    <row r="2276" spans="1:32" ht="26.25">
      <c r="A2276" s="385"/>
      <c r="B2276" s="245"/>
      <c r="C2276" s="245"/>
      <c r="D2276" s="245"/>
      <c r="E2276" s="245"/>
      <c r="F2276" s="316"/>
      <c r="G2276" s="245"/>
      <c r="H2276" s="385"/>
      <c r="I2276" s="245"/>
      <c r="O2276" s="413"/>
      <c r="Q2276" s="415"/>
      <c r="R2276" s="416"/>
      <c r="S2276" s="420"/>
      <c r="T2276" s="384" ph="1"/>
      <c r="V2276" s="421"/>
      <c r="W2276" s="257"/>
      <c r="X2276" s="429"/>
      <c r="Y2276" s="257"/>
      <c r="Z2276" s="257"/>
      <c r="AC2276" s="357"/>
      <c r="AD2276" s="257"/>
      <c r="AE2276" s="245"/>
      <c r="AF2276" s="246"/>
    </row>
    <row r="2277" spans="1:32" ht="26.25">
      <c r="A2277" s="385"/>
      <c r="B2277" s="245"/>
      <c r="C2277" s="245"/>
      <c r="D2277" s="245"/>
      <c r="E2277" s="245"/>
      <c r="F2277" s="316"/>
      <c r="G2277" s="245"/>
      <c r="H2277" s="385"/>
      <c r="I2277" s="245"/>
      <c r="O2277" s="413"/>
      <c r="Q2277" s="415"/>
      <c r="R2277" s="416"/>
      <c r="S2277" s="420"/>
      <c r="T2277" s="384" ph="1"/>
      <c r="V2277" s="421"/>
      <c r="W2277" s="257"/>
      <c r="X2277" s="429"/>
      <c r="Y2277" s="257"/>
      <c r="Z2277" s="257"/>
      <c r="AC2277" s="357"/>
      <c r="AD2277" s="257"/>
      <c r="AE2277" s="245"/>
      <c r="AF2277" s="246"/>
    </row>
    <row r="2278" spans="1:32" ht="26.25">
      <c r="A2278" s="385"/>
      <c r="B2278" s="245"/>
      <c r="C2278" s="245"/>
      <c r="D2278" s="245"/>
      <c r="E2278" s="245"/>
      <c r="F2278" s="316"/>
      <c r="G2278" s="245"/>
      <c r="H2278" s="385"/>
      <c r="I2278" s="245"/>
      <c r="O2278" s="413"/>
      <c r="Q2278" s="415"/>
      <c r="R2278" s="416"/>
      <c r="S2278" s="420"/>
      <c r="T2278" s="384" ph="1"/>
      <c r="V2278" s="421"/>
      <c r="W2278" s="257"/>
      <c r="X2278" s="429"/>
      <c r="Y2278" s="257"/>
      <c r="Z2278" s="257"/>
      <c r="AC2278" s="357"/>
      <c r="AD2278" s="257"/>
      <c r="AE2278" s="245"/>
      <c r="AF2278" s="246"/>
    </row>
    <row r="2279" spans="1:32" ht="26.25">
      <c r="A2279" s="385"/>
      <c r="B2279" s="245"/>
      <c r="C2279" s="245"/>
      <c r="D2279" s="245"/>
      <c r="E2279" s="245"/>
      <c r="F2279" s="316"/>
      <c r="G2279" s="245"/>
      <c r="H2279" s="385"/>
      <c r="I2279" s="245"/>
      <c r="O2279" s="413"/>
      <c r="Q2279" s="415"/>
      <c r="R2279" s="416"/>
      <c r="S2279" s="420"/>
      <c r="T2279" s="384" ph="1"/>
      <c r="V2279" s="421"/>
      <c r="W2279" s="257"/>
      <c r="X2279" s="429"/>
      <c r="Y2279" s="257"/>
      <c r="Z2279" s="257"/>
      <c r="AC2279" s="357"/>
      <c r="AD2279" s="257"/>
      <c r="AE2279" s="245"/>
      <c r="AF2279" s="246"/>
    </row>
    <row r="2280" spans="1:32" ht="26.25">
      <c r="A2280" s="385"/>
      <c r="B2280" s="245"/>
      <c r="C2280" s="245"/>
      <c r="D2280" s="245"/>
      <c r="E2280" s="245"/>
      <c r="F2280" s="316"/>
      <c r="G2280" s="245"/>
      <c r="H2280" s="385"/>
      <c r="I2280" s="245"/>
      <c r="O2280" s="413"/>
      <c r="Q2280" s="415"/>
      <c r="R2280" s="416"/>
      <c r="S2280" s="420"/>
      <c r="T2280" s="384" ph="1"/>
      <c r="V2280" s="421"/>
      <c r="W2280" s="257"/>
      <c r="X2280" s="429"/>
      <c r="Y2280" s="257"/>
      <c r="Z2280" s="257"/>
      <c r="AC2280" s="357"/>
      <c r="AD2280" s="257"/>
      <c r="AE2280" s="245"/>
      <c r="AF2280" s="246"/>
    </row>
    <row r="2281" spans="1:32" ht="26.25">
      <c r="A2281" s="385"/>
      <c r="B2281" s="245"/>
      <c r="C2281" s="245"/>
      <c r="D2281" s="245"/>
      <c r="E2281" s="245"/>
      <c r="F2281" s="316"/>
      <c r="G2281" s="245"/>
      <c r="H2281" s="385"/>
      <c r="I2281" s="245"/>
      <c r="O2281" s="413"/>
      <c r="Q2281" s="415"/>
      <c r="R2281" s="416"/>
      <c r="S2281" s="420"/>
      <c r="T2281" s="384" ph="1"/>
      <c r="V2281" s="421"/>
      <c r="W2281" s="257"/>
      <c r="X2281" s="429"/>
      <c r="Y2281" s="257"/>
      <c r="Z2281" s="257"/>
      <c r="AC2281" s="357"/>
      <c r="AD2281" s="257"/>
      <c r="AE2281" s="245"/>
      <c r="AF2281" s="246"/>
    </row>
    <row r="2282" spans="1:32" ht="26.25">
      <c r="A2282" s="385"/>
      <c r="B2282" s="245"/>
      <c r="C2282" s="245"/>
      <c r="D2282" s="245"/>
      <c r="E2282" s="245"/>
      <c r="F2282" s="316"/>
      <c r="G2282" s="245"/>
      <c r="H2282" s="385"/>
      <c r="I2282" s="245"/>
      <c r="O2282" s="413"/>
      <c r="Q2282" s="415"/>
      <c r="R2282" s="416"/>
      <c r="S2282" s="420"/>
      <c r="T2282" s="384" ph="1"/>
      <c r="V2282" s="421"/>
      <c r="W2282" s="257"/>
      <c r="X2282" s="429"/>
      <c r="Y2282" s="257"/>
      <c r="Z2282" s="257"/>
      <c r="AC2282" s="357"/>
      <c r="AD2282" s="257"/>
      <c r="AE2282" s="245"/>
      <c r="AF2282" s="246"/>
    </row>
    <row r="2283" spans="1:32" ht="26.25">
      <c r="A2283" s="385"/>
      <c r="B2283" s="245"/>
      <c r="C2283" s="245"/>
      <c r="D2283" s="245"/>
      <c r="E2283" s="245"/>
      <c r="F2283" s="316"/>
      <c r="G2283" s="245"/>
      <c r="H2283" s="385"/>
      <c r="I2283" s="245"/>
      <c r="O2283" s="413"/>
      <c r="Q2283" s="415"/>
      <c r="R2283" s="416"/>
      <c r="S2283" s="420"/>
      <c r="T2283" s="384" ph="1"/>
      <c r="V2283" s="421"/>
      <c r="W2283" s="257"/>
      <c r="X2283" s="429"/>
      <c r="Y2283" s="257"/>
      <c r="Z2283" s="257"/>
      <c r="AC2283" s="357"/>
      <c r="AD2283" s="257"/>
      <c r="AE2283" s="245"/>
      <c r="AF2283" s="246"/>
    </row>
    <row r="2284" spans="1:32" ht="26.25">
      <c r="A2284" s="385"/>
      <c r="B2284" s="245"/>
      <c r="C2284" s="245"/>
      <c r="D2284" s="245"/>
      <c r="E2284" s="245"/>
      <c r="F2284" s="316"/>
      <c r="G2284" s="245"/>
      <c r="H2284" s="385"/>
      <c r="I2284" s="245"/>
      <c r="O2284" s="413"/>
      <c r="Q2284" s="415"/>
      <c r="R2284" s="416"/>
      <c r="S2284" s="420"/>
      <c r="T2284" s="384" ph="1"/>
      <c r="V2284" s="421"/>
      <c r="W2284" s="257"/>
      <c r="X2284" s="429"/>
      <c r="Y2284" s="257"/>
      <c r="Z2284" s="257"/>
      <c r="AC2284" s="357"/>
      <c r="AD2284" s="257"/>
      <c r="AE2284" s="245"/>
      <c r="AF2284" s="246"/>
    </row>
    <row r="2285" spans="1:32" ht="26.25">
      <c r="A2285" s="385"/>
      <c r="B2285" s="245"/>
      <c r="C2285" s="245"/>
      <c r="D2285" s="245"/>
      <c r="E2285" s="245"/>
      <c r="F2285" s="316"/>
      <c r="G2285" s="245"/>
      <c r="H2285" s="385"/>
      <c r="I2285" s="245"/>
      <c r="O2285" s="413"/>
      <c r="Q2285" s="415"/>
      <c r="R2285" s="416"/>
      <c r="S2285" s="420"/>
      <c r="T2285" s="384" ph="1"/>
      <c r="V2285" s="421"/>
      <c r="W2285" s="257"/>
      <c r="X2285" s="429"/>
      <c r="Y2285" s="257"/>
      <c r="Z2285" s="257"/>
      <c r="AC2285" s="357"/>
      <c r="AD2285" s="257"/>
      <c r="AE2285" s="245"/>
      <c r="AF2285" s="246"/>
    </row>
    <row r="2286" spans="1:32" ht="26.25">
      <c r="A2286" s="385"/>
      <c r="B2286" s="245"/>
      <c r="C2286" s="245"/>
      <c r="D2286" s="245"/>
      <c r="E2286" s="245"/>
      <c r="F2286" s="316"/>
      <c r="G2286" s="245"/>
      <c r="H2286" s="385"/>
      <c r="I2286" s="245"/>
      <c r="O2286" s="413"/>
      <c r="Q2286" s="415"/>
      <c r="R2286" s="416"/>
      <c r="S2286" s="420"/>
      <c r="T2286" s="384" ph="1"/>
      <c r="V2286" s="421"/>
      <c r="W2286" s="257"/>
      <c r="X2286" s="429"/>
      <c r="Y2286" s="257"/>
      <c r="Z2286" s="257"/>
      <c r="AC2286" s="357"/>
      <c r="AD2286" s="257"/>
      <c r="AE2286" s="245"/>
      <c r="AF2286" s="246"/>
    </row>
    <row r="2287" spans="1:32" ht="26.25">
      <c r="A2287" s="385"/>
      <c r="B2287" s="245"/>
      <c r="C2287" s="245"/>
      <c r="D2287" s="245"/>
      <c r="E2287" s="245"/>
      <c r="F2287" s="316"/>
      <c r="G2287" s="245"/>
      <c r="H2287" s="385"/>
      <c r="I2287" s="245"/>
      <c r="O2287" s="413"/>
      <c r="Q2287" s="415"/>
      <c r="R2287" s="416"/>
      <c r="S2287" s="420"/>
      <c r="T2287" s="384" ph="1"/>
      <c r="V2287" s="421"/>
      <c r="W2287" s="257"/>
      <c r="X2287" s="429"/>
      <c r="Y2287" s="257"/>
      <c r="Z2287" s="257"/>
      <c r="AC2287" s="357"/>
      <c r="AD2287" s="257"/>
      <c r="AE2287" s="245"/>
      <c r="AF2287" s="246"/>
    </row>
    <row r="2288" spans="1:32" ht="26.25">
      <c r="A2288" s="385"/>
      <c r="B2288" s="245"/>
      <c r="C2288" s="245"/>
      <c r="D2288" s="245"/>
      <c r="E2288" s="245"/>
      <c r="F2288" s="316"/>
      <c r="G2288" s="245"/>
      <c r="H2288" s="385"/>
      <c r="I2288" s="245"/>
      <c r="O2288" s="413"/>
      <c r="Q2288" s="415"/>
      <c r="R2288" s="416"/>
      <c r="S2288" s="420"/>
      <c r="T2288" s="384" ph="1"/>
      <c r="V2288" s="421"/>
      <c r="W2288" s="257"/>
      <c r="X2288" s="429"/>
      <c r="Y2288" s="257"/>
      <c r="Z2288" s="257"/>
      <c r="AC2288" s="357"/>
      <c r="AD2288" s="257"/>
      <c r="AE2288" s="245"/>
      <c r="AF2288" s="246"/>
    </row>
    <row r="2289" spans="1:32" ht="26.25">
      <c r="A2289" s="385"/>
      <c r="B2289" s="245"/>
      <c r="C2289" s="245"/>
      <c r="D2289" s="245"/>
      <c r="E2289" s="245"/>
      <c r="F2289" s="316"/>
      <c r="G2289" s="245"/>
      <c r="H2289" s="385"/>
      <c r="I2289" s="245"/>
      <c r="O2289" s="413"/>
      <c r="Q2289" s="415"/>
      <c r="R2289" s="416"/>
      <c r="S2289" s="420"/>
      <c r="T2289" s="384" ph="1"/>
      <c r="V2289" s="421"/>
      <c r="W2289" s="257"/>
      <c r="X2289" s="429"/>
      <c r="Y2289" s="257"/>
      <c r="Z2289" s="257"/>
      <c r="AC2289" s="357"/>
      <c r="AD2289" s="257"/>
      <c r="AE2289" s="245"/>
      <c r="AF2289" s="246"/>
    </row>
    <row r="2290" spans="1:32" ht="26.25">
      <c r="A2290" s="385"/>
      <c r="B2290" s="245"/>
      <c r="C2290" s="245"/>
      <c r="D2290" s="245"/>
      <c r="E2290" s="245"/>
      <c r="F2290" s="316"/>
      <c r="G2290" s="245"/>
      <c r="H2290" s="385"/>
      <c r="I2290" s="245"/>
      <c r="O2290" s="413"/>
      <c r="Q2290" s="415"/>
      <c r="R2290" s="416"/>
      <c r="S2290" s="420"/>
      <c r="T2290" s="384" ph="1"/>
      <c r="V2290" s="421"/>
      <c r="W2290" s="257"/>
      <c r="X2290" s="429"/>
      <c r="Y2290" s="257"/>
      <c r="Z2290" s="257"/>
      <c r="AC2290" s="357"/>
      <c r="AD2290" s="257"/>
      <c r="AE2290" s="245"/>
      <c r="AF2290" s="246"/>
    </row>
    <row r="2291" spans="1:32" ht="26.25">
      <c r="A2291" s="385"/>
      <c r="B2291" s="245"/>
      <c r="C2291" s="245"/>
      <c r="D2291" s="245"/>
      <c r="E2291" s="245"/>
      <c r="F2291" s="316"/>
      <c r="G2291" s="245"/>
      <c r="H2291" s="385"/>
      <c r="I2291" s="245"/>
      <c r="O2291" s="413"/>
      <c r="Q2291" s="415"/>
      <c r="R2291" s="416"/>
      <c r="S2291" s="420"/>
      <c r="T2291" s="384" ph="1"/>
      <c r="V2291" s="421"/>
      <c r="W2291" s="257"/>
      <c r="X2291" s="429"/>
      <c r="Y2291" s="257"/>
      <c r="Z2291" s="257"/>
      <c r="AC2291" s="357"/>
      <c r="AD2291" s="257"/>
      <c r="AE2291" s="245"/>
      <c r="AF2291" s="246"/>
    </row>
    <row r="2292" spans="1:32" ht="26.25">
      <c r="A2292" s="385"/>
      <c r="B2292" s="245"/>
      <c r="C2292" s="245"/>
      <c r="D2292" s="245"/>
      <c r="E2292" s="245"/>
      <c r="F2292" s="316"/>
      <c r="G2292" s="245"/>
      <c r="H2292" s="385"/>
      <c r="I2292" s="245"/>
      <c r="O2292" s="413"/>
      <c r="Q2292" s="415"/>
      <c r="R2292" s="416"/>
      <c r="S2292" s="420"/>
      <c r="T2292" s="384" ph="1"/>
      <c r="V2292" s="421"/>
      <c r="W2292" s="257"/>
      <c r="X2292" s="429"/>
      <c r="Y2292" s="257"/>
      <c r="Z2292" s="257"/>
      <c r="AC2292" s="357"/>
      <c r="AD2292" s="257"/>
      <c r="AE2292" s="245"/>
      <c r="AF2292" s="246"/>
    </row>
    <row r="2293" spans="1:32" ht="26.25">
      <c r="A2293" s="385"/>
      <c r="B2293" s="245"/>
      <c r="C2293" s="245"/>
      <c r="D2293" s="245"/>
      <c r="E2293" s="245"/>
      <c r="F2293" s="316"/>
      <c r="G2293" s="245"/>
      <c r="H2293" s="385"/>
      <c r="I2293" s="245"/>
      <c r="O2293" s="413"/>
      <c r="Q2293" s="415"/>
      <c r="R2293" s="416"/>
      <c r="S2293" s="420"/>
      <c r="T2293" s="384" ph="1"/>
      <c r="V2293" s="421"/>
      <c r="W2293" s="257"/>
      <c r="X2293" s="429"/>
      <c r="Y2293" s="257"/>
      <c r="Z2293" s="257"/>
      <c r="AC2293" s="357"/>
      <c r="AD2293" s="257"/>
      <c r="AE2293" s="245"/>
      <c r="AF2293" s="246"/>
    </row>
    <row r="2294" spans="1:32" ht="26.25">
      <c r="A2294" s="385"/>
      <c r="B2294" s="245"/>
      <c r="C2294" s="245"/>
      <c r="D2294" s="245"/>
      <c r="E2294" s="245"/>
      <c r="F2294" s="316"/>
      <c r="G2294" s="245"/>
      <c r="H2294" s="385"/>
      <c r="I2294" s="245"/>
      <c r="O2294" s="413"/>
      <c r="Q2294" s="415"/>
      <c r="R2294" s="416"/>
      <c r="S2294" s="420"/>
      <c r="T2294" s="384" ph="1"/>
      <c r="V2294" s="421"/>
      <c r="W2294" s="257"/>
      <c r="X2294" s="429"/>
      <c r="Y2294" s="257"/>
      <c r="Z2294" s="257"/>
      <c r="AC2294" s="357"/>
      <c r="AD2294" s="257"/>
      <c r="AE2294" s="245"/>
      <c r="AF2294" s="246"/>
    </row>
    <row r="2295" spans="1:32" ht="26.25">
      <c r="A2295" s="385"/>
      <c r="B2295" s="245"/>
      <c r="C2295" s="245"/>
      <c r="D2295" s="245"/>
      <c r="E2295" s="245"/>
      <c r="F2295" s="316"/>
      <c r="G2295" s="245"/>
      <c r="H2295" s="385"/>
      <c r="I2295" s="245"/>
      <c r="O2295" s="413"/>
      <c r="Q2295" s="415"/>
      <c r="R2295" s="416"/>
      <c r="S2295" s="420"/>
      <c r="T2295" s="384" ph="1"/>
      <c r="V2295" s="421"/>
      <c r="W2295" s="257"/>
      <c r="X2295" s="429"/>
      <c r="Y2295" s="257"/>
      <c r="Z2295" s="257"/>
      <c r="AC2295" s="357"/>
      <c r="AD2295" s="257"/>
      <c r="AE2295" s="245"/>
      <c r="AF2295" s="246"/>
    </row>
    <row r="2296" spans="1:32" ht="26.25">
      <c r="A2296" s="385"/>
      <c r="B2296" s="245"/>
      <c r="C2296" s="245"/>
      <c r="D2296" s="245"/>
      <c r="E2296" s="245"/>
      <c r="F2296" s="316"/>
      <c r="G2296" s="245"/>
      <c r="H2296" s="385"/>
      <c r="I2296" s="245"/>
      <c r="O2296" s="413"/>
      <c r="Q2296" s="415"/>
      <c r="R2296" s="416"/>
      <c r="S2296" s="420"/>
      <c r="T2296" s="384" ph="1"/>
      <c r="V2296" s="421"/>
      <c r="W2296" s="257"/>
      <c r="X2296" s="429"/>
      <c r="Y2296" s="257"/>
      <c r="Z2296" s="257"/>
      <c r="AC2296" s="357"/>
      <c r="AD2296" s="257"/>
      <c r="AE2296" s="245"/>
      <c r="AF2296" s="246"/>
    </row>
    <row r="2297" spans="1:32" ht="26.25">
      <c r="A2297" s="385"/>
      <c r="B2297" s="245"/>
      <c r="C2297" s="245"/>
      <c r="D2297" s="245"/>
      <c r="E2297" s="245"/>
      <c r="F2297" s="316"/>
      <c r="G2297" s="245"/>
      <c r="H2297" s="385"/>
      <c r="I2297" s="245"/>
      <c r="O2297" s="413"/>
      <c r="Q2297" s="415"/>
      <c r="R2297" s="416"/>
      <c r="S2297" s="420"/>
      <c r="T2297" s="384" ph="1"/>
      <c r="V2297" s="421"/>
      <c r="W2297" s="257"/>
      <c r="X2297" s="429"/>
      <c r="Y2297" s="257"/>
      <c r="Z2297" s="257"/>
      <c r="AC2297" s="357"/>
      <c r="AD2297" s="257"/>
      <c r="AE2297" s="245"/>
      <c r="AF2297" s="246"/>
    </row>
    <row r="2298" spans="1:32" ht="26.25">
      <c r="A2298" s="385"/>
      <c r="B2298" s="245"/>
      <c r="C2298" s="245"/>
      <c r="D2298" s="245"/>
      <c r="E2298" s="245"/>
      <c r="F2298" s="316"/>
      <c r="G2298" s="245"/>
      <c r="H2298" s="385"/>
      <c r="I2298" s="245"/>
      <c r="O2298" s="413"/>
      <c r="Q2298" s="415"/>
      <c r="R2298" s="416"/>
      <c r="S2298" s="420"/>
      <c r="T2298" s="384" ph="1"/>
      <c r="V2298" s="421"/>
      <c r="W2298" s="257"/>
      <c r="X2298" s="429"/>
      <c r="Y2298" s="257"/>
      <c r="Z2298" s="257"/>
      <c r="AC2298" s="357"/>
      <c r="AD2298" s="257"/>
      <c r="AE2298" s="245"/>
      <c r="AF2298" s="246"/>
    </row>
    <row r="2299" spans="1:32" ht="26.25">
      <c r="A2299" s="385"/>
      <c r="B2299" s="245"/>
      <c r="C2299" s="245"/>
      <c r="D2299" s="245"/>
      <c r="E2299" s="245"/>
      <c r="F2299" s="316"/>
      <c r="G2299" s="245"/>
      <c r="H2299" s="385"/>
      <c r="I2299" s="245"/>
      <c r="O2299" s="413"/>
      <c r="Q2299" s="415"/>
      <c r="R2299" s="416"/>
      <c r="S2299" s="420"/>
      <c r="T2299" s="384" ph="1"/>
      <c r="V2299" s="421"/>
      <c r="W2299" s="257"/>
      <c r="X2299" s="429"/>
      <c r="Y2299" s="257"/>
      <c r="Z2299" s="257"/>
      <c r="AC2299" s="357"/>
      <c r="AD2299" s="257"/>
      <c r="AE2299" s="245"/>
      <c r="AF2299" s="246"/>
    </row>
    <row r="2300" spans="1:32" ht="26.25">
      <c r="A2300" s="385"/>
      <c r="B2300" s="245"/>
      <c r="C2300" s="245"/>
      <c r="D2300" s="245"/>
      <c r="E2300" s="245"/>
      <c r="F2300" s="316"/>
      <c r="G2300" s="245"/>
      <c r="H2300" s="385"/>
      <c r="I2300" s="245"/>
      <c r="O2300" s="413"/>
      <c r="Q2300" s="415"/>
      <c r="R2300" s="416"/>
      <c r="S2300" s="420"/>
      <c r="T2300" s="384" ph="1"/>
      <c r="V2300" s="421"/>
      <c r="W2300" s="257"/>
      <c r="X2300" s="429"/>
      <c r="Y2300" s="257"/>
      <c r="Z2300" s="257"/>
      <c r="AC2300" s="357"/>
      <c r="AD2300" s="257"/>
      <c r="AE2300" s="245"/>
      <c r="AF2300" s="246"/>
    </row>
    <row r="2301" spans="1:32" ht="26.25">
      <c r="A2301" s="385"/>
      <c r="B2301" s="245"/>
      <c r="C2301" s="245"/>
      <c r="D2301" s="245"/>
      <c r="E2301" s="245"/>
      <c r="F2301" s="316"/>
      <c r="G2301" s="245"/>
      <c r="H2301" s="385"/>
      <c r="I2301" s="245"/>
      <c r="O2301" s="413"/>
      <c r="Q2301" s="415"/>
      <c r="R2301" s="416"/>
      <c r="S2301" s="420"/>
      <c r="T2301" s="384" ph="1"/>
      <c r="V2301" s="421"/>
      <c r="W2301" s="257"/>
      <c r="X2301" s="429"/>
      <c r="Y2301" s="257"/>
      <c r="Z2301" s="257"/>
      <c r="AC2301" s="357"/>
      <c r="AD2301" s="257"/>
      <c r="AE2301" s="245"/>
      <c r="AF2301" s="246"/>
    </row>
    <row r="2302" spans="1:32" ht="26.25">
      <c r="A2302" s="385"/>
      <c r="B2302" s="245"/>
      <c r="C2302" s="245"/>
      <c r="D2302" s="245"/>
      <c r="E2302" s="245"/>
      <c r="F2302" s="316"/>
      <c r="G2302" s="245"/>
      <c r="H2302" s="385"/>
      <c r="I2302" s="245"/>
      <c r="O2302" s="413"/>
      <c r="Q2302" s="415"/>
      <c r="R2302" s="416"/>
      <c r="S2302" s="420"/>
      <c r="T2302" s="384" ph="1"/>
      <c r="V2302" s="421"/>
      <c r="W2302" s="257"/>
      <c r="X2302" s="429"/>
      <c r="Y2302" s="257"/>
      <c r="Z2302" s="257"/>
      <c r="AC2302" s="357"/>
      <c r="AD2302" s="257"/>
      <c r="AE2302" s="245"/>
      <c r="AF2302" s="246"/>
    </row>
    <row r="2303" spans="1:32" ht="26.25">
      <c r="A2303" s="385"/>
      <c r="B2303" s="245"/>
      <c r="C2303" s="245"/>
      <c r="D2303" s="245"/>
      <c r="E2303" s="245"/>
      <c r="F2303" s="316"/>
      <c r="G2303" s="245"/>
      <c r="H2303" s="385"/>
      <c r="I2303" s="245"/>
      <c r="O2303" s="413"/>
      <c r="Q2303" s="415"/>
      <c r="R2303" s="416"/>
      <c r="S2303" s="420"/>
      <c r="T2303" s="384" ph="1"/>
      <c r="V2303" s="421"/>
      <c r="W2303" s="257"/>
      <c r="X2303" s="429"/>
      <c r="Y2303" s="257"/>
      <c r="Z2303" s="257"/>
      <c r="AC2303" s="357"/>
      <c r="AD2303" s="257"/>
      <c r="AE2303" s="245"/>
      <c r="AF2303" s="246"/>
    </row>
    <row r="2304" spans="1:32" ht="26.25">
      <c r="A2304" s="385"/>
      <c r="B2304" s="245"/>
      <c r="C2304" s="245"/>
      <c r="D2304" s="245"/>
      <c r="E2304" s="245"/>
      <c r="F2304" s="316"/>
      <c r="G2304" s="245"/>
      <c r="H2304" s="385"/>
      <c r="I2304" s="245"/>
      <c r="O2304" s="413"/>
      <c r="Q2304" s="415"/>
      <c r="R2304" s="416"/>
      <c r="S2304" s="420"/>
      <c r="T2304" s="384" ph="1"/>
      <c r="V2304" s="421"/>
      <c r="W2304" s="257"/>
      <c r="X2304" s="429"/>
      <c r="Y2304" s="257"/>
      <c r="Z2304" s="257"/>
      <c r="AC2304" s="357"/>
      <c r="AD2304" s="257"/>
      <c r="AE2304" s="245"/>
      <c r="AF2304" s="246"/>
    </row>
    <row r="2305" spans="1:32" ht="26.25">
      <c r="A2305" s="385"/>
      <c r="B2305" s="245"/>
      <c r="C2305" s="245"/>
      <c r="D2305" s="245"/>
      <c r="E2305" s="245"/>
      <c r="F2305" s="316"/>
      <c r="G2305" s="245"/>
      <c r="H2305" s="385"/>
      <c r="I2305" s="245"/>
      <c r="O2305" s="413"/>
      <c r="Q2305" s="415"/>
      <c r="R2305" s="416"/>
      <c r="S2305" s="420"/>
      <c r="T2305" s="384" ph="1"/>
      <c r="V2305" s="421"/>
      <c r="W2305" s="257"/>
      <c r="X2305" s="429"/>
      <c r="Y2305" s="257"/>
      <c r="Z2305" s="257"/>
      <c r="AC2305" s="357"/>
      <c r="AD2305" s="257"/>
      <c r="AE2305" s="245"/>
      <c r="AF2305" s="246"/>
    </row>
    <row r="2306" spans="1:32" ht="26.25">
      <c r="A2306" s="385"/>
      <c r="B2306" s="245"/>
      <c r="C2306" s="245"/>
      <c r="D2306" s="245"/>
      <c r="E2306" s="245"/>
      <c r="F2306" s="316"/>
      <c r="G2306" s="245"/>
      <c r="H2306" s="385"/>
      <c r="I2306" s="245"/>
      <c r="O2306" s="413"/>
      <c r="Q2306" s="415"/>
      <c r="R2306" s="416"/>
      <c r="S2306" s="420"/>
      <c r="T2306" s="384" ph="1"/>
      <c r="V2306" s="421"/>
      <c r="W2306" s="257"/>
      <c r="X2306" s="429"/>
      <c r="Y2306" s="257"/>
      <c r="Z2306" s="257"/>
      <c r="AC2306" s="357"/>
      <c r="AD2306" s="257"/>
      <c r="AE2306" s="245"/>
      <c r="AF2306" s="246"/>
    </row>
    <row r="2307" spans="1:32" ht="26.25">
      <c r="A2307" s="385"/>
      <c r="B2307" s="245"/>
      <c r="C2307" s="245"/>
      <c r="D2307" s="245"/>
      <c r="E2307" s="245"/>
      <c r="F2307" s="316"/>
      <c r="G2307" s="245"/>
      <c r="H2307" s="385"/>
      <c r="I2307" s="245"/>
      <c r="O2307" s="413"/>
      <c r="Q2307" s="415"/>
      <c r="R2307" s="416"/>
      <c r="S2307" s="420"/>
      <c r="T2307" s="384" ph="1"/>
      <c r="V2307" s="421"/>
      <c r="W2307" s="257"/>
      <c r="X2307" s="429"/>
      <c r="Y2307" s="257"/>
      <c r="Z2307" s="257"/>
      <c r="AC2307" s="357"/>
      <c r="AD2307" s="257"/>
      <c r="AE2307" s="245"/>
      <c r="AF2307" s="246"/>
    </row>
    <row r="2308" spans="1:32" ht="26.25">
      <c r="A2308" s="385"/>
      <c r="B2308" s="245"/>
      <c r="C2308" s="245"/>
      <c r="D2308" s="245"/>
      <c r="E2308" s="245"/>
      <c r="F2308" s="316"/>
      <c r="G2308" s="245"/>
      <c r="H2308" s="385"/>
      <c r="I2308" s="245"/>
      <c r="O2308" s="413"/>
      <c r="Q2308" s="415"/>
      <c r="R2308" s="416"/>
      <c r="S2308" s="420"/>
      <c r="T2308" s="384" ph="1"/>
      <c r="V2308" s="421"/>
      <c r="W2308" s="257"/>
      <c r="X2308" s="429"/>
      <c r="Y2308" s="257"/>
      <c r="Z2308" s="257"/>
      <c r="AC2308" s="357"/>
      <c r="AD2308" s="257"/>
      <c r="AE2308" s="245"/>
      <c r="AF2308" s="246"/>
    </row>
    <row r="2309" spans="1:32" ht="26.25">
      <c r="A2309" s="385"/>
      <c r="B2309" s="245"/>
      <c r="C2309" s="245"/>
      <c r="D2309" s="245"/>
      <c r="E2309" s="245"/>
      <c r="F2309" s="316"/>
      <c r="G2309" s="245"/>
      <c r="H2309" s="385"/>
      <c r="I2309" s="245"/>
      <c r="O2309" s="413"/>
      <c r="Q2309" s="415"/>
      <c r="R2309" s="416"/>
      <c r="S2309" s="420"/>
      <c r="T2309" s="384" ph="1"/>
      <c r="V2309" s="421"/>
      <c r="W2309" s="257"/>
      <c r="X2309" s="429"/>
      <c r="Y2309" s="257"/>
      <c r="Z2309" s="257"/>
      <c r="AC2309" s="357"/>
      <c r="AD2309" s="257"/>
      <c r="AE2309" s="245"/>
      <c r="AF2309" s="246"/>
    </row>
    <row r="2310" spans="1:32" ht="26.25">
      <c r="A2310" s="385"/>
      <c r="B2310" s="245"/>
      <c r="C2310" s="245"/>
      <c r="D2310" s="245"/>
      <c r="E2310" s="245"/>
      <c r="F2310" s="316"/>
      <c r="G2310" s="245"/>
      <c r="H2310" s="385"/>
      <c r="I2310" s="245"/>
      <c r="O2310" s="413"/>
      <c r="Q2310" s="415"/>
      <c r="R2310" s="416"/>
      <c r="S2310" s="420"/>
      <c r="T2310" s="384" ph="1"/>
      <c r="V2310" s="421"/>
      <c r="W2310" s="257"/>
      <c r="X2310" s="429"/>
      <c r="Y2310" s="257"/>
      <c r="Z2310" s="257"/>
      <c r="AC2310" s="357"/>
      <c r="AD2310" s="257"/>
      <c r="AE2310" s="245"/>
      <c r="AF2310" s="246"/>
    </row>
    <row r="2311" spans="1:32" ht="26.25">
      <c r="A2311" s="385"/>
      <c r="B2311" s="245"/>
      <c r="C2311" s="245"/>
      <c r="D2311" s="245"/>
      <c r="E2311" s="245"/>
      <c r="F2311" s="316"/>
      <c r="G2311" s="245"/>
      <c r="H2311" s="385"/>
      <c r="I2311" s="245"/>
      <c r="O2311" s="413"/>
      <c r="Q2311" s="415"/>
      <c r="R2311" s="416"/>
      <c r="S2311" s="420"/>
      <c r="T2311" s="384" ph="1"/>
      <c r="V2311" s="421"/>
      <c r="W2311" s="257"/>
      <c r="X2311" s="429"/>
      <c r="Y2311" s="257"/>
      <c r="Z2311" s="257"/>
      <c r="AC2311" s="357"/>
      <c r="AD2311" s="257"/>
      <c r="AE2311" s="245"/>
      <c r="AF2311" s="246"/>
    </row>
    <row r="2312" spans="1:32" ht="26.25">
      <c r="A2312" s="385"/>
      <c r="B2312" s="245"/>
      <c r="C2312" s="245"/>
      <c r="D2312" s="245"/>
      <c r="E2312" s="245"/>
      <c r="F2312" s="316"/>
      <c r="G2312" s="245"/>
      <c r="H2312" s="385"/>
      <c r="I2312" s="245"/>
      <c r="O2312" s="413"/>
      <c r="Q2312" s="415"/>
      <c r="R2312" s="416"/>
      <c r="S2312" s="420"/>
      <c r="T2312" s="384" ph="1"/>
      <c r="V2312" s="421"/>
      <c r="W2312" s="257"/>
      <c r="X2312" s="429"/>
      <c r="Y2312" s="257"/>
      <c r="Z2312" s="257"/>
      <c r="AC2312" s="357"/>
      <c r="AD2312" s="257"/>
      <c r="AE2312" s="245"/>
      <c r="AF2312" s="246"/>
    </row>
    <row r="2313" spans="1:32" ht="26.25">
      <c r="A2313" s="385"/>
      <c r="B2313" s="245"/>
      <c r="C2313" s="245"/>
      <c r="D2313" s="245"/>
      <c r="E2313" s="245"/>
      <c r="F2313" s="316"/>
      <c r="G2313" s="245"/>
      <c r="H2313" s="385"/>
      <c r="I2313" s="245"/>
      <c r="O2313" s="413"/>
      <c r="Q2313" s="415"/>
      <c r="R2313" s="416"/>
      <c r="S2313" s="420"/>
      <c r="T2313" s="384" ph="1"/>
      <c r="V2313" s="421"/>
      <c r="W2313" s="257"/>
      <c r="X2313" s="429"/>
      <c r="Y2313" s="257"/>
      <c r="Z2313" s="257"/>
      <c r="AC2313" s="357"/>
      <c r="AD2313" s="257"/>
      <c r="AE2313" s="245"/>
      <c r="AF2313" s="246"/>
    </row>
    <row r="2314" spans="1:32" ht="26.25">
      <c r="A2314" s="385"/>
      <c r="B2314" s="245"/>
      <c r="C2314" s="245"/>
      <c r="D2314" s="245"/>
      <c r="E2314" s="245"/>
      <c r="F2314" s="316"/>
      <c r="G2314" s="245"/>
      <c r="H2314" s="385"/>
      <c r="I2314" s="245"/>
      <c r="O2314" s="413"/>
      <c r="Q2314" s="415"/>
      <c r="R2314" s="416"/>
      <c r="S2314" s="420"/>
      <c r="T2314" s="384" ph="1"/>
      <c r="V2314" s="421"/>
      <c r="W2314" s="257"/>
      <c r="X2314" s="429"/>
      <c r="Y2314" s="257"/>
      <c r="Z2314" s="257"/>
      <c r="AC2314" s="357"/>
      <c r="AD2314" s="257"/>
      <c r="AE2314" s="245"/>
      <c r="AF2314" s="246"/>
    </row>
    <row r="2315" spans="1:32" ht="26.25">
      <c r="A2315" s="385"/>
      <c r="B2315" s="245"/>
      <c r="C2315" s="245"/>
      <c r="D2315" s="245"/>
      <c r="E2315" s="245"/>
      <c r="F2315" s="316"/>
      <c r="G2315" s="245"/>
      <c r="H2315" s="385"/>
      <c r="I2315" s="245"/>
      <c r="O2315" s="413"/>
      <c r="Q2315" s="415"/>
      <c r="R2315" s="416"/>
      <c r="S2315" s="420"/>
      <c r="T2315" s="384" ph="1"/>
      <c r="V2315" s="421"/>
      <c r="W2315" s="257"/>
      <c r="X2315" s="429"/>
      <c r="Y2315" s="257"/>
      <c r="Z2315" s="257"/>
      <c r="AC2315" s="357"/>
      <c r="AD2315" s="257"/>
      <c r="AE2315" s="245"/>
      <c r="AF2315" s="246"/>
    </row>
    <row r="2316" spans="1:32" ht="26.25">
      <c r="A2316" s="385"/>
      <c r="B2316" s="245"/>
      <c r="C2316" s="245"/>
      <c r="D2316" s="245"/>
      <c r="E2316" s="245"/>
      <c r="F2316" s="316"/>
      <c r="G2316" s="245"/>
      <c r="H2316" s="385"/>
      <c r="I2316" s="245"/>
      <c r="O2316" s="413"/>
      <c r="Q2316" s="415"/>
      <c r="R2316" s="416"/>
      <c r="S2316" s="420"/>
      <c r="T2316" s="384" ph="1"/>
      <c r="V2316" s="421"/>
      <c r="W2316" s="257"/>
      <c r="X2316" s="429"/>
      <c r="Y2316" s="257"/>
      <c r="Z2316" s="257"/>
      <c r="AC2316" s="357"/>
      <c r="AD2316" s="257"/>
      <c r="AE2316" s="245"/>
      <c r="AF2316" s="246"/>
    </row>
    <row r="2317" spans="1:32" ht="26.25">
      <c r="A2317" s="385"/>
      <c r="B2317" s="245"/>
      <c r="C2317" s="245"/>
      <c r="D2317" s="245"/>
      <c r="E2317" s="245"/>
      <c r="F2317" s="316"/>
      <c r="G2317" s="245"/>
      <c r="H2317" s="385"/>
      <c r="I2317" s="245"/>
      <c r="O2317" s="413"/>
      <c r="Q2317" s="415"/>
      <c r="R2317" s="416"/>
      <c r="S2317" s="420"/>
      <c r="T2317" s="384" ph="1"/>
      <c r="V2317" s="421"/>
      <c r="W2317" s="257"/>
      <c r="X2317" s="429"/>
      <c r="Y2317" s="257"/>
      <c r="Z2317" s="257"/>
      <c r="AC2317" s="357"/>
      <c r="AD2317" s="257"/>
      <c r="AE2317" s="245"/>
      <c r="AF2317" s="246"/>
    </row>
    <row r="2318" spans="1:32" ht="26.25">
      <c r="A2318" s="385"/>
      <c r="B2318" s="245"/>
      <c r="C2318" s="245"/>
      <c r="D2318" s="245"/>
      <c r="E2318" s="245"/>
      <c r="F2318" s="316"/>
      <c r="G2318" s="245"/>
      <c r="H2318" s="385"/>
      <c r="I2318" s="245"/>
      <c r="O2318" s="413"/>
      <c r="Q2318" s="415"/>
      <c r="R2318" s="416"/>
      <c r="S2318" s="420"/>
      <c r="T2318" s="384" ph="1"/>
      <c r="V2318" s="421"/>
      <c r="W2318" s="257"/>
      <c r="X2318" s="429"/>
      <c r="Y2318" s="257"/>
      <c r="Z2318" s="257"/>
      <c r="AC2318" s="357"/>
      <c r="AD2318" s="257"/>
      <c r="AE2318" s="245"/>
      <c r="AF2318" s="246"/>
    </row>
    <row r="2319" spans="1:32" ht="26.25">
      <c r="A2319" s="385"/>
      <c r="B2319" s="245"/>
      <c r="C2319" s="245"/>
      <c r="D2319" s="245"/>
      <c r="E2319" s="245"/>
      <c r="F2319" s="316"/>
      <c r="G2319" s="245"/>
      <c r="H2319" s="385"/>
      <c r="I2319" s="245"/>
      <c r="O2319" s="413"/>
      <c r="Q2319" s="415"/>
      <c r="R2319" s="416"/>
      <c r="S2319" s="420"/>
      <c r="T2319" s="384" ph="1"/>
      <c r="V2319" s="421"/>
      <c r="W2319" s="257"/>
      <c r="X2319" s="429"/>
      <c r="Y2319" s="257"/>
      <c r="Z2319" s="257"/>
      <c r="AC2319" s="357"/>
      <c r="AD2319" s="257"/>
      <c r="AE2319" s="245"/>
      <c r="AF2319" s="246"/>
    </row>
    <row r="2320" spans="1:32" ht="26.25">
      <c r="A2320" s="385"/>
      <c r="B2320" s="245"/>
      <c r="C2320" s="245"/>
      <c r="D2320" s="245"/>
      <c r="E2320" s="245"/>
      <c r="F2320" s="316"/>
      <c r="G2320" s="245"/>
      <c r="H2320" s="385"/>
      <c r="I2320" s="245"/>
      <c r="O2320" s="413"/>
      <c r="Q2320" s="415"/>
      <c r="R2320" s="416"/>
      <c r="S2320" s="420"/>
      <c r="T2320" s="384" ph="1"/>
      <c r="V2320" s="421"/>
      <c r="W2320" s="257"/>
      <c r="X2320" s="429"/>
      <c r="Y2320" s="257"/>
      <c r="Z2320" s="257"/>
      <c r="AC2320" s="357"/>
      <c r="AD2320" s="257"/>
      <c r="AE2320" s="245"/>
      <c r="AF2320" s="246"/>
    </row>
    <row r="2321" spans="1:32" ht="26.25">
      <c r="A2321" s="385"/>
      <c r="B2321" s="245"/>
      <c r="C2321" s="245"/>
      <c r="D2321" s="245"/>
      <c r="E2321" s="245"/>
      <c r="F2321" s="316"/>
      <c r="G2321" s="245"/>
      <c r="H2321" s="385"/>
      <c r="I2321" s="245"/>
      <c r="O2321" s="413"/>
      <c r="Q2321" s="415"/>
      <c r="R2321" s="416"/>
      <c r="S2321" s="420"/>
      <c r="T2321" s="384" ph="1"/>
      <c r="V2321" s="421"/>
      <c r="W2321" s="257"/>
      <c r="X2321" s="429"/>
      <c r="Y2321" s="257"/>
      <c r="Z2321" s="257"/>
      <c r="AC2321" s="357"/>
      <c r="AD2321" s="257"/>
      <c r="AE2321" s="245"/>
      <c r="AF2321" s="246"/>
    </row>
    <row r="2322" spans="1:32" ht="26.25">
      <c r="A2322" s="385"/>
      <c r="B2322" s="245"/>
      <c r="C2322" s="245"/>
      <c r="D2322" s="245"/>
      <c r="E2322" s="245"/>
      <c r="F2322" s="316"/>
      <c r="G2322" s="245"/>
      <c r="H2322" s="385"/>
      <c r="I2322" s="245"/>
      <c r="O2322" s="413"/>
      <c r="Q2322" s="415"/>
      <c r="R2322" s="416"/>
      <c r="S2322" s="420"/>
      <c r="T2322" s="384" ph="1"/>
      <c r="V2322" s="421"/>
      <c r="W2322" s="257"/>
      <c r="X2322" s="429"/>
      <c r="Y2322" s="257"/>
      <c r="Z2322" s="257"/>
      <c r="AC2322" s="357"/>
      <c r="AD2322" s="257"/>
      <c r="AE2322" s="245"/>
      <c r="AF2322" s="246"/>
    </row>
    <row r="2323" spans="1:32" ht="26.25">
      <c r="A2323" s="385"/>
      <c r="B2323" s="245"/>
      <c r="C2323" s="245"/>
      <c r="D2323" s="245"/>
      <c r="E2323" s="245"/>
      <c r="F2323" s="316"/>
      <c r="G2323" s="245"/>
      <c r="H2323" s="385"/>
      <c r="I2323" s="245"/>
      <c r="O2323" s="413"/>
      <c r="Q2323" s="415"/>
      <c r="R2323" s="416"/>
      <c r="S2323" s="420"/>
      <c r="T2323" s="384" ph="1"/>
      <c r="V2323" s="421"/>
      <c r="W2323" s="257"/>
      <c r="X2323" s="429"/>
      <c r="Y2323" s="257"/>
      <c r="Z2323" s="257"/>
      <c r="AC2323" s="357"/>
      <c r="AD2323" s="257"/>
      <c r="AE2323" s="245"/>
      <c r="AF2323" s="246"/>
    </row>
    <row r="2324" spans="1:32" ht="26.25">
      <c r="A2324" s="385"/>
      <c r="B2324" s="245"/>
      <c r="C2324" s="245"/>
      <c r="D2324" s="245"/>
      <c r="E2324" s="245"/>
      <c r="F2324" s="316"/>
      <c r="G2324" s="245"/>
      <c r="H2324" s="385"/>
      <c r="I2324" s="245"/>
      <c r="O2324" s="413"/>
      <c r="Q2324" s="415"/>
      <c r="R2324" s="416"/>
      <c r="S2324" s="420"/>
      <c r="T2324" s="384" ph="1"/>
      <c r="V2324" s="421"/>
      <c r="W2324" s="257"/>
      <c r="X2324" s="429"/>
      <c r="Y2324" s="257"/>
      <c r="Z2324" s="257"/>
      <c r="AC2324" s="357"/>
      <c r="AD2324" s="257"/>
      <c r="AE2324" s="245"/>
      <c r="AF2324" s="246"/>
    </row>
    <row r="2325" spans="1:32" ht="26.25">
      <c r="A2325" s="385"/>
      <c r="B2325" s="245"/>
      <c r="C2325" s="245"/>
      <c r="D2325" s="245"/>
      <c r="E2325" s="245"/>
      <c r="F2325" s="316"/>
      <c r="G2325" s="245"/>
      <c r="H2325" s="385"/>
      <c r="I2325" s="245"/>
      <c r="O2325" s="413"/>
      <c r="Q2325" s="415"/>
      <c r="R2325" s="416"/>
      <c r="S2325" s="420"/>
      <c r="T2325" s="384" ph="1"/>
      <c r="V2325" s="421"/>
      <c r="W2325" s="257"/>
      <c r="X2325" s="429"/>
      <c r="Y2325" s="257"/>
      <c r="Z2325" s="257"/>
      <c r="AC2325" s="357"/>
      <c r="AD2325" s="257"/>
      <c r="AE2325" s="245"/>
      <c r="AF2325" s="246"/>
    </row>
    <row r="2326" spans="1:32" ht="26.25">
      <c r="A2326" s="385"/>
      <c r="B2326" s="245"/>
      <c r="C2326" s="245"/>
      <c r="D2326" s="245"/>
      <c r="E2326" s="245"/>
      <c r="F2326" s="316"/>
      <c r="G2326" s="245"/>
      <c r="H2326" s="385"/>
      <c r="I2326" s="245"/>
      <c r="O2326" s="413"/>
      <c r="Q2326" s="415"/>
      <c r="R2326" s="416"/>
      <c r="S2326" s="420"/>
      <c r="T2326" s="384" ph="1"/>
      <c r="V2326" s="421"/>
      <c r="W2326" s="257"/>
      <c r="X2326" s="429"/>
      <c r="Y2326" s="257"/>
      <c r="Z2326" s="257"/>
      <c r="AC2326" s="357"/>
      <c r="AD2326" s="257"/>
      <c r="AE2326" s="245"/>
      <c r="AF2326" s="246"/>
    </row>
    <row r="2327" spans="1:32" ht="26.25">
      <c r="A2327" s="385"/>
      <c r="B2327" s="245"/>
      <c r="C2327" s="245"/>
      <c r="D2327" s="245"/>
      <c r="E2327" s="245"/>
      <c r="F2327" s="316"/>
      <c r="G2327" s="245"/>
      <c r="H2327" s="385"/>
      <c r="I2327" s="245"/>
      <c r="O2327" s="413"/>
      <c r="Q2327" s="415"/>
      <c r="R2327" s="416"/>
      <c r="S2327" s="420"/>
      <c r="T2327" s="384" ph="1"/>
      <c r="V2327" s="421"/>
      <c r="W2327" s="257"/>
      <c r="X2327" s="429"/>
      <c r="Y2327" s="257"/>
      <c r="Z2327" s="257"/>
      <c r="AC2327" s="357"/>
      <c r="AD2327" s="257"/>
      <c r="AE2327" s="245"/>
      <c r="AF2327" s="246"/>
    </row>
    <row r="2328" spans="1:32" ht="26.25">
      <c r="A2328" s="385"/>
      <c r="B2328" s="245"/>
      <c r="C2328" s="245"/>
      <c r="D2328" s="245"/>
      <c r="E2328" s="245"/>
      <c r="F2328" s="316"/>
      <c r="G2328" s="245"/>
      <c r="H2328" s="385"/>
      <c r="I2328" s="245"/>
      <c r="O2328" s="413"/>
      <c r="Q2328" s="415"/>
      <c r="R2328" s="416"/>
      <c r="S2328" s="420"/>
      <c r="T2328" s="384" ph="1"/>
      <c r="V2328" s="421"/>
      <c r="W2328" s="257"/>
      <c r="X2328" s="429"/>
      <c r="Y2328" s="257"/>
      <c r="Z2328" s="257"/>
      <c r="AC2328" s="357"/>
      <c r="AD2328" s="257"/>
      <c r="AE2328" s="245"/>
      <c r="AF2328" s="246"/>
    </row>
    <row r="2329" spans="1:32" ht="26.25">
      <c r="A2329" s="385"/>
      <c r="B2329" s="245"/>
      <c r="C2329" s="245"/>
      <c r="D2329" s="245"/>
      <c r="E2329" s="245"/>
      <c r="F2329" s="316"/>
      <c r="G2329" s="245"/>
      <c r="H2329" s="385"/>
      <c r="I2329" s="245"/>
      <c r="O2329" s="413"/>
      <c r="Q2329" s="415"/>
      <c r="R2329" s="416"/>
      <c r="S2329" s="420"/>
      <c r="T2329" s="384" ph="1"/>
      <c r="V2329" s="421"/>
      <c r="W2329" s="257"/>
      <c r="X2329" s="429"/>
      <c r="Y2329" s="257"/>
      <c r="Z2329" s="257"/>
      <c r="AC2329" s="357"/>
      <c r="AD2329" s="257"/>
      <c r="AE2329" s="245"/>
      <c r="AF2329" s="246"/>
    </row>
    <row r="2330" spans="1:32" ht="26.25">
      <c r="A2330" s="385"/>
      <c r="B2330" s="245"/>
      <c r="C2330" s="245"/>
      <c r="D2330" s="245"/>
      <c r="E2330" s="245"/>
      <c r="F2330" s="316"/>
      <c r="G2330" s="245"/>
      <c r="H2330" s="385"/>
      <c r="I2330" s="245"/>
      <c r="O2330" s="413"/>
      <c r="Q2330" s="415"/>
      <c r="R2330" s="416"/>
      <c r="S2330" s="420"/>
      <c r="T2330" s="384" ph="1"/>
      <c r="V2330" s="421"/>
      <c r="W2330" s="257"/>
      <c r="X2330" s="429"/>
      <c r="Y2330" s="257"/>
      <c r="Z2330" s="257"/>
      <c r="AC2330" s="357"/>
      <c r="AD2330" s="257"/>
      <c r="AE2330" s="245"/>
      <c r="AF2330" s="246"/>
    </row>
    <row r="2331" spans="1:32" ht="26.25">
      <c r="A2331" s="385"/>
      <c r="B2331" s="245"/>
      <c r="C2331" s="245"/>
      <c r="D2331" s="245"/>
      <c r="E2331" s="245"/>
      <c r="F2331" s="316"/>
      <c r="G2331" s="245"/>
      <c r="H2331" s="385"/>
      <c r="I2331" s="245"/>
      <c r="O2331" s="413"/>
      <c r="Q2331" s="415"/>
      <c r="R2331" s="416"/>
      <c r="S2331" s="420"/>
      <c r="T2331" s="384" ph="1"/>
      <c r="V2331" s="421"/>
      <c r="W2331" s="257"/>
      <c r="X2331" s="429"/>
      <c r="Y2331" s="257"/>
      <c r="Z2331" s="257"/>
      <c r="AC2331" s="357"/>
      <c r="AD2331" s="257"/>
      <c r="AE2331" s="245"/>
      <c r="AF2331" s="246"/>
    </row>
    <row r="2332" spans="1:32" ht="26.25">
      <c r="A2332" s="385"/>
      <c r="B2332" s="245"/>
      <c r="C2332" s="245"/>
      <c r="D2332" s="245"/>
      <c r="E2332" s="245"/>
      <c r="F2332" s="316"/>
      <c r="G2332" s="245"/>
      <c r="H2332" s="385"/>
      <c r="I2332" s="245"/>
      <c r="O2332" s="413"/>
      <c r="Q2332" s="415"/>
      <c r="R2332" s="416"/>
      <c r="S2332" s="420"/>
      <c r="T2332" s="384" ph="1"/>
      <c r="V2332" s="421"/>
      <c r="W2332" s="257"/>
      <c r="X2332" s="429"/>
      <c r="Y2332" s="257"/>
      <c r="Z2332" s="257"/>
      <c r="AC2332" s="357"/>
      <c r="AD2332" s="257"/>
      <c r="AE2332" s="245"/>
      <c r="AF2332" s="246"/>
    </row>
    <row r="2333" spans="1:32" ht="26.25">
      <c r="A2333" s="385"/>
      <c r="B2333" s="245"/>
      <c r="C2333" s="245"/>
      <c r="D2333" s="245"/>
      <c r="E2333" s="245"/>
      <c r="F2333" s="316"/>
      <c r="G2333" s="245"/>
      <c r="H2333" s="385"/>
      <c r="I2333" s="245"/>
      <c r="O2333" s="413"/>
      <c r="Q2333" s="415"/>
      <c r="R2333" s="416"/>
      <c r="S2333" s="420"/>
      <c r="T2333" s="384" ph="1"/>
      <c r="V2333" s="421"/>
      <c r="W2333" s="257"/>
      <c r="X2333" s="429"/>
      <c r="Y2333" s="257"/>
      <c r="Z2333" s="257"/>
      <c r="AC2333" s="357"/>
      <c r="AD2333" s="257"/>
      <c r="AE2333" s="245"/>
      <c r="AF2333" s="246"/>
    </row>
    <row r="2334" spans="1:32" ht="26.25">
      <c r="A2334" s="385"/>
      <c r="B2334" s="245"/>
      <c r="C2334" s="245"/>
      <c r="D2334" s="245"/>
      <c r="E2334" s="245"/>
      <c r="F2334" s="316"/>
      <c r="G2334" s="245"/>
      <c r="H2334" s="385"/>
      <c r="I2334" s="245"/>
      <c r="O2334" s="413"/>
      <c r="Q2334" s="415"/>
      <c r="R2334" s="416"/>
      <c r="S2334" s="420"/>
      <c r="T2334" s="384" ph="1"/>
      <c r="V2334" s="421"/>
      <c r="W2334" s="257"/>
      <c r="X2334" s="429"/>
      <c r="Y2334" s="257"/>
      <c r="Z2334" s="257"/>
      <c r="AC2334" s="357"/>
      <c r="AD2334" s="257"/>
      <c r="AE2334" s="245"/>
      <c r="AF2334" s="246"/>
    </row>
    <row r="2335" spans="1:32" ht="26.25">
      <c r="A2335" s="385"/>
      <c r="B2335" s="245"/>
      <c r="C2335" s="245"/>
      <c r="D2335" s="245"/>
      <c r="E2335" s="245"/>
      <c r="F2335" s="316"/>
      <c r="G2335" s="245"/>
      <c r="H2335" s="385"/>
      <c r="I2335" s="245"/>
      <c r="O2335" s="413"/>
      <c r="Q2335" s="415"/>
      <c r="R2335" s="416"/>
      <c r="S2335" s="420"/>
      <c r="T2335" s="384" ph="1"/>
      <c r="V2335" s="421"/>
      <c r="W2335" s="257"/>
      <c r="X2335" s="429"/>
      <c r="Y2335" s="257"/>
      <c r="Z2335" s="257"/>
      <c r="AC2335" s="357"/>
      <c r="AD2335" s="257"/>
      <c r="AE2335" s="245"/>
      <c r="AF2335" s="246"/>
    </row>
    <row r="2336" spans="1:32" ht="26.25">
      <c r="A2336" s="385"/>
      <c r="B2336" s="245"/>
      <c r="C2336" s="245"/>
      <c r="D2336" s="245"/>
      <c r="E2336" s="245"/>
      <c r="F2336" s="316"/>
      <c r="G2336" s="245"/>
      <c r="H2336" s="385"/>
      <c r="I2336" s="245"/>
      <c r="O2336" s="413"/>
      <c r="Q2336" s="415"/>
      <c r="R2336" s="416"/>
      <c r="S2336" s="420"/>
      <c r="T2336" s="384" ph="1"/>
      <c r="V2336" s="421"/>
      <c r="W2336" s="257"/>
      <c r="X2336" s="429"/>
      <c r="Y2336" s="257"/>
      <c r="Z2336" s="257"/>
      <c r="AC2336" s="357"/>
      <c r="AD2336" s="257"/>
      <c r="AE2336" s="245"/>
      <c r="AF2336" s="246"/>
    </row>
    <row r="2337" spans="1:32" ht="26.25">
      <c r="A2337" s="385"/>
      <c r="B2337" s="245"/>
      <c r="C2337" s="245"/>
      <c r="D2337" s="245"/>
      <c r="E2337" s="245"/>
      <c r="F2337" s="316"/>
      <c r="G2337" s="245"/>
      <c r="H2337" s="385"/>
      <c r="I2337" s="245"/>
      <c r="O2337" s="413"/>
      <c r="Q2337" s="415"/>
      <c r="R2337" s="416"/>
      <c r="S2337" s="420"/>
      <c r="T2337" s="384" ph="1"/>
      <c r="V2337" s="421"/>
      <c r="W2337" s="257"/>
      <c r="X2337" s="429"/>
      <c r="Y2337" s="257"/>
      <c r="Z2337" s="257"/>
      <c r="AC2337" s="357"/>
      <c r="AD2337" s="257"/>
      <c r="AE2337" s="245"/>
      <c r="AF2337" s="246"/>
    </row>
    <row r="2338" spans="1:32" ht="26.25">
      <c r="A2338" s="385"/>
      <c r="B2338" s="245"/>
      <c r="C2338" s="245"/>
      <c r="D2338" s="245"/>
      <c r="E2338" s="245"/>
      <c r="F2338" s="316"/>
      <c r="G2338" s="245"/>
      <c r="H2338" s="385"/>
      <c r="I2338" s="245"/>
      <c r="O2338" s="413"/>
      <c r="Q2338" s="415"/>
      <c r="R2338" s="416"/>
      <c r="S2338" s="420"/>
      <c r="T2338" s="384" ph="1"/>
      <c r="V2338" s="421"/>
      <c r="W2338" s="257"/>
      <c r="X2338" s="429"/>
      <c r="Y2338" s="257"/>
      <c r="Z2338" s="257"/>
      <c r="AC2338" s="357"/>
      <c r="AD2338" s="257"/>
      <c r="AE2338" s="245"/>
      <c r="AF2338" s="246"/>
    </row>
    <row r="2339" spans="1:32" ht="26.25">
      <c r="A2339" s="385"/>
      <c r="B2339" s="245"/>
      <c r="C2339" s="245"/>
      <c r="D2339" s="245"/>
      <c r="E2339" s="245"/>
      <c r="F2339" s="316"/>
      <c r="G2339" s="245"/>
      <c r="H2339" s="385"/>
      <c r="I2339" s="245"/>
      <c r="O2339" s="413"/>
      <c r="Q2339" s="415"/>
      <c r="R2339" s="416"/>
      <c r="S2339" s="420"/>
      <c r="T2339" s="384" ph="1"/>
      <c r="V2339" s="421"/>
      <c r="W2339" s="257"/>
      <c r="X2339" s="429"/>
      <c r="Y2339" s="257"/>
      <c r="Z2339" s="257"/>
      <c r="AC2339" s="357"/>
      <c r="AD2339" s="257"/>
      <c r="AE2339" s="245"/>
      <c r="AF2339" s="246"/>
    </row>
    <row r="2340" spans="1:32" ht="26.25">
      <c r="A2340" s="385"/>
      <c r="B2340" s="245"/>
      <c r="C2340" s="245"/>
      <c r="D2340" s="245"/>
      <c r="E2340" s="245"/>
      <c r="F2340" s="316"/>
      <c r="G2340" s="245"/>
      <c r="H2340" s="385"/>
      <c r="I2340" s="245"/>
      <c r="O2340" s="413"/>
      <c r="Q2340" s="415"/>
      <c r="R2340" s="416"/>
      <c r="S2340" s="420"/>
      <c r="T2340" s="384" ph="1"/>
      <c r="V2340" s="421"/>
      <c r="W2340" s="257"/>
      <c r="X2340" s="429"/>
      <c r="Y2340" s="257"/>
      <c r="Z2340" s="257"/>
      <c r="AC2340" s="357"/>
      <c r="AD2340" s="257"/>
      <c r="AE2340" s="245"/>
      <c r="AF2340" s="246"/>
    </row>
    <row r="2341" spans="1:32" ht="26.25">
      <c r="A2341" s="385"/>
      <c r="B2341" s="245"/>
      <c r="C2341" s="245"/>
      <c r="D2341" s="245"/>
      <c r="E2341" s="245"/>
      <c r="F2341" s="316"/>
      <c r="G2341" s="245"/>
      <c r="H2341" s="385"/>
      <c r="I2341" s="245"/>
      <c r="O2341" s="413"/>
      <c r="Q2341" s="415"/>
      <c r="R2341" s="416"/>
      <c r="S2341" s="420"/>
      <c r="T2341" s="384" ph="1"/>
      <c r="V2341" s="421"/>
      <c r="W2341" s="257"/>
      <c r="X2341" s="429"/>
      <c r="Y2341" s="257"/>
      <c r="Z2341" s="257"/>
      <c r="AC2341" s="357"/>
      <c r="AD2341" s="257"/>
      <c r="AE2341" s="245"/>
      <c r="AF2341" s="246"/>
    </row>
    <row r="2342" spans="1:32" ht="26.25">
      <c r="A2342" s="385"/>
      <c r="B2342" s="245"/>
      <c r="C2342" s="245"/>
      <c r="D2342" s="245"/>
      <c r="E2342" s="245"/>
      <c r="F2342" s="316"/>
      <c r="G2342" s="245"/>
      <c r="H2342" s="385"/>
      <c r="I2342" s="245"/>
      <c r="O2342" s="413"/>
      <c r="Q2342" s="415"/>
      <c r="R2342" s="416"/>
      <c r="S2342" s="420"/>
      <c r="T2342" s="384" ph="1"/>
      <c r="V2342" s="421"/>
      <c r="W2342" s="257"/>
      <c r="X2342" s="429"/>
      <c r="Y2342" s="257"/>
      <c r="Z2342" s="257"/>
      <c r="AC2342" s="357"/>
      <c r="AD2342" s="257"/>
      <c r="AE2342" s="245"/>
      <c r="AF2342" s="246"/>
    </row>
    <row r="2343" spans="1:32" ht="26.25">
      <c r="A2343" s="385"/>
      <c r="B2343" s="245"/>
      <c r="C2343" s="245"/>
      <c r="D2343" s="245"/>
      <c r="E2343" s="245"/>
      <c r="F2343" s="316"/>
      <c r="G2343" s="245"/>
      <c r="H2343" s="385"/>
      <c r="I2343" s="245"/>
      <c r="O2343" s="413"/>
      <c r="Q2343" s="415"/>
      <c r="R2343" s="416"/>
      <c r="S2343" s="420"/>
      <c r="T2343" s="384" ph="1"/>
      <c r="V2343" s="421"/>
      <c r="W2343" s="257"/>
      <c r="X2343" s="429"/>
      <c r="Y2343" s="257"/>
      <c r="Z2343" s="257"/>
      <c r="AC2343" s="357"/>
      <c r="AD2343" s="257"/>
      <c r="AE2343" s="245"/>
      <c r="AF2343" s="246"/>
    </row>
    <row r="2344" spans="1:32" ht="26.25">
      <c r="A2344" s="385"/>
      <c r="B2344" s="245"/>
      <c r="C2344" s="245"/>
      <c r="D2344" s="245"/>
      <c r="E2344" s="245"/>
      <c r="F2344" s="316"/>
      <c r="G2344" s="245"/>
      <c r="H2344" s="385"/>
      <c r="I2344" s="245"/>
      <c r="O2344" s="413"/>
      <c r="Q2344" s="415"/>
      <c r="R2344" s="416"/>
      <c r="S2344" s="420"/>
      <c r="T2344" s="384" ph="1"/>
      <c r="V2344" s="421"/>
      <c r="W2344" s="257"/>
      <c r="X2344" s="429"/>
      <c r="Y2344" s="257"/>
      <c r="Z2344" s="257"/>
      <c r="AC2344" s="357"/>
      <c r="AD2344" s="257"/>
      <c r="AE2344" s="245"/>
      <c r="AF2344" s="246"/>
    </row>
    <row r="2345" spans="1:32" ht="26.25">
      <c r="A2345" s="385"/>
      <c r="B2345" s="245"/>
      <c r="C2345" s="245"/>
      <c r="D2345" s="245"/>
      <c r="E2345" s="245"/>
      <c r="F2345" s="316"/>
      <c r="G2345" s="245"/>
      <c r="H2345" s="385"/>
      <c r="I2345" s="245"/>
      <c r="O2345" s="413"/>
      <c r="Q2345" s="415"/>
      <c r="R2345" s="416"/>
      <c r="S2345" s="420"/>
      <c r="T2345" s="384" ph="1"/>
      <c r="V2345" s="421"/>
      <c r="W2345" s="257"/>
      <c r="X2345" s="429"/>
      <c r="Y2345" s="257"/>
      <c r="Z2345" s="257"/>
      <c r="AC2345" s="357"/>
      <c r="AD2345" s="257"/>
      <c r="AE2345" s="245"/>
      <c r="AF2345" s="246"/>
    </row>
    <row r="2346" spans="1:32" ht="26.25">
      <c r="A2346" s="385"/>
      <c r="B2346" s="245"/>
      <c r="C2346" s="245"/>
      <c r="D2346" s="245"/>
      <c r="E2346" s="245"/>
      <c r="F2346" s="316"/>
      <c r="G2346" s="245"/>
      <c r="H2346" s="385"/>
      <c r="I2346" s="245"/>
      <c r="O2346" s="413"/>
      <c r="Q2346" s="415"/>
      <c r="R2346" s="416"/>
      <c r="S2346" s="420"/>
      <c r="T2346" s="384" ph="1"/>
      <c r="V2346" s="421"/>
      <c r="W2346" s="257"/>
      <c r="X2346" s="429"/>
      <c r="Y2346" s="257"/>
      <c r="Z2346" s="257"/>
      <c r="AC2346" s="357"/>
      <c r="AD2346" s="257"/>
      <c r="AE2346" s="245"/>
      <c r="AF2346" s="246"/>
    </row>
    <row r="2347" spans="1:32" ht="26.25">
      <c r="A2347" s="385"/>
      <c r="B2347" s="245"/>
      <c r="C2347" s="245"/>
      <c r="D2347" s="245"/>
      <c r="E2347" s="245"/>
      <c r="F2347" s="316"/>
      <c r="G2347" s="245"/>
      <c r="H2347" s="385"/>
      <c r="I2347" s="245"/>
      <c r="O2347" s="413"/>
      <c r="Q2347" s="415"/>
      <c r="R2347" s="416"/>
      <c r="S2347" s="420"/>
      <c r="T2347" s="384" ph="1"/>
      <c r="V2347" s="421"/>
      <c r="W2347" s="257"/>
      <c r="X2347" s="429"/>
      <c r="Y2347" s="257"/>
      <c r="Z2347" s="257"/>
      <c r="AC2347" s="357"/>
      <c r="AD2347" s="257"/>
      <c r="AE2347" s="245"/>
      <c r="AF2347" s="246"/>
    </row>
    <row r="2348" spans="1:32" ht="26.25">
      <c r="A2348" s="385"/>
      <c r="B2348" s="245"/>
      <c r="C2348" s="245"/>
      <c r="D2348" s="245"/>
      <c r="E2348" s="245"/>
      <c r="F2348" s="316"/>
      <c r="G2348" s="245"/>
      <c r="H2348" s="385"/>
      <c r="I2348" s="245"/>
      <c r="O2348" s="413"/>
      <c r="Q2348" s="415"/>
      <c r="R2348" s="416"/>
      <c r="S2348" s="420"/>
      <c r="T2348" s="384" ph="1"/>
      <c r="V2348" s="421"/>
      <c r="W2348" s="257"/>
      <c r="X2348" s="429"/>
      <c r="Y2348" s="257"/>
      <c r="Z2348" s="257"/>
      <c r="AC2348" s="357"/>
      <c r="AD2348" s="257"/>
      <c r="AE2348" s="245"/>
      <c r="AF2348" s="246"/>
    </row>
    <row r="2349" spans="1:32" ht="26.25">
      <c r="A2349" s="385"/>
      <c r="B2349" s="245"/>
      <c r="C2349" s="245"/>
      <c r="D2349" s="245"/>
      <c r="E2349" s="245"/>
      <c r="F2349" s="316"/>
      <c r="G2349" s="245"/>
      <c r="H2349" s="385"/>
      <c r="I2349" s="245"/>
      <c r="O2349" s="413"/>
      <c r="Q2349" s="415"/>
      <c r="R2349" s="416"/>
      <c r="S2349" s="420"/>
      <c r="T2349" s="384" ph="1"/>
      <c r="V2349" s="421"/>
      <c r="W2349" s="257"/>
      <c r="X2349" s="429"/>
      <c r="Y2349" s="257"/>
      <c r="Z2349" s="257"/>
      <c r="AC2349" s="357"/>
      <c r="AD2349" s="257"/>
      <c r="AE2349" s="245"/>
      <c r="AF2349" s="246"/>
    </row>
    <row r="2350" spans="1:32" ht="26.25">
      <c r="A2350" s="385"/>
      <c r="B2350" s="245"/>
      <c r="C2350" s="245"/>
      <c r="D2350" s="245"/>
      <c r="E2350" s="245"/>
      <c r="F2350" s="316"/>
      <c r="G2350" s="245"/>
      <c r="H2350" s="385"/>
      <c r="I2350" s="245"/>
      <c r="O2350" s="413"/>
      <c r="Q2350" s="415"/>
      <c r="R2350" s="416"/>
      <c r="S2350" s="420"/>
      <c r="T2350" s="384" ph="1"/>
      <c r="V2350" s="421"/>
      <c r="W2350" s="257"/>
      <c r="X2350" s="429"/>
      <c r="Y2350" s="257"/>
      <c r="Z2350" s="257"/>
      <c r="AC2350" s="357"/>
      <c r="AD2350" s="257"/>
      <c r="AE2350" s="245"/>
      <c r="AF2350" s="246"/>
    </row>
    <row r="2351" spans="1:32" ht="26.25">
      <c r="A2351" s="385"/>
      <c r="B2351" s="245"/>
      <c r="C2351" s="245"/>
      <c r="D2351" s="245"/>
      <c r="E2351" s="245"/>
      <c r="F2351" s="316"/>
      <c r="G2351" s="245"/>
      <c r="H2351" s="385"/>
      <c r="I2351" s="245"/>
      <c r="O2351" s="413"/>
      <c r="Q2351" s="415"/>
      <c r="R2351" s="416"/>
      <c r="S2351" s="420"/>
      <c r="T2351" s="384" ph="1"/>
      <c r="V2351" s="421"/>
      <c r="W2351" s="257"/>
      <c r="X2351" s="429"/>
      <c r="Y2351" s="257"/>
      <c r="Z2351" s="257"/>
      <c r="AC2351" s="357"/>
      <c r="AD2351" s="257"/>
      <c r="AE2351" s="245"/>
      <c r="AF2351" s="246"/>
    </row>
    <row r="2352" spans="1:32" ht="26.25">
      <c r="A2352" s="385"/>
      <c r="B2352" s="245"/>
      <c r="C2352" s="245"/>
      <c r="D2352" s="245"/>
      <c r="E2352" s="245"/>
      <c r="F2352" s="316"/>
      <c r="G2352" s="245"/>
      <c r="H2352" s="385"/>
      <c r="I2352" s="245"/>
      <c r="O2352" s="413"/>
      <c r="Q2352" s="415"/>
      <c r="R2352" s="416"/>
      <c r="S2352" s="420"/>
      <c r="T2352" s="384" ph="1"/>
      <c r="V2352" s="421"/>
      <c r="W2352" s="257"/>
      <c r="X2352" s="429"/>
      <c r="Y2352" s="257"/>
      <c r="Z2352" s="257"/>
      <c r="AC2352" s="357"/>
      <c r="AD2352" s="257"/>
      <c r="AE2352" s="245"/>
      <c r="AF2352" s="246"/>
    </row>
    <row r="2353" spans="1:32" ht="26.25">
      <c r="A2353" s="385"/>
      <c r="B2353" s="245"/>
      <c r="C2353" s="245"/>
      <c r="D2353" s="245"/>
      <c r="E2353" s="245"/>
      <c r="F2353" s="316"/>
      <c r="G2353" s="245"/>
      <c r="H2353" s="385"/>
      <c r="I2353" s="245"/>
      <c r="O2353" s="413"/>
      <c r="Q2353" s="415"/>
      <c r="R2353" s="416"/>
      <c r="S2353" s="420"/>
      <c r="T2353" s="384" ph="1"/>
      <c r="V2353" s="421"/>
      <c r="W2353" s="257"/>
      <c r="X2353" s="429"/>
      <c r="Y2353" s="257"/>
      <c r="Z2353" s="257"/>
      <c r="AC2353" s="357"/>
      <c r="AD2353" s="257"/>
      <c r="AE2353" s="245"/>
      <c r="AF2353" s="246"/>
    </row>
    <row r="2354" spans="1:32" ht="26.25">
      <c r="A2354" s="385"/>
      <c r="B2354" s="245"/>
      <c r="C2354" s="245"/>
      <c r="D2354" s="245"/>
      <c r="E2354" s="245"/>
      <c r="F2354" s="316"/>
      <c r="G2354" s="245"/>
      <c r="H2354" s="385"/>
      <c r="I2354" s="245"/>
      <c r="O2354" s="413"/>
      <c r="Q2354" s="415"/>
      <c r="R2354" s="416"/>
      <c r="S2354" s="420"/>
      <c r="T2354" s="384" ph="1"/>
      <c r="V2354" s="421"/>
      <c r="W2354" s="257"/>
      <c r="X2354" s="429"/>
      <c r="Y2354" s="257"/>
      <c r="Z2354" s="257"/>
      <c r="AC2354" s="357"/>
      <c r="AD2354" s="257"/>
      <c r="AE2354" s="245"/>
      <c r="AF2354" s="246"/>
    </row>
    <row r="2355" spans="1:32" ht="26.25">
      <c r="A2355" s="385"/>
      <c r="B2355" s="245"/>
      <c r="C2355" s="245"/>
      <c r="D2355" s="245"/>
      <c r="E2355" s="245"/>
      <c r="F2355" s="316"/>
      <c r="G2355" s="245"/>
      <c r="H2355" s="385"/>
      <c r="I2355" s="245"/>
      <c r="O2355" s="413"/>
      <c r="Q2355" s="415"/>
      <c r="R2355" s="416"/>
      <c r="S2355" s="420"/>
      <c r="T2355" s="384" ph="1"/>
      <c r="V2355" s="421"/>
      <c r="W2355" s="257"/>
      <c r="X2355" s="429"/>
      <c r="Y2355" s="257"/>
      <c r="Z2355" s="257"/>
      <c r="AC2355" s="357"/>
      <c r="AD2355" s="257"/>
      <c r="AE2355" s="245"/>
      <c r="AF2355" s="246"/>
    </row>
    <row r="2356" spans="1:32" ht="26.25">
      <c r="A2356" s="385"/>
      <c r="B2356" s="245"/>
      <c r="C2356" s="245"/>
      <c r="D2356" s="245"/>
      <c r="E2356" s="245"/>
      <c r="F2356" s="316"/>
      <c r="G2356" s="245"/>
      <c r="H2356" s="385"/>
      <c r="I2356" s="245"/>
      <c r="O2356" s="413"/>
      <c r="Q2356" s="415"/>
      <c r="R2356" s="416"/>
      <c r="S2356" s="420"/>
      <c r="T2356" s="384" ph="1"/>
      <c r="V2356" s="421"/>
      <c r="W2356" s="257"/>
      <c r="X2356" s="429"/>
      <c r="Y2356" s="257"/>
      <c r="Z2356" s="257"/>
      <c r="AC2356" s="357"/>
      <c r="AD2356" s="257"/>
      <c r="AE2356" s="245"/>
      <c r="AF2356" s="246"/>
    </row>
    <row r="2357" spans="1:32" ht="26.25">
      <c r="A2357" s="385"/>
      <c r="B2357" s="245"/>
      <c r="C2357" s="245"/>
      <c r="D2357" s="245"/>
      <c r="E2357" s="245"/>
      <c r="F2357" s="316"/>
      <c r="G2357" s="245"/>
      <c r="H2357" s="385"/>
      <c r="I2357" s="245"/>
      <c r="O2357" s="413"/>
      <c r="Q2357" s="415"/>
      <c r="R2357" s="416"/>
      <c r="S2357" s="420"/>
      <c r="T2357" s="384" ph="1"/>
      <c r="V2357" s="421"/>
      <c r="W2357" s="257"/>
      <c r="X2357" s="429"/>
      <c r="Y2357" s="257"/>
      <c r="Z2357" s="257"/>
      <c r="AC2357" s="357"/>
      <c r="AD2357" s="257"/>
      <c r="AE2357" s="245"/>
      <c r="AF2357" s="246"/>
    </row>
    <row r="2358" spans="1:32" ht="26.25">
      <c r="A2358" s="385"/>
      <c r="B2358" s="245"/>
      <c r="C2358" s="245"/>
      <c r="D2358" s="245"/>
      <c r="E2358" s="245"/>
      <c r="F2358" s="316"/>
      <c r="G2358" s="245"/>
      <c r="H2358" s="385"/>
      <c r="I2358" s="245"/>
      <c r="O2358" s="413"/>
      <c r="Q2358" s="415"/>
      <c r="R2358" s="416"/>
      <c r="S2358" s="420"/>
      <c r="T2358" s="384" ph="1"/>
      <c r="V2358" s="421"/>
      <c r="W2358" s="257"/>
      <c r="X2358" s="429"/>
      <c r="Y2358" s="257"/>
      <c r="Z2358" s="257"/>
      <c r="AC2358" s="357"/>
      <c r="AD2358" s="257"/>
      <c r="AE2358" s="245"/>
      <c r="AF2358" s="246"/>
    </row>
    <row r="2359" spans="1:32" ht="26.25">
      <c r="A2359" s="385"/>
      <c r="B2359" s="245"/>
      <c r="C2359" s="245"/>
      <c r="D2359" s="245"/>
      <c r="E2359" s="245"/>
      <c r="F2359" s="316"/>
      <c r="G2359" s="245"/>
      <c r="H2359" s="385"/>
      <c r="I2359" s="245"/>
      <c r="O2359" s="413"/>
      <c r="Q2359" s="415"/>
      <c r="R2359" s="416"/>
      <c r="S2359" s="420"/>
      <c r="T2359" s="384" ph="1"/>
      <c r="V2359" s="421"/>
      <c r="W2359" s="257"/>
      <c r="X2359" s="429"/>
      <c r="Y2359" s="257"/>
      <c r="Z2359" s="257"/>
      <c r="AC2359" s="357"/>
      <c r="AD2359" s="257"/>
      <c r="AE2359" s="245"/>
      <c r="AF2359" s="246"/>
    </row>
    <row r="2360" spans="1:32" ht="26.25">
      <c r="A2360" s="385"/>
      <c r="B2360" s="245"/>
      <c r="C2360" s="245"/>
      <c r="D2360" s="245"/>
      <c r="E2360" s="245"/>
      <c r="F2360" s="316"/>
      <c r="G2360" s="245"/>
      <c r="H2360" s="385"/>
      <c r="I2360" s="245"/>
      <c r="O2360" s="413"/>
      <c r="Q2360" s="415"/>
      <c r="R2360" s="416"/>
      <c r="S2360" s="420"/>
      <c r="T2360" s="384" ph="1"/>
      <c r="V2360" s="421"/>
      <c r="W2360" s="257"/>
      <c r="X2360" s="429"/>
      <c r="Y2360" s="257"/>
      <c r="Z2360" s="257"/>
      <c r="AC2360" s="357"/>
      <c r="AD2360" s="257"/>
      <c r="AE2360" s="245"/>
      <c r="AF2360" s="246"/>
    </row>
    <row r="2361" spans="1:32" ht="26.25">
      <c r="A2361" s="385"/>
      <c r="B2361" s="245"/>
      <c r="C2361" s="245"/>
      <c r="D2361" s="245"/>
      <c r="E2361" s="245"/>
      <c r="F2361" s="316"/>
      <c r="G2361" s="245"/>
      <c r="H2361" s="385"/>
      <c r="I2361" s="245"/>
      <c r="O2361" s="413"/>
      <c r="Q2361" s="415"/>
      <c r="R2361" s="416"/>
      <c r="S2361" s="420"/>
      <c r="T2361" s="384" ph="1"/>
      <c r="V2361" s="421"/>
      <c r="W2361" s="257"/>
      <c r="X2361" s="429"/>
      <c r="Y2361" s="257"/>
      <c r="Z2361" s="257"/>
      <c r="AC2361" s="357"/>
      <c r="AD2361" s="257"/>
      <c r="AE2361" s="245"/>
      <c r="AF2361" s="246"/>
    </row>
    <row r="2362" spans="1:32" ht="26.25">
      <c r="A2362" s="385"/>
      <c r="B2362" s="245"/>
      <c r="C2362" s="245"/>
      <c r="D2362" s="245"/>
      <c r="E2362" s="245"/>
      <c r="F2362" s="316"/>
      <c r="G2362" s="245"/>
      <c r="H2362" s="385"/>
      <c r="I2362" s="245"/>
      <c r="O2362" s="413"/>
      <c r="Q2362" s="415"/>
      <c r="R2362" s="416"/>
      <c r="S2362" s="420"/>
      <c r="T2362" s="384" ph="1"/>
      <c r="V2362" s="421"/>
      <c r="W2362" s="257"/>
      <c r="X2362" s="429"/>
      <c r="Y2362" s="257"/>
      <c r="Z2362" s="257"/>
      <c r="AC2362" s="357"/>
      <c r="AD2362" s="257"/>
      <c r="AE2362" s="245"/>
      <c r="AF2362" s="246"/>
    </row>
    <row r="2363" spans="1:32" ht="26.25">
      <c r="A2363" s="385"/>
      <c r="B2363" s="245"/>
      <c r="C2363" s="245"/>
      <c r="D2363" s="245"/>
      <c r="E2363" s="245"/>
      <c r="F2363" s="316"/>
      <c r="G2363" s="245"/>
      <c r="H2363" s="385"/>
      <c r="I2363" s="245"/>
      <c r="O2363" s="413"/>
      <c r="Q2363" s="415"/>
      <c r="R2363" s="416"/>
      <c r="S2363" s="420"/>
      <c r="T2363" s="384" ph="1"/>
      <c r="V2363" s="421"/>
      <c r="W2363" s="257"/>
      <c r="X2363" s="429"/>
      <c r="Y2363" s="257"/>
      <c r="Z2363" s="257"/>
      <c r="AC2363" s="357"/>
      <c r="AD2363" s="257"/>
      <c r="AE2363" s="245"/>
      <c r="AF2363" s="246"/>
    </row>
    <row r="2364" spans="1:32" ht="26.25">
      <c r="A2364" s="385"/>
      <c r="B2364" s="245"/>
      <c r="C2364" s="245"/>
      <c r="D2364" s="245"/>
      <c r="E2364" s="245"/>
      <c r="F2364" s="316"/>
      <c r="G2364" s="245"/>
      <c r="H2364" s="385"/>
      <c r="I2364" s="245"/>
      <c r="O2364" s="413"/>
      <c r="Q2364" s="415"/>
      <c r="R2364" s="416"/>
      <c r="S2364" s="420"/>
      <c r="T2364" s="384" ph="1"/>
      <c r="V2364" s="421"/>
      <c r="W2364" s="257"/>
      <c r="X2364" s="429"/>
      <c r="Y2364" s="257"/>
      <c r="Z2364" s="257"/>
      <c r="AC2364" s="357"/>
      <c r="AD2364" s="257"/>
      <c r="AE2364" s="245"/>
      <c r="AF2364" s="246"/>
    </row>
    <row r="2365" spans="1:32" ht="26.25">
      <c r="A2365" s="385"/>
      <c r="B2365" s="245"/>
      <c r="C2365" s="245"/>
      <c r="D2365" s="245"/>
      <c r="E2365" s="245"/>
      <c r="F2365" s="316"/>
      <c r="G2365" s="245"/>
      <c r="H2365" s="385"/>
      <c r="I2365" s="245"/>
      <c r="O2365" s="413"/>
      <c r="Q2365" s="415"/>
      <c r="R2365" s="416"/>
      <c r="S2365" s="420"/>
      <c r="T2365" s="384" ph="1"/>
      <c r="V2365" s="421"/>
      <c r="W2365" s="257"/>
      <c r="X2365" s="429"/>
      <c r="Y2365" s="257"/>
      <c r="Z2365" s="257"/>
      <c r="AC2365" s="357"/>
      <c r="AD2365" s="257"/>
      <c r="AE2365" s="245"/>
      <c r="AF2365" s="246"/>
    </row>
    <row r="2366" spans="1:32" ht="26.25">
      <c r="A2366" s="385"/>
      <c r="B2366" s="245"/>
      <c r="C2366" s="245"/>
      <c r="D2366" s="245"/>
      <c r="E2366" s="245"/>
      <c r="F2366" s="316"/>
      <c r="G2366" s="245"/>
      <c r="H2366" s="385"/>
      <c r="I2366" s="245"/>
      <c r="O2366" s="413"/>
      <c r="Q2366" s="415"/>
      <c r="R2366" s="416"/>
      <c r="S2366" s="420"/>
      <c r="T2366" s="384" ph="1"/>
      <c r="V2366" s="421"/>
      <c r="W2366" s="257"/>
      <c r="X2366" s="429"/>
      <c r="Y2366" s="257"/>
      <c r="Z2366" s="257"/>
      <c r="AC2366" s="357"/>
      <c r="AD2366" s="257"/>
      <c r="AE2366" s="245"/>
      <c r="AF2366" s="246"/>
    </row>
    <row r="2367" spans="1:32" ht="26.25">
      <c r="A2367" s="385"/>
      <c r="B2367" s="245"/>
      <c r="C2367" s="245"/>
      <c r="D2367" s="245"/>
      <c r="E2367" s="245"/>
      <c r="F2367" s="316"/>
      <c r="G2367" s="245"/>
      <c r="H2367" s="385"/>
      <c r="I2367" s="245"/>
      <c r="O2367" s="413"/>
      <c r="Q2367" s="415"/>
      <c r="R2367" s="416"/>
      <c r="S2367" s="420"/>
      <c r="T2367" s="384" ph="1"/>
      <c r="V2367" s="421"/>
      <c r="W2367" s="257"/>
      <c r="X2367" s="429"/>
      <c r="Y2367" s="257"/>
      <c r="Z2367" s="257"/>
      <c r="AC2367" s="357"/>
      <c r="AD2367" s="257"/>
      <c r="AE2367" s="245"/>
      <c r="AF2367" s="246"/>
    </row>
    <row r="2368" spans="1:32" ht="26.25">
      <c r="A2368" s="385"/>
      <c r="B2368" s="245"/>
      <c r="C2368" s="245"/>
      <c r="D2368" s="245"/>
      <c r="E2368" s="245"/>
      <c r="F2368" s="316"/>
      <c r="G2368" s="245"/>
      <c r="H2368" s="385"/>
      <c r="I2368" s="245"/>
      <c r="O2368" s="413"/>
      <c r="Q2368" s="415"/>
      <c r="R2368" s="416"/>
      <c r="S2368" s="420"/>
      <c r="T2368" s="384" ph="1"/>
      <c r="V2368" s="421"/>
      <c r="W2368" s="257"/>
      <c r="X2368" s="429"/>
      <c r="Y2368" s="257"/>
      <c r="Z2368" s="257"/>
      <c r="AC2368" s="357"/>
      <c r="AD2368" s="257"/>
      <c r="AE2368" s="245"/>
      <c r="AF2368" s="246"/>
    </row>
    <row r="2369" spans="1:32" ht="26.25">
      <c r="A2369" s="385"/>
      <c r="B2369" s="245"/>
      <c r="C2369" s="245"/>
      <c r="D2369" s="245"/>
      <c r="E2369" s="245"/>
      <c r="F2369" s="316"/>
      <c r="G2369" s="245"/>
      <c r="H2369" s="385"/>
      <c r="I2369" s="245"/>
      <c r="O2369" s="413"/>
      <c r="Q2369" s="415"/>
      <c r="R2369" s="416"/>
      <c r="S2369" s="420"/>
      <c r="T2369" s="384" ph="1"/>
      <c r="V2369" s="421"/>
      <c r="W2369" s="257"/>
      <c r="X2369" s="429"/>
      <c r="Y2369" s="257"/>
      <c r="Z2369" s="257"/>
      <c r="AC2369" s="357"/>
      <c r="AD2369" s="257"/>
      <c r="AE2369" s="245"/>
      <c r="AF2369" s="246"/>
    </row>
    <row r="2370" spans="1:32" ht="26.25">
      <c r="A2370" s="385"/>
      <c r="B2370" s="245"/>
      <c r="C2370" s="245"/>
      <c r="D2370" s="245"/>
      <c r="E2370" s="245"/>
      <c r="F2370" s="316"/>
      <c r="G2370" s="245"/>
      <c r="H2370" s="385"/>
      <c r="I2370" s="245"/>
      <c r="O2370" s="413"/>
      <c r="Q2370" s="415"/>
      <c r="R2370" s="416"/>
      <c r="S2370" s="420"/>
      <c r="T2370" s="384" ph="1"/>
      <c r="V2370" s="421"/>
      <c r="W2370" s="257"/>
      <c r="X2370" s="429"/>
      <c r="Y2370" s="257"/>
      <c r="Z2370" s="257"/>
      <c r="AC2370" s="357"/>
      <c r="AD2370" s="257"/>
      <c r="AE2370" s="245"/>
      <c r="AF2370" s="246"/>
    </row>
    <row r="2371" spans="1:32" ht="26.25">
      <c r="A2371" s="385"/>
      <c r="B2371" s="245"/>
      <c r="C2371" s="245"/>
      <c r="D2371" s="245"/>
      <c r="E2371" s="245"/>
      <c r="F2371" s="316"/>
      <c r="G2371" s="245"/>
      <c r="H2371" s="385"/>
      <c r="I2371" s="245"/>
      <c r="O2371" s="413"/>
      <c r="Q2371" s="415"/>
      <c r="R2371" s="416"/>
      <c r="S2371" s="420"/>
      <c r="T2371" s="384" ph="1"/>
      <c r="V2371" s="421"/>
      <c r="W2371" s="257"/>
      <c r="X2371" s="429"/>
      <c r="Y2371" s="257"/>
      <c r="Z2371" s="257"/>
      <c r="AC2371" s="357"/>
      <c r="AD2371" s="257"/>
      <c r="AE2371" s="245"/>
      <c r="AF2371" s="246"/>
    </row>
    <row r="2372" spans="1:32" ht="26.25">
      <c r="A2372" s="385"/>
      <c r="B2372" s="245"/>
      <c r="C2372" s="245"/>
      <c r="D2372" s="245"/>
      <c r="E2372" s="245"/>
      <c r="F2372" s="316"/>
      <c r="G2372" s="245"/>
      <c r="H2372" s="385"/>
      <c r="I2372" s="245"/>
      <c r="O2372" s="413"/>
      <c r="Q2372" s="415"/>
      <c r="R2372" s="416"/>
      <c r="S2372" s="420"/>
      <c r="T2372" s="384" ph="1"/>
      <c r="V2372" s="421"/>
      <c r="W2372" s="257"/>
      <c r="X2372" s="429"/>
      <c r="Y2372" s="257"/>
      <c r="Z2372" s="257"/>
      <c r="AC2372" s="357"/>
      <c r="AD2372" s="257"/>
      <c r="AE2372" s="245"/>
      <c r="AF2372" s="246"/>
    </row>
    <row r="2373" spans="1:32" ht="26.25">
      <c r="A2373" s="385"/>
      <c r="B2373" s="245"/>
      <c r="C2373" s="245"/>
      <c r="D2373" s="245"/>
      <c r="E2373" s="245"/>
      <c r="F2373" s="316"/>
      <c r="G2373" s="245"/>
      <c r="H2373" s="385"/>
      <c r="I2373" s="245"/>
      <c r="O2373" s="413"/>
      <c r="Q2373" s="415"/>
      <c r="R2373" s="416"/>
      <c r="S2373" s="420"/>
      <c r="T2373" s="384" ph="1"/>
      <c r="V2373" s="421"/>
      <c r="W2373" s="257"/>
      <c r="X2373" s="429"/>
      <c r="Y2373" s="257"/>
      <c r="Z2373" s="257"/>
      <c r="AC2373" s="357"/>
      <c r="AD2373" s="257"/>
      <c r="AE2373" s="245"/>
      <c r="AF2373" s="246"/>
    </row>
    <row r="2374" spans="1:32" ht="26.25">
      <c r="A2374" s="385"/>
      <c r="B2374" s="245"/>
      <c r="C2374" s="245"/>
      <c r="D2374" s="245"/>
      <c r="E2374" s="245"/>
      <c r="F2374" s="316"/>
      <c r="G2374" s="245"/>
      <c r="H2374" s="385"/>
      <c r="I2374" s="245"/>
      <c r="O2374" s="413"/>
      <c r="Q2374" s="415"/>
      <c r="R2374" s="416"/>
      <c r="S2374" s="420"/>
      <c r="T2374" s="384" ph="1"/>
      <c r="V2374" s="421"/>
      <c r="W2374" s="257"/>
      <c r="X2374" s="429"/>
      <c r="Y2374" s="257"/>
      <c r="Z2374" s="257"/>
      <c r="AC2374" s="357"/>
      <c r="AD2374" s="257"/>
      <c r="AE2374" s="245"/>
      <c r="AF2374" s="246"/>
    </row>
    <row r="2375" spans="1:32" ht="26.25">
      <c r="A2375" s="385"/>
      <c r="B2375" s="245"/>
      <c r="C2375" s="245"/>
      <c r="D2375" s="245"/>
      <c r="E2375" s="245"/>
      <c r="F2375" s="316"/>
      <c r="G2375" s="245"/>
      <c r="H2375" s="385"/>
      <c r="I2375" s="245"/>
      <c r="O2375" s="413"/>
      <c r="Q2375" s="415"/>
      <c r="R2375" s="416"/>
      <c r="S2375" s="420"/>
      <c r="T2375" s="384" ph="1"/>
      <c r="V2375" s="421"/>
      <c r="W2375" s="257"/>
      <c r="X2375" s="429"/>
      <c r="Y2375" s="257"/>
      <c r="Z2375" s="257"/>
      <c r="AC2375" s="357"/>
      <c r="AD2375" s="257"/>
      <c r="AE2375" s="245"/>
      <c r="AF2375" s="246"/>
    </row>
    <row r="2376" spans="1:32" ht="26.25">
      <c r="A2376" s="385"/>
      <c r="B2376" s="245"/>
      <c r="C2376" s="245"/>
      <c r="D2376" s="245"/>
      <c r="E2376" s="245"/>
      <c r="F2376" s="316"/>
      <c r="G2376" s="245"/>
      <c r="H2376" s="385"/>
      <c r="I2376" s="245"/>
      <c r="O2376" s="413"/>
      <c r="Q2376" s="415"/>
      <c r="R2376" s="416"/>
      <c r="S2376" s="420"/>
      <c r="T2376" s="384" ph="1"/>
      <c r="V2376" s="421"/>
      <c r="W2376" s="257"/>
      <c r="X2376" s="429"/>
      <c r="Y2376" s="257"/>
      <c r="Z2376" s="257"/>
      <c r="AC2376" s="357"/>
      <c r="AD2376" s="257"/>
      <c r="AE2376" s="245"/>
      <c r="AF2376" s="246"/>
    </row>
    <row r="2377" spans="1:32" ht="26.25">
      <c r="A2377" s="385"/>
      <c r="B2377" s="245"/>
      <c r="C2377" s="245"/>
      <c r="D2377" s="245"/>
      <c r="E2377" s="245"/>
      <c r="F2377" s="316"/>
      <c r="G2377" s="245"/>
      <c r="H2377" s="385"/>
      <c r="I2377" s="245"/>
      <c r="O2377" s="413"/>
      <c r="Q2377" s="415"/>
      <c r="R2377" s="416"/>
      <c r="S2377" s="420"/>
      <c r="T2377" s="384" ph="1"/>
      <c r="V2377" s="421"/>
      <c r="W2377" s="257"/>
      <c r="X2377" s="429"/>
      <c r="Y2377" s="257"/>
      <c r="Z2377" s="257"/>
      <c r="AC2377" s="357"/>
      <c r="AD2377" s="257"/>
      <c r="AE2377" s="245"/>
      <c r="AF2377" s="246"/>
    </row>
    <row r="2378" spans="1:32" ht="26.25">
      <c r="A2378" s="385"/>
      <c r="B2378" s="245"/>
      <c r="C2378" s="245"/>
      <c r="D2378" s="245"/>
      <c r="E2378" s="245"/>
      <c r="F2378" s="316"/>
      <c r="G2378" s="245"/>
      <c r="H2378" s="385"/>
      <c r="I2378" s="245"/>
      <c r="O2378" s="413"/>
      <c r="Q2378" s="415"/>
      <c r="R2378" s="416"/>
      <c r="S2378" s="420"/>
      <c r="T2378" s="384" ph="1"/>
      <c r="V2378" s="421"/>
      <c r="W2378" s="257"/>
      <c r="X2378" s="429"/>
      <c r="Y2378" s="257"/>
      <c r="Z2378" s="257"/>
      <c r="AC2378" s="357"/>
      <c r="AD2378" s="257"/>
      <c r="AE2378" s="245"/>
      <c r="AF2378" s="246"/>
    </row>
    <row r="2379" spans="1:32" ht="26.25">
      <c r="A2379" s="385"/>
      <c r="B2379" s="245"/>
      <c r="C2379" s="245"/>
      <c r="D2379" s="245"/>
      <c r="E2379" s="245"/>
      <c r="F2379" s="316"/>
      <c r="G2379" s="245"/>
      <c r="H2379" s="385"/>
      <c r="I2379" s="245"/>
      <c r="O2379" s="413"/>
      <c r="Q2379" s="415"/>
      <c r="R2379" s="416"/>
      <c r="S2379" s="420"/>
      <c r="T2379" s="384" ph="1"/>
      <c r="V2379" s="421"/>
      <c r="W2379" s="257"/>
      <c r="X2379" s="429"/>
      <c r="Y2379" s="257"/>
      <c r="Z2379" s="257"/>
      <c r="AC2379" s="357"/>
      <c r="AD2379" s="257"/>
      <c r="AE2379" s="245"/>
      <c r="AF2379" s="246"/>
    </row>
    <row r="2380" spans="1:32" ht="26.25">
      <c r="A2380" s="385"/>
      <c r="B2380" s="245"/>
      <c r="C2380" s="245"/>
      <c r="D2380" s="245"/>
      <c r="E2380" s="245"/>
      <c r="F2380" s="316"/>
      <c r="G2380" s="245"/>
      <c r="H2380" s="385"/>
      <c r="I2380" s="245"/>
      <c r="O2380" s="413"/>
      <c r="Q2380" s="415"/>
      <c r="R2380" s="416"/>
      <c r="S2380" s="420"/>
      <c r="T2380" s="384" ph="1"/>
      <c r="V2380" s="421"/>
      <c r="W2380" s="257"/>
      <c r="X2380" s="429"/>
      <c r="Y2380" s="257"/>
      <c r="Z2380" s="257"/>
      <c r="AC2380" s="357"/>
      <c r="AD2380" s="257"/>
      <c r="AE2380" s="245"/>
      <c r="AF2380" s="246"/>
    </row>
    <row r="2381" spans="1:32" ht="26.25">
      <c r="A2381" s="385"/>
      <c r="B2381" s="245"/>
      <c r="C2381" s="245"/>
      <c r="D2381" s="245"/>
      <c r="E2381" s="245"/>
      <c r="F2381" s="316"/>
      <c r="G2381" s="245"/>
      <c r="H2381" s="385"/>
      <c r="I2381" s="245"/>
      <c r="O2381" s="413"/>
      <c r="Q2381" s="415"/>
      <c r="R2381" s="416"/>
      <c r="S2381" s="420"/>
      <c r="T2381" s="384" ph="1"/>
      <c r="V2381" s="421"/>
      <c r="W2381" s="257"/>
      <c r="X2381" s="429"/>
      <c r="Y2381" s="257"/>
      <c r="Z2381" s="257"/>
      <c r="AC2381" s="357"/>
      <c r="AD2381" s="257"/>
      <c r="AE2381" s="245"/>
      <c r="AF2381" s="246"/>
    </row>
    <row r="2382" spans="1:32" ht="26.25">
      <c r="A2382" s="385"/>
      <c r="B2382" s="245"/>
      <c r="C2382" s="245"/>
      <c r="D2382" s="245"/>
      <c r="E2382" s="245"/>
      <c r="F2382" s="316"/>
      <c r="G2382" s="245"/>
      <c r="H2382" s="385"/>
      <c r="I2382" s="245"/>
      <c r="O2382" s="413"/>
      <c r="Q2382" s="415"/>
      <c r="R2382" s="416"/>
      <c r="S2382" s="420"/>
      <c r="T2382" s="384" ph="1"/>
      <c r="V2382" s="421"/>
      <c r="W2382" s="257"/>
      <c r="X2382" s="429"/>
      <c r="Y2382" s="257"/>
      <c r="Z2382" s="257"/>
      <c r="AC2382" s="357"/>
      <c r="AD2382" s="257"/>
      <c r="AE2382" s="245"/>
      <c r="AF2382" s="246"/>
    </row>
    <row r="2383" spans="1:32" ht="26.25">
      <c r="A2383" s="385"/>
      <c r="B2383" s="245"/>
      <c r="C2383" s="245"/>
      <c r="D2383" s="245"/>
      <c r="E2383" s="245"/>
      <c r="F2383" s="316"/>
      <c r="G2383" s="245"/>
      <c r="H2383" s="385"/>
      <c r="I2383" s="245"/>
      <c r="O2383" s="413"/>
      <c r="Q2383" s="415"/>
      <c r="R2383" s="416"/>
      <c r="S2383" s="420"/>
      <c r="T2383" s="384" ph="1"/>
      <c r="V2383" s="421"/>
      <c r="W2383" s="257"/>
      <c r="X2383" s="429"/>
      <c r="Y2383" s="257"/>
      <c r="Z2383" s="257"/>
      <c r="AC2383" s="357"/>
      <c r="AD2383" s="257"/>
      <c r="AE2383" s="245"/>
      <c r="AF2383" s="246"/>
    </row>
    <row r="2384" spans="1:32" ht="26.25">
      <c r="A2384" s="385"/>
      <c r="B2384" s="245"/>
      <c r="C2384" s="245"/>
      <c r="D2384" s="245"/>
      <c r="E2384" s="245"/>
      <c r="F2384" s="316"/>
      <c r="G2384" s="245"/>
      <c r="H2384" s="385"/>
      <c r="I2384" s="245"/>
      <c r="O2384" s="413"/>
      <c r="Q2384" s="415"/>
      <c r="R2384" s="416"/>
      <c r="S2384" s="420"/>
      <c r="T2384" s="384" ph="1"/>
      <c r="V2384" s="421"/>
      <c r="W2384" s="257"/>
      <c r="X2384" s="429"/>
      <c r="Y2384" s="257"/>
      <c r="Z2384" s="257"/>
      <c r="AC2384" s="357"/>
      <c r="AD2384" s="257"/>
      <c r="AE2384" s="245"/>
      <c r="AF2384" s="246"/>
    </row>
    <row r="2385" spans="1:32" ht="26.25">
      <c r="A2385" s="385"/>
      <c r="B2385" s="245"/>
      <c r="C2385" s="245"/>
      <c r="D2385" s="245"/>
      <c r="E2385" s="245"/>
      <c r="F2385" s="316"/>
      <c r="G2385" s="245"/>
      <c r="H2385" s="385"/>
      <c r="I2385" s="245"/>
      <c r="O2385" s="413"/>
      <c r="Q2385" s="415"/>
      <c r="R2385" s="416"/>
      <c r="S2385" s="420"/>
      <c r="T2385" s="384" ph="1"/>
      <c r="V2385" s="421"/>
      <c r="W2385" s="257"/>
      <c r="X2385" s="429"/>
      <c r="Y2385" s="257"/>
      <c r="Z2385" s="257"/>
      <c r="AC2385" s="357"/>
      <c r="AD2385" s="257"/>
      <c r="AE2385" s="245"/>
      <c r="AF2385" s="246"/>
    </row>
    <row r="2386" spans="1:32" ht="26.25">
      <c r="A2386" s="385"/>
      <c r="B2386" s="245"/>
      <c r="C2386" s="245"/>
      <c r="D2386" s="245"/>
      <c r="E2386" s="245"/>
      <c r="F2386" s="316"/>
      <c r="G2386" s="245"/>
      <c r="H2386" s="385"/>
      <c r="I2386" s="245"/>
      <c r="O2386" s="413"/>
      <c r="Q2386" s="415"/>
      <c r="R2386" s="416"/>
      <c r="S2386" s="420"/>
      <c r="T2386" s="384" ph="1"/>
      <c r="V2386" s="421"/>
      <c r="W2386" s="257"/>
      <c r="X2386" s="429"/>
      <c r="Y2386" s="257"/>
      <c r="Z2386" s="257"/>
      <c r="AC2386" s="357"/>
      <c r="AD2386" s="257"/>
      <c r="AE2386" s="245"/>
      <c r="AF2386" s="246"/>
    </row>
    <row r="2387" spans="1:32" ht="26.25">
      <c r="A2387" s="385"/>
      <c r="B2387" s="245"/>
      <c r="C2387" s="245"/>
      <c r="D2387" s="245"/>
      <c r="E2387" s="245"/>
      <c r="F2387" s="316"/>
      <c r="G2387" s="245"/>
      <c r="H2387" s="385"/>
      <c r="I2387" s="245"/>
      <c r="O2387" s="413"/>
      <c r="Q2387" s="415"/>
      <c r="R2387" s="416"/>
      <c r="S2387" s="420"/>
      <c r="T2387" s="384" ph="1"/>
      <c r="V2387" s="421"/>
      <c r="W2387" s="257"/>
      <c r="X2387" s="429"/>
      <c r="Y2387" s="257"/>
      <c r="Z2387" s="257"/>
      <c r="AC2387" s="357"/>
      <c r="AD2387" s="257"/>
      <c r="AE2387" s="245"/>
      <c r="AF2387" s="246"/>
    </row>
    <row r="2388" spans="1:32" ht="26.25">
      <c r="A2388" s="385"/>
      <c r="B2388" s="245"/>
      <c r="C2388" s="245"/>
      <c r="D2388" s="245"/>
      <c r="E2388" s="245"/>
      <c r="F2388" s="316"/>
      <c r="G2388" s="245"/>
      <c r="H2388" s="385"/>
      <c r="I2388" s="245"/>
      <c r="O2388" s="413"/>
      <c r="Q2388" s="415"/>
      <c r="R2388" s="416"/>
      <c r="S2388" s="420"/>
      <c r="T2388" s="384" ph="1"/>
      <c r="V2388" s="421"/>
      <c r="W2388" s="257"/>
      <c r="X2388" s="429"/>
      <c r="Y2388" s="257"/>
      <c r="Z2388" s="257"/>
      <c r="AC2388" s="357"/>
      <c r="AD2388" s="257"/>
      <c r="AE2388" s="245"/>
      <c r="AF2388" s="246"/>
    </row>
    <row r="2389" spans="1:32" ht="26.25">
      <c r="A2389" s="385"/>
      <c r="B2389" s="245"/>
      <c r="C2389" s="245"/>
      <c r="D2389" s="245"/>
      <c r="E2389" s="245"/>
      <c r="F2389" s="316"/>
      <c r="G2389" s="245"/>
      <c r="H2389" s="385"/>
      <c r="I2389" s="245"/>
      <c r="O2389" s="413"/>
      <c r="Q2389" s="415"/>
      <c r="R2389" s="416"/>
      <c r="S2389" s="420"/>
      <c r="T2389" s="384" ph="1"/>
      <c r="V2389" s="421"/>
      <c r="W2389" s="257"/>
      <c r="X2389" s="429"/>
      <c r="Y2389" s="257"/>
      <c r="Z2389" s="257"/>
      <c r="AC2389" s="357"/>
      <c r="AD2389" s="257"/>
      <c r="AE2389" s="245"/>
      <c r="AF2389" s="246"/>
    </row>
    <row r="2390" spans="1:32" ht="26.25">
      <c r="A2390" s="385"/>
      <c r="B2390" s="245"/>
      <c r="C2390" s="245"/>
      <c r="D2390" s="245"/>
      <c r="E2390" s="245"/>
      <c r="F2390" s="316"/>
      <c r="G2390" s="245"/>
      <c r="H2390" s="385"/>
      <c r="I2390" s="245"/>
      <c r="O2390" s="413"/>
      <c r="Q2390" s="415"/>
      <c r="R2390" s="416"/>
      <c r="S2390" s="420"/>
      <c r="T2390" s="384" ph="1"/>
      <c r="V2390" s="421"/>
      <c r="W2390" s="257"/>
      <c r="X2390" s="429"/>
      <c r="Y2390" s="257"/>
      <c r="Z2390" s="257"/>
      <c r="AC2390" s="357"/>
      <c r="AD2390" s="257"/>
      <c r="AE2390" s="245"/>
      <c r="AF2390" s="246"/>
    </row>
    <row r="2391" spans="1:32" ht="26.25">
      <c r="A2391" s="385"/>
      <c r="B2391" s="245"/>
      <c r="C2391" s="245"/>
      <c r="D2391" s="245"/>
      <c r="E2391" s="245"/>
      <c r="F2391" s="316"/>
      <c r="G2391" s="245"/>
      <c r="H2391" s="385"/>
      <c r="I2391" s="245"/>
      <c r="O2391" s="413"/>
      <c r="Q2391" s="415"/>
      <c r="R2391" s="416"/>
      <c r="S2391" s="420"/>
      <c r="T2391" s="384" ph="1"/>
      <c r="V2391" s="421"/>
      <c r="W2391" s="257"/>
      <c r="X2391" s="429"/>
      <c r="Y2391" s="257"/>
      <c r="Z2391" s="257"/>
      <c r="AC2391" s="357"/>
      <c r="AD2391" s="257"/>
      <c r="AE2391" s="245"/>
      <c r="AF2391" s="246"/>
    </row>
    <row r="2392" spans="1:32" ht="26.25">
      <c r="A2392" s="385"/>
      <c r="B2392" s="245"/>
      <c r="C2392" s="245"/>
      <c r="D2392" s="245"/>
      <c r="E2392" s="245"/>
      <c r="F2392" s="316"/>
      <c r="G2392" s="245"/>
      <c r="H2392" s="385"/>
      <c r="I2392" s="245"/>
      <c r="O2392" s="413"/>
      <c r="Q2392" s="415"/>
      <c r="R2392" s="416"/>
      <c r="S2392" s="420"/>
      <c r="T2392" s="384" ph="1"/>
      <c r="V2392" s="421"/>
      <c r="W2392" s="257"/>
      <c r="X2392" s="429"/>
      <c r="Y2392" s="257"/>
      <c r="Z2392" s="257"/>
      <c r="AC2392" s="357"/>
      <c r="AD2392" s="257"/>
      <c r="AE2392" s="245"/>
      <c r="AF2392" s="246"/>
    </row>
    <row r="2393" spans="1:32" ht="26.25">
      <c r="A2393" s="385"/>
      <c r="B2393" s="245"/>
      <c r="C2393" s="245"/>
      <c r="D2393" s="245"/>
      <c r="E2393" s="245"/>
      <c r="F2393" s="316"/>
      <c r="G2393" s="245"/>
      <c r="H2393" s="385"/>
      <c r="I2393" s="245"/>
      <c r="O2393" s="413"/>
      <c r="Q2393" s="415"/>
      <c r="R2393" s="416"/>
      <c r="S2393" s="420"/>
      <c r="T2393" s="384" ph="1"/>
      <c r="V2393" s="421"/>
      <c r="W2393" s="257"/>
      <c r="X2393" s="429"/>
      <c r="Y2393" s="257"/>
      <c r="Z2393" s="257"/>
      <c r="AC2393" s="357"/>
      <c r="AD2393" s="257"/>
      <c r="AE2393" s="245"/>
      <c r="AF2393" s="246"/>
    </row>
    <row r="2394" spans="1:32" ht="26.25">
      <c r="A2394" s="385"/>
      <c r="B2394" s="245"/>
      <c r="C2394" s="245"/>
      <c r="D2394" s="245"/>
      <c r="E2394" s="245"/>
      <c r="F2394" s="316"/>
      <c r="G2394" s="245"/>
      <c r="H2394" s="385"/>
      <c r="I2394" s="245"/>
      <c r="O2394" s="413"/>
      <c r="Q2394" s="415"/>
      <c r="R2394" s="416"/>
      <c r="S2394" s="420"/>
      <c r="T2394" s="384" ph="1"/>
      <c r="V2394" s="421"/>
      <c r="W2394" s="257"/>
      <c r="X2394" s="429"/>
      <c r="Y2394" s="257"/>
      <c r="Z2394" s="257"/>
      <c r="AC2394" s="357"/>
      <c r="AD2394" s="257"/>
      <c r="AE2394" s="245"/>
      <c r="AF2394" s="246"/>
    </row>
    <row r="2395" spans="1:32" ht="26.25">
      <c r="A2395" s="385"/>
      <c r="B2395" s="245"/>
      <c r="C2395" s="245"/>
      <c r="D2395" s="245"/>
      <c r="E2395" s="245"/>
      <c r="F2395" s="316"/>
      <c r="G2395" s="245"/>
      <c r="H2395" s="385"/>
      <c r="I2395" s="245"/>
      <c r="O2395" s="413"/>
      <c r="Q2395" s="415"/>
      <c r="R2395" s="416"/>
      <c r="S2395" s="420"/>
      <c r="T2395" s="384" ph="1"/>
      <c r="V2395" s="421"/>
      <c r="W2395" s="257"/>
      <c r="X2395" s="429"/>
      <c r="Y2395" s="257"/>
      <c r="Z2395" s="257"/>
      <c r="AC2395" s="357"/>
      <c r="AD2395" s="257"/>
      <c r="AE2395" s="245"/>
      <c r="AF2395" s="246"/>
    </row>
    <row r="2396" spans="1:32" ht="26.25">
      <c r="A2396" s="385"/>
      <c r="B2396" s="245"/>
      <c r="C2396" s="245"/>
      <c r="D2396" s="245"/>
      <c r="E2396" s="245"/>
      <c r="F2396" s="316"/>
      <c r="G2396" s="245"/>
      <c r="H2396" s="385"/>
      <c r="I2396" s="245"/>
      <c r="O2396" s="413"/>
      <c r="Q2396" s="415"/>
      <c r="R2396" s="416"/>
      <c r="S2396" s="420"/>
      <c r="T2396" s="384" ph="1"/>
      <c r="V2396" s="421"/>
      <c r="W2396" s="257"/>
      <c r="X2396" s="429"/>
      <c r="Y2396" s="257"/>
      <c r="Z2396" s="257"/>
      <c r="AC2396" s="357"/>
      <c r="AD2396" s="257"/>
      <c r="AE2396" s="245"/>
      <c r="AF2396" s="246"/>
    </row>
    <row r="2397" spans="1:32" ht="26.25">
      <c r="A2397" s="385"/>
      <c r="B2397" s="245"/>
      <c r="C2397" s="245"/>
      <c r="D2397" s="245"/>
      <c r="E2397" s="245"/>
      <c r="F2397" s="316"/>
      <c r="G2397" s="245"/>
      <c r="H2397" s="385"/>
      <c r="I2397" s="245"/>
      <c r="O2397" s="413"/>
      <c r="Q2397" s="415"/>
      <c r="R2397" s="416"/>
      <c r="S2397" s="420"/>
      <c r="T2397" s="384" ph="1"/>
      <c r="V2397" s="421"/>
      <c r="W2397" s="257"/>
      <c r="X2397" s="429"/>
      <c r="Y2397" s="257"/>
      <c r="Z2397" s="257"/>
      <c r="AC2397" s="357"/>
      <c r="AD2397" s="257"/>
      <c r="AE2397" s="245"/>
      <c r="AF2397" s="246"/>
    </row>
    <row r="2398" spans="1:32" ht="26.25">
      <c r="A2398" s="385"/>
      <c r="B2398" s="245"/>
      <c r="C2398" s="245"/>
      <c r="D2398" s="245"/>
      <c r="E2398" s="245"/>
      <c r="F2398" s="316"/>
      <c r="G2398" s="245"/>
      <c r="H2398" s="385"/>
      <c r="I2398" s="245"/>
      <c r="O2398" s="413"/>
      <c r="Q2398" s="415"/>
      <c r="R2398" s="416"/>
      <c r="S2398" s="420"/>
      <c r="T2398" s="384" ph="1"/>
      <c r="V2398" s="421"/>
      <c r="W2398" s="257"/>
      <c r="X2398" s="429"/>
      <c r="Y2398" s="257"/>
      <c r="Z2398" s="257"/>
      <c r="AC2398" s="357"/>
      <c r="AD2398" s="257"/>
      <c r="AE2398" s="245"/>
      <c r="AF2398" s="246"/>
    </row>
    <row r="2399" spans="1:32" ht="26.25">
      <c r="A2399" s="385"/>
      <c r="B2399" s="245"/>
      <c r="C2399" s="245"/>
      <c r="D2399" s="245"/>
      <c r="E2399" s="245"/>
      <c r="F2399" s="316"/>
      <c r="G2399" s="245"/>
      <c r="H2399" s="385"/>
      <c r="I2399" s="245"/>
      <c r="O2399" s="413"/>
      <c r="Q2399" s="415"/>
      <c r="R2399" s="416"/>
      <c r="S2399" s="420"/>
      <c r="T2399" s="384" ph="1"/>
      <c r="V2399" s="421"/>
      <c r="W2399" s="257"/>
      <c r="X2399" s="429"/>
      <c r="Y2399" s="257"/>
      <c r="Z2399" s="257"/>
      <c r="AC2399" s="357"/>
      <c r="AD2399" s="257"/>
      <c r="AE2399" s="245"/>
      <c r="AF2399" s="246"/>
    </row>
    <row r="2400" spans="1:32" ht="26.25">
      <c r="A2400" s="385"/>
      <c r="B2400" s="245"/>
      <c r="C2400" s="245"/>
      <c r="D2400" s="245"/>
      <c r="E2400" s="245"/>
      <c r="F2400" s="316"/>
      <c r="G2400" s="245"/>
      <c r="H2400" s="385"/>
      <c r="I2400" s="245"/>
      <c r="O2400" s="413"/>
      <c r="Q2400" s="415"/>
      <c r="R2400" s="416"/>
      <c r="S2400" s="420"/>
      <c r="T2400" s="384" ph="1"/>
      <c r="V2400" s="421"/>
      <c r="W2400" s="257"/>
      <c r="X2400" s="429"/>
      <c r="Y2400" s="257"/>
      <c r="Z2400" s="257"/>
      <c r="AC2400" s="357"/>
      <c r="AD2400" s="257"/>
      <c r="AE2400" s="245"/>
      <c r="AF2400" s="246"/>
    </row>
    <row r="2401" spans="1:32" ht="26.25">
      <c r="A2401" s="385"/>
      <c r="B2401" s="245"/>
      <c r="C2401" s="245"/>
      <c r="D2401" s="245"/>
      <c r="E2401" s="245"/>
      <c r="F2401" s="316"/>
      <c r="G2401" s="245"/>
      <c r="H2401" s="385"/>
      <c r="I2401" s="245"/>
      <c r="O2401" s="413"/>
      <c r="Q2401" s="415"/>
      <c r="R2401" s="416"/>
      <c r="S2401" s="420"/>
      <c r="T2401" s="384" ph="1"/>
      <c r="V2401" s="421"/>
      <c r="W2401" s="257"/>
      <c r="X2401" s="429"/>
      <c r="Y2401" s="257"/>
      <c r="Z2401" s="257"/>
      <c r="AC2401" s="357"/>
      <c r="AD2401" s="257"/>
      <c r="AE2401" s="245"/>
      <c r="AF2401" s="246"/>
    </row>
    <row r="2402" spans="1:32" ht="26.25">
      <c r="A2402" s="385"/>
      <c r="B2402" s="245"/>
      <c r="C2402" s="245"/>
      <c r="D2402" s="245"/>
      <c r="E2402" s="245"/>
      <c r="F2402" s="316"/>
      <c r="G2402" s="245"/>
      <c r="H2402" s="385"/>
      <c r="I2402" s="245"/>
      <c r="O2402" s="413"/>
      <c r="Q2402" s="415"/>
      <c r="R2402" s="416"/>
      <c r="S2402" s="420"/>
      <c r="T2402" s="384" ph="1"/>
      <c r="V2402" s="421"/>
      <c r="W2402" s="257"/>
      <c r="X2402" s="429"/>
      <c r="Y2402" s="257"/>
      <c r="Z2402" s="257"/>
      <c r="AC2402" s="357"/>
      <c r="AD2402" s="257"/>
      <c r="AE2402" s="245"/>
      <c r="AF2402" s="246"/>
    </row>
    <row r="2403" spans="1:32" ht="26.25">
      <c r="A2403" s="385"/>
      <c r="B2403" s="245"/>
      <c r="C2403" s="245"/>
      <c r="D2403" s="245"/>
      <c r="E2403" s="245"/>
      <c r="F2403" s="316"/>
      <c r="G2403" s="245"/>
      <c r="H2403" s="385"/>
      <c r="I2403" s="245"/>
      <c r="O2403" s="413"/>
      <c r="Q2403" s="415"/>
      <c r="R2403" s="416"/>
      <c r="S2403" s="420"/>
      <c r="T2403" s="384" ph="1"/>
      <c r="V2403" s="421"/>
      <c r="W2403" s="257"/>
      <c r="X2403" s="429"/>
      <c r="Y2403" s="257"/>
      <c r="Z2403" s="257"/>
      <c r="AC2403" s="357"/>
      <c r="AD2403" s="257"/>
      <c r="AE2403" s="245"/>
      <c r="AF2403" s="246"/>
    </row>
    <row r="2404" spans="1:32" ht="26.25">
      <c r="A2404" s="385"/>
      <c r="B2404" s="245"/>
      <c r="C2404" s="245"/>
      <c r="D2404" s="245"/>
      <c r="E2404" s="245"/>
      <c r="F2404" s="316"/>
      <c r="G2404" s="245"/>
      <c r="H2404" s="385"/>
      <c r="I2404" s="245"/>
      <c r="O2404" s="413"/>
      <c r="Q2404" s="415"/>
      <c r="R2404" s="416"/>
      <c r="S2404" s="420"/>
      <c r="T2404" s="384" ph="1"/>
      <c r="V2404" s="421"/>
      <c r="W2404" s="257"/>
      <c r="X2404" s="429"/>
      <c r="Y2404" s="257"/>
      <c r="Z2404" s="257"/>
      <c r="AC2404" s="357"/>
      <c r="AD2404" s="257"/>
      <c r="AE2404" s="245"/>
      <c r="AF2404" s="246"/>
    </row>
    <row r="2405" spans="1:32" ht="26.25">
      <c r="A2405" s="385"/>
      <c r="B2405" s="245"/>
      <c r="C2405" s="245"/>
      <c r="D2405" s="245"/>
      <c r="E2405" s="245"/>
      <c r="F2405" s="316"/>
      <c r="G2405" s="245"/>
      <c r="H2405" s="385"/>
      <c r="I2405" s="245"/>
      <c r="O2405" s="413"/>
      <c r="Q2405" s="415"/>
      <c r="R2405" s="416"/>
      <c r="S2405" s="420"/>
      <c r="T2405" s="384" ph="1"/>
      <c r="V2405" s="421"/>
      <c r="W2405" s="257"/>
      <c r="X2405" s="429"/>
      <c r="Y2405" s="257"/>
      <c r="Z2405" s="257"/>
      <c r="AC2405" s="357"/>
      <c r="AD2405" s="257"/>
      <c r="AE2405" s="245"/>
      <c r="AF2405" s="246"/>
    </row>
    <row r="2406" spans="1:32" ht="26.25">
      <c r="A2406" s="385"/>
      <c r="B2406" s="245"/>
      <c r="C2406" s="245"/>
      <c r="D2406" s="245"/>
      <c r="E2406" s="245"/>
      <c r="F2406" s="316"/>
      <c r="G2406" s="245"/>
      <c r="H2406" s="385"/>
      <c r="I2406" s="245"/>
      <c r="O2406" s="413"/>
      <c r="Q2406" s="415"/>
      <c r="R2406" s="416"/>
      <c r="S2406" s="420"/>
      <c r="T2406" s="384" ph="1"/>
      <c r="V2406" s="421"/>
      <c r="W2406" s="257"/>
      <c r="X2406" s="429"/>
      <c r="Y2406" s="257"/>
      <c r="Z2406" s="257"/>
      <c r="AC2406" s="357"/>
      <c r="AD2406" s="257"/>
      <c r="AE2406" s="245"/>
      <c r="AF2406" s="246"/>
    </row>
    <row r="2407" spans="1:32" ht="26.25">
      <c r="A2407" s="385"/>
      <c r="B2407" s="245"/>
      <c r="C2407" s="245"/>
      <c r="D2407" s="245"/>
      <c r="E2407" s="245"/>
      <c r="F2407" s="316"/>
      <c r="G2407" s="245"/>
      <c r="H2407" s="385"/>
      <c r="I2407" s="245"/>
      <c r="O2407" s="413"/>
      <c r="Q2407" s="415"/>
      <c r="R2407" s="416"/>
      <c r="S2407" s="420"/>
      <c r="T2407" s="384" ph="1"/>
      <c r="V2407" s="421"/>
      <c r="W2407" s="257"/>
      <c r="X2407" s="429"/>
      <c r="Y2407" s="257"/>
      <c r="Z2407" s="257"/>
      <c r="AC2407" s="357"/>
      <c r="AD2407" s="257"/>
      <c r="AE2407" s="245"/>
      <c r="AF2407" s="246"/>
    </row>
    <row r="2408" spans="1:32" ht="26.25">
      <c r="A2408" s="385"/>
      <c r="B2408" s="245"/>
      <c r="C2408" s="245"/>
      <c r="D2408" s="245"/>
      <c r="E2408" s="245"/>
      <c r="F2408" s="316"/>
      <c r="G2408" s="245"/>
      <c r="H2408" s="385"/>
      <c r="I2408" s="245"/>
      <c r="O2408" s="413"/>
      <c r="Q2408" s="415"/>
      <c r="R2408" s="416"/>
      <c r="S2408" s="420"/>
      <c r="T2408" s="384" ph="1"/>
      <c r="V2408" s="421"/>
      <c r="W2408" s="257"/>
      <c r="X2408" s="429"/>
      <c r="Y2408" s="257"/>
      <c r="Z2408" s="257"/>
      <c r="AC2408" s="357"/>
      <c r="AD2408" s="257"/>
      <c r="AE2408" s="245"/>
      <c r="AF2408" s="246"/>
    </row>
    <row r="2409" spans="1:32" ht="26.25">
      <c r="A2409" s="385"/>
      <c r="B2409" s="245"/>
      <c r="C2409" s="245"/>
      <c r="D2409" s="245"/>
      <c r="E2409" s="245"/>
      <c r="F2409" s="316"/>
      <c r="G2409" s="245"/>
      <c r="H2409" s="385"/>
      <c r="I2409" s="245"/>
      <c r="O2409" s="413"/>
      <c r="Q2409" s="415"/>
      <c r="R2409" s="416"/>
      <c r="S2409" s="420"/>
      <c r="T2409" s="384" ph="1"/>
      <c r="V2409" s="421"/>
      <c r="W2409" s="257"/>
      <c r="X2409" s="429"/>
      <c r="Y2409" s="257"/>
      <c r="Z2409" s="257"/>
      <c r="AC2409" s="357"/>
      <c r="AD2409" s="257"/>
      <c r="AE2409" s="245"/>
      <c r="AF2409" s="246"/>
    </row>
    <row r="2410" spans="1:32" ht="26.25">
      <c r="A2410" s="385"/>
      <c r="B2410" s="245"/>
      <c r="C2410" s="245"/>
      <c r="D2410" s="245"/>
      <c r="E2410" s="245"/>
      <c r="F2410" s="316"/>
      <c r="G2410" s="245"/>
      <c r="H2410" s="385"/>
      <c r="I2410" s="245"/>
      <c r="O2410" s="413"/>
      <c r="Q2410" s="415"/>
      <c r="R2410" s="416"/>
      <c r="S2410" s="420"/>
      <c r="T2410" s="384" ph="1"/>
      <c r="V2410" s="421"/>
      <c r="W2410" s="257"/>
      <c r="X2410" s="429"/>
      <c r="Y2410" s="257"/>
      <c r="Z2410" s="257"/>
      <c r="AC2410" s="357"/>
      <c r="AD2410" s="257"/>
      <c r="AE2410" s="245"/>
      <c r="AF2410" s="246"/>
    </row>
    <row r="2411" spans="1:32" ht="26.25">
      <c r="A2411" s="385"/>
      <c r="B2411" s="245"/>
      <c r="C2411" s="245"/>
      <c r="D2411" s="245"/>
      <c r="E2411" s="245"/>
      <c r="F2411" s="316"/>
      <c r="G2411" s="245"/>
      <c r="H2411" s="385"/>
      <c r="I2411" s="245"/>
      <c r="O2411" s="413"/>
      <c r="Q2411" s="415"/>
      <c r="R2411" s="416"/>
      <c r="S2411" s="420"/>
      <c r="T2411" s="384" ph="1"/>
      <c r="V2411" s="421"/>
      <c r="W2411" s="257"/>
      <c r="X2411" s="429"/>
      <c r="Y2411" s="257"/>
      <c r="Z2411" s="257"/>
      <c r="AC2411" s="357"/>
      <c r="AD2411" s="257"/>
      <c r="AE2411" s="245"/>
      <c r="AF2411" s="246"/>
    </row>
    <row r="2412" spans="1:32" ht="26.25">
      <c r="A2412" s="385"/>
      <c r="B2412" s="245"/>
      <c r="C2412" s="245"/>
      <c r="D2412" s="245"/>
      <c r="E2412" s="245"/>
      <c r="F2412" s="316"/>
      <c r="G2412" s="245"/>
      <c r="H2412" s="385"/>
      <c r="I2412" s="245"/>
      <c r="O2412" s="413"/>
      <c r="Q2412" s="415"/>
      <c r="R2412" s="416"/>
      <c r="S2412" s="420"/>
      <c r="T2412" s="384" ph="1"/>
      <c r="V2412" s="421"/>
      <c r="W2412" s="257"/>
      <c r="X2412" s="429"/>
      <c r="Y2412" s="257"/>
      <c r="Z2412" s="257"/>
      <c r="AC2412" s="357"/>
      <c r="AD2412" s="257"/>
      <c r="AE2412" s="245"/>
      <c r="AF2412" s="246"/>
    </row>
    <row r="2413" spans="1:32" ht="26.25">
      <c r="A2413" s="385"/>
      <c r="B2413" s="245"/>
      <c r="C2413" s="245"/>
      <c r="D2413" s="245"/>
      <c r="E2413" s="245"/>
      <c r="F2413" s="316"/>
      <c r="G2413" s="245"/>
      <c r="H2413" s="385"/>
      <c r="I2413" s="245"/>
      <c r="O2413" s="413"/>
      <c r="Q2413" s="415"/>
      <c r="R2413" s="416"/>
      <c r="S2413" s="420"/>
      <c r="T2413" s="384" ph="1"/>
      <c r="V2413" s="421"/>
      <c r="W2413" s="257"/>
      <c r="X2413" s="429"/>
      <c r="Y2413" s="257"/>
      <c r="Z2413" s="257"/>
      <c r="AC2413" s="357"/>
      <c r="AD2413" s="257"/>
      <c r="AE2413" s="245"/>
      <c r="AF2413" s="246"/>
    </row>
    <row r="2414" spans="1:32" ht="26.25">
      <c r="A2414" s="385"/>
      <c r="B2414" s="245"/>
      <c r="C2414" s="245"/>
      <c r="D2414" s="245"/>
      <c r="E2414" s="245"/>
      <c r="F2414" s="316"/>
      <c r="G2414" s="245"/>
      <c r="H2414" s="385"/>
      <c r="I2414" s="245"/>
      <c r="O2414" s="413"/>
      <c r="Q2414" s="415"/>
      <c r="R2414" s="416"/>
      <c r="S2414" s="420"/>
      <c r="T2414" s="384" ph="1"/>
      <c r="V2414" s="421"/>
      <c r="W2414" s="257"/>
      <c r="X2414" s="429"/>
      <c r="Y2414" s="257"/>
      <c r="Z2414" s="257"/>
      <c r="AC2414" s="357"/>
      <c r="AD2414" s="257"/>
      <c r="AE2414" s="245"/>
      <c r="AF2414" s="246"/>
    </row>
    <row r="2415" spans="1:32" ht="26.25">
      <c r="A2415" s="385"/>
      <c r="B2415" s="245"/>
      <c r="C2415" s="245"/>
      <c r="D2415" s="245"/>
      <c r="E2415" s="245"/>
      <c r="F2415" s="316"/>
      <c r="G2415" s="245"/>
      <c r="H2415" s="385"/>
      <c r="I2415" s="245"/>
      <c r="O2415" s="413"/>
      <c r="Q2415" s="415"/>
      <c r="R2415" s="416"/>
      <c r="S2415" s="420"/>
      <c r="T2415" s="384" ph="1"/>
      <c r="V2415" s="421"/>
      <c r="W2415" s="257"/>
      <c r="X2415" s="429"/>
      <c r="Y2415" s="257"/>
      <c r="Z2415" s="257"/>
      <c r="AC2415" s="357"/>
      <c r="AD2415" s="257"/>
      <c r="AE2415" s="245"/>
      <c r="AF2415" s="246"/>
    </row>
    <row r="2416" spans="1:32" ht="26.25">
      <c r="A2416" s="385"/>
      <c r="B2416" s="245"/>
      <c r="C2416" s="245"/>
      <c r="D2416" s="245"/>
      <c r="E2416" s="245"/>
      <c r="F2416" s="316"/>
      <c r="G2416" s="245"/>
      <c r="H2416" s="385"/>
      <c r="I2416" s="245"/>
      <c r="O2416" s="413"/>
      <c r="Q2416" s="415"/>
      <c r="R2416" s="416"/>
      <c r="S2416" s="420"/>
      <c r="T2416" s="384" ph="1"/>
      <c r="V2416" s="421"/>
      <c r="W2416" s="257"/>
      <c r="X2416" s="429"/>
      <c r="Y2416" s="257"/>
      <c r="Z2416" s="257"/>
      <c r="AC2416" s="357"/>
      <c r="AD2416" s="257"/>
      <c r="AE2416" s="245"/>
      <c r="AF2416" s="246"/>
    </row>
    <row r="2417" spans="1:32" ht="26.25">
      <c r="A2417" s="385"/>
      <c r="B2417" s="245"/>
      <c r="C2417" s="245"/>
      <c r="D2417" s="245"/>
      <c r="E2417" s="245"/>
      <c r="F2417" s="316"/>
      <c r="G2417" s="245"/>
      <c r="H2417" s="385"/>
      <c r="I2417" s="245"/>
      <c r="O2417" s="413"/>
      <c r="Q2417" s="415"/>
      <c r="R2417" s="416"/>
      <c r="S2417" s="420"/>
      <c r="T2417" s="384" ph="1"/>
      <c r="V2417" s="421"/>
      <c r="W2417" s="257"/>
      <c r="X2417" s="429"/>
      <c r="Y2417" s="257"/>
      <c r="Z2417" s="257"/>
      <c r="AC2417" s="357"/>
      <c r="AD2417" s="257"/>
      <c r="AE2417" s="245"/>
      <c r="AF2417" s="246"/>
    </row>
    <row r="2418" spans="1:32" ht="26.25">
      <c r="A2418" s="385"/>
      <c r="B2418" s="245"/>
      <c r="C2418" s="245"/>
      <c r="D2418" s="245"/>
      <c r="E2418" s="245"/>
      <c r="F2418" s="316"/>
      <c r="G2418" s="245"/>
      <c r="H2418" s="385"/>
      <c r="I2418" s="245"/>
      <c r="O2418" s="413"/>
      <c r="Q2418" s="415"/>
      <c r="R2418" s="416"/>
      <c r="S2418" s="420"/>
      <c r="T2418" s="384" ph="1"/>
      <c r="V2418" s="421"/>
      <c r="W2418" s="257"/>
      <c r="X2418" s="429"/>
      <c r="Y2418" s="257"/>
      <c r="Z2418" s="257"/>
      <c r="AC2418" s="357"/>
      <c r="AD2418" s="257"/>
      <c r="AE2418" s="245"/>
      <c r="AF2418" s="246"/>
    </row>
    <row r="2419" spans="1:32" ht="26.25">
      <c r="A2419" s="385"/>
      <c r="B2419" s="245"/>
      <c r="C2419" s="245"/>
      <c r="D2419" s="245"/>
      <c r="E2419" s="245"/>
      <c r="F2419" s="316"/>
      <c r="G2419" s="245"/>
      <c r="H2419" s="385"/>
      <c r="I2419" s="245"/>
      <c r="O2419" s="413"/>
      <c r="Q2419" s="415"/>
      <c r="R2419" s="416"/>
      <c r="S2419" s="420"/>
      <c r="T2419" s="384" ph="1"/>
      <c r="V2419" s="421"/>
      <c r="W2419" s="257"/>
      <c r="X2419" s="429"/>
      <c r="Y2419" s="257"/>
      <c r="Z2419" s="257"/>
      <c r="AC2419" s="357"/>
      <c r="AD2419" s="257"/>
      <c r="AE2419" s="245"/>
      <c r="AF2419" s="246"/>
    </row>
    <row r="2420" spans="1:32" ht="26.25">
      <c r="A2420" s="385"/>
      <c r="B2420" s="245"/>
      <c r="C2420" s="245"/>
      <c r="D2420" s="245"/>
      <c r="E2420" s="245"/>
      <c r="F2420" s="316"/>
      <c r="G2420" s="245"/>
      <c r="H2420" s="385"/>
      <c r="I2420" s="245"/>
      <c r="O2420" s="413"/>
      <c r="Q2420" s="415"/>
      <c r="R2420" s="416"/>
      <c r="S2420" s="420"/>
      <c r="T2420" s="384" ph="1"/>
      <c r="V2420" s="421"/>
      <c r="W2420" s="257"/>
      <c r="X2420" s="429"/>
      <c r="Y2420" s="257"/>
      <c r="Z2420" s="257"/>
      <c r="AC2420" s="357"/>
      <c r="AD2420" s="257"/>
      <c r="AE2420" s="245"/>
      <c r="AF2420" s="246"/>
    </row>
    <row r="2421" spans="1:32" ht="26.25">
      <c r="A2421" s="385"/>
      <c r="B2421" s="245"/>
      <c r="C2421" s="245"/>
      <c r="D2421" s="245"/>
      <c r="E2421" s="245"/>
      <c r="F2421" s="316"/>
      <c r="G2421" s="245"/>
      <c r="H2421" s="385"/>
      <c r="I2421" s="245"/>
      <c r="O2421" s="413"/>
      <c r="Q2421" s="415"/>
      <c r="R2421" s="416"/>
      <c r="S2421" s="420"/>
      <c r="T2421" s="384" ph="1"/>
      <c r="V2421" s="421"/>
      <c r="W2421" s="257"/>
      <c r="X2421" s="429"/>
      <c r="Y2421" s="257"/>
      <c r="Z2421" s="257"/>
      <c r="AC2421" s="357"/>
      <c r="AD2421" s="257"/>
      <c r="AE2421" s="245"/>
      <c r="AF2421" s="246"/>
    </row>
    <row r="2422" spans="1:32" ht="26.25">
      <c r="A2422" s="385"/>
      <c r="B2422" s="245"/>
      <c r="C2422" s="245"/>
      <c r="D2422" s="245"/>
      <c r="E2422" s="245"/>
      <c r="F2422" s="316"/>
      <c r="G2422" s="245"/>
      <c r="H2422" s="385"/>
      <c r="I2422" s="245"/>
      <c r="O2422" s="413"/>
      <c r="Q2422" s="415"/>
      <c r="R2422" s="416"/>
      <c r="S2422" s="420"/>
      <c r="T2422" s="384" ph="1"/>
      <c r="V2422" s="421"/>
      <c r="W2422" s="257"/>
      <c r="X2422" s="429"/>
      <c r="Y2422" s="257"/>
      <c r="Z2422" s="257"/>
      <c r="AC2422" s="357"/>
      <c r="AD2422" s="257"/>
      <c r="AE2422" s="245"/>
      <c r="AF2422" s="246"/>
    </row>
    <row r="2423" spans="1:32" ht="26.25">
      <c r="A2423" s="385"/>
      <c r="B2423" s="245"/>
      <c r="C2423" s="245"/>
      <c r="D2423" s="245"/>
      <c r="E2423" s="245"/>
      <c r="F2423" s="316"/>
      <c r="G2423" s="245"/>
      <c r="H2423" s="385"/>
      <c r="I2423" s="245"/>
      <c r="O2423" s="413"/>
      <c r="Q2423" s="415"/>
      <c r="R2423" s="416"/>
      <c r="S2423" s="420"/>
      <c r="T2423" s="384" ph="1"/>
      <c r="V2423" s="421"/>
      <c r="W2423" s="257"/>
      <c r="X2423" s="429"/>
      <c r="Y2423" s="257"/>
      <c r="Z2423" s="257"/>
      <c r="AC2423" s="357"/>
      <c r="AD2423" s="257"/>
      <c r="AE2423" s="245"/>
      <c r="AF2423" s="246"/>
    </row>
    <row r="2424" spans="1:32" ht="26.25">
      <c r="A2424" s="385"/>
      <c r="B2424" s="245"/>
      <c r="C2424" s="245"/>
      <c r="D2424" s="245"/>
      <c r="E2424" s="245"/>
      <c r="F2424" s="316"/>
      <c r="G2424" s="245"/>
      <c r="H2424" s="385"/>
      <c r="I2424" s="245"/>
      <c r="O2424" s="413"/>
      <c r="Q2424" s="415"/>
      <c r="R2424" s="416"/>
      <c r="S2424" s="420"/>
      <c r="T2424" s="384" ph="1"/>
      <c r="V2424" s="421"/>
      <c r="W2424" s="257"/>
      <c r="X2424" s="429"/>
      <c r="Y2424" s="257"/>
      <c r="Z2424" s="257"/>
      <c r="AC2424" s="357"/>
      <c r="AD2424" s="257"/>
      <c r="AE2424" s="245"/>
      <c r="AF2424" s="246"/>
    </row>
    <row r="2425" spans="1:32" ht="26.25">
      <c r="A2425" s="385"/>
      <c r="B2425" s="245"/>
      <c r="C2425" s="245"/>
      <c r="D2425" s="245"/>
      <c r="E2425" s="245"/>
      <c r="F2425" s="316"/>
      <c r="G2425" s="245"/>
      <c r="H2425" s="385"/>
      <c r="I2425" s="245"/>
      <c r="O2425" s="413"/>
      <c r="Q2425" s="415"/>
      <c r="R2425" s="416"/>
      <c r="S2425" s="420"/>
      <c r="T2425" s="384" ph="1"/>
      <c r="V2425" s="421"/>
      <c r="W2425" s="257"/>
      <c r="X2425" s="429"/>
      <c r="Y2425" s="257"/>
      <c r="Z2425" s="257"/>
      <c r="AC2425" s="357"/>
      <c r="AD2425" s="257"/>
      <c r="AE2425" s="245"/>
      <c r="AF2425" s="246"/>
    </row>
    <row r="2426" spans="1:32" ht="26.25">
      <c r="A2426" s="385"/>
      <c r="B2426" s="245"/>
      <c r="C2426" s="245"/>
      <c r="D2426" s="245"/>
      <c r="E2426" s="245"/>
      <c r="F2426" s="316"/>
      <c r="G2426" s="245"/>
      <c r="H2426" s="385"/>
      <c r="I2426" s="245"/>
      <c r="O2426" s="413"/>
      <c r="Q2426" s="415"/>
      <c r="R2426" s="416"/>
      <c r="S2426" s="420"/>
      <c r="T2426" s="384" ph="1"/>
      <c r="V2426" s="421"/>
      <c r="W2426" s="257"/>
      <c r="X2426" s="429"/>
      <c r="Y2426" s="257"/>
      <c r="Z2426" s="257"/>
      <c r="AC2426" s="357"/>
      <c r="AD2426" s="257"/>
      <c r="AE2426" s="245"/>
      <c r="AF2426" s="246"/>
    </row>
    <row r="2427" spans="1:32" ht="26.25">
      <c r="A2427" s="385"/>
      <c r="B2427" s="245"/>
      <c r="C2427" s="245"/>
      <c r="D2427" s="245"/>
      <c r="E2427" s="245"/>
      <c r="F2427" s="316"/>
      <c r="G2427" s="245"/>
      <c r="H2427" s="385"/>
      <c r="I2427" s="245"/>
      <c r="O2427" s="413"/>
      <c r="Q2427" s="415"/>
      <c r="R2427" s="416"/>
      <c r="S2427" s="420"/>
      <c r="T2427" s="384" ph="1"/>
      <c r="V2427" s="421"/>
      <c r="W2427" s="257"/>
      <c r="X2427" s="429"/>
      <c r="Y2427" s="257"/>
      <c r="Z2427" s="257"/>
      <c r="AC2427" s="357"/>
      <c r="AD2427" s="257"/>
      <c r="AE2427" s="245"/>
      <c r="AF2427" s="246"/>
    </row>
    <row r="2428" spans="1:32" ht="26.25">
      <c r="A2428" s="385"/>
      <c r="B2428" s="245"/>
      <c r="C2428" s="245"/>
      <c r="D2428" s="245"/>
      <c r="E2428" s="245"/>
      <c r="F2428" s="316"/>
      <c r="G2428" s="245"/>
      <c r="H2428" s="385"/>
      <c r="I2428" s="245"/>
      <c r="O2428" s="413"/>
      <c r="Q2428" s="415"/>
      <c r="R2428" s="416"/>
      <c r="S2428" s="420"/>
      <c r="T2428" s="384" ph="1"/>
      <c r="V2428" s="421"/>
      <c r="W2428" s="257"/>
      <c r="X2428" s="429"/>
      <c r="Y2428" s="257"/>
      <c r="Z2428" s="257"/>
      <c r="AC2428" s="357"/>
      <c r="AD2428" s="257"/>
      <c r="AE2428" s="245"/>
      <c r="AF2428" s="246"/>
    </row>
    <row r="2429" spans="1:32" ht="26.25">
      <c r="A2429" s="385"/>
      <c r="B2429" s="245"/>
      <c r="C2429" s="245"/>
      <c r="D2429" s="245"/>
      <c r="E2429" s="245"/>
      <c r="F2429" s="316"/>
      <c r="G2429" s="245"/>
      <c r="H2429" s="385"/>
      <c r="I2429" s="245"/>
      <c r="O2429" s="413"/>
      <c r="Q2429" s="415"/>
      <c r="R2429" s="416"/>
      <c r="S2429" s="420"/>
      <c r="T2429" s="384" ph="1"/>
      <c r="V2429" s="421"/>
      <c r="W2429" s="257"/>
      <c r="X2429" s="429"/>
      <c r="Y2429" s="257"/>
      <c r="Z2429" s="257"/>
      <c r="AC2429" s="357"/>
      <c r="AD2429" s="257"/>
      <c r="AE2429" s="245"/>
      <c r="AF2429" s="246"/>
    </row>
    <row r="2430" spans="1:32" ht="26.25">
      <c r="A2430" s="385"/>
      <c r="B2430" s="245"/>
      <c r="C2430" s="245"/>
      <c r="D2430" s="245"/>
      <c r="E2430" s="245"/>
      <c r="F2430" s="316"/>
      <c r="G2430" s="245"/>
      <c r="H2430" s="385"/>
      <c r="I2430" s="245"/>
      <c r="O2430" s="413"/>
      <c r="Q2430" s="415"/>
      <c r="R2430" s="416"/>
      <c r="S2430" s="420"/>
      <c r="T2430" s="384" ph="1"/>
      <c r="V2430" s="421"/>
      <c r="W2430" s="257"/>
      <c r="X2430" s="429"/>
      <c r="Y2430" s="257"/>
      <c r="Z2430" s="257"/>
      <c r="AC2430" s="357"/>
      <c r="AD2430" s="257"/>
      <c r="AE2430" s="245"/>
      <c r="AF2430" s="246"/>
    </row>
    <row r="2431" spans="1:32" ht="26.25">
      <c r="A2431" s="385"/>
      <c r="B2431" s="245"/>
      <c r="C2431" s="245"/>
      <c r="D2431" s="245"/>
      <c r="E2431" s="245"/>
      <c r="F2431" s="316"/>
      <c r="G2431" s="245"/>
      <c r="H2431" s="385"/>
      <c r="I2431" s="245"/>
      <c r="O2431" s="413"/>
      <c r="Q2431" s="415"/>
      <c r="R2431" s="416"/>
      <c r="S2431" s="420"/>
      <c r="T2431" s="384" ph="1"/>
      <c r="V2431" s="421"/>
      <c r="W2431" s="257"/>
      <c r="X2431" s="429"/>
      <c r="Y2431" s="257"/>
      <c r="Z2431" s="257"/>
      <c r="AC2431" s="357"/>
      <c r="AD2431" s="257"/>
      <c r="AE2431" s="245"/>
      <c r="AF2431" s="246"/>
    </row>
    <row r="2432" spans="1:32" ht="26.25">
      <c r="A2432" s="385"/>
      <c r="B2432" s="245"/>
      <c r="C2432" s="245"/>
      <c r="D2432" s="245"/>
      <c r="E2432" s="245"/>
      <c r="F2432" s="316"/>
      <c r="G2432" s="245"/>
      <c r="H2432" s="385"/>
      <c r="I2432" s="245"/>
      <c r="O2432" s="413"/>
      <c r="Q2432" s="415"/>
      <c r="R2432" s="416"/>
      <c r="S2432" s="420"/>
      <c r="T2432" s="384" ph="1"/>
      <c r="V2432" s="421"/>
      <c r="W2432" s="257"/>
      <c r="X2432" s="429"/>
      <c r="Y2432" s="257"/>
      <c r="Z2432" s="257"/>
      <c r="AC2432" s="357"/>
      <c r="AD2432" s="257"/>
      <c r="AE2432" s="245"/>
      <c r="AF2432" s="246"/>
    </row>
    <row r="2433" spans="1:32" ht="26.25">
      <c r="A2433" s="385"/>
      <c r="B2433" s="245"/>
      <c r="C2433" s="245"/>
      <c r="D2433" s="245"/>
      <c r="E2433" s="245"/>
      <c r="F2433" s="316"/>
      <c r="G2433" s="245"/>
      <c r="H2433" s="385"/>
      <c r="I2433" s="245"/>
      <c r="O2433" s="413"/>
      <c r="Q2433" s="415"/>
      <c r="R2433" s="416"/>
      <c r="S2433" s="420"/>
      <c r="T2433" s="384" ph="1"/>
      <c r="V2433" s="421"/>
      <c r="W2433" s="257"/>
      <c r="X2433" s="429"/>
      <c r="Y2433" s="257"/>
      <c r="Z2433" s="257"/>
      <c r="AC2433" s="357"/>
      <c r="AD2433" s="257"/>
      <c r="AE2433" s="245"/>
      <c r="AF2433" s="246"/>
    </row>
    <row r="2434" spans="1:32" ht="26.25">
      <c r="A2434" s="385"/>
      <c r="B2434" s="245"/>
      <c r="C2434" s="245"/>
      <c r="D2434" s="245"/>
      <c r="E2434" s="245"/>
      <c r="F2434" s="316"/>
      <c r="G2434" s="245"/>
      <c r="H2434" s="385"/>
      <c r="I2434" s="245"/>
      <c r="O2434" s="413"/>
      <c r="Q2434" s="415"/>
      <c r="R2434" s="416"/>
      <c r="S2434" s="420"/>
      <c r="T2434" s="384" ph="1"/>
      <c r="V2434" s="421"/>
      <c r="W2434" s="257"/>
      <c r="X2434" s="429"/>
      <c r="Y2434" s="257"/>
      <c r="Z2434" s="257"/>
      <c r="AC2434" s="357"/>
      <c r="AD2434" s="257"/>
      <c r="AE2434" s="245"/>
      <c r="AF2434" s="246"/>
    </row>
    <row r="2435" spans="1:32" ht="26.25">
      <c r="A2435" s="385"/>
      <c r="B2435" s="245"/>
      <c r="C2435" s="245"/>
      <c r="D2435" s="245"/>
      <c r="E2435" s="245"/>
      <c r="F2435" s="316"/>
      <c r="G2435" s="245"/>
      <c r="H2435" s="385"/>
      <c r="I2435" s="245"/>
      <c r="O2435" s="413"/>
      <c r="Q2435" s="415"/>
      <c r="R2435" s="416"/>
      <c r="S2435" s="420"/>
      <c r="T2435" s="384" ph="1"/>
      <c r="V2435" s="421"/>
      <c r="W2435" s="257"/>
      <c r="X2435" s="429"/>
      <c r="Y2435" s="257"/>
      <c r="Z2435" s="257"/>
      <c r="AC2435" s="357"/>
      <c r="AD2435" s="257"/>
      <c r="AE2435" s="245"/>
      <c r="AF2435" s="246"/>
    </row>
    <row r="2436" spans="1:32" ht="26.25">
      <c r="A2436" s="385"/>
      <c r="B2436" s="245"/>
      <c r="C2436" s="245"/>
      <c r="D2436" s="245"/>
      <c r="E2436" s="245"/>
      <c r="F2436" s="316"/>
      <c r="G2436" s="245"/>
      <c r="H2436" s="385"/>
      <c r="I2436" s="245"/>
      <c r="O2436" s="413"/>
      <c r="Q2436" s="415"/>
      <c r="R2436" s="416"/>
      <c r="S2436" s="420"/>
      <c r="T2436" s="384" ph="1"/>
      <c r="V2436" s="421"/>
      <c r="W2436" s="257"/>
      <c r="X2436" s="429"/>
      <c r="Y2436" s="257"/>
      <c r="Z2436" s="257"/>
      <c r="AC2436" s="357"/>
      <c r="AD2436" s="257"/>
      <c r="AE2436" s="245"/>
      <c r="AF2436" s="246"/>
    </row>
    <row r="2437" spans="1:32" ht="26.25">
      <c r="A2437" s="385"/>
      <c r="B2437" s="245"/>
      <c r="C2437" s="245"/>
      <c r="D2437" s="245"/>
      <c r="E2437" s="245"/>
      <c r="F2437" s="316"/>
      <c r="G2437" s="245"/>
      <c r="H2437" s="385"/>
      <c r="I2437" s="245"/>
      <c r="O2437" s="413"/>
      <c r="Q2437" s="415"/>
      <c r="R2437" s="416"/>
      <c r="S2437" s="420"/>
      <c r="T2437" s="384" ph="1"/>
      <c r="V2437" s="421"/>
      <c r="W2437" s="257"/>
      <c r="X2437" s="429"/>
      <c r="Y2437" s="257"/>
      <c r="Z2437" s="257"/>
      <c r="AC2437" s="357"/>
      <c r="AD2437" s="257"/>
      <c r="AE2437" s="245"/>
      <c r="AF2437" s="246"/>
    </row>
    <row r="2438" spans="1:32" ht="26.25">
      <c r="A2438" s="385"/>
      <c r="B2438" s="245"/>
      <c r="C2438" s="245"/>
      <c r="D2438" s="245"/>
      <c r="E2438" s="245"/>
      <c r="F2438" s="316"/>
      <c r="G2438" s="245"/>
      <c r="H2438" s="385"/>
      <c r="I2438" s="245"/>
      <c r="O2438" s="413"/>
      <c r="Q2438" s="415"/>
      <c r="R2438" s="416"/>
      <c r="S2438" s="420"/>
      <c r="T2438" s="384" ph="1"/>
      <c r="V2438" s="421"/>
      <c r="W2438" s="257"/>
      <c r="X2438" s="429"/>
      <c r="Y2438" s="257"/>
      <c r="Z2438" s="257"/>
      <c r="AC2438" s="357"/>
      <c r="AD2438" s="257"/>
      <c r="AE2438" s="245"/>
      <c r="AF2438" s="246"/>
    </row>
    <row r="2439" spans="1:32" ht="26.25">
      <c r="A2439" s="385"/>
      <c r="B2439" s="245"/>
      <c r="C2439" s="245"/>
      <c r="D2439" s="245"/>
      <c r="E2439" s="245"/>
      <c r="F2439" s="316"/>
      <c r="G2439" s="245"/>
      <c r="H2439" s="385"/>
      <c r="I2439" s="245"/>
      <c r="O2439" s="413"/>
      <c r="Q2439" s="415"/>
      <c r="R2439" s="416"/>
      <c r="S2439" s="420"/>
      <c r="T2439" s="384" ph="1"/>
      <c r="V2439" s="421"/>
      <c r="W2439" s="257"/>
      <c r="X2439" s="429"/>
      <c r="Y2439" s="257"/>
      <c r="Z2439" s="257"/>
      <c r="AC2439" s="357"/>
      <c r="AD2439" s="257"/>
      <c r="AE2439" s="245"/>
      <c r="AF2439" s="246"/>
    </row>
    <row r="2440" spans="1:32" ht="26.25">
      <c r="A2440" s="385"/>
      <c r="B2440" s="245"/>
      <c r="C2440" s="245"/>
      <c r="D2440" s="245"/>
      <c r="E2440" s="245"/>
      <c r="F2440" s="316"/>
      <c r="G2440" s="245"/>
      <c r="H2440" s="385"/>
      <c r="I2440" s="245"/>
      <c r="O2440" s="413"/>
      <c r="Q2440" s="415"/>
      <c r="R2440" s="416"/>
      <c r="S2440" s="420"/>
      <c r="T2440" s="384" ph="1"/>
      <c r="V2440" s="421"/>
      <c r="W2440" s="257"/>
      <c r="X2440" s="429"/>
      <c r="Y2440" s="257"/>
      <c r="Z2440" s="257"/>
      <c r="AC2440" s="357"/>
      <c r="AD2440" s="257"/>
      <c r="AE2440" s="245"/>
      <c r="AF2440" s="246"/>
    </row>
    <row r="2441" spans="1:32" ht="26.25">
      <c r="A2441" s="385"/>
      <c r="B2441" s="245"/>
      <c r="C2441" s="245"/>
      <c r="D2441" s="245"/>
      <c r="E2441" s="245"/>
      <c r="F2441" s="316"/>
      <c r="G2441" s="245"/>
      <c r="H2441" s="385"/>
      <c r="I2441" s="245"/>
      <c r="O2441" s="413"/>
      <c r="Q2441" s="415"/>
      <c r="R2441" s="416"/>
      <c r="S2441" s="420"/>
      <c r="T2441" s="384" ph="1"/>
      <c r="V2441" s="421"/>
      <c r="W2441" s="257"/>
      <c r="X2441" s="429"/>
      <c r="Y2441" s="257"/>
      <c r="Z2441" s="257"/>
      <c r="AC2441" s="357"/>
      <c r="AD2441" s="257"/>
      <c r="AE2441" s="245"/>
      <c r="AF2441" s="246"/>
    </row>
    <row r="2442" spans="1:32" ht="26.25">
      <c r="A2442" s="385"/>
      <c r="B2442" s="245"/>
      <c r="C2442" s="245"/>
      <c r="D2442" s="245"/>
      <c r="E2442" s="245"/>
      <c r="F2442" s="316"/>
      <c r="G2442" s="245"/>
      <c r="H2442" s="385"/>
      <c r="I2442" s="245"/>
      <c r="O2442" s="413"/>
      <c r="Q2442" s="415"/>
      <c r="R2442" s="416"/>
      <c r="S2442" s="420"/>
      <c r="T2442" s="384" ph="1"/>
      <c r="V2442" s="421"/>
      <c r="W2442" s="257"/>
      <c r="X2442" s="429"/>
      <c r="Y2442" s="257"/>
      <c r="Z2442" s="257"/>
      <c r="AC2442" s="357"/>
      <c r="AD2442" s="257"/>
      <c r="AE2442" s="245"/>
      <c r="AF2442" s="246"/>
    </row>
    <row r="2443" spans="1:32" ht="26.25">
      <c r="A2443" s="385"/>
      <c r="B2443" s="245"/>
      <c r="C2443" s="245"/>
      <c r="D2443" s="245"/>
      <c r="E2443" s="245"/>
      <c r="F2443" s="316"/>
      <c r="G2443" s="245"/>
      <c r="H2443" s="385"/>
      <c r="I2443" s="245"/>
      <c r="O2443" s="413"/>
      <c r="Q2443" s="415"/>
      <c r="R2443" s="416"/>
      <c r="S2443" s="420"/>
      <c r="T2443" s="384" ph="1"/>
      <c r="V2443" s="421"/>
      <c r="W2443" s="257"/>
      <c r="X2443" s="429"/>
      <c r="Y2443" s="257"/>
      <c r="Z2443" s="257"/>
      <c r="AC2443" s="357"/>
      <c r="AD2443" s="257"/>
      <c r="AE2443" s="245"/>
      <c r="AF2443" s="246"/>
    </row>
    <row r="2444" spans="1:32" ht="26.25">
      <c r="A2444" s="385"/>
      <c r="B2444" s="245"/>
      <c r="C2444" s="245"/>
      <c r="D2444" s="245"/>
      <c r="E2444" s="245"/>
      <c r="F2444" s="316"/>
      <c r="G2444" s="245"/>
      <c r="H2444" s="385"/>
      <c r="I2444" s="245"/>
      <c r="O2444" s="413"/>
      <c r="Q2444" s="415"/>
      <c r="R2444" s="416"/>
      <c r="S2444" s="420"/>
      <c r="T2444" s="384" ph="1"/>
      <c r="V2444" s="421"/>
      <c r="W2444" s="257"/>
      <c r="X2444" s="429"/>
      <c r="Y2444" s="257"/>
      <c r="Z2444" s="257"/>
      <c r="AC2444" s="357"/>
      <c r="AD2444" s="257"/>
      <c r="AE2444" s="245"/>
      <c r="AF2444" s="246"/>
    </row>
    <row r="2445" spans="1:32" ht="26.25">
      <c r="A2445" s="385"/>
      <c r="B2445" s="245"/>
      <c r="C2445" s="245"/>
      <c r="D2445" s="245"/>
      <c r="E2445" s="245"/>
      <c r="F2445" s="316"/>
      <c r="G2445" s="245"/>
      <c r="H2445" s="385"/>
      <c r="I2445" s="245"/>
      <c r="O2445" s="413"/>
      <c r="Q2445" s="415"/>
      <c r="R2445" s="416"/>
      <c r="S2445" s="420"/>
      <c r="T2445" s="384" ph="1"/>
      <c r="V2445" s="421"/>
      <c r="W2445" s="257"/>
      <c r="X2445" s="429"/>
      <c r="Y2445" s="257"/>
      <c r="Z2445" s="257"/>
      <c r="AC2445" s="357"/>
      <c r="AD2445" s="257"/>
      <c r="AE2445" s="245"/>
      <c r="AF2445" s="246"/>
    </row>
    <row r="2446" spans="1:32" ht="26.25">
      <c r="A2446" s="385"/>
      <c r="B2446" s="245"/>
      <c r="C2446" s="245"/>
      <c r="D2446" s="245"/>
      <c r="E2446" s="245"/>
      <c r="F2446" s="316"/>
      <c r="G2446" s="245"/>
      <c r="H2446" s="385"/>
      <c r="I2446" s="245"/>
      <c r="O2446" s="413"/>
      <c r="Q2446" s="415"/>
      <c r="R2446" s="416"/>
      <c r="S2446" s="420"/>
      <c r="T2446" s="384" ph="1"/>
      <c r="V2446" s="421"/>
      <c r="W2446" s="257"/>
      <c r="X2446" s="429"/>
      <c r="Y2446" s="257"/>
      <c r="Z2446" s="257"/>
      <c r="AC2446" s="357"/>
      <c r="AD2446" s="257"/>
      <c r="AE2446" s="245"/>
      <c r="AF2446" s="246"/>
    </row>
    <row r="2447" spans="1:32" ht="26.25">
      <c r="A2447" s="385"/>
      <c r="B2447" s="245"/>
      <c r="C2447" s="245"/>
      <c r="D2447" s="245"/>
      <c r="E2447" s="245"/>
      <c r="F2447" s="316"/>
      <c r="G2447" s="245"/>
      <c r="H2447" s="385"/>
      <c r="I2447" s="245"/>
      <c r="O2447" s="413"/>
      <c r="Q2447" s="415"/>
      <c r="R2447" s="416"/>
      <c r="S2447" s="420"/>
      <c r="T2447" s="384" ph="1"/>
      <c r="V2447" s="421"/>
      <c r="W2447" s="257"/>
      <c r="X2447" s="429"/>
      <c r="Y2447" s="257"/>
      <c r="Z2447" s="257"/>
      <c r="AC2447" s="357"/>
      <c r="AD2447" s="257"/>
      <c r="AE2447" s="245"/>
      <c r="AF2447" s="246"/>
    </row>
    <row r="2448" spans="1:32" ht="26.25">
      <c r="A2448" s="385"/>
      <c r="B2448" s="245"/>
      <c r="C2448" s="245"/>
      <c r="D2448" s="245"/>
      <c r="E2448" s="245"/>
      <c r="F2448" s="316"/>
      <c r="G2448" s="245"/>
      <c r="H2448" s="385"/>
      <c r="I2448" s="245"/>
      <c r="O2448" s="413"/>
      <c r="Q2448" s="415"/>
      <c r="R2448" s="416"/>
      <c r="S2448" s="420"/>
      <c r="T2448" s="384" ph="1"/>
      <c r="V2448" s="421"/>
      <c r="W2448" s="257"/>
      <c r="X2448" s="429"/>
      <c r="Y2448" s="257"/>
      <c r="Z2448" s="257"/>
      <c r="AC2448" s="357"/>
      <c r="AD2448" s="257"/>
      <c r="AE2448" s="245"/>
      <c r="AF2448" s="246"/>
    </row>
    <row r="2449" spans="1:32" ht="26.25">
      <c r="A2449" s="385"/>
      <c r="B2449" s="245"/>
      <c r="C2449" s="245"/>
      <c r="D2449" s="245"/>
      <c r="E2449" s="245"/>
      <c r="F2449" s="316"/>
      <c r="G2449" s="245"/>
      <c r="H2449" s="385"/>
      <c r="I2449" s="245"/>
      <c r="O2449" s="413"/>
      <c r="Q2449" s="415"/>
      <c r="R2449" s="416"/>
      <c r="S2449" s="420"/>
      <c r="T2449" s="384" ph="1"/>
      <c r="V2449" s="421"/>
      <c r="W2449" s="257"/>
      <c r="X2449" s="429"/>
      <c r="Y2449" s="257"/>
      <c r="Z2449" s="257"/>
      <c r="AC2449" s="357"/>
      <c r="AD2449" s="257"/>
      <c r="AE2449" s="245"/>
      <c r="AF2449" s="246"/>
    </row>
    <row r="2450" spans="1:32" ht="26.25">
      <c r="A2450" s="385"/>
      <c r="B2450" s="245"/>
      <c r="C2450" s="245"/>
      <c r="D2450" s="245"/>
      <c r="E2450" s="245"/>
      <c r="F2450" s="316"/>
      <c r="G2450" s="245"/>
      <c r="H2450" s="385"/>
      <c r="I2450" s="245"/>
      <c r="O2450" s="413"/>
      <c r="Q2450" s="415"/>
      <c r="R2450" s="416"/>
      <c r="S2450" s="420"/>
      <c r="T2450" s="384" ph="1"/>
      <c r="V2450" s="421"/>
      <c r="W2450" s="257"/>
      <c r="X2450" s="429"/>
      <c r="Y2450" s="257"/>
      <c r="Z2450" s="257"/>
      <c r="AC2450" s="357"/>
      <c r="AD2450" s="257"/>
      <c r="AE2450" s="245"/>
      <c r="AF2450" s="246"/>
    </row>
    <row r="2451" spans="1:32" ht="26.25">
      <c r="A2451" s="385"/>
      <c r="B2451" s="245"/>
      <c r="C2451" s="245"/>
      <c r="D2451" s="245"/>
      <c r="E2451" s="245"/>
      <c r="F2451" s="316"/>
      <c r="G2451" s="245"/>
      <c r="H2451" s="385"/>
      <c r="I2451" s="245"/>
      <c r="O2451" s="413"/>
      <c r="Q2451" s="415"/>
      <c r="R2451" s="416"/>
      <c r="S2451" s="420"/>
      <c r="T2451" s="384" ph="1"/>
      <c r="V2451" s="421"/>
      <c r="W2451" s="257"/>
      <c r="X2451" s="429"/>
      <c r="Y2451" s="257"/>
      <c r="Z2451" s="257"/>
      <c r="AC2451" s="357"/>
      <c r="AD2451" s="257"/>
      <c r="AE2451" s="245"/>
      <c r="AF2451" s="246"/>
    </row>
    <row r="2452" spans="1:32" ht="26.25">
      <c r="A2452" s="385"/>
      <c r="B2452" s="245"/>
      <c r="C2452" s="245"/>
      <c r="D2452" s="245"/>
      <c r="E2452" s="245"/>
      <c r="F2452" s="316"/>
      <c r="G2452" s="245"/>
      <c r="H2452" s="385"/>
      <c r="I2452" s="245"/>
      <c r="O2452" s="413"/>
      <c r="Q2452" s="415"/>
      <c r="R2452" s="416"/>
      <c r="S2452" s="420"/>
      <c r="T2452" s="384" ph="1"/>
      <c r="V2452" s="421"/>
      <c r="W2452" s="257"/>
      <c r="X2452" s="429"/>
      <c r="Y2452" s="257"/>
      <c r="Z2452" s="257"/>
      <c r="AC2452" s="357"/>
      <c r="AD2452" s="257"/>
      <c r="AE2452" s="245"/>
      <c r="AF2452" s="246"/>
    </row>
    <row r="2453" spans="1:32" ht="26.25">
      <c r="A2453" s="385"/>
      <c r="B2453" s="245"/>
      <c r="C2453" s="245"/>
      <c r="D2453" s="245"/>
      <c r="E2453" s="245"/>
      <c r="F2453" s="316"/>
      <c r="G2453" s="245"/>
      <c r="H2453" s="385"/>
      <c r="I2453" s="245"/>
      <c r="O2453" s="413"/>
      <c r="Q2453" s="415"/>
      <c r="R2453" s="416"/>
      <c r="S2453" s="420"/>
      <c r="T2453" s="384" ph="1"/>
      <c r="V2453" s="421"/>
      <c r="W2453" s="257"/>
      <c r="X2453" s="429"/>
      <c r="Y2453" s="257"/>
      <c r="Z2453" s="257"/>
      <c r="AC2453" s="357"/>
      <c r="AD2453" s="257"/>
      <c r="AE2453" s="245"/>
      <c r="AF2453" s="246"/>
    </row>
    <row r="2454" spans="1:32" ht="26.25">
      <c r="A2454" s="385"/>
      <c r="B2454" s="245"/>
      <c r="C2454" s="245"/>
      <c r="D2454" s="245"/>
      <c r="E2454" s="245"/>
      <c r="F2454" s="316"/>
      <c r="G2454" s="245"/>
      <c r="H2454" s="385"/>
      <c r="I2454" s="245"/>
      <c r="O2454" s="413"/>
      <c r="Q2454" s="415"/>
      <c r="R2454" s="416"/>
      <c r="S2454" s="420"/>
      <c r="T2454" s="384" ph="1"/>
      <c r="V2454" s="421"/>
      <c r="W2454" s="257"/>
      <c r="X2454" s="429"/>
      <c r="Y2454" s="257"/>
      <c r="Z2454" s="257"/>
      <c r="AC2454" s="357"/>
      <c r="AD2454" s="257"/>
      <c r="AE2454" s="245"/>
      <c r="AF2454" s="246"/>
    </row>
    <row r="2455" spans="1:32" ht="26.25">
      <c r="A2455" s="385"/>
      <c r="B2455" s="245"/>
      <c r="C2455" s="245"/>
      <c r="D2455" s="245"/>
      <c r="E2455" s="245"/>
      <c r="F2455" s="316"/>
      <c r="G2455" s="245"/>
      <c r="H2455" s="385"/>
      <c r="I2455" s="245"/>
      <c r="O2455" s="413"/>
      <c r="Q2455" s="415"/>
      <c r="R2455" s="416"/>
      <c r="S2455" s="420"/>
      <c r="T2455" s="384" ph="1"/>
      <c r="V2455" s="421"/>
      <c r="W2455" s="257"/>
      <c r="X2455" s="429"/>
      <c r="Y2455" s="257"/>
      <c r="Z2455" s="257"/>
      <c r="AC2455" s="357"/>
      <c r="AD2455" s="257"/>
      <c r="AE2455" s="245"/>
      <c r="AF2455" s="246"/>
    </row>
    <row r="2456" spans="1:32" ht="26.25">
      <c r="A2456" s="385"/>
      <c r="B2456" s="245"/>
      <c r="C2456" s="245"/>
      <c r="D2456" s="245"/>
      <c r="E2456" s="245"/>
      <c r="F2456" s="316"/>
      <c r="G2456" s="245"/>
      <c r="H2456" s="385"/>
      <c r="I2456" s="245"/>
      <c r="O2456" s="413"/>
      <c r="Q2456" s="415"/>
      <c r="R2456" s="416"/>
      <c r="S2456" s="420"/>
      <c r="T2456" s="384" ph="1"/>
      <c r="V2456" s="421"/>
      <c r="W2456" s="257"/>
      <c r="X2456" s="429"/>
      <c r="Y2456" s="257"/>
      <c r="Z2456" s="257"/>
      <c r="AC2456" s="357"/>
      <c r="AD2456" s="257"/>
      <c r="AE2456" s="245"/>
      <c r="AF2456" s="246"/>
    </row>
    <row r="2457" spans="1:32" ht="26.25">
      <c r="A2457" s="385"/>
      <c r="B2457" s="245"/>
      <c r="C2457" s="245"/>
      <c r="D2457" s="245"/>
      <c r="E2457" s="245"/>
      <c r="F2457" s="316"/>
      <c r="G2457" s="245"/>
      <c r="H2457" s="385"/>
      <c r="I2457" s="245"/>
      <c r="O2457" s="413"/>
      <c r="Q2457" s="415"/>
      <c r="R2457" s="416"/>
      <c r="S2457" s="420"/>
      <c r="T2457" s="384" ph="1"/>
      <c r="V2457" s="421"/>
      <c r="W2457" s="257"/>
      <c r="X2457" s="429"/>
      <c r="Y2457" s="257"/>
      <c r="Z2457" s="257"/>
      <c r="AC2457" s="357"/>
      <c r="AD2457" s="257"/>
      <c r="AE2457" s="245"/>
      <c r="AF2457" s="246"/>
    </row>
    <row r="2458" spans="1:32" ht="26.25">
      <c r="A2458" s="385"/>
      <c r="B2458" s="245"/>
      <c r="C2458" s="245"/>
      <c r="D2458" s="245"/>
      <c r="E2458" s="245"/>
      <c r="F2458" s="316"/>
      <c r="G2458" s="245"/>
      <c r="H2458" s="385"/>
      <c r="I2458" s="245"/>
      <c r="O2458" s="413"/>
      <c r="Q2458" s="415"/>
      <c r="R2458" s="416"/>
      <c r="S2458" s="420"/>
      <c r="T2458" s="384" ph="1"/>
      <c r="V2458" s="421"/>
      <c r="W2458" s="257"/>
      <c r="X2458" s="429"/>
      <c r="Y2458" s="257"/>
      <c r="Z2458" s="257"/>
      <c r="AC2458" s="357"/>
      <c r="AD2458" s="257"/>
      <c r="AE2458" s="245"/>
      <c r="AF2458" s="246"/>
    </row>
    <row r="2459" spans="1:32" ht="26.25">
      <c r="A2459" s="385"/>
      <c r="B2459" s="245"/>
      <c r="C2459" s="245"/>
      <c r="D2459" s="245"/>
      <c r="E2459" s="245"/>
      <c r="F2459" s="316"/>
      <c r="G2459" s="245"/>
      <c r="H2459" s="385"/>
      <c r="I2459" s="245"/>
      <c r="O2459" s="413"/>
      <c r="Q2459" s="415"/>
      <c r="R2459" s="416"/>
      <c r="S2459" s="420"/>
      <c r="T2459" s="384" ph="1"/>
      <c r="V2459" s="421"/>
      <c r="W2459" s="257"/>
      <c r="X2459" s="429"/>
      <c r="Y2459" s="257"/>
      <c r="Z2459" s="257"/>
      <c r="AC2459" s="357"/>
      <c r="AD2459" s="257"/>
      <c r="AE2459" s="245"/>
      <c r="AF2459" s="246"/>
    </row>
    <row r="2460" spans="1:32" ht="26.25">
      <c r="A2460" s="385"/>
      <c r="B2460" s="245"/>
      <c r="C2460" s="245"/>
      <c r="D2460" s="245"/>
      <c r="E2460" s="245"/>
      <c r="F2460" s="316"/>
      <c r="G2460" s="245"/>
      <c r="H2460" s="385"/>
      <c r="I2460" s="245"/>
      <c r="O2460" s="413"/>
      <c r="Q2460" s="415"/>
      <c r="R2460" s="416"/>
      <c r="S2460" s="420"/>
      <c r="T2460" s="384" ph="1"/>
      <c r="V2460" s="421"/>
      <c r="W2460" s="257"/>
      <c r="X2460" s="429"/>
      <c r="Y2460" s="257"/>
      <c r="Z2460" s="257"/>
      <c r="AC2460" s="357"/>
      <c r="AD2460" s="257"/>
      <c r="AE2460" s="245"/>
      <c r="AF2460" s="246"/>
    </row>
    <row r="2461" spans="1:32" ht="26.25">
      <c r="A2461" s="385"/>
      <c r="B2461" s="245"/>
      <c r="C2461" s="245"/>
      <c r="D2461" s="245"/>
      <c r="E2461" s="245"/>
      <c r="F2461" s="316"/>
      <c r="G2461" s="245"/>
      <c r="H2461" s="385"/>
      <c r="I2461" s="245"/>
      <c r="O2461" s="413"/>
      <c r="Q2461" s="415"/>
      <c r="R2461" s="416"/>
      <c r="S2461" s="420"/>
      <c r="T2461" s="384" ph="1"/>
      <c r="V2461" s="421"/>
      <c r="W2461" s="257"/>
      <c r="X2461" s="429"/>
      <c r="Y2461" s="257"/>
      <c r="Z2461" s="257"/>
      <c r="AC2461" s="357"/>
      <c r="AD2461" s="257"/>
      <c r="AE2461" s="245"/>
      <c r="AF2461" s="246"/>
    </row>
    <row r="2462" spans="1:32" ht="26.25">
      <c r="A2462" s="385"/>
      <c r="B2462" s="245"/>
      <c r="C2462" s="245"/>
      <c r="D2462" s="245"/>
      <c r="E2462" s="245"/>
      <c r="F2462" s="316"/>
      <c r="G2462" s="245"/>
      <c r="H2462" s="385"/>
      <c r="I2462" s="245"/>
      <c r="O2462" s="413"/>
      <c r="Q2462" s="415"/>
      <c r="R2462" s="416"/>
      <c r="S2462" s="420"/>
      <c r="T2462" s="384" ph="1"/>
      <c r="V2462" s="421"/>
      <c r="W2462" s="257"/>
      <c r="X2462" s="429"/>
      <c r="Y2462" s="257"/>
      <c r="Z2462" s="257"/>
      <c r="AC2462" s="357"/>
      <c r="AD2462" s="257"/>
      <c r="AE2462" s="245"/>
      <c r="AF2462" s="246"/>
    </row>
    <row r="2463" spans="1:32" ht="26.25">
      <c r="A2463" s="385"/>
      <c r="B2463" s="245"/>
      <c r="C2463" s="245"/>
      <c r="D2463" s="245"/>
      <c r="E2463" s="245"/>
      <c r="F2463" s="316"/>
      <c r="G2463" s="245"/>
      <c r="H2463" s="385"/>
      <c r="I2463" s="245"/>
      <c r="O2463" s="413"/>
      <c r="Q2463" s="415"/>
      <c r="R2463" s="416"/>
      <c r="S2463" s="420"/>
      <c r="T2463" s="384" ph="1"/>
      <c r="V2463" s="421"/>
      <c r="W2463" s="257"/>
      <c r="X2463" s="429"/>
      <c r="Y2463" s="257"/>
      <c r="Z2463" s="257"/>
      <c r="AC2463" s="357"/>
      <c r="AD2463" s="257"/>
      <c r="AE2463" s="245"/>
      <c r="AF2463" s="246"/>
    </row>
    <row r="2464" spans="1:32" ht="26.25">
      <c r="A2464" s="385"/>
      <c r="B2464" s="245"/>
      <c r="C2464" s="245"/>
      <c r="D2464" s="245"/>
      <c r="E2464" s="245"/>
      <c r="F2464" s="316"/>
      <c r="G2464" s="245"/>
      <c r="H2464" s="385"/>
      <c r="I2464" s="245"/>
      <c r="O2464" s="413"/>
      <c r="Q2464" s="415"/>
      <c r="R2464" s="416"/>
      <c r="S2464" s="420"/>
      <c r="T2464" s="384" ph="1"/>
      <c r="V2464" s="421"/>
      <c r="W2464" s="257"/>
      <c r="X2464" s="429"/>
      <c r="Y2464" s="257"/>
      <c r="Z2464" s="257"/>
      <c r="AC2464" s="357"/>
      <c r="AD2464" s="257"/>
      <c r="AE2464" s="245"/>
      <c r="AF2464" s="246"/>
    </row>
    <row r="2465" spans="1:32" ht="26.25">
      <c r="A2465" s="385"/>
      <c r="B2465" s="245"/>
      <c r="C2465" s="245"/>
      <c r="D2465" s="245"/>
      <c r="E2465" s="245"/>
      <c r="F2465" s="316"/>
      <c r="G2465" s="245"/>
      <c r="H2465" s="385"/>
      <c r="I2465" s="245"/>
      <c r="O2465" s="413"/>
      <c r="Q2465" s="415"/>
      <c r="R2465" s="416"/>
      <c r="S2465" s="420"/>
      <c r="T2465" s="384" ph="1"/>
      <c r="V2465" s="421"/>
      <c r="W2465" s="257"/>
      <c r="X2465" s="429"/>
      <c r="Y2465" s="257"/>
      <c r="Z2465" s="257"/>
      <c r="AC2465" s="357"/>
      <c r="AD2465" s="257"/>
      <c r="AE2465" s="245"/>
      <c r="AF2465" s="246"/>
    </row>
    <row r="2466" spans="1:32" ht="26.25">
      <c r="A2466" s="385"/>
      <c r="B2466" s="245"/>
      <c r="C2466" s="245"/>
      <c r="D2466" s="245"/>
      <c r="E2466" s="245"/>
      <c r="F2466" s="316"/>
      <c r="G2466" s="245"/>
      <c r="H2466" s="385"/>
      <c r="I2466" s="245"/>
      <c r="O2466" s="413"/>
      <c r="Q2466" s="415"/>
      <c r="R2466" s="416"/>
      <c r="S2466" s="420"/>
      <c r="T2466" s="384" ph="1"/>
      <c r="V2466" s="421"/>
      <c r="W2466" s="257"/>
      <c r="X2466" s="429"/>
      <c r="Y2466" s="257"/>
      <c r="Z2466" s="257"/>
      <c r="AC2466" s="357"/>
      <c r="AD2466" s="257"/>
      <c r="AE2466" s="245"/>
      <c r="AF2466" s="246"/>
    </row>
    <row r="2467" spans="1:32" ht="26.25">
      <c r="A2467" s="385"/>
      <c r="B2467" s="245"/>
      <c r="C2467" s="245"/>
      <c r="D2467" s="245"/>
      <c r="E2467" s="245"/>
      <c r="F2467" s="316"/>
      <c r="G2467" s="245"/>
      <c r="H2467" s="385"/>
      <c r="I2467" s="245"/>
      <c r="O2467" s="413"/>
      <c r="Q2467" s="415"/>
      <c r="R2467" s="416"/>
      <c r="S2467" s="420"/>
      <c r="T2467" s="384" ph="1"/>
      <c r="V2467" s="421"/>
      <c r="W2467" s="257"/>
      <c r="X2467" s="429"/>
      <c r="Y2467" s="257"/>
      <c r="Z2467" s="257"/>
      <c r="AC2467" s="357"/>
      <c r="AD2467" s="257"/>
      <c r="AE2467" s="245"/>
      <c r="AF2467" s="246"/>
    </row>
    <row r="2468" spans="1:32" ht="26.25">
      <c r="A2468" s="385"/>
      <c r="B2468" s="245"/>
      <c r="C2468" s="245"/>
      <c r="D2468" s="245"/>
      <c r="E2468" s="245"/>
      <c r="F2468" s="316"/>
      <c r="G2468" s="245"/>
      <c r="H2468" s="385"/>
      <c r="I2468" s="245"/>
      <c r="O2468" s="413"/>
      <c r="Q2468" s="415"/>
      <c r="R2468" s="416"/>
      <c r="S2468" s="420"/>
      <c r="T2468" s="384" ph="1"/>
      <c r="V2468" s="421"/>
      <c r="W2468" s="257"/>
      <c r="X2468" s="429"/>
      <c r="Y2468" s="257"/>
      <c r="Z2468" s="257"/>
      <c r="AC2468" s="357"/>
      <c r="AD2468" s="257"/>
      <c r="AE2468" s="245"/>
      <c r="AF2468" s="246"/>
    </row>
    <row r="2469" spans="1:32" ht="26.25">
      <c r="A2469" s="385"/>
      <c r="B2469" s="245"/>
      <c r="C2469" s="245"/>
      <c r="D2469" s="245"/>
      <c r="E2469" s="245"/>
      <c r="F2469" s="316"/>
      <c r="G2469" s="245"/>
      <c r="H2469" s="385"/>
      <c r="I2469" s="245"/>
      <c r="O2469" s="413"/>
      <c r="Q2469" s="415"/>
      <c r="R2469" s="416"/>
      <c r="S2469" s="420"/>
      <c r="T2469" s="384" ph="1"/>
      <c r="V2469" s="421"/>
      <c r="W2469" s="257"/>
      <c r="X2469" s="429"/>
      <c r="Y2469" s="257"/>
      <c r="Z2469" s="257"/>
      <c r="AC2469" s="357"/>
      <c r="AD2469" s="257"/>
      <c r="AE2469" s="245"/>
      <c r="AF2469" s="246"/>
    </row>
    <row r="2470" spans="1:32" ht="26.25">
      <c r="A2470" s="385"/>
      <c r="B2470" s="245"/>
      <c r="C2470" s="245"/>
      <c r="D2470" s="245"/>
      <c r="E2470" s="245"/>
      <c r="F2470" s="316"/>
      <c r="G2470" s="245"/>
      <c r="H2470" s="385"/>
      <c r="I2470" s="245"/>
      <c r="O2470" s="413"/>
      <c r="Q2470" s="415"/>
      <c r="R2470" s="416"/>
      <c r="S2470" s="420"/>
      <c r="T2470" s="384" ph="1"/>
      <c r="V2470" s="421"/>
      <c r="W2470" s="257"/>
      <c r="X2470" s="429"/>
      <c r="Y2470" s="257"/>
      <c r="Z2470" s="257"/>
      <c r="AC2470" s="357"/>
      <c r="AD2470" s="257"/>
      <c r="AE2470" s="245"/>
      <c r="AF2470" s="246"/>
    </row>
    <row r="2471" spans="1:32" ht="26.25">
      <c r="A2471" s="385"/>
      <c r="B2471" s="245"/>
      <c r="C2471" s="245"/>
      <c r="D2471" s="245"/>
      <c r="E2471" s="245"/>
      <c r="F2471" s="316"/>
      <c r="G2471" s="245"/>
      <c r="H2471" s="385"/>
      <c r="I2471" s="245"/>
      <c r="O2471" s="413"/>
      <c r="Q2471" s="415"/>
      <c r="R2471" s="416"/>
      <c r="S2471" s="420"/>
      <c r="T2471" s="384" ph="1"/>
      <c r="V2471" s="421"/>
      <c r="W2471" s="257"/>
      <c r="X2471" s="429"/>
      <c r="Y2471" s="257"/>
      <c r="Z2471" s="257"/>
      <c r="AC2471" s="357"/>
      <c r="AD2471" s="257"/>
      <c r="AE2471" s="245"/>
      <c r="AF2471" s="246"/>
    </row>
    <row r="2472" spans="1:32" ht="26.25">
      <c r="A2472" s="385"/>
      <c r="B2472" s="245"/>
      <c r="C2472" s="245"/>
      <c r="D2472" s="245"/>
      <c r="E2472" s="245"/>
      <c r="F2472" s="316"/>
      <c r="G2472" s="245"/>
      <c r="H2472" s="385"/>
      <c r="I2472" s="245"/>
      <c r="O2472" s="413"/>
      <c r="Q2472" s="415"/>
      <c r="R2472" s="416"/>
      <c r="S2472" s="420"/>
      <c r="T2472" s="384" ph="1"/>
      <c r="V2472" s="421"/>
      <c r="W2472" s="257"/>
      <c r="X2472" s="429"/>
      <c r="Y2472" s="257"/>
      <c r="Z2472" s="257"/>
      <c r="AC2472" s="357"/>
      <c r="AD2472" s="257"/>
      <c r="AE2472" s="245"/>
      <c r="AF2472" s="246"/>
    </row>
    <row r="2473" spans="1:32" ht="26.25">
      <c r="A2473" s="385"/>
      <c r="B2473" s="245"/>
      <c r="C2473" s="245"/>
      <c r="D2473" s="245"/>
      <c r="E2473" s="245"/>
      <c r="F2473" s="316"/>
      <c r="G2473" s="245"/>
      <c r="H2473" s="385"/>
      <c r="I2473" s="245"/>
      <c r="O2473" s="413"/>
      <c r="Q2473" s="415"/>
      <c r="R2473" s="416"/>
      <c r="S2473" s="420"/>
      <c r="T2473" s="384" ph="1"/>
      <c r="V2473" s="421"/>
      <c r="W2473" s="257"/>
      <c r="X2473" s="429"/>
      <c r="Y2473" s="257"/>
      <c r="Z2473" s="257"/>
      <c r="AC2473" s="357"/>
      <c r="AD2473" s="257"/>
      <c r="AE2473" s="245"/>
      <c r="AF2473" s="246"/>
    </row>
    <row r="2474" spans="1:32" ht="26.25">
      <c r="A2474" s="385"/>
      <c r="B2474" s="245"/>
      <c r="C2474" s="245"/>
      <c r="D2474" s="245"/>
      <c r="E2474" s="245"/>
      <c r="F2474" s="316"/>
      <c r="G2474" s="245"/>
      <c r="H2474" s="385"/>
      <c r="I2474" s="245"/>
      <c r="O2474" s="413"/>
      <c r="Q2474" s="415"/>
      <c r="R2474" s="416"/>
      <c r="S2474" s="420"/>
      <c r="T2474" s="384" ph="1"/>
      <c r="V2474" s="421"/>
      <c r="W2474" s="257"/>
      <c r="X2474" s="429"/>
      <c r="Y2474" s="257"/>
      <c r="Z2474" s="257"/>
      <c r="AC2474" s="357"/>
      <c r="AD2474" s="257"/>
      <c r="AE2474" s="245"/>
      <c r="AF2474" s="246"/>
    </row>
    <row r="2475" spans="1:32" ht="26.25">
      <c r="A2475" s="385"/>
      <c r="B2475" s="245"/>
      <c r="C2475" s="245"/>
      <c r="D2475" s="245"/>
      <c r="E2475" s="245"/>
      <c r="F2475" s="316"/>
      <c r="G2475" s="245"/>
      <c r="H2475" s="385"/>
      <c r="I2475" s="245"/>
      <c r="O2475" s="413"/>
      <c r="Q2475" s="415"/>
      <c r="R2475" s="416"/>
      <c r="S2475" s="420"/>
      <c r="T2475" s="384" ph="1"/>
      <c r="V2475" s="421"/>
      <c r="W2475" s="257"/>
      <c r="X2475" s="429"/>
      <c r="Y2475" s="257"/>
      <c r="Z2475" s="257"/>
      <c r="AC2475" s="357"/>
      <c r="AD2475" s="257"/>
      <c r="AE2475" s="245"/>
      <c r="AF2475" s="246"/>
    </row>
    <row r="2476" spans="1:32" ht="26.25">
      <c r="A2476" s="385"/>
      <c r="B2476" s="245"/>
      <c r="C2476" s="245"/>
      <c r="D2476" s="245"/>
      <c r="E2476" s="245"/>
      <c r="F2476" s="316"/>
      <c r="G2476" s="245"/>
      <c r="H2476" s="385"/>
      <c r="I2476" s="245"/>
      <c r="O2476" s="413"/>
      <c r="Q2476" s="415"/>
      <c r="R2476" s="416"/>
      <c r="S2476" s="420"/>
      <c r="T2476" s="384" ph="1"/>
      <c r="V2476" s="421"/>
      <c r="W2476" s="257"/>
      <c r="X2476" s="429"/>
      <c r="Y2476" s="257"/>
      <c r="Z2476" s="257"/>
      <c r="AC2476" s="357"/>
      <c r="AD2476" s="257"/>
      <c r="AE2476" s="245"/>
      <c r="AF2476" s="246"/>
    </row>
    <row r="2477" spans="1:32" ht="26.25">
      <c r="A2477" s="385"/>
      <c r="B2477" s="245"/>
      <c r="C2477" s="245"/>
      <c r="D2477" s="245"/>
      <c r="E2477" s="245"/>
      <c r="F2477" s="316"/>
      <c r="G2477" s="245"/>
      <c r="H2477" s="385"/>
      <c r="I2477" s="245"/>
      <c r="O2477" s="413"/>
      <c r="Q2477" s="415"/>
      <c r="R2477" s="416"/>
      <c r="S2477" s="420"/>
      <c r="T2477" s="384" ph="1"/>
      <c r="V2477" s="421"/>
      <c r="W2477" s="257"/>
      <c r="X2477" s="429"/>
      <c r="Y2477" s="257"/>
      <c r="Z2477" s="257"/>
      <c r="AC2477" s="357"/>
      <c r="AD2477" s="257"/>
      <c r="AE2477" s="245"/>
      <c r="AF2477" s="246"/>
    </row>
    <row r="2478" spans="1:32" ht="26.25">
      <c r="A2478" s="385"/>
      <c r="B2478" s="245"/>
      <c r="C2478" s="245"/>
      <c r="D2478" s="245"/>
      <c r="E2478" s="245"/>
      <c r="F2478" s="316"/>
      <c r="G2478" s="245"/>
      <c r="H2478" s="385"/>
      <c r="I2478" s="245"/>
      <c r="O2478" s="413"/>
      <c r="Q2478" s="415"/>
      <c r="R2478" s="416"/>
      <c r="S2478" s="420"/>
      <c r="T2478" s="384" ph="1"/>
      <c r="V2478" s="421"/>
      <c r="W2478" s="257"/>
      <c r="X2478" s="429"/>
      <c r="Y2478" s="257"/>
      <c r="Z2478" s="257"/>
      <c r="AC2478" s="357"/>
      <c r="AD2478" s="257"/>
      <c r="AE2478" s="245"/>
      <c r="AF2478" s="246"/>
    </row>
    <row r="2479" spans="1:32" ht="26.25">
      <c r="A2479" s="385"/>
      <c r="B2479" s="245"/>
      <c r="C2479" s="245"/>
      <c r="D2479" s="245"/>
      <c r="E2479" s="245"/>
      <c r="F2479" s="316"/>
      <c r="G2479" s="245"/>
      <c r="H2479" s="385"/>
      <c r="I2479" s="245"/>
      <c r="O2479" s="413"/>
      <c r="Q2479" s="415"/>
      <c r="R2479" s="416"/>
      <c r="S2479" s="420"/>
      <c r="T2479" s="384" ph="1"/>
      <c r="V2479" s="421"/>
      <c r="W2479" s="257"/>
      <c r="X2479" s="429"/>
      <c r="Y2479" s="257"/>
      <c r="Z2479" s="257"/>
      <c r="AC2479" s="357"/>
      <c r="AD2479" s="257"/>
      <c r="AE2479" s="245"/>
      <c r="AF2479" s="246"/>
    </row>
    <row r="2480" spans="1:32" ht="26.25">
      <c r="A2480" s="385"/>
      <c r="B2480" s="245"/>
      <c r="C2480" s="245"/>
      <c r="D2480" s="245"/>
      <c r="E2480" s="245"/>
      <c r="F2480" s="316"/>
      <c r="G2480" s="245"/>
      <c r="H2480" s="385"/>
      <c r="I2480" s="245"/>
      <c r="O2480" s="413"/>
      <c r="Q2480" s="415"/>
      <c r="R2480" s="416"/>
      <c r="S2480" s="420"/>
      <c r="T2480" s="384" ph="1"/>
      <c r="V2480" s="421"/>
      <c r="W2480" s="257"/>
      <c r="X2480" s="429"/>
      <c r="Y2480" s="257"/>
      <c r="Z2480" s="257"/>
      <c r="AC2480" s="357"/>
      <c r="AD2480" s="257"/>
      <c r="AE2480" s="245"/>
      <c r="AF2480" s="246"/>
    </row>
    <row r="2481" spans="1:32" ht="26.25">
      <c r="A2481" s="385"/>
      <c r="B2481" s="245"/>
      <c r="C2481" s="245"/>
      <c r="D2481" s="245"/>
      <c r="E2481" s="245"/>
      <c r="F2481" s="316"/>
      <c r="G2481" s="245"/>
      <c r="H2481" s="385"/>
      <c r="I2481" s="245"/>
      <c r="O2481" s="413"/>
      <c r="Q2481" s="415"/>
      <c r="R2481" s="416"/>
      <c r="S2481" s="420"/>
      <c r="T2481" s="384" ph="1"/>
      <c r="V2481" s="421"/>
      <c r="W2481" s="257"/>
      <c r="X2481" s="429"/>
      <c r="Y2481" s="257"/>
      <c r="Z2481" s="257"/>
      <c r="AC2481" s="357"/>
      <c r="AD2481" s="257"/>
      <c r="AE2481" s="245"/>
      <c r="AF2481" s="246"/>
    </row>
    <row r="2482" spans="1:32" ht="26.25">
      <c r="A2482" s="385"/>
      <c r="B2482" s="245"/>
      <c r="C2482" s="245"/>
      <c r="D2482" s="245"/>
      <c r="E2482" s="245"/>
      <c r="F2482" s="316"/>
      <c r="G2482" s="245"/>
      <c r="H2482" s="385"/>
      <c r="I2482" s="245"/>
      <c r="O2482" s="413"/>
      <c r="Q2482" s="415"/>
      <c r="R2482" s="416"/>
      <c r="S2482" s="420"/>
      <c r="T2482" s="384" ph="1"/>
      <c r="V2482" s="421"/>
      <c r="W2482" s="257"/>
      <c r="X2482" s="429"/>
      <c r="Y2482" s="257"/>
      <c r="Z2482" s="257"/>
      <c r="AC2482" s="357"/>
      <c r="AD2482" s="257"/>
      <c r="AE2482" s="245"/>
      <c r="AF2482" s="246"/>
    </row>
    <row r="2483" spans="1:32" ht="26.25">
      <c r="A2483" s="385"/>
      <c r="B2483" s="245"/>
      <c r="C2483" s="245"/>
      <c r="D2483" s="245"/>
      <c r="E2483" s="245"/>
      <c r="F2483" s="316"/>
      <c r="G2483" s="245"/>
      <c r="H2483" s="385"/>
      <c r="I2483" s="245"/>
      <c r="O2483" s="413"/>
      <c r="Q2483" s="415"/>
      <c r="R2483" s="416"/>
      <c r="S2483" s="420"/>
      <c r="T2483" s="384" ph="1"/>
      <c r="V2483" s="421"/>
      <c r="W2483" s="257"/>
      <c r="X2483" s="429"/>
      <c r="Y2483" s="257"/>
      <c r="Z2483" s="257"/>
      <c r="AC2483" s="357"/>
      <c r="AD2483" s="257"/>
      <c r="AE2483" s="245"/>
      <c r="AF2483" s="246"/>
    </row>
    <row r="2484" spans="1:32" ht="26.25">
      <c r="A2484" s="385"/>
      <c r="B2484" s="245"/>
      <c r="C2484" s="245"/>
      <c r="D2484" s="245"/>
      <c r="E2484" s="245"/>
      <c r="F2484" s="316"/>
      <c r="G2484" s="245"/>
      <c r="H2484" s="385"/>
      <c r="I2484" s="245"/>
      <c r="O2484" s="413"/>
      <c r="Q2484" s="415"/>
      <c r="R2484" s="416"/>
      <c r="S2484" s="420"/>
      <c r="T2484" s="384" ph="1"/>
      <c r="V2484" s="421"/>
      <c r="W2484" s="257"/>
      <c r="X2484" s="429"/>
      <c r="Y2484" s="257"/>
      <c r="Z2484" s="257"/>
      <c r="AC2484" s="357"/>
      <c r="AD2484" s="257"/>
      <c r="AE2484" s="245"/>
      <c r="AF2484" s="246"/>
    </row>
    <row r="2485" spans="1:32" ht="26.25">
      <c r="A2485" s="385"/>
      <c r="B2485" s="245"/>
      <c r="C2485" s="245"/>
      <c r="D2485" s="245"/>
      <c r="E2485" s="245"/>
      <c r="F2485" s="316"/>
      <c r="G2485" s="245"/>
      <c r="H2485" s="385"/>
      <c r="I2485" s="245"/>
      <c r="R2485" s="416"/>
      <c r="S2485" s="420"/>
      <c r="T2485" s="384" ph="1"/>
      <c r="V2485" s="421"/>
      <c r="W2485" s="257"/>
      <c r="X2485" s="429"/>
      <c r="Y2485" s="257"/>
      <c r="Z2485" s="257"/>
      <c r="AC2485" s="357"/>
      <c r="AD2485" s="257"/>
      <c r="AE2485" s="245"/>
      <c r="AF2485" s="246"/>
    </row>
    <row r="2486" spans="1:32" ht="26.25">
      <c r="A2486" s="385"/>
      <c r="B2486" s="245"/>
      <c r="C2486" s="245"/>
      <c r="D2486" s="245"/>
      <c r="E2486" s="245"/>
      <c r="F2486" s="316"/>
      <c r="G2486" s="245"/>
      <c r="H2486" s="385"/>
      <c r="I2486" s="245"/>
      <c r="R2486" s="416"/>
      <c r="S2486" s="420"/>
      <c r="T2486" s="384" ph="1"/>
      <c r="V2486" s="421"/>
      <c r="W2486" s="257"/>
      <c r="X2486" s="429"/>
      <c r="Y2486" s="257"/>
      <c r="Z2486" s="257"/>
      <c r="AC2486" s="357"/>
      <c r="AD2486" s="257"/>
      <c r="AE2486" s="245"/>
      <c r="AF2486" s="246"/>
    </row>
    <row r="2487" spans="1:32" ht="26.25">
      <c r="A2487" s="385"/>
      <c r="B2487" s="245"/>
      <c r="C2487" s="245"/>
      <c r="D2487" s="245"/>
      <c r="E2487" s="245"/>
      <c r="F2487" s="316"/>
      <c r="G2487" s="245"/>
      <c r="H2487" s="385"/>
      <c r="I2487" s="245"/>
      <c r="R2487" s="416"/>
      <c r="S2487" s="420"/>
      <c r="T2487" s="384" ph="1"/>
      <c r="V2487" s="421"/>
      <c r="W2487" s="257"/>
      <c r="X2487" s="429"/>
      <c r="Y2487" s="257"/>
      <c r="Z2487" s="257"/>
      <c r="AC2487" s="357"/>
      <c r="AD2487" s="257"/>
      <c r="AE2487" s="245"/>
      <c r="AF2487" s="246"/>
    </row>
    <row r="2488" spans="1:32" ht="26.25">
      <c r="A2488" s="385"/>
      <c r="B2488" s="245"/>
      <c r="C2488" s="245"/>
      <c r="D2488" s="245"/>
      <c r="E2488" s="245"/>
      <c r="F2488" s="316"/>
      <c r="G2488" s="245"/>
      <c r="H2488" s="385"/>
      <c r="I2488" s="245"/>
      <c r="R2488" s="416"/>
      <c r="S2488" s="420"/>
      <c r="T2488" s="384" ph="1"/>
      <c r="V2488" s="421"/>
      <c r="W2488" s="257"/>
      <c r="X2488" s="429"/>
      <c r="Y2488" s="257"/>
      <c r="Z2488" s="257"/>
      <c r="AC2488" s="357"/>
      <c r="AD2488" s="257"/>
      <c r="AE2488" s="245"/>
      <c r="AF2488" s="246"/>
    </row>
    <row r="2489" spans="1:32" ht="26.25">
      <c r="A2489" s="385"/>
      <c r="B2489" s="245"/>
      <c r="C2489" s="245"/>
      <c r="D2489" s="245"/>
      <c r="E2489" s="245"/>
      <c r="F2489" s="316"/>
      <c r="G2489" s="245"/>
      <c r="H2489" s="385"/>
      <c r="I2489" s="245"/>
      <c r="R2489" s="416"/>
      <c r="S2489" s="420"/>
      <c r="T2489" s="384" ph="1"/>
      <c r="V2489" s="421"/>
      <c r="W2489" s="257"/>
      <c r="X2489" s="429"/>
      <c r="Y2489" s="257"/>
      <c r="Z2489" s="257"/>
      <c r="AC2489" s="357"/>
      <c r="AD2489" s="257"/>
      <c r="AE2489" s="245"/>
      <c r="AF2489" s="246"/>
    </row>
    <row r="2490" spans="1:32" ht="26.25">
      <c r="A2490" s="385"/>
      <c r="B2490" s="245"/>
      <c r="C2490" s="245"/>
      <c r="D2490" s="245"/>
      <c r="E2490" s="245"/>
      <c r="F2490" s="316"/>
      <c r="G2490" s="245"/>
      <c r="H2490" s="385"/>
      <c r="I2490" s="245"/>
      <c r="R2490" s="416"/>
      <c r="S2490" s="420"/>
      <c r="T2490" s="384" ph="1"/>
      <c r="V2490" s="421"/>
      <c r="W2490" s="257"/>
      <c r="X2490" s="429"/>
      <c r="Y2490" s="257"/>
      <c r="Z2490" s="257"/>
      <c r="AC2490" s="357"/>
      <c r="AD2490" s="257"/>
      <c r="AE2490" s="245"/>
      <c r="AF2490" s="246"/>
    </row>
    <row r="2491" spans="1:32" ht="26.25">
      <c r="A2491" s="385"/>
      <c r="B2491" s="245"/>
      <c r="C2491" s="245"/>
      <c r="D2491" s="245"/>
      <c r="E2491" s="245"/>
      <c r="F2491" s="316"/>
      <c r="G2491" s="245"/>
      <c r="H2491" s="385"/>
      <c r="I2491" s="245"/>
      <c r="R2491" s="416"/>
      <c r="S2491" s="420"/>
      <c r="T2491" s="384" ph="1"/>
      <c r="V2491" s="421"/>
      <c r="W2491" s="257"/>
      <c r="X2491" s="429"/>
      <c r="Y2491" s="257"/>
      <c r="Z2491" s="257"/>
      <c r="AC2491" s="357"/>
      <c r="AD2491" s="257"/>
      <c r="AE2491" s="245"/>
      <c r="AF2491" s="246"/>
    </row>
    <row r="2492" spans="1:32" ht="26.25">
      <c r="A2492" s="385"/>
      <c r="B2492" s="245"/>
      <c r="C2492" s="245"/>
      <c r="D2492" s="245"/>
      <c r="E2492" s="245"/>
      <c r="F2492" s="316"/>
      <c r="G2492" s="245"/>
      <c r="H2492" s="385"/>
      <c r="I2492" s="245"/>
      <c r="R2492" s="416"/>
      <c r="S2492" s="420"/>
      <c r="T2492" s="384" ph="1"/>
      <c r="V2492" s="421"/>
      <c r="W2492" s="257"/>
      <c r="X2492" s="429"/>
      <c r="Y2492" s="257"/>
      <c r="Z2492" s="257"/>
      <c r="AC2492" s="357"/>
      <c r="AD2492" s="257"/>
      <c r="AE2492" s="245"/>
      <c r="AF2492" s="246"/>
    </row>
    <row r="2493" spans="1:32" ht="26.25">
      <c r="A2493" s="385"/>
      <c r="B2493" s="245"/>
      <c r="C2493" s="245"/>
      <c r="D2493" s="245"/>
      <c r="E2493" s="245"/>
      <c r="F2493" s="316"/>
      <c r="G2493" s="245"/>
      <c r="H2493" s="385"/>
      <c r="I2493" s="245"/>
      <c r="R2493" s="416"/>
      <c r="S2493" s="420"/>
      <c r="T2493" s="384" ph="1"/>
      <c r="V2493" s="421"/>
      <c r="W2493" s="257"/>
      <c r="X2493" s="429"/>
      <c r="Y2493" s="257"/>
      <c r="Z2493" s="257"/>
      <c r="AC2493" s="357"/>
      <c r="AD2493" s="257"/>
      <c r="AE2493" s="245"/>
      <c r="AF2493" s="246"/>
    </row>
    <row r="2494" spans="1:32" ht="26.25">
      <c r="A2494" s="385"/>
      <c r="B2494" s="245"/>
      <c r="C2494" s="245"/>
      <c r="D2494" s="245"/>
      <c r="E2494" s="245"/>
      <c r="F2494" s="316"/>
      <c r="G2494" s="245"/>
      <c r="H2494" s="385"/>
      <c r="I2494" s="245"/>
      <c r="R2494" s="416"/>
      <c r="S2494" s="420"/>
      <c r="T2494" s="384" ph="1"/>
      <c r="V2494" s="421"/>
      <c r="W2494" s="257"/>
      <c r="X2494" s="429"/>
      <c r="Y2494" s="257"/>
      <c r="Z2494" s="257"/>
      <c r="AC2494" s="357"/>
      <c r="AD2494" s="257"/>
      <c r="AE2494" s="245"/>
      <c r="AF2494" s="246"/>
    </row>
    <row r="2495" spans="1:32" ht="26.25">
      <c r="A2495" s="385"/>
      <c r="B2495" s="245"/>
      <c r="C2495" s="245"/>
      <c r="D2495" s="245"/>
      <c r="E2495" s="245"/>
      <c r="F2495" s="316"/>
      <c r="G2495" s="245"/>
      <c r="H2495" s="385"/>
      <c r="I2495" s="245"/>
      <c r="R2495" s="416"/>
      <c r="S2495" s="420"/>
      <c r="T2495" s="384" ph="1"/>
      <c r="V2495" s="421"/>
      <c r="W2495" s="257"/>
      <c r="X2495" s="429"/>
      <c r="Y2495" s="257"/>
      <c r="Z2495" s="257"/>
      <c r="AC2495" s="357"/>
      <c r="AD2495" s="257"/>
      <c r="AE2495" s="245"/>
      <c r="AF2495" s="246"/>
    </row>
    <row r="2496" spans="1:32" ht="26.25">
      <c r="A2496" s="385"/>
      <c r="B2496" s="245"/>
      <c r="C2496" s="245"/>
      <c r="D2496" s="245"/>
      <c r="E2496" s="245"/>
      <c r="F2496" s="316"/>
      <c r="G2496" s="245"/>
      <c r="H2496" s="385"/>
      <c r="I2496" s="245"/>
      <c r="R2496" s="416"/>
      <c r="S2496" s="420"/>
      <c r="T2496" s="384" ph="1"/>
      <c r="V2496" s="421"/>
      <c r="W2496" s="257"/>
      <c r="X2496" s="429"/>
      <c r="Y2496" s="257"/>
      <c r="Z2496" s="257"/>
      <c r="AC2496" s="357"/>
      <c r="AD2496" s="257"/>
      <c r="AE2496" s="245"/>
      <c r="AF2496" s="246"/>
    </row>
    <row r="2497" spans="1:32" ht="26.25">
      <c r="A2497" s="385"/>
      <c r="B2497" s="245"/>
      <c r="C2497" s="245"/>
      <c r="D2497" s="245"/>
      <c r="E2497" s="245"/>
      <c r="F2497" s="316"/>
      <c r="G2497" s="245"/>
      <c r="H2497" s="385"/>
      <c r="I2497" s="245"/>
      <c r="R2497" s="416"/>
      <c r="S2497" s="420"/>
      <c r="T2497" s="384" ph="1"/>
      <c r="V2497" s="421"/>
      <c r="W2497" s="257"/>
      <c r="X2497" s="429"/>
      <c r="Y2497" s="257"/>
      <c r="Z2497" s="257"/>
      <c r="AC2497" s="357"/>
      <c r="AD2497" s="257"/>
      <c r="AE2497" s="245"/>
      <c r="AF2497" s="246"/>
    </row>
    <row r="2498" spans="1:32" ht="26.25">
      <c r="A2498" s="385"/>
      <c r="B2498" s="245"/>
      <c r="C2498" s="245"/>
      <c r="D2498" s="245"/>
      <c r="E2498" s="245"/>
      <c r="F2498" s="316"/>
      <c r="G2498" s="245"/>
      <c r="H2498" s="385"/>
      <c r="I2498" s="245"/>
      <c r="R2498" s="416"/>
      <c r="S2498" s="420"/>
      <c r="T2498" s="384" ph="1"/>
      <c r="V2498" s="421"/>
      <c r="W2498" s="257"/>
      <c r="X2498" s="429"/>
      <c r="Y2498" s="257"/>
      <c r="Z2498" s="257"/>
      <c r="AC2498" s="357"/>
      <c r="AD2498" s="257"/>
      <c r="AE2498" s="245"/>
      <c r="AF2498" s="246"/>
    </row>
    <row r="2499" spans="1:32" ht="26.25">
      <c r="A2499" s="385"/>
      <c r="B2499" s="245"/>
      <c r="C2499" s="245"/>
      <c r="D2499" s="245"/>
      <c r="E2499" s="245"/>
      <c r="F2499" s="316"/>
      <c r="G2499" s="245"/>
      <c r="H2499" s="385"/>
      <c r="I2499" s="245"/>
      <c r="R2499" s="416"/>
      <c r="S2499" s="420"/>
      <c r="T2499" s="384" ph="1"/>
      <c r="V2499" s="421"/>
      <c r="W2499" s="257"/>
      <c r="X2499" s="429"/>
      <c r="Y2499" s="257"/>
      <c r="Z2499" s="257"/>
      <c r="AC2499" s="357"/>
      <c r="AD2499" s="257"/>
      <c r="AE2499" s="245"/>
      <c r="AF2499" s="246"/>
    </row>
    <row r="2500" spans="1:32" ht="26.25">
      <c r="A2500" s="385"/>
      <c r="B2500" s="245"/>
      <c r="C2500" s="245"/>
      <c r="D2500" s="245"/>
      <c r="E2500" s="245"/>
      <c r="F2500" s="316"/>
      <c r="G2500" s="245"/>
      <c r="H2500" s="385"/>
      <c r="I2500" s="245"/>
      <c r="R2500" s="416"/>
      <c r="S2500" s="420"/>
      <c r="T2500" s="384" ph="1"/>
      <c r="V2500" s="421"/>
      <c r="W2500" s="257"/>
      <c r="X2500" s="429"/>
      <c r="Y2500" s="257"/>
      <c r="Z2500" s="257"/>
      <c r="AC2500" s="357"/>
      <c r="AD2500" s="257"/>
      <c r="AE2500" s="245"/>
      <c r="AF2500" s="246"/>
    </row>
    <row r="2501" spans="1:32" ht="26.25">
      <c r="A2501" s="385"/>
      <c r="B2501" s="245"/>
      <c r="C2501" s="245"/>
      <c r="D2501" s="245"/>
      <c r="E2501" s="245"/>
      <c r="F2501" s="316"/>
      <c r="G2501" s="245"/>
      <c r="H2501" s="385"/>
      <c r="I2501" s="245"/>
      <c r="R2501" s="416"/>
      <c r="S2501" s="420"/>
      <c r="T2501" s="384" ph="1"/>
      <c r="V2501" s="421"/>
      <c r="W2501" s="257"/>
      <c r="X2501" s="429"/>
      <c r="Y2501" s="257"/>
      <c r="Z2501" s="257"/>
      <c r="AC2501" s="357"/>
      <c r="AD2501" s="257"/>
      <c r="AE2501" s="245"/>
      <c r="AF2501" s="246"/>
    </row>
    <row r="2502" spans="1:32" ht="26.25">
      <c r="A2502" s="385"/>
      <c r="B2502" s="245"/>
      <c r="C2502" s="245"/>
      <c r="D2502" s="245"/>
      <c r="E2502" s="245"/>
      <c r="F2502" s="316"/>
      <c r="G2502" s="245"/>
      <c r="H2502" s="385"/>
      <c r="I2502" s="245"/>
      <c r="R2502" s="416"/>
      <c r="S2502" s="420"/>
      <c r="T2502" s="384" ph="1"/>
      <c r="V2502" s="421"/>
      <c r="W2502" s="257"/>
      <c r="X2502" s="429"/>
      <c r="Y2502" s="257"/>
      <c r="Z2502" s="257"/>
      <c r="AC2502" s="357"/>
      <c r="AD2502" s="257"/>
      <c r="AE2502" s="245"/>
      <c r="AF2502" s="246"/>
    </row>
    <row r="2503" spans="1:32" ht="26.25">
      <c r="A2503" s="385"/>
      <c r="B2503" s="245"/>
      <c r="C2503" s="245"/>
      <c r="D2503" s="245"/>
      <c r="E2503" s="245"/>
      <c r="F2503" s="316"/>
      <c r="G2503" s="245"/>
      <c r="H2503" s="385"/>
      <c r="I2503" s="245"/>
      <c r="R2503" s="416"/>
      <c r="S2503" s="420"/>
      <c r="T2503" s="384" ph="1"/>
      <c r="V2503" s="421"/>
      <c r="W2503" s="257"/>
      <c r="X2503" s="429"/>
      <c r="Y2503" s="257"/>
      <c r="Z2503" s="257"/>
      <c r="AC2503" s="357"/>
      <c r="AD2503" s="257"/>
      <c r="AE2503" s="245"/>
      <c r="AF2503" s="246"/>
    </row>
    <row r="2504" spans="1:32" ht="26.25">
      <c r="A2504" s="385"/>
      <c r="B2504" s="245"/>
      <c r="C2504" s="245"/>
      <c r="D2504" s="245"/>
      <c r="E2504" s="245"/>
      <c r="F2504" s="316"/>
      <c r="G2504" s="245"/>
      <c r="H2504" s="385"/>
      <c r="I2504" s="245"/>
      <c r="R2504" s="416"/>
      <c r="S2504" s="420"/>
      <c r="T2504" s="384" ph="1"/>
      <c r="V2504" s="421"/>
      <c r="W2504" s="257"/>
      <c r="X2504" s="429"/>
      <c r="Y2504" s="257"/>
      <c r="Z2504" s="257"/>
      <c r="AC2504" s="357"/>
      <c r="AD2504" s="257"/>
      <c r="AE2504" s="245"/>
      <c r="AF2504" s="246"/>
    </row>
    <row r="2505" spans="1:32" ht="26.25">
      <c r="A2505" s="385"/>
      <c r="B2505" s="245"/>
      <c r="C2505" s="245"/>
      <c r="D2505" s="245"/>
      <c r="E2505" s="245"/>
      <c r="F2505" s="316"/>
      <c r="G2505" s="245"/>
      <c r="H2505" s="385"/>
      <c r="I2505" s="245"/>
      <c r="R2505" s="416"/>
      <c r="S2505" s="420"/>
      <c r="T2505" s="384" ph="1"/>
      <c r="V2505" s="421"/>
      <c r="W2505" s="257"/>
      <c r="X2505" s="429"/>
      <c r="Y2505" s="257"/>
      <c r="Z2505" s="257"/>
      <c r="AC2505" s="357"/>
      <c r="AD2505" s="257"/>
      <c r="AE2505" s="245"/>
      <c r="AF2505" s="246"/>
    </row>
    <row r="2506" spans="1:32" ht="26.25">
      <c r="A2506" s="385"/>
      <c r="B2506" s="245"/>
      <c r="C2506" s="245"/>
      <c r="D2506" s="245"/>
      <c r="E2506" s="245"/>
      <c r="F2506" s="316"/>
      <c r="G2506" s="245"/>
      <c r="H2506" s="385"/>
      <c r="I2506" s="245"/>
      <c r="R2506" s="416"/>
      <c r="S2506" s="420"/>
      <c r="T2506" s="384" ph="1"/>
      <c r="V2506" s="421"/>
      <c r="W2506" s="257"/>
      <c r="X2506" s="429"/>
      <c r="Y2506" s="257"/>
      <c r="Z2506" s="257"/>
      <c r="AC2506" s="357"/>
      <c r="AD2506" s="257"/>
      <c r="AE2506" s="245"/>
      <c r="AF2506" s="246"/>
    </row>
    <row r="2507" spans="1:32" ht="26.25">
      <c r="A2507" s="385"/>
      <c r="B2507" s="245"/>
      <c r="C2507" s="245"/>
      <c r="D2507" s="245"/>
      <c r="E2507" s="245"/>
      <c r="F2507" s="316"/>
      <c r="G2507" s="245"/>
      <c r="H2507" s="385"/>
      <c r="I2507" s="245"/>
      <c r="R2507" s="416"/>
      <c r="S2507" s="420"/>
      <c r="T2507" s="384" ph="1"/>
      <c r="V2507" s="421"/>
      <c r="W2507" s="257"/>
      <c r="X2507" s="429"/>
      <c r="Y2507" s="257"/>
      <c r="Z2507" s="257"/>
      <c r="AC2507" s="357"/>
      <c r="AD2507" s="257"/>
      <c r="AE2507" s="245"/>
      <c r="AF2507" s="246"/>
    </row>
    <row r="2508" spans="1:32" ht="26.25">
      <c r="A2508" s="385"/>
      <c r="B2508" s="245"/>
      <c r="C2508" s="245"/>
      <c r="D2508" s="245"/>
      <c r="E2508" s="245"/>
      <c r="F2508" s="316"/>
      <c r="G2508" s="245"/>
      <c r="H2508" s="385"/>
      <c r="I2508" s="245"/>
      <c r="R2508" s="416"/>
      <c r="S2508" s="420"/>
      <c r="T2508" s="384" ph="1"/>
      <c r="V2508" s="421"/>
      <c r="W2508" s="257"/>
      <c r="X2508" s="429"/>
      <c r="Y2508" s="257"/>
      <c r="Z2508" s="257"/>
      <c r="AC2508" s="357"/>
      <c r="AD2508" s="257"/>
      <c r="AE2508" s="245"/>
      <c r="AF2508" s="246"/>
    </row>
    <row r="2509" spans="1:32" ht="26.25">
      <c r="A2509" s="385"/>
      <c r="B2509" s="245"/>
      <c r="C2509" s="245"/>
      <c r="D2509" s="245"/>
      <c r="E2509" s="245"/>
      <c r="F2509" s="316"/>
      <c r="G2509" s="245"/>
      <c r="H2509" s="385"/>
      <c r="I2509" s="245"/>
      <c r="R2509" s="416"/>
      <c r="S2509" s="420"/>
      <c r="T2509" s="384" ph="1"/>
      <c r="V2509" s="421"/>
      <c r="W2509" s="257"/>
      <c r="X2509" s="429"/>
      <c r="Y2509" s="257"/>
      <c r="Z2509" s="257"/>
      <c r="AC2509" s="357"/>
      <c r="AD2509" s="257"/>
      <c r="AE2509" s="245"/>
      <c r="AF2509" s="246"/>
    </row>
    <row r="2510" spans="1:32" ht="26.25">
      <c r="A2510" s="385"/>
      <c r="B2510" s="245"/>
      <c r="C2510" s="245"/>
      <c r="D2510" s="245"/>
      <c r="E2510" s="245"/>
      <c r="F2510" s="316"/>
      <c r="G2510" s="245"/>
      <c r="H2510" s="385"/>
      <c r="I2510" s="245"/>
      <c r="R2510" s="416"/>
      <c r="S2510" s="420"/>
      <c r="T2510" s="384" ph="1"/>
      <c r="V2510" s="421"/>
      <c r="W2510" s="257"/>
      <c r="X2510" s="429"/>
      <c r="Y2510" s="257"/>
      <c r="Z2510" s="257"/>
      <c r="AC2510" s="357"/>
      <c r="AD2510" s="257"/>
      <c r="AE2510" s="245"/>
      <c r="AF2510" s="246"/>
    </row>
    <row r="2511" spans="1:32" ht="26.25">
      <c r="A2511" s="385"/>
      <c r="B2511" s="245"/>
      <c r="C2511" s="245"/>
      <c r="D2511" s="245"/>
      <c r="E2511" s="245"/>
      <c r="F2511" s="316"/>
      <c r="G2511" s="245"/>
      <c r="H2511" s="385"/>
      <c r="I2511" s="245"/>
      <c r="R2511" s="416"/>
      <c r="S2511" s="420"/>
      <c r="T2511" s="384" ph="1"/>
      <c r="V2511" s="421"/>
      <c r="W2511" s="257"/>
      <c r="X2511" s="429"/>
      <c r="Y2511" s="257"/>
      <c r="Z2511" s="257"/>
      <c r="AC2511" s="357"/>
      <c r="AD2511" s="257"/>
      <c r="AE2511" s="245"/>
      <c r="AF2511" s="246"/>
    </row>
    <row r="2512" spans="1:32" ht="26.25">
      <c r="A2512" s="385"/>
      <c r="B2512" s="245"/>
      <c r="C2512" s="245"/>
      <c r="D2512" s="245"/>
      <c r="E2512" s="245"/>
      <c r="F2512" s="316"/>
      <c r="G2512" s="245"/>
      <c r="H2512" s="385"/>
      <c r="I2512" s="245"/>
      <c r="R2512" s="416"/>
      <c r="S2512" s="420"/>
      <c r="T2512" s="384" ph="1"/>
      <c r="V2512" s="421"/>
      <c r="W2512" s="257"/>
      <c r="X2512" s="429"/>
      <c r="Y2512" s="257"/>
      <c r="Z2512" s="257"/>
      <c r="AC2512" s="357"/>
      <c r="AD2512" s="257"/>
      <c r="AE2512" s="245"/>
      <c r="AF2512" s="246"/>
    </row>
    <row r="2513" spans="1:32" ht="26.25">
      <c r="A2513" s="385"/>
      <c r="B2513" s="245"/>
      <c r="C2513" s="245"/>
      <c r="D2513" s="245"/>
      <c r="E2513" s="245"/>
      <c r="F2513" s="316"/>
      <c r="G2513" s="245"/>
      <c r="H2513" s="385"/>
      <c r="I2513" s="245"/>
      <c r="R2513" s="416"/>
      <c r="S2513" s="420"/>
      <c r="T2513" s="384" ph="1"/>
      <c r="V2513" s="421"/>
      <c r="W2513" s="257"/>
      <c r="X2513" s="429"/>
      <c r="Y2513" s="257"/>
      <c r="Z2513" s="257"/>
      <c r="AC2513" s="357"/>
      <c r="AD2513" s="257"/>
      <c r="AE2513" s="245"/>
      <c r="AF2513" s="246"/>
    </row>
    <row r="2514" spans="1:32" ht="26.25">
      <c r="A2514" s="385"/>
      <c r="B2514" s="245"/>
      <c r="C2514" s="245"/>
      <c r="D2514" s="245"/>
      <c r="E2514" s="245"/>
      <c r="F2514" s="316"/>
      <c r="G2514" s="245"/>
      <c r="H2514" s="385"/>
      <c r="I2514" s="245"/>
      <c r="R2514" s="416"/>
      <c r="S2514" s="420"/>
      <c r="T2514" s="384" ph="1"/>
      <c r="V2514" s="421"/>
      <c r="W2514" s="257"/>
      <c r="X2514" s="429"/>
      <c r="Y2514" s="257"/>
      <c r="Z2514" s="257"/>
      <c r="AC2514" s="357"/>
      <c r="AD2514" s="257"/>
      <c r="AE2514" s="245"/>
      <c r="AF2514" s="246"/>
    </row>
    <row r="2515" spans="1:32" ht="26.25">
      <c r="A2515" s="385"/>
      <c r="B2515" s="245"/>
      <c r="C2515" s="245"/>
      <c r="D2515" s="245"/>
      <c r="E2515" s="245"/>
      <c r="F2515" s="316"/>
      <c r="G2515" s="245"/>
      <c r="H2515" s="385"/>
      <c r="I2515" s="245"/>
      <c r="R2515" s="416"/>
      <c r="S2515" s="420"/>
      <c r="T2515" s="384" ph="1"/>
      <c r="V2515" s="421"/>
      <c r="W2515" s="257"/>
      <c r="X2515" s="429"/>
      <c r="Y2515" s="257"/>
      <c r="Z2515" s="257"/>
      <c r="AC2515" s="357"/>
      <c r="AD2515" s="257"/>
      <c r="AE2515" s="245"/>
      <c r="AF2515" s="246"/>
    </row>
    <row r="2516" spans="1:32" ht="26.25">
      <c r="A2516" s="385"/>
      <c r="B2516" s="245"/>
      <c r="C2516" s="245"/>
      <c r="D2516" s="245"/>
      <c r="E2516" s="245"/>
      <c r="F2516" s="316"/>
      <c r="G2516" s="245"/>
      <c r="H2516" s="385"/>
      <c r="I2516" s="245"/>
      <c r="R2516" s="416"/>
      <c r="S2516" s="420"/>
      <c r="T2516" s="384" ph="1"/>
      <c r="V2516" s="421"/>
      <c r="W2516" s="257"/>
      <c r="X2516" s="429"/>
      <c r="Y2516" s="257"/>
      <c r="Z2516" s="257"/>
      <c r="AC2516" s="357"/>
      <c r="AD2516" s="257"/>
      <c r="AE2516" s="245"/>
      <c r="AF2516" s="246"/>
    </row>
    <row r="2517" spans="1:32" ht="26.25">
      <c r="A2517" s="385"/>
      <c r="B2517" s="245"/>
      <c r="C2517" s="245"/>
      <c r="D2517" s="245"/>
      <c r="E2517" s="245"/>
      <c r="F2517" s="316"/>
      <c r="G2517" s="245"/>
      <c r="H2517" s="385"/>
      <c r="I2517" s="245"/>
      <c r="R2517" s="416"/>
      <c r="S2517" s="420"/>
      <c r="T2517" s="384" ph="1"/>
      <c r="V2517" s="421"/>
      <c r="W2517" s="257"/>
      <c r="X2517" s="429"/>
      <c r="Y2517" s="257"/>
      <c r="Z2517" s="257"/>
      <c r="AC2517" s="357"/>
      <c r="AD2517" s="257"/>
      <c r="AE2517" s="245"/>
      <c r="AF2517" s="246"/>
    </row>
    <row r="2518" spans="1:32" ht="26.25">
      <c r="A2518" s="385"/>
      <c r="B2518" s="245"/>
      <c r="C2518" s="245"/>
      <c r="D2518" s="245"/>
      <c r="E2518" s="245"/>
      <c r="F2518" s="316"/>
      <c r="G2518" s="245"/>
      <c r="H2518" s="385"/>
      <c r="I2518" s="245"/>
      <c r="R2518" s="416"/>
      <c r="S2518" s="420"/>
      <c r="T2518" s="384" ph="1"/>
      <c r="V2518" s="421"/>
      <c r="W2518" s="257"/>
      <c r="X2518" s="429"/>
      <c r="Y2518" s="257"/>
      <c r="Z2518" s="257"/>
      <c r="AC2518" s="357"/>
      <c r="AD2518" s="257"/>
      <c r="AE2518" s="245"/>
      <c r="AF2518" s="246"/>
    </row>
    <row r="2519" spans="1:32" ht="26.25">
      <c r="A2519" s="385"/>
      <c r="B2519" s="245"/>
      <c r="C2519" s="245"/>
      <c r="D2519" s="245"/>
      <c r="E2519" s="245"/>
      <c r="F2519" s="316"/>
      <c r="G2519" s="245"/>
      <c r="H2519" s="385"/>
      <c r="I2519" s="245"/>
      <c r="R2519" s="416"/>
      <c r="S2519" s="420"/>
      <c r="T2519" s="384" ph="1"/>
      <c r="V2519" s="421"/>
      <c r="W2519" s="257"/>
      <c r="X2519" s="429"/>
      <c r="Y2519" s="257"/>
      <c r="Z2519" s="257"/>
      <c r="AC2519" s="357"/>
      <c r="AD2519" s="257"/>
      <c r="AE2519" s="245"/>
      <c r="AF2519" s="246"/>
    </row>
    <row r="2520" spans="1:32" ht="26.25">
      <c r="A2520" s="385"/>
      <c r="B2520" s="245"/>
      <c r="C2520" s="245"/>
      <c r="D2520" s="245"/>
      <c r="E2520" s="245"/>
      <c r="F2520" s="316"/>
      <c r="G2520" s="245"/>
      <c r="H2520" s="385"/>
      <c r="I2520" s="245"/>
      <c r="R2520" s="416"/>
      <c r="S2520" s="420"/>
      <c r="T2520" s="384" ph="1"/>
      <c r="V2520" s="421"/>
      <c r="W2520" s="257"/>
      <c r="X2520" s="429"/>
      <c r="Y2520" s="257"/>
      <c r="Z2520" s="257"/>
      <c r="AC2520" s="357"/>
      <c r="AD2520" s="257"/>
      <c r="AE2520" s="245"/>
      <c r="AF2520" s="246"/>
    </row>
    <row r="2521" spans="1:32" ht="26.25">
      <c r="A2521" s="385"/>
      <c r="B2521" s="245"/>
      <c r="C2521" s="245"/>
      <c r="D2521" s="245"/>
      <c r="E2521" s="245"/>
      <c r="F2521" s="316"/>
      <c r="G2521" s="245"/>
      <c r="H2521" s="385"/>
      <c r="I2521" s="245"/>
      <c r="R2521" s="416"/>
      <c r="S2521" s="420"/>
      <c r="T2521" s="384" ph="1"/>
      <c r="V2521" s="421"/>
      <c r="W2521" s="257"/>
      <c r="X2521" s="429"/>
      <c r="Y2521" s="257"/>
      <c r="Z2521" s="257"/>
      <c r="AC2521" s="357"/>
      <c r="AD2521" s="257"/>
      <c r="AE2521" s="245"/>
      <c r="AF2521" s="246"/>
    </row>
    <row r="2522" spans="1:32" ht="26.25">
      <c r="A2522" s="385"/>
      <c r="B2522" s="245"/>
      <c r="C2522" s="245"/>
      <c r="D2522" s="245"/>
      <c r="E2522" s="245"/>
      <c r="F2522" s="316"/>
      <c r="G2522" s="245"/>
      <c r="H2522" s="385"/>
      <c r="I2522" s="245"/>
      <c r="R2522" s="416"/>
      <c r="S2522" s="420"/>
      <c r="T2522" s="384" ph="1"/>
      <c r="V2522" s="421"/>
      <c r="W2522" s="257"/>
      <c r="X2522" s="429"/>
      <c r="Y2522" s="257"/>
      <c r="Z2522" s="257"/>
      <c r="AC2522" s="357"/>
      <c r="AD2522" s="257"/>
      <c r="AE2522" s="245"/>
      <c r="AF2522" s="246"/>
    </row>
    <row r="2523" spans="1:32" ht="26.25">
      <c r="A2523" s="385"/>
      <c r="B2523" s="245"/>
      <c r="C2523" s="245"/>
      <c r="D2523" s="245"/>
      <c r="E2523" s="245"/>
      <c r="F2523" s="316"/>
      <c r="G2523" s="245"/>
      <c r="H2523" s="385"/>
      <c r="I2523" s="245"/>
      <c r="R2523" s="416"/>
      <c r="S2523" s="420"/>
      <c r="T2523" s="384" ph="1"/>
      <c r="V2523" s="421"/>
      <c r="W2523" s="257"/>
      <c r="X2523" s="429"/>
      <c r="Y2523" s="257"/>
      <c r="Z2523" s="257"/>
      <c r="AC2523" s="357"/>
      <c r="AD2523" s="257"/>
      <c r="AE2523" s="245"/>
      <c r="AF2523" s="246"/>
    </row>
    <row r="2524" spans="1:32" ht="26.25">
      <c r="A2524" s="385"/>
      <c r="B2524" s="245"/>
      <c r="C2524" s="245"/>
      <c r="D2524" s="245"/>
      <c r="E2524" s="245"/>
      <c r="F2524" s="316"/>
      <c r="G2524" s="245"/>
      <c r="H2524" s="385"/>
      <c r="I2524" s="245"/>
      <c r="R2524" s="416"/>
      <c r="S2524" s="420"/>
      <c r="T2524" s="384" ph="1"/>
      <c r="V2524" s="421"/>
      <c r="W2524" s="257"/>
      <c r="X2524" s="429"/>
      <c r="Y2524" s="257"/>
      <c r="Z2524" s="257"/>
      <c r="AC2524" s="357"/>
      <c r="AD2524" s="257"/>
      <c r="AE2524" s="245"/>
      <c r="AF2524" s="246"/>
    </row>
    <row r="2525" spans="1:32" ht="26.25">
      <c r="A2525" s="385"/>
      <c r="B2525" s="245"/>
      <c r="C2525" s="245"/>
      <c r="D2525" s="245"/>
      <c r="E2525" s="245"/>
      <c r="F2525" s="316"/>
      <c r="G2525" s="245"/>
      <c r="H2525" s="385"/>
      <c r="I2525" s="245"/>
      <c r="R2525" s="416"/>
      <c r="S2525" s="420"/>
      <c r="T2525" s="384" ph="1"/>
      <c r="V2525" s="421"/>
      <c r="W2525" s="257"/>
      <c r="X2525" s="429"/>
      <c r="Y2525" s="257"/>
      <c r="Z2525" s="257"/>
      <c r="AC2525" s="357"/>
      <c r="AD2525" s="257"/>
      <c r="AE2525" s="245"/>
      <c r="AF2525" s="246"/>
    </row>
    <row r="2526" spans="1:32" ht="26.25">
      <c r="A2526" s="385"/>
      <c r="B2526" s="245"/>
      <c r="C2526" s="245"/>
      <c r="D2526" s="245"/>
      <c r="E2526" s="245"/>
      <c r="F2526" s="316"/>
      <c r="G2526" s="245"/>
      <c r="H2526" s="385"/>
      <c r="I2526" s="245"/>
      <c r="R2526" s="416"/>
      <c r="S2526" s="420"/>
      <c r="T2526" s="384" ph="1"/>
      <c r="V2526" s="421"/>
      <c r="W2526" s="257"/>
      <c r="X2526" s="429"/>
      <c r="Y2526" s="257"/>
      <c r="Z2526" s="257"/>
      <c r="AC2526" s="357"/>
      <c r="AD2526" s="257"/>
      <c r="AE2526" s="245"/>
      <c r="AF2526" s="246"/>
    </row>
    <row r="2527" spans="1:32" ht="26.25">
      <c r="A2527" s="385"/>
      <c r="B2527" s="245"/>
      <c r="C2527" s="245"/>
      <c r="D2527" s="245"/>
      <c r="E2527" s="245"/>
      <c r="F2527" s="316"/>
      <c r="G2527" s="245"/>
      <c r="H2527" s="385"/>
      <c r="I2527" s="245"/>
      <c r="R2527" s="416"/>
      <c r="S2527" s="420"/>
      <c r="T2527" s="384" ph="1"/>
      <c r="V2527" s="421"/>
      <c r="W2527" s="257"/>
      <c r="X2527" s="429"/>
      <c r="Y2527" s="257"/>
      <c r="Z2527" s="257"/>
      <c r="AC2527" s="357"/>
      <c r="AD2527" s="257"/>
      <c r="AE2527" s="245"/>
      <c r="AF2527" s="246"/>
    </row>
    <row r="2528" spans="1:32" ht="26.25">
      <c r="A2528" s="385"/>
      <c r="B2528" s="245"/>
      <c r="C2528" s="245"/>
      <c r="D2528" s="245"/>
      <c r="E2528" s="245"/>
      <c r="F2528" s="316"/>
      <c r="G2528" s="245"/>
      <c r="H2528" s="385"/>
      <c r="I2528" s="245"/>
      <c r="R2528" s="416"/>
      <c r="S2528" s="420"/>
      <c r="T2528" s="384" ph="1"/>
      <c r="V2528" s="421"/>
      <c r="W2528" s="257"/>
      <c r="X2528" s="429"/>
      <c r="Y2528" s="257"/>
      <c r="Z2528" s="257"/>
      <c r="AC2528" s="357"/>
      <c r="AD2528" s="257"/>
      <c r="AE2528" s="245"/>
      <c r="AF2528" s="246"/>
    </row>
    <row r="2529" spans="1:32" ht="26.25">
      <c r="A2529" s="385"/>
      <c r="B2529" s="245"/>
      <c r="C2529" s="245"/>
      <c r="D2529" s="245"/>
      <c r="E2529" s="245"/>
      <c r="F2529" s="316"/>
      <c r="G2529" s="245"/>
      <c r="H2529" s="385"/>
      <c r="I2529" s="245"/>
      <c r="R2529" s="416"/>
      <c r="S2529" s="420"/>
      <c r="T2529" s="384" ph="1"/>
      <c r="V2529" s="421"/>
      <c r="W2529" s="257"/>
      <c r="X2529" s="429"/>
      <c r="Y2529" s="257"/>
      <c r="Z2529" s="257"/>
      <c r="AC2529" s="357"/>
      <c r="AD2529" s="257"/>
      <c r="AE2529" s="245"/>
      <c r="AF2529" s="246"/>
    </row>
    <row r="2530" spans="1:32" ht="26.25">
      <c r="A2530" s="385"/>
      <c r="B2530" s="245"/>
      <c r="C2530" s="245"/>
      <c r="D2530" s="245"/>
      <c r="E2530" s="245"/>
      <c r="F2530" s="316"/>
      <c r="G2530" s="245"/>
      <c r="H2530" s="385"/>
      <c r="I2530" s="245"/>
      <c r="R2530" s="416"/>
      <c r="S2530" s="420"/>
      <c r="T2530" s="384" ph="1"/>
      <c r="V2530" s="421"/>
      <c r="W2530" s="257"/>
      <c r="X2530" s="429"/>
      <c r="Y2530" s="257"/>
      <c r="Z2530" s="257"/>
      <c r="AC2530" s="357"/>
      <c r="AD2530" s="257"/>
      <c r="AE2530" s="245"/>
      <c r="AF2530" s="246"/>
    </row>
    <row r="2531" spans="1:32" ht="26.25">
      <c r="A2531" s="385"/>
      <c r="B2531" s="245"/>
      <c r="C2531" s="245"/>
      <c r="D2531" s="245"/>
      <c r="E2531" s="245"/>
      <c r="F2531" s="316"/>
      <c r="G2531" s="245"/>
      <c r="H2531" s="385"/>
      <c r="I2531" s="245"/>
      <c r="R2531" s="416"/>
      <c r="S2531" s="420"/>
      <c r="T2531" s="384" ph="1"/>
      <c r="V2531" s="421"/>
      <c r="W2531" s="257"/>
      <c r="X2531" s="429"/>
      <c r="Y2531" s="257"/>
      <c r="Z2531" s="257"/>
      <c r="AC2531" s="357"/>
      <c r="AD2531" s="257"/>
      <c r="AE2531" s="245"/>
      <c r="AF2531" s="246"/>
    </row>
    <row r="2532" spans="1:32" ht="26.25">
      <c r="A2532" s="385"/>
      <c r="B2532" s="245"/>
      <c r="C2532" s="245"/>
      <c r="D2532" s="245"/>
      <c r="E2532" s="245"/>
      <c r="F2532" s="316"/>
      <c r="G2532" s="245"/>
      <c r="H2532" s="385"/>
      <c r="I2532" s="245"/>
      <c r="R2532" s="416"/>
      <c r="S2532" s="420"/>
      <c r="T2532" s="384" ph="1"/>
      <c r="V2532" s="421"/>
      <c r="W2532" s="257"/>
      <c r="X2532" s="429"/>
      <c r="Y2532" s="257"/>
      <c r="Z2532" s="257"/>
      <c r="AC2532" s="357"/>
      <c r="AD2532" s="257"/>
      <c r="AE2532" s="245"/>
      <c r="AF2532" s="246"/>
    </row>
    <row r="2533" spans="1:32" ht="26.25">
      <c r="A2533" s="385"/>
      <c r="B2533" s="245"/>
      <c r="C2533" s="245"/>
      <c r="D2533" s="245"/>
      <c r="E2533" s="245"/>
      <c r="F2533" s="316"/>
      <c r="G2533" s="245"/>
      <c r="H2533" s="385"/>
      <c r="I2533" s="245"/>
      <c r="R2533" s="416"/>
      <c r="S2533" s="420"/>
      <c r="T2533" s="384" ph="1"/>
      <c r="V2533" s="421"/>
      <c r="W2533" s="257"/>
      <c r="X2533" s="429"/>
      <c r="Y2533" s="257"/>
      <c r="Z2533" s="257"/>
      <c r="AC2533" s="357"/>
      <c r="AD2533" s="257"/>
      <c r="AE2533" s="245"/>
      <c r="AF2533" s="246"/>
    </row>
    <row r="2534" spans="1:32" ht="26.25">
      <c r="A2534" s="385"/>
      <c r="B2534" s="245"/>
      <c r="C2534" s="245"/>
      <c r="D2534" s="245"/>
      <c r="E2534" s="245"/>
      <c r="F2534" s="316"/>
      <c r="G2534" s="245"/>
      <c r="H2534" s="385"/>
      <c r="I2534" s="245"/>
      <c r="R2534" s="416"/>
      <c r="S2534" s="420"/>
      <c r="T2534" s="384" ph="1"/>
      <c r="V2534" s="421"/>
      <c r="W2534" s="257"/>
      <c r="X2534" s="429"/>
      <c r="Y2534" s="257"/>
      <c r="Z2534" s="257"/>
      <c r="AC2534" s="357"/>
      <c r="AD2534" s="257"/>
      <c r="AE2534" s="245"/>
      <c r="AF2534" s="246"/>
    </row>
    <row r="2535" spans="1:32" ht="26.25">
      <c r="A2535" s="385"/>
      <c r="B2535" s="245"/>
      <c r="C2535" s="245"/>
      <c r="D2535" s="245"/>
      <c r="E2535" s="245"/>
      <c r="F2535" s="316"/>
      <c r="G2535" s="245"/>
      <c r="H2535" s="385"/>
      <c r="I2535" s="245"/>
      <c r="R2535" s="416"/>
      <c r="S2535" s="420"/>
      <c r="T2535" s="384" ph="1"/>
      <c r="V2535" s="421"/>
      <c r="W2535" s="257"/>
      <c r="X2535" s="429"/>
      <c r="Y2535" s="257"/>
      <c r="Z2535" s="257"/>
      <c r="AC2535" s="357"/>
      <c r="AD2535" s="257"/>
      <c r="AE2535" s="245"/>
      <c r="AF2535" s="246"/>
    </row>
    <row r="2536" spans="1:32" ht="26.25">
      <c r="A2536" s="385"/>
      <c r="B2536" s="245"/>
      <c r="C2536" s="245"/>
      <c r="D2536" s="245"/>
      <c r="E2536" s="245"/>
      <c r="F2536" s="316"/>
      <c r="G2536" s="245"/>
      <c r="H2536" s="385"/>
      <c r="I2536" s="245"/>
      <c r="R2536" s="416"/>
      <c r="S2536" s="420"/>
      <c r="T2536" s="384" ph="1"/>
      <c r="V2536" s="421"/>
      <c r="W2536" s="257"/>
      <c r="X2536" s="429"/>
      <c r="Y2536" s="257"/>
      <c r="Z2536" s="257"/>
      <c r="AC2536" s="357"/>
      <c r="AD2536" s="257"/>
      <c r="AE2536" s="245"/>
      <c r="AF2536" s="246"/>
    </row>
    <row r="2537" spans="1:32" ht="26.25">
      <c r="A2537" s="385"/>
      <c r="B2537" s="245"/>
      <c r="C2537" s="245"/>
      <c r="D2537" s="245"/>
      <c r="E2537" s="245"/>
      <c r="F2537" s="316"/>
      <c r="G2537" s="245"/>
      <c r="H2537" s="385"/>
      <c r="I2537" s="245"/>
      <c r="R2537" s="416"/>
      <c r="S2537" s="420"/>
      <c r="T2537" s="384" ph="1"/>
      <c r="V2537" s="421"/>
      <c r="W2537" s="257"/>
      <c r="X2537" s="429"/>
      <c r="Y2537" s="257"/>
      <c r="Z2537" s="257"/>
      <c r="AC2537" s="357"/>
      <c r="AD2537" s="257"/>
      <c r="AE2537" s="245"/>
      <c r="AF2537" s="246"/>
    </row>
    <row r="2538" spans="1:32" ht="26.25">
      <c r="A2538" s="385"/>
      <c r="B2538" s="245"/>
      <c r="C2538" s="245"/>
      <c r="D2538" s="245"/>
      <c r="E2538" s="245"/>
      <c r="F2538" s="316"/>
      <c r="G2538" s="245"/>
      <c r="H2538" s="385"/>
      <c r="I2538" s="245"/>
      <c r="R2538" s="416"/>
      <c r="S2538" s="420"/>
      <c r="T2538" s="384" ph="1"/>
      <c r="V2538" s="421"/>
      <c r="W2538" s="257"/>
      <c r="X2538" s="429"/>
      <c r="Y2538" s="257"/>
      <c r="Z2538" s="257"/>
      <c r="AC2538" s="357"/>
      <c r="AD2538" s="257"/>
      <c r="AE2538" s="245"/>
      <c r="AF2538" s="246"/>
    </row>
    <row r="2539" spans="1:32" ht="26.25">
      <c r="A2539" s="385"/>
      <c r="B2539" s="245"/>
      <c r="C2539" s="245"/>
      <c r="D2539" s="245"/>
      <c r="E2539" s="245"/>
      <c r="F2539" s="316"/>
      <c r="G2539" s="245"/>
      <c r="H2539" s="385"/>
      <c r="I2539" s="245"/>
      <c r="R2539" s="416"/>
      <c r="S2539" s="420"/>
      <c r="T2539" s="384" ph="1"/>
      <c r="V2539" s="421"/>
      <c r="W2539" s="257"/>
      <c r="X2539" s="429"/>
      <c r="Y2539" s="257"/>
      <c r="Z2539" s="257"/>
      <c r="AC2539" s="357"/>
      <c r="AD2539" s="257"/>
      <c r="AE2539" s="245"/>
      <c r="AF2539" s="246"/>
    </row>
    <row r="2540" spans="1:32" ht="26.25">
      <c r="A2540" s="385"/>
      <c r="B2540" s="245"/>
      <c r="C2540" s="245"/>
      <c r="D2540" s="245"/>
      <c r="E2540" s="245"/>
      <c r="F2540" s="316"/>
      <c r="G2540" s="245"/>
      <c r="H2540" s="385"/>
      <c r="I2540" s="245"/>
      <c r="R2540" s="416"/>
      <c r="S2540" s="420"/>
      <c r="T2540" s="384" ph="1"/>
      <c r="V2540" s="421"/>
      <c r="W2540" s="257"/>
      <c r="X2540" s="429"/>
      <c r="Y2540" s="257"/>
      <c r="Z2540" s="257"/>
      <c r="AC2540" s="357"/>
      <c r="AD2540" s="257"/>
      <c r="AE2540" s="245"/>
      <c r="AF2540" s="246"/>
    </row>
    <row r="2541" spans="1:32" ht="26.25">
      <c r="A2541" s="385"/>
      <c r="B2541" s="245"/>
      <c r="C2541" s="245"/>
      <c r="D2541" s="245"/>
      <c r="E2541" s="245"/>
      <c r="F2541" s="316"/>
      <c r="G2541" s="245"/>
      <c r="H2541" s="385"/>
      <c r="I2541" s="245"/>
      <c r="R2541" s="416"/>
      <c r="S2541" s="420"/>
      <c r="T2541" s="384" ph="1"/>
      <c r="V2541" s="421"/>
      <c r="W2541" s="257"/>
      <c r="X2541" s="429"/>
      <c r="Y2541" s="257"/>
      <c r="Z2541" s="257"/>
      <c r="AC2541" s="357"/>
      <c r="AD2541" s="257"/>
      <c r="AE2541" s="245"/>
      <c r="AF2541" s="246"/>
    </row>
    <row r="2542" spans="1:32" ht="26.25">
      <c r="A2542" s="385"/>
      <c r="B2542" s="245"/>
      <c r="C2542" s="245"/>
      <c r="D2542" s="245"/>
      <c r="E2542" s="245"/>
      <c r="F2542" s="316"/>
      <c r="G2542" s="245"/>
      <c r="H2542" s="385"/>
      <c r="I2542" s="245"/>
      <c r="R2542" s="416"/>
      <c r="S2542" s="420"/>
      <c r="T2542" s="384" ph="1"/>
      <c r="V2542" s="421"/>
      <c r="W2542" s="257"/>
      <c r="X2542" s="429"/>
      <c r="Y2542" s="257"/>
      <c r="Z2542" s="257"/>
      <c r="AC2542" s="357"/>
      <c r="AD2542" s="257"/>
      <c r="AE2542" s="245"/>
      <c r="AF2542" s="246"/>
    </row>
    <row r="2543" spans="1:32" ht="26.25">
      <c r="A2543" s="385"/>
      <c r="B2543" s="245"/>
      <c r="C2543" s="245"/>
      <c r="D2543" s="245"/>
      <c r="E2543" s="245"/>
      <c r="F2543" s="316"/>
      <c r="G2543" s="245"/>
      <c r="H2543" s="385"/>
      <c r="I2543" s="245"/>
      <c r="R2543" s="416"/>
      <c r="S2543" s="420"/>
      <c r="T2543" s="384" ph="1"/>
      <c r="V2543" s="421"/>
      <c r="W2543" s="257"/>
      <c r="X2543" s="429"/>
      <c r="Y2543" s="257"/>
      <c r="Z2543" s="257"/>
      <c r="AC2543" s="357"/>
      <c r="AD2543" s="257"/>
      <c r="AE2543" s="245"/>
      <c r="AF2543" s="246"/>
    </row>
    <row r="2544" spans="1:32" ht="26.25">
      <c r="A2544" s="385"/>
      <c r="B2544" s="245"/>
      <c r="C2544" s="245"/>
      <c r="D2544" s="245"/>
      <c r="E2544" s="245"/>
      <c r="F2544" s="316"/>
      <c r="G2544" s="245"/>
      <c r="H2544" s="385"/>
      <c r="I2544" s="245"/>
      <c r="R2544" s="416"/>
      <c r="S2544" s="420"/>
      <c r="T2544" s="384" ph="1"/>
      <c r="V2544" s="421"/>
      <c r="W2544" s="257"/>
      <c r="X2544" s="429"/>
      <c r="Y2544" s="257"/>
      <c r="Z2544" s="257"/>
      <c r="AC2544" s="357"/>
      <c r="AD2544" s="257"/>
      <c r="AE2544" s="245"/>
      <c r="AF2544" s="246"/>
    </row>
    <row r="2545" spans="1:32" ht="26.25">
      <c r="A2545" s="385"/>
      <c r="B2545" s="245"/>
      <c r="C2545" s="245"/>
      <c r="D2545" s="245"/>
      <c r="E2545" s="245"/>
      <c r="F2545" s="316"/>
      <c r="G2545" s="245"/>
      <c r="H2545" s="385"/>
      <c r="I2545" s="245"/>
      <c r="R2545" s="416"/>
      <c r="S2545" s="420"/>
      <c r="T2545" s="384" ph="1"/>
      <c r="V2545" s="421"/>
      <c r="W2545" s="257"/>
      <c r="X2545" s="429"/>
      <c r="Y2545" s="257"/>
      <c r="Z2545" s="257"/>
      <c r="AC2545" s="357"/>
      <c r="AD2545" s="257"/>
      <c r="AE2545" s="245"/>
      <c r="AF2545" s="246"/>
    </row>
    <row r="2546" spans="1:32" ht="26.25">
      <c r="A2546" s="385"/>
      <c r="B2546" s="245"/>
      <c r="C2546" s="245"/>
      <c r="D2546" s="245"/>
      <c r="E2546" s="245"/>
      <c r="F2546" s="316"/>
      <c r="G2546" s="245"/>
      <c r="H2546" s="385"/>
      <c r="I2546" s="245"/>
      <c r="R2546" s="416"/>
      <c r="S2546" s="420"/>
      <c r="T2546" s="384" ph="1"/>
      <c r="V2546" s="421"/>
      <c r="W2546" s="257"/>
      <c r="X2546" s="429"/>
      <c r="Y2546" s="257"/>
      <c r="Z2546" s="257"/>
      <c r="AC2546" s="357"/>
      <c r="AD2546" s="257"/>
      <c r="AE2546" s="245"/>
      <c r="AF2546" s="246"/>
    </row>
    <row r="2547" spans="1:32" ht="26.25">
      <c r="A2547" s="385"/>
      <c r="B2547" s="245"/>
      <c r="C2547" s="245"/>
      <c r="D2547" s="245"/>
      <c r="E2547" s="245"/>
      <c r="F2547" s="316"/>
      <c r="G2547" s="245"/>
      <c r="H2547" s="385"/>
      <c r="I2547" s="245"/>
      <c r="R2547" s="416"/>
      <c r="S2547" s="420"/>
      <c r="T2547" s="384" ph="1"/>
      <c r="V2547" s="421"/>
      <c r="W2547" s="257"/>
      <c r="X2547" s="429"/>
      <c r="Y2547" s="257"/>
      <c r="Z2547" s="257"/>
      <c r="AC2547" s="357"/>
      <c r="AD2547" s="257"/>
      <c r="AE2547" s="245"/>
      <c r="AF2547" s="246"/>
    </row>
    <row r="2548" spans="1:32" ht="26.25">
      <c r="A2548" s="385"/>
      <c r="B2548" s="245"/>
      <c r="C2548" s="245"/>
      <c r="D2548" s="245"/>
      <c r="E2548" s="245"/>
      <c r="F2548" s="316"/>
      <c r="G2548" s="245"/>
      <c r="H2548" s="385"/>
      <c r="I2548" s="245"/>
      <c r="R2548" s="416"/>
      <c r="S2548" s="420"/>
      <c r="T2548" s="384" ph="1"/>
      <c r="V2548" s="421"/>
      <c r="W2548" s="257"/>
      <c r="X2548" s="429"/>
      <c r="Y2548" s="257"/>
      <c r="Z2548" s="257"/>
      <c r="AC2548" s="357"/>
      <c r="AD2548" s="257"/>
      <c r="AE2548" s="245"/>
      <c r="AF2548" s="246"/>
    </row>
    <row r="2549" spans="1:32" ht="26.25">
      <c r="A2549" s="385"/>
      <c r="B2549" s="245"/>
      <c r="C2549" s="245"/>
      <c r="D2549" s="245"/>
      <c r="E2549" s="245"/>
      <c r="F2549" s="316"/>
      <c r="G2549" s="245"/>
      <c r="H2549" s="385"/>
      <c r="I2549" s="245"/>
      <c r="R2549" s="416"/>
      <c r="S2549" s="420"/>
      <c r="T2549" s="384" ph="1"/>
      <c r="V2549" s="421"/>
      <c r="W2549" s="257"/>
      <c r="X2549" s="429"/>
      <c r="Y2549" s="257"/>
      <c r="Z2549" s="257"/>
      <c r="AC2549" s="357"/>
      <c r="AD2549" s="257"/>
      <c r="AE2549" s="245"/>
      <c r="AF2549" s="246"/>
    </row>
    <row r="2550" spans="1:32" ht="26.25">
      <c r="A2550" s="385"/>
      <c r="B2550" s="245"/>
      <c r="C2550" s="245"/>
      <c r="D2550" s="245"/>
      <c r="E2550" s="245"/>
      <c r="F2550" s="316"/>
      <c r="G2550" s="245"/>
      <c r="H2550" s="385"/>
      <c r="I2550" s="245"/>
      <c r="R2550" s="416"/>
      <c r="S2550" s="420"/>
      <c r="T2550" s="384" ph="1"/>
      <c r="V2550" s="421"/>
      <c r="W2550" s="257"/>
      <c r="X2550" s="429"/>
      <c r="Y2550" s="257"/>
      <c r="Z2550" s="257"/>
      <c r="AC2550" s="357"/>
      <c r="AD2550" s="257"/>
      <c r="AE2550" s="245"/>
      <c r="AF2550" s="246"/>
    </row>
    <row r="2551" spans="1:32" ht="26.25">
      <c r="A2551" s="385"/>
      <c r="B2551" s="245"/>
      <c r="C2551" s="245"/>
      <c r="D2551" s="245"/>
      <c r="E2551" s="245"/>
      <c r="F2551" s="316"/>
      <c r="G2551" s="245"/>
      <c r="H2551" s="385"/>
      <c r="I2551" s="245"/>
      <c r="R2551" s="416"/>
      <c r="S2551" s="420"/>
      <c r="T2551" s="384" ph="1"/>
      <c r="V2551" s="421"/>
      <c r="W2551" s="257"/>
      <c r="X2551" s="429"/>
      <c r="Y2551" s="257"/>
      <c r="Z2551" s="257"/>
      <c r="AC2551" s="357"/>
      <c r="AD2551" s="257"/>
      <c r="AE2551" s="245"/>
      <c r="AF2551" s="246"/>
    </row>
    <row r="2552" spans="1:32" ht="26.25">
      <c r="A2552" s="385"/>
      <c r="B2552" s="245"/>
      <c r="C2552" s="245"/>
      <c r="D2552" s="245"/>
      <c r="E2552" s="245"/>
      <c r="F2552" s="316"/>
      <c r="G2552" s="245"/>
      <c r="H2552" s="385"/>
      <c r="I2552" s="245"/>
      <c r="R2552" s="416"/>
      <c r="S2552" s="420"/>
      <c r="T2552" s="384" ph="1"/>
      <c r="V2552" s="421"/>
      <c r="W2552" s="257"/>
      <c r="X2552" s="429"/>
      <c r="Y2552" s="257"/>
      <c r="Z2552" s="257"/>
      <c r="AC2552" s="357"/>
      <c r="AD2552" s="257"/>
      <c r="AE2552" s="245"/>
      <c r="AF2552" s="246"/>
    </row>
    <row r="2553" spans="1:32" ht="26.25">
      <c r="A2553" s="385"/>
      <c r="B2553" s="245"/>
      <c r="C2553" s="245"/>
      <c r="D2553" s="245"/>
      <c r="E2553" s="245"/>
      <c r="F2553" s="316"/>
      <c r="G2553" s="245"/>
      <c r="H2553" s="385"/>
      <c r="I2553" s="245"/>
      <c r="R2553" s="416"/>
      <c r="S2553" s="420"/>
      <c r="T2553" s="384" ph="1"/>
      <c r="V2553" s="421"/>
      <c r="W2553" s="257"/>
      <c r="X2553" s="429"/>
      <c r="Y2553" s="257"/>
      <c r="Z2553" s="257"/>
      <c r="AC2553" s="357"/>
      <c r="AD2553" s="257"/>
      <c r="AE2553" s="245"/>
      <c r="AF2553" s="246"/>
    </row>
    <row r="2554" spans="1:32" ht="26.25">
      <c r="A2554" s="385"/>
      <c r="B2554" s="245"/>
      <c r="C2554" s="245"/>
      <c r="D2554" s="245"/>
      <c r="E2554" s="245"/>
      <c r="F2554" s="316"/>
      <c r="G2554" s="245"/>
      <c r="H2554" s="385"/>
      <c r="I2554" s="245"/>
      <c r="R2554" s="416"/>
      <c r="S2554" s="420"/>
      <c r="T2554" s="384" ph="1"/>
      <c r="V2554" s="421"/>
      <c r="W2554" s="257"/>
      <c r="X2554" s="429"/>
      <c r="Y2554" s="257"/>
      <c r="Z2554" s="257"/>
      <c r="AC2554" s="357"/>
      <c r="AD2554" s="257"/>
      <c r="AE2554" s="245"/>
      <c r="AF2554" s="246"/>
    </row>
    <row r="2555" spans="1:32" ht="26.25">
      <c r="A2555" s="385"/>
      <c r="B2555" s="245"/>
      <c r="C2555" s="245"/>
      <c r="D2555" s="245"/>
      <c r="E2555" s="245"/>
      <c r="F2555" s="316"/>
      <c r="G2555" s="245"/>
      <c r="H2555" s="385"/>
      <c r="I2555" s="245"/>
      <c r="R2555" s="416"/>
      <c r="S2555" s="420"/>
      <c r="T2555" s="384" ph="1"/>
      <c r="V2555" s="421"/>
      <c r="W2555" s="257"/>
      <c r="X2555" s="429"/>
      <c r="Y2555" s="257"/>
      <c r="Z2555" s="257"/>
      <c r="AC2555" s="357"/>
      <c r="AD2555" s="257"/>
      <c r="AE2555" s="245"/>
      <c r="AF2555" s="246"/>
    </row>
    <row r="2556" spans="1:32" ht="26.25">
      <c r="A2556" s="385"/>
      <c r="B2556" s="245"/>
      <c r="C2556" s="245"/>
      <c r="D2556" s="245"/>
      <c r="E2556" s="245"/>
      <c r="F2556" s="316"/>
      <c r="G2556" s="245"/>
      <c r="H2556" s="385"/>
      <c r="I2556" s="245"/>
      <c r="R2556" s="416"/>
      <c r="S2556" s="420"/>
      <c r="T2556" s="384" ph="1"/>
      <c r="V2556" s="421"/>
      <c r="W2556" s="257"/>
      <c r="X2556" s="429"/>
      <c r="Y2556" s="257"/>
      <c r="Z2556" s="257"/>
      <c r="AC2556" s="357"/>
      <c r="AD2556" s="257"/>
      <c r="AE2556" s="245"/>
      <c r="AF2556" s="246"/>
    </row>
    <row r="2557" spans="1:32" ht="26.25">
      <c r="A2557" s="385"/>
      <c r="B2557" s="245"/>
      <c r="C2557" s="245"/>
      <c r="D2557" s="245"/>
      <c r="E2557" s="245"/>
      <c r="F2557" s="316"/>
      <c r="G2557" s="245"/>
      <c r="H2557" s="385"/>
      <c r="I2557" s="245"/>
      <c r="R2557" s="416"/>
      <c r="S2557" s="420"/>
      <c r="T2557" s="384" ph="1"/>
      <c r="V2557" s="421"/>
      <c r="W2557" s="257"/>
      <c r="X2557" s="429"/>
      <c r="Y2557" s="257"/>
      <c r="Z2557" s="257"/>
      <c r="AC2557" s="357"/>
      <c r="AD2557" s="257"/>
      <c r="AE2557" s="245"/>
      <c r="AF2557" s="246"/>
    </row>
    <row r="2558" spans="1:32" ht="26.25">
      <c r="A2558" s="385"/>
      <c r="B2558" s="245"/>
      <c r="C2558" s="245"/>
      <c r="D2558" s="245"/>
      <c r="E2558" s="245"/>
      <c r="F2558" s="316"/>
      <c r="G2558" s="245"/>
      <c r="H2558" s="385"/>
      <c r="I2558" s="245"/>
      <c r="R2558" s="416"/>
      <c r="S2558" s="420"/>
      <c r="T2558" s="384" ph="1"/>
      <c r="V2558" s="421"/>
      <c r="W2558" s="257"/>
      <c r="X2558" s="429"/>
      <c r="Y2558" s="257"/>
      <c r="Z2558" s="257"/>
      <c r="AC2558" s="357"/>
      <c r="AD2558" s="257"/>
      <c r="AE2558" s="245"/>
      <c r="AF2558" s="246"/>
    </row>
    <row r="2559" spans="1:32" ht="26.25">
      <c r="A2559" s="385"/>
      <c r="B2559" s="245"/>
      <c r="C2559" s="245"/>
      <c r="D2559" s="245"/>
      <c r="E2559" s="245"/>
      <c r="F2559" s="316"/>
      <c r="G2559" s="245"/>
      <c r="H2559" s="385"/>
      <c r="I2559" s="245"/>
      <c r="R2559" s="416"/>
      <c r="S2559" s="420"/>
      <c r="T2559" s="384" ph="1"/>
      <c r="V2559" s="421"/>
      <c r="W2559" s="257"/>
      <c r="X2559" s="429"/>
      <c r="Y2559" s="257"/>
      <c r="Z2559" s="257"/>
      <c r="AC2559" s="357"/>
      <c r="AD2559" s="257"/>
      <c r="AE2559" s="245"/>
      <c r="AF2559" s="246"/>
    </row>
    <row r="2560" spans="1:32" ht="26.25">
      <c r="A2560" s="385"/>
      <c r="B2560" s="245"/>
      <c r="C2560" s="245"/>
      <c r="D2560" s="245"/>
      <c r="E2560" s="245"/>
      <c r="F2560" s="316"/>
      <c r="G2560" s="245"/>
      <c r="H2560" s="385"/>
      <c r="I2560" s="245"/>
      <c r="R2560" s="416"/>
      <c r="S2560" s="420"/>
      <c r="T2560" s="384" ph="1"/>
      <c r="V2560" s="421"/>
      <c r="W2560" s="257"/>
      <c r="X2560" s="429"/>
      <c r="Y2560" s="257"/>
      <c r="Z2560" s="257"/>
      <c r="AC2560" s="357"/>
      <c r="AD2560" s="257"/>
      <c r="AE2560" s="245"/>
      <c r="AF2560" s="246"/>
    </row>
    <row r="2561" spans="1:32" ht="26.25">
      <c r="A2561" s="385"/>
      <c r="B2561" s="245"/>
      <c r="C2561" s="245"/>
      <c r="D2561" s="245"/>
      <c r="E2561" s="245"/>
      <c r="F2561" s="316"/>
      <c r="G2561" s="245"/>
      <c r="H2561" s="385"/>
      <c r="I2561" s="245"/>
      <c r="R2561" s="416"/>
      <c r="S2561" s="420"/>
      <c r="T2561" s="384" ph="1"/>
      <c r="V2561" s="421"/>
      <c r="W2561" s="257"/>
      <c r="X2561" s="429"/>
      <c r="Y2561" s="257"/>
      <c r="Z2561" s="257"/>
      <c r="AC2561" s="357"/>
      <c r="AD2561" s="257"/>
      <c r="AE2561" s="245"/>
      <c r="AF2561" s="246"/>
    </row>
    <row r="2562" spans="1:32" ht="26.25">
      <c r="A2562" s="385"/>
      <c r="B2562" s="245"/>
      <c r="C2562" s="245"/>
      <c r="D2562" s="245"/>
      <c r="E2562" s="245"/>
      <c r="F2562" s="316"/>
      <c r="G2562" s="245"/>
      <c r="H2562" s="385"/>
      <c r="I2562" s="245"/>
      <c r="R2562" s="416"/>
      <c r="S2562" s="420"/>
      <c r="T2562" s="384" ph="1"/>
      <c r="V2562" s="421"/>
      <c r="W2562" s="257"/>
      <c r="X2562" s="429"/>
      <c r="Y2562" s="257"/>
      <c r="Z2562" s="257"/>
      <c r="AC2562" s="357"/>
      <c r="AD2562" s="257"/>
      <c r="AE2562" s="245"/>
      <c r="AF2562" s="246"/>
    </row>
    <row r="2563" spans="1:32" ht="26.25">
      <c r="A2563" s="385"/>
      <c r="B2563" s="245"/>
      <c r="C2563" s="245"/>
      <c r="D2563" s="245"/>
      <c r="E2563" s="245"/>
      <c r="F2563" s="316"/>
      <c r="G2563" s="245"/>
      <c r="H2563" s="385"/>
      <c r="I2563" s="245"/>
      <c r="R2563" s="416"/>
      <c r="S2563" s="420"/>
      <c r="T2563" s="384" ph="1"/>
      <c r="V2563" s="421"/>
      <c r="W2563" s="257"/>
      <c r="X2563" s="429"/>
      <c r="Y2563" s="257"/>
      <c r="Z2563" s="257"/>
      <c r="AC2563" s="357"/>
      <c r="AD2563" s="257"/>
      <c r="AE2563" s="245"/>
      <c r="AF2563" s="246"/>
    </row>
    <row r="2564" spans="1:32" ht="26.25">
      <c r="A2564" s="385"/>
      <c r="B2564" s="245"/>
      <c r="C2564" s="245"/>
      <c r="D2564" s="245"/>
      <c r="E2564" s="245"/>
      <c r="F2564" s="316"/>
      <c r="G2564" s="245"/>
      <c r="H2564" s="385"/>
      <c r="I2564" s="245"/>
      <c r="R2564" s="416"/>
      <c r="S2564" s="420"/>
      <c r="T2564" s="384" ph="1"/>
      <c r="V2564" s="421"/>
      <c r="W2564" s="257"/>
      <c r="X2564" s="429"/>
      <c r="Y2564" s="257"/>
      <c r="Z2564" s="257"/>
      <c r="AC2564" s="357"/>
      <c r="AD2564" s="257"/>
      <c r="AE2564" s="245"/>
      <c r="AF2564" s="246"/>
    </row>
    <row r="2565" spans="1:32" ht="26.25">
      <c r="A2565" s="385"/>
      <c r="B2565" s="245"/>
      <c r="C2565" s="245"/>
      <c r="D2565" s="245"/>
      <c r="E2565" s="245"/>
      <c r="F2565" s="316"/>
      <c r="G2565" s="245"/>
      <c r="H2565" s="385"/>
      <c r="I2565" s="245"/>
      <c r="R2565" s="416"/>
      <c r="S2565" s="420"/>
      <c r="T2565" s="384" ph="1"/>
      <c r="V2565" s="421"/>
      <c r="W2565" s="257"/>
      <c r="X2565" s="429"/>
      <c r="Y2565" s="257"/>
      <c r="Z2565" s="257"/>
      <c r="AC2565" s="357"/>
      <c r="AD2565" s="257"/>
      <c r="AE2565" s="245"/>
      <c r="AF2565" s="246"/>
    </row>
    <row r="2566" spans="1:32" ht="26.25">
      <c r="A2566" s="385"/>
      <c r="B2566" s="245"/>
      <c r="C2566" s="245"/>
      <c r="D2566" s="245"/>
      <c r="E2566" s="245"/>
      <c r="F2566" s="316"/>
      <c r="G2566" s="245"/>
      <c r="H2566" s="385"/>
      <c r="I2566" s="245"/>
      <c r="R2566" s="416"/>
      <c r="S2566" s="420"/>
      <c r="T2566" s="384" ph="1"/>
      <c r="V2566" s="421"/>
      <c r="W2566" s="257"/>
      <c r="X2566" s="429"/>
      <c r="Y2566" s="257"/>
      <c r="Z2566" s="257"/>
      <c r="AC2566" s="357"/>
      <c r="AD2566" s="257"/>
      <c r="AE2566" s="245"/>
      <c r="AF2566" s="246"/>
    </row>
    <row r="2567" spans="1:32" ht="26.25">
      <c r="A2567" s="385"/>
      <c r="B2567" s="245"/>
      <c r="C2567" s="245"/>
      <c r="D2567" s="245"/>
      <c r="E2567" s="245"/>
      <c r="F2567" s="316"/>
      <c r="G2567" s="245"/>
      <c r="H2567" s="385"/>
      <c r="I2567" s="245"/>
      <c r="R2567" s="416"/>
      <c r="S2567" s="420"/>
      <c r="T2567" s="384" ph="1"/>
      <c r="V2567" s="421"/>
      <c r="W2567" s="257"/>
      <c r="X2567" s="429"/>
      <c r="Y2567" s="257"/>
      <c r="Z2567" s="257"/>
      <c r="AC2567" s="357"/>
      <c r="AD2567" s="257"/>
      <c r="AE2567" s="245"/>
      <c r="AF2567" s="246"/>
    </row>
    <row r="2568" spans="1:32" ht="26.25">
      <c r="A2568" s="385"/>
      <c r="B2568" s="245"/>
      <c r="C2568" s="245"/>
      <c r="D2568" s="245"/>
      <c r="E2568" s="245"/>
      <c r="F2568" s="316"/>
      <c r="G2568" s="245"/>
      <c r="H2568" s="385"/>
      <c r="I2568" s="245"/>
      <c r="R2568" s="416"/>
      <c r="S2568" s="420"/>
      <c r="T2568" s="384" ph="1"/>
      <c r="V2568" s="421"/>
      <c r="W2568" s="257"/>
      <c r="X2568" s="429"/>
      <c r="Y2568" s="257"/>
      <c r="Z2568" s="257"/>
      <c r="AC2568" s="357"/>
      <c r="AD2568" s="257"/>
      <c r="AE2568" s="245"/>
      <c r="AF2568" s="246"/>
    </row>
    <row r="2569" spans="1:32" ht="26.25">
      <c r="A2569" s="385"/>
      <c r="B2569" s="245"/>
      <c r="C2569" s="245"/>
      <c r="D2569" s="245"/>
      <c r="E2569" s="245"/>
      <c r="F2569" s="316"/>
      <c r="G2569" s="245"/>
      <c r="H2569" s="385"/>
      <c r="I2569" s="245"/>
      <c r="R2569" s="416"/>
      <c r="S2569" s="420"/>
      <c r="T2569" s="384" ph="1"/>
      <c r="V2569" s="421"/>
      <c r="W2569" s="257"/>
      <c r="X2569" s="429"/>
      <c r="Y2569" s="257"/>
      <c r="Z2569" s="257"/>
      <c r="AC2569" s="357"/>
      <c r="AD2569" s="257"/>
      <c r="AE2569" s="245"/>
      <c r="AF2569" s="246"/>
    </row>
    <row r="2570" spans="1:32" ht="26.25">
      <c r="A2570" s="385"/>
      <c r="B2570" s="245"/>
      <c r="C2570" s="245"/>
      <c r="D2570" s="245"/>
      <c r="E2570" s="245"/>
      <c r="F2570" s="316"/>
      <c r="G2570" s="245"/>
      <c r="H2570" s="385"/>
      <c r="I2570" s="245"/>
      <c r="R2570" s="416"/>
      <c r="S2570" s="420"/>
      <c r="T2570" s="384" ph="1"/>
      <c r="V2570" s="421"/>
      <c r="W2570" s="257"/>
      <c r="X2570" s="429"/>
      <c r="Y2570" s="257"/>
      <c r="Z2570" s="257"/>
      <c r="AC2570" s="357"/>
      <c r="AD2570" s="257"/>
      <c r="AE2570" s="245"/>
      <c r="AF2570" s="246"/>
    </row>
    <row r="2571" spans="1:32" ht="26.25">
      <c r="A2571" s="385"/>
      <c r="B2571" s="245"/>
      <c r="C2571" s="245"/>
      <c r="D2571" s="245"/>
      <c r="E2571" s="245"/>
      <c r="F2571" s="316"/>
      <c r="G2571" s="245"/>
      <c r="H2571" s="385"/>
      <c r="I2571" s="245"/>
      <c r="R2571" s="416"/>
      <c r="S2571" s="420"/>
      <c r="T2571" s="384" ph="1"/>
      <c r="V2571" s="421"/>
      <c r="W2571" s="257"/>
      <c r="X2571" s="429"/>
      <c r="Y2571" s="257"/>
      <c r="Z2571" s="257"/>
      <c r="AC2571" s="357"/>
      <c r="AD2571" s="257"/>
      <c r="AE2571" s="245"/>
      <c r="AF2571" s="246"/>
    </row>
    <row r="2572" spans="1:32" ht="26.25">
      <c r="A2572" s="385"/>
      <c r="B2572" s="245"/>
      <c r="C2572" s="245"/>
      <c r="D2572" s="245"/>
      <c r="E2572" s="245"/>
      <c r="F2572" s="316"/>
      <c r="G2572" s="245"/>
      <c r="H2572" s="385"/>
      <c r="I2572" s="245"/>
      <c r="R2572" s="416"/>
      <c r="S2572" s="420"/>
      <c r="T2572" s="384" ph="1"/>
      <c r="V2572" s="421"/>
      <c r="W2572" s="257"/>
      <c r="X2572" s="429"/>
      <c r="Y2572" s="257"/>
      <c r="Z2572" s="257"/>
      <c r="AC2572" s="357"/>
      <c r="AD2572" s="257"/>
      <c r="AE2572" s="245"/>
      <c r="AF2572" s="246"/>
    </row>
    <row r="2573" spans="1:32" ht="26.25">
      <c r="A2573" s="385"/>
      <c r="B2573" s="245"/>
      <c r="C2573" s="245"/>
      <c r="D2573" s="245"/>
      <c r="E2573" s="245"/>
      <c r="F2573" s="316"/>
      <c r="G2573" s="245"/>
      <c r="H2573" s="385"/>
      <c r="I2573" s="245"/>
      <c r="R2573" s="416"/>
      <c r="S2573" s="420"/>
      <c r="T2573" s="384" ph="1"/>
      <c r="V2573" s="421"/>
      <c r="W2573" s="257"/>
      <c r="X2573" s="429"/>
      <c r="Y2573" s="257"/>
      <c r="Z2573" s="257"/>
      <c r="AC2573" s="357"/>
      <c r="AD2573" s="257"/>
      <c r="AE2573" s="245"/>
      <c r="AF2573" s="246"/>
    </row>
    <row r="2574" spans="1:32" ht="26.25">
      <c r="A2574" s="385"/>
      <c r="B2574" s="245"/>
      <c r="C2574" s="245"/>
      <c r="D2574" s="245"/>
      <c r="E2574" s="245"/>
      <c r="F2574" s="316"/>
      <c r="G2574" s="245"/>
      <c r="H2574" s="385"/>
      <c r="I2574" s="245"/>
      <c r="R2574" s="416"/>
      <c r="S2574" s="420"/>
      <c r="T2574" s="384" ph="1"/>
      <c r="V2574" s="421"/>
      <c r="W2574" s="257"/>
      <c r="X2574" s="429"/>
      <c r="Y2574" s="257"/>
      <c r="Z2574" s="257"/>
      <c r="AC2574" s="357"/>
      <c r="AD2574" s="257"/>
      <c r="AE2574" s="245"/>
      <c r="AF2574" s="246"/>
    </row>
    <row r="2575" spans="1:32" ht="26.25">
      <c r="A2575" s="385"/>
      <c r="B2575" s="245"/>
      <c r="C2575" s="245"/>
      <c r="D2575" s="245"/>
      <c r="E2575" s="245"/>
      <c r="F2575" s="316"/>
      <c r="G2575" s="245"/>
      <c r="H2575" s="385"/>
      <c r="I2575" s="245"/>
      <c r="R2575" s="416"/>
      <c r="S2575" s="420"/>
      <c r="T2575" s="384" ph="1"/>
      <c r="V2575" s="421"/>
      <c r="W2575" s="257"/>
      <c r="X2575" s="429"/>
      <c r="Y2575" s="257"/>
      <c r="Z2575" s="257"/>
      <c r="AC2575" s="357"/>
      <c r="AD2575" s="257"/>
      <c r="AE2575" s="245"/>
      <c r="AF2575" s="246"/>
    </row>
    <row r="2576" spans="1:32" ht="26.25">
      <c r="A2576" s="385"/>
      <c r="B2576" s="245"/>
      <c r="C2576" s="245"/>
      <c r="D2576" s="245"/>
      <c r="E2576" s="245"/>
      <c r="F2576" s="316"/>
      <c r="G2576" s="245"/>
      <c r="H2576" s="385"/>
      <c r="I2576" s="245"/>
      <c r="R2576" s="416"/>
      <c r="S2576" s="420"/>
      <c r="T2576" s="384" ph="1"/>
      <c r="V2576" s="421"/>
      <c r="W2576" s="257"/>
      <c r="X2576" s="429"/>
      <c r="Y2576" s="257"/>
      <c r="Z2576" s="257"/>
      <c r="AC2576" s="357"/>
      <c r="AD2576" s="257"/>
      <c r="AE2576" s="245"/>
      <c r="AF2576" s="246"/>
    </row>
    <row r="2577" spans="1:32" ht="26.25">
      <c r="A2577" s="385"/>
      <c r="B2577" s="245"/>
      <c r="C2577" s="245"/>
      <c r="D2577" s="245"/>
      <c r="E2577" s="245"/>
      <c r="F2577" s="316"/>
      <c r="G2577" s="245"/>
      <c r="H2577" s="385"/>
      <c r="I2577" s="245"/>
      <c r="R2577" s="416"/>
      <c r="S2577" s="420"/>
      <c r="T2577" s="384" ph="1"/>
      <c r="V2577" s="421"/>
      <c r="W2577" s="257"/>
      <c r="X2577" s="429"/>
      <c r="Y2577" s="257"/>
      <c r="Z2577" s="257"/>
      <c r="AC2577" s="357"/>
      <c r="AD2577" s="257"/>
      <c r="AE2577" s="245"/>
      <c r="AF2577" s="246"/>
    </row>
    <row r="2578" spans="1:32" ht="26.25">
      <c r="A2578" s="385"/>
      <c r="B2578" s="245"/>
      <c r="C2578" s="245"/>
      <c r="D2578" s="245"/>
      <c r="E2578" s="245"/>
      <c r="F2578" s="316"/>
      <c r="G2578" s="245"/>
      <c r="H2578" s="385"/>
      <c r="I2578" s="245"/>
      <c r="R2578" s="416"/>
      <c r="S2578" s="420"/>
      <c r="T2578" s="384" ph="1"/>
      <c r="V2578" s="421"/>
      <c r="W2578" s="257"/>
      <c r="X2578" s="429"/>
      <c r="Y2578" s="257"/>
      <c r="Z2578" s="257"/>
      <c r="AC2578" s="357"/>
      <c r="AD2578" s="257"/>
      <c r="AE2578" s="245"/>
      <c r="AF2578" s="246"/>
    </row>
    <row r="2579" spans="1:32" ht="26.25">
      <c r="A2579" s="385"/>
      <c r="B2579" s="245"/>
      <c r="C2579" s="245"/>
      <c r="D2579" s="245"/>
      <c r="E2579" s="245"/>
      <c r="F2579" s="316"/>
      <c r="G2579" s="245"/>
      <c r="H2579" s="385"/>
      <c r="I2579" s="245"/>
      <c r="R2579" s="416"/>
      <c r="S2579" s="420"/>
      <c r="T2579" s="384" ph="1"/>
      <c r="V2579" s="421"/>
      <c r="W2579" s="257"/>
      <c r="X2579" s="429"/>
      <c r="Y2579" s="257"/>
      <c r="Z2579" s="257"/>
      <c r="AC2579" s="357"/>
      <c r="AD2579" s="257"/>
      <c r="AE2579" s="245"/>
      <c r="AF2579" s="246"/>
    </row>
    <row r="2580" spans="1:32" ht="26.25">
      <c r="A2580" s="385"/>
      <c r="B2580" s="245"/>
      <c r="C2580" s="245"/>
      <c r="D2580" s="245"/>
      <c r="E2580" s="245"/>
      <c r="F2580" s="316"/>
      <c r="G2580" s="245"/>
      <c r="H2580" s="385"/>
      <c r="I2580" s="245"/>
      <c r="R2580" s="416"/>
      <c r="S2580" s="420"/>
      <c r="T2580" s="384" ph="1"/>
      <c r="V2580" s="421"/>
      <c r="W2580" s="257"/>
      <c r="X2580" s="429"/>
      <c r="Y2580" s="257"/>
      <c r="Z2580" s="257"/>
      <c r="AC2580" s="357"/>
      <c r="AD2580" s="257"/>
      <c r="AE2580" s="245"/>
      <c r="AF2580" s="246"/>
    </row>
    <row r="2581" spans="1:32" ht="26.25">
      <c r="A2581" s="385"/>
      <c r="B2581" s="245"/>
      <c r="C2581" s="245"/>
      <c r="D2581" s="245"/>
      <c r="E2581" s="245"/>
      <c r="F2581" s="316"/>
      <c r="G2581" s="245"/>
      <c r="H2581" s="385"/>
      <c r="I2581" s="245"/>
      <c r="R2581" s="416"/>
      <c r="S2581" s="420"/>
      <c r="T2581" s="384" ph="1"/>
      <c r="V2581" s="421"/>
      <c r="W2581" s="257"/>
      <c r="X2581" s="429"/>
      <c r="Y2581" s="257"/>
      <c r="Z2581" s="257"/>
      <c r="AC2581" s="357"/>
      <c r="AD2581" s="257"/>
      <c r="AE2581" s="245"/>
      <c r="AF2581" s="246"/>
    </row>
    <row r="2582" spans="1:32" ht="26.25">
      <c r="A2582" s="385"/>
      <c r="B2582" s="245"/>
      <c r="C2582" s="245"/>
      <c r="D2582" s="245"/>
      <c r="E2582" s="245"/>
      <c r="F2582" s="316"/>
      <c r="G2582" s="245"/>
      <c r="H2582" s="385"/>
      <c r="I2582" s="245"/>
      <c r="R2582" s="416"/>
      <c r="S2582" s="420"/>
      <c r="T2582" s="384" ph="1"/>
      <c r="V2582" s="421"/>
      <c r="W2582" s="257"/>
      <c r="X2582" s="429"/>
      <c r="Y2582" s="257"/>
      <c r="Z2582" s="257"/>
      <c r="AC2582" s="357"/>
      <c r="AD2582" s="257"/>
      <c r="AE2582" s="245"/>
      <c r="AF2582" s="246"/>
    </row>
    <row r="2583" spans="1:32" ht="26.25">
      <c r="A2583" s="385"/>
      <c r="B2583" s="245"/>
      <c r="C2583" s="245"/>
      <c r="D2583" s="245"/>
      <c r="E2583" s="245"/>
      <c r="F2583" s="316"/>
      <c r="G2583" s="245"/>
      <c r="H2583" s="385"/>
      <c r="I2583" s="245"/>
      <c r="R2583" s="416"/>
      <c r="S2583" s="420"/>
      <c r="T2583" s="384" ph="1"/>
      <c r="V2583" s="421"/>
      <c r="W2583" s="257"/>
      <c r="X2583" s="429"/>
      <c r="Y2583" s="257"/>
      <c r="Z2583" s="257"/>
      <c r="AC2583" s="357"/>
      <c r="AD2583" s="257"/>
      <c r="AE2583" s="245"/>
      <c r="AF2583" s="246"/>
    </row>
    <row r="2584" spans="1:32" ht="26.25">
      <c r="A2584" s="385"/>
      <c r="B2584" s="245"/>
      <c r="C2584" s="245"/>
      <c r="D2584" s="245"/>
      <c r="E2584" s="245"/>
      <c r="F2584" s="316"/>
      <c r="G2584" s="245"/>
      <c r="H2584" s="385"/>
      <c r="I2584" s="245"/>
      <c r="R2584" s="416"/>
      <c r="S2584" s="420"/>
      <c r="T2584" s="384" ph="1"/>
      <c r="V2584" s="421"/>
      <c r="W2584" s="257"/>
      <c r="X2584" s="429"/>
      <c r="Y2584" s="257"/>
      <c r="Z2584" s="257"/>
      <c r="AC2584" s="357"/>
      <c r="AD2584" s="257"/>
      <c r="AE2584" s="245"/>
      <c r="AF2584" s="246"/>
    </row>
    <row r="2585" spans="1:32" ht="26.25">
      <c r="A2585" s="385"/>
      <c r="B2585" s="245"/>
      <c r="C2585" s="245"/>
      <c r="D2585" s="245"/>
      <c r="E2585" s="245"/>
      <c r="F2585" s="316"/>
      <c r="G2585" s="245"/>
      <c r="H2585" s="385"/>
      <c r="I2585" s="245"/>
      <c r="R2585" s="416"/>
      <c r="S2585" s="420"/>
      <c r="T2585" s="384" ph="1"/>
      <c r="V2585" s="421"/>
      <c r="W2585" s="257"/>
      <c r="X2585" s="429"/>
      <c r="Y2585" s="257"/>
      <c r="Z2585" s="257"/>
      <c r="AC2585" s="357"/>
      <c r="AD2585" s="257"/>
      <c r="AE2585" s="245"/>
      <c r="AF2585" s="246"/>
    </row>
    <row r="2586" spans="1:32" ht="26.25">
      <c r="A2586" s="385"/>
      <c r="B2586" s="245"/>
      <c r="C2586" s="245"/>
      <c r="D2586" s="245"/>
      <c r="E2586" s="245"/>
      <c r="F2586" s="316"/>
      <c r="G2586" s="245"/>
      <c r="H2586" s="385"/>
      <c r="I2586" s="245"/>
      <c r="R2586" s="416"/>
      <c r="S2586" s="420"/>
      <c r="T2586" s="384" ph="1"/>
      <c r="V2586" s="421"/>
      <c r="W2586" s="257"/>
      <c r="X2586" s="429"/>
      <c r="Y2586" s="257"/>
      <c r="Z2586" s="257"/>
      <c r="AC2586" s="357"/>
      <c r="AD2586" s="257"/>
      <c r="AE2586" s="245"/>
      <c r="AF2586" s="246"/>
    </row>
    <row r="2587" spans="1:32" ht="26.25">
      <c r="A2587" s="385"/>
      <c r="B2587" s="245"/>
      <c r="C2587" s="245"/>
      <c r="D2587" s="245"/>
      <c r="E2587" s="245"/>
      <c r="F2587" s="316"/>
      <c r="G2587" s="245"/>
      <c r="H2587" s="385"/>
      <c r="I2587" s="245"/>
      <c r="R2587" s="416"/>
      <c r="S2587" s="420"/>
      <c r="T2587" s="384" ph="1"/>
      <c r="V2587" s="421"/>
      <c r="W2587" s="257"/>
      <c r="X2587" s="429"/>
      <c r="Y2587" s="257"/>
      <c r="Z2587" s="257"/>
      <c r="AC2587" s="357"/>
      <c r="AD2587" s="257"/>
      <c r="AE2587" s="245"/>
      <c r="AF2587" s="246"/>
    </row>
    <row r="2588" spans="1:32" ht="26.25">
      <c r="A2588" s="385"/>
      <c r="B2588" s="245"/>
      <c r="C2588" s="245"/>
      <c r="D2588" s="245"/>
      <c r="E2588" s="245"/>
      <c r="F2588" s="316"/>
      <c r="G2588" s="245"/>
      <c r="H2588" s="385"/>
      <c r="I2588" s="245"/>
      <c r="R2588" s="416"/>
      <c r="S2588" s="420"/>
      <c r="T2588" s="384" ph="1"/>
      <c r="V2588" s="421"/>
      <c r="W2588" s="257"/>
      <c r="X2588" s="429"/>
      <c r="Y2588" s="257"/>
      <c r="Z2588" s="257"/>
      <c r="AC2588" s="357"/>
      <c r="AD2588" s="257"/>
      <c r="AE2588" s="245"/>
      <c r="AF2588" s="246"/>
    </row>
    <row r="2589" spans="1:32" ht="26.25">
      <c r="A2589" s="385"/>
      <c r="B2589" s="245"/>
      <c r="C2589" s="245"/>
      <c r="D2589" s="245"/>
      <c r="E2589" s="245"/>
      <c r="F2589" s="316"/>
      <c r="G2589" s="245"/>
      <c r="H2589" s="385"/>
      <c r="I2589" s="245"/>
      <c r="R2589" s="416"/>
      <c r="S2589" s="420"/>
      <c r="T2589" s="384" ph="1"/>
      <c r="V2589" s="421"/>
      <c r="W2589" s="257"/>
      <c r="X2589" s="429"/>
      <c r="Y2589" s="257"/>
      <c r="Z2589" s="257"/>
      <c r="AC2589" s="357"/>
      <c r="AD2589" s="257"/>
      <c r="AE2589" s="245"/>
      <c r="AF2589" s="246"/>
    </row>
    <row r="2590" spans="1:32" ht="26.25">
      <c r="A2590" s="385"/>
      <c r="B2590" s="245"/>
      <c r="C2590" s="245"/>
      <c r="D2590" s="245"/>
      <c r="E2590" s="245"/>
      <c r="F2590" s="316"/>
      <c r="G2590" s="245"/>
      <c r="H2590" s="385"/>
      <c r="I2590" s="245"/>
      <c r="R2590" s="416"/>
      <c r="S2590" s="420"/>
      <c r="T2590" s="384" ph="1"/>
      <c r="V2590" s="421"/>
      <c r="W2590" s="257"/>
      <c r="X2590" s="429"/>
      <c r="Y2590" s="257"/>
      <c r="Z2590" s="257"/>
      <c r="AC2590" s="357"/>
      <c r="AD2590" s="257"/>
      <c r="AE2590" s="245"/>
      <c r="AF2590" s="246"/>
    </row>
    <row r="2591" spans="1:32" ht="26.25">
      <c r="A2591" s="385"/>
      <c r="B2591" s="245"/>
      <c r="C2591" s="245"/>
      <c r="D2591" s="245"/>
      <c r="E2591" s="245"/>
      <c r="F2591" s="316"/>
      <c r="G2591" s="245"/>
      <c r="H2591" s="385"/>
      <c r="I2591" s="245"/>
      <c r="R2591" s="416"/>
      <c r="S2591" s="420"/>
      <c r="T2591" s="384" ph="1"/>
      <c r="V2591" s="421"/>
      <c r="W2591" s="257"/>
      <c r="X2591" s="429"/>
      <c r="Y2591" s="257"/>
      <c r="Z2591" s="257"/>
      <c r="AC2591" s="357"/>
      <c r="AD2591" s="257"/>
      <c r="AE2591" s="245"/>
      <c r="AF2591" s="246"/>
    </row>
    <row r="2592" spans="1:32" ht="26.25">
      <c r="A2592" s="385"/>
      <c r="B2592" s="245"/>
      <c r="C2592" s="245"/>
      <c r="D2592" s="245"/>
      <c r="E2592" s="245"/>
      <c r="F2592" s="316"/>
      <c r="G2592" s="245"/>
      <c r="H2592" s="385"/>
      <c r="I2592" s="245"/>
      <c r="R2592" s="416"/>
      <c r="S2592" s="420"/>
      <c r="T2592" s="384" ph="1"/>
      <c r="V2592" s="421"/>
      <c r="W2592" s="257"/>
      <c r="X2592" s="429"/>
      <c r="Y2592" s="257"/>
      <c r="Z2592" s="257"/>
      <c r="AC2592" s="357"/>
      <c r="AD2592" s="257"/>
      <c r="AE2592" s="245"/>
      <c r="AF2592" s="246"/>
    </row>
    <row r="2593" spans="1:32" ht="26.25">
      <c r="A2593" s="385"/>
      <c r="B2593" s="245"/>
      <c r="C2593" s="245"/>
      <c r="D2593" s="245"/>
      <c r="E2593" s="245"/>
      <c r="F2593" s="316"/>
      <c r="G2593" s="245"/>
      <c r="H2593" s="385"/>
      <c r="I2593" s="245"/>
      <c r="R2593" s="416"/>
      <c r="S2593" s="420"/>
      <c r="T2593" s="384" ph="1"/>
      <c r="V2593" s="421"/>
      <c r="W2593" s="257"/>
      <c r="X2593" s="429"/>
      <c r="Y2593" s="257"/>
      <c r="Z2593" s="257"/>
      <c r="AC2593" s="357"/>
      <c r="AD2593" s="257"/>
      <c r="AE2593" s="245"/>
      <c r="AF2593" s="246"/>
    </row>
    <row r="2594" spans="1:32" ht="26.25">
      <c r="A2594" s="385"/>
      <c r="B2594" s="245"/>
      <c r="C2594" s="245"/>
      <c r="D2594" s="245"/>
      <c r="E2594" s="245"/>
      <c r="F2594" s="316"/>
      <c r="G2594" s="245"/>
      <c r="H2594" s="385"/>
      <c r="I2594" s="245"/>
      <c r="R2594" s="416"/>
      <c r="S2594" s="420"/>
      <c r="T2594" s="384" ph="1"/>
      <c r="V2594" s="421"/>
      <c r="W2594" s="257"/>
      <c r="X2594" s="429"/>
      <c r="Y2594" s="257"/>
      <c r="Z2594" s="257"/>
      <c r="AC2594" s="357"/>
      <c r="AD2594" s="257"/>
      <c r="AE2594" s="245"/>
      <c r="AF2594" s="246"/>
    </row>
    <row r="2595" spans="1:32" ht="26.25">
      <c r="A2595" s="385"/>
      <c r="B2595" s="245"/>
      <c r="C2595" s="245"/>
      <c r="D2595" s="245"/>
      <c r="E2595" s="245"/>
      <c r="F2595" s="316"/>
      <c r="G2595" s="245"/>
      <c r="H2595" s="385"/>
      <c r="I2595" s="245"/>
      <c r="R2595" s="416"/>
      <c r="S2595" s="420"/>
      <c r="T2595" s="384" ph="1"/>
      <c r="V2595" s="421"/>
      <c r="W2595" s="257"/>
      <c r="X2595" s="429"/>
      <c r="Y2595" s="257"/>
      <c r="Z2595" s="257"/>
      <c r="AC2595" s="357"/>
      <c r="AD2595" s="257"/>
      <c r="AE2595" s="245"/>
      <c r="AF2595" s="246"/>
    </row>
    <row r="2596" spans="1:32" ht="26.25">
      <c r="A2596" s="385"/>
      <c r="B2596" s="245"/>
      <c r="C2596" s="245"/>
      <c r="D2596" s="245"/>
      <c r="E2596" s="245"/>
      <c r="F2596" s="316"/>
      <c r="G2596" s="245"/>
      <c r="H2596" s="385"/>
      <c r="I2596" s="245"/>
      <c r="R2596" s="416"/>
      <c r="S2596" s="420"/>
      <c r="T2596" s="384" ph="1"/>
      <c r="V2596" s="421"/>
      <c r="W2596" s="257"/>
      <c r="X2596" s="429"/>
      <c r="Y2596" s="257"/>
      <c r="Z2596" s="257"/>
      <c r="AC2596" s="357"/>
      <c r="AD2596" s="257"/>
      <c r="AE2596" s="245"/>
      <c r="AF2596" s="246"/>
    </row>
    <row r="2597" spans="1:32" ht="26.25">
      <c r="A2597" s="385"/>
      <c r="B2597" s="245"/>
      <c r="C2597" s="245"/>
      <c r="D2597" s="245"/>
      <c r="E2597" s="245"/>
      <c r="F2597" s="316"/>
      <c r="G2597" s="245"/>
      <c r="H2597" s="385"/>
      <c r="I2597" s="245"/>
      <c r="R2597" s="416"/>
      <c r="S2597" s="420"/>
      <c r="T2597" s="384" ph="1"/>
      <c r="V2597" s="421"/>
      <c r="W2597" s="257"/>
      <c r="X2597" s="429"/>
      <c r="Y2597" s="257"/>
      <c r="Z2597" s="257"/>
      <c r="AC2597" s="357"/>
      <c r="AD2597" s="257"/>
      <c r="AE2597" s="245"/>
      <c r="AF2597" s="246"/>
    </row>
    <row r="2598" spans="1:32" ht="26.25">
      <c r="A2598" s="385"/>
      <c r="B2598" s="245"/>
      <c r="C2598" s="245"/>
      <c r="D2598" s="245"/>
      <c r="E2598" s="245"/>
      <c r="F2598" s="316"/>
      <c r="G2598" s="245"/>
      <c r="H2598" s="385"/>
      <c r="I2598" s="245"/>
      <c r="R2598" s="416"/>
      <c r="S2598" s="420"/>
      <c r="T2598" s="384" ph="1"/>
      <c r="V2598" s="421"/>
      <c r="W2598" s="257"/>
      <c r="X2598" s="429"/>
      <c r="Y2598" s="257"/>
      <c r="Z2598" s="257"/>
      <c r="AC2598" s="357"/>
      <c r="AD2598" s="257"/>
      <c r="AE2598" s="245"/>
      <c r="AF2598" s="246"/>
    </row>
    <row r="2599" spans="1:32" ht="26.25">
      <c r="A2599" s="385"/>
      <c r="B2599" s="245"/>
      <c r="C2599" s="245"/>
      <c r="D2599" s="245"/>
      <c r="E2599" s="245"/>
      <c r="F2599" s="316"/>
      <c r="G2599" s="245"/>
      <c r="H2599" s="385"/>
      <c r="I2599" s="245"/>
      <c r="R2599" s="416"/>
      <c r="S2599" s="420"/>
      <c r="T2599" s="384" ph="1"/>
      <c r="V2599" s="421"/>
      <c r="W2599" s="257"/>
      <c r="X2599" s="429"/>
      <c r="Y2599" s="257"/>
      <c r="Z2599" s="257"/>
      <c r="AC2599" s="357"/>
      <c r="AD2599" s="257"/>
      <c r="AE2599" s="245"/>
      <c r="AF2599" s="246"/>
    </row>
    <row r="2600" spans="1:32" ht="26.25">
      <c r="A2600" s="385"/>
      <c r="B2600" s="245"/>
      <c r="C2600" s="245"/>
      <c r="D2600" s="245"/>
      <c r="E2600" s="245"/>
      <c r="F2600" s="316"/>
      <c r="G2600" s="245"/>
      <c r="H2600" s="385"/>
      <c r="I2600" s="245"/>
      <c r="R2600" s="416"/>
      <c r="S2600" s="420"/>
      <c r="T2600" s="384" ph="1"/>
      <c r="V2600" s="421"/>
      <c r="W2600" s="257"/>
      <c r="X2600" s="429"/>
      <c r="Y2600" s="257"/>
      <c r="Z2600" s="257"/>
      <c r="AC2600" s="357"/>
      <c r="AD2600" s="257"/>
      <c r="AE2600" s="245"/>
      <c r="AF2600" s="246"/>
    </row>
    <row r="2601" spans="1:32" ht="26.25">
      <c r="A2601" s="385"/>
      <c r="B2601" s="245"/>
      <c r="C2601" s="245"/>
      <c r="D2601" s="245"/>
      <c r="E2601" s="245"/>
      <c r="F2601" s="316"/>
      <c r="G2601" s="245"/>
      <c r="H2601" s="385"/>
      <c r="I2601" s="245"/>
      <c r="R2601" s="416"/>
      <c r="S2601" s="420"/>
      <c r="T2601" s="384" ph="1"/>
      <c r="V2601" s="421"/>
      <c r="W2601" s="257"/>
      <c r="X2601" s="429"/>
      <c r="Y2601" s="257"/>
      <c r="Z2601" s="257"/>
      <c r="AC2601" s="357"/>
      <c r="AD2601" s="257"/>
      <c r="AE2601" s="245"/>
      <c r="AF2601" s="246"/>
    </row>
    <row r="2602" spans="1:32" ht="26.25">
      <c r="A2602" s="385"/>
      <c r="B2602" s="245"/>
      <c r="C2602" s="245"/>
      <c r="D2602" s="245"/>
      <c r="E2602" s="245"/>
      <c r="F2602" s="316"/>
      <c r="G2602" s="245"/>
      <c r="H2602" s="385"/>
      <c r="I2602" s="245"/>
      <c r="R2602" s="416"/>
      <c r="S2602" s="420"/>
      <c r="T2602" s="384" ph="1"/>
      <c r="V2602" s="421"/>
      <c r="W2602" s="257"/>
      <c r="X2602" s="429"/>
      <c r="Y2602" s="257"/>
      <c r="Z2602" s="257"/>
      <c r="AC2602" s="357"/>
      <c r="AD2602" s="257"/>
      <c r="AE2602" s="245"/>
      <c r="AF2602" s="246"/>
    </row>
    <row r="2603" spans="1:32" ht="26.25">
      <c r="A2603" s="385"/>
      <c r="B2603" s="245"/>
      <c r="C2603" s="245"/>
      <c r="D2603" s="245"/>
      <c r="E2603" s="245"/>
      <c r="F2603" s="316"/>
      <c r="G2603" s="245"/>
      <c r="H2603" s="385"/>
      <c r="I2603" s="245"/>
      <c r="R2603" s="416"/>
      <c r="S2603" s="420"/>
      <c r="T2603" s="384" ph="1"/>
      <c r="V2603" s="421"/>
      <c r="W2603" s="257"/>
      <c r="X2603" s="429"/>
      <c r="Y2603" s="257"/>
      <c r="Z2603" s="257"/>
      <c r="AC2603" s="357"/>
      <c r="AD2603" s="257"/>
      <c r="AE2603" s="245"/>
      <c r="AF2603" s="246"/>
    </row>
    <row r="2604" spans="1:32" ht="26.25">
      <c r="A2604" s="385"/>
      <c r="B2604" s="245"/>
      <c r="C2604" s="245"/>
      <c r="D2604" s="245"/>
      <c r="E2604" s="245"/>
      <c r="F2604" s="316"/>
      <c r="G2604" s="245"/>
      <c r="H2604" s="385"/>
      <c r="I2604" s="245"/>
      <c r="R2604" s="416"/>
      <c r="S2604" s="420"/>
      <c r="T2604" s="384" ph="1"/>
      <c r="V2604" s="421"/>
      <c r="W2604" s="257"/>
      <c r="X2604" s="429"/>
      <c r="Y2604" s="257"/>
      <c r="Z2604" s="257"/>
      <c r="AC2604" s="357"/>
      <c r="AD2604" s="257"/>
      <c r="AE2604" s="245"/>
      <c r="AF2604" s="246"/>
    </row>
    <row r="2605" spans="1:32" ht="26.25">
      <c r="A2605" s="385"/>
      <c r="B2605" s="245"/>
      <c r="C2605" s="245"/>
      <c r="D2605" s="245"/>
      <c r="E2605" s="245"/>
      <c r="F2605" s="316"/>
      <c r="G2605" s="245"/>
      <c r="H2605" s="385"/>
      <c r="I2605" s="245"/>
      <c r="R2605" s="416"/>
      <c r="S2605" s="420"/>
      <c r="T2605" s="384" ph="1"/>
      <c r="V2605" s="421"/>
      <c r="W2605" s="257"/>
      <c r="X2605" s="429"/>
      <c r="Y2605" s="257"/>
      <c r="Z2605" s="257"/>
      <c r="AC2605" s="357"/>
      <c r="AD2605" s="257"/>
      <c r="AE2605" s="245"/>
      <c r="AF2605" s="246"/>
    </row>
    <row r="2606" spans="1:32" ht="26.25">
      <c r="A2606" s="385"/>
      <c r="B2606" s="245"/>
      <c r="C2606" s="245"/>
      <c r="D2606" s="245"/>
      <c r="E2606" s="245"/>
      <c r="F2606" s="316"/>
      <c r="G2606" s="245"/>
      <c r="H2606" s="385"/>
      <c r="I2606" s="245"/>
      <c r="R2606" s="416"/>
      <c r="S2606" s="420"/>
      <c r="T2606" s="384" ph="1"/>
      <c r="V2606" s="421"/>
      <c r="W2606" s="257"/>
      <c r="X2606" s="429"/>
      <c r="Y2606" s="257"/>
      <c r="Z2606" s="257"/>
      <c r="AC2606" s="357"/>
      <c r="AD2606" s="257"/>
      <c r="AE2606" s="245"/>
      <c r="AF2606" s="246"/>
    </row>
    <row r="2607" spans="1:32" ht="26.25">
      <c r="A2607" s="385"/>
      <c r="B2607" s="245"/>
      <c r="C2607" s="245"/>
      <c r="D2607" s="245"/>
      <c r="E2607" s="245"/>
      <c r="F2607" s="316"/>
      <c r="G2607" s="245"/>
      <c r="H2607" s="385"/>
      <c r="I2607" s="245"/>
      <c r="R2607" s="416"/>
      <c r="S2607" s="420"/>
      <c r="T2607" s="384" ph="1"/>
      <c r="V2607" s="421"/>
      <c r="W2607" s="257"/>
      <c r="X2607" s="429"/>
      <c r="Y2607" s="257"/>
      <c r="Z2607" s="257"/>
      <c r="AC2607" s="357"/>
      <c r="AD2607" s="257"/>
      <c r="AE2607" s="245"/>
      <c r="AF2607" s="246"/>
    </row>
    <row r="2608" spans="1:32" ht="26.25">
      <c r="A2608" s="385"/>
      <c r="B2608" s="245"/>
      <c r="C2608" s="245"/>
      <c r="D2608" s="245"/>
      <c r="E2608" s="245"/>
      <c r="F2608" s="316"/>
      <c r="G2608" s="245"/>
      <c r="H2608" s="385"/>
      <c r="I2608" s="245"/>
      <c r="R2608" s="416"/>
      <c r="S2608" s="420"/>
      <c r="T2608" s="384" ph="1"/>
      <c r="V2608" s="421"/>
      <c r="W2608" s="257"/>
      <c r="X2608" s="429"/>
      <c r="Y2608" s="257"/>
      <c r="Z2608" s="257"/>
      <c r="AC2608" s="357"/>
      <c r="AD2608" s="257"/>
      <c r="AE2608" s="245"/>
      <c r="AF2608" s="246"/>
    </row>
    <row r="2609" spans="1:32" ht="26.25">
      <c r="A2609" s="385"/>
      <c r="B2609" s="245"/>
      <c r="C2609" s="245"/>
      <c r="D2609" s="245"/>
      <c r="E2609" s="245"/>
      <c r="F2609" s="316"/>
      <c r="G2609" s="245"/>
      <c r="H2609" s="385"/>
      <c r="I2609" s="245"/>
      <c r="R2609" s="416"/>
      <c r="S2609" s="420"/>
      <c r="T2609" s="384" ph="1"/>
      <c r="V2609" s="421"/>
      <c r="W2609" s="257"/>
      <c r="X2609" s="429"/>
      <c r="Y2609" s="257"/>
      <c r="Z2609" s="257"/>
      <c r="AC2609" s="357"/>
      <c r="AD2609" s="257"/>
      <c r="AE2609" s="245"/>
      <c r="AF2609" s="246"/>
    </row>
    <row r="2610" spans="1:32" ht="26.25">
      <c r="A2610" s="385"/>
      <c r="B2610" s="245"/>
      <c r="C2610" s="245"/>
      <c r="D2610" s="245"/>
      <c r="E2610" s="245"/>
      <c r="F2610" s="316"/>
      <c r="G2610" s="245"/>
      <c r="H2610" s="385"/>
      <c r="I2610" s="245"/>
      <c r="R2610" s="416"/>
      <c r="S2610" s="420"/>
      <c r="T2610" s="384" ph="1"/>
      <c r="V2610" s="421"/>
      <c r="W2610" s="257"/>
      <c r="X2610" s="429"/>
      <c r="Y2610" s="257"/>
      <c r="Z2610" s="257"/>
      <c r="AC2610" s="357"/>
      <c r="AD2610" s="257"/>
      <c r="AE2610" s="245"/>
      <c r="AF2610" s="246"/>
    </row>
    <row r="2611" spans="1:32" ht="26.25">
      <c r="A2611" s="385"/>
      <c r="B2611" s="245"/>
      <c r="C2611" s="245"/>
      <c r="D2611" s="245"/>
      <c r="E2611" s="245"/>
      <c r="F2611" s="316"/>
      <c r="G2611" s="245"/>
      <c r="H2611" s="385"/>
      <c r="I2611" s="245"/>
      <c r="R2611" s="416"/>
      <c r="S2611" s="420"/>
      <c r="T2611" s="384" ph="1"/>
      <c r="V2611" s="421"/>
      <c r="W2611" s="257"/>
      <c r="X2611" s="429"/>
      <c r="Y2611" s="257"/>
      <c r="Z2611" s="257"/>
      <c r="AC2611" s="357"/>
      <c r="AD2611" s="257"/>
      <c r="AE2611" s="245"/>
      <c r="AF2611" s="246"/>
    </row>
    <row r="2612" spans="1:32" ht="26.25">
      <c r="R2612" s="416"/>
      <c r="T2612" s="384" ph="1"/>
    </row>
    <row r="2613" spans="1:32" ht="26.25">
      <c r="R2613" s="416"/>
      <c r="T2613" s="384" ph="1"/>
    </row>
    <row r="2614" spans="1:32" ht="26.25">
      <c r="R2614" s="416"/>
      <c r="T2614" s="384" ph="1"/>
    </row>
    <row r="2615" spans="1:32" ht="26.25">
      <c r="R2615" s="416"/>
      <c r="T2615" s="384" ph="1"/>
    </row>
    <row r="2616" spans="1:32" ht="26.25">
      <c r="R2616" s="416"/>
      <c r="T2616" s="384" ph="1"/>
    </row>
    <row r="2617" spans="1:32" ht="26.25">
      <c r="R2617" s="416"/>
      <c r="T2617" s="384" ph="1"/>
    </row>
    <row r="2618" spans="1:32" ht="26.25">
      <c r="R2618" s="416"/>
      <c r="T2618" s="384" ph="1"/>
    </row>
    <row r="2619" spans="1:32" ht="26.25">
      <c r="R2619" s="416"/>
      <c r="T2619" s="384" ph="1"/>
    </row>
    <row r="2620" spans="1:32" ht="26.25">
      <c r="R2620" s="416"/>
      <c r="T2620" s="384" ph="1"/>
    </row>
    <row r="2621" spans="1:32" ht="26.25">
      <c r="R2621" s="416"/>
      <c r="T2621" s="384" ph="1"/>
    </row>
    <row r="2622" spans="1:32" ht="26.25">
      <c r="R2622" s="416"/>
      <c r="T2622" s="384" ph="1"/>
    </row>
    <row r="2623" spans="1:32" ht="26.25">
      <c r="R2623" s="416"/>
      <c r="T2623" s="384" ph="1"/>
    </row>
    <row r="2624" spans="1:32" ht="26.25">
      <c r="T2624" s="384" ph="1"/>
    </row>
    <row r="2625" spans="20:20" ht="26.25">
      <c r="T2625" s="384" ph="1"/>
    </row>
    <row r="2626" spans="20:20" ht="26.25">
      <c r="T2626" s="384" ph="1"/>
    </row>
    <row r="2627" spans="20:20" ht="26.25">
      <c r="T2627" s="384" ph="1"/>
    </row>
    <row r="2628" spans="20:20" ht="26.25">
      <c r="T2628" s="384" ph="1"/>
    </row>
    <row r="2629" spans="20:20" ht="26.25">
      <c r="T2629" s="384" ph="1"/>
    </row>
    <row r="2630" spans="20:20" ht="26.25">
      <c r="T2630" s="384" ph="1"/>
    </row>
    <row r="2631" spans="20:20" ht="26.25">
      <c r="T2631" s="384" ph="1"/>
    </row>
    <row r="2632" spans="20:20" ht="26.25">
      <c r="T2632" s="384" ph="1"/>
    </row>
    <row r="2633" spans="20:20" ht="26.25">
      <c r="T2633" s="384" ph="1"/>
    </row>
    <row r="2634" spans="20:20" ht="26.25">
      <c r="T2634" s="384" ph="1"/>
    </row>
    <row r="2635" spans="20:20" ht="26.25">
      <c r="T2635" s="384" ph="1"/>
    </row>
    <row r="2636" spans="20:20" ht="26.25">
      <c r="T2636" s="384" ph="1"/>
    </row>
    <row r="2637" spans="20:20" ht="26.25">
      <c r="T2637" s="384" ph="1"/>
    </row>
    <row r="2638" spans="20:20" ht="26.25">
      <c r="T2638" s="384" ph="1"/>
    </row>
    <row r="2639" spans="20:20" ht="26.25">
      <c r="T2639" s="384" ph="1"/>
    </row>
    <row r="2640" spans="20:20" ht="26.25">
      <c r="T2640" s="384" ph="1"/>
    </row>
    <row r="2641" spans="20:20" ht="26.25">
      <c r="T2641" s="384" ph="1"/>
    </row>
    <row r="2642" spans="20:20" ht="26.25">
      <c r="T2642" s="384" ph="1"/>
    </row>
    <row r="2643" spans="20:20" ht="26.25">
      <c r="T2643" s="384" ph="1"/>
    </row>
    <row r="2644" spans="20:20" ht="26.25">
      <c r="T2644" s="384" ph="1"/>
    </row>
    <row r="2645" spans="20:20" ht="26.25">
      <c r="T2645" s="384" ph="1"/>
    </row>
    <row r="2646" spans="20:20" ht="26.25">
      <c r="T2646" s="384" ph="1"/>
    </row>
    <row r="2647" spans="20:20" ht="26.25">
      <c r="T2647" s="384" ph="1"/>
    </row>
    <row r="2648" spans="20:20" ht="26.25">
      <c r="T2648" s="384" ph="1"/>
    </row>
    <row r="2649" spans="20:20" ht="26.25">
      <c r="T2649" s="384" ph="1"/>
    </row>
    <row r="2650" spans="20:20" ht="26.25">
      <c r="T2650" s="384" ph="1"/>
    </row>
    <row r="2651" spans="20:20" ht="26.25">
      <c r="T2651" s="384" ph="1"/>
    </row>
    <row r="2652" spans="20:20" ht="26.25">
      <c r="T2652" s="384" ph="1"/>
    </row>
    <row r="2653" spans="20:20" ht="26.25">
      <c r="T2653" s="384" ph="1"/>
    </row>
    <row r="2654" spans="20:20" ht="26.25">
      <c r="T2654" s="384" ph="1"/>
    </row>
    <row r="2655" spans="20:20" ht="26.25">
      <c r="T2655" s="384" ph="1"/>
    </row>
    <row r="2656" spans="20:20" ht="26.25">
      <c r="T2656" s="384" ph="1"/>
    </row>
    <row r="2657" spans="20:20" ht="26.25">
      <c r="T2657" s="384" ph="1"/>
    </row>
    <row r="2658" spans="20:20" ht="26.25">
      <c r="T2658" s="384" ph="1"/>
    </row>
    <row r="2659" spans="20:20" ht="26.25">
      <c r="T2659" s="384" ph="1"/>
    </row>
    <row r="2660" spans="20:20" ht="26.25">
      <c r="T2660" s="384" ph="1"/>
    </row>
    <row r="2661" spans="20:20" ht="26.25">
      <c r="T2661" s="384" ph="1"/>
    </row>
    <row r="2662" spans="20:20" ht="26.25">
      <c r="T2662" s="384" ph="1"/>
    </row>
    <row r="2663" spans="20:20" ht="26.25">
      <c r="T2663" s="384" ph="1"/>
    </row>
    <row r="2664" spans="20:20" ht="26.25">
      <c r="T2664" s="384" ph="1"/>
    </row>
    <row r="2665" spans="20:20" ht="26.25">
      <c r="T2665" s="384" ph="1"/>
    </row>
    <row r="2666" spans="20:20" ht="26.25">
      <c r="T2666" s="384" ph="1"/>
    </row>
    <row r="2667" spans="20:20" ht="26.25">
      <c r="T2667" s="384" ph="1"/>
    </row>
    <row r="2668" spans="20:20" ht="26.25">
      <c r="T2668" s="384" ph="1"/>
    </row>
    <row r="2669" spans="20:20" ht="26.25">
      <c r="T2669" s="384" ph="1"/>
    </row>
    <row r="2670" spans="20:20" ht="26.25">
      <c r="T2670" s="384" ph="1"/>
    </row>
    <row r="2671" spans="20:20" ht="26.25">
      <c r="T2671" s="384" ph="1"/>
    </row>
    <row r="2672" spans="20:20" ht="26.25">
      <c r="T2672" s="384" ph="1"/>
    </row>
    <row r="2673" spans="20:20" ht="26.25">
      <c r="T2673" s="384" ph="1"/>
    </row>
    <row r="2674" spans="20:20" ht="26.25">
      <c r="T2674" s="384" ph="1"/>
    </row>
    <row r="2675" spans="20:20" ht="26.25">
      <c r="T2675" s="384" ph="1"/>
    </row>
    <row r="2676" spans="20:20" ht="26.25">
      <c r="T2676" s="384" ph="1"/>
    </row>
    <row r="2677" spans="20:20" ht="26.25">
      <c r="T2677" s="384" ph="1"/>
    </row>
    <row r="2678" spans="20:20" ht="26.25">
      <c r="T2678" s="384" ph="1"/>
    </row>
    <row r="2679" spans="20:20" ht="26.25">
      <c r="T2679" s="384" ph="1"/>
    </row>
    <row r="2680" spans="20:20" ht="26.25">
      <c r="T2680" s="384" ph="1"/>
    </row>
    <row r="2681" spans="20:20" ht="26.25">
      <c r="T2681" s="384" ph="1"/>
    </row>
    <row r="2682" spans="20:20" ht="26.25">
      <c r="T2682" s="384" ph="1"/>
    </row>
    <row r="2683" spans="20:20" ht="26.25">
      <c r="T2683" s="384" ph="1"/>
    </row>
    <row r="2684" spans="20:20" ht="26.25">
      <c r="T2684" s="384" ph="1"/>
    </row>
    <row r="2685" spans="20:20" ht="26.25">
      <c r="T2685" s="384" ph="1"/>
    </row>
    <row r="2686" spans="20:20" ht="26.25">
      <c r="T2686" s="384" ph="1"/>
    </row>
    <row r="2687" spans="20:20" ht="26.25">
      <c r="T2687" s="384" ph="1"/>
    </row>
    <row r="2688" spans="20:20" ht="26.25">
      <c r="T2688" s="384" ph="1"/>
    </row>
    <row r="2689" spans="20:20" ht="26.25">
      <c r="T2689" s="384" ph="1"/>
    </row>
    <row r="2690" spans="20:20" ht="26.25">
      <c r="T2690" s="384" ph="1"/>
    </row>
    <row r="2691" spans="20:20" ht="26.25">
      <c r="T2691" s="384" ph="1"/>
    </row>
    <row r="2692" spans="20:20" ht="26.25">
      <c r="T2692" s="384" ph="1"/>
    </row>
    <row r="2693" spans="20:20" ht="26.25">
      <c r="T2693" s="384" ph="1"/>
    </row>
    <row r="2694" spans="20:20" ht="26.25">
      <c r="T2694" s="384" ph="1"/>
    </row>
    <row r="2695" spans="20:20" ht="26.25">
      <c r="T2695" s="384" ph="1"/>
    </row>
    <row r="2696" spans="20:20" ht="26.25">
      <c r="T2696" s="384" ph="1"/>
    </row>
    <row r="2697" spans="20:20" ht="26.25">
      <c r="T2697" s="384" ph="1"/>
    </row>
    <row r="2698" spans="20:20" ht="26.25">
      <c r="T2698" s="384" ph="1"/>
    </row>
    <row r="2699" spans="20:20" ht="26.25">
      <c r="T2699" s="384" ph="1"/>
    </row>
    <row r="2700" spans="20:20" ht="26.25">
      <c r="T2700" s="384" ph="1"/>
    </row>
    <row r="2701" spans="20:20" ht="26.25">
      <c r="T2701" s="384" ph="1"/>
    </row>
    <row r="2702" spans="20:20" ht="26.25">
      <c r="T2702" s="384" ph="1"/>
    </row>
    <row r="2703" spans="20:20" ht="26.25">
      <c r="T2703" s="384" ph="1"/>
    </row>
    <row r="2704" spans="20:20" ht="26.25">
      <c r="T2704" s="384" ph="1"/>
    </row>
    <row r="2705" spans="20:20" ht="26.25">
      <c r="T2705" s="384" ph="1"/>
    </row>
    <row r="2706" spans="20:20" ht="26.25">
      <c r="T2706" s="384" ph="1"/>
    </row>
    <row r="2707" spans="20:20" ht="26.25">
      <c r="T2707" s="384" ph="1"/>
    </row>
    <row r="2708" spans="20:20" ht="26.25">
      <c r="T2708" s="384" ph="1"/>
    </row>
    <row r="2709" spans="20:20" ht="26.25">
      <c r="T2709" s="384" ph="1"/>
    </row>
    <row r="2710" spans="20:20" ht="26.25">
      <c r="T2710" s="384" ph="1"/>
    </row>
    <row r="2711" spans="20:20" ht="26.25">
      <c r="T2711" s="384" ph="1"/>
    </row>
    <row r="2712" spans="20:20" ht="26.25">
      <c r="T2712" s="384" ph="1"/>
    </row>
    <row r="2713" spans="20:20" ht="26.25">
      <c r="T2713" s="384" ph="1"/>
    </row>
    <row r="2714" spans="20:20" ht="26.25">
      <c r="T2714" s="384" ph="1"/>
    </row>
    <row r="2715" spans="20:20" ht="26.25">
      <c r="T2715" s="384" ph="1"/>
    </row>
    <row r="2716" spans="20:20" ht="26.25">
      <c r="T2716" s="384" ph="1"/>
    </row>
    <row r="2717" spans="20:20" ht="26.25">
      <c r="T2717" s="384" ph="1"/>
    </row>
    <row r="2718" spans="20:20" ht="26.25">
      <c r="T2718" s="384" ph="1"/>
    </row>
    <row r="2719" spans="20:20" ht="26.25">
      <c r="T2719" s="384" ph="1"/>
    </row>
    <row r="2720" spans="20:20" ht="26.25">
      <c r="T2720" s="384" ph="1"/>
    </row>
    <row r="2721" spans="20:20" ht="26.25">
      <c r="T2721" s="384" ph="1"/>
    </row>
    <row r="2722" spans="20:20" ht="26.25">
      <c r="T2722" s="384" ph="1"/>
    </row>
    <row r="2723" spans="20:20" ht="26.25">
      <c r="T2723" s="384" ph="1"/>
    </row>
    <row r="2724" spans="20:20" ht="26.25">
      <c r="T2724" s="384" ph="1"/>
    </row>
    <row r="2725" spans="20:20" ht="26.25">
      <c r="T2725" s="384" ph="1"/>
    </row>
    <row r="2726" spans="20:20" ht="26.25">
      <c r="T2726" s="384" ph="1"/>
    </row>
    <row r="2727" spans="20:20" ht="26.25">
      <c r="T2727" s="384" ph="1"/>
    </row>
    <row r="2728" spans="20:20" ht="26.25">
      <c r="T2728" s="384" ph="1"/>
    </row>
    <row r="2729" spans="20:20" ht="26.25">
      <c r="T2729" s="384" ph="1"/>
    </row>
    <row r="2730" spans="20:20" ht="26.25">
      <c r="T2730" s="384" ph="1"/>
    </row>
    <row r="2731" spans="20:20" ht="26.25">
      <c r="T2731" s="384" ph="1"/>
    </row>
    <row r="2732" spans="20:20" ht="26.25">
      <c r="T2732" s="384" ph="1"/>
    </row>
    <row r="2733" spans="20:20" ht="26.25">
      <c r="T2733" s="384" ph="1"/>
    </row>
    <row r="2734" spans="20:20" ht="26.25">
      <c r="T2734" s="384" ph="1"/>
    </row>
    <row r="2735" spans="20:20" ht="26.25">
      <c r="T2735" s="384" ph="1"/>
    </row>
    <row r="2736" spans="20:20" ht="26.25">
      <c r="T2736" s="384" ph="1"/>
    </row>
    <row r="2737" spans="20:20" ht="26.25">
      <c r="T2737" s="384" ph="1"/>
    </row>
    <row r="2738" spans="20:20" ht="26.25">
      <c r="T2738" s="384" ph="1"/>
    </row>
    <row r="2739" spans="20:20" ht="26.25">
      <c r="T2739" s="384" ph="1"/>
    </row>
    <row r="2740" spans="20:20" ht="26.25">
      <c r="T2740" s="384" ph="1"/>
    </row>
    <row r="2741" spans="20:20" ht="26.25">
      <c r="T2741" s="384" ph="1"/>
    </row>
    <row r="2742" spans="20:20" ht="26.25">
      <c r="T2742" s="384" ph="1"/>
    </row>
    <row r="2743" spans="20:20" ht="26.25">
      <c r="T2743" s="384" ph="1"/>
    </row>
    <row r="2744" spans="20:20" ht="26.25">
      <c r="T2744" s="384" ph="1"/>
    </row>
    <row r="2745" spans="20:20" ht="26.25">
      <c r="T2745" s="384" ph="1"/>
    </row>
    <row r="2746" spans="20:20" ht="26.25">
      <c r="T2746" s="384" ph="1"/>
    </row>
    <row r="2747" spans="20:20" ht="26.25">
      <c r="T2747" s="384" ph="1"/>
    </row>
    <row r="2748" spans="20:20" ht="26.25">
      <c r="T2748" s="384" ph="1"/>
    </row>
    <row r="2749" spans="20:20" ht="26.25">
      <c r="T2749" s="384" ph="1"/>
    </row>
    <row r="2750" spans="20:20" ht="26.25">
      <c r="T2750" s="384" ph="1"/>
    </row>
    <row r="2751" spans="20:20" ht="26.25">
      <c r="T2751" s="384" ph="1"/>
    </row>
    <row r="2752" spans="20:20" ht="26.25">
      <c r="T2752" s="384" ph="1"/>
    </row>
    <row r="2753" spans="20:20" ht="26.25">
      <c r="T2753" s="384" ph="1"/>
    </row>
    <row r="2754" spans="20:20" ht="26.25">
      <c r="T2754" s="384" ph="1"/>
    </row>
    <row r="2755" spans="20:20" ht="26.25">
      <c r="T2755" s="384" ph="1"/>
    </row>
    <row r="2756" spans="20:20" ht="26.25">
      <c r="T2756" s="384" ph="1"/>
    </row>
    <row r="2757" spans="20:20" ht="26.25">
      <c r="T2757" s="384" ph="1"/>
    </row>
    <row r="2758" spans="20:20" ht="26.25">
      <c r="T2758" s="384" ph="1"/>
    </row>
    <row r="2759" spans="20:20" ht="26.25">
      <c r="T2759" s="384" ph="1"/>
    </row>
    <row r="2760" spans="20:20" ht="26.25">
      <c r="T2760" s="384" ph="1"/>
    </row>
    <row r="2761" spans="20:20" ht="26.25">
      <c r="T2761" s="384" ph="1"/>
    </row>
    <row r="2762" spans="20:20" ht="26.25">
      <c r="T2762" s="384" ph="1"/>
    </row>
    <row r="2763" spans="20:20" ht="26.25">
      <c r="T2763" s="384" ph="1"/>
    </row>
    <row r="2764" spans="20:20" ht="26.25">
      <c r="T2764" s="384" ph="1"/>
    </row>
    <row r="2765" spans="20:20" ht="26.25">
      <c r="T2765" s="384" ph="1"/>
    </row>
    <row r="2766" spans="20:20" ht="26.25">
      <c r="T2766" s="384" ph="1"/>
    </row>
    <row r="2767" spans="20:20" ht="26.25">
      <c r="T2767" s="384" ph="1"/>
    </row>
    <row r="2768" spans="20:20" ht="26.25">
      <c r="T2768" s="384" ph="1"/>
    </row>
    <row r="2769" spans="20:20" ht="26.25">
      <c r="T2769" s="384" ph="1"/>
    </row>
    <row r="2770" spans="20:20" ht="26.25">
      <c r="T2770" s="384" ph="1"/>
    </row>
    <row r="2771" spans="20:20" ht="26.25">
      <c r="T2771" s="384" ph="1"/>
    </row>
    <row r="2772" spans="20:20" ht="26.25">
      <c r="T2772" s="384" ph="1"/>
    </row>
    <row r="2773" spans="20:20" ht="26.25">
      <c r="T2773" s="384" ph="1"/>
    </row>
    <row r="2774" spans="20:20" ht="26.25">
      <c r="T2774" s="384" ph="1"/>
    </row>
    <row r="2775" spans="20:20" ht="26.25">
      <c r="T2775" s="384" ph="1"/>
    </row>
    <row r="2776" spans="20:20" ht="26.25">
      <c r="T2776" s="384" ph="1"/>
    </row>
    <row r="2777" spans="20:20" ht="26.25">
      <c r="T2777" s="384" ph="1"/>
    </row>
    <row r="2778" spans="20:20" ht="26.25">
      <c r="T2778" s="384" ph="1"/>
    </row>
    <row r="2779" spans="20:20" ht="26.25">
      <c r="T2779" s="384" ph="1"/>
    </row>
    <row r="2780" spans="20:20" ht="26.25">
      <c r="T2780" s="384" ph="1"/>
    </row>
    <row r="2781" spans="20:20" ht="26.25">
      <c r="T2781" s="384" ph="1"/>
    </row>
    <row r="2782" spans="20:20" ht="26.25">
      <c r="T2782" s="384" ph="1"/>
    </row>
    <row r="2783" spans="20:20" ht="26.25">
      <c r="T2783" s="384" ph="1"/>
    </row>
    <row r="2784" spans="20:20" ht="26.25">
      <c r="T2784" s="384" ph="1"/>
    </row>
    <row r="2785" spans="20:20" ht="26.25">
      <c r="T2785" s="384" ph="1"/>
    </row>
    <row r="2786" spans="20:20" ht="26.25">
      <c r="T2786" s="384" ph="1"/>
    </row>
    <row r="2787" spans="20:20" ht="26.25">
      <c r="T2787" s="384" ph="1"/>
    </row>
    <row r="2788" spans="20:20" ht="26.25">
      <c r="T2788" s="384" ph="1"/>
    </row>
    <row r="2789" spans="20:20" ht="26.25">
      <c r="T2789" s="384" ph="1"/>
    </row>
    <row r="2790" spans="20:20" ht="26.25">
      <c r="T2790" s="384" ph="1"/>
    </row>
    <row r="2791" spans="20:20" ht="26.25">
      <c r="T2791" s="384" ph="1"/>
    </row>
    <row r="2792" spans="20:20" ht="26.25">
      <c r="T2792" s="384" ph="1"/>
    </row>
    <row r="2793" spans="20:20" ht="26.25">
      <c r="T2793" s="384" ph="1"/>
    </row>
    <row r="2794" spans="20:20" ht="26.25">
      <c r="T2794" s="384" ph="1"/>
    </row>
    <row r="2795" spans="20:20" ht="26.25">
      <c r="T2795" s="384" ph="1"/>
    </row>
    <row r="2796" spans="20:20" ht="26.25">
      <c r="T2796" s="384" ph="1"/>
    </row>
    <row r="2797" spans="20:20" ht="26.25">
      <c r="T2797" s="384" ph="1"/>
    </row>
    <row r="2798" spans="20:20" ht="26.25">
      <c r="T2798" s="384" ph="1"/>
    </row>
    <row r="2799" spans="20:20" ht="26.25">
      <c r="T2799" s="384" ph="1"/>
    </row>
    <row r="2800" spans="20:20" ht="26.25">
      <c r="T2800" s="384" ph="1"/>
    </row>
    <row r="2801" spans="20:20" ht="26.25">
      <c r="T2801" s="384" ph="1"/>
    </row>
    <row r="2802" spans="20:20" ht="26.25">
      <c r="T2802" s="384" ph="1"/>
    </row>
    <row r="2803" spans="20:20" ht="26.25">
      <c r="T2803" s="384" ph="1"/>
    </row>
    <row r="2804" spans="20:20" ht="26.25">
      <c r="T2804" s="384" ph="1"/>
    </row>
    <row r="2805" spans="20:20" ht="26.25">
      <c r="T2805" s="384" ph="1"/>
    </row>
    <row r="2806" spans="20:20" ht="26.25">
      <c r="T2806" s="384" ph="1"/>
    </row>
    <row r="2807" spans="20:20" ht="26.25">
      <c r="T2807" s="384" ph="1"/>
    </row>
    <row r="2808" spans="20:20" ht="26.25">
      <c r="T2808" s="384" ph="1"/>
    </row>
    <row r="2809" spans="20:20" ht="26.25">
      <c r="T2809" s="384" ph="1"/>
    </row>
    <row r="2810" spans="20:20" ht="26.25">
      <c r="T2810" s="384" ph="1"/>
    </row>
    <row r="2811" spans="20:20" ht="26.25">
      <c r="T2811" s="384" ph="1"/>
    </row>
    <row r="2812" spans="20:20" ht="26.25">
      <c r="T2812" s="384" ph="1"/>
    </row>
    <row r="2813" spans="20:20" ht="26.25">
      <c r="T2813" s="384" ph="1"/>
    </row>
    <row r="2814" spans="20:20" ht="26.25">
      <c r="T2814" s="384" ph="1"/>
    </row>
    <row r="2815" spans="20:20" ht="26.25">
      <c r="T2815" s="384" ph="1"/>
    </row>
    <row r="2816" spans="20:20" ht="26.25">
      <c r="T2816" s="384" ph="1"/>
    </row>
    <row r="2817" spans="20:20" ht="26.25">
      <c r="T2817" s="384" ph="1"/>
    </row>
    <row r="2818" spans="20:20" ht="26.25">
      <c r="T2818" s="384" ph="1"/>
    </row>
    <row r="2819" spans="20:20" ht="26.25">
      <c r="T2819" s="384" ph="1"/>
    </row>
    <row r="2820" spans="20:20" ht="26.25">
      <c r="T2820" s="384" ph="1"/>
    </row>
    <row r="2821" spans="20:20" ht="26.25">
      <c r="T2821" s="384" ph="1"/>
    </row>
    <row r="2822" spans="20:20" ht="26.25">
      <c r="T2822" s="384" ph="1"/>
    </row>
    <row r="2823" spans="20:20" ht="26.25">
      <c r="T2823" s="384" ph="1"/>
    </row>
    <row r="2824" spans="20:20" ht="26.25">
      <c r="T2824" s="384" ph="1"/>
    </row>
    <row r="2825" spans="20:20" ht="26.25">
      <c r="T2825" s="384" ph="1"/>
    </row>
    <row r="2826" spans="20:20" ht="26.25">
      <c r="T2826" s="384" ph="1"/>
    </row>
    <row r="2827" spans="20:20" ht="26.25">
      <c r="T2827" s="384" ph="1"/>
    </row>
    <row r="2828" spans="20:20" ht="26.25">
      <c r="T2828" s="384" ph="1"/>
    </row>
    <row r="2829" spans="20:20" ht="26.25">
      <c r="T2829" s="384" ph="1"/>
    </row>
    <row r="2830" spans="20:20" ht="26.25">
      <c r="T2830" s="384" ph="1"/>
    </row>
    <row r="2831" spans="20:20" ht="26.25">
      <c r="T2831" s="384" ph="1"/>
    </row>
    <row r="2832" spans="20:20" ht="26.25">
      <c r="T2832" s="384" ph="1"/>
    </row>
    <row r="2833" spans="20:20" ht="26.25">
      <c r="T2833" s="384" ph="1"/>
    </row>
    <row r="2834" spans="20:20" ht="26.25">
      <c r="T2834" s="384" ph="1"/>
    </row>
    <row r="2835" spans="20:20" ht="26.25">
      <c r="T2835" s="384" ph="1"/>
    </row>
    <row r="2836" spans="20:20" ht="26.25">
      <c r="T2836" s="384" ph="1"/>
    </row>
    <row r="2837" spans="20:20" ht="26.25">
      <c r="T2837" s="384" ph="1"/>
    </row>
    <row r="2838" spans="20:20" ht="26.25">
      <c r="T2838" s="384" ph="1"/>
    </row>
    <row r="2839" spans="20:20" ht="26.25">
      <c r="T2839" s="384" ph="1"/>
    </row>
    <row r="2840" spans="20:20" ht="26.25">
      <c r="T2840" s="384" ph="1"/>
    </row>
    <row r="2841" spans="20:20" ht="26.25">
      <c r="T2841" s="384" ph="1"/>
    </row>
    <row r="2842" spans="20:20" ht="26.25">
      <c r="T2842" s="384" ph="1"/>
    </row>
    <row r="2843" spans="20:20" ht="26.25">
      <c r="T2843" s="384" ph="1"/>
    </row>
    <row r="2844" spans="20:20" ht="26.25">
      <c r="T2844" s="384" ph="1"/>
    </row>
    <row r="2845" spans="20:20" ht="26.25">
      <c r="T2845" s="384" ph="1"/>
    </row>
    <row r="2846" spans="20:20" ht="26.25">
      <c r="T2846" s="384" ph="1"/>
    </row>
    <row r="2847" spans="20:20" ht="26.25">
      <c r="T2847" s="384" ph="1"/>
    </row>
    <row r="2848" spans="20:20" ht="26.25">
      <c r="T2848" s="384" ph="1"/>
    </row>
    <row r="2849" spans="20:20" ht="26.25">
      <c r="T2849" s="384" ph="1"/>
    </row>
    <row r="2850" spans="20:20" ht="26.25">
      <c r="T2850" s="384" ph="1"/>
    </row>
    <row r="2851" spans="20:20" ht="26.25">
      <c r="T2851" s="384" ph="1"/>
    </row>
    <row r="2852" spans="20:20" ht="26.25">
      <c r="T2852" s="384" ph="1"/>
    </row>
    <row r="2853" spans="20:20" ht="26.25">
      <c r="T2853" s="384" ph="1"/>
    </row>
    <row r="2854" spans="20:20" ht="26.25">
      <c r="T2854" s="384" ph="1"/>
    </row>
    <row r="2855" spans="20:20" ht="26.25">
      <c r="T2855" s="384" ph="1"/>
    </row>
    <row r="2856" spans="20:20" ht="26.25">
      <c r="T2856" s="384" ph="1"/>
    </row>
    <row r="2857" spans="20:20" ht="26.25">
      <c r="T2857" s="384" ph="1"/>
    </row>
    <row r="2858" spans="20:20" ht="26.25">
      <c r="T2858" s="384" ph="1"/>
    </row>
    <row r="2859" spans="20:20" ht="26.25">
      <c r="T2859" s="384" ph="1"/>
    </row>
    <row r="2860" spans="20:20" ht="26.25">
      <c r="T2860" s="384" ph="1"/>
    </row>
    <row r="2861" spans="20:20" ht="26.25">
      <c r="T2861" s="384" ph="1"/>
    </row>
    <row r="2862" spans="20:20" ht="26.25">
      <c r="T2862" s="384" ph="1"/>
    </row>
    <row r="2863" spans="20:20" ht="26.25">
      <c r="T2863" s="384" ph="1"/>
    </row>
    <row r="2864" spans="20:20" ht="26.25">
      <c r="T2864" s="384" ph="1"/>
    </row>
    <row r="2865" spans="20:20" ht="26.25">
      <c r="T2865" s="384" ph="1"/>
    </row>
    <row r="2866" spans="20:20" ht="26.25">
      <c r="T2866" s="384" ph="1"/>
    </row>
    <row r="2867" spans="20:20" ht="26.25">
      <c r="T2867" s="384" ph="1"/>
    </row>
    <row r="2868" spans="20:20" ht="26.25">
      <c r="T2868" s="384" ph="1"/>
    </row>
    <row r="2869" spans="20:20" ht="26.25">
      <c r="T2869" s="384" ph="1"/>
    </row>
    <row r="2870" spans="20:20" ht="26.25">
      <c r="T2870" s="384" ph="1"/>
    </row>
    <row r="2871" spans="20:20" ht="26.25">
      <c r="T2871" s="384" ph="1"/>
    </row>
    <row r="2872" spans="20:20" ht="26.25">
      <c r="T2872" s="384" ph="1"/>
    </row>
    <row r="2873" spans="20:20" ht="26.25">
      <c r="T2873" s="384" ph="1"/>
    </row>
    <row r="2874" spans="20:20" ht="26.25">
      <c r="T2874" s="384" ph="1"/>
    </row>
    <row r="2875" spans="20:20" ht="26.25">
      <c r="T2875" s="384" ph="1"/>
    </row>
    <row r="2876" spans="20:20" ht="26.25">
      <c r="T2876" s="384" ph="1"/>
    </row>
    <row r="2877" spans="20:20" ht="26.25">
      <c r="T2877" s="384" ph="1"/>
    </row>
    <row r="2878" spans="20:20" ht="26.25">
      <c r="T2878" s="384" ph="1"/>
    </row>
    <row r="2879" spans="20:20" ht="26.25">
      <c r="T2879" s="384" ph="1"/>
    </row>
    <row r="2880" spans="20:20" ht="26.25">
      <c r="T2880" s="384" ph="1"/>
    </row>
    <row r="2881" spans="20:20" ht="26.25">
      <c r="T2881" s="384" ph="1"/>
    </row>
    <row r="2882" spans="20:20" ht="26.25">
      <c r="T2882" s="384" ph="1"/>
    </row>
    <row r="2883" spans="20:20" ht="26.25">
      <c r="T2883" s="384" ph="1"/>
    </row>
    <row r="2884" spans="20:20" ht="26.25">
      <c r="T2884" s="384" ph="1"/>
    </row>
    <row r="2885" spans="20:20" ht="26.25">
      <c r="T2885" s="384" ph="1"/>
    </row>
    <row r="2886" spans="20:20" ht="26.25">
      <c r="T2886" s="384" ph="1"/>
    </row>
    <row r="2887" spans="20:20" ht="26.25">
      <c r="T2887" s="384" ph="1"/>
    </row>
    <row r="2888" spans="20:20" ht="26.25">
      <c r="T2888" s="384" ph="1"/>
    </row>
    <row r="2889" spans="20:20" ht="26.25">
      <c r="T2889" s="384" ph="1"/>
    </row>
    <row r="2890" spans="20:20" ht="26.25">
      <c r="T2890" s="384" ph="1"/>
    </row>
    <row r="2891" spans="20:20" ht="26.25">
      <c r="T2891" s="384" ph="1"/>
    </row>
    <row r="2892" spans="20:20" ht="26.25">
      <c r="T2892" s="384" ph="1"/>
    </row>
    <row r="2893" spans="20:20" ht="26.25">
      <c r="T2893" s="384" ph="1"/>
    </row>
    <row r="2894" spans="20:20" ht="26.25">
      <c r="T2894" s="384" ph="1"/>
    </row>
    <row r="2895" spans="20:20" ht="26.25">
      <c r="T2895" s="384" ph="1"/>
    </row>
    <row r="2896" spans="20:20" ht="26.25">
      <c r="T2896" s="384" ph="1"/>
    </row>
    <row r="2897" spans="20:20" ht="26.25">
      <c r="T2897" s="384" ph="1"/>
    </row>
    <row r="2898" spans="20:20" ht="26.25">
      <c r="T2898" s="384" ph="1"/>
    </row>
    <row r="2899" spans="20:20" ht="26.25">
      <c r="T2899" s="384" ph="1"/>
    </row>
    <row r="2900" spans="20:20" ht="26.25">
      <c r="T2900" s="384" ph="1"/>
    </row>
    <row r="2901" spans="20:20" ht="26.25">
      <c r="T2901" s="384" ph="1"/>
    </row>
    <row r="2902" spans="20:20" ht="26.25">
      <c r="T2902" s="384" ph="1"/>
    </row>
    <row r="2903" spans="20:20" ht="26.25">
      <c r="T2903" s="384" ph="1"/>
    </row>
    <row r="2904" spans="20:20" ht="26.25">
      <c r="T2904" s="384" ph="1"/>
    </row>
    <row r="2905" spans="20:20" ht="26.25">
      <c r="T2905" s="384" ph="1"/>
    </row>
    <row r="2906" spans="20:20" ht="26.25">
      <c r="T2906" s="384" ph="1"/>
    </row>
    <row r="2907" spans="20:20" ht="26.25">
      <c r="T2907" s="384" ph="1"/>
    </row>
    <row r="2908" spans="20:20" ht="26.25">
      <c r="T2908" s="384" ph="1"/>
    </row>
    <row r="2909" spans="20:20" ht="26.25">
      <c r="T2909" s="384" ph="1"/>
    </row>
    <row r="2910" spans="20:20" ht="26.25">
      <c r="T2910" s="384" ph="1"/>
    </row>
    <row r="2911" spans="20:20" ht="26.25">
      <c r="T2911" s="384" ph="1"/>
    </row>
    <row r="2912" spans="20:20" ht="26.25">
      <c r="T2912" s="384" ph="1"/>
    </row>
    <row r="2913" spans="20:20" ht="26.25">
      <c r="T2913" s="384" ph="1"/>
    </row>
    <row r="2914" spans="20:20" ht="26.25">
      <c r="T2914" s="384" ph="1"/>
    </row>
    <row r="2915" spans="20:20" ht="26.25">
      <c r="T2915" s="384" ph="1"/>
    </row>
    <row r="2916" spans="20:20" ht="26.25">
      <c r="T2916" s="384" ph="1"/>
    </row>
    <row r="2917" spans="20:20" ht="26.25">
      <c r="T2917" s="384" ph="1"/>
    </row>
    <row r="2918" spans="20:20" ht="26.25">
      <c r="T2918" s="384" ph="1"/>
    </row>
    <row r="2919" spans="20:20" ht="26.25">
      <c r="T2919" s="384" ph="1"/>
    </row>
    <row r="2920" spans="20:20" ht="26.25">
      <c r="T2920" s="384" ph="1"/>
    </row>
    <row r="2921" spans="20:20" ht="26.25">
      <c r="T2921" s="384" ph="1"/>
    </row>
    <row r="2922" spans="20:20" ht="26.25">
      <c r="T2922" s="384" ph="1"/>
    </row>
    <row r="2923" spans="20:20" ht="26.25">
      <c r="T2923" s="384" ph="1"/>
    </row>
    <row r="2924" spans="20:20" ht="26.25">
      <c r="T2924" s="384" ph="1"/>
    </row>
    <row r="2925" spans="20:20" ht="26.25">
      <c r="T2925" s="384" ph="1"/>
    </row>
    <row r="2926" spans="20:20" ht="26.25">
      <c r="T2926" s="384" ph="1"/>
    </row>
    <row r="2927" spans="20:20" ht="26.25">
      <c r="T2927" s="384" ph="1"/>
    </row>
    <row r="2928" spans="20:20" ht="26.25">
      <c r="T2928" s="384" ph="1"/>
    </row>
    <row r="2929" spans="20:20" ht="26.25">
      <c r="T2929" s="384" ph="1"/>
    </row>
    <row r="2930" spans="20:20" ht="26.25">
      <c r="T2930" s="384" ph="1"/>
    </row>
    <row r="2931" spans="20:20" ht="26.25">
      <c r="T2931" s="384" ph="1"/>
    </row>
    <row r="2932" spans="20:20" ht="26.25">
      <c r="T2932" s="384" ph="1"/>
    </row>
    <row r="2933" spans="20:20" ht="26.25">
      <c r="T2933" s="384" ph="1"/>
    </row>
    <row r="2934" spans="20:20" ht="26.25">
      <c r="T2934" s="384" ph="1"/>
    </row>
    <row r="2935" spans="20:20" ht="26.25">
      <c r="T2935" s="384" ph="1"/>
    </row>
    <row r="2936" spans="20:20" ht="26.25">
      <c r="T2936" s="384" ph="1"/>
    </row>
    <row r="2937" spans="20:20" ht="26.25">
      <c r="T2937" s="384" ph="1"/>
    </row>
    <row r="2938" spans="20:20" ht="26.25">
      <c r="T2938" s="384" ph="1"/>
    </row>
    <row r="2939" spans="20:20" ht="26.25">
      <c r="T2939" s="384" ph="1"/>
    </row>
    <row r="2940" spans="20:20" ht="26.25">
      <c r="T2940" s="384" ph="1"/>
    </row>
    <row r="2941" spans="20:20" ht="26.25">
      <c r="T2941" s="384" ph="1"/>
    </row>
    <row r="2942" spans="20:20" ht="26.25">
      <c r="T2942" s="384" ph="1"/>
    </row>
    <row r="2943" spans="20:20" ht="26.25">
      <c r="T2943" s="384" ph="1"/>
    </row>
    <row r="2944" spans="20:20" ht="26.25">
      <c r="T2944" s="384" ph="1"/>
    </row>
    <row r="2945" spans="20:20" ht="26.25">
      <c r="T2945" s="384" ph="1"/>
    </row>
    <row r="2946" spans="20:20" ht="26.25">
      <c r="T2946" s="384" ph="1"/>
    </row>
    <row r="2947" spans="20:20" ht="26.25">
      <c r="T2947" s="384" ph="1"/>
    </row>
    <row r="2948" spans="20:20" ht="26.25">
      <c r="T2948" s="384" ph="1"/>
    </row>
    <row r="2949" spans="20:20" ht="26.25">
      <c r="T2949" s="384" ph="1"/>
    </row>
    <row r="2950" spans="20:20" ht="26.25">
      <c r="T2950" s="384" ph="1"/>
    </row>
    <row r="2951" spans="20:20" ht="26.25">
      <c r="T2951" s="384" ph="1"/>
    </row>
    <row r="2952" spans="20:20" ht="26.25">
      <c r="T2952" s="384" ph="1"/>
    </row>
    <row r="2953" spans="20:20" ht="26.25">
      <c r="T2953" s="384" ph="1"/>
    </row>
    <row r="2954" spans="20:20" ht="26.25">
      <c r="T2954" s="384" ph="1"/>
    </row>
    <row r="2955" spans="20:20" ht="26.25">
      <c r="T2955" s="384" ph="1"/>
    </row>
    <row r="2956" spans="20:20" ht="26.25">
      <c r="T2956" s="384" ph="1"/>
    </row>
    <row r="2957" spans="20:20" ht="26.25">
      <c r="T2957" s="384" ph="1"/>
    </row>
    <row r="2958" spans="20:20" ht="26.25">
      <c r="T2958" s="384" ph="1"/>
    </row>
    <row r="2959" spans="20:20" ht="26.25">
      <c r="T2959" s="384" ph="1"/>
    </row>
    <row r="2960" spans="20:20" ht="26.25">
      <c r="T2960" s="384" ph="1"/>
    </row>
    <row r="2961" spans="20:20" ht="26.25">
      <c r="T2961" s="384" ph="1"/>
    </row>
    <row r="2962" spans="20:20" ht="26.25">
      <c r="T2962" s="384" ph="1"/>
    </row>
    <row r="2963" spans="20:20" ht="26.25">
      <c r="T2963" s="384" ph="1"/>
    </row>
    <row r="2964" spans="20:20" ht="26.25">
      <c r="T2964" s="384" ph="1"/>
    </row>
    <row r="2965" spans="20:20" ht="26.25">
      <c r="T2965" s="384" ph="1"/>
    </row>
    <row r="2966" spans="20:20" ht="26.25">
      <c r="T2966" s="384" ph="1"/>
    </row>
    <row r="2967" spans="20:20" ht="26.25">
      <c r="T2967" s="384" ph="1"/>
    </row>
    <row r="2968" spans="20:20" ht="26.25">
      <c r="T2968" s="384" ph="1"/>
    </row>
    <row r="2969" spans="20:20" ht="26.25">
      <c r="T2969" s="384" ph="1"/>
    </row>
    <row r="2970" spans="20:20" ht="26.25">
      <c r="T2970" s="384" ph="1"/>
    </row>
    <row r="2971" spans="20:20" ht="26.25">
      <c r="T2971" s="384" ph="1"/>
    </row>
    <row r="2972" spans="20:20" ht="26.25">
      <c r="T2972" s="384" ph="1"/>
    </row>
    <row r="2973" spans="20:20" ht="26.25">
      <c r="T2973" s="384" ph="1"/>
    </row>
    <row r="2974" spans="20:20" ht="26.25">
      <c r="T2974" s="384" ph="1"/>
    </row>
    <row r="2975" spans="20:20" ht="26.25">
      <c r="T2975" s="384" ph="1"/>
    </row>
    <row r="2976" spans="20:20" ht="26.25">
      <c r="T2976" s="384" ph="1"/>
    </row>
    <row r="2977" spans="20:20" ht="26.25">
      <c r="T2977" s="384" ph="1"/>
    </row>
    <row r="2978" spans="20:20" ht="26.25">
      <c r="T2978" s="384" ph="1"/>
    </row>
    <row r="2979" spans="20:20" ht="26.25">
      <c r="T2979" s="384" ph="1"/>
    </row>
    <row r="2980" spans="20:20" ht="26.25">
      <c r="T2980" s="384" ph="1"/>
    </row>
    <row r="2981" spans="20:20" ht="26.25">
      <c r="T2981" s="384" ph="1"/>
    </row>
    <row r="2982" spans="20:20" ht="26.25">
      <c r="T2982" s="384" ph="1"/>
    </row>
    <row r="2983" spans="20:20" ht="26.25">
      <c r="T2983" s="384" ph="1"/>
    </row>
    <row r="2984" spans="20:20" ht="26.25">
      <c r="T2984" s="384" ph="1"/>
    </row>
    <row r="2985" spans="20:20" ht="26.25">
      <c r="T2985" s="384" ph="1"/>
    </row>
    <row r="2986" spans="20:20" ht="26.25">
      <c r="T2986" s="384" ph="1"/>
    </row>
    <row r="2987" spans="20:20" ht="26.25">
      <c r="T2987" s="384" ph="1"/>
    </row>
    <row r="2988" spans="20:20" ht="26.25">
      <c r="T2988" s="384" ph="1"/>
    </row>
    <row r="2989" spans="20:20" ht="26.25">
      <c r="T2989" s="384" ph="1"/>
    </row>
    <row r="2990" spans="20:20" ht="26.25">
      <c r="T2990" s="384" ph="1"/>
    </row>
    <row r="2991" spans="20:20" ht="26.25">
      <c r="T2991" s="384" ph="1"/>
    </row>
    <row r="2992" spans="20:20" ht="26.25">
      <c r="T2992" s="384" ph="1"/>
    </row>
    <row r="2993" spans="20:20" ht="26.25">
      <c r="T2993" s="384" ph="1"/>
    </row>
    <row r="2994" spans="20:20" ht="26.25">
      <c r="T2994" s="384" ph="1"/>
    </row>
    <row r="2995" spans="20:20" ht="26.25">
      <c r="T2995" s="384" ph="1"/>
    </row>
    <row r="2996" spans="20:20" ht="26.25">
      <c r="T2996" s="384" ph="1"/>
    </row>
    <row r="2997" spans="20:20" ht="26.25">
      <c r="T2997" s="384" ph="1"/>
    </row>
    <row r="2998" spans="20:20" ht="26.25">
      <c r="T2998" s="384" ph="1"/>
    </row>
    <row r="2999" spans="20:20" ht="26.25">
      <c r="T2999" s="384" ph="1"/>
    </row>
    <row r="3000" spans="20:20" ht="26.25">
      <c r="T3000" s="384" ph="1"/>
    </row>
    <row r="3001" spans="20:20" ht="26.25">
      <c r="T3001" s="384" ph="1"/>
    </row>
    <row r="3002" spans="20:20" ht="26.25">
      <c r="T3002" s="384" ph="1"/>
    </row>
    <row r="3003" spans="20:20" ht="26.25">
      <c r="T3003" s="384" ph="1"/>
    </row>
    <row r="3004" spans="20:20" ht="26.25">
      <c r="T3004" s="384" ph="1"/>
    </row>
    <row r="3005" spans="20:20" ht="26.25">
      <c r="T3005" s="384" ph="1"/>
    </row>
    <row r="3006" spans="20:20" ht="26.25">
      <c r="T3006" s="384" ph="1"/>
    </row>
    <row r="3007" spans="20:20" ht="26.25">
      <c r="T3007" s="384" ph="1"/>
    </row>
    <row r="3008" spans="20:20" ht="26.25">
      <c r="T3008" s="384" ph="1"/>
    </row>
    <row r="3009" spans="20:20" ht="26.25">
      <c r="T3009" s="384" ph="1"/>
    </row>
    <row r="3010" spans="20:20" ht="26.25">
      <c r="T3010" s="384" ph="1"/>
    </row>
    <row r="3011" spans="20:20" ht="26.25">
      <c r="T3011" s="384" ph="1"/>
    </row>
    <row r="3012" spans="20:20" ht="26.25">
      <c r="T3012" s="384" ph="1"/>
    </row>
    <row r="3013" spans="20:20" ht="26.25">
      <c r="T3013" s="384" ph="1"/>
    </row>
    <row r="3014" spans="20:20" ht="26.25">
      <c r="T3014" s="384" ph="1"/>
    </row>
    <row r="3015" spans="20:20" ht="26.25">
      <c r="T3015" s="384" ph="1"/>
    </row>
    <row r="3016" spans="20:20" ht="26.25">
      <c r="T3016" s="384" ph="1"/>
    </row>
    <row r="3017" spans="20:20" ht="26.25">
      <c r="T3017" s="384" ph="1"/>
    </row>
    <row r="3018" spans="20:20" ht="26.25">
      <c r="T3018" s="384" ph="1"/>
    </row>
    <row r="3019" spans="20:20" ht="26.25">
      <c r="T3019" s="384" ph="1"/>
    </row>
    <row r="3020" spans="20:20" ht="26.25">
      <c r="T3020" s="384" ph="1"/>
    </row>
    <row r="3021" spans="20:20" ht="26.25">
      <c r="T3021" s="384" ph="1"/>
    </row>
    <row r="3022" spans="20:20" ht="26.25">
      <c r="T3022" s="384" ph="1"/>
    </row>
    <row r="3023" spans="20:20" ht="26.25">
      <c r="T3023" s="384" ph="1"/>
    </row>
    <row r="3024" spans="20:20" ht="26.25">
      <c r="T3024" s="384" ph="1"/>
    </row>
    <row r="3025" spans="20:20" ht="26.25">
      <c r="T3025" s="384" ph="1"/>
    </row>
    <row r="3026" spans="20:20" ht="26.25">
      <c r="T3026" s="384" ph="1"/>
    </row>
    <row r="3027" spans="20:20" ht="26.25">
      <c r="T3027" s="384" ph="1"/>
    </row>
    <row r="3028" spans="20:20" ht="26.25">
      <c r="T3028" s="384" ph="1"/>
    </row>
    <row r="3029" spans="20:20" ht="26.25">
      <c r="T3029" s="384" ph="1"/>
    </row>
    <row r="3030" spans="20:20" ht="26.25">
      <c r="T3030" s="384" ph="1"/>
    </row>
    <row r="3031" spans="20:20" ht="26.25">
      <c r="T3031" s="384" ph="1"/>
    </row>
    <row r="3032" spans="20:20" ht="26.25">
      <c r="T3032" s="384" ph="1"/>
    </row>
    <row r="3033" spans="20:20" ht="26.25">
      <c r="T3033" s="384" ph="1"/>
    </row>
    <row r="3034" spans="20:20" ht="26.25">
      <c r="T3034" s="384" ph="1"/>
    </row>
    <row r="3035" spans="20:20" ht="26.25">
      <c r="T3035" s="384" ph="1"/>
    </row>
    <row r="3036" spans="20:20" ht="26.25">
      <c r="T3036" s="384" ph="1"/>
    </row>
    <row r="3037" spans="20:20" ht="26.25">
      <c r="T3037" s="384" ph="1"/>
    </row>
    <row r="3038" spans="20:20" ht="26.25">
      <c r="T3038" s="384" ph="1"/>
    </row>
    <row r="3039" spans="20:20" ht="26.25">
      <c r="T3039" s="384" ph="1"/>
    </row>
    <row r="3040" spans="20:20" ht="26.25">
      <c r="T3040" s="384" ph="1"/>
    </row>
    <row r="3041" spans="20:20" ht="26.25">
      <c r="T3041" s="384" ph="1"/>
    </row>
    <row r="3042" spans="20:20" ht="26.25">
      <c r="T3042" s="384" ph="1"/>
    </row>
    <row r="3043" spans="20:20" ht="26.25">
      <c r="T3043" s="384" ph="1"/>
    </row>
    <row r="3044" spans="20:20" ht="26.25">
      <c r="T3044" s="384" ph="1"/>
    </row>
    <row r="3045" spans="20:20" ht="26.25">
      <c r="T3045" s="384" ph="1"/>
    </row>
    <row r="3046" spans="20:20" ht="26.25">
      <c r="T3046" s="384" ph="1"/>
    </row>
    <row r="3047" spans="20:20" ht="26.25">
      <c r="T3047" s="384" ph="1"/>
    </row>
    <row r="3048" spans="20:20" ht="26.25">
      <c r="T3048" s="384" ph="1"/>
    </row>
    <row r="3049" spans="20:20" ht="26.25">
      <c r="T3049" s="384" ph="1"/>
    </row>
    <row r="3050" spans="20:20" ht="26.25">
      <c r="T3050" s="384" ph="1"/>
    </row>
    <row r="3051" spans="20:20" ht="26.25">
      <c r="T3051" s="384" ph="1"/>
    </row>
    <row r="3052" spans="20:20" ht="26.25">
      <c r="T3052" s="384" ph="1"/>
    </row>
    <row r="3053" spans="20:20" ht="26.25">
      <c r="T3053" s="384" ph="1"/>
    </row>
    <row r="3054" spans="20:20" ht="26.25">
      <c r="T3054" s="384" ph="1"/>
    </row>
    <row r="3055" spans="20:20" ht="26.25">
      <c r="T3055" s="384" ph="1"/>
    </row>
    <row r="3056" spans="20:20" ht="26.25">
      <c r="T3056" s="384" ph="1"/>
    </row>
    <row r="3057" spans="20:20" ht="26.25">
      <c r="T3057" s="384" ph="1"/>
    </row>
    <row r="3058" spans="20:20" ht="26.25">
      <c r="T3058" s="384" ph="1"/>
    </row>
    <row r="3059" spans="20:20" ht="26.25">
      <c r="T3059" s="384" ph="1"/>
    </row>
    <row r="3060" spans="20:20" ht="26.25">
      <c r="T3060" s="384" ph="1"/>
    </row>
    <row r="3061" spans="20:20" ht="26.25">
      <c r="T3061" s="384" ph="1"/>
    </row>
    <row r="3062" spans="20:20" ht="26.25">
      <c r="T3062" s="384" ph="1"/>
    </row>
    <row r="3063" spans="20:20" ht="26.25">
      <c r="T3063" s="384" ph="1"/>
    </row>
    <row r="3064" spans="20:20" ht="26.25">
      <c r="T3064" s="384" ph="1"/>
    </row>
    <row r="3065" spans="20:20" ht="26.25">
      <c r="T3065" s="384" ph="1"/>
    </row>
    <row r="3066" spans="20:20" ht="26.25">
      <c r="T3066" s="384" ph="1"/>
    </row>
    <row r="3067" spans="20:20" ht="26.25">
      <c r="T3067" s="384" ph="1"/>
    </row>
    <row r="3068" spans="20:20" ht="26.25">
      <c r="T3068" s="384" ph="1"/>
    </row>
    <row r="3069" spans="20:20" ht="26.25">
      <c r="T3069" s="384" ph="1"/>
    </row>
    <row r="3070" spans="20:20" ht="26.25">
      <c r="T3070" s="384" ph="1"/>
    </row>
    <row r="3071" spans="20:20" ht="26.25">
      <c r="T3071" s="384" ph="1"/>
    </row>
    <row r="3072" spans="20:20" ht="26.25">
      <c r="T3072" s="384" ph="1"/>
    </row>
    <row r="3073" spans="20:20" ht="26.25">
      <c r="T3073" s="384" ph="1"/>
    </row>
    <row r="3074" spans="20:20" ht="26.25">
      <c r="T3074" s="384" ph="1"/>
    </row>
    <row r="3075" spans="20:20" ht="26.25">
      <c r="T3075" s="384" ph="1"/>
    </row>
    <row r="3076" spans="20:20" ht="26.25">
      <c r="T3076" s="384" ph="1"/>
    </row>
    <row r="3077" spans="20:20" ht="26.25">
      <c r="T3077" s="384" ph="1"/>
    </row>
    <row r="3078" spans="20:20" ht="26.25">
      <c r="T3078" s="384" ph="1"/>
    </row>
    <row r="3079" spans="20:20" ht="26.25">
      <c r="T3079" s="384" ph="1"/>
    </row>
    <row r="3080" spans="20:20" ht="26.25">
      <c r="T3080" s="384" ph="1"/>
    </row>
    <row r="3081" spans="20:20" ht="26.25">
      <c r="T3081" s="384" ph="1"/>
    </row>
    <row r="3082" spans="20:20" ht="26.25">
      <c r="T3082" s="384" ph="1"/>
    </row>
    <row r="3083" spans="20:20" ht="26.25">
      <c r="T3083" s="384" ph="1"/>
    </row>
    <row r="3084" spans="20:20" ht="26.25">
      <c r="T3084" s="384" ph="1"/>
    </row>
    <row r="3085" spans="20:20" ht="26.25">
      <c r="T3085" s="384" ph="1"/>
    </row>
    <row r="3086" spans="20:20" ht="26.25">
      <c r="T3086" s="384" ph="1"/>
    </row>
    <row r="3087" spans="20:20" ht="26.25">
      <c r="T3087" s="384" ph="1"/>
    </row>
    <row r="3088" spans="20:20" ht="26.25">
      <c r="T3088" s="384" ph="1"/>
    </row>
    <row r="3089" spans="20:20" ht="26.25">
      <c r="T3089" s="384" ph="1"/>
    </row>
    <row r="3090" spans="20:20" ht="26.25">
      <c r="T3090" s="384" ph="1"/>
    </row>
    <row r="3091" spans="20:20" ht="26.25">
      <c r="T3091" s="384" ph="1"/>
    </row>
    <row r="3092" spans="20:20" ht="26.25">
      <c r="T3092" s="384" ph="1"/>
    </row>
    <row r="3093" spans="20:20" ht="26.25">
      <c r="T3093" s="384" ph="1"/>
    </row>
    <row r="3094" spans="20:20" ht="26.25">
      <c r="T3094" s="384" ph="1"/>
    </row>
    <row r="3095" spans="20:20" ht="26.25">
      <c r="T3095" s="384" ph="1"/>
    </row>
    <row r="3096" spans="20:20" ht="26.25">
      <c r="T3096" s="384" ph="1"/>
    </row>
    <row r="3097" spans="20:20" ht="26.25">
      <c r="T3097" s="384" ph="1"/>
    </row>
    <row r="3098" spans="20:20" ht="26.25">
      <c r="T3098" s="384" ph="1"/>
    </row>
    <row r="3099" spans="20:20" ht="26.25">
      <c r="T3099" s="384" ph="1"/>
    </row>
    <row r="3100" spans="20:20" ht="26.25">
      <c r="T3100" s="384" ph="1"/>
    </row>
    <row r="3101" spans="20:20" ht="26.25">
      <c r="T3101" s="384" ph="1"/>
    </row>
    <row r="3102" spans="20:20" ht="26.25">
      <c r="T3102" s="384" ph="1"/>
    </row>
    <row r="3103" spans="20:20" ht="26.25">
      <c r="T3103" s="384" ph="1"/>
    </row>
    <row r="3104" spans="20:20" ht="26.25">
      <c r="T3104" s="384" ph="1"/>
    </row>
    <row r="3105" spans="20:20" ht="26.25">
      <c r="T3105" s="384" ph="1"/>
    </row>
    <row r="3106" spans="20:20" ht="26.25">
      <c r="T3106" s="384" ph="1"/>
    </row>
    <row r="3107" spans="20:20" ht="26.25">
      <c r="T3107" s="384" ph="1"/>
    </row>
    <row r="3108" spans="20:20" ht="26.25">
      <c r="T3108" s="384" ph="1"/>
    </row>
    <row r="3109" spans="20:20" ht="26.25">
      <c r="T3109" s="384" ph="1"/>
    </row>
    <row r="3110" spans="20:20" ht="26.25">
      <c r="T3110" s="384" ph="1"/>
    </row>
    <row r="3111" spans="20:20" ht="26.25">
      <c r="T3111" s="384" ph="1"/>
    </row>
    <row r="3112" spans="20:20" ht="26.25">
      <c r="T3112" s="384" ph="1"/>
    </row>
    <row r="3113" spans="20:20" ht="26.25">
      <c r="T3113" s="384" ph="1"/>
    </row>
    <row r="3114" spans="20:20" ht="26.25">
      <c r="T3114" s="384" ph="1"/>
    </row>
    <row r="3115" spans="20:20" ht="26.25">
      <c r="T3115" s="384" ph="1"/>
    </row>
    <row r="3116" spans="20:20" ht="26.25">
      <c r="T3116" s="384" ph="1"/>
    </row>
    <row r="3117" spans="20:20" ht="26.25">
      <c r="T3117" s="384" ph="1"/>
    </row>
    <row r="3118" spans="20:20" ht="26.25">
      <c r="T3118" s="384" ph="1"/>
    </row>
    <row r="3119" spans="20:20" ht="26.25">
      <c r="T3119" s="384" ph="1"/>
    </row>
    <row r="3120" spans="20:20" ht="26.25">
      <c r="T3120" s="384" ph="1"/>
    </row>
    <row r="3121" spans="20:20" ht="26.25">
      <c r="T3121" s="384" ph="1"/>
    </row>
    <row r="3122" spans="20:20" ht="26.25">
      <c r="T3122" s="384" ph="1"/>
    </row>
    <row r="3123" spans="20:20" ht="26.25">
      <c r="T3123" s="384" ph="1"/>
    </row>
    <row r="3124" spans="20:20" ht="26.25">
      <c r="T3124" s="384" ph="1"/>
    </row>
    <row r="3125" spans="20:20" ht="26.25">
      <c r="T3125" s="384" ph="1"/>
    </row>
    <row r="3126" spans="20:20" ht="26.25">
      <c r="T3126" s="384" ph="1"/>
    </row>
    <row r="3127" spans="20:20" ht="26.25">
      <c r="T3127" s="384" ph="1"/>
    </row>
    <row r="3128" spans="20:20" ht="26.25">
      <c r="T3128" s="384" ph="1"/>
    </row>
    <row r="3129" spans="20:20" ht="26.25">
      <c r="T3129" s="384" ph="1"/>
    </row>
    <row r="3130" spans="20:20" ht="26.25">
      <c r="T3130" s="384" ph="1"/>
    </row>
    <row r="3131" spans="20:20" ht="26.25">
      <c r="T3131" s="384" ph="1"/>
    </row>
    <row r="3132" spans="20:20" ht="26.25">
      <c r="T3132" s="384" ph="1"/>
    </row>
    <row r="3133" spans="20:20" ht="26.25">
      <c r="T3133" s="384" ph="1"/>
    </row>
    <row r="3134" spans="20:20" ht="26.25">
      <c r="T3134" s="384" ph="1"/>
    </row>
    <row r="3135" spans="20:20" ht="26.25">
      <c r="T3135" s="384" ph="1"/>
    </row>
    <row r="3136" spans="20:20" ht="26.25">
      <c r="T3136" s="384" ph="1"/>
    </row>
    <row r="3137" spans="20:20" ht="26.25">
      <c r="T3137" s="384" ph="1"/>
    </row>
    <row r="3138" spans="20:20" ht="26.25">
      <c r="T3138" s="384" ph="1"/>
    </row>
    <row r="3139" spans="20:20" ht="26.25">
      <c r="T3139" s="384" ph="1"/>
    </row>
    <row r="3140" spans="20:20" ht="26.25">
      <c r="T3140" s="384" ph="1"/>
    </row>
    <row r="3141" spans="20:20" ht="26.25">
      <c r="T3141" s="384" ph="1"/>
    </row>
    <row r="3142" spans="20:20" ht="26.25">
      <c r="T3142" s="384" ph="1"/>
    </row>
    <row r="3143" spans="20:20" ht="26.25">
      <c r="T3143" s="384" ph="1"/>
    </row>
    <row r="3144" spans="20:20" ht="26.25">
      <c r="T3144" s="384" ph="1"/>
    </row>
    <row r="3145" spans="20:20" ht="26.25">
      <c r="T3145" s="384" ph="1"/>
    </row>
    <row r="3146" spans="20:20" ht="26.25">
      <c r="T3146" s="384" ph="1"/>
    </row>
    <row r="3147" spans="20:20" ht="26.25">
      <c r="T3147" s="384" ph="1"/>
    </row>
    <row r="3148" spans="20:20" ht="26.25">
      <c r="T3148" s="384" ph="1"/>
    </row>
    <row r="3149" spans="20:20" ht="26.25">
      <c r="T3149" s="384" ph="1"/>
    </row>
    <row r="3150" spans="20:20" ht="26.25">
      <c r="T3150" s="384" ph="1"/>
    </row>
    <row r="3151" spans="20:20" ht="26.25">
      <c r="T3151" s="384" ph="1"/>
    </row>
    <row r="3152" spans="20:20" ht="26.25">
      <c r="T3152" s="384" ph="1"/>
    </row>
    <row r="3153" spans="20:20" ht="26.25">
      <c r="T3153" s="384" ph="1"/>
    </row>
    <row r="3154" spans="20:20" ht="26.25">
      <c r="T3154" s="384" ph="1"/>
    </row>
    <row r="3155" spans="20:20" ht="26.25">
      <c r="T3155" s="384" ph="1"/>
    </row>
    <row r="3156" spans="20:20" ht="26.25">
      <c r="T3156" s="384" ph="1"/>
    </row>
    <row r="3157" spans="20:20" ht="26.25">
      <c r="T3157" s="384" ph="1"/>
    </row>
    <row r="3158" spans="20:20" ht="26.25">
      <c r="T3158" s="384" ph="1"/>
    </row>
    <row r="3159" spans="20:20" ht="26.25">
      <c r="T3159" s="384" ph="1"/>
    </row>
    <row r="3160" spans="20:20" ht="26.25">
      <c r="T3160" s="384" ph="1"/>
    </row>
    <row r="3161" spans="20:20" ht="26.25">
      <c r="T3161" s="384" ph="1"/>
    </row>
    <row r="3162" spans="20:20" ht="26.25">
      <c r="T3162" s="384" ph="1"/>
    </row>
    <row r="3163" spans="20:20" ht="26.25">
      <c r="T3163" s="384" ph="1"/>
    </row>
    <row r="3164" spans="20:20" ht="26.25">
      <c r="T3164" s="384" ph="1"/>
    </row>
    <row r="3165" spans="20:20" ht="26.25">
      <c r="T3165" s="384" ph="1"/>
    </row>
    <row r="3166" spans="20:20" ht="26.25">
      <c r="T3166" s="384" ph="1"/>
    </row>
    <row r="3167" spans="20:20" ht="26.25">
      <c r="T3167" s="384" ph="1"/>
    </row>
    <row r="3168" spans="20:20" ht="26.25">
      <c r="T3168" s="384" ph="1"/>
    </row>
    <row r="3169" spans="20:20" ht="26.25">
      <c r="T3169" s="384" ph="1"/>
    </row>
    <row r="3170" spans="20:20" ht="26.25">
      <c r="T3170" s="384" ph="1"/>
    </row>
    <row r="3171" spans="20:20" ht="26.25">
      <c r="T3171" s="384" ph="1"/>
    </row>
    <row r="3172" spans="20:20" ht="26.25">
      <c r="T3172" s="384" ph="1"/>
    </row>
    <row r="3173" spans="20:20" ht="26.25">
      <c r="T3173" s="384" ph="1"/>
    </row>
    <row r="3174" spans="20:20" ht="26.25">
      <c r="T3174" s="384" ph="1"/>
    </row>
    <row r="3175" spans="20:20" ht="26.25">
      <c r="T3175" s="384" ph="1"/>
    </row>
    <row r="3176" spans="20:20" ht="26.25">
      <c r="T3176" s="384" ph="1"/>
    </row>
    <row r="3177" spans="20:20" ht="26.25">
      <c r="T3177" s="384" ph="1"/>
    </row>
    <row r="3178" spans="20:20" ht="26.25">
      <c r="T3178" s="384" ph="1"/>
    </row>
    <row r="3179" spans="20:20" ht="26.25">
      <c r="T3179" s="384" ph="1"/>
    </row>
    <row r="3180" spans="20:20" ht="26.25">
      <c r="T3180" s="384" ph="1"/>
    </row>
    <row r="3181" spans="20:20" ht="26.25">
      <c r="T3181" s="384" ph="1"/>
    </row>
    <row r="3182" spans="20:20" ht="26.25">
      <c r="T3182" s="384" ph="1"/>
    </row>
    <row r="3183" spans="20:20" ht="26.25">
      <c r="T3183" s="384" ph="1"/>
    </row>
    <row r="3184" spans="20:20" ht="26.25">
      <c r="T3184" s="384" ph="1"/>
    </row>
    <row r="3185" spans="20:20" ht="26.25">
      <c r="T3185" s="384" ph="1"/>
    </row>
    <row r="3186" spans="20:20" ht="26.25">
      <c r="T3186" s="384" ph="1"/>
    </row>
    <row r="3187" spans="20:20" ht="26.25">
      <c r="T3187" s="384" ph="1"/>
    </row>
    <row r="3188" spans="20:20" ht="26.25">
      <c r="T3188" s="384" ph="1"/>
    </row>
    <row r="3189" spans="20:20" ht="26.25">
      <c r="T3189" s="384" ph="1"/>
    </row>
    <row r="3190" spans="20:20" ht="26.25">
      <c r="T3190" s="384" ph="1"/>
    </row>
    <row r="3191" spans="20:20" ht="26.25">
      <c r="T3191" s="384" ph="1"/>
    </row>
    <row r="3192" spans="20:20" ht="26.25">
      <c r="T3192" s="384" ph="1"/>
    </row>
    <row r="3193" spans="20:20" ht="26.25">
      <c r="T3193" s="384" ph="1"/>
    </row>
    <row r="3194" spans="20:20" ht="26.25">
      <c r="T3194" s="384" ph="1"/>
    </row>
    <row r="3195" spans="20:20" ht="26.25">
      <c r="T3195" s="384" ph="1"/>
    </row>
    <row r="3196" spans="20:20" ht="26.25">
      <c r="T3196" s="384" ph="1"/>
    </row>
    <row r="3197" spans="20:20" ht="26.25">
      <c r="T3197" s="384" ph="1"/>
    </row>
    <row r="3198" spans="20:20" ht="26.25">
      <c r="T3198" s="384" ph="1"/>
    </row>
    <row r="3199" spans="20:20" ht="26.25">
      <c r="T3199" s="384" ph="1"/>
    </row>
    <row r="3200" spans="20:20" ht="26.25">
      <c r="T3200" s="384" ph="1"/>
    </row>
    <row r="3201" spans="20:20" ht="26.25">
      <c r="T3201" s="384" ph="1"/>
    </row>
    <row r="3202" spans="20:20" ht="26.25">
      <c r="T3202" s="384" ph="1"/>
    </row>
    <row r="3203" spans="20:20" ht="26.25">
      <c r="T3203" s="384" ph="1"/>
    </row>
    <row r="3204" spans="20:20" ht="26.25">
      <c r="T3204" s="384" ph="1"/>
    </row>
    <row r="3205" spans="20:20" ht="26.25">
      <c r="T3205" s="384" ph="1"/>
    </row>
    <row r="3206" spans="20:20" ht="26.25">
      <c r="T3206" s="384" ph="1"/>
    </row>
    <row r="3207" spans="20:20" ht="26.25">
      <c r="T3207" s="384" ph="1"/>
    </row>
    <row r="3208" spans="20:20" ht="26.25">
      <c r="T3208" s="384" ph="1"/>
    </row>
    <row r="3209" spans="20:20" ht="26.25">
      <c r="T3209" s="384" ph="1"/>
    </row>
    <row r="3210" spans="20:20" ht="26.25">
      <c r="T3210" s="384" ph="1"/>
    </row>
    <row r="3211" spans="20:20" ht="26.25">
      <c r="T3211" s="384" ph="1"/>
    </row>
    <row r="3212" spans="20:20" ht="26.25">
      <c r="T3212" s="384" ph="1"/>
    </row>
    <row r="3213" spans="20:20" ht="26.25">
      <c r="T3213" s="384" ph="1"/>
    </row>
    <row r="3214" spans="20:20" ht="26.25">
      <c r="T3214" s="384" ph="1"/>
    </row>
    <row r="3215" spans="20:20" ht="26.25">
      <c r="T3215" s="384" ph="1"/>
    </row>
    <row r="3216" spans="20:20" ht="26.25">
      <c r="T3216" s="384" ph="1"/>
    </row>
    <row r="3217" spans="20:20" ht="26.25">
      <c r="T3217" s="384" ph="1"/>
    </row>
    <row r="3218" spans="20:20" ht="26.25">
      <c r="T3218" s="384" ph="1"/>
    </row>
    <row r="3219" spans="20:20" ht="26.25">
      <c r="T3219" s="384" ph="1"/>
    </row>
    <row r="3220" spans="20:20" ht="26.25">
      <c r="T3220" s="384" ph="1"/>
    </row>
    <row r="3221" spans="20:20" ht="26.25">
      <c r="T3221" s="384" ph="1"/>
    </row>
    <row r="3222" spans="20:20" ht="26.25">
      <c r="T3222" s="384" ph="1"/>
    </row>
    <row r="3223" spans="20:20" ht="26.25">
      <c r="T3223" s="384" ph="1"/>
    </row>
    <row r="3224" spans="20:20" ht="26.25">
      <c r="T3224" s="384" ph="1"/>
    </row>
    <row r="3225" spans="20:20" ht="26.25">
      <c r="T3225" s="384" ph="1"/>
    </row>
    <row r="3226" spans="20:20" ht="26.25">
      <c r="T3226" s="384" ph="1"/>
    </row>
    <row r="3227" spans="20:20" ht="26.25">
      <c r="T3227" s="384" ph="1"/>
    </row>
    <row r="3228" spans="20:20" ht="26.25">
      <c r="T3228" s="384" ph="1"/>
    </row>
    <row r="3229" spans="20:20" ht="26.25">
      <c r="T3229" s="384" ph="1"/>
    </row>
    <row r="3230" spans="20:20" ht="26.25">
      <c r="T3230" s="384" ph="1"/>
    </row>
    <row r="3231" spans="20:20" ht="26.25">
      <c r="T3231" s="384" ph="1"/>
    </row>
    <row r="3232" spans="20:20" ht="26.25">
      <c r="T3232" s="384" ph="1"/>
    </row>
    <row r="3233" spans="20:20" ht="26.25">
      <c r="T3233" s="384" ph="1"/>
    </row>
    <row r="3234" spans="20:20" ht="26.25">
      <c r="T3234" s="384" ph="1"/>
    </row>
    <row r="3235" spans="20:20" ht="26.25">
      <c r="T3235" s="384" ph="1"/>
    </row>
    <row r="3236" spans="20:20" ht="26.25">
      <c r="T3236" s="384" ph="1"/>
    </row>
    <row r="3237" spans="20:20" ht="26.25">
      <c r="T3237" s="384" ph="1"/>
    </row>
    <row r="3238" spans="20:20" ht="26.25">
      <c r="T3238" s="384" ph="1"/>
    </row>
    <row r="3239" spans="20:20" ht="26.25">
      <c r="T3239" s="384" ph="1"/>
    </row>
    <row r="3240" spans="20:20" ht="26.25">
      <c r="T3240" s="384" ph="1"/>
    </row>
    <row r="3241" spans="20:20" ht="26.25">
      <c r="T3241" s="384" ph="1"/>
    </row>
    <row r="3242" spans="20:20" ht="26.25">
      <c r="T3242" s="384" ph="1"/>
    </row>
    <row r="3243" spans="20:20" ht="26.25">
      <c r="T3243" s="384" ph="1"/>
    </row>
    <row r="3244" spans="20:20" ht="26.25">
      <c r="T3244" s="384" ph="1"/>
    </row>
    <row r="3245" spans="20:20" ht="26.25">
      <c r="T3245" s="384" ph="1"/>
    </row>
    <row r="3246" spans="20:20" ht="26.25">
      <c r="T3246" s="384" ph="1"/>
    </row>
    <row r="3247" spans="20:20" ht="26.25">
      <c r="T3247" s="384" ph="1"/>
    </row>
    <row r="3248" spans="20:20" ht="26.25">
      <c r="T3248" s="384" ph="1"/>
    </row>
    <row r="3249" spans="20:20" ht="26.25">
      <c r="T3249" s="384" ph="1"/>
    </row>
    <row r="3250" spans="20:20" ht="26.25">
      <c r="T3250" s="384" ph="1"/>
    </row>
    <row r="3251" spans="20:20" ht="26.25">
      <c r="T3251" s="384" ph="1"/>
    </row>
    <row r="3252" spans="20:20" ht="26.25">
      <c r="T3252" s="384" ph="1"/>
    </row>
    <row r="3253" spans="20:20" ht="26.25">
      <c r="T3253" s="384" ph="1"/>
    </row>
    <row r="3254" spans="20:20" ht="26.25">
      <c r="T3254" s="384" ph="1"/>
    </row>
    <row r="3255" spans="20:20" ht="26.25">
      <c r="T3255" s="384" ph="1"/>
    </row>
    <row r="3256" spans="20:20" ht="26.25">
      <c r="T3256" s="384" ph="1"/>
    </row>
    <row r="3257" spans="20:20" ht="26.25">
      <c r="T3257" s="384" ph="1"/>
    </row>
    <row r="3258" spans="20:20" ht="26.25">
      <c r="T3258" s="384" ph="1"/>
    </row>
    <row r="3259" spans="20:20" ht="26.25">
      <c r="T3259" s="384" ph="1"/>
    </row>
    <row r="3260" spans="20:20" ht="26.25">
      <c r="T3260" s="384" ph="1"/>
    </row>
    <row r="3261" spans="20:20" ht="26.25">
      <c r="T3261" s="384" ph="1"/>
    </row>
    <row r="3262" spans="20:20" ht="26.25">
      <c r="T3262" s="384" ph="1"/>
    </row>
    <row r="3263" spans="20:20" ht="26.25">
      <c r="T3263" s="384" ph="1"/>
    </row>
    <row r="3264" spans="20:20" ht="26.25">
      <c r="T3264" s="384" ph="1"/>
    </row>
    <row r="3265" spans="20:20" ht="26.25">
      <c r="T3265" s="384" ph="1"/>
    </row>
    <row r="3266" spans="20:20" ht="26.25">
      <c r="T3266" s="384" ph="1"/>
    </row>
    <row r="3267" spans="20:20" ht="26.25">
      <c r="T3267" s="384" ph="1"/>
    </row>
    <row r="3268" spans="20:20" ht="26.25">
      <c r="T3268" s="384" ph="1"/>
    </row>
    <row r="3269" spans="20:20" ht="26.25">
      <c r="T3269" s="384" ph="1"/>
    </row>
    <row r="3270" spans="20:20" ht="26.25">
      <c r="T3270" s="384" ph="1"/>
    </row>
    <row r="3271" spans="20:20" ht="26.25">
      <c r="T3271" s="384" ph="1"/>
    </row>
    <row r="3272" spans="20:20" ht="26.25">
      <c r="T3272" s="384" ph="1"/>
    </row>
    <row r="3273" spans="20:20" ht="26.25">
      <c r="T3273" s="384" ph="1"/>
    </row>
    <row r="3274" spans="20:20" ht="26.25">
      <c r="T3274" s="384" ph="1"/>
    </row>
    <row r="3275" spans="20:20" ht="26.25">
      <c r="T3275" s="384" ph="1"/>
    </row>
    <row r="3276" spans="20:20" ht="26.25">
      <c r="T3276" s="384" ph="1"/>
    </row>
    <row r="3277" spans="20:20" ht="26.25">
      <c r="T3277" s="384" ph="1"/>
    </row>
    <row r="3278" spans="20:20" ht="26.25">
      <c r="T3278" s="384" ph="1"/>
    </row>
    <row r="3279" spans="20:20" ht="26.25">
      <c r="T3279" s="384" ph="1"/>
    </row>
    <row r="3280" spans="20:20" ht="26.25">
      <c r="T3280" s="384" ph="1"/>
    </row>
    <row r="3281" spans="20:20" ht="26.25">
      <c r="T3281" s="384" ph="1"/>
    </row>
    <row r="3282" spans="20:20" ht="26.25">
      <c r="T3282" s="384" ph="1"/>
    </row>
    <row r="3283" spans="20:20" ht="26.25">
      <c r="T3283" s="384" ph="1"/>
    </row>
    <row r="3284" spans="20:20" ht="26.25">
      <c r="T3284" s="384" ph="1"/>
    </row>
    <row r="3285" spans="20:20" ht="26.25">
      <c r="T3285" s="384" ph="1"/>
    </row>
    <row r="3286" spans="20:20" ht="26.25">
      <c r="T3286" s="384" ph="1"/>
    </row>
    <row r="3287" spans="20:20" ht="26.25">
      <c r="T3287" s="384" ph="1"/>
    </row>
    <row r="3288" spans="20:20" ht="26.25">
      <c r="T3288" s="384" ph="1"/>
    </row>
    <row r="3289" spans="20:20" ht="26.25">
      <c r="T3289" s="384" ph="1"/>
    </row>
    <row r="3290" spans="20:20" ht="26.25">
      <c r="T3290" s="384" ph="1"/>
    </row>
    <row r="3291" spans="20:20" ht="26.25">
      <c r="T3291" s="384" ph="1"/>
    </row>
    <row r="3292" spans="20:20" ht="26.25">
      <c r="T3292" s="384" ph="1"/>
    </row>
    <row r="3293" spans="20:20" ht="26.25">
      <c r="T3293" s="384" ph="1"/>
    </row>
    <row r="3294" spans="20:20" ht="26.25">
      <c r="T3294" s="384" ph="1"/>
    </row>
    <row r="3295" spans="20:20" ht="26.25">
      <c r="T3295" s="384" ph="1"/>
    </row>
    <row r="3296" spans="20:20" ht="26.25">
      <c r="T3296" s="384" ph="1"/>
    </row>
    <row r="3297" spans="20:20" ht="26.25">
      <c r="T3297" s="384" ph="1"/>
    </row>
    <row r="3298" spans="20:20" ht="26.25">
      <c r="T3298" s="384" ph="1"/>
    </row>
    <row r="3299" spans="20:20" ht="26.25">
      <c r="T3299" s="384" ph="1"/>
    </row>
    <row r="3300" spans="20:20" ht="26.25">
      <c r="T3300" s="384" ph="1"/>
    </row>
    <row r="3301" spans="20:20" ht="26.25">
      <c r="T3301" s="384" ph="1"/>
    </row>
    <row r="3302" spans="20:20" ht="26.25">
      <c r="T3302" s="384" ph="1"/>
    </row>
    <row r="3303" spans="20:20" ht="26.25">
      <c r="T3303" s="384" ph="1"/>
    </row>
    <row r="3304" spans="20:20" ht="26.25">
      <c r="T3304" s="384" ph="1"/>
    </row>
    <row r="3305" spans="20:20" ht="26.25">
      <c r="T3305" s="384" ph="1"/>
    </row>
    <row r="3306" spans="20:20" ht="26.25">
      <c r="T3306" s="384" ph="1"/>
    </row>
    <row r="3307" spans="20:20" ht="26.25">
      <c r="T3307" s="384" ph="1"/>
    </row>
    <row r="3308" spans="20:20" ht="26.25">
      <c r="T3308" s="384" ph="1"/>
    </row>
    <row r="3309" spans="20:20" ht="26.25">
      <c r="T3309" s="384" ph="1"/>
    </row>
    <row r="3310" spans="20:20" ht="26.25">
      <c r="T3310" s="384" ph="1"/>
    </row>
    <row r="3311" spans="20:20" ht="26.25">
      <c r="T3311" s="384" ph="1"/>
    </row>
    <row r="3312" spans="20:20" ht="26.25">
      <c r="T3312" s="384" ph="1"/>
    </row>
    <row r="3313" spans="20:20" ht="26.25">
      <c r="T3313" s="384" ph="1"/>
    </row>
    <row r="3314" spans="20:20" ht="26.25">
      <c r="T3314" s="384" ph="1"/>
    </row>
    <row r="3315" spans="20:20" ht="26.25">
      <c r="T3315" s="384" ph="1"/>
    </row>
    <row r="3316" spans="20:20" ht="26.25">
      <c r="T3316" s="384" ph="1"/>
    </row>
    <row r="3317" spans="20:20" ht="26.25">
      <c r="T3317" s="384" ph="1"/>
    </row>
    <row r="3318" spans="20:20" ht="26.25">
      <c r="T3318" s="384" ph="1"/>
    </row>
    <row r="3319" spans="20:20" ht="26.25">
      <c r="T3319" s="384" ph="1"/>
    </row>
    <row r="3320" spans="20:20" ht="26.25">
      <c r="T3320" s="384" ph="1"/>
    </row>
    <row r="3321" spans="20:20" ht="26.25">
      <c r="T3321" s="384" ph="1"/>
    </row>
    <row r="3322" spans="20:20" ht="26.25">
      <c r="T3322" s="384" ph="1"/>
    </row>
    <row r="3323" spans="20:20" ht="26.25">
      <c r="T3323" s="384" ph="1"/>
    </row>
    <row r="3324" spans="20:20" ht="26.25">
      <c r="T3324" s="384" ph="1"/>
    </row>
    <row r="3325" spans="20:20" ht="26.25">
      <c r="T3325" s="384" ph="1"/>
    </row>
    <row r="3326" spans="20:20" ht="26.25">
      <c r="T3326" s="384" ph="1"/>
    </row>
    <row r="3327" spans="20:20" ht="26.25">
      <c r="T3327" s="384" ph="1"/>
    </row>
    <row r="3328" spans="20:20" ht="26.25">
      <c r="T3328" s="384" ph="1"/>
    </row>
    <row r="3329" spans="20:20" ht="26.25">
      <c r="T3329" s="384" ph="1"/>
    </row>
    <row r="3330" spans="20:20" ht="26.25">
      <c r="T3330" s="384" ph="1"/>
    </row>
    <row r="3331" spans="20:20" ht="26.25">
      <c r="T3331" s="384" ph="1"/>
    </row>
    <row r="3332" spans="20:20" ht="26.25">
      <c r="T3332" s="384" ph="1"/>
    </row>
    <row r="3333" spans="20:20" ht="26.25">
      <c r="T3333" s="384" ph="1"/>
    </row>
    <row r="3334" spans="20:20" ht="26.25">
      <c r="T3334" s="384" ph="1"/>
    </row>
    <row r="3335" spans="20:20" ht="26.25">
      <c r="T3335" s="384" ph="1"/>
    </row>
    <row r="3336" spans="20:20" ht="26.25">
      <c r="T3336" s="384" ph="1"/>
    </row>
    <row r="3337" spans="20:20" ht="26.25">
      <c r="T3337" s="384" ph="1"/>
    </row>
    <row r="3338" spans="20:20" ht="26.25">
      <c r="T3338" s="384" ph="1"/>
    </row>
    <row r="3339" spans="20:20" ht="26.25">
      <c r="T3339" s="384" ph="1"/>
    </row>
    <row r="3340" spans="20:20" ht="26.25">
      <c r="T3340" s="384" ph="1"/>
    </row>
    <row r="3341" spans="20:20" ht="26.25">
      <c r="T3341" s="384" ph="1"/>
    </row>
    <row r="3342" spans="20:20" ht="26.25">
      <c r="T3342" s="384" ph="1"/>
    </row>
    <row r="3343" spans="20:20" ht="26.25">
      <c r="T3343" s="384" ph="1"/>
    </row>
    <row r="3344" spans="20:20" ht="26.25">
      <c r="T3344" s="384" ph="1"/>
    </row>
    <row r="3345" spans="20:20" ht="26.25">
      <c r="T3345" s="384" ph="1"/>
    </row>
    <row r="3346" spans="20:20" ht="26.25">
      <c r="T3346" s="384" ph="1"/>
    </row>
    <row r="3347" spans="20:20" ht="26.25">
      <c r="T3347" s="384" ph="1"/>
    </row>
    <row r="3348" spans="20:20" ht="26.25">
      <c r="T3348" s="384" ph="1"/>
    </row>
    <row r="3349" spans="20:20" ht="26.25">
      <c r="T3349" s="384" ph="1"/>
    </row>
    <row r="3350" spans="20:20" ht="26.25">
      <c r="T3350" s="384" ph="1"/>
    </row>
    <row r="3351" spans="20:20" ht="26.25">
      <c r="T3351" s="384" ph="1"/>
    </row>
    <row r="3352" spans="20:20" ht="26.25">
      <c r="T3352" s="384" ph="1"/>
    </row>
    <row r="3353" spans="20:20" ht="26.25">
      <c r="T3353" s="384" ph="1"/>
    </row>
    <row r="3354" spans="20:20" ht="26.25">
      <c r="T3354" s="384" ph="1"/>
    </row>
    <row r="3355" spans="20:20" ht="26.25">
      <c r="T3355" s="384" ph="1"/>
    </row>
    <row r="3356" spans="20:20" ht="26.25">
      <c r="T3356" s="384" ph="1"/>
    </row>
    <row r="3357" spans="20:20" ht="26.25">
      <c r="T3357" s="384" ph="1"/>
    </row>
    <row r="3358" spans="20:20" ht="26.25">
      <c r="T3358" s="384" ph="1"/>
    </row>
    <row r="3359" spans="20:20" ht="26.25">
      <c r="T3359" s="384" ph="1"/>
    </row>
    <row r="3360" spans="20:20" ht="26.25">
      <c r="T3360" s="384" ph="1"/>
    </row>
    <row r="3361" spans="20:20" ht="26.25">
      <c r="T3361" s="384" ph="1"/>
    </row>
    <row r="3362" spans="20:20" ht="26.25">
      <c r="T3362" s="384" ph="1"/>
    </row>
    <row r="3363" spans="20:20" ht="26.25">
      <c r="T3363" s="384" ph="1"/>
    </row>
    <row r="3364" spans="20:20" ht="26.25">
      <c r="T3364" s="384" ph="1"/>
    </row>
    <row r="3365" spans="20:20" ht="26.25">
      <c r="T3365" s="384" ph="1"/>
    </row>
    <row r="3366" spans="20:20" ht="26.25">
      <c r="T3366" s="384" ph="1"/>
    </row>
    <row r="3367" spans="20:20" ht="26.25">
      <c r="T3367" s="384" ph="1"/>
    </row>
    <row r="3368" spans="20:20" ht="26.25">
      <c r="T3368" s="384" ph="1"/>
    </row>
    <row r="3369" spans="20:20" ht="26.25">
      <c r="T3369" s="384" ph="1"/>
    </row>
    <row r="3370" spans="20:20" ht="26.25">
      <c r="T3370" s="384" ph="1"/>
    </row>
    <row r="3371" spans="20:20" ht="26.25">
      <c r="T3371" s="384" ph="1"/>
    </row>
    <row r="3372" spans="20:20" ht="26.25">
      <c r="T3372" s="384" ph="1"/>
    </row>
    <row r="3373" spans="20:20" ht="26.25">
      <c r="T3373" s="384" ph="1"/>
    </row>
    <row r="3374" spans="20:20" ht="26.25">
      <c r="T3374" s="384" ph="1"/>
    </row>
    <row r="3375" spans="20:20" ht="26.25">
      <c r="T3375" s="384" ph="1"/>
    </row>
    <row r="3376" spans="20:20" ht="26.25">
      <c r="T3376" s="384" ph="1"/>
    </row>
    <row r="3377" spans="20:20" ht="26.25">
      <c r="T3377" s="384" ph="1"/>
    </row>
    <row r="3378" spans="20:20" ht="26.25">
      <c r="T3378" s="384" ph="1"/>
    </row>
    <row r="3379" spans="20:20" ht="26.25">
      <c r="T3379" s="384" ph="1"/>
    </row>
    <row r="3380" spans="20:20" ht="26.25">
      <c r="T3380" s="384" ph="1"/>
    </row>
    <row r="3381" spans="20:20" ht="26.25">
      <c r="T3381" s="384" ph="1"/>
    </row>
    <row r="3382" spans="20:20" ht="26.25">
      <c r="T3382" s="384" ph="1"/>
    </row>
    <row r="3383" spans="20:20" ht="26.25">
      <c r="T3383" s="384" ph="1"/>
    </row>
    <row r="3384" spans="20:20" ht="26.25">
      <c r="T3384" s="384" ph="1"/>
    </row>
    <row r="3385" spans="20:20" ht="26.25">
      <c r="T3385" s="384" ph="1"/>
    </row>
    <row r="3386" spans="20:20" ht="26.25">
      <c r="T3386" s="384" ph="1"/>
    </row>
    <row r="3387" spans="20:20" ht="26.25">
      <c r="T3387" s="384" ph="1"/>
    </row>
    <row r="3388" spans="20:20" ht="26.25">
      <c r="T3388" s="384" ph="1"/>
    </row>
    <row r="3389" spans="20:20" ht="26.25">
      <c r="T3389" s="384" ph="1"/>
    </row>
    <row r="3390" spans="20:20" ht="26.25">
      <c r="T3390" s="384" ph="1"/>
    </row>
    <row r="3391" spans="20:20" ht="26.25">
      <c r="T3391" s="384" ph="1"/>
    </row>
    <row r="3392" spans="20:20" ht="26.25">
      <c r="T3392" s="384" ph="1"/>
    </row>
    <row r="3393" spans="20:20" ht="26.25">
      <c r="T3393" s="384" ph="1"/>
    </row>
    <row r="3394" spans="20:20" ht="26.25">
      <c r="T3394" s="384" ph="1"/>
    </row>
    <row r="3395" spans="20:20" ht="26.25">
      <c r="T3395" s="384" ph="1"/>
    </row>
    <row r="3396" spans="20:20" ht="26.25">
      <c r="T3396" s="384" ph="1"/>
    </row>
    <row r="3397" spans="20:20" ht="26.25">
      <c r="T3397" s="384" ph="1"/>
    </row>
    <row r="3398" spans="20:20" ht="26.25">
      <c r="T3398" s="384" ph="1"/>
    </row>
    <row r="3399" spans="20:20" ht="26.25">
      <c r="T3399" s="384" ph="1"/>
    </row>
    <row r="3400" spans="20:20" ht="26.25">
      <c r="T3400" s="384" ph="1"/>
    </row>
    <row r="3401" spans="20:20" ht="26.25">
      <c r="T3401" s="384" ph="1"/>
    </row>
    <row r="3402" spans="20:20" ht="26.25">
      <c r="T3402" s="384" ph="1"/>
    </row>
    <row r="3403" spans="20:20" ht="26.25">
      <c r="T3403" s="384" ph="1"/>
    </row>
    <row r="3404" spans="20:20" ht="26.25">
      <c r="T3404" s="384" ph="1"/>
    </row>
    <row r="3405" spans="20:20" ht="26.25">
      <c r="T3405" s="384" ph="1"/>
    </row>
    <row r="3406" spans="20:20" ht="26.25">
      <c r="T3406" s="384" ph="1"/>
    </row>
    <row r="3407" spans="20:20" ht="26.25">
      <c r="T3407" s="384" ph="1"/>
    </row>
    <row r="3408" spans="20:20" ht="26.25">
      <c r="T3408" s="384" ph="1"/>
    </row>
    <row r="3409" spans="20:20" ht="26.25">
      <c r="T3409" s="384" ph="1"/>
    </row>
    <row r="3410" spans="20:20" ht="26.25">
      <c r="T3410" s="384" ph="1"/>
    </row>
    <row r="3411" spans="20:20" ht="26.25">
      <c r="T3411" s="384" ph="1"/>
    </row>
    <row r="3412" spans="20:20" ht="26.25">
      <c r="T3412" s="384" ph="1"/>
    </row>
    <row r="3413" spans="20:20" ht="26.25">
      <c r="T3413" s="384" ph="1"/>
    </row>
    <row r="3414" spans="20:20" ht="26.25">
      <c r="T3414" s="384" ph="1"/>
    </row>
    <row r="3415" spans="20:20" ht="26.25">
      <c r="T3415" s="384" ph="1"/>
    </row>
    <row r="3416" spans="20:20" ht="26.25">
      <c r="T3416" s="384" ph="1"/>
    </row>
    <row r="3417" spans="20:20" ht="26.25">
      <c r="T3417" s="384" ph="1"/>
    </row>
    <row r="3418" spans="20:20" ht="26.25">
      <c r="T3418" s="384" ph="1"/>
    </row>
    <row r="3419" spans="20:20" ht="26.25">
      <c r="T3419" s="384" ph="1"/>
    </row>
    <row r="3420" spans="20:20" ht="26.25">
      <c r="T3420" s="384" ph="1"/>
    </row>
    <row r="3421" spans="20:20" ht="26.25">
      <c r="T3421" s="384" ph="1"/>
    </row>
    <row r="3422" spans="20:20" ht="26.25">
      <c r="T3422" s="384" ph="1"/>
    </row>
    <row r="3423" spans="20:20" ht="26.25">
      <c r="T3423" s="384" ph="1"/>
    </row>
    <row r="3424" spans="20:20" ht="26.25">
      <c r="T3424" s="384" ph="1"/>
    </row>
    <row r="3425" spans="20:20" ht="26.25">
      <c r="T3425" s="384" ph="1"/>
    </row>
    <row r="3426" spans="20:20" ht="26.25">
      <c r="T3426" s="384" ph="1"/>
    </row>
    <row r="3427" spans="20:20" ht="26.25">
      <c r="T3427" s="384" ph="1"/>
    </row>
    <row r="3428" spans="20:20" ht="26.25">
      <c r="T3428" s="384" ph="1"/>
    </row>
    <row r="3429" spans="20:20" ht="26.25">
      <c r="T3429" s="384" ph="1"/>
    </row>
    <row r="3430" spans="20:20" ht="26.25">
      <c r="T3430" s="384" ph="1"/>
    </row>
    <row r="3431" spans="20:20" ht="26.25">
      <c r="T3431" s="384" ph="1"/>
    </row>
    <row r="3432" spans="20:20" ht="26.25">
      <c r="T3432" s="384" ph="1"/>
    </row>
    <row r="3433" spans="20:20" ht="26.25">
      <c r="T3433" s="384" ph="1"/>
    </row>
    <row r="3434" spans="20:20" ht="26.25">
      <c r="T3434" s="384" ph="1"/>
    </row>
    <row r="3435" spans="20:20" ht="26.25">
      <c r="T3435" s="384" ph="1"/>
    </row>
    <row r="3436" spans="20:20" ht="26.25">
      <c r="T3436" s="384" ph="1"/>
    </row>
    <row r="3437" spans="20:20" ht="26.25">
      <c r="T3437" s="384" ph="1"/>
    </row>
    <row r="3438" spans="20:20" ht="26.25">
      <c r="T3438" s="384" ph="1"/>
    </row>
    <row r="3439" spans="20:20" ht="26.25">
      <c r="T3439" s="384" ph="1"/>
    </row>
    <row r="3440" spans="20:20" ht="26.25">
      <c r="T3440" s="384" ph="1"/>
    </row>
    <row r="3441" spans="20:20" ht="26.25">
      <c r="T3441" s="384" ph="1"/>
    </row>
    <row r="3442" spans="20:20" ht="26.25">
      <c r="T3442" s="384" ph="1"/>
    </row>
    <row r="3443" spans="20:20" ht="26.25">
      <c r="T3443" s="384" ph="1"/>
    </row>
    <row r="3444" spans="20:20" ht="26.25">
      <c r="T3444" s="384" ph="1"/>
    </row>
    <row r="3445" spans="20:20" ht="26.25">
      <c r="T3445" s="384" ph="1"/>
    </row>
    <row r="3446" spans="20:20" ht="26.25">
      <c r="T3446" s="384" ph="1"/>
    </row>
    <row r="3447" spans="20:20" ht="26.25">
      <c r="T3447" s="384" ph="1"/>
    </row>
    <row r="3448" spans="20:20" ht="26.25">
      <c r="T3448" s="384" ph="1"/>
    </row>
    <row r="3449" spans="20:20" ht="26.25">
      <c r="T3449" s="384" ph="1"/>
    </row>
    <row r="3450" spans="20:20" ht="26.25">
      <c r="T3450" s="384" ph="1"/>
    </row>
    <row r="3451" spans="20:20" ht="26.25">
      <c r="T3451" s="384" ph="1"/>
    </row>
    <row r="3452" spans="20:20" ht="26.25">
      <c r="T3452" s="384" ph="1"/>
    </row>
    <row r="3453" spans="20:20" ht="26.25">
      <c r="T3453" s="384" ph="1"/>
    </row>
    <row r="3454" spans="20:20" ht="26.25">
      <c r="T3454" s="384" ph="1"/>
    </row>
    <row r="3455" spans="20:20" ht="26.25">
      <c r="T3455" s="384" ph="1"/>
    </row>
    <row r="3456" spans="20:20" ht="26.25">
      <c r="T3456" s="384" ph="1"/>
    </row>
    <row r="3457" spans="20:20" ht="26.25">
      <c r="T3457" s="384" ph="1"/>
    </row>
    <row r="3458" spans="20:20" ht="26.25">
      <c r="T3458" s="384" ph="1"/>
    </row>
    <row r="3459" spans="20:20" ht="26.25">
      <c r="T3459" s="384" ph="1"/>
    </row>
    <row r="3460" spans="20:20" ht="26.25">
      <c r="T3460" s="384" ph="1"/>
    </row>
    <row r="3461" spans="20:20" ht="26.25">
      <c r="T3461" s="384" ph="1"/>
    </row>
    <row r="3462" spans="20:20" ht="26.25">
      <c r="T3462" s="384" ph="1"/>
    </row>
    <row r="3463" spans="20:20" ht="26.25">
      <c r="T3463" s="384" ph="1"/>
    </row>
    <row r="3464" spans="20:20" ht="26.25">
      <c r="T3464" s="384" ph="1"/>
    </row>
    <row r="3465" spans="20:20" ht="26.25">
      <c r="T3465" s="384" ph="1"/>
    </row>
    <row r="3466" spans="20:20" ht="26.25">
      <c r="T3466" s="384" ph="1"/>
    </row>
    <row r="3467" spans="20:20" ht="26.25">
      <c r="T3467" s="384" ph="1"/>
    </row>
    <row r="3468" spans="20:20" ht="26.25">
      <c r="T3468" s="384" ph="1"/>
    </row>
    <row r="3469" spans="20:20" ht="26.25">
      <c r="T3469" s="384" ph="1"/>
    </row>
    <row r="3470" spans="20:20" ht="26.25">
      <c r="T3470" s="384" ph="1"/>
    </row>
    <row r="3471" spans="20:20" ht="26.25">
      <c r="T3471" s="384" ph="1"/>
    </row>
    <row r="3472" spans="20:20" ht="26.25">
      <c r="T3472" s="384" ph="1"/>
    </row>
    <row r="3473" spans="20:20" ht="26.25">
      <c r="T3473" s="384" ph="1"/>
    </row>
    <row r="3474" spans="20:20" ht="26.25">
      <c r="T3474" s="384" ph="1"/>
    </row>
    <row r="3475" spans="20:20" ht="26.25">
      <c r="T3475" s="384" ph="1"/>
    </row>
    <row r="3476" spans="20:20" ht="26.25">
      <c r="T3476" s="384" ph="1"/>
    </row>
    <row r="3477" spans="20:20" ht="26.25">
      <c r="T3477" s="384" ph="1"/>
    </row>
    <row r="3478" spans="20:20" ht="26.25">
      <c r="T3478" s="384" ph="1"/>
    </row>
    <row r="3479" spans="20:20" ht="26.25">
      <c r="T3479" s="384" ph="1"/>
    </row>
    <row r="3480" spans="20:20" ht="26.25">
      <c r="T3480" s="384" ph="1"/>
    </row>
    <row r="3481" spans="20:20" ht="26.25">
      <c r="T3481" s="384" ph="1"/>
    </row>
    <row r="3482" spans="20:20" ht="26.25">
      <c r="T3482" s="384" ph="1"/>
    </row>
    <row r="3483" spans="20:20" ht="26.25">
      <c r="T3483" s="384" ph="1"/>
    </row>
    <row r="3484" spans="20:20" ht="26.25">
      <c r="T3484" s="384" ph="1"/>
    </row>
    <row r="3485" spans="20:20" ht="26.25">
      <c r="T3485" s="384" ph="1"/>
    </row>
    <row r="3486" spans="20:20" ht="26.25">
      <c r="T3486" s="384" ph="1"/>
    </row>
    <row r="3487" spans="20:20" ht="26.25">
      <c r="T3487" s="384" ph="1"/>
    </row>
    <row r="3488" spans="20:20" ht="26.25">
      <c r="T3488" s="384" ph="1"/>
    </row>
    <row r="3489" spans="20:20" ht="26.25">
      <c r="T3489" s="384" ph="1"/>
    </row>
    <row r="3490" spans="20:20" ht="26.25">
      <c r="T3490" s="384" ph="1"/>
    </row>
    <row r="3491" spans="20:20" ht="26.25">
      <c r="T3491" s="384" ph="1"/>
    </row>
    <row r="3492" spans="20:20" ht="26.25">
      <c r="T3492" s="384" ph="1"/>
    </row>
    <row r="3493" spans="20:20" ht="26.25">
      <c r="T3493" s="384" ph="1"/>
    </row>
    <row r="3494" spans="20:20" ht="26.25">
      <c r="T3494" s="384" ph="1"/>
    </row>
    <row r="3495" spans="20:20" ht="26.25">
      <c r="T3495" s="384" ph="1"/>
    </row>
    <row r="3496" spans="20:20" ht="26.25">
      <c r="T3496" s="384" ph="1"/>
    </row>
    <row r="3497" spans="20:20" ht="26.25">
      <c r="T3497" s="384" ph="1"/>
    </row>
    <row r="3498" spans="20:20" ht="26.25">
      <c r="T3498" s="384" ph="1"/>
    </row>
    <row r="3499" spans="20:20" ht="26.25">
      <c r="T3499" s="384" ph="1"/>
    </row>
    <row r="3500" spans="20:20" ht="26.25">
      <c r="T3500" s="384" ph="1"/>
    </row>
    <row r="3501" spans="20:20" ht="26.25">
      <c r="T3501" s="384" ph="1"/>
    </row>
    <row r="3502" spans="20:20" ht="26.25">
      <c r="T3502" s="384" ph="1"/>
    </row>
    <row r="3503" spans="20:20" ht="26.25">
      <c r="T3503" s="384" ph="1"/>
    </row>
    <row r="3504" spans="20:20" ht="26.25">
      <c r="T3504" s="384" ph="1"/>
    </row>
    <row r="3505" spans="20:20" ht="26.25">
      <c r="T3505" s="384" ph="1"/>
    </row>
    <row r="3506" spans="20:20" ht="26.25">
      <c r="T3506" s="384" ph="1"/>
    </row>
    <row r="3507" spans="20:20" ht="26.25">
      <c r="T3507" s="384" ph="1"/>
    </row>
    <row r="3508" spans="20:20" ht="26.25">
      <c r="T3508" s="384" ph="1"/>
    </row>
    <row r="3509" spans="20:20" ht="26.25">
      <c r="T3509" s="384" ph="1"/>
    </row>
    <row r="3510" spans="20:20" ht="26.25">
      <c r="T3510" s="384" ph="1"/>
    </row>
    <row r="3511" spans="20:20" ht="26.25">
      <c r="T3511" s="384" ph="1"/>
    </row>
    <row r="3512" spans="20:20" ht="26.25">
      <c r="T3512" s="384" ph="1"/>
    </row>
    <row r="3513" spans="20:20" ht="26.25">
      <c r="T3513" s="384" ph="1"/>
    </row>
    <row r="3514" spans="20:20" ht="26.25">
      <c r="T3514" s="384" ph="1"/>
    </row>
    <row r="3515" spans="20:20" ht="26.25">
      <c r="T3515" s="384" ph="1"/>
    </row>
    <row r="3516" spans="20:20" ht="26.25">
      <c r="T3516" s="384" ph="1"/>
    </row>
    <row r="3517" spans="20:20" ht="26.25">
      <c r="T3517" s="384" ph="1"/>
    </row>
    <row r="3518" spans="20:20" ht="26.25">
      <c r="T3518" s="384" ph="1"/>
    </row>
    <row r="3519" spans="20:20" ht="26.25">
      <c r="T3519" s="384" ph="1"/>
    </row>
    <row r="3520" spans="20:20" ht="26.25">
      <c r="T3520" s="384" ph="1"/>
    </row>
    <row r="3521" spans="20:20" ht="26.25">
      <c r="T3521" s="384" ph="1"/>
    </row>
    <row r="3522" spans="20:20" ht="26.25">
      <c r="T3522" s="384" ph="1"/>
    </row>
    <row r="3523" spans="20:20" ht="26.25">
      <c r="T3523" s="384" ph="1"/>
    </row>
    <row r="3524" spans="20:20" ht="26.25">
      <c r="T3524" s="384" ph="1"/>
    </row>
    <row r="3525" spans="20:20" ht="26.25">
      <c r="T3525" s="384" ph="1"/>
    </row>
    <row r="3526" spans="20:20" ht="26.25">
      <c r="T3526" s="384" ph="1"/>
    </row>
    <row r="3527" spans="20:20" ht="26.25">
      <c r="T3527" s="384" ph="1"/>
    </row>
    <row r="3528" spans="20:20" ht="26.25">
      <c r="T3528" s="384" ph="1"/>
    </row>
    <row r="3529" spans="20:20" ht="26.25">
      <c r="T3529" s="384" ph="1"/>
    </row>
    <row r="3530" spans="20:20" ht="26.25">
      <c r="T3530" s="384" ph="1"/>
    </row>
    <row r="3531" spans="20:20" ht="26.25">
      <c r="T3531" s="384" ph="1"/>
    </row>
    <row r="3532" spans="20:20" ht="26.25">
      <c r="T3532" s="384" ph="1"/>
    </row>
    <row r="3533" spans="20:20" ht="26.25">
      <c r="T3533" s="384" ph="1"/>
    </row>
    <row r="3534" spans="20:20" ht="26.25">
      <c r="T3534" s="384" ph="1"/>
    </row>
    <row r="3535" spans="20:20" ht="26.25">
      <c r="T3535" s="384" ph="1"/>
    </row>
    <row r="3536" spans="20:20" ht="26.25">
      <c r="T3536" s="384" ph="1"/>
    </row>
    <row r="3537" spans="20:20" ht="26.25">
      <c r="T3537" s="384" ph="1"/>
    </row>
    <row r="3538" spans="20:20" ht="26.25">
      <c r="T3538" s="384" ph="1"/>
    </row>
    <row r="3539" spans="20:20" ht="26.25">
      <c r="T3539" s="384" ph="1"/>
    </row>
    <row r="3540" spans="20:20" ht="26.25">
      <c r="T3540" s="384" ph="1"/>
    </row>
    <row r="3541" spans="20:20" ht="26.25">
      <c r="T3541" s="384" ph="1"/>
    </row>
    <row r="3542" spans="20:20" ht="26.25">
      <c r="T3542" s="384" ph="1"/>
    </row>
    <row r="3543" spans="20:20" ht="26.25">
      <c r="T3543" s="384" ph="1"/>
    </row>
    <row r="3544" spans="20:20" ht="26.25">
      <c r="T3544" s="384" ph="1"/>
    </row>
    <row r="3545" spans="20:20" ht="26.25">
      <c r="T3545" s="384" ph="1"/>
    </row>
    <row r="3546" spans="20:20" ht="26.25">
      <c r="T3546" s="384" ph="1"/>
    </row>
    <row r="3547" spans="20:20" ht="26.25">
      <c r="T3547" s="384" ph="1"/>
    </row>
    <row r="3548" spans="20:20" ht="26.25">
      <c r="T3548" s="384" ph="1"/>
    </row>
    <row r="3549" spans="20:20" ht="26.25">
      <c r="T3549" s="384" ph="1"/>
    </row>
    <row r="3550" spans="20:20" ht="26.25">
      <c r="T3550" s="384" ph="1"/>
    </row>
    <row r="3551" spans="20:20" ht="26.25">
      <c r="T3551" s="384" ph="1"/>
    </row>
    <row r="3552" spans="20:20" ht="26.25">
      <c r="T3552" s="384" ph="1"/>
    </row>
    <row r="3553" spans="20:20" ht="26.25">
      <c r="T3553" s="384" ph="1"/>
    </row>
    <row r="3554" spans="20:20" ht="26.25">
      <c r="T3554" s="384" ph="1"/>
    </row>
    <row r="3555" spans="20:20" ht="26.25">
      <c r="T3555" s="384" ph="1"/>
    </row>
    <row r="3556" spans="20:20" ht="26.25">
      <c r="T3556" s="384" ph="1"/>
    </row>
    <row r="3557" spans="20:20" ht="26.25">
      <c r="T3557" s="384" ph="1"/>
    </row>
    <row r="3558" spans="20:20" ht="26.25">
      <c r="T3558" s="384" ph="1"/>
    </row>
    <row r="3559" spans="20:20" ht="26.25">
      <c r="T3559" s="384" ph="1"/>
    </row>
    <row r="3560" spans="20:20" ht="26.25">
      <c r="T3560" s="384" ph="1"/>
    </row>
    <row r="3561" spans="20:20" ht="26.25">
      <c r="T3561" s="384" ph="1"/>
    </row>
    <row r="3562" spans="20:20" ht="26.25">
      <c r="T3562" s="384" ph="1"/>
    </row>
    <row r="3563" spans="20:20" ht="26.25">
      <c r="T3563" s="384" ph="1"/>
    </row>
    <row r="3564" spans="20:20" ht="26.25">
      <c r="T3564" s="384" ph="1"/>
    </row>
    <row r="3565" spans="20:20" ht="26.25">
      <c r="T3565" s="384" ph="1"/>
    </row>
    <row r="3566" spans="20:20" ht="26.25">
      <c r="T3566" s="384" ph="1"/>
    </row>
    <row r="3567" spans="20:20" ht="26.25">
      <c r="T3567" s="384" ph="1"/>
    </row>
    <row r="3568" spans="20:20" ht="26.25">
      <c r="T3568" s="384" ph="1"/>
    </row>
    <row r="3569" spans="20:20" ht="26.25">
      <c r="T3569" s="384" ph="1"/>
    </row>
    <row r="3570" spans="20:20" ht="26.25">
      <c r="T3570" s="384" ph="1"/>
    </row>
    <row r="3571" spans="20:20" ht="26.25">
      <c r="T3571" s="384" ph="1"/>
    </row>
    <row r="3572" spans="20:20" ht="26.25">
      <c r="T3572" s="384" ph="1"/>
    </row>
    <row r="3573" spans="20:20" ht="26.25">
      <c r="T3573" s="384" ph="1"/>
    </row>
    <row r="3574" spans="20:20" ht="26.25">
      <c r="T3574" s="384" ph="1"/>
    </row>
    <row r="3575" spans="20:20" ht="26.25">
      <c r="T3575" s="384" ph="1"/>
    </row>
    <row r="3576" spans="20:20" ht="26.25">
      <c r="T3576" s="384" ph="1"/>
    </row>
    <row r="3577" spans="20:20" ht="26.25">
      <c r="T3577" s="384" ph="1"/>
    </row>
    <row r="3578" spans="20:20" ht="26.25">
      <c r="T3578" s="384" ph="1"/>
    </row>
    <row r="3579" spans="20:20" ht="26.25">
      <c r="T3579" s="384" ph="1"/>
    </row>
    <row r="3580" spans="20:20" ht="26.25">
      <c r="T3580" s="384" ph="1"/>
    </row>
    <row r="3581" spans="20:20" ht="26.25">
      <c r="T3581" s="384" ph="1"/>
    </row>
    <row r="3582" spans="20:20" ht="26.25">
      <c r="T3582" s="384" ph="1"/>
    </row>
    <row r="3583" spans="20:20" ht="26.25">
      <c r="T3583" s="384" ph="1"/>
    </row>
    <row r="3584" spans="20:20" ht="26.25">
      <c r="T3584" s="384" ph="1"/>
    </row>
    <row r="3585" spans="20:20" ht="26.25">
      <c r="T3585" s="384" ph="1"/>
    </row>
    <row r="3586" spans="20:20" ht="26.25">
      <c r="T3586" s="384" ph="1"/>
    </row>
    <row r="3587" spans="20:20" ht="26.25">
      <c r="T3587" s="384" ph="1"/>
    </row>
    <row r="3588" spans="20:20" ht="26.25">
      <c r="T3588" s="384" ph="1"/>
    </row>
    <row r="3589" spans="20:20" ht="26.25">
      <c r="T3589" s="384" ph="1"/>
    </row>
    <row r="3590" spans="20:20" ht="26.25">
      <c r="T3590" s="384" ph="1"/>
    </row>
    <row r="3591" spans="20:20" ht="26.25">
      <c r="T3591" s="384" ph="1"/>
    </row>
    <row r="3592" spans="20:20" ht="26.25">
      <c r="T3592" s="384" ph="1"/>
    </row>
    <row r="3593" spans="20:20" ht="26.25">
      <c r="T3593" s="384" ph="1"/>
    </row>
    <row r="3594" spans="20:20" ht="26.25">
      <c r="T3594" s="384" ph="1"/>
    </row>
    <row r="3595" spans="20:20" ht="26.25">
      <c r="T3595" s="384" ph="1"/>
    </row>
    <row r="3596" spans="20:20" ht="26.25">
      <c r="T3596" s="384" ph="1"/>
    </row>
    <row r="3597" spans="20:20" ht="26.25">
      <c r="T3597" s="384" ph="1"/>
    </row>
    <row r="3598" spans="20:20" ht="26.25">
      <c r="T3598" s="384" ph="1"/>
    </row>
    <row r="3599" spans="20:20" ht="26.25">
      <c r="T3599" s="384" ph="1"/>
    </row>
    <row r="3600" spans="20:20" ht="26.25">
      <c r="T3600" s="384" ph="1"/>
    </row>
    <row r="3601" spans="20:20" ht="26.25">
      <c r="T3601" s="384" ph="1"/>
    </row>
    <row r="3602" spans="20:20" ht="26.25">
      <c r="T3602" s="384" ph="1"/>
    </row>
    <row r="3603" spans="20:20" ht="26.25">
      <c r="T3603" s="384" ph="1"/>
    </row>
    <row r="3604" spans="20:20" ht="26.25">
      <c r="T3604" s="384" ph="1"/>
    </row>
    <row r="3605" spans="20:20" ht="26.25">
      <c r="T3605" s="384" ph="1"/>
    </row>
    <row r="3606" spans="20:20" ht="26.25">
      <c r="T3606" s="384" ph="1"/>
    </row>
    <row r="3607" spans="20:20" ht="26.25">
      <c r="T3607" s="384" ph="1"/>
    </row>
    <row r="3608" spans="20:20" ht="26.25">
      <c r="T3608" s="384" ph="1"/>
    </row>
    <row r="3609" spans="20:20" ht="26.25">
      <c r="T3609" s="384" ph="1"/>
    </row>
    <row r="3610" spans="20:20" ht="26.25">
      <c r="T3610" s="384" ph="1"/>
    </row>
    <row r="3611" spans="20:20" ht="26.25">
      <c r="T3611" s="384" ph="1"/>
    </row>
    <row r="3612" spans="20:20" ht="26.25">
      <c r="T3612" s="384" ph="1"/>
    </row>
    <row r="3613" spans="20:20" ht="26.25">
      <c r="T3613" s="384" ph="1"/>
    </row>
    <row r="3614" spans="20:20" ht="26.25">
      <c r="T3614" s="384" ph="1"/>
    </row>
    <row r="3615" spans="20:20" ht="26.25">
      <c r="T3615" s="384" ph="1"/>
    </row>
    <row r="3616" spans="20:20" ht="26.25">
      <c r="T3616" s="384" ph="1"/>
    </row>
    <row r="3617" spans="20:20" ht="26.25">
      <c r="T3617" s="384" ph="1"/>
    </row>
    <row r="3618" spans="20:20" ht="26.25">
      <c r="T3618" s="384" ph="1"/>
    </row>
    <row r="3619" spans="20:20" ht="26.25">
      <c r="T3619" s="384" ph="1"/>
    </row>
    <row r="3620" spans="20:20" ht="26.25">
      <c r="T3620" s="384" ph="1"/>
    </row>
    <row r="3621" spans="20:20" ht="26.25">
      <c r="T3621" s="384" ph="1"/>
    </row>
    <row r="3622" spans="20:20" ht="26.25">
      <c r="T3622" s="384" ph="1"/>
    </row>
    <row r="3623" spans="20:20" ht="26.25">
      <c r="T3623" s="384" ph="1"/>
    </row>
    <row r="3624" spans="20:20" ht="26.25">
      <c r="T3624" s="384" ph="1"/>
    </row>
    <row r="3625" spans="20:20" ht="26.25">
      <c r="T3625" s="384" ph="1"/>
    </row>
    <row r="3626" spans="20:20" ht="26.25">
      <c r="T3626" s="384" ph="1"/>
    </row>
    <row r="3627" spans="20:20" ht="26.25">
      <c r="T3627" s="384" ph="1"/>
    </row>
    <row r="3628" spans="20:20" ht="26.25">
      <c r="T3628" s="384" ph="1"/>
    </row>
    <row r="3629" spans="20:20" ht="26.25">
      <c r="T3629" s="384" ph="1"/>
    </row>
    <row r="3630" spans="20:20" ht="26.25">
      <c r="T3630" s="384" ph="1"/>
    </row>
    <row r="3631" spans="20:20" ht="26.25">
      <c r="T3631" s="384" ph="1"/>
    </row>
    <row r="3632" spans="20:20" ht="26.25">
      <c r="T3632" s="384" ph="1"/>
    </row>
    <row r="3633" spans="20:20" ht="26.25">
      <c r="T3633" s="384" ph="1"/>
    </row>
    <row r="3634" spans="20:20" ht="26.25">
      <c r="T3634" s="384" ph="1"/>
    </row>
    <row r="3635" spans="20:20" ht="26.25">
      <c r="T3635" s="384" ph="1"/>
    </row>
    <row r="3636" spans="20:20" ht="26.25">
      <c r="T3636" s="384" ph="1"/>
    </row>
    <row r="3637" spans="20:20" ht="26.25">
      <c r="T3637" s="384" ph="1"/>
    </row>
    <row r="3638" spans="20:20" ht="26.25">
      <c r="T3638" s="384" ph="1"/>
    </row>
    <row r="3639" spans="20:20" ht="26.25">
      <c r="T3639" s="384" ph="1"/>
    </row>
    <row r="3640" spans="20:20" ht="26.25">
      <c r="T3640" s="384" ph="1"/>
    </row>
    <row r="3641" spans="20:20" ht="26.25">
      <c r="T3641" s="384" ph="1"/>
    </row>
    <row r="3642" spans="20:20" ht="26.25">
      <c r="T3642" s="384" ph="1"/>
    </row>
    <row r="3643" spans="20:20" ht="26.25">
      <c r="T3643" s="384" ph="1"/>
    </row>
    <row r="3644" spans="20:20" ht="26.25">
      <c r="T3644" s="384" ph="1"/>
    </row>
    <row r="3645" spans="20:20" ht="26.25">
      <c r="T3645" s="384" ph="1"/>
    </row>
    <row r="3646" spans="20:20" ht="26.25">
      <c r="T3646" s="384" ph="1"/>
    </row>
    <row r="3647" spans="20:20" ht="26.25">
      <c r="T3647" s="384" ph="1"/>
    </row>
    <row r="3648" spans="20:20" ht="26.25">
      <c r="T3648" s="384" ph="1"/>
    </row>
    <row r="3649" spans="20:20" ht="26.25">
      <c r="T3649" s="384" ph="1"/>
    </row>
    <row r="3650" spans="20:20" ht="26.25">
      <c r="T3650" s="384" ph="1"/>
    </row>
    <row r="3651" spans="20:20" ht="26.25">
      <c r="T3651" s="384" ph="1"/>
    </row>
    <row r="3652" spans="20:20" ht="26.25">
      <c r="T3652" s="384" ph="1"/>
    </row>
    <row r="3653" spans="20:20" ht="26.25">
      <c r="T3653" s="384" ph="1"/>
    </row>
    <row r="3654" spans="20:20" ht="26.25">
      <c r="T3654" s="384" ph="1"/>
    </row>
    <row r="3655" spans="20:20" ht="26.25">
      <c r="T3655" s="384" ph="1"/>
    </row>
    <row r="3656" spans="20:20" ht="26.25">
      <c r="T3656" s="384" ph="1"/>
    </row>
    <row r="3657" spans="20:20" ht="26.25">
      <c r="T3657" s="384" ph="1"/>
    </row>
    <row r="3658" spans="20:20" ht="26.25">
      <c r="T3658" s="384" ph="1"/>
    </row>
    <row r="3659" spans="20:20" ht="26.25">
      <c r="T3659" s="384" ph="1"/>
    </row>
    <row r="3660" spans="20:20" ht="26.25">
      <c r="T3660" s="384" ph="1"/>
    </row>
    <row r="3661" spans="20:20" ht="26.25">
      <c r="T3661" s="384" ph="1"/>
    </row>
    <row r="3662" spans="20:20" ht="26.25">
      <c r="T3662" s="384" ph="1"/>
    </row>
    <row r="3663" spans="20:20" ht="26.25">
      <c r="T3663" s="384" ph="1"/>
    </row>
    <row r="3664" spans="20:20" ht="26.25">
      <c r="T3664" s="384" ph="1"/>
    </row>
    <row r="3665" spans="20:20" ht="26.25">
      <c r="T3665" s="384" ph="1"/>
    </row>
    <row r="3666" spans="20:20" ht="26.25">
      <c r="T3666" s="384" ph="1"/>
    </row>
    <row r="3667" spans="20:20" ht="26.25">
      <c r="T3667" s="384" ph="1"/>
    </row>
    <row r="3668" spans="20:20" ht="26.25">
      <c r="T3668" s="384" ph="1"/>
    </row>
    <row r="3669" spans="20:20" ht="26.25">
      <c r="T3669" s="384" ph="1"/>
    </row>
    <row r="3670" spans="20:20" ht="26.25">
      <c r="T3670" s="384" ph="1"/>
    </row>
    <row r="3671" spans="20:20" ht="26.25">
      <c r="T3671" s="384" ph="1"/>
    </row>
    <row r="3672" spans="20:20" ht="26.25">
      <c r="T3672" s="384" ph="1"/>
    </row>
    <row r="3673" spans="20:20" ht="26.25">
      <c r="T3673" s="384" ph="1"/>
    </row>
    <row r="3674" spans="20:20" ht="26.25">
      <c r="T3674" s="384" ph="1"/>
    </row>
    <row r="3675" spans="20:20" ht="26.25">
      <c r="T3675" s="384" ph="1"/>
    </row>
    <row r="3676" spans="20:20" ht="26.25">
      <c r="T3676" s="384" ph="1"/>
    </row>
    <row r="3677" spans="20:20" ht="26.25">
      <c r="T3677" s="384" ph="1"/>
    </row>
    <row r="3678" spans="20:20" ht="26.25">
      <c r="T3678" s="384" ph="1"/>
    </row>
    <row r="3679" spans="20:20" ht="26.25">
      <c r="T3679" s="384" ph="1"/>
    </row>
    <row r="3680" spans="20:20" ht="26.25">
      <c r="T3680" s="384" ph="1"/>
    </row>
    <row r="3681" spans="20:20" ht="26.25">
      <c r="T3681" s="384" ph="1"/>
    </row>
    <row r="3682" spans="20:20" ht="26.25">
      <c r="T3682" s="384" ph="1"/>
    </row>
    <row r="3683" spans="20:20" ht="26.25">
      <c r="T3683" s="384" ph="1"/>
    </row>
    <row r="3684" spans="20:20" ht="26.25">
      <c r="T3684" s="384" ph="1"/>
    </row>
    <row r="3685" spans="20:20" ht="26.25">
      <c r="T3685" s="384" ph="1"/>
    </row>
    <row r="3686" spans="20:20" ht="26.25">
      <c r="T3686" s="384" ph="1"/>
    </row>
    <row r="3687" spans="20:20" ht="26.25">
      <c r="T3687" s="384" ph="1"/>
    </row>
    <row r="3688" spans="20:20" ht="26.25">
      <c r="T3688" s="384" ph="1"/>
    </row>
    <row r="3689" spans="20:20" ht="26.25">
      <c r="T3689" s="384" ph="1"/>
    </row>
    <row r="3690" spans="20:20" ht="26.25">
      <c r="T3690" s="384" ph="1"/>
    </row>
    <row r="3691" spans="20:20" ht="26.25">
      <c r="T3691" s="384" ph="1"/>
    </row>
    <row r="3692" spans="20:20" ht="26.25">
      <c r="T3692" s="384" ph="1"/>
    </row>
    <row r="3693" spans="20:20" ht="26.25">
      <c r="T3693" s="384" ph="1"/>
    </row>
    <row r="3694" spans="20:20" ht="26.25">
      <c r="T3694" s="384" ph="1"/>
    </row>
    <row r="3695" spans="20:20" ht="26.25">
      <c r="T3695" s="384" ph="1"/>
    </row>
    <row r="3696" spans="20:20" ht="26.25">
      <c r="T3696" s="384" ph="1"/>
    </row>
    <row r="3697" spans="20:20" ht="26.25">
      <c r="T3697" s="384" ph="1"/>
    </row>
    <row r="3698" spans="20:20" ht="26.25">
      <c r="T3698" s="384" ph="1"/>
    </row>
    <row r="3699" spans="20:20" ht="26.25">
      <c r="T3699" s="384" ph="1"/>
    </row>
    <row r="3700" spans="20:20" ht="26.25">
      <c r="T3700" s="384" ph="1"/>
    </row>
    <row r="3701" spans="20:20" ht="26.25">
      <c r="T3701" s="384" ph="1"/>
    </row>
    <row r="3702" spans="20:20" ht="26.25">
      <c r="T3702" s="384" ph="1"/>
    </row>
    <row r="3703" spans="20:20" ht="26.25">
      <c r="T3703" s="384" ph="1"/>
    </row>
    <row r="3704" spans="20:20" ht="26.25">
      <c r="T3704" s="384" ph="1"/>
    </row>
    <row r="3705" spans="20:20" ht="26.25">
      <c r="T3705" s="384" ph="1"/>
    </row>
    <row r="3706" spans="20:20" ht="26.25">
      <c r="T3706" s="384" ph="1"/>
    </row>
    <row r="3707" spans="20:20" ht="26.25">
      <c r="T3707" s="384" ph="1"/>
    </row>
    <row r="3708" spans="20:20" ht="26.25">
      <c r="T3708" s="384" ph="1"/>
    </row>
    <row r="3709" spans="20:20" ht="26.25">
      <c r="T3709" s="384" ph="1"/>
    </row>
    <row r="3710" spans="20:20" ht="26.25">
      <c r="T3710" s="384" ph="1"/>
    </row>
    <row r="3711" spans="20:20" ht="26.25">
      <c r="T3711" s="384" ph="1"/>
    </row>
    <row r="3712" spans="20:20" ht="26.25">
      <c r="T3712" s="384" ph="1"/>
    </row>
    <row r="3713" spans="20:20" ht="26.25">
      <c r="T3713" s="384" ph="1"/>
    </row>
    <row r="3714" spans="20:20" ht="26.25">
      <c r="T3714" s="384" ph="1"/>
    </row>
    <row r="3715" spans="20:20" ht="26.25">
      <c r="T3715" s="384" ph="1"/>
    </row>
    <row r="3716" spans="20:20" ht="26.25">
      <c r="T3716" s="384" ph="1"/>
    </row>
    <row r="3717" spans="20:20" ht="26.25">
      <c r="T3717" s="384" ph="1"/>
    </row>
    <row r="3718" spans="20:20" ht="26.25">
      <c r="T3718" s="384" ph="1"/>
    </row>
    <row r="3719" spans="20:20" ht="26.25">
      <c r="T3719" s="384" ph="1"/>
    </row>
    <row r="3720" spans="20:20" ht="26.25">
      <c r="T3720" s="384" ph="1"/>
    </row>
    <row r="3721" spans="20:20" ht="26.25">
      <c r="T3721" s="384" ph="1"/>
    </row>
    <row r="3722" spans="20:20" ht="26.25">
      <c r="T3722" s="384" ph="1"/>
    </row>
    <row r="3723" spans="20:20" ht="26.25">
      <c r="T3723" s="384" ph="1"/>
    </row>
    <row r="3724" spans="20:20" ht="26.25">
      <c r="T3724" s="384" ph="1"/>
    </row>
    <row r="3725" spans="20:20" ht="26.25">
      <c r="T3725" s="384" ph="1"/>
    </row>
    <row r="3726" spans="20:20" ht="26.25">
      <c r="T3726" s="384" ph="1"/>
    </row>
    <row r="3727" spans="20:20" ht="26.25">
      <c r="T3727" s="384" ph="1"/>
    </row>
    <row r="3728" spans="20:20" ht="26.25">
      <c r="T3728" s="384" ph="1"/>
    </row>
    <row r="3729" spans="20:20" ht="26.25">
      <c r="T3729" s="384" ph="1"/>
    </row>
    <row r="3730" spans="20:20" ht="26.25">
      <c r="T3730" s="384" ph="1"/>
    </row>
    <row r="3731" spans="20:20" ht="26.25">
      <c r="T3731" s="384" ph="1"/>
    </row>
    <row r="3732" spans="20:20" ht="26.25">
      <c r="T3732" s="384" ph="1"/>
    </row>
    <row r="3733" spans="20:20" ht="26.25">
      <c r="T3733" s="384" ph="1"/>
    </row>
    <row r="3734" spans="20:20" ht="26.25">
      <c r="T3734" s="384" ph="1"/>
    </row>
    <row r="3735" spans="20:20" ht="26.25">
      <c r="T3735" s="384" ph="1"/>
    </row>
    <row r="3736" spans="20:20" ht="26.25">
      <c r="T3736" s="384" ph="1"/>
    </row>
    <row r="3737" spans="20:20" ht="26.25">
      <c r="T3737" s="384" ph="1"/>
    </row>
    <row r="3738" spans="20:20" ht="26.25">
      <c r="T3738" s="384" ph="1"/>
    </row>
    <row r="3739" spans="20:20" ht="26.25">
      <c r="T3739" s="384" ph="1"/>
    </row>
    <row r="3740" spans="20:20" ht="26.25">
      <c r="T3740" s="384" ph="1"/>
    </row>
    <row r="3741" spans="20:20" ht="26.25">
      <c r="T3741" s="384" ph="1"/>
    </row>
    <row r="3742" spans="20:20" ht="26.25">
      <c r="T3742" s="384" ph="1"/>
    </row>
    <row r="3743" spans="20:20" ht="26.25">
      <c r="T3743" s="384" ph="1"/>
    </row>
    <row r="3744" spans="20:20" ht="26.25">
      <c r="T3744" s="384" ph="1"/>
    </row>
    <row r="3745" spans="20:20" ht="26.25">
      <c r="T3745" s="384" ph="1"/>
    </row>
    <row r="3746" spans="20:20" ht="26.25">
      <c r="T3746" s="384" ph="1"/>
    </row>
    <row r="3747" spans="20:20" ht="26.25">
      <c r="T3747" s="384" ph="1"/>
    </row>
    <row r="3748" spans="20:20" ht="26.25">
      <c r="T3748" s="384" ph="1"/>
    </row>
    <row r="3749" spans="20:20" ht="26.25">
      <c r="T3749" s="384" ph="1"/>
    </row>
    <row r="3750" spans="20:20" ht="26.25">
      <c r="T3750" s="384" ph="1"/>
    </row>
    <row r="3751" spans="20:20" ht="26.25">
      <c r="T3751" s="384" ph="1"/>
    </row>
    <row r="3752" spans="20:20" ht="26.25">
      <c r="T3752" s="384" ph="1"/>
    </row>
    <row r="3753" spans="20:20" ht="26.25">
      <c r="T3753" s="384" ph="1"/>
    </row>
    <row r="3754" spans="20:20" ht="26.25">
      <c r="T3754" s="384" ph="1"/>
    </row>
    <row r="3755" spans="20:20" ht="26.25">
      <c r="T3755" s="384" ph="1"/>
    </row>
    <row r="3756" spans="20:20" ht="26.25">
      <c r="T3756" s="384" ph="1"/>
    </row>
    <row r="3757" spans="20:20" ht="26.25">
      <c r="T3757" s="384" ph="1"/>
    </row>
    <row r="3758" spans="20:20" ht="26.25">
      <c r="T3758" s="384" ph="1"/>
    </row>
    <row r="3759" spans="20:20" ht="26.25">
      <c r="T3759" s="384" ph="1"/>
    </row>
    <row r="3760" spans="20:20" ht="26.25">
      <c r="T3760" s="384" ph="1"/>
    </row>
    <row r="3761" spans="20:20" ht="26.25">
      <c r="T3761" s="384" ph="1"/>
    </row>
    <row r="3762" spans="20:20" ht="26.25">
      <c r="T3762" s="384" ph="1"/>
    </row>
    <row r="3763" spans="20:20" ht="26.25">
      <c r="T3763" s="384" ph="1"/>
    </row>
    <row r="3764" spans="20:20" ht="26.25">
      <c r="T3764" s="384" ph="1"/>
    </row>
    <row r="3765" spans="20:20" ht="26.25">
      <c r="T3765" s="384" ph="1"/>
    </row>
    <row r="3766" spans="20:20" ht="26.25">
      <c r="T3766" s="384" ph="1"/>
    </row>
    <row r="3767" spans="20:20" ht="26.25">
      <c r="T3767" s="384" ph="1"/>
    </row>
    <row r="3768" spans="20:20" ht="26.25">
      <c r="T3768" s="384" ph="1"/>
    </row>
    <row r="3769" spans="20:20" ht="26.25">
      <c r="T3769" s="384" ph="1"/>
    </row>
    <row r="3770" spans="20:20" ht="26.25">
      <c r="T3770" s="384" ph="1"/>
    </row>
    <row r="3771" spans="20:20" ht="26.25">
      <c r="T3771" s="384" ph="1"/>
    </row>
    <row r="3772" spans="20:20" ht="26.25">
      <c r="T3772" s="384" ph="1"/>
    </row>
    <row r="3773" spans="20:20" ht="26.25">
      <c r="T3773" s="384" ph="1"/>
    </row>
    <row r="3774" spans="20:20" ht="26.25">
      <c r="T3774" s="384" ph="1"/>
    </row>
    <row r="3775" spans="20:20" ht="26.25">
      <c r="T3775" s="384" ph="1"/>
    </row>
    <row r="3776" spans="20:20" ht="26.25">
      <c r="T3776" s="384" ph="1"/>
    </row>
    <row r="3777" spans="20:20" ht="26.25">
      <c r="T3777" s="384" ph="1"/>
    </row>
    <row r="3778" spans="20:20" ht="26.25">
      <c r="T3778" s="384" ph="1"/>
    </row>
    <row r="3779" spans="20:20" ht="26.25">
      <c r="T3779" s="384" ph="1"/>
    </row>
    <row r="3780" spans="20:20" ht="26.25">
      <c r="T3780" s="384" ph="1"/>
    </row>
    <row r="3781" spans="20:20" ht="26.25">
      <c r="T3781" s="384" ph="1"/>
    </row>
    <row r="3782" spans="20:20" ht="26.25">
      <c r="T3782" s="384" ph="1"/>
    </row>
    <row r="3783" spans="20:20" ht="26.25">
      <c r="T3783" s="384" ph="1"/>
    </row>
    <row r="3784" spans="20:20" ht="26.25">
      <c r="T3784" s="384" ph="1"/>
    </row>
    <row r="3785" spans="20:20" ht="26.25">
      <c r="T3785" s="384" ph="1"/>
    </row>
    <row r="3786" spans="20:20" ht="26.25">
      <c r="T3786" s="384" ph="1"/>
    </row>
    <row r="3787" spans="20:20" ht="26.25">
      <c r="T3787" s="384" ph="1"/>
    </row>
    <row r="3788" spans="20:20" ht="26.25">
      <c r="T3788" s="384" ph="1"/>
    </row>
    <row r="3789" spans="20:20" ht="26.25">
      <c r="T3789" s="384" ph="1"/>
    </row>
    <row r="3790" spans="20:20" ht="26.25">
      <c r="T3790" s="384" ph="1"/>
    </row>
    <row r="3791" spans="20:20" ht="26.25">
      <c r="T3791" s="384" ph="1"/>
    </row>
    <row r="3792" spans="20:20" ht="26.25">
      <c r="T3792" s="384" ph="1"/>
    </row>
    <row r="3793" spans="20:20" ht="26.25">
      <c r="T3793" s="384" ph="1"/>
    </row>
    <row r="3794" spans="20:20" ht="26.25">
      <c r="T3794" s="384" ph="1"/>
    </row>
    <row r="3795" spans="20:20" ht="26.25">
      <c r="T3795" s="384" ph="1"/>
    </row>
    <row r="3796" spans="20:20" ht="26.25">
      <c r="T3796" s="384" ph="1"/>
    </row>
    <row r="3797" spans="20:20" ht="26.25">
      <c r="T3797" s="384" ph="1"/>
    </row>
    <row r="3798" spans="20:20" ht="26.25">
      <c r="T3798" s="384" ph="1"/>
    </row>
    <row r="3799" spans="20:20" ht="26.25">
      <c r="T3799" s="384" ph="1"/>
    </row>
    <row r="3800" spans="20:20" ht="26.25">
      <c r="T3800" s="384" ph="1"/>
    </row>
    <row r="3801" spans="20:20" ht="26.25">
      <c r="T3801" s="384" ph="1"/>
    </row>
    <row r="3802" spans="20:20" ht="26.25">
      <c r="T3802" s="384" ph="1"/>
    </row>
    <row r="3803" spans="20:20" ht="26.25">
      <c r="T3803" s="384" ph="1"/>
    </row>
    <row r="3804" spans="20:20" ht="26.25">
      <c r="T3804" s="384" ph="1"/>
    </row>
    <row r="3805" spans="20:20" ht="26.25">
      <c r="T3805" s="384" ph="1"/>
    </row>
    <row r="3806" spans="20:20" ht="26.25">
      <c r="T3806" s="384" ph="1"/>
    </row>
    <row r="3807" spans="20:20" ht="26.25">
      <c r="T3807" s="384" ph="1"/>
    </row>
    <row r="3808" spans="20:20" ht="26.25">
      <c r="T3808" s="384" ph="1"/>
    </row>
    <row r="3809" spans="20:20" ht="26.25">
      <c r="T3809" s="384" ph="1"/>
    </row>
    <row r="3810" spans="20:20" ht="26.25">
      <c r="T3810" s="384" ph="1"/>
    </row>
    <row r="3811" spans="20:20" ht="26.25">
      <c r="T3811" s="384" ph="1"/>
    </row>
    <row r="3812" spans="20:20" ht="26.25">
      <c r="T3812" s="384" ph="1"/>
    </row>
    <row r="3813" spans="20:20" ht="26.25">
      <c r="T3813" s="384" ph="1"/>
    </row>
    <row r="3814" spans="20:20" ht="26.25">
      <c r="T3814" s="384" ph="1"/>
    </row>
    <row r="3815" spans="20:20" ht="26.25">
      <c r="T3815" s="384" ph="1"/>
    </row>
    <row r="3816" spans="20:20" ht="26.25">
      <c r="T3816" s="384" ph="1"/>
    </row>
    <row r="3817" spans="20:20" ht="26.25">
      <c r="T3817" s="384" ph="1"/>
    </row>
    <row r="3818" spans="20:20" ht="26.25">
      <c r="T3818" s="384" ph="1"/>
    </row>
    <row r="3819" spans="20:20" ht="26.25">
      <c r="T3819" s="384" ph="1"/>
    </row>
    <row r="3820" spans="20:20" ht="26.25">
      <c r="T3820" s="384" ph="1"/>
    </row>
    <row r="3821" spans="20:20" ht="26.25">
      <c r="T3821" s="384" ph="1"/>
    </row>
    <row r="3822" spans="20:20" ht="26.25">
      <c r="T3822" s="384" ph="1"/>
    </row>
    <row r="3823" spans="20:20" ht="26.25">
      <c r="T3823" s="384" ph="1"/>
    </row>
    <row r="3824" spans="20:20" ht="26.25">
      <c r="T3824" s="384" ph="1"/>
    </row>
    <row r="3825" spans="20:20" ht="26.25">
      <c r="T3825" s="384" ph="1"/>
    </row>
    <row r="3826" spans="20:20" ht="26.25">
      <c r="T3826" s="384" ph="1"/>
    </row>
    <row r="3827" spans="20:20" ht="26.25">
      <c r="T3827" s="384" ph="1"/>
    </row>
    <row r="3828" spans="20:20" ht="26.25">
      <c r="T3828" s="384" ph="1"/>
    </row>
    <row r="3829" spans="20:20" ht="26.25">
      <c r="T3829" s="384" ph="1"/>
    </row>
    <row r="3830" spans="20:20" ht="26.25">
      <c r="T3830" s="384" ph="1"/>
    </row>
    <row r="3831" spans="20:20" ht="26.25">
      <c r="T3831" s="384" ph="1"/>
    </row>
    <row r="3832" spans="20:20" ht="26.25">
      <c r="T3832" s="384" ph="1"/>
    </row>
    <row r="3833" spans="20:20" ht="26.25">
      <c r="T3833" s="384" ph="1"/>
    </row>
    <row r="3834" spans="20:20" ht="26.25">
      <c r="T3834" s="384" ph="1"/>
    </row>
    <row r="3835" spans="20:20" ht="26.25">
      <c r="T3835" s="384" ph="1"/>
    </row>
    <row r="3836" spans="20:20" ht="26.25">
      <c r="T3836" s="384" ph="1"/>
    </row>
    <row r="3837" spans="20:20" ht="26.25">
      <c r="T3837" s="384" ph="1"/>
    </row>
    <row r="3838" spans="20:20" ht="26.25">
      <c r="T3838" s="384" ph="1"/>
    </row>
    <row r="3839" spans="20:20" ht="26.25">
      <c r="T3839" s="384" ph="1"/>
    </row>
    <row r="3840" spans="20:20" ht="26.25">
      <c r="T3840" s="384" ph="1"/>
    </row>
    <row r="3841" spans="20:20" ht="26.25">
      <c r="T3841" s="384" ph="1"/>
    </row>
    <row r="3842" spans="20:20" ht="26.25">
      <c r="T3842" s="384" ph="1"/>
    </row>
    <row r="3843" spans="20:20" ht="26.25">
      <c r="T3843" s="384" ph="1"/>
    </row>
    <row r="3844" spans="20:20" ht="26.25">
      <c r="T3844" s="384" ph="1"/>
    </row>
    <row r="3845" spans="20:20" ht="26.25">
      <c r="T3845" s="384" ph="1"/>
    </row>
    <row r="3846" spans="20:20" ht="26.25">
      <c r="T3846" s="384" ph="1"/>
    </row>
    <row r="3847" spans="20:20" ht="26.25">
      <c r="T3847" s="384" ph="1"/>
    </row>
    <row r="3848" spans="20:20" ht="26.25">
      <c r="T3848" s="384" ph="1"/>
    </row>
    <row r="3849" spans="20:20" ht="26.25">
      <c r="T3849" s="384" ph="1"/>
    </row>
    <row r="3850" spans="20:20" ht="26.25">
      <c r="T3850" s="384" ph="1"/>
    </row>
    <row r="3851" spans="20:20" ht="26.25">
      <c r="T3851" s="384" ph="1"/>
    </row>
    <row r="3852" spans="20:20" ht="26.25">
      <c r="T3852" s="384" ph="1"/>
    </row>
    <row r="3853" spans="20:20" ht="26.25">
      <c r="T3853" s="384" ph="1"/>
    </row>
    <row r="3854" spans="20:20" ht="26.25">
      <c r="T3854" s="384" ph="1"/>
    </row>
    <row r="3855" spans="20:20" ht="26.25">
      <c r="T3855" s="384" ph="1"/>
    </row>
    <row r="3856" spans="20:20" ht="26.25">
      <c r="T3856" s="384" ph="1"/>
    </row>
    <row r="3857" spans="20:20" ht="26.25">
      <c r="T3857" s="384" ph="1"/>
    </row>
    <row r="3858" spans="20:20" ht="26.25">
      <c r="T3858" s="384" ph="1"/>
    </row>
    <row r="3859" spans="20:20" ht="26.25">
      <c r="T3859" s="384" ph="1"/>
    </row>
    <row r="3860" spans="20:20" ht="26.25">
      <c r="T3860" s="384" ph="1"/>
    </row>
    <row r="3861" spans="20:20" ht="26.25">
      <c r="T3861" s="384" ph="1"/>
    </row>
    <row r="3862" spans="20:20" ht="26.25">
      <c r="T3862" s="384" ph="1"/>
    </row>
    <row r="3863" spans="20:20" ht="26.25">
      <c r="T3863" s="384" ph="1"/>
    </row>
    <row r="3864" spans="20:20" ht="26.25">
      <c r="T3864" s="384" ph="1"/>
    </row>
    <row r="3865" spans="20:20" ht="26.25">
      <c r="T3865" s="384" ph="1"/>
    </row>
    <row r="3866" spans="20:20" ht="26.25">
      <c r="T3866" s="384" ph="1"/>
    </row>
    <row r="3867" spans="20:20" ht="26.25">
      <c r="T3867" s="384" ph="1"/>
    </row>
    <row r="3868" spans="20:20" ht="26.25">
      <c r="T3868" s="384" ph="1"/>
    </row>
    <row r="3869" spans="20:20" ht="26.25">
      <c r="T3869" s="384" ph="1"/>
    </row>
    <row r="3870" spans="20:20" ht="26.25">
      <c r="T3870" s="384" ph="1"/>
    </row>
    <row r="3871" spans="20:20" ht="26.25">
      <c r="T3871" s="384" ph="1"/>
    </row>
    <row r="3872" spans="20:20" ht="26.25">
      <c r="T3872" s="384" ph="1"/>
    </row>
    <row r="3873" spans="20:20" ht="26.25">
      <c r="T3873" s="384" ph="1"/>
    </row>
    <row r="3874" spans="20:20" ht="26.25">
      <c r="T3874" s="384" ph="1"/>
    </row>
    <row r="3875" spans="20:20" ht="26.25">
      <c r="T3875" s="384" ph="1"/>
    </row>
    <row r="3876" spans="20:20" ht="26.25">
      <c r="T3876" s="384" ph="1"/>
    </row>
    <row r="3877" spans="20:20" ht="26.25">
      <c r="T3877" s="384" ph="1"/>
    </row>
    <row r="3878" spans="20:20" ht="26.25">
      <c r="T3878" s="384" ph="1"/>
    </row>
    <row r="3879" spans="20:20" ht="26.25">
      <c r="T3879" s="384" ph="1"/>
    </row>
    <row r="3880" spans="20:20" ht="26.25">
      <c r="T3880" s="384" ph="1"/>
    </row>
    <row r="3881" spans="20:20" ht="26.25">
      <c r="T3881" s="384" ph="1"/>
    </row>
    <row r="3882" spans="20:20" ht="26.25">
      <c r="T3882" s="384" ph="1"/>
    </row>
    <row r="3883" spans="20:20" ht="26.25">
      <c r="T3883" s="384" ph="1"/>
    </row>
    <row r="3884" spans="20:20" ht="26.25">
      <c r="T3884" s="384" ph="1"/>
    </row>
    <row r="3885" spans="20:20" ht="26.25">
      <c r="T3885" s="384" ph="1"/>
    </row>
    <row r="3886" spans="20:20" ht="26.25">
      <c r="T3886" s="384" ph="1"/>
    </row>
    <row r="3887" spans="20:20" ht="26.25">
      <c r="T3887" s="384" ph="1"/>
    </row>
    <row r="3888" spans="20:20" ht="26.25">
      <c r="T3888" s="384" ph="1"/>
    </row>
    <row r="3889" spans="20:20" ht="26.25">
      <c r="T3889" s="384" ph="1"/>
    </row>
    <row r="3890" spans="20:20" ht="26.25">
      <c r="T3890" s="384" ph="1"/>
    </row>
    <row r="3891" spans="20:20" ht="26.25">
      <c r="T3891" s="384" ph="1"/>
    </row>
    <row r="3892" spans="20:20" ht="26.25">
      <c r="T3892" s="384" ph="1"/>
    </row>
    <row r="3893" spans="20:20" ht="26.25">
      <c r="T3893" s="384" ph="1"/>
    </row>
    <row r="3894" spans="20:20" ht="26.25">
      <c r="T3894" s="384" ph="1"/>
    </row>
    <row r="3895" spans="20:20" ht="26.25">
      <c r="T3895" s="384" ph="1"/>
    </row>
    <row r="3896" spans="20:20" ht="26.25">
      <c r="T3896" s="384" ph="1"/>
    </row>
    <row r="3897" spans="20:20" ht="26.25">
      <c r="T3897" s="384" ph="1"/>
    </row>
    <row r="3898" spans="20:20" ht="26.25">
      <c r="T3898" s="384" ph="1"/>
    </row>
    <row r="3899" spans="20:20" ht="26.25">
      <c r="T3899" s="384" ph="1"/>
    </row>
    <row r="3900" spans="20:20" ht="26.25">
      <c r="T3900" s="384" ph="1"/>
    </row>
    <row r="3901" spans="20:20" ht="26.25">
      <c r="T3901" s="384" ph="1"/>
    </row>
    <row r="3902" spans="20:20" ht="26.25">
      <c r="T3902" s="384" ph="1"/>
    </row>
    <row r="3903" spans="20:20" ht="26.25">
      <c r="T3903" s="384" ph="1"/>
    </row>
    <row r="3904" spans="20:20" ht="26.25">
      <c r="T3904" s="384" ph="1"/>
    </row>
    <row r="3905" spans="20:20" ht="26.25">
      <c r="T3905" s="384" ph="1"/>
    </row>
    <row r="3906" spans="20:20" ht="26.25">
      <c r="T3906" s="384" ph="1"/>
    </row>
    <row r="3907" spans="20:20" ht="26.25">
      <c r="T3907" s="384" ph="1"/>
    </row>
    <row r="3908" spans="20:20" ht="26.25">
      <c r="T3908" s="384" ph="1"/>
    </row>
    <row r="3909" spans="20:20" ht="26.25">
      <c r="T3909" s="384" ph="1"/>
    </row>
    <row r="3910" spans="20:20" ht="26.25">
      <c r="T3910" s="384" ph="1"/>
    </row>
    <row r="3911" spans="20:20" ht="26.25">
      <c r="T3911" s="384" ph="1"/>
    </row>
    <row r="3912" spans="20:20" ht="26.25">
      <c r="T3912" s="384" ph="1"/>
    </row>
    <row r="3913" spans="20:20" ht="26.25">
      <c r="T3913" s="384" ph="1"/>
    </row>
    <row r="3914" spans="20:20" ht="26.25">
      <c r="T3914" s="384" ph="1"/>
    </row>
    <row r="3915" spans="20:20" ht="26.25">
      <c r="T3915" s="384" ph="1"/>
    </row>
    <row r="3916" spans="20:20" ht="26.25">
      <c r="T3916" s="384" ph="1"/>
    </row>
    <row r="3917" spans="20:20" ht="26.25">
      <c r="T3917" s="384" ph="1"/>
    </row>
    <row r="3918" spans="20:20" ht="26.25">
      <c r="T3918" s="384" ph="1"/>
    </row>
    <row r="3919" spans="20:20" ht="26.25">
      <c r="T3919" s="384" ph="1"/>
    </row>
    <row r="3920" spans="20:20" ht="26.25">
      <c r="T3920" s="384" ph="1"/>
    </row>
    <row r="3921" spans="20:20" ht="26.25">
      <c r="T3921" s="384" ph="1"/>
    </row>
    <row r="3922" spans="20:20" ht="26.25">
      <c r="T3922" s="384" ph="1"/>
    </row>
    <row r="3923" spans="20:20" ht="26.25">
      <c r="T3923" s="384" ph="1"/>
    </row>
    <row r="3924" spans="20:20" ht="26.25">
      <c r="T3924" s="384" ph="1"/>
    </row>
    <row r="3925" spans="20:20" ht="26.25">
      <c r="T3925" s="384" ph="1"/>
    </row>
    <row r="3926" spans="20:20" ht="26.25">
      <c r="T3926" s="384" ph="1"/>
    </row>
    <row r="3927" spans="20:20" ht="26.25">
      <c r="T3927" s="384" ph="1"/>
    </row>
    <row r="3928" spans="20:20" ht="26.25">
      <c r="T3928" s="384" ph="1"/>
    </row>
    <row r="3929" spans="20:20" ht="26.25">
      <c r="T3929" s="384" ph="1"/>
    </row>
    <row r="3930" spans="20:20" ht="26.25">
      <c r="T3930" s="384" ph="1"/>
    </row>
    <row r="3931" spans="20:20" ht="26.25">
      <c r="T3931" s="384" ph="1"/>
    </row>
    <row r="3932" spans="20:20" ht="26.25">
      <c r="T3932" s="384" ph="1"/>
    </row>
    <row r="3933" spans="20:20" ht="26.25">
      <c r="T3933" s="384" ph="1"/>
    </row>
    <row r="3934" spans="20:20" ht="26.25">
      <c r="T3934" s="384" ph="1"/>
    </row>
    <row r="3935" spans="20:20" ht="26.25">
      <c r="T3935" s="384" ph="1"/>
    </row>
    <row r="3936" spans="20:20" ht="26.25">
      <c r="T3936" s="384" ph="1"/>
    </row>
    <row r="3937" spans="20:20" ht="26.25">
      <c r="T3937" s="384" ph="1"/>
    </row>
    <row r="3938" spans="20:20" ht="26.25">
      <c r="T3938" s="384" ph="1"/>
    </row>
    <row r="3939" spans="20:20" ht="26.25">
      <c r="T3939" s="384" ph="1"/>
    </row>
    <row r="3940" spans="20:20" ht="26.25">
      <c r="T3940" s="384" ph="1"/>
    </row>
    <row r="3941" spans="20:20" ht="26.25">
      <c r="T3941" s="384" ph="1"/>
    </row>
    <row r="3942" spans="20:20" ht="26.25">
      <c r="T3942" s="384" ph="1"/>
    </row>
    <row r="3943" spans="20:20" ht="26.25">
      <c r="T3943" s="384" ph="1"/>
    </row>
    <row r="3944" spans="20:20" ht="26.25">
      <c r="T3944" s="384" ph="1"/>
    </row>
    <row r="3945" spans="20:20" ht="26.25">
      <c r="T3945" s="384" ph="1"/>
    </row>
    <row r="3946" spans="20:20" ht="26.25">
      <c r="T3946" s="384" ph="1"/>
    </row>
    <row r="3947" spans="20:20" ht="26.25">
      <c r="T3947" s="384" ph="1"/>
    </row>
    <row r="3948" spans="20:20" ht="26.25">
      <c r="T3948" s="384" ph="1"/>
    </row>
    <row r="3949" spans="20:20" ht="26.25">
      <c r="T3949" s="384" ph="1"/>
    </row>
    <row r="3950" spans="20:20" ht="26.25">
      <c r="T3950" s="384" ph="1"/>
    </row>
    <row r="3951" spans="20:20" ht="26.25">
      <c r="T3951" s="384" ph="1"/>
    </row>
    <row r="3952" spans="20:20" ht="26.25">
      <c r="T3952" s="384" ph="1"/>
    </row>
    <row r="3953" spans="20:20" ht="26.25">
      <c r="T3953" s="384" ph="1"/>
    </row>
    <row r="3954" spans="20:20" ht="26.25">
      <c r="T3954" s="384" ph="1"/>
    </row>
    <row r="3955" spans="20:20" ht="26.25">
      <c r="T3955" s="384" ph="1"/>
    </row>
    <row r="3956" spans="20:20" ht="26.25">
      <c r="T3956" s="384" ph="1"/>
    </row>
    <row r="3957" spans="20:20" ht="26.25">
      <c r="T3957" s="384" ph="1"/>
    </row>
    <row r="3958" spans="20:20" ht="26.25">
      <c r="T3958" s="384" ph="1"/>
    </row>
    <row r="3959" spans="20:20" ht="26.25">
      <c r="T3959" s="384" ph="1"/>
    </row>
    <row r="3960" spans="20:20" ht="26.25">
      <c r="T3960" s="384" ph="1"/>
    </row>
    <row r="3961" spans="20:20" ht="26.25">
      <c r="T3961" s="384" ph="1"/>
    </row>
    <row r="3962" spans="20:20" ht="26.25">
      <c r="T3962" s="384" ph="1"/>
    </row>
    <row r="3963" spans="20:20" ht="26.25">
      <c r="T3963" s="384" ph="1"/>
    </row>
    <row r="3964" spans="20:20" ht="26.25">
      <c r="T3964" s="384" ph="1"/>
    </row>
    <row r="3965" spans="20:20" ht="26.25">
      <c r="T3965" s="384" ph="1"/>
    </row>
    <row r="3966" spans="20:20" ht="26.25">
      <c r="T3966" s="384" ph="1"/>
    </row>
    <row r="3967" spans="20:20" ht="26.25">
      <c r="T3967" s="384" ph="1"/>
    </row>
    <row r="3968" spans="20:20" ht="26.25">
      <c r="T3968" s="384" ph="1"/>
    </row>
    <row r="3969" spans="20:20" ht="26.25">
      <c r="T3969" s="384" ph="1"/>
    </row>
    <row r="3970" spans="20:20" ht="26.25">
      <c r="T3970" s="384" ph="1"/>
    </row>
    <row r="3971" spans="20:20" ht="26.25">
      <c r="T3971" s="384" ph="1"/>
    </row>
    <row r="3972" spans="20:20" ht="26.25">
      <c r="T3972" s="384" ph="1"/>
    </row>
    <row r="3973" spans="20:20" ht="26.25">
      <c r="T3973" s="384" ph="1"/>
    </row>
    <row r="3974" spans="20:20" ht="26.25">
      <c r="T3974" s="384" ph="1"/>
    </row>
    <row r="3975" spans="20:20" ht="26.25">
      <c r="T3975" s="384" ph="1"/>
    </row>
    <row r="3976" spans="20:20" ht="26.25">
      <c r="T3976" s="384" ph="1"/>
    </row>
    <row r="3977" spans="20:20" ht="26.25">
      <c r="T3977" s="384" ph="1"/>
    </row>
    <row r="3978" spans="20:20" ht="26.25">
      <c r="T3978" s="384" ph="1"/>
    </row>
    <row r="3979" spans="20:20" ht="26.25">
      <c r="T3979" s="384" ph="1"/>
    </row>
    <row r="3980" spans="20:20" ht="26.25">
      <c r="T3980" s="384" ph="1"/>
    </row>
    <row r="3981" spans="20:20" ht="26.25">
      <c r="T3981" s="384" ph="1"/>
    </row>
    <row r="3982" spans="20:20" ht="26.25">
      <c r="T3982" s="384" ph="1"/>
    </row>
    <row r="3983" spans="20:20" ht="26.25">
      <c r="T3983" s="384" ph="1"/>
    </row>
    <row r="3984" spans="20:20" ht="26.25">
      <c r="T3984" s="384" ph="1"/>
    </row>
    <row r="3985" spans="20:20" ht="26.25">
      <c r="T3985" s="384" ph="1"/>
    </row>
    <row r="3986" spans="20:20" ht="26.25">
      <c r="T3986" s="384" ph="1"/>
    </row>
    <row r="3987" spans="20:20" ht="26.25">
      <c r="T3987" s="384" ph="1"/>
    </row>
    <row r="3988" spans="20:20" ht="26.25">
      <c r="T3988" s="384" ph="1"/>
    </row>
    <row r="3989" spans="20:20" ht="26.25">
      <c r="T3989" s="384" ph="1"/>
    </row>
    <row r="3990" spans="20:20" ht="26.25">
      <c r="T3990" s="384" ph="1"/>
    </row>
    <row r="3991" spans="20:20" ht="26.25">
      <c r="T3991" s="384" ph="1"/>
    </row>
    <row r="3992" spans="20:20" ht="26.25">
      <c r="T3992" s="384" ph="1"/>
    </row>
    <row r="3993" spans="20:20" ht="26.25">
      <c r="T3993" s="384" ph="1"/>
    </row>
    <row r="3994" spans="20:20" ht="26.25">
      <c r="T3994" s="384" ph="1"/>
    </row>
    <row r="3995" spans="20:20" ht="26.25">
      <c r="T3995" s="384" ph="1"/>
    </row>
    <row r="3996" spans="20:20" ht="26.25">
      <c r="T3996" s="384" ph="1"/>
    </row>
    <row r="3997" spans="20:20" ht="26.25">
      <c r="T3997" s="384" ph="1"/>
    </row>
    <row r="3998" spans="20:20" ht="26.25">
      <c r="T3998" s="384" ph="1"/>
    </row>
    <row r="3999" spans="20:20" ht="26.25">
      <c r="T3999" s="384" ph="1"/>
    </row>
    <row r="4000" spans="20:20" ht="26.25">
      <c r="T4000" s="384" ph="1"/>
    </row>
    <row r="4001" spans="20:20" ht="26.25">
      <c r="T4001" s="384" ph="1"/>
    </row>
    <row r="4002" spans="20:20" ht="26.25">
      <c r="T4002" s="384" ph="1"/>
    </row>
    <row r="4003" spans="20:20" ht="26.25">
      <c r="T4003" s="384" ph="1"/>
    </row>
    <row r="4004" spans="20:20" ht="26.25">
      <c r="T4004" s="384" ph="1"/>
    </row>
    <row r="4005" spans="20:20" ht="26.25">
      <c r="T4005" s="384" ph="1"/>
    </row>
    <row r="4006" spans="20:20" ht="26.25">
      <c r="T4006" s="384" ph="1"/>
    </row>
    <row r="4007" spans="20:20" ht="26.25">
      <c r="T4007" s="384" ph="1"/>
    </row>
    <row r="4008" spans="20:20" ht="26.25">
      <c r="T4008" s="384" ph="1"/>
    </row>
    <row r="4009" spans="20:20" ht="26.25">
      <c r="T4009" s="384" ph="1"/>
    </row>
    <row r="4010" spans="20:20" ht="26.25">
      <c r="T4010" s="384" ph="1"/>
    </row>
    <row r="4011" spans="20:20" ht="26.25">
      <c r="T4011" s="384" ph="1"/>
    </row>
    <row r="4012" spans="20:20" ht="26.25">
      <c r="T4012" s="384" ph="1"/>
    </row>
    <row r="4013" spans="20:20" ht="26.25">
      <c r="T4013" s="384" ph="1"/>
    </row>
    <row r="4014" spans="20:20" ht="26.25">
      <c r="T4014" s="384" ph="1"/>
    </row>
    <row r="4015" spans="20:20" ht="26.25">
      <c r="T4015" s="384" ph="1"/>
    </row>
    <row r="4016" spans="20:20" ht="26.25">
      <c r="T4016" s="384" ph="1"/>
    </row>
    <row r="4017" spans="20:20" ht="26.25">
      <c r="T4017" s="384" ph="1"/>
    </row>
    <row r="4018" spans="20:20" ht="26.25">
      <c r="T4018" s="384" ph="1"/>
    </row>
    <row r="4019" spans="20:20" ht="26.25">
      <c r="T4019" s="384" ph="1"/>
    </row>
    <row r="4020" spans="20:20" ht="26.25">
      <c r="T4020" s="384" ph="1"/>
    </row>
    <row r="4021" spans="20:20" ht="26.25">
      <c r="T4021" s="384" ph="1"/>
    </row>
    <row r="4022" spans="20:20" ht="26.25">
      <c r="T4022" s="384" ph="1"/>
    </row>
    <row r="4023" spans="20:20" ht="26.25">
      <c r="T4023" s="384" ph="1"/>
    </row>
    <row r="4024" spans="20:20" ht="26.25">
      <c r="T4024" s="384" ph="1"/>
    </row>
    <row r="4025" spans="20:20" ht="26.25">
      <c r="T4025" s="384" ph="1"/>
    </row>
    <row r="4026" spans="20:20" ht="26.25">
      <c r="T4026" s="384" ph="1"/>
    </row>
    <row r="4027" spans="20:20" ht="26.25">
      <c r="T4027" s="384" ph="1"/>
    </row>
    <row r="4028" spans="20:20" ht="26.25">
      <c r="T4028" s="384" ph="1"/>
    </row>
    <row r="4029" spans="20:20" ht="26.25">
      <c r="T4029" s="384" ph="1"/>
    </row>
    <row r="4030" spans="20:20" ht="26.25">
      <c r="T4030" s="384" ph="1"/>
    </row>
    <row r="4031" spans="20:20" ht="26.25">
      <c r="T4031" s="384" ph="1"/>
    </row>
    <row r="4032" spans="20:20" ht="26.25">
      <c r="T4032" s="384" ph="1"/>
    </row>
    <row r="4033" spans="20:20" ht="26.25">
      <c r="T4033" s="384" ph="1"/>
    </row>
    <row r="4034" spans="20:20" ht="26.25">
      <c r="T4034" s="384" ph="1"/>
    </row>
    <row r="4035" spans="20:20" ht="26.25">
      <c r="T4035" s="384" ph="1"/>
    </row>
    <row r="4036" spans="20:20" ht="26.25">
      <c r="T4036" s="384" ph="1"/>
    </row>
    <row r="4037" spans="20:20" ht="26.25">
      <c r="T4037" s="384" ph="1"/>
    </row>
    <row r="4038" spans="20:20" ht="26.25">
      <c r="T4038" s="384" ph="1"/>
    </row>
    <row r="4039" spans="20:20" ht="26.25">
      <c r="T4039" s="384" ph="1"/>
    </row>
    <row r="4040" spans="20:20" ht="26.25">
      <c r="T4040" s="384" ph="1"/>
    </row>
    <row r="4041" spans="20:20" ht="26.25">
      <c r="T4041" s="384" ph="1"/>
    </row>
    <row r="4042" spans="20:20" ht="26.25">
      <c r="T4042" s="384" ph="1"/>
    </row>
    <row r="4043" spans="20:20" ht="26.25">
      <c r="T4043" s="384" ph="1"/>
    </row>
    <row r="4044" spans="20:20" ht="26.25">
      <c r="T4044" s="384" ph="1"/>
    </row>
    <row r="4045" spans="20:20" ht="26.25">
      <c r="T4045" s="384" ph="1"/>
    </row>
    <row r="4046" spans="20:20" ht="26.25">
      <c r="T4046" s="384" ph="1"/>
    </row>
    <row r="4047" spans="20:20" ht="26.25">
      <c r="T4047" s="384" ph="1"/>
    </row>
    <row r="4048" spans="20:20" ht="26.25">
      <c r="T4048" s="384" ph="1"/>
    </row>
    <row r="4049" spans="20:20" ht="26.25">
      <c r="T4049" s="384" ph="1"/>
    </row>
    <row r="4050" spans="20:20" ht="26.25">
      <c r="T4050" s="384" ph="1"/>
    </row>
    <row r="4051" spans="20:20" ht="26.25">
      <c r="T4051" s="384" ph="1"/>
    </row>
    <row r="4052" spans="20:20" ht="26.25">
      <c r="T4052" s="384" ph="1"/>
    </row>
    <row r="4053" spans="20:20" ht="26.25">
      <c r="T4053" s="384" ph="1"/>
    </row>
    <row r="4054" spans="20:20" ht="26.25">
      <c r="T4054" s="384" ph="1"/>
    </row>
    <row r="4055" spans="20:20" ht="26.25">
      <c r="T4055" s="384" ph="1"/>
    </row>
    <row r="4056" spans="20:20" ht="26.25">
      <c r="T4056" s="384" ph="1"/>
    </row>
    <row r="4057" spans="20:20" ht="26.25">
      <c r="T4057" s="384" ph="1"/>
    </row>
    <row r="4058" spans="20:20" ht="26.25">
      <c r="T4058" s="384" ph="1"/>
    </row>
    <row r="4059" spans="20:20" ht="26.25">
      <c r="T4059" s="384" ph="1"/>
    </row>
    <row r="4060" spans="20:20" ht="26.25">
      <c r="T4060" s="384" ph="1"/>
    </row>
    <row r="4061" spans="20:20" ht="26.25">
      <c r="T4061" s="384" ph="1"/>
    </row>
    <row r="4062" spans="20:20" ht="26.25">
      <c r="T4062" s="384" ph="1"/>
    </row>
    <row r="4063" spans="20:20" ht="26.25">
      <c r="T4063" s="384" ph="1"/>
    </row>
    <row r="4064" spans="20:20" ht="26.25">
      <c r="T4064" s="384" ph="1"/>
    </row>
    <row r="4065" spans="20:20" ht="26.25">
      <c r="T4065" s="384" ph="1"/>
    </row>
    <row r="4066" spans="20:20" ht="26.25">
      <c r="T4066" s="384" ph="1"/>
    </row>
    <row r="4067" spans="20:20" ht="26.25">
      <c r="T4067" s="384" ph="1"/>
    </row>
    <row r="4068" spans="20:20" ht="26.25">
      <c r="T4068" s="384" ph="1"/>
    </row>
    <row r="4069" spans="20:20" ht="26.25">
      <c r="T4069" s="384" ph="1"/>
    </row>
    <row r="4070" spans="20:20" ht="26.25">
      <c r="T4070" s="384" ph="1"/>
    </row>
    <row r="4071" spans="20:20" ht="26.25">
      <c r="T4071" s="384" ph="1"/>
    </row>
    <row r="4072" spans="20:20" ht="26.25">
      <c r="T4072" s="384" ph="1"/>
    </row>
    <row r="4073" spans="20:20" ht="26.25">
      <c r="T4073" s="384" ph="1"/>
    </row>
    <row r="4074" spans="20:20" ht="26.25">
      <c r="T4074" s="384" ph="1"/>
    </row>
    <row r="4075" spans="20:20" ht="26.25">
      <c r="T4075" s="384" ph="1"/>
    </row>
    <row r="4076" spans="20:20" ht="26.25">
      <c r="T4076" s="384" ph="1"/>
    </row>
    <row r="4077" spans="20:20" ht="26.25">
      <c r="T4077" s="384" ph="1"/>
    </row>
    <row r="4078" spans="20:20" ht="26.25">
      <c r="T4078" s="384" ph="1"/>
    </row>
    <row r="4079" spans="20:20" ht="26.25">
      <c r="T4079" s="384" ph="1"/>
    </row>
    <row r="4080" spans="20:20" ht="26.25">
      <c r="T4080" s="384" ph="1"/>
    </row>
    <row r="4081" spans="20:20" ht="26.25">
      <c r="T4081" s="384" ph="1"/>
    </row>
    <row r="4082" spans="20:20" ht="26.25">
      <c r="T4082" s="384" ph="1"/>
    </row>
    <row r="4083" spans="20:20" ht="26.25">
      <c r="T4083" s="384" ph="1"/>
    </row>
    <row r="4084" spans="20:20" ht="26.25">
      <c r="T4084" s="384" ph="1"/>
    </row>
    <row r="4085" spans="20:20" ht="26.25">
      <c r="T4085" s="384" ph="1"/>
    </row>
    <row r="4086" spans="20:20" ht="26.25">
      <c r="T4086" s="384" ph="1"/>
    </row>
    <row r="4087" spans="20:20" ht="26.25">
      <c r="T4087" s="384" ph="1"/>
    </row>
    <row r="4088" spans="20:20" ht="26.25">
      <c r="T4088" s="384" ph="1"/>
    </row>
    <row r="4089" spans="20:20" ht="26.25">
      <c r="T4089" s="384" ph="1"/>
    </row>
    <row r="4090" spans="20:20" ht="26.25">
      <c r="T4090" s="384" ph="1"/>
    </row>
    <row r="4091" spans="20:20" ht="26.25">
      <c r="T4091" s="384" ph="1"/>
    </row>
    <row r="4092" spans="20:20" ht="26.25">
      <c r="T4092" s="384" ph="1"/>
    </row>
    <row r="4093" spans="20:20" ht="26.25">
      <c r="T4093" s="384" ph="1"/>
    </row>
    <row r="4094" spans="20:20" ht="26.25">
      <c r="T4094" s="384" ph="1"/>
    </row>
    <row r="4095" spans="20:20" ht="26.25">
      <c r="T4095" s="384" ph="1"/>
    </row>
    <row r="4096" spans="20:20" ht="26.25">
      <c r="T4096" s="384" ph="1"/>
    </row>
    <row r="4097" spans="20:20" ht="26.25">
      <c r="T4097" s="384" ph="1"/>
    </row>
    <row r="4098" spans="20:20" ht="26.25">
      <c r="T4098" s="384" ph="1"/>
    </row>
    <row r="4099" spans="20:20" ht="26.25">
      <c r="T4099" s="384" ph="1"/>
    </row>
    <row r="4100" spans="20:20" ht="26.25">
      <c r="T4100" s="384" ph="1"/>
    </row>
    <row r="4101" spans="20:20" ht="26.25">
      <c r="T4101" s="384" ph="1"/>
    </row>
    <row r="4102" spans="20:20" ht="26.25">
      <c r="T4102" s="384" ph="1"/>
    </row>
    <row r="4103" spans="20:20" ht="26.25">
      <c r="T4103" s="384" ph="1"/>
    </row>
    <row r="4104" spans="20:20" ht="26.25">
      <c r="T4104" s="384" ph="1"/>
    </row>
    <row r="4105" spans="20:20" ht="26.25">
      <c r="T4105" s="384" ph="1"/>
    </row>
    <row r="4106" spans="20:20" ht="26.25">
      <c r="T4106" s="384" ph="1"/>
    </row>
    <row r="4107" spans="20:20" ht="26.25">
      <c r="T4107" s="384" ph="1"/>
    </row>
    <row r="4108" spans="20:20" ht="26.25">
      <c r="T4108" s="384" ph="1"/>
    </row>
    <row r="4109" spans="20:20" ht="26.25">
      <c r="T4109" s="384" ph="1"/>
    </row>
    <row r="4110" spans="20:20" ht="26.25">
      <c r="T4110" s="384" ph="1"/>
    </row>
    <row r="4111" spans="20:20" ht="26.25">
      <c r="T4111" s="384" ph="1"/>
    </row>
    <row r="4112" spans="20:20" ht="26.25">
      <c r="T4112" s="384" ph="1"/>
    </row>
    <row r="4113" spans="20:20" ht="26.25">
      <c r="T4113" s="384" ph="1"/>
    </row>
    <row r="4114" spans="20:20" ht="26.25">
      <c r="T4114" s="384" ph="1"/>
    </row>
    <row r="4115" spans="20:20" ht="26.25">
      <c r="T4115" s="384" ph="1"/>
    </row>
    <row r="4116" spans="20:20" ht="26.25">
      <c r="T4116" s="384" ph="1"/>
    </row>
    <row r="4117" spans="20:20" ht="26.25">
      <c r="T4117" s="384" ph="1"/>
    </row>
    <row r="4118" spans="20:20" ht="26.25">
      <c r="T4118" s="384" ph="1"/>
    </row>
    <row r="4119" spans="20:20" ht="26.25">
      <c r="T4119" s="384" ph="1"/>
    </row>
    <row r="4120" spans="20:20" ht="26.25">
      <c r="T4120" s="384" ph="1"/>
    </row>
    <row r="4121" spans="20:20" ht="26.25">
      <c r="T4121" s="384" ph="1"/>
    </row>
    <row r="4122" spans="20:20" ht="26.25">
      <c r="T4122" s="384" ph="1"/>
    </row>
    <row r="4123" spans="20:20" ht="26.25">
      <c r="T4123" s="384" ph="1"/>
    </row>
    <row r="4124" spans="20:20" ht="26.25">
      <c r="T4124" s="384" ph="1"/>
    </row>
    <row r="4125" spans="20:20" ht="26.25">
      <c r="T4125" s="384" ph="1"/>
    </row>
    <row r="4126" spans="20:20" ht="26.25">
      <c r="T4126" s="384" ph="1"/>
    </row>
    <row r="4127" spans="20:20" ht="26.25">
      <c r="T4127" s="384" ph="1"/>
    </row>
    <row r="4128" spans="20:20" ht="26.25">
      <c r="T4128" s="384" ph="1"/>
    </row>
    <row r="4129" spans="20:20" ht="26.25">
      <c r="T4129" s="384" ph="1"/>
    </row>
    <row r="4130" spans="20:20" ht="26.25">
      <c r="T4130" s="384" ph="1"/>
    </row>
    <row r="4131" spans="20:20" ht="26.25">
      <c r="T4131" s="384" ph="1"/>
    </row>
    <row r="4132" spans="20:20" ht="26.25">
      <c r="T4132" s="384" ph="1"/>
    </row>
    <row r="4133" spans="20:20" ht="26.25">
      <c r="T4133" s="384" ph="1"/>
    </row>
    <row r="4134" spans="20:20" ht="26.25">
      <c r="T4134" s="384" ph="1"/>
    </row>
    <row r="4135" spans="20:20" ht="26.25">
      <c r="T4135" s="384" ph="1"/>
    </row>
    <row r="4136" spans="20:20" ht="26.25">
      <c r="T4136" s="384" ph="1"/>
    </row>
    <row r="4137" spans="20:20" ht="26.25">
      <c r="T4137" s="384" ph="1"/>
    </row>
    <row r="4138" spans="20:20" ht="26.25">
      <c r="T4138" s="384" ph="1"/>
    </row>
    <row r="4139" spans="20:20" ht="26.25">
      <c r="T4139" s="384" ph="1"/>
    </row>
    <row r="4140" spans="20:20" ht="26.25">
      <c r="T4140" s="384" ph="1"/>
    </row>
    <row r="4141" spans="20:20" ht="26.25">
      <c r="T4141" s="384" ph="1"/>
    </row>
    <row r="4142" spans="20:20" ht="26.25">
      <c r="T4142" s="384" ph="1"/>
    </row>
    <row r="4143" spans="20:20" ht="26.25">
      <c r="T4143" s="384" ph="1"/>
    </row>
    <row r="4144" spans="20:20" ht="26.25">
      <c r="T4144" s="384" ph="1"/>
    </row>
    <row r="4145" spans="20:20" ht="26.25">
      <c r="T4145" s="384" ph="1"/>
    </row>
    <row r="4146" spans="20:20" ht="26.25">
      <c r="T4146" s="384" ph="1"/>
    </row>
    <row r="4147" spans="20:20" ht="26.25">
      <c r="T4147" s="384" ph="1"/>
    </row>
    <row r="4148" spans="20:20" ht="26.25">
      <c r="T4148" s="384" ph="1"/>
    </row>
    <row r="4149" spans="20:20" ht="26.25">
      <c r="T4149" s="384" ph="1"/>
    </row>
    <row r="4150" spans="20:20" ht="26.25">
      <c r="T4150" s="384" ph="1"/>
    </row>
    <row r="4151" spans="20:20" ht="26.25">
      <c r="T4151" s="384" ph="1"/>
    </row>
    <row r="4152" spans="20:20" ht="26.25">
      <c r="T4152" s="384" ph="1"/>
    </row>
    <row r="4153" spans="20:20" ht="26.25">
      <c r="T4153" s="384" ph="1"/>
    </row>
    <row r="4154" spans="20:20" ht="26.25">
      <c r="T4154" s="384" ph="1"/>
    </row>
    <row r="4155" spans="20:20" ht="26.25">
      <c r="T4155" s="384" ph="1"/>
    </row>
    <row r="4156" spans="20:20" ht="26.25">
      <c r="T4156" s="384" ph="1"/>
    </row>
    <row r="4157" spans="20:20" ht="26.25">
      <c r="T4157" s="384" ph="1"/>
    </row>
    <row r="4158" spans="20:20" ht="26.25">
      <c r="T4158" s="384" ph="1"/>
    </row>
    <row r="4159" spans="20:20" ht="26.25">
      <c r="T4159" s="384" ph="1"/>
    </row>
    <row r="4160" spans="20:20" ht="26.25">
      <c r="T4160" s="384" ph="1"/>
    </row>
    <row r="4161" spans="20:20" ht="26.25">
      <c r="T4161" s="384" ph="1"/>
    </row>
    <row r="4162" spans="20:20" ht="26.25">
      <c r="T4162" s="384" ph="1"/>
    </row>
    <row r="4163" spans="20:20" ht="26.25">
      <c r="T4163" s="384" ph="1"/>
    </row>
    <row r="4164" spans="20:20" ht="26.25">
      <c r="T4164" s="384" ph="1"/>
    </row>
    <row r="4165" spans="20:20" ht="26.25">
      <c r="T4165" s="384" ph="1"/>
    </row>
    <row r="4166" spans="20:20" ht="26.25">
      <c r="T4166" s="384" ph="1"/>
    </row>
    <row r="4167" spans="20:20" ht="26.25">
      <c r="T4167" s="384" ph="1"/>
    </row>
    <row r="4168" spans="20:20" ht="26.25">
      <c r="T4168" s="384" ph="1"/>
    </row>
    <row r="4169" spans="20:20" ht="26.25">
      <c r="T4169" s="384" ph="1"/>
    </row>
    <row r="4170" spans="20:20" ht="26.25">
      <c r="T4170" s="384" ph="1"/>
    </row>
    <row r="4171" spans="20:20" ht="26.25">
      <c r="T4171" s="384" ph="1"/>
    </row>
    <row r="4172" spans="20:20" ht="26.25">
      <c r="T4172" s="384" ph="1"/>
    </row>
    <row r="4173" spans="20:20" ht="26.25">
      <c r="T4173" s="384" ph="1"/>
    </row>
    <row r="4174" spans="20:20" ht="26.25">
      <c r="T4174" s="384" ph="1"/>
    </row>
    <row r="4175" spans="20:20" ht="26.25">
      <c r="T4175" s="384" ph="1"/>
    </row>
    <row r="4176" spans="20:20" ht="26.25">
      <c r="T4176" s="384" ph="1"/>
    </row>
    <row r="4177" spans="20:20" ht="26.25">
      <c r="T4177" s="384" ph="1"/>
    </row>
    <row r="4178" spans="20:20" ht="26.25">
      <c r="T4178" s="384" ph="1"/>
    </row>
    <row r="4179" spans="20:20" ht="26.25">
      <c r="T4179" s="384" ph="1"/>
    </row>
    <row r="4180" spans="20:20" ht="26.25">
      <c r="T4180" s="384" ph="1"/>
    </row>
    <row r="4181" spans="20:20" ht="26.25">
      <c r="T4181" s="384" ph="1"/>
    </row>
    <row r="4182" spans="20:20" ht="26.25">
      <c r="T4182" s="384" ph="1"/>
    </row>
    <row r="4183" spans="20:20" ht="26.25">
      <c r="T4183" s="384" ph="1"/>
    </row>
    <row r="4184" spans="20:20" ht="26.25">
      <c r="T4184" s="384" ph="1"/>
    </row>
    <row r="4185" spans="20:20" ht="26.25">
      <c r="T4185" s="384" ph="1"/>
    </row>
    <row r="4186" spans="20:20" ht="26.25">
      <c r="T4186" s="384" ph="1"/>
    </row>
    <row r="4187" spans="20:20" ht="26.25">
      <c r="T4187" s="384" ph="1"/>
    </row>
    <row r="4188" spans="20:20" ht="26.25">
      <c r="T4188" s="384" ph="1"/>
    </row>
    <row r="4189" spans="20:20" ht="26.25">
      <c r="T4189" s="384" ph="1"/>
    </row>
    <row r="4190" spans="20:20" ht="26.25">
      <c r="T4190" s="384" ph="1"/>
    </row>
    <row r="4191" spans="20:20" ht="26.25">
      <c r="T4191" s="384" ph="1"/>
    </row>
    <row r="4192" spans="20:20" ht="26.25">
      <c r="T4192" s="384" ph="1"/>
    </row>
    <row r="4193" spans="20:20" ht="26.25">
      <c r="T4193" s="384" ph="1"/>
    </row>
    <row r="4194" spans="20:20" ht="26.25">
      <c r="T4194" s="384" ph="1"/>
    </row>
    <row r="4195" spans="20:20" ht="26.25">
      <c r="T4195" s="384" ph="1"/>
    </row>
    <row r="4196" spans="20:20" ht="26.25">
      <c r="T4196" s="384" ph="1"/>
    </row>
    <row r="4197" spans="20:20" ht="26.25">
      <c r="T4197" s="384" ph="1"/>
    </row>
    <row r="4198" spans="20:20" ht="26.25">
      <c r="T4198" s="384" ph="1"/>
    </row>
    <row r="4199" spans="20:20" ht="26.25">
      <c r="T4199" s="384" ph="1"/>
    </row>
    <row r="4200" spans="20:20" ht="26.25">
      <c r="T4200" s="384" ph="1"/>
    </row>
    <row r="4201" spans="20:20" ht="26.25">
      <c r="T4201" s="384" ph="1"/>
    </row>
    <row r="4202" spans="20:20" ht="26.25">
      <c r="T4202" s="384" ph="1"/>
    </row>
    <row r="4203" spans="20:20" ht="26.25">
      <c r="T4203" s="384" ph="1"/>
    </row>
    <row r="4204" spans="20:20" ht="26.25">
      <c r="T4204" s="384" ph="1"/>
    </row>
    <row r="4205" spans="20:20" ht="26.25">
      <c r="T4205" s="384" ph="1"/>
    </row>
    <row r="4206" spans="20:20" ht="26.25">
      <c r="T4206" s="384" ph="1"/>
    </row>
    <row r="4207" spans="20:20" ht="26.25">
      <c r="T4207" s="384" ph="1"/>
    </row>
    <row r="4208" spans="20:20" ht="26.25">
      <c r="T4208" s="384" ph="1"/>
    </row>
    <row r="4209" spans="20:20" ht="26.25">
      <c r="T4209" s="384" ph="1"/>
    </row>
    <row r="4210" spans="20:20" ht="26.25">
      <c r="T4210" s="384" ph="1"/>
    </row>
    <row r="4211" spans="20:20" ht="26.25">
      <c r="T4211" s="384" ph="1"/>
    </row>
    <row r="4212" spans="20:20" ht="26.25">
      <c r="T4212" s="384" ph="1"/>
    </row>
    <row r="4213" spans="20:20" ht="26.25">
      <c r="T4213" s="384" ph="1"/>
    </row>
    <row r="4214" spans="20:20" ht="26.25">
      <c r="T4214" s="384" ph="1"/>
    </row>
    <row r="4215" spans="20:20" ht="26.25">
      <c r="T4215" s="384" ph="1"/>
    </row>
    <row r="4216" spans="20:20" ht="26.25">
      <c r="T4216" s="384" ph="1"/>
    </row>
    <row r="4217" spans="20:20" ht="26.25">
      <c r="T4217" s="384" ph="1"/>
    </row>
    <row r="4218" spans="20:20" ht="26.25">
      <c r="T4218" s="384" ph="1"/>
    </row>
    <row r="4219" spans="20:20" ht="26.25">
      <c r="T4219" s="384" ph="1"/>
    </row>
    <row r="4220" spans="20:20" ht="26.25">
      <c r="T4220" s="384" ph="1"/>
    </row>
    <row r="4221" spans="20:20" ht="26.25">
      <c r="T4221" s="384" ph="1"/>
    </row>
    <row r="4222" spans="20:20" ht="26.25">
      <c r="T4222" s="384" ph="1"/>
    </row>
    <row r="4223" spans="20:20" ht="26.25">
      <c r="T4223" s="384" ph="1"/>
    </row>
    <row r="4224" spans="20:20" ht="26.25">
      <c r="T4224" s="384" ph="1"/>
    </row>
    <row r="4225" spans="20:20" ht="26.25">
      <c r="T4225" s="384" ph="1"/>
    </row>
    <row r="4226" spans="20:20" ht="26.25">
      <c r="T4226" s="384" ph="1"/>
    </row>
    <row r="4227" spans="20:20" ht="26.25">
      <c r="T4227" s="384" ph="1"/>
    </row>
    <row r="4228" spans="20:20" ht="26.25">
      <c r="T4228" s="384" ph="1"/>
    </row>
    <row r="4229" spans="20:20" ht="26.25">
      <c r="T4229" s="384" ph="1"/>
    </row>
    <row r="4230" spans="20:20" ht="26.25">
      <c r="T4230" s="384" ph="1"/>
    </row>
    <row r="4231" spans="20:20" ht="26.25">
      <c r="T4231" s="384" ph="1"/>
    </row>
    <row r="4232" spans="20:20" ht="26.25">
      <c r="T4232" s="384" ph="1"/>
    </row>
    <row r="4233" spans="20:20" ht="26.25">
      <c r="T4233" s="384" ph="1"/>
    </row>
    <row r="4234" spans="20:20" ht="26.25">
      <c r="T4234" s="384" ph="1"/>
    </row>
    <row r="4235" spans="20:20" ht="26.25">
      <c r="T4235" s="384" ph="1"/>
    </row>
    <row r="4236" spans="20:20" ht="26.25">
      <c r="T4236" s="384" ph="1"/>
    </row>
    <row r="4237" spans="20:20" ht="26.25">
      <c r="T4237" s="384" ph="1"/>
    </row>
    <row r="4238" spans="20:20" ht="26.25">
      <c r="T4238" s="384" ph="1"/>
    </row>
    <row r="4239" spans="20:20" ht="26.25">
      <c r="T4239" s="384" ph="1"/>
    </row>
    <row r="4240" spans="20:20" ht="26.25">
      <c r="T4240" s="384" ph="1"/>
    </row>
    <row r="4241" spans="20:20" ht="26.25">
      <c r="T4241" s="384" ph="1"/>
    </row>
    <row r="4242" spans="20:20" ht="26.25">
      <c r="T4242" s="384" ph="1"/>
    </row>
    <row r="4243" spans="20:20" ht="26.25">
      <c r="T4243" s="384" ph="1"/>
    </row>
    <row r="4244" spans="20:20" ht="26.25">
      <c r="T4244" s="384" ph="1"/>
    </row>
    <row r="4245" spans="20:20" ht="26.25">
      <c r="T4245" s="384" ph="1"/>
    </row>
    <row r="4246" spans="20:20" ht="26.25">
      <c r="T4246" s="384" ph="1"/>
    </row>
    <row r="4247" spans="20:20" ht="26.25">
      <c r="T4247" s="384" ph="1"/>
    </row>
    <row r="4248" spans="20:20" ht="26.25">
      <c r="T4248" s="384" ph="1"/>
    </row>
    <row r="4249" spans="20:20" ht="26.25">
      <c r="T4249" s="384" ph="1"/>
    </row>
    <row r="4250" spans="20:20" ht="26.25">
      <c r="T4250" s="384" ph="1"/>
    </row>
    <row r="4251" spans="20:20" ht="26.25">
      <c r="T4251" s="384" ph="1"/>
    </row>
    <row r="4252" spans="20:20" ht="26.25">
      <c r="T4252" s="384" ph="1"/>
    </row>
    <row r="4253" spans="20:20" ht="26.25">
      <c r="T4253" s="384" ph="1"/>
    </row>
    <row r="4254" spans="20:20" ht="26.25">
      <c r="T4254" s="384" ph="1"/>
    </row>
    <row r="4255" spans="20:20" ht="26.25">
      <c r="T4255" s="384" ph="1"/>
    </row>
    <row r="4256" spans="20:20" ht="26.25">
      <c r="T4256" s="384" ph="1"/>
    </row>
    <row r="4257" spans="20:20" ht="26.25">
      <c r="T4257" s="384" ph="1"/>
    </row>
    <row r="4258" spans="20:20" ht="26.25">
      <c r="T4258" s="384" ph="1"/>
    </row>
    <row r="4259" spans="20:20" ht="26.25">
      <c r="T4259" s="384" ph="1"/>
    </row>
    <row r="4260" spans="20:20" ht="26.25">
      <c r="T4260" s="384" ph="1"/>
    </row>
    <row r="4261" spans="20:20" ht="26.25">
      <c r="T4261" s="384" ph="1"/>
    </row>
    <row r="4262" spans="20:20" ht="26.25">
      <c r="T4262" s="384" ph="1"/>
    </row>
    <row r="4263" spans="20:20" ht="26.25">
      <c r="T4263" s="384" ph="1"/>
    </row>
    <row r="4264" spans="20:20" ht="26.25">
      <c r="T4264" s="384" ph="1"/>
    </row>
    <row r="4265" spans="20:20" ht="26.25">
      <c r="T4265" s="384" ph="1"/>
    </row>
    <row r="4266" spans="20:20" ht="26.25">
      <c r="T4266" s="384" ph="1"/>
    </row>
    <row r="4267" spans="20:20" ht="26.25">
      <c r="T4267" s="384" ph="1"/>
    </row>
    <row r="4268" spans="20:20" ht="26.25">
      <c r="T4268" s="384" ph="1"/>
    </row>
    <row r="4269" spans="20:20" ht="26.25">
      <c r="T4269" s="384" ph="1"/>
    </row>
    <row r="4270" spans="20:20" ht="26.25">
      <c r="T4270" s="384" ph="1"/>
    </row>
    <row r="4271" spans="20:20" ht="26.25">
      <c r="T4271" s="384" ph="1"/>
    </row>
    <row r="4272" spans="20:20" ht="26.25">
      <c r="T4272" s="384" ph="1"/>
    </row>
    <row r="4273" spans="20:20" ht="26.25">
      <c r="T4273" s="384" ph="1"/>
    </row>
    <row r="4274" spans="20:20" ht="26.25">
      <c r="T4274" s="384" ph="1"/>
    </row>
    <row r="4275" spans="20:20" ht="26.25">
      <c r="T4275" s="384" ph="1"/>
    </row>
    <row r="4276" spans="20:20" ht="26.25">
      <c r="T4276" s="384" ph="1"/>
    </row>
    <row r="4277" spans="20:20" ht="26.25">
      <c r="T4277" s="384" ph="1"/>
    </row>
    <row r="4278" spans="20:20" ht="26.25">
      <c r="T4278" s="384" ph="1"/>
    </row>
    <row r="4279" spans="20:20" ht="26.25">
      <c r="T4279" s="384" ph="1"/>
    </row>
    <row r="4280" spans="20:20" ht="26.25">
      <c r="T4280" s="384" ph="1"/>
    </row>
    <row r="4281" spans="20:20" ht="26.25">
      <c r="T4281" s="384" ph="1"/>
    </row>
    <row r="4282" spans="20:20" ht="26.25">
      <c r="T4282" s="384" ph="1"/>
    </row>
    <row r="4283" spans="20:20" ht="26.25">
      <c r="T4283" s="384" ph="1"/>
    </row>
    <row r="4284" spans="20:20" ht="26.25">
      <c r="T4284" s="384" ph="1"/>
    </row>
    <row r="4285" spans="20:20" ht="26.25">
      <c r="T4285" s="384" ph="1"/>
    </row>
    <row r="4286" spans="20:20" ht="26.25">
      <c r="T4286" s="384" ph="1"/>
    </row>
    <row r="4287" spans="20:20" ht="26.25">
      <c r="T4287" s="384" ph="1"/>
    </row>
    <row r="4288" spans="20:20" ht="26.25">
      <c r="T4288" s="384" ph="1"/>
    </row>
    <row r="4289" spans="20:20" ht="26.25">
      <c r="T4289" s="384" ph="1"/>
    </row>
    <row r="4290" spans="20:20" ht="26.25">
      <c r="T4290" s="384" ph="1"/>
    </row>
    <row r="4291" spans="20:20" ht="26.25">
      <c r="T4291" s="384" ph="1"/>
    </row>
    <row r="4292" spans="20:20" ht="26.25">
      <c r="T4292" s="384" ph="1"/>
    </row>
    <row r="4293" spans="20:20" ht="26.25">
      <c r="T4293" s="384" ph="1"/>
    </row>
    <row r="4294" spans="20:20" ht="26.25">
      <c r="T4294" s="384" ph="1"/>
    </row>
    <row r="4295" spans="20:20" ht="26.25">
      <c r="T4295" s="384" ph="1"/>
    </row>
    <row r="4296" spans="20:20" ht="26.25">
      <c r="T4296" s="384" ph="1"/>
    </row>
    <row r="4297" spans="20:20" ht="26.25">
      <c r="T4297" s="384" ph="1"/>
    </row>
    <row r="4298" spans="20:20" ht="26.25">
      <c r="T4298" s="384" ph="1"/>
    </row>
    <row r="4299" spans="20:20" ht="26.25">
      <c r="T4299" s="384" ph="1"/>
    </row>
    <row r="4300" spans="20:20" ht="26.25">
      <c r="T4300" s="384" ph="1"/>
    </row>
    <row r="4301" spans="20:20" ht="26.25">
      <c r="T4301" s="384" ph="1"/>
    </row>
    <row r="4302" spans="20:20" ht="26.25">
      <c r="T4302" s="384" ph="1"/>
    </row>
    <row r="4303" spans="20:20" ht="26.25">
      <c r="T4303" s="384" ph="1"/>
    </row>
    <row r="4304" spans="20:20" ht="26.25">
      <c r="T4304" s="384" ph="1"/>
    </row>
    <row r="4305" spans="20:20" ht="26.25">
      <c r="T4305" s="384" ph="1"/>
    </row>
    <row r="4306" spans="20:20" ht="26.25">
      <c r="T4306" s="384" ph="1"/>
    </row>
    <row r="4307" spans="20:20" ht="26.25">
      <c r="T4307" s="384" ph="1"/>
    </row>
    <row r="4308" spans="20:20" ht="26.25">
      <c r="T4308" s="384" ph="1"/>
    </row>
    <row r="4309" spans="20:20" ht="26.25">
      <c r="T4309" s="384" ph="1"/>
    </row>
    <row r="4310" spans="20:20" ht="26.25">
      <c r="T4310" s="384" ph="1"/>
    </row>
    <row r="4311" spans="20:20" ht="26.25">
      <c r="T4311" s="384" ph="1"/>
    </row>
    <row r="4312" spans="20:20" ht="26.25">
      <c r="T4312" s="384" ph="1"/>
    </row>
    <row r="4313" spans="20:20" ht="26.25">
      <c r="T4313" s="384" ph="1"/>
    </row>
    <row r="4314" spans="20:20" ht="26.25">
      <c r="T4314" s="384" ph="1"/>
    </row>
    <row r="4315" spans="20:20" ht="26.25">
      <c r="T4315" s="384" ph="1"/>
    </row>
    <row r="4316" spans="20:20" ht="26.25">
      <c r="T4316" s="384" ph="1"/>
    </row>
    <row r="4317" spans="20:20" ht="26.25">
      <c r="T4317" s="384" ph="1"/>
    </row>
    <row r="4318" spans="20:20" ht="26.25">
      <c r="T4318" s="384" ph="1"/>
    </row>
    <row r="4319" spans="20:20" ht="26.25">
      <c r="T4319" s="384" ph="1"/>
    </row>
    <row r="4320" spans="20:20" ht="26.25">
      <c r="T4320" s="384" ph="1"/>
    </row>
    <row r="4321" spans="20:20" ht="26.25">
      <c r="T4321" s="384" ph="1"/>
    </row>
    <row r="4322" spans="20:20" ht="26.25">
      <c r="T4322" s="384" ph="1"/>
    </row>
    <row r="4323" spans="20:20" ht="26.25">
      <c r="T4323" s="384" ph="1"/>
    </row>
    <row r="4324" spans="20:20" ht="26.25">
      <c r="T4324" s="384" ph="1"/>
    </row>
    <row r="4325" spans="20:20" ht="26.25">
      <c r="T4325" s="384" ph="1"/>
    </row>
    <row r="4326" spans="20:20" ht="26.25">
      <c r="T4326" s="384" ph="1"/>
    </row>
    <row r="4327" spans="20:20" ht="26.25">
      <c r="T4327" s="384" ph="1"/>
    </row>
    <row r="4328" spans="20:20" ht="26.25">
      <c r="T4328" s="384" ph="1"/>
    </row>
    <row r="4329" spans="20:20" ht="26.25">
      <c r="T4329" s="384" ph="1"/>
    </row>
    <row r="4330" spans="20:20" ht="26.25">
      <c r="T4330" s="384" ph="1"/>
    </row>
    <row r="4331" spans="20:20" ht="26.25">
      <c r="T4331" s="384" ph="1"/>
    </row>
    <row r="4332" spans="20:20" ht="26.25">
      <c r="T4332" s="384" ph="1"/>
    </row>
    <row r="4333" spans="20:20" ht="26.25">
      <c r="T4333" s="384" ph="1"/>
    </row>
    <row r="4334" spans="20:20" ht="26.25">
      <c r="T4334" s="384" ph="1"/>
    </row>
    <row r="4335" spans="20:20" ht="26.25">
      <c r="T4335" s="384" ph="1"/>
    </row>
    <row r="4336" spans="20:20" ht="26.25">
      <c r="T4336" s="384" ph="1"/>
    </row>
    <row r="4337" spans="20:20" ht="26.25">
      <c r="T4337" s="384" ph="1"/>
    </row>
    <row r="4338" spans="20:20" ht="26.25">
      <c r="T4338" s="384" ph="1"/>
    </row>
    <row r="4339" spans="20:20" ht="26.25">
      <c r="T4339" s="384" ph="1"/>
    </row>
    <row r="4340" spans="20:20" ht="26.25">
      <c r="T4340" s="384" ph="1"/>
    </row>
    <row r="4341" spans="20:20" ht="26.25">
      <c r="T4341" s="384" ph="1"/>
    </row>
    <row r="4342" spans="20:20" ht="26.25">
      <c r="T4342" s="384" ph="1"/>
    </row>
    <row r="4343" spans="20:20" ht="26.25">
      <c r="T4343" s="384" ph="1"/>
    </row>
    <row r="4344" spans="20:20" ht="26.25">
      <c r="T4344" s="384" ph="1"/>
    </row>
    <row r="4345" spans="20:20" ht="26.25">
      <c r="T4345" s="384" ph="1"/>
    </row>
    <row r="4346" spans="20:20" ht="26.25">
      <c r="T4346" s="384" ph="1"/>
    </row>
    <row r="4347" spans="20:20" ht="26.25">
      <c r="T4347" s="384" ph="1"/>
    </row>
    <row r="4348" spans="20:20" ht="26.25">
      <c r="T4348" s="384" ph="1"/>
    </row>
    <row r="4349" spans="20:20" ht="26.25">
      <c r="T4349" s="384" ph="1"/>
    </row>
    <row r="4350" spans="20:20" ht="26.25">
      <c r="T4350" s="384" ph="1"/>
    </row>
    <row r="4351" spans="20:20" ht="26.25">
      <c r="T4351" s="384" ph="1"/>
    </row>
    <row r="4352" spans="20:20" ht="26.25">
      <c r="T4352" s="384" ph="1"/>
    </row>
    <row r="4353" spans="20:20" ht="26.25">
      <c r="T4353" s="384" ph="1"/>
    </row>
    <row r="4354" spans="20:20" ht="26.25">
      <c r="T4354" s="384" ph="1"/>
    </row>
    <row r="4355" spans="20:20" ht="26.25">
      <c r="T4355" s="384" ph="1"/>
    </row>
    <row r="4356" spans="20:20" ht="26.25">
      <c r="T4356" s="384" ph="1"/>
    </row>
    <row r="4357" spans="20:20" ht="26.25">
      <c r="T4357" s="384" ph="1"/>
    </row>
    <row r="4358" spans="20:20" ht="26.25">
      <c r="T4358" s="384" ph="1"/>
    </row>
    <row r="4359" spans="20:20" ht="26.25">
      <c r="T4359" s="384" ph="1"/>
    </row>
    <row r="4360" spans="20:20" ht="26.25">
      <c r="T4360" s="384" ph="1"/>
    </row>
    <row r="4361" spans="20:20" ht="26.25">
      <c r="T4361" s="384" ph="1"/>
    </row>
    <row r="4362" spans="20:20" ht="26.25">
      <c r="T4362" s="384" ph="1"/>
    </row>
    <row r="4363" spans="20:20" ht="26.25">
      <c r="T4363" s="384" ph="1"/>
    </row>
    <row r="4364" spans="20:20" ht="26.25">
      <c r="T4364" s="384" ph="1"/>
    </row>
    <row r="4365" spans="20:20" ht="26.25">
      <c r="T4365" s="384" ph="1"/>
    </row>
    <row r="4366" spans="20:20" ht="26.25">
      <c r="T4366" s="384" ph="1"/>
    </row>
    <row r="4367" spans="20:20" ht="26.25">
      <c r="T4367" s="384" ph="1"/>
    </row>
    <row r="4368" spans="20:20" ht="26.25">
      <c r="T4368" s="384" ph="1"/>
    </row>
    <row r="4369" spans="20:20" ht="26.25">
      <c r="T4369" s="384" ph="1"/>
    </row>
    <row r="4370" spans="20:20" ht="26.25">
      <c r="T4370" s="384" ph="1"/>
    </row>
    <row r="4371" spans="20:20" ht="26.25">
      <c r="T4371" s="384" ph="1"/>
    </row>
    <row r="4372" spans="20:20" ht="26.25">
      <c r="T4372" s="384" ph="1"/>
    </row>
    <row r="4373" spans="20:20" ht="26.25">
      <c r="T4373" s="384" ph="1"/>
    </row>
    <row r="4374" spans="20:20" ht="26.25">
      <c r="T4374" s="384" ph="1"/>
    </row>
    <row r="4375" spans="20:20" ht="26.25">
      <c r="T4375" s="384" ph="1"/>
    </row>
    <row r="4376" spans="20:20" ht="26.25">
      <c r="T4376" s="384" ph="1"/>
    </row>
    <row r="4377" spans="20:20" ht="26.25">
      <c r="T4377" s="384" ph="1"/>
    </row>
    <row r="4378" spans="20:20" ht="26.25">
      <c r="T4378" s="384" ph="1"/>
    </row>
    <row r="4379" spans="20:20" ht="26.25">
      <c r="T4379" s="384" ph="1"/>
    </row>
    <row r="4380" spans="20:20" ht="26.25">
      <c r="T4380" s="384" ph="1"/>
    </row>
    <row r="4381" spans="20:20" ht="26.25">
      <c r="T4381" s="384" ph="1"/>
    </row>
    <row r="4382" spans="20:20" ht="26.25">
      <c r="T4382" s="384" ph="1"/>
    </row>
    <row r="4383" spans="20:20" ht="26.25">
      <c r="T4383" s="384" ph="1"/>
    </row>
    <row r="4384" spans="20:20" ht="26.25">
      <c r="T4384" s="384" ph="1"/>
    </row>
    <row r="4385" spans="20:20" ht="26.25">
      <c r="T4385" s="384" ph="1"/>
    </row>
    <row r="4386" spans="20:20" ht="26.25">
      <c r="T4386" s="384" ph="1"/>
    </row>
    <row r="4387" spans="20:20" ht="26.25">
      <c r="T4387" s="384" ph="1"/>
    </row>
    <row r="4388" spans="20:20" ht="26.25">
      <c r="T4388" s="384" ph="1"/>
    </row>
    <row r="4389" spans="20:20" ht="26.25">
      <c r="T4389" s="384" ph="1"/>
    </row>
    <row r="4390" spans="20:20" ht="26.25">
      <c r="T4390" s="384" ph="1"/>
    </row>
    <row r="4391" spans="20:20" ht="26.25">
      <c r="T4391" s="384" ph="1"/>
    </row>
    <row r="4392" spans="20:20" ht="26.25">
      <c r="T4392" s="384" ph="1"/>
    </row>
    <row r="4393" spans="20:20" ht="26.25">
      <c r="T4393" s="384" ph="1"/>
    </row>
    <row r="4394" spans="20:20" ht="26.25">
      <c r="T4394" s="384" ph="1"/>
    </row>
    <row r="4395" spans="20:20" ht="26.25">
      <c r="T4395" s="384" ph="1"/>
    </row>
    <row r="4396" spans="20:20" ht="26.25">
      <c r="T4396" s="384" ph="1"/>
    </row>
    <row r="4397" spans="20:20" ht="26.25">
      <c r="T4397" s="384" ph="1"/>
    </row>
    <row r="4398" spans="20:20" ht="26.25">
      <c r="T4398" s="384" ph="1"/>
    </row>
    <row r="4399" spans="20:20" ht="26.25">
      <c r="T4399" s="384" ph="1"/>
    </row>
    <row r="4400" spans="20:20" ht="26.25">
      <c r="T4400" s="384" ph="1"/>
    </row>
    <row r="4401" spans="20:20" ht="26.25">
      <c r="T4401" s="384" ph="1"/>
    </row>
    <row r="4402" spans="20:20" ht="26.25">
      <c r="T4402" s="384" ph="1"/>
    </row>
    <row r="4403" spans="20:20" ht="26.25">
      <c r="T4403" s="384" ph="1"/>
    </row>
    <row r="4404" spans="20:20" ht="26.25">
      <c r="T4404" s="384" ph="1"/>
    </row>
    <row r="4405" spans="20:20" ht="26.25">
      <c r="T4405" s="384" ph="1"/>
    </row>
    <row r="4406" spans="20:20" ht="26.25">
      <c r="T4406" s="384" ph="1"/>
    </row>
    <row r="4407" spans="20:20" ht="26.25">
      <c r="T4407" s="384" ph="1"/>
    </row>
    <row r="4408" spans="20:20" ht="26.25">
      <c r="T4408" s="384" ph="1"/>
    </row>
    <row r="4409" spans="20:20" ht="26.25">
      <c r="T4409" s="384" ph="1"/>
    </row>
    <row r="4410" spans="20:20" ht="26.25">
      <c r="T4410" s="384" ph="1"/>
    </row>
    <row r="4411" spans="20:20" ht="26.25">
      <c r="T4411" s="384" ph="1"/>
    </row>
    <row r="4412" spans="20:20" ht="26.25">
      <c r="T4412" s="384" ph="1"/>
    </row>
    <row r="4413" spans="20:20" ht="26.25">
      <c r="T4413" s="384" ph="1"/>
    </row>
    <row r="4414" spans="20:20" ht="26.25">
      <c r="T4414" s="384" ph="1"/>
    </row>
    <row r="4415" spans="20:20" ht="26.25">
      <c r="T4415" s="384" ph="1"/>
    </row>
    <row r="4416" spans="20:20" ht="26.25">
      <c r="T4416" s="384" ph="1"/>
    </row>
    <row r="4417" spans="20:20" ht="26.25">
      <c r="T4417" s="384" ph="1"/>
    </row>
    <row r="4418" spans="20:20" ht="26.25">
      <c r="T4418" s="384" ph="1"/>
    </row>
    <row r="4419" spans="20:20" ht="26.25">
      <c r="T4419" s="384" ph="1"/>
    </row>
    <row r="4420" spans="20:20" ht="26.25">
      <c r="T4420" s="384" ph="1"/>
    </row>
    <row r="4421" spans="20:20" ht="26.25">
      <c r="T4421" s="384" ph="1"/>
    </row>
    <row r="4422" spans="20:20" ht="26.25">
      <c r="T4422" s="384" ph="1"/>
    </row>
    <row r="4423" spans="20:20" ht="26.25">
      <c r="T4423" s="384" ph="1"/>
    </row>
    <row r="4424" spans="20:20" ht="26.25">
      <c r="T4424" s="384" ph="1"/>
    </row>
    <row r="4425" spans="20:20" ht="26.25">
      <c r="T4425" s="384" ph="1"/>
    </row>
    <row r="4426" spans="20:20" ht="26.25">
      <c r="T4426" s="384" ph="1"/>
    </row>
    <row r="4427" spans="20:20" ht="26.25">
      <c r="T4427" s="384" ph="1"/>
    </row>
    <row r="4428" spans="20:20" ht="26.25">
      <c r="T4428" s="384" ph="1"/>
    </row>
    <row r="4429" spans="20:20" ht="26.25">
      <c r="T4429" s="384" ph="1"/>
    </row>
    <row r="4430" spans="20:20" ht="26.25">
      <c r="T4430" s="384" ph="1"/>
    </row>
    <row r="4431" spans="20:20" ht="26.25">
      <c r="T4431" s="384" ph="1"/>
    </row>
    <row r="4432" spans="20:20" ht="26.25">
      <c r="T4432" s="384" ph="1"/>
    </row>
    <row r="4433" spans="20:20" ht="26.25">
      <c r="T4433" s="384" ph="1"/>
    </row>
    <row r="4434" spans="20:20" ht="26.25">
      <c r="T4434" s="384" ph="1"/>
    </row>
    <row r="4435" spans="20:20" ht="26.25">
      <c r="T4435" s="384" ph="1"/>
    </row>
    <row r="4436" spans="20:20" ht="26.25">
      <c r="T4436" s="384" ph="1"/>
    </row>
    <row r="4437" spans="20:20" ht="26.25">
      <c r="T4437" s="384" ph="1"/>
    </row>
    <row r="4438" spans="20:20" ht="26.25">
      <c r="T4438" s="384" ph="1"/>
    </row>
    <row r="4439" spans="20:20" ht="26.25">
      <c r="T4439" s="384" ph="1"/>
    </row>
    <row r="4440" spans="20:20" ht="26.25">
      <c r="T4440" s="384" ph="1"/>
    </row>
    <row r="4441" spans="20:20" ht="26.25">
      <c r="T4441" s="384" ph="1"/>
    </row>
    <row r="4442" spans="20:20" ht="26.25">
      <c r="T4442" s="384" ph="1"/>
    </row>
    <row r="4443" spans="20:20" ht="26.25">
      <c r="T4443" s="384" ph="1"/>
    </row>
    <row r="4444" spans="20:20" ht="26.25">
      <c r="T4444" s="384" ph="1"/>
    </row>
    <row r="4445" spans="20:20" ht="26.25">
      <c r="T4445" s="384" ph="1"/>
    </row>
    <row r="4446" spans="20:20" ht="26.25">
      <c r="T4446" s="384" ph="1"/>
    </row>
    <row r="4447" spans="20:20" ht="26.25">
      <c r="T4447" s="384" ph="1"/>
    </row>
    <row r="4448" spans="20:20" ht="26.25">
      <c r="T4448" s="384" ph="1"/>
    </row>
    <row r="4449" spans="20:20" ht="26.25">
      <c r="T4449" s="384" ph="1"/>
    </row>
    <row r="4450" spans="20:20" ht="26.25">
      <c r="T4450" s="384" ph="1"/>
    </row>
    <row r="4451" spans="20:20" ht="26.25">
      <c r="T4451" s="384" ph="1"/>
    </row>
    <row r="4452" spans="20:20" ht="26.25">
      <c r="T4452" s="384" ph="1"/>
    </row>
    <row r="4453" spans="20:20" ht="26.25">
      <c r="T4453" s="384" ph="1"/>
    </row>
    <row r="4454" spans="20:20" ht="26.25">
      <c r="T4454" s="384" ph="1"/>
    </row>
    <row r="4455" spans="20:20" ht="26.25">
      <c r="T4455" s="384" ph="1"/>
    </row>
    <row r="4456" spans="20:20" ht="26.25">
      <c r="T4456" s="384" ph="1"/>
    </row>
    <row r="4457" spans="20:20" ht="26.25">
      <c r="T4457" s="384" ph="1"/>
    </row>
    <row r="4458" spans="20:20" ht="26.25">
      <c r="T4458" s="384" ph="1"/>
    </row>
    <row r="4459" spans="20:20" ht="26.25">
      <c r="T4459" s="384" ph="1"/>
    </row>
    <row r="4460" spans="20:20" ht="26.25">
      <c r="T4460" s="384" ph="1"/>
    </row>
    <row r="4461" spans="20:20" ht="26.25">
      <c r="T4461" s="384" ph="1"/>
    </row>
    <row r="4462" spans="20:20" ht="26.25">
      <c r="T4462" s="384" ph="1"/>
    </row>
    <row r="4463" spans="20:20" ht="26.25">
      <c r="T4463" s="384" ph="1"/>
    </row>
    <row r="4464" spans="20:20" ht="26.25">
      <c r="T4464" s="384" ph="1"/>
    </row>
    <row r="4465" spans="20:20" ht="26.25">
      <c r="T4465" s="384" ph="1"/>
    </row>
    <row r="4466" spans="20:20" ht="26.25">
      <c r="T4466" s="384" ph="1"/>
    </row>
    <row r="4467" spans="20:20" ht="26.25">
      <c r="T4467" s="384" ph="1"/>
    </row>
    <row r="4468" spans="20:20" ht="26.25">
      <c r="T4468" s="384" ph="1"/>
    </row>
    <row r="4469" spans="20:20" ht="26.25">
      <c r="T4469" s="384" ph="1"/>
    </row>
    <row r="4470" spans="20:20" ht="26.25">
      <c r="T4470" s="384" ph="1"/>
    </row>
    <row r="4471" spans="20:20" ht="26.25">
      <c r="T4471" s="384" ph="1"/>
    </row>
    <row r="4472" spans="20:20" ht="26.25">
      <c r="T4472" s="384" ph="1"/>
    </row>
    <row r="4473" spans="20:20" ht="26.25">
      <c r="T4473" s="384" ph="1"/>
    </row>
    <row r="4474" spans="20:20" ht="26.25">
      <c r="T4474" s="384" ph="1"/>
    </row>
    <row r="4475" spans="20:20" ht="26.25">
      <c r="T4475" s="384" ph="1"/>
    </row>
    <row r="4476" spans="20:20" ht="26.25">
      <c r="T4476" s="384" ph="1"/>
    </row>
    <row r="4477" spans="20:20" ht="26.25">
      <c r="T4477" s="384" ph="1"/>
    </row>
    <row r="4478" spans="20:20" ht="26.25">
      <c r="T4478" s="384" ph="1"/>
    </row>
    <row r="4479" spans="20:20" ht="26.25">
      <c r="T4479" s="384" ph="1"/>
    </row>
    <row r="4480" spans="20:20" ht="26.25">
      <c r="T4480" s="384" ph="1"/>
    </row>
    <row r="4481" spans="20:20" ht="26.25">
      <c r="T4481" s="384" ph="1"/>
    </row>
    <row r="4482" spans="20:20" ht="26.25">
      <c r="T4482" s="384" ph="1"/>
    </row>
    <row r="4483" spans="20:20" ht="26.25">
      <c r="T4483" s="384" ph="1"/>
    </row>
    <row r="4484" spans="20:20" ht="26.25">
      <c r="T4484" s="384" ph="1"/>
    </row>
    <row r="4485" spans="20:20" ht="26.25">
      <c r="T4485" s="384" ph="1"/>
    </row>
    <row r="4486" spans="20:20" ht="26.25">
      <c r="T4486" s="384" ph="1"/>
    </row>
    <row r="4487" spans="20:20" ht="26.25">
      <c r="T4487" s="384" ph="1"/>
    </row>
    <row r="4488" spans="20:20" ht="26.25">
      <c r="T4488" s="384" ph="1"/>
    </row>
    <row r="4489" spans="20:20" ht="26.25">
      <c r="T4489" s="384" ph="1"/>
    </row>
    <row r="4490" spans="20:20" ht="26.25">
      <c r="T4490" s="384" ph="1"/>
    </row>
    <row r="4491" spans="20:20" ht="26.25">
      <c r="T4491" s="384" ph="1"/>
    </row>
    <row r="4492" spans="20:20" ht="26.25">
      <c r="T4492" s="384" ph="1"/>
    </row>
    <row r="4493" spans="20:20" ht="26.25">
      <c r="T4493" s="384" ph="1"/>
    </row>
    <row r="4494" spans="20:20" ht="26.25">
      <c r="T4494" s="384" ph="1"/>
    </row>
    <row r="4495" spans="20:20" ht="26.25">
      <c r="T4495" s="384" ph="1"/>
    </row>
    <row r="4496" spans="20:20" ht="26.25">
      <c r="T4496" s="384" ph="1"/>
    </row>
    <row r="4497" spans="20:20" ht="26.25">
      <c r="T4497" s="384" ph="1"/>
    </row>
    <row r="4498" spans="20:20" ht="26.25">
      <c r="T4498" s="384" ph="1"/>
    </row>
    <row r="4499" spans="20:20" ht="26.25">
      <c r="T4499" s="384" ph="1"/>
    </row>
    <row r="4500" spans="20:20" ht="26.25">
      <c r="T4500" s="384" ph="1"/>
    </row>
    <row r="4501" spans="20:20" ht="26.25">
      <c r="T4501" s="384" ph="1"/>
    </row>
    <row r="4502" spans="20:20" ht="26.25">
      <c r="T4502" s="384" ph="1"/>
    </row>
    <row r="4503" spans="20:20" ht="26.25">
      <c r="T4503" s="384" ph="1"/>
    </row>
    <row r="4504" spans="20:20" ht="26.25">
      <c r="T4504" s="384" ph="1"/>
    </row>
    <row r="4505" spans="20:20" ht="26.25">
      <c r="T4505" s="384" ph="1"/>
    </row>
    <row r="4506" spans="20:20" ht="26.25">
      <c r="T4506" s="384" ph="1"/>
    </row>
    <row r="4507" spans="20:20" ht="26.25">
      <c r="T4507" s="384" ph="1"/>
    </row>
    <row r="4508" spans="20:20" ht="26.25">
      <c r="T4508" s="384" ph="1"/>
    </row>
    <row r="4509" spans="20:20" ht="26.25">
      <c r="T4509" s="384" ph="1"/>
    </row>
    <row r="4510" spans="20:20" ht="26.25">
      <c r="T4510" s="384" ph="1"/>
    </row>
    <row r="4511" spans="20:20" ht="26.25">
      <c r="T4511" s="384" ph="1"/>
    </row>
    <row r="4512" spans="20:20" ht="26.25">
      <c r="T4512" s="384" ph="1"/>
    </row>
    <row r="4513" spans="20:20" ht="26.25">
      <c r="T4513" s="384" ph="1"/>
    </row>
    <row r="4514" spans="20:20" ht="26.25">
      <c r="T4514" s="384" ph="1"/>
    </row>
    <row r="4515" spans="20:20" ht="26.25">
      <c r="T4515" s="384" ph="1"/>
    </row>
    <row r="4516" spans="20:20" ht="26.25">
      <c r="T4516" s="384" ph="1"/>
    </row>
    <row r="4517" spans="20:20" ht="26.25">
      <c r="T4517" s="384" ph="1"/>
    </row>
    <row r="4518" spans="20:20" ht="26.25">
      <c r="T4518" s="384" ph="1"/>
    </row>
    <row r="4519" spans="20:20" ht="26.25">
      <c r="T4519" s="384" ph="1"/>
    </row>
    <row r="4520" spans="20:20" ht="26.25">
      <c r="T4520" s="384" ph="1"/>
    </row>
    <row r="4521" spans="20:20" ht="26.25">
      <c r="T4521" s="384" ph="1"/>
    </row>
    <row r="4522" spans="20:20" ht="26.25">
      <c r="T4522" s="384" ph="1"/>
    </row>
    <row r="4523" spans="20:20" ht="26.25">
      <c r="T4523" s="384" ph="1"/>
    </row>
    <row r="4524" spans="20:20" ht="26.25">
      <c r="T4524" s="384" ph="1"/>
    </row>
    <row r="4525" spans="20:20" ht="26.25">
      <c r="T4525" s="384" ph="1"/>
    </row>
    <row r="4526" spans="20:20" ht="26.25">
      <c r="T4526" s="384" ph="1"/>
    </row>
    <row r="4527" spans="20:20" ht="26.25">
      <c r="T4527" s="384" ph="1"/>
    </row>
    <row r="4528" spans="20:20" ht="26.25">
      <c r="T4528" s="384" ph="1"/>
    </row>
    <row r="4529" spans="20:20" ht="26.25">
      <c r="T4529" s="384" ph="1"/>
    </row>
    <row r="4530" spans="20:20" ht="26.25">
      <c r="T4530" s="384" ph="1"/>
    </row>
    <row r="4531" spans="20:20" ht="26.25">
      <c r="T4531" s="384" ph="1"/>
    </row>
    <row r="4532" spans="20:20" ht="26.25">
      <c r="T4532" s="384" ph="1"/>
    </row>
    <row r="4533" spans="20:20" ht="26.25">
      <c r="T4533" s="384" ph="1"/>
    </row>
    <row r="4534" spans="20:20" ht="26.25">
      <c r="T4534" s="384" ph="1"/>
    </row>
    <row r="4535" spans="20:20" ht="26.25">
      <c r="T4535" s="384" ph="1"/>
    </row>
    <row r="4536" spans="20:20" ht="26.25">
      <c r="T4536" s="384" ph="1"/>
    </row>
    <row r="4537" spans="20:20" ht="26.25">
      <c r="T4537" s="384" ph="1"/>
    </row>
    <row r="4538" spans="20:20" ht="26.25">
      <c r="T4538" s="384" ph="1"/>
    </row>
    <row r="4539" spans="20:20" ht="26.25">
      <c r="T4539" s="384" ph="1"/>
    </row>
    <row r="4540" spans="20:20" ht="26.25">
      <c r="T4540" s="384" ph="1"/>
    </row>
    <row r="4541" spans="20:20" ht="26.25">
      <c r="T4541" s="384" ph="1"/>
    </row>
    <row r="4542" spans="20:20" ht="26.25">
      <c r="T4542" s="384" ph="1"/>
    </row>
    <row r="4543" spans="20:20" ht="26.25">
      <c r="T4543" s="384" ph="1"/>
    </row>
    <row r="4544" spans="20:20" ht="26.25">
      <c r="T4544" s="384" ph="1"/>
    </row>
    <row r="4545" spans="20:20" ht="26.25">
      <c r="T4545" s="384" ph="1"/>
    </row>
    <row r="4546" spans="20:20" ht="26.25">
      <c r="T4546" s="384" ph="1"/>
    </row>
    <row r="4547" spans="20:20" ht="26.25">
      <c r="T4547" s="384" ph="1"/>
    </row>
    <row r="4548" spans="20:20" ht="26.25">
      <c r="T4548" s="384" ph="1"/>
    </row>
    <row r="4549" spans="20:20" ht="26.25">
      <c r="T4549" s="384" ph="1"/>
    </row>
    <row r="4550" spans="20:20" ht="26.25">
      <c r="T4550" s="384" ph="1"/>
    </row>
    <row r="4551" spans="20:20" ht="26.25">
      <c r="T4551" s="384" ph="1"/>
    </row>
    <row r="4552" spans="20:20" ht="26.25">
      <c r="T4552" s="384" ph="1"/>
    </row>
    <row r="4553" spans="20:20" ht="26.25">
      <c r="T4553" s="384" ph="1"/>
    </row>
    <row r="4554" spans="20:20" ht="26.25">
      <c r="T4554" s="384" ph="1"/>
    </row>
    <row r="4555" spans="20:20" ht="26.25">
      <c r="T4555" s="384" ph="1"/>
    </row>
    <row r="4556" spans="20:20" ht="26.25">
      <c r="T4556" s="384" ph="1"/>
    </row>
    <row r="4557" spans="20:20" ht="26.25">
      <c r="T4557" s="384" ph="1"/>
    </row>
    <row r="4558" spans="20:20" ht="26.25">
      <c r="T4558" s="384" ph="1"/>
    </row>
    <row r="4559" spans="20:20" ht="26.25">
      <c r="T4559" s="384" ph="1"/>
    </row>
    <row r="4560" spans="20:20" ht="26.25">
      <c r="T4560" s="384" ph="1"/>
    </row>
    <row r="4561" spans="20:20" ht="26.25">
      <c r="T4561" s="384" ph="1"/>
    </row>
    <row r="4562" spans="20:20" ht="26.25">
      <c r="T4562" s="384" ph="1"/>
    </row>
    <row r="4563" spans="20:20" ht="26.25">
      <c r="T4563" s="384" ph="1"/>
    </row>
    <row r="4564" spans="20:20" ht="26.25">
      <c r="T4564" s="384" ph="1"/>
    </row>
    <row r="4565" spans="20:20" ht="26.25">
      <c r="T4565" s="384" ph="1"/>
    </row>
    <row r="4566" spans="20:20" ht="26.25">
      <c r="T4566" s="384" ph="1"/>
    </row>
    <row r="4567" spans="20:20" ht="26.25">
      <c r="T4567" s="384" ph="1"/>
    </row>
    <row r="4568" spans="20:20" ht="26.25">
      <c r="T4568" s="384" ph="1"/>
    </row>
    <row r="4569" spans="20:20" ht="26.25">
      <c r="T4569" s="384" ph="1"/>
    </row>
    <row r="4570" spans="20:20" ht="26.25">
      <c r="T4570" s="384" ph="1"/>
    </row>
    <row r="4571" spans="20:20" ht="26.25">
      <c r="T4571" s="384" ph="1"/>
    </row>
    <row r="4572" spans="20:20" ht="26.25">
      <c r="T4572" s="384" ph="1"/>
    </row>
    <row r="4573" spans="20:20" ht="26.25">
      <c r="T4573" s="384" ph="1"/>
    </row>
    <row r="4574" spans="20:20" ht="26.25">
      <c r="T4574" s="384" ph="1"/>
    </row>
    <row r="4575" spans="20:20" ht="26.25">
      <c r="T4575" s="384" ph="1"/>
    </row>
    <row r="4576" spans="20:20" ht="26.25">
      <c r="T4576" s="384" ph="1"/>
    </row>
    <row r="4577" spans="20:20" ht="26.25">
      <c r="T4577" s="384" ph="1"/>
    </row>
    <row r="4578" spans="20:20" ht="26.25">
      <c r="T4578" s="384" ph="1"/>
    </row>
    <row r="4579" spans="20:20" ht="26.25">
      <c r="T4579" s="384" ph="1"/>
    </row>
    <row r="4580" spans="20:20" ht="26.25">
      <c r="T4580" s="384" ph="1"/>
    </row>
    <row r="4581" spans="20:20" ht="26.25">
      <c r="T4581" s="384" ph="1"/>
    </row>
    <row r="4582" spans="20:20" ht="26.25">
      <c r="T4582" s="384" ph="1"/>
    </row>
    <row r="4583" spans="20:20" ht="26.25">
      <c r="T4583" s="384" ph="1"/>
    </row>
    <row r="4584" spans="20:20" ht="26.25">
      <c r="T4584" s="384" ph="1"/>
    </row>
    <row r="4585" spans="20:20" ht="26.25">
      <c r="T4585" s="384" ph="1"/>
    </row>
    <row r="4586" spans="20:20" ht="26.25">
      <c r="T4586" s="384" ph="1"/>
    </row>
    <row r="4587" spans="20:20" ht="26.25">
      <c r="T4587" s="384" ph="1"/>
    </row>
    <row r="4588" spans="20:20" ht="26.25">
      <c r="T4588" s="384" ph="1"/>
    </row>
    <row r="4589" spans="20:20" ht="26.25">
      <c r="T4589" s="384" ph="1"/>
    </row>
    <row r="4590" spans="20:20" ht="26.25">
      <c r="T4590" s="384" ph="1"/>
    </row>
    <row r="4591" spans="20:20" ht="26.25">
      <c r="T4591" s="384" ph="1"/>
    </row>
    <row r="4592" spans="20:20" ht="26.25">
      <c r="T4592" s="384" ph="1"/>
    </row>
    <row r="4593" spans="20:20" ht="26.25">
      <c r="T4593" s="384" ph="1"/>
    </row>
    <row r="4594" spans="20:20" ht="26.25">
      <c r="T4594" s="384" ph="1"/>
    </row>
    <row r="4595" spans="20:20" ht="26.25">
      <c r="T4595" s="384" ph="1"/>
    </row>
    <row r="4596" spans="20:20" ht="26.25">
      <c r="T4596" s="384" ph="1"/>
    </row>
    <row r="4597" spans="20:20" ht="26.25">
      <c r="T4597" s="384" ph="1"/>
    </row>
    <row r="4598" spans="20:20" ht="26.25">
      <c r="T4598" s="384" ph="1"/>
    </row>
    <row r="4599" spans="20:20" ht="26.25">
      <c r="T4599" s="384" ph="1"/>
    </row>
    <row r="4600" spans="20:20" ht="26.25">
      <c r="T4600" s="384" ph="1"/>
    </row>
    <row r="4601" spans="20:20" ht="26.25">
      <c r="T4601" s="384" ph="1"/>
    </row>
    <row r="4602" spans="20:20" ht="26.25">
      <c r="T4602" s="384" ph="1"/>
    </row>
    <row r="4603" spans="20:20" ht="26.25">
      <c r="T4603" s="384" ph="1"/>
    </row>
    <row r="4604" spans="20:20" ht="26.25">
      <c r="T4604" s="384" ph="1"/>
    </row>
    <row r="4605" spans="20:20" ht="26.25">
      <c r="T4605" s="384" ph="1"/>
    </row>
    <row r="4606" spans="20:20" ht="26.25">
      <c r="T4606" s="384" ph="1"/>
    </row>
    <row r="4607" spans="20:20" ht="26.25">
      <c r="T4607" s="384" ph="1"/>
    </row>
    <row r="4608" spans="20:20" ht="26.25">
      <c r="T4608" s="384" ph="1"/>
    </row>
    <row r="4609" spans="20:20" ht="26.25">
      <c r="T4609" s="384" ph="1"/>
    </row>
    <row r="4610" spans="20:20" ht="26.25">
      <c r="T4610" s="384" ph="1"/>
    </row>
    <row r="4611" spans="20:20" ht="26.25">
      <c r="T4611" s="384" ph="1"/>
    </row>
    <row r="4612" spans="20:20" ht="26.25">
      <c r="T4612" s="384" ph="1"/>
    </row>
    <row r="4613" spans="20:20" ht="26.25">
      <c r="T4613" s="384" ph="1"/>
    </row>
    <row r="4614" spans="20:20" ht="26.25">
      <c r="T4614" s="384" ph="1"/>
    </row>
    <row r="4615" spans="20:20" ht="26.25">
      <c r="T4615" s="384" ph="1"/>
    </row>
    <row r="4616" spans="20:20" ht="26.25">
      <c r="T4616" s="384" ph="1"/>
    </row>
    <row r="4617" spans="20:20" ht="26.25">
      <c r="T4617" s="384" ph="1"/>
    </row>
    <row r="4618" spans="20:20" ht="26.25">
      <c r="T4618" s="384" ph="1"/>
    </row>
    <row r="4619" spans="20:20" ht="26.25">
      <c r="T4619" s="384" ph="1"/>
    </row>
    <row r="4620" spans="20:20" ht="26.25">
      <c r="T4620" s="384" ph="1"/>
    </row>
    <row r="4621" spans="20:20" ht="26.25">
      <c r="T4621" s="384" ph="1"/>
    </row>
    <row r="4622" spans="20:20" ht="26.25">
      <c r="T4622" s="384" ph="1"/>
    </row>
    <row r="4623" spans="20:20" ht="26.25">
      <c r="T4623" s="384" ph="1"/>
    </row>
    <row r="4624" spans="20:20" ht="26.25">
      <c r="T4624" s="384" ph="1"/>
    </row>
    <row r="4625" spans="20:20" ht="26.25">
      <c r="T4625" s="384" ph="1"/>
    </row>
    <row r="4626" spans="20:20" ht="26.25">
      <c r="T4626" s="384" ph="1"/>
    </row>
    <row r="4627" spans="20:20" ht="26.25">
      <c r="T4627" s="384" ph="1"/>
    </row>
    <row r="4628" spans="20:20" ht="26.25">
      <c r="T4628" s="384" ph="1"/>
    </row>
    <row r="4629" spans="20:20" ht="26.25">
      <c r="T4629" s="384" ph="1"/>
    </row>
    <row r="4630" spans="20:20" ht="26.25">
      <c r="T4630" s="384" ph="1"/>
    </row>
    <row r="4631" spans="20:20" ht="26.25">
      <c r="T4631" s="384" ph="1"/>
    </row>
    <row r="4632" spans="20:20" ht="26.25">
      <c r="T4632" s="384" ph="1"/>
    </row>
    <row r="4633" spans="20:20" ht="26.25">
      <c r="T4633" s="384" ph="1"/>
    </row>
    <row r="4634" spans="20:20" ht="26.25">
      <c r="T4634" s="384" ph="1"/>
    </row>
    <row r="4635" spans="20:20" ht="26.25">
      <c r="T4635" s="384" ph="1"/>
    </row>
    <row r="4636" spans="20:20" ht="26.25">
      <c r="T4636" s="384" ph="1"/>
    </row>
    <row r="4637" spans="20:20" ht="26.25">
      <c r="T4637" s="384" ph="1"/>
    </row>
    <row r="4638" spans="20:20" ht="26.25">
      <c r="T4638" s="384" ph="1"/>
    </row>
    <row r="4639" spans="20:20" ht="26.25">
      <c r="T4639" s="384" ph="1"/>
    </row>
    <row r="4640" spans="20:20" ht="26.25">
      <c r="T4640" s="384" ph="1"/>
    </row>
    <row r="4641" spans="20:20" ht="26.25">
      <c r="T4641" s="384" ph="1"/>
    </row>
    <row r="4642" spans="20:20" ht="26.25">
      <c r="T4642" s="384" ph="1"/>
    </row>
    <row r="4643" spans="20:20" ht="26.25">
      <c r="T4643" s="384" ph="1"/>
    </row>
    <row r="4644" spans="20:20" ht="26.25">
      <c r="T4644" s="384" ph="1"/>
    </row>
    <row r="4645" spans="20:20" ht="26.25">
      <c r="T4645" s="384" ph="1"/>
    </row>
    <row r="4646" spans="20:20" ht="26.25">
      <c r="T4646" s="384" ph="1"/>
    </row>
    <row r="4647" spans="20:20" ht="26.25">
      <c r="T4647" s="384" ph="1"/>
    </row>
    <row r="4648" spans="20:20" ht="26.25">
      <c r="T4648" s="384" ph="1"/>
    </row>
    <row r="4649" spans="20:20" ht="26.25">
      <c r="T4649" s="384" ph="1"/>
    </row>
    <row r="4650" spans="20:20" ht="26.25">
      <c r="T4650" s="384" ph="1"/>
    </row>
    <row r="4651" spans="20:20" ht="26.25">
      <c r="T4651" s="384" ph="1"/>
    </row>
    <row r="4652" spans="20:20" ht="26.25">
      <c r="T4652" s="384" ph="1"/>
    </row>
    <row r="4653" spans="20:20" ht="26.25">
      <c r="T4653" s="384" ph="1"/>
    </row>
    <row r="4654" spans="20:20" ht="26.25">
      <c r="T4654" s="384" ph="1"/>
    </row>
    <row r="4655" spans="20:20" ht="26.25">
      <c r="T4655" s="384" ph="1"/>
    </row>
    <row r="4656" spans="20:20" ht="26.25">
      <c r="T4656" s="384" ph="1"/>
    </row>
    <row r="4657" spans="20:20" ht="26.25">
      <c r="T4657" s="384" ph="1"/>
    </row>
    <row r="4658" spans="20:20" ht="26.25">
      <c r="T4658" s="384" ph="1"/>
    </row>
    <row r="4659" spans="20:20" ht="26.25">
      <c r="T4659" s="384" ph="1"/>
    </row>
    <row r="4660" spans="20:20" ht="26.25">
      <c r="T4660" s="384" ph="1"/>
    </row>
    <row r="4661" spans="20:20" ht="26.25">
      <c r="T4661" s="384" ph="1"/>
    </row>
    <row r="4662" spans="20:20" ht="26.25">
      <c r="T4662" s="384" ph="1"/>
    </row>
    <row r="4663" spans="20:20" ht="26.25">
      <c r="T4663" s="384" ph="1"/>
    </row>
    <row r="4664" spans="20:20" ht="26.25">
      <c r="T4664" s="384" ph="1"/>
    </row>
    <row r="4665" spans="20:20" ht="26.25">
      <c r="T4665" s="384" ph="1"/>
    </row>
    <row r="4666" spans="20:20" ht="26.25">
      <c r="T4666" s="384" ph="1"/>
    </row>
    <row r="4667" spans="20:20" ht="26.25">
      <c r="T4667" s="384" ph="1"/>
    </row>
    <row r="4668" spans="20:20" ht="26.25">
      <c r="T4668" s="384" ph="1"/>
    </row>
    <row r="4669" spans="20:20" ht="26.25">
      <c r="T4669" s="384" ph="1"/>
    </row>
    <row r="4670" spans="20:20" ht="26.25">
      <c r="T4670" s="384" ph="1"/>
    </row>
    <row r="4671" spans="20:20" ht="26.25">
      <c r="T4671" s="384" ph="1"/>
    </row>
    <row r="4672" spans="20:20" ht="26.25">
      <c r="T4672" s="384" ph="1"/>
    </row>
    <row r="4673" spans="20:20" ht="26.25">
      <c r="T4673" s="384" ph="1"/>
    </row>
    <row r="4674" spans="20:20" ht="26.25">
      <c r="T4674" s="384" ph="1"/>
    </row>
    <row r="4675" spans="20:20" ht="26.25">
      <c r="T4675" s="384" ph="1"/>
    </row>
    <row r="4676" spans="20:20" ht="26.25">
      <c r="T4676" s="384" ph="1"/>
    </row>
    <row r="4677" spans="20:20" ht="26.25">
      <c r="T4677" s="384" ph="1"/>
    </row>
    <row r="4678" spans="20:20" ht="26.25">
      <c r="T4678" s="384" ph="1"/>
    </row>
    <row r="4679" spans="20:20" ht="26.25">
      <c r="T4679" s="384" ph="1"/>
    </row>
    <row r="4680" spans="20:20" ht="26.25">
      <c r="T4680" s="384" ph="1"/>
    </row>
    <row r="4681" spans="20:20" ht="26.25">
      <c r="T4681" s="384" ph="1"/>
    </row>
    <row r="4682" spans="20:20" ht="26.25">
      <c r="T4682" s="384" ph="1"/>
    </row>
    <row r="4683" spans="20:20" ht="26.25">
      <c r="T4683" s="384" ph="1"/>
    </row>
    <row r="4684" spans="20:20" ht="26.25">
      <c r="T4684" s="384" ph="1"/>
    </row>
    <row r="4685" spans="20:20" ht="26.25">
      <c r="T4685" s="384" ph="1"/>
    </row>
    <row r="4686" spans="20:20" ht="26.25">
      <c r="T4686" s="384" ph="1"/>
    </row>
    <row r="4687" spans="20:20" ht="26.25">
      <c r="T4687" s="384" ph="1"/>
    </row>
    <row r="4688" spans="20:20" ht="26.25">
      <c r="T4688" s="384" ph="1"/>
    </row>
    <row r="4689" spans="20:20" ht="26.25">
      <c r="T4689" s="384" ph="1"/>
    </row>
    <row r="4690" spans="20:20" ht="26.25">
      <c r="T4690" s="384" ph="1"/>
    </row>
    <row r="4691" spans="20:20" ht="26.25">
      <c r="T4691" s="384" ph="1"/>
    </row>
    <row r="4692" spans="20:20" ht="26.25">
      <c r="T4692" s="384" ph="1"/>
    </row>
    <row r="4693" spans="20:20" ht="26.25">
      <c r="T4693" s="384" ph="1"/>
    </row>
    <row r="4694" spans="20:20" ht="26.25">
      <c r="T4694" s="384" ph="1"/>
    </row>
    <row r="4695" spans="20:20" ht="26.25">
      <c r="T4695" s="384" ph="1"/>
    </row>
    <row r="4696" spans="20:20" ht="26.25">
      <c r="T4696" s="384" ph="1"/>
    </row>
    <row r="4697" spans="20:20" ht="26.25">
      <c r="T4697" s="384" ph="1"/>
    </row>
    <row r="4698" spans="20:20" ht="26.25">
      <c r="T4698" s="384" ph="1"/>
    </row>
    <row r="4699" spans="20:20" ht="26.25">
      <c r="T4699" s="384" ph="1"/>
    </row>
    <row r="4700" spans="20:20" ht="26.25">
      <c r="T4700" s="384" ph="1"/>
    </row>
    <row r="4701" spans="20:20" ht="26.25">
      <c r="T4701" s="384" ph="1"/>
    </row>
    <row r="4702" spans="20:20" ht="26.25">
      <c r="T4702" s="384" ph="1"/>
    </row>
    <row r="4703" spans="20:20" ht="26.25">
      <c r="T4703" s="384" ph="1"/>
    </row>
    <row r="4704" spans="20:20" ht="26.25">
      <c r="T4704" s="384" ph="1"/>
    </row>
    <row r="4705" spans="20:20" ht="26.25">
      <c r="T4705" s="384" ph="1"/>
    </row>
    <row r="4706" spans="20:20" ht="26.25">
      <c r="T4706" s="384" ph="1"/>
    </row>
    <row r="4707" spans="20:20" ht="26.25">
      <c r="T4707" s="384" ph="1"/>
    </row>
    <row r="4708" spans="20:20" ht="26.25">
      <c r="T4708" s="384" ph="1"/>
    </row>
    <row r="4709" spans="20:20" ht="26.25">
      <c r="T4709" s="384" ph="1"/>
    </row>
    <row r="4710" spans="20:20" ht="26.25">
      <c r="T4710" s="384" ph="1"/>
    </row>
    <row r="4711" spans="20:20" ht="26.25">
      <c r="T4711" s="384" ph="1"/>
    </row>
    <row r="4712" spans="20:20" ht="26.25">
      <c r="T4712" s="384" ph="1"/>
    </row>
    <row r="4713" spans="20:20" ht="26.25">
      <c r="T4713" s="384" ph="1"/>
    </row>
    <row r="4714" spans="20:20" ht="26.25">
      <c r="T4714" s="384" ph="1"/>
    </row>
    <row r="4715" spans="20:20" ht="26.25">
      <c r="T4715" s="384" ph="1"/>
    </row>
    <row r="4716" spans="20:20" ht="26.25">
      <c r="T4716" s="384" ph="1"/>
    </row>
    <row r="4717" spans="20:20" ht="26.25">
      <c r="T4717" s="384" ph="1"/>
    </row>
    <row r="4718" spans="20:20" ht="26.25">
      <c r="T4718" s="384" ph="1"/>
    </row>
    <row r="4719" spans="20:20" ht="26.25">
      <c r="T4719" s="384" ph="1"/>
    </row>
    <row r="4720" spans="20:20" ht="26.25">
      <c r="T4720" s="384" ph="1"/>
    </row>
    <row r="4721" spans="20:20" ht="26.25">
      <c r="T4721" s="384" ph="1"/>
    </row>
    <row r="4722" spans="20:20" ht="26.25">
      <c r="T4722" s="384" ph="1"/>
    </row>
    <row r="4723" spans="20:20" ht="26.25">
      <c r="T4723" s="384" ph="1"/>
    </row>
    <row r="4724" spans="20:20" ht="26.25">
      <c r="T4724" s="384" ph="1"/>
    </row>
    <row r="4725" spans="20:20" ht="26.25">
      <c r="T4725" s="384" ph="1"/>
    </row>
    <row r="4726" spans="20:20" ht="26.25">
      <c r="T4726" s="384" ph="1"/>
    </row>
    <row r="4727" spans="20:20" ht="26.25">
      <c r="T4727" s="384" ph="1"/>
    </row>
    <row r="4728" spans="20:20" ht="26.25">
      <c r="T4728" s="384" ph="1"/>
    </row>
    <row r="4729" spans="20:20" ht="26.25">
      <c r="T4729" s="384" ph="1"/>
    </row>
    <row r="4730" spans="20:20" ht="26.25">
      <c r="T4730" s="384" ph="1"/>
    </row>
    <row r="4731" spans="20:20" ht="26.25">
      <c r="T4731" s="384" ph="1"/>
    </row>
    <row r="4732" spans="20:20" ht="26.25">
      <c r="T4732" s="384" ph="1"/>
    </row>
    <row r="4733" spans="20:20" ht="26.25">
      <c r="T4733" s="384" ph="1"/>
    </row>
    <row r="4734" spans="20:20" ht="26.25">
      <c r="T4734" s="384" ph="1"/>
    </row>
    <row r="4735" spans="20:20" ht="26.25">
      <c r="T4735" s="384" ph="1"/>
    </row>
    <row r="4736" spans="20:20" ht="26.25">
      <c r="T4736" s="384" ph="1"/>
    </row>
    <row r="4737" spans="20:20" ht="26.25">
      <c r="T4737" s="384" ph="1"/>
    </row>
    <row r="4738" spans="20:20" ht="26.25">
      <c r="T4738" s="384" ph="1"/>
    </row>
    <row r="4739" spans="20:20" ht="26.25">
      <c r="T4739" s="384" ph="1"/>
    </row>
    <row r="4740" spans="20:20" ht="26.25">
      <c r="T4740" s="384" ph="1"/>
    </row>
    <row r="4741" spans="20:20" ht="26.25">
      <c r="T4741" s="384" ph="1"/>
    </row>
    <row r="4742" spans="20:20" ht="26.25">
      <c r="T4742" s="384" ph="1"/>
    </row>
    <row r="4743" spans="20:20" ht="26.25">
      <c r="T4743" s="384" ph="1"/>
    </row>
    <row r="4744" spans="20:20" ht="26.25">
      <c r="T4744" s="384" ph="1"/>
    </row>
    <row r="4745" spans="20:20" ht="26.25">
      <c r="T4745" s="384" ph="1"/>
    </row>
    <row r="4746" spans="20:20" ht="26.25">
      <c r="T4746" s="384" ph="1"/>
    </row>
    <row r="4747" spans="20:20" ht="26.25">
      <c r="T4747" s="384" ph="1"/>
    </row>
    <row r="4748" spans="20:20" ht="26.25">
      <c r="T4748" s="384" ph="1"/>
    </row>
    <row r="4749" spans="20:20" ht="26.25">
      <c r="T4749" s="384" ph="1"/>
    </row>
    <row r="4750" spans="20:20" ht="26.25">
      <c r="T4750" s="384" ph="1"/>
    </row>
    <row r="4751" spans="20:20" ht="26.25">
      <c r="T4751" s="384" ph="1"/>
    </row>
    <row r="4752" spans="20:20" ht="26.25">
      <c r="T4752" s="384" ph="1"/>
    </row>
    <row r="4753" spans="20:20" ht="26.25">
      <c r="T4753" s="384" ph="1"/>
    </row>
    <row r="4754" spans="20:20" ht="26.25">
      <c r="T4754" s="384" ph="1"/>
    </row>
    <row r="4755" spans="20:20" ht="26.25">
      <c r="T4755" s="384" ph="1"/>
    </row>
    <row r="4756" spans="20:20" ht="26.25">
      <c r="T4756" s="384" ph="1"/>
    </row>
    <row r="4757" spans="20:20" ht="26.25">
      <c r="T4757" s="384" ph="1"/>
    </row>
    <row r="4758" spans="20:20" ht="26.25">
      <c r="T4758" s="384" ph="1"/>
    </row>
    <row r="4759" spans="20:20" ht="26.25">
      <c r="T4759" s="384" ph="1"/>
    </row>
    <row r="4760" spans="20:20" ht="26.25">
      <c r="T4760" s="384" ph="1"/>
    </row>
    <row r="4761" spans="20:20" ht="26.25">
      <c r="T4761" s="384" ph="1"/>
    </row>
    <row r="4762" spans="20:20" ht="26.25">
      <c r="T4762" s="384" ph="1"/>
    </row>
    <row r="4763" spans="20:20" ht="26.25">
      <c r="T4763" s="384" ph="1"/>
    </row>
    <row r="4764" spans="20:20" ht="26.25">
      <c r="T4764" s="384" ph="1"/>
    </row>
    <row r="4765" spans="20:20" ht="26.25">
      <c r="T4765" s="384" ph="1"/>
    </row>
    <row r="4766" spans="20:20" ht="26.25">
      <c r="T4766" s="384" ph="1"/>
    </row>
    <row r="4767" spans="20:20" ht="26.25">
      <c r="T4767" s="384" ph="1"/>
    </row>
    <row r="4768" spans="20:20" ht="26.25">
      <c r="T4768" s="384" ph="1"/>
    </row>
    <row r="4769" spans="20:20" ht="26.25">
      <c r="T4769" s="384" ph="1"/>
    </row>
    <row r="4770" spans="20:20" ht="26.25">
      <c r="T4770" s="384" ph="1"/>
    </row>
    <row r="4771" spans="20:20" ht="26.25">
      <c r="T4771" s="384" ph="1"/>
    </row>
    <row r="4772" spans="20:20" ht="26.25">
      <c r="T4772" s="384" ph="1"/>
    </row>
    <row r="4773" spans="20:20" ht="26.25">
      <c r="T4773" s="384" ph="1"/>
    </row>
    <row r="4774" spans="20:20" ht="26.25">
      <c r="T4774" s="384" ph="1"/>
    </row>
    <row r="4775" spans="20:20" ht="26.25">
      <c r="T4775" s="384" ph="1"/>
    </row>
    <row r="4776" spans="20:20" ht="26.25">
      <c r="T4776" s="384" ph="1"/>
    </row>
    <row r="4777" spans="20:20" ht="26.25">
      <c r="T4777" s="384" ph="1"/>
    </row>
    <row r="4778" spans="20:20" ht="26.25">
      <c r="T4778" s="384" ph="1"/>
    </row>
    <row r="4779" spans="20:20" ht="26.25">
      <c r="T4779" s="384" ph="1"/>
    </row>
    <row r="4780" spans="20:20" ht="26.25">
      <c r="T4780" s="384" ph="1"/>
    </row>
    <row r="4781" spans="20:20" ht="26.25">
      <c r="T4781" s="384" ph="1"/>
    </row>
    <row r="4782" spans="20:20" ht="26.25">
      <c r="T4782" s="384" ph="1"/>
    </row>
    <row r="4783" spans="20:20" ht="26.25">
      <c r="T4783" s="384" ph="1"/>
    </row>
    <row r="4784" spans="20:20" ht="26.25">
      <c r="T4784" s="384" ph="1"/>
    </row>
    <row r="4785" spans="20:20" ht="26.25">
      <c r="T4785" s="384" ph="1"/>
    </row>
    <row r="4786" spans="20:20" ht="26.25">
      <c r="T4786" s="384" ph="1"/>
    </row>
    <row r="4787" spans="20:20" ht="26.25">
      <c r="T4787" s="384" ph="1"/>
    </row>
    <row r="4788" spans="20:20" ht="26.25">
      <c r="T4788" s="384" ph="1"/>
    </row>
    <row r="4789" spans="20:20" ht="26.25">
      <c r="T4789" s="384" ph="1"/>
    </row>
    <row r="4790" spans="20:20" ht="26.25">
      <c r="T4790" s="384" ph="1"/>
    </row>
    <row r="4791" spans="20:20" ht="26.25">
      <c r="T4791" s="384" ph="1"/>
    </row>
    <row r="4792" spans="20:20" ht="26.25">
      <c r="T4792" s="384" ph="1"/>
    </row>
    <row r="4793" spans="20:20" ht="26.25">
      <c r="T4793" s="384" ph="1"/>
    </row>
    <row r="4794" spans="20:20" ht="26.25">
      <c r="T4794" s="384" ph="1"/>
    </row>
    <row r="4795" spans="20:20" ht="26.25">
      <c r="T4795" s="384" ph="1"/>
    </row>
    <row r="4796" spans="20:20" ht="26.25">
      <c r="T4796" s="384" ph="1"/>
    </row>
    <row r="4797" spans="20:20" ht="26.25">
      <c r="T4797" s="384" ph="1"/>
    </row>
    <row r="4798" spans="20:20" ht="26.25">
      <c r="T4798" s="384" ph="1"/>
    </row>
    <row r="4799" spans="20:20" ht="26.25">
      <c r="T4799" s="384" ph="1"/>
    </row>
    <row r="4800" spans="20:20" ht="26.25">
      <c r="T4800" s="384" ph="1"/>
    </row>
    <row r="4801" spans="20:20" ht="26.25">
      <c r="T4801" s="384" ph="1"/>
    </row>
    <row r="4802" spans="20:20" ht="26.25">
      <c r="T4802" s="384" ph="1"/>
    </row>
    <row r="4803" spans="20:20" ht="26.25">
      <c r="T4803" s="384" ph="1"/>
    </row>
    <row r="4804" spans="20:20" ht="26.25">
      <c r="T4804" s="384" ph="1"/>
    </row>
    <row r="4805" spans="20:20" ht="26.25">
      <c r="T4805" s="384" ph="1"/>
    </row>
    <row r="4806" spans="20:20" ht="26.25">
      <c r="T4806" s="384" ph="1"/>
    </row>
    <row r="4807" spans="20:20" ht="26.25">
      <c r="T4807" s="384" ph="1"/>
    </row>
    <row r="4808" spans="20:20" ht="26.25">
      <c r="T4808" s="384" ph="1"/>
    </row>
    <row r="4809" spans="20:20" ht="26.25">
      <c r="T4809" s="384" ph="1"/>
    </row>
    <row r="4810" spans="20:20" ht="26.25">
      <c r="T4810" s="384" ph="1"/>
    </row>
    <row r="4811" spans="20:20" ht="26.25">
      <c r="T4811" s="384" ph="1"/>
    </row>
    <row r="4812" spans="20:20" ht="26.25">
      <c r="T4812" s="384" ph="1"/>
    </row>
    <row r="4813" spans="20:20" ht="26.25">
      <c r="T4813" s="384" ph="1"/>
    </row>
    <row r="4814" spans="20:20" ht="26.25">
      <c r="T4814" s="384" ph="1"/>
    </row>
    <row r="4815" spans="20:20" ht="26.25">
      <c r="T4815" s="384" ph="1"/>
    </row>
    <row r="4816" spans="20:20" ht="26.25">
      <c r="T4816" s="384" ph="1"/>
    </row>
    <row r="4817" spans="20:20" ht="26.25">
      <c r="T4817" s="384" ph="1"/>
    </row>
    <row r="4818" spans="20:20" ht="26.25">
      <c r="T4818" s="384" ph="1"/>
    </row>
    <row r="4819" spans="20:20" ht="26.25">
      <c r="T4819" s="384" ph="1"/>
    </row>
    <row r="4820" spans="20:20" ht="26.25">
      <c r="T4820" s="384" ph="1"/>
    </row>
    <row r="4821" spans="20:20" ht="26.25">
      <c r="T4821" s="384" ph="1"/>
    </row>
    <row r="4822" spans="20:20" ht="26.25">
      <c r="T4822" s="384" ph="1"/>
    </row>
    <row r="4823" spans="20:20" ht="26.25">
      <c r="T4823" s="384" ph="1"/>
    </row>
    <row r="4824" spans="20:20" ht="26.25">
      <c r="T4824" s="384" ph="1"/>
    </row>
    <row r="4825" spans="20:20" ht="26.25">
      <c r="T4825" s="384" ph="1"/>
    </row>
    <row r="4826" spans="20:20" ht="26.25">
      <c r="T4826" s="384" ph="1"/>
    </row>
    <row r="4827" spans="20:20" ht="26.25">
      <c r="T4827" s="384" ph="1"/>
    </row>
    <row r="4828" spans="20:20" ht="26.25">
      <c r="T4828" s="384" ph="1"/>
    </row>
    <row r="4829" spans="20:20" ht="26.25">
      <c r="T4829" s="384" ph="1"/>
    </row>
    <row r="4830" spans="20:20" ht="26.25">
      <c r="T4830" s="384" ph="1"/>
    </row>
    <row r="4831" spans="20:20" ht="26.25">
      <c r="T4831" s="384" ph="1"/>
    </row>
    <row r="4832" spans="20:20" ht="26.25">
      <c r="T4832" s="384" ph="1"/>
    </row>
    <row r="4833" spans="20:20" ht="26.25">
      <c r="T4833" s="384" ph="1"/>
    </row>
    <row r="4834" spans="20:20" ht="26.25">
      <c r="T4834" s="384" ph="1"/>
    </row>
    <row r="4835" spans="20:20" ht="26.25">
      <c r="T4835" s="384" ph="1"/>
    </row>
    <row r="4836" spans="20:20" ht="26.25">
      <c r="T4836" s="384" ph="1"/>
    </row>
    <row r="4837" spans="20:20" ht="26.25">
      <c r="T4837" s="384" ph="1"/>
    </row>
    <row r="4838" spans="20:20" ht="26.25">
      <c r="T4838" s="384" ph="1"/>
    </row>
    <row r="4839" spans="20:20" ht="26.25">
      <c r="T4839" s="384" ph="1"/>
    </row>
    <row r="4840" spans="20:20" ht="26.25">
      <c r="T4840" s="384" ph="1"/>
    </row>
    <row r="4841" spans="20:20" ht="26.25">
      <c r="T4841" s="384" ph="1"/>
    </row>
    <row r="4842" spans="20:20" ht="26.25">
      <c r="T4842" s="384" ph="1"/>
    </row>
    <row r="4843" spans="20:20" ht="26.25">
      <c r="T4843" s="384" ph="1"/>
    </row>
    <row r="4844" spans="20:20" ht="26.25">
      <c r="T4844" s="384" ph="1"/>
    </row>
    <row r="4845" spans="20:20" ht="26.25">
      <c r="T4845" s="384" ph="1"/>
    </row>
    <row r="4846" spans="20:20" ht="26.25">
      <c r="T4846" s="384" ph="1"/>
    </row>
    <row r="4847" spans="20:20" ht="26.25">
      <c r="T4847" s="384" ph="1"/>
    </row>
    <row r="4848" spans="20:20" ht="26.25">
      <c r="T4848" s="384" ph="1"/>
    </row>
    <row r="4849" spans="20:20" ht="26.25">
      <c r="T4849" s="384" ph="1"/>
    </row>
    <row r="4850" spans="20:20" ht="26.25">
      <c r="T4850" s="384" ph="1"/>
    </row>
    <row r="4851" spans="20:20" ht="26.25">
      <c r="T4851" s="384" ph="1"/>
    </row>
    <row r="4852" spans="20:20" ht="26.25">
      <c r="T4852" s="384" ph="1"/>
    </row>
    <row r="4853" spans="20:20" ht="26.25">
      <c r="T4853" s="384" ph="1"/>
    </row>
    <row r="4854" spans="20:20" ht="26.25">
      <c r="T4854" s="384" ph="1"/>
    </row>
    <row r="4855" spans="20:20" ht="26.25">
      <c r="T4855" s="384" ph="1"/>
    </row>
    <row r="4856" spans="20:20" ht="26.25">
      <c r="T4856" s="384" ph="1"/>
    </row>
    <row r="4857" spans="20:20" ht="26.25">
      <c r="T4857" s="384" ph="1"/>
    </row>
    <row r="4858" spans="20:20" ht="26.25">
      <c r="T4858" s="384" ph="1"/>
    </row>
    <row r="4859" spans="20:20" ht="26.25">
      <c r="T4859" s="384" ph="1"/>
    </row>
    <row r="4860" spans="20:20" ht="26.25">
      <c r="T4860" s="384" ph="1"/>
    </row>
    <row r="4861" spans="20:20" ht="26.25">
      <c r="T4861" s="384" ph="1"/>
    </row>
    <row r="4862" spans="20:20" ht="26.25">
      <c r="T4862" s="384" ph="1"/>
    </row>
    <row r="4863" spans="20:20" ht="26.25">
      <c r="T4863" s="384" ph="1"/>
    </row>
    <row r="4864" spans="20:20" ht="26.25">
      <c r="T4864" s="384" ph="1"/>
    </row>
    <row r="4865" spans="20:20" ht="26.25">
      <c r="T4865" s="384" ph="1"/>
    </row>
    <row r="4866" spans="20:20" ht="26.25">
      <c r="T4866" s="384" ph="1"/>
    </row>
    <row r="4867" spans="20:20" ht="26.25">
      <c r="T4867" s="384" ph="1"/>
    </row>
    <row r="4868" spans="20:20" ht="26.25">
      <c r="T4868" s="384" ph="1"/>
    </row>
    <row r="4869" spans="20:20" ht="26.25">
      <c r="T4869" s="384" ph="1"/>
    </row>
    <row r="4870" spans="20:20" ht="26.25">
      <c r="T4870" s="384" ph="1"/>
    </row>
    <row r="4871" spans="20:20" ht="26.25">
      <c r="T4871" s="384" ph="1"/>
    </row>
    <row r="4872" spans="20:20" ht="26.25">
      <c r="T4872" s="384" ph="1"/>
    </row>
    <row r="4873" spans="20:20" ht="26.25">
      <c r="T4873" s="384" ph="1"/>
    </row>
    <row r="4874" spans="20:20" ht="26.25">
      <c r="T4874" s="384" ph="1"/>
    </row>
    <row r="4875" spans="20:20" ht="26.25">
      <c r="T4875" s="384" ph="1"/>
    </row>
    <row r="4876" spans="20:20" ht="26.25">
      <c r="T4876" s="384" ph="1"/>
    </row>
    <row r="4877" spans="20:20" ht="26.25">
      <c r="T4877" s="384" ph="1"/>
    </row>
    <row r="4878" spans="20:20" ht="26.25">
      <c r="T4878" s="384" ph="1"/>
    </row>
    <row r="4879" spans="20:20" ht="26.25">
      <c r="T4879" s="384" ph="1"/>
    </row>
    <row r="4880" spans="20:20" ht="26.25">
      <c r="T4880" s="384" ph="1"/>
    </row>
    <row r="4881" spans="20:20" ht="26.25">
      <c r="T4881" s="384" ph="1"/>
    </row>
    <row r="4882" spans="20:20" ht="26.25">
      <c r="T4882" s="384" ph="1"/>
    </row>
    <row r="4883" spans="20:20" ht="26.25">
      <c r="T4883" s="384" ph="1"/>
    </row>
    <row r="4884" spans="20:20" ht="26.25">
      <c r="T4884" s="384" ph="1"/>
    </row>
    <row r="4885" spans="20:20" ht="26.25">
      <c r="T4885" s="384" ph="1"/>
    </row>
    <row r="4886" spans="20:20" ht="26.25">
      <c r="T4886" s="384" ph="1"/>
    </row>
    <row r="4887" spans="20:20" ht="26.25">
      <c r="T4887" s="384" ph="1"/>
    </row>
    <row r="4888" spans="20:20" ht="26.25">
      <c r="T4888" s="384" ph="1"/>
    </row>
    <row r="4889" spans="20:20" ht="26.25">
      <c r="T4889" s="384" ph="1"/>
    </row>
    <row r="4890" spans="20:20" ht="26.25">
      <c r="T4890" s="384" ph="1"/>
    </row>
    <row r="4891" spans="20:20" ht="26.25">
      <c r="T4891" s="384" ph="1"/>
    </row>
    <row r="4892" spans="20:20" ht="26.25">
      <c r="T4892" s="384" ph="1"/>
    </row>
    <row r="4893" spans="20:20" ht="26.25">
      <c r="T4893" s="384" ph="1"/>
    </row>
    <row r="4894" spans="20:20" ht="26.25">
      <c r="T4894" s="384" ph="1"/>
    </row>
    <row r="4895" spans="20:20" ht="26.25">
      <c r="T4895" s="384" ph="1"/>
    </row>
    <row r="4896" spans="20:20" ht="26.25">
      <c r="T4896" s="384" ph="1"/>
    </row>
    <row r="4897" spans="20:20" ht="26.25">
      <c r="T4897" s="384" ph="1"/>
    </row>
    <row r="4898" spans="20:20" ht="26.25">
      <c r="T4898" s="384" ph="1"/>
    </row>
    <row r="4899" spans="20:20" ht="26.25">
      <c r="T4899" s="384" ph="1"/>
    </row>
    <row r="4900" spans="20:20" ht="26.25">
      <c r="T4900" s="384" ph="1"/>
    </row>
    <row r="4901" spans="20:20" ht="26.25">
      <c r="T4901" s="384" ph="1"/>
    </row>
    <row r="4902" spans="20:20" ht="26.25">
      <c r="T4902" s="384" ph="1"/>
    </row>
    <row r="4903" spans="20:20" ht="26.25">
      <c r="T4903" s="384" ph="1"/>
    </row>
    <row r="4904" spans="20:20" ht="26.25">
      <c r="T4904" s="384" ph="1"/>
    </row>
    <row r="4905" spans="20:20" ht="26.25">
      <c r="T4905" s="384" ph="1"/>
    </row>
    <row r="4906" spans="20:20" ht="26.25">
      <c r="T4906" s="384" ph="1"/>
    </row>
    <row r="4907" spans="20:20" ht="26.25">
      <c r="T4907" s="384" ph="1"/>
    </row>
    <row r="4908" spans="20:20" ht="26.25">
      <c r="T4908" s="384" ph="1"/>
    </row>
    <row r="4909" spans="20:20" ht="26.25">
      <c r="T4909" s="384" ph="1"/>
    </row>
    <row r="4910" spans="20:20" ht="26.25">
      <c r="T4910" s="384" ph="1"/>
    </row>
    <row r="4911" spans="20:20" ht="26.25">
      <c r="T4911" s="384" ph="1"/>
    </row>
    <row r="4912" spans="20:20" ht="26.25">
      <c r="T4912" s="384" ph="1"/>
    </row>
    <row r="4913" spans="20:20" ht="26.25">
      <c r="T4913" s="384" ph="1"/>
    </row>
    <row r="4914" spans="20:20" ht="26.25">
      <c r="T4914" s="384" ph="1"/>
    </row>
    <row r="4915" spans="20:20" ht="26.25">
      <c r="T4915" s="384" ph="1"/>
    </row>
    <row r="4916" spans="20:20" ht="26.25">
      <c r="T4916" s="384" ph="1"/>
    </row>
    <row r="4917" spans="20:20" ht="26.25">
      <c r="T4917" s="384" ph="1"/>
    </row>
    <row r="4918" spans="20:20" ht="26.25">
      <c r="T4918" s="384" ph="1"/>
    </row>
    <row r="4919" spans="20:20" ht="26.25">
      <c r="T4919" s="384" ph="1"/>
    </row>
    <row r="4920" spans="20:20" ht="26.25">
      <c r="T4920" s="384" ph="1"/>
    </row>
    <row r="4921" spans="20:20" ht="26.25">
      <c r="T4921" s="384" ph="1"/>
    </row>
    <row r="4922" spans="20:20" ht="26.25">
      <c r="T4922" s="384" ph="1"/>
    </row>
    <row r="4923" spans="20:20" ht="26.25">
      <c r="T4923" s="384" ph="1"/>
    </row>
    <row r="4924" spans="20:20" ht="26.25">
      <c r="T4924" s="384" ph="1"/>
    </row>
    <row r="4925" spans="20:20" ht="26.25">
      <c r="T4925" s="384" ph="1"/>
    </row>
    <row r="4926" spans="20:20" ht="26.25">
      <c r="T4926" s="384" ph="1"/>
    </row>
    <row r="4927" spans="20:20" ht="26.25">
      <c r="T4927" s="384" ph="1"/>
    </row>
    <row r="4928" spans="20:20" ht="26.25">
      <c r="T4928" s="384" ph="1"/>
    </row>
    <row r="4929" spans="20:20" ht="26.25">
      <c r="T4929" s="384" ph="1"/>
    </row>
    <row r="4930" spans="20:20" ht="26.25">
      <c r="T4930" s="384" ph="1"/>
    </row>
    <row r="4931" spans="20:20" ht="26.25">
      <c r="T4931" s="384" ph="1"/>
    </row>
    <row r="4932" spans="20:20" ht="26.25">
      <c r="T4932" s="384" ph="1"/>
    </row>
    <row r="4933" spans="20:20" ht="26.25">
      <c r="T4933" s="384" ph="1"/>
    </row>
    <row r="4934" spans="20:20" ht="26.25">
      <c r="T4934" s="384" ph="1"/>
    </row>
    <row r="4935" spans="20:20" ht="26.25">
      <c r="T4935" s="384" ph="1"/>
    </row>
    <row r="4936" spans="20:20" ht="26.25">
      <c r="T4936" s="384" ph="1"/>
    </row>
    <row r="4937" spans="20:20" ht="26.25">
      <c r="T4937" s="384" ph="1"/>
    </row>
    <row r="4938" spans="20:20" ht="26.25">
      <c r="T4938" s="384" ph="1"/>
    </row>
    <row r="4939" spans="20:20" ht="26.25">
      <c r="T4939" s="384" ph="1"/>
    </row>
    <row r="4940" spans="20:20" ht="26.25">
      <c r="T4940" s="384" ph="1"/>
    </row>
    <row r="4941" spans="20:20" ht="26.25">
      <c r="T4941" s="384" ph="1"/>
    </row>
    <row r="4942" spans="20:20" ht="26.25">
      <c r="T4942" s="384" ph="1"/>
    </row>
    <row r="4943" spans="20:20" ht="26.25">
      <c r="T4943" s="384" ph="1"/>
    </row>
    <row r="4944" spans="20:20" ht="26.25">
      <c r="T4944" s="384" ph="1"/>
    </row>
    <row r="4945" spans="20:20" ht="26.25">
      <c r="T4945" s="384" ph="1"/>
    </row>
    <row r="4946" spans="20:20" ht="26.25">
      <c r="T4946" s="384" ph="1"/>
    </row>
    <row r="4947" spans="20:20" ht="26.25">
      <c r="T4947" s="384" ph="1"/>
    </row>
    <row r="4948" spans="20:20" ht="26.25">
      <c r="T4948" s="384" ph="1"/>
    </row>
    <row r="4949" spans="20:20" ht="26.25">
      <c r="T4949" s="384" ph="1"/>
    </row>
    <row r="4950" spans="20:20" ht="26.25">
      <c r="T4950" s="384" ph="1"/>
    </row>
    <row r="4951" spans="20:20" ht="26.25">
      <c r="T4951" s="384" ph="1"/>
    </row>
    <row r="4952" spans="20:20" ht="26.25">
      <c r="T4952" s="384" ph="1"/>
    </row>
    <row r="4953" spans="20:20" ht="26.25">
      <c r="T4953" s="384" ph="1"/>
    </row>
    <row r="4954" spans="20:20" ht="26.25">
      <c r="T4954" s="384" ph="1"/>
    </row>
    <row r="4955" spans="20:20" ht="26.25">
      <c r="T4955" s="384" ph="1"/>
    </row>
    <row r="4956" spans="20:20" ht="26.25">
      <c r="T4956" s="384" ph="1"/>
    </row>
    <row r="4957" spans="20:20" ht="26.25">
      <c r="T4957" s="384" ph="1"/>
    </row>
    <row r="4958" spans="20:20" ht="26.25">
      <c r="T4958" s="384" ph="1"/>
    </row>
    <row r="4959" spans="20:20" ht="26.25">
      <c r="T4959" s="384" ph="1"/>
    </row>
    <row r="4960" spans="20:20" ht="26.25">
      <c r="T4960" s="384" ph="1"/>
    </row>
    <row r="4961" spans="20:20" ht="26.25">
      <c r="T4961" s="384" ph="1"/>
    </row>
    <row r="4962" spans="20:20" ht="26.25">
      <c r="T4962" s="384" ph="1"/>
    </row>
    <row r="4963" spans="20:20" ht="26.25">
      <c r="T4963" s="384" ph="1"/>
    </row>
    <row r="4964" spans="20:20" ht="26.25">
      <c r="T4964" s="384" ph="1"/>
    </row>
    <row r="4965" spans="20:20" ht="26.25">
      <c r="T4965" s="384" ph="1"/>
    </row>
    <row r="4966" spans="20:20" ht="26.25">
      <c r="T4966" s="384" ph="1"/>
    </row>
    <row r="4967" spans="20:20" ht="26.25">
      <c r="T4967" s="384" ph="1"/>
    </row>
    <row r="4968" spans="20:20" ht="26.25">
      <c r="T4968" s="384" ph="1"/>
    </row>
    <row r="4969" spans="20:20" ht="26.25">
      <c r="T4969" s="384" ph="1"/>
    </row>
    <row r="4970" spans="20:20" ht="26.25">
      <c r="T4970" s="384" ph="1"/>
    </row>
    <row r="4971" spans="20:20" ht="26.25">
      <c r="T4971" s="384" ph="1"/>
    </row>
    <row r="4972" spans="20:20" ht="26.25">
      <c r="T4972" s="384" ph="1"/>
    </row>
    <row r="4973" spans="20:20" ht="26.25">
      <c r="T4973" s="384" ph="1"/>
    </row>
    <row r="4974" spans="20:20" ht="26.25">
      <c r="T4974" s="384" ph="1"/>
    </row>
    <row r="4975" spans="20:20" ht="26.25">
      <c r="T4975" s="384" ph="1"/>
    </row>
    <row r="4976" spans="20:20" ht="26.25">
      <c r="T4976" s="384" ph="1"/>
    </row>
    <row r="4977" spans="20:20" ht="26.25">
      <c r="T4977" s="384" ph="1"/>
    </row>
    <row r="4978" spans="20:20" ht="26.25">
      <c r="T4978" s="384" ph="1"/>
    </row>
    <row r="4979" spans="20:20" ht="26.25">
      <c r="T4979" s="384" ph="1"/>
    </row>
    <row r="4980" spans="20:20" ht="26.25">
      <c r="T4980" s="384" ph="1"/>
    </row>
    <row r="4981" spans="20:20" ht="26.25">
      <c r="T4981" s="384" ph="1"/>
    </row>
    <row r="4982" spans="20:20" ht="26.25">
      <c r="T4982" s="384" ph="1"/>
    </row>
    <row r="4983" spans="20:20" ht="26.25">
      <c r="T4983" s="384" ph="1"/>
    </row>
    <row r="4984" spans="20:20" ht="26.25">
      <c r="T4984" s="384" ph="1"/>
    </row>
    <row r="4985" spans="20:20" ht="26.25">
      <c r="T4985" s="384" ph="1"/>
    </row>
    <row r="4986" spans="20:20" ht="26.25">
      <c r="T4986" s="384" ph="1"/>
    </row>
    <row r="4987" spans="20:20" ht="26.25">
      <c r="T4987" s="384" ph="1"/>
    </row>
    <row r="4988" spans="20:20" ht="26.25">
      <c r="T4988" s="384" ph="1"/>
    </row>
    <row r="4989" spans="20:20" ht="26.25">
      <c r="T4989" s="384" ph="1"/>
    </row>
    <row r="4990" spans="20:20" ht="26.25">
      <c r="T4990" s="384" ph="1"/>
    </row>
    <row r="4991" spans="20:20" ht="26.25">
      <c r="T4991" s="384" ph="1"/>
    </row>
    <row r="4992" spans="20:20" ht="26.25">
      <c r="T4992" s="384" ph="1"/>
    </row>
    <row r="4993" spans="20:20" ht="26.25">
      <c r="T4993" s="384" ph="1"/>
    </row>
    <row r="4994" spans="20:20" ht="26.25">
      <c r="T4994" s="384" ph="1"/>
    </row>
    <row r="4995" spans="20:20" ht="26.25">
      <c r="T4995" s="384" ph="1"/>
    </row>
    <row r="4996" spans="20:20" ht="26.25">
      <c r="T4996" s="384" ph="1"/>
    </row>
    <row r="4997" spans="20:20" ht="26.25">
      <c r="T4997" s="384" ph="1"/>
    </row>
    <row r="4998" spans="20:20" ht="26.25">
      <c r="T4998" s="384" ph="1"/>
    </row>
    <row r="4999" spans="20:20" ht="26.25">
      <c r="T4999" s="384" ph="1"/>
    </row>
    <row r="5000" spans="20:20" ht="26.25">
      <c r="T5000" s="384" ph="1"/>
    </row>
    <row r="5001" spans="20:20" ht="26.25">
      <c r="T5001" s="384" ph="1"/>
    </row>
    <row r="5002" spans="20:20" ht="26.25">
      <c r="T5002" s="384" ph="1"/>
    </row>
    <row r="5003" spans="20:20" ht="26.25">
      <c r="T5003" s="384" ph="1"/>
    </row>
    <row r="5004" spans="20:20" ht="26.25">
      <c r="T5004" s="384" ph="1"/>
    </row>
    <row r="5005" spans="20:20" ht="26.25">
      <c r="T5005" s="384" ph="1"/>
    </row>
    <row r="5006" spans="20:20" ht="26.25">
      <c r="T5006" s="384" ph="1"/>
    </row>
    <row r="5007" spans="20:20" ht="26.25">
      <c r="T5007" s="384" ph="1"/>
    </row>
    <row r="5008" spans="20:20" ht="26.25">
      <c r="T5008" s="384" ph="1"/>
    </row>
    <row r="5009" spans="20:20" ht="26.25">
      <c r="T5009" s="384" ph="1"/>
    </row>
    <row r="5010" spans="20:20" ht="26.25">
      <c r="T5010" s="384" ph="1"/>
    </row>
    <row r="5011" spans="20:20" ht="26.25">
      <c r="T5011" s="384" ph="1"/>
    </row>
    <row r="5012" spans="20:20" ht="26.25">
      <c r="T5012" s="384" ph="1"/>
    </row>
    <row r="5013" spans="20:20" ht="26.25">
      <c r="T5013" s="384" ph="1"/>
    </row>
    <row r="5014" spans="20:20" ht="26.25">
      <c r="T5014" s="384" ph="1"/>
    </row>
    <row r="5015" spans="20:20" ht="26.25">
      <c r="T5015" s="384" ph="1"/>
    </row>
    <row r="5016" spans="20:20" ht="26.25">
      <c r="T5016" s="384" ph="1"/>
    </row>
    <row r="5017" spans="20:20" ht="26.25">
      <c r="T5017" s="384" ph="1"/>
    </row>
    <row r="5018" spans="20:20" ht="26.25">
      <c r="T5018" s="384" ph="1"/>
    </row>
    <row r="5019" spans="20:20" ht="26.25">
      <c r="T5019" s="384" ph="1"/>
    </row>
    <row r="5020" spans="20:20" ht="26.25">
      <c r="T5020" s="384" ph="1"/>
    </row>
    <row r="5021" spans="20:20" ht="26.25">
      <c r="T5021" s="384" ph="1"/>
    </row>
    <row r="5022" spans="20:20" ht="26.25">
      <c r="T5022" s="384" ph="1"/>
    </row>
    <row r="5023" spans="20:20" ht="26.25">
      <c r="T5023" s="384" ph="1"/>
    </row>
    <row r="5024" spans="20:20" ht="26.25">
      <c r="T5024" s="384" ph="1"/>
    </row>
    <row r="5025" spans="20:20" ht="26.25">
      <c r="T5025" s="384" ph="1"/>
    </row>
    <row r="5026" spans="20:20" ht="26.25">
      <c r="T5026" s="384" ph="1"/>
    </row>
    <row r="5027" spans="20:20" ht="26.25">
      <c r="T5027" s="384" ph="1"/>
    </row>
    <row r="5028" spans="20:20" ht="26.25">
      <c r="T5028" s="384" ph="1"/>
    </row>
    <row r="5029" spans="20:20" ht="26.25">
      <c r="T5029" s="384" ph="1"/>
    </row>
    <row r="5030" spans="20:20" ht="26.25">
      <c r="T5030" s="384" ph="1"/>
    </row>
    <row r="5031" spans="20:20" ht="26.25">
      <c r="T5031" s="384" ph="1"/>
    </row>
    <row r="5032" spans="20:20" ht="26.25">
      <c r="T5032" s="384" ph="1"/>
    </row>
    <row r="5033" spans="20:20" ht="26.25">
      <c r="T5033" s="384" ph="1"/>
    </row>
    <row r="5034" spans="20:20" ht="26.25">
      <c r="T5034" s="384" ph="1"/>
    </row>
    <row r="5035" spans="20:20" ht="26.25">
      <c r="T5035" s="384" ph="1"/>
    </row>
    <row r="5036" spans="20:20" ht="26.25">
      <c r="T5036" s="384" ph="1"/>
    </row>
    <row r="5037" spans="20:20" ht="26.25">
      <c r="T5037" s="384" ph="1"/>
    </row>
    <row r="5038" spans="20:20" ht="26.25">
      <c r="T5038" s="384" ph="1"/>
    </row>
    <row r="5039" spans="20:20" ht="26.25">
      <c r="T5039" s="384" ph="1"/>
    </row>
    <row r="5040" spans="20:20" ht="26.25">
      <c r="T5040" s="384" ph="1"/>
    </row>
    <row r="5041" spans="20:20" ht="26.25">
      <c r="T5041" s="384" ph="1"/>
    </row>
    <row r="5042" spans="20:20" ht="26.25">
      <c r="T5042" s="384" ph="1"/>
    </row>
    <row r="5043" spans="20:20" ht="26.25">
      <c r="T5043" s="384" ph="1"/>
    </row>
    <row r="5044" spans="20:20" ht="26.25">
      <c r="T5044" s="384" ph="1"/>
    </row>
    <row r="5045" spans="20:20" ht="26.25">
      <c r="T5045" s="384" ph="1"/>
    </row>
    <row r="5046" spans="20:20" ht="26.25">
      <c r="T5046" s="384" ph="1"/>
    </row>
    <row r="5047" spans="20:20" ht="26.25">
      <c r="T5047" s="384" ph="1"/>
    </row>
    <row r="5048" spans="20:20" ht="26.25">
      <c r="T5048" s="384" ph="1"/>
    </row>
    <row r="5049" spans="20:20" ht="26.25">
      <c r="T5049" s="384" ph="1"/>
    </row>
    <row r="5050" spans="20:20" ht="26.25">
      <c r="T5050" s="384" ph="1"/>
    </row>
    <row r="5051" spans="20:20" ht="26.25">
      <c r="T5051" s="384" ph="1"/>
    </row>
    <row r="5052" spans="20:20" ht="26.25">
      <c r="T5052" s="384" ph="1"/>
    </row>
    <row r="5053" spans="20:20" ht="26.25">
      <c r="T5053" s="384" ph="1"/>
    </row>
    <row r="5054" spans="20:20" ht="26.25">
      <c r="T5054" s="384" ph="1"/>
    </row>
    <row r="5055" spans="20:20" ht="26.25">
      <c r="T5055" s="384" ph="1"/>
    </row>
    <row r="5056" spans="20:20" ht="26.25">
      <c r="T5056" s="384" ph="1"/>
    </row>
    <row r="5057" spans="20:20" ht="26.25">
      <c r="T5057" s="384" ph="1"/>
    </row>
    <row r="5058" spans="20:20" ht="26.25">
      <c r="T5058" s="384" ph="1"/>
    </row>
    <row r="5059" spans="20:20" ht="26.25">
      <c r="T5059" s="384" ph="1"/>
    </row>
    <row r="5060" spans="20:20" ht="26.25">
      <c r="T5060" s="384" ph="1"/>
    </row>
    <row r="5061" spans="20:20" ht="26.25">
      <c r="T5061" s="384" ph="1"/>
    </row>
    <row r="5062" spans="20:20" ht="26.25">
      <c r="T5062" s="384" ph="1"/>
    </row>
    <row r="5063" spans="20:20" ht="26.25">
      <c r="T5063" s="384" ph="1"/>
    </row>
    <row r="5064" spans="20:20" ht="26.25">
      <c r="T5064" s="384" ph="1"/>
    </row>
    <row r="5065" spans="20:20" ht="26.25">
      <c r="T5065" s="384" ph="1"/>
    </row>
    <row r="5066" spans="20:20" ht="26.25">
      <c r="T5066" s="384" ph="1"/>
    </row>
    <row r="5067" spans="20:20" ht="26.25">
      <c r="T5067" s="384" ph="1"/>
    </row>
    <row r="5068" spans="20:20" ht="26.25">
      <c r="T5068" s="384" ph="1"/>
    </row>
    <row r="5069" spans="20:20" ht="26.25">
      <c r="T5069" s="384" ph="1"/>
    </row>
    <row r="5070" spans="20:20" ht="26.25">
      <c r="T5070" s="384" ph="1"/>
    </row>
    <row r="5071" spans="20:20" ht="26.25">
      <c r="T5071" s="384" ph="1"/>
    </row>
    <row r="5072" spans="20:20" ht="26.25">
      <c r="T5072" s="384" ph="1"/>
    </row>
    <row r="5073" spans="20:20" ht="26.25">
      <c r="T5073" s="384" ph="1"/>
    </row>
    <row r="5074" spans="20:20" ht="26.25">
      <c r="T5074" s="384" ph="1"/>
    </row>
    <row r="5075" spans="20:20" ht="26.25">
      <c r="T5075" s="384" ph="1"/>
    </row>
    <row r="5076" spans="20:20" ht="26.25">
      <c r="T5076" s="384" ph="1"/>
    </row>
    <row r="5077" spans="20:20" ht="26.25">
      <c r="T5077" s="384" ph="1"/>
    </row>
    <row r="5078" spans="20:20" ht="26.25">
      <c r="T5078" s="384" ph="1"/>
    </row>
    <row r="5079" spans="20:20" ht="26.25">
      <c r="T5079" s="384" ph="1"/>
    </row>
    <row r="5080" spans="20:20" ht="26.25">
      <c r="T5080" s="384" ph="1"/>
    </row>
    <row r="5081" spans="20:20" ht="26.25">
      <c r="T5081" s="384" ph="1"/>
    </row>
    <row r="5082" spans="20:20" ht="26.25">
      <c r="T5082" s="384" ph="1"/>
    </row>
    <row r="5083" spans="20:20" ht="26.25">
      <c r="T5083" s="384" ph="1"/>
    </row>
    <row r="5084" spans="20:20" ht="26.25">
      <c r="T5084" s="384" ph="1"/>
    </row>
    <row r="5085" spans="20:20" ht="26.25">
      <c r="T5085" s="384" ph="1"/>
    </row>
    <row r="5086" spans="20:20" ht="26.25">
      <c r="T5086" s="384" ph="1"/>
    </row>
    <row r="5087" spans="20:20" ht="26.25">
      <c r="T5087" s="384" ph="1"/>
    </row>
    <row r="5088" spans="20:20" ht="26.25">
      <c r="T5088" s="384" ph="1"/>
    </row>
    <row r="5089" spans="20:20" ht="26.25">
      <c r="T5089" s="384" ph="1"/>
    </row>
    <row r="5090" spans="20:20" ht="26.25">
      <c r="T5090" s="384" ph="1"/>
    </row>
    <row r="5091" spans="20:20" ht="26.25">
      <c r="T5091" s="384" ph="1"/>
    </row>
    <row r="5092" spans="20:20" ht="26.25">
      <c r="T5092" s="384" ph="1"/>
    </row>
    <row r="5093" spans="20:20" ht="26.25">
      <c r="T5093" s="384" ph="1"/>
    </row>
    <row r="5094" spans="20:20" ht="26.25">
      <c r="T5094" s="384" ph="1"/>
    </row>
    <row r="5095" spans="20:20" ht="26.25">
      <c r="T5095" s="384" ph="1"/>
    </row>
    <row r="5096" spans="20:20" ht="26.25">
      <c r="T5096" s="384" ph="1"/>
    </row>
    <row r="5097" spans="20:20" ht="26.25">
      <c r="T5097" s="384" ph="1"/>
    </row>
    <row r="5098" spans="20:20" ht="26.25">
      <c r="T5098" s="384" ph="1"/>
    </row>
    <row r="5099" spans="20:20" ht="26.25">
      <c r="T5099" s="384" ph="1"/>
    </row>
    <row r="5100" spans="20:20" ht="26.25">
      <c r="T5100" s="384" ph="1"/>
    </row>
    <row r="5101" spans="20:20" ht="26.25">
      <c r="T5101" s="384" ph="1"/>
    </row>
    <row r="5102" spans="20:20" ht="26.25">
      <c r="T5102" s="384" ph="1"/>
    </row>
    <row r="5103" spans="20:20" ht="26.25">
      <c r="T5103" s="384" ph="1"/>
    </row>
    <row r="5104" spans="20:20" ht="26.25">
      <c r="T5104" s="384" ph="1"/>
    </row>
    <row r="5105" spans="20:20" ht="26.25">
      <c r="T5105" s="384" ph="1"/>
    </row>
    <row r="5106" spans="20:20" ht="26.25">
      <c r="T5106" s="384" ph="1"/>
    </row>
    <row r="5107" spans="20:20" ht="26.25">
      <c r="T5107" s="384" ph="1"/>
    </row>
    <row r="5108" spans="20:20" ht="26.25">
      <c r="T5108" s="384" ph="1"/>
    </row>
    <row r="5109" spans="20:20" ht="26.25">
      <c r="T5109" s="384" ph="1"/>
    </row>
    <row r="5110" spans="20:20" ht="26.25">
      <c r="T5110" s="384" ph="1"/>
    </row>
    <row r="5111" spans="20:20" ht="26.25">
      <c r="T5111" s="384" ph="1"/>
    </row>
    <row r="5112" spans="20:20" ht="26.25">
      <c r="T5112" s="384" ph="1"/>
    </row>
    <row r="5113" spans="20:20" ht="26.25">
      <c r="T5113" s="384" ph="1"/>
    </row>
    <row r="5114" spans="20:20" ht="26.25">
      <c r="T5114" s="384" ph="1"/>
    </row>
    <row r="5115" spans="20:20" ht="26.25">
      <c r="T5115" s="384" ph="1"/>
    </row>
    <row r="5116" spans="20:20" ht="26.25">
      <c r="T5116" s="384" ph="1"/>
    </row>
    <row r="5117" spans="20:20" ht="26.25">
      <c r="T5117" s="384" ph="1"/>
    </row>
    <row r="5118" spans="20:20" ht="26.25">
      <c r="T5118" s="384" ph="1"/>
    </row>
    <row r="5119" spans="20:20" ht="26.25">
      <c r="T5119" s="384" ph="1"/>
    </row>
    <row r="5120" spans="20:20" ht="26.25">
      <c r="T5120" s="384" ph="1"/>
    </row>
    <row r="5121" spans="20:20" ht="26.25">
      <c r="T5121" s="384" ph="1"/>
    </row>
    <row r="5122" spans="20:20" ht="26.25">
      <c r="T5122" s="384" ph="1"/>
    </row>
    <row r="5123" spans="20:20" ht="26.25">
      <c r="T5123" s="384" ph="1"/>
    </row>
    <row r="5124" spans="20:20" ht="26.25">
      <c r="T5124" s="384" ph="1"/>
    </row>
    <row r="5125" spans="20:20" ht="26.25">
      <c r="T5125" s="384" ph="1"/>
    </row>
    <row r="5126" spans="20:20" ht="26.25">
      <c r="T5126" s="384" ph="1"/>
    </row>
    <row r="5127" spans="20:20" ht="26.25">
      <c r="T5127" s="384" ph="1"/>
    </row>
    <row r="5128" spans="20:20" ht="26.25">
      <c r="T5128" s="384" ph="1"/>
    </row>
    <row r="5129" spans="20:20" ht="26.25">
      <c r="T5129" s="384" ph="1"/>
    </row>
    <row r="5130" spans="20:20" ht="26.25">
      <c r="T5130" s="384" ph="1"/>
    </row>
    <row r="5131" spans="20:20" ht="26.25">
      <c r="T5131" s="384" ph="1"/>
    </row>
    <row r="5132" spans="20:20" ht="26.25">
      <c r="T5132" s="384" ph="1"/>
    </row>
    <row r="5133" spans="20:20" ht="26.25">
      <c r="T5133" s="384" ph="1"/>
    </row>
    <row r="5134" spans="20:20" ht="26.25">
      <c r="T5134" s="384" ph="1"/>
    </row>
    <row r="5135" spans="20:20" ht="26.25">
      <c r="T5135" s="384" ph="1"/>
    </row>
    <row r="5136" spans="20:20" ht="26.25">
      <c r="T5136" s="384" ph="1"/>
    </row>
    <row r="5137" spans="20:20" ht="26.25">
      <c r="T5137" s="384" ph="1"/>
    </row>
    <row r="5138" spans="20:20" ht="26.25">
      <c r="T5138" s="384" ph="1"/>
    </row>
    <row r="5139" spans="20:20" ht="26.25">
      <c r="T5139" s="384" ph="1"/>
    </row>
    <row r="5140" spans="20:20" ht="26.25">
      <c r="T5140" s="384" ph="1"/>
    </row>
    <row r="5141" spans="20:20" ht="26.25">
      <c r="T5141" s="384" ph="1"/>
    </row>
    <row r="5142" spans="20:20" ht="26.25">
      <c r="T5142" s="384" ph="1"/>
    </row>
    <row r="5143" spans="20:20" ht="26.25">
      <c r="T5143" s="384" ph="1"/>
    </row>
    <row r="5144" spans="20:20" ht="26.25">
      <c r="T5144" s="384" ph="1"/>
    </row>
    <row r="5145" spans="20:20" ht="26.25">
      <c r="T5145" s="384" ph="1"/>
    </row>
    <row r="5146" spans="20:20" ht="26.25">
      <c r="T5146" s="384" ph="1"/>
    </row>
    <row r="5147" spans="20:20" ht="26.25">
      <c r="T5147" s="384" ph="1"/>
    </row>
    <row r="5148" spans="20:20" ht="26.25">
      <c r="T5148" s="384" ph="1"/>
    </row>
    <row r="5149" spans="20:20" ht="26.25">
      <c r="T5149" s="384" ph="1"/>
    </row>
    <row r="5150" spans="20:20" ht="26.25">
      <c r="T5150" s="384" ph="1"/>
    </row>
    <row r="5151" spans="20:20" ht="26.25">
      <c r="T5151" s="384" ph="1"/>
    </row>
    <row r="5152" spans="20:20" ht="26.25">
      <c r="T5152" s="384" ph="1"/>
    </row>
    <row r="5153" spans="20:20" ht="26.25">
      <c r="T5153" s="384" ph="1"/>
    </row>
    <row r="5154" spans="20:20" ht="26.25">
      <c r="T5154" s="384" ph="1"/>
    </row>
    <row r="5155" spans="20:20" ht="26.25">
      <c r="T5155" s="384" ph="1"/>
    </row>
    <row r="5156" spans="20:20" ht="26.25">
      <c r="T5156" s="384" ph="1"/>
    </row>
    <row r="5157" spans="20:20" ht="26.25">
      <c r="T5157" s="384" ph="1"/>
    </row>
    <row r="5158" spans="20:20" ht="26.25">
      <c r="T5158" s="384" ph="1"/>
    </row>
    <row r="5159" spans="20:20" ht="26.25">
      <c r="T5159" s="384" ph="1"/>
    </row>
    <row r="5160" spans="20:20" ht="26.25">
      <c r="T5160" s="384" ph="1"/>
    </row>
    <row r="5161" spans="20:20" ht="26.25">
      <c r="T5161" s="384" ph="1"/>
    </row>
    <row r="5162" spans="20:20" ht="26.25">
      <c r="T5162" s="384" ph="1"/>
    </row>
    <row r="5163" spans="20:20" ht="26.25">
      <c r="T5163" s="384" ph="1"/>
    </row>
    <row r="5164" spans="20:20" ht="26.25">
      <c r="T5164" s="384" ph="1"/>
    </row>
    <row r="5165" spans="20:20" ht="26.25">
      <c r="T5165" s="384" ph="1"/>
    </row>
    <row r="5166" spans="20:20" ht="26.25">
      <c r="T5166" s="384" ph="1"/>
    </row>
    <row r="5167" spans="20:20" ht="26.25">
      <c r="T5167" s="384" ph="1"/>
    </row>
    <row r="5168" spans="20:20" ht="26.25">
      <c r="T5168" s="384" ph="1"/>
    </row>
    <row r="5169" spans="20:20" ht="26.25">
      <c r="T5169" s="384" ph="1"/>
    </row>
    <row r="5170" spans="20:20" ht="26.25">
      <c r="T5170" s="384" ph="1"/>
    </row>
    <row r="5171" spans="20:20" ht="26.25">
      <c r="T5171" s="384" ph="1"/>
    </row>
    <row r="5172" spans="20:20" ht="26.25">
      <c r="T5172" s="384" ph="1"/>
    </row>
    <row r="5173" spans="20:20" ht="26.25">
      <c r="T5173" s="384" ph="1"/>
    </row>
    <row r="5174" spans="20:20" ht="26.25">
      <c r="T5174" s="384" ph="1"/>
    </row>
    <row r="5175" spans="20:20" ht="26.25">
      <c r="T5175" s="384" ph="1"/>
    </row>
    <row r="5176" spans="20:20" ht="26.25">
      <c r="T5176" s="384" ph="1"/>
    </row>
    <row r="5177" spans="20:20" ht="26.25">
      <c r="T5177" s="384" ph="1"/>
    </row>
    <row r="5178" spans="20:20" ht="26.25">
      <c r="T5178" s="384" ph="1"/>
    </row>
    <row r="5179" spans="20:20" ht="26.25">
      <c r="T5179" s="384" ph="1"/>
    </row>
    <row r="5180" spans="20:20" ht="26.25">
      <c r="T5180" s="384" ph="1"/>
    </row>
    <row r="5181" spans="20:20" ht="26.25">
      <c r="T5181" s="384" ph="1"/>
    </row>
    <row r="5182" spans="20:20" ht="26.25">
      <c r="T5182" s="384" ph="1"/>
    </row>
    <row r="5183" spans="20:20" ht="26.25">
      <c r="T5183" s="384" ph="1"/>
    </row>
    <row r="5184" spans="20:20" ht="26.25">
      <c r="T5184" s="384" ph="1"/>
    </row>
    <row r="5185" spans="20:20" ht="26.25">
      <c r="T5185" s="384" ph="1"/>
    </row>
    <row r="5186" spans="20:20" ht="26.25">
      <c r="T5186" s="384" ph="1"/>
    </row>
    <row r="5187" spans="20:20" ht="26.25">
      <c r="T5187" s="384" ph="1"/>
    </row>
    <row r="5188" spans="20:20" ht="26.25">
      <c r="T5188" s="384" ph="1"/>
    </row>
    <row r="5189" spans="20:20" ht="26.25">
      <c r="T5189" s="384" ph="1"/>
    </row>
    <row r="5190" spans="20:20" ht="26.25">
      <c r="T5190" s="384" ph="1"/>
    </row>
    <row r="5191" spans="20:20" ht="26.25">
      <c r="T5191" s="384" ph="1"/>
    </row>
    <row r="5192" spans="20:20" ht="26.25">
      <c r="T5192" s="384" ph="1"/>
    </row>
    <row r="5193" spans="20:20" ht="26.25">
      <c r="T5193" s="384" ph="1"/>
    </row>
    <row r="5194" spans="20:20" ht="26.25">
      <c r="T5194" s="384" ph="1"/>
    </row>
    <row r="5195" spans="20:20" ht="26.25">
      <c r="T5195" s="384" ph="1"/>
    </row>
    <row r="5196" spans="20:20" ht="26.25">
      <c r="T5196" s="384" ph="1"/>
    </row>
    <row r="5197" spans="20:20" ht="26.25">
      <c r="T5197" s="384" ph="1"/>
    </row>
    <row r="5198" spans="20:20" ht="26.25">
      <c r="T5198" s="384" ph="1"/>
    </row>
    <row r="5199" spans="20:20" ht="26.25">
      <c r="T5199" s="384" ph="1"/>
    </row>
    <row r="5200" spans="20:20" ht="26.25">
      <c r="T5200" s="384" ph="1"/>
    </row>
    <row r="5201" spans="20:20" ht="26.25">
      <c r="T5201" s="384" ph="1"/>
    </row>
    <row r="5202" spans="20:20" ht="26.25">
      <c r="T5202" s="384" ph="1"/>
    </row>
    <row r="5203" spans="20:20" ht="26.25">
      <c r="T5203" s="384" ph="1"/>
    </row>
    <row r="5204" spans="20:20" ht="26.25">
      <c r="T5204" s="384" ph="1"/>
    </row>
    <row r="5205" spans="20:20" ht="26.25">
      <c r="T5205" s="384" ph="1"/>
    </row>
    <row r="5206" spans="20:20" ht="26.25">
      <c r="T5206" s="384" ph="1"/>
    </row>
    <row r="5207" spans="20:20" ht="26.25">
      <c r="T5207" s="384" ph="1"/>
    </row>
    <row r="5208" spans="20:20" ht="26.25">
      <c r="T5208" s="384" ph="1"/>
    </row>
    <row r="5209" spans="20:20" ht="26.25">
      <c r="T5209" s="384" ph="1"/>
    </row>
    <row r="5210" spans="20:20" ht="26.25">
      <c r="T5210" s="384" ph="1"/>
    </row>
    <row r="5211" spans="20:20" ht="26.25">
      <c r="T5211" s="384" ph="1"/>
    </row>
    <row r="5212" spans="20:20" ht="26.25">
      <c r="T5212" s="384" ph="1"/>
    </row>
    <row r="5213" spans="20:20" ht="26.25">
      <c r="T5213" s="384" ph="1"/>
    </row>
    <row r="5214" spans="20:20" ht="26.25">
      <c r="T5214" s="384" ph="1"/>
    </row>
    <row r="5215" spans="20:20" ht="26.25">
      <c r="T5215" s="384" ph="1"/>
    </row>
    <row r="5216" spans="20:20" ht="26.25">
      <c r="T5216" s="384" ph="1"/>
    </row>
    <row r="5217" spans="20:20" ht="26.25">
      <c r="T5217" s="384" ph="1"/>
    </row>
    <row r="5218" spans="20:20" ht="26.25">
      <c r="T5218" s="384" ph="1"/>
    </row>
    <row r="5219" spans="20:20" ht="26.25">
      <c r="T5219" s="384" ph="1"/>
    </row>
    <row r="5220" spans="20:20" ht="26.25">
      <c r="T5220" s="384" ph="1"/>
    </row>
    <row r="5221" spans="20:20" ht="26.25">
      <c r="T5221" s="384" ph="1"/>
    </row>
    <row r="5222" spans="20:20" ht="26.25">
      <c r="T5222" s="384" ph="1"/>
    </row>
    <row r="5223" spans="20:20" ht="26.25">
      <c r="T5223" s="384" ph="1"/>
    </row>
    <row r="5224" spans="20:20" ht="26.25">
      <c r="T5224" s="384" ph="1"/>
    </row>
    <row r="5225" spans="20:20" ht="26.25">
      <c r="T5225" s="384" ph="1"/>
    </row>
    <row r="5226" spans="20:20" ht="26.25">
      <c r="T5226" s="384" ph="1"/>
    </row>
    <row r="5227" spans="20:20" ht="26.25">
      <c r="T5227" s="384" ph="1"/>
    </row>
    <row r="5228" spans="20:20" ht="26.25">
      <c r="T5228" s="384" ph="1"/>
    </row>
    <row r="5229" spans="20:20" ht="26.25">
      <c r="T5229" s="384" ph="1"/>
    </row>
    <row r="5230" spans="20:20" ht="26.25">
      <c r="T5230" s="384" ph="1"/>
    </row>
    <row r="5231" spans="20:20" ht="26.25">
      <c r="T5231" s="384" ph="1"/>
    </row>
    <row r="5232" spans="20:20" ht="26.25">
      <c r="T5232" s="384" ph="1"/>
    </row>
    <row r="5233" spans="20:20" ht="26.25">
      <c r="T5233" s="384" ph="1"/>
    </row>
    <row r="5234" spans="20:20" ht="26.25">
      <c r="T5234" s="384" ph="1"/>
    </row>
    <row r="5235" spans="20:20" ht="26.25">
      <c r="T5235" s="384" ph="1"/>
    </row>
    <row r="5236" spans="20:20" ht="26.25">
      <c r="T5236" s="384" ph="1"/>
    </row>
    <row r="5237" spans="20:20" ht="26.25">
      <c r="T5237" s="384" ph="1"/>
    </row>
    <row r="5238" spans="20:20" ht="26.25">
      <c r="T5238" s="384" ph="1"/>
    </row>
    <row r="5239" spans="20:20" ht="26.25">
      <c r="T5239" s="384" ph="1"/>
    </row>
    <row r="5240" spans="20:20" ht="26.25">
      <c r="T5240" s="384" ph="1"/>
    </row>
    <row r="5241" spans="20:20" ht="26.25">
      <c r="T5241" s="384" ph="1"/>
    </row>
    <row r="5242" spans="20:20" ht="26.25">
      <c r="T5242" s="384" ph="1"/>
    </row>
    <row r="5243" spans="20:20" ht="26.25">
      <c r="T5243" s="384" ph="1"/>
    </row>
    <row r="5244" spans="20:20" ht="26.25">
      <c r="T5244" s="384" ph="1"/>
    </row>
    <row r="5245" spans="20:20" ht="26.25">
      <c r="T5245" s="384" ph="1"/>
    </row>
    <row r="5246" spans="20:20" ht="26.25">
      <c r="T5246" s="384" ph="1"/>
    </row>
    <row r="5247" spans="20:20" ht="26.25">
      <c r="T5247" s="384" ph="1"/>
    </row>
    <row r="5248" spans="20:20" ht="26.25">
      <c r="T5248" s="384" ph="1"/>
    </row>
    <row r="5249" spans="20:20" ht="26.25">
      <c r="T5249" s="384" ph="1"/>
    </row>
    <row r="5250" spans="20:20" ht="26.25">
      <c r="T5250" s="384" ph="1"/>
    </row>
    <row r="5251" spans="20:20" ht="26.25">
      <c r="T5251" s="384" ph="1"/>
    </row>
    <row r="5252" spans="20:20" ht="26.25">
      <c r="T5252" s="384" ph="1"/>
    </row>
    <row r="5253" spans="20:20" ht="26.25">
      <c r="T5253" s="384" ph="1"/>
    </row>
    <row r="5254" spans="20:20" ht="26.25">
      <c r="T5254" s="384" ph="1"/>
    </row>
    <row r="5255" spans="20:20" ht="26.25">
      <c r="T5255" s="384" ph="1"/>
    </row>
    <row r="5256" spans="20:20" ht="26.25">
      <c r="T5256" s="384" ph="1"/>
    </row>
    <row r="5257" spans="20:20" ht="26.25">
      <c r="T5257" s="384" ph="1"/>
    </row>
    <row r="5258" spans="20:20" ht="26.25">
      <c r="T5258" s="384" ph="1"/>
    </row>
    <row r="5259" spans="20:20" ht="26.25">
      <c r="T5259" s="384" ph="1"/>
    </row>
    <row r="5260" spans="20:20" ht="26.25">
      <c r="T5260" s="384" ph="1"/>
    </row>
    <row r="5261" spans="20:20" ht="26.25">
      <c r="T5261" s="384" ph="1"/>
    </row>
    <row r="5262" spans="20:20" ht="26.25">
      <c r="T5262" s="384" ph="1"/>
    </row>
    <row r="5263" spans="20:20" ht="26.25">
      <c r="T5263" s="384" ph="1"/>
    </row>
    <row r="5264" spans="20:20" ht="26.25">
      <c r="T5264" s="384" ph="1"/>
    </row>
    <row r="5265" spans="20:20" ht="26.25">
      <c r="T5265" s="384" ph="1"/>
    </row>
    <row r="5266" spans="20:20" ht="26.25">
      <c r="T5266" s="384" ph="1"/>
    </row>
    <row r="5267" spans="20:20" ht="26.25">
      <c r="T5267" s="384" ph="1"/>
    </row>
    <row r="5268" spans="20:20" ht="26.25">
      <c r="T5268" s="384" ph="1"/>
    </row>
    <row r="5269" spans="20:20" ht="26.25">
      <c r="T5269" s="384" ph="1"/>
    </row>
    <row r="5270" spans="20:20" ht="26.25">
      <c r="T5270" s="384" ph="1"/>
    </row>
    <row r="5271" spans="20:20" ht="26.25">
      <c r="T5271" s="384" ph="1"/>
    </row>
    <row r="5272" spans="20:20" ht="26.25">
      <c r="T5272" s="384" ph="1"/>
    </row>
    <row r="5273" spans="20:20" ht="26.25">
      <c r="T5273" s="384" ph="1"/>
    </row>
    <row r="5274" spans="20:20" ht="26.25">
      <c r="T5274" s="384" ph="1"/>
    </row>
    <row r="5275" spans="20:20" ht="26.25">
      <c r="T5275" s="384" ph="1"/>
    </row>
    <row r="5276" spans="20:20" ht="26.25">
      <c r="T5276" s="384" ph="1"/>
    </row>
    <row r="5277" spans="20:20" ht="26.25">
      <c r="T5277" s="384" ph="1"/>
    </row>
    <row r="5278" spans="20:20" ht="26.25">
      <c r="T5278" s="384" ph="1"/>
    </row>
    <row r="5279" spans="20:20" ht="26.25">
      <c r="T5279" s="384" ph="1"/>
    </row>
    <row r="5280" spans="20:20" ht="26.25">
      <c r="T5280" s="384" ph="1"/>
    </row>
    <row r="5281" spans="20:20" ht="26.25">
      <c r="T5281" s="384" ph="1"/>
    </row>
    <row r="5282" spans="20:20" ht="26.25">
      <c r="T5282" s="384" ph="1"/>
    </row>
    <row r="5283" spans="20:20" ht="26.25">
      <c r="T5283" s="384" ph="1"/>
    </row>
    <row r="5284" spans="20:20" ht="26.25">
      <c r="T5284" s="384" ph="1"/>
    </row>
    <row r="5285" spans="20:20" ht="26.25">
      <c r="T5285" s="384" ph="1"/>
    </row>
    <row r="5286" spans="20:20" ht="26.25">
      <c r="T5286" s="384" ph="1"/>
    </row>
    <row r="5287" spans="20:20" ht="26.25">
      <c r="T5287" s="384" ph="1"/>
    </row>
    <row r="5288" spans="20:20" ht="26.25">
      <c r="T5288" s="384" ph="1"/>
    </row>
    <row r="5289" spans="20:20" ht="26.25">
      <c r="T5289" s="384" ph="1"/>
    </row>
    <row r="5290" spans="20:20" ht="26.25">
      <c r="T5290" s="384" ph="1"/>
    </row>
    <row r="5291" spans="20:20" ht="26.25">
      <c r="T5291" s="384" ph="1"/>
    </row>
    <row r="5292" spans="20:20" ht="26.25">
      <c r="T5292" s="384" ph="1"/>
    </row>
    <row r="5293" spans="20:20" ht="26.25">
      <c r="T5293" s="384" ph="1"/>
    </row>
    <row r="5294" spans="20:20" ht="26.25">
      <c r="T5294" s="384" ph="1"/>
    </row>
    <row r="5295" spans="20:20" ht="26.25">
      <c r="T5295" s="384" ph="1"/>
    </row>
    <row r="5296" spans="20:20" ht="26.25">
      <c r="T5296" s="384" ph="1"/>
    </row>
    <row r="5297" spans="20:20" ht="26.25">
      <c r="T5297" s="384" ph="1"/>
    </row>
    <row r="5298" spans="20:20" ht="26.25">
      <c r="T5298" s="384" ph="1"/>
    </row>
    <row r="5299" spans="20:20" ht="26.25">
      <c r="T5299" s="384" ph="1"/>
    </row>
    <row r="5300" spans="20:20" ht="26.25">
      <c r="T5300" s="384" ph="1"/>
    </row>
    <row r="5301" spans="20:20" ht="26.25">
      <c r="T5301" s="384" ph="1"/>
    </row>
    <row r="5302" spans="20:20" ht="26.25">
      <c r="T5302" s="384" ph="1"/>
    </row>
    <row r="5303" spans="20:20" ht="26.25">
      <c r="T5303" s="384" ph="1"/>
    </row>
    <row r="5304" spans="20:20" ht="26.25">
      <c r="T5304" s="384" ph="1"/>
    </row>
    <row r="5305" spans="20:20" ht="26.25">
      <c r="T5305" s="384" ph="1"/>
    </row>
    <row r="5306" spans="20:20" ht="26.25">
      <c r="T5306" s="384" ph="1"/>
    </row>
    <row r="5307" spans="20:20" ht="26.25">
      <c r="T5307" s="384" ph="1"/>
    </row>
    <row r="5308" spans="20:20" ht="26.25">
      <c r="T5308" s="384" ph="1"/>
    </row>
    <row r="5309" spans="20:20" ht="26.25">
      <c r="T5309" s="384" ph="1"/>
    </row>
    <row r="5310" spans="20:20" ht="26.25">
      <c r="T5310" s="384" ph="1"/>
    </row>
    <row r="5311" spans="20:20" ht="26.25">
      <c r="T5311" s="384" ph="1"/>
    </row>
    <row r="5312" spans="20:20" ht="26.25">
      <c r="T5312" s="384" ph="1"/>
    </row>
    <row r="5313" spans="20:20" ht="26.25">
      <c r="T5313" s="384" ph="1"/>
    </row>
    <row r="5314" spans="20:20" ht="26.25">
      <c r="T5314" s="384" ph="1"/>
    </row>
    <row r="5315" spans="20:20" ht="26.25">
      <c r="T5315" s="384" ph="1"/>
    </row>
    <row r="5316" spans="20:20" ht="26.25">
      <c r="T5316" s="384" ph="1"/>
    </row>
    <row r="5317" spans="20:20" ht="26.25">
      <c r="T5317" s="384" ph="1"/>
    </row>
    <row r="5318" spans="20:20" ht="26.25">
      <c r="T5318" s="384" ph="1"/>
    </row>
    <row r="5319" spans="20:20" ht="26.25">
      <c r="T5319" s="384" ph="1"/>
    </row>
    <row r="5320" spans="20:20" ht="26.25">
      <c r="T5320" s="384" ph="1"/>
    </row>
    <row r="5321" spans="20:20" ht="26.25">
      <c r="T5321" s="384" ph="1"/>
    </row>
    <row r="5322" spans="20:20" ht="26.25">
      <c r="T5322" s="384" ph="1"/>
    </row>
    <row r="5323" spans="20:20" ht="26.25">
      <c r="T5323" s="384" ph="1"/>
    </row>
    <row r="5324" spans="20:20" ht="26.25">
      <c r="T5324" s="384" ph="1"/>
    </row>
    <row r="5325" spans="20:20" ht="26.25">
      <c r="T5325" s="384" ph="1"/>
    </row>
    <row r="5326" spans="20:20" ht="26.25">
      <c r="T5326" s="384" ph="1"/>
    </row>
    <row r="5327" spans="20:20" ht="26.25">
      <c r="T5327" s="384" ph="1"/>
    </row>
    <row r="5328" spans="20:20" ht="26.25">
      <c r="T5328" s="384" ph="1"/>
    </row>
    <row r="5329" spans="20:20" ht="26.25">
      <c r="T5329" s="384" ph="1"/>
    </row>
    <row r="5330" spans="20:20" ht="26.25">
      <c r="T5330" s="384" ph="1"/>
    </row>
    <row r="5331" spans="20:20" ht="26.25">
      <c r="T5331" s="384" ph="1"/>
    </row>
    <row r="5332" spans="20:20" ht="26.25">
      <c r="T5332" s="384" ph="1"/>
    </row>
    <row r="5333" spans="20:20" ht="26.25">
      <c r="T5333" s="384" ph="1"/>
    </row>
    <row r="5334" spans="20:20" ht="26.25">
      <c r="T5334" s="384" ph="1"/>
    </row>
    <row r="5335" spans="20:20" ht="26.25">
      <c r="T5335" s="384" ph="1"/>
    </row>
    <row r="5336" spans="20:20" ht="26.25">
      <c r="T5336" s="384" ph="1"/>
    </row>
    <row r="5337" spans="20:20" ht="26.25">
      <c r="T5337" s="384" ph="1"/>
    </row>
    <row r="5338" spans="20:20" ht="26.25">
      <c r="T5338" s="384" ph="1"/>
    </row>
    <row r="5339" spans="20:20" ht="26.25">
      <c r="T5339" s="384" ph="1"/>
    </row>
    <row r="5340" spans="20:20" ht="26.25">
      <c r="T5340" s="384" ph="1"/>
    </row>
    <row r="5341" spans="20:20" ht="26.25">
      <c r="T5341" s="384" ph="1"/>
    </row>
    <row r="5342" spans="20:20" ht="26.25">
      <c r="T5342" s="384" ph="1"/>
    </row>
    <row r="5343" spans="20:20" ht="26.25">
      <c r="T5343" s="384" ph="1"/>
    </row>
    <row r="5344" spans="20:20" ht="26.25">
      <c r="T5344" s="384" ph="1"/>
    </row>
    <row r="5345" spans="20:20" ht="26.25">
      <c r="T5345" s="384" ph="1"/>
    </row>
    <row r="5346" spans="20:20" ht="26.25">
      <c r="T5346" s="384" ph="1"/>
    </row>
    <row r="5347" spans="20:20" ht="26.25">
      <c r="T5347" s="384" ph="1"/>
    </row>
    <row r="5348" spans="20:20" ht="26.25">
      <c r="T5348" s="384" ph="1"/>
    </row>
    <row r="5349" spans="20:20" ht="26.25">
      <c r="T5349" s="384" ph="1"/>
    </row>
    <row r="5350" spans="20:20" ht="26.25">
      <c r="T5350" s="384" ph="1"/>
    </row>
    <row r="5351" spans="20:20" ht="26.25">
      <c r="T5351" s="384" ph="1"/>
    </row>
    <row r="5352" spans="20:20" ht="26.25">
      <c r="T5352" s="384" ph="1"/>
    </row>
    <row r="5353" spans="20:20" ht="26.25">
      <c r="T5353" s="384" ph="1"/>
    </row>
    <row r="5354" spans="20:20" ht="26.25">
      <c r="T5354" s="384" ph="1"/>
    </row>
    <row r="5355" spans="20:20" ht="26.25">
      <c r="T5355" s="384" ph="1"/>
    </row>
    <row r="5356" spans="20:20" ht="26.25">
      <c r="T5356" s="384" ph="1"/>
    </row>
    <row r="5357" spans="20:20" ht="26.25">
      <c r="T5357" s="384" ph="1"/>
    </row>
    <row r="5358" spans="20:20" ht="26.25">
      <c r="T5358" s="384" ph="1"/>
    </row>
    <row r="5359" spans="20:20" ht="26.25">
      <c r="T5359" s="384" ph="1"/>
    </row>
    <row r="5360" spans="20:20" ht="26.25">
      <c r="T5360" s="384" ph="1"/>
    </row>
    <row r="5361" spans="20:20" ht="26.25">
      <c r="T5361" s="384" ph="1"/>
    </row>
    <row r="5362" spans="20:20" ht="26.25">
      <c r="T5362" s="384" ph="1"/>
    </row>
    <row r="5363" spans="20:20" ht="26.25">
      <c r="T5363" s="384" ph="1"/>
    </row>
    <row r="5364" spans="20:20" ht="26.25">
      <c r="T5364" s="384" ph="1"/>
    </row>
    <row r="5365" spans="20:20" ht="26.25">
      <c r="T5365" s="384" ph="1"/>
    </row>
    <row r="5366" spans="20:20" ht="26.25">
      <c r="T5366" s="384" ph="1"/>
    </row>
    <row r="5367" spans="20:20" ht="26.25">
      <c r="T5367" s="384" ph="1"/>
    </row>
    <row r="5368" spans="20:20" ht="26.25">
      <c r="T5368" s="384" ph="1"/>
    </row>
    <row r="5369" spans="20:20" ht="26.25">
      <c r="T5369" s="384" ph="1"/>
    </row>
    <row r="5370" spans="20:20" ht="26.25">
      <c r="T5370" s="384" ph="1"/>
    </row>
    <row r="5371" spans="20:20" ht="26.25">
      <c r="T5371" s="384" ph="1"/>
    </row>
    <row r="5372" spans="20:20" ht="26.25">
      <c r="T5372" s="384" ph="1"/>
    </row>
    <row r="5373" spans="20:20" ht="26.25">
      <c r="T5373" s="384" ph="1"/>
    </row>
    <row r="5374" spans="20:20" ht="26.25">
      <c r="T5374" s="384" ph="1"/>
    </row>
    <row r="5375" spans="20:20" ht="26.25">
      <c r="T5375" s="384" ph="1"/>
    </row>
    <row r="5376" spans="20:20" ht="26.25">
      <c r="T5376" s="384" ph="1"/>
    </row>
    <row r="5377" spans="20:20" ht="26.25">
      <c r="T5377" s="384" ph="1"/>
    </row>
    <row r="5378" spans="20:20" ht="26.25">
      <c r="T5378" s="384" ph="1"/>
    </row>
    <row r="5379" spans="20:20" ht="26.25">
      <c r="T5379" s="384" ph="1"/>
    </row>
    <row r="5380" spans="20:20" ht="26.25">
      <c r="T5380" s="384" ph="1"/>
    </row>
    <row r="5381" spans="20:20" ht="26.25">
      <c r="T5381" s="384" ph="1"/>
    </row>
    <row r="5382" spans="20:20" ht="26.25">
      <c r="T5382" s="384" ph="1"/>
    </row>
    <row r="5383" spans="20:20" ht="26.25">
      <c r="T5383" s="384" ph="1"/>
    </row>
    <row r="5384" spans="20:20" ht="26.25">
      <c r="T5384" s="384" ph="1"/>
    </row>
    <row r="5385" spans="20:20" ht="26.25">
      <c r="T5385" s="384" ph="1"/>
    </row>
    <row r="5386" spans="20:20" ht="26.25">
      <c r="T5386" s="384" ph="1"/>
    </row>
    <row r="5387" spans="20:20" ht="26.25">
      <c r="T5387" s="384" ph="1"/>
    </row>
    <row r="5388" spans="20:20" ht="26.25">
      <c r="T5388" s="384" ph="1"/>
    </row>
    <row r="5389" spans="20:20" ht="26.25">
      <c r="T5389" s="384" ph="1"/>
    </row>
    <row r="5390" spans="20:20" ht="26.25">
      <c r="T5390" s="384" ph="1"/>
    </row>
    <row r="5391" spans="20:20" ht="26.25">
      <c r="T5391" s="384" ph="1"/>
    </row>
    <row r="5392" spans="20:20" ht="26.25">
      <c r="T5392" s="384" ph="1"/>
    </row>
    <row r="5393" spans="20:20" ht="26.25">
      <c r="T5393" s="384" ph="1"/>
    </row>
    <row r="5394" spans="20:20" ht="26.25">
      <c r="T5394" s="384" ph="1"/>
    </row>
    <row r="5395" spans="20:20" ht="26.25">
      <c r="T5395" s="384" ph="1"/>
    </row>
    <row r="5396" spans="20:20" ht="26.25">
      <c r="T5396" s="384" ph="1"/>
    </row>
    <row r="5397" spans="20:20" ht="26.25">
      <c r="T5397" s="384" ph="1"/>
    </row>
    <row r="5398" spans="20:20" ht="26.25">
      <c r="T5398" s="384" ph="1"/>
    </row>
    <row r="5399" spans="20:20" ht="26.25">
      <c r="T5399" s="384" ph="1"/>
    </row>
    <row r="5400" spans="20:20" ht="26.25">
      <c r="T5400" s="384" ph="1"/>
    </row>
    <row r="5401" spans="20:20" ht="26.25">
      <c r="T5401" s="384" ph="1"/>
    </row>
    <row r="5402" spans="20:20" ht="26.25">
      <c r="T5402" s="384" ph="1"/>
    </row>
    <row r="5403" spans="20:20" ht="26.25">
      <c r="T5403" s="384" ph="1"/>
    </row>
    <row r="5404" spans="20:20" ht="26.25">
      <c r="T5404" s="384" ph="1"/>
    </row>
    <row r="5405" spans="20:20" ht="26.25">
      <c r="T5405" s="384" ph="1"/>
    </row>
    <row r="5406" spans="20:20" ht="26.25">
      <c r="T5406" s="384" ph="1"/>
    </row>
    <row r="5407" spans="20:20" ht="26.25">
      <c r="T5407" s="384" ph="1"/>
    </row>
    <row r="5408" spans="20:20" ht="26.25">
      <c r="T5408" s="384" ph="1"/>
    </row>
    <row r="5409" spans="20:20" ht="26.25">
      <c r="T5409" s="384" ph="1"/>
    </row>
    <row r="5410" spans="20:20" ht="26.25">
      <c r="T5410" s="384" ph="1"/>
    </row>
    <row r="5411" spans="20:20" ht="26.25">
      <c r="T5411" s="384" ph="1"/>
    </row>
    <row r="5412" spans="20:20" ht="26.25">
      <c r="T5412" s="384" ph="1"/>
    </row>
    <row r="5413" spans="20:20" ht="26.25">
      <c r="T5413" s="384" ph="1"/>
    </row>
    <row r="5414" spans="20:20" ht="26.25">
      <c r="T5414" s="384" ph="1"/>
    </row>
    <row r="5415" spans="20:20" ht="26.25">
      <c r="T5415" s="384" ph="1"/>
    </row>
    <row r="5416" spans="20:20" ht="26.25">
      <c r="T5416" s="384" ph="1"/>
    </row>
    <row r="5417" spans="20:20" ht="26.25">
      <c r="T5417" s="384" ph="1"/>
    </row>
    <row r="5418" spans="20:20" ht="26.25">
      <c r="T5418" s="384" ph="1"/>
    </row>
    <row r="5419" spans="20:20" ht="26.25">
      <c r="T5419" s="384" ph="1"/>
    </row>
    <row r="5420" spans="20:20" ht="26.25">
      <c r="T5420" s="384" ph="1"/>
    </row>
    <row r="5421" spans="20:20" ht="26.25">
      <c r="T5421" s="384" ph="1"/>
    </row>
    <row r="5422" spans="20:20" ht="26.25">
      <c r="T5422" s="384" ph="1"/>
    </row>
    <row r="5423" spans="20:20" ht="26.25">
      <c r="T5423" s="384" ph="1"/>
    </row>
    <row r="5424" spans="20:20" ht="26.25">
      <c r="T5424" s="384" ph="1"/>
    </row>
    <row r="5425" spans="20:20" ht="26.25">
      <c r="T5425" s="384" ph="1"/>
    </row>
    <row r="5426" spans="20:20" ht="26.25">
      <c r="T5426" s="384" ph="1"/>
    </row>
    <row r="5427" spans="20:20" ht="26.25">
      <c r="T5427" s="384" ph="1"/>
    </row>
    <row r="5428" spans="20:20" ht="26.25">
      <c r="T5428" s="384" ph="1"/>
    </row>
    <row r="5429" spans="20:20" ht="26.25">
      <c r="T5429" s="384" ph="1"/>
    </row>
    <row r="5430" spans="20:20" ht="26.25">
      <c r="T5430" s="384" ph="1"/>
    </row>
    <row r="5431" spans="20:20" ht="26.25">
      <c r="T5431" s="384" ph="1"/>
    </row>
    <row r="5432" spans="20:20" ht="26.25">
      <c r="T5432" s="384" ph="1"/>
    </row>
    <row r="5433" spans="20:20" ht="26.25">
      <c r="T5433" s="384" ph="1"/>
    </row>
    <row r="5434" spans="20:20" ht="26.25">
      <c r="T5434" s="384" ph="1"/>
    </row>
    <row r="5435" spans="20:20" ht="26.25">
      <c r="T5435" s="384" ph="1"/>
    </row>
    <row r="5436" spans="20:20" ht="26.25">
      <c r="T5436" s="384" ph="1"/>
    </row>
    <row r="5437" spans="20:20" ht="26.25">
      <c r="T5437" s="384" ph="1"/>
    </row>
    <row r="5438" spans="20:20" ht="26.25">
      <c r="T5438" s="384" ph="1"/>
    </row>
    <row r="5439" spans="20:20" ht="26.25">
      <c r="T5439" s="384" ph="1"/>
    </row>
    <row r="5440" spans="20:20" ht="26.25">
      <c r="T5440" s="384" ph="1"/>
    </row>
    <row r="5441" spans="20:20" ht="26.25">
      <c r="T5441" s="384" ph="1"/>
    </row>
    <row r="5442" spans="20:20" ht="26.25">
      <c r="T5442" s="384" ph="1"/>
    </row>
    <row r="5443" spans="20:20" ht="26.25">
      <c r="T5443" s="384" ph="1"/>
    </row>
    <row r="5444" spans="20:20" ht="26.25">
      <c r="T5444" s="384" ph="1"/>
    </row>
    <row r="5445" spans="20:20" ht="26.25">
      <c r="T5445" s="384" ph="1"/>
    </row>
    <row r="5446" spans="20:20" ht="26.25">
      <c r="T5446" s="384" ph="1"/>
    </row>
    <row r="5447" spans="20:20" ht="26.25">
      <c r="T5447" s="384" ph="1"/>
    </row>
    <row r="5448" spans="20:20" ht="26.25">
      <c r="T5448" s="384" ph="1"/>
    </row>
    <row r="5449" spans="20:20" ht="26.25">
      <c r="T5449" s="384" ph="1"/>
    </row>
    <row r="5450" spans="20:20" ht="26.25">
      <c r="T5450" s="384" ph="1"/>
    </row>
    <row r="5451" spans="20:20" ht="26.25">
      <c r="T5451" s="384" ph="1"/>
    </row>
    <row r="5452" spans="20:20" ht="26.25">
      <c r="T5452" s="384" ph="1"/>
    </row>
    <row r="5453" spans="20:20" ht="26.25">
      <c r="T5453" s="384" ph="1"/>
    </row>
    <row r="5454" spans="20:20" ht="26.25">
      <c r="T5454" s="384" ph="1"/>
    </row>
    <row r="5455" spans="20:20" ht="26.25">
      <c r="T5455" s="384" ph="1"/>
    </row>
    <row r="5456" spans="20:20" ht="26.25">
      <c r="T5456" s="384" ph="1"/>
    </row>
    <row r="5457" spans="20:20" ht="26.25">
      <c r="T5457" s="384" ph="1"/>
    </row>
    <row r="5458" spans="20:20" ht="26.25">
      <c r="T5458" s="384" ph="1"/>
    </row>
    <row r="5459" spans="20:20" ht="26.25">
      <c r="T5459" s="384" ph="1"/>
    </row>
    <row r="5460" spans="20:20" ht="26.25">
      <c r="T5460" s="384" ph="1"/>
    </row>
    <row r="5461" spans="20:20" ht="26.25">
      <c r="T5461" s="384" ph="1"/>
    </row>
    <row r="5462" spans="20:20" ht="26.25">
      <c r="T5462" s="384" ph="1"/>
    </row>
    <row r="5463" spans="20:20" ht="26.25">
      <c r="T5463" s="384" ph="1"/>
    </row>
    <row r="5464" spans="20:20" ht="26.25">
      <c r="T5464" s="384" ph="1"/>
    </row>
    <row r="5465" spans="20:20" ht="26.25">
      <c r="T5465" s="384" ph="1"/>
    </row>
    <row r="5466" spans="20:20" ht="26.25">
      <c r="T5466" s="384" ph="1"/>
    </row>
    <row r="5467" spans="20:20" ht="26.25">
      <c r="T5467" s="384" ph="1"/>
    </row>
    <row r="5468" spans="20:20" ht="26.25">
      <c r="T5468" s="384" ph="1"/>
    </row>
    <row r="5469" spans="20:20" ht="26.25">
      <c r="T5469" s="384" ph="1"/>
    </row>
    <row r="5470" spans="20:20" ht="26.25">
      <c r="T5470" s="384" ph="1"/>
    </row>
    <row r="5471" spans="20:20" ht="26.25">
      <c r="T5471" s="384" ph="1"/>
    </row>
    <row r="5472" spans="20:20" ht="26.25">
      <c r="T5472" s="384" ph="1"/>
    </row>
    <row r="5473" spans="20:20" ht="26.25">
      <c r="T5473" s="384" ph="1"/>
    </row>
    <row r="5474" spans="20:20" ht="26.25">
      <c r="T5474" s="384" ph="1"/>
    </row>
    <row r="5475" spans="20:20" ht="26.25">
      <c r="T5475" s="384" ph="1"/>
    </row>
    <row r="5476" spans="20:20" ht="26.25">
      <c r="T5476" s="384" ph="1"/>
    </row>
    <row r="5477" spans="20:20" ht="26.25">
      <c r="T5477" s="384" ph="1"/>
    </row>
    <row r="5478" spans="20:20" ht="26.25">
      <c r="T5478" s="384" ph="1"/>
    </row>
    <row r="5479" spans="20:20" ht="26.25">
      <c r="T5479" s="384" ph="1"/>
    </row>
    <row r="5480" spans="20:20" ht="26.25">
      <c r="T5480" s="384" ph="1"/>
    </row>
    <row r="5481" spans="20:20" ht="26.25">
      <c r="T5481" s="384" ph="1"/>
    </row>
    <row r="5482" spans="20:20" ht="26.25">
      <c r="T5482" s="384" ph="1"/>
    </row>
    <row r="5483" spans="20:20" ht="26.25">
      <c r="T5483" s="384" ph="1"/>
    </row>
    <row r="5484" spans="20:20" ht="26.25">
      <c r="T5484" s="384" ph="1"/>
    </row>
    <row r="5485" spans="20:20" ht="26.25">
      <c r="T5485" s="384" ph="1"/>
    </row>
    <row r="5486" spans="20:20" ht="26.25">
      <c r="T5486" s="384" ph="1"/>
    </row>
    <row r="5487" spans="20:20" ht="26.25">
      <c r="T5487" s="384" ph="1"/>
    </row>
    <row r="5488" spans="20:20" ht="26.25">
      <c r="T5488" s="384" ph="1"/>
    </row>
    <row r="5489" spans="20:20" ht="26.25">
      <c r="T5489" s="384" ph="1"/>
    </row>
    <row r="5490" spans="20:20" ht="26.25">
      <c r="T5490" s="384" ph="1"/>
    </row>
    <row r="5491" spans="20:20" ht="26.25">
      <c r="T5491" s="384" ph="1"/>
    </row>
    <row r="5492" spans="20:20" ht="26.25">
      <c r="T5492" s="384" ph="1"/>
    </row>
    <row r="5493" spans="20:20" ht="26.25">
      <c r="T5493" s="384" ph="1"/>
    </row>
    <row r="5494" spans="20:20" ht="26.25">
      <c r="T5494" s="384" ph="1"/>
    </row>
    <row r="5495" spans="20:20" ht="26.25">
      <c r="T5495" s="384" ph="1"/>
    </row>
    <row r="5496" spans="20:20" ht="26.25">
      <c r="T5496" s="384" ph="1"/>
    </row>
    <row r="5497" spans="20:20" ht="26.25">
      <c r="T5497" s="384" ph="1"/>
    </row>
    <row r="5498" spans="20:20" ht="26.25">
      <c r="T5498" s="384" ph="1"/>
    </row>
    <row r="5499" spans="20:20" ht="26.25">
      <c r="T5499" s="384" ph="1"/>
    </row>
    <row r="5500" spans="20:20" ht="26.25">
      <c r="T5500" s="384" ph="1"/>
    </row>
    <row r="5501" spans="20:20" ht="26.25">
      <c r="T5501" s="384" ph="1"/>
    </row>
    <row r="5502" spans="20:20" ht="26.25">
      <c r="T5502" s="384" ph="1"/>
    </row>
    <row r="5503" spans="20:20" ht="26.25">
      <c r="T5503" s="384" ph="1"/>
    </row>
    <row r="5504" spans="20:20" ht="26.25">
      <c r="T5504" s="384" ph="1"/>
    </row>
    <row r="5505" spans="20:20" ht="26.25">
      <c r="T5505" s="384" ph="1"/>
    </row>
    <row r="5506" spans="20:20" ht="26.25">
      <c r="T5506" s="384" ph="1"/>
    </row>
    <row r="5507" spans="20:20" ht="26.25">
      <c r="T5507" s="384" ph="1"/>
    </row>
    <row r="5508" spans="20:20" ht="26.25">
      <c r="T5508" s="384" ph="1"/>
    </row>
    <row r="5509" spans="20:20" ht="26.25">
      <c r="T5509" s="384" ph="1"/>
    </row>
    <row r="5510" spans="20:20" ht="26.25">
      <c r="T5510" s="384" ph="1"/>
    </row>
    <row r="5511" spans="20:20" ht="26.25">
      <c r="T5511" s="384" ph="1"/>
    </row>
    <row r="5512" spans="20:20" ht="26.25">
      <c r="T5512" s="384" ph="1"/>
    </row>
    <row r="5513" spans="20:20" ht="26.25">
      <c r="T5513" s="384" ph="1"/>
    </row>
    <row r="5514" spans="20:20" ht="26.25">
      <c r="T5514" s="384" ph="1"/>
    </row>
    <row r="5515" spans="20:20" ht="26.25">
      <c r="T5515" s="384" ph="1"/>
    </row>
    <row r="5516" spans="20:20" ht="26.25">
      <c r="T5516" s="384" ph="1"/>
    </row>
    <row r="5517" spans="20:20" ht="26.25">
      <c r="T5517" s="384" ph="1"/>
    </row>
    <row r="5518" spans="20:20" ht="26.25">
      <c r="T5518" s="384" ph="1"/>
    </row>
    <row r="5519" spans="20:20" ht="26.25">
      <c r="T5519" s="384" ph="1"/>
    </row>
    <row r="5520" spans="20:20" ht="26.25">
      <c r="T5520" s="384" ph="1"/>
    </row>
    <row r="5521" spans="20:20" ht="26.25">
      <c r="T5521" s="384" ph="1"/>
    </row>
    <row r="5522" spans="20:20" ht="26.25">
      <c r="T5522" s="384" ph="1"/>
    </row>
    <row r="5523" spans="20:20" ht="26.25">
      <c r="T5523" s="384" ph="1"/>
    </row>
    <row r="5524" spans="20:20" ht="26.25">
      <c r="T5524" s="384" ph="1"/>
    </row>
    <row r="5525" spans="20:20" ht="26.25">
      <c r="T5525" s="384" ph="1"/>
    </row>
    <row r="5526" spans="20:20" ht="26.25">
      <c r="T5526" s="384" ph="1"/>
    </row>
    <row r="5527" spans="20:20" ht="26.25">
      <c r="T5527" s="384" ph="1"/>
    </row>
    <row r="5528" spans="20:20" ht="26.25">
      <c r="T5528" s="384" ph="1"/>
    </row>
    <row r="5529" spans="20:20" ht="26.25">
      <c r="T5529" s="384" ph="1"/>
    </row>
    <row r="5530" spans="20:20" ht="26.25">
      <c r="T5530" s="384" ph="1"/>
    </row>
    <row r="5531" spans="20:20" ht="26.25">
      <c r="T5531" s="384" ph="1"/>
    </row>
    <row r="5532" spans="20:20" ht="26.25">
      <c r="T5532" s="384" ph="1"/>
    </row>
    <row r="5533" spans="20:20" ht="26.25">
      <c r="T5533" s="384" ph="1"/>
    </row>
    <row r="5534" spans="20:20" ht="26.25">
      <c r="T5534" s="384" ph="1"/>
    </row>
    <row r="5535" spans="20:20" ht="26.25">
      <c r="T5535" s="384" ph="1"/>
    </row>
    <row r="5536" spans="20:20" ht="26.25">
      <c r="T5536" s="384" ph="1"/>
    </row>
    <row r="5537" spans="20:20" ht="26.25">
      <c r="T5537" s="384" ph="1"/>
    </row>
    <row r="5538" spans="20:20" ht="26.25">
      <c r="T5538" s="384" ph="1"/>
    </row>
    <row r="5539" spans="20:20" ht="26.25">
      <c r="T5539" s="384" ph="1"/>
    </row>
    <row r="5540" spans="20:20" ht="26.25">
      <c r="T5540" s="384" ph="1"/>
    </row>
    <row r="5541" spans="20:20" ht="26.25">
      <c r="T5541" s="384" ph="1"/>
    </row>
    <row r="5542" spans="20:20" ht="26.25">
      <c r="T5542" s="384" ph="1"/>
    </row>
    <row r="5543" spans="20:20" ht="26.25">
      <c r="T5543" s="384" ph="1"/>
    </row>
    <row r="5544" spans="20:20" ht="26.25">
      <c r="T5544" s="384" ph="1"/>
    </row>
    <row r="5545" spans="20:20" ht="26.25">
      <c r="T5545" s="384" ph="1"/>
    </row>
    <row r="5546" spans="20:20" ht="26.25">
      <c r="T5546" s="384" ph="1"/>
    </row>
    <row r="5547" spans="20:20" ht="26.25">
      <c r="T5547" s="384" ph="1"/>
    </row>
    <row r="5548" spans="20:20" ht="26.25">
      <c r="T5548" s="384" ph="1"/>
    </row>
    <row r="5549" spans="20:20" ht="26.25">
      <c r="T5549" s="384" ph="1"/>
    </row>
    <row r="5550" spans="20:20" ht="26.25">
      <c r="T5550" s="384" ph="1"/>
    </row>
    <row r="5551" spans="20:20" ht="26.25">
      <c r="T5551" s="384" ph="1"/>
    </row>
    <row r="5552" spans="20:20" ht="26.25">
      <c r="T5552" s="384" ph="1"/>
    </row>
    <row r="5553" spans="20:20" ht="26.25">
      <c r="T5553" s="384" ph="1"/>
    </row>
    <row r="5554" spans="20:20" ht="26.25">
      <c r="T5554" s="384" ph="1"/>
    </row>
    <row r="5555" spans="20:20" ht="26.25">
      <c r="T5555" s="384" ph="1"/>
    </row>
    <row r="5556" spans="20:20" ht="26.25">
      <c r="T5556" s="384" ph="1"/>
    </row>
    <row r="5557" spans="20:20" ht="26.25">
      <c r="T5557" s="384" ph="1"/>
    </row>
    <row r="5558" spans="20:20" ht="26.25">
      <c r="T5558" s="384" ph="1"/>
    </row>
    <row r="5559" spans="20:20" ht="26.25">
      <c r="T5559" s="384" ph="1"/>
    </row>
    <row r="5560" spans="20:20" ht="26.25">
      <c r="T5560" s="384" ph="1"/>
    </row>
    <row r="5561" spans="20:20" ht="26.25">
      <c r="T5561" s="384" ph="1"/>
    </row>
    <row r="5562" spans="20:20" ht="26.25">
      <c r="T5562" s="384" ph="1"/>
    </row>
    <row r="5563" spans="20:20" ht="26.25">
      <c r="T5563" s="384" ph="1"/>
    </row>
    <row r="5564" spans="20:20" ht="26.25">
      <c r="T5564" s="384" ph="1"/>
    </row>
    <row r="5565" spans="20:20" ht="26.25">
      <c r="T5565" s="384" ph="1"/>
    </row>
    <row r="5566" spans="20:20" ht="26.25">
      <c r="T5566" s="384" ph="1"/>
    </row>
    <row r="5567" spans="20:20" ht="26.25">
      <c r="T5567" s="384" ph="1"/>
    </row>
    <row r="5568" spans="20:20" ht="26.25">
      <c r="T5568" s="384" ph="1"/>
    </row>
    <row r="5569" spans="20:20" ht="26.25">
      <c r="T5569" s="384" ph="1"/>
    </row>
    <row r="5570" spans="20:20" ht="26.25">
      <c r="T5570" s="384" ph="1"/>
    </row>
    <row r="5571" spans="20:20" ht="26.25">
      <c r="T5571" s="384" ph="1"/>
    </row>
    <row r="5572" spans="20:20" ht="26.25">
      <c r="T5572" s="384" ph="1"/>
    </row>
    <row r="5573" spans="20:20" ht="26.25">
      <c r="T5573" s="384" ph="1"/>
    </row>
    <row r="5574" spans="20:20" ht="26.25">
      <c r="T5574" s="384" ph="1"/>
    </row>
    <row r="5575" spans="20:20" ht="26.25">
      <c r="T5575" s="384" ph="1"/>
    </row>
    <row r="5576" spans="20:20" ht="26.25">
      <c r="T5576" s="384" ph="1"/>
    </row>
    <row r="5577" spans="20:20" ht="26.25">
      <c r="T5577" s="384" ph="1"/>
    </row>
    <row r="5578" spans="20:20" ht="26.25">
      <c r="T5578" s="384" ph="1"/>
    </row>
    <row r="5579" spans="20:20" ht="26.25">
      <c r="T5579" s="384" ph="1"/>
    </row>
    <row r="5580" spans="20:20" ht="26.25">
      <c r="T5580" s="384" ph="1"/>
    </row>
    <row r="5581" spans="20:20" ht="26.25">
      <c r="T5581" s="384" ph="1"/>
    </row>
    <row r="5582" spans="20:20" ht="26.25">
      <c r="T5582" s="384" ph="1"/>
    </row>
    <row r="5583" spans="20:20" ht="26.25">
      <c r="T5583" s="384" ph="1"/>
    </row>
    <row r="5584" spans="20:20" ht="26.25">
      <c r="T5584" s="384" ph="1"/>
    </row>
    <row r="5585" spans="20:20" ht="26.25">
      <c r="T5585" s="384" ph="1"/>
    </row>
    <row r="5586" spans="20:20" ht="26.25">
      <c r="T5586" s="384" ph="1"/>
    </row>
    <row r="5587" spans="20:20" ht="26.25">
      <c r="T5587" s="384" ph="1"/>
    </row>
    <row r="5588" spans="20:20" ht="26.25">
      <c r="T5588" s="384" ph="1"/>
    </row>
    <row r="5589" spans="20:20" ht="26.25">
      <c r="T5589" s="384" ph="1"/>
    </row>
    <row r="5590" spans="20:20" ht="26.25">
      <c r="T5590" s="384" ph="1"/>
    </row>
    <row r="5591" spans="20:20" ht="26.25">
      <c r="T5591" s="384" ph="1"/>
    </row>
    <row r="5592" spans="20:20" ht="26.25">
      <c r="T5592" s="384" ph="1"/>
    </row>
    <row r="5593" spans="20:20" ht="26.25">
      <c r="T5593" s="384" ph="1"/>
    </row>
    <row r="5594" spans="20:20" ht="26.25">
      <c r="T5594" s="384" ph="1"/>
    </row>
    <row r="5595" spans="20:20" ht="26.25">
      <c r="T5595" s="384" ph="1"/>
    </row>
    <row r="5596" spans="20:20" ht="26.25">
      <c r="T5596" s="384" ph="1"/>
    </row>
    <row r="5597" spans="20:20" ht="26.25">
      <c r="T5597" s="384" ph="1"/>
    </row>
    <row r="5598" spans="20:20" ht="26.25">
      <c r="T5598" s="384" ph="1"/>
    </row>
    <row r="5599" spans="20:20" ht="26.25">
      <c r="T5599" s="384" ph="1"/>
    </row>
    <row r="5600" spans="20:20" ht="26.25">
      <c r="T5600" s="384" ph="1"/>
    </row>
    <row r="5601" spans="20:20" ht="26.25">
      <c r="T5601" s="384" ph="1"/>
    </row>
    <row r="5602" spans="20:20" ht="26.25">
      <c r="T5602" s="384" ph="1"/>
    </row>
    <row r="5603" spans="20:20" ht="26.25">
      <c r="T5603" s="384" ph="1"/>
    </row>
    <row r="5604" spans="20:20" ht="26.25">
      <c r="T5604" s="384" ph="1"/>
    </row>
    <row r="5605" spans="20:20" ht="26.25">
      <c r="T5605" s="384" ph="1"/>
    </row>
    <row r="5606" spans="20:20" ht="26.25">
      <c r="T5606" s="384" ph="1"/>
    </row>
    <row r="5607" spans="20:20" ht="26.25">
      <c r="T5607" s="384" ph="1"/>
    </row>
    <row r="5608" spans="20:20" ht="26.25">
      <c r="T5608" s="384" ph="1"/>
    </row>
    <row r="5609" spans="20:20" ht="26.25">
      <c r="T5609" s="384" ph="1"/>
    </row>
    <row r="5610" spans="20:20" ht="26.25">
      <c r="T5610" s="384" ph="1"/>
    </row>
    <row r="5611" spans="20:20" ht="26.25">
      <c r="T5611" s="384" ph="1"/>
    </row>
    <row r="5612" spans="20:20" ht="26.25">
      <c r="T5612" s="384" ph="1"/>
    </row>
    <row r="5613" spans="20:20" ht="26.25">
      <c r="T5613" s="384" ph="1"/>
    </row>
    <row r="5614" spans="20:20" ht="26.25">
      <c r="T5614" s="384" ph="1"/>
    </row>
    <row r="5615" spans="20:20" ht="26.25">
      <c r="T5615" s="384" ph="1"/>
    </row>
    <row r="5616" spans="20:20" ht="26.25">
      <c r="T5616" s="384" ph="1"/>
    </row>
    <row r="5617" spans="20:20" ht="26.25">
      <c r="T5617" s="384" ph="1"/>
    </row>
    <row r="5618" spans="20:20" ht="26.25">
      <c r="T5618" s="384" ph="1"/>
    </row>
    <row r="5619" spans="20:20" ht="26.25">
      <c r="T5619" s="384" ph="1"/>
    </row>
    <row r="5620" spans="20:20" ht="26.25">
      <c r="T5620" s="384" ph="1"/>
    </row>
    <row r="5621" spans="20:20" ht="26.25">
      <c r="T5621" s="384" ph="1"/>
    </row>
    <row r="5622" spans="20:20" ht="26.25">
      <c r="T5622" s="384" ph="1"/>
    </row>
    <row r="5623" spans="20:20" ht="26.25">
      <c r="T5623" s="384" ph="1"/>
    </row>
    <row r="5624" spans="20:20" ht="26.25">
      <c r="T5624" s="384" ph="1"/>
    </row>
    <row r="5625" spans="20:20" ht="26.25">
      <c r="T5625" s="384" ph="1"/>
    </row>
    <row r="5626" spans="20:20" ht="26.25">
      <c r="T5626" s="384" ph="1"/>
    </row>
    <row r="5627" spans="20:20" ht="26.25">
      <c r="T5627" s="384" ph="1"/>
    </row>
    <row r="5628" spans="20:20" ht="26.25">
      <c r="T5628" s="384" ph="1"/>
    </row>
    <row r="5629" spans="20:20" ht="26.25">
      <c r="T5629" s="384" ph="1"/>
    </row>
    <row r="5630" spans="20:20" ht="26.25">
      <c r="T5630" s="384" ph="1"/>
    </row>
    <row r="5631" spans="20:20" ht="26.25">
      <c r="T5631" s="384" ph="1"/>
    </row>
    <row r="5632" spans="20:20" ht="26.25">
      <c r="T5632" s="384" ph="1"/>
    </row>
    <row r="5633" spans="20:20" ht="26.25">
      <c r="T5633" s="384" ph="1"/>
    </row>
    <row r="5634" spans="20:20" ht="26.25">
      <c r="T5634" s="384" ph="1"/>
    </row>
    <row r="5635" spans="20:20" ht="26.25">
      <c r="T5635" s="384" ph="1"/>
    </row>
    <row r="5636" spans="20:20" ht="26.25">
      <c r="T5636" s="384" ph="1"/>
    </row>
    <row r="5637" spans="20:20" ht="26.25">
      <c r="T5637" s="384" ph="1"/>
    </row>
    <row r="5638" spans="20:20" ht="26.25">
      <c r="T5638" s="384" ph="1"/>
    </row>
    <row r="5639" spans="20:20" ht="26.25">
      <c r="T5639" s="384" ph="1"/>
    </row>
    <row r="5640" spans="20:20" ht="26.25">
      <c r="T5640" s="384" ph="1"/>
    </row>
    <row r="5641" spans="20:20" ht="26.25">
      <c r="T5641" s="384" ph="1"/>
    </row>
    <row r="5642" spans="20:20" ht="26.25">
      <c r="T5642" s="384" ph="1"/>
    </row>
    <row r="5643" spans="20:20" ht="26.25">
      <c r="T5643" s="384" ph="1"/>
    </row>
    <row r="5644" spans="20:20" ht="26.25">
      <c r="T5644" s="384" ph="1"/>
    </row>
    <row r="5645" spans="20:20" ht="26.25">
      <c r="T5645" s="384" ph="1"/>
    </row>
    <row r="5646" spans="20:20" ht="26.25">
      <c r="T5646" s="384" ph="1"/>
    </row>
    <row r="5647" spans="20:20" ht="26.25">
      <c r="T5647" s="384" ph="1"/>
    </row>
    <row r="5648" spans="20:20" ht="26.25">
      <c r="T5648" s="384" ph="1"/>
    </row>
    <row r="5649" spans="20:20" ht="26.25">
      <c r="T5649" s="384" ph="1"/>
    </row>
    <row r="5650" spans="20:20" ht="26.25">
      <c r="T5650" s="384" ph="1"/>
    </row>
    <row r="5651" spans="20:20" ht="26.25">
      <c r="T5651" s="384" ph="1"/>
    </row>
    <row r="5652" spans="20:20" ht="26.25">
      <c r="T5652" s="384" ph="1"/>
    </row>
    <row r="5653" spans="20:20" ht="26.25">
      <c r="T5653" s="384" ph="1"/>
    </row>
    <row r="5654" spans="20:20" ht="26.25">
      <c r="T5654" s="384" ph="1"/>
    </row>
    <row r="5655" spans="20:20" ht="26.25">
      <c r="T5655" s="384" ph="1"/>
    </row>
    <row r="5656" spans="20:20" ht="26.25">
      <c r="T5656" s="384" ph="1"/>
    </row>
    <row r="5657" spans="20:20" ht="26.25">
      <c r="T5657" s="384" ph="1"/>
    </row>
    <row r="5658" spans="20:20" ht="26.25">
      <c r="T5658" s="384" ph="1"/>
    </row>
    <row r="5659" spans="20:20" ht="26.25">
      <c r="T5659" s="384" ph="1"/>
    </row>
    <row r="5660" spans="20:20" ht="26.25">
      <c r="T5660" s="384" ph="1"/>
    </row>
    <row r="5661" spans="20:20" ht="26.25">
      <c r="T5661" s="384" ph="1"/>
    </row>
    <row r="5662" spans="20:20" ht="26.25">
      <c r="T5662" s="384" ph="1"/>
    </row>
    <row r="5663" spans="20:20" ht="26.25">
      <c r="T5663" s="384" ph="1"/>
    </row>
    <row r="5664" spans="20:20" ht="26.25">
      <c r="T5664" s="384" ph="1"/>
    </row>
    <row r="5665" spans="20:20" ht="26.25">
      <c r="T5665" s="384" ph="1"/>
    </row>
    <row r="5666" spans="20:20" ht="26.25">
      <c r="T5666" s="384" ph="1"/>
    </row>
    <row r="5667" spans="20:20" ht="26.25">
      <c r="T5667" s="384" ph="1"/>
    </row>
    <row r="5668" spans="20:20" ht="26.25">
      <c r="T5668" s="384" ph="1"/>
    </row>
    <row r="5669" spans="20:20" ht="26.25">
      <c r="T5669" s="384" ph="1"/>
    </row>
    <row r="5670" spans="20:20" ht="26.25">
      <c r="T5670" s="384" ph="1"/>
    </row>
    <row r="5671" spans="20:20" ht="26.25">
      <c r="T5671" s="384" ph="1"/>
    </row>
    <row r="5672" spans="20:20" ht="26.25">
      <c r="T5672" s="384" ph="1"/>
    </row>
    <row r="5673" spans="20:20" ht="26.25">
      <c r="T5673" s="384" ph="1"/>
    </row>
    <row r="5674" spans="20:20" ht="26.25">
      <c r="T5674" s="384" ph="1"/>
    </row>
    <row r="5675" spans="20:20" ht="26.25">
      <c r="T5675" s="384" ph="1"/>
    </row>
    <row r="5676" spans="20:20" ht="26.25">
      <c r="T5676" s="384" ph="1"/>
    </row>
    <row r="5677" spans="20:20" ht="26.25">
      <c r="T5677" s="384" ph="1"/>
    </row>
    <row r="5678" spans="20:20" ht="26.25">
      <c r="T5678" s="384" ph="1"/>
    </row>
    <row r="5679" spans="20:20" ht="26.25">
      <c r="T5679" s="384" ph="1"/>
    </row>
    <row r="5680" spans="20:20" ht="26.25">
      <c r="T5680" s="384" ph="1"/>
    </row>
    <row r="5681" spans="20:20" ht="26.25">
      <c r="T5681" s="384" ph="1"/>
    </row>
    <row r="5682" spans="20:20" ht="26.25">
      <c r="T5682" s="384" ph="1"/>
    </row>
    <row r="5683" spans="20:20" ht="26.25">
      <c r="T5683" s="384" ph="1"/>
    </row>
    <row r="5684" spans="20:20" ht="26.25">
      <c r="T5684" s="384" ph="1"/>
    </row>
    <row r="5685" spans="20:20" ht="26.25">
      <c r="T5685" s="384" ph="1"/>
    </row>
    <row r="5686" spans="20:20" ht="26.25">
      <c r="T5686" s="384" ph="1"/>
    </row>
    <row r="5687" spans="20:20" ht="26.25">
      <c r="T5687" s="384" ph="1"/>
    </row>
    <row r="5688" spans="20:20" ht="26.25">
      <c r="T5688" s="384" ph="1"/>
    </row>
    <row r="5689" spans="20:20" ht="26.25">
      <c r="T5689" s="384" ph="1"/>
    </row>
    <row r="5690" spans="20:20" ht="26.25">
      <c r="T5690" s="384" ph="1"/>
    </row>
    <row r="5691" spans="20:20" ht="26.25">
      <c r="T5691" s="384" ph="1"/>
    </row>
    <row r="5692" spans="20:20" ht="26.25">
      <c r="T5692" s="384" ph="1"/>
    </row>
    <row r="5693" spans="20:20" ht="26.25">
      <c r="T5693" s="384" ph="1"/>
    </row>
    <row r="5694" spans="20:20" ht="26.25">
      <c r="T5694" s="384" ph="1"/>
    </row>
    <row r="5695" spans="20:20" ht="26.25">
      <c r="T5695" s="384" ph="1"/>
    </row>
    <row r="5696" spans="20:20" ht="26.25">
      <c r="T5696" s="384" ph="1"/>
    </row>
    <row r="5697" spans="20:20" ht="26.25">
      <c r="T5697" s="384" ph="1"/>
    </row>
    <row r="5698" spans="20:20" ht="26.25">
      <c r="T5698" s="384" ph="1"/>
    </row>
    <row r="5699" spans="20:20" ht="26.25">
      <c r="T5699" s="384" ph="1"/>
    </row>
    <row r="5700" spans="20:20" ht="26.25">
      <c r="T5700" s="384" ph="1"/>
    </row>
    <row r="5701" spans="20:20" ht="26.25">
      <c r="T5701" s="384" ph="1"/>
    </row>
    <row r="5702" spans="20:20" ht="26.25">
      <c r="T5702" s="384" ph="1"/>
    </row>
    <row r="5703" spans="20:20" ht="26.25">
      <c r="T5703" s="384" ph="1"/>
    </row>
    <row r="5704" spans="20:20" ht="26.25">
      <c r="T5704" s="384" ph="1"/>
    </row>
    <row r="5705" spans="20:20" ht="26.25">
      <c r="T5705" s="384" ph="1"/>
    </row>
    <row r="5706" spans="20:20" ht="26.25">
      <c r="T5706" s="384" ph="1"/>
    </row>
    <row r="5707" spans="20:20" ht="26.25">
      <c r="T5707" s="384" ph="1"/>
    </row>
    <row r="5708" spans="20:20" ht="26.25">
      <c r="T5708" s="384" ph="1"/>
    </row>
    <row r="5709" spans="20:20" ht="26.25">
      <c r="T5709" s="384" ph="1"/>
    </row>
    <row r="5710" spans="20:20" ht="26.25">
      <c r="T5710" s="384" ph="1"/>
    </row>
    <row r="5711" spans="20:20" ht="26.25">
      <c r="T5711" s="384" ph="1"/>
    </row>
    <row r="5712" spans="20:20" ht="26.25">
      <c r="T5712" s="384" ph="1"/>
    </row>
    <row r="5713" spans="20:20" ht="26.25">
      <c r="T5713" s="384" ph="1"/>
    </row>
    <row r="5714" spans="20:20" ht="26.25">
      <c r="T5714" s="384" ph="1"/>
    </row>
    <row r="5715" spans="20:20" ht="26.25">
      <c r="T5715" s="384" ph="1"/>
    </row>
    <row r="5716" spans="20:20" ht="26.25">
      <c r="T5716" s="384" ph="1"/>
    </row>
    <row r="5717" spans="20:20" ht="26.25">
      <c r="T5717" s="384" ph="1"/>
    </row>
    <row r="5718" spans="20:20" ht="26.25">
      <c r="T5718" s="384" ph="1"/>
    </row>
    <row r="5719" spans="20:20" ht="26.25">
      <c r="T5719" s="384" ph="1"/>
    </row>
    <row r="5720" spans="20:20" ht="26.25">
      <c r="T5720" s="384" ph="1"/>
    </row>
    <row r="5721" spans="20:20" ht="26.25">
      <c r="T5721" s="384" ph="1"/>
    </row>
    <row r="5722" spans="20:20" ht="26.25">
      <c r="T5722" s="384" ph="1"/>
    </row>
    <row r="5723" spans="20:20" ht="26.25">
      <c r="T5723" s="384" ph="1"/>
    </row>
    <row r="5724" spans="20:20" ht="26.25">
      <c r="T5724" s="384" ph="1"/>
    </row>
    <row r="5725" spans="20:20" ht="26.25">
      <c r="T5725" s="384" ph="1"/>
    </row>
    <row r="5726" spans="20:20" ht="26.25">
      <c r="T5726" s="384" ph="1"/>
    </row>
    <row r="5727" spans="20:20" ht="26.25">
      <c r="T5727" s="384" ph="1"/>
    </row>
    <row r="5728" spans="20:20" ht="26.25">
      <c r="T5728" s="384" ph="1"/>
    </row>
    <row r="5729" spans="20:20" ht="26.25">
      <c r="T5729" s="384" ph="1"/>
    </row>
    <row r="5730" spans="20:20" ht="26.25">
      <c r="T5730" s="384" ph="1"/>
    </row>
    <row r="5731" spans="20:20" ht="26.25">
      <c r="T5731" s="384" ph="1"/>
    </row>
    <row r="5732" spans="20:20" ht="26.25">
      <c r="T5732" s="384" ph="1"/>
    </row>
    <row r="5733" spans="20:20" ht="26.25">
      <c r="T5733" s="384" ph="1"/>
    </row>
    <row r="5734" spans="20:20" ht="26.25">
      <c r="T5734" s="384" ph="1"/>
    </row>
    <row r="5735" spans="20:20" ht="26.25">
      <c r="T5735" s="384" ph="1"/>
    </row>
    <row r="5736" spans="20:20" ht="26.25">
      <c r="T5736" s="384" ph="1"/>
    </row>
    <row r="5737" spans="20:20" ht="26.25">
      <c r="T5737" s="384" ph="1"/>
    </row>
    <row r="5738" spans="20:20" ht="26.25">
      <c r="T5738" s="384" ph="1"/>
    </row>
    <row r="5739" spans="20:20" ht="26.25">
      <c r="T5739" s="384" ph="1"/>
    </row>
    <row r="5740" spans="20:20" ht="26.25">
      <c r="T5740" s="384" ph="1"/>
    </row>
    <row r="5741" spans="20:20" ht="26.25">
      <c r="T5741" s="384" ph="1"/>
    </row>
    <row r="5742" spans="20:20" ht="26.25">
      <c r="T5742" s="384" ph="1"/>
    </row>
    <row r="5743" spans="20:20" ht="26.25">
      <c r="T5743" s="384" ph="1"/>
    </row>
    <row r="5744" spans="20:20" ht="26.25">
      <c r="T5744" s="384" ph="1"/>
    </row>
    <row r="5745" spans="20:20" ht="26.25">
      <c r="T5745" s="384" ph="1"/>
    </row>
    <row r="5746" spans="20:20" ht="26.25">
      <c r="T5746" s="384" ph="1"/>
    </row>
    <row r="5747" spans="20:20" ht="26.25">
      <c r="T5747" s="384" ph="1"/>
    </row>
    <row r="5748" spans="20:20" ht="26.25">
      <c r="T5748" s="384" ph="1"/>
    </row>
    <row r="5749" spans="20:20" ht="26.25">
      <c r="T5749" s="384" ph="1"/>
    </row>
    <row r="5750" spans="20:20" ht="26.25">
      <c r="T5750" s="384" ph="1"/>
    </row>
    <row r="5751" spans="20:20" ht="26.25">
      <c r="T5751" s="384" ph="1"/>
    </row>
    <row r="5752" spans="20:20" ht="26.25">
      <c r="T5752" s="384" ph="1"/>
    </row>
    <row r="5753" spans="20:20" ht="26.25">
      <c r="T5753" s="384" ph="1"/>
    </row>
    <row r="5754" spans="20:20" ht="26.25">
      <c r="T5754" s="384" ph="1"/>
    </row>
    <row r="5755" spans="20:20" ht="26.25">
      <c r="T5755" s="384" ph="1"/>
    </row>
    <row r="5756" spans="20:20" ht="26.25">
      <c r="T5756" s="384" ph="1"/>
    </row>
    <row r="5757" spans="20:20" ht="26.25">
      <c r="T5757" s="384" ph="1"/>
    </row>
    <row r="5758" spans="20:20" ht="26.25">
      <c r="T5758" s="384" ph="1"/>
    </row>
    <row r="5759" spans="20:20" ht="26.25">
      <c r="T5759" s="384" ph="1"/>
    </row>
    <row r="5760" spans="20:20" ht="26.25">
      <c r="T5760" s="384" ph="1"/>
    </row>
    <row r="5761" spans="20:20" ht="26.25">
      <c r="T5761" s="384" ph="1"/>
    </row>
    <row r="5762" spans="20:20" ht="26.25">
      <c r="T5762" s="384" ph="1"/>
    </row>
    <row r="5763" spans="20:20" ht="26.25">
      <c r="T5763" s="384" ph="1"/>
    </row>
    <row r="5764" spans="20:20" ht="26.25">
      <c r="T5764" s="384" ph="1"/>
    </row>
    <row r="5765" spans="20:20" ht="26.25">
      <c r="T5765" s="384" ph="1"/>
    </row>
    <row r="5766" spans="20:20" ht="26.25">
      <c r="T5766" s="384" ph="1"/>
    </row>
    <row r="5767" spans="20:20" ht="26.25">
      <c r="T5767" s="384" ph="1"/>
    </row>
    <row r="5768" spans="20:20" ht="26.25">
      <c r="T5768" s="384" ph="1"/>
    </row>
    <row r="5769" spans="20:20" ht="26.25">
      <c r="T5769" s="384" ph="1"/>
    </row>
    <row r="5770" spans="20:20" ht="26.25">
      <c r="T5770" s="384" ph="1"/>
    </row>
    <row r="5771" spans="20:20" ht="26.25">
      <c r="T5771" s="384" ph="1"/>
    </row>
    <row r="5772" spans="20:20" ht="26.25">
      <c r="T5772" s="384" ph="1"/>
    </row>
    <row r="5773" spans="20:20" ht="26.25">
      <c r="T5773" s="384" ph="1"/>
    </row>
    <row r="5774" spans="20:20" ht="26.25">
      <c r="T5774" s="384" ph="1"/>
    </row>
    <row r="5775" spans="20:20" ht="26.25">
      <c r="T5775" s="384" ph="1"/>
    </row>
    <row r="5776" spans="20:20" ht="26.25">
      <c r="T5776" s="384" ph="1"/>
    </row>
    <row r="5777" spans="20:20" ht="26.25">
      <c r="T5777" s="384" ph="1"/>
    </row>
    <row r="5778" spans="20:20" ht="26.25">
      <c r="T5778" s="384" ph="1"/>
    </row>
    <row r="5779" spans="20:20" ht="26.25">
      <c r="T5779" s="384" ph="1"/>
    </row>
    <row r="5780" spans="20:20" ht="26.25">
      <c r="T5780" s="384" ph="1"/>
    </row>
    <row r="5781" spans="20:20" ht="26.25">
      <c r="T5781" s="384" ph="1"/>
    </row>
    <row r="5782" spans="20:20" ht="26.25">
      <c r="T5782" s="384" ph="1"/>
    </row>
    <row r="5783" spans="20:20" ht="26.25">
      <c r="T5783" s="384" ph="1"/>
    </row>
    <row r="5784" spans="20:20" ht="26.25">
      <c r="T5784" s="384" ph="1"/>
    </row>
    <row r="5785" spans="20:20" ht="26.25">
      <c r="T5785" s="384" ph="1"/>
    </row>
    <row r="5786" spans="20:20" ht="26.25">
      <c r="T5786" s="384" ph="1"/>
    </row>
    <row r="5787" spans="20:20" ht="26.25">
      <c r="T5787" s="384" ph="1"/>
    </row>
    <row r="5788" spans="20:20" ht="26.25">
      <c r="T5788" s="384" ph="1"/>
    </row>
    <row r="5789" spans="20:20" ht="26.25">
      <c r="T5789" s="384" ph="1"/>
    </row>
    <row r="5790" spans="20:20" ht="26.25">
      <c r="T5790" s="384" ph="1"/>
    </row>
    <row r="5791" spans="20:20" ht="26.25">
      <c r="T5791" s="384" ph="1"/>
    </row>
    <row r="5792" spans="20:20" ht="26.25">
      <c r="T5792" s="384" ph="1"/>
    </row>
    <row r="5793" spans="20:20" ht="26.25">
      <c r="T5793" s="384" ph="1"/>
    </row>
    <row r="5794" spans="20:20" ht="26.25">
      <c r="T5794" s="384" ph="1"/>
    </row>
    <row r="5795" spans="20:20" ht="26.25">
      <c r="T5795" s="384" ph="1"/>
    </row>
    <row r="5796" spans="20:20" ht="26.25">
      <c r="T5796" s="384" ph="1"/>
    </row>
    <row r="5797" spans="20:20" ht="26.25">
      <c r="T5797" s="384" ph="1"/>
    </row>
    <row r="5798" spans="20:20" ht="26.25">
      <c r="T5798" s="384" ph="1"/>
    </row>
    <row r="5799" spans="20:20" ht="26.25">
      <c r="T5799" s="384" ph="1"/>
    </row>
    <row r="5800" spans="20:20" ht="26.25">
      <c r="T5800" s="384" ph="1"/>
    </row>
    <row r="5801" spans="20:20" ht="26.25">
      <c r="T5801" s="384" ph="1"/>
    </row>
    <row r="5802" spans="20:20" ht="26.25">
      <c r="T5802" s="384" ph="1"/>
    </row>
    <row r="5803" spans="20:20" ht="26.25">
      <c r="T5803" s="384" ph="1"/>
    </row>
    <row r="5804" spans="20:20" ht="26.25">
      <c r="T5804" s="384" ph="1"/>
    </row>
    <row r="5805" spans="20:20" ht="26.25">
      <c r="T5805" s="384" ph="1"/>
    </row>
    <row r="5806" spans="20:20" ht="26.25">
      <c r="T5806" s="384" ph="1"/>
    </row>
    <row r="5807" spans="20:20" ht="26.25">
      <c r="T5807" s="384" ph="1"/>
    </row>
    <row r="5808" spans="20:20" ht="26.25">
      <c r="T5808" s="384" ph="1"/>
    </row>
    <row r="5809" spans="20:20" ht="26.25">
      <c r="T5809" s="384" ph="1"/>
    </row>
    <row r="5810" spans="20:20" ht="26.25">
      <c r="T5810" s="384" ph="1"/>
    </row>
    <row r="5811" spans="20:20" ht="26.25">
      <c r="T5811" s="384" ph="1"/>
    </row>
    <row r="5812" spans="20:20" ht="26.25">
      <c r="T5812" s="384" ph="1"/>
    </row>
    <row r="5813" spans="20:20" ht="26.25">
      <c r="T5813" s="384" ph="1"/>
    </row>
    <row r="5814" spans="20:20" ht="26.25">
      <c r="T5814" s="384" ph="1"/>
    </row>
    <row r="5815" spans="20:20" ht="26.25">
      <c r="T5815" s="384" ph="1"/>
    </row>
    <row r="5816" spans="20:20" ht="26.25">
      <c r="T5816" s="384" ph="1"/>
    </row>
    <row r="5817" spans="20:20" ht="26.25">
      <c r="T5817" s="384" ph="1"/>
    </row>
    <row r="5818" spans="20:20" ht="26.25">
      <c r="T5818" s="384" ph="1"/>
    </row>
    <row r="5819" spans="20:20" ht="26.25">
      <c r="T5819" s="384" ph="1"/>
    </row>
    <row r="5820" spans="20:20" ht="26.25">
      <c r="T5820" s="384" ph="1"/>
    </row>
    <row r="5821" spans="20:20" ht="26.25">
      <c r="T5821" s="384" ph="1"/>
    </row>
    <row r="5822" spans="20:20" ht="26.25">
      <c r="T5822" s="384" ph="1"/>
    </row>
    <row r="5823" spans="20:20" ht="26.25">
      <c r="T5823" s="384" ph="1"/>
    </row>
    <row r="5824" spans="20:20" ht="26.25">
      <c r="T5824" s="384" ph="1"/>
    </row>
    <row r="5825" spans="20:20" ht="26.25">
      <c r="T5825" s="384" ph="1"/>
    </row>
    <row r="5826" spans="20:20" ht="26.25">
      <c r="T5826" s="384" ph="1"/>
    </row>
    <row r="5827" spans="20:20" ht="26.25">
      <c r="T5827" s="384" ph="1"/>
    </row>
    <row r="5828" spans="20:20" ht="26.25">
      <c r="T5828" s="384" ph="1"/>
    </row>
    <row r="5829" spans="20:20" ht="26.25">
      <c r="T5829" s="384" ph="1"/>
    </row>
    <row r="5830" spans="20:20" ht="26.25">
      <c r="T5830" s="384" ph="1"/>
    </row>
    <row r="5831" spans="20:20" ht="26.25">
      <c r="T5831" s="384" ph="1"/>
    </row>
    <row r="5832" spans="20:20" ht="26.25">
      <c r="T5832" s="384" ph="1"/>
    </row>
    <row r="5833" spans="20:20" ht="26.25">
      <c r="T5833" s="384" ph="1"/>
    </row>
    <row r="5834" spans="20:20" ht="26.25">
      <c r="T5834" s="384" ph="1"/>
    </row>
    <row r="5835" spans="20:20" ht="26.25">
      <c r="T5835" s="384" ph="1"/>
    </row>
    <row r="5836" spans="20:20" ht="26.25">
      <c r="T5836" s="384" ph="1"/>
    </row>
    <row r="5837" spans="20:20" ht="26.25">
      <c r="T5837" s="384" ph="1"/>
    </row>
    <row r="5838" spans="20:20" ht="26.25">
      <c r="T5838" s="384" ph="1"/>
    </row>
    <row r="5839" spans="20:20" ht="26.25">
      <c r="T5839" s="384" ph="1"/>
    </row>
    <row r="5840" spans="20:20" ht="26.25">
      <c r="T5840" s="384" ph="1"/>
    </row>
    <row r="5841" spans="20:20" ht="26.25">
      <c r="T5841" s="384" ph="1"/>
    </row>
    <row r="5842" spans="20:20" ht="26.25">
      <c r="T5842" s="384" ph="1"/>
    </row>
    <row r="5843" spans="20:20" ht="26.25">
      <c r="T5843" s="384" ph="1"/>
    </row>
    <row r="5844" spans="20:20" ht="26.25">
      <c r="T5844" s="384" ph="1"/>
    </row>
    <row r="5845" spans="20:20" ht="26.25">
      <c r="T5845" s="384" ph="1"/>
    </row>
    <row r="5846" spans="20:20" ht="26.25">
      <c r="T5846" s="384" ph="1"/>
    </row>
    <row r="5847" spans="20:20" ht="26.25">
      <c r="T5847" s="384" ph="1"/>
    </row>
    <row r="5848" spans="20:20" ht="26.25">
      <c r="T5848" s="384" ph="1"/>
    </row>
    <row r="5849" spans="20:20" ht="26.25">
      <c r="T5849" s="384" ph="1"/>
    </row>
    <row r="5850" spans="20:20" ht="26.25">
      <c r="T5850" s="384" ph="1"/>
    </row>
    <row r="5851" spans="20:20" ht="26.25">
      <c r="T5851" s="384" ph="1"/>
    </row>
    <row r="5852" spans="20:20" ht="26.25">
      <c r="T5852" s="384" ph="1"/>
    </row>
    <row r="5853" spans="20:20" ht="26.25">
      <c r="T5853" s="384" ph="1"/>
    </row>
    <row r="5854" spans="20:20" ht="26.25">
      <c r="T5854" s="384" ph="1"/>
    </row>
    <row r="5855" spans="20:20" ht="26.25">
      <c r="T5855" s="384" ph="1"/>
    </row>
    <row r="5856" spans="20:20" ht="26.25">
      <c r="T5856" s="384" ph="1"/>
    </row>
    <row r="5857" spans="20:20" ht="26.25">
      <c r="T5857" s="384" ph="1"/>
    </row>
    <row r="5858" spans="20:20" ht="26.25">
      <c r="T5858" s="384" ph="1"/>
    </row>
    <row r="5859" spans="20:20" ht="26.25">
      <c r="T5859" s="384" ph="1"/>
    </row>
    <row r="5860" spans="20:20" ht="26.25">
      <c r="T5860" s="384" ph="1"/>
    </row>
    <row r="5861" spans="20:20" ht="26.25">
      <c r="T5861" s="384" ph="1"/>
    </row>
    <row r="5862" spans="20:20" ht="26.25">
      <c r="T5862" s="384" ph="1"/>
    </row>
    <row r="5863" spans="20:20" ht="26.25">
      <c r="T5863" s="384" ph="1"/>
    </row>
    <row r="5864" spans="20:20" ht="26.25">
      <c r="T5864" s="384" ph="1"/>
    </row>
    <row r="5865" spans="20:20" ht="26.25">
      <c r="T5865" s="384" ph="1"/>
    </row>
    <row r="5866" spans="20:20" ht="26.25">
      <c r="T5866" s="384" ph="1"/>
    </row>
    <row r="5867" spans="20:20" ht="26.25">
      <c r="T5867" s="384" ph="1"/>
    </row>
    <row r="5868" spans="20:20" ht="26.25">
      <c r="T5868" s="384" ph="1"/>
    </row>
    <row r="5869" spans="20:20" ht="26.25">
      <c r="T5869" s="384" ph="1"/>
    </row>
    <row r="5870" spans="20:20" ht="26.25">
      <c r="T5870" s="384" ph="1"/>
    </row>
    <row r="5871" spans="20:20" ht="26.25">
      <c r="T5871" s="384" ph="1"/>
    </row>
    <row r="5872" spans="20:20" ht="26.25">
      <c r="T5872" s="384" ph="1"/>
    </row>
    <row r="5873" spans="20:20" ht="26.25">
      <c r="T5873" s="384" ph="1"/>
    </row>
    <row r="5874" spans="20:20" ht="26.25">
      <c r="T5874" s="384" ph="1"/>
    </row>
    <row r="5875" spans="20:20" ht="26.25">
      <c r="T5875" s="384" ph="1"/>
    </row>
    <row r="5876" spans="20:20" ht="26.25">
      <c r="T5876" s="384" ph="1"/>
    </row>
    <row r="5877" spans="20:20" ht="26.25">
      <c r="T5877" s="384" ph="1"/>
    </row>
    <row r="5878" spans="20:20" ht="26.25">
      <c r="T5878" s="384" ph="1"/>
    </row>
    <row r="5879" spans="20:20" ht="26.25">
      <c r="T5879" s="384" ph="1"/>
    </row>
    <row r="5880" spans="20:20" ht="26.25">
      <c r="T5880" s="384" ph="1"/>
    </row>
    <row r="5881" spans="20:20" ht="26.25">
      <c r="T5881" s="384" ph="1"/>
    </row>
    <row r="5882" spans="20:20" ht="26.25">
      <c r="T5882" s="384" ph="1"/>
    </row>
    <row r="5883" spans="20:20" ht="26.25">
      <c r="T5883" s="384" ph="1"/>
    </row>
    <row r="5884" spans="20:20" ht="26.25">
      <c r="T5884" s="384" ph="1"/>
    </row>
    <row r="5885" spans="20:20" ht="26.25">
      <c r="T5885" s="384" ph="1"/>
    </row>
    <row r="5886" spans="20:20" ht="26.25">
      <c r="T5886" s="384" ph="1"/>
    </row>
    <row r="5887" spans="20:20" ht="26.25">
      <c r="T5887" s="384" ph="1"/>
    </row>
    <row r="5888" spans="20:20" ht="26.25">
      <c r="T5888" s="384" ph="1"/>
    </row>
    <row r="5889" spans="20:20" ht="26.25">
      <c r="T5889" s="384" ph="1"/>
    </row>
    <row r="5890" spans="20:20" ht="26.25">
      <c r="T5890" s="384" ph="1"/>
    </row>
    <row r="5891" spans="20:20" ht="26.25">
      <c r="T5891" s="384" ph="1"/>
    </row>
    <row r="5892" spans="20:20" ht="26.25">
      <c r="T5892" s="384" ph="1"/>
    </row>
    <row r="5893" spans="20:20" ht="26.25">
      <c r="T5893" s="384" ph="1"/>
    </row>
    <row r="5894" spans="20:20" ht="26.25">
      <c r="T5894" s="384" ph="1"/>
    </row>
    <row r="5895" spans="20:20" ht="26.25">
      <c r="T5895" s="384" ph="1"/>
    </row>
    <row r="5896" spans="20:20" ht="26.25">
      <c r="T5896" s="384" ph="1"/>
    </row>
    <row r="5897" spans="20:20" ht="26.25">
      <c r="T5897" s="384" ph="1"/>
    </row>
    <row r="5898" spans="20:20" ht="26.25">
      <c r="T5898" s="384" ph="1"/>
    </row>
    <row r="5899" spans="20:20" ht="26.25">
      <c r="T5899" s="384" ph="1"/>
    </row>
    <row r="5900" spans="20:20" ht="26.25">
      <c r="T5900" s="384" ph="1"/>
    </row>
    <row r="5901" spans="20:20" ht="26.25">
      <c r="T5901" s="384" ph="1"/>
    </row>
    <row r="5902" spans="20:20" ht="26.25">
      <c r="T5902" s="384" ph="1"/>
    </row>
    <row r="5903" spans="20:20" ht="26.25">
      <c r="T5903" s="384" ph="1"/>
    </row>
    <row r="5904" spans="20:20" ht="26.25">
      <c r="T5904" s="384" ph="1"/>
    </row>
    <row r="5905" spans="20:20" ht="26.25">
      <c r="T5905" s="384" ph="1"/>
    </row>
    <row r="5906" spans="20:20" ht="26.25">
      <c r="T5906" s="384" ph="1"/>
    </row>
    <row r="5907" spans="20:20" ht="26.25">
      <c r="T5907" s="384" ph="1"/>
    </row>
    <row r="5908" spans="20:20" ht="26.25">
      <c r="T5908" s="384" ph="1"/>
    </row>
    <row r="5909" spans="20:20" ht="26.25">
      <c r="T5909" s="384" ph="1"/>
    </row>
    <row r="5910" spans="20:20" ht="26.25">
      <c r="T5910" s="384" ph="1"/>
    </row>
    <row r="5911" spans="20:20" ht="26.25">
      <c r="T5911" s="384" ph="1"/>
    </row>
    <row r="5912" spans="20:20" ht="26.25">
      <c r="T5912" s="384" ph="1"/>
    </row>
    <row r="5913" spans="20:20" ht="26.25">
      <c r="T5913" s="384" ph="1"/>
    </row>
    <row r="5914" spans="20:20" ht="26.25">
      <c r="T5914" s="384" ph="1"/>
    </row>
    <row r="5915" spans="20:20" ht="26.25">
      <c r="T5915" s="384" ph="1"/>
    </row>
    <row r="5916" spans="20:20" ht="26.25">
      <c r="T5916" s="384" ph="1"/>
    </row>
    <row r="5917" spans="20:20" ht="26.25">
      <c r="T5917" s="384" ph="1"/>
    </row>
    <row r="5918" spans="20:20" ht="26.25">
      <c r="T5918" s="384" ph="1"/>
    </row>
    <row r="5919" spans="20:20" ht="26.25">
      <c r="T5919" s="384" ph="1"/>
    </row>
    <row r="5920" spans="20:20" ht="26.25">
      <c r="T5920" s="384" ph="1"/>
    </row>
    <row r="5921" spans="20:20" ht="26.25">
      <c r="T5921" s="384" ph="1"/>
    </row>
    <row r="5922" spans="20:20" ht="26.25">
      <c r="T5922" s="384" ph="1"/>
    </row>
    <row r="5923" spans="20:20" ht="26.25">
      <c r="T5923" s="384" ph="1"/>
    </row>
    <row r="5924" spans="20:20" ht="26.25">
      <c r="T5924" s="384" ph="1"/>
    </row>
    <row r="5925" spans="20:20" ht="26.25">
      <c r="T5925" s="384" ph="1"/>
    </row>
    <row r="5926" spans="20:20" ht="26.25">
      <c r="T5926" s="384" ph="1"/>
    </row>
    <row r="5927" spans="20:20">
      <c r="T5927" s="384" ph="1"/>
    </row>
    <row r="5928" spans="20:20">
      <c r="T5928" s="384" ph="1"/>
    </row>
    <row r="5929" spans="20:20" ht="26.25">
      <c r="T5929" s="384" ph="1"/>
    </row>
    <row r="5930" spans="20:20" ht="26.25">
      <c r="T5930" s="384" ph="1"/>
    </row>
    <row r="5931" spans="20:20" ht="26.25">
      <c r="T5931" s="384" ph="1"/>
    </row>
    <row r="5932" spans="20:20" ht="26.25">
      <c r="T5932" s="384" ph="1"/>
    </row>
    <row r="5933" spans="20:20" ht="26.25">
      <c r="T5933" s="384" ph="1"/>
    </row>
  </sheetData>
  <mergeCells count="1">
    <mergeCell ref="P1:S1"/>
  </mergeCells>
  <phoneticPr fontId="1" type="noConversion"/>
  <conditionalFormatting sqref="Q2:Q1048576">
    <cfRule type="cellIs" dxfId="114" priority="957" operator="between">
      <formula>200</formula>
      <formula>1</formula>
    </cfRule>
  </conditionalFormatting>
  <conditionalFormatting sqref="O1 O2:P1048576 R2:R1048576">
    <cfRule type="cellIs" dxfId="113" priority="878" operator="between">
      <formula>100</formula>
      <formula>1</formula>
    </cfRule>
  </conditionalFormatting>
  <conditionalFormatting sqref="S2:S1048576">
    <cfRule type="cellIs" dxfId="112" priority="877" operator="between">
      <formula>100</formula>
      <formula>1</formula>
    </cfRule>
  </conditionalFormatting>
  <conditionalFormatting sqref="B1:E1048576">
    <cfRule type="cellIs" dxfId="111" priority="768" operator="lessThan">
      <formula>0</formula>
    </cfRule>
  </conditionalFormatting>
  <conditionalFormatting sqref="A196:A197 A182 A184 A187 A175 A179 A165:A166 A149 A156 A159 A68:A142 A162">
    <cfRule type="expression" dxfId="110" priority="764">
      <formula>IF($F68&gt;10,$A68,"")</formula>
    </cfRule>
  </conditionalFormatting>
  <conditionalFormatting sqref="A198:A233">
    <cfRule type="expression" dxfId="109" priority="763">
      <formula>IF($F198&gt;10,$A198,"")</formula>
    </cfRule>
  </conditionalFormatting>
  <conditionalFormatting sqref="A236:A266">
    <cfRule type="expression" dxfId="108" priority="762">
      <formula>IF($F236&gt;10,$A236,"")</formula>
    </cfRule>
  </conditionalFormatting>
  <conditionalFormatting sqref="A269:A277">
    <cfRule type="expression" dxfId="107" priority="761">
      <formula>IF($F269&gt;10,$A269,"")</formula>
    </cfRule>
  </conditionalFormatting>
  <conditionalFormatting sqref="A280:A328">
    <cfRule type="expression" dxfId="106" priority="760">
      <formula>IF($F280&gt;10,$A280,"")</formula>
    </cfRule>
  </conditionalFormatting>
  <conditionalFormatting sqref="A331:A358">
    <cfRule type="expression" dxfId="105" priority="759">
      <formula>IF($F331&gt;10,$A331,"")</formula>
    </cfRule>
  </conditionalFormatting>
  <conditionalFormatting sqref="A361:A362">
    <cfRule type="expression" dxfId="104" priority="758">
      <formula>IF($F361&gt;10,$A361,"")</formula>
    </cfRule>
  </conditionalFormatting>
  <conditionalFormatting sqref="F1:F1048576">
    <cfRule type="cellIs" dxfId="103" priority="757" operator="greaterThan">
      <formula>10</formula>
    </cfRule>
  </conditionalFormatting>
  <conditionalFormatting sqref="T1:T1048576">
    <cfRule type="cellIs" dxfId="102" priority="756" operator="greaterThanOrEqual">
      <formula>3</formula>
    </cfRule>
  </conditionalFormatting>
  <conditionalFormatting sqref="V147:V197 V3:V142">
    <cfRule type="expression" dxfId="101" priority="753">
      <formula>IF($V3&lt;$T3,$V3,"")</formula>
    </cfRule>
  </conditionalFormatting>
  <conditionalFormatting sqref="V198:V233">
    <cfRule type="expression" dxfId="100" priority="752">
      <formula>IF($V198&lt;$T198,$V198,"")</formula>
    </cfRule>
  </conditionalFormatting>
  <conditionalFormatting sqref="V236:V266">
    <cfRule type="expression" dxfId="99" priority="751">
      <formula>IF($V236&lt;$T236,$V236,"")</formula>
    </cfRule>
  </conditionalFormatting>
  <conditionalFormatting sqref="V269:V277">
    <cfRule type="expression" dxfId="98" priority="750">
      <formula>IF($V269&lt;$T269,$V269,"")</formula>
    </cfRule>
  </conditionalFormatting>
  <conditionalFormatting sqref="V280:V328">
    <cfRule type="expression" dxfId="97" priority="749">
      <formula>IF($V280&lt;$T280,$V280,"")</formula>
    </cfRule>
  </conditionalFormatting>
  <conditionalFormatting sqref="V331:V358">
    <cfRule type="expression" dxfId="96" priority="748">
      <formula>IF($V331&lt;$T331,$V331,"")</formula>
    </cfRule>
  </conditionalFormatting>
  <conditionalFormatting sqref="V361:V362">
    <cfRule type="expression" dxfId="95" priority="747">
      <formula>IF($V361&lt;$T361,$V361,"")</formula>
    </cfRule>
  </conditionalFormatting>
  <conditionalFormatting sqref="A183 A185:A186 A188:A195 A176:A178 A180:A181 A167:A174 A147:A148 A150:A155 A157:A158 A160:A161 A163:A164 A3:A67">
    <cfRule type="expression" dxfId="94" priority="741">
      <formula>IF($F3&gt;0,$A3,"")</formula>
    </cfRule>
  </conditionalFormatting>
  <conditionalFormatting sqref="S236:S266 S269:S277 S280:S328 S331:S358 S361:S362 S147:S233 S44:S142 S3:S42">
    <cfRule type="cellIs" dxfId="93" priority="408" operator="between">
      <formula>101</formula>
      <formula>200</formula>
    </cfRule>
    <cfRule type="cellIs" dxfId="92" priority="409" operator="between">
      <formula>100</formula>
      <formula>1</formula>
    </cfRule>
  </conditionalFormatting>
  <conditionalFormatting sqref="Z1:Z1048576">
    <cfRule type="cellIs" dxfId="91" priority="21" operator="lessThanOrEqual">
      <formula>-0.1</formula>
    </cfRule>
  </conditionalFormatting>
  <conditionalFormatting sqref="AB3:AB30">
    <cfRule type="expression" dxfId="90" priority="1018">
      <formula>IF($AR3="高",$AB3,"")</formula>
    </cfRule>
    <cfRule type="expression" dxfId="89" priority="1019">
      <formula>IF($AR3="中",$AB3,"")</formula>
    </cfRule>
    <cfRule type="expression" dxfId="88" priority="1020">
      <formula>IF($AR3="低",$AB3,"")</formula>
    </cfRule>
  </conditionalFormatting>
  <conditionalFormatting sqref="AB31:AB42 AB44:AB142 AB147:AB233 AB236:AB266">
    <cfRule type="expression" dxfId="87" priority="1021">
      <formula>IF($AR31="低",$AB31,"")</formula>
    </cfRule>
    <cfRule type="expression" dxfId="86" priority="1022">
      <formula>IF($AR31="中",$AB31,"")</formula>
    </cfRule>
    <cfRule type="expression" dxfId="85" priority="1023">
      <formula>IF($AR31="高",$AB31,"")</formula>
    </cfRule>
  </conditionalFormatting>
  <pageMargins left="0.7" right="0.7" top="0.75" bottom="0.75" header="0.3" footer="0.3"/>
  <pageSetup paperSize="9" orientation="portrait" r:id="rId1"/>
  <legacyDrawing r:id="rId2"/>
  <controls>
    <control shapeId="16387" r:id="rId3" name="TextBox1"/>
  </controls>
  <extLst xmlns:x14="http://schemas.microsoft.com/office/spreadsheetml/2009/9/main">
    <ext uri="{78C0D931-6437-407d-A8EE-F0AAD7539E65}">
      <x14:conditionalFormattings>
        <x14:conditionalFormatting xmlns:xm="http://schemas.microsoft.com/office/excel/2006/main">
          <x14:cfRule type="expression" priority="1" id="{285FD3E2-90C3-432E-8D97-4E5E2A7034AE}">
            <xm:f>IF(INDEX(基本資料!$N:$N,MATCH($G1,基本資料!$A:$A,0),0)="高",$AB1,"")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" id="{8928687A-C0D6-44BE-A251-7298B06C4819}">
            <xm:f>IF(INDEX(基本資料!$N:$N,MATCH($G1,基本資料!$A:$A,0),0)="中",$AB1,"")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" id="{DFF1058C-1494-4407-A598-BCF492058296}">
            <xm:f>IF(INDEX(基本資料!$N:$N,MATCH($G1,基本資料!$A:$A,0),0)="低",$AB1,"")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AB1:AB1048576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AR6209"/>
  <sheetViews>
    <sheetView workbookViewId="0">
      <pane ySplit="1" topLeftCell="A2" activePane="bottomLeft" state="frozen"/>
      <selection pane="bottomLeft" activeCell="AB9" sqref="AB9"/>
    </sheetView>
  </sheetViews>
  <sheetFormatPr defaultColWidth="9.140625" defaultRowHeight="16.5"/>
  <cols>
    <col min="1" max="1" width="7.7109375" style="94" customWidth="1"/>
    <col min="2" max="5" width="5.7109375" style="91" customWidth="1"/>
    <col min="6" max="6" width="8.7109375" style="63" customWidth="1"/>
    <col min="7" max="7" width="6.7109375" style="19" customWidth="1"/>
    <col min="8" max="8" width="5.7109375" style="12" customWidth="1"/>
    <col min="9" max="9" width="8.7109375" style="9" customWidth="1"/>
    <col min="10" max="10" width="6.7109375" style="1" customWidth="1"/>
    <col min="11" max="11" width="2.7109375" style="5" customWidth="1"/>
    <col min="12" max="12" width="3.7109375" style="121" customWidth="1"/>
    <col min="13" max="13" width="3.7109375" style="234" customWidth="1"/>
    <col min="14" max="14" width="4.7109375" style="234" customWidth="1"/>
    <col min="15" max="15" width="6.7109375" style="89" customWidth="1"/>
    <col min="16" max="16" width="6.7109375" style="73" customWidth="1"/>
    <col min="17" max="17" width="6.7109375" style="350" customWidth="1"/>
    <col min="18" max="18" width="5.7109375" style="26" customWidth="1"/>
    <col min="19" max="19" width="7.7109375" style="319" customWidth="1"/>
    <col min="20" max="20" width="7.7109375" style="85" customWidth="1"/>
    <col min="21" max="21" width="7.7109375" style="308" customWidth="1"/>
    <col min="22" max="22" width="7.7109375" style="215" customWidth="1"/>
    <col min="23" max="23" width="9.7109375" style="246" customWidth="1"/>
    <col min="24" max="24" width="9.7109375" style="69" customWidth="1"/>
    <col min="25" max="25" width="9.7109375" style="58" customWidth="1"/>
    <col min="26" max="26" width="8.7109375" style="11" customWidth="1"/>
    <col min="27" max="27" width="6.7109375" style="100" customWidth="1"/>
    <col min="28" max="28" width="5.7109375" style="378" customWidth="1"/>
    <col min="29" max="29" width="8.7109375" style="9" customWidth="1"/>
    <col min="30" max="30" width="11.7109375" style="84" customWidth="1"/>
    <col min="31" max="31" width="11.7109375" style="83" customWidth="1"/>
    <col min="32" max="32" width="4.7109375" style="78" customWidth="1"/>
    <col min="33" max="33" width="8.7109375" style="385" customWidth="1"/>
    <col min="34" max="34" width="7.7109375" style="224" customWidth="1"/>
    <col min="35" max="35" width="7.7109375" style="245" customWidth="1"/>
    <col min="36" max="36" width="7.7109375" style="392" customWidth="1"/>
    <col min="37" max="37" width="2.7109375" style="278" customWidth="1"/>
    <col min="39" max="41" width="9.140625" style="245"/>
    <col min="43" max="43" width="9.140625" style="245"/>
    <col min="44" max="44" width="8.7109375" style="245" customWidth="1"/>
    <col min="45" max="16384" width="9.140625" style="245"/>
  </cols>
  <sheetData>
    <row r="1" spans="1:44">
      <c r="A1" s="57" t="s">
        <v>1672</v>
      </c>
      <c r="B1" s="90" t="s">
        <v>1571</v>
      </c>
      <c r="C1" s="90" t="s">
        <v>1572</v>
      </c>
      <c r="D1" s="90" t="s">
        <v>1573</v>
      </c>
      <c r="E1" s="90" t="s">
        <v>1574</v>
      </c>
      <c r="F1" s="8" t="s">
        <v>1059</v>
      </c>
      <c r="G1" s="26" t="s">
        <v>3441</v>
      </c>
      <c r="H1" s="55" t="s">
        <v>320</v>
      </c>
      <c r="I1" s="50" t="s">
        <v>6237</v>
      </c>
      <c r="J1" s="8" t="s">
        <v>6211</v>
      </c>
      <c r="K1" s="5" t="s">
        <v>6212</v>
      </c>
      <c r="L1" s="334" t="s">
        <v>6197</v>
      </c>
      <c r="M1" s="335" t="s">
        <v>6198</v>
      </c>
      <c r="N1" s="336" t="s">
        <v>6199</v>
      </c>
      <c r="O1" s="89" t="s">
        <v>6275</v>
      </c>
      <c r="P1" s="292" t="s">
        <v>6274</v>
      </c>
      <c r="Q1" s="350" t="s">
        <v>6273</v>
      </c>
      <c r="R1" s="26" t="s">
        <v>6276</v>
      </c>
      <c r="S1" s="318" t="s">
        <v>4715</v>
      </c>
      <c r="T1" s="382" t="s">
        <v>66</v>
      </c>
      <c r="U1" s="305" t="s">
        <v>4728</v>
      </c>
      <c r="V1" s="68" t="s">
        <v>3272</v>
      </c>
      <c r="W1" s="28" t="s">
        <v>2</v>
      </c>
      <c r="X1" s="17" t="s">
        <v>1398</v>
      </c>
      <c r="Y1" s="14" t="s">
        <v>2249</v>
      </c>
      <c r="Z1" s="21" t="s">
        <v>1469</v>
      </c>
      <c r="AA1" s="51" t="s">
        <v>6166</v>
      </c>
      <c r="AB1" s="378" t="s">
        <v>6404</v>
      </c>
      <c r="AC1" s="50" t="s">
        <v>6237</v>
      </c>
      <c r="AD1" s="71" t="s">
        <v>1399</v>
      </c>
      <c r="AE1" s="72" t="s">
        <v>1156</v>
      </c>
      <c r="AF1" s="32" t="s">
        <v>1157</v>
      </c>
      <c r="AG1" s="452" t="s">
        <v>4735</v>
      </c>
      <c r="AH1" s="8" t="s">
        <v>6696</v>
      </c>
      <c r="AI1" s="50" t="s">
        <v>3360</v>
      </c>
      <c r="AJ1" s="22" t="s">
        <v>6695</v>
      </c>
    </row>
    <row r="2" spans="1:44">
      <c r="A2" s="343">
        <v>17.86</v>
      </c>
      <c r="B2" s="79">
        <v>89</v>
      </c>
      <c r="C2" s="79">
        <v>52</v>
      </c>
      <c r="D2" s="79">
        <v>-4</v>
      </c>
      <c r="E2" s="79">
        <v>6</v>
      </c>
      <c r="F2" s="6">
        <v>24.59</v>
      </c>
      <c r="G2" s="80">
        <v>6271</v>
      </c>
      <c r="H2" s="132" t="s">
        <v>6709</v>
      </c>
      <c r="I2" s="22" t="s">
        <v>5843</v>
      </c>
      <c r="J2" s="8">
        <v>6</v>
      </c>
      <c r="L2" s="79">
        <v>1</v>
      </c>
      <c r="M2" s="403">
        <v>0</v>
      </c>
      <c r="N2" s="240">
        <v>1</v>
      </c>
      <c r="O2" s="359">
        <v>652</v>
      </c>
      <c r="P2" s="79">
        <v>134</v>
      </c>
      <c r="Q2" s="342">
        <v>116</v>
      </c>
      <c r="R2" s="81">
        <v>12</v>
      </c>
      <c r="S2" s="324">
        <v>42</v>
      </c>
      <c r="T2" s="186">
        <v>9</v>
      </c>
      <c r="U2" s="426">
        <f>T2/W2</f>
        <v>3.5999999999999997E-2</v>
      </c>
      <c r="V2" s="94">
        <v>17.89</v>
      </c>
      <c r="W2" s="39">
        <f>INDEX('TSE OTC全部'!$W:$W,MATCH($G2,'TSE OTC全部'!$G:$G,0))</f>
        <v>250</v>
      </c>
      <c r="X2" s="207"/>
      <c r="Y2" s="430">
        <f>W2-X2</f>
        <v>250</v>
      </c>
      <c r="Z2" s="433" t="e">
        <f>Y2/X2</f>
        <v>#DIV/0!</v>
      </c>
      <c r="AA2" s="340">
        <v>-22.72</v>
      </c>
      <c r="AB2" s="389">
        <v>28.67</v>
      </c>
      <c r="AC2" s="22" t="s">
        <v>5843</v>
      </c>
      <c r="AD2" s="84">
        <v>44698</v>
      </c>
      <c r="AF2" s="33">
        <f>AE2-AD2</f>
        <v>-44698</v>
      </c>
      <c r="AG2" s="402" t="s">
        <v>6858</v>
      </c>
      <c r="AH2" s="66">
        <f>AI2/AJ2</f>
        <v>1.6105844955468369</v>
      </c>
      <c r="AI2" s="254">
        <f>INDEX('TSE OTC全部'!$AI:$AI,MATCH($G2,'TSE OTC全部'!$G:$G,0))</f>
        <v>2812</v>
      </c>
      <c r="AJ2" s="391">
        <v>1745.95</v>
      </c>
      <c r="AK2" s="50"/>
      <c r="AR2" s="402" t="s">
        <v>6831</v>
      </c>
    </row>
    <row r="3" spans="1:44">
      <c r="A3" s="343">
        <v>4.97</v>
      </c>
      <c r="B3" s="79">
        <v>89</v>
      </c>
      <c r="C3" s="79">
        <v>86</v>
      </c>
      <c r="D3" s="79">
        <v>1</v>
      </c>
      <c r="E3" s="79">
        <v>37</v>
      </c>
      <c r="F3" s="6">
        <v>22.39</v>
      </c>
      <c r="G3" s="80">
        <v>8155</v>
      </c>
      <c r="H3" s="132" t="s">
        <v>6707</v>
      </c>
      <c r="I3" s="22" t="s">
        <v>5992</v>
      </c>
      <c r="J3" s="8" t="s">
        <v>6413</v>
      </c>
      <c r="L3" s="79">
        <v>4</v>
      </c>
      <c r="M3" s="403">
        <v>0</v>
      </c>
      <c r="N3" s="240">
        <v>4</v>
      </c>
      <c r="O3" s="359">
        <v>243</v>
      </c>
      <c r="P3" s="79">
        <v>190</v>
      </c>
      <c r="Q3" s="342">
        <v>1107</v>
      </c>
      <c r="R3" s="81">
        <v>1</v>
      </c>
      <c r="S3" s="324">
        <v>7</v>
      </c>
      <c r="T3" s="186">
        <v>6</v>
      </c>
      <c r="U3" s="426">
        <f>T3/W3</f>
        <v>3.6363636363636362E-2</v>
      </c>
      <c r="V3" s="94">
        <v>9.51</v>
      </c>
      <c r="W3" s="39">
        <f>INDEX('TSE OTC全部'!$W:$W,MATCH($G3,'TSE OTC全部'!$G:$G,0))</f>
        <v>165</v>
      </c>
      <c r="X3" s="207"/>
      <c r="Y3" s="430">
        <f>W3-X3</f>
        <v>165</v>
      </c>
      <c r="Z3" s="433" t="e">
        <f>Y3/X3</f>
        <v>#DIV/0!</v>
      </c>
      <c r="AA3" s="340">
        <v>-23.79</v>
      </c>
      <c r="AB3" s="389">
        <v>30.59</v>
      </c>
      <c r="AC3" s="22" t="s">
        <v>5992</v>
      </c>
      <c r="AD3" s="84">
        <v>44698</v>
      </c>
      <c r="AF3" s="33">
        <f>AE3-AD3</f>
        <v>-44698</v>
      </c>
      <c r="AG3" s="402" t="s">
        <v>6735</v>
      </c>
      <c r="AH3" s="66">
        <f>AI3/AJ3</f>
        <v>1.2615069894306172</v>
      </c>
      <c r="AI3" s="254">
        <f>INDEX('TSE OTC全部'!$AI:$AI,MATCH($G3,'TSE OTC全部'!$G:$G,0))</f>
        <v>2590</v>
      </c>
      <c r="AJ3" s="391">
        <v>2053.1</v>
      </c>
      <c r="AK3" s="50"/>
      <c r="AR3" s="402" t="s">
        <v>6831</v>
      </c>
    </row>
    <row r="4" spans="1:44">
      <c r="A4" s="343">
        <v>4.4400000000000004</v>
      </c>
      <c r="B4" s="79">
        <v>138</v>
      </c>
      <c r="C4" s="79">
        <v>59</v>
      </c>
      <c r="D4" s="79">
        <v>0</v>
      </c>
      <c r="E4" s="79">
        <v>10</v>
      </c>
      <c r="F4" s="6">
        <v>17.88</v>
      </c>
      <c r="G4" s="79">
        <v>3675</v>
      </c>
      <c r="H4" s="96" t="s">
        <v>6709</v>
      </c>
      <c r="I4" s="22" t="s">
        <v>5485</v>
      </c>
      <c r="J4" s="8">
        <v>5</v>
      </c>
      <c r="L4" s="79">
        <v>1</v>
      </c>
      <c r="M4" s="403">
        <v>0</v>
      </c>
      <c r="N4" s="240">
        <v>1</v>
      </c>
      <c r="O4" s="359">
        <v>322</v>
      </c>
      <c r="P4" s="79">
        <v>224</v>
      </c>
      <c r="Q4" s="342">
        <v>69</v>
      </c>
      <c r="R4" s="81">
        <v>3</v>
      </c>
      <c r="S4" s="324">
        <v>22</v>
      </c>
      <c r="T4" s="186">
        <v>5</v>
      </c>
      <c r="U4" s="426">
        <f>T4/W4</f>
        <v>1.6129032258064516E-2</v>
      </c>
      <c r="V4" s="94">
        <v>8.7799999999999994</v>
      </c>
      <c r="W4" s="39">
        <f>INDEX('TSE OTC全部'!$W:$W,MATCH($G4,'TSE OTC全部'!$G:$G,0))</f>
        <v>310</v>
      </c>
      <c r="X4" s="207"/>
      <c r="Y4" s="430">
        <f>W4-X4</f>
        <v>310</v>
      </c>
      <c r="Z4" s="433" t="e">
        <f>Y4/X4</f>
        <v>#DIV/0!</v>
      </c>
      <c r="AA4" s="340">
        <v>-15.53</v>
      </c>
      <c r="AB4" s="389">
        <v>45.07</v>
      </c>
      <c r="AC4" s="22" t="s">
        <v>5485</v>
      </c>
      <c r="AD4" s="84">
        <v>44698</v>
      </c>
      <c r="AF4" s="33">
        <f>AE4-AD4</f>
        <v>-44698</v>
      </c>
      <c r="AG4" s="402" t="s">
        <v>6859</v>
      </c>
      <c r="AH4" s="66">
        <f>AI4/AJ4</f>
        <v>1.2067006341409772</v>
      </c>
      <c r="AI4" s="254">
        <f>INDEX('TSE OTC全部'!$AI:$AI,MATCH($G4,'TSE OTC全部'!$G:$G,0))</f>
        <v>3292</v>
      </c>
      <c r="AJ4" s="391">
        <v>2728.1</v>
      </c>
      <c r="AK4" s="50"/>
      <c r="AR4" s="402" t="s">
        <v>6832</v>
      </c>
    </row>
    <row r="5" spans="1:44">
      <c r="A5" s="343">
        <v>4.9000000000000004</v>
      </c>
      <c r="B5" s="79">
        <v>133</v>
      </c>
      <c r="C5" s="79">
        <v>117</v>
      </c>
      <c r="D5" s="79">
        <v>-24</v>
      </c>
      <c r="E5" s="79">
        <v>25</v>
      </c>
      <c r="F5" s="6">
        <v>9.26</v>
      </c>
      <c r="G5" s="79">
        <v>3558</v>
      </c>
      <c r="H5" s="96" t="s">
        <v>6712</v>
      </c>
      <c r="I5" s="22" t="s">
        <v>5449</v>
      </c>
      <c r="J5" s="8" t="s">
        <v>6413</v>
      </c>
      <c r="L5" s="79">
        <v>2</v>
      </c>
      <c r="M5" s="403">
        <v>0</v>
      </c>
      <c r="N5" s="240">
        <v>2</v>
      </c>
      <c r="O5" s="359">
        <v>110</v>
      </c>
      <c r="P5" s="79">
        <v>157</v>
      </c>
      <c r="Q5" s="342">
        <v>878</v>
      </c>
      <c r="R5" s="81">
        <v>11</v>
      </c>
      <c r="S5" s="324">
        <v>156</v>
      </c>
      <c r="T5" s="186">
        <v>3</v>
      </c>
      <c r="U5" s="426">
        <f>T5/W5</f>
        <v>1.662049861495845E-2</v>
      </c>
      <c r="V5" s="94">
        <v>12.1</v>
      </c>
      <c r="W5" s="39">
        <f>INDEX('TSE OTC全部'!$W:$W,MATCH($G5,'TSE OTC全部'!$G:$G,0))</f>
        <v>180.5</v>
      </c>
      <c r="X5" s="207"/>
      <c r="Y5" s="430">
        <f>W5-X5</f>
        <v>180.5</v>
      </c>
      <c r="Z5" s="433" t="e">
        <f>Y5/X5</f>
        <v>#DIV/0!</v>
      </c>
      <c r="AA5" s="340">
        <v>-17.39</v>
      </c>
      <c r="AB5" s="389">
        <v>68.510000000000005</v>
      </c>
      <c r="AC5" s="22" t="s">
        <v>5449</v>
      </c>
      <c r="AD5" s="84">
        <v>44698</v>
      </c>
      <c r="AF5" s="33">
        <f>AE5-AD5</f>
        <v>-44698</v>
      </c>
      <c r="AG5" s="402" t="s">
        <v>6881</v>
      </c>
      <c r="AH5" s="66">
        <f>AI5/AJ5</f>
        <v>0.46892133664223462</v>
      </c>
      <c r="AI5" s="254">
        <f>INDEX('TSE OTC全部'!$AI:$AI,MATCH($G5,'TSE OTC全部'!$G:$G,0))</f>
        <v>4875</v>
      </c>
      <c r="AJ5" s="391">
        <v>10396.200000000001</v>
      </c>
      <c r="AK5" s="50"/>
      <c r="AR5" s="402" t="s">
        <v>6832</v>
      </c>
    </row>
    <row r="6" spans="1:44">
      <c r="A6" s="343">
        <v>38.28</v>
      </c>
      <c r="B6" s="79">
        <v>110</v>
      </c>
      <c r="C6" s="79">
        <v>65</v>
      </c>
      <c r="D6" s="79">
        <v>-12</v>
      </c>
      <c r="E6" s="79">
        <v>-1</v>
      </c>
      <c r="F6" s="6">
        <v>16.350000000000001</v>
      </c>
      <c r="G6" s="80">
        <v>2481</v>
      </c>
      <c r="H6" s="96" t="s">
        <v>6709</v>
      </c>
      <c r="I6" s="22" t="s">
        <v>5139</v>
      </c>
      <c r="J6" s="8">
        <v>6</v>
      </c>
      <c r="L6" s="79">
        <v>1</v>
      </c>
      <c r="M6" s="403">
        <v>0</v>
      </c>
      <c r="N6" s="240">
        <v>1</v>
      </c>
      <c r="O6" s="359">
        <v>139</v>
      </c>
      <c r="P6" s="79">
        <v>319</v>
      </c>
      <c r="Q6" s="342">
        <v>429</v>
      </c>
      <c r="R6" s="81">
        <v>161</v>
      </c>
      <c r="S6" s="324">
        <v>21</v>
      </c>
      <c r="T6" s="186">
        <v>3</v>
      </c>
      <c r="U6" s="426">
        <f>T6/W6</f>
        <v>3.8265306122448974E-2</v>
      </c>
      <c r="V6" s="94">
        <v>6.48</v>
      </c>
      <c r="W6" s="39">
        <f>INDEX('TSE OTC全部'!$W:$W,MATCH($G6,'TSE OTC全部'!$G:$G,0))</f>
        <v>78.400000000000006</v>
      </c>
      <c r="X6" s="207"/>
      <c r="Y6" s="430">
        <f>W6-X6</f>
        <v>78.400000000000006</v>
      </c>
      <c r="Z6" s="433" t="e">
        <f>Y6/X6</f>
        <v>#DIV/0!</v>
      </c>
      <c r="AA6" s="340">
        <v>-37.28</v>
      </c>
      <c r="AB6" s="389">
        <v>19.05</v>
      </c>
      <c r="AC6" s="22" t="s">
        <v>5139</v>
      </c>
      <c r="AD6" s="84">
        <v>44698</v>
      </c>
      <c r="AF6" s="33">
        <f>AE6-AD6</f>
        <v>-44698</v>
      </c>
      <c r="AG6" s="402" t="s">
        <v>6860</v>
      </c>
      <c r="AH6" s="66">
        <f>AI6/AJ6</f>
        <v>1.288468199621646</v>
      </c>
      <c r="AI6" s="254">
        <f>INDEX('TSE OTC全部'!$AI:$AI,MATCH($G6,'TSE OTC全部'!$G:$G,0))</f>
        <v>19343</v>
      </c>
      <c r="AJ6" s="391">
        <v>15012.4</v>
      </c>
      <c r="AK6" s="50"/>
      <c r="AR6" s="402" t="s">
        <v>6830</v>
      </c>
    </row>
    <row r="7" spans="1:44">
      <c r="A7" s="343">
        <v>8.1300000000000008</v>
      </c>
      <c r="B7" s="79">
        <v>151</v>
      </c>
      <c r="C7" s="79">
        <v>120</v>
      </c>
      <c r="D7" s="79">
        <v>-18</v>
      </c>
      <c r="E7" s="79">
        <v>5</v>
      </c>
      <c r="F7" s="6">
        <v>26.94</v>
      </c>
      <c r="G7" s="79">
        <v>8261</v>
      </c>
      <c r="H7" s="132" t="s">
        <v>6709</v>
      </c>
      <c r="I7" s="22" t="s">
        <v>6006</v>
      </c>
      <c r="J7" s="42" t="s">
        <v>6863</v>
      </c>
      <c r="L7" s="79">
        <v>11</v>
      </c>
      <c r="M7" s="403">
        <v>0</v>
      </c>
      <c r="N7" s="240">
        <v>11</v>
      </c>
      <c r="O7" s="359">
        <v>39</v>
      </c>
      <c r="P7" s="79">
        <v>93</v>
      </c>
      <c r="Q7" s="342">
        <v>387</v>
      </c>
      <c r="R7" s="81">
        <v>495</v>
      </c>
      <c r="S7" s="324">
        <v>26</v>
      </c>
      <c r="T7" s="186">
        <v>6</v>
      </c>
      <c r="U7" s="426">
        <f>T7/W7</f>
        <v>5.5299539170506916E-2</v>
      </c>
      <c r="V7" s="94">
        <v>10.15</v>
      </c>
      <c r="W7" s="39">
        <f>INDEX('TSE OTC全部'!$W:$W,MATCH($G7,'TSE OTC全部'!$G:$G,0))</f>
        <v>108.5</v>
      </c>
      <c r="X7" s="207"/>
      <c r="Y7" s="430">
        <f>W7-X7</f>
        <v>108.5</v>
      </c>
      <c r="Z7" s="433" t="e">
        <f>Y7/X7</f>
        <v>#DIV/0!</v>
      </c>
      <c r="AA7" s="340">
        <v>-20.8</v>
      </c>
      <c r="AB7" s="389">
        <v>53.43</v>
      </c>
      <c r="AC7" s="22" t="s">
        <v>6006</v>
      </c>
      <c r="AD7" s="84">
        <v>44698</v>
      </c>
      <c r="AF7" s="33">
        <f>AE7-AD7</f>
        <v>-44698</v>
      </c>
      <c r="AG7" s="402" t="s">
        <v>6864</v>
      </c>
      <c r="AH7" s="66">
        <f>AI7/AJ7</f>
        <v>0.91722324639608321</v>
      </c>
      <c r="AI7" s="254">
        <f>INDEX('TSE OTC全部'!$AI:$AI,MATCH($G7,'TSE OTC全部'!$G:$G,0))</f>
        <v>3035</v>
      </c>
      <c r="AJ7" s="391">
        <v>3308.9</v>
      </c>
      <c r="AK7" s="50"/>
      <c r="AR7" s="402" t="s">
        <v>6831</v>
      </c>
    </row>
    <row r="8" spans="1:44">
      <c r="A8" s="343">
        <v>3.58</v>
      </c>
      <c r="B8" s="79">
        <v>77</v>
      </c>
      <c r="C8" s="79">
        <v>59</v>
      </c>
      <c r="D8" s="79">
        <v>1</v>
      </c>
      <c r="E8" s="79">
        <v>14</v>
      </c>
      <c r="F8" s="6">
        <v>29.89</v>
      </c>
      <c r="G8" s="80">
        <v>5299</v>
      </c>
      <c r="H8" s="132" t="s">
        <v>6709</v>
      </c>
      <c r="I8" s="22" t="s">
        <v>316</v>
      </c>
      <c r="J8" s="102" t="s">
        <v>6409</v>
      </c>
      <c r="L8" s="79">
        <v>1</v>
      </c>
      <c r="M8" s="403">
        <v>0</v>
      </c>
      <c r="N8" s="240">
        <v>1</v>
      </c>
      <c r="O8" s="359">
        <v>136</v>
      </c>
      <c r="P8" s="79">
        <v>451</v>
      </c>
      <c r="Q8" s="342">
        <v>967</v>
      </c>
      <c r="R8" s="81" t="s">
        <v>6279</v>
      </c>
      <c r="S8" s="324">
        <v>86</v>
      </c>
      <c r="T8" s="186">
        <v>11.6</v>
      </c>
      <c r="U8" s="426">
        <f>T8/W8</f>
        <v>6.4985994397759095E-2</v>
      </c>
      <c r="V8" s="94">
        <v>20.09</v>
      </c>
      <c r="W8" s="39">
        <f>INDEX('TSE OTC全部'!$W:$W,MATCH($G8,'TSE OTC全部'!$G:$G,0))</f>
        <v>178.5</v>
      </c>
      <c r="X8" s="207"/>
      <c r="Y8" s="430">
        <f>W8-X8</f>
        <v>178.5</v>
      </c>
      <c r="Z8" s="433" t="e">
        <f>Y8/X8</f>
        <v>#DIV/0!</v>
      </c>
      <c r="AA8" s="340">
        <v>-32.64</v>
      </c>
      <c r="AB8" s="389">
        <v>40.14</v>
      </c>
      <c r="AC8" s="22" t="s">
        <v>316</v>
      </c>
      <c r="AD8" s="84">
        <v>44698</v>
      </c>
      <c r="AF8" s="33">
        <f>AE8-AD8</f>
        <v>-44698</v>
      </c>
      <c r="AG8" s="402" t="s">
        <v>6865</v>
      </c>
      <c r="AH8" s="66">
        <f>AI8/AJ8</f>
        <v>0.85758039816232778</v>
      </c>
      <c r="AI8" s="254">
        <f>INDEX('TSE OTC全部'!$AI:$AI,MATCH($G8,'TSE OTC全部'!$G:$G,0))</f>
        <v>224</v>
      </c>
      <c r="AJ8" s="391">
        <v>261.2</v>
      </c>
      <c r="AK8" s="50"/>
      <c r="AR8" s="402" t="s">
        <v>6830</v>
      </c>
    </row>
    <row r="9" spans="1:44">
      <c r="A9" s="343">
        <v>63.56</v>
      </c>
      <c r="B9" s="79">
        <v>11</v>
      </c>
      <c r="C9" s="79">
        <v>6</v>
      </c>
      <c r="D9" s="79">
        <v>-19</v>
      </c>
      <c r="E9" s="79">
        <v>-30</v>
      </c>
      <c r="F9" s="6">
        <v>10.58</v>
      </c>
      <c r="G9" s="80">
        <v>2376</v>
      </c>
      <c r="H9" s="96" t="s">
        <v>6744</v>
      </c>
      <c r="I9" s="22" t="s">
        <v>5074</v>
      </c>
      <c r="J9" s="102" t="s">
        <v>6410</v>
      </c>
      <c r="L9" s="79">
        <v>3</v>
      </c>
      <c r="M9" s="403">
        <v>0</v>
      </c>
      <c r="N9" s="240">
        <v>3</v>
      </c>
      <c r="O9" s="359">
        <v>685</v>
      </c>
      <c r="P9" s="79">
        <v>7</v>
      </c>
      <c r="Q9" s="342">
        <v>277</v>
      </c>
      <c r="R9" s="81">
        <v>49</v>
      </c>
      <c r="S9" s="324">
        <v>134</v>
      </c>
      <c r="T9" s="186">
        <v>12</v>
      </c>
      <c r="U9" s="426">
        <f>T9/W9</f>
        <v>0.11162790697674418</v>
      </c>
      <c r="V9" s="94">
        <v>21.49</v>
      </c>
      <c r="W9" s="39">
        <f>INDEX('TSE OTC全部'!$W:$W,MATCH($G9,'TSE OTC全部'!$G:$G,0))</f>
        <v>107.5</v>
      </c>
      <c r="X9" s="207"/>
      <c r="Y9" s="430">
        <f>W9-X9</f>
        <v>107.5</v>
      </c>
      <c r="Z9" s="433" t="e">
        <f>Y9/X9</f>
        <v>#DIV/0!</v>
      </c>
      <c r="AA9" s="340">
        <v>-34.85</v>
      </c>
      <c r="AB9" s="389">
        <v>10.71</v>
      </c>
      <c r="AC9" s="22" t="s">
        <v>5074</v>
      </c>
      <c r="AD9" s="84">
        <v>44698</v>
      </c>
      <c r="AF9" s="33">
        <f>AE9-AD9</f>
        <v>-44698</v>
      </c>
      <c r="AG9" s="402" t="s">
        <v>6747</v>
      </c>
      <c r="AH9" s="66">
        <f>AI9/AJ9</f>
        <v>0.98518072391357825</v>
      </c>
      <c r="AI9" s="254">
        <f>INDEX('TSE OTC全部'!$AI:$AI,MATCH($G9,'TSE OTC全部'!$G:$G,0))</f>
        <v>5807</v>
      </c>
      <c r="AJ9" s="391">
        <v>5894.35</v>
      </c>
      <c r="AK9" s="50"/>
      <c r="AR9" s="402" t="s">
        <v>6830</v>
      </c>
    </row>
    <row r="10" spans="1:44">
      <c r="A10" s="57"/>
      <c r="B10" s="90"/>
      <c r="C10" s="90"/>
      <c r="D10" s="90"/>
      <c r="E10" s="90"/>
      <c r="F10" s="8"/>
      <c r="G10" s="26"/>
      <c r="H10" s="55"/>
      <c r="I10" s="50"/>
      <c r="J10" s="8"/>
      <c r="L10" s="334"/>
      <c r="M10" s="335"/>
      <c r="N10" s="336"/>
      <c r="P10" s="292"/>
      <c r="S10" s="318"/>
      <c r="T10" s="382"/>
      <c r="U10" s="305"/>
      <c r="V10" s="68"/>
      <c r="W10" s="28"/>
      <c r="X10" s="17"/>
      <c r="Y10" s="14"/>
      <c r="Z10" s="21"/>
      <c r="AA10" s="51"/>
      <c r="AC10" s="50"/>
      <c r="AD10" s="71"/>
      <c r="AE10" s="72"/>
      <c r="AF10" s="32"/>
      <c r="AG10" s="452"/>
      <c r="AH10" s="8"/>
      <c r="AI10" s="50"/>
      <c r="AJ10" s="22"/>
    </row>
    <row r="11" spans="1:44">
      <c r="A11" s="343">
        <v>14.33</v>
      </c>
      <c r="B11" s="79">
        <v>137</v>
      </c>
      <c r="C11" s="79">
        <v>170</v>
      </c>
      <c r="D11" s="79">
        <v>-18</v>
      </c>
      <c r="E11" s="79">
        <v>30</v>
      </c>
      <c r="F11" s="6">
        <v>12</v>
      </c>
      <c r="G11" s="80">
        <v>2636</v>
      </c>
      <c r="H11" s="132" t="s">
        <v>6716</v>
      </c>
      <c r="I11" s="22" t="s">
        <v>5198</v>
      </c>
      <c r="J11" s="8">
        <v>4</v>
      </c>
      <c r="L11" s="79">
        <v>1</v>
      </c>
      <c r="M11" s="403">
        <v>0</v>
      </c>
      <c r="N11" s="240">
        <v>1</v>
      </c>
      <c r="O11" s="359">
        <v>91</v>
      </c>
      <c r="P11" s="79">
        <v>178</v>
      </c>
      <c r="Q11" s="342">
        <v>428</v>
      </c>
      <c r="R11" s="81">
        <v>494</v>
      </c>
      <c r="S11" s="324">
        <v>41</v>
      </c>
      <c r="T11" s="186">
        <v>13</v>
      </c>
      <c r="U11" s="426">
        <f>T11/W11</f>
        <v>0.11063829787234042</v>
      </c>
      <c r="V11" s="94">
        <v>33.549999999999997</v>
      </c>
      <c r="W11" s="39">
        <f>INDEX('TSE OTC全部'!$W:$W,MATCH($G11,'TSE OTC全部'!$G:$G,0))</f>
        <v>117.5</v>
      </c>
      <c r="X11" s="207">
        <v>118.5</v>
      </c>
      <c r="Y11" s="430">
        <f>W11-X11</f>
        <v>-1</v>
      </c>
      <c r="Z11" s="433">
        <f>Y11/X11</f>
        <v>-8.4388185654008432E-3</v>
      </c>
      <c r="AA11" s="340">
        <v>-64.33</v>
      </c>
      <c r="AB11" s="389">
        <v>17.84</v>
      </c>
      <c r="AC11" s="22" t="s">
        <v>5198</v>
      </c>
      <c r="AD11" s="84">
        <v>44697</v>
      </c>
      <c r="AF11" s="33">
        <f>AE11-AD11</f>
        <v>-44697</v>
      </c>
      <c r="AG11" s="402" t="s">
        <v>6804</v>
      </c>
      <c r="AH11" s="66">
        <f>AI11/AJ11</f>
        <v>1.0047560331160825</v>
      </c>
      <c r="AI11" s="254">
        <f>INDEX('TSE OTC全部'!$AI:$AI,MATCH($G11,'TSE OTC全部'!$G:$G,0))</f>
        <v>1426</v>
      </c>
      <c r="AJ11" s="391">
        <v>1419.25</v>
      </c>
      <c r="AK11" s="50"/>
      <c r="AR11" s="402" t="str">
        <f>INDEX(基本資料!N:N,MATCH($G11,基本資料!A:A,0))</f>
        <v>低</v>
      </c>
    </row>
    <row r="12" spans="1:44">
      <c r="A12" s="343">
        <v>7.81</v>
      </c>
      <c r="B12" s="79">
        <v>-11</v>
      </c>
      <c r="C12" s="79">
        <v>-17</v>
      </c>
      <c r="D12" s="79">
        <v>-11</v>
      </c>
      <c r="E12" s="79">
        <v>-18</v>
      </c>
      <c r="F12" s="6">
        <v>16.37</v>
      </c>
      <c r="G12" s="79">
        <v>3530</v>
      </c>
      <c r="H12" s="96" t="s">
        <v>6709</v>
      </c>
      <c r="I12" s="22" t="s">
        <v>5433</v>
      </c>
      <c r="J12" s="102" t="s">
        <v>6806</v>
      </c>
      <c r="L12" s="79">
        <v>7</v>
      </c>
      <c r="M12" s="403">
        <v>0</v>
      </c>
      <c r="N12" s="240">
        <v>7</v>
      </c>
      <c r="O12" s="359">
        <v>252</v>
      </c>
      <c r="P12" s="79">
        <v>260</v>
      </c>
      <c r="Q12" s="342">
        <v>98</v>
      </c>
      <c r="R12" s="81">
        <v>458</v>
      </c>
      <c r="S12" s="324">
        <v>114</v>
      </c>
      <c r="T12" s="186">
        <v>3.5</v>
      </c>
      <c r="U12" s="426">
        <f t="shared" ref="U12" si="0">T12/W12</f>
        <v>2.8688524590163935E-2</v>
      </c>
      <c r="V12" s="94">
        <v>9.44</v>
      </c>
      <c r="W12" s="39">
        <f>INDEX('TSE OTC全部'!$W:$W,MATCH($G12,'TSE OTC全部'!$G:$G,0))</f>
        <v>122</v>
      </c>
      <c r="X12" s="207">
        <v>124.5</v>
      </c>
      <c r="Y12" s="430">
        <f t="shared" ref="Y12" si="1">W12-X12</f>
        <v>-2.5</v>
      </c>
      <c r="Z12" s="433">
        <f t="shared" ref="Z12" si="2">Y12/X12</f>
        <v>-2.0080321285140562E-2</v>
      </c>
      <c r="AA12" s="340">
        <v>-50.31</v>
      </c>
      <c r="AB12" s="389">
        <v>74.489999999999995</v>
      </c>
      <c r="AC12" s="22" t="s">
        <v>5433</v>
      </c>
      <c r="AD12" s="84">
        <v>44697</v>
      </c>
      <c r="AF12" s="33">
        <f t="shared" ref="AF12" si="3">AE12-AD12</f>
        <v>-44697</v>
      </c>
      <c r="AG12" s="402" t="s">
        <v>6807</v>
      </c>
      <c r="AH12" s="66">
        <f t="shared" ref="AH12" si="4">AI12/AJ12</f>
        <v>0.17102504689396447</v>
      </c>
      <c r="AI12" s="254">
        <f>INDEX('TSE OTC全部'!$AI:$AI,MATCH($G12,'TSE OTC全部'!$G:$G,0))</f>
        <v>155</v>
      </c>
      <c r="AJ12" s="391">
        <v>906.3</v>
      </c>
      <c r="AK12" s="50"/>
      <c r="AR12" s="402" t="str">
        <f>INDEX(基本資料!N:N,MATCH($G12,基本資料!A:A,0))</f>
        <v>低</v>
      </c>
    </row>
    <row r="13" spans="1:44">
      <c r="A13" s="343">
        <v>84.48</v>
      </c>
      <c r="B13" s="79">
        <v>14</v>
      </c>
      <c r="C13" s="79">
        <v>-4</v>
      </c>
      <c r="D13" s="79">
        <v>-12</v>
      </c>
      <c r="E13" s="79">
        <v>3</v>
      </c>
      <c r="F13" s="6">
        <v>8.98</v>
      </c>
      <c r="G13" s="80">
        <v>2377</v>
      </c>
      <c r="H13" s="132" t="s">
        <v>6744</v>
      </c>
      <c r="I13" s="22" t="s">
        <v>5075</v>
      </c>
      <c r="J13" s="102" t="s">
        <v>6415</v>
      </c>
      <c r="L13" s="79">
        <v>19</v>
      </c>
      <c r="M13" s="403">
        <v>0</v>
      </c>
      <c r="N13" s="240">
        <v>19</v>
      </c>
      <c r="O13" s="359">
        <v>1088</v>
      </c>
      <c r="P13" s="79">
        <v>21</v>
      </c>
      <c r="Q13" s="342">
        <v>143</v>
      </c>
      <c r="R13" s="81">
        <v>38</v>
      </c>
      <c r="S13" s="324">
        <v>563</v>
      </c>
      <c r="T13" s="186">
        <v>10.5</v>
      </c>
      <c r="U13" s="426">
        <f>T13/W13</f>
        <v>8.2352941176470587E-2</v>
      </c>
      <c r="V13" s="94">
        <v>20.74</v>
      </c>
      <c r="W13" s="39">
        <f>INDEX('TSE OTC全部'!$W:$W,MATCH($G13,'TSE OTC全部'!$G:$G,0))</f>
        <v>127.5</v>
      </c>
      <c r="X13" s="207">
        <v>130.5</v>
      </c>
      <c r="Y13" s="430">
        <f>W13-X13</f>
        <v>-3</v>
      </c>
      <c r="Z13" s="433">
        <f>Y13/X13</f>
        <v>-2.2988505747126436E-2</v>
      </c>
      <c r="AA13" s="340">
        <v>-30.91</v>
      </c>
      <c r="AB13" s="389">
        <v>20.83</v>
      </c>
      <c r="AC13" s="23" t="s">
        <v>5075</v>
      </c>
      <c r="AD13" s="84">
        <v>44694</v>
      </c>
      <c r="AF13" s="33">
        <f>AE13-AD13</f>
        <v>-44694</v>
      </c>
      <c r="AG13" s="402" t="s">
        <v>6747</v>
      </c>
      <c r="AH13" s="66">
        <f>AI13/AJ13</f>
        <v>1.0491138372773881</v>
      </c>
      <c r="AI13" s="254">
        <f>INDEX('TSE OTC全部'!$AI:$AI,MATCH($G13,'TSE OTC全部'!$G:$G,0))</f>
        <v>3673</v>
      </c>
      <c r="AJ13" s="391">
        <v>3501.05</v>
      </c>
      <c r="AR13" s="402" t="str">
        <f>INDEX(基本資料!N:N,MATCH($G13,基本資料!A:A,0))</f>
        <v>低</v>
      </c>
    </row>
    <row r="14" spans="1:44">
      <c r="A14" s="343">
        <v>122</v>
      </c>
      <c r="B14" s="79">
        <v>61</v>
      </c>
      <c r="C14" s="79">
        <v>67</v>
      </c>
      <c r="D14" s="79">
        <v>2</v>
      </c>
      <c r="E14" s="79">
        <v>22</v>
      </c>
      <c r="F14" s="6">
        <v>25.55</v>
      </c>
      <c r="G14" s="79">
        <v>2449</v>
      </c>
      <c r="H14" s="132" t="s">
        <v>6709</v>
      </c>
      <c r="I14" s="22" t="s">
        <v>6724</v>
      </c>
      <c r="J14" s="102" t="s">
        <v>6409</v>
      </c>
      <c r="L14" s="79">
        <v>1</v>
      </c>
      <c r="M14" s="403">
        <v>0</v>
      </c>
      <c r="N14" s="240">
        <v>1</v>
      </c>
      <c r="O14" s="359">
        <v>989</v>
      </c>
      <c r="P14" s="79">
        <v>8</v>
      </c>
      <c r="Q14" s="342">
        <v>143</v>
      </c>
      <c r="R14" s="81">
        <v>55</v>
      </c>
      <c r="S14" s="324">
        <v>368</v>
      </c>
      <c r="T14" s="186">
        <v>3</v>
      </c>
      <c r="U14" s="426">
        <f t="shared" ref="U14:U15" si="5">T14/W14</f>
        <v>6.9605568445475635E-2</v>
      </c>
      <c r="V14" s="94">
        <v>4.79</v>
      </c>
      <c r="W14" s="39">
        <f>INDEX('TSE OTC全部'!$W:$W,MATCH($G14,'TSE OTC全部'!$G:$G,0))</f>
        <v>43.1</v>
      </c>
      <c r="X14" s="207">
        <v>43.05</v>
      </c>
      <c r="Y14" s="430">
        <f t="shared" ref="Y14:Y15" si="6">W14-X14</f>
        <v>5.0000000000004263E-2</v>
      </c>
      <c r="Z14" s="433">
        <f t="shared" ref="Z14:Z15" si="7">Y14/X14</f>
        <v>1.1614401858305288E-3</v>
      </c>
      <c r="AA14" s="340">
        <v>-16.440000000000001</v>
      </c>
      <c r="AB14" s="389">
        <v>49.3</v>
      </c>
      <c r="AC14" s="23" t="s">
        <v>6724</v>
      </c>
      <c r="AD14" s="84">
        <v>44693</v>
      </c>
      <c r="AF14" s="33">
        <f t="shared" ref="AF14:AF15" si="8">AE14-AD14</f>
        <v>-44693</v>
      </c>
      <c r="AG14" s="402" t="s">
        <v>6725</v>
      </c>
      <c r="AH14" s="66">
        <f t="shared" ref="AH14:AH15" si="9">AI14/AJ14</f>
        <v>1.0632686488437302</v>
      </c>
      <c r="AI14" s="254">
        <f>INDEX('TSE OTC全部'!$AI:$AI,MATCH($G14,'TSE OTC全部'!$G:$G,0))</f>
        <v>5745</v>
      </c>
      <c r="AJ14" s="391">
        <v>5403.15</v>
      </c>
      <c r="AR14" s="402" t="str">
        <f>INDEX(基本資料!N:N,MATCH($G14,基本資料!A:A,0))</f>
        <v>中</v>
      </c>
    </row>
    <row r="15" spans="1:44">
      <c r="A15" s="343">
        <v>354</v>
      </c>
      <c r="B15" s="79">
        <v>-6</v>
      </c>
      <c r="C15" s="79">
        <v>-10</v>
      </c>
      <c r="D15" s="79">
        <v>6</v>
      </c>
      <c r="E15" s="79">
        <v>11</v>
      </c>
      <c r="F15" s="6">
        <v>18.940000000000001</v>
      </c>
      <c r="G15" s="80">
        <v>1102</v>
      </c>
      <c r="H15" s="96" t="s">
        <v>6727</v>
      </c>
      <c r="I15" s="22" t="s">
        <v>4772</v>
      </c>
      <c r="J15" s="102" t="s">
        <v>6728</v>
      </c>
      <c r="K15" s="5" t="s">
        <v>6761</v>
      </c>
      <c r="L15" s="79">
        <v>16</v>
      </c>
      <c r="M15" s="403">
        <v>3</v>
      </c>
      <c r="N15" s="240">
        <v>13</v>
      </c>
      <c r="O15" s="359">
        <v>1422</v>
      </c>
      <c r="P15" s="79">
        <v>52</v>
      </c>
      <c r="Q15" s="342">
        <v>312</v>
      </c>
      <c r="R15" s="81">
        <v>70</v>
      </c>
      <c r="S15" s="324">
        <v>303</v>
      </c>
      <c r="T15" s="186">
        <v>3.4</v>
      </c>
      <c r="U15" s="426">
        <f t="shared" si="5"/>
        <v>7.5639599555061166E-2</v>
      </c>
      <c r="V15" s="94">
        <v>4.74</v>
      </c>
      <c r="W15" s="39">
        <f>INDEX('TSE OTC全部'!$W:$W,MATCH($G15,'TSE OTC全部'!$G:$G,0))</f>
        <v>44.95</v>
      </c>
      <c r="X15" s="207">
        <v>44.8</v>
      </c>
      <c r="Y15" s="430">
        <f t="shared" si="6"/>
        <v>0.15000000000000568</v>
      </c>
      <c r="Z15" s="433">
        <f t="shared" si="7"/>
        <v>3.3482142857144126E-3</v>
      </c>
      <c r="AA15" s="340">
        <v>-15.49</v>
      </c>
      <c r="AB15" s="341">
        <v>48.96</v>
      </c>
      <c r="AC15" s="97" t="s">
        <v>4772</v>
      </c>
      <c r="AD15" s="84">
        <v>44693</v>
      </c>
      <c r="AF15" s="33">
        <f t="shared" si="8"/>
        <v>-44693</v>
      </c>
      <c r="AG15" s="402" t="s">
        <v>6729</v>
      </c>
      <c r="AH15" s="66">
        <f t="shared" si="9"/>
        <v>0.99915255123926294</v>
      </c>
      <c r="AI15" s="254">
        <f>INDEX('TSE OTC全部'!$AI:$AI,MATCH($G15,'TSE OTC全部'!$G:$G,0))</f>
        <v>4775</v>
      </c>
      <c r="AJ15" s="391">
        <v>4779.05</v>
      </c>
      <c r="AR15" s="402" t="str">
        <f>INDEX(基本資料!N:N,MATCH($G15,基本資料!A:A,0))</f>
        <v>低</v>
      </c>
    </row>
    <row r="16" spans="1:44">
      <c r="A16" s="343">
        <v>18.989999999999998</v>
      </c>
      <c r="B16" s="79">
        <v>14</v>
      </c>
      <c r="C16" s="79">
        <v>23</v>
      </c>
      <c r="D16" s="79">
        <v>7</v>
      </c>
      <c r="E16" s="79">
        <v>7</v>
      </c>
      <c r="F16" s="6">
        <v>9.98</v>
      </c>
      <c r="G16" s="80">
        <v>4927</v>
      </c>
      <c r="H16" s="17" t="s">
        <v>308</v>
      </c>
      <c r="I16" s="22" t="s">
        <v>447</v>
      </c>
      <c r="J16" s="8">
        <v>6</v>
      </c>
      <c r="L16" s="156">
        <v>1</v>
      </c>
      <c r="M16" s="337">
        <v>0</v>
      </c>
      <c r="N16" s="240">
        <v>1</v>
      </c>
      <c r="O16" s="359">
        <v>291</v>
      </c>
      <c r="P16" s="79">
        <v>194</v>
      </c>
      <c r="Q16" s="342">
        <v>283</v>
      </c>
      <c r="R16" s="81">
        <v>37</v>
      </c>
      <c r="S16" s="324">
        <v>35</v>
      </c>
      <c r="T16" s="186">
        <v>4</v>
      </c>
      <c r="U16" s="307">
        <f t="shared" ref="U16" si="10">$T16/$W16</f>
        <v>4.2689434364994665E-2</v>
      </c>
      <c r="V16" s="94">
        <v>7.25</v>
      </c>
      <c r="W16" s="36">
        <f>RTD("money.excel",,"4927","Price")</f>
        <v>93.7</v>
      </c>
      <c r="X16" s="66">
        <v>97.2</v>
      </c>
      <c r="Y16" s="15">
        <f t="shared" ref="Y16" si="11">W16-X16</f>
        <v>-3.5</v>
      </c>
      <c r="Z16" s="3">
        <f t="shared" ref="Z16" si="12">Y16/X16</f>
        <v>-3.6008230452674893E-2</v>
      </c>
      <c r="AA16" s="340">
        <v>-29.57</v>
      </c>
      <c r="AB16" s="389">
        <v>41.99</v>
      </c>
      <c r="AC16" s="22" t="s">
        <v>447</v>
      </c>
      <c r="AD16" s="84">
        <v>44691</v>
      </c>
      <c r="AF16" s="33">
        <f t="shared" ref="AF16" si="13">AE16-AD16</f>
        <v>-44691</v>
      </c>
      <c r="AG16" s="453" t="s">
        <v>1043</v>
      </c>
      <c r="AH16" s="66">
        <f>AI16/AJ16</f>
        <v>0.39455757597776531</v>
      </c>
      <c r="AI16" s="283">
        <f>RTD("money.excel",,$G16,"PredictVolume")</f>
        <v>1086</v>
      </c>
      <c r="AJ16" s="391">
        <v>2752.45</v>
      </c>
      <c r="AR16" s="402" t="str">
        <f>INDEX(基本資料!N:N,MATCH($G16,基本資料!A:A,0))</f>
        <v>中</v>
      </c>
    </row>
    <row r="17" spans="1:44">
      <c r="A17" s="94">
        <v>35.299999999999997</v>
      </c>
      <c r="B17" s="79">
        <v>60</v>
      </c>
      <c r="C17" s="79">
        <v>47</v>
      </c>
      <c r="D17" s="79">
        <v>3</v>
      </c>
      <c r="E17" s="80">
        <v>-3</v>
      </c>
      <c r="F17" s="6">
        <v>10.199999999999999</v>
      </c>
      <c r="G17" s="80">
        <v>3017</v>
      </c>
      <c r="H17" s="193" t="s">
        <v>1145</v>
      </c>
      <c r="I17" s="22" t="s">
        <v>117</v>
      </c>
      <c r="J17" s="8" t="s">
        <v>6762</v>
      </c>
      <c r="L17" s="156">
        <v>0</v>
      </c>
      <c r="M17" s="337">
        <v>0</v>
      </c>
      <c r="N17" s="240">
        <v>0</v>
      </c>
      <c r="O17" s="359">
        <v>482</v>
      </c>
      <c r="P17" s="79">
        <v>384</v>
      </c>
      <c r="Q17" s="342">
        <v>126</v>
      </c>
      <c r="R17" s="81">
        <v>7</v>
      </c>
      <c r="S17" s="324">
        <v>29</v>
      </c>
      <c r="T17" s="34">
        <v>4.3</v>
      </c>
      <c r="U17" s="307">
        <f t="shared" ref="U17:U19" si="14">T17/W17</f>
        <v>4.114832535885167E-2</v>
      </c>
      <c r="V17" s="94">
        <v>8.2100000000000009</v>
      </c>
      <c r="W17" s="36">
        <f>RTD("money.excel",,"3017","Price")</f>
        <v>104.5</v>
      </c>
      <c r="X17" s="66">
        <v>105.5</v>
      </c>
      <c r="Y17" s="15">
        <f t="shared" ref="Y17:Y19" si="15">W17-X17</f>
        <v>-1</v>
      </c>
      <c r="Z17" s="3">
        <f t="shared" ref="Z17:Z19" si="16">Y17/X17</f>
        <v>-9.4786729857819912E-3</v>
      </c>
      <c r="AA17" s="340">
        <v>-15.29</v>
      </c>
      <c r="AB17" s="378">
        <v>32.85</v>
      </c>
      <c r="AC17" s="268" t="s">
        <v>6760</v>
      </c>
      <c r="AD17" s="84">
        <v>44687</v>
      </c>
      <c r="AF17" s="33">
        <f t="shared" ref="AF17:AF19" si="17">AE17-AD17</f>
        <v>-44687</v>
      </c>
      <c r="AG17" s="453" t="s">
        <v>2926</v>
      </c>
      <c r="AH17" s="66">
        <f t="shared" ref="AH17:AH28" si="18">AI17/AJ17</f>
        <v>0.42279309082107014</v>
      </c>
      <c r="AI17" s="283">
        <f>RTD("money.excel",,$G17,"PredictVolume")</f>
        <v>3406</v>
      </c>
      <c r="AJ17" s="391">
        <v>8055.95</v>
      </c>
      <c r="AR17" s="402" t="str">
        <f>INDEX(基本資料!N:N,MATCH($G17,基本資料!A:A,0))</f>
        <v>中</v>
      </c>
    </row>
    <row r="18" spans="1:44">
      <c r="A18" s="94">
        <v>10.7</v>
      </c>
      <c r="B18" s="79">
        <v>170</v>
      </c>
      <c r="C18" s="79">
        <v>170</v>
      </c>
      <c r="D18" s="79">
        <v>43</v>
      </c>
      <c r="E18" s="79">
        <v>62</v>
      </c>
      <c r="F18" s="6">
        <v>7.96</v>
      </c>
      <c r="G18" s="80">
        <v>4739</v>
      </c>
      <c r="H18" s="5" t="s">
        <v>3577</v>
      </c>
      <c r="I18" s="22" t="s">
        <v>171</v>
      </c>
      <c r="J18" s="8">
        <v>42</v>
      </c>
      <c r="L18" s="156">
        <v>2</v>
      </c>
      <c r="M18" s="337">
        <v>0</v>
      </c>
      <c r="N18" s="240">
        <v>2</v>
      </c>
      <c r="O18" s="359">
        <v>66</v>
      </c>
      <c r="P18" s="79" t="s">
        <v>6279</v>
      </c>
      <c r="Q18" s="342">
        <v>978</v>
      </c>
      <c r="R18" s="81">
        <v>110</v>
      </c>
      <c r="S18" s="324">
        <v>12</v>
      </c>
      <c r="T18" s="34">
        <v>3</v>
      </c>
      <c r="U18" s="307">
        <f t="shared" si="14"/>
        <v>2.3346303501945526E-2</v>
      </c>
      <c r="V18" s="94">
        <v>4.7</v>
      </c>
      <c r="W18" s="36">
        <f>RTD("money.excel",,"4739","Price")</f>
        <v>128.5</v>
      </c>
      <c r="X18" s="66">
        <v>131.5</v>
      </c>
      <c r="Y18" s="15">
        <f t="shared" si="15"/>
        <v>-3</v>
      </c>
      <c r="Z18" s="3">
        <f t="shared" si="16"/>
        <v>-2.2813688212927757E-2</v>
      </c>
      <c r="AA18" s="340">
        <v>-22.95</v>
      </c>
      <c r="AB18" s="378">
        <v>29.06</v>
      </c>
      <c r="AC18" s="22" t="s">
        <v>171</v>
      </c>
      <c r="AD18" s="84">
        <v>44687</v>
      </c>
      <c r="AF18" s="33">
        <f t="shared" si="17"/>
        <v>-44687</v>
      </c>
      <c r="AG18" s="454" t="s">
        <v>2289</v>
      </c>
      <c r="AH18" s="66">
        <f t="shared" si="18"/>
        <v>0.84295956335161337</v>
      </c>
      <c r="AI18" s="283">
        <f>RTD("money.excel",,$G18,"PredictVolume")</f>
        <v>3251</v>
      </c>
      <c r="AJ18" s="391">
        <v>3856.65</v>
      </c>
      <c r="AR18" s="402" t="str">
        <f>INDEX(基本資料!N:N,MATCH($G18,基本資料!A:A,0))</f>
        <v>中</v>
      </c>
    </row>
    <row r="19" spans="1:44">
      <c r="A19" s="94">
        <v>19</v>
      </c>
      <c r="B19" s="80">
        <v>-31</v>
      </c>
      <c r="C19" s="80">
        <v>-32</v>
      </c>
      <c r="D19" s="79">
        <v>10</v>
      </c>
      <c r="E19" s="80">
        <v>-20</v>
      </c>
      <c r="F19" s="6">
        <v>12.26</v>
      </c>
      <c r="G19" s="80">
        <v>2404</v>
      </c>
      <c r="H19" s="5" t="s">
        <v>314</v>
      </c>
      <c r="I19" s="22" t="s">
        <v>494</v>
      </c>
      <c r="J19" s="102" t="s">
        <v>6419</v>
      </c>
      <c r="L19" s="156">
        <v>1</v>
      </c>
      <c r="M19" s="337">
        <v>0</v>
      </c>
      <c r="N19" s="240">
        <v>1</v>
      </c>
      <c r="O19" s="359">
        <v>941</v>
      </c>
      <c r="P19" s="79">
        <v>22</v>
      </c>
      <c r="Q19" s="342">
        <v>244</v>
      </c>
      <c r="R19" s="81">
        <v>136</v>
      </c>
      <c r="S19" s="324">
        <v>368</v>
      </c>
      <c r="T19" s="34">
        <v>13</v>
      </c>
      <c r="U19" s="307">
        <f t="shared" si="14"/>
        <v>7.4498567335243557E-2</v>
      </c>
      <c r="V19" s="94">
        <v>14.53</v>
      </c>
      <c r="W19" s="36">
        <f>RTD("money.excel",,"2404","Price")</f>
        <v>174.5</v>
      </c>
      <c r="X19" s="66">
        <v>178</v>
      </c>
      <c r="Y19" s="15">
        <f t="shared" si="15"/>
        <v>-3.5</v>
      </c>
      <c r="Z19" s="3">
        <f t="shared" si="16"/>
        <v>-1.9662921348314606E-2</v>
      </c>
      <c r="AA19" s="340">
        <v>-25.67</v>
      </c>
      <c r="AB19" s="378">
        <v>41.13</v>
      </c>
      <c r="AC19" s="22" t="s">
        <v>494</v>
      </c>
      <c r="AD19" s="84">
        <v>44687</v>
      </c>
      <c r="AF19" s="33">
        <f t="shared" si="17"/>
        <v>-44687</v>
      </c>
      <c r="AG19" s="453" t="s">
        <v>1444</v>
      </c>
      <c r="AH19" s="66">
        <f t="shared" si="18"/>
        <v>0.51015096304008334</v>
      </c>
      <c r="AI19" s="283">
        <f>RTD("money.excel",,$G19,"PredictVolume")</f>
        <v>294</v>
      </c>
      <c r="AJ19" s="391">
        <v>576.29999999999995</v>
      </c>
      <c r="AR19" s="402" t="str">
        <f>INDEX(基本資料!N:N,MATCH($G19,基本資料!A:A,0))</f>
        <v>低</v>
      </c>
    </row>
    <row r="20" spans="1:44">
      <c r="A20" s="94">
        <v>56.8</v>
      </c>
      <c r="B20" s="79">
        <v>25</v>
      </c>
      <c r="C20" s="79">
        <v>22</v>
      </c>
      <c r="D20" s="79">
        <v>23</v>
      </c>
      <c r="E20" s="79">
        <v>6</v>
      </c>
      <c r="F20" s="6">
        <v>29.03</v>
      </c>
      <c r="G20" s="80">
        <v>2441</v>
      </c>
      <c r="H20" s="18" t="s">
        <v>3038</v>
      </c>
      <c r="I20" s="22" t="s">
        <v>275</v>
      </c>
      <c r="J20" s="102" t="s">
        <v>6406</v>
      </c>
      <c r="L20" s="156">
        <v>7</v>
      </c>
      <c r="M20" s="337">
        <v>0</v>
      </c>
      <c r="N20" s="240">
        <v>7</v>
      </c>
      <c r="O20" s="359">
        <v>1171</v>
      </c>
      <c r="P20" s="79">
        <v>53</v>
      </c>
      <c r="Q20" s="342">
        <v>369</v>
      </c>
      <c r="R20" s="81">
        <v>57</v>
      </c>
      <c r="S20" s="324">
        <v>465</v>
      </c>
      <c r="T20" s="34">
        <v>5</v>
      </c>
      <c r="U20" s="307">
        <f t="shared" ref="U20" si="19">T20/W20</f>
        <v>6.9735006973500699E-2</v>
      </c>
      <c r="V20" s="94">
        <v>8.51</v>
      </c>
      <c r="W20" s="36">
        <f>RTD("money.excel",,"2441","Price")</f>
        <v>71.7</v>
      </c>
      <c r="X20" s="66">
        <v>71.3</v>
      </c>
      <c r="Y20" s="15">
        <f t="shared" ref="Y20" si="20">W20-X20</f>
        <v>0.40000000000000568</v>
      </c>
      <c r="Z20" s="3">
        <f t="shared" ref="Z20" si="21">Y20/X20</f>
        <v>5.6100981767181722E-3</v>
      </c>
      <c r="AA20" s="340">
        <v>-29.15</v>
      </c>
      <c r="AB20" s="378">
        <v>30.68</v>
      </c>
      <c r="AC20" s="22" t="s">
        <v>275</v>
      </c>
      <c r="AD20" s="84">
        <v>44686</v>
      </c>
      <c r="AF20" s="33">
        <f t="shared" ref="AF20" si="22">AE20-AD20</f>
        <v>-44686</v>
      </c>
      <c r="AG20" s="454" t="s">
        <v>3019</v>
      </c>
      <c r="AH20" s="66">
        <f t="shared" si="18"/>
        <v>1.3506882922175276</v>
      </c>
      <c r="AI20" s="283">
        <f>RTD("money.excel",,$G20,"PredictVolume")</f>
        <v>991</v>
      </c>
      <c r="AJ20" s="391">
        <v>733.7</v>
      </c>
      <c r="AR20" s="402" t="str">
        <f>INDEX(基本資料!N:N,MATCH($G20,基本資料!A:A,0))</f>
        <v>低</v>
      </c>
    </row>
    <row r="21" spans="1:44">
      <c r="A21" s="94">
        <v>24.1</v>
      </c>
      <c r="B21" s="79">
        <v>28</v>
      </c>
      <c r="C21" s="79">
        <v>26</v>
      </c>
      <c r="D21" s="80">
        <v>-1</v>
      </c>
      <c r="E21" s="80">
        <v>-2</v>
      </c>
      <c r="F21" s="6">
        <v>11.69</v>
      </c>
      <c r="G21" s="80">
        <v>1477</v>
      </c>
      <c r="H21" s="8" t="s">
        <v>294</v>
      </c>
      <c r="I21" s="22" t="s">
        <v>3589</v>
      </c>
      <c r="J21" s="102" t="s">
        <v>3544</v>
      </c>
      <c r="K21" s="5">
        <v>9</v>
      </c>
      <c r="L21" s="156">
        <v>4</v>
      </c>
      <c r="M21" s="337">
        <v>1</v>
      </c>
      <c r="N21" s="240">
        <v>3</v>
      </c>
      <c r="O21" s="359">
        <v>1085</v>
      </c>
      <c r="P21" s="79">
        <v>181</v>
      </c>
      <c r="Q21" s="342">
        <v>237</v>
      </c>
      <c r="R21" s="81">
        <v>107</v>
      </c>
      <c r="S21" s="324">
        <v>439</v>
      </c>
      <c r="T21" s="34">
        <v>9.5</v>
      </c>
      <c r="U21" s="307">
        <f t="shared" ref="U21" si="23">T21/W21</f>
        <v>5.7750759878419454E-2</v>
      </c>
      <c r="V21" s="94">
        <v>11.25</v>
      </c>
      <c r="W21" s="36">
        <f>RTD("money.excel",,"1477","Price")</f>
        <v>164.5</v>
      </c>
      <c r="X21" s="66">
        <v>185</v>
      </c>
      <c r="Y21" s="15">
        <f t="shared" ref="Y21" si="24">W21-X21</f>
        <v>-20.5</v>
      </c>
      <c r="Z21" s="3">
        <f t="shared" ref="Z21" si="25">Y21/X21</f>
        <v>-0.11081081081081082</v>
      </c>
      <c r="AA21" s="340">
        <v>-36.68</v>
      </c>
      <c r="AB21" s="378">
        <v>21.16</v>
      </c>
      <c r="AC21" s="268" t="s">
        <v>3589</v>
      </c>
      <c r="AD21" s="84">
        <v>44684</v>
      </c>
      <c r="AF21" s="33">
        <f t="shared" ref="AF21" si="26">AE21-AD21</f>
        <v>-44684</v>
      </c>
      <c r="AG21" s="454" t="s">
        <v>3332</v>
      </c>
      <c r="AH21" s="66">
        <f t="shared" si="18"/>
        <v>0.34211910678977636</v>
      </c>
      <c r="AI21" s="283">
        <f>RTD("money.excel",,$G21,"PredictVolume")</f>
        <v>943</v>
      </c>
      <c r="AJ21" s="391">
        <v>2756.35</v>
      </c>
      <c r="AR21" s="402" t="str">
        <f>INDEX(基本資料!N:N,MATCH($G21,基本資料!A:A,0))</f>
        <v>低</v>
      </c>
    </row>
    <row r="22" spans="1:44">
      <c r="A22" s="94">
        <v>30.3</v>
      </c>
      <c r="B22" s="79">
        <v>57</v>
      </c>
      <c r="C22" s="79">
        <v>34</v>
      </c>
      <c r="D22" s="79">
        <v>47</v>
      </c>
      <c r="E22" s="80">
        <v>-3</v>
      </c>
      <c r="F22" s="6">
        <v>30.91</v>
      </c>
      <c r="G22" s="80">
        <v>2458</v>
      </c>
      <c r="H22" s="5" t="s">
        <v>3038</v>
      </c>
      <c r="I22" s="22" t="s">
        <v>57</v>
      </c>
      <c r="J22" s="102" t="s">
        <v>6239</v>
      </c>
      <c r="K22" s="5" t="s">
        <v>6761</v>
      </c>
      <c r="L22" s="156">
        <v>4</v>
      </c>
      <c r="M22" s="337">
        <v>6</v>
      </c>
      <c r="N22" s="240">
        <v>-2</v>
      </c>
      <c r="O22" s="359">
        <v>752</v>
      </c>
      <c r="P22" s="79">
        <v>14</v>
      </c>
      <c r="Q22" s="342">
        <v>270</v>
      </c>
      <c r="R22" s="81">
        <v>31</v>
      </c>
      <c r="S22" s="324">
        <v>368</v>
      </c>
      <c r="T22" s="34">
        <v>13.5</v>
      </c>
      <c r="U22" s="307">
        <f t="shared" ref="U22" si="27">T22/W22</f>
        <v>9.5070422535211266E-2</v>
      </c>
      <c r="V22" s="94">
        <v>17.57</v>
      </c>
      <c r="W22" s="36">
        <f>RTD("money.excel",,"2458","Price")</f>
        <v>142</v>
      </c>
      <c r="X22" s="66">
        <v>152.5</v>
      </c>
      <c r="Y22" s="15">
        <f t="shared" ref="Y22" si="28">W22-X22</f>
        <v>-10.5</v>
      </c>
      <c r="Z22" s="3">
        <f t="shared" ref="Z22" si="29">Y22/X22</f>
        <v>-6.8852459016393447E-2</v>
      </c>
      <c r="AA22" s="340">
        <v>-30.47</v>
      </c>
      <c r="AB22" s="378">
        <v>22.27</v>
      </c>
      <c r="AC22" s="268" t="s">
        <v>6764</v>
      </c>
      <c r="AD22" s="84">
        <v>44680</v>
      </c>
      <c r="AF22" s="33">
        <f t="shared" ref="AF22" si="30">AE22-AD22</f>
        <v>-44680</v>
      </c>
      <c r="AG22" s="454" t="s">
        <v>2343</v>
      </c>
      <c r="AH22" s="66">
        <f t="shared" si="18"/>
        <v>0.52433812351203279</v>
      </c>
      <c r="AI22" s="283">
        <f>RTD("money.excel",,$G22,"PredictVolume")</f>
        <v>914</v>
      </c>
      <c r="AJ22" s="391">
        <v>1743.15</v>
      </c>
      <c r="AR22" s="402" t="str">
        <f>INDEX(基本資料!N:N,MATCH($G22,基本資料!A:A,0))</f>
        <v>低</v>
      </c>
    </row>
    <row r="23" spans="1:44">
      <c r="A23" s="94">
        <v>18.399999999999999</v>
      </c>
      <c r="B23" s="79">
        <v>60</v>
      </c>
      <c r="C23" s="79">
        <v>53</v>
      </c>
      <c r="D23" s="79">
        <v>9</v>
      </c>
      <c r="E23" s="80">
        <v>-16</v>
      </c>
      <c r="F23" s="6">
        <v>29.28</v>
      </c>
      <c r="G23" s="80">
        <v>2455</v>
      </c>
      <c r="H23" s="236" t="s">
        <v>4314</v>
      </c>
      <c r="I23" s="22" t="s">
        <v>4332</v>
      </c>
      <c r="J23" s="8" t="s">
        <v>6689</v>
      </c>
      <c r="K23" s="5" t="s">
        <v>6761</v>
      </c>
      <c r="L23" s="156">
        <v>6</v>
      </c>
      <c r="M23" s="337">
        <v>13</v>
      </c>
      <c r="N23" s="240">
        <v>-7</v>
      </c>
      <c r="O23" s="359">
        <v>182</v>
      </c>
      <c r="P23" s="79">
        <v>82</v>
      </c>
      <c r="Q23" s="342">
        <v>191</v>
      </c>
      <c r="R23" s="81">
        <v>209</v>
      </c>
      <c r="S23" s="324">
        <v>72</v>
      </c>
      <c r="T23" s="34">
        <v>4</v>
      </c>
      <c r="U23" s="307">
        <f t="shared" ref="U23" si="31">T23/W23</f>
        <v>4.4593088071348937E-2</v>
      </c>
      <c r="V23" s="94">
        <v>4.62</v>
      </c>
      <c r="W23" s="36">
        <f>RTD("money.excel",,"2455","Price")</f>
        <v>89.7</v>
      </c>
      <c r="X23" s="66">
        <v>94.8</v>
      </c>
      <c r="Y23" s="15">
        <f t="shared" ref="Y23" si="32">W23-X23</f>
        <v>-5.0999999999999943</v>
      </c>
      <c r="Z23" s="3">
        <f t="shared" ref="Z23" si="33">Y23/X23</f>
        <v>-5.3797468354430319E-2</v>
      </c>
      <c r="AA23" s="340">
        <v>-40.43</v>
      </c>
      <c r="AB23" s="378">
        <v>13.61</v>
      </c>
      <c r="AC23" s="268" t="s">
        <v>4332</v>
      </c>
      <c r="AD23" s="84">
        <v>44676</v>
      </c>
      <c r="AF23" s="33">
        <f t="shared" ref="AF23" si="34">AE23-AD23</f>
        <v>-44676</v>
      </c>
      <c r="AG23" s="454" t="s">
        <v>2324</v>
      </c>
      <c r="AH23" s="66">
        <f t="shared" si="18"/>
        <v>0.6761400575833566</v>
      </c>
      <c r="AI23" s="283">
        <f>RTD("money.excel",,$G23,"PredictVolume")</f>
        <v>2548</v>
      </c>
      <c r="AJ23" s="391">
        <v>3768.45</v>
      </c>
      <c r="AR23" s="402" t="str">
        <f>INDEX(基本資料!N:N,MATCH($G23,基本資料!A:A,0))</f>
        <v>低</v>
      </c>
    </row>
    <row r="24" spans="1:44">
      <c r="A24" s="94">
        <v>28.6</v>
      </c>
      <c r="B24" s="79">
        <v>364</v>
      </c>
      <c r="C24" s="79">
        <v>408</v>
      </c>
      <c r="D24" s="79">
        <v>16</v>
      </c>
      <c r="E24" s="80">
        <v>-4</v>
      </c>
      <c r="F24" s="6">
        <v>24.64</v>
      </c>
      <c r="G24" s="80">
        <v>3006</v>
      </c>
      <c r="H24" s="5" t="s">
        <v>3038</v>
      </c>
      <c r="I24" s="22" t="s">
        <v>95</v>
      </c>
      <c r="J24" s="8" t="s">
        <v>6765</v>
      </c>
      <c r="K24" s="5">
        <v>9</v>
      </c>
      <c r="L24" s="156">
        <v>0</v>
      </c>
      <c r="M24" s="337">
        <v>1</v>
      </c>
      <c r="N24" s="240">
        <v>-1</v>
      </c>
      <c r="O24" s="359">
        <v>26</v>
      </c>
      <c r="P24" s="79">
        <v>1054</v>
      </c>
      <c r="Q24" s="342">
        <v>380</v>
      </c>
      <c r="R24" s="81">
        <v>172</v>
      </c>
      <c r="S24" s="324">
        <v>14</v>
      </c>
      <c r="T24" s="34">
        <v>8</v>
      </c>
      <c r="U24" s="307">
        <f t="shared" ref="U24:U25" si="35">T24/W24</f>
        <v>6.8376068376068383E-2</v>
      </c>
      <c r="V24" s="94">
        <v>17.760000000000002</v>
      </c>
      <c r="W24" s="36">
        <f>RTD("money.excel",,"3006","Price")</f>
        <v>117</v>
      </c>
      <c r="X24" s="66">
        <v>129</v>
      </c>
      <c r="Y24" s="15">
        <f t="shared" ref="Y24:Y25" si="36">W24-X24</f>
        <v>-12</v>
      </c>
      <c r="Z24" s="3">
        <f t="shared" ref="Z24:Z25" si="37">Y24/X24</f>
        <v>-9.3023255813953487E-2</v>
      </c>
      <c r="AA24" s="340">
        <v>-37.56</v>
      </c>
      <c r="AB24" s="378">
        <v>28.49</v>
      </c>
      <c r="AC24" s="268" t="s">
        <v>95</v>
      </c>
      <c r="AD24" s="84">
        <v>44673</v>
      </c>
      <c r="AF24" s="33">
        <f t="shared" ref="AF24:AF25" si="38">AE24-AD24</f>
        <v>-44673</v>
      </c>
      <c r="AG24" s="454" t="s">
        <v>2128</v>
      </c>
      <c r="AH24" s="66">
        <f t="shared" si="18"/>
        <v>0.52561300799967925</v>
      </c>
      <c r="AI24" s="283">
        <f>RTD("money.excel",,$G24,"PredictVolume")</f>
        <v>6554</v>
      </c>
      <c r="AJ24" s="391">
        <v>12469.25</v>
      </c>
      <c r="AR24" s="402" t="str">
        <f>INDEX(基本資料!N:N,MATCH($G24,基本資料!A:A,0))</f>
        <v>低</v>
      </c>
    </row>
    <row r="25" spans="1:44">
      <c r="A25" s="94">
        <v>6.22</v>
      </c>
      <c r="B25" s="79">
        <v>80</v>
      </c>
      <c r="C25" s="79">
        <v>24</v>
      </c>
      <c r="D25" s="79">
        <v>60</v>
      </c>
      <c r="E25" s="79">
        <v>29</v>
      </c>
      <c r="F25" s="6">
        <v>12.59</v>
      </c>
      <c r="G25" s="79">
        <v>3491</v>
      </c>
      <c r="H25" s="5" t="s">
        <v>4314</v>
      </c>
      <c r="I25" s="16" t="s">
        <v>4367</v>
      </c>
      <c r="J25" s="8">
        <v>42</v>
      </c>
      <c r="L25" s="156">
        <v>2</v>
      </c>
      <c r="M25" s="337">
        <v>0</v>
      </c>
      <c r="N25" s="240">
        <v>2</v>
      </c>
      <c r="O25" s="359">
        <v>104</v>
      </c>
      <c r="P25" s="79">
        <v>224</v>
      </c>
      <c r="Q25" s="342">
        <v>419</v>
      </c>
      <c r="R25" s="81">
        <v>96</v>
      </c>
      <c r="S25" s="324">
        <v>16</v>
      </c>
      <c r="T25" s="34">
        <v>4</v>
      </c>
      <c r="U25" s="307">
        <f t="shared" si="35"/>
        <v>2.9090909090909091E-2</v>
      </c>
      <c r="V25" s="94">
        <v>3.81</v>
      </c>
      <c r="W25" s="36">
        <f>RTD("money.excel",,"3491","Price")</f>
        <v>137.5</v>
      </c>
      <c r="X25" s="66">
        <v>169.5</v>
      </c>
      <c r="Y25" s="15">
        <f t="shared" si="36"/>
        <v>-32</v>
      </c>
      <c r="Z25" s="3">
        <f t="shared" si="37"/>
        <v>-0.1887905604719764</v>
      </c>
      <c r="AA25" s="340">
        <v>-24.24</v>
      </c>
      <c r="AB25" s="460">
        <v>58.58</v>
      </c>
      <c r="AC25" s="16" t="s">
        <v>4367</v>
      </c>
      <c r="AD25" s="84">
        <v>44673</v>
      </c>
      <c r="AF25" s="33">
        <f t="shared" si="38"/>
        <v>-44673</v>
      </c>
      <c r="AG25" s="454" t="s">
        <v>4368</v>
      </c>
      <c r="AH25" s="66">
        <f t="shared" si="18"/>
        <v>0.40300798035604668</v>
      </c>
      <c r="AI25" s="283">
        <f>RTD("money.excel",,$G25,"PredictVolume")</f>
        <v>1313</v>
      </c>
      <c r="AJ25" s="391">
        <v>3258</v>
      </c>
      <c r="AR25" s="402" t="str">
        <f>INDEX(基本資料!N:N,MATCH($G25,基本資料!A:A,0))</f>
        <v>中</v>
      </c>
    </row>
    <row r="26" spans="1:44">
      <c r="A26" s="94">
        <v>46.5</v>
      </c>
      <c r="B26" s="80">
        <v>-1</v>
      </c>
      <c r="C26" s="80">
        <v>-5</v>
      </c>
      <c r="D26" s="79">
        <v>40</v>
      </c>
      <c r="E26" s="79">
        <v>15</v>
      </c>
      <c r="F26" s="6">
        <v>13.29</v>
      </c>
      <c r="G26" s="79">
        <v>6176</v>
      </c>
      <c r="H26" s="192" t="s">
        <v>1877</v>
      </c>
      <c r="I26" s="22" t="s">
        <v>4271</v>
      </c>
      <c r="J26" s="102" t="s">
        <v>6766</v>
      </c>
      <c r="L26" s="156">
        <v>11</v>
      </c>
      <c r="M26" s="337">
        <v>0</v>
      </c>
      <c r="N26" s="240">
        <v>11</v>
      </c>
      <c r="O26" s="359">
        <v>1072</v>
      </c>
      <c r="P26" s="79">
        <v>4</v>
      </c>
      <c r="Q26" s="342">
        <v>176</v>
      </c>
      <c r="R26" s="81">
        <v>32</v>
      </c>
      <c r="S26" s="324">
        <v>439</v>
      </c>
      <c r="T26" s="34">
        <v>8</v>
      </c>
      <c r="U26" s="307">
        <f t="shared" ref="U26" si="39">T26/W26</f>
        <v>7.7669902912621352E-2</v>
      </c>
      <c r="V26" s="94">
        <v>11.16</v>
      </c>
      <c r="W26" s="36">
        <f>RTD("money.excel",,"6176","Price")</f>
        <v>103</v>
      </c>
      <c r="X26" s="66">
        <v>106</v>
      </c>
      <c r="Y26" s="15">
        <f t="shared" ref="Y26" si="40">W26-X26</f>
        <v>-3</v>
      </c>
      <c r="Z26" s="3">
        <f t="shared" ref="Z26" si="41">Y26/X26</f>
        <v>-2.8301886792452831E-2</v>
      </c>
      <c r="AA26" s="340">
        <v>-19.54</v>
      </c>
      <c r="AB26" s="460">
        <v>71.39</v>
      </c>
      <c r="AC26" s="22" t="s">
        <v>4271</v>
      </c>
      <c r="AD26" s="84">
        <v>44671</v>
      </c>
      <c r="AF26" s="33">
        <f t="shared" ref="AF26" si="42">AE26-AD26</f>
        <v>-44671</v>
      </c>
      <c r="AG26" s="454" t="s">
        <v>4194</v>
      </c>
      <c r="AH26" s="66">
        <f t="shared" si="18"/>
        <v>0.98992017712521119</v>
      </c>
      <c r="AI26" s="283">
        <f>RTD("money.excel",,$G26,"PredictVolume")</f>
        <v>1699</v>
      </c>
      <c r="AJ26" s="391">
        <v>1716.3</v>
      </c>
      <c r="AR26" s="402" t="str">
        <f>INDEX(基本資料!N:N,MATCH($G26,基本資料!A:A,0))</f>
        <v>中</v>
      </c>
    </row>
    <row r="27" spans="1:44">
      <c r="A27" s="94">
        <v>24.8</v>
      </c>
      <c r="B27" s="80">
        <v>-15</v>
      </c>
      <c r="C27" s="79">
        <v>19</v>
      </c>
      <c r="D27" s="79">
        <v>39</v>
      </c>
      <c r="E27" s="79">
        <v>13</v>
      </c>
      <c r="F27" s="6">
        <v>25.15</v>
      </c>
      <c r="G27" s="79">
        <v>4105</v>
      </c>
      <c r="H27" s="8" t="s">
        <v>309</v>
      </c>
      <c r="I27" s="16" t="s">
        <v>3720</v>
      </c>
      <c r="J27" s="50" t="s">
        <v>6767</v>
      </c>
      <c r="L27" s="156">
        <v>3</v>
      </c>
      <c r="M27" s="337">
        <v>0</v>
      </c>
      <c r="N27" s="240">
        <v>3</v>
      </c>
      <c r="O27" s="359">
        <v>866</v>
      </c>
      <c r="P27" s="79">
        <v>541</v>
      </c>
      <c r="Q27" s="342">
        <v>361</v>
      </c>
      <c r="R27" s="81">
        <v>180</v>
      </c>
      <c r="S27" s="324">
        <v>563</v>
      </c>
      <c r="T27" s="34">
        <v>3</v>
      </c>
      <c r="U27" s="307">
        <f t="shared" ref="U27" si="43">T27/W27</f>
        <v>4.4182621502209127E-2</v>
      </c>
      <c r="V27" s="94">
        <v>3.35</v>
      </c>
      <c r="W27" s="36">
        <f>RTD("money.excel",,"4105","Price")</f>
        <v>67.900000000000006</v>
      </c>
      <c r="X27" s="66">
        <v>76.8</v>
      </c>
      <c r="Y27" s="15">
        <f t="shared" ref="Y27" si="44">W27-X27</f>
        <v>-8.8999999999999915</v>
      </c>
      <c r="Z27" s="3">
        <f t="shared" ref="Z27" si="45">Y27/X27</f>
        <v>-0.11588541666666656</v>
      </c>
      <c r="AA27" s="340">
        <v>-19.43</v>
      </c>
      <c r="AB27" s="460">
        <v>73.37</v>
      </c>
      <c r="AC27" s="16" t="s">
        <v>3720</v>
      </c>
      <c r="AD27" s="84">
        <v>45401</v>
      </c>
      <c r="AF27" s="33">
        <f t="shared" ref="AF27" si="46">AE27-AD27</f>
        <v>-45401</v>
      </c>
      <c r="AG27" s="454" t="s">
        <v>3721</v>
      </c>
      <c r="AH27" s="66">
        <f t="shared" si="18"/>
        <v>0.17916980099842714</v>
      </c>
      <c r="AI27" s="283">
        <f>RTD("money.excel",,$G27,"PredictVolume")</f>
        <v>524</v>
      </c>
      <c r="AJ27" s="391">
        <v>2924.6</v>
      </c>
      <c r="AK27" s="16" t="s">
        <v>6768</v>
      </c>
      <c r="AR27" s="402" t="str">
        <f>INDEX(基本資料!N:N,MATCH($G27,基本資料!A:A,0))</f>
        <v>低</v>
      </c>
    </row>
    <row r="28" spans="1:44">
      <c r="A28" s="94">
        <v>18.100000000000001</v>
      </c>
      <c r="B28" s="79">
        <v>196</v>
      </c>
      <c r="C28" s="79">
        <v>190</v>
      </c>
      <c r="D28" s="79">
        <v>38</v>
      </c>
      <c r="E28" s="79">
        <v>10</v>
      </c>
      <c r="F28" s="6">
        <v>5.09</v>
      </c>
      <c r="G28" s="79">
        <v>2038</v>
      </c>
      <c r="H28" s="8" t="s">
        <v>299</v>
      </c>
      <c r="I28" s="22" t="s">
        <v>3955</v>
      </c>
      <c r="J28" s="50" t="s">
        <v>6359</v>
      </c>
      <c r="L28" s="156">
        <v>11</v>
      </c>
      <c r="M28" s="337">
        <v>0</v>
      </c>
      <c r="N28" s="240">
        <v>11</v>
      </c>
      <c r="O28" s="359">
        <v>223</v>
      </c>
      <c r="P28" s="79">
        <v>384</v>
      </c>
      <c r="Q28" s="342">
        <v>1195</v>
      </c>
      <c r="R28" s="81" t="s">
        <v>6279</v>
      </c>
      <c r="S28" s="324">
        <v>124</v>
      </c>
      <c r="T28" s="34">
        <v>1.5</v>
      </c>
      <c r="U28" s="307">
        <f t="shared" ref="U28" si="47">T28/W28</f>
        <v>5.8139534883720929E-2</v>
      </c>
      <c r="V28" s="94">
        <v>2.54</v>
      </c>
      <c r="W28" s="36">
        <f>RTD("money.excel",,"2038","Price")</f>
        <v>25.8</v>
      </c>
      <c r="X28" s="66">
        <v>34.950000000000003</v>
      </c>
      <c r="Y28" s="15">
        <f t="shared" ref="Y28" si="48">W28-X28</f>
        <v>-9.1500000000000021</v>
      </c>
      <c r="Z28" s="3">
        <f t="shared" ref="Z28" si="49">Y28/X28</f>
        <v>-0.26180257510729615</v>
      </c>
      <c r="AA28" s="340">
        <v>-49.49</v>
      </c>
      <c r="AB28" s="460">
        <v>65.34</v>
      </c>
      <c r="AC28" s="22" t="s">
        <v>3955</v>
      </c>
      <c r="AD28" s="84">
        <v>44669</v>
      </c>
      <c r="AF28" s="33">
        <f t="shared" ref="AF28" si="50">AE28-AD28</f>
        <v>-44669</v>
      </c>
      <c r="AG28" s="453" t="s">
        <v>2659</v>
      </c>
      <c r="AH28" s="66">
        <f t="shared" si="18"/>
        <v>0.25208517776431666</v>
      </c>
      <c r="AI28" s="283">
        <f>RTD("money.excel",,$G28,"PredictVolume")</f>
        <v>541</v>
      </c>
      <c r="AJ28" s="391">
        <v>2146.1</v>
      </c>
      <c r="AR28" s="402" t="str">
        <f>INDEX(基本資料!N:N,MATCH($G28,基本資料!A:A,0))</f>
        <v>低</v>
      </c>
    </row>
    <row r="29" spans="1:44" s="248" customFormat="1">
      <c r="A29" s="69" t="s">
        <v>6797</v>
      </c>
      <c r="B29" s="91"/>
      <c r="C29" s="91"/>
      <c r="D29" s="172"/>
      <c r="E29" s="172"/>
      <c r="F29" s="173"/>
      <c r="G29" s="310"/>
      <c r="H29" s="12"/>
      <c r="I29" s="228"/>
      <c r="J29" s="1"/>
      <c r="K29" s="5"/>
      <c r="L29" s="163"/>
      <c r="O29" s="359"/>
      <c r="P29" s="47"/>
      <c r="Q29" s="342"/>
      <c r="R29" s="282"/>
      <c r="S29" s="319"/>
      <c r="T29" s="185"/>
      <c r="U29" s="305"/>
      <c r="V29" s="94"/>
      <c r="W29" s="304">
        <f>SUM(W13:W28)</f>
        <v>1635.8500000000001</v>
      </c>
      <c r="X29" s="295">
        <f>SUM(X13:X28)</f>
        <v>1750.3999999999999</v>
      </c>
      <c r="Y29" s="226">
        <f t="shared" ref="Y29" si="51">W29-X29</f>
        <v>-114.54999999999973</v>
      </c>
      <c r="Z29" s="158">
        <f t="shared" ref="Z29" si="52">Y29/X29</f>
        <v>-6.5442184643509899E-2</v>
      </c>
      <c r="AA29" s="100"/>
      <c r="AB29" s="378"/>
      <c r="AC29" s="227">
        <f>W29*(0.001425*0.5)+W29*0.003+X29*(0.001425*0.5)</f>
        <v>7.3202531250000007</v>
      </c>
      <c r="AD29" s="6">
        <f>Y29-AC29</f>
        <v>-121.87025312499972</v>
      </c>
      <c r="AE29" s="83"/>
      <c r="AF29" s="33"/>
      <c r="AG29" s="455" t="s">
        <v>6216</v>
      </c>
      <c r="AH29" s="334"/>
      <c r="AI29" s="335"/>
      <c r="AJ29" s="398"/>
    </row>
    <row r="30" spans="1:44">
      <c r="B30" s="90"/>
      <c r="C30" s="90"/>
      <c r="D30" s="90"/>
      <c r="E30" s="90"/>
      <c r="F30" s="8"/>
      <c r="G30" s="26"/>
      <c r="H30" s="55"/>
      <c r="I30" s="8"/>
      <c r="J30" s="8"/>
      <c r="L30" s="245"/>
      <c r="O30" s="359"/>
      <c r="P30" s="47"/>
      <c r="Q30" s="342"/>
      <c r="S30" s="318"/>
      <c r="T30" s="382"/>
      <c r="U30" s="306"/>
      <c r="V30" s="68"/>
      <c r="W30" s="28"/>
      <c r="X30" s="17"/>
      <c r="Y30" s="14"/>
      <c r="Z30" s="21"/>
      <c r="AC30" s="8"/>
      <c r="AD30" s="71"/>
      <c r="AE30" s="72"/>
      <c r="AF30" s="32"/>
      <c r="AG30" s="352"/>
      <c r="AH30" s="156"/>
      <c r="AI30" s="337"/>
      <c r="AJ30" s="239"/>
    </row>
    <row r="31" spans="1:44">
      <c r="A31" s="57" t="s">
        <v>1672</v>
      </c>
      <c r="B31" s="90" t="s">
        <v>1571</v>
      </c>
      <c r="C31" s="90" t="s">
        <v>1572</v>
      </c>
      <c r="D31" s="90" t="s">
        <v>1573</v>
      </c>
      <c r="E31" s="90" t="s">
        <v>1574</v>
      </c>
      <c r="F31" s="8" t="s">
        <v>1059</v>
      </c>
      <c r="G31" s="26" t="s">
        <v>3441</v>
      </c>
      <c r="H31" s="55" t="s">
        <v>320</v>
      </c>
      <c r="I31" s="50" t="s">
        <v>6237</v>
      </c>
      <c r="J31" s="8" t="s">
        <v>6211</v>
      </c>
      <c r="K31" s="5" t="s">
        <v>6212</v>
      </c>
      <c r="L31" s="334" t="s">
        <v>6197</v>
      </c>
      <c r="M31" s="335" t="s">
        <v>6198</v>
      </c>
      <c r="N31" s="336" t="s">
        <v>6199</v>
      </c>
      <c r="O31" s="89" t="s">
        <v>6275</v>
      </c>
      <c r="P31" s="292" t="s">
        <v>6274</v>
      </c>
      <c r="Q31" s="350" t="s">
        <v>6273</v>
      </c>
      <c r="R31" s="26" t="s">
        <v>6276</v>
      </c>
      <c r="S31" s="318" t="s">
        <v>4715</v>
      </c>
      <c r="T31" s="382" t="s">
        <v>66</v>
      </c>
      <c r="U31" s="305" t="s">
        <v>4728</v>
      </c>
      <c r="V31" s="68" t="s">
        <v>3272</v>
      </c>
      <c r="W31" s="28" t="s">
        <v>2</v>
      </c>
      <c r="X31" s="17" t="s">
        <v>1398</v>
      </c>
      <c r="Y31" s="14" t="s">
        <v>2249</v>
      </c>
      <c r="Z31" s="21" t="s">
        <v>1469</v>
      </c>
      <c r="AA31" s="347" t="s">
        <v>6166</v>
      </c>
      <c r="AB31" s="378" t="s">
        <v>6404</v>
      </c>
      <c r="AC31" s="50" t="s">
        <v>6237</v>
      </c>
      <c r="AD31" s="71" t="s">
        <v>1399</v>
      </c>
      <c r="AE31" s="72" t="s">
        <v>1156</v>
      </c>
      <c r="AF31" s="32" t="s">
        <v>1157</v>
      </c>
      <c r="AG31" s="452" t="s">
        <v>4735</v>
      </c>
      <c r="AH31" s="8" t="s">
        <v>6696</v>
      </c>
      <c r="AI31" s="50" t="s">
        <v>3360</v>
      </c>
      <c r="AJ31" s="22" t="s">
        <v>6695</v>
      </c>
    </row>
    <row r="32" spans="1:44">
      <c r="A32" s="57"/>
      <c r="B32" s="90"/>
      <c r="C32" s="90"/>
      <c r="D32" s="90"/>
      <c r="E32" s="90"/>
      <c r="F32" s="8"/>
      <c r="G32" s="26"/>
      <c r="H32" s="55"/>
      <c r="I32" s="50"/>
      <c r="J32" s="8"/>
      <c r="L32" s="334"/>
      <c r="M32" s="335"/>
      <c r="N32" s="336"/>
      <c r="P32" s="292"/>
      <c r="S32" s="318"/>
      <c r="T32" s="382"/>
      <c r="U32" s="305"/>
      <c r="V32" s="68"/>
      <c r="W32" s="28"/>
      <c r="X32" s="17"/>
      <c r="Y32" s="14"/>
      <c r="Z32" s="21"/>
      <c r="AA32" s="347"/>
      <c r="AC32" s="50"/>
      <c r="AD32" s="71"/>
      <c r="AE32" s="72"/>
      <c r="AF32" s="32"/>
      <c r="AG32" s="452"/>
      <c r="AH32" s="8"/>
      <c r="AI32" s="50"/>
      <c r="AJ32" s="22"/>
    </row>
    <row r="33" spans="1:44">
      <c r="A33" s="343">
        <v>63.56</v>
      </c>
      <c r="B33" s="79">
        <v>207</v>
      </c>
      <c r="C33" s="79">
        <v>243</v>
      </c>
      <c r="D33" s="79">
        <v>-19</v>
      </c>
      <c r="E33" s="79">
        <v>-30</v>
      </c>
      <c r="F33" s="6">
        <v>11.88</v>
      </c>
      <c r="G33" s="80">
        <v>2376</v>
      </c>
      <c r="H33" s="96" t="s">
        <v>6744</v>
      </c>
      <c r="I33" s="22" t="s">
        <v>5074</v>
      </c>
      <c r="J33" s="102" t="s">
        <v>6410</v>
      </c>
      <c r="L33" s="79">
        <v>1</v>
      </c>
      <c r="M33" s="403">
        <v>0</v>
      </c>
      <c r="N33" s="240">
        <v>1</v>
      </c>
      <c r="O33" s="359">
        <v>702</v>
      </c>
      <c r="P33" s="79">
        <v>7</v>
      </c>
      <c r="Q33" s="342">
        <v>275</v>
      </c>
      <c r="R33" s="81">
        <v>48</v>
      </c>
      <c r="S33" s="324">
        <v>135</v>
      </c>
      <c r="T33" s="186">
        <v>12</v>
      </c>
      <c r="U33" s="426">
        <f>T33/W33</f>
        <v>0.10762331838565023</v>
      </c>
      <c r="V33" s="94">
        <v>21</v>
      </c>
      <c r="W33" s="39">
        <v>111.5</v>
      </c>
      <c r="X33" s="207">
        <v>106.5</v>
      </c>
      <c r="Y33" s="430">
        <f>W33-X33</f>
        <v>5</v>
      </c>
      <c r="Z33" s="434">
        <f>Y33/X33</f>
        <v>4.6948356807511735E-2</v>
      </c>
      <c r="AA33" s="340">
        <v>-36.06</v>
      </c>
      <c r="AB33" s="389">
        <v>8.5299999999999994</v>
      </c>
      <c r="AC33" s="23" t="s">
        <v>5074</v>
      </c>
      <c r="AD33" s="84">
        <v>44694</v>
      </c>
      <c r="AE33" s="83">
        <v>44697</v>
      </c>
      <c r="AF33" s="33">
        <f>AE33-AD33</f>
        <v>3</v>
      </c>
      <c r="AG33" s="402" t="s">
        <v>6747</v>
      </c>
      <c r="AH33" s="66"/>
      <c r="AI33" s="254"/>
      <c r="AJ33" s="391"/>
      <c r="AR33" s="402" t="str">
        <f>INDEX(基本資料!N:N,MATCH($G33,基本資料!A:A,0))</f>
        <v>低</v>
      </c>
    </row>
    <row r="34" spans="1:44">
      <c r="A34" s="94">
        <v>17.8</v>
      </c>
      <c r="B34" s="79">
        <v>120</v>
      </c>
      <c r="C34" s="79">
        <v>264</v>
      </c>
      <c r="D34" s="80">
        <v>-28</v>
      </c>
      <c r="E34" s="80">
        <v>-13</v>
      </c>
      <c r="F34" s="6">
        <v>12.77</v>
      </c>
      <c r="G34" s="80">
        <v>2436</v>
      </c>
      <c r="H34" s="18" t="s">
        <v>307</v>
      </c>
      <c r="I34" s="22" t="s">
        <v>112</v>
      </c>
      <c r="J34" s="102" t="s">
        <v>6419</v>
      </c>
      <c r="L34" s="156">
        <v>1</v>
      </c>
      <c r="M34" s="337">
        <v>0</v>
      </c>
      <c r="N34" s="240">
        <v>1</v>
      </c>
      <c r="O34" s="359">
        <v>53</v>
      </c>
      <c r="P34" s="79">
        <v>378</v>
      </c>
      <c r="Q34" s="342">
        <v>764</v>
      </c>
      <c r="R34" s="81">
        <v>345</v>
      </c>
      <c r="S34" s="324">
        <v>37</v>
      </c>
      <c r="T34" s="34">
        <v>3</v>
      </c>
      <c r="U34" s="307">
        <f>T34/W34</f>
        <v>4.4247787610619468E-2</v>
      </c>
      <c r="V34" s="94">
        <v>3.94</v>
      </c>
      <c r="W34" s="36">
        <v>67.8</v>
      </c>
      <c r="X34" s="66">
        <v>66.2</v>
      </c>
      <c r="Y34" s="15">
        <f>W34-X34</f>
        <v>1.5999999999999943</v>
      </c>
      <c r="Z34" s="63">
        <f>Y34/X34</f>
        <v>2.4169184290030125E-2</v>
      </c>
      <c r="AA34" s="340">
        <v>-37.49</v>
      </c>
      <c r="AB34" s="378">
        <v>21.34</v>
      </c>
      <c r="AC34" s="22" t="s">
        <v>112</v>
      </c>
      <c r="AD34" s="84">
        <v>44687</v>
      </c>
      <c r="AE34" s="83">
        <v>44697</v>
      </c>
      <c r="AF34" s="33">
        <f>AE34-AD34</f>
        <v>10</v>
      </c>
      <c r="AG34" s="453" t="s">
        <v>2193</v>
      </c>
      <c r="AH34" s="66"/>
      <c r="AI34" s="283"/>
      <c r="AJ34" s="391"/>
      <c r="AR34" s="402" t="str">
        <f>INDEX(基本資料!N:N,MATCH($G34,基本資料!A:A,0))</f>
        <v>低</v>
      </c>
    </row>
    <row r="35" spans="1:44">
      <c r="A35" s="343">
        <v>9.17</v>
      </c>
      <c r="B35" s="79">
        <v>81</v>
      </c>
      <c r="C35" s="79">
        <v>87</v>
      </c>
      <c r="D35" s="79">
        <v>27</v>
      </c>
      <c r="E35" s="79">
        <v>25</v>
      </c>
      <c r="F35" s="6">
        <v>27.55</v>
      </c>
      <c r="G35" s="80">
        <v>6411</v>
      </c>
      <c r="H35" s="96" t="s">
        <v>6709</v>
      </c>
      <c r="I35" s="16" t="s">
        <v>5860</v>
      </c>
      <c r="J35" s="102" t="s">
        <v>6410</v>
      </c>
      <c r="K35" s="5">
        <v>7</v>
      </c>
      <c r="L35" s="79">
        <v>1</v>
      </c>
      <c r="M35" s="403">
        <v>1</v>
      </c>
      <c r="N35" s="240">
        <v>0</v>
      </c>
      <c r="O35" s="359">
        <v>81</v>
      </c>
      <c r="P35" s="79">
        <v>357</v>
      </c>
      <c r="Q35" s="342">
        <v>365</v>
      </c>
      <c r="R35" s="81">
        <v>343</v>
      </c>
      <c r="S35" s="324">
        <v>5</v>
      </c>
      <c r="T35" s="186">
        <v>7.22</v>
      </c>
      <c r="U35" s="426">
        <f>T35/W35</f>
        <v>4.9115646258503398E-2</v>
      </c>
      <c r="V35" s="94">
        <v>10.33</v>
      </c>
      <c r="W35" s="39">
        <v>147</v>
      </c>
      <c r="X35" s="207">
        <v>144</v>
      </c>
      <c r="Y35" s="430">
        <f>W35-X35</f>
        <v>3</v>
      </c>
      <c r="Z35" s="434">
        <f>Y35/X35</f>
        <v>2.0833333333333332E-2</v>
      </c>
      <c r="AA35" s="340">
        <v>-51.66</v>
      </c>
      <c r="AB35" s="389">
        <v>22.83</v>
      </c>
      <c r="AC35" s="97" t="s">
        <v>5860</v>
      </c>
      <c r="AD35" s="84">
        <v>44693</v>
      </c>
      <c r="AE35" s="83">
        <v>44697</v>
      </c>
      <c r="AF35" s="33">
        <f>AE35-AD35</f>
        <v>4</v>
      </c>
      <c r="AG35" s="402" t="s">
        <v>6726</v>
      </c>
      <c r="AH35" s="66"/>
      <c r="AI35" s="254"/>
      <c r="AJ35" s="391"/>
      <c r="AR35" s="402" t="str">
        <f>INDEX(基本資料!N:N,MATCH($G35,基本資料!A:A,0))</f>
        <v>低</v>
      </c>
    </row>
    <row r="36" spans="1:44">
      <c r="A36" s="254">
        <v>309</v>
      </c>
      <c r="B36" s="79">
        <v>142</v>
      </c>
      <c r="C36" s="79">
        <v>106</v>
      </c>
      <c r="D36" s="80">
        <v>-2</v>
      </c>
      <c r="E36" s="80">
        <v>-10</v>
      </c>
      <c r="F36" s="6">
        <v>31.39</v>
      </c>
      <c r="G36" s="80">
        <v>2408</v>
      </c>
      <c r="H36" s="18" t="s">
        <v>307</v>
      </c>
      <c r="I36" s="22" t="s">
        <v>209</v>
      </c>
      <c r="J36" s="102" t="s">
        <v>6763</v>
      </c>
      <c r="L36" s="156">
        <v>12</v>
      </c>
      <c r="M36" s="337">
        <v>0</v>
      </c>
      <c r="N36" s="240">
        <v>12</v>
      </c>
      <c r="O36" s="359">
        <v>1127</v>
      </c>
      <c r="P36" s="79">
        <v>274</v>
      </c>
      <c r="Q36" s="342">
        <v>315</v>
      </c>
      <c r="R36" s="81">
        <v>113</v>
      </c>
      <c r="S36" s="324">
        <v>410</v>
      </c>
      <c r="T36" s="34">
        <v>3.7</v>
      </c>
      <c r="U36" s="307">
        <f>T36/W36</f>
        <v>5.4977711738484404E-2</v>
      </c>
      <c r="V36" s="94">
        <v>8.64</v>
      </c>
      <c r="W36" s="36">
        <v>67.3</v>
      </c>
      <c r="X36" s="66">
        <v>65.8</v>
      </c>
      <c r="Y36" s="15">
        <f>W36-X36</f>
        <v>1.5</v>
      </c>
      <c r="Z36" s="63">
        <f>Y36/X36</f>
        <v>2.2796352583586626E-2</v>
      </c>
      <c r="AA36" s="340">
        <v>-20.8</v>
      </c>
      <c r="AB36" s="378">
        <v>20.36</v>
      </c>
      <c r="AC36" s="22" t="s">
        <v>209</v>
      </c>
      <c r="AD36" s="84">
        <v>44687</v>
      </c>
      <c r="AE36" s="83">
        <v>44697</v>
      </c>
      <c r="AF36" s="33">
        <f>AE36-AD36</f>
        <v>10</v>
      </c>
      <c r="AG36" s="454" t="s">
        <v>2557</v>
      </c>
      <c r="AH36" s="66"/>
      <c r="AI36" s="283"/>
      <c r="AJ36" s="391"/>
      <c r="AR36" s="402" t="str">
        <f>INDEX(基本資料!N:N,MATCH($G36,基本資料!A:A,0))</f>
        <v>低</v>
      </c>
    </row>
    <row r="37" spans="1:44">
      <c r="A37" s="343">
        <v>4.97</v>
      </c>
      <c r="B37" s="79">
        <v>89</v>
      </c>
      <c r="C37" s="79">
        <v>86</v>
      </c>
      <c r="D37" s="79">
        <v>1</v>
      </c>
      <c r="E37" s="79">
        <v>37</v>
      </c>
      <c r="F37" s="6">
        <v>22.39</v>
      </c>
      <c r="G37" s="80">
        <v>8155</v>
      </c>
      <c r="H37" s="132" t="s">
        <v>6707</v>
      </c>
      <c r="I37" s="16" t="s">
        <v>5992</v>
      </c>
      <c r="J37" s="8" t="s">
        <v>6801</v>
      </c>
      <c r="L37" s="79">
        <v>4</v>
      </c>
      <c r="M37" s="403">
        <v>0</v>
      </c>
      <c r="N37" s="240">
        <v>4</v>
      </c>
      <c r="O37" s="359">
        <v>214</v>
      </c>
      <c r="P37" s="79">
        <v>252</v>
      </c>
      <c r="Q37" s="342">
        <v>1150</v>
      </c>
      <c r="R37" s="81">
        <v>1</v>
      </c>
      <c r="S37" s="324">
        <v>7</v>
      </c>
      <c r="T37" s="186">
        <v>6</v>
      </c>
      <c r="U37" s="426">
        <f>T37/W37</f>
        <v>3.4883720930232558E-2</v>
      </c>
      <c r="V37" s="94">
        <v>9.51</v>
      </c>
      <c r="W37" s="39">
        <v>172</v>
      </c>
      <c r="X37" s="207">
        <v>168.5</v>
      </c>
      <c r="Y37" s="430">
        <f>W37-X37</f>
        <v>3.5</v>
      </c>
      <c r="Z37" s="434">
        <f>Y37/X37</f>
        <v>2.0771513353115726E-2</v>
      </c>
      <c r="AA37" s="340">
        <v>-27.02</v>
      </c>
      <c r="AB37" s="389">
        <v>24.19</v>
      </c>
      <c r="AC37" s="16" t="s">
        <v>5992</v>
      </c>
      <c r="AD37" s="84">
        <v>44697</v>
      </c>
      <c r="AE37" s="311">
        <v>44697</v>
      </c>
      <c r="AF37" s="33">
        <f>AE37-AD37</f>
        <v>0</v>
      </c>
      <c r="AG37" s="402" t="s">
        <v>6735</v>
      </c>
      <c r="AH37" s="66"/>
      <c r="AI37" s="254"/>
      <c r="AJ37" s="391"/>
      <c r="AK37" s="50"/>
      <c r="AR37" s="402" t="str">
        <f>INDEX(基本資料!N:N,MATCH($G37,基本資料!A:A,0))</f>
        <v>中</v>
      </c>
    </row>
    <row r="38" spans="1:44">
      <c r="A38" s="142">
        <v>4.4000000000000004</v>
      </c>
      <c r="B38" s="79">
        <v>194</v>
      </c>
      <c r="C38" s="79">
        <v>170</v>
      </c>
      <c r="D38" s="79">
        <v>0</v>
      </c>
      <c r="E38" s="79">
        <v>34.49</v>
      </c>
      <c r="F38" s="6">
        <v>32.71</v>
      </c>
      <c r="G38" s="80">
        <v>6485</v>
      </c>
      <c r="H38" s="18" t="s">
        <v>307</v>
      </c>
      <c r="I38" s="16" t="s">
        <v>232</v>
      </c>
      <c r="J38" s="102" t="s">
        <v>6419</v>
      </c>
      <c r="L38" s="156">
        <v>2</v>
      </c>
      <c r="M38" s="337">
        <v>0</v>
      </c>
      <c r="N38" s="240">
        <v>2</v>
      </c>
      <c r="O38" s="359">
        <v>16</v>
      </c>
      <c r="P38" s="79">
        <v>124</v>
      </c>
      <c r="Q38" s="342">
        <v>805</v>
      </c>
      <c r="R38" s="81">
        <v>418</v>
      </c>
      <c r="S38" s="324">
        <v>8</v>
      </c>
      <c r="T38" s="186">
        <v>5</v>
      </c>
      <c r="U38" s="307">
        <f>$T38/$W38</f>
        <v>4.1322314049586778E-2</v>
      </c>
      <c r="V38" s="94">
        <v>14.29</v>
      </c>
      <c r="W38" s="36">
        <v>121</v>
      </c>
      <c r="X38" s="66">
        <v>118.5</v>
      </c>
      <c r="Y38" s="15">
        <f t="shared" ref="Y38" si="53">W38-X38</f>
        <v>2.5</v>
      </c>
      <c r="Z38" s="63">
        <f t="shared" ref="Z38" si="54">Y38/X38</f>
        <v>2.1097046413502109E-2</v>
      </c>
      <c r="AA38" s="340">
        <v>-37.43</v>
      </c>
      <c r="AB38" s="378">
        <v>26.12</v>
      </c>
      <c r="AC38" s="16" t="s">
        <v>232</v>
      </c>
      <c r="AD38" s="84">
        <v>44690</v>
      </c>
      <c r="AE38" s="83">
        <v>44697</v>
      </c>
      <c r="AF38" s="33">
        <f t="shared" ref="AF38" si="55">AE38-AD38</f>
        <v>7</v>
      </c>
      <c r="AG38" s="453" t="s">
        <v>2364</v>
      </c>
      <c r="AH38" s="66"/>
      <c r="AI38" s="283"/>
      <c r="AJ38" s="391"/>
      <c r="AR38" s="402" t="str">
        <f>INDEX(基本資料!N:N,MATCH($G38,基本資料!A:A,0))</f>
        <v>低</v>
      </c>
    </row>
    <row r="39" spans="1:44">
      <c r="A39" s="94">
        <v>8.07</v>
      </c>
      <c r="B39" s="79">
        <v>146</v>
      </c>
      <c r="C39" s="79">
        <v>356</v>
      </c>
      <c r="D39" s="79">
        <v>5</v>
      </c>
      <c r="E39" s="79">
        <v>2</v>
      </c>
      <c r="F39" s="6">
        <v>35.82</v>
      </c>
      <c r="G39" s="80">
        <v>6531</v>
      </c>
      <c r="H39" s="5" t="s">
        <v>3038</v>
      </c>
      <c r="I39" s="22" t="s">
        <v>354</v>
      </c>
      <c r="J39" s="102" t="s">
        <v>6232</v>
      </c>
      <c r="L39" s="156">
        <v>2</v>
      </c>
      <c r="M39" s="337">
        <v>0</v>
      </c>
      <c r="N39" s="240">
        <v>2</v>
      </c>
      <c r="O39" s="359">
        <v>120</v>
      </c>
      <c r="P39" s="79">
        <v>337</v>
      </c>
      <c r="Q39" s="342">
        <v>335</v>
      </c>
      <c r="R39" s="81">
        <v>278</v>
      </c>
      <c r="S39" s="324">
        <v>29</v>
      </c>
      <c r="T39" s="34">
        <v>6</v>
      </c>
      <c r="U39" s="307">
        <f t="shared" ref="U39" si="56">T39/W39</f>
        <v>2.1126760563380281E-2</v>
      </c>
      <c r="V39" s="94">
        <v>10.94</v>
      </c>
      <c r="W39" s="36">
        <v>284</v>
      </c>
      <c r="X39" s="66">
        <v>278</v>
      </c>
      <c r="Y39" s="15">
        <f t="shared" ref="Y39" si="57">W39-X39</f>
        <v>6</v>
      </c>
      <c r="Z39" s="63">
        <f t="shared" ref="Z39" si="58">Y39/X39</f>
        <v>2.1582733812949641E-2</v>
      </c>
      <c r="AA39" s="340">
        <v>-65.66</v>
      </c>
      <c r="AB39" s="378">
        <v>8.51</v>
      </c>
      <c r="AC39" s="22" t="s">
        <v>354</v>
      </c>
      <c r="AD39" s="84">
        <v>44672</v>
      </c>
      <c r="AE39" s="83">
        <v>44694</v>
      </c>
      <c r="AF39" s="33">
        <f t="shared" ref="AF39" si="59">AE39-AD39</f>
        <v>22</v>
      </c>
      <c r="AG39" s="453" t="s">
        <v>2128</v>
      </c>
      <c r="AH39" s="66"/>
      <c r="AI39" s="283"/>
      <c r="AJ39" s="391"/>
      <c r="AK39" s="8"/>
      <c r="AR39" s="402" t="str">
        <f>INDEX(基本資料!N:N,MATCH($G39,基本資料!A:A,0))</f>
        <v>低</v>
      </c>
    </row>
    <row r="40" spans="1:44">
      <c r="A40" s="343">
        <v>41.97</v>
      </c>
      <c r="B40" s="79">
        <v>344</v>
      </c>
      <c r="C40" s="79">
        <v>278</v>
      </c>
      <c r="D40" s="79">
        <v>-2</v>
      </c>
      <c r="E40" s="79">
        <v>6</v>
      </c>
      <c r="F40" s="6">
        <v>13.45</v>
      </c>
      <c r="G40" s="79">
        <v>4919</v>
      </c>
      <c r="H40" s="132" t="s">
        <v>6709</v>
      </c>
      <c r="I40" s="22" t="s">
        <v>5611</v>
      </c>
      <c r="J40" s="8">
        <v>6</v>
      </c>
      <c r="L40" s="79">
        <v>1</v>
      </c>
      <c r="M40" s="403">
        <v>0</v>
      </c>
      <c r="N40" s="240">
        <v>1</v>
      </c>
      <c r="O40" s="359">
        <v>298</v>
      </c>
      <c r="P40" s="79">
        <v>265</v>
      </c>
      <c r="Q40" s="342">
        <v>626</v>
      </c>
      <c r="R40" s="81">
        <v>16</v>
      </c>
      <c r="S40" s="324">
        <v>19</v>
      </c>
      <c r="T40" s="186">
        <v>5</v>
      </c>
      <c r="U40" s="426">
        <f>T40/W40</f>
        <v>2.9498525073746312E-2</v>
      </c>
      <c r="V40" s="94">
        <v>9.48</v>
      </c>
      <c r="W40" s="39">
        <v>169.5</v>
      </c>
      <c r="X40" s="207">
        <v>166</v>
      </c>
      <c r="Y40" s="430">
        <f>W40-X40</f>
        <v>3.5</v>
      </c>
      <c r="Z40" s="434">
        <f>Y40/X40</f>
        <v>2.1084337349397589E-2</v>
      </c>
      <c r="AA40" s="340">
        <v>-20.49</v>
      </c>
      <c r="AB40" s="389">
        <v>41.99</v>
      </c>
      <c r="AC40" s="23" t="s">
        <v>5611</v>
      </c>
      <c r="AD40" s="84">
        <v>44694</v>
      </c>
      <c r="AE40" s="311">
        <v>44694</v>
      </c>
      <c r="AF40" s="33">
        <f>AE40-AD40</f>
        <v>0</v>
      </c>
      <c r="AG40" s="402" t="s">
        <v>6743</v>
      </c>
      <c r="AH40" s="66"/>
      <c r="AI40" s="254"/>
      <c r="AJ40" s="391"/>
      <c r="AR40" s="402" t="str">
        <f>INDEX(基本資料!N:N,MATCH($G40,基本資料!A:A,0))</f>
        <v>中</v>
      </c>
    </row>
    <row r="41" spans="1:44">
      <c r="A41" s="343">
        <v>4.97</v>
      </c>
      <c r="B41" s="79">
        <v>-26</v>
      </c>
      <c r="C41" s="79">
        <v>-29</v>
      </c>
      <c r="D41" s="79">
        <v>1</v>
      </c>
      <c r="E41" s="79">
        <v>37</v>
      </c>
      <c r="F41" s="6">
        <v>15.7</v>
      </c>
      <c r="G41" s="80">
        <v>8155</v>
      </c>
      <c r="H41" s="132" t="s">
        <v>6707</v>
      </c>
      <c r="I41" s="16" t="s">
        <v>5992</v>
      </c>
      <c r="J41" s="8">
        <v>92</v>
      </c>
      <c r="L41" s="79">
        <v>2</v>
      </c>
      <c r="M41" s="403">
        <v>0</v>
      </c>
      <c r="N41" s="240">
        <v>2</v>
      </c>
      <c r="O41" s="359">
        <v>221</v>
      </c>
      <c r="P41" s="79">
        <v>180</v>
      </c>
      <c r="Q41" s="342">
        <v>1120</v>
      </c>
      <c r="R41" s="81">
        <v>1</v>
      </c>
      <c r="S41" s="324">
        <v>7</v>
      </c>
      <c r="T41" s="186">
        <v>6</v>
      </c>
      <c r="U41" s="426">
        <f>T41/W41</f>
        <v>3.5502958579881658E-2</v>
      </c>
      <c r="V41" s="94">
        <v>7.85</v>
      </c>
      <c r="W41" s="39">
        <v>169</v>
      </c>
      <c r="X41" s="207">
        <v>165</v>
      </c>
      <c r="Y41" s="430">
        <f>W41-X41</f>
        <v>4</v>
      </c>
      <c r="Z41" s="434">
        <f>Y41/X41</f>
        <v>2.4242424242424242E-2</v>
      </c>
      <c r="AA41" s="340">
        <v>-22.86</v>
      </c>
      <c r="AB41" s="389">
        <v>27.94</v>
      </c>
      <c r="AC41" s="23" t="s">
        <v>5992</v>
      </c>
      <c r="AD41" s="84">
        <v>44693</v>
      </c>
      <c r="AE41" s="83">
        <v>44694</v>
      </c>
      <c r="AF41" s="33">
        <f>AE41-AD41</f>
        <v>1</v>
      </c>
      <c r="AG41" s="402" t="s">
        <v>6735</v>
      </c>
      <c r="AH41" s="66"/>
      <c r="AI41" s="254"/>
      <c r="AJ41" s="391"/>
      <c r="AR41" s="402" t="str">
        <f>INDEX(基本資料!N:N,MATCH($G41,基本資料!A:A,0))</f>
        <v>中</v>
      </c>
    </row>
    <row r="42" spans="1:44">
      <c r="A42" s="343">
        <v>4.97</v>
      </c>
      <c r="B42" s="79">
        <v>-26</v>
      </c>
      <c r="C42" s="79">
        <v>-29</v>
      </c>
      <c r="D42" s="79">
        <v>1</v>
      </c>
      <c r="E42" s="79">
        <v>37</v>
      </c>
      <c r="F42" s="6">
        <v>15.7</v>
      </c>
      <c r="G42" s="80">
        <v>8155</v>
      </c>
      <c r="H42" s="8" t="s">
        <v>3388</v>
      </c>
      <c r="I42" s="16" t="s">
        <v>84</v>
      </c>
      <c r="J42" s="8">
        <v>69</v>
      </c>
      <c r="L42" s="156">
        <v>2</v>
      </c>
      <c r="M42" s="337">
        <v>0</v>
      </c>
      <c r="N42" s="240">
        <v>2</v>
      </c>
      <c r="O42" s="359">
        <v>210</v>
      </c>
      <c r="P42" s="79">
        <v>192</v>
      </c>
      <c r="Q42" s="342">
        <v>1113</v>
      </c>
      <c r="R42" s="81">
        <v>1</v>
      </c>
      <c r="S42" s="324">
        <v>7</v>
      </c>
      <c r="T42" s="186">
        <v>6</v>
      </c>
      <c r="U42" s="307">
        <f>$T42/$W42</f>
        <v>3.669724770642202E-2</v>
      </c>
      <c r="V42" s="94">
        <v>7.85</v>
      </c>
      <c r="W42" s="36">
        <v>163.5</v>
      </c>
      <c r="X42" s="66">
        <v>160</v>
      </c>
      <c r="Y42" s="15">
        <f t="shared" ref="Y42:Y44" si="60">W42-X42</f>
        <v>3.5</v>
      </c>
      <c r="Z42" s="63">
        <f t="shared" ref="Z42:Z44" si="61">Y42/X42</f>
        <v>2.1874999999999999E-2</v>
      </c>
      <c r="AA42" s="340">
        <v>-25.4</v>
      </c>
      <c r="AB42" s="389">
        <v>25.64</v>
      </c>
      <c r="AC42" s="16" t="s">
        <v>84</v>
      </c>
      <c r="AD42" s="84">
        <v>44692</v>
      </c>
      <c r="AE42" s="311">
        <v>44692</v>
      </c>
      <c r="AF42" s="33">
        <f t="shared" ref="AF42:AF44" si="62">AE42-AD42</f>
        <v>0</v>
      </c>
      <c r="AG42" s="454" t="s">
        <v>1048</v>
      </c>
      <c r="AH42" s="66"/>
      <c r="AI42" s="283"/>
      <c r="AJ42" s="391"/>
      <c r="AR42" s="402" t="str">
        <f>INDEX(基本資料!N:N,MATCH($G42,基本資料!A:A,0))</f>
        <v>中</v>
      </c>
    </row>
    <row r="43" spans="1:44">
      <c r="A43" s="343">
        <v>6.21</v>
      </c>
      <c r="B43" s="79">
        <v>141</v>
      </c>
      <c r="C43" s="79">
        <v>145</v>
      </c>
      <c r="D43" s="79">
        <v>0</v>
      </c>
      <c r="E43" s="79">
        <v>52</v>
      </c>
      <c r="F43" s="6">
        <v>34.74</v>
      </c>
      <c r="G43" s="80">
        <v>3169</v>
      </c>
      <c r="H43" s="183" t="s">
        <v>307</v>
      </c>
      <c r="I43" s="16" t="s">
        <v>359</v>
      </c>
      <c r="J43" s="8">
        <v>62</v>
      </c>
      <c r="L43" s="156">
        <v>2</v>
      </c>
      <c r="M43" s="337">
        <v>0</v>
      </c>
      <c r="N43" s="240">
        <v>2</v>
      </c>
      <c r="O43" s="359">
        <v>19</v>
      </c>
      <c r="P43" s="79">
        <v>221</v>
      </c>
      <c r="Q43" s="342">
        <v>873</v>
      </c>
      <c r="R43" s="81">
        <v>169</v>
      </c>
      <c r="S43" s="324">
        <v>10</v>
      </c>
      <c r="T43" s="186">
        <v>5</v>
      </c>
      <c r="U43" s="307">
        <f>$T43/$W43</f>
        <v>2.9940119760479042E-2</v>
      </c>
      <c r="V43" s="94">
        <v>7.09</v>
      </c>
      <c r="W43" s="36">
        <v>167</v>
      </c>
      <c r="X43" s="66">
        <v>163</v>
      </c>
      <c r="Y43" s="15">
        <f t="shared" si="60"/>
        <v>4</v>
      </c>
      <c r="Z43" s="63">
        <f t="shared" si="61"/>
        <v>2.4539877300613498E-2</v>
      </c>
      <c r="AA43" s="340">
        <v>-46.91</v>
      </c>
      <c r="AB43" s="389">
        <v>19.34</v>
      </c>
      <c r="AC43" s="16" t="s">
        <v>359</v>
      </c>
      <c r="AD43" s="84">
        <v>44692</v>
      </c>
      <c r="AE43" s="311">
        <v>44692</v>
      </c>
      <c r="AF43" s="33">
        <f t="shared" si="62"/>
        <v>0</v>
      </c>
      <c r="AG43" s="453" t="s">
        <v>2892</v>
      </c>
      <c r="AH43" s="66"/>
      <c r="AI43" s="283"/>
      <c r="AJ43" s="391"/>
      <c r="AR43" s="402" t="str">
        <f>INDEX(基本資料!N:N,MATCH($G43,基本資料!A:A,0))</f>
        <v>低</v>
      </c>
    </row>
    <row r="44" spans="1:44">
      <c r="A44" s="343">
        <v>9.17</v>
      </c>
      <c r="B44" s="79">
        <v>81</v>
      </c>
      <c r="C44" s="79">
        <v>87</v>
      </c>
      <c r="D44" s="79">
        <v>27</v>
      </c>
      <c r="E44" s="79">
        <v>25</v>
      </c>
      <c r="F44" s="6">
        <v>27.55</v>
      </c>
      <c r="G44" s="80">
        <v>6411</v>
      </c>
      <c r="H44" s="183" t="s">
        <v>307</v>
      </c>
      <c r="I44" s="16" t="s">
        <v>251</v>
      </c>
      <c r="J44" s="8" t="s">
        <v>6701</v>
      </c>
      <c r="L44" s="156">
        <v>3</v>
      </c>
      <c r="M44" s="337">
        <v>0</v>
      </c>
      <c r="N44" s="240">
        <v>3</v>
      </c>
      <c r="O44" s="359">
        <v>82</v>
      </c>
      <c r="P44" s="79">
        <v>398</v>
      </c>
      <c r="Q44" s="342">
        <v>371</v>
      </c>
      <c r="R44" s="81">
        <v>344</v>
      </c>
      <c r="S44" s="324">
        <v>5</v>
      </c>
      <c r="T44" s="186">
        <v>7.22</v>
      </c>
      <c r="U44" s="307">
        <f>$T44/$W44</f>
        <v>4.9452054794520549E-2</v>
      </c>
      <c r="V44" s="94">
        <v>10.33</v>
      </c>
      <c r="W44" s="36">
        <v>146</v>
      </c>
      <c r="X44" s="66">
        <v>142.5</v>
      </c>
      <c r="Y44" s="15">
        <f t="shared" si="60"/>
        <v>3.5</v>
      </c>
      <c r="Z44" s="63">
        <f t="shared" si="61"/>
        <v>2.456140350877193E-2</v>
      </c>
      <c r="AA44" s="340">
        <v>-53.64</v>
      </c>
      <c r="AB44" s="389">
        <v>19.93</v>
      </c>
      <c r="AC44" s="16" t="s">
        <v>251</v>
      </c>
      <c r="AD44" s="84">
        <v>44692</v>
      </c>
      <c r="AE44" s="311">
        <v>44692</v>
      </c>
      <c r="AF44" s="33">
        <f t="shared" si="62"/>
        <v>0</v>
      </c>
      <c r="AG44" s="453" t="s">
        <v>2147</v>
      </c>
      <c r="AH44" s="66"/>
      <c r="AI44" s="283"/>
      <c r="AJ44" s="391"/>
      <c r="AR44" s="402" t="str">
        <f>INDEX(基本資料!N:N,MATCH($G44,基本資料!A:A,0))</f>
        <v>低</v>
      </c>
    </row>
    <row r="45" spans="1:44">
      <c r="A45" s="343">
        <v>4.9800000000000004</v>
      </c>
      <c r="B45" s="79">
        <v>-26</v>
      </c>
      <c r="C45" s="79">
        <v>-29</v>
      </c>
      <c r="D45" s="79">
        <v>1</v>
      </c>
      <c r="E45" s="79">
        <v>37</v>
      </c>
      <c r="F45" s="6">
        <v>15.7</v>
      </c>
      <c r="G45" s="80">
        <v>8155</v>
      </c>
      <c r="H45" s="8" t="s">
        <v>308</v>
      </c>
      <c r="I45" s="16" t="s">
        <v>84</v>
      </c>
      <c r="J45" s="8">
        <v>6</v>
      </c>
      <c r="L45" s="156">
        <v>1</v>
      </c>
      <c r="M45" s="337">
        <v>0</v>
      </c>
      <c r="N45" s="240">
        <v>1</v>
      </c>
      <c r="O45" s="359">
        <v>227</v>
      </c>
      <c r="P45" s="79">
        <v>215</v>
      </c>
      <c r="Q45" s="342">
        <v>1113</v>
      </c>
      <c r="R45" s="81">
        <v>1</v>
      </c>
      <c r="S45" s="324">
        <v>7</v>
      </c>
      <c r="T45" s="186">
        <v>6</v>
      </c>
      <c r="U45" s="307">
        <f>$T45/$W45</f>
        <v>3.7974683544303799E-2</v>
      </c>
      <c r="V45" s="94">
        <v>7.85</v>
      </c>
      <c r="W45" s="36">
        <v>158</v>
      </c>
      <c r="X45" s="66">
        <v>154</v>
      </c>
      <c r="Y45" s="15">
        <f>W45-X45</f>
        <v>4</v>
      </c>
      <c r="Z45" s="63">
        <f>Y45/X45</f>
        <v>2.5974025974025976E-2</v>
      </c>
      <c r="AA45" s="340">
        <v>-29.33</v>
      </c>
      <c r="AB45" s="389">
        <v>22.1</v>
      </c>
      <c r="AC45" s="16" t="s">
        <v>84</v>
      </c>
      <c r="AD45" s="84">
        <v>44691</v>
      </c>
      <c r="AE45" s="311">
        <v>44691</v>
      </c>
      <c r="AF45" s="33">
        <f>AE45-AD45</f>
        <v>0</v>
      </c>
      <c r="AG45" s="454" t="s">
        <v>1048</v>
      </c>
      <c r="AH45" s="63"/>
      <c r="AI45" s="283"/>
      <c r="AJ45" s="391"/>
      <c r="AR45" s="402" t="str">
        <f>INDEX(基本資料!N:N,MATCH($G45,基本資料!A:A,0))</f>
        <v>中</v>
      </c>
    </row>
    <row r="46" spans="1:44">
      <c r="A46" s="343">
        <v>122</v>
      </c>
      <c r="B46" s="79">
        <v>43</v>
      </c>
      <c r="C46" s="79">
        <v>42</v>
      </c>
      <c r="D46" s="79">
        <v>2</v>
      </c>
      <c r="E46" s="79">
        <v>22</v>
      </c>
      <c r="F46" s="6">
        <v>19.57</v>
      </c>
      <c r="G46" s="79">
        <v>2449</v>
      </c>
      <c r="H46" s="17" t="s">
        <v>307</v>
      </c>
      <c r="I46" s="22" t="s">
        <v>47</v>
      </c>
      <c r="J46" s="8">
        <v>4</v>
      </c>
      <c r="L46" s="156">
        <v>1</v>
      </c>
      <c r="M46" s="337">
        <v>0</v>
      </c>
      <c r="N46" s="240">
        <v>1</v>
      </c>
      <c r="O46" s="359">
        <v>999</v>
      </c>
      <c r="P46" s="79">
        <v>8</v>
      </c>
      <c r="Q46" s="342">
        <v>149</v>
      </c>
      <c r="R46" s="81">
        <v>56</v>
      </c>
      <c r="S46" s="324">
        <v>368</v>
      </c>
      <c r="T46" s="186">
        <v>3</v>
      </c>
      <c r="U46" s="307">
        <f>$T46/$W46</f>
        <v>7.0505287896592245E-2</v>
      </c>
      <c r="V46" s="94">
        <v>4.2300000000000004</v>
      </c>
      <c r="W46" s="36">
        <v>42.55</v>
      </c>
      <c r="X46" s="66">
        <v>41.6</v>
      </c>
      <c r="Y46" s="15">
        <f>W46-X46</f>
        <v>0.94999999999999574</v>
      </c>
      <c r="Z46" s="63">
        <f>Y46/X46</f>
        <v>2.283653846153836E-2</v>
      </c>
      <c r="AA46" s="340">
        <v>-16.54</v>
      </c>
      <c r="AB46" s="341">
        <v>48.96</v>
      </c>
      <c r="AC46" s="22" t="s">
        <v>47</v>
      </c>
      <c r="AD46" s="84">
        <v>44691</v>
      </c>
      <c r="AE46" s="311">
        <v>44691</v>
      </c>
      <c r="AF46" s="33">
        <f>AE46-AD46</f>
        <v>0</v>
      </c>
      <c r="AG46" s="454" t="s">
        <v>2297</v>
      </c>
      <c r="AH46" s="63"/>
      <c r="AI46" s="283"/>
      <c r="AJ46" s="391"/>
      <c r="AR46" s="402" t="str">
        <f>INDEX(基本資料!N:N,MATCH($G46,基本資料!A:A,0))</f>
        <v>中</v>
      </c>
    </row>
    <row r="47" spans="1:44">
      <c r="A47" s="94">
        <v>7.48</v>
      </c>
      <c r="B47" s="79">
        <v>238</v>
      </c>
      <c r="C47" s="79">
        <v>197</v>
      </c>
      <c r="D47" s="79">
        <v>0</v>
      </c>
      <c r="E47" s="79">
        <v>34</v>
      </c>
      <c r="F47" s="6">
        <v>32.159999999999997</v>
      </c>
      <c r="G47" s="80">
        <v>3141</v>
      </c>
      <c r="H47" s="183" t="s">
        <v>307</v>
      </c>
      <c r="I47" s="16" t="s">
        <v>181</v>
      </c>
      <c r="J47" s="8">
        <v>5</v>
      </c>
      <c r="L47" s="156">
        <v>1</v>
      </c>
      <c r="M47" s="337">
        <v>0</v>
      </c>
      <c r="N47" s="240">
        <v>1</v>
      </c>
      <c r="O47" s="359">
        <v>19</v>
      </c>
      <c r="P47" s="79">
        <v>168</v>
      </c>
      <c r="Q47" s="342">
        <v>686</v>
      </c>
      <c r="R47" s="81">
        <v>198</v>
      </c>
      <c r="S47" s="324">
        <v>3</v>
      </c>
      <c r="T47" s="34">
        <v>4</v>
      </c>
      <c r="U47" s="307">
        <f>T47/W47</f>
        <v>2.6936026936026935E-2</v>
      </c>
      <c r="V47" s="94">
        <v>11.99</v>
      </c>
      <c r="W47" s="36">
        <v>148.5</v>
      </c>
      <c r="X47" s="66">
        <v>144.5</v>
      </c>
      <c r="Y47" s="15">
        <f>W47-X47</f>
        <v>4</v>
      </c>
      <c r="Z47" s="63">
        <f>Y47/X47</f>
        <v>2.768166089965398E-2</v>
      </c>
      <c r="AA47" s="340">
        <v>-48.21</v>
      </c>
      <c r="AB47" s="378">
        <v>25.39</v>
      </c>
      <c r="AC47" s="16" t="s">
        <v>181</v>
      </c>
      <c r="AD47" s="84">
        <v>44687</v>
      </c>
      <c r="AE47" s="83">
        <v>44691</v>
      </c>
      <c r="AF47" s="33">
        <f>AE47-AD47</f>
        <v>4</v>
      </c>
      <c r="AG47" s="456" t="s">
        <v>2145</v>
      </c>
      <c r="AH47" s="63"/>
      <c r="AI47" s="283"/>
      <c r="AR47" s="402" t="str">
        <f>INDEX(基本資料!N:N,MATCH($G47,基本資料!A:A,0))</f>
        <v>低</v>
      </c>
    </row>
    <row r="48" spans="1:44">
      <c r="A48" s="94">
        <v>84.4</v>
      </c>
      <c r="B48" s="79">
        <v>112</v>
      </c>
      <c r="C48" s="79">
        <v>117</v>
      </c>
      <c r="D48" s="79">
        <v>19</v>
      </c>
      <c r="E48" s="79">
        <v>0</v>
      </c>
      <c r="F48" s="6">
        <v>9.9</v>
      </c>
      <c r="G48" s="80">
        <v>2377</v>
      </c>
      <c r="H48" s="193" t="s">
        <v>1145</v>
      </c>
      <c r="I48" s="22" t="s">
        <v>3380</v>
      </c>
      <c r="J48" s="102" t="s">
        <v>6406</v>
      </c>
      <c r="L48" s="156">
        <v>2</v>
      </c>
      <c r="M48" s="337">
        <v>0</v>
      </c>
      <c r="N48" s="240">
        <v>2</v>
      </c>
      <c r="O48" s="359">
        <v>1082</v>
      </c>
      <c r="P48" s="79">
        <v>20</v>
      </c>
      <c r="Q48" s="342">
        <v>142</v>
      </c>
      <c r="R48" s="81">
        <v>41</v>
      </c>
      <c r="S48" s="324">
        <v>563</v>
      </c>
      <c r="T48" s="34">
        <v>10.5</v>
      </c>
      <c r="U48" s="307">
        <f>T48/W48</f>
        <v>8.3333333333333329E-2</v>
      </c>
      <c r="V48" s="94">
        <v>20.03</v>
      </c>
      <c r="W48" s="36">
        <v>126</v>
      </c>
      <c r="X48" s="66">
        <v>123.5</v>
      </c>
      <c r="Y48" s="15">
        <f>W48-X48</f>
        <v>2.5</v>
      </c>
      <c r="Z48" s="63">
        <f>Y48/X48</f>
        <v>2.0242914979757085E-2</v>
      </c>
      <c r="AA48" s="340">
        <v>-32.26</v>
      </c>
      <c r="AB48" s="378">
        <v>12.39</v>
      </c>
      <c r="AC48" s="22" t="s">
        <v>3380</v>
      </c>
      <c r="AD48" s="84">
        <v>44687</v>
      </c>
      <c r="AE48" s="83">
        <v>44690</v>
      </c>
      <c r="AF48" s="33">
        <f>AE48-AD48</f>
        <v>3</v>
      </c>
      <c r="AG48" s="453" t="s">
        <v>2717</v>
      </c>
      <c r="AH48" s="63"/>
      <c r="AI48" s="283"/>
      <c r="AR48" s="402" t="str">
        <f>INDEX(基本資料!N:N,MATCH($G48,基本資料!A:A,0))</f>
        <v>低</v>
      </c>
    </row>
    <row r="49" spans="1:44">
      <c r="A49" s="94">
        <v>41.9</v>
      </c>
      <c r="B49" s="79">
        <v>451</v>
      </c>
      <c r="C49" s="79">
        <v>932</v>
      </c>
      <c r="D49" s="79">
        <v>8</v>
      </c>
      <c r="E49" s="80">
        <v>-2</v>
      </c>
      <c r="F49" s="6">
        <v>8.0299999999999994</v>
      </c>
      <c r="G49" s="79">
        <v>4919</v>
      </c>
      <c r="H49" s="8" t="s">
        <v>307</v>
      </c>
      <c r="I49" s="22" t="s">
        <v>118</v>
      </c>
      <c r="J49" s="8" t="s">
        <v>6413</v>
      </c>
      <c r="L49" s="156">
        <v>2</v>
      </c>
      <c r="M49" s="337">
        <v>0</v>
      </c>
      <c r="N49" s="240">
        <v>2</v>
      </c>
      <c r="O49" s="359">
        <v>306</v>
      </c>
      <c r="P49" s="79">
        <v>235</v>
      </c>
      <c r="Q49" s="342">
        <v>573</v>
      </c>
      <c r="R49" s="81">
        <v>18</v>
      </c>
      <c r="S49" s="324">
        <v>19</v>
      </c>
      <c r="T49" s="34">
        <v>5</v>
      </c>
      <c r="U49" s="307">
        <f t="shared" ref="U49:U58" si="63">T49/W49</f>
        <v>2.976190476190476E-2</v>
      </c>
      <c r="V49" s="94">
        <v>9.48</v>
      </c>
      <c r="W49" s="36">
        <v>168</v>
      </c>
      <c r="X49" s="66">
        <v>164.5</v>
      </c>
      <c r="Y49" s="15">
        <f t="shared" ref="Y49:Y58" si="64">W49-X49</f>
        <v>3.5</v>
      </c>
      <c r="Z49" s="63">
        <f t="shared" ref="Z49:Z58" si="65">Y49/X49</f>
        <v>2.1276595744680851E-2</v>
      </c>
      <c r="AA49" s="340">
        <v>-18.05</v>
      </c>
      <c r="AB49" s="378">
        <v>41.32</v>
      </c>
      <c r="AC49" s="22" t="s">
        <v>118</v>
      </c>
      <c r="AD49" s="84">
        <v>44687</v>
      </c>
      <c r="AE49" s="311">
        <v>44687</v>
      </c>
      <c r="AF49" s="33">
        <f t="shared" ref="AF49:AF58" si="66">AE49-AD49</f>
        <v>0</v>
      </c>
      <c r="AG49" s="454" t="s">
        <v>3020</v>
      </c>
      <c r="AH49" s="63"/>
      <c r="AI49" s="283"/>
      <c r="AR49" s="402" t="str">
        <f>INDEX(基本資料!N:N,MATCH($G49,基本資料!A:A,0))</f>
        <v>中</v>
      </c>
    </row>
    <row r="50" spans="1:44">
      <c r="A50" s="94">
        <v>4.9800000000000004</v>
      </c>
      <c r="B50" s="80">
        <v>-26</v>
      </c>
      <c r="C50" s="80">
        <v>-29</v>
      </c>
      <c r="D50" s="79">
        <v>0</v>
      </c>
      <c r="E50" s="79">
        <v>36</v>
      </c>
      <c r="F50" s="6">
        <v>15.7</v>
      </c>
      <c r="G50" s="80">
        <v>8155</v>
      </c>
      <c r="H50" s="5" t="s">
        <v>3388</v>
      </c>
      <c r="I50" s="16" t="s">
        <v>84</v>
      </c>
      <c r="J50" s="8" t="s">
        <v>6417</v>
      </c>
      <c r="L50" s="156">
        <v>2</v>
      </c>
      <c r="M50" s="337">
        <v>0</v>
      </c>
      <c r="N50" s="240">
        <v>2</v>
      </c>
      <c r="O50" s="359">
        <v>224</v>
      </c>
      <c r="P50" s="79">
        <v>214</v>
      </c>
      <c r="Q50" s="342">
        <v>1075</v>
      </c>
      <c r="R50" s="81">
        <v>2</v>
      </c>
      <c r="S50" s="324">
        <v>7</v>
      </c>
      <c r="T50" s="34">
        <v>6</v>
      </c>
      <c r="U50" s="307">
        <f t="shared" si="63"/>
        <v>3.8216560509554139E-2</v>
      </c>
      <c r="V50" s="94">
        <v>7.85</v>
      </c>
      <c r="W50" s="36">
        <v>157</v>
      </c>
      <c r="X50" s="66">
        <v>154</v>
      </c>
      <c r="Y50" s="15">
        <f t="shared" si="64"/>
        <v>3</v>
      </c>
      <c r="Z50" s="63">
        <f t="shared" si="65"/>
        <v>1.948051948051948E-2</v>
      </c>
      <c r="AA50" s="340">
        <v>-27.12</v>
      </c>
      <c r="AB50" s="378">
        <v>25.13</v>
      </c>
      <c r="AC50" s="16" t="s">
        <v>84</v>
      </c>
      <c r="AD50" s="84">
        <v>44687</v>
      </c>
      <c r="AE50" s="311">
        <v>44687</v>
      </c>
      <c r="AF50" s="33">
        <f t="shared" si="66"/>
        <v>0</v>
      </c>
      <c r="AG50" s="454" t="s">
        <v>1048</v>
      </c>
      <c r="AH50" s="63"/>
      <c r="AI50" s="283"/>
      <c r="AR50" s="402" t="str">
        <f>INDEX(基本資料!N:N,MATCH($G50,基本資料!A:A,0))</f>
        <v>中</v>
      </c>
    </row>
    <row r="51" spans="1:44">
      <c r="A51" s="254">
        <v>122</v>
      </c>
      <c r="B51" s="79">
        <v>43</v>
      </c>
      <c r="C51" s="79">
        <v>42</v>
      </c>
      <c r="D51" s="79">
        <v>26</v>
      </c>
      <c r="E51" s="79">
        <v>23</v>
      </c>
      <c r="F51" s="6">
        <v>19.57</v>
      </c>
      <c r="G51" s="80">
        <v>2449</v>
      </c>
      <c r="H51" s="18" t="s">
        <v>3038</v>
      </c>
      <c r="I51" s="22" t="s">
        <v>47</v>
      </c>
      <c r="J51" s="102" t="s">
        <v>6238</v>
      </c>
      <c r="L51" s="156">
        <v>3</v>
      </c>
      <c r="M51" s="337">
        <v>0</v>
      </c>
      <c r="N51" s="240">
        <v>3</v>
      </c>
      <c r="O51" s="359">
        <v>993</v>
      </c>
      <c r="P51" s="79">
        <v>8</v>
      </c>
      <c r="Q51" s="342">
        <v>157</v>
      </c>
      <c r="R51" s="81">
        <v>54</v>
      </c>
      <c r="S51" s="324">
        <v>368</v>
      </c>
      <c r="T51" s="34">
        <v>3</v>
      </c>
      <c r="U51" s="307">
        <f t="shared" si="63"/>
        <v>7.1770334928229665E-2</v>
      </c>
      <c r="V51" s="94">
        <v>4.2300000000000004</v>
      </c>
      <c r="W51" s="36">
        <v>41.8</v>
      </c>
      <c r="X51" s="66">
        <v>40.799999999999997</v>
      </c>
      <c r="Y51" s="15">
        <f t="shared" si="64"/>
        <v>1</v>
      </c>
      <c r="Z51" s="63">
        <f t="shared" si="65"/>
        <v>2.4509803921568631E-2</v>
      </c>
      <c r="AA51" s="340">
        <v>-20.14</v>
      </c>
      <c r="AB51" s="378">
        <v>19.16</v>
      </c>
      <c r="AC51" s="22" t="s">
        <v>47</v>
      </c>
      <c r="AD51" s="84">
        <v>44673</v>
      </c>
      <c r="AE51" s="83">
        <v>44687</v>
      </c>
      <c r="AF51" s="33">
        <f t="shared" si="66"/>
        <v>14</v>
      </c>
      <c r="AG51" s="454" t="s">
        <v>2297</v>
      </c>
      <c r="AH51" s="63"/>
      <c r="AI51" s="283"/>
      <c r="AR51" s="402" t="str">
        <f>INDEX(基本資料!N:N,MATCH($G51,基本資料!A:A,0))</f>
        <v>中</v>
      </c>
    </row>
    <row r="52" spans="1:44">
      <c r="A52" s="94">
        <v>9.18</v>
      </c>
      <c r="B52" s="79">
        <v>81</v>
      </c>
      <c r="C52" s="79">
        <v>87</v>
      </c>
      <c r="D52" s="79">
        <v>5</v>
      </c>
      <c r="E52" s="80">
        <v>-12</v>
      </c>
      <c r="F52" s="6">
        <v>27.55</v>
      </c>
      <c r="G52" s="80">
        <v>6411</v>
      </c>
      <c r="H52" s="183" t="s">
        <v>307</v>
      </c>
      <c r="I52" s="16" t="s">
        <v>251</v>
      </c>
      <c r="J52" s="8" t="s">
        <v>6418</v>
      </c>
      <c r="L52" s="156">
        <v>2</v>
      </c>
      <c r="M52" s="337">
        <v>0</v>
      </c>
      <c r="N52" s="240">
        <v>2</v>
      </c>
      <c r="O52" s="359">
        <v>88</v>
      </c>
      <c r="P52" s="79">
        <v>519</v>
      </c>
      <c r="Q52" s="342">
        <v>346</v>
      </c>
      <c r="R52" s="81">
        <v>297</v>
      </c>
      <c r="S52" s="324">
        <v>5</v>
      </c>
      <c r="T52" s="34">
        <v>7.22</v>
      </c>
      <c r="U52" s="307">
        <f t="shared" si="63"/>
        <v>4.8456375838926175E-2</v>
      </c>
      <c r="V52" s="94">
        <v>10.33</v>
      </c>
      <c r="W52" s="36">
        <v>149</v>
      </c>
      <c r="X52" s="66">
        <v>145.5</v>
      </c>
      <c r="Y52" s="15">
        <f t="shared" si="64"/>
        <v>3.5</v>
      </c>
      <c r="Z52" s="63">
        <f t="shared" si="65"/>
        <v>2.4054982817869417E-2</v>
      </c>
      <c r="AA52" s="340">
        <v>-50.33</v>
      </c>
      <c r="AB52" s="378">
        <v>19.149999999999999</v>
      </c>
      <c r="AC52" s="16" t="s">
        <v>251</v>
      </c>
      <c r="AD52" s="84">
        <v>44687</v>
      </c>
      <c r="AE52" s="311">
        <v>44687</v>
      </c>
      <c r="AF52" s="33">
        <f t="shared" si="66"/>
        <v>0</v>
      </c>
      <c r="AG52" s="453" t="s">
        <v>2147</v>
      </c>
      <c r="AH52" s="63"/>
      <c r="AI52" s="283"/>
      <c r="AR52" s="402" t="str">
        <f>INDEX(基本資料!N:N,MATCH($G52,基本資料!A:A,0))</f>
        <v>低</v>
      </c>
    </row>
    <row r="53" spans="1:44">
      <c r="A53" s="94">
        <v>38.200000000000003</v>
      </c>
      <c r="B53" s="79">
        <v>119</v>
      </c>
      <c r="C53" s="79">
        <v>130</v>
      </c>
      <c r="D53" s="79">
        <v>17</v>
      </c>
      <c r="E53" s="79">
        <v>11</v>
      </c>
      <c r="F53" s="6">
        <v>16.52</v>
      </c>
      <c r="G53" s="80">
        <v>2481</v>
      </c>
      <c r="H53" s="5" t="s">
        <v>307</v>
      </c>
      <c r="I53" s="22" t="s">
        <v>183</v>
      </c>
      <c r="J53" s="8" t="s">
        <v>6414</v>
      </c>
      <c r="L53" s="156">
        <v>2</v>
      </c>
      <c r="M53" s="337">
        <v>0</v>
      </c>
      <c r="N53" s="240">
        <v>2</v>
      </c>
      <c r="O53" s="359">
        <v>163</v>
      </c>
      <c r="P53" s="79">
        <v>424</v>
      </c>
      <c r="Q53" s="342">
        <v>400</v>
      </c>
      <c r="R53" s="81">
        <v>158</v>
      </c>
      <c r="S53" s="324">
        <v>21</v>
      </c>
      <c r="T53" s="34">
        <v>3</v>
      </c>
      <c r="U53" s="307">
        <f t="shared" si="63"/>
        <v>3.7037037037037035E-2</v>
      </c>
      <c r="V53" s="94">
        <v>5.77</v>
      </c>
      <c r="W53" s="36">
        <v>81</v>
      </c>
      <c r="X53" s="66">
        <v>79.2</v>
      </c>
      <c r="Y53" s="15">
        <f t="shared" si="64"/>
        <v>1.7999999999999972</v>
      </c>
      <c r="Z53" s="63">
        <f t="shared" si="65"/>
        <v>2.272727272727269E-2</v>
      </c>
      <c r="AA53" s="340">
        <v>-34.880000000000003</v>
      </c>
      <c r="AB53" s="378">
        <v>21.92</v>
      </c>
      <c r="AC53" s="22" t="s">
        <v>183</v>
      </c>
      <c r="AD53" s="84">
        <v>44687</v>
      </c>
      <c r="AE53" s="311">
        <v>44687</v>
      </c>
      <c r="AF53" s="33">
        <f t="shared" si="66"/>
        <v>0</v>
      </c>
      <c r="AG53" s="456" t="s">
        <v>2184</v>
      </c>
      <c r="AH53" s="63"/>
      <c r="AI53" s="283"/>
      <c r="AR53" s="402" t="str">
        <f>INDEX(基本資料!N:N,MATCH($G53,基本資料!A:A,0))</f>
        <v>低</v>
      </c>
    </row>
    <row r="54" spans="1:44">
      <c r="A54" s="94">
        <v>4.4000000000000004</v>
      </c>
      <c r="B54" s="79">
        <v>194</v>
      </c>
      <c r="C54" s="79">
        <v>170</v>
      </c>
      <c r="D54" s="79">
        <v>6</v>
      </c>
      <c r="E54" s="79">
        <v>47</v>
      </c>
      <c r="F54" s="6">
        <v>32.71</v>
      </c>
      <c r="G54" s="80">
        <v>6485</v>
      </c>
      <c r="H54" s="18" t="s">
        <v>307</v>
      </c>
      <c r="I54" s="16" t="s">
        <v>232</v>
      </c>
      <c r="J54" s="102" t="s">
        <v>6419</v>
      </c>
      <c r="L54" s="156">
        <v>1</v>
      </c>
      <c r="M54" s="337">
        <v>0</v>
      </c>
      <c r="N54" s="240">
        <v>1</v>
      </c>
      <c r="O54" s="359">
        <v>16</v>
      </c>
      <c r="P54" s="79">
        <v>124</v>
      </c>
      <c r="Q54" s="342">
        <v>805</v>
      </c>
      <c r="R54" s="81">
        <v>418</v>
      </c>
      <c r="S54" s="324">
        <v>8</v>
      </c>
      <c r="T54" s="34">
        <v>5</v>
      </c>
      <c r="U54" s="307">
        <f t="shared" si="63"/>
        <v>4.1841004184100417E-2</v>
      </c>
      <c r="V54" s="94">
        <v>14.29</v>
      </c>
      <c r="W54" s="36">
        <v>119.5</v>
      </c>
      <c r="X54" s="66">
        <v>117</v>
      </c>
      <c r="Y54" s="15">
        <f t="shared" si="64"/>
        <v>2.5</v>
      </c>
      <c r="Z54" s="63">
        <f t="shared" si="65"/>
        <v>2.1367521367521368E-2</v>
      </c>
      <c r="AA54" s="340">
        <v>-36.39</v>
      </c>
      <c r="AB54" s="378">
        <v>27.49</v>
      </c>
      <c r="AC54" s="16" t="s">
        <v>232</v>
      </c>
      <c r="AD54" s="84">
        <v>44687</v>
      </c>
      <c r="AE54" s="311">
        <v>44687</v>
      </c>
      <c r="AF54" s="33">
        <f t="shared" si="66"/>
        <v>0</v>
      </c>
      <c r="AG54" s="453" t="s">
        <v>2364</v>
      </c>
      <c r="AH54" s="63"/>
      <c r="AI54" s="283"/>
      <c r="AR54" s="402" t="str">
        <f>INDEX(基本資料!N:N,MATCH($G54,基本資料!A:A,0))</f>
        <v>低</v>
      </c>
    </row>
    <row r="55" spans="1:44">
      <c r="A55" s="94">
        <v>41.9</v>
      </c>
      <c r="B55" s="79">
        <v>451</v>
      </c>
      <c r="C55" s="79">
        <v>932</v>
      </c>
      <c r="D55" s="79">
        <v>8</v>
      </c>
      <c r="E55" s="80">
        <v>-2</v>
      </c>
      <c r="F55" s="6">
        <v>8.0299999999999994</v>
      </c>
      <c r="G55" s="79">
        <v>4919</v>
      </c>
      <c r="H55" s="8" t="s">
        <v>3038</v>
      </c>
      <c r="I55" s="22" t="s">
        <v>118</v>
      </c>
      <c r="J55" s="8" t="s">
        <v>3544</v>
      </c>
      <c r="L55" s="156">
        <v>1</v>
      </c>
      <c r="M55" s="337">
        <v>0</v>
      </c>
      <c r="N55" s="240">
        <v>1</v>
      </c>
      <c r="O55" s="359">
        <v>306</v>
      </c>
      <c r="P55" s="79">
        <v>235</v>
      </c>
      <c r="Q55" s="342">
        <v>573</v>
      </c>
      <c r="R55" s="81">
        <v>18</v>
      </c>
      <c r="S55" s="324">
        <v>19</v>
      </c>
      <c r="T55" s="34">
        <v>5</v>
      </c>
      <c r="U55" s="307">
        <f t="shared" si="63"/>
        <v>2.976190476190476E-2</v>
      </c>
      <c r="V55" s="94">
        <v>7.34</v>
      </c>
      <c r="W55" s="36">
        <v>168</v>
      </c>
      <c r="X55" s="66">
        <v>161.5</v>
      </c>
      <c r="Y55" s="15">
        <f t="shared" si="64"/>
        <v>6.5</v>
      </c>
      <c r="Z55" s="63">
        <f t="shared" si="65"/>
        <v>4.0247678018575851E-2</v>
      </c>
      <c r="AA55" s="340">
        <v>-18.78</v>
      </c>
      <c r="AB55" s="460">
        <v>53.03</v>
      </c>
      <c r="AC55" s="22" t="s">
        <v>118</v>
      </c>
      <c r="AD55" s="84">
        <v>44673</v>
      </c>
      <c r="AE55" s="83">
        <v>44686</v>
      </c>
      <c r="AF55" s="33">
        <f t="shared" si="66"/>
        <v>13</v>
      </c>
      <c r="AG55" s="454" t="s">
        <v>3020</v>
      </c>
      <c r="AH55" s="63"/>
      <c r="AI55" s="283"/>
      <c r="AR55" s="402" t="str">
        <f>INDEX(基本資料!N:N,MATCH($G55,基本資料!A:A,0))</f>
        <v>中</v>
      </c>
    </row>
    <row r="56" spans="1:44">
      <c r="A56" s="94">
        <v>7.48</v>
      </c>
      <c r="B56" s="79">
        <v>238</v>
      </c>
      <c r="C56" s="79">
        <v>197</v>
      </c>
      <c r="D56" s="79">
        <v>11</v>
      </c>
      <c r="E56" s="79">
        <v>35</v>
      </c>
      <c r="F56" s="6">
        <v>32.159999999999997</v>
      </c>
      <c r="G56" s="80">
        <v>3141</v>
      </c>
      <c r="H56" s="145" t="s">
        <v>307</v>
      </c>
      <c r="I56" s="16" t="s">
        <v>181</v>
      </c>
      <c r="J56" s="8" t="s">
        <v>6374</v>
      </c>
      <c r="L56" s="156">
        <v>2</v>
      </c>
      <c r="M56" s="337">
        <v>0</v>
      </c>
      <c r="N56" s="240">
        <v>2</v>
      </c>
      <c r="O56" s="359">
        <v>19</v>
      </c>
      <c r="P56" s="79">
        <v>168</v>
      </c>
      <c r="Q56" s="342">
        <v>686</v>
      </c>
      <c r="R56" s="81">
        <v>198</v>
      </c>
      <c r="S56" s="324">
        <v>3</v>
      </c>
      <c r="T56" s="34">
        <v>4</v>
      </c>
      <c r="U56" s="307">
        <f t="shared" si="63"/>
        <v>2.7027027027027029E-2</v>
      </c>
      <c r="V56" s="94">
        <v>11.99</v>
      </c>
      <c r="W56" s="36">
        <v>148</v>
      </c>
      <c r="X56" s="66">
        <v>141</v>
      </c>
      <c r="Y56" s="15">
        <f t="shared" si="64"/>
        <v>7</v>
      </c>
      <c r="Z56" s="63">
        <f t="shared" si="65"/>
        <v>4.9645390070921988E-2</v>
      </c>
      <c r="AA56" s="340">
        <v>-51.11</v>
      </c>
      <c r="AB56" s="378">
        <v>21.66</v>
      </c>
      <c r="AC56" s="16" t="s">
        <v>181</v>
      </c>
      <c r="AD56" s="84">
        <v>44685</v>
      </c>
      <c r="AE56" s="83">
        <v>44686</v>
      </c>
      <c r="AF56" s="33">
        <f t="shared" si="66"/>
        <v>1</v>
      </c>
      <c r="AG56" s="456" t="s">
        <v>2145</v>
      </c>
      <c r="AH56" s="63"/>
      <c r="AI56" s="283"/>
      <c r="AR56" s="402" t="str">
        <f>INDEX(基本資料!N:N,MATCH($G56,基本資料!A:A,0))</f>
        <v>低</v>
      </c>
    </row>
    <row r="57" spans="1:44">
      <c r="A57" s="94">
        <v>84.4</v>
      </c>
      <c r="B57" s="79">
        <v>112</v>
      </c>
      <c r="C57" s="79">
        <v>117</v>
      </c>
      <c r="D57" s="79">
        <v>19</v>
      </c>
      <c r="E57" s="79">
        <v>0</v>
      </c>
      <c r="F57" s="6">
        <v>9.9</v>
      </c>
      <c r="G57" s="80">
        <v>2377</v>
      </c>
      <c r="H57" s="192" t="s">
        <v>1145</v>
      </c>
      <c r="I57" s="22" t="s">
        <v>3380</v>
      </c>
      <c r="J57" s="102" t="s">
        <v>3544</v>
      </c>
      <c r="L57" s="156">
        <v>1</v>
      </c>
      <c r="M57" s="337">
        <v>0</v>
      </c>
      <c r="N57" s="240">
        <v>1</v>
      </c>
      <c r="O57" s="359">
        <v>1082</v>
      </c>
      <c r="P57" s="79">
        <v>20</v>
      </c>
      <c r="Q57" s="342">
        <v>142</v>
      </c>
      <c r="R57" s="81">
        <v>41</v>
      </c>
      <c r="S57" s="324">
        <v>563</v>
      </c>
      <c r="T57" s="34">
        <v>10.5</v>
      </c>
      <c r="U57" s="307">
        <f t="shared" si="63"/>
        <v>8.2677165354330714E-2</v>
      </c>
      <c r="V57" s="94">
        <v>20.03</v>
      </c>
      <c r="W57" s="36">
        <v>127</v>
      </c>
      <c r="X57" s="66">
        <v>124</v>
      </c>
      <c r="Y57" s="15">
        <f t="shared" si="64"/>
        <v>3</v>
      </c>
      <c r="Z57" s="63">
        <f t="shared" si="65"/>
        <v>2.4193548387096774E-2</v>
      </c>
      <c r="AA57" s="340">
        <v>-33.869999999999997</v>
      </c>
      <c r="AB57" s="378">
        <v>8.94</v>
      </c>
      <c r="AC57" s="22" t="s">
        <v>3380</v>
      </c>
      <c r="AD57" s="84">
        <v>44672</v>
      </c>
      <c r="AE57" s="83">
        <v>44686</v>
      </c>
      <c r="AF57" s="33">
        <f t="shared" si="66"/>
        <v>14</v>
      </c>
      <c r="AG57" s="453" t="s">
        <v>2717</v>
      </c>
      <c r="AH57" s="63"/>
      <c r="AI57" s="283"/>
      <c r="AR57" s="402" t="str">
        <f>INDEX(基本資料!N:N,MATCH($G57,基本資料!A:A,0))</f>
        <v>低</v>
      </c>
    </row>
    <row r="58" spans="1:44">
      <c r="A58" s="254">
        <v>309</v>
      </c>
      <c r="B58" s="79">
        <v>197</v>
      </c>
      <c r="C58" s="79">
        <v>222</v>
      </c>
      <c r="D58" s="79">
        <v>4</v>
      </c>
      <c r="E58" s="79">
        <v>5</v>
      </c>
      <c r="F58" s="6">
        <v>31.76</v>
      </c>
      <c r="G58" s="80">
        <v>2408</v>
      </c>
      <c r="H58" s="18" t="s">
        <v>3038</v>
      </c>
      <c r="I58" s="22" t="s">
        <v>209</v>
      </c>
      <c r="J58" s="102" t="s">
        <v>3544</v>
      </c>
      <c r="L58" s="156">
        <v>1</v>
      </c>
      <c r="M58" s="337">
        <v>0</v>
      </c>
      <c r="N58" s="240">
        <v>1</v>
      </c>
      <c r="O58" s="359">
        <v>1127</v>
      </c>
      <c r="P58" s="79">
        <v>274</v>
      </c>
      <c r="Q58" s="342">
        <v>315</v>
      </c>
      <c r="R58" s="81">
        <v>113</v>
      </c>
      <c r="S58" s="324">
        <v>410</v>
      </c>
      <c r="T58" s="34">
        <v>3.7</v>
      </c>
      <c r="U58" s="307">
        <f t="shared" si="63"/>
        <v>5.4977711738484404E-2</v>
      </c>
      <c r="V58" s="94">
        <v>7.41</v>
      </c>
      <c r="W58" s="36">
        <v>67.3</v>
      </c>
      <c r="X58" s="66">
        <v>65.400000000000006</v>
      </c>
      <c r="Y58" s="15">
        <f t="shared" si="64"/>
        <v>1.8999999999999915</v>
      </c>
      <c r="Z58" s="63">
        <f t="shared" si="65"/>
        <v>2.9051987767583966E-2</v>
      </c>
      <c r="AA58" s="340">
        <v>-22.46</v>
      </c>
      <c r="AB58" s="378">
        <v>15.35</v>
      </c>
      <c r="AC58" s="22" t="s">
        <v>209</v>
      </c>
      <c r="AD58" s="84">
        <v>44684</v>
      </c>
      <c r="AE58" s="83">
        <v>44686</v>
      </c>
      <c r="AF58" s="33">
        <f t="shared" si="66"/>
        <v>2</v>
      </c>
      <c r="AG58" s="454" t="s">
        <v>2557</v>
      </c>
      <c r="AH58" s="63"/>
      <c r="AI58" s="283"/>
      <c r="AR58" s="402" t="str">
        <f>INDEX(基本資料!N:N,MATCH($G58,基本資料!A:A,0))</f>
        <v>低</v>
      </c>
    </row>
    <row r="59" spans="1:44">
      <c r="A59" s="94">
        <v>24.8</v>
      </c>
      <c r="B59" s="79">
        <v>298</v>
      </c>
      <c r="C59" s="79">
        <v>430</v>
      </c>
      <c r="D59" s="79">
        <v>5</v>
      </c>
      <c r="E59" s="79">
        <v>91</v>
      </c>
      <c r="F59" s="6">
        <v>22.94</v>
      </c>
      <c r="G59" s="80">
        <v>3035</v>
      </c>
      <c r="H59" s="8" t="s">
        <v>307</v>
      </c>
      <c r="I59" s="22" t="s">
        <v>1825</v>
      </c>
      <c r="J59" s="8" t="s">
        <v>3544</v>
      </c>
      <c r="L59" s="156">
        <v>1</v>
      </c>
      <c r="M59" s="337">
        <v>0</v>
      </c>
      <c r="N59" s="240">
        <v>1</v>
      </c>
      <c r="O59" s="359">
        <v>333</v>
      </c>
      <c r="P59" s="79">
        <v>75</v>
      </c>
      <c r="Q59" s="342">
        <v>190</v>
      </c>
      <c r="R59" s="81">
        <v>1</v>
      </c>
      <c r="S59" s="324">
        <v>3</v>
      </c>
      <c r="T59" s="34">
        <v>3.3</v>
      </c>
      <c r="U59" s="307">
        <f t="shared" ref="U59" si="67">T59/W59</f>
        <v>1.206581352833638E-2</v>
      </c>
      <c r="V59" s="94">
        <v>6.66</v>
      </c>
      <c r="W59" s="36">
        <v>273.5</v>
      </c>
      <c r="X59" s="66">
        <v>267.5</v>
      </c>
      <c r="Y59" s="15">
        <f t="shared" ref="Y59" si="68">W59-X59</f>
        <v>6</v>
      </c>
      <c r="Z59" s="63">
        <f t="shared" ref="Z59" si="69">Y59/X59</f>
        <v>2.2429906542056073E-2</v>
      </c>
      <c r="AA59" s="340">
        <v>-20.21</v>
      </c>
      <c r="AB59" s="378">
        <v>42.89</v>
      </c>
      <c r="AC59" s="22" t="s">
        <v>1825</v>
      </c>
      <c r="AD59" s="84">
        <v>44685</v>
      </c>
      <c r="AE59" s="83">
        <v>44686</v>
      </c>
      <c r="AF59" s="33">
        <f t="shared" ref="AF59" si="70">AE59-AD59</f>
        <v>1</v>
      </c>
      <c r="AG59" s="454" t="s">
        <v>2314</v>
      </c>
      <c r="AH59" s="63"/>
      <c r="AI59" s="283"/>
      <c r="AR59" s="402" t="str">
        <f>INDEX(基本資料!N:N,MATCH($G59,基本資料!A:A,0))</f>
        <v>高</v>
      </c>
    </row>
    <row r="60" spans="1:44">
      <c r="A60" s="94">
        <v>38.200000000000003</v>
      </c>
      <c r="B60" s="79">
        <v>119</v>
      </c>
      <c r="C60" s="79">
        <v>130</v>
      </c>
      <c r="D60" s="79">
        <v>17</v>
      </c>
      <c r="E60" s="79">
        <v>11</v>
      </c>
      <c r="F60" s="6">
        <v>16.52</v>
      </c>
      <c r="G60" s="80">
        <v>2481</v>
      </c>
      <c r="H60" s="8" t="s">
        <v>3038</v>
      </c>
      <c r="I60" s="22" t="s">
        <v>183</v>
      </c>
      <c r="J60" s="102" t="s">
        <v>6410</v>
      </c>
      <c r="L60" s="156">
        <v>1</v>
      </c>
      <c r="M60" s="337">
        <v>0</v>
      </c>
      <c r="N60" s="240">
        <v>1</v>
      </c>
      <c r="O60" s="359">
        <v>163</v>
      </c>
      <c r="P60" s="79">
        <v>424</v>
      </c>
      <c r="Q60" s="342">
        <v>400</v>
      </c>
      <c r="R60" s="81">
        <v>158</v>
      </c>
      <c r="S60" s="324">
        <v>21</v>
      </c>
      <c r="T60" s="34">
        <v>3</v>
      </c>
      <c r="U60" s="307">
        <f>T60/W60</f>
        <v>3.6452004860267319E-2</v>
      </c>
      <c r="V60" s="94">
        <v>5.77</v>
      </c>
      <c r="W60" s="36">
        <v>82.3</v>
      </c>
      <c r="X60" s="66">
        <v>80.400000000000006</v>
      </c>
      <c r="Y60" s="15">
        <f>W60-X60</f>
        <v>1.8999999999999915</v>
      </c>
      <c r="Z60" s="63">
        <f>Y60/X60</f>
        <v>2.3631840796019793E-2</v>
      </c>
      <c r="AA60" s="340">
        <v>-37.119999999999997</v>
      </c>
      <c r="AB60" s="378">
        <v>19.38</v>
      </c>
      <c r="AC60" s="22" t="s">
        <v>183</v>
      </c>
      <c r="AD60" s="84">
        <v>44686</v>
      </c>
      <c r="AE60" s="311">
        <v>44686</v>
      </c>
      <c r="AF60" s="33">
        <f>AE60-AD60</f>
        <v>0</v>
      </c>
      <c r="AG60" s="456" t="s">
        <v>2184</v>
      </c>
      <c r="AH60" s="63"/>
      <c r="AI60" s="283"/>
      <c r="AR60" s="402" t="str">
        <f>INDEX(基本資料!N:N,MATCH($G60,基本資料!A:A,0))</f>
        <v>低</v>
      </c>
    </row>
    <row r="61" spans="1:44">
      <c r="A61" s="94">
        <v>63.5</v>
      </c>
      <c r="B61" s="79">
        <v>207</v>
      </c>
      <c r="C61" s="79">
        <v>243</v>
      </c>
      <c r="D61" s="79">
        <v>6</v>
      </c>
      <c r="E61" s="80">
        <v>-13</v>
      </c>
      <c r="F61" s="6">
        <v>11.88</v>
      </c>
      <c r="G61" s="80">
        <v>2376</v>
      </c>
      <c r="H61" s="192" t="s">
        <v>1145</v>
      </c>
      <c r="I61" s="22" t="s">
        <v>4077</v>
      </c>
      <c r="J61" s="102" t="s">
        <v>3543</v>
      </c>
      <c r="L61" s="156">
        <v>1</v>
      </c>
      <c r="M61" s="337">
        <v>0</v>
      </c>
      <c r="N61" s="240">
        <v>1</v>
      </c>
      <c r="O61" s="359">
        <v>707</v>
      </c>
      <c r="P61" s="79">
        <v>7</v>
      </c>
      <c r="Q61" s="342">
        <v>279</v>
      </c>
      <c r="R61" s="81">
        <v>38</v>
      </c>
      <c r="S61" s="324">
        <v>135</v>
      </c>
      <c r="T61" s="34">
        <v>12</v>
      </c>
      <c r="U61" s="307">
        <f>T61/W61</f>
        <v>0.10714285714285714</v>
      </c>
      <c r="V61" s="94">
        <v>21</v>
      </c>
      <c r="W61" s="36">
        <v>112</v>
      </c>
      <c r="X61" s="66">
        <v>109.5</v>
      </c>
      <c r="Y61" s="15">
        <f>W61-X61</f>
        <v>2.5</v>
      </c>
      <c r="Z61" s="63">
        <f>Y61/X61</f>
        <v>2.2831050228310501E-2</v>
      </c>
      <c r="AA61" s="340">
        <v>-34.24</v>
      </c>
      <c r="AB61" s="378">
        <v>8.76</v>
      </c>
      <c r="AC61" s="22" t="s">
        <v>4077</v>
      </c>
      <c r="AD61" s="84">
        <v>44684</v>
      </c>
      <c r="AE61" s="83">
        <v>44685</v>
      </c>
      <c r="AF61" s="33">
        <f>AE61-AD61</f>
        <v>1</v>
      </c>
      <c r="AG61" s="453" t="s">
        <v>2717</v>
      </c>
      <c r="AH61" s="63"/>
      <c r="AI61" s="283"/>
      <c r="AR61" s="402" t="str">
        <f>INDEX(基本資料!N:N,MATCH($G61,基本資料!A:A,0))</f>
        <v>低</v>
      </c>
    </row>
    <row r="62" spans="1:44">
      <c r="A62" s="94">
        <v>6.22</v>
      </c>
      <c r="B62" s="79">
        <v>141</v>
      </c>
      <c r="C62" s="79">
        <v>145</v>
      </c>
      <c r="D62" s="79">
        <v>28</v>
      </c>
      <c r="E62" s="79">
        <v>51</v>
      </c>
      <c r="F62" s="6">
        <v>34.74</v>
      </c>
      <c r="G62" s="80">
        <v>3169</v>
      </c>
      <c r="H62" s="183" t="s">
        <v>3038</v>
      </c>
      <c r="I62" s="16" t="s">
        <v>359</v>
      </c>
      <c r="J62" s="8" t="s">
        <v>4718</v>
      </c>
      <c r="L62" s="156">
        <v>1</v>
      </c>
      <c r="M62" s="337">
        <v>0</v>
      </c>
      <c r="N62" s="240">
        <v>1</v>
      </c>
      <c r="O62" s="359">
        <v>17</v>
      </c>
      <c r="P62" s="79">
        <v>223</v>
      </c>
      <c r="Q62" s="342">
        <v>926</v>
      </c>
      <c r="R62" s="81">
        <v>385</v>
      </c>
      <c r="S62" s="324">
        <v>10</v>
      </c>
      <c r="T62" s="34">
        <v>5</v>
      </c>
      <c r="U62" s="307">
        <f>T62/W62</f>
        <v>3.1847133757961783E-2</v>
      </c>
      <c r="V62" s="94">
        <v>6.39</v>
      </c>
      <c r="W62" s="36">
        <v>157</v>
      </c>
      <c r="X62" s="66">
        <v>153.5</v>
      </c>
      <c r="Y62" s="15">
        <f>W62-X62</f>
        <v>3.5</v>
      </c>
      <c r="Z62" s="63">
        <f>Y62/X62</f>
        <v>2.2801302931596091E-2</v>
      </c>
      <c r="AA62" s="340">
        <v>-50.58</v>
      </c>
      <c r="AB62" s="378">
        <v>16.829999999999998</v>
      </c>
      <c r="AC62" s="16" t="s">
        <v>359</v>
      </c>
      <c r="AD62" s="84">
        <v>44680</v>
      </c>
      <c r="AE62" s="83">
        <v>44685</v>
      </c>
      <c r="AF62" s="33">
        <f>AE62-AD62</f>
        <v>5</v>
      </c>
      <c r="AG62" s="453" t="s">
        <v>2892</v>
      </c>
      <c r="AH62" s="63"/>
      <c r="AI62" s="283"/>
      <c r="AR62" s="402" t="str">
        <f>INDEX(基本資料!N:N,MATCH($G62,基本資料!A:A,0))</f>
        <v>低</v>
      </c>
    </row>
    <row r="63" spans="1:44">
      <c r="A63" s="94">
        <v>27.1</v>
      </c>
      <c r="B63" s="79">
        <v>8</v>
      </c>
      <c r="C63" s="79">
        <v>25</v>
      </c>
      <c r="D63" s="79">
        <v>33</v>
      </c>
      <c r="E63" s="79">
        <v>6</v>
      </c>
      <c r="F63" s="6">
        <v>28.8</v>
      </c>
      <c r="G63" s="79">
        <v>3374</v>
      </c>
      <c r="H63" s="145" t="s">
        <v>3038</v>
      </c>
      <c r="I63" s="16" t="s">
        <v>167</v>
      </c>
      <c r="J63" s="8" t="s">
        <v>6235</v>
      </c>
      <c r="L63" s="156">
        <v>2</v>
      </c>
      <c r="M63" s="337">
        <v>0</v>
      </c>
      <c r="N63" s="240">
        <v>2</v>
      </c>
      <c r="O63" s="359">
        <v>299</v>
      </c>
      <c r="P63" s="79">
        <v>198</v>
      </c>
      <c r="Q63" s="342">
        <v>701</v>
      </c>
      <c r="R63" s="81">
        <v>73</v>
      </c>
      <c r="S63" s="324">
        <v>271</v>
      </c>
      <c r="T63" s="34">
        <v>3</v>
      </c>
      <c r="U63" s="307">
        <f t="shared" ref="U63" si="71">T63/W63</f>
        <v>2.1201413427561839E-2</v>
      </c>
      <c r="V63" s="94">
        <v>6.92</v>
      </c>
      <c r="W63" s="36">
        <v>141.5</v>
      </c>
      <c r="X63" s="66">
        <v>137.5</v>
      </c>
      <c r="Y63" s="15">
        <f t="shared" ref="Y63" si="72">W63-X63</f>
        <v>4</v>
      </c>
      <c r="Z63" s="63">
        <f t="shared" ref="Z63" si="73">Y63/X63</f>
        <v>2.9090909090909091E-2</v>
      </c>
      <c r="AA63" s="340">
        <v>-29.35</v>
      </c>
      <c r="AB63" s="460">
        <v>58.88</v>
      </c>
      <c r="AC63" s="16" t="s">
        <v>167</v>
      </c>
      <c r="AD63" s="84">
        <v>44679</v>
      </c>
      <c r="AE63" s="83">
        <v>44684</v>
      </c>
      <c r="AF63" s="33">
        <f t="shared" ref="AF63" si="74">AE63-AD63</f>
        <v>5</v>
      </c>
      <c r="AG63" s="454" t="s">
        <v>2321</v>
      </c>
      <c r="AH63" s="63"/>
      <c r="AI63" s="283"/>
      <c r="AR63" s="402" t="str">
        <f>INDEX(基本資料!N:N,MATCH($G63,基本資料!A:A,0))</f>
        <v>低</v>
      </c>
    </row>
    <row r="64" spans="1:44">
      <c r="A64" s="94">
        <v>29.2</v>
      </c>
      <c r="B64" s="79">
        <v>69</v>
      </c>
      <c r="C64" s="79">
        <v>88</v>
      </c>
      <c r="D64" s="79">
        <v>3</v>
      </c>
      <c r="E64" s="79">
        <v>36</v>
      </c>
      <c r="F64" s="6">
        <v>7.15</v>
      </c>
      <c r="G64" s="80">
        <v>6278</v>
      </c>
      <c r="H64" s="5" t="s">
        <v>1877</v>
      </c>
      <c r="I64" s="22" t="s">
        <v>4280</v>
      </c>
      <c r="J64" s="102" t="s">
        <v>3542</v>
      </c>
      <c r="L64" s="156">
        <v>1</v>
      </c>
      <c r="M64" s="337">
        <v>0</v>
      </c>
      <c r="N64" s="240">
        <v>1</v>
      </c>
      <c r="O64" s="359">
        <v>379</v>
      </c>
      <c r="P64" s="79">
        <v>273</v>
      </c>
      <c r="Q64" s="342">
        <v>359</v>
      </c>
      <c r="R64" s="81">
        <v>142</v>
      </c>
      <c r="S64" s="324">
        <v>166</v>
      </c>
      <c r="T64" s="34">
        <v>6</v>
      </c>
      <c r="U64" s="307">
        <f>T64/W64</f>
        <v>5.6603773584905662E-2</v>
      </c>
      <c r="V64" s="94">
        <v>12.7</v>
      </c>
      <c r="W64" s="36">
        <v>106</v>
      </c>
      <c r="X64" s="66">
        <v>103</v>
      </c>
      <c r="Y64" s="15">
        <f t="shared" ref="Y64" si="75">W64-X64</f>
        <v>3</v>
      </c>
      <c r="Z64" s="63">
        <f t="shared" ref="Z64" si="76">Y64/X64</f>
        <v>2.9126213592233011E-2</v>
      </c>
      <c r="AA64" s="340">
        <v>-25</v>
      </c>
      <c r="AB64" s="378">
        <v>14.1</v>
      </c>
      <c r="AC64" s="22" t="s">
        <v>4280</v>
      </c>
      <c r="AD64" s="84">
        <v>44676</v>
      </c>
      <c r="AE64" s="83">
        <v>44684</v>
      </c>
      <c r="AF64" s="33">
        <f t="shared" ref="AF64" si="77">AE64-AD64</f>
        <v>8</v>
      </c>
      <c r="AG64" s="453" t="s">
        <v>4281</v>
      </c>
      <c r="AH64" s="63"/>
      <c r="AI64" s="283"/>
      <c r="AR64" s="402" t="str">
        <f>INDEX(基本資料!N:N,MATCH($G64,基本資料!A:A,0))</f>
        <v>低</v>
      </c>
    </row>
    <row r="65" spans="1:44">
      <c r="A65" s="94">
        <v>7.41</v>
      </c>
      <c r="B65" s="79">
        <v>100</v>
      </c>
      <c r="C65" s="79">
        <v>109</v>
      </c>
      <c r="D65" s="79">
        <v>13</v>
      </c>
      <c r="E65" s="79">
        <v>32</v>
      </c>
      <c r="F65" s="6">
        <v>20.53</v>
      </c>
      <c r="G65" s="80">
        <v>6138</v>
      </c>
      <c r="H65" s="183" t="s">
        <v>3038</v>
      </c>
      <c r="I65" s="16" t="s">
        <v>159</v>
      </c>
      <c r="J65" s="102" t="s">
        <v>3543</v>
      </c>
      <c r="L65" s="156">
        <v>1</v>
      </c>
      <c r="M65" s="337">
        <v>0</v>
      </c>
      <c r="N65" s="240">
        <v>1</v>
      </c>
      <c r="O65" s="359">
        <v>214</v>
      </c>
      <c r="P65" s="79">
        <v>157</v>
      </c>
      <c r="Q65" s="342">
        <v>307</v>
      </c>
      <c r="R65" s="81">
        <v>33</v>
      </c>
      <c r="S65" s="324">
        <v>10</v>
      </c>
      <c r="T65" s="34">
        <v>9.02</v>
      </c>
      <c r="U65" s="307">
        <f>T65/W65</f>
        <v>4.5903307888040708E-2</v>
      </c>
      <c r="V65" s="94">
        <v>12.9</v>
      </c>
      <c r="W65" s="36">
        <v>196.5</v>
      </c>
      <c r="X65" s="66">
        <v>192</v>
      </c>
      <c r="Y65" s="15">
        <f>W65-X65</f>
        <v>4.5</v>
      </c>
      <c r="Z65" s="63">
        <f>Y65/X65</f>
        <v>2.34375E-2</v>
      </c>
      <c r="AA65" s="340">
        <v>-33.57</v>
      </c>
      <c r="AB65" s="378">
        <v>33.85</v>
      </c>
      <c r="AC65" s="16" t="s">
        <v>159</v>
      </c>
      <c r="AD65" s="84">
        <v>44684</v>
      </c>
      <c r="AE65" s="311">
        <v>44684</v>
      </c>
      <c r="AF65" s="33">
        <f>AE65-AD65</f>
        <v>0</v>
      </c>
      <c r="AG65" s="454" t="s">
        <v>3560</v>
      </c>
      <c r="AH65" s="63"/>
      <c r="AI65" s="283"/>
      <c r="AR65" s="402" t="str">
        <f>INDEX(基本資料!N:N,MATCH($G65,基本資料!A:A,0))</f>
        <v>中</v>
      </c>
    </row>
    <row r="66" spans="1:44" s="248" customFormat="1">
      <c r="A66" s="384"/>
      <c r="B66" s="79"/>
      <c r="C66" s="79"/>
      <c r="D66" s="79"/>
      <c r="E66" s="79"/>
      <c r="F66" s="6"/>
      <c r="G66" s="41"/>
      <c r="H66" s="369" t="s">
        <v>6230</v>
      </c>
      <c r="I66" s="5"/>
      <c r="J66" s="353" t="s">
        <v>6231</v>
      </c>
      <c r="K66" s="234"/>
      <c r="L66" s="163"/>
      <c r="O66" s="359"/>
      <c r="P66" s="47"/>
      <c r="Q66" s="342"/>
      <c r="R66" s="282"/>
      <c r="S66" s="319"/>
      <c r="T66" s="185"/>
      <c r="U66" s="305"/>
      <c r="V66" s="94"/>
      <c r="W66" s="304">
        <f>SUM(W33:W65)</f>
        <v>4556.05</v>
      </c>
      <c r="X66" s="295">
        <f>SUM(X33:X65)</f>
        <v>4443.8999999999996</v>
      </c>
      <c r="Y66" s="162">
        <f t="shared" ref="Y66" si="78">W66-X66</f>
        <v>112.15000000000055</v>
      </c>
      <c r="Z66" s="158">
        <f t="shared" ref="Z66" si="79">Y66/X66</f>
        <v>2.5236841513085476E-2</v>
      </c>
      <c r="AA66" s="100"/>
      <c r="AB66" s="378"/>
      <c r="AC66" s="227">
        <f>W66*(0.001425*0.5)+W66*0.003+X66*(0.001425*0.5)</f>
        <v>20.080614375</v>
      </c>
      <c r="AD66" s="6">
        <f>Y66-AC66</f>
        <v>92.06938562500055</v>
      </c>
      <c r="AE66" s="298" t="s">
        <v>4707</v>
      </c>
      <c r="AF66" s="33"/>
      <c r="AG66" s="132" t="s">
        <v>6372</v>
      </c>
    </row>
    <row r="67" spans="1:44">
      <c r="B67" s="90"/>
      <c r="C67" s="90"/>
      <c r="D67" s="90"/>
      <c r="E67" s="90"/>
      <c r="F67" s="8"/>
      <c r="G67" s="26"/>
      <c r="H67" s="55"/>
      <c r="I67" s="50"/>
      <c r="J67" s="8"/>
      <c r="L67" s="334"/>
      <c r="M67" s="335"/>
      <c r="N67" s="336"/>
      <c r="O67" s="359"/>
      <c r="P67" s="47"/>
      <c r="Q67" s="342"/>
      <c r="S67" s="318"/>
      <c r="T67" s="382"/>
      <c r="U67" s="305"/>
      <c r="V67" s="68"/>
      <c r="W67" s="28"/>
      <c r="X67" s="17"/>
      <c r="Y67" s="14"/>
      <c r="Z67" s="21"/>
      <c r="AA67" s="347"/>
      <c r="AC67" s="50"/>
      <c r="AD67" s="71"/>
      <c r="AE67" s="72"/>
      <c r="AF67" s="32"/>
      <c r="AG67" s="452"/>
      <c r="AH67" s="8"/>
      <c r="AI67" s="50"/>
    </row>
    <row r="68" spans="1:44">
      <c r="A68" s="94">
        <v>4.4000000000000004</v>
      </c>
      <c r="B68" s="92">
        <v>1610</v>
      </c>
      <c r="C68" s="92">
        <v>2987</v>
      </c>
      <c r="D68" s="79">
        <v>6</v>
      </c>
      <c r="E68" s="79">
        <v>47</v>
      </c>
      <c r="F68" s="6">
        <v>31.91</v>
      </c>
      <c r="G68" s="80">
        <v>6485</v>
      </c>
      <c r="H68" s="18" t="s">
        <v>3038</v>
      </c>
      <c r="I68" s="16" t="s">
        <v>232</v>
      </c>
      <c r="J68" s="8" t="s">
        <v>3542</v>
      </c>
      <c r="L68" s="156">
        <v>1</v>
      </c>
      <c r="M68" s="337">
        <v>0</v>
      </c>
      <c r="N68" s="240">
        <v>1</v>
      </c>
      <c r="O68" s="359">
        <v>16</v>
      </c>
      <c r="P68" s="79">
        <v>124</v>
      </c>
      <c r="Q68" s="342">
        <v>805</v>
      </c>
      <c r="R68" s="81">
        <v>418</v>
      </c>
      <c r="S68" s="324">
        <v>8</v>
      </c>
      <c r="T68" s="34">
        <v>5</v>
      </c>
      <c r="U68" s="307">
        <f>T68/W68</f>
        <v>4.2735042735042736E-2</v>
      </c>
      <c r="V68" s="94">
        <v>12.29</v>
      </c>
      <c r="W68" s="36">
        <v>117</v>
      </c>
      <c r="X68" s="66">
        <v>114.5</v>
      </c>
      <c r="Y68" s="15">
        <f>W68-X68</f>
        <v>2.5</v>
      </c>
      <c r="Z68" s="63">
        <f>Y68/X68</f>
        <v>2.1834061135371178E-2</v>
      </c>
      <c r="AA68" s="340">
        <v>-40.58</v>
      </c>
      <c r="AB68" s="378">
        <v>25.26</v>
      </c>
      <c r="AC68" s="16" t="s">
        <v>232</v>
      </c>
      <c r="AD68" s="84">
        <v>44679</v>
      </c>
      <c r="AE68" s="83">
        <v>44680</v>
      </c>
      <c r="AF68" s="33">
        <f>AE68-AD68</f>
        <v>1</v>
      </c>
      <c r="AG68" s="453" t="s">
        <v>2364</v>
      </c>
      <c r="AH68" s="63"/>
      <c r="AI68" s="283"/>
      <c r="AR68" s="402" t="str">
        <f>INDEX(基本資料!N:N,MATCH($G68,基本資料!A:A,0))</f>
        <v>低</v>
      </c>
    </row>
    <row r="69" spans="1:44">
      <c r="A69" s="94">
        <v>18.899999999999999</v>
      </c>
      <c r="B69" s="79">
        <v>14</v>
      </c>
      <c r="C69" s="79">
        <v>23</v>
      </c>
      <c r="D69" s="80">
        <v>-1</v>
      </c>
      <c r="E69" s="79">
        <v>22</v>
      </c>
      <c r="F69" s="6">
        <v>9.98</v>
      </c>
      <c r="G69" s="80">
        <v>4927</v>
      </c>
      <c r="H69" s="18" t="s">
        <v>308</v>
      </c>
      <c r="I69" s="22" t="s">
        <v>447</v>
      </c>
      <c r="J69" s="102" t="s">
        <v>3544</v>
      </c>
      <c r="L69" s="156">
        <v>1</v>
      </c>
      <c r="M69" s="337">
        <v>0</v>
      </c>
      <c r="N69" s="240">
        <v>1</v>
      </c>
      <c r="O69" s="359">
        <v>299</v>
      </c>
      <c r="P69" s="79">
        <v>198</v>
      </c>
      <c r="Q69" s="342">
        <v>274</v>
      </c>
      <c r="R69" s="81">
        <v>48</v>
      </c>
      <c r="S69" s="324">
        <v>35</v>
      </c>
      <c r="T69" s="34">
        <v>4</v>
      </c>
      <c r="U69" s="307">
        <f>T69/W69</f>
        <v>4.1407867494824016E-2</v>
      </c>
      <c r="V69" s="94">
        <v>7.25</v>
      </c>
      <c r="W69" s="36">
        <v>96.6</v>
      </c>
      <c r="X69" s="66">
        <v>94.4</v>
      </c>
      <c r="Y69" s="15">
        <f>W69-X69</f>
        <v>2.1999999999999886</v>
      </c>
      <c r="Z69" s="63">
        <f>Y69/X69</f>
        <v>2.3305084745762591E-2</v>
      </c>
      <c r="AA69" s="340">
        <v>-31.88</v>
      </c>
      <c r="AB69" s="378">
        <v>33.47</v>
      </c>
      <c r="AC69" s="22" t="s">
        <v>447</v>
      </c>
      <c r="AD69" s="84">
        <v>44679</v>
      </c>
      <c r="AE69" s="83">
        <v>44680</v>
      </c>
      <c r="AF69" s="33">
        <f>AE69-AD69</f>
        <v>1</v>
      </c>
      <c r="AG69" s="453" t="s">
        <v>1043</v>
      </c>
      <c r="AH69" s="63"/>
      <c r="AI69" s="283"/>
      <c r="AJ69" s="393"/>
      <c r="AR69" s="402" t="str">
        <f>INDEX(基本資料!N:N,MATCH($G69,基本資料!A:A,0))</f>
        <v>中</v>
      </c>
    </row>
    <row r="70" spans="1:44">
      <c r="A70" s="94">
        <v>49.2</v>
      </c>
      <c r="B70" s="79">
        <v>107</v>
      </c>
      <c r="C70" s="79">
        <v>105</v>
      </c>
      <c r="D70" s="79">
        <v>33</v>
      </c>
      <c r="E70" s="80">
        <v>-44</v>
      </c>
      <c r="F70" s="6">
        <v>42.15</v>
      </c>
      <c r="G70" s="80">
        <v>2108</v>
      </c>
      <c r="H70" s="5" t="s">
        <v>300</v>
      </c>
      <c r="I70" s="22" t="s">
        <v>4003</v>
      </c>
      <c r="J70" s="102" t="s">
        <v>3542</v>
      </c>
      <c r="L70" s="156">
        <v>1</v>
      </c>
      <c r="M70" s="337">
        <v>0</v>
      </c>
      <c r="N70" s="240">
        <v>1</v>
      </c>
      <c r="O70" s="359">
        <v>836</v>
      </c>
      <c r="P70" s="79">
        <v>71</v>
      </c>
      <c r="Q70" s="342">
        <v>565</v>
      </c>
      <c r="R70" s="81">
        <v>319</v>
      </c>
      <c r="S70" s="324">
        <v>410</v>
      </c>
      <c r="T70" s="34">
        <v>7</v>
      </c>
      <c r="U70" s="309">
        <f>T70/W70</f>
        <v>0.12773722627737227</v>
      </c>
      <c r="V70" s="94">
        <v>14.92</v>
      </c>
      <c r="W70" s="36">
        <v>54.8</v>
      </c>
      <c r="X70" s="66">
        <v>53.5</v>
      </c>
      <c r="Y70" s="15">
        <f>W70-X70</f>
        <v>1.2999999999999972</v>
      </c>
      <c r="Z70" s="63">
        <f>Y70/X70</f>
        <v>2.4299065420560696E-2</v>
      </c>
      <c r="AA70" s="340">
        <v>-70.11</v>
      </c>
      <c r="AB70" s="378">
        <v>4.4800000000000004</v>
      </c>
      <c r="AC70" s="22" t="s">
        <v>4003</v>
      </c>
      <c r="AD70" s="84">
        <v>44679</v>
      </c>
      <c r="AE70" s="83">
        <v>44680</v>
      </c>
      <c r="AF70" s="33">
        <f>AE70-AD70</f>
        <v>1</v>
      </c>
      <c r="AG70" s="453" t="s">
        <v>4004</v>
      </c>
      <c r="AH70" s="63"/>
      <c r="AI70" s="283"/>
      <c r="AR70" s="402" t="str">
        <f>INDEX(基本資料!N:N,MATCH($G70,基本資料!A:A,0))</f>
        <v>低</v>
      </c>
    </row>
    <row r="71" spans="1:44">
      <c r="A71" s="94">
        <v>4.4400000000000004</v>
      </c>
      <c r="B71" s="79">
        <v>249</v>
      </c>
      <c r="C71" s="79">
        <v>154</v>
      </c>
      <c r="D71" s="79">
        <v>19</v>
      </c>
      <c r="E71" s="79">
        <v>16</v>
      </c>
      <c r="F71" s="6">
        <v>16.510000000000002</v>
      </c>
      <c r="G71" s="79">
        <v>3675</v>
      </c>
      <c r="H71" s="183" t="s">
        <v>3038</v>
      </c>
      <c r="I71" s="16" t="s">
        <v>365</v>
      </c>
      <c r="J71" s="8" t="s">
        <v>3544</v>
      </c>
      <c r="L71" s="156">
        <v>1</v>
      </c>
      <c r="M71" s="337">
        <v>0</v>
      </c>
      <c r="N71" s="240">
        <v>1</v>
      </c>
      <c r="O71" s="359">
        <v>326</v>
      </c>
      <c r="P71" s="79">
        <v>365</v>
      </c>
      <c r="Q71" s="342">
        <v>69</v>
      </c>
      <c r="R71" s="81">
        <v>3</v>
      </c>
      <c r="S71" s="324">
        <v>22</v>
      </c>
      <c r="T71" s="34">
        <v>5</v>
      </c>
      <c r="U71" s="307">
        <f t="shared" ref="U71" si="80">T71/W71</f>
        <v>1.5197568389057751E-2</v>
      </c>
      <c r="V71" s="94">
        <v>7.36</v>
      </c>
      <c r="W71" s="36">
        <v>329</v>
      </c>
      <c r="X71" s="66">
        <v>322.5</v>
      </c>
      <c r="Y71" s="15">
        <f t="shared" ref="Y71" si="81">W71-X71</f>
        <v>6.5</v>
      </c>
      <c r="Z71" s="63">
        <f t="shared" ref="Z71" si="82">Y71/X71</f>
        <v>2.0155038759689922E-2</v>
      </c>
      <c r="AA71" s="340">
        <v>-15.12</v>
      </c>
      <c r="AB71" s="460">
        <v>55.56</v>
      </c>
      <c r="AC71" s="16" t="s">
        <v>365</v>
      </c>
      <c r="AD71" s="84">
        <v>44677</v>
      </c>
      <c r="AE71" s="83">
        <v>44679</v>
      </c>
      <c r="AF71" s="33">
        <f t="shared" ref="AF71" si="83">AE71-AD71</f>
        <v>2</v>
      </c>
      <c r="AG71" s="453" t="s">
        <v>2939</v>
      </c>
      <c r="AH71" s="63"/>
      <c r="AI71" s="283"/>
      <c r="AR71" s="402" t="str">
        <f>INDEX(基本資料!N:N,MATCH($G71,基本資料!A:A,0))</f>
        <v>高</v>
      </c>
    </row>
    <row r="72" spans="1:44">
      <c r="A72" s="94">
        <v>4.4400000000000004</v>
      </c>
      <c r="B72" s="79">
        <v>249</v>
      </c>
      <c r="C72" s="79">
        <v>154</v>
      </c>
      <c r="D72" s="79">
        <v>19</v>
      </c>
      <c r="E72" s="79">
        <v>16</v>
      </c>
      <c r="F72" s="6">
        <v>16.510000000000002</v>
      </c>
      <c r="G72" s="79">
        <v>3675</v>
      </c>
      <c r="H72" s="183" t="s">
        <v>3038</v>
      </c>
      <c r="I72" s="16" t="s">
        <v>365</v>
      </c>
      <c r="J72" s="8" t="s">
        <v>3544</v>
      </c>
      <c r="L72" s="156">
        <v>1</v>
      </c>
      <c r="M72" s="337">
        <v>0</v>
      </c>
      <c r="N72" s="240">
        <v>1</v>
      </c>
      <c r="O72" s="359">
        <v>326</v>
      </c>
      <c r="P72" s="79">
        <v>365</v>
      </c>
      <c r="Q72" s="342">
        <v>69</v>
      </c>
      <c r="R72" s="81">
        <v>3</v>
      </c>
      <c r="S72" s="324">
        <v>22</v>
      </c>
      <c r="T72" s="34">
        <v>5</v>
      </c>
      <c r="U72" s="307">
        <f t="shared" ref="U72:U77" si="84">T72/W72</f>
        <v>1.6611295681063124E-2</v>
      </c>
      <c r="V72" s="94">
        <v>7.36</v>
      </c>
      <c r="W72" s="36">
        <v>301</v>
      </c>
      <c r="X72" s="66">
        <v>294.5</v>
      </c>
      <c r="Y72" s="15">
        <f t="shared" ref="Y72:Y77" si="85">W72-X72</f>
        <v>6.5</v>
      </c>
      <c r="Z72" s="63">
        <f t="shared" ref="Z72:Z77" si="86">Y72/X72</f>
        <v>2.2071307300509338E-2</v>
      </c>
      <c r="AA72" s="340">
        <v>-16.489999999999998</v>
      </c>
      <c r="AB72" s="460">
        <v>59.28</v>
      </c>
      <c r="AC72" s="16" t="s">
        <v>365</v>
      </c>
      <c r="AD72" s="84">
        <v>44676</v>
      </c>
      <c r="AE72" s="311">
        <v>44676</v>
      </c>
      <c r="AF72" s="33">
        <f t="shared" ref="AF72:AF77" si="87">AE72-AD72</f>
        <v>0</v>
      </c>
      <c r="AG72" s="453" t="s">
        <v>2939</v>
      </c>
      <c r="AH72" s="63"/>
      <c r="AI72" s="283"/>
      <c r="AR72" s="402" t="str">
        <f>INDEX(基本資料!N:N,MATCH($G72,基本資料!A:A,0))</f>
        <v>高</v>
      </c>
    </row>
    <row r="73" spans="1:44">
      <c r="A73" s="94">
        <v>18.399999999999999</v>
      </c>
      <c r="B73" s="79">
        <v>60</v>
      </c>
      <c r="C73" s="79">
        <v>53</v>
      </c>
      <c r="D73" s="79">
        <v>9</v>
      </c>
      <c r="E73" s="80">
        <v>-19</v>
      </c>
      <c r="F73" s="6">
        <v>29.28</v>
      </c>
      <c r="G73" s="80">
        <v>2455</v>
      </c>
      <c r="H73" s="236" t="s">
        <v>4314</v>
      </c>
      <c r="I73" s="22" t="s">
        <v>4332</v>
      </c>
      <c r="J73" s="8" t="s">
        <v>6235</v>
      </c>
      <c r="L73" s="156">
        <v>2</v>
      </c>
      <c r="M73" s="337">
        <v>0</v>
      </c>
      <c r="N73" s="240">
        <v>2</v>
      </c>
      <c r="O73" s="359">
        <v>182</v>
      </c>
      <c r="P73" s="79">
        <v>82</v>
      </c>
      <c r="Q73" s="342">
        <v>191</v>
      </c>
      <c r="R73" s="81">
        <v>209</v>
      </c>
      <c r="S73" s="324">
        <v>72</v>
      </c>
      <c r="T73" s="34">
        <v>4</v>
      </c>
      <c r="U73" s="307">
        <f t="shared" si="84"/>
        <v>4.145077720207254E-2</v>
      </c>
      <c r="V73" s="94">
        <v>4.62</v>
      </c>
      <c r="W73" s="36">
        <v>96.5</v>
      </c>
      <c r="X73" s="66">
        <v>94.3</v>
      </c>
      <c r="Y73" s="15">
        <f t="shared" si="85"/>
        <v>2.2000000000000028</v>
      </c>
      <c r="Z73" s="63">
        <f t="shared" si="86"/>
        <v>2.332979851537649E-2</v>
      </c>
      <c r="AA73" s="340">
        <v>-40.92</v>
      </c>
      <c r="AB73" s="378">
        <v>13.61</v>
      </c>
      <c r="AC73" s="22" t="s">
        <v>4332</v>
      </c>
      <c r="AD73" s="84">
        <v>44673</v>
      </c>
      <c r="AE73" s="311">
        <v>44673</v>
      </c>
      <c r="AF73" s="33">
        <f t="shared" si="87"/>
        <v>0</v>
      </c>
      <c r="AG73" s="454" t="s">
        <v>2324</v>
      </c>
      <c r="AH73" s="63"/>
      <c r="AI73" s="283"/>
      <c r="AR73" s="402" t="str">
        <f>INDEX(基本資料!N:N,MATCH($G73,基本資料!A:A,0))</f>
        <v>低</v>
      </c>
    </row>
    <row r="74" spans="1:44">
      <c r="A74" s="254">
        <v>529</v>
      </c>
      <c r="B74" s="79">
        <v>814</v>
      </c>
      <c r="C74" s="79">
        <v>721</v>
      </c>
      <c r="D74" s="79">
        <v>6</v>
      </c>
      <c r="E74" s="79">
        <v>83</v>
      </c>
      <c r="F74" s="6">
        <v>58.21</v>
      </c>
      <c r="G74" s="79">
        <v>2603</v>
      </c>
      <c r="H74" s="8" t="s">
        <v>302</v>
      </c>
      <c r="I74" s="22" t="s">
        <v>264</v>
      </c>
      <c r="J74" s="102" t="s">
        <v>6168</v>
      </c>
      <c r="L74" s="156">
        <v>2</v>
      </c>
      <c r="M74" s="337">
        <v>0</v>
      </c>
      <c r="N74" s="240">
        <v>2</v>
      </c>
      <c r="O74" s="359">
        <v>294</v>
      </c>
      <c r="P74" s="79">
        <v>97</v>
      </c>
      <c r="Q74" s="342">
        <v>203</v>
      </c>
      <c r="R74" s="81">
        <v>98</v>
      </c>
      <c r="S74" s="324">
        <v>124</v>
      </c>
      <c r="T74" s="34">
        <v>18</v>
      </c>
      <c r="U74" s="307">
        <f t="shared" si="84"/>
        <v>0.12203389830508475</v>
      </c>
      <c r="V74" s="94">
        <v>45.68</v>
      </c>
      <c r="W74" s="36">
        <v>147.5</v>
      </c>
      <c r="X74" s="66">
        <v>144</v>
      </c>
      <c r="Y74" s="15">
        <f t="shared" si="85"/>
        <v>3.5</v>
      </c>
      <c r="Z74" s="63">
        <f t="shared" si="86"/>
        <v>2.4305555555555556E-2</v>
      </c>
      <c r="AA74" s="340">
        <v>-39.270000000000003</v>
      </c>
      <c r="AB74" s="378">
        <v>39.590000000000003</v>
      </c>
      <c r="AC74" s="22" t="s">
        <v>264</v>
      </c>
      <c r="AD74" s="84">
        <v>44671</v>
      </c>
      <c r="AE74" s="83">
        <v>44673</v>
      </c>
      <c r="AF74" s="33">
        <f t="shared" si="87"/>
        <v>2</v>
      </c>
      <c r="AG74" s="454" t="s">
        <v>3265</v>
      </c>
      <c r="AH74" s="63"/>
      <c r="AI74" s="314"/>
      <c r="AR74" s="402" t="str">
        <f>INDEX(基本資料!N:N,MATCH($G74,基本資料!A:A,0))</f>
        <v>中</v>
      </c>
    </row>
    <row r="75" spans="1:44">
      <c r="A75" s="94">
        <v>35.299999999999997</v>
      </c>
      <c r="B75" s="79">
        <v>60</v>
      </c>
      <c r="C75" s="79">
        <v>47</v>
      </c>
      <c r="D75" s="79">
        <v>3</v>
      </c>
      <c r="E75" s="80">
        <v>-3</v>
      </c>
      <c r="F75" s="6">
        <v>10.199999999999999</v>
      </c>
      <c r="G75" s="79">
        <v>3017</v>
      </c>
      <c r="H75" s="193" t="s">
        <v>6236</v>
      </c>
      <c r="I75" s="22" t="s">
        <v>117</v>
      </c>
      <c r="J75" s="102" t="s">
        <v>3544</v>
      </c>
      <c r="L75" s="156">
        <v>1</v>
      </c>
      <c r="M75" s="337">
        <v>0</v>
      </c>
      <c r="N75" s="240">
        <v>1</v>
      </c>
      <c r="O75" s="359">
        <v>482</v>
      </c>
      <c r="P75" s="79">
        <v>384</v>
      </c>
      <c r="Q75" s="342">
        <v>126</v>
      </c>
      <c r="R75" s="81">
        <v>7</v>
      </c>
      <c r="S75" s="324">
        <v>29</v>
      </c>
      <c r="T75" s="34">
        <v>4.3</v>
      </c>
      <c r="U75" s="307">
        <f t="shared" si="84"/>
        <v>3.8392857142857138E-2</v>
      </c>
      <c r="V75" s="94">
        <v>8.2100000000000009</v>
      </c>
      <c r="W75" s="36">
        <v>112</v>
      </c>
      <c r="X75" s="66">
        <v>109.5</v>
      </c>
      <c r="Y75" s="15">
        <f t="shared" si="85"/>
        <v>2.5</v>
      </c>
      <c r="Z75" s="63">
        <f t="shared" si="86"/>
        <v>2.2831050228310501E-2</v>
      </c>
      <c r="AA75" s="340">
        <v>-15.69</v>
      </c>
      <c r="AB75" s="378">
        <v>39.36</v>
      </c>
      <c r="AC75" s="22" t="s">
        <v>117</v>
      </c>
      <c r="AD75" s="84">
        <v>44672</v>
      </c>
      <c r="AE75" s="311">
        <v>44672</v>
      </c>
      <c r="AF75" s="33">
        <f t="shared" si="87"/>
        <v>0</v>
      </c>
      <c r="AG75" s="453" t="s">
        <v>2926</v>
      </c>
      <c r="AH75" s="63"/>
      <c r="AI75" s="283"/>
      <c r="AR75" s="402" t="str">
        <f>INDEX(基本資料!N:N,MATCH($G75,基本資料!A:A,0))</f>
        <v>中</v>
      </c>
    </row>
    <row r="76" spans="1:44">
      <c r="A76" s="94">
        <v>9.0299999999999994</v>
      </c>
      <c r="B76" s="79">
        <v>73</v>
      </c>
      <c r="C76" s="79">
        <v>79</v>
      </c>
      <c r="D76" s="79">
        <v>8</v>
      </c>
      <c r="E76" s="79">
        <v>75</v>
      </c>
      <c r="F76" s="6">
        <v>21.07</v>
      </c>
      <c r="G76" s="80">
        <v>6104</v>
      </c>
      <c r="H76" s="183" t="s">
        <v>3038</v>
      </c>
      <c r="I76" s="16" t="s">
        <v>372</v>
      </c>
      <c r="J76" s="50" t="s">
        <v>6204</v>
      </c>
      <c r="L76" s="156">
        <v>4</v>
      </c>
      <c r="M76" s="337">
        <v>0</v>
      </c>
      <c r="N76" s="240">
        <v>4</v>
      </c>
      <c r="O76" s="359">
        <v>20</v>
      </c>
      <c r="P76" s="79">
        <v>122</v>
      </c>
      <c r="Q76" s="342">
        <v>571</v>
      </c>
      <c r="R76" s="81">
        <v>14</v>
      </c>
      <c r="S76" s="324">
        <v>2</v>
      </c>
      <c r="T76" s="34">
        <v>4.5</v>
      </c>
      <c r="U76" s="307">
        <f t="shared" si="84"/>
        <v>1.9313304721030045E-2</v>
      </c>
      <c r="V76" s="94">
        <v>6.41</v>
      </c>
      <c r="W76" s="36">
        <v>233</v>
      </c>
      <c r="X76" s="66">
        <v>227.5</v>
      </c>
      <c r="Y76" s="15">
        <f t="shared" si="85"/>
        <v>5.5</v>
      </c>
      <c r="Z76" s="63">
        <f t="shared" si="86"/>
        <v>2.4175824175824177E-2</v>
      </c>
      <c r="AA76" s="340">
        <v>-31.33</v>
      </c>
      <c r="AB76" s="378">
        <v>34.35</v>
      </c>
      <c r="AC76" s="16" t="s">
        <v>372</v>
      </c>
      <c r="AD76" s="84">
        <v>44672</v>
      </c>
      <c r="AE76" s="311">
        <v>44672</v>
      </c>
      <c r="AF76" s="33">
        <f t="shared" si="87"/>
        <v>0</v>
      </c>
      <c r="AG76" s="453" t="s">
        <v>3045</v>
      </c>
      <c r="AH76" s="63"/>
      <c r="AI76" s="283"/>
      <c r="AJ76" s="288"/>
      <c r="AR76" s="402" t="str">
        <f>INDEX(基本資料!N:N,MATCH($G76,基本資料!A:A,0))</f>
        <v>中</v>
      </c>
    </row>
    <row r="77" spans="1:44">
      <c r="A77" s="94">
        <v>84.5</v>
      </c>
      <c r="B77" s="79">
        <v>456</v>
      </c>
      <c r="C77" s="79">
        <v>649</v>
      </c>
      <c r="D77" s="79">
        <v>51</v>
      </c>
      <c r="E77" s="79">
        <v>24</v>
      </c>
      <c r="F77" s="6">
        <v>27.18</v>
      </c>
      <c r="G77" s="79">
        <v>2606</v>
      </c>
      <c r="H77" s="8" t="s">
        <v>302</v>
      </c>
      <c r="I77" s="22" t="s">
        <v>4618</v>
      </c>
      <c r="J77" s="50" t="s">
        <v>6204</v>
      </c>
      <c r="L77" s="156">
        <v>3</v>
      </c>
      <c r="M77" s="337">
        <v>0</v>
      </c>
      <c r="N77" s="240">
        <v>3</v>
      </c>
      <c r="O77" s="359">
        <v>629</v>
      </c>
      <c r="P77" s="79">
        <v>163</v>
      </c>
      <c r="Q77" s="342">
        <v>454</v>
      </c>
      <c r="R77" s="81">
        <v>27</v>
      </c>
      <c r="S77" s="324">
        <v>166</v>
      </c>
      <c r="T77" s="34">
        <v>3</v>
      </c>
      <c r="U77" s="307">
        <f t="shared" si="84"/>
        <v>4.5180722891566258E-2</v>
      </c>
      <c r="V77" s="94">
        <v>5.79</v>
      </c>
      <c r="W77" s="36">
        <v>66.400000000000006</v>
      </c>
      <c r="X77" s="66">
        <v>62.4</v>
      </c>
      <c r="Y77" s="15">
        <f t="shared" si="85"/>
        <v>4.0000000000000071</v>
      </c>
      <c r="Z77" s="63">
        <f t="shared" si="86"/>
        <v>6.4102564102564222E-2</v>
      </c>
      <c r="AA77" s="340">
        <v>-35.369999999999997</v>
      </c>
      <c r="AB77" s="460">
        <v>58.29</v>
      </c>
      <c r="AC77" s="22" t="s">
        <v>4618</v>
      </c>
      <c r="AD77" s="84">
        <v>44669</v>
      </c>
      <c r="AE77" s="83">
        <v>44671</v>
      </c>
      <c r="AF77" s="33">
        <f t="shared" si="87"/>
        <v>2</v>
      </c>
      <c r="AG77" s="454" t="s">
        <v>3266</v>
      </c>
      <c r="AH77" s="63"/>
      <c r="AI77" s="283"/>
      <c r="AR77" s="402" t="str">
        <f>INDEX(基本資料!N:N,MATCH($G77,基本資料!A:A,0))</f>
        <v>中</v>
      </c>
    </row>
    <row r="78" spans="1:44" s="248" customFormat="1">
      <c r="A78" s="384"/>
      <c r="B78" s="79"/>
      <c r="C78" s="79"/>
      <c r="D78" s="79"/>
      <c r="E78" s="79"/>
      <c r="F78" s="6"/>
      <c r="G78" s="41"/>
      <c r="H78" s="8"/>
      <c r="I78" s="153"/>
      <c r="J78" s="1"/>
      <c r="K78" s="5"/>
      <c r="L78" s="163"/>
      <c r="O78" s="359"/>
      <c r="P78" s="47"/>
      <c r="Q78" s="342"/>
      <c r="R78" s="282"/>
      <c r="S78" s="319"/>
      <c r="T78" s="185"/>
      <c r="U78" s="305"/>
      <c r="V78" s="94"/>
      <c r="W78" s="304">
        <f>SUM(W68:W77)</f>
        <v>1553.8000000000002</v>
      </c>
      <c r="X78" s="295">
        <f>SUM(X68:X77)</f>
        <v>1517.1</v>
      </c>
      <c r="Y78" s="162">
        <f t="shared" ref="Y78" si="88">W78-X78</f>
        <v>36.700000000000273</v>
      </c>
      <c r="Z78" s="158">
        <f t="shared" ref="Z78" si="89">Y78/X78</f>
        <v>2.4190890514798152E-2</v>
      </c>
      <c r="AA78" s="100"/>
      <c r="AB78" s="378"/>
      <c r="AC78" s="227">
        <f>W78*(0.001425*0.5)+W78*0.003+X78*(0.001425*0.5)</f>
        <v>6.8494162500000009</v>
      </c>
      <c r="AD78" s="6">
        <f>Y78-AC78</f>
        <v>29.850583750000272</v>
      </c>
      <c r="AE78" s="83"/>
      <c r="AF78" s="33"/>
      <c r="AG78" s="132" t="s">
        <v>6215</v>
      </c>
      <c r="AR78" s="402"/>
    </row>
    <row r="79" spans="1:44">
      <c r="B79" s="90"/>
      <c r="C79" s="90"/>
      <c r="D79" s="90"/>
      <c r="E79" s="90"/>
      <c r="F79" s="8"/>
      <c r="G79" s="26"/>
      <c r="H79" s="55"/>
      <c r="I79" s="50"/>
      <c r="J79" s="8"/>
      <c r="L79" s="334"/>
      <c r="M79" s="335"/>
      <c r="N79" s="336"/>
      <c r="O79" s="359"/>
      <c r="P79" s="47"/>
      <c r="Q79" s="342"/>
      <c r="S79" s="318"/>
      <c r="T79" s="382"/>
      <c r="U79" s="305"/>
      <c r="V79" s="68"/>
      <c r="W79" s="28"/>
      <c r="X79" s="17"/>
      <c r="Y79" s="14"/>
      <c r="Z79" s="21"/>
      <c r="AA79" s="347"/>
      <c r="AC79" s="50"/>
      <c r="AD79" s="71"/>
      <c r="AE79" s="72"/>
      <c r="AF79" s="32"/>
      <c r="AG79" s="452"/>
      <c r="AH79" s="8"/>
      <c r="AI79" s="50"/>
      <c r="AR79" s="402"/>
    </row>
    <row r="80" spans="1:44">
      <c r="A80" s="94">
        <v>32.1</v>
      </c>
      <c r="B80" s="79">
        <v>227</v>
      </c>
      <c r="C80" s="79">
        <v>461</v>
      </c>
      <c r="D80" s="79">
        <v>62</v>
      </c>
      <c r="E80" s="79">
        <v>89</v>
      </c>
      <c r="F80" s="6">
        <v>17.739999999999998</v>
      </c>
      <c r="G80" s="79">
        <v>2031</v>
      </c>
      <c r="H80" s="8" t="s">
        <v>299</v>
      </c>
      <c r="I80" s="22" t="s">
        <v>3946</v>
      </c>
      <c r="J80" s="8" t="s">
        <v>4742</v>
      </c>
      <c r="L80" s="156">
        <v>5</v>
      </c>
      <c r="M80" s="337">
        <v>0</v>
      </c>
      <c r="N80" s="240">
        <v>5</v>
      </c>
      <c r="O80" s="359">
        <v>348</v>
      </c>
      <c r="P80" s="79">
        <v>332</v>
      </c>
      <c r="Q80" s="342">
        <v>471</v>
      </c>
      <c r="R80" s="81">
        <v>77</v>
      </c>
      <c r="S80" s="324">
        <v>224</v>
      </c>
      <c r="T80" s="34">
        <v>4</v>
      </c>
      <c r="U80" s="307">
        <f>T80/W80</f>
        <v>5.2151238591916553E-2</v>
      </c>
      <c r="V80" s="94">
        <v>8.66</v>
      </c>
      <c r="W80" s="36">
        <v>76.7</v>
      </c>
      <c r="X80" s="66">
        <v>74.900000000000006</v>
      </c>
      <c r="Y80" s="15">
        <f>W80-X80</f>
        <v>1.7999999999999972</v>
      </c>
      <c r="Z80" s="63">
        <f>Y80/X80</f>
        <v>2.4032042723631467E-2</v>
      </c>
      <c r="AA80" s="340">
        <v>-20.93</v>
      </c>
      <c r="AC80" s="22" t="s">
        <v>3946</v>
      </c>
      <c r="AD80" s="84">
        <v>44666</v>
      </c>
      <c r="AE80" s="311">
        <v>44666</v>
      </c>
      <c r="AF80" s="33">
        <f>AE80-AD80</f>
        <v>0</v>
      </c>
      <c r="AG80" s="453" t="s">
        <v>3947</v>
      </c>
      <c r="AH80" s="63"/>
      <c r="AI80" s="283"/>
      <c r="AR80" s="402" t="str">
        <f>INDEX(基本資料!N:N,MATCH($G80,基本資料!A:A,0))</f>
        <v>低</v>
      </c>
    </row>
    <row r="81" spans="1:44">
      <c r="A81" s="94">
        <v>17.8</v>
      </c>
      <c r="B81" s="79">
        <v>120</v>
      </c>
      <c r="C81" s="79">
        <v>264</v>
      </c>
      <c r="D81" s="79">
        <v>14</v>
      </c>
      <c r="E81" s="79">
        <v>8</v>
      </c>
      <c r="F81" s="6">
        <v>12.77</v>
      </c>
      <c r="G81" s="80">
        <v>2436</v>
      </c>
      <c r="H81" s="18" t="s">
        <v>3038</v>
      </c>
      <c r="I81" s="22" t="s">
        <v>112</v>
      </c>
      <c r="J81" s="8" t="s">
        <v>3542</v>
      </c>
      <c r="L81" s="156">
        <v>1</v>
      </c>
      <c r="M81" s="337">
        <v>0</v>
      </c>
      <c r="N81" s="240">
        <v>1</v>
      </c>
      <c r="O81" s="359">
        <v>53</v>
      </c>
      <c r="P81" s="79">
        <v>378</v>
      </c>
      <c r="Q81" s="342">
        <v>764</v>
      </c>
      <c r="R81" s="81">
        <v>345</v>
      </c>
      <c r="S81" s="324">
        <v>37</v>
      </c>
      <c r="T81" s="34">
        <v>3</v>
      </c>
      <c r="U81" s="307">
        <f>T81/W81</f>
        <v>3.7267080745341616E-2</v>
      </c>
      <c r="V81" s="94">
        <v>4.25</v>
      </c>
      <c r="W81" s="36">
        <v>80.5</v>
      </c>
      <c r="X81" s="66">
        <v>78.8</v>
      </c>
      <c r="Y81" s="15">
        <f>W81-X81</f>
        <v>1.7000000000000028</v>
      </c>
      <c r="Z81" s="63">
        <f>Y81/X81</f>
        <v>2.1573604060913742E-2</v>
      </c>
      <c r="AA81" s="340">
        <v>-32.64</v>
      </c>
      <c r="AC81" s="22" t="s">
        <v>112</v>
      </c>
      <c r="AD81" s="84">
        <v>44664</v>
      </c>
      <c r="AE81" s="83">
        <v>44665</v>
      </c>
      <c r="AF81" s="33">
        <f>AE81-AD81</f>
        <v>1</v>
      </c>
      <c r="AG81" s="453" t="s">
        <v>2193</v>
      </c>
      <c r="AH81" s="63"/>
      <c r="AI81" s="283"/>
      <c r="AR81" s="402" t="str">
        <f>INDEX(基本資料!N:N,MATCH($G81,基本資料!A:A,0))</f>
        <v>低</v>
      </c>
    </row>
    <row r="82" spans="1:44">
      <c r="A82" s="94">
        <v>23.1</v>
      </c>
      <c r="B82" s="79">
        <v>77</v>
      </c>
      <c r="C82" s="79">
        <v>55</v>
      </c>
      <c r="D82" s="80">
        <v>-23</v>
      </c>
      <c r="E82" s="79">
        <v>2</v>
      </c>
      <c r="F82" s="6">
        <v>17.600000000000001</v>
      </c>
      <c r="G82" s="79">
        <v>9958</v>
      </c>
      <c r="H82" s="8" t="s">
        <v>299</v>
      </c>
      <c r="I82" s="22" t="s">
        <v>3987</v>
      </c>
      <c r="J82" s="8" t="s">
        <v>6202</v>
      </c>
      <c r="L82" s="156">
        <v>2</v>
      </c>
      <c r="M82" s="337">
        <v>0</v>
      </c>
      <c r="N82" s="240">
        <v>2</v>
      </c>
      <c r="O82" s="359">
        <v>181</v>
      </c>
      <c r="P82" s="79">
        <v>553</v>
      </c>
      <c r="Q82" s="342">
        <v>501</v>
      </c>
      <c r="R82" s="81">
        <v>60</v>
      </c>
      <c r="S82" s="324">
        <v>201</v>
      </c>
      <c r="T82" s="34">
        <v>3</v>
      </c>
      <c r="U82" s="307">
        <f>T82/W82</f>
        <v>2.5000000000000001E-2</v>
      </c>
      <c r="V82" s="94">
        <v>5.46</v>
      </c>
      <c r="W82" s="36">
        <v>120</v>
      </c>
      <c r="X82" s="66">
        <v>117.5</v>
      </c>
      <c r="Y82" s="15">
        <f>W82-X82</f>
        <v>2.5</v>
      </c>
      <c r="Z82" s="63">
        <f>Y82/X82</f>
        <v>2.1276595744680851E-2</v>
      </c>
      <c r="AA82" s="340">
        <v>-17.71</v>
      </c>
      <c r="AC82" s="22" t="s">
        <v>3987</v>
      </c>
      <c r="AD82" s="84">
        <v>44664</v>
      </c>
      <c r="AE82" s="83">
        <v>44665</v>
      </c>
      <c r="AF82" s="33">
        <f>AE82-AD82</f>
        <v>1</v>
      </c>
      <c r="AG82" s="453" t="s">
        <v>3988</v>
      </c>
      <c r="AH82" s="63"/>
      <c r="AI82" s="283"/>
      <c r="AR82" s="402" t="str">
        <f>INDEX(基本資料!N:N,MATCH($G82,基本資料!A:A,0))</f>
        <v>中</v>
      </c>
    </row>
    <row r="83" spans="1:44">
      <c r="A83" s="94">
        <v>7.12</v>
      </c>
      <c r="B83" s="79">
        <v>78</v>
      </c>
      <c r="C83" s="79">
        <v>85</v>
      </c>
      <c r="D83" s="80">
        <v>-3</v>
      </c>
      <c r="E83" s="80">
        <v>-17</v>
      </c>
      <c r="F83" s="6">
        <v>17.53</v>
      </c>
      <c r="G83" s="80">
        <v>3661</v>
      </c>
      <c r="H83" s="5" t="s">
        <v>3038</v>
      </c>
      <c r="I83" s="22" t="s">
        <v>4051</v>
      </c>
      <c r="J83" s="8" t="s">
        <v>3543</v>
      </c>
      <c r="L83" s="156">
        <v>1</v>
      </c>
      <c r="M83" s="337">
        <v>1</v>
      </c>
      <c r="N83" s="240">
        <v>0</v>
      </c>
      <c r="O83" s="359">
        <v>450</v>
      </c>
      <c r="P83" s="79">
        <v>109</v>
      </c>
      <c r="Q83" s="342">
        <v>51</v>
      </c>
      <c r="R83" s="81">
        <v>6</v>
      </c>
      <c r="S83" s="324">
        <v>39</v>
      </c>
      <c r="T83" s="34">
        <v>10.59</v>
      </c>
      <c r="U83" s="307">
        <f t="shared" ref="U83" si="90">T83/W83</f>
        <v>1.0433497536945812E-2</v>
      </c>
      <c r="V83" s="94">
        <v>21.4</v>
      </c>
      <c r="W83" s="366">
        <v>1015</v>
      </c>
      <c r="X83" s="66">
        <v>991</v>
      </c>
      <c r="Y83" s="137">
        <f t="shared" ref="Y83" si="91">W83-X83</f>
        <v>24</v>
      </c>
      <c r="Z83" s="63">
        <f t="shared" ref="Z83" si="92">Y83/X83</f>
        <v>2.4217961654894045E-2</v>
      </c>
      <c r="AA83" s="340">
        <v>-25.74</v>
      </c>
      <c r="AC83" s="22" t="s">
        <v>4051</v>
      </c>
      <c r="AD83" s="84">
        <v>44665</v>
      </c>
      <c r="AE83" s="311">
        <v>44665</v>
      </c>
      <c r="AF83" s="33">
        <f t="shared" ref="AF83" si="93">AE83-AD83</f>
        <v>0</v>
      </c>
      <c r="AG83" s="453" t="s">
        <v>3040</v>
      </c>
      <c r="AH83" s="63"/>
      <c r="AI83" s="283"/>
      <c r="AR83" s="402" t="str">
        <f>INDEX(基本資料!N:N,MATCH($G83,基本資料!A:A,0))</f>
        <v>中</v>
      </c>
    </row>
    <row r="84" spans="1:44">
      <c r="A84" s="94">
        <v>8.85</v>
      </c>
      <c r="B84" s="80">
        <v>-46</v>
      </c>
      <c r="C84" s="80">
        <v>-47</v>
      </c>
      <c r="D84" s="79">
        <v>32</v>
      </c>
      <c r="E84" s="80">
        <v>-44</v>
      </c>
      <c r="F84" s="6">
        <v>10.039999999999999</v>
      </c>
      <c r="G84" s="80">
        <v>4968</v>
      </c>
      <c r="H84" s="8" t="s">
        <v>3038</v>
      </c>
      <c r="I84" s="22" t="s">
        <v>350</v>
      </c>
      <c r="J84" s="8" t="s">
        <v>3542</v>
      </c>
      <c r="L84" s="156">
        <v>1</v>
      </c>
      <c r="M84" s="337">
        <v>0</v>
      </c>
      <c r="N84" s="240">
        <v>1</v>
      </c>
      <c r="O84" s="359">
        <v>134</v>
      </c>
      <c r="P84" s="79">
        <v>99</v>
      </c>
      <c r="Q84" s="342">
        <v>171</v>
      </c>
      <c r="R84" s="81">
        <v>100</v>
      </c>
      <c r="S84" s="324">
        <v>114</v>
      </c>
      <c r="T84" s="34">
        <v>3.5</v>
      </c>
      <c r="U84" s="307">
        <f>T84/W84</f>
        <v>1.7156862745098041E-2</v>
      </c>
      <c r="V84" s="94">
        <v>6.14</v>
      </c>
      <c r="W84" s="36">
        <v>204</v>
      </c>
      <c r="X84" s="66">
        <v>200</v>
      </c>
      <c r="Y84" s="15">
        <f>W84-X84</f>
        <v>4</v>
      </c>
      <c r="Z84" s="63">
        <f>Y84/X84</f>
        <v>0.02</v>
      </c>
      <c r="AA84" s="340">
        <v>-63.98</v>
      </c>
      <c r="AC84" s="22" t="s">
        <v>350</v>
      </c>
      <c r="AD84" s="84">
        <v>44664</v>
      </c>
      <c r="AE84" s="311">
        <v>44664</v>
      </c>
      <c r="AF84" s="33">
        <f>AE84-AD84</f>
        <v>0</v>
      </c>
      <c r="AG84" s="453" t="s">
        <v>2007</v>
      </c>
      <c r="AH84" s="63"/>
      <c r="AI84" s="283"/>
      <c r="AJ84" s="391"/>
      <c r="AR84" s="402" t="str">
        <f>INDEX(基本資料!N:N,MATCH($G84,基本資料!A:A,0))</f>
        <v>低</v>
      </c>
    </row>
    <row r="85" spans="1:44">
      <c r="A85" s="94">
        <v>6.22</v>
      </c>
      <c r="B85" s="79">
        <v>80</v>
      </c>
      <c r="C85" s="79">
        <v>24</v>
      </c>
      <c r="D85" s="79">
        <v>60</v>
      </c>
      <c r="E85" s="79">
        <v>29</v>
      </c>
      <c r="F85" s="6">
        <v>12.59</v>
      </c>
      <c r="G85" s="79">
        <v>3491</v>
      </c>
      <c r="H85" s="8" t="s">
        <v>311</v>
      </c>
      <c r="I85" s="16" t="s">
        <v>4367</v>
      </c>
      <c r="J85" s="8" t="s">
        <v>4718</v>
      </c>
      <c r="L85" s="156">
        <v>1</v>
      </c>
      <c r="M85" s="337">
        <v>0</v>
      </c>
      <c r="N85" s="240">
        <v>1</v>
      </c>
      <c r="O85" s="359">
        <v>104</v>
      </c>
      <c r="P85" s="79">
        <v>224</v>
      </c>
      <c r="Q85" s="342">
        <v>419</v>
      </c>
      <c r="R85" s="81">
        <v>96</v>
      </c>
      <c r="S85" s="324">
        <v>16</v>
      </c>
      <c r="T85" s="34">
        <v>4</v>
      </c>
      <c r="U85" s="307">
        <f t="shared" ref="U85" si="94">T85/W85</f>
        <v>2.1333333333333333E-2</v>
      </c>
      <c r="V85" s="94">
        <v>3.81</v>
      </c>
      <c r="W85" s="36">
        <v>187.5</v>
      </c>
      <c r="X85" s="66">
        <v>183</v>
      </c>
      <c r="Y85" s="15">
        <f t="shared" ref="Y85" si="95">W85-X85</f>
        <v>4.5</v>
      </c>
      <c r="Z85" s="63">
        <f t="shared" ref="Z85" si="96">Y85/X85</f>
        <v>2.4590163934426229E-2</v>
      </c>
      <c r="AA85" s="340">
        <v>-19.43</v>
      </c>
      <c r="AC85" s="16" t="s">
        <v>4367</v>
      </c>
      <c r="AD85" s="84">
        <v>44663</v>
      </c>
      <c r="AE85" s="83">
        <v>44664</v>
      </c>
      <c r="AF85" s="33">
        <f t="shared" ref="AF85" si="97">AE85-AD85</f>
        <v>1</v>
      </c>
      <c r="AG85" s="454" t="s">
        <v>4368</v>
      </c>
      <c r="AH85" s="156"/>
      <c r="AI85" s="337"/>
      <c r="AJ85" s="239"/>
      <c r="AR85" s="402" t="str">
        <f>INDEX(基本資料!N:N,MATCH($G85,基本資料!A:A,0))</f>
        <v>中</v>
      </c>
    </row>
    <row r="86" spans="1:44">
      <c r="A86" s="94">
        <v>8.85</v>
      </c>
      <c r="B86" s="80">
        <v>-46</v>
      </c>
      <c r="C86" s="80">
        <v>-47</v>
      </c>
      <c r="D86" s="79">
        <v>32</v>
      </c>
      <c r="E86" s="80">
        <v>-44</v>
      </c>
      <c r="F86" s="6">
        <v>10.039999999999999</v>
      </c>
      <c r="G86" s="80">
        <v>4968</v>
      </c>
      <c r="H86" s="5" t="s">
        <v>3038</v>
      </c>
      <c r="I86" s="22" t="s">
        <v>350</v>
      </c>
      <c r="J86" s="8" t="s">
        <v>3542</v>
      </c>
      <c r="L86" s="156">
        <v>2</v>
      </c>
      <c r="M86" s="337">
        <v>0</v>
      </c>
      <c r="N86" s="240">
        <v>2</v>
      </c>
      <c r="O86" s="359">
        <v>134</v>
      </c>
      <c r="P86" s="79">
        <v>99</v>
      </c>
      <c r="Q86" s="342">
        <v>171</v>
      </c>
      <c r="R86" s="81">
        <v>100</v>
      </c>
      <c r="S86" s="324">
        <v>114</v>
      </c>
      <c r="T86" s="34">
        <v>3.5</v>
      </c>
      <c r="U86" s="307">
        <f t="shared" ref="U86:U92" si="98">T86/W86</f>
        <v>1.7587939698492462E-2</v>
      </c>
      <c r="V86" s="94">
        <v>6.14</v>
      </c>
      <c r="W86" s="36">
        <v>199</v>
      </c>
      <c r="X86" s="66">
        <v>195</v>
      </c>
      <c r="Y86" s="15">
        <f t="shared" ref="Y86:Y92" si="99">W86-X86</f>
        <v>4</v>
      </c>
      <c r="Z86" s="63">
        <f t="shared" ref="Z86:Z92" si="100">Y86/X86</f>
        <v>2.0512820512820513E-2</v>
      </c>
      <c r="AA86" s="340">
        <v>-65.5</v>
      </c>
      <c r="AC86" s="22" t="s">
        <v>350</v>
      </c>
      <c r="AD86" s="84">
        <v>44662</v>
      </c>
      <c r="AE86" s="83">
        <v>44663</v>
      </c>
      <c r="AF86" s="33">
        <f t="shared" ref="AF86:AF92" si="101">AE86-AD86</f>
        <v>1</v>
      </c>
      <c r="AG86" s="453" t="s">
        <v>2007</v>
      </c>
      <c r="AH86" s="156"/>
      <c r="AI86" s="337"/>
      <c r="AJ86" s="239"/>
      <c r="AR86" s="402" t="str">
        <f>INDEX(基本資料!N:N,MATCH($G86,基本資料!A:A,0))</f>
        <v>低</v>
      </c>
    </row>
    <row r="87" spans="1:44">
      <c r="A87" s="94">
        <v>13.1</v>
      </c>
      <c r="B87" s="79">
        <v>108</v>
      </c>
      <c r="C87" s="79">
        <v>91</v>
      </c>
      <c r="D87" s="80">
        <v>-38</v>
      </c>
      <c r="E87" s="79">
        <v>29</v>
      </c>
      <c r="F87" s="6">
        <v>13.53</v>
      </c>
      <c r="G87" s="79">
        <v>6670</v>
      </c>
      <c r="H87" s="8" t="s">
        <v>235</v>
      </c>
      <c r="I87" s="22" t="s">
        <v>1090</v>
      </c>
      <c r="J87" s="102" t="s">
        <v>6167</v>
      </c>
      <c r="L87" s="156">
        <v>1</v>
      </c>
      <c r="M87" s="337">
        <v>0</v>
      </c>
      <c r="N87" s="240">
        <v>1</v>
      </c>
      <c r="O87" s="359">
        <v>1134</v>
      </c>
      <c r="P87" s="79">
        <v>541</v>
      </c>
      <c r="Q87" s="342">
        <v>255</v>
      </c>
      <c r="R87" s="81">
        <v>254</v>
      </c>
      <c r="S87" s="324">
        <v>747</v>
      </c>
      <c r="T87" s="34">
        <v>12</v>
      </c>
      <c r="U87" s="307">
        <f t="shared" si="98"/>
        <v>5.7831325301204821E-2</v>
      </c>
      <c r="V87" s="94">
        <v>18.03</v>
      </c>
      <c r="W87" s="36">
        <v>207.5</v>
      </c>
      <c r="X87" s="66">
        <v>202.5</v>
      </c>
      <c r="Y87" s="15">
        <f t="shared" si="99"/>
        <v>5</v>
      </c>
      <c r="Z87" s="63">
        <f t="shared" si="100"/>
        <v>2.4691358024691357E-2</v>
      </c>
      <c r="AA87" s="340">
        <v>-15.97</v>
      </c>
      <c r="AC87" s="22" t="s">
        <v>1090</v>
      </c>
      <c r="AD87" s="84">
        <v>44650</v>
      </c>
      <c r="AE87" s="83">
        <v>44663</v>
      </c>
      <c r="AF87" s="33">
        <f t="shared" si="101"/>
        <v>13</v>
      </c>
      <c r="AG87" s="453" t="s">
        <v>3059</v>
      </c>
      <c r="AH87" s="156"/>
      <c r="AI87" s="337"/>
      <c r="AJ87" s="239"/>
      <c r="AR87" s="402" t="str">
        <f>INDEX(基本資料!N:N,MATCH($G87,基本資料!A:A,0))</f>
        <v>中</v>
      </c>
    </row>
    <row r="88" spans="1:44">
      <c r="A88" s="94">
        <v>8.89</v>
      </c>
      <c r="B88" s="79">
        <v>804</v>
      </c>
      <c r="C88" s="79">
        <v>317</v>
      </c>
      <c r="D88" s="79">
        <v>7</v>
      </c>
      <c r="E88" s="79">
        <v>81</v>
      </c>
      <c r="F88" s="6">
        <v>20.85</v>
      </c>
      <c r="G88" s="79">
        <v>8478</v>
      </c>
      <c r="H88" s="5" t="s">
        <v>235</v>
      </c>
      <c r="I88" s="22" t="s">
        <v>1094</v>
      </c>
      <c r="J88" s="102" t="s">
        <v>4718</v>
      </c>
      <c r="L88" s="247"/>
      <c r="O88" s="359">
        <v>762</v>
      </c>
      <c r="P88" s="79">
        <v>372</v>
      </c>
      <c r="Q88" s="342">
        <v>95</v>
      </c>
      <c r="R88" s="81">
        <v>215</v>
      </c>
      <c r="S88" s="324">
        <v>323</v>
      </c>
      <c r="T88" s="34">
        <v>5</v>
      </c>
      <c r="U88" s="307">
        <f t="shared" si="98"/>
        <v>3.3222591362126248E-2</v>
      </c>
      <c r="V88" s="94">
        <v>9.5500000000000007</v>
      </c>
      <c r="W88" s="36">
        <v>150.5</v>
      </c>
      <c r="X88" s="66">
        <v>147.5</v>
      </c>
      <c r="Y88" s="15">
        <f t="shared" si="99"/>
        <v>3</v>
      </c>
      <c r="Z88" s="63">
        <f t="shared" si="100"/>
        <v>2.0338983050847456E-2</v>
      </c>
      <c r="AA88" s="340">
        <v>-19.510000000000002</v>
      </c>
      <c r="AC88" s="22" t="s">
        <v>1094</v>
      </c>
      <c r="AD88" s="84">
        <v>44651</v>
      </c>
      <c r="AE88" s="83">
        <v>44662</v>
      </c>
      <c r="AF88" s="33">
        <f t="shared" si="101"/>
        <v>11</v>
      </c>
      <c r="AG88" s="453" t="s">
        <v>2833</v>
      </c>
      <c r="AH88" s="334"/>
      <c r="AI88" s="335"/>
      <c r="AJ88" s="398"/>
      <c r="AR88" s="402" t="str">
        <f>INDEX(基本資料!N:N,MATCH($G88,基本資料!A:A,0))</f>
        <v>高</v>
      </c>
    </row>
    <row r="89" spans="1:44">
      <c r="A89" s="94">
        <v>8.89</v>
      </c>
      <c r="B89" s="79">
        <v>804</v>
      </c>
      <c r="C89" s="79">
        <v>317</v>
      </c>
      <c r="D89" s="79">
        <v>7</v>
      </c>
      <c r="E89" s="79">
        <v>81</v>
      </c>
      <c r="F89" s="6">
        <v>20.85</v>
      </c>
      <c r="G89" s="79">
        <v>8478</v>
      </c>
      <c r="H89" s="5" t="s">
        <v>235</v>
      </c>
      <c r="I89" s="22" t="s">
        <v>1094</v>
      </c>
      <c r="J89" s="102" t="s">
        <v>4718</v>
      </c>
      <c r="L89" s="247"/>
      <c r="O89" s="359">
        <v>762</v>
      </c>
      <c r="P89" s="79">
        <v>372</v>
      </c>
      <c r="Q89" s="342">
        <v>95</v>
      </c>
      <c r="R89" s="81">
        <v>215</v>
      </c>
      <c r="S89" s="324">
        <v>323</v>
      </c>
      <c r="T89" s="34">
        <v>5</v>
      </c>
      <c r="U89" s="307">
        <f t="shared" si="98"/>
        <v>3.3222591362126248E-2</v>
      </c>
      <c r="V89" s="94">
        <v>9.5500000000000007</v>
      </c>
      <c r="W89" s="36">
        <v>150.5</v>
      </c>
      <c r="X89" s="66">
        <v>146.5</v>
      </c>
      <c r="Y89" s="15">
        <f t="shared" si="99"/>
        <v>4</v>
      </c>
      <c r="Z89" s="63">
        <f t="shared" si="100"/>
        <v>2.7303754266211604E-2</v>
      </c>
      <c r="AA89" s="340">
        <v>-21.95</v>
      </c>
      <c r="AC89" s="22" t="s">
        <v>1094</v>
      </c>
      <c r="AD89" s="84">
        <v>44650</v>
      </c>
      <c r="AE89" s="83">
        <v>44662</v>
      </c>
      <c r="AF89" s="33">
        <f t="shared" si="101"/>
        <v>12</v>
      </c>
      <c r="AG89" s="453" t="s">
        <v>2833</v>
      </c>
      <c r="AH89" s="63"/>
      <c r="AI89" s="283"/>
      <c r="AR89" s="402" t="str">
        <f>INDEX(基本資料!N:N,MATCH($G89,基本資料!A:A,0))</f>
        <v>高</v>
      </c>
    </row>
    <row r="90" spans="1:44">
      <c r="A90" s="94">
        <v>4.18</v>
      </c>
      <c r="B90" s="79">
        <v>40</v>
      </c>
      <c r="C90" s="79">
        <v>35</v>
      </c>
      <c r="D90" s="80">
        <v>-72</v>
      </c>
      <c r="E90" s="80">
        <v>-52</v>
      </c>
      <c r="F90" s="6">
        <v>47.66</v>
      </c>
      <c r="G90" s="79">
        <v>4171</v>
      </c>
      <c r="H90" s="8" t="s">
        <v>1037</v>
      </c>
      <c r="I90" s="16" t="s">
        <v>1038</v>
      </c>
      <c r="J90" s="8" t="s">
        <v>6167</v>
      </c>
      <c r="L90" s="123"/>
      <c r="O90" s="359">
        <v>37</v>
      </c>
      <c r="P90" s="79">
        <v>138</v>
      </c>
      <c r="Q90" s="342">
        <v>262</v>
      </c>
      <c r="R90" s="81" t="s">
        <v>6279</v>
      </c>
      <c r="S90" s="324">
        <v>139</v>
      </c>
      <c r="T90" s="34">
        <v>6</v>
      </c>
      <c r="U90" s="307">
        <f t="shared" si="98"/>
        <v>5.0632911392405063E-2</v>
      </c>
      <c r="V90" s="94">
        <v>9.14</v>
      </c>
      <c r="W90" s="36">
        <v>118.5</v>
      </c>
      <c r="X90" s="66">
        <v>116</v>
      </c>
      <c r="Y90" s="15">
        <f t="shared" si="99"/>
        <v>2.5</v>
      </c>
      <c r="Z90" s="63">
        <f t="shared" si="100"/>
        <v>2.1551724137931036E-2</v>
      </c>
      <c r="AA90" s="340">
        <v>-34.92</v>
      </c>
      <c r="AC90" s="16" t="s">
        <v>1038</v>
      </c>
      <c r="AD90" s="84">
        <v>44659</v>
      </c>
      <c r="AE90" s="311">
        <v>44659</v>
      </c>
      <c r="AF90" s="33">
        <f t="shared" si="101"/>
        <v>0</v>
      </c>
      <c r="AG90" s="453" t="s">
        <v>2702</v>
      </c>
      <c r="AH90" s="63"/>
      <c r="AI90" s="283"/>
      <c r="AR90" s="402" t="str">
        <f>INDEX(基本資料!N:N,MATCH($G90,基本資料!A:A,0))</f>
        <v>中</v>
      </c>
    </row>
    <row r="91" spans="1:44">
      <c r="A91" s="94">
        <v>6.6</v>
      </c>
      <c r="B91" s="80">
        <v>-17</v>
      </c>
      <c r="C91" s="80">
        <v>-14</v>
      </c>
      <c r="D91" s="80">
        <v>-14</v>
      </c>
      <c r="E91" s="79">
        <v>11</v>
      </c>
      <c r="F91" s="6">
        <v>10.97</v>
      </c>
      <c r="G91" s="79">
        <v>2753</v>
      </c>
      <c r="H91" s="8" t="s">
        <v>303</v>
      </c>
      <c r="I91" s="22" t="s">
        <v>3420</v>
      </c>
      <c r="J91" s="102" t="s">
        <v>4718</v>
      </c>
      <c r="L91" s="123"/>
      <c r="O91" s="359">
        <v>581</v>
      </c>
      <c r="P91" s="79" t="s">
        <v>6279</v>
      </c>
      <c r="Q91" s="342">
        <v>1043</v>
      </c>
      <c r="R91" s="81" t="s">
        <v>6279</v>
      </c>
      <c r="S91" s="324">
        <v>891</v>
      </c>
      <c r="T91" s="34">
        <v>4.2300000000000004</v>
      </c>
      <c r="U91" s="307">
        <f t="shared" si="98"/>
        <v>3.1449814126394054E-2</v>
      </c>
      <c r="V91" s="94">
        <v>8.89</v>
      </c>
      <c r="W91" s="36">
        <v>134.5</v>
      </c>
      <c r="X91" s="66">
        <v>131</v>
      </c>
      <c r="Y91" s="15">
        <f t="shared" si="99"/>
        <v>3.5</v>
      </c>
      <c r="Z91" s="63">
        <f t="shared" si="100"/>
        <v>2.6717557251908396E-2</v>
      </c>
      <c r="AA91" s="340">
        <v>-35.71</v>
      </c>
      <c r="AC91" s="22" t="s">
        <v>3420</v>
      </c>
      <c r="AD91" s="84">
        <v>44651</v>
      </c>
      <c r="AE91" s="83">
        <v>44657</v>
      </c>
      <c r="AF91" s="33">
        <f t="shared" si="101"/>
        <v>6</v>
      </c>
      <c r="AG91" s="453" t="s">
        <v>2998</v>
      </c>
      <c r="AH91" s="63"/>
      <c r="AI91" s="283"/>
      <c r="AR91" s="402" t="str">
        <f>INDEX(基本資料!N:N,MATCH($G91,基本資料!A:A,0))</f>
        <v>無</v>
      </c>
    </row>
    <row r="92" spans="1:44">
      <c r="A92" s="94">
        <v>7.09</v>
      </c>
      <c r="B92" s="79">
        <v>78</v>
      </c>
      <c r="C92" s="79">
        <v>85</v>
      </c>
      <c r="D92" s="79">
        <v>1</v>
      </c>
      <c r="E92" s="79">
        <v>1</v>
      </c>
      <c r="F92" s="6">
        <v>17.53</v>
      </c>
      <c r="G92" s="79">
        <v>3661</v>
      </c>
      <c r="H92" s="8" t="s">
        <v>3038</v>
      </c>
      <c r="I92" s="22" t="s">
        <v>4051</v>
      </c>
      <c r="J92" s="102" t="s">
        <v>3544</v>
      </c>
      <c r="L92" s="123"/>
      <c r="O92" s="359">
        <v>450</v>
      </c>
      <c r="P92" s="79">
        <v>109</v>
      </c>
      <c r="Q92" s="342">
        <v>51</v>
      </c>
      <c r="R92" s="81">
        <v>6</v>
      </c>
      <c r="S92" s="324">
        <v>39</v>
      </c>
      <c r="T92" s="34">
        <v>10.59</v>
      </c>
      <c r="U92" s="307">
        <f t="shared" si="98"/>
        <v>9.371681415929204E-3</v>
      </c>
      <c r="V92" s="94">
        <v>21.4</v>
      </c>
      <c r="W92" s="366">
        <v>1130</v>
      </c>
      <c r="X92" s="66">
        <v>1090</v>
      </c>
      <c r="Y92" s="137">
        <f t="shared" si="99"/>
        <v>40</v>
      </c>
      <c r="Z92" s="63">
        <f t="shared" si="100"/>
        <v>3.669724770642202E-2</v>
      </c>
      <c r="AA92" s="340">
        <v>-17.739999999999998</v>
      </c>
      <c r="AC92" s="22" t="s">
        <v>4051</v>
      </c>
      <c r="AD92" s="84">
        <v>44651</v>
      </c>
      <c r="AE92" s="83">
        <v>44652</v>
      </c>
      <c r="AF92" s="33">
        <f t="shared" si="101"/>
        <v>1</v>
      </c>
      <c r="AG92" s="453" t="s">
        <v>3040</v>
      </c>
      <c r="AH92" s="63"/>
      <c r="AI92" s="283"/>
      <c r="AR92" s="402" t="str">
        <f>INDEX(基本資料!N:N,MATCH($G92,基本資料!A:A,0))</f>
        <v>中</v>
      </c>
    </row>
    <row r="93" spans="1:44">
      <c r="A93" s="94">
        <v>7.09</v>
      </c>
      <c r="B93" s="79">
        <v>78</v>
      </c>
      <c r="C93" s="79">
        <v>85</v>
      </c>
      <c r="D93" s="79">
        <v>1</v>
      </c>
      <c r="E93" s="79">
        <v>1</v>
      </c>
      <c r="F93" s="6">
        <v>17.53</v>
      </c>
      <c r="G93" s="79">
        <v>3661</v>
      </c>
      <c r="H93" s="8" t="s">
        <v>3038</v>
      </c>
      <c r="I93" s="22" t="s">
        <v>4051</v>
      </c>
      <c r="J93" s="102" t="s">
        <v>3544</v>
      </c>
      <c r="L93" s="123"/>
      <c r="O93" s="359">
        <v>450</v>
      </c>
      <c r="P93" s="79">
        <v>109</v>
      </c>
      <c r="Q93" s="342">
        <v>51</v>
      </c>
      <c r="R93" s="81">
        <v>6</v>
      </c>
      <c r="S93" s="324">
        <v>39</v>
      </c>
      <c r="T93" s="34">
        <v>10.59</v>
      </c>
      <c r="U93" s="307">
        <f t="shared" ref="U93" si="102">T93/W93</f>
        <v>9.371681415929204E-3</v>
      </c>
      <c r="V93" s="94">
        <v>21.4</v>
      </c>
      <c r="W93" s="366">
        <v>1130</v>
      </c>
      <c r="X93" s="66">
        <v>1090</v>
      </c>
      <c r="Y93" s="137">
        <f t="shared" ref="Y93" si="103">W93-X93</f>
        <v>40</v>
      </c>
      <c r="Z93" s="63">
        <f t="shared" ref="Z93" si="104">Y93/X93</f>
        <v>3.669724770642202E-2</v>
      </c>
      <c r="AA93" s="340">
        <v>-17.739999999999998</v>
      </c>
      <c r="AC93" s="22" t="s">
        <v>4051</v>
      </c>
      <c r="AD93" s="84">
        <v>44651</v>
      </c>
      <c r="AE93" s="83">
        <v>44652</v>
      </c>
      <c r="AF93" s="33">
        <f t="shared" ref="AF93" si="105">AE93-AD93</f>
        <v>1</v>
      </c>
      <c r="AG93" s="453" t="s">
        <v>3040</v>
      </c>
      <c r="AH93" s="63"/>
      <c r="AI93" s="283"/>
      <c r="AR93" s="402" t="str">
        <f>INDEX(基本資料!N:N,MATCH($G93,基本資料!A:A,0))</f>
        <v>中</v>
      </c>
    </row>
    <row r="94" spans="1:44">
      <c r="A94" s="94">
        <v>7.09</v>
      </c>
      <c r="B94" s="79">
        <v>78</v>
      </c>
      <c r="C94" s="79">
        <v>85</v>
      </c>
      <c r="D94" s="79">
        <v>1</v>
      </c>
      <c r="E94" s="79">
        <v>1</v>
      </c>
      <c r="F94" s="6">
        <v>17.53</v>
      </c>
      <c r="G94" s="79">
        <v>3661</v>
      </c>
      <c r="H94" s="8" t="s">
        <v>3038</v>
      </c>
      <c r="I94" s="22" t="s">
        <v>4051</v>
      </c>
      <c r="J94" s="102" t="s">
        <v>3544</v>
      </c>
      <c r="L94" s="123"/>
      <c r="O94" s="359">
        <v>450</v>
      </c>
      <c r="P94" s="79">
        <v>109</v>
      </c>
      <c r="Q94" s="342">
        <v>51</v>
      </c>
      <c r="R94" s="81">
        <v>6</v>
      </c>
      <c r="S94" s="324">
        <v>39</v>
      </c>
      <c r="T94" s="34">
        <v>10.59</v>
      </c>
      <c r="U94" s="307">
        <f>T94/W94</f>
        <v>9.4133333333333326E-3</v>
      </c>
      <c r="V94" s="94">
        <v>21.4</v>
      </c>
      <c r="W94" s="366">
        <v>1125</v>
      </c>
      <c r="X94" s="66">
        <v>1130</v>
      </c>
      <c r="Y94" s="137">
        <f>W94-X94</f>
        <v>-5</v>
      </c>
      <c r="Z94" s="63">
        <f>Y94/X94</f>
        <v>-4.4247787610619468E-3</v>
      </c>
      <c r="AA94" s="340">
        <v>-17.36</v>
      </c>
      <c r="AC94" s="22" t="s">
        <v>4051</v>
      </c>
      <c r="AD94" s="84">
        <v>44650</v>
      </c>
      <c r="AE94" s="83">
        <v>44652</v>
      </c>
      <c r="AF94" s="33">
        <f>AE94-AD94</f>
        <v>2</v>
      </c>
      <c r="AG94" s="453" t="s">
        <v>3040</v>
      </c>
      <c r="AH94" s="63"/>
      <c r="AI94" s="283"/>
      <c r="AR94" s="402" t="str">
        <f>INDEX(基本資料!N:N,MATCH($G94,基本資料!A:A,0))</f>
        <v>中</v>
      </c>
    </row>
    <row r="95" spans="1:44">
      <c r="A95" s="94">
        <v>6.22</v>
      </c>
      <c r="B95" s="79">
        <v>80</v>
      </c>
      <c r="C95" s="79">
        <v>24</v>
      </c>
      <c r="D95" s="80">
        <v>-23</v>
      </c>
      <c r="E95" s="79">
        <v>26</v>
      </c>
      <c r="F95" s="6">
        <v>12.59</v>
      </c>
      <c r="G95" s="79">
        <v>3491</v>
      </c>
      <c r="H95" s="8" t="s">
        <v>311</v>
      </c>
      <c r="I95" s="16" t="s">
        <v>4367</v>
      </c>
      <c r="J95" s="102" t="s">
        <v>3542</v>
      </c>
      <c r="L95" s="123"/>
      <c r="O95" s="359">
        <v>104</v>
      </c>
      <c r="P95" s="79">
        <v>224</v>
      </c>
      <c r="Q95" s="342">
        <v>419</v>
      </c>
      <c r="R95" s="81">
        <v>96</v>
      </c>
      <c r="S95" s="324">
        <v>16</v>
      </c>
      <c r="T95" s="34">
        <v>4</v>
      </c>
      <c r="U95" s="307">
        <f>T95/W95</f>
        <v>2.0671834625322998E-2</v>
      </c>
      <c r="V95" s="94">
        <v>3.81</v>
      </c>
      <c r="W95" s="36">
        <v>193.5</v>
      </c>
      <c r="X95" s="66">
        <v>189.5</v>
      </c>
      <c r="Y95" s="15">
        <f>W95-X95</f>
        <v>4</v>
      </c>
      <c r="Z95" s="63">
        <f>Y95/X95</f>
        <v>2.1108179419525065E-2</v>
      </c>
      <c r="AA95" s="340">
        <v>-16.38</v>
      </c>
      <c r="AC95" s="16" t="s">
        <v>4367</v>
      </c>
      <c r="AD95" s="84">
        <v>44651</v>
      </c>
      <c r="AE95" s="83">
        <v>44652</v>
      </c>
      <c r="AF95" s="33">
        <f>AE95-AD95</f>
        <v>1</v>
      </c>
      <c r="AG95" s="454" t="s">
        <v>4368</v>
      </c>
      <c r="AH95" s="63"/>
      <c r="AI95" s="283"/>
      <c r="AR95" s="402" t="str">
        <f>INDEX(基本資料!N:N,MATCH($G95,基本資料!A:A,0))</f>
        <v>中</v>
      </c>
    </row>
    <row r="96" spans="1:44" s="248" customFormat="1">
      <c r="A96" s="384"/>
      <c r="B96" s="79"/>
      <c r="C96" s="79"/>
      <c r="D96" s="79"/>
      <c r="E96" s="79"/>
      <c r="F96" s="6"/>
      <c r="G96" s="41"/>
      <c r="H96" s="8"/>
      <c r="I96" s="153"/>
      <c r="J96" s="1"/>
      <c r="K96" s="5"/>
      <c r="L96" s="163"/>
      <c r="O96" s="359"/>
      <c r="P96" s="47"/>
      <c r="Q96" s="342"/>
      <c r="R96" s="282"/>
      <c r="S96" s="319"/>
      <c r="T96" s="185"/>
      <c r="U96" s="305"/>
      <c r="V96" s="94"/>
      <c r="W96" s="304">
        <f>SUM(W81:W95)</f>
        <v>6146</v>
      </c>
      <c r="X96" s="295">
        <f>SUM(X81:X95)</f>
        <v>6008.3</v>
      </c>
      <c r="Y96" s="162">
        <f t="shared" ref="Y96" si="106">W96-X96</f>
        <v>137.69999999999982</v>
      </c>
      <c r="Z96" s="158">
        <f t="shared" ref="Z96" si="107">Y96/X96</f>
        <v>2.2918296356706527E-2</v>
      </c>
      <c r="AA96" s="100"/>
      <c r="AB96" s="378"/>
      <c r="AC96" s="227">
        <f>W96*(0.001425*0.5)+W96*0.003+X96*(0.001425*0.5)</f>
        <v>27.097938750000001</v>
      </c>
      <c r="AD96" s="6">
        <f>Y96-AC96</f>
        <v>110.60206124999982</v>
      </c>
      <c r="AE96" s="83"/>
      <c r="AF96" s="33"/>
      <c r="AG96" s="132" t="s">
        <v>6213</v>
      </c>
      <c r="AR96" s="402"/>
    </row>
    <row r="97" spans="1:44">
      <c r="B97" s="79"/>
      <c r="C97" s="79"/>
      <c r="D97" s="80"/>
      <c r="E97" s="79"/>
      <c r="F97" s="6"/>
      <c r="G97" s="79"/>
      <c r="H97" s="8"/>
      <c r="I97" s="16"/>
      <c r="J97" s="102"/>
      <c r="L97" s="123"/>
      <c r="O97" s="359"/>
      <c r="P97" s="47"/>
      <c r="Q97" s="342"/>
      <c r="R97" s="81"/>
      <c r="S97" s="324"/>
      <c r="T97" s="34"/>
      <c r="U97" s="307"/>
      <c r="V97" s="94"/>
      <c r="W97" s="36"/>
      <c r="X97" s="66"/>
      <c r="Y97" s="15"/>
      <c r="Z97" s="63"/>
      <c r="AC97" s="16"/>
      <c r="AF97" s="33"/>
      <c r="AG97" s="454"/>
      <c r="AH97" s="63"/>
      <c r="AI97" s="283"/>
      <c r="AR97" s="402"/>
    </row>
    <row r="98" spans="1:44">
      <c r="A98" s="94">
        <v>29.3</v>
      </c>
      <c r="B98" s="79">
        <v>11</v>
      </c>
      <c r="C98" s="79">
        <v>11</v>
      </c>
      <c r="D98" s="80">
        <v>-10</v>
      </c>
      <c r="E98" s="79">
        <v>9</v>
      </c>
      <c r="F98" s="6">
        <v>26.71</v>
      </c>
      <c r="G98" s="80">
        <v>8464</v>
      </c>
      <c r="H98" s="192" t="s">
        <v>235</v>
      </c>
      <c r="I98" s="22" t="s">
        <v>257</v>
      </c>
      <c r="J98" s="102" t="s">
        <v>4718</v>
      </c>
      <c r="L98" s="245"/>
      <c r="O98" s="359">
        <v>703</v>
      </c>
      <c r="P98" s="79">
        <v>693</v>
      </c>
      <c r="Q98" s="342">
        <v>88</v>
      </c>
      <c r="R98" s="81">
        <v>293</v>
      </c>
      <c r="S98" s="324">
        <v>891</v>
      </c>
      <c r="T98" s="34">
        <v>11</v>
      </c>
      <c r="U98" s="307">
        <f>T98/W98</f>
        <v>3.2448377581120944E-2</v>
      </c>
      <c r="V98" s="94">
        <v>18.16</v>
      </c>
      <c r="W98" s="36">
        <v>339</v>
      </c>
      <c r="X98" s="66">
        <v>334.5</v>
      </c>
      <c r="Y98" s="15">
        <f t="shared" ref="Y98:Y103" si="108">W98-X98</f>
        <v>4.5</v>
      </c>
      <c r="Z98" s="63">
        <f t="shared" ref="Z98:Z103" si="109">Y98/X98</f>
        <v>1.3452914798206279E-2</v>
      </c>
      <c r="AA98" s="340">
        <v>-34.33</v>
      </c>
      <c r="AC98" s="22" t="s">
        <v>257</v>
      </c>
      <c r="AD98" s="84">
        <v>44650</v>
      </c>
      <c r="AE98" s="83">
        <v>44651</v>
      </c>
      <c r="AF98" s="33">
        <f t="shared" ref="AF98:AF103" si="110">AE98-AD98</f>
        <v>1</v>
      </c>
      <c r="AG98" s="454" t="s">
        <v>1417</v>
      </c>
      <c r="AH98" s="63"/>
      <c r="AI98" s="283"/>
      <c r="AR98" s="402" t="str">
        <f>INDEX(基本資料!N:N,MATCH($G98,基本資料!A:A,0))</f>
        <v>低</v>
      </c>
    </row>
    <row r="99" spans="1:44">
      <c r="A99" s="94">
        <v>29.8</v>
      </c>
      <c r="B99" s="79">
        <v>61</v>
      </c>
      <c r="C99" s="79">
        <v>56</v>
      </c>
      <c r="D99" s="80">
        <v>-16</v>
      </c>
      <c r="E99" s="79">
        <v>25</v>
      </c>
      <c r="F99" s="6">
        <v>23.18</v>
      </c>
      <c r="G99" s="80">
        <v>9938</v>
      </c>
      <c r="H99" s="8" t="s">
        <v>235</v>
      </c>
      <c r="I99" s="22" t="s">
        <v>136</v>
      </c>
      <c r="J99" s="102" t="s">
        <v>4718</v>
      </c>
      <c r="L99" s="123"/>
      <c r="O99" s="359">
        <v>1075</v>
      </c>
      <c r="P99" s="79">
        <v>437</v>
      </c>
      <c r="Q99" s="342">
        <v>177</v>
      </c>
      <c r="R99" s="81">
        <v>491</v>
      </c>
      <c r="S99" s="324">
        <v>439</v>
      </c>
      <c r="T99" s="34">
        <v>3.5</v>
      </c>
      <c r="U99" s="307">
        <f>T99/W99</f>
        <v>4.8814504881450484E-2</v>
      </c>
      <c r="V99" s="94">
        <v>6.8</v>
      </c>
      <c r="W99" s="36">
        <v>71.7</v>
      </c>
      <c r="X99" s="66">
        <v>70.099999999999994</v>
      </c>
      <c r="Y99" s="15">
        <f t="shared" si="108"/>
        <v>1.6000000000000085</v>
      </c>
      <c r="Z99" s="63">
        <f t="shared" si="109"/>
        <v>2.2824536376604972E-2</v>
      </c>
      <c r="AA99" s="340">
        <v>-36.42</v>
      </c>
      <c r="AC99" s="22" t="s">
        <v>136</v>
      </c>
      <c r="AD99" s="84">
        <v>44650</v>
      </c>
      <c r="AE99" s="83">
        <v>44651</v>
      </c>
      <c r="AF99" s="33">
        <f t="shared" si="110"/>
        <v>1</v>
      </c>
      <c r="AG99" s="454" t="s">
        <v>2848</v>
      </c>
      <c r="AH99" s="63"/>
      <c r="AI99" s="283"/>
      <c r="AR99" s="402" t="str">
        <f>INDEX(基本資料!N:N,MATCH($G99,基本資料!A:A,0))</f>
        <v>低</v>
      </c>
    </row>
    <row r="100" spans="1:44">
      <c r="A100" s="94">
        <v>6.6</v>
      </c>
      <c r="B100" s="80">
        <v>-17</v>
      </c>
      <c r="C100" s="80">
        <v>-14</v>
      </c>
      <c r="D100" s="80">
        <v>-14</v>
      </c>
      <c r="E100" s="79">
        <v>11</v>
      </c>
      <c r="F100" s="6">
        <v>10.97</v>
      </c>
      <c r="G100" s="79">
        <v>2753</v>
      </c>
      <c r="H100" s="8" t="s">
        <v>303</v>
      </c>
      <c r="I100" s="22" t="s">
        <v>3420</v>
      </c>
      <c r="J100" s="102" t="s">
        <v>4718</v>
      </c>
      <c r="L100" s="123"/>
      <c r="O100" s="359">
        <v>581</v>
      </c>
      <c r="P100" s="79" t="s">
        <v>6279</v>
      </c>
      <c r="Q100" s="342">
        <v>1043</v>
      </c>
      <c r="R100" s="81" t="s">
        <v>6279</v>
      </c>
      <c r="S100" s="324">
        <v>891</v>
      </c>
      <c r="T100" s="34">
        <v>4.2300000000000004</v>
      </c>
      <c r="U100" s="307">
        <f>T100/W100</f>
        <v>3.1804511278195495E-2</v>
      </c>
      <c r="V100" s="94">
        <v>8.89</v>
      </c>
      <c r="W100" s="36">
        <v>133</v>
      </c>
      <c r="X100" s="66">
        <v>130</v>
      </c>
      <c r="Y100" s="15">
        <f t="shared" si="108"/>
        <v>3</v>
      </c>
      <c r="Z100" s="63">
        <f t="shared" si="109"/>
        <v>2.3076923076923078E-2</v>
      </c>
      <c r="AA100" s="340">
        <v>-36.450000000000003</v>
      </c>
      <c r="AC100" s="22" t="s">
        <v>3420</v>
      </c>
      <c r="AD100" s="84">
        <v>44650</v>
      </c>
      <c r="AE100" s="83">
        <v>44651</v>
      </c>
      <c r="AF100" s="33">
        <f t="shared" si="110"/>
        <v>1</v>
      </c>
      <c r="AG100" s="453" t="s">
        <v>2998</v>
      </c>
      <c r="AH100" s="63"/>
      <c r="AI100" s="283"/>
      <c r="AR100" s="402" t="str">
        <f>INDEX(基本資料!N:N,MATCH($G100,基本資料!A:A,0))</f>
        <v>無</v>
      </c>
    </row>
    <row r="101" spans="1:44">
      <c r="A101" s="94">
        <v>8.1300000000000008</v>
      </c>
      <c r="B101" s="79">
        <v>231</v>
      </c>
      <c r="C101" s="79">
        <v>245</v>
      </c>
      <c r="D101" s="80">
        <v>-6</v>
      </c>
      <c r="E101" s="79">
        <v>28</v>
      </c>
      <c r="F101" s="6">
        <v>19.72</v>
      </c>
      <c r="G101" s="79">
        <v>8261</v>
      </c>
      <c r="H101" s="5" t="s">
        <v>3038</v>
      </c>
      <c r="I101" s="22" t="s">
        <v>322</v>
      </c>
      <c r="J101" s="8" t="s">
        <v>3542</v>
      </c>
      <c r="L101" s="123"/>
      <c r="O101" s="359">
        <v>40</v>
      </c>
      <c r="P101" s="79">
        <v>114</v>
      </c>
      <c r="Q101" s="342">
        <v>407</v>
      </c>
      <c r="R101" s="81">
        <v>491</v>
      </c>
      <c r="S101" s="324">
        <v>25</v>
      </c>
      <c r="T101" s="34">
        <v>6</v>
      </c>
      <c r="U101" s="307">
        <f>T101/W101</f>
        <v>5.2173913043478258E-2</v>
      </c>
      <c r="V101" s="94">
        <v>8.0299999999999994</v>
      </c>
      <c r="W101" s="36">
        <v>115</v>
      </c>
      <c r="X101" s="66">
        <v>112.5</v>
      </c>
      <c r="Y101" s="15">
        <f t="shared" si="108"/>
        <v>2.5</v>
      </c>
      <c r="Z101" s="63">
        <f t="shared" si="109"/>
        <v>2.2222222222222223E-2</v>
      </c>
      <c r="AA101" s="340">
        <v>-19.34</v>
      </c>
      <c r="AC101" s="22" t="s">
        <v>322</v>
      </c>
      <c r="AD101" s="84">
        <v>44649</v>
      </c>
      <c r="AE101" s="83">
        <v>44650</v>
      </c>
      <c r="AF101" s="33">
        <f t="shared" si="110"/>
        <v>1</v>
      </c>
      <c r="AG101" s="453" t="s">
        <v>2175</v>
      </c>
      <c r="AH101" s="63"/>
      <c r="AI101" s="283"/>
      <c r="AR101" s="402" t="str">
        <f>INDEX(基本資料!N:N,MATCH($G101,基本資料!A:A,0))</f>
        <v>中</v>
      </c>
    </row>
    <row r="102" spans="1:44">
      <c r="A102" s="94">
        <v>19.7</v>
      </c>
      <c r="B102" s="80">
        <v>-6</v>
      </c>
      <c r="C102" s="79">
        <v>133</v>
      </c>
      <c r="D102" s="80">
        <v>-2</v>
      </c>
      <c r="E102" s="79">
        <v>45</v>
      </c>
      <c r="F102" s="6">
        <v>14.52</v>
      </c>
      <c r="G102" s="79">
        <v>8299</v>
      </c>
      <c r="H102" s="193" t="s">
        <v>3038</v>
      </c>
      <c r="I102" s="16" t="s">
        <v>4072</v>
      </c>
      <c r="J102" s="8" t="s">
        <v>3544</v>
      </c>
      <c r="L102" s="123"/>
      <c r="O102" s="359">
        <v>404</v>
      </c>
      <c r="P102" s="79">
        <v>104</v>
      </c>
      <c r="Q102" s="342">
        <v>132</v>
      </c>
      <c r="R102" s="81">
        <v>79</v>
      </c>
      <c r="S102" s="324">
        <v>191</v>
      </c>
      <c r="T102" s="34">
        <v>13</v>
      </c>
      <c r="U102" s="307">
        <f t="shared" ref="U102" si="111">T102/W102</f>
        <v>2.6262626262626262E-2</v>
      </c>
      <c r="V102" s="94">
        <v>51.35</v>
      </c>
      <c r="W102" s="36">
        <v>495</v>
      </c>
      <c r="X102" s="66">
        <v>483.5</v>
      </c>
      <c r="Y102" s="15">
        <f t="shared" si="108"/>
        <v>11.5</v>
      </c>
      <c r="Z102" s="63">
        <f t="shared" si="109"/>
        <v>2.3784901758014478E-2</v>
      </c>
      <c r="AA102" s="340">
        <v>-21.61</v>
      </c>
      <c r="AC102" s="16" t="s">
        <v>4072</v>
      </c>
      <c r="AD102" s="84">
        <v>44638</v>
      </c>
      <c r="AE102" s="83">
        <v>44650</v>
      </c>
      <c r="AF102" s="33">
        <f t="shared" si="110"/>
        <v>12</v>
      </c>
      <c r="AG102" s="454" t="s">
        <v>2128</v>
      </c>
      <c r="AH102" s="63"/>
      <c r="AI102" s="283"/>
      <c r="AR102" s="402" t="str">
        <f>INDEX(基本資料!N:N,MATCH($G102,基本資料!A:A,0))</f>
        <v>低</v>
      </c>
    </row>
    <row r="103" spans="1:44">
      <c r="A103" s="94">
        <v>9.01</v>
      </c>
      <c r="B103" s="79">
        <v>8</v>
      </c>
      <c r="C103" s="79">
        <v>1</v>
      </c>
      <c r="D103" s="79">
        <v>0</v>
      </c>
      <c r="E103" s="79">
        <v>50</v>
      </c>
      <c r="F103" s="6">
        <v>25.71</v>
      </c>
      <c r="G103" s="80">
        <v>3217</v>
      </c>
      <c r="H103" s="8" t="s">
        <v>308</v>
      </c>
      <c r="I103" s="16" t="s">
        <v>402</v>
      </c>
      <c r="J103" s="50" t="s">
        <v>4743</v>
      </c>
      <c r="L103" s="123"/>
      <c r="O103" s="359">
        <v>440</v>
      </c>
      <c r="P103" s="79">
        <v>767</v>
      </c>
      <c r="Q103" s="342">
        <v>888</v>
      </c>
      <c r="R103" s="81">
        <v>62</v>
      </c>
      <c r="S103" s="324">
        <v>143</v>
      </c>
      <c r="T103" s="34">
        <v>5.6</v>
      </c>
      <c r="U103" s="307">
        <f>T103/W103</f>
        <v>4.8695652173913043E-2</v>
      </c>
      <c r="V103" s="94">
        <v>7.11</v>
      </c>
      <c r="W103" s="36">
        <v>115</v>
      </c>
      <c r="X103" s="66">
        <v>110.5</v>
      </c>
      <c r="Y103" s="15">
        <f t="shared" si="108"/>
        <v>4.5</v>
      </c>
      <c r="Z103" s="63">
        <f t="shared" si="109"/>
        <v>4.072398190045249E-2</v>
      </c>
      <c r="AA103" s="340">
        <v>-24.33</v>
      </c>
      <c r="AC103" s="16" t="s">
        <v>402</v>
      </c>
      <c r="AD103" s="84">
        <v>44648</v>
      </c>
      <c r="AE103" s="83">
        <v>44649</v>
      </c>
      <c r="AF103" s="33">
        <f t="shared" si="110"/>
        <v>1</v>
      </c>
      <c r="AG103" s="453" t="s">
        <v>4552</v>
      </c>
      <c r="AH103" s="63"/>
      <c r="AI103" s="283"/>
      <c r="AR103" s="402" t="str">
        <f>INDEX(基本資料!N:N,MATCH($G103,基本資料!A:A,0))</f>
        <v>低</v>
      </c>
    </row>
    <row r="104" spans="1:44">
      <c r="A104" s="94">
        <v>7.5</v>
      </c>
      <c r="B104" s="79">
        <v>192</v>
      </c>
      <c r="C104" s="79">
        <v>175</v>
      </c>
      <c r="D104" s="80">
        <v>-11</v>
      </c>
      <c r="E104" s="79">
        <v>117</v>
      </c>
      <c r="F104" s="6">
        <v>10.11</v>
      </c>
      <c r="G104" s="79">
        <v>4721</v>
      </c>
      <c r="H104" s="8" t="s">
        <v>3577</v>
      </c>
      <c r="I104" s="16" t="s">
        <v>3628</v>
      </c>
      <c r="J104" s="50" t="s">
        <v>4743</v>
      </c>
      <c r="L104" s="123"/>
      <c r="O104" s="359">
        <v>113</v>
      </c>
      <c r="P104" s="79">
        <v>221</v>
      </c>
      <c r="Q104" s="342">
        <v>1198</v>
      </c>
      <c r="R104" s="81">
        <v>460</v>
      </c>
      <c r="S104" s="324">
        <v>13</v>
      </c>
      <c r="T104" s="34">
        <v>3.8</v>
      </c>
      <c r="U104" s="307">
        <f t="shared" ref="U104" si="112">T104/W104</f>
        <v>2.4050632911392405E-2</v>
      </c>
      <c r="V104" s="94">
        <v>4.8099999999999996</v>
      </c>
      <c r="W104" s="36">
        <v>158</v>
      </c>
      <c r="X104" s="66">
        <v>155</v>
      </c>
      <c r="Y104" s="15">
        <f t="shared" ref="Y104" si="113">W104-X104</f>
        <v>3</v>
      </c>
      <c r="Z104" s="63">
        <f t="shared" ref="Z104" si="114">Y104/X104</f>
        <v>1.935483870967742E-2</v>
      </c>
      <c r="AA104" s="340">
        <v>-15.99</v>
      </c>
      <c r="AC104" s="16" t="s">
        <v>3628</v>
      </c>
      <c r="AD104" s="84">
        <v>44645</v>
      </c>
      <c r="AE104" s="83">
        <v>44649</v>
      </c>
      <c r="AF104" s="33">
        <f t="shared" ref="AF104" si="115">AE104-AD104</f>
        <v>4</v>
      </c>
      <c r="AG104" s="454" t="s">
        <v>2289</v>
      </c>
      <c r="AH104" s="63"/>
      <c r="AI104" s="283"/>
      <c r="AR104" s="402" t="str">
        <f>INDEX(基本資料!N:N,MATCH($G104,基本資料!A:A,0))</f>
        <v>中</v>
      </c>
    </row>
    <row r="105" spans="1:44">
      <c r="A105" s="94">
        <v>10.8</v>
      </c>
      <c r="B105" s="79">
        <v>133</v>
      </c>
      <c r="C105" s="79">
        <v>144</v>
      </c>
      <c r="D105" s="79">
        <v>10</v>
      </c>
      <c r="E105" s="79">
        <v>58</v>
      </c>
      <c r="F105" s="6">
        <v>22.08</v>
      </c>
      <c r="G105" s="79">
        <v>4952</v>
      </c>
      <c r="H105" s="8" t="s">
        <v>3038</v>
      </c>
      <c r="I105" s="22" t="s">
        <v>176</v>
      </c>
      <c r="J105" s="8" t="s">
        <v>3542</v>
      </c>
      <c r="L105" s="123"/>
      <c r="O105" s="359">
        <v>306</v>
      </c>
      <c r="P105" s="79">
        <v>553</v>
      </c>
      <c r="Q105" s="342">
        <v>688</v>
      </c>
      <c r="R105" s="81">
        <v>403</v>
      </c>
      <c r="S105" s="324">
        <v>271</v>
      </c>
      <c r="T105" s="34">
        <v>5.4</v>
      </c>
      <c r="U105" s="307">
        <f t="shared" ref="U105" si="116">T105/W105</f>
        <v>6.4593301435406703E-2</v>
      </c>
      <c r="V105" s="94">
        <v>2.59</v>
      </c>
      <c r="W105" s="36">
        <v>83.6</v>
      </c>
      <c r="X105" s="66">
        <v>82</v>
      </c>
      <c r="Y105" s="15">
        <f t="shared" ref="Y105" si="117">W105-X105</f>
        <v>1.5999999999999943</v>
      </c>
      <c r="Z105" s="63">
        <f t="shared" ref="Z105" si="118">Y105/X105</f>
        <v>1.951219512195115E-2</v>
      </c>
      <c r="AA105" s="340">
        <v>-16.2</v>
      </c>
      <c r="AC105" s="22" t="s">
        <v>176</v>
      </c>
      <c r="AD105" s="84">
        <v>44648</v>
      </c>
      <c r="AE105" s="83">
        <v>44649</v>
      </c>
      <c r="AF105" s="33">
        <f t="shared" ref="AF105" si="119">AE105-AD105</f>
        <v>1</v>
      </c>
      <c r="AG105" s="454" t="s">
        <v>2104</v>
      </c>
      <c r="AH105" s="63"/>
      <c r="AI105" s="283"/>
      <c r="AR105" s="402" t="str">
        <f>INDEX(基本資料!N:N,MATCH($G105,基本資料!A:A,0))</f>
        <v>中</v>
      </c>
    </row>
    <row r="106" spans="1:44">
      <c r="A106" s="94">
        <v>17.8</v>
      </c>
      <c r="B106" s="79">
        <v>120</v>
      </c>
      <c r="C106" s="79">
        <v>264</v>
      </c>
      <c r="D106" s="80">
        <v>-16</v>
      </c>
      <c r="E106" s="79">
        <v>46</v>
      </c>
      <c r="F106" s="6">
        <v>12.77</v>
      </c>
      <c r="G106" s="80">
        <v>2436</v>
      </c>
      <c r="H106" s="17" t="s">
        <v>3038</v>
      </c>
      <c r="I106" s="22" t="s">
        <v>112</v>
      </c>
      <c r="J106" s="50" t="s">
        <v>4743</v>
      </c>
      <c r="L106" s="123"/>
      <c r="O106" s="359">
        <v>53</v>
      </c>
      <c r="P106" s="79">
        <v>378</v>
      </c>
      <c r="Q106" s="342">
        <v>764</v>
      </c>
      <c r="R106" s="81">
        <v>345</v>
      </c>
      <c r="S106" s="324">
        <v>37</v>
      </c>
      <c r="T106" s="34">
        <v>3</v>
      </c>
      <c r="U106" s="307">
        <f>T106/W106</f>
        <v>3.2967032967032968E-2</v>
      </c>
      <c r="V106" s="94">
        <v>4.25</v>
      </c>
      <c r="W106" s="36">
        <v>91</v>
      </c>
      <c r="X106" s="66">
        <v>89.4</v>
      </c>
      <c r="Y106" s="15">
        <f>W106-X106</f>
        <v>1.5999999999999943</v>
      </c>
      <c r="Z106" s="63">
        <f>Y106/X106</f>
        <v>1.7897091722595012E-2</v>
      </c>
      <c r="AA106" s="340">
        <v>-20.079999999999998</v>
      </c>
      <c r="AC106" s="22" t="s">
        <v>112</v>
      </c>
      <c r="AD106" s="84">
        <v>44644</v>
      </c>
      <c r="AE106" s="83">
        <v>44645</v>
      </c>
      <c r="AF106" s="33">
        <f>AE106-AD106</f>
        <v>1</v>
      </c>
      <c r="AG106" s="453" t="s">
        <v>2193</v>
      </c>
      <c r="AH106" s="63"/>
      <c r="AI106" s="283"/>
      <c r="AR106" s="402" t="str">
        <f>INDEX(基本資料!N:N,MATCH($G106,基本資料!A:A,0))</f>
        <v>低</v>
      </c>
    </row>
    <row r="107" spans="1:44">
      <c r="A107" s="94">
        <v>29.2</v>
      </c>
      <c r="B107" s="79">
        <v>64</v>
      </c>
      <c r="C107" s="79">
        <v>64</v>
      </c>
      <c r="D107" s="80">
        <v>-6</v>
      </c>
      <c r="E107" s="79">
        <v>68</v>
      </c>
      <c r="F107" s="6">
        <v>6.45</v>
      </c>
      <c r="G107" s="79">
        <v>6278</v>
      </c>
      <c r="H107" s="5" t="s">
        <v>306</v>
      </c>
      <c r="I107" s="22" t="s">
        <v>4280</v>
      </c>
      <c r="J107" s="8" t="s">
        <v>4736</v>
      </c>
      <c r="L107" s="123"/>
      <c r="O107" s="359">
        <v>379</v>
      </c>
      <c r="P107" s="79">
        <v>273</v>
      </c>
      <c r="Q107" s="342">
        <v>359</v>
      </c>
      <c r="R107" s="81">
        <v>142</v>
      </c>
      <c r="S107" s="324">
        <v>166</v>
      </c>
      <c r="T107" s="34">
        <v>3.3</v>
      </c>
      <c r="U107" s="307">
        <f t="shared" ref="U107" si="120">T107/W107</f>
        <v>2.7848101265822784E-2</v>
      </c>
      <c r="V107" s="94">
        <v>10.73</v>
      </c>
      <c r="W107" s="36">
        <v>118.5</v>
      </c>
      <c r="X107" s="66">
        <v>116.5</v>
      </c>
      <c r="Y107" s="15">
        <f t="shared" ref="Y107" si="121">W107-X107</f>
        <v>2</v>
      </c>
      <c r="Z107" s="63">
        <f t="shared" ref="Z107" si="122">Y107/X107</f>
        <v>1.7167381974248927E-2</v>
      </c>
      <c r="AA107" s="340">
        <v>-3.47</v>
      </c>
      <c r="AC107" s="22" t="s">
        <v>4280</v>
      </c>
      <c r="AD107" s="84">
        <v>44602</v>
      </c>
      <c r="AE107" s="83">
        <v>44645</v>
      </c>
      <c r="AF107" s="33">
        <f t="shared" ref="AF107" si="123">AE107-AD107</f>
        <v>43</v>
      </c>
      <c r="AG107" s="453" t="s">
        <v>4281</v>
      </c>
      <c r="AH107" s="63"/>
      <c r="AI107" s="283"/>
      <c r="AR107" s="402" t="str">
        <f>INDEX(基本資料!N:N,MATCH($G107,基本資料!A:A,0))</f>
        <v>低</v>
      </c>
    </row>
    <row r="108" spans="1:44">
      <c r="A108" s="94">
        <v>3.41</v>
      </c>
      <c r="B108" s="79">
        <v>33</v>
      </c>
      <c r="C108" s="79">
        <v>11</v>
      </c>
      <c r="D108" s="79">
        <v>1</v>
      </c>
      <c r="E108" s="79">
        <v>85</v>
      </c>
      <c r="F108" s="6">
        <v>18.12</v>
      </c>
      <c r="G108" s="79">
        <v>6591</v>
      </c>
      <c r="H108" s="46" t="s">
        <v>1145</v>
      </c>
      <c r="I108" s="22" t="s">
        <v>470</v>
      </c>
      <c r="J108" s="8" t="s">
        <v>3542</v>
      </c>
      <c r="L108" s="123"/>
      <c r="O108" s="359">
        <v>92</v>
      </c>
      <c r="P108" s="79">
        <v>117</v>
      </c>
      <c r="Q108" s="342">
        <v>234</v>
      </c>
      <c r="R108" s="81">
        <v>240</v>
      </c>
      <c r="S108" s="324">
        <v>393</v>
      </c>
      <c r="T108" s="34">
        <v>4</v>
      </c>
      <c r="U108" s="307">
        <f t="shared" ref="U108" si="124">T108/W108</f>
        <v>6.4516129032258063E-2</v>
      </c>
      <c r="V108" s="94">
        <v>6.84</v>
      </c>
      <c r="W108" s="36">
        <v>62</v>
      </c>
      <c r="X108" s="66">
        <v>60.9</v>
      </c>
      <c r="Y108" s="15">
        <f t="shared" ref="Y108" si="125">W108-X108</f>
        <v>1.1000000000000014</v>
      </c>
      <c r="Z108" s="63">
        <f t="shared" ref="Z108" si="126">Y108/X108</f>
        <v>1.8062397372742223E-2</v>
      </c>
      <c r="AA108" s="340">
        <v>-24.36</v>
      </c>
      <c r="AC108" s="22" t="s">
        <v>470</v>
      </c>
      <c r="AD108" s="84">
        <v>44637</v>
      </c>
      <c r="AE108" s="83">
        <v>44645</v>
      </c>
      <c r="AF108" s="33">
        <f t="shared" ref="AF108" si="127">AE108-AD108</f>
        <v>8</v>
      </c>
      <c r="AG108" s="453" t="s">
        <v>2315</v>
      </c>
      <c r="AH108" s="63"/>
      <c r="AI108" s="283"/>
      <c r="AR108" s="402" t="str">
        <f>INDEX(基本資料!N:N,MATCH($G108,基本資料!A:A,0))</f>
        <v>高</v>
      </c>
    </row>
    <row r="109" spans="1:44">
      <c r="A109" s="94">
        <v>4.4000000000000004</v>
      </c>
      <c r="B109" s="92">
        <v>1610</v>
      </c>
      <c r="C109" s="92">
        <v>2987</v>
      </c>
      <c r="D109" s="80">
        <v>-2</v>
      </c>
      <c r="E109" s="79">
        <v>51</v>
      </c>
      <c r="F109" s="6">
        <v>31.91</v>
      </c>
      <c r="G109" s="79">
        <v>6485</v>
      </c>
      <c r="H109" s="17" t="s">
        <v>3038</v>
      </c>
      <c r="I109" s="16" t="s">
        <v>232</v>
      </c>
      <c r="J109" s="50" t="s">
        <v>4743</v>
      </c>
      <c r="L109" s="123"/>
      <c r="O109" s="359">
        <v>16</v>
      </c>
      <c r="P109" s="79">
        <v>124</v>
      </c>
      <c r="Q109" s="342">
        <v>805</v>
      </c>
      <c r="R109" s="81">
        <v>418</v>
      </c>
      <c r="S109" s="324">
        <v>8</v>
      </c>
      <c r="T109" s="34">
        <v>5</v>
      </c>
      <c r="U109" s="307">
        <f>T109/W109</f>
        <v>3.2786885245901641E-2</v>
      </c>
      <c r="V109" s="94">
        <v>12.29</v>
      </c>
      <c r="W109" s="36">
        <v>152.5</v>
      </c>
      <c r="X109" s="66">
        <v>150</v>
      </c>
      <c r="Y109" s="15">
        <f>W109-X109</f>
        <v>2.5</v>
      </c>
      <c r="Z109" s="63">
        <f>Y109/X109</f>
        <v>1.6666666666666666E-2</v>
      </c>
      <c r="AA109" s="340">
        <v>-20.94</v>
      </c>
      <c r="AC109" s="16" t="s">
        <v>232</v>
      </c>
      <c r="AD109" s="84">
        <v>44644</v>
      </c>
      <c r="AE109" s="311">
        <v>44644</v>
      </c>
      <c r="AF109" s="33">
        <f>AE109-AD109</f>
        <v>0</v>
      </c>
      <c r="AG109" s="453" t="s">
        <v>2364</v>
      </c>
      <c r="AH109" s="63"/>
      <c r="AI109" s="283"/>
      <c r="AR109" s="402" t="str">
        <f>INDEX(基本資料!N:N,MATCH($G109,基本資料!A:A,0))</f>
        <v>低</v>
      </c>
    </row>
    <row r="110" spans="1:44">
      <c r="A110" s="94">
        <v>7.5</v>
      </c>
      <c r="B110" s="79">
        <v>148</v>
      </c>
      <c r="C110" s="79">
        <v>148</v>
      </c>
      <c r="D110" s="80">
        <v>-11</v>
      </c>
      <c r="E110" s="79">
        <v>117</v>
      </c>
      <c r="F110" s="6">
        <v>10.91</v>
      </c>
      <c r="G110" s="79">
        <v>4721</v>
      </c>
      <c r="H110" s="8" t="s">
        <v>3577</v>
      </c>
      <c r="I110" s="16" t="s">
        <v>3628</v>
      </c>
      <c r="J110" s="8" t="s">
        <v>3542</v>
      </c>
      <c r="L110" s="123"/>
      <c r="O110" s="359">
        <v>113</v>
      </c>
      <c r="P110" s="79">
        <v>221</v>
      </c>
      <c r="Q110" s="342">
        <v>1198</v>
      </c>
      <c r="R110" s="81">
        <v>460</v>
      </c>
      <c r="S110" s="324">
        <v>13</v>
      </c>
      <c r="T110" s="34">
        <v>3.8</v>
      </c>
      <c r="U110" s="307">
        <f t="shared" ref="U110" si="128">T110/W110</f>
        <v>2.4203821656050954E-2</v>
      </c>
      <c r="V110" s="94">
        <v>4.8099999999999996</v>
      </c>
      <c r="W110" s="36">
        <v>157</v>
      </c>
      <c r="X110" s="66">
        <v>154</v>
      </c>
      <c r="Y110" s="15">
        <f t="shared" ref="Y110" si="129">W110-X110</f>
        <v>3</v>
      </c>
      <c r="Z110" s="63">
        <f t="shared" ref="Z110" si="130">Y110/X110</f>
        <v>1.948051948051948E-2</v>
      </c>
      <c r="AA110" s="340">
        <v>-17.34</v>
      </c>
      <c r="AC110" s="16" t="s">
        <v>3628</v>
      </c>
      <c r="AD110" s="84">
        <v>44643</v>
      </c>
      <c r="AE110" s="83">
        <v>44644</v>
      </c>
      <c r="AF110" s="33">
        <f t="shared" ref="AF110" si="131">AE110-AD110</f>
        <v>1</v>
      </c>
      <c r="AG110" s="454" t="s">
        <v>2289</v>
      </c>
      <c r="AH110" s="63"/>
      <c r="AI110" s="283"/>
      <c r="AR110" s="402" t="str">
        <f>INDEX(基本資料!N:N,MATCH($G110,基本資料!A:A,0))</f>
        <v>中</v>
      </c>
    </row>
    <row r="111" spans="1:44">
      <c r="A111" s="94">
        <v>10.8</v>
      </c>
      <c r="B111" s="79">
        <v>133</v>
      </c>
      <c r="C111" s="79">
        <v>144</v>
      </c>
      <c r="D111" s="79">
        <v>10</v>
      </c>
      <c r="E111" s="79">
        <v>58</v>
      </c>
      <c r="F111" s="6">
        <v>22.08</v>
      </c>
      <c r="G111" s="79">
        <v>4952</v>
      </c>
      <c r="H111" s="8" t="s">
        <v>3038</v>
      </c>
      <c r="I111" s="22" t="s">
        <v>176</v>
      </c>
      <c r="J111" s="8" t="s">
        <v>3542</v>
      </c>
      <c r="L111" s="123"/>
      <c r="O111" s="359">
        <v>306</v>
      </c>
      <c r="P111" s="79">
        <v>553</v>
      </c>
      <c r="Q111" s="342">
        <v>688</v>
      </c>
      <c r="R111" s="81">
        <v>403</v>
      </c>
      <c r="S111" s="324">
        <v>271</v>
      </c>
      <c r="T111" s="34">
        <v>5.4</v>
      </c>
      <c r="U111" s="307">
        <f>T111/W111</f>
        <v>7.2972972972972977E-2</v>
      </c>
      <c r="V111" s="94">
        <v>2.59</v>
      </c>
      <c r="W111" s="36">
        <v>74</v>
      </c>
      <c r="X111" s="66">
        <v>72.7</v>
      </c>
      <c r="Y111" s="15">
        <f t="shared" ref="Y111" si="132">W111-X111</f>
        <v>1.2999999999999972</v>
      </c>
      <c r="Z111" s="63">
        <f t="shared" ref="Z111" si="133">Y111/X111</f>
        <v>1.7881705639614817E-2</v>
      </c>
      <c r="AA111" s="340">
        <v>-25.9</v>
      </c>
      <c r="AC111" s="22" t="s">
        <v>176</v>
      </c>
      <c r="AD111" s="84">
        <v>44638</v>
      </c>
      <c r="AE111" s="83">
        <v>44643</v>
      </c>
      <c r="AF111" s="33">
        <f t="shared" ref="AF111" si="134">AE111-AD111</f>
        <v>5</v>
      </c>
      <c r="AG111" s="454" t="s">
        <v>2104</v>
      </c>
      <c r="AH111" s="63"/>
      <c r="AI111" s="283"/>
      <c r="AR111" s="402" t="str">
        <f>INDEX(基本資料!N:N,MATCH($G111,基本資料!A:A,0))</f>
        <v>中</v>
      </c>
    </row>
    <row r="112" spans="1:44">
      <c r="A112" s="94">
        <v>3.89</v>
      </c>
      <c r="B112" s="92">
        <v>1262</v>
      </c>
      <c r="C112" s="92">
        <v>1058</v>
      </c>
      <c r="D112" s="80">
        <v>-45</v>
      </c>
      <c r="E112" s="79">
        <v>32</v>
      </c>
      <c r="F112" s="6">
        <v>17.05</v>
      </c>
      <c r="G112" s="79">
        <v>3122</v>
      </c>
      <c r="H112" s="183" t="s">
        <v>3038</v>
      </c>
      <c r="I112" s="16" t="s">
        <v>358</v>
      </c>
      <c r="J112" s="8" t="s">
        <v>3542</v>
      </c>
      <c r="L112" s="123"/>
      <c r="O112" s="359">
        <v>62</v>
      </c>
      <c r="P112" s="79">
        <v>49</v>
      </c>
      <c r="Q112" s="342">
        <v>980</v>
      </c>
      <c r="R112" s="81" t="s">
        <v>6279</v>
      </c>
      <c r="S112" s="324">
        <v>20</v>
      </c>
      <c r="T112" s="34">
        <v>2.2000000000000002</v>
      </c>
      <c r="U112" s="307">
        <f>T112/W112</f>
        <v>3.7735849056603779E-2</v>
      </c>
      <c r="V112" s="94">
        <v>3.38</v>
      </c>
      <c r="W112" s="36">
        <v>58.3</v>
      </c>
      <c r="X112" s="66">
        <v>57.1</v>
      </c>
      <c r="Y112" s="15">
        <f>W112-X112</f>
        <v>1.1999999999999957</v>
      </c>
      <c r="Z112" s="63">
        <f>Y112/X112</f>
        <v>2.1015761821365948E-2</v>
      </c>
      <c r="AA112" s="340">
        <v>-22.94</v>
      </c>
      <c r="AC112" s="16" t="s">
        <v>358</v>
      </c>
      <c r="AD112" s="84">
        <v>44643</v>
      </c>
      <c r="AE112" s="311">
        <v>44643</v>
      </c>
      <c r="AF112" s="33">
        <f>AE112-AD112</f>
        <v>0</v>
      </c>
      <c r="AG112" s="453" t="s">
        <v>2351</v>
      </c>
      <c r="AH112" s="63"/>
      <c r="AI112" s="283"/>
      <c r="AR112" s="402" t="str">
        <f>INDEX(基本資料!N:N,MATCH($G112,基本資料!A:A,0))</f>
        <v>中</v>
      </c>
    </row>
    <row r="113" spans="1:44">
      <c r="A113" s="94">
        <v>8.1300000000000008</v>
      </c>
      <c r="B113" s="79">
        <v>231</v>
      </c>
      <c r="C113" s="79">
        <v>245</v>
      </c>
      <c r="D113" s="80">
        <v>-6</v>
      </c>
      <c r="E113" s="79">
        <v>28</v>
      </c>
      <c r="F113" s="6">
        <v>19.72</v>
      </c>
      <c r="G113" s="79">
        <v>8261</v>
      </c>
      <c r="H113" s="8" t="s">
        <v>3038</v>
      </c>
      <c r="I113" s="22" t="s">
        <v>322</v>
      </c>
      <c r="J113" s="8" t="s">
        <v>3542</v>
      </c>
      <c r="L113" s="123"/>
      <c r="O113" s="359">
        <v>40</v>
      </c>
      <c r="P113" s="79">
        <v>114</v>
      </c>
      <c r="Q113" s="342">
        <v>407</v>
      </c>
      <c r="R113" s="81">
        <v>491</v>
      </c>
      <c r="S113" s="324">
        <v>25</v>
      </c>
      <c r="T113" s="34">
        <v>6</v>
      </c>
      <c r="U113" s="307">
        <f>T113/W113</f>
        <v>5.0847457627118647E-2</v>
      </c>
      <c r="V113" s="94">
        <v>8.0299999999999994</v>
      </c>
      <c r="W113" s="36">
        <v>118</v>
      </c>
      <c r="X113" s="66">
        <v>115.5</v>
      </c>
      <c r="Y113" s="15">
        <f>W113-X113</f>
        <v>2.5</v>
      </c>
      <c r="Z113" s="63">
        <f>Y113/X113</f>
        <v>2.1645021645021644E-2</v>
      </c>
      <c r="AA113" s="340">
        <v>-16.420000000000002</v>
      </c>
      <c r="AC113" s="22" t="s">
        <v>322</v>
      </c>
      <c r="AD113" s="84">
        <v>44643</v>
      </c>
      <c r="AE113" s="311">
        <v>44643</v>
      </c>
      <c r="AF113" s="33">
        <f>AE113-AD113</f>
        <v>0</v>
      </c>
      <c r="AG113" s="453" t="s">
        <v>2175</v>
      </c>
      <c r="AH113" s="63"/>
      <c r="AI113" s="283"/>
      <c r="AR113" s="402" t="str">
        <f>INDEX(基本資料!N:N,MATCH($G113,基本資料!A:A,0))</f>
        <v>中</v>
      </c>
    </row>
    <row r="114" spans="1:44">
      <c r="A114" s="94">
        <v>3.95</v>
      </c>
      <c r="B114" s="79">
        <v>64</v>
      </c>
      <c r="C114" s="79">
        <v>168</v>
      </c>
      <c r="D114" s="80">
        <v>-26</v>
      </c>
      <c r="E114" s="80">
        <v>-32</v>
      </c>
      <c r="F114" s="6">
        <v>17.600000000000001</v>
      </c>
      <c r="G114" s="79">
        <v>3580</v>
      </c>
      <c r="H114" s="8" t="s">
        <v>314</v>
      </c>
      <c r="I114" s="16" t="s">
        <v>4679</v>
      </c>
      <c r="J114" s="8" t="s">
        <v>3542</v>
      </c>
      <c r="L114" s="123"/>
      <c r="O114" s="359">
        <v>45</v>
      </c>
      <c r="P114" s="79">
        <v>494</v>
      </c>
      <c r="Q114" s="342">
        <v>685</v>
      </c>
      <c r="R114" s="81" t="s">
        <v>6279</v>
      </c>
      <c r="S114" s="324">
        <v>533</v>
      </c>
      <c r="T114" s="34">
        <v>2.1</v>
      </c>
      <c r="U114" s="307">
        <f>T114/W114</f>
        <v>3.0346820809248554E-2</v>
      </c>
      <c r="V114" s="94">
        <v>3.02</v>
      </c>
      <c r="W114" s="36">
        <v>69.2</v>
      </c>
      <c r="X114" s="66">
        <v>67.7</v>
      </c>
      <c r="Y114" s="15">
        <f>W114-X114</f>
        <v>1.5</v>
      </c>
      <c r="Z114" s="63">
        <f>Y114/X114</f>
        <v>2.2156573116691284E-2</v>
      </c>
      <c r="AA114" s="340">
        <v>-16.21</v>
      </c>
      <c r="AC114" s="16" t="s">
        <v>4679</v>
      </c>
      <c r="AD114" s="84">
        <v>44641</v>
      </c>
      <c r="AE114" s="83">
        <v>44643</v>
      </c>
      <c r="AF114" s="33">
        <f>AE114-AD114</f>
        <v>2</v>
      </c>
      <c r="AG114" s="454" t="s">
        <v>2322</v>
      </c>
      <c r="AH114" s="63"/>
      <c r="AI114" s="283"/>
      <c r="AR114" s="402" t="str">
        <f>INDEX(基本資料!N:N,MATCH($G114,基本資料!A:A,0))</f>
        <v>高</v>
      </c>
    </row>
    <row r="115" spans="1:44">
      <c r="A115" s="94">
        <v>9.15</v>
      </c>
      <c r="B115" s="79">
        <v>164</v>
      </c>
      <c r="C115" s="79">
        <v>92</v>
      </c>
      <c r="D115" s="80">
        <v>-9</v>
      </c>
      <c r="E115" s="79">
        <v>14</v>
      </c>
      <c r="F115" s="6">
        <v>11.14</v>
      </c>
      <c r="G115" s="79">
        <v>8255</v>
      </c>
      <c r="H115" s="8" t="s">
        <v>295</v>
      </c>
      <c r="I115" s="16" t="s">
        <v>3596</v>
      </c>
      <c r="J115" s="50" t="s">
        <v>4743</v>
      </c>
      <c r="L115" s="123"/>
      <c r="O115" s="359">
        <v>321</v>
      </c>
      <c r="P115" s="79">
        <v>300</v>
      </c>
      <c r="Q115" s="342">
        <v>590</v>
      </c>
      <c r="R115" s="81">
        <v>84</v>
      </c>
      <c r="S115" s="324">
        <v>32</v>
      </c>
      <c r="T115" s="34">
        <v>4</v>
      </c>
      <c r="U115" s="307">
        <f t="shared" ref="U115:U122" si="135">T115/W115</f>
        <v>1.6129032258064516E-2</v>
      </c>
      <c r="V115" s="94">
        <v>5.25</v>
      </c>
      <c r="W115" s="36">
        <v>248</v>
      </c>
      <c r="X115" s="66">
        <v>244</v>
      </c>
      <c r="Y115" s="15">
        <f t="shared" ref="Y115:Y122" si="136">W115-X115</f>
        <v>4</v>
      </c>
      <c r="Z115" s="63">
        <f t="shared" ref="Z115:Z122" si="137">Y115/X115</f>
        <v>1.6393442622950821E-2</v>
      </c>
      <c r="AA115" s="340">
        <v>-18.86</v>
      </c>
      <c r="AC115" s="16" t="s">
        <v>3596</v>
      </c>
      <c r="AD115" s="84">
        <v>44641</v>
      </c>
      <c r="AE115" s="83">
        <v>44642</v>
      </c>
      <c r="AF115" s="33">
        <f t="shared" ref="AF115:AF122" si="138">AE115-AD115</f>
        <v>1</v>
      </c>
      <c r="AG115" s="454" t="s">
        <v>2340</v>
      </c>
      <c r="AH115" s="63"/>
      <c r="AI115" s="283"/>
      <c r="AR115" s="402" t="str">
        <f>INDEX(基本資料!N:N,MATCH($G115,基本資料!A:A,0))</f>
        <v>低</v>
      </c>
    </row>
    <row r="116" spans="1:44">
      <c r="A116" s="94">
        <v>7</v>
      </c>
      <c r="B116" s="79">
        <v>74</v>
      </c>
      <c r="C116" s="79">
        <v>70</v>
      </c>
      <c r="D116" s="79">
        <v>2</v>
      </c>
      <c r="E116" s="79">
        <v>58</v>
      </c>
      <c r="F116" s="6">
        <v>26.09</v>
      </c>
      <c r="G116" s="79">
        <v>6491</v>
      </c>
      <c r="H116" s="192" t="s">
        <v>309</v>
      </c>
      <c r="I116" s="22" t="s">
        <v>3826</v>
      </c>
      <c r="J116" s="8" t="s">
        <v>3543</v>
      </c>
      <c r="L116" s="123"/>
      <c r="O116" s="359">
        <v>997</v>
      </c>
      <c r="P116" s="79">
        <v>1118</v>
      </c>
      <c r="Q116" s="342">
        <v>373</v>
      </c>
      <c r="R116" s="81">
        <v>74</v>
      </c>
      <c r="S116" s="324">
        <v>323</v>
      </c>
      <c r="T116" s="34">
        <v>8.5</v>
      </c>
      <c r="U116" s="307">
        <f t="shared" si="135"/>
        <v>1.7241379310344827E-2</v>
      </c>
      <c r="V116" s="94">
        <v>17.84</v>
      </c>
      <c r="W116" s="36">
        <v>493</v>
      </c>
      <c r="X116" s="66">
        <v>483.5</v>
      </c>
      <c r="Y116" s="15">
        <f t="shared" si="136"/>
        <v>9.5</v>
      </c>
      <c r="Z116" s="63">
        <f t="shared" si="137"/>
        <v>1.9648397104446741E-2</v>
      </c>
      <c r="AA116" s="340">
        <v>-28.54</v>
      </c>
      <c r="AC116" s="22" t="s">
        <v>3826</v>
      </c>
      <c r="AD116" s="84">
        <v>44642</v>
      </c>
      <c r="AE116" s="311">
        <v>44642</v>
      </c>
      <c r="AF116" s="33">
        <f t="shared" si="138"/>
        <v>0</v>
      </c>
      <c r="AG116" s="454" t="s">
        <v>3827</v>
      </c>
      <c r="AH116" s="63"/>
      <c r="AI116" s="283"/>
      <c r="AR116" s="402" t="str">
        <f>INDEX(基本資料!N:N,MATCH($G116,基本資料!A:A,0))</f>
        <v>低</v>
      </c>
    </row>
    <row r="117" spans="1:44">
      <c r="A117" s="94">
        <v>3.89</v>
      </c>
      <c r="B117" s="92">
        <v>1262</v>
      </c>
      <c r="C117" s="92">
        <v>1058</v>
      </c>
      <c r="D117" s="80">
        <v>-45</v>
      </c>
      <c r="E117" s="79">
        <v>32</v>
      </c>
      <c r="F117" s="6">
        <v>17.05</v>
      </c>
      <c r="G117" s="79">
        <v>3122</v>
      </c>
      <c r="H117" s="183" t="s">
        <v>3038</v>
      </c>
      <c r="I117" s="16" t="s">
        <v>358</v>
      </c>
      <c r="J117" s="8" t="s">
        <v>3542</v>
      </c>
      <c r="L117" s="123"/>
      <c r="O117" s="359">
        <v>62</v>
      </c>
      <c r="P117" s="79">
        <v>49</v>
      </c>
      <c r="Q117" s="342">
        <v>980</v>
      </c>
      <c r="R117" s="81" t="s">
        <v>6279</v>
      </c>
      <c r="S117" s="324">
        <v>20</v>
      </c>
      <c r="T117" s="34">
        <v>2.2000000000000002</v>
      </c>
      <c r="U117" s="307">
        <f t="shared" si="135"/>
        <v>3.9007092198581561E-2</v>
      </c>
      <c r="V117" s="94">
        <v>3.38</v>
      </c>
      <c r="W117" s="36">
        <v>56.4</v>
      </c>
      <c r="X117" s="66">
        <v>55.4</v>
      </c>
      <c r="Y117" s="15">
        <f t="shared" si="136"/>
        <v>1</v>
      </c>
      <c r="Z117" s="63">
        <f t="shared" si="137"/>
        <v>1.8050541516245487E-2</v>
      </c>
      <c r="AA117" s="340">
        <v>-24.73</v>
      </c>
      <c r="AC117" s="16" t="s">
        <v>358</v>
      </c>
      <c r="AD117" s="84">
        <v>44638</v>
      </c>
      <c r="AE117" s="83">
        <v>44642</v>
      </c>
      <c r="AF117" s="33">
        <f t="shared" si="138"/>
        <v>4</v>
      </c>
      <c r="AG117" s="453" t="s">
        <v>2351</v>
      </c>
      <c r="AH117" s="63"/>
      <c r="AI117" s="283"/>
      <c r="AR117" s="402" t="str">
        <f>INDEX(基本資料!N:N,MATCH($G117,基本資料!A:A,0))</f>
        <v>中</v>
      </c>
    </row>
    <row r="118" spans="1:44">
      <c r="A118" s="94">
        <v>28.6</v>
      </c>
      <c r="B118" s="79">
        <v>364</v>
      </c>
      <c r="C118" s="79">
        <v>408</v>
      </c>
      <c r="D118" s="80">
        <v>-7</v>
      </c>
      <c r="E118" s="79">
        <v>9</v>
      </c>
      <c r="F118" s="6">
        <v>24.64</v>
      </c>
      <c r="G118" s="79">
        <v>3006</v>
      </c>
      <c r="H118" s="8" t="s">
        <v>3038</v>
      </c>
      <c r="I118" s="22" t="s">
        <v>95</v>
      </c>
      <c r="J118" s="50" t="s">
        <v>4743</v>
      </c>
      <c r="L118" s="123"/>
      <c r="O118" s="359">
        <v>26</v>
      </c>
      <c r="P118" s="79">
        <v>1054</v>
      </c>
      <c r="Q118" s="342">
        <v>380</v>
      </c>
      <c r="R118" s="81">
        <v>172</v>
      </c>
      <c r="S118" s="324">
        <v>14</v>
      </c>
      <c r="T118" s="34">
        <v>8</v>
      </c>
      <c r="U118" s="307">
        <f t="shared" si="135"/>
        <v>4.4444444444444446E-2</v>
      </c>
      <c r="V118" s="94">
        <v>17.760000000000002</v>
      </c>
      <c r="W118" s="36">
        <v>180</v>
      </c>
      <c r="X118" s="66">
        <v>175.5</v>
      </c>
      <c r="Y118" s="15">
        <f t="shared" si="136"/>
        <v>4.5</v>
      </c>
      <c r="Z118" s="63">
        <f t="shared" si="137"/>
        <v>2.564102564102564E-2</v>
      </c>
      <c r="AA118" s="340">
        <v>-18.309999999999999</v>
      </c>
      <c r="AC118" s="22" t="s">
        <v>95</v>
      </c>
      <c r="AD118" s="84">
        <v>44638</v>
      </c>
      <c r="AE118" s="83">
        <v>44641</v>
      </c>
      <c r="AF118" s="33">
        <f t="shared" si="138"/>
        <v>3</v>
      </c>
      <c r="AG118" s="454" t="s">
        <v>2128</v>
      </c>
      <c r="AH118" s="63"/>
      <c r="AI118" s="283"/>
      <c r="AR118" s="402" t="str">
        <f>INDEX(基本資料!N:N,MATCH($G118,基本資料!A:A,0))</f>
        <v>低</v>
      </c>
    </row>
    <row r="119" spans="1:44">
      <c r="A119" s="94">
        <v>41.9</v>
      </c>
      <c r="B119" s="79">
        <v>451</v>
      </c>
      <c r="C119" s="79">
        <v>932</v>
      </c>
      <c r="D119" s="79">
        <v>1</v>
      </c>
      <c r="E119" s="79">
        <v>17</v>
      </c>
      <c r="F119" s="6">
        <v>8.0299999999999994</v>
      </c>
      <c r="G119" s="79">
        <v>4919</v>
      </c>
      <c r="H119" s="8" t="s">
        <v>3038</v>
      </c>
      <c r="I119" s="22" t="s">
        <v>118</v>
      </c>
      <c r="J119" s="8" t="s">
        <v>3542</v>
      </c>
      <c r="L119" s="123"/>
      <c r="O119" s="359">
        <v>306</v>
      </c>
      <c r="P119" s="79">
        <v>235</v>
      </c>
      <c r="Q119" s="342">
        <v>573</v>
      </c>
      <c r="R119" s="81">
        <v>18</v>
      </c>
      <c r="S119" s="324">
        <v>19</v>
      </c>
      <c r="T119" s="34">
        <v>5</v>
      </c>
      <c r="U119" s="307">
        <f t="shared" si="135"/>
        <v>3.3003300330033E-2</v>
      </c>
      <c r="V119" s="94">
        <v>2.52</v>
      </c>
      <c r="W119" s="36">
        <v>151.5</v>
      </c>
      <c r="X119" s="66">
        <v>149</v>
      </c>
      <c r="Y119" s="15">
        <f t="shared" si="136"/>
        <v>2.5</v>
      </c>
      <c r="Z119" s="63">
        <f t="shared" si="137"/>
        <v>1.6778523489932886E-2</v>
      </c>
      <c r="AA119" s="340">
        <v>-15.14</v>
      </c>
      <c r="AC119" s="22" t="s">
        <v>118</v>
      </c>
      <c r="AD119" s="84">
        <v>44638</v>
      </c>
      <c r="AE119" s="83">
        <v>44641</v>
      </c>
      <c r="AF119" s="33">
        <f t="shared" si="138"/>
        <v>3</v>
      </c>
      <c r="AG119" s="454" t="s">
        <v>3020</v>
      </c>
      <c r="AH119" s="63"/>
      <c r="AI119" s="283"/>
      <c r="AR119" s="402" t="str">
        <f>INDEX(基本資料!N:N,MATCH($G119,基本資料!A:A,0))</f>
        <v>中</v>
      </c>
    </row>
    <row r="120" spans="1:44">
      <c r="A120" s="94">
        <v>3.44</v>
      </c>
      <c r="B120" s="79">
        <v>30</v>
      </c>
      <c r="C120" s="79">
        <v>30</v>
      </c>
      <c r="D120" s="80">
        <v>-13</v>
      </c>
      <c r="E120" s="79">
        <v>32</v>
      </c>
      <c r="F120" s="6">
        <v>45.42</v>
      </c>
      <c r="G120" s="80">
        <v>5274</v>
      </c>
      <c r="H120" s="145" t="s">
        <v>3038</v>
      </c>
      <c r="I120" s="16" t="s">
        <v>217</v>
      </c>
      <c r="J120" s="8" t="s">
        <v>3544</v>
      </c>
      <c r="L120" s="123"/>
      <c r="O120" s="359">
        <v>1167</v>
      </c>
      <c r="P120" s="79">
        <v>577</v>
      </c>
      <c r="Q120" s="342">
        <v>47</v>
      </c>
      <c r="R120" s="81">
        <v>28</v>
      </c>
      <c r="S120" s="324">
        <v>605</v>
      </c>
      <c r="T120" s="34">
        <v>36</v>
      </c>
      <c r="U120" s="307">
        <f t="shared" si="135"/>
        <v>1.2182741116751269E-2</v>
      </c>
      <c r="V120" s="94">
        <v>38.32</v>
      </c>
      <c r="W120" s="366">
        <v>2955</v>
      </c>
      <c r="X120" s="66">
        <v>2935</v>
      </c>
      <c r="Y120" s="137">
        <f t="shared" si="136"/>
        <v>20</v>
      </c>
      <c r="Z120" s="63">
        <f t="shared" si="137"/>
        <v>6.8143100511073255E-3</v>
      </c>
      <c r="AA120" s="340">
        <v>-19.59</v>
      </c>
      <c r="AC120" s="16" t="s">
        <v>217</v>
      </c>
      <c r="AD120" s="84">
        <v>44631</v>
      </c>
      <c r="AE120" s="83">
        <v>44641</v>
      </c>
      <c r="AF120" s="33">
        <f t="shared" si="138"/>
        <v>10</v>
      </c>
      <c r="AG120" s="454" t="s">
        <v>2357</v>
      </c>
      <c r="AH120" s="63"/>
      <c r="AI120" s="283"/>
      <c r="AR120" s="402" t="str">
        <f>INDEX(基本資料!N:N,MATCH($G120,基本資料!A:A,0))</f>
        <v>中</v>
      </c>
    </row>
    <row r="121" spans="1:44">
      <c r="A121" s="94">
        <v>8.1300000000000008</v>
      </c>
      <c r="B121" s="79">
        <v>231</v>
      </c>
      <c r="C121" s="79">
        <v>245</v>
      </c>
      <c r="D121" s="80">
        <v>-6</v>
      </c>
      <c r="E121" s="79">
        <v>28</v>
      </c>
      <c r="F121" s="6">
        <v>19.72</v>
      </c>
      <c r="G121" s="79">
        <v>8261</v>
      </c>
      <c r="H121" s="8" t="s">
        <v>3038</v>
      </c>
      <c r="I121" s="22" t="s">
        <v>322</v>
      </c>
      <c r="J121" s="50" t="s">
        <v>4743</v>
      </c>
      <c r="L121" s="123"/>
      <c r="O121" s="359">
        <v>40</v>
      </c>
      <c r="P121" s="79">
        <v>114</v>
      </c>
      <c r="Q121" s="342">
        <v>407</v>
      </c>
      <c r="R121" s="81">
        <v>491</v>
      </c>
      <c r="S121" s="324">
        <v>25</v>
      </c>
      <c r="T121" s="34">
        <v>6</v>
      </c>
      <c r="U121" s="307">
        <f t="shared" si="135"/>
        <v>5.2173913043478258E-2</v>
      </c>
      <c r="V121" s="94">
        <v>8.0299999999999994</v>
      </c>
      <c r="W121" s="36">
        <v>115</v>
      </c>
      <c r="X121" s="66">
        <v>111.5</v>
      </c>
      <c r="Y121" s="15">
        <f t="shared" si="136"/>
        <v>3.5</v>
      </c>
      <c r="Z121" s="63">
        <f t="shared" si="137"/>
        <v>3.1390134529147982E-2</v>
      </c>
      <c r="AA121" s="340">
        <v>-18.25</v>
      </c>
      <c r="AC121" s="22" t="s">
        <v>322</v>
      </c>
      <c r="AD121" s="84">
        <v>44638</v>
      </c>
      <c r="AE121" s="83">
        <v>44641</v>
      </c>
      <c r="AF121" s="33">
        <f t="shared" si="138"/>
        <v>3</v>
      </c>
      <c r="AG121" s="453" t="s">
        <v>2175</v>
      </c>
      <c r="AH121" s="63"/>
      <c r="AI121" s="283"/>
      <c r="AR121" s="402" t="str">
        <f>INDEX(基本資料!N:N,MATCH($G121,基本資料!A:A,0))</f>
        <v>中</v>
      </c>
    </row>
    <row r="122" spans="1:44">
      <c r="A122" s="94">
        <v>18.2</v>
      </c>
      <c r="B122" s="79">
        <v>166</v>
      </c>
      <c r="C122" s="79">
        <v>154</v>
      </c>
      <c r="D122" s="80">
        <v>-8</v>
      </c>
      <c r="E122" s="79">
        <v>12</v>
      </c>
      <c r="F122" s="6">
        <v>11.56</v>
      </c>
      <c r="G122" s="80">
        <v>2351</v>
      </c>
      <c r="H122" s="192" t="s">
        <v>3038</v>
      </c>
      <c r="I122" s="22" t="s">
        <v>61</v>
      </c>
      <c r="J122" s="8" t="s">
        <v>3543</v>
      </c>
      <c r="L122" s="245"/>
      <c r="O122" s="359">
        <v>714</v>
      </c>
      <c r="P122" s="79">
        <v>693</v>
      </c>
      <c r="Q122" s="342">
        <v>298</v>
      </c>
      <c r="R122" s="81">
        <v>21</v>
      </c>
      <c r="S122" s="324">
        <v>92</v>
      </c>
      <c r="T122" s="34">
        <v>3</v>
      </c>
      <c r="U122" s="307">
        <f t="shared" si="135"/>
        <v>2.097902097902098E-2</v>
      </c>
      <c r="V122" s="94">
        <v>4.3099999999999996</v>
      </c>
      <c r="W122" s="36">
        <v>143</v>
      </c>
      <c r="X122" s="66">
        <v>141</v>
      </c>
      <c r="Y122" s="15">
        <f t="shared" si="136"/>
        <v>2</v>
      </c>
      <c r="Z122" s="63">
        <f t="shared" si="137"/>
        <v>1.4184397163120567E-2</v>
      </c>
      <c r="AA122" s="340">
        <v>-29.25</v>
      </c>
      <c r="AC122" s="22" t="s">
        <v>61</v>
      </c>
      <c r="AD122" s="84">
        <v>44624</v>
      </c>
      <c r="AE122" s="83">
        <v>44641</v>
      </c>
      <c r="AF122" s="33">
        <f t="shared" si="138"/>
        <v>17</v>
      </c>
      <c r="AG122" s="454" t="s">
        <v>3367</v>
      </c>
      <c r="AH122" s="63"/>
      <c r="AI122" s="283"/>
      <c r="AR122" s="402" t="str">
        <f>INDEX(基本資料!N:N,MATCH($G122,基本資料!A:A,0))</f>
        <v>低</v>
      </c>
    </row>
    <row r="123" spans="1:44">
      <c r="A123" s="94">
        <v>24.8</v>
      </c>
      <c r="B123" s="79">
        <v>403</v>
      </c>
      <c r="C123" s="79">
        <v>840</v>
      </c>
      <c r="D123" s="80">
        <v>-1</v>
      </c>
      <c r="E123" s="79">
        <v>122</v>
      </c>
      <c r="F123" s="6">
        <v>17.34</v>
      </c>
      <c r="G123" s="79">
        <v>3035</v>
      </c>
      <c r="H123" s="5" t="s">
        <v>3038</v>
      </c>
      <c r="I123" s="22" t="s">
        <v>1825</v>
      </c>
      <c r="J123" s="50" t="s">
        <v>4743</v>
      </c>
      <c r="L123" s="123"/>
      <c r="O123" s="359">
        <v>333</v>
      </c>
      <c r="P123" s="79">
        <v>75</v>
      </c>
      <c r="Q123" s="342">
        <v>190</v>
      </c>
      <c r="R123" s="81">
        <v>1</v>
      </c>
      <c r="S123" s="324">
        <v>3</v>
      </c>
      <c r="T123" s="34">
        <v>3.3</v>
      </c>
      <c r="U123" s="307">
        <f t="shared" ref="U123" si="139">T123/W123</f>
        <v>1.1764705882352941E-2</v>
      </c>
      <c r="V123" s="94">
        <v>2.82</v>
      </c>
      <c r="W123" s="36">
        <v>280.5</v>
      </c>
      <c r="X123" s="66">
        <v>275.5</v>
      </c>
      <c r="Y123" s="15">
        <f t="shared" ref="Y123" si="140">W123-X123</f>
        <v>5</v>
      </c>
      <c r="Z123" s="63">
        <f t="shared" ref="Z123" si="141">Y123/X123</f>
        <v>1.8148820326678767E-2</v>
      </c>
      <c r="AA123" s="340">
        <v>-16.16</v>
      </c>
      <c r="AC123" s="22" t="s">
        <v>1825</v>
      </c>
      <c r="AD123" s="84">
        <v>44638</v>
      </c>
      <c r="AE123" s="83">
        <v>44641</v>
      </c>
      <c r="AF123" s="33">
        <f t="shared" ref="AF123" si="142">AE123-AD123</f>
        <v>3</v>
      </c>
      <c r="AG123" s="454" t="s">
        <v>2314</v>
      </c>
      <c r="AH123" s="63"/>
      <c r="AI123" s="283"/>
      <c r="AR123" s="402" t="str">
        <f>INDEX(基本資料!N:N,MATCH($G123,基本資料!A:A,0))</f>
        <v>高</v>
      </c>
    </row>
    <row r="124" spans="1:44">
      <c r="A124" s="94">
        <v>28.6</v>
      </c>
      <c r="B124" s="79">
        <v>364</v>
      </c>
      <c r="C124" s="79">
        <v>408</v>
      </c>
      <c r="D124" s="80">
        <v>-7</v>
      </c>
      <c r="E124" s="79">
        <v>9</v>
      </c>
      <c r="F124" s="6">
        <v>24.64</v>
      </c>
      <c r="G124" s="79">
        <v>3006</v>
      </c>
      <c r="H124" s="8" t="s">
        <v>3038</v>
      </c>
      <c r="I124" s="22" t="s">
        <v>95</v>
      </c>
      <c r="J124" s="50" t="s">
        <v>4743</v>
      </c>
      <c r="L124" s="123"/>
      <c r="O124" s="359">
        <v>26</v>
      </c>
      <c r="P124" s="79">
        <v>1054</v>
      </c>
      <c r="Q124" s="342">
        <v>380</v>
      </c>
      <c r="R124" s="81">
        <v>172</v>
      </c>
      <c r="S124" s="324">
        <v>14</v>
      </c>
      <c r="T124" s="34">
        <v>8</v>
      </c>
      <c r="U124" s="307">
        <f t="shared" ref="U124:U125" si="143">T124/W124</f>
        <v>4.8192771084337352E-2</v>
      </c>
      <c r="V124" s="94">
        <v>17.760000000000002</v>
      </c>
      <c r="W124" s="36">
        <v>166</v>
      </c>
      <c r="X124" s="66">
        <v>162.5</v>
      </c>
      <c r="Y124" s="15">
        <f t="shared" ref="Y124:Y125" si="144">W124-X124</f>
        <v>3.5</v>
      </c>
      <c r="Z124" s="63">
        <f t="shared" ref="Z124:Z125" si="145">Y124/X124</f>
        <v>2.1538461538461538E-2</v>
      </c>
      <c r="AA124" s="340">
        <v>-23</v>
      </c>
      <c r="AC124" s="22" t="s">
        <v>95</v>
      </c>
      <c r="AD124" s="84">
        <v>44635</v>
      </c>
      <c r="AE124" s="83">
        <v>44637</v>
      </c>
      <c r="AF124" s="33">
        <f t="shared" ref="AF124:AF125" si="146">AE124-AD124</f>
        <v>2</v>
      </c>
      <c r="AG124" s="454" t="s">
        <v>2128</v>
      </c>
      <c r="AH124" s="63"/>
      <c r="AI124" s="283"/>
      <c r="AR124" s="402" t="str">
        <f>INDEX(基本資料!N:N,MATCH($G124,基本資料!A:A,0))</f>
        <v>低</v>
      </c>
    </row>
    <row r="125" spans="1:44">
      <c r="A125" s="94">
        <v>8.84</v>
      </c>
      <c r="B125" s="79">
        <v>2</v>
      </c>
      <c r="C125" s="80">
        <v>-11</v>
      </c>
      <c r="D125" s="80">
        <v>-34</v>
      </c>
      <c r="E125" s="79">
        <v>11</v>
      </c>
      <c r="F125" s="6">
        <v>9.67</v>
      </c>
      <c r="G125" s="79">
        <v>3324</v>
      </c>
      <c r="H125" s="5" t="s">
        <v>3353</v>
      </c>
      <c r="I125" s="16" t="s">
        <v>228</v>
      </c>
      <c r="J125" s="8" t="s">
        <v>3544</v>
      </c>
      <c r="L125" s="123"/>
      <c r="O125" s="359">
        <v>51</v>
      </c>
      <c r="P125" s="79">
        <v>80</v>
      </c>
      <c r="Q125" s="342">
        <v>421</v>
      </c>
      <c r="R125" s="81">
        <v>85</v>
      </c>
      <c r="S125" s="324">
        <v>25</v>
      </c>
      <c r="T125" s="34">
        <v>6</v>
      </c>
      <c r="U125" s="307">
        <f t="shared" si="143"/>
        <v>2.6966292134831461E-2</v>
      </c>
      <c r="V125" s="94">
        <v>13.12</v>
      </c>
      <c r="W125" s="36">
        <v>222.5</v>
      </c>
      <c r="X125" s="66">
        <v>219.5</v>
      </c>
      <c r="Y125" s="15">
        <f t="shared" si="144"/>
        <v>3</v>
      </c>
      <c r="Z125" s="63">
        <f t="shared" si="145"/>
        <v>1.366742596810934E-2</v>
      </c>
      <c r="AA125" s="340">
        <v>-16.23</v>
      </c>
      <c r="AC125" s="16" t="s">
        <v>228</v>
      </c>
      <c r="AD125" s="84">
        <v>44635</v>
      </c>
      <c r="AE125" s="83">
        <v>44637</v>
      </c>
      <c r="AF125" s="33">
        <f t="shared" si="146"/>
        <v>2</v>
      </c>
      <c r="AG125" s="453" t="s">
        <v>2924</v>
      </c>
      <c r="AH125" s="63"/>
      <c r="AI125" s="283"/>
      <c r="AR125" s="402" t="str">
        <f>INDEX(基本資料!N:N,MATCH($G125,基本資料!A:A,0))</f>
        <v>低</v>
      </c>
    </row>
    <row r="126" spans="1:44">
      <c r="A126" s="94">
        <v>8.33</v>
      </c>
      <c r="B126" s="79">
        <v>119</v>
      </c>
      <c r="C126" s="79">
        <v>111</v>
      </c>
      <c r="D126" s="79">
        <v>30</v>
      </c>
      <c r="E126" s="79">
        <v>43</v>
      </c>
      <c r="F126" s="6">
        <v>24.41</v>
      </c>
      <c r="G126" s="79">
        <v>6187</v>
      </c>
      <c r="H126" s="5" t="s">
        <v>314</v>
      </c>
      <c r="I126" s="16" t="s">
        <v>4686</v>
      </c>
      <c r="J126" s="50" t="s">
        <v>4743</v>
      </c>
      <c r="L126" s="123"/>
      <c r="O126" s="359">
        <v>204</v>
      </c>
      <c r="P126" s="79">
        <v>46</v>
      </c>
      <c r="Q126" s="342">
        <v>1096</v>
      </c>
      <c r="R126" s="81">
        <v>4</v>
      </c>
      <c r="S126" s="324">
        <v>92</v>
      </c>
      <c r="T126" s="34">
        <v>4.5</v>
      </c>
      <c r="U126" s="307">
        <f t="shared" ref="U126" si="147">T126/W126</f>
        <v>3.0716723549488054E-2</v>
      </c>
      <c r="V126" s="94">
        <v>6.65</v>
      </c>
      <c r="W126" s="36">
        <v>146.5</v>
      </c>
      <c r="X126" s="66">
        <v>144</v>
      </c>
      <c r="Y126" s="15">
        <f t="shared" ref="Y126" si="148">W126-X126</f>
        <v>2.5</v>
      </c>
      <c r="Z126" s="63">
        <f t="shared" ref="Z126" si="149">Y126/X126</f>
        <v>1.7361111111111112E-2</v>
      </c>
      <c r="AA126" s="340">
        <v>-17.75</v>
      </c>
      <c r="AC126" s="16" t="s">
        <v>4686</v>
      </c>
      <c r="AD126" s="84">
        <v>44634</v>
      </c>
      <c r="AE126" s="83">
        <v>44637</v>
      </c>
      <c r="AF126" s="33">
        <f t="shared" ref="AF126" si="150">AE126-AD126</f>
        <v>3</v>
      </c>
      <c r="AG126" s="453" t="s">
        <v>2308</v>
      </c>
      <c r="AH126" s="63"/>
      <c r="AI126" s="283"/>
      <c r="AR126" s="402" t="str">
        <f>INDEX(基本資料!N:N,MATCH($G126,基本資料!A:A,0))</f>
        <v>低</v>
      </c>
    </row>
    <row r="127" spans="1:44">
      <c r="A127" s="94">
        <v>3.19</v>
      </c>
      <c r="B127" s="79">
        <v>109</v>
      </c>
      <c r="C127" s="79">
        <v>89</v>
      </c>
      <c r="D127" s="80">
        <v>-9</v>
      </c>
      <c r="E127" s="80">
        <v>-4</v>
      </c>
      <c r="F127" s="6">
        <v>32.36</v>
      </c>
      <c r="G127" s="80">
        <v>6457</v>
      </c>
      <c r="H127" s="145" t="s">
        <v>3038</v>
      </c>
      <c r="I127" s="16" t="s">
        <v>379</v>
      </c>
      <c r="J127" s="8" t="s">
        <v>4718</v>
      </c>
      <c r="L127" s="123"/>
      <c r="O127" s="359">
        <v>693</v>
      </c>
      <c r="P127" s="79">
        <v>767</v>
      </c>
      <c r="Q127" s="342">
        <v>812</v>
      </c>
      <c r="R127" s="81" t="s">
        <v>6279</v>
      </c>
      <c r="S127" s="324">
        <v>59</v>
      </c>
      <c r="T127" s="34">
        <v>6.32</v>
      </c>
      <c r="U127" s="307">
        <f t="shared" ref="U127:U134" si="151">T127/W127</f>
        <v>4.1442622950819671E-2</v>
      </c>
      <c r="V127" s="94">
        <v>12.2</v>
      </c>
      <c r="W127" s="36">
        <v>152.5</v>
      </c>
      <c r="X127" s="66">
        <v>150</v>
      </c>
      <c r="Y127" s="15">
        <f t="shared" ref="Y127:Y142" si="152">W127-X127</f>
        <v>2.5</v>
      </c>
      <c r="Z127" s="63">
        <f t="shared" ref="Z127:Z142" si="153">Y127/X127</f>
        <v>1.6666666666666666E-2</v>
      </c>
      <c r="AA127" s="340">
        <v>-36.53</v>
      </c>
      <c r="AC127" s="16" t="s">
        <v>379</v>
      </c>
      <c r="AD127" s="84">
        <v>44624</v>
      </c>
      <c r="AE127" s="83">
        <v>44631</v>
      </c>
      <c r="AF127" s="33">
        <f t="shared" ref="AF127:AF141" si="154">AE127-AD127</f>
        <v>7</v>
      </c>
      <c r="AG127" s="453" t="s">
        <v>2363</v>
      </c>
      <c r="AH127" s="63"/>
      <c r="AI127" s="283"/>
      <c r="AR127" s="402" t="str">
        <f>INDEX(基本資料!N:N,MATCH($G127,基本資料!A:A,0))</f>
        <v>低</v>
      </c>
    </row>
    <row r="128" spans="1:44">
      <c r="A128" s="94">
        <v>19</v>
      </c>
      <c r="B128" s="80">
        <v>-37</v>
      </c>
      <c r="C128" s="80">
        <v>-40</v>
      </c>
      <c r="D128" s="80">
        <v>-24</v>
      </c>
      <c r="E128" s="79">
        <v>17</v>
      </c>
      <c r="F128" s="6">
        <v>12.63</v>
      </c>
      <c r="G128" s="79">
        <v>2404</v>
      </c>
      <c r="H128" s="8" t="s">
        <v>314</v>
      </c>
      <c r="I128" s="22" t="s">
        <v>494</v>
      </c>
      <c r="J128" s="8" t="s">
        <v>4729</v>
      </c>
      <c r="L128" s="123"/>
      <c r="O128" s="359">
        <v>941</v>
      </c>
      <c r="P128" s="79">
        <v>22</v>
      </c>
      <c r="Q128" s="342">
        <v>244</v>
      </c>
      <c r="R128" s="81">
        <v>136</v>
      </c>
      <c r="S128" s="324">
        <v>368</v>
      </c>
      <c r="T128" s="34">
        <v>17</v>
      </c>
      <c r="U128" s="307">
        <f>T128/W128</f>
        <v>8.9947089947089942E-2</v>
      </c>
      <c r="V128" s="94">
        <v>14.98</v>
      </c>
      <c r="W128" s="36">
        <v>189</v>
      </c>
      <c r="X128" s="66">
        <v>185</v>
      </c>
      <c r="Y128" s="15">
        <f>W128-X128</f>
        <v>4</v>
      </c>
      <c r="Z128" s="63">
        <f>Y128/X128</f>
        <v>2.1621621621621623E-2</v>
      </c>
      <c r="AA128" s="340">
        <v>-32.49</v>
      </c>
      <c r="AC128" s="22" t="s">
        <v>494</v>
      </c>
      <c r="AD128" s="84">
        <v>44571</v>
      </c>
      <c r="AE128" s="83">
        <v>44631</v>
      </c>
      <c r="AF128" s="33">
        <f>AE128-AD128</f>
        <v>60</v>
      </c>
      <c r="AG128" s="453" t="s">
        <v>1444</v>
      </c>
      <c r="AH128" s="63"/>
      <c r="AI128" s="283"/>
      <c r="AR128" s="402" t="str">
        <f>INDEX(基本資料!N:N,MATCH($G128,基本資料!A:A,0))</f>
        <v>低</v>
      </c>
    </row>
    <row r="129" spans="1:44">
      <c r="A129" s="94">
        <v>10.7</v>
      </c>
      <c r="B129" s="79">
        <v>170</v>
      </c>
      <c r="C129" s="79">
        <v>170</v>
      </c>
      <c r="D129" s="79">
        <v>1</v>
      </c>
      <c r="E129" s="79">
        <v>41</v>
      </c>
      <c r="F129" s="6">
        <v>7.96</v>
      </c>
      <c r="G129" s="79">
        <v>4739</v>
      </c>
      <c r="H129" s="5" t="s">
        <v>3577</v>
      </c>
      <c r="I129" s="22" t="s">
        <v>3631</v>
      </c>
      <c r="J129" s="8" t="s">
        <v>3543</v>
      </c>
      <c r="L129" s="123"/>
      <c r="O129" s="359">
        <v>66</v>
      </c>
      <c r="P129" s="79" t="s">
        <v>6279</v>
      </c>
      <c r="Q129" s="342">
        <v>978</v>
      </c>
      <c r="R129" s="81">
        <v>110</v>
      </c>
      <c r="S129" s="324">
        <v>12</v>
      </c>
      <c r="T129" s="34">
        <v>3</v>
      </c>
      <c r="U129" s="307">
        <f t="shared" si="151"/>
        <v>1.9108280254777069E-2</v>
      </c>
      <c r="V129" s="94">
        <v>4.7</v>
      </c>
      <c r="W129" s="36">
        <v>157</v>
      </c>
      <c r="X129" s="66">
        <v>148</v>
      </c>
      <c r="Y129" s="15">
        <f t="shared" si="152"/>
        <v>9</v>
      </c>
      <c r="Z129" s="63">
        <f t="shared" si="153"/>
        <v>6.0810810810810814E-2</v>
      </c>
      <c r="AA129" s="340">
        <v>-18.98</v>
      </c>
      <c r="AC129" s="22" t="s">
        <v>3631</v>
      </c>
      <c r="AD129" s="84">
        <v>44629</v>
      </c>
      <c r="AE129" s="83">
        <v>44630</v>
      </c>
      <c r="AF129" s="33">
        <f t="shared" si="154"/>
        <v>1</v>
      </c>
      <c r="AG129" s="454" t="s">
        <v>2289</v>
      </c>
      <c r="AH129" s="63"/>
      <c r="AI129" s="283"/>
      <c r="AR129" s="402" t="str">
        <f>INDEX(基本資料!N:N,MATCH($G129,基本資料!A:A,0))</f>
        <v>中</v>
      </c>
    </row>
    <row r="130" spans="1:44">
      <c r="A130" s="94">
        <v>3.8</v>
      </c>
      <c r="B130" s="79">
        <v>46</v>
      </c>
      <c r="C130" s="79">
        <v>43</v>
      </c>
      <c r="D130" s="80">
        <v>-15</v>
      </c>
      <c r="E130" s="79">
        <v>29</v>
      </c>
      <c r="F130" s="6">
        <v>22.68</v>
      </c>
      <c r="G130" s="79">
        <v>6231</v>
      </c>
      <c r="H130" s="5" t="s">
        <v>3435</v>
      </c>
      <c r="I130" s="16" t="s">
        <v>1008</v>
      </c>
      <c r="J130" s="8" t="s">
        <v>3542</v>
      </c>
      <c r="L130" s="123"/>
      <c r="O130" s="359">
        <v>125</v>
      </c>
      <c r="P130" s="79">
        <v>340</v>
      </c>
      <c r="Q130" s="342">
        <v>347</v>
      </c>
      <c r="R130" s="81">
        <v>211</v>
      </c>
      <c r="S130" s="324">
        <v>271</v>
      </c>
      <c r="T130" s="34">
        <v>5.2</v>
      </c>
      <c r="U130" s="307">
        <f t="shared" si="151"/>
        <v>5.2000000000000005E-2</v>
      </c>
      <c r="V130" s="94">
        <v>5.94</v>
      </c>
      <c r="W130" s="36">
        <v>100</v>
      </c>
      <c r="X130" s="66">
        <v>98.6</v>
      </c>
      <c r="Y130" s="15">
        <f t="shared" si="152"/>
        <v>1.4000000000000057</v>
      </c>
      <c r="Z130" s="63">
        <f t="shared" si="153"/>
        <v>1.4198782961460505E-2</v>
      </c>
      <c r="AA130" s="340">
        <v>-16.43</v>
      </c>
      <c r="AC130" s="16" t="s">
        <v>1008</v>
      </c>
      <c r="AD130" s="84">
        <v>44629</v>
      </c>
      <c r="AE130" s="311">
        <v>44629</v>
      </c>
      <c r="AF130" s="33">
        <f t="shared" si="154"/>
        <v>0</v>
      </c>
      <c r="AG130" s="453" t="s">
        <v>2159</v>
      </c>
      <c r="AH130" s="63"/>
      <c r="AI130" s="283"/>
      <c r="AR130" s="402" t="str">
        <f>INDEX(基本資料!N:N,MATCH($G130,基本資料!A:A,0))</f>
        <v>中</v>
      </c>
    </row>
    <row r="131" spans="1:44">
      <c r="A131" s="94">
        <v>12.7</v>
      </c>
      <c r="B131" s="79">
        <v>295</v>
      </c>
      <c r="C131" s="80">
        <v>-50</v>
      </c>
      <c r="D131" s="80">
        <v>-3</v>
      </c>
      <c r="E131" s="80">
        <v>-1</v>
      </c>
      <c r="F131" s="6">
        <v>-0.41</v>
      </c>
      <c r="G131" s="79">
        <v>2707</v>
      </c>
      <c r="H131" s="5" t="s">
        <v>303</v>
      </c>
      <c r="I131" s="22" t="s">
        <v>972</v>
      </c>
      <c r="J131" s="8" t="s">
        <v>3542</v>
      </c>
      <c r="L131" s="245"/>
      <c r="O131" s="359">
        <v>1015</v>
      </c>
      <c r="P131" s="79">
        <v>271</v>
      </c>
      <c r="Q131" s="342">
        <v>363</v>
      </c>
      <c r="R131" s="81">
        <v>228</v>
      </c>
      <c r="S131" s="324">
        <v>648</v>
      </c>
      <c r="T131" s="34">
        <v>4.3899999999999997</v>
      </c>
      <c r="U131" s="307">
        <f t="shared" si="151"/>
        <v>2.6445783132530119E-2</v>
      </c>
      <c r="V131" s="94">
        <v>16.52</v>
      </c>
      <c r="W131" s="36">
        <v>166</v>
      </c>
      <c r="X131" s="66">
        <v>160</v>
      </c>
      <c r="Y131" s="15">
        <f t="shared" si="152"/>
        <v>6</v>
      </c>
      <c r="Z131" s="63">
        <f t="shared" si="153"/>
        <v>3.7499999999999999E-2</v>
      </c>
      <c r="AA131" s="340">
        <v>-15.9</v>
      </c>
      <c r="AC131" s="22" t="s">
        <v>972</v>
      </c>
      <c r="AD131" s="84">
        <v>44628</v>
      </c>
      <c r="AE131" s="83">
        <v>44629</v>
      </c>
      <c r="AF131" s="33">
        <f t="shared" si="154"/>
        <v>1</v>
      </c>
      <c r="AG131" s="453" t="s">
        <v>2680</v>
      </c>
      <c r="AH131" s="63"/>
      <c r="AI131" s="283"/>
      <c r="AR131" s="402" t="str">
        <f>INDEX(基本資料!N:N,MATCH($G131,基本資料!A:A,0))</f>
        <v>中</v>
      </c>
    </row>
    <row r="132" spans="1:44">
      <c r="A132" s="94">
        <v>5.99</v>
      </c>
      <c r="B132" s="79">
        <v>135</v>
      </c>
      <c r="C132" s="79">
        <v>168</v>
      </c>
      <c r="D132" s="80">
        <v>-52</v>
      </c>
      <c r="E132" s="79">
        <v>14</v>
      </c>
      <c r="F132" s="6">
        <v>14.8</v>
      </c>
      <c r="G132" s="79">
        <v>3455</v>
      </c>
      <c r="H132" s="5" t="s">
        <v>306</v>
      </c>
      <c r="I132" s="16" t="s">
        <v>4186</v>
      </c>
      <c r="J132" s="8" t="s">
        <v>3542</v>
      </c>
      <c r="L132" s="123"/>
      <c r="O132" s="359">
        <v>107</v>
      </c>
      <c r="P132" s="79">
        <v>308</v>
      </c>
      <c r="Q132" s="342">
        <v>912</v>
      </c>
      <c r="R132" s="81">
        <v>129</v>
      </c>
      <c r="S132" s="324">
        <v>83</v>
      </c>
      <c r="T132" s="34">
        <v>4</v>
      </c>
      <c r="U132" s="307">
        <f t="shared" si="151"/>
        <v>4.1623309053069719E-2</v>
      </c>
      <c r="V132" s="94">
        <v>6.76</v>
      </c>
      <c r="W132" s="36">
        <v>96.1</v>
      </c>
      <c r="X132" s="66">
        <v>94.5</v>
      </c>
      <c r="Y132" s="15">
        <f t="shared" si="152"/>
        <v>1.5999999999999943</v>
      </c>
      <c r="Z132" s="63">
        <f t="shared" si="153"/>
        <v>1.693121693121687E-2</v>
      </c>
      <c r="AA132" s="340">
        <v>-19.059999999999999</v>
      </c>
      <c r="AC132" s="16" t="s">
        <v>4186</v>
      </c>
      <c r="AD132" s="84">
        <v>44628</v>
      </c>
      <c r="AE132" s="311">
        <v>44628</v>
      </c>
      <c r="AF132" s="33">
        <f t="shared" si="154"/>
        <v>0</v>
      </c>
      <c r="AG132" s="453" t="s">
        <v>2433</v>
      </c>
      <c r="AH132" s="63"/>
      <c r="AI132" s="283"/>
      <c r="AJ132" s="44"/>
      <c r="AR132" s="402" t="str">
        <f>INDEX(基本資料!N:N,MATCH($G132,基本資料!A:A,0))</f>
        <v>中</v>
      </c>
    </row>
    <row r="133" spans="1:44">
      <c r="A133" s="94">
        <v>28.6</v>
      </c>
      <c r="B133" s="79">
        <v>364</v>
      </c>
      <c r="C133" s="79">
        <v>408</v>
      </c>
      <c r="D133" s="80">
        <v>-12</v>
      </c>
      <c r="E133" s="79">
        <v>3</v>
      </c>
      <c r="F133" s="6">
        <v>24.64</v>
      </c>
      <c r="G133" s="79">
        <v>3006</v>
      </c>
      <c r="H133" s="5" t="s">
        <v>3038</v>
      </c>
      <c r="I133" s="22" t="s">
        <v>95</v>
      </c>
      <c r="J133" s="50" t="s">
        <v>4743</v>
      </c>
      <c r="L133" s="123"/>
      <c r="O133" s="359">
        <v>26</v>
      </c>
      <c r="P133" s="79">
        <v>1054</v>
      </c>
      <c r="Q133" s="342">
        <v>380</v>
      </c>
      <c r="R133" s="81">
        <v>172</v>
      </c>
      <c r="S133" s="324">
        <v>14</v>
      </c>
      <c r="T133" s="34">
        <v>8</v>
      </c>
      <c r="U133" s="307">
        <f t="shared" si="151"/>
        <v>4.6647230320699708E-2</v>
      </c>
      <c r="V133" s="94">
        <v>17.760000000000002</v>
      </c>
      <c r="W133" s="36">
        <v>171.5</v>
      </c>
      <c r="X133" s="66">
        <v>165</v>
      </c>
      <c r="Y133" s="15">
        <f t="shared" si="152"/>
        <v>6.5</v>
      </c>
      <c r="Z133" s="63">
        <f t="shared" si="153"/>
        <v>3.9393939393939391E-2</v>
      </c>
      <c r="AA133" s="340">
        <v>-24.88</v>
      </c>
      <c r="AC133" s="22" t="s">
        <v>95</v>
      </c>
      <c r="AD133" s="84">
        <v>44623</v>
      </c>
      <c r="AE133" s="83">
        <v>44624</v>
      </c>
      <c r="AF133" s="33">
        <f t="shared" si="154"/>
        <v>1</v>
      </c>
      <c r="AG133" s="454" t="s">
        <v>2128</v>
      </c>
      <c r="AH133" s="63"/>
      <c r="AI133" s="283"/>
      <c r="AR133" s="402" t="str">
        <f>INDEX(基本資料!N:N,MATCH($G133,基本資料!A:A,0))</f>
        <v>低</v>
      </c>
    </row>
    <row r="134" spans="1:44">
      <c r="A134" s="94">
        <v>6.22</v>
      </c>
      <c r="B134" s="79">
        <v>159</v>
      </c>
      <c r="C134" s="79">
        <v>141</v>
      </c>
      <c r="D134" s="79">
        <v>3</v>
      </c>
      <c r="E134" s="79">
        <v>59</v>
      </c>
      <c r="F134" s="6">
        <v>32.9</v>
      </c>
      <c r="G134" s="80">
        <v>3169</v>
      </c>
      <c r="H134" s="145" t="s">
        <v>3038</v>
      </c>
      <c r="I134" s="16" t="s">
        <v>359</v>
      </c>
      <c r="J134" s="50" t="s">
        <v>4743</v>
      </c>
      <c r="L134" s="123"/>
      <c r="O134" s="359">
        <v>17</v>
      </c>
      <c r="P134" s="79">
        <v>223</v>
      </c>
      <c r="Q134" s="342">
        <v>926</v>
      </c>
      <c r="R134" s="81">
        <v>385</v>
      </c>
      <c r="S134" s="324">
        <v>10</v>
      </c>
      <c r="T134" s="34">
        <v>2.5</v>
      </c>
      <c r="U134" s="307">
        <f t="shared" si="151"/>
        <v>1.1061946902654867E-2</v>
      </c>
      <c r="V134" s="94">
        <v>5.5</v>
      </c>
      <c r="W134" s="36">
        <v>226</v>
      </c>
      <c r="X134" s="66">
        <v>222</v>
      </c>
      <c r="Y134" s="15">
        <f t="shared" si="152"/>
        <v>4</v>
      </c>
      <c r="Z134" s="63">
        <f t="shared" si="153"/>
        <v>1.8018018018018018E-2</v>
      </c>
      <c r="AA134" s="340">
        <v>-26.54</v>
      </c>
      <c r="AC134" s="16" t="s">
        <v>359</v>
      </c>
      <c r="AD134" s="84">
        <v>44602</v>
      </c>
      <c r="AE134" s="83">
        <v>44624</v>
      </c>
      <c r="AF134" s="33">
        <f t="shared" si="154"/>
        <v>22</v>
      </c>
      <c r="AG134" s="453" t="s">
        <v>2892</v>
      </c>
      <c r="AH134" s="63"/>
      <c r="AI134" s="283"/>
      <c r="AR134" s="402" t="str">
        <f>INDEX(基本資料!N:N,MATCH($G134,基本資料!A:A,0))</f>
        <v>低</v>
      </c>
    </row>
    <row r="135" spans="1:44">
      <c r="A135" s="94">
        <v>3.88</v>
      </c>
      <c r="B135" s="92">
        <v>1262</v>
      </c>
      <c r="C135" s="92">
        <v>1058</v>
      </c>
      <c r="D135" s="79">
        <v>0</v>
      </c>
      <c r="E135" s="79">
        <v>47</v>
      </c>
      <c r="F135" s="6">
        <v>17.05</v>
      </c>
      <c r="G135" s="80">
        <v>3122</v>
      </c>
      <c r="H135" s="145" t="s">
        <v>3038</v>
      </c>
      <c r="I135" s="16" t="s">
        <v>358</v>
      </c>
      <c r="J135" s="8" t="s">
        <v>3542</v>
      </c>
      <c r="L135" s="123"/>
      <c r="O135" s="359">
        <v>62</v>
      </c>
      <c r="P135" s="79">
        <v>49</v>
      </c>
      <c r="Q135" s="342">
        <v>980</v>
      </c>
      <c r="R135" s="81" t="s">
        <v>6279</v>
      </c>
      <c r="S135" s="324">
        <v>20</v>
      </c>
      <c r="T135" s="34">
        <v>2.2000000000000002</v>
      </c>
      <c r="U135" s="307">
        <f t="shared" ref="U135:U141" si="155">T135/W135</f>
        <v>3.8938053097345139E-2</v>
      </c>
      <c r="V135" s="94">
        <v>3.38</v>
      </c>
      <c r="W135" s="36">
        <v>56.5</v>
      </c>
      <c r="X135" s="66">
        <v>54.8</v>
      </c>
      <c r="Y135" s="15">
        <f t="shared" si="152"/>
        <v>1.7000000000000028</v>
      </c>
      <c r="Z135" s="63">
        <f t="shared" si="153"/>
        <v>3.102189781021903E-2</v>
      </c>
      <c r="AA135" s="340">
        <v>-24.04</v>
      </c>
      <c r="AC135" s="16" t="s">
        <v>358</v>
      </c>
      <c r="AD135" s="84">
        <v>44613</v>
      </c>
      <c r="AE135" s="83">
        <v>44623</v>
      </c>
      <c r="AF135" s="33">
        <f t="shared" si="154"/>
        <v>10</v>
      </c>
      <c r="AG135" s="453" t="s">
        <v>2351</v>
      </c>
      <c r="AH135" s="63"/>
      <c r="AI135" s="283"/>
      <c r="AR135" s="402" t="str">
        <f>INDEX(基本資料!N:N,MATCH($G135,基本資料!A:A,0))</f>
        <v>中</v>
      </c>
    </row>
    <row r="136" spans="1:44">
      <c r="A136" s="94">
        <v>8.3800000000000008</v>
      </c>
      <c r="B136" s="79">
        <v>299</v>
      </c>
      <c r="C136" s="79">
        <v>207</v>
      </c>
      <c r="D136" s="80">
        <v>-18</v>
      </c>
      <c r="E136" s="79">
        <v>8</v>
      </c>
      <c r="F136" s="6">
        <v>25.92</v>
      </c>
      <c r="G136" s="79">
        <v>8924</v>
      </c>
      <c r="H136" s="5" t="s">
        <v>1959</v>
      </c>
      <c r="I136" s="16" t="s">
        <v>662</v>
      </c>
      <c r="J136" s="8" t="s">
        <v>3542</v>
      </c>
      <c r="L136" s="123"/>
      <c r="O136" s="359">
        <v>462</v>
      </c>
      <c r="P136" s="79">
        <v>127</v>
      </c>
      <c r="Q136" s="342">
        <v>902</v>
      </c>
      <c r="R136" s="81">
        <v>88</v>
      </c>
      <c r="S136" s="324">
        <v>201</v>
      </c>
      <c r="T136" s="34">
        <v>5</v>
      </c>
      <c r="U136" s="307">
        <f t="shared" si="155"/>
        <v>3.2258064516129031E-2</v>
      </c>
      <c r="V136" s="94">
        <v>17.37</v>
      </c>
      <c r="W136" s="36">
        <v>155</v>
      </c>
      <c r="X136" s="66">
        <v>149.5</v>
      </c>
      <c r="Y136" s="15">
        <f t="shared" si="152"/>
        <v>5.5</v>
      </c>
      <c r="Z136" s="63">
        <f t="shared" si="153"/>
        <v>3.678929765886288E-2</v>
      </c>
      <c r="AA136" s="340">
        <v>-19.03</v>
      </c>
      <c r="AC136" s="16" t="s">
        <v>662</v>
      </c>
      <c r="AD136" s="84">
        <v>44622</v>
      </c>
      <c r="AE136" s="83">
        <v>44623</v>
      </c>
      <c r="AF136" s="33">
        <f t="shared" si="154"/>
        <v>1</v>
      </c>
      <c r="AG136" s="453" t="s">
        <v>3059</v>
      </c>
      <c r="AH136" s="63"/>
      <c r="AI136" s="283"/>
      <c r="AR136" s="402" t="str">
        <f>INDEX(基本資料!N:N,MATCH($G136,基本資料!A:A,0))</f>
        <v>低</v>
      </c>
    </row>
    <row r="137" spans="1:44">
      <c r="A137" s="94">
        <v>4.4400000000000004</v>
      </c>
      <c r="B137" s="79">
        <v>193</v>
      </c>
      <c r="C137" s="79">
        <v>122</v>
      </c>
      <c r="D137" s="79">
        <v>0</v>
      </c>
      <c r="E137" s="79">
        <v>18</v>
      </c>
      <c r="F137" s="6">
        <v>15.78</v>
      </c>
      <c r="G137" s="79">
        <v>3675</v>
      </c>
      <c r="H137" s="145" t="s">
        <v>3038</v>
      </c>
      <c r="I137" s="16" t="s">
        <v>365</v>
      </c>
      <c r="J137" s="8" t="s">
        <v>3542</v>
      </c>
      <c r="L137" s="123"/>
      <c r="O137" s="359">
        <v>326</v>
      </c>
      <c r="P137" s="79">
        <v>365</v>
      </c>
      <c r="Q137" s="342">
        <v>69</v>
      </c>
      <c r="R137" s="81">
        <v>3</v>
      </c>
      <c r="S137" s="324">
        <v>22</v>
      </c>
      <c r="T137" s="34">
        <v>5</v>
      </c>
      <c r="U137" s="307">
        <f t="shared" si="155"/>
        <v>1.7182130584192441E-2</v>
      </c>
      <c r="V137" s="94">
        <v>7.36</v>
      </c>
      <c r="W137" s="36">
        <v>291</v>
      </c>
      <c r="X137" s="66">
        <v>271.5</v>
      </c>
      <c r="Y137" s="15">
        <f t="shared" si="152"/>
        <v>19.5</v>
      </c>
      <c r="Z137" s="63">
        <f t="shared" si="153"/>
        <v>7.18232044198895E-2</v>
      </c>
      <c r="AA137" s="340">
        <v>-16.41</v>
      </c>
      <c r="AC137" s="16" t="s">
        <v>365</v>
      </c>
      <c r="AD137" s="84">
        <v>44621</v>
      </c>
      <c r="AE137" s="83">
        <v>44623</v>
      </c>
      <c r="AF137" s="33">
        <f t="shared" si="154"/>
        <v>2</v>
      </c>
      <c r="AG137" s="453" t="s">
        <v>2939</v>
      </c>
      <c r="AH137" s="63"/>
      <c r="AI137" s="283"/>
      <c r="AR137" s="402" t="str">
        <f>INDEX(基本資料!N:N,MATCH($G137,基本資料!A:A,0))</f>
        <v>高</v>
      </c>
    </row>
    <row r="138" spans="1:44">
      <c r="A138" s="94">
        <v>15</v>
      </c>
      <c r="B138" s="79">
        <v>691</v>
      </c>
      <c r="C138" s="79">
        <v>515</v>
      </c>
      <c r="D138" s="79">
        <v>16</v>
      </c>
      <c r="E138" s="79">
        <v>81</v>
      </c>
      <c r="F138" s="6">
        <v>11.81</v>
      </c>
      <c r="G138" s="79">
        <v>2636</v>
      </c>
      <c r="H138" s="5" t="s">
        <v>302</v>
      </c>
      <c r="I138" s="22" t="s">
        <v>1921</v>
      </c>
      <c r="J138" s="8" t="s">
        <v>3542</v>
      </c>
      <c r="L138" s="123"/>
      <c r="O138" s="359">
        <v>94</v>
      </c>
      <c r="P138" s="79">
        <v>167</v>
      </c>
      <c r="Q138" s="342">
        <v>412</v>
      </c>
      <c r="R138" s="81">
        <v>491</v>
      </c>
      <c r="S138" s="324">
        <v>41</v>
      </c>
      <c r="T138" s="34">
        <v>3.02</v>
      </c>
      <c r="U138" s="307">
        <f t="shared" si="155"/>
        <v>2.1884057971014493E-2</v>
      </c>
      <c r="V138" s="94">
        <v>24.5</v>
      </c>
      <c r="W138" s="36">
        <v>138</v>
      </c>
      <c r="X138" s="66">
        <v>135.5</v>
      </c>
      <c r="Y138" s="15">
        <f t="shared" si="152"/>
        <v>2.5</v>
      </c>
      <c r="Z138" s="63">
        <f t="shared" si="153"/>
        <v>1.8450184501845018E-2</v>
      </c>
      <c r="AA138" s="340">
        <v>-58.57</v>
      </c>
      <c r="AC138" s="22" t="s">
        <v>1921</v>
      </c>
      <c r="AD138" s="84">
        <v>44621</v>
      </c>
      <c r="AE138" s="83">
        <v>44623</v>
      </c>
      <c r="AF138" s="33">
        <f t="shared" si="154"/>
        <v>2</v>
      </c>
      <c r="AG138" s="453" t="s">
        <v>2013</v>
      </c>
      <c r="AH138" s="63"/>
      <c r="AI138" s="283"/>
      <c r="AR138" s="402" t="str">
        <f>INDEX(基本資料!N:N,MATCH($G138,基本資料!A:A,0))</f>
        <v>低</v>
      </c>
    </row>
    <row r="139" spans="1:44">
      <c r="A139" s="94">
        <v>28.6</v>
      </c>
      <c r="B139" s="79">
        <v>364</v>
      </c>
      <c r="C139" s="79">
        <v>371</v>
      </c>
      <c r="D139" s="80">
        <v>-12</v>
      </c>
      <c r="E139" s="79">
        <v>3</v>
      </c>
      <c r="F139" s="6">
        <v>24.55</v>
      </c>
      <c r="G139" s="79">
        <v>3006</v>
      </c>
      <c r="H139" s="8" t="s">
        <v>3038</v>
      </c>
      <c r="I139" s="22" t="s">
        <v>95</v>
      </c>
      <c r="J139" s="50" t="s">
        <v>4743</v>
      </c>
      <c r="L139" s="123"/>
      <c r="O139" s="359">
        <v>26</v>
      </c>
      <c r="P139" s="79">
        <v>1054</v>
      </c>
      <c r="Q139" s="342">
        <v>380</v>
      </c>
      <c r="R139" s="81">
        <v>172</v>
      </c>
      <c r="S139" s="324">
        <v>14</v>
      </c>
      <c r="T139" s="34">
        <v>2</v>
      </c>
      <c r="U139" s="307">
        <f t="shared" si="155"/>
        <v>1.2121212121212121E-2</v>
      </c>
      <c r="V139" s="94">
        <v>14.61</v>
      </c>
      <c r="W139" s="36">
        <v>165</v>
      </c>
      <c r="X139" s="66">
        <v>162.5</v>
      </c>
      <c r="Y139" s="15">
        <f t="shared" si="152"/>
        <v>2.5</v>
      </c>
      <c r="Z139" s="63">
        <f t="shared" si="153"/>
        <v>1.5384615384615385E-2</v>
      </c>
      <c r="AA139" s="340">
        <v>-23.71</v>
      </c>
      <c r="AC139" s="22" t="s">
        <v>95</v>
      </c>
      <c r="AD139" s="84">
        <v>44613</v>
      </c>
      <c r="AE139" s="83">
        <v>44623</v>
      </c>
      <c r="AF139" s="33">
        <f t="shared" si="154"/>
        <v>10</v>
      </c>
      <c r="AG139" s="454" t="s">
        <v>2128</v>
      </c>
      <c r="AH139" s="63"/>
      <c r="AI139" s="283"/>
      <c r="AR139" s="402" t="str">
        <f>INDEX(基本資料!N:N,MATCH($G139,基本資料!A:A,0))</f>
        <v>低</v>
      </c>
    </row>
    <row r="140" spans="1:44">
      <c r="A140" s="94">
        <v>8.33</v>
      </c>
      <c r="B140" s="79">
        <v>119</v>
      </c>
      <c r="C140" s="79">
        <v>111</v>
      </c>
      <c r="D140" s="79">
        <v>31</v>
      </c>
      <c r="E140" s="79">
        <v>-5</v>
      </c>
      <c r="F140" s="6">
        <v>24.41</v>
      </c>
      <c r="G140" s="79">
        <v>6187</v>
      </c>
      <c r="H140" s="8" t="s">
        <v>314</v>
      </c>
      <c r="I140" s="16" t="s">
        <v>4686</v>
      </c>
      <c r="J140" s="50" t="s">
        <v>4743</v>
      </c>
      <c r="L140" s="123"/>
      <c r="O140" s="359">
        <v>204</v>
      </c>
      <c r="P140" s="79">
        <v>46</v>
      </c>
      <c r="Q140" s="342">
        <v>1096</v>
      </c>
      <c r="R140" s="81">
        <v>4</v>
      </c>
      <c r="S140" s="324">
        <v>92</v>
      </c>
      <c r="T140" s="34">
        <v>4.5</v>
      </c>
      <c r="U140" s="307">
        <f t="shared" si="155"/>
        <v>3.2258064516129031E-2</v>
      </c>
      <c r="V140" s="94">
        <v>6.37</v>
      </c>
      <c r="W140" s="36">
        <v>139.5</v>
      </c>
      <c r="X140" s="66">
        <v>137</v>
      </c>
      <c r="Y140" s="15">
        <f t="shared" si="152"/>
        <v>2.5</v>
      </c>
      <c r="Z140" s="63">
        <f t="shared" si="153"/>
        <v>1.824817518248175E-2</v>
      </c>
      <c r="AA140" s="340">
        <v>-18.34</v>
      </c>
      <c r="AC140" s="16" t="s">
        <v>4686</v>
      </c>
      <c r="AD140" s="84">
        <v>44616</v>
      </c>
      <c r="AE140" s="83">
        <v>44621</v>
      </c>
      <c r="AF140" s="33">
        <f t="shared" si="154"/>
        <v>5</v>
      </c>
      <c r="AG140" s="453" t="s">
        <v>2308</v>
      </c>
      <c r="AH140" s="63"/>
      <c r="AI140" s="283"/>
      <c r="AR140" s="402" t="str">
        <f>INDEX(基本資料!N:N,MATCH($G140,基本資料!A:A,0))</f>
        <v>低</v>
      </c>
    </row>
    <row r="141" spans="1:44">
      <c r="A141" s="94">
        <v>0.01</v>
      </c>
      <c r="B141" s="79">
        <v>433</v>
      </c>
      <c r="C141" s="79">
        <v>605</v>
      </c>
      <c r="D141" s="218">
        <v>11693</v>
      </c>
      <c r="E141" s="80">
        <v>-65</v>
      </c>
      <c r="F141" s="6">
        <v>78.790000000000006</v>
      </c>
      <c r="G141" s="79">
        <v>4157</v>
      </c>
      <c r="H141" s="8" t="s">
        <v>309</v>
      </c>
      <c r="I141" s="16" t="s">
        <v>3771</v>
      </c>
      <c r="J141" s="50" t="s">
        <v>4743</v>
      </c>
      <c r="L141" s="123"/>
      <c r="O141" s="359">
        <v>1011</v>
      </c>
      <c r="P141" s="79">
        <v>594</v>
      </c>
      <c r="Q141" s="342">
        <v>869</v>
      </c>
      <c r="R141" s="81" t="s">
        <v>6279</v>
      </c>
      <c r="S141" s="324">
        <v>1</v>
      </c>
      <c r="T141" s="34">
        <v>0</v>
      </c>
      <c r="U141" s="307">
        <f t="shared" si="155"/>
        <v>0</v>
      </c>
      <c r="V141" s="94">
        <v>1.1000000000000001</v>
      </c>
      <c r="W141" s="36">
        <v>17.55</v>
      </c>
      <c r="X141" s="66">
        <v>17.25</v>
      </c>
      <c r="Y141" s="15">
        <f t="shared" si="152"/>
        <v>0.30000000000000071</v>
      </c>
      <c r="Z141" s="63">
        <f t="shared" si="153"/>
        <v>1.7391304347826129E-2</v>
      </c>
      <c r="AA141" s="340">
        <v>-31.33</v>
      </c>
      <c r="AC141" s="16" t="s">
        <v>3771</v>
      </c>
      <c r="AD141" s="84">
        <v>44614</v>
      </c>
      <c r="AE141" s="83">
        <v>44621</v>
      </c>
      <c r="AF141" s="33">
        <f t="shared" si="154"/>
        <v>7</v>
      </c>
      <c r="AG141" s="453" t="s">
        <v>3772</v>
      </c>
      <c r="AH141" s="315"/>
      <c r="AI141" s="283"/>
      <c r="AJ141" s="399"/>
      <c r="AR141" s="402" t="str">
        <f>INDEX(基本資料!N:N,MATCH($G141,基本資料!A:A,0))</f>
        <v>中</v>
      </c>
    </row>
    <row r="142" spans="1:44" s="248" customFormat="1">
      <c r="A142" s="384"/>
      <c r="B142" s="79"/>
      <c r="C142" s="79"/>
      <c r="D142" s="79"/>
      <c r="E142" s="79"/>
      <c r="F142" s="6"/>
      <c r="G142" s="41"/>
      <c r="H142" s="8"/>
      <c r="I142" s="153"/>
      <c r="J142" s="1"/>
      <c r="K142" s="5"/>
      <c r="L142" s="163"/>
      <c r="O142" s="359"/>
      <c r="P142" s="79"/>
      <c r="Q142" s="342"/>
      <c r="R142" s="81"/>
      <c r="S142" s="319"/>
      <c r="T142" s="185"/>
      <c r="U142" s="305"/>
      <c r="V142" s="94"/>
      <c r="W142" s="304">
        <f>SUM(W98:W141)</f>
        <v>9788.85</v>
      </c>
      <c r="X142" s="295">
        <f>SUM(X98:X141)</f>
        <v>9609.4499999999989</v>
      </c>
      <c r="Y142" s="162">
        <f t="shared" si="152"/>
        <v>179.40000000000146</v>
      </c>
      <c r="Z142" s="158">
        <f t="shared" si="153"/>
        <v>1.8669122582458047E-2</v>
      </c>
      <c r="AA142" s="100"/>
      <c r="AB142" s="378"/>
      <c r="AC142" s="227">
        <f>W142*(0.001425*0.5)+W142*0.003+X142*(0.001425*0.5)</f>
        <v>43.187838749999997</v>
      </c>
      <c r="AD142" s="6">
        <f>Y142-AC142</f>
        <v>136.21216125000146</v>
      </c>
      <c r="AE142" s="83"/>
      <c r="AF142" s="33"/>
      <c r="AG142" s="132" t="s">
        <v>4751</v>
      </c>
    </row>
    <row r="143" spans="1:44" s="248" customFormat="1">
      <c r="A143" s="384"/>
      <c r="B143" s="79"/>
      <c r="C143" s="79"/>
      <c r="D143" s="79"/>
      <c r="E143" s="79"/>
      <c r="F143" s="6"/>
      <c r="G143" s="41"/>
      <c r="H143" s="8"/>
      <c r="I143" s="153"/>
      <c r="J143" s="1"/>
      <c r="K143" s="5"/>
      <c r="L143" s="163"/>
      <c r="O143" s="359"/>
      <c r="P143" s="79"/>
      <c r="Q143" s="342"/>
      <c r="R143" s="81"/>
      <c r="S143" s="319"/>
      <c r="T143" s="185"/>
      <c r="U143" s="305"/>
      <c r="V143" s="94"/>
      <c r="W143" s="304"/>
      <c r="X143" s="295"/>
      <c r="Y143" s="162"/>
      <c r="Z143" s="158"/>
      <c r="AA143" s="100"/>
      <c r="AB143" s="378"/>
      <c r="AC143" s="227"/>
      <c r="AD143" s="6"/>
      <c r="AE143" s="83"/>
      <c r="AF143" s="33"/>
      <c r="AG143" s="132"/>
    </row>
    <row r="144" spans="1:44">
      <c r="A144" s="94">
        <v>6.01</v>
      </c>
      <c r="B144" s="80">
        <v>-60</v>
      </c>
      <c r="C144" s="80">
        <v>-58</v>
      </c>
      <c r="D144" s="80">
        <v>-9</v>
      </c>
      <c r="E144" s="79">
        <v>72</v>
      </c>
      <c r="F144" s="6">
        <v>1.66</v>
      </c>
      <c r="G144" s="79">
        <v>3548</v>
      </c>
      <c r="H144" s="5" t="s">
        <v>3388</v>
      </c>
      <c r="I144" s="16" t="s">
        <v>141</v>
      </c>
      <c r="J144" s="8" t="s">
        <v>3542</v>
      </c>
      <c r="L144" s="123"/>
      <c r="O144" s="359">
        <v>48</v>
      </c>
      <c r="P144" s="79">
        <v>308</v>
      </c>
      <c r="Q144" s="342">
        <v>664</v>
      </c>
      <c r="R144" s="81">
        <v>475</v>
      </c>
      <c r="S144" s="324">
        <v>439</v>
      </c>
      <c r="T144" s="34">
        <v>2.5</v>
      </c>
      <c r="U144" s="307">
        <f t="shared" ref="U144:U169" si="156">T144/W144</f>
        <v>3.3783783783783786E-2</v>
      </c>
      <c r="V144" s="94">
        <v>2.6</v>
      </c>
      <c r="W144" s="36">
        <v>74</v>
      </c>
      <c r="X144" s="66">
        <v>72.599999999999994</v>
      </c>
      <c r="Y144" s="15">
        <f t="shared" ref="Y144:Y170" si="157">W144-X144</f>
        <v>1.4000000000000057</v>
      </c>
      <c r="Z144" s="63">
        <f t="shared" ref="Z144:Z170" si="158">Y144/X144</f>
        <v>1.928374655647391E-2</v>
      </c>
      <c r="AA144" s="340">
        <v>-23.78</v>
      </c>
      <c r="AC144" s="16" t="s">
        <v>141</v>
      </c>
      <c r="AD144" s="84">
        <v>44617</v>
      </c>
      <c r="AE144" s="311">
        <v>44617</v>
      </c>
      <c r="AF144" s="33">
        <f t="shared" ref="AF144:AF169" si="159">AE144-AD144</f>
        <v>0</v>
      </c>
      <c r="AG144" s="454" t="s">
        <v>2889</v>
      </c>
      <c r="AH144" s="63"/>
      <c r="AI144" s="283"/>
      <c r="AR144" s="402" t="str">
        <f>INDEX(基本資料!N:N,MATCH($G144,基本資料!A:A,0))</f>
        <v>中</v>
      </c>
    </row>
    <row r="145" spans="1:44">
      <c r="A145" s="94">
        <v>25.2</v>
      </c>
      <c r="B145" s="79">
        <v>181</v>
      </c>
      <c r="C145" s="79">
        <v>158</v>
      </c>
      <c r="D145" s="80">
        <v>-7</v>
      </c>
      <c r="E145" s="79">
        <v>27</v>
      </c>
      <c r="F145" s="6">
        <v>21.4</v>
      </c>
      <c r="G145" s="79">
        <v>8358</v>
      </c>
      <c r="H145" s="8" t="s">
        <v>308</v>
      </c>
      <c r="I145" s="16" t="s">
        <v>222</v>
      </c>
      <c r="J145" s="50" t="s">
        <v>4743</v>
      </c>
      <c r="L145" s="123"/>
      <c r="O145" s="359">
        <v>308</v>
      </c>
      <c r="P145" s="79">
        <v>314</v>
      </c>
      <c r="Q145" s="342">
        <v>636</v>
      </c>
      <c r="R145" s="81">
        <v>36</v>
      </c>
      <c r="S145" s="324">
        <v>157</v>
      </c>
      <c r="T145" s="34">
        <v>4.2</v>
      </c>
      <c r="U145" s="307">
        <f t="shared" si="156"/>
        <v>5.5702917771883284E-2</v>
      </c>
      <c r="V145" s="94">
        <v>2.14</v>
      </c>
      <c r="W145" s="36">
        <v>75.400000000000006</v>
      </c>
      <c r="X145" s="66">
        <v>74.099999999999994</v>
      </c>
      <c r="Y145" s="15">
        <f t="shared" si="157"/>
        <v>1.3000000000000114</v>
      </c>
      <c r="Z145" s="63">
        <f t="shared" si="158"/>
        <v>1.7543859649122962E-2</v>
      </c>
      <c r="AA145" s="340">
        <v>-20.13</v>
      </c>
      <c r="AC145" s="16" t="s">
        <v>222</v>
      </c>
      <c r="AD145" s="84">
        <v>44616</v>
      </c>
      <c r="AE145" s="83">
        <v>44617</v>
      </c>
      <c r="AF145" s="33">
        <f t="shared" si="159"/>
        <v>1</v>
      </c>
      <c r="AG145" s="454" t="s">
        <v>2430</v>
      </c>
      <c r="AH145" s="63"/>
      <c r="AI145" s="283"/>
      <c r="AR145" s="402" t="str">
        <f>INDEX(基本資料!N:N,MATCH($G145,基本資料!A:A,0))</f>
        <v>低</v>
      </c>
    </row>
    <row r="146" spans="1:44">
      <c r="A146" s="94">
        <v>10</v>
      </c>
      <c r="B146" s="79">
        <v>21</v>
      </c>
      <c r="C146" s="79">
        <v>4</v>
      </c>
      <c r="D146" s="79">
        <v>14</v>
      </c>
      <c r="E146" s="79">
        <v>79</v>
      </c>
      <c r="F146" s="6">
        <v>11.75</v>
      </c>
      <c r="G146" s="79">
        <v>4755</v>
      </c>
      <c r="H146" s="8" t="s">
        <v>755</v>
      </c>
      <c r="I146" s="22" t="s">
        <v>766</v>
      </c>
      <c r="J146" s="8" t="s">
        <v>3542</v>
      </c>
      <c r="L146" s="123"/>
      <c r="O146" s="359">
        <v>596</v>
      </c>
      <c r="P146" s="79">
        <v>606</v>
      </c>
      <c r="Q146" s="342">
        <v>179</v>
      </c>
      <c r="R146" s="81">
        <v>223</v>
      </c>
      <c r="S146" s="324">
        <v>191</v>
      </c>
      <c r="T146" s="34">
        <v>3</v>
      </c>
      <c r="U146" s="307">
        <f t="shared" si="156"/>
        <v>1.9867549668874173E-2</v>
      </c>
      <c r="V146" s="94">
        <v>4.74</v>
      </c>
      <c r="W146" s="36">
        <v>151</v>
      </c>
      <c r="X146" s="66">
        <v>148.5</v>
      </c>
      <c r="Y146" s="15">
        <f t="shared" si="157"/>
        <v>2.5</v>
      </c>
      <c r="Z146" s="63">
        <f t="shared" si="158"/>
        <v>1.6835016835016835E-2</v>
      </c>
      <c r="AA146" s="340">
        <v>-22.13</v>
      </c>
      <c r="AC146" s="22" t="s">
        <v>766</v>
      </c>
      <c r="AD146" s="84">
        <v>44615</v>
      </c>
      <c r="AE146" s="311">
        <v>44615</v>
      </c>
      <c r="AF146" s="33">
        <f t="shared" si="159"/>
        <v>0</v>
      </c>
      <c r="AG146" s="453" t="s">
        <v>3636</v>
      </c>
      <c r="AH146" s="63"/>
      <c r="AI146" s="283"/>
      <c r="AR146" s="402" t="str">
        <f>INDEX(基本資料!N:N,MATCH($G146,基本資料!A:A,0))</f>
        <v>高</v>
      </c>
    </row>
    <row r="147" spans="1:44">
      <c r="A147" s="94">
        <v>0.01</v>
      </c>
      <c r="B147" s="79">
        <v>433</v>
      </c>
      <c r="C147" s="79">
        <v>605</v>
      </c>
      <c r="D147" s="218">
        <v>11693</v>
      </c>
      <c r="E147" s="80">
        <v>-65</v>
      </c>
      <c r="F147" s="6">
        <v>78.790000000000006</v>
      </c>
      <c r="G147" s="79">
        <v>4157</v>
      </c>
      <c r="H147" s="8" t="s">
        <v>309</v>
      </c>
      <c r="I147" s="16" t="s">
        <v>3771</v>
      </c>
      <c r="J147" s="50" t="s">
        <v>4743</v>
      </c>
      <c r="L147" s="123"/>
      <c r="O147" s="359">
        <v>1011</v>
      </c>
      <c r="P147" s="79">
        <v>594</v>
      </c>
      <c r="Q147" s="342">
        <v>869</v>
      </c>
      <c r="R147" s="81" t="s">
        <v>6279</v>
      </c>
      <c r="S147" s="324">
        <v>1</v>
      </c>
      <c r="T147" s="34">
        <v>0</v>
      </c>
      <c r="U147" s="307">
        <f t="shared" si="156"/>
        <v>0</v>
      </c>
      <c r="V147" s="94">
        <v>1.1000000000000001</v>
      </c>
      <c r="W147" s="36">
        <v>17.25</v>
      </c>
      <c r="X147" s="66">
        <v>15.95</v>
      </c>
      <c r="Y147" s="15">
        <f t="shared" si="157"/>
        <v>1.3000000000000007</v>
      </c>
      <c r="Z147" s="63">
        <f t="shared" si="158"/>
        <v>8.1504702194357417E-2</v>
      </c>
      <c r="AA147" s="340">
        <v>-37.549999999999997</v>
      </c>
      <c r="AC147" s="16" t="s">
        <v>3771</v>
      </c>
      <c r="AD147" s="84">
        <v>44613</v>
      </c>
      <c r="AE147" s="83">
        <v>44614</v>
      </c>
      <c r="AF147" s="33">
        <f t="shared" si="159"/>
        <v>1</v>
      </c>
      <c r="AG147" s="453" t="s">
        <v>3772</v>
      </c>
      <c r="AH147" s="315"/>
      <c r="AI147" s="283"/>
      <c r="AJ147" s="399"/>
      <c r="AR147" s="402" t="str">
        <f>INDEX(基本資料!N:N,MATCH($G147,基本資料!A:A,0))</f>
        <v>中</v>
      </c>
    </row>
    <row r="148" spans="1:44">
      <c r="A148" s="94">
        <v>3.8</v>
      </c>
      <c r="B148" s="80">
        <v>-3</v>
      </c>
      <c r="C148" s="79">
        <v>6</v>
      </c>
      <c r="D148" s="80">
        <v>-15</v>
      </c>
      <c r="E148" s="79">
        <v>29</v>
      </c>
      <c r="F148" s="6">
        <v>19.690000000000001</v>
      </c>
      <c r="G148" s="79">
        <v>6231</v>
      </c>
      <c r="H148" s="8" t="s">
        <v>313</v>
      </c>
      <c r="I148" s="16" t="s">
        <v>1008</v>
      </c>
      <c r="J148" s="8" t="s">
        <v>3542</v>
      </c>
      <c r="L148" s="123"/>
      <c r="O148" s="359">
        <v>125</v>
      </c>
      <c r="P148" s="79">
        <v>340</v>
      </c>
      <c r="Q148" s="342">
        <v>347</v>
      </c>
      <c r="R148" s="81">
        <v>211</v>
      </c>
      <c r="S148" s="324">
        <v>271</v>
      </c>
      <c r="T148" s="34">
        <v>3.5</v>
      </c>
      <c r="U148" s="307">
        <f t="shared" si="156"/>
        <v>3.7353255069370331E-2</v>
      </c>
      <c r="V148" s="94">
        <v>3.92</v>
      </c>
      <c r="W148" s="36">
        <v>93.7</v>
      </c>
      <c r="X148" s="66">
        <v>92.6</v>
      </c>
      <c r="Y148" s="15">
        <f t="shared" si="157"/>
        <v>1.1000000000000085</v>
      </c>
      <c r="Z148" s="63">
        <f t="shared" si="158"/>
        <v>1.187904967602601E-2</v>
      </c>
      <c r="AA148" s="340">
        <v>-16.13</v>
      </c>
      <c r="AC148" s="16" t="s">
        <v>1008</v>
      </c>
      <c r="AD148" s="84">
        <v>44609</v>
      </c>
      <c r="AE148" s="83">
        <v>44614</v>
      </c>
      <c r="AF148" s="33">
        <f t="shared" si="159"/>
        <v>5</v>
      </c>
      <c r="AG148" s="453" t="s">
        <v>2159</v>
      </c>
      <c r="AH148" s="63"/>
      <c r="AI148" s="283"/>
      <c r="AR148" s="402" t="str">
        <f>INDEX(基本資料!N:N,MATCH($G148,基本資料!A:A,0))</f>
        <v>中</v>
      </c>
    </row>
    <row r="149" spans="1:44">
      <c r="A149" s="94">
        <v>7</v>
      </c>
      <c r="B149" s="79">
        <v>102</v>
      </c>
      <c r="C149" s="79">
        <v>102</v>
      </c>
      <c r="D149" s="79">
        <v>5</v>
      </c>
      <c r="E149" s="79">
        <v>16</v>
      </c>
      <c r="F149" s="6">
        <v>25.41</v>
      </c>
      <c r="G149" s="79">
        <v>6491</v>
      </c>
      <c r="H149" s="192" t="s">
        <v>309</v>
      </c>
      <c r="I149" s="22" t="s">
        <v>3826</v>
      </c>
      <c r="J149" s="8" t="s">
        <v>3543</v>
      </c>
      <c r="L149" s="123"/>
      <c r="O149" s="359">
        <v>997</v>
      </c>
      <c r="P149" s="79">
        <v>1118</v>
      </c>
      <c r="Q149" s="342">
        <v>373</v>
      </c>
      <c r="R149" s="81">
        <v>74</v>
      </c>
      <c r="S149" s="324">
        <v>323</v>
      </c>
      <c r="T149" s="34">
        <v>8.5</v>
      </c>
      <c r="U149" s="307">
        <f t="shared" si="156"/>
        <v>1.8279569892473119E-2</v>
      </c>
      <c r="V149" s="94">
        <v>16.61</v>
      </c>
      <c r="W149" s="36">
        <v>465</v>
      </c>
      <c r="X149" s="66">
        <v>445</v>
      </c>
      <c r="Y149" s="15">
        <f t="shared" si="157"/>
        <v>20</v>
      </c>
      <c r="Z149" s="63">
        <f t="shared" si="158"/>
        <v>4.49438202247191E-2</v>
      </c>
      <c r="AA149" s="340">
        <v>-33.33</v>
      </c>
      <c r="AC149" s="22" t="s">
        <v>3826</v>
      </c>
      <c r="AD149" s="84">
        <v>44610</v>
      </c>
      <c r="AE149" s="83">
        <v>44613</v>
      </c>
      <c r="AF149" s="33">
        <f t="shared" si="159"/>
        <v>3</v>
      </c>
      <c r="AG149" s="454" t="s">
        <v>3827</v>
      </c>
      <c r="AH149" s="63"/>
      <c r="AI149" s="283"/>
      <c r="AR149" s="402" t="str">
        <f>INDEX(基本資料!N:N,MATCH($G149,基本資料!A:A,0))</f>
        <v>低</v>
      </c>
    </row>
    <row r="150" spans="1:44">
      <c r="A150" s="94">
        <v>4.4400000000000004</v>
      </c>
      <c r="B150" s="92">
        <v>1166</v>
      </c>
      <c r="C150" s="218">
        <v>25679</v>
      </c>
      <c r="D150" s="79">
        <v>5</v>
      </c>
      <c r="E150" s="79">
        <v>26</v>
      </c>
      <c r="F150" s="6">
        <v>18.239999999999998</v>
      </c>
      <c r="G150" s="79">
        <v>3527</v>
      </c>
      <c r="H150" s="8" t="s">
        <v>3038</v>
      </c>
      <c r="I150" s="16" t="s">
        <v>326</v>
      </c>
      <c r="J150" s="50" t="s">
        <v>4743</v>
      </c>
      <c r="L150" s="123"/>
      <c r="O150" s="359">
        <v>135</v>
      </c>
      <c r="P150" s="79">
        <v>378</v>
      </c>
      <c r="Q150" s="342">
        <v>603</v>
      </c>
      <c r="R150" s="81">
        <v>195</v>
      </c>
      <c r="S150" s="324">
        <v>48</v>
      </c>
      <c r="T150" s="34">
        <v>2</v>
      </c>
      <c r="U150" s="307">
        <f t="shared" si="156"/>
        <v>1.0335917312661499E-2</v>
      </c>
      <c r="V150" s="94">
        <v>10.47</v>
      </c>
      <c r="W150" s="36">
        <v>193.5</v>
      </c>
      <c r="X150" s="66">
        <v>190</v>
      </c>
      <c r="Y150" s="15">
        <f t="shared" si="157"/>
        <v>3.5</v>
      </c>
      <c r="Z150" s="63">
        <f t="shared" si="158"/>
        <v>1.8421052631578946E-2</v>
      </c>
      <c r="AA150" s="340">
        <v>-31.18</v>
      </c>
      <c r="AC150" s="16" t="s">
        <v>326</v>
      </c>
      <c r="AD150" s="84">
        <v>44609</v>
      </c>
      <c r="AE150" s="83">
        <v>44613</v>
      </c>
      <c r="AF150" s="33">
        <f t="shared" si="159"/>
        <v>4</v>
      </c>
      <c r="AG150" s="453" t="s">
        <v>2355</v>
      </c>
      <c r="AH150" s="63"/>
      <c r="AI150" s="283"/>
      <c r="AR150" s="402" t="str">
        <f>INDEX(基本資料!N:N,MATCH($G150,基本資料!A:A,0))</f>
        <v>低</v>
      </c>
    </row>
    <row r="151" spans="1:44">
      <c r="A151" s="94">
        <v>15.2</v>
      </c>
      <c r="B151" s="79">
        <v>691</v>
      </c>
      <c r="C151" s="79">
        <v>515</v>
      </c>
      <c r="D151" s="80">
        <v>-6</v>
      </c>
      <c r="E151" s="79">
        <v>89</v>
      </c>
      <c r="F151" s="6">
        <v>11.81</v>
      </c>
      <c r="G151" s="80">
        <v>2636</v>
      </c>
      <c r="H151" s="8" t="s">
        <v>302</v>
      </c>
      <c r="I151" s="22" t="s">
        <v>1921</v>
      </c>
      <c r="J151" s="8" t="s">
        <v>3542</v>
      </c>
      <c r="L151" s="123"/>
      <c r="O151" s="359">
        <v>94</v>
      </c>
      <c r="P151" s="79">
        <v>167</v>
      </c>
      <c r="Q151" s="342">
        <v>412</v>
      </c>
      <c r="R151" s="81">
        <v>491</v>
      </c>
      <c r="S151" s="324">
        <v>41</v>
      </c>
      <c r="T151" s="34">
        <v>3.02</v>
      </c>
      <c r="U151" s="307">
        <f t="shared" si="156"/>
        <v>2.3053435114503817E-2</v>
      </c>
      <c r="V151" s="94">
        <v>24.5</v>
      </c>
      <c r="W151" s="36">
        <v>131</v>
      </c>
      <c r="X151" s="66">
        <v>128.5</v>
      </c>
      <c r="Y151" s="15">
        <f t="shared" si="157"/>
        <v>2.5</v>
      </c>
      <c r="Z151" s="63">
        <f t="shared" si="158"/>
        <v>1.9455252918287938E-2</v>
      </c>
      <c r="AA151" s="340">
        <v>-60.9</v>
      </c>
      <c r="AC151" s="22" t="s">
        <v>1921</v>
      </c>
      <c r="AD151" s="84">
        <v>44602</v>
      </c>
      <c r="AE151" s="83">
        <v>44610</v>
      </c>
      <c r="AF151" s="33">
        <f t="shared" si="159"/>
        <v>8</v>
      </c>
      <c r="AG151" s="453" t="s">
        <v>2013</v>
      </c>
      <c r="AH151" s="63"/>
      <c r="AI151" s="283"/>
      <c r="AR151" s="402" t="str">
        <f>INDEX(基本資料!N:N,MATCH($G151,基本資料!A:A,0))</f>
        <v>低</v>
      </c>
    </row>
    <row r="152" spans="1:44">
      <c r="A152" s="94">
        <v>6.81</v>
      </c>
      <c r="B152" s="79">
        <v>169</v>
      </c>
      <c r="C152" s="79">
        <v>171</v>
      </c>
      <c r="D152" s="79">
        <v>16</v>
      </c>
      <c r="E152" s="79">
        <v>29</v>
      </c>
      <c r="F152" s="6">
        <v>30.9</v>
      </c>
      <c r="G152" s="79">
        <v>6756</v>
      </c>
      <c r="H152" s="8" t="s">
        <v>3038</v>
      </c>
      <c r="I152" s="22" t="s">
        <v>2132</v>
      </c>
      <c r="J152" s="8" t="s">
        <v>3543</v>
      </c>
      <c r="L152" s="123"/>
      <c r="O152" s="359">
        <v>506</v>
      </c>
      <c r="P152" s="79">
        <v>934</v>
      </c>
      <c r="Q152" s="342">
        <v>765</v>
      </c>
      <c r="R152" s="81">
        <v>316</v>
      </c>
      <c r="S152" s="324">
        <v>149</v>
      </c>
      <c r="T152" s="34">
        <v>4.5</v>
      </c>
      <c r="U152" s="307">
        <f t="shared" si="156"/>
        <v>9.1093117408906875E-3</v>
      </c>
      <c r="V152" s="94">
        <v>10.91</v>
      </c>
      <c r="W152" s="36">
        <v>494</v>
      </c>
      <c r="X152" s="66">
        <v>481.5</v>
      </c>
      <c r="Y152" s="15">
        <f t="shared" si="157"/>
        <v>12.5</v>
      </c>
      <c r="Z152" s="63">
        <f t="shared" si="158"/>
        <v>2.5960539979231569E-2</v>
      </c>
      <c r="AA152" s="340">
        <v>-23.84</v>
      </c>
      <c r="AC152" s="22" t="s">
        <v>2132</v>
      </c>
      <c r="AD152" s="84">
        <v>44601</v>
      </c>
      <c r="AE152" s="83">
        <v>44609</v>
      </c>
      <c r="AF152" s="33">
        <f t="shared" si="159"/>
        <v>8</v>
      </c>
      <c r="AG152" s="453" t="s">
        <v>2133</v>
      </c>
      <c r="AH152" s="63"/>
      <c r="AI152" s="283"/>
      <c r="AR152" s="402" t="str">
        <f>INDEX(基本資料!N:N,MATCH($G152,基本資料!A:A,0))</f>
        <v>低</v>
      </c>
    </row>
    <row r="153" spans="1:44">
      <c r="A153" s="94">
        <v>4.3</v>
      </c>
      <c r="B153" s="92">
        <v>7630</v>
      </c>
      <c r="C153" s="92">
        <v>2113</v>
      </c>
      <c r="D153" s="80">
        <v>-9</v>
      </c>
      <c r="E153" s="79">
        <v>58</v>
      </c>
      <c r="F153" s="6">
        <v>29.19</v>
      </c>
      <c r="G153" s="80">
        <v>6485</v>
      </c>
      <c r="H153" s="17" t="s">
        <v>3038</v>
      </c>
      <c r="I153" s="16" t="s">
        <v>232</v>
      </c>
      <c r="J153" s="50" t="s">
        <v>4743</v>
      </c>
      <c r="L153" s="123"/>
      <c r="O153" s="359">
        <v>16</v>
      </c>
      <c r="P153" s="79">
        <v>124</v>
      </c>
      <c r="Q153" s="342">
        <v>805</v>
      </c>
      <c r="R153" s="81">
        <v>418</v>
      </c>
      <c r="S153" s="324">
        <v>8</v>
      </c>
      <c r="T153" s="34">
        <v>0.49</v>
      </c>
      <c r="U153" s="307">
        <f t="shared" si="156"/>
        <v>3.3793103448275861E-3</v>
      </c>
      <c r="V153" s="94">
        <v>8.48</v>
      </c>
      <c r="W153" s="36">
        <v>145</v>
      </c>
      <c r="X153" s="66">
        <v>141.5</v>
      </c>
      <c r="Y153" s="15">
        <f t="shared" si="157"/>
        <v>3.5</v>
      </c>
      <c r="Z153" s="63">
        <f t="shared" si="158"/>
        <v>2.4734982332155476E-2</v>
      </c>
      <c r="AA153" s="340">
        <v>-28.01</v>
      </c>
      <c r="AC153" s="16" t="s">
        <v>232</v>
      </c>
      <c r="AD153" s="84">
        <v>44608</v>
      </c>
      <c r="AE153" s="311">
        <v>44608</v>
      </c>
      <c r="AF153" s="33">
        <f t="shared" si="159"/>
        <v>0</v>
      </c>
      <c r="AG153" s="453" t="s">
        <v>2364</v>
      </c>
      <c r="AH153" s="63"/>
      <c r="AI153" s="283"/>
      <c r="AR153" s="402" t="str">
        <f>INDEX(基本資料!N:N,MATCH($G153,基本資料!A:A,0))</f>
        <v>低</v>
      </c>
    </row>
    <row r="154" spans="1:44">
      <c r="A154" s="94">
        <v>26.3</v>
      </c>
      <c r="B154" s="79">
        <v>116</v>
      </c>
      <c r="C154" s="79">
        <v>35</v>
      </c>
      <c r="D154" s="79">
        <v>1</v>
      </c>
      <c r="E154" s="79">
        <v>13</v>
      </c>
      <c r="F154" s="6">
        <v>7.23</v>
      </c>
      <c r="G154" s="79">
        <v>3260</v>
      </c>
      <c r="H154" s="145" t="s">
        <v>3038</v>
      </c>
      <c r="I154" s="16" t="s">
        <v>215</v>
      </c>
      <c r="J154" s="50" t="s">
        <v>4743</v>
      </c>
      <c r="L154" s="123"/>
      <c r="O154" s="359">
        <v>180</v>
      </c>
      <c r="P154" s="79">
        <v>300</v>
      </c>
      <c r="Q154" s="342">
        <v>624</v>
      </c>
      <c r="R154" s="81">
        <v>397</v>
      </c>
      <c r="S154" s="324">
        <v>118</v>
      </c>
      <c r="T154" s="34">
        <v>3.18</v>
      </c>
      <c r="U154" s="307">
        <f t="shared" si="156"/>
        <v>3.4678298800436207E-2</v>
      </c>
      <c r="V154" s="94">
        <v>10.55</v>
      </c>
      <c r="W154" s="36">
        <v>91.7</v>
      </c>
      <c r="X154" s="66">
        <v>90</v>
      </c>
      <c r="Y154" s="15">
        <f t="shared" si="157"/>
        <v>1.7000000000000028</v>
      </c>
      <c r="Z154" s="63">
        <f t="shared" si="158"/>
        <v>1.888888888888892E-2</v>
      </c>
      <c r="AA154" s="340">
        <v>-30.98</v>
      </c>
      <c r="AC154" s="16" t="s">
        <v>215</v>
      </c>
      <c r="AD154" s="84">
        <v>44603</v>
      </c>
      <c r="AE154" s="83">
        <v>44608</v>
      </c>
      <c r="AF154" s="33">
        <f t="shared" si="159"/>
        <v>5</v>
      </c>
      <c r="AG154" s="454" t="s">
        <v>1413</v>
      </c>
      <c r="AH154" s="63"/>
      <c r="AI154" s="283"/>
      <c r="AR154" s="402" t="str">
        <f>INDEX(基本資料!N:N,MATCH($G154,基本資料!A:A,0))</f>
        <v>低</v>
      </c>
    </row>
    <row r="155" spans="1:44">
      <c r="A155" s="94">
        <v>4.4400000000000004</v>
      </c>
      <c r="B155" s="92">
        <v>1166</v>
      </c>
      <c r="C155" s="218">
        <v>25679</v>
      </c>
      <c r="D155" s="80">
        <v>-1</v>
      </c>
      <c r="E155" s="79">
        <v>11</v>
      </c>
      <c r="F155" s="6">
        <v>18.239999999999998</v>
      </c>
      <c r="G155" s="80">
        <v>3527</v>
      </c>
      <c r="H155" s="8" t="s">
        <v>3038</v>
      </c>
      <c r="I155" s="16" t="s">
        <v>326</v>
      </c>
      <c r="J155" s="50" t="s">
        <v>4743</v>
      </c>
      <c r="L155" s="123"/>
      <c r="O155" s="359">
        <v>135</v>
      </c>
      <c r="P155" s="79">
        <v>378</v>
      </c>
      <c r="Q155" s="342">
        <v>603</v>
      </c>
      <c r="R155" s="81">
        <v>195</v>
      </c>
      <c r="S155" s="324">
        <v>48</v>
      </c>
      <c r="T155" s="34">
        <v>2</v>
      </c>
      <c r="U155" s="307">
        <f t="shared" si="156"/>
        <v>1.06951871657754E-2</v>
      </c>
      <c r="V155" s="94">
        <v>10.47</v>
      </c>
      <c r="W155" s="36">
        <v>187</v>
      </c>
      <c r="X155" s="66">
        <v>183.5</v>
      </c>
      <c r="Y155" s="15">
        <f t="shared" si="157"/>
        <v>3.5</v>
      </c>
      <c r="Z155" s="63">
        <f t="shared" si="158"/>
        <v>1.9073569482288829E-2</v>
      </c>
      <c r="AA155" s="340">
        <v>-34.950000000000003</v>
      </c>
      <c r="AC155" s="16" t="s">
        <v>326</v>
      </c>
      <c r="AD155" s="84">
        <v>44602</v>
      </c>
      <c r="AE155" s="83">
        <v>44608</v>
      </c>
      <c r="AF155" s="33">
        <f t="shared" si="159"/>
        <v>6</v>
      </c>
      <c r="AG155" s="453" t="s">
        <v>2355</v>
      </c>
      <c r="AH155" s="63"/>
      <c r="AI155" s="283"/>
      <c r="AR155" s="402" t="str">
        <f>INDEX(基本資料!N:N,MATCH($G155,基本資料!A:A,0))</f>
        <v>低</v>
      </c>
    </row>
    <row r="156" spans="1:44">
      <c r="A156" s="94">
        <v>16.100000000000001</v>
      </c>
      <c r="B156" s="79">
        <v>101</v>
      </c>
      <c r="C156" s="79">
        <v>100</v>
      </c>
      <c r="D156" s="79">
        <v>8</v>
      </c>
      <c r="E156" s="79">
        <v>12</v>
      </c>
      <c r="F156" s="6">
        <v>29.73</v>
      </c>
      <c r="G156" s="79">
        <v>3014</v>
      </c>
      <c r="H156" s="8" t="s">
        <v>3038</v>
      </c>
      <c r="I156" s="22" t="s">
        <v>97</v>
      </c>
      <c r="J156" s="50" t="s">
        <v>4743</v>
      </c>
      <c r="L156" s="123"/>
      <c r="O156" s="359">
        <v>565</v>
      </c>
      <c r="P156" s="79">
        <v>639</v>
      </c>
      <c r="Q156" s="342">
        <v>551</v>
      </c>
      <c r="R156" s="81">
        <v>354</v>
      </c>
      <c r="S156" s="324">
        <v>224</v>
      </c>
      <c r="T156" s="34">
        <v>6</v>
      </c>
      <c r="U156" s="307">
        <f t="shared" si="156"/>
        <v>5.2863436123348019E-2</v>
      </c>
      <c r="V156" s="94">
        <v>10.19</v>
      </c>
      <c r="W156" s="36">
        <v>113.5</v>
      </c>
      <c r="X156" s="66">
        <v>111.5</v>
      </c>
      <c r="Y156" s="15">
        <f t="shared" si="157"/>
        <v>2</v>
      </c>
      <c r="Z156" s="63">
        <f t="shared" si="158"/>
        <v>1.7937219730941704E-2</v>
      </c>
      <c r="AA156" s="340">
        <v>-21.6</v>
      </c>
      <c r="AC156" s="22" t="s">
        <v>97</v>
      </c>
      <c r="AD156" s="84">
        <v>44606</v>
      </c>
      <c r="AE156" s="311">
        <v>44606</v>
      </c>
      <c r="AF156" s="33">
        <f t="shared" si="159"/>
        <v>0</v>
      </c>
      <c r="AG156" s="454" t="s">
        <v>1437</v>
      </c>
      <c r="AH156" s="63"/>
      <c r="AI156" s="283"/>
      <c r="AR156" s="402" t="str">
        <f>INDEX(基本資料!N:N,MATCH($G156,基本資料!A:A,0))</f>
        <v>低</v>
      </c>
    </row>
    <row r="157" spans="1:44">
      <c r="A157" s="94">
        <v>6.13</v>
      </c>
      <c r="B157" s="79">
        <v>56</v>
      </c>
      <c r="C157" s="79">
        <v>58</v>
      </c>
      <c r="D157" s="79">
        <v>25</v>
      </c>
      <c r="E157" s="79">
        <v>47</v>
      </c>
      <c r="F157" s="6">
        <v>28.75</v>
      </c>
      <c r="G157" s="79">
        <v>3556</v>
      </c>
      <c r="H157" s="183" t="s">
        <v>3038</v>
      </c>
      <c r="I157" s="16" t="s">
        <v>363</v>
      </c>
      <c r="J157" s="8" t="s">
        <v>3542</v>
      </c>
      <c r="L157" s="123"/>
      <c r="O157" s="359">
        <v>232</v>
      </c>
      <c r="P157" s="79">
        <v>337</v>
      </c>
      <c r="Q157" s="342">
        <v>680</v>
      </c>
      <c r="R157" s="81">
        <v>304</v>
      </c>
      <c r="S157" s="324">
        <v>78</v>
      </c>
      <c r="T157" s="34">
        <v>3.45</v>
      </c>
      <c r="U157" s="307">
        <f t="shared" si="156"/>
        <v>4.0445486518171161E-2</v>
      </c>
      <c r="V157" s="94">
        <v>5.72</v>
      </c>
      <c r="W157" s="36">
        <v>85.3</v>
      </c>
      <c r="X157" s="66">
        <v>83.9</v>
      </c>
      <c r="Y157" s="15">
        <f t="shared" si="157"/>
        <v>1.3999999999999915</v>
      </c>
      <c r="Z157" s="63">
        <f t="shared" si="158"/>
        <v>1.6686531585220397E-2</v>
      </c>
      <c r="AA157" s="340">
        <v>-35.75</v>
      </c>
      <c r="AC157" s="16" t="s">
        <v>363</v>
      </c>
      <c r="AD157" s="84">
        <v>44602</v>
      </c>
      <c r="AE157" s="83">
        <v>44603</v>
      </c>
      <c r="AF157" s="33">
        <f t="shared" si="159"/>
        <v>1</v>
      </c>
      <c r="AG157" s="453" t="s">
        <v>2356</v>
      </c>
      <c r="AH157" s="63"/>
      <c r="AI157" s="283"/>
      <c r="AR157" s="402" t="str">
        <f>INDEX(基本資料!N:N,MATCH($G157,基本資料!A:A,0))</f>
        <v>低</v>
      </c>
    </row>
    <row r="158" spans="1:44">
      <c r="A158" s="94">
        <v>19.7</v>
      </c>
      <c r="B158" s="79">
        <v>28</v>
      </c>
      <c r="C158" s="79">
        <v>80</v>
      </c>
      <c r="D158" s="80">
        <v>-13</v>
      </c>
      <c r="E158" s="79">
        <v>19</v>
      </c>
      <c r="F158" s="6">
        <v>15.8</v>
      </c>
      <c r="G158" s="79">
        <v>8299</v>
      </c>
      <c r="H158" s="192" t="s">
        <v>3038</v>
      </c>
      <c r="I158" s="16" t="s">
        <v>4072</v>
      </c>
      <c r="J158" s="8" t="s">
        <v>4729</v>
      </c>
      <c r="L158" s="123"/>
      <c r="O158" s="359">
        <v>404</v>
      </c>
      <c r="P158" s="79">
        <v>104</v>
      </c>
      <c r="Q158" s="342">
        <v>132</v>
      </c>
      <c r="R158" s="81">
        <v>79</v>
      </c>
      <c r="S158" s="324">
        <v>191</v>
      </c>
      <c r="T158" s="34">
        <v>10</v>
      </c>
      <c r="U158" s="307">
        <f t="shared" si="156"/>
        <v>2.100840336134454E-2</v>
      </c>
      <c r="V158" s="94">
        <v>51.35</v>
      </c>
      <c r="W158" s="36">
        <v>476</v>
      </c>
      <c r="X158" s="66">
        <v>456</v>
      </c>
      <c r="Y158" s="15">
        <f t="shared" si="157"/>
        <v>20</v>
      </c>
      <c r="Z158" s="63">
        <f t="shared" si="158"/>
        <v>4.3859649122807015E-2</v>
      </c>
      <c r="AA158" s="340">
        <v>-27.66</v>
      </c>
      <c r="AC158" s="16" t="s">
        <v>4072</v>
      </c>
      <c r="AD158" s="84">
        <v>44599</v>
      </c>
      <c r="AE158" s="83">
        <v>44601</v>
      </c>
      <c r="AF158" s="33">
        <f t="shared" si="159"/>
        <v>2</v>
      </c>
      <c r="AG158" s="454" t="s">
        <v>2128</v>
      </c>
      <c r="AH158" s="63"/>
      <c r="AI158" s="283"/>
      <c r="AR158" s="402" t="str">
        <f>INDEX(基本資料!N:N,MATCH($G158,基本資料!A:A,0))</f>
        <v>低</v>
      </c>
    </row>
    <row r="159" spans="1:44">
      <c r="A159" s="94">
        <v>9.35</v>
      </c>
      <c r="B159" s="80">
        <v>-82</v>
      </c>
      <c r="C159" s="80">
        <v>-86</v>
      </c>
      <c r="D159" s="79">
        <v>21</v>
      </c>
      <c r="E159" s="79">
        <v>2</v>
      </c>
      <c r="F159" s="6">
        <v>1.01</v>
      </c>
      <c r="G159" s="79">
        <v>3708</v>
      </c>
      <c r="H159" s="5" t="s">
        <v>755</v>
      </c>
      <c r="I159" s="22" t="s">
        <v>3615</v>
      </c>
      <c r="J159" s="8" t="s">
        <v>3542</v>
      </c>
      <c r="L159" s="123"/>
      <c r="O159" s="359">
        <v>74</v>
      </c>
      <c r="P159" s="79">
        <v>207</v>
      </c>
      <c r="Q159" s="342">
        <v>431</v>
      </c>
      <c r="R159" s="81">
        <v>20</v>
      </c>
      <c r="S159" s="324">
        <v>107</v>
      </c>
      <c r="T159" s="34">
        <v>3.5</v>
      </c>
      <c r="U159" s="307">
        <f t="shared" si="156"/>
        <v>3.668763102725367E-2</v>
      </c>
      <c r="V159" s="94">
        <v>2.09</v>
      </c>
      <c r="W159" s="36">
        <v>95.4</v>
      </c>
      <c r="X159" s="66">
        <v>93.9</v>
      </c>
      <c r="Y159" s="15">
        <f t="shared" si="157"/>
        <v>1.5</v>
      </c>
      <c r="Z159" s="63">
        <f t="shared" si="158"/>
        <v>1.5974440894568689E-2</v>
      </c>
      <c r="AA159" s="340">
        <v>-36.549999999999997</v>
      </c>
      <c r="AC159" s="22" t="s">
        <v>3615</v>
      </c>
      <c r="AD159" s="84">
        <v>44600</v>
      </c>
      <c r="AE159" s="83">
        <v>44601</v>
      </c>
      <c r="AF159" s="33">
        <f t="shared" si="159"/>
        <v>1</v>
      </c>
      <c r="AG159" s="453" t="s">
        <v>3616</v>
      </c>
      <c r="AH159" s="63"/>
      <c r="AI159" s="283"/>
      <c r="AR159" s="402" t="str">
        <f>INDEX(基本資料!N:N,MATCH($G159,基本資料!A:A,0))</f>
        <v>高</v>
      </c>
    </row>
    <row r="160" spans="1:44">
      <c r="A160" s="94">
        <v>14.2</v>
      </c>
      <c r="B160" s="79">
        <v>15</v>
      </c>
      <c r="C160" s="79">
        <v>25</v>
      </c>
      <c r="D160" s="79">
        <v>0</v>
      </c>
      <c r="E160" s="79">
        <v>12</v>
      </c>
      <c r="F160" s="6">
        <v>14.68</v>
      </c>
      <c r="G160" s="79">
        <v>1560</v>
      </c>
      <c r="H160" s="5" t="s">
        <v>295</v>
      </c>
      <c r="I160" s="22" t="s">
        <v>172</v>
      </c>
      <c r="J160" s="8" t="s">
        <v>3542</v>
      </c>
      <c r="L160" s="123"/>
      <c r="O160" s="359">
        <v>233</v>
      </c>
      <c r="P160" s="79">
        <v>168</v>
      </c>
      <c r="Q160" s="342">
        <v>486</v>
      </c>
      <c r="R160" s="81">
        <v>40</v>
      </c>
      <c r="S160" s="324">
        <v>47</v>
      </c>
      <c r="T160" s="34">
        <v>2.8</v>
      </c>
      <c r="U160" s="307">
        <f t="shared" si="156"/>
        <v>2.6923076923076921E-2</v>
      </c>
      <c r="V160" s="94">
        <v>4.0199999999999996</v>
      </c>
      <c r="W160" s="36">
        <v>104</v>
      </c>
      <c r="X160" s="66">
        <v>99.9</v>
      </c>
      <c r="Y160" s="15">
        <f t="shared" si="157"/>
        <v>4.0999999999999943</v>
      </c>
      <c r="Z160" s="63">
        <f t="shared" si="158"/>
        <v>4.1041041041040983E-2</v>
      </c>
      <c r="AA160" s="340">
        <v>-20.55</v>
      </c>
      <c r="AC160" s="22" t="s">
        <v>172</v>
      </c>
      <c r="AD160" s="84">
        <v>44585</v>
      </c>
      <c r="AE160" s="83">
        <v>44601</v>
      </c>
      <c r="AF160" s="33">
        <f t="shared" si="159"/>
        <v>16</v>
      </c>
      <c r="AG160" s="454" t="s">
        <v>2004</v>
      </c>
      <c r="AH160" s="63"/>
      <c r="AI160" s="283"/>
      <c r="AR160" s="402" t="str">
        <f>INDEX(基本資料!N:N,MATCH($G160,基本資料!A:A,0))</f>
        <v>高</v>
      </c>
    </row>
    <row r="161" spans="1:44">
      <c r="A161" s="94">
        <v>9.15</v>
      </c>
      <c r="B161" s="79">
        <v>75</v>
      </c>
      <c r="C161" s="79">
        <v>77</v>
      </c>
      <c r="D161" s="79">
        <v>3</v>
      </c>
      <c r="E161" s="79">
        <v>24</v>
      </c>
      <c r="F161" s="6">
        <v>24.43</v>
      </c>
      <c r="G161" s="80">
        <v>6411</v>
      </c>
      <c r="H161" s="145" t="s">
        <v>3038</v>
      </c>
      <c r="I161" s="16" t="s">
        <v>251</v>
      </c>
      <c r="J161" s="8" t="s">
        <v>3542</v>
      </c>
      <c r="L161" s="123"/>
      <c r="O161" s="359">
        <v>88</v>
      </c>
      <c r="P161" s="79">
        <v>519</v>
      </c>
      <c r="Q161" s="342">
        <v>346</v>
      </c>
      <c r="R161" s="81">
        <v>297</v>
      </c>
      <c r="S161" s="324">
        <v>5</v>
      </c>
      <c r="T161" s="34">
        <v>5.03</v>
      </c>
      <c r="U161" s="307">
        <f t="shared" si="156"/>
        <v>2.3449883449883451E-2</v>
      </c>
      <c r="V161" s="94">
        <v>8.82</v>
      </c>
      <c r="W161" s="36">
        <v>214.5</v>
      </c>
      <c r="X161" s="66">
        <v>210</v>
      </c>
      <c r="Y161" s="15">
        <f t="shared" si="157"/>
        <v>4.5</v>
      </c>
      <c r="Z161" s="63">
        <f t="shared" si="158"/>
        <v>2.1428571428571429E-2</v>
      </c>
      <c r="AA161" s="340">
        <v>-29.97</v>
      </c>
      <c r="AC161" s="16" t="s">
        <v>251</v>
      </c>
      <c r="AD161" s="84">
        <v>44581</v>
      </c>
      <c r="AE161" s="83">
        <v>44601</v>
      </c>
      <c r="AF161" s="33">
        <f t="shared" si="159"/>
        <v>20</v>
      </c>
      <c r="AG161" s="453" t="s">
        <v>2147</v>
      </c>
      <c r="AH161" s="63"/>
      <c r="AI161" s="283"/>
      <c r="AR161" s="402" t="str">
        <f>INDEX(基本資料!N:N,MATCH($G161,基本資料!A:A,0))</f>
        <v>低</v>
      </c>
    </row>
    <row r="162" spans="1:44">
      <c r="A162" s="94">
        <v>19.7</v>
      </c>
      <c r="B162" s="79">
        <v>28</v>
      </c>
      <c r="C162" s="79">
        <v>80</v>
      </c>
      <c r="D162" s="80">
        <v>-13</v>
      </c>
      <c r="E162" s="79">
        <v>19</v>
      </c>
      <c r="F162" s="6">
        <v>15.8</v>
      </c>
      <c r="G162" s="79">
        <v>8299</v>
      </c>
      <c r="H162" s="193" t="s">
        <v>3038</v>
      </c>
      <c r="I162" s="16" t="s">
        <v>4072</v>
      </c>
      <c r="J162" s="8" t="s">
        <v>4729</v>
      </c>
      <c r="L162" s="123"/>
      <c r="O162" s="359">
        <v>404</v>
      </c>
      <c r="P162" s="79">
        <v>104</v>
      </c>
      <c r="Q162" s="342">
        <v>132</v>
      </c>
      <c r="R162" s="81">
        <v>79</v>
      </c>
      <c r="S162" s="324">
        <v>191</v>
      </c>
      <c r="T162" s="34">
        <v>10</v>
      </c>
      <c r="U162" s="307">
        <f t="shared" si="156"/>
        <v>2.0920502092050208E-2</v>
      </c>
      <c r="V162" s="94">
        <v>51.35</v>
      </c>
      <c r="W162" s="36">
        <v>478</v>
      </c>
      <c r="X162" s="66">
        <v>451</v>
      </c>
      <c r="Y162" s="15">
        <f t="shared" si="157"/>
        <v>27</v>
      </c>
      <c r="Z162" s="63">
        <f t="shared" si="158"/>
        <v>5.9866962305986697E-2</v>
      </c>
      <c r="AA162" s="340">
        <v>-27.1</v>
      </c>
      <c r="AC162" s="16" t="s">
        <v>4072</v>
      </c>
      <c r="AD162" s="84">
        <v>44586</v>
      </c>
      <c r="AE162" s="83">
        <v>44601</v>
      </c>
      <c r="AF162" s="33">
        <f t="shared" si="159"/>
        <v>15</v>
      </c>
      <c r="AG162" s="454" t="s">
        <v>2128</v>
      </c>
      <c r="AH162" s="63"/>
      <c r="AI162" s="283"/>
      <c r="AR162" s="402" t="str">
        <f>INDEX(基本資料!N:N,MATCH($G162,基本資料!A:A,0))</f>
        <v>低</v>
      </c>
    </row>
    <row r="163" spans="1:44">
      <c r="A163" s="94">
        <v>7.05</v>
      </c>
      <c r="B163" s="80">
        <v>-32</v>
      </c>
      <c r="C163" s="80">
        <v>-28</v>
      </c>
      <c r="D163" s="79">
        <v>17</v>
      </c>
      <c r="E163" s="79">
        <v>35</v>
      </c>
      <c r="F163" s="6">
        <v>4.46</v>
      </c>
      <c r="G163" s="79">
        <v>3479</v>
      </c>
      <c r="H163" s="145" t="s">
        <v>1145</v>
      </c>
      <c r="I163" s="16" t="s">
        <v>2207</v>
      </c>
      <c r="J163" s="8" t="s">
        <v>4729</v>
      </c>
      <c r="L163" s="123"/>
      <c r="O163" s="359">
        <v>532</v>
      </c>
      <c r="P163" s="79">
        <v>327</v>
      </c>
      <c r="Q163" s="342">
        <v>825</v>
      </c>
      <c r="R163" s="81">
        <v>178</v>
      </c>
      <c r="S163" s="324">
        <v>800</v>
      </c>
      <c r="T163" s="34">
        <v>2.58</v>
      </c>
      <c r="U163" s="307">
        <f t="shared" si="156"/>
        <v>4.518388791593695E-2</v>
      </c>
      <c r="V163" s="94">
        <v>2.23</v>
      </c>
      <c r="W163" s="36">
        <v>57.1</v>
      </c>
      <c r="X163" s="66">
        <v>55.7</v>
      </c>
      <c r="Y163" s="15">
        <f t="shared" si="157"/>
        <v>1.3999999999999986</v>
      </c>
      <c r="Z163" s="63">
        <f t="shared" si="158"/>
        <v>2.5134649910233366E-2</v>
      </c>
      <c r="AA163" s="340">
        <v>-15.86</v>
      </c>
      <c r="AC163" s="16" t="s">
        <v>2207</v>
      </c>
      <c r="AD163" s="84">
        <v>44582</v>
      </c>
      <c r="AE163" s="83">
        <v>44601</v>
      </c>
      <c r="AF163" s="33">
        <f t="shared" si="159"/>
        <v>19</v>
      </c>
      <c r="AG163" s="454" t="s">
        <v>2286</v>
      </c>
      <c r="AH163" s="63"/>
      <c r="AI163" s="283"/>
      <c r="AR163" s="402" t="str">
        <f>INDEX(基本資料!N:N,MATCH($G163,基本資料!A:A,0))</f>
        <v>中</v>
      </c>
    </row>
    <row r="164" spans="1:44">
      <c r="A164" s="94">
        <v>5.99</v>
      </c>
      <c r="B164" s="79">
        <v>135</v>
      </c>
      <c r="C164" s="79">
        <v>168</v>
      </c>
      <c r="D164" s="79">
        <v>0</v>
      </c>
      <c r="E164" s="79">
        <v>29</v>
      </c>
      <c r="F164" s="6">
        <v>18.399999999999999</v>
      </c>
      <c r="G164" s="79">
        <v>3455</v>
      </c>
      <c r="H164" s="8" t="s">
        <v>306</v>
      </c>
      <c r="I164" s="16" t="s">
        <v>4186</v>
      </c>
      <c r="J164" s="8" t="s">
        <v>3542</v>
      </c>
      <c r="L164" s="123"/>
      <c r="O164" s="359">
        <v>107</v>
      </c>
      <c r="P164" s="79">
        <v>308</v>
      </c>
      <c r="Q164" s="342">
        <v>912</v>
      </c>
      <c r="R164" s="81">
        <v>129</v>
      </c>
      <c r="S164" s="324">
        <v>83</v>
      </c>
      <c r="T164" s="34">
        <v>4</v>
      </c>
      <c r="U164" s="307">
        <f t="shared" si="156"/>
        <v>3.8461538461538464E-2</v>
      </c>
      <c r="V164" s="94">
        <v>6.76</v>
      </c>
      <c r="W164" s="36">
        <v>104</v>
      </c>
      <c r="X164" s="66">
        <v>100</v>
      </c>
      <c r="Y164" s="15">
        <f t="shared" si="157"/>
        <v>4</v>
      </c>
      <c r="Z164" s="63">
        <f t="shared" si="158"/>
        <v>0.04</v>
      </c>
      <c r="AA164" s="340">
        <v>-9.33</v>
      </c>
      <c r="AC164" s="16" t="s">
        <v>4186</v>
      </c>
      <c r="AD164" s="84">
        <v>44586</v>
      </c>
      <c r="AE164" s="83">
        <v>44600</v>
      </c>
      <c r="AF164" s="33">
        <f t="shared" si="159"/>
        <v>14</v>
      </c>
      <c r="AG164" s="453" t="s">
        <v>2433</v>
      </c>
      <c r="AH164" s="63"/>
      <c r="AI164" s="283"/>
      <c r="AJ164" s="44"/>
      <c r="AR164" s="402" t="str">
        <f>INDEX(基本資料!N:N,MATCH($G164,基本資料!A:A,0))</f>
        <v>中</v>
      </c>
    </row>
    <row r="165" spans="1:44">
      <c r="A165" s="94">
        <v>6.01</v>
      </c>
      <c r="B165" s="80">
        <v>-60</v>
      </c>
      <c r="C165" s="80">
        <v>-58</v>
      </c>
      <c r="D165" s="79">
        <v>15</v>
      </c>
      <c r="E165" s="79">
        <v>70</v>
      </c>
      <c r="F165" s="6">
        <v>1.66</v>
      </c>
      <c r="G165" s="79">
        <v>3548</v>
      </c>
      <c r="H165" s="5" t="s">
        <v>3388</v>
      </c>
      <c r="I165" s="16" t="s">
        <v>141</v>
      </c>
      <c r="J165" s="8" t="s">
        <v>4729</v>
      </c>
      <c r="L165" s="123"/>
      <c r="O165" s="359">
        <v>48</v>
      </c>
      <c r="P165" s="79">
        <v>308</v>
      </c>
      <c r="Q165" s="342">
        <v>664</v>
      </c>
      <c r="R165" s="81">
        <v>475</v>
      </c>
      <c r="S165" s="324">
        <v>439</v>
      </c>
      <c r="T165" s="34">
        <v>2.5</v>
      </c>
      <c r="U165" s="307">
        <f t="shared" si="156"/>
        <v>3.7537537537537538E-2</v>
      </c>
      <c r="V165" s="94">
        <v>2.6</v>
      </c>
      <c r="W165" s="36">
        <v>66.599999999999994</v>
      </c>
      <c r="X165" s="66">
        <v>64.900000000000006</v>
      </c>
      <c r="Y165" s="15">
        <f t="shared" si="157"/>
        <v>1.6999999999999886</v>
      </c>
      <c r="Z165" s="63">
        <f t="shared" si="158"/>
        <v>2.6194144838212457E-2</v>
      </c>
      <c r="AA165" s="340">
        <v>-25.41</v>
      </c>
      <c r="AC165" s="16" t="s">
        <v>141</v>
      </c>
      <c r="AD165" s="84">
        <v>44599</v>
      </c>
      <c r="AE165" s="311">
        <v>44599</v>
      </c>
      <c r="AF165" s="33">
        <f t="shared" si="159"/>
        <v>0</v>
      </c>
      <c r="AG165" s="454" t="s">
        <v>2889</v>
      </c>
      <c r="AH165" s="63"/>
      <c r="AI165" s="283"/>
      <c r="AR165" s="402" t="str">
        <f>INDEX(基本資料!N:N,MATCH($G165,基本資料!A:A,0))</f>
        <v>中</v>
      </c>
    </row>
    <row r="166" spans="1:44">
      <c r="A166" s="94">
        <v>25</v>
      </c>
      <c r="B166" s="80">
        <v>-63</v>
      </c>
      <c r="C166" s="80">
        <v>-72</v>
      </c>
      <c r="D166" s="80">
        <v>-1</v>
      </c>
      <c r="E166" s="79">
        <v>7</v>
      </c>
      <c r="F166" s="6">
        <v>2.48</v>
      </c>
      <c r="G166" s="79">
        <v>2421</v>
      </c>
      <c r="H166" s="5" t="s">
        <v>3388</v>
      </c>
      <c r="I166" s="22" t="s">
        <v>4497</v>
      </c>
      <c r="J166" s="8" t="s">
        <v>4729</v>
      </c>
      <c r="L166" s="123"/>
      <c r="O166" s="359">
        <v>782</v>
      </c>
      <c r="P166" s="79">
        <v>622</v>
      </c>
      <c r="Q166" s="342">
        <v>301</v>
      </c>
      <c r="R166" s="81" t="s">
        <v>6279</v>
      </c>
      <c r="S166" s="324">
        <v>497</v>
      </c>
      <c r="T166" s="34">
        <v>2.4</v>
      </c>
      <c r="U166" s="307">
        <f t="shared" si="156"/>
        <v>5.5109070034443174E-2</v>
      </c>
      <c r="V166" s="94">
        <v>1.63</v>
      </c>
      <c r="W166" s="36">
        <v>43.55</v>
      </c>
      <c r="X166" s="66">
        <v>42.6</v>
      </c>
      <c r="Y166" s="15">
        <f t="shared" si="157"/>
        <v>0.94999999999999574</v>
      </c>
      <c r="Z166" s="63">
        <f t="shared" si="158"/>
        <v>2.2300469483567974E-2</v>
      </c>
      <c r="AA166" s="340">
        <v>-21.67</v>
      </c>
      <c r="AC166" s="22" t="s">
        <v>4497</v>
      </c>
      <c r="AD166" s="84">
        <v>44599</v>
      </c>
      <c r="AE166" s="311">
        <v>44599</v>
      </c>
      <c r="AF166" s="33">
        <f t="shared" si="159"/>
        <v>0</v>
      </c>
      <c r="AG166" s="454" t="s">
        <v>2274</v>
      </c>
      <c r="AH166" s="63"/>
      <c r="AI166" s="283"/>
      <c r="AR166" s="402" t="str">
        <f>INDEX(基本資料!N:N,MATCH($G166,基本資料!A:A,0))</f>
        <v>低</v>
      </c>
    </row>
    <row r="167" spans="1:44">
      <c r="A167" s="94">
        <v>5.85</v>
      </c>
      <c r="B167" s="79">
        <v>18</v>
      </c>
      <c r="C167" s="79">
        <v>10</v>
      </c>
      <c r="D167" s="80">
        <v>-3</v>
      </c>
      <c r="E167" s="79">
        <v>10</v>
      </c>
      <c r="F167" s="6">
        <v>26.73</v>
      </c>
      <c r="G167" s="79">
        <v>3526</v>
      </c>
      <c r="H167" s="8" t="s">
        <v>308</v>
      </c>
      <c r="I167" s="16" t="s">
        <v>156</v>
      </c>
      <c r="J167" s="50" t="s">
        <v>4743</v>
      </c>
      <c r="O167" s="359">
        <v>528</v>
      </c>
      <c r="P167" s="79">
        <v>83</v>
      </c>
      <c r="Q167" s="342">
        <v>847</v>
      </c>
      <c r="R167" s="81">
        <v>65</v>
      </c>
      <c r="S167" s="324">
        <v>62</v>
      </c>
      <c r="T167" s="34">
        <v>9.1300000000000008</v>
      </c>
      <c r="U167" s="307">
        <f t="shared" si="156"/>
        <v>4.5310173697270473E-2</v>
      </c>
      <c r="V167" s="94">
        <v>9.74</v>
      </c>
      <c r="W167" s="36">
        <v>201.5</v>
      </c>
      <c r="X167" s="66">
        <v>197</v>
      </c>
      <c r="Y167" s="15">
        <f t="shared" si="157"/>
        <v>4.5</v>
      </c>
      <c r="Z167" s="63">
        <f t="shared" si="158"/>
        <v>2.2842639593908629E-2</v>
      </c>
      <c r="AA167" s="340">
        <v>-16.52</v>
      </c>
      <c r="AC167" s="16" t="s">
        <v>156</v>
      </c>
      <c r="AD167" s="84">
        <v>44599</v>
      </c>
      <c r="AE167" s="311">
        <v>44599</v>
      </c>
      <c r="AF167" s="33">
        <f t="shared" si="159"/>
        <v>0</v>
      </c>
      <c r="AG167" s="454" t="s">
        <v>1902</v>
      </c>
      <c r="AH167" s="63"/>
      <c r="AI167" s="283"/>
      <c r="AJ167" s="394"/>
      <c r="AR167" s="402" t="str">
        <f>INDEX(基本資料!N:N,MATCH($G167,基本資料!A:A,0))</f>
        <v>低</v>
      </c>
    </row>
    <row r="168" spans="1:44">
      <c r="A168" s="94">
        <v>9.01</v>
      </c>
      <c r="B168" s="79">
        <v>8</v>
      </c>
      <c r="C168" s="79">
        <v>1</v>
      </c>
      <c r="D168" s="80">
        <v>-12</v>
      </c>
      <c r="E168" s="79">
        <v>12</v>
      </c>
      <c r="F168" s="6">
        <v>25.71</v>
      </c>
      <c r="G168" s="79">
        <v>3217</v>
      </c>
      <c r="H168" s="8" t="s">
        <v>308</v>
      </c>
      <c r="I168" s="16" t="s">
        <v>4551</v>
      </c>
      <c r="J168" s="8" t="s">
        <v>3544</v>
      </c>
      <c r="L168" s="123"/>
      <c r="O168" s="359">
        <v>440</v>
      </c>
      <c r="P168" s="79">
        <v>767</v>
      </c>
      <c r="Q168" s="342">
        <v>888</v>
      </c>
      <c r="R168" s="81">
        <v>62</v>
      </c>
      <c r="S168" s="324">
        <v>143</v>
      </c>
      <c r="T168" s="34">
        <v>5.6</v>
      </c>
      <c r="U168" s="307">
        <f t="shared" si="156"/>
        <v>4.2264150943396223E-2</v>
      </c>
      <c r="V168" s="94">
        <v>7.33</v>
      </c>
      <c r="W168" s="36">
        <v>132.5</v>
      </c>
      <c r="X168" s="66">
        <v>130</v>
      </c>
      <c r="Y168" s="15">
        <f t="shared" si="157"/>
        <v>2.5</v>
      </c>
      <c r="Z168" s="63">
        <f t="shared" si="158"/>
        <v>1.9230769230769232E-2</v>
      </c>
      <c r="AA168" s="340">
        <v>-16.670000000000002</v>
      </c>
      <c r="AC168" s="16" t="s">
        <v>4551</v>
      </c>
      <c r="AD168" s="84">
        <v>44599</v>
      </c>
      <c r="AE168" s="311">
        <v>44599</v>
      </c>
      <c r="AF168" s="33">
        <f t="shared" si="159"/>
        <v>0</v>
      </c>
      <c r="AG168" s="453" t="s">
        <v>4552</v>
      </c>
      <c r="AH168" s="63"/>
      <c r="AI168" s="283"/>
      <c r="AR168" s="402" t="str">
        <f>INDEX(基本資料!N:N,MATCH($G168,基本資料!A:A,0))</f>
        <v>低</v>
      </c>
    </row>
    <row r="169" spans="1:44">
      <c r="A169" s="94">
        <v>20</v>
      </c>
      <c r="B169" s="80">
        <v>-31</v>
      </c>
      <c r="C169" s="79">
        <v>78</v>
      </c>
      <c r="D169" s="79">
        <v>34</v>
      </c>
      <c r="E169" s="79">
        <v>59</v>
      </c>
      <c r="F169" s="6">
        <v>2.06</v>
      </c>
      <c r="G169" s="79">
        <v>2013</v>
      </c>
      <c r="H169" s="5" t="s">
        <v>299</v>
      </c>
      <c r="I169" s="22" t="s">
        <v>3925</v>
      </c>
      <c r="J169" s="8" t="s">
        <v>4729</v>
      </c>
      <c r="L169" s="123"/>
      <c r="O169" s="359">
        <v>231</v>
      </c>
      <c r="P169" s="79">
        <v>238</v>
      </c>
      <c r="Q169" s="342">
        <v>613</v>
      </c>
      <c r="R169" s="81" t="s">
        <v>6279</v>
      </c>
      <c r="S169" s="324">
        <v>201</v>
      </c>
      <c r="T169" s="34">
        <v>2.8</v>
      </c>
      <c r="U169" s="307">
        <f t="shared" si="156"/>
        <v>4.6589018302828612E-2</v>
      </c>
      <c r="V169" s="94">
        <v>2.52</v>
      </c>
      <c r="W169" s="36">
        <v>60.1</v>
      </c>
      <c r="X169" s="66">
        <v>58.3</v>
      </c>
      <c r="Y169" s="15">
        <f t="shared" si="157"/>
        <v>1.8000000000000043</v>
      </c>
      <c r="Z169" s="63">
        <f t="shared" si="158"/>
        <v>3.0874785591766797E-2</v>
      </c>
      <c r="AA169" s="340">
        <v>-29.01</v>
      </c>
      <c r="AC169" s="22" t="s">
        <v>3925</v>
      </c>
      <c r="AD169" s="84">
        <v>44587</v>
      </c>
      <c r="AE169" s="83">
        <v>44599</v>
      </c>
      <c r="AF169" s="33">
        <f t="shared" si="159"/>
        <v>12</v>
      </c>
      <c r="AG169" s="454" t="s">
        <v>3926</v>
      </c>
      <c r="AH169" s="63"/>
      <c r="AI169" s="283"/>
      <c r="AR169" s="402" t="str">
        <f>INDEX(基本資料!N:N,MATCH($G169,基本資料!A:A,0))</f>
        <v>低</v>
      </c>
    </row>
    <row r="170" spans="1:44" s="248" customFormat="1">
      <c r="A170" s="384"/>
      <c r="B170" s="79"/>
      <c r="C170" s="79"/>
      <c r="D170" s="79"/>
      <c r="E170" s="79"/>
      <c r="F170" s="6"/>
      <c r="G170" s="41"/>
      <c r="H170" s="8"/>
      <c r="I170" s="153"/>
      <c r="J170" s="1"/>
      <c r="K170" s="5"/>
      <c r="L170" s="163"/>
      <c r="O170" s="359"/>
      <c r="P170" s="47"/>
      <c r="Q170" s="342"/>
      <c r="R170" s="282"/>
      <c r="S170" s="319"/>
      <c r="T170" s="185"/>
      <c r="U170" s="305"/>
      <c r="V170" s="94"/>
      <c r="W170" s="304">
        <f>SUM(W144:W169)</f>
        <v>4350.6000000000004</v>
      </c>
      <c r="X170" s="295">
        <f>SUM(X144:X169)</f>
        <v>4218.45</v>
      </c>
      <c r="Y170" s="162">
        <f t="shared" si="157"/>
        <v>132.15000000000055</v>
      </c>
      <c r="Z170" s="158">
        <f t="shared" si="158"/>
        <v>3.1326672118906364E-2</v>
      </c>
      <c r="AA170" s="100"/>
      <c r="AB170" s="378"/>
      <c r="AC170" s="227">
        <f>W170*(0.001425*0.5)+W170*0.003+X170*(0.001425*0.5)</f>
        <v>19.157248125000002</v>
      </c>
      <c r="AD170" s="6">
        <f>Y170-AC170</f>
        <v>112.99275187500055</v>
      </c>
      <c r="AE170" s="83"/>
      <c r="AF170" s="33"/>
      <c r="AG170" s="132" t="s">
        <v>4741</v>
      </c>
      <c r="AR170" s="402"/>
    </row>
    <row r="171" spans="1:44" s="248" customFormat="1">
      <c r="A171" s="384"/>
      <c r="B171" s="79"/>
      <c r="C171" s="79"/>
      <c r="D171" s="79"/>
      <c r="E171" s="79"/>
      <c r="F171" s="6"/>
      <c r="G171" s="41"/>
      <c r="H171" s="8"/>
      <c r="I171" s="153"/>
      <c r="J171" s="1"/>
      <c r="K171" s="5"/>
      <c r="L171" s="163"/>
      <c r="O171" s="359"/>
      <c r="P171" s="47"/>
      <c r="Q171" s="342"/>
      <c r="R171" s="282"/>
      <c r="S171" s="319"/>
      <c r="T171" s="185"/>
      <c r="U171" s="305"/>
      <c r="V171" s="94"/>
      <c r="W171" s="304"/>
      <c r="X171" s="295"/>
      <c r="Y171" s="162"/>
      <c r="Z171" s="158"/>
      <c r="AA171" s="100"/>
      <c r="AB171" s="378"/>
      <c r="AC171" s="227"/>
      <c r="AD171" s="6"/>
      <c r="AE171" s="83"/>
      <c r="AF171" s="33"/>
      <c r="AG171" s="132"/>
      <c r="AR171" s="402"/>
    </row>
    <row r="172" spans="1:44">
      <c r="A172" s="94">
        <v>9.01</v>
      </c>
      <c r="B172" s="79">
        <v>8</v>
      </c>
      <c r="C172" s="79">
        <v>1</v>
      </c>
      <c r="D172" s="80">
        <v>-12</v>
      </c>
      <c r="E172" s="79">
        <v>12</v>
      </c>
      <c r="F172" s="6">
        <v>25.71</v>
      </c>
      <c r="G172" s="79">
        <v>3217</v>
      </c>
      <c r="H172" s="5" t="s">
        <v>3388</v>
      </c>
      <c r="I172" s="16" t="s">
        <v>4551</v>
      </c>
      <c r="J172" s="8" t="s">
        <v>3544</v>
      </c>
      <c r="L172" s="123"/>
      <c r="O172" s="359">
        <v>440</v>
      </c>
      <c r="P172" s="79">
        <v>767</v>
      </c>
      <c r="Q172" s="342">
        <v>888</v>
      </c>
      <c r="R172" s="81">
        <v>62</v>
      </c>
      <c r="S172" s="324">
        <v>143</v>
      </c>
      <c r="T172" s="34">
        <v>5.6</v>
      </c>
      <c r="U172" s="307">
        <f t="shared" ref="U172:U185" si="160">T172/W172</f>
        <v>4.5344129554655867E-2</v>
      </c>
      <c r="V172" s="94">
        <v>7.33</v>
      </c>
      <c r="W172" s="36">
        <v>123.5</v>
      </c>
      <c r="X172" s="66">
        <v>120.5</v>
      </c>
      <c r="Y172" s="15">
        <f t="shared" ref="Y172:Y186" si="161">W172-X172</f>
        <v>3</v>
      </c>
      <c r="Z172" s="63">
        <f t="shared" ref="Z172:Z186" si="162">Y172/X172</f>
        <v>2.4896265560165973E-2</v>
      </c>
      <c r="AA172" s="340">
        <v>-19.329999999999998</v>
      </c>
      <c r="AC172" s="16" t="s">
        <v>4551</v>
      </c>
      <c r="AD172" s="84">
        <v>44587</v>
      </c>
      <c r="AE172" s="311">
        <v>44587</v>
      </c>
      <c r="AF172" s="33">
        <f t="shared" ref="AF172:AF185" si="163">AE172-AD172</f>
        <v>0</v>
      </c>
      <c r="AG172" s="453" t="s">
        <v>4552</v>
      </c>
      <c r="AH172" s="63"/>
      <c r="AI172" s="283"/>
      <c r="AR172" s="402" t="str">
        <f>INDEX(基本資料!N:N,MATCH($G172,基本資料!A:A,0))</f>
        <v>低</v>
      </c>
    </row>
    <row r="173" spans="1:44">
      <c r="A173" s="94">
        <v>8.84</v>
      </c>
      <c r="B173" s="80">
        <v>-8</v>
      </c>
      <c r="C173" s="80">
        <v>-16</v>
      </c>
      <c r="D173" s="79">
        <v>1</v>
      </c>
      <c r="E173" s="79">
        <v>19</v>
      </c>
      <c r="F173" s="6">
        <v>9.17</v>
      </c>
      <c r="G173" s="79">
        <v>3324</v>
      </c>
      <c r="H173" s="8" t="s">
        <v>314</v>
      </c>
      <c r="I173" s="16" t="s">
        <v>228</v>
      </c>
      <c r="J173" s="8" t="s">
        <v>3542</v>
      </c>
      <c r="L173" s="123"/>
      <c r="O173" s="359">
        <v>51</v>
      </c>
      <c r="P173" s="79">
        <v>80</v>
      </c>
      <c r="Q173" s="342">
        <v>421</v>
      </c>
      <c r="R173" s="81">
        <v>85</v>
      </c>
      <c r="S173" s="324">
        <v>25</v>
      </c>
      <c r="T173" s="34">
        <v>5.6</v>
      </c>
      <c r="U173" s="307">
        <f t="shared" si="160"/>
        <v>2.557077625570776E-2</v>
      </c>
      <c r="V173" s="94">
        <v>12.05</v>
      </c>
      <c r="W173" s="36">
        <v>219</v>
      </c>
      <c r="X173" s="66">
        <v>215</v>
      </c>
      <c r="Y173" s="15">
        <f t="shared" si="161"/>
        <v>4</v>
      </c>
      <c r="Z173" s="63">
        <f t="shared" si="162"/>
        <v>1.8604651162790697E-2</v>
      </c>
      <c r="AA173" s="340">
        <v>-3.28</v>
      </c>
      <c r="AC173" s="16" t="s">
        <v>228</v>
      </c>
      <c r="AD173" s="84">
        <v>44582</v>
      </c>
      <c r="AE173" s="83">
        <v>44587</v>
      </c>
      <c r="AF173" s="33">
        <f t="shared" si="163"/>
        <v>5</v>
      </c>
      <c r="AG173" s="453" t="s">
        <v>2924</v>
      </c>
      <c r="AH173" s="63"/>
      <c r="AI173" s="283"/>
      <c r="AR173" s="402" t="str">
        <f>INDEX(基本資料!N:N,MATCH($G173,基本資料!A:A,0))</f>
        <v>低</v>
      </c>
    </row>
    <row r="174" spans="1:44">
      <c r="A174" s="94">
        <v>9.0299999999999994</v>
      </c>
      <c r="B174" s="79">
        <v>23</v>
      </c>
      <c r="C174" s="79">
        <v>31</v>
      </c>
      <c r="D174" s="79">
        <v>12</v>
      </c>
      <c r="E174" s="79">
        <v>90</v>
      </c>
      <c r="F174" s="6">
        <v>18.86</v>
      </c>
      <c r="G174" s="79">
        <v>6104</v>
      </c>
      <c r="H174" s="145" t="s">
        <v>3038</v>
      </c>
      <c r="I174" s="16" t="s">
        <v>372</v>
      </c>
      <c r="J174" s="8" t="s">
        <v>3542</v>
      </c>
      <c r="L174" s="123"/>
      <c r="O174" s="359">
        <v>20</v>
      </c>
      <c r="P174" s="79">
        <v>122</v>
      </c>
      <c r="Q174" s="342">
        <v>571</v>
      </c>
      <c r="R174" s="81">
        <v>14</v>
      </c>
      <c r="S174" s="324">
        <v>2</v>
      </c>
      <c r="T174" s="34">
        <v>3</v>
      </c>
      <c r="U174" s="307">
        <f t="shared" si="160"/>
        <v>1.4492753623188406E-2</v>
      </c>
      <c r="V174" s="94">
        <v>4.42</v>
      </c>
      <c r="W174" s="36">
        <v>207</v>
      </c>
      <c r="X174" s="66">
        <v>202.5</v>
      </c>
      <c r="Y174" s="15">
        <f t="shared" si="161"/>
        <v>4.5</v>
      </c>
      <c r="Z174" s="63">
        <f t="shared" si="162"/>
        <v>2.2222222222222223E-2</v>
      </c>
      <c r="AA174" s="340">
        <v>-7.88</v>
      </c>
      <c r="AC174" s="16" t="s">
        <v>372</v>
      </c>
      <c r="AD174" s="84">
        <v>44586</v>
      </c>
      <c r="AE174" s="311">
        <v>44586</v>
      </c>
      <c r="AF174" s="33">
        <f t="shared" si="163"/>
        <v>0</v>
      </c>
      <c r="AG174" s="453" t="s">
        <v>3045</v>
      </c>
      <c r="AH174" s="63"/>
      <c r="AI174" s="283"/>
      <c r="AJ174" s="288"/>
      <c r="AR174" s="402" t="str">
        <f>INDEX(基本資料!N:N,MATCH($G174,基本資料!A:A,0))</f>
        <v>中</v>
      </c>
    </row>
    <row r="175" spans="1:44">
      <c r="A175" s="94">
        <v>6.22</v>
      </c>
      <c r="B175" s="79">
        <v>159</v>
      </c>
      <c r="C175" s="79">
        <v>141</v>
      </c>
      <c r="D175" s="80">
        <v>-20</v>
      </c>
      <c r="E175" s="79">
        <v>61</v>
      </c>
      <c r="F175" s="6">
        <v>32.9</v>
      </c>
      <c r="G175" s="80">
        <v>3169</v>
      </c>
      <c r="H175" s="183" t="s">
        <v>3038</v>
      </c>
      <c r="I175" s="16" t="s">
        <v>359</v>
      </c>
      <c r="J175" s="8" t="s">
        <v>3542</v>
      </c>
      <c r="L175" s="123"/>
      <c r="O175" s="359">
        <v>17</v>
      </c>
      <c r="P175" s="79">
        <v>223</v>
      </c>
      <c r="Q175" s="342">
        <v>926</v>
      </c>
      <c r="R175" s="81">
        <v>385</v>
      </c>
      <c r="S175" s="324">
        <v>10</v>
      </c>
      <c r="T175" s="34">
        <v>2.5</v>
      </c>
      <c r="U175" s="307">
        <f t="shared" si="160"/>
        <v>1.201923076923077E-2</v>
      </c>
      <c r="V175" s="94">
        <v>5.5</v>
      </c>
      <c r="W175" s="36">
        <v>208</v>
      </c>
      <c r="X175" s="66">
        <v>204</v>
      </c>
      <c r="Y175" s="15">
        <f t="shared" si="161"/>
        <v>4</v>
      </c>
      <c r="Z175" s="63">
        <f t="shared" si="162"/>
        <v>1.9607843137254902E-2</v>
      </c>
      <c r="AA175" s="340">
        <v>-31.05</v>
      </c>
      <c r="AC175" s="16" t="s">
        <v>359</v>
      </c>
      <c r="AD175" s="84">
        <v>44585</v>
      </c>
      <c r="AE175" s="83">
        <v>44586</v>
      </c>
      <c r="AF175" s="33">
        <f t="shared" si="163"/>
        <v>1</v>
      </c>
      <c r="AG175" s="453" t="s">
        <v>2892</v>
      </c>
      <c r="AH175" s="63"/>
      <c r="AI175" s="283"/>
      <c r="AR175" s="402" t="str">
        <f>INDEX(基本資料!N:N,MATCH($G175,基本資料!A:A,0))</f>
        <v>低</v>
      </c>
    </row>
    <row r="176" spans="1:44">
      <c r="A176" s="94">
        <v>7.41</v>
      </c>
      <c r="B176" s="79">
        <v>102</v>
      </c>
      <c r="C176" s="79">
        <v>118</v>
      </c>
      <c r="D176" s="80">
        <v>-3</v>
      </c>
      <c r="E176" s="79">
        <v>26</v>
      </c>
      <c r="F176" s="6">
        <v>19.43</v>
      </c>
      <c r="G176" s="79">
        <v>6138</v>
      </c>
      <c r="H176" s="145" t="s">
        <v>3038</v>
      </c>
      <c r="I176" s="16" t="s">
        <v>159</v>
      </c>
      <c r="J176" s="8" t="s">
        <v>3543</v>
      </c>
      <c r="L176" s="245"/>
      <c r="O176" s="359">
        <v>214</v>
      </c>
      <c r="P176" s="79">
        <v>157</v>
      </c>
      <c r="Q176" s="342">
        <v>307</v>
      </c>
      <c r="R176" s="81">
        <v>33</v>
      </c>
      <c r="S176" s="324">
        <v>10</v>
      </c>
      <c r="T176" s="34">
        <v>5.2</v>
      </c>
      <c r="U176" s="307">
        <f t="shared" si="160"/>
        <v>2.1095334685598377E-2</v>
      </c>
      <c r="V176" s="94">
        <v>11.03</v>
      </c>
      <c r="W176" s="36">
        <v>246.5</v>
      </c>
      <c r="X176" s="66">
        <v>241.5</v>
      </c>
      <c r="Y176" s="15">
        <f t="shared" si="161"/>
        <v>5</v>
      </c>
      <c r="Z176" s="63">
        <f t="shared" si="162"/>
        <v>2.0703933747412008E-2</v>
      </c>
      <c r="AA176" s="340">
        <v>-13.29</v>
      </c>
      <c r="AC176" s="16" t="s">
        <v>159</v>
      </c>
      <c r="AD176" s="84">
        <v>44582</v>
      </c>
      <c r="AE176" s="311">
        <v>44582</v>
      </c>
      <c r="AF176" s="33">
        <f t="shared" si="163"/>
        <v>0</v>
      </c>
      <c r="AG176" s="454" t="s">
        <v>3560</v>
      </c>
      <c r="AH176" s="63"/>
      <c r="AI176" s="283"/>
      <c r="AR176" s="402" t="str">
        <f>INDEX(基本資料!N:N,MATCH($G176,基本資料!A:A,0))</f>
        <v>中</v>
      </c>
    </row>
    <row r="177" spans="1:44">
      <c r="A177" s="94">
        <v>6.03</v>
      </c>
      <c r="B177" s="79">
        <v>67</v>
      </c>
      <c r="C177" s="79">
        <v>108</v>
      </c>
      <c r="D177" s="80">
        <v>-2</v>
      </c>
      <c r="E177" s="80">
        <v>-15</v>
      </c>
      <c r="F177" s="6">
        <v>21.5</v>
      </c>
      <c r="G177" s="79">
        <v>2233</v>
      </c>
      <c r="H177" s="8" t="s">
        <v>301</v>
      </c>
      <c r="I177" s="22" t="s">
        <v>154</v>
      </c>
      <c r="J177" s="8" t="s">
        <v>3544</v>
      </c>
      <c r="L177" s="123"/>
      <c r="O177" s="359">
        <v>73</v>
      </c>
      <c r="P177" s="79">
        <v>411</v>
      </c>
      <c r="Q177" s="342">
        <v>482</v>
      </c>
      <c r="R177" s="81">
        <v>101</v>
      </c>
      <c r="S177" s="324">
        <v>166</v>
      </c>
      <c r="T177" s="34">
        <v>3.74</v>
      </c>
      <c r="U177" s="307">
        <f t="shared" si="160"/>
        <v>3.3392857142857148E-2</v>
      </c>
      <c r="V177" s="94">
        <v>9.02</v>
      </c>
      <c r="W177" s="36">
        <v>112</v>
      </c>
      <c r="X177" s="66">
        <v>109.5</v>
      </c>
      <c r="Y177" s="15">
        <f t="shared" si="161"/>
        <v>2.5</v>
      </c>
      <c r="Z177" s="63">
        <f t="shared" si="162"/>
        <v>2.2831050228310501E-2</v>
      </c>
      <c r="AA177" s="340">
        <v>-24.48</v>
      </c>
      <c r="AC177" s="22" t="s">
        <v>154</v>
      </c>
      <c r="AD177" s="84">
        <v>44581</v>
      </c>
      <c r="AE177" s="311">
        <v>44581</v>
      </c>
      <c r="AF177" s="33">
        <f t="shared" si="163"/>
        <v>0</v>
      </c>
      <c r="AG177" s="454" t="s">
        <v>2790</v>
      </c>
      <c r="AH177" s="63"/>
      <c r="AI177" s="283"/>
      <c r="AR177" s="402" t="str">
        <f>INDEX(基本資料!N:N,MATCH($G177,基本資料!A:A,0))</f>
        <v>低</v>
      </c>
    </row>
    <row r="178" spans="1:44">
      <c r="A178" s="94">
        <v>25</v>
      </c>
      <c r="B178" s="80">
        <v>-63</v>
      </c>
      <c r="C178" s="80">
        <v>-72</v>
      </c>
      <c r="D178" s="80">
        <v>-1</v>
      </c>
      <c r="E178" s="79">
        <v>7</v>
      </c>
      <c r="F178" s="6">
        <v>2.48</v>
      </c>
      <c r="G178" s="79">
        <v>2421</v>
      </c>
      <c r="H178" s="5" t="s">
        <v>3388</v>
      </c>
      <c r="I178" s="22" t="s">
        <v>4497</v>
      </c>
      <c r="J178" s="8" t="s">
        <v>3542</v>
      </c>
      <c r="L178" s="123"/>
      <c r="O178" s="359">
        <v>782</v>
      </c>
      <c r="P178" s="79">
        <v>622</v>
      </c>
      <c r="Q178" s="342">
        <v>301</v>
      </c>
      <c r="R178" s="81" t="s">
        <v>6279</v>
      </c>
      <c r="S178" s="324">
        <v>497</v>
      </c>
      <c r="T178" s="34">
        <v>2.4</v>
      </c>
      <c r="U178" s="307">
        <f t="shared" si="160"/>
        <v>5.106382978723404E-2</v>
      </c>
      <c r="V178" s="94">
        <v>1.63</v>
      </c>
      <c r="W178" s="36">
        <v>47</v>
      </c>
      <c r="X178" s="66">
        <v>45.85</v>
      </c>
      <c r="Y178" s="15">
        <f t="shared" si="161"/>
        <v>1.1499999999999986</v>
      </c>
      <c r="Z178" s="63">
        <f t="shared" si="162"/>
        <v>2.5081788440567035E-2</v>
      </c>
      <c r="AA178" s="340">
        <v>-15.28</v>
      </c>
      <c r="AC178" s="22" t="s">
        <v>4497</v>
      </c>
      <c r="AD178" s="84">
        <v>44580</v>
      </c>
      <c r="AE178" s="311">
        <v>44580</v>
      </c>
      <c r="AF178" s="33">
        <f t="shared" si="163"/>
        <v>0</v>
      </c>
      <c r="AG178" s="454" t="s">
        <v>2274</v>
      </c>
      <c r="AH178" s="63"/>
      <c r="AI178" s="283"/>
      <c r="AR178" s="402" t="str">
        <f>INDEX(基本資料!N:N,MATCH($G178,基本資料!A:A,0))</f>
        <v>低</v>
      </c>
    </row>
    <row r="179" spans="1:44">
      <c r="A179" s="94">
        <v>3.3</v>
      </c>
      <c r="B179" s="79">
        <v>150</v>
      </c>
      <c r="C179" s="79">
        <v>123</v>
      </c>
      <c r="D179" s="79">
        <v>16</v>
      </c>
      <c r="E179" s="79">
        <v>43</v>
      </c>
      <c r="F179" s="6">
        <v>20.53</v>
      </c>
      <c r="G179" s="79">
        <v>6651</v>
      </c>
      <c r="H179" s="192" t="s">
        <v>3038</v>
      </c>
      <c r="I179" s="16" t="s">
        <v>2336</v>
      </c>
      <c r="J179" s="8" t="s">
        <v>4718</v>
      </c>
      <c r="L179" s="123"/>
      <c r="O179" s="359">
        <v>785</v>
      </c>
      <c r="P179" s="79" t="s">
        <v>6279</v>
      </c>
      <c r="Q179" s="342">
        <v>1300</v>
      </c>
      <c r="R179" s="81" t="s">
        <v>6279</v>
      </c>
      <c r="S179" s="324">
        <v>497</v>
      </c>
      <c r="T179" s="34">
        <v>3</v>
      </c>
      <c r="U179" s="307">
        <f t="shared" si="160"/>
        <v>2.5974025974025976E-2</v>
      </c>
      <c r="V179" s="94">
        <v>7.46</v>
      </c>
      <c r="W179" s="36">
        <v>115.5</v>
      </c>
      <c r="X179" s="66">
        <v>113.5</v>
      </c>
      <c r="Y179" s="15">
        <f t="shared" si="161"/>
        <v>2</v>
      </c>
      <c r="Z179" s="63">
        <f t="shared" si="162"/>
        <v>1.7621145374449341E-2</v>
      </c>
      <c r="AA179" s="340">
        <v>-25.82</v>
      </c>
      <c r="AC179" s="16" t="s">
        <v>2336</v>
      </c>
      <c r="AD179" s="84">
        <v>44575</v>
      </c>
      <c r="AE179" s="83">
        <v>44578</v>
      </c>
      <c r="AF179" s="33">
        <f t="shared" si="163"/>
        <v>3</v>
      </c>
      <c r="AG179" s="453" t="s">
        <v>2175</v>
      </c>
      <c r="AH179" s="63"/>
      <c r="AI179" s="283"/>
      <c r="AR179" s="402" t="str">
        <f>INDEX(基本資料!N:N,MATCH($G179,基本資料!A:A,0))</f>
        <v>低</v>
      </c>
    </row>
    <row r="180" spans="1:44">
      <c r="A180" s="94">
        <v>3.73</v>
      </c>
      <c r="B180" s="80">
        <v>-66</v>
      </c>
      <c r="C180" s="80">
        <v>-67</v>
      </c>
      <c r="D180" s="80">
        <v>-7</v>
      </c>
      <c r="E180" s="80">
        <v>-16</v>
      </c>
      <c r="F180" s="6">
        <v>16.88</v>
      </c>
      <c r="G180" s="79">
        <v>6538</v>
      </c>
      <c r="H180" s="8" t="s">
        <v>308</v>
      </c>
      <c r="I180" s="16" t="s">
        <v>439</v>
      </c>
      <c r="J180" s="8" t="s">
        <v>4718</v>
      </c>
      <c r="L180" s="123"/>
      <c r="O180" s="359">
        <v>177</v>
      </c>
      <c r="P180" s="79">
        <v>308</v>
      </c>
      <c r="Q180" s="342">
        <v>866</v>
      </c>
      <c r="R180" s="81">
        <v>358</v>
      </c>
      <c r="S180" s="324">
        <v>368</v>
      </c>
      <c r="T180" s="34">
        <v>7</v>
      </c>
      <c r="U180" s="307">
        <f t="shared" si="160"/>
        <v>6.6037735849056603E-2</v>
      </c>
      <c r="V180" s="94">
        <v>5.16</v>
      </c>
      <c r="W180" s="36">
        <v>106</v>
      </c>
      <c r="X180" s="66">
        <v>104</v>
      </c>
      <c r="Y180" s="15">
        <f t="shared" si="161"/>
        <v>2</v>
      </c>
      <c r="Z180" s="63">
        <f t="shared" si="162"/>
        <v>1.9230769230769232E-2</v>
      </c>
      <c r="AA180" s="340">
        <v>-40.72</v>
      </c>
      <c r="AC180" s="16" t="s">
        <v>439</v>
      </c>
      <c r="AD180" s="84">
        <v>44578</v>
      </c>
      <c r="AE180" s="311">
        <v>44578</v>
      </c>
      <c r="AF180" s="33">
        <f t="shared" si="163"/>
        <v>0</v>
      </c>
      <c r="AG180" s="453" t="s">
        <v>1713</v>
      </c>
      <c r="AH180" s="63"/>
      <c r="AI180" s="283"/>
      <c r="AR180" s="402" t="str">
        <f>INDEX(基本資料!N:N,MATCH($G180,基本資料!A:A,0))</f>
        <v>中</v>
      </c>
    </row>
    <row r="181" spans="1:44">
      <c r="A181" s="94">
        <v>9.41</v>
      </c>
      <c r="B181" s="80">
        <v>-19</v>
      </c>
      <c r="C181" s="80">
        <v>-18</v>
      </c>
      <c r="D181" s="79">
        <v>15</v>
      </c>
      <c r="E181" s="79">
        <v>17</v>
      </c>
      <c r="F181" s="6">
        <v>12.25</v>
      </c>
      <c r="G181" s="79">
        <v>6223</v>
      </c>
      <c r="H181" s="195" t="s">
        <v>3038</v>
      </c>
      <c r="I181" s="16" t="s">
        <v>4060</v>
      </c>
      <c r="J181" s="8" t="s">
        <v>3542</v>
      </c>
      <c r="L181" s="123"/>
      <c r="O181" s="359">
        <v>59</v>
      </c>
      <c r="P181" s="79">
        <v>693</v>
      </c>
      <c r="Q181" s="342">
        <v>909</v>
      </c>
      <c r="R181" s="81">
        <v>37</v>
      </c>
      <c r="S181" s="324">
        <v>43</v>
      </c>
      <c r="T181" s="34">
        <v>4.47</v>
      </c>
      <c r="U181" s="307">
        <f t="shared" si="160"/>
        <v>3.6489795918367346E-2</v>
      </c>
      <c r="V181" s="94">
        <v>6.6</v>
      </c>
      <c r="W181" s="36">
        <v>122.5</v>
      </c>
      <c r="X181" s="66">
        <v>120.5</v>
      </c>
      <c r="Y181" s="15">
        <f t="shared" si="161"/>
        <v>2</v>
      </c>
      <c r="Z181" s="63">
        <f t="shared" si="162"/>
        <v>1.6597510373443983E-2</v>
      </c>
      <c r="AA181" s="340">
        <v>-30.92</v>
      </c>
      <c r="AC181" s="16" t="s">
        <v>4060</v>
      </c>
      <c r="AD181" s="84">
        <v>44575</v>
      </c>
      <c r="AE181" s="83">
        <v>44578</v>
      </c>
      <c r="AF181" s="33">
        <f t="shared" si="163"/>
        <v>3</v>
      </c>
      <c r="AG181" s="454" t="s">
        <v>2349</v>
      </c>
      <c r="AH181" s="63"/>
      <c r="AI181" s="283"/>
      <c r="AR181" s="402" t="str">
        <f>INDEX(基本資料!N:N,MATCH($G181,基本資料!A:A,0))</f>
        <v>低</v>
      </c>
    </row>
    <row r="182" spans="1:44">
      <c r="A182" s="94">
        <v>9.41</v>
      </c>
      <c r="B182" s="80">
        <v>-19</v>
      </c>
      <c r="C182" s="80">
        <v>-18</v>
      </c>
      <c r="D182" s="79">
        <v>15</v>
      </c>
      <c r="E182" s="79">
        <v>17</v>
      </c>
      <c r="F182" s="6">
        <v>12.25</v>
      </c>
      <c r="G182" s="79">
        <v>6223</v>
      </c>
      <c r="H182" s="195" t="s">
        <v>3038</v>
      </c>
      <c r="I182" s="16" t="s">
        <v>4060</v>
      </c>
      <c r="J182" s="8" t="s">
        <v>3543</v>
      </c>
      <c r="L182" s="123"/>
      <c r="O182" s="359">
        <v>59</v>
      </c>
      <c r="P182" s="79">
        <v>693</v>
      </c>
      <c r="Q182" s="342">
        <v>909</v>
      </c>
      <c r="R182" s="81">
        <v>37</v>
      </c>
      <c r="S182" s="324">
        <v>43</v>
      </c>
      <c r="T182" s="34">
        <v>4.47</v>
      </c>
      <c r="U182" s="307">
        <f t="shared" si="160"/>
        <v>3.6489795918367346E-2</v>
      </c>
      <c r="V182" s="94">
        <v>6.6</v>
      </c>
      <c r="W182" s="36">
        <v>122.5</v>
      </c>
      <c r="X182" s="66">
        <v>120.5</v>
      </c>
      <c r="Y182" s="15">
        <f t="shared" si="161"/>
        <v>2</v>
      </c>
      <c r="Z182" s="63">
        <f t="shared" si="162"/>
        <v>1.6597510373443983E-2</v>
      </c>
      <c r="AA182" s="340">
        <v>-30.92</v>
      </c>
      <c r="AC182" s="16" t="s">
        <v>4060</v>
      </c>
      <c r="AD182" s="84">
        <v>44575</v>
      </c>
      <c r="AE182" s="83">
        <v>44578</v>
      </c>
      <c r="AF182" s="33">
        <f t="shared" si="163"/>
        <v>3</v>
      </c>
      <c r="AG182" s="454" t="s">
        <v>2349</v>
      </c>
      <c r="AH182" s="63"/>
      <c r="AI182" s="283"/>
      <c r="AR182" s="402" t="str">
        <f>INDEX(基本資料!N:N,MATCH($G182,基本資料!A:A,0))</f>
        <v>低</v>
      </c>
    </row>
    <row r="183" spans="1:44">
      <c r="A183" s="94">
        <v>4.18</v>
      </c>
      <c r="B183" s="79">
        <v>70</v>
      </c>
      <c r="C183" s="79">
        <v>70</v>
      </c>
      <c r="D183" s="79">
        <v>67</v>
      </c>
      <c r="E183" s="80">
        <v>-3</v>
      </c>
      <c r="F183" s="6">
        <v>50.14</v>
      </c>
      <c r="G183" s="79">
        <v>4171</v>
      </c>
      <c r="H183" s="8" t="s">
        <v>1037</v>
      </c>
      <c r="I183" s="16" t="s">
        <v>1038</v>
      </c>
      <c r="J183" s="8" t="s">
        <v>3542</v>
      </c>
      <c r="L183" s="123"/>
      <c r="O183" s="359">
        <v>37</v>
      </c>
      <c r="P183" s="79">
        <v>138</v>
      </c>
      <c r="Q183" s="342">
        <v>262</v>
      </c>
      <c r="R183" s="81" t="s">
        <v>6279</v>
      </c>
      <c r="S183" s="324">
        <v>139</v>
      </c>
      <c r="T183" s="34">
        <v>3.83</v>
      </c>
      <c r="U183" s="307">
        <f t="shared" si="160"/>
        <v>3.4196428571428572E-2</v>
      </c>
      <c r="V183" s="94">
        <v>9.8800000000000008</v>
      </c>
      <c r="W183" s="36">
        <v>112</v>
      </c>
      <c r="X183" s="66">
        <v>110</v>
      </c>
      <c r="Y183" s="15">
        <f t="shared" si="161"/>
        <v>2</v>
      </c>
      <c r="Z183" s="63">
        <f t="shared" si="162"/>
        <v>1.8181818181818181E-2</v>
      </c>
      <c r="AA183" s="340">
        <v>-37.71</v>
      </c>
      <c r="AC183" s="16" t="s">
        <v>1038</v>
      </c>
      <c r="AD183" s="84">
        <v>44575</v>
      </c>
      <c r="AE183" s="311">
        <v>44575</v>
      </c>
      <c r="AF183" s="33">
        <f t="shared" si="163"/>
        <v>0</v>
      </c>
      <c r="AG183" s="453" t="s">
        <v>2702</v>
      </c>
      <c r="AH183" s="63"/>
      <c r="AI183" s="283"/>
      <c r="AR183" s="402" t="str">
        <f>INDEX(基本資料!N:N,MATCH($G183,基本資料!A:A,0))</f>
        <v>中</v>
      </c>
    </row>
    <row r="184" spans="1:44">
      <c r="A184" s="94">
        <v>8.5299999999999994</v>
      </c>
      <c r="B184" s="80">
        <v>-81</v>
      </c>
      <c r="C184" s="80">
        <v>-79</v>
      </c>
      <c r="D184" s="79">
        <v>11</v>
      </c>
      <c r="E184" s="80">
        <v>-81</v>
      </c>
      <c r="F184" s="6">
        <v>35.44</v>
      </c>
      <c r="G184" s="79">
        <v>1325</v>
      </c>
      <c r="H184" s="8" t="s">
        <v>293</v>
      </c>
      <c r="I184" s="22" t="s">
        <v>602</v>
      </c>
      <c r="J184" s="8" t="s">
        <v>3543</v>
      </c>
      <c r="L184" s="123"/>
      <c r="O184" s="359">
        <v>296</v>
      </c>
      <c r="P184" s="79">
        <v>23</v>
      </c>
      <c r="Q184" s="342">
        <v>847</v>
      </c>
      <c r="R184" s="81" t="s">
        <v>6279</v>
      </c>
      <c r="S184" s="324">
        <v>224</v>
      </c>
      <c r="T184" s="34">
        <v>12</v>
      </c>
      <c r="U184" s="307">
        <f t="shared" si="160"/>
        <v>0.21818181818181817</v>
      </c>
      <c r="V184" s="94">
        <v>9.64</v>
      </c>
      <c r="W184" s="36">
        <v>55</v>
      </c>
      <c r="X184" s="66">
        <v>53.8</v>
      </c>
      <c r="Y184" s="15">
        <f t="shared" si="161"/>
        <v>1.2000000000000028</v>
      </c>
      <c r="Z184" s="63">
        <f t="shared" si="162"/>
        <v>2.2304832713754701E-2</v>
      </c>
      <c r="AA184" s="340">
        <v>-55.65</v>
      </c>
      <c r="AC184" s="22" t="s">
        <v>602</v>
      </c>
      <c r="AD184" s="84">
        <v>44574</v>
      </c>
      <c r="AE184" s="311">
        <v>44574</v>
      </c>
      <c r="AF184" s="33">
        <f t="shared" si="163"/>
        <v>0</v>
      </c>
      <c r="AG184" s="453" t="s">
        <v>2534</v>
      </c>
      <c r="AH184" s="63"/>
      <c r="AI184" s="283"/>
      <c r="AK184" s="245"/>
      <c r="AR184" s="402" t="str">
        <f>INDEX(基本資料!N:N,MATCH($G184,基本資料!A:A,0))</f>
        <v>低</v>
      </c>
    </row>
    <row r="185" spans="1:44">
      <c r="A185" s="94">
        <v>6.03</v>
      </c>
      <c r="B185" s="79">
        <v>67</v>
      </c>
      <c r="C185" s="79">
        <v>108</v>
      </c>
      <c r="D185" s="80">
        <v>-2</v>
      </c>
      <c r="E185" s="80">
        <v>-15</v>
      </c>
      <c r="F185" s="6">
        <v>21.5</v>
      </c>
      <c r="G185" s="79">
        <v>2233</v>
      </c>
      <c r="H185" s="5" t="s">
        <v>301</v>
      </c>
      <c r="I185" s="22" t="s">
        <v>154</v>
      </c>
      <c r="J185" s="8" t="s">
        <v>4729</v>
      </c>
      <c r="L185" s="123"/>
      <c r="O185" s="359">
        <v>73</v>
      </c>
      <c r="P185" s="79">
        <v>411</v>
      </c>
      <c r="Q185" s="342">
        <v>482</v>
      </c>
      <c r="R185" s="81">
        <v>101</v>
      </c>
      <c r="S185" s="324">
        <v>166</v>
      </c>
      <c r="T185" s="34">
        <v>3.3</v>
      </c>
      <c r="U185" s="307">
        <f t="shared" si="160"/>
        <v>0.03</v>
      </c>
      <c r="V185" s="94">
        <v>6.23</v>
      </c>
      <c r="W185" s="36">
        <v>110</v>
      </c>
      <c r="X185" s="66">
        <v>108</v>
      </c>
      <c r="Y185" s="15">
        <f t="shared" si="161"/>
        <v>2</v>
      </c>
      <c r="Z185" s="63">
        <f t="shared" si="162"/>
        <v>1.8518518518518517E-2</v>
      </c>
      <c r="AA185" s="340">
        <v>-23.43</v>
      </c>
      <c r="AC185" s="22" t="s">
        <v>154</v>
      </c>
      <c r="AD185" s="84">
        <v>44580</v>
      </c>
      <c r="AE185" s="83">
        <v>44581</v>
      </c>
      <c r="AF185" s="33">
        <f t="shared" si="163"/>
        <v>1</v>
      </c>
      <c r="AG185" s="454" t="s">
        <v>2790</v>
      </c>
      <c r="AH185" s="63"/>
      <c r="AI185" s="283"/>
      <c r="AR185" s="402" t="str">
        <f>INDEX(基本資料!N:N,MATCH($G185,基本資料!A:A,0))</f>
        <v>低</v>
      </c>
    </row>
    <row r="186" spans="1:44" s="248" customFormat="1">
      <c r="A186" s="384"/>
      <c r="B186" s="79"/>
      <c r="C186" s="79"/>
      <c r="D186" s="79"/>
      <c r="E186" s="79"/>
      <c r="F186" s="6"/>
      <c r="G186" s="41"/>
      <c r="H186" s="8"/>
      <c r="I186" s="153"/>
      <c r="J186" s="1"/>
      <c r="K186" s="5"/>
      <c r="L186" s="163"/>
      <c r="O186" s="359"/>
      <c r="P186" s="47"/>
      <c r="Q186" s="342"/>
      <c r="R186" s="282"/>
      <c r="S186" s="319"/>
      <c r="T186" s="185"/>
      <c r="U186" s="305"/>
      <c r="V186" s="94"/>
      <c r="W186" s="304">
        <f>SUM(W172:W185)</f>
        <v>1906.5</v>
      </c>
      <c r="X186" s="295">
        <f>SUM(X172:X185)</f>
        <v>1869.1499999999999</v>
      </c>
      <c r="Y186" s="162">
        <f t="shared" si="161"/>
        <v>37.350000000000136</v>
      </c>
      <c r="Z186" s="158">
        <f t="shared" si="162"/>
        <v>1.9982344916138425E-2</v>
      </c>
      <c r="AA186" s="100"/>
      <c r="AB186" s="378"/>
      <c r="AC186" s="227">
        <f>W186*(0.001425*0.5)+W186*0.003+X186*(0.001425*0.5)</f>
        <v>8.4096506249999994</v>
      </c>
      <c r="AD186" s="6">
        <f>Y186-AC186</f>
        <v>28.940349375000139</v>
      </c>
      <c r="AE186" s="83"/>
      <c r="AF186" s="33"/>
      <c r="AG186" s="132" t="s">
        <v>4740</v>
      </c>
      <c r="AR186" s="402"/>
    </row>
    <row r="187" spans="1:44">
      <c r="B187" s="90"/>
      <c r="C187" s="90"/>
      <c r="D187" s="90"/>
      <c r="E187" s="90"/>
      <c r="F187" s="8"/>
      <c r="G187" s="26"/>
      <c r="H187" s="55"/>
      <c r="I187" s="8"/>
      <c r="J187" s="8"/>
      <c r="O187" s="359"/>
      <c r="P187" s="47"/>
      <c r="Q187" s="342"/>
      <c r="S187" s="318"/>
      <c r="T187" s="382"/>
      <c r="U187" s="307"/>
      <c r="V187" s="68"/>
      <c r="W187" s="28"/>
      <c r="X187" s="17"/>
      <c r="Y187" s="14"/>
      <c r="Z187" s="21"/>
      <c r="AA187" s="327"/>
      <c r="AC187" s="8"/>
      <c r="AD187" s="71"/>
      <c r="AE187" s="72"/>
      <c r="AF187" s="32"/>
      <c r="AG187" s="457"/>
      <c r="AH187" s="8"/>
      <c r="AI187" s="50"/>
    </row>
    <row r="188" spans="1:44">
      <c r="L188" s="123"/>
      <c r="O188" s="359"/>
      <c r="P188" s="47"/>
      <c r="Q188" s="342"/>
      <c r="U188" s="307"/>
    </row>
    <row r="189" spans="1:44">
      <c r="L189" s="123"/>
      <c r="O189" s="359"/>
      <c r="P189" s="47"/>
      <c r="Q189" s="342"/>
      <c r="U189" s="307"/>
    </row>
    <row r="190" spans="1:44">
      <c r="L190" s="123"/>
      <c r="O190" s="359"/>
      <c r="P190" s="47"/>
      <c r="Q190" s="342"/>
      <c r="U190" s="307"/>
    </row>
    <row r="191" spans="1:44">
      <c r="L191" s="123"/>
      <c r="O191" s="359"/>
      <c r="P191" s="47"/>
      <c r="Q191" s="342"/>
      <c r="U191" s="307"/>
    </row>
    <row r="192" spans="1:44">
      <c r="L192" s="123"/>
      <c r="O192" s="359"/>
      <c r="P192" s="47"/>
      <c r="Q192" s="342"/>
      <c r="U192" s="307"/>
    </row>
    <row r="193" spans="12:21">
      <c r="L193" s="123"/>
      <c r="O193" s="359"/>
      <c r="P193" s="47"/>
      <c r="Q193" s="342"/>
      <c r="U193" s="307"/>
    </row>
    <row r="194" spans="12:21">
      <c r="L194" s="123"/>
      <c r="O194" s="359"/>
      <c r="P194" s="47"/>
      <c r="Q194" s="342"/>
      <c r="U194" s="307"/>
    </row>
    <row r="195" spans="12:21">
      <c r="L195" s="123"/>
      <c r="O195" s="359"/>
      <c r="P195" s="47"/>
      <c r="Q195" s="342"/>
      <c r="U195" s="307"/>
    </row>
    <row r="196" spans="12:21">
      <c r="L196" s="123"/>
      <c r="O196" s="359"/>
      <c r="P196" s="47"/>
      <c r="Q196" s="342"/>
      <c r="U196" s="307"/>
    </row>
    <row r="197" spans="12:21">
      <c r="L197" s="123"/>
      <c r="O197" s="359"/>
      <c r="P197" s="47"/>
      <c r="Q197" s="342"/>
      <c r="U197" s="307"/>
    </row>
    <row r="198" spans="12:21">
      <c r="L198" s="123"/>
      <c r="O198" s="359"/>
      <c r="P198" s="47"/>
      <c r="Q198" s="342"/>
      <c r="U198" s="307"/>
    </row>
    <row r="199" spans="12:21">
      <c r="L199" s="123"/>
      <c r="O199" s="359"/>
      <c r="P199" s="47"/>
      <c r="Q199" s="342"/>
      <c r="U199" s="307"/>
    </row>
    <row r="200" spans="12:21">
      <c r="L200" s="123"/>
      <c r="O200" s="359"/>
      <c r="P200" s="47"/>
      <c r="Q200" s="342"/>
      <c r="U200" s="307"/>
    </row>
    <row r="201" spans="12:21">
      <c r="L201" s="123"/>
      <c r="O201" s="359"/>
      <c r="P201" s="47"/>
      <c r="Q201" s="342"/>
      <c r="U201" s="307"/>
    </row>
    <row r="202" spans="12:21">
      <c r="L202" s="123"/>
      <c r="O202" s="359"/>
      <c r="P202" s="47"/>
      <c r="Q202" s="342"/>
      <c r="U202" s="307"/>
    </row>
    <row r="203" spans="12:21">
      <c r="L203" s="123"/>
      <c r="O203" s="359"/>
      <c r="P203" s="47"/>
      <c r="Q203" s="342"/>
      <c r="U203" s="307"/>
    </row>
    <row r="204" spans="12:21">
      <c r="L204" s="123"/>
      <c r="O204" s="359"/>
      <c r="P204" s="47"/>
      <c r="Q204" s="342"/>
      <c r="U204" s="307"/>
    </row>
    <row r="205" spans="12:21">
      <c r="L205" s="123"/>
      <c r="O205" s="359"/>
      <c r="P205" s="47"/>
      <c r="Q205" s="342"/>
      <c r="U205" s="307"/>
    </row>
    <row r="206" spans="12:21">
      <c r="L206" s="123"/>
      <c r="O206" s="359"/>
      <c r="P206" s="47"/>
      <c r="Q206" s="342"/>
      <c r="U206" s="309"/>
    </row>
    <row r="207" spans="12:21">
      <c r="L207" s="123"/>
      <c r="O207" s="359"/>
      <c r="P207" s="47"/>
      <c r="Q207" s="342"/>
      <c r="U207" s="309"/>
    </row>
    <row r="208" spans="12:21">
      <c r="L208" s="123"/>
      <c r="O208" s="359"/>
      <c r="P208" s="47"/>
      <c r="Q208" s="342"/>
      <c r="U208" s="305"/>
    </row>
    <row r="209" spans="12:37">
      <c r="L209" s="123"/>
      <c r="O209" s="359"/>
      <c r="P209" s="47"/>
      <c r="Q209" s="342"/>
      <c r="U209" s="305"/>
    </row>
    <row r="210" spans="12:37">
      <c r="L210" s="123"/>
      <c r="O210" s="359"/>
      <c r="P210" s="47"/>
      <c r="Q210" s="342"/>
      <c r="U210" s="305"/>
    </row>
    <row r="211" spans="12:37">
      <c r="L211" s="123"/>
      <c r="O211" s="359"/>
      <c r="P211" s="47"/>
      <c r="Q211" s="342"/>
      <c r="U211" s="305"/>
    </row>
    <row r="212" spans="12:37">
      <c r="L212" s="123"/>
      <c r="O212" s="359"/>
      <c r="P212" s="47"/>
      <c r="Q212" s="342"/>
      <c r="U212" s="307"/>
      <c r="AK212" s="279"/>
    </row>
    <row r="213" spans="12:37">
      <c r="L213" s="123"/>
      <c r="O213" s="359"/>
      <c r="P213" s="47"/>
      <c r="Q213" s="342"/>
      <c r="U213" s="307"/>
      <c r="AK213" s="245"/>
    </row>
    <row r="214" spans="12:37">
      <c r="L214" s="123"/>
      <c r="O214" s="359"/>
      <c r="P214" s="47"/>
      <c r="Q214" s="342"/>
      <c r="U214" s="307"/>
      <c r="AK214" s="245"/>
    </row>
    <row r="215" spans="12:37">
      <c r="L215" s="123"/>
      <c r="O215" s="359"/>
      <c r="P215" s="47"/>
      <c r="Q215" s="342"/>
      <c r="U215" s="307"/>
      <c r="AK215" s="245"/>
    </row>
    <row r="216" spans="12:37">
      <c r="L216" s="123"/>
      <c r="O216" s="359"/>
      <c r="P216" s="47"/>
      <c r="Q216" s="342"/>
      <c r="U216" s="307"/>
      <c r="AK216" s="245"/>
    </row>
    <row r="217" spans="12:37">
      <c r="L217" s="123"/>
      <c r="O217" s="359"/>
      <c r="P217" s="47"/>
      <c r="Q217" s="342"/>
      <c r="U217" s="307"/>
      <c r="AK217" s="245"/>
    </row>
    <row r="218" spans="12:37">
      <c r="L218" s="123"/>
      <c r="O218" s="359"/>
      <c r="P218" s="47"/>
      <c r="Q218" s="342"/>
      <c r="U218" s="307"/>
      <c r="AK218" s="245"/>
    </row>
    <row r="219" spans="12:37">
      <c r="L219" s="33"/>
      <c r="O219" s="359"/>
      <c r="P219" s="47"/>
      <c r="Q219" s="342"/>
      <c r="U219" s="307"/>
      <c r="AK219" s="245"/>
    </row>
    <row r="220" spans="12:37">
      <c r="L220" s="123"/>
      <c r="O220" s="359"/>
      <c r="P220" s="47"/>
      <c r="Q220" s="342"/>
      <c r="U220" s="307"/>
      <c r="AK220" s="245"/>
    </row>
    <row r="221" spans="12:37">
      <c r="L221" s="123"/>
      <c r="O221" s="359"/>
      <c r="P221" s="47"/>
      <c r="Q221" s="342"/>
      <c r="U221" s="307"/>
      <c r="AK221" s="245"/>
    </row>
    <row r="222" spans="12:37">
      <c r="L222" s="245"/>
      <c r="O222" s="359"/>
      <c r="P222" s="47"/>
      <c r="Q222" s="342"/>
      <c r="U222" s="307"/>
      <c r="AK222" s="245"/>
    </row>
    <row r="223" spans="12:37">
      <c r="L223" s="123"/>
      <c r="O223" s="359"/>
      <c r="P223" s="47"/>
      <c r="Q223" s="342"/>
      <c r="U223" s="307"/>
      <c r="AK223" s="245"/>
    </row>
    <row r="224" spans="12:37">
      <c r="L224" s="123"/>
      <c r="O224" s="359"/>
      <c r="P224" s="47"/>
      <c r="Q224" s="342"/>
      <c r="U224" s="307"/>
      <c r="AK224" s="245"/>
    </row>
    <row r="225" spans="12:37">
      <c r="L225" s="123"/>
      <c r="O225" s="359"/>
      <c r="P225" s="47"/>
      <c r="Q225" s="342"/>
      <c r="U225" s="307"/>
      <c r="AK225" s="245"/>
    </row>
    <row r="226" spans="12:37">
      <c r="L226" s="123"/>
      <c r="O226" s="359"/>
      <c r="P226" s="47"/>
      <c r="Q226" s="342"/>
      <c r="U226" s="307"/>
      <c r="AK226" s="245"/>
    </row>
    <row r="227" spans="12:37">
      <c r="L227" s="123"/>
      <c r="O227" s="359"/>
      <c r="P227" s="47"/>
      <c r="Q227" s="342"/>
      <c r="AK227" s="245"/>
    </row>
    <row r="228" spans="12:37">
      <c r="L228" s="245"/>
      <c r="O228" s="359"/>
      <c r="P228" s="47"/>
      <c r="Q228" s="342"/>
      <c r="AK228" s="245"/>
    </row>
    <row r="229" spans="12:37">
      <c r="L229" s="123"/>
      <c r="O229" s="359"/>
      <c r="P229" s="47"/>
      <c r="Q229" s="342"/>
      <c r="AK229" s="245"/>
    </row>
    <row r="230" spans="12:37">
      <c r="L230" s="123"/>
      <c r="O230" s="359"/>
      <c r="P230" s="47"/>
      <c r="Q230" s="342"/>
    </row>
    <row r="231" spans="12:37">
      <c r="L231" s="123"/>
      <c r="O231" s="359"/>
      <c r="P231" s="47"/>
      <c r="Q231" s="342"/>
    </row>
    <row r="232" spans="12:37">
      <c r="L232" s="123"/>
      <c r="O232" s="359"/>
      <c r="P232" s="47"/>
      <c r="Q232" s="342"/>
    </row>
    <row r="233" spans="12:37">
      <c r="L233" s="123"/>
      <c r="O233" s="359"/>
      <c r="P233" s="47"/>
      <c r="Q233" s="342"/>
    </row>
    <row r="234" spans="12:37">
      <c r="L234" s="123"/>
      <c r="O234" s="359"/>
      <c r="P234" s="47"/>
      <c r="Q234" s="342"/>
    </row>
    <row r="235" spans="12:37">
      <c r="L235" s="123"/>
      <c r="O235" s="359"/>
      <c r="P235" s="47"/>
      <c r="Q235" s="342"/>
      <c r="U235" s="305"/>
    </row>
    <row r="236" spans="12:37">
      <c r="L236" s="123"/>
      <c r="O236" s="359"/>
      <c r="P236" s="47"/>
      <c r="Q236" s="342"/>
      <c r="U236" s="307"/>
    </row>
    <row r="237" spans="12:37">
      <c r="L237" s="123"/>
      <c r="O237" s="359"/>
      <c r="P237" s="47"/>
      <c r="Q237" s="342"/>
      <c r="U237" s="307"/>
    </row>
    <row r="238" spans="12:37">
      <c r="L238" s="123"/>
      <c r="O238" s="359"/>
      <c r="P238" s="47"/>
      <c r="Q238" s="342"/>
      <c r="U238" s="307"/>
      <c r="AK238" s="279"/>
    </row>
    <row r="239" spans="12:37">
      <c r="L239" s="245"/>
      <c r="O239" s="359"/>
      <c r="P239" s="47"/>
      <c r="Q239" s="342"/>
      <c r="U239" s="307"/>
      <c r="AK239" s="245"/>
    </row>
    <row r="240" spans="12:37">
      <c r="L240" s="123"/>
      <c r="O240" s="359"/>
      <c r="P240" s="47"/>
      <c r="Q240" s="342"/>
      <c r="U240" s="307"/>
      <c r="AK240" s="245"/>
    </row>
    <row r="241" spans="12:37">
      <c r="L241" s="123"/>
      <c r="O241" s="359"/>
      <c r="P241" s="47"/>
      <c r="Q241" s="342"/>
      <c r="U241" s="307"/>
      <c r="AK241" s="245"/>
    </row>
    <row r="242" spans="12:37">
      <c r="L242" s="123"/>
      <c r="O242" s="359"/>
      <c r="P242" s="47"/>
      <c r="Q242" s="342"/>
      <c r="U242" s="307"/>
      <c r="AK242" s="245"/>
    </row>
    <row r="243" spans="12:37">
      <c r="L243" s="123"/>
      <c r="O243" s="359"/>
      <c r="P243" s="47"/>
      <c r="Q243" s="342"/>
      <c r="U243" s="307"/>
      <c r="AK243" s="245"/>
    </row>
    <row r="244" spans="12:37">
      <c r="L244" s="123"/>
      <c r="O244" s="359"/>
      <c r="P244" s="47"/>
      <c r="Q244" s="342"/>
      <c r="U244" s="307"/>
      <c r="AK244" s="245"/>
    </row>
    <row r="245" spans="12:37">
      <c r="L245" s="123"/>
      <c r="O245" s="359"/>
      <c r="P245" s="47"/>
      <c r="Q245" s="342"/>
    </row>
    <row r="246" spans="12:37">
      <c r="L246" s="123"/>
      <c r="O246" s="359"/>
      <c r="P246" s="47"/>
      <c r="Q246" s="342"/>
    </row>
    <row r="247" spans="12:37">
      <c r="L247" s="123"/>
      <c r="O247" s="359"/>
      <c r="P247" s="47"/>
      <c r="Q247" s="342"/>
      <c r="U247" s="305"/>
    </row>
    <row r="248" spans="12:37">
      <c r="L248" s="123"/>
      <c r="O248" s="359"/>
      <c r="P248" s="47"/>
      <c r="Q248" s="342"/>
      <c r="U248" s="307"/>
      <c r="AK248" s="279"/>
    </row>
    <row r="249" spans="12:37">
      <c r="L249" s="245"/>
      <c r="O249" s="359"/>
      <c r="P249" s="47"/>
      <c r="Q249" s="342"/>
      <c r="U249" s="307"/>
    </row>
    <row r="250" spans="12:37">
      <c r="L250" s="123"/>
      <c r="O250" s="359"/>
      <c r="P250" s="47"/>
      <c r="Q250" s="342"/>
      <c r="U250" s="307"/>
    </row>
    <row r="251" spans="12:37">
      <c r="L251" s="123"/>
      <c r="O251" s="359"/>
      <c r="P251" s="47"/>
      <c r="Q251" s="342"/>
      <c r="U251" s="307"/>
    </row>
    <row r="252" spans="12:37">
      <c r="L252" s="123"/>
      <c r="O252" s="359"/>
      <c r="P252" s="47"/>
      <c r="Q252" s="342"/>
      <c r="U252" s="307"/>
    </row>
    <row r="253" spans="12:37">
      <c r="L253" s="123"/>
      <c r="O253" s="359"/>
      <c r="P253" s="47"/>
      <c r="Q253" s="342"/>
      <c r="U253" s="307"/>
    </row>
    <row r="254" spans="12:37">
      <c r="L254" s="123"/>
      <c r="O254" s="359"/>
      <c r="P254" s="47"/>
      <c r="Q254" s="342"/>
      <c r="AK254" s="279"/>
    </row>
    <row r="255" spans="12:37">
      <c r="L255" s="123"/>
      <c r="O255" s="359"/>
      <c r="P255" s="47"/>
      <c r="Q255" s="342"/>
    </row>
    <row r="256" spans="12:37">
      <c r="L256" s="123"/>
      <c r="O256" s="359"/>
      <c r="P256" s="47"/>
      <c r="Q256" s="342"/>
    </row>
    <row r="257" spans="12:17">
      <c r="L257" s="245"/>
      <c r="O257" s="359"/>
      <c r="P257" s="47"/>
      <c r="Q257" s="342"/>
    </row>
    <row r="258" spans="12:17">
      <c r="L258" s="123"/>
      <c r="O258" s="359"/>
      <c r="P258" s="47"/>
      <c r="Q258" s="342"/>
    </row>
    <row r="259" spans="12:17">
      <c r="L259" s="123"/>
      <c r="O259" s="359"/>
      <c r="P259" s="47"/>
      <c r="Q259" s="342"/>
    </row>
    <row r="260" spans="12:17">
      <c r="L260" s="123"/>
      <c r="O260" s="359"/>
      <c r="P260" s="47"/>
      <c r="Q260" s="342"/>
    </row>
    <row r="261" spans="12:17">
      <c r="L261" s="123"/>
      <c r="O261" s="359"/>
      <c r="P261" s="47"/>
      <c r="Q261" s="342"/>
    </row>
    <row r="262" spans="12:17">
      <c r="L262" s="123"/>
      <c r="O262" s="359"/>
      <c r="P262" s="47"/>
      <c r="Q262" s="342"/>
    </row>
    <row r="263" spans="12:17">
      <c r="L263" s="123"/>
      <c r="O263" s="359"/>
      <c r="P263" s="47"/>
      <c r="Q263" s="342"/>
    </row>
    <row r="264" spans="12:17">
      <c r="L264" s="123"/>
      <c r="O264" s="359"/>
      <c r="P264" s="47"/>
      <c r="Q264" s="342"/>
    </row>
    <row r="265" spans="12:17">
      <c r="L265" s="123"/>
      <c r="O265" s="359"/>
      <c r="P265" s="47"/>
      <c r="Q265" s="342"/>
    </row>
    <row r="266" spans="12:17">
      <c r="L266" s="123"/>
      <c r="O266" s="359"/>
      <c r="P266" s="47"/>
      <c r="Q266" s="342"/>
    </row>
    <row r="267" spans="12:17">
      <c r="L267" s="245"/>
      <c r="O267" s="359"/>
      <c r="P267" s="47"/>
      <c r="Q267" s="342"/>
    </row>
    <row r="268" spans="12:17">
      <c r="L268" s="123"/>
      <c r="O268" s="359"/>
      <c r="P268" s="47"/>
      <c r="Q268" s="342"/>
    </row>
    <row r="269" spans="12:17">
      <c r="L269" s="123"/>
      <c r="O269" s="359"/>
      <c r="P269" s="47"/>
      <c r="Q269" s="342"/>
    </row>
    <row r="270" spans="12:17">
      <c r="L270" s="123"/>
      <c r="O270" s="359"/>
      <c r="P270" s="47"/>
      <c r="Q270" s="342"/>
    </row>
    <row r="271" spans="12:17">
      <c r="L271" s="123"/>
      <c r="O271" s="359"/>
      <c r="P271" s="47"/>
      <c r="Q271" s="342"/>
    </row>
    <row r="272" spans="12:17">
      <c r="L272" s="123"/>
      <c r="O272" s="359"/>
      <c r="P272" s="47"/>
      <c r="Q272" s="342"/>
    </row>
    <row r="273" spans="12:17">
      <c r="L273" s="123"/>
      <c r="O273" s="359"/>
      <c r="P273" s="47"/>
      <c r="Q273" s="342"/>
    </row>
    <row r="274" spans="12:17">
      <c r="L274" s="123"/>
      <c r="O274" s="359"/>
      <c r="P274" s="47"/>
      <c r="Q274" s="342"/>
    </row>
    <row r="275" spans="12:17">
      <c r="L275" s="123"/>
      <c r="O275" s="359"/>
      <c r="P275" s="47"/>
      <c r="Q275" s="342"/>
    </row>
    <row r="276" spans="12:17">
      <c r="L276" s="123"/>
      <c r="O276" s="359"/>
      <c r="P276" s="47"/>
      <c r="Q276" s="342"/>
    </row>
    <row r="277" spans="12:17">
      <c r="L277" s="123"/>
      <c r="O277" s="359"/>
      <c r="P277" s="47"/>
      <c r="Q277" s="342"/>
    </row>
    <row r="278" spans="12:17">
      <c r="L278" s="123"/>
      <c r="O278" s="359"/>
      <c r="P278" s="47"/>
      <c r="Q278" s="342"/>
    </row>
    <row r="279" spans="12:17">
      <c r="L279" s="123"/>
      <c r="O279" s="359"/>
      <c r="P279" s="47"/>
      <c r="Q279" s="342"/>
    </row>
    <row r="280" spans="12:17">
      <c r="L280" s="123"/>
      <c r="O280" s="359"/>
      <c r="P280" s="47"/>
      <c r="Q280" s="342"/>
    </row>
    <row r="281" spans="12:17">
      <c r="L281" s="123"/>
      <c r="O281" s="359"/>
      <c r="P281" s="47"/>
      <c r="Q281" s="342"/>
    </row>
    <row r="282" spans="12:17">
      <c r="L282" s="123"/>
      <c r="O282" s="359"/>
      <c r="P282" s="47"/>
      <c r="Q282" s="342"/>
    </row>
    <row r="283" spans="12:17">
      <c r="L283" s="123"/>
      <c r="O283" s="359"/>
      <c r="P283" s="47"/>
      <c r="Q283" s="342"/>
    </row>
    <row r="284" spans="12:17">
      <c r="L284" s="123"/>
      <c r="O284" s="359"/>
      <c r="P284" s="47"/>
      <c r="Q284" s="342"/>
    </row>
    <row r="285" spans="12:17">
      <c r="L285" s="123"/>
      <c r="O285" s="359"/>
      <c r="P285" s="47"/>
      <c r="Q285" s="342"/>
    </row>
    <row r="286" spans="12:17">
      <c r="L286" s="123"/>
      <c r="O286" s="359"/>
      <c r="P286" s="47"/>
      <c r="Q286" s="342"/>
    </row>
    <row r="287" spans="12:17">
      <c r="L287" s="123"/>
      <c r="O287" s="359"/>
      <c r="P287" s="47"/>
      <c r="Q287" s="342"/>
    </row>
    <row r="288" spans="12:17">
      <c r="L288" s="245"/>
      <c r="O288" s="359"/>
      <c r="P288" s="47"/>
      <c r="Q288" s="342"/>
    </row>
    <row r="289" spans="12:17">
      <c r="L289" s="123"/>
      <c r="O289" s="359"/>
      <c r="P289" s="47"/>
      <c r="Q289" s="342"/>
    </row>
    <row r="290" spans="12:17">
      <c r="L290" s="123"/>
      <c r="O290" s="359"/>
      <c r="P290" s="47"/>
      <c r="Q290" s="342"/>
    </row>
    <row r="291" spans="12:17">
      <c r="L291" s="123"/>
      <c r="O291" s="359"/>
      <c r="P291" s="47"/>
      <c r="Q291" s="342"/>
    </row>
    <row r="292" spans="12:17">
      <c r="O292" s="359"/>
      <c r="P292" s="47"/>
      <c r="Q292" s="342"/>
    </row>
    <row r="293" spans="12:17">
      <c r="L293" s="123"/>
      <c r="O293" s="359"/>
      <c r="P293" s="47"/>
      <c r="Q293" s="342"/>
    </row>
    <row r="294" spans="12:17">
      <c r="L294" s="123"/>
      <c r="O294" s="359"/>
      <c r="P294" s="47"/>
      <c r="Q294" s="342"/>
    </row>
    <row r="295" spans="12:17">
      <c r="L295" s="123"/>
      <c r="O295" s="359"/>
      <c r="P295" s="47"/>
      <c r="Q295" s="342"/>
    </row>
    <row r="296" spans="12:17">
      <c r="L296" s="123"/>
      <c r="O296" s="359"/>
      <c r="P296" s="47"/>
      <c r="Q296" s="342"/>
    </row>
    <row r="297" spans="12:17">
      <c r="L297" s="123"/>
      <c r="O297" s="359"/>
      <c r="P297" s="47"/>
      <c r="Q297" s="342"/>
    </row>
    <row r="298" spans="12:17">
      <c r="L298" s="123"/>
      <c r="O298" s="359"/>
      <c r="P298" s="47"/>
      <c r="Q298" s="342"/>
    </row>
    <row r="299" spans="12:17">
      <c r="L299" s="123"/>
      <c r="O299" s="359"/>
      <c r="P299" s="47"/>
      <c r="Q299" s="342"/>
    </row>
    <row r="300" spans="12:17">
      <c r="L300" s="123"/>
      <c r="O300" s="359"/>
      <c r="P300" s="47"/>
      <c r="Q300" s="342"/>
    </row>
    <row r="301" spans="12:17">
      <c r="L301" s="245"/>
      <c r="O301" s="359"/>
      <c r="P301" s="47"/>
      <c r="Q301" s="342"/>
    </row>
    <row r="302" spans="12:17">
      <c r="L302" s="123"/>
      <c r="O302" s="359"/>
      <c r="P302" s="47"/>
      <c r="Q302" s="342"/>
    </row>
    <row r="303" spans="12:17">
      <c r="L303" s="123"/>
      <c r="O303" s="359"/>
      <c r="P303" s="47"/>
      <c r="Q303" s="342"/>
    </row>
    <row r="304" spans="12:17">
      <c r="L304" s="123"/>
      <c r="O304" s="359"/>
      <c r="P304" s="47"/>
      <c r="Q304" s="342"/>
    </row>
    <row r="305" spans="12:17">
      <c r="L305" s="245"/>
      <c r="O305" s="359"/>
      <c r="P305" s="47"/>
      <c r="Q305" s="342"/>
    </row>
    <row r="306" spans="12:17">
      <c r="L306" s="123"/>
      <c r="O306" s="359"/>
      <c r="P306" s="47"/>
      <c r="Q306" s="342"/>
    </row>
    <row r="307" spans="12:17">
      <c r="L307" s="123"/>
      <c r="O307" s="359"/>
      <c r="P307" s="47"/>
      <c r="Q307" s="342"/>
    </row>
    <row r="308" spans="12:17">
      <c r="L308" s="123"/>
      <c r="O308" s="359"/>
      <c r="P308" s="47"/>
      <c r="Q308" s="342"/>
    </row>
    <row r="309" spans="12:17">
      <c r="L309" s="123"/>
      <c r="O309" s="359"/>
      <c r="P309" s="47"/>
      <c r="Q309" s="342"/>
    </row>
    <row r="310" spans="12:17">
      <c r="L310" s="123"/>
      <c r="O310" s="359"/>
      <c r="P310" s="47"/>
      <c r="Q310" s="342"/>
    </row>
    <row r="311" spans="12:17">
      <c r="L311" s="123"/>
      <c r="O311" s="359"/>
      <c r="P311" s="47"/>
      <c r="Q311" s="342"/>
    </row>
    <row r="312" spans="12:17">
      <c r="L312" s="123"/>
      <c r="O312" s="359"/>
      <c r="P312" s="47"/>
      <c r="Q312" s="342"/>
    </row>
    <row r="313" spans="12:17">
      <c r="L313" s="123"/>
      <c r="O313" s="359"/>
      <c r="P313" s="47"/>
      <c r="Q313" s="342"/>
    </row>
    <row r="314" spans="12:17">
      <c r="L314" s="123"/>
      <c r="O314" s="359"/>
      <c r="P314" s="47"/>
      <c r="Q314" s="342"/>
    </row>
    <row r="315" spans="12:17">
      <c r="L315" s="123"/>
      <c r="O315" s="359"/>
      <c r="P315" s="47"/>
      <c r="Q315" s="342"/>
    </row>
    <row r="316" spans="12:17">
      <c r="L316" s="123"/>
      <c r="O316" s="359"/>
      <c r="P316" s="47"/>
      <c r="Q316" s="342"/>
    </row>
    <row r="317" spans="12:17">
      <c r="L317" s="123"/>
      <c r="O317" s="359"/>
      <c r="P317" s="47"/>
      <c r="Q317" s="342"/>
    </row>
    <row r="318" spans="12:17">
      <c r="L318" s="123"/>
      <c r="O318" s="359"/>
      <c r="P318" s="47"/>
      <c r="Q318" s="342"/>
    </row>
    <row r="319" spans="12:17">
      <c r="L319" s="123"/>
      <c r="O319" s="359"/>
      <c r="P319" s="47"/>
      <c r="Q319" s="342"/>
    </row>
    <row r="320" spans="12:17">
      <c r="L320" s="123"/>
      <c r="O320" s="359"/>
      <c r="P320" s="47"/>
      <c r="Q320" s="342"/>
    </row>
    <row r="321" spans="12:17">
      <c r="L321" s="123"/>
      <c r="O321" s="359"/>
      <c r="P321" s="47"/>
      <c r="Q321" s="342"/>
    </row>
    <row r="322" spans="12:17">
      <c r="L322" s="123"/>
      <c r="O322" s="359"/>
      <c r="P322" s="47"/>
      <c r="Q322" s="342"/>
    </row>
    <row r="323" spans="12:17">
      <c r="L323" s="123"/>
      <c r="O323" s="359"/>
      <c r="P323" s="47"/>
      <c r="Q323" s="342"/>
    </row>
    <row r="324" spans="12:17">
      <c r="L324" s="123"/>
      <c r="O324" s="359"/>
      <c r="P324" s="47"/>
      <c r="Q324" s="342"/>
    </row>
    <row r="325" spans="12:17">
      <c r="L325" s="123"/>
      <c r="O325" s="359"/>
      <c r="P325" s="47"/>
      <c r="Q325" s="342"/>
    </row>
    <row r="326" spans="12:17">
      <c r="L326" s="123"/>
      <c r="O326" s="359"/>
      <c r="P326" s="47"/>
      <c r="Q326" s="342"/>
    </row>
    <row r="327" spans="12:17">
      <c r="L327" s="123"/>
      <c r="O327" s="359"/>
      <c r="P327" s="47"/>
      <c r="Q327" s="342"/>
    </row>
    <row r="328" spans="12:17">
      <c r="L328" s="123"/>
      <c r="O328" s="359"/>
      <c r="P328" s="47"/>
      <c r="Q328" s="342"/>
    </row>
    <row r="329" spans="12:17">
      <c r="L329" s="123"/>
      <c r="O329" s="359"/>
      <c r="P329" s="47"/>
      <c r="Q329" s="342"/>
    </row>
    <row r="330" spans="12:17">
      <c r="L330" s="123"/>
      <c r="O330" s="359"/>
      <c r="P330" s="47"/>
      <c r="Q330" s="342"/>
    </row>
    <row r="331" spans="12:17">
      <c r="L331" s="123"/>
      <c r="O331" s="359"/>
      <c r="P331" s="47"/>
      <c r="Q331" s="342"/>
    </row>
    <row r="332" spans="12:17">
      <c r="L332" s="123"/>
      <c r="O332" s="359"/>
      <c r="P332" s="47"/>
      <c r="Q332" s="342"/>
    </row>
    <row r="333" spans="12:17">
      <c r="L333" s="123"/>
      <c r="O333" s="359"/>
      <c r="P333" s="47"/>
      <c r="Q333" s="342"/>
    </row>
    <row r="334" spans="12:17">
      <c r="L334" s="123"/>
      <c r="O334" s="359"/>
      <c r="P334" s="47"/>
      <c r="Q334" s="342"/>
    </row>
    <row r="335" spans="12:17">
      <c r="L335" s="123"/>
      <c r="O335" s="359"/>
      <c r="P335" s="47"/>
      <c r="Q335" s="342"/>
    </row>
    <row r="336" spans="12:17">
      <c r="L336" s="123"/>
      <c r="O336" s="359"/>
      <c r="P336" s="47"/>
      <c r="Q336" s="342"/>
    </row>
    <row r="337" spans="12:17">
      <c r="L337" s="123"/>
      <c r="O337" s="359"/>
      <c r="P337" s="47"/>
      <c r="Q337" s="342"/>
    </row>
    <row r="338" spans="12:17">
      <c r="L338" s="123"/>
      <c r="O338" s="359"/>
      <c r="P338" s="47"/>
      <c r="Q338" s="342"/>
    </row>
    <row r="339" spans="12:17">
      <c r="L339" s="123"/>
      <c r="O339" s="359"/>
      <c r="P339" s="47"/>
      <c r="Q339" s="342"/>
    </row>
    <row r="340" spans="12:17">
      <c r="L340" s="123"/>
      <c r="O340" s="359"/>
      <c r="P340" s="47"/>
      <c r="Q340" s="342"/>
    </row>
    <row r="341" spans="12:17">
      <c r="L341" s="123"/>
      <c r="O341" s="359"/>
      <c r="P341" s="47"/>
      <c r="Q341" s="342"/>
    </row>
    <row r="342" spans="12:17">
      <c r="L342" s="123"/>
      <c r="O342" s="359"/>
      <c r="P342" s="47"/>
      <c r="Q342" s="342"/>
    </row>
    <row r="343" spans="12:17">
      <c r="L343" s="123"/>
      <c r="O343" s="359"/>
      <c r="P343" s="47"/>
      <c r="Q343" s="342"/>
    </row>
    <row r="344" spans="12:17">
      <c r="L344" s="123"/>
      <c r="O344" s="359"/>
      <c r="P344" s="47"/>
      <c r="Q344" s="342"/>
    </row>
    <row r="345" spans="12:17">
      <c r="L345" s="123"/>
      <c r="O345" s="359"/>
      <c r="P345" s="47"/>
      <c r="Q345" s="342"/>
    </row>
    <row r="346" spans="12:17">
      <c r="L346" s="123"/>
      <c r="O346" s="359"/>
      <c r="P346" s="47"/>
      <c r="Q346" s="342"/>
    </row>
    <row r="347" spans="12:17">
      <c r="L347" s="123"/>
      <c r="O347" s="359"/>
      <c r="P347" s="47"/>
      <c r="Q347" s="342"/>
    </row>
    <row r="348" spans="12:17">
      <c r="L348" s="123"/>
      <c r="O348" s="359"/>
      <c r="P348" s="47"/>
      <c r="Q348" s="342"/>
    </row>
    <row r="349" spans="12:17">
      <c r="L349" s="123"/>
      <c r="O349" s="359"/>
      <c r="P349" s="47"/>
      <c r="Q349" s="342"/>
    </row>
    <row r="350" spans="12:17">
      <c r="L350" s="27"/>
      <c r="O350" s="359"/>
      <c r="P350" s="47"/>
      <c r="Q350" s="342"/>
    </row>
    <row r="351" spans="12:17">
      <c r="L351" s="123"/>
      <c r="O351" s="359"/>
      <c r="P351" s="47"/>
      <c r="Q351" s="342"/>
    </row>
    <row r="352" spans="12:17">
      <c r="L352" s="123"/>
      <c r="O352" s="359"/>
      <c r="P352" s="47"/>
      <c r="Q352" s="342"/>
    </row>
    <row r="353" spans="12:17">
      <c r="L353" s="123"/>
      <c r="O353" s="359"/>
      <c r="P353" s="47"/>
      <c r="Q353" s="342"/>
    </row>
    <row r="354" spans="12:17">
      <c r="L354" s="123"/>
      <c r="O354" s="359"/>
      <c r="P354" s="47"/>
      <c r="Q354" s="342"/>
    </row>
    <row r="355" spans="12:17">
      <c r="L355" s="123"/>
      <c r="O355" s="359"/>
      <c r="P355" s="47"/>
      <c r="Q355" s="342"/>
    </row>
    <row r="356" spans="12:17">
      <c r="L356" s="123"/>
      <c r="O356" s="359"/>
      <c r="P356" s="47"/>
      <c r="Q356" s="342"/>
    </row>
    <row r="357" spans="12:17">
      <c r="L357" s="123"/>
      <c r="O357" s="359"/>
      <c r="P357" s="47"/>
      <c r="Q357" s="342"/>
    </row>
    <row r="358" spans="12:17">
      <c r="L358" s="123"/>
      <c r="O358" s="359"/>
      <c r="P358" s="47"/>
      <c r="Q358" s="342"/>
    </row>
    <row r="359" spans="12:17">
      <c r="L359" s="123"/>
      <c r="O359" s="359"/>
      <c r="P359" s="47"/>
      <c r="Q359" s="342"/>
    </row>
    <row r="360" spans="12:17">
      <c r="L360" s="123"/>
      <c r="O360" s="359"/>
      <c r="P360" s="47"/>
      <c r="Q360" s="342"/>
    </row>
    <row r="361" spans="12:17">
      <c r="L361" s="123"/>
      <c r="O361" s="359"/>
      <c r="P361" s="47"/>
      <c r="Q361" s="342"/>
    </row>
    <row r="362" spans="12:17">
      <c r="L362" s="123"/>
      <c r="O362" s="359"/>
      <c r="P362" s="47"/>
      <c r="Q362" s="342"/>
    </row>
    <row r="363" spans="12:17">
      <c r="L363" s="123"/>
      <c r="O363" s="359"/>
      <c r="P363" s="47"/>
      <c r="Q363" s="342"/>
    </row>
    <row r="364" spans="12:17">
      <c r="L364" s="123"/>
      <c r="O364" s="359"/>
      <c r="P364" s="47"/>
      <c r="Q364" s="342"/>
    </row>
    <row r="365" spans="12:17">
      <c r="L365" s="123"/>
      <c r="O365" s="359"/>
      <c r="P365" s="47"/>
      <c r="Q365" s="342"/>
    </row>
    <row r="366" spans="12:17">
      <c r="L366" s="123"/>
      <c r="O366" s="359"/>
      <c r="P366" s="47"/>
      <c r="Q366" s="342"/>
    </row>
    <row r="367" spans="12:17">
      <c r="L367" s="123"/>
      <c r="O367" s="359"/>
      <c r="P367" s="47"/>
      <c r="Q367" s="342"/>
    </row>
    <row r="368" spans="12:17">
      <c r="L368" s="123"/>
      <c r="O368" s="359"/>
      <c r="P368" s="47"/>
      <c r="Q368" s="342"/>
    </row>
    <row r="369" spans="12:17">
      <c r="L369" s="123"/>
      <c r="O369" s="359"/>
      <c r="P369" s="47"/>
      <c r="Q369" s="342"/>
    </row>
    <row r="370" spans="12:17">
      <c r="L370" s="123"/>
      <c r="O370" s="359"/>
      <c r="P370" s="47"/>
      <c r="Q370" s="342"/>
    </row>
    <row r="371" spans="12:17">
      <c r="L371" s="123"/>
      <c r="O371" s="359"/>
      <c r="P371" s="47"/>
      <c r="Q371" s="342"/>
    </row>
    <row r="372" spans="12:17">
      <c r="L372" s="123"/>
      <c r="O372" s="359"/>
      <c r="P372" s="47"/>
      <c r="Q372" s="342"/>
    </row>
    <row r="373" spans="12:17">
      <c r="L373" s="123"/>
      <c r="O373" s="359"/>
      <c r="P373" s="47"/>
      <c r="Q373" s="342"/>
    </row>
    <row r="374" spans="12:17">
      <c r="L374" s="123"/>
      <c r="O374" s="359"/>
      <c r="P374" s="47"/>
      <c r="Q374" s="342"/>
    </row>
    <row r="375" spans="12:17">
      <c r="L375" s="123"/>
      <c r="O375" s="359"/>
      <c r="P375" s="47"/>
      <c r="Q375" s="342"/>
    </row>
    <row r="376" spans="12:17">
      <c r="L376" s="123"/>
      <c r="O376" s="359"/>
      <c r="P376" s="47"/>
      <c r="Q376" s="342"/>
    </row>
    <row r="377" spans="12:17">
      <c r="L377" s="123"/>
      <c r="O377" s="359"/>
      <c r="P377" s="47"/>
      <c r="Q377" s="342"/>
    </row>
    <row r="378" spans="12:17">
      <c r="L378" s="123"/>
      <c r="O378" s="359"/>
      <c r="P378" s="47"/>
      <c r="Q378" s="342"/>
    </row>
    <row r="379" spans="12:17">
      <c r="L379" s="123"/>
      <c r="O379" s="359"/>
      <c r="P379" s="47"/>
      <c r="Q379" s="342"/>
    </row>
    <row r="380" spans="12:17">
      <c r="L380" s="123"/>
      <c r="O380" s="359"/>
      <c r="P380" s="47"/>
      <c r="Q380" s="342"/>
    </row>
    <row r="381" spans="12:17">
      <c r="L381" s="123"/>
    </row>
    <row r="382" spans="12:17">
      <c r="L382" s="123"/>
    </row>
    <row r="383" spans="12:17">
      <c r="L383" s="245"/>
    </row>
    <row r="384" spans="12:17">
      <c r="L384" s="245"/>
    </row>
    <row r="385" spans="12:12">
      <c r="L385" s="123"/>
    </row>
    <row r="386" spans="12:12">
      <c r="L386" s="123"/>
    </row>
    <row r="387" spans="12:12">
      <c r="L387" s="123"/>
    </row>
    <row r="388" spans="12:12">
      <c r="L388" s="123"/>
    </row>
    <row r="389" spans="12:12">
      <c r="L389" s="123"/>
    </row>
    <row r="390" spans="12:12">
      <c r="L390" s="123"/>
    </row>
    <row r="391" spans="12:12">
      <c r="L391" s="123"/>
    </row>
    <row r="392" spans="12:12">
      <c r="L392" s="123"/>
    </row>
    <row r="393" spans="12:12">
      <c r="L393" s="123"/>
    </row>
    <row r="394" spans="12:12">
      <c r="L394" s="123"/>
    </row>
    <row r="395" spans="12:12">
      <c r="L395" s="123"/>
    </row>
    <row r="396" spans="12:12">
      <c r="L396" s="123"/>
    </row>
    <row r="397" spans="12:12">
      <c r="L397" s="123"/>
    </row>
    <row r="398" spans="12:12">
      <c r="L398" s="123"/>
    </row>
    <row r="399" spans="12:12">
      <c r="L399" s="123"/>
    </row>
    <row r="400" spans="12:12">
      <c r="L400" s="123"/>
    </row>
    <row r="401" spans="12:12">
      <c r="L401" s="123"/>
    </row>
    <row r="402" spans="12:12">
      <c r="L402" s="123"/>
    </row>
    <row r="403" spans="12:12">
      <c r="L403" s="123"/>
    </row>
    <row r="404" spans="12:12">
      <c r="L404" s="123"/>
    </row>
    <row r="405" spans="12:12">
      <c r="L405" s="123"/>
    </row>
    <row r="406" spans="12:12">
      <c r="L406" s="123"/>
    </row>
    <row r="407" spans="12:12">
      <c r="L407" s="123"/>
    </row>
    <row r="408" spans="12:12">
      <c r="L408" s="123"/>
    </row>
    <row r="409" spans="12:12">
      <c r="L409" s="123"/>
    </row>
    <row r="410" spans="12:12">
      <c r="L410" s="123"/>
    </row>
    <row r="411" spans="12:12">
      <c r="L411" s="123"/>
    </row>
    <row r="412" spans="12:12">
      <c r="L412" s="123"/>
    </row>
    <row r="413" spans="12:12">
      <c r="L413" s="123"/>
    </row>
    <row r="414" spans="12:12">
      <c r="L414" s="123"/>
    </row>
    <row r="415" spans="12:12">
      <c r="L415" s="123"/>
    </row>
    <row r="416" spans="12:12">
      <c r="L416" s="123"/>
    </row>
    <row r="417" spans="12:12">
      <c r="L417" s="123"/>
    </row>
    <row r="418" spans="12:12">
      <c r="L418" s="123"/>
    </row>
    <row r="419" spans="12:12">
      <c r="L419" s="123"/>
    </row>
    <row r="420" spans="12:12">
      <c r="L420" s="123"/>
    </row>
    <row r="421" spans="12:12">
      <c r="L421" s="123"/>
    </row>
    <row r="422" spans="12:12">
      <c r="L422" s="123"/>
    </row>
    <row r="423" spans="12:12">
      <c r="L423" s="245"/>
    </row>
    <row r="424" spans="12:12">
      <c r="L424" s="123"/>
    </row>
    <row r="425" spans="12:12">
      <c r="L425" s="123"/>
    </row>
    <row r="426" spans="12:12">
      <c r="L426" s="123"/>
    </row>
    <row r="427" spans="12:12">
      <c r="L427" s="123"/>
    </row>
    <row r="428" spans="12:12">
      <c r="L428" s="123"/>
    </row>
    <row r="429" spans="12:12">
      <c r="L429" s="123"/>
    </row>
    <row r="430" spans="12:12">
      <c r="L430" s="123"/>
    </row>
    <row r="431" spans="12:12">
      <c r="L431" s="123"/>
    </row>
    <row r="432" spans="12:12">
      <c r="L432" s="123"/>
    </row>
    <row r="433" spans="12:12">
      <c r="L433" s="123"/>
    </row>
    <row r="434" spans="12:12">
      <c r="L434" s="123"/>
    </row>
    <row r="435" spans="12:12">
      <c r="L435" s="123"/>
    </row>
    <row r="436" spans="12:12">
      <c r="L436" s="123"/>
    </row>
    <row r="437" spans="12:12">
      <c r="L437" s="123"/>
    </row>
    <row r="438" spans="12:12">
      <c r="L438" s="123"/>
    </row>
    <row r="439" spans="12:12">
      <c r="L439" s="123"/>
    </row>
    <row r="440" spans="12:12">
      <c r="L440" s="123"/>
    </row>
    <row r="441" spans="12:12">
      <c r="L441" s="123"/>
    </row>
    <row r="442" spans="12:12">
      <c r="L442" s="123"/>
    </row>
    <row r="443" spans="12:12">
      <c r="L443" s="123"/>
    </row>
    <row r="444" spans="12:12">
      <c r="L444" s="123"/>
    </row>
    <row r="445" spans="12:12">
      <c r="L445" s="123"/>
    </row>
    <row r="446" spans="12:12">
      <c r="L446" s="123"/>
    </row>
    <row r="447" spans="12:12">
      <c r="L447" s="123"/>
    </row>
    <row r="448" spans="12:12">
      <c r="L448" s="123"/>
    </row>
    <row r="449" spans="12:12">
      <c r="L449" s="123"/>
    </row>
    <row r="450" spans="12:12">
      <c r="L450" s="123"/>
    </row>
    <row r="451" spans="12:12">
      <c r="L451" s="123"/>
    </row>
    <row r="452" spans="12:12">
      <c r="L452" s="123"/>
    </row>
    <row r="453" spans="12:12">
      <c r="L453" s="123"/>
    </row>
    <row r="454" spans="12:12">
      <c r="L454" s="123"/>
    </row>
    <row r="455" spans="12:12">
      <c r="L455" s="123"/>
    </row>
    <row r="456" spans="12:12">
      <c r="L456" s="123"/>
    </row>
    <row r="457" spans="12:12">
      <c r="L457" s="123"/>
    </row>
    <row r="458" spans="12:12">
      <c r="L458" s="123"/>
    </row>
    <row r="459" spans="12:12">
      <c r="L459" s="123"/>
    </row>
    <row r="460" spans="12:12">
      <c r="L460" s="123"/>
    </row>
    <row r="461" spans="12:12">
      <c r="L461" s="123"/>
    </row>
    <row r="462" spans="12:12">
      <c r="L462" s="123"/>
    </row>
    <row r="463" spans="12:12">
      <c r="L463" s="123"/>
    </row>
    <row r="464" spans="12:12">
      <c r="L464" s="123"/>
    </row>
    <row r="465" spans="12:12">
      <c r="L465" s="123"/>
    </row>
    <row r="466" spans="12:12">
      <c r="L466" s="123"/>
    </row>
    <row r="467" spans="12:12">
      <c r="L467" s="123"/>
    </row>
    <row r="468" spans="12:12">
      <c r="L468" s="123"/>
    </row>
    <row r="469" spans="12:12">
      <c r="L469" s="123"/>
    </row>
    <row r="470" spans="12:12">
      <c r="L470" s="123"/>
    </row>
    <row r="471" spans="12:12">
      <c r="L471" s="123"/>
    </row>
    <row r="472" spans="12:12">
      <c r="L472" s="123"/>
    </row>
    <row r="473" spans="12:12">
      <c r="L473" s="123"/>
    </row>
    <row r="474" spans="12:12">
      <c r="L474" s="123"/>
    </row>
    <row r="475" spans="12:12">
      <c r="L475" s="123"/>
    </row>
    <row r="476" spans="12:12">
      <c r="L476" s="123"/>
    </row>
    <row r="477" spans="12:12">
      <c r="L477" s="123"/>
    </row>
    <row r="478" spans="12:12">
      <c r="L478" s="123"/>
    </row>
    <row r="479" spans="12:12">
      <c r="L479" s="123"/>
    </row>
    <row r="480" spans="12:12">
      <c r="L480" s="123"/>
    </row>
    <row r="481" spans="12:12">
      <c r="L481" s="245"/>
    </row>
    <row r="482" spans="12:12">
      <c r="L482" s="123"/>
    </row>
    <row r="483" spans="12:12">
      <c r="L483" s="123"/>
    </row>
    <row r="484" spans="12:12">
      <c r="L484" s="123"/>
    </row>
    <row r="485" spans="12:12">
      <c r="L485" s="123"/>
    </row>
    <row r="486" spans="12:12">
      <c r="L486" s="123"/>
    </row>
    <row r="487" spans="12:12">
      <c r="L487" s="123"/>
    </row>
    <row r="488" spans="12:12">
      <c r="L488" s="123"/>
    </row>
    <row r="489" spans="12:12">
      <c r="L489" s="123"/>
    </row>
    <row r="490" spans="12:12">
      <c r="L490" s="123"/>
    </row>
    <row r="491" spans="12:12">
      <c r="L491" s="123"/>
    </row>
    <row r="492" spans="12:12">
      <c r="L492" s="123"/>
    </row>
    <row r="493" spans="12:12">
      <c r="L493" s="123"/>
    </row>
    <row r="494" spans="12:12">
      <c r="L494" s="123"/>
    </row>
    <row r="495" spans="12:12">
      <c r="L495" s="123"/>
    </row>
    <row r="496" spans="12:12">
      <c r="L496" s="123"/>
    </row>
    <row r="497" spans="12:12">
      <c r="L497" s="123"/>
    </row>
    <row r="498" spans="12:12">
      <c r="L498" s="123"/>
    </row>
    <row r="499" spans="12:12">
      <c r="L499" s="123"/>
    </row>
    <row r="500" spans="12:12">
      <c r="L500" s="123"/>
    </row>
    <row r="501" spans="12:12">
      <c r="L501" s="123"/>
    </row>
    <row r="502" spans="12:12">
      <c r="L502" s="123"/>
    </row>
    <row r="503" spans="12:12">
      <c r="L503" s="123"/>
    </row>
    <row r="504" spans="12:12">
      <c r="L504" s="123"/>
    </row>
    <row r="505" spans="12:12">
      <c r="L505" s="123"/>
    </row>
    <row r="506" spans="12:12">
      <c r="L506" s="123"/>
    </row>
    <row r="507" spans="12:12">
      <c r="L507" s="123"/>
    </row>
    <row r="508" spans="12:12">
      <c r="L508" s="123"/>
    </row>
    <row r="509" spans="12:12">
      <c r="L509" s="123"/>
    </row>
    <row r="510" spans="12:12">
      <c r="L510" s="123"/>
    </row>
    <row r="511" spans="12:12">
      <c r="L511" s="123"/>
    </row>
    <row r="512" spans="12:12">
      <c r="L512" s="123"/>
    </row>
    <row r="513" spans="12:12">
      <c r="L513" s="123"/>
    </row>
    <row r="514" spans="12:12">
      <c r="L514" s="123"/>
    </row>
    <row r="515" spans="12:12">
      <c r="L515" s="123"/>
    </row>
    <row r="516" spans="12:12">
      <c r="L516" s="123"/>
    </row>
    <row r="517" spans="12:12">
      <c r="L517" s="123"/>
    </row>
    <row r="518" spans="12:12">
      <c r="L518" s="123"/>
    </row>
    <row r="519" spans="12:12">
      <c r="L519" s="123"/>
    </row>
    <row r="520" spans="12:12">
      <c r="L520" s="123"/>
    </row>
    <row r="521" spans="12:12">
      <c r="L521" s="123"/>
    </row>
    <row r="522" spans="12:12">
      <c r="L522" s="123"/>
    </row>
    <row r="523" spans="12:12">
      <c r="L523" s="123"/>
    </row>
    <row r="524" spans="12:12">
      <c r="L524" s="123"/>
    </row>
    <row r="525" spans="12:12">
      <c r="L525" s="123"/>
    </row>
    <row r="526" spans="12:12">
      <c r="L526" s="123"/>
    </row>
    <row r="527" spans="12:12">
      <c r="L527" s="123"/>
    </row>
    <row r="528" spans="12:12">
      <c r="L528" s="123"/>
    </row>
    <row r="529" spans="12:12">
      <c r="L529" s="123"/>
    </row>
    <row r="530" spans="12:12">
      <c r="L530" s="123"/>
    </row>
    <row r="531" spans="12:12">
      <c r="L531" s="123"/>
    </row>
    <row r="532" spans="12:12">
      <c r="L532" s="123"/>
    </row>
    <row r="533" spans="12:12">
      <c r="L533" s="123"/>
    </row>
    <row r="534" spans="12:12">
      <c r="L534" s="123"/>
    </row>
    <row r="535" spans="12:12">
      <c r="L535" s="123"/>
    </row>
    <row r="536" spans="12:12">
      <c r="L536" s="123"/>
    </row>
    <row r="537" spans="12:12">
      <c r="L537" s="123"/>
    </row>
    <row r="538" spans="12:12">
      <c r="L538" s="245"/>
    </row>
    <row r="539" spans="12:12">
      <c r="L539" s="123"/>
    </row>
    <row r="540" spans="12:12">
      <c r="L540" s="123"/>
    </row>
    <row r="541" spans="12:12">
      <c r="L541" s="123"/>
    </row>
    <row r="542" spans="12:12">
      <c r="L542" s="123"/>
    </row>
    <row r="543" spans="12:12">
      <c r="L543" s="123"/>
    </row>
    <row r="544" spans="12:12">
      <c r="L544" s="123"/>
    </row>
    <row r="545" spans="12:12">
      <c r="L545" s="123"/>
    </row>
    <row r="546" spans="12:12">
      <c r="L546" s="123"/>
    </row>
    <row r="547" spans="12:12">
      <c r="L547" s="123"/>
    </row>
    <row r="548" spans="12:12">
      <c r="L548" s="123"/>
    </row>
    <row r="549" spans="12:12">
      <c r="L549" s="123"/>
    </row>
    <row r="550" spans="12:12">
      <c r="L550" s="123"/>
    </row>
    <row r="551" spans="12:12">
      <c r="L551" s="123"/>
    </row>
    <row r="552" spans="12:12">
      <c r="L552" s="123"/>
    </row>
    <row r="553" spans="12:12">
      <c r="L553" s="123"/>
    </row>
    <row r="554" spans="12:12">
      <c r="L554" s="123"/>
    </row>
    <row r="555" spans="12:12">
      <c r="L555" s="123"/>
    </row>
    <row r="556" spans="12:12">
      <c r="L556" s="123"/>
    </row>
    <row r="557" spans="12:12">
      <c r="L557" s="123"/>
    </row>
    <row r="558" spans="12:12">
      <c r="L558" s="123"/>
    </row>
    <row r="559" spans="12:12">
      <c r="L559" s="123"/>
    </row>
    <row r="560" spans="12:12">
      <c r="L560" s="123"/>
    </row>
    <row r="561" spans="12:12">
      <c r="L561" s="123"/>
    </row>
    <row r="562" spans="12:12">
      <c r="L562" s="123"/>
    </row>
    <row r="563" spans="12:12">
      <c r="L563" s="123"/>
    </row>
    <row r="564" spans="12:12">
      <c r="L564" s="123"/>
    </row>
    <row r="565" spans="12:12">
      <c r="L565" s="123"/>
    </row>
    <row r="566" spans="12:12">
      <c r="L566" s="225"/>
    </row>
    <row r="567" spans="12:12">
      <c r="L567" s="123"/>
    </row>
    <row r="568" spans="12:12">
      <c r="L568" s="123"/>
    </row>
    <row r="569" spans="12:12">
      <c r="L569" s="123"/>
    </row>
    <row r="570" spans="12:12">
      <c r="L570" s="123"/>
    </row>
    <row r="571" spans="12:12">
      <c r="L571" s="123"/>
    </row>
    <row r="572" spans="12:12">
      <c r="L572" s="123"/>
    </row>
    <row r="573" spans="12:12">
      <c r="L573" s="123"/>
    </row>
    <row r="574" spans="12:12">
      <c r="L574" s="123"/>
    </row>
    <row r="575" spans="12:12">
      <c r="L575" s="123"/>
    </row>
    <row r="576" spans="12:12">
      <c r="L576" s="123"/>
    </row>
    <row r="577" spans="12:12">
      <c r="L577" s="123"/>
    </row>
    <row r="578" spans="12:12">
      <c r="L578" s="123"/>
    </row>
    <row r="579" spans="12:12">
      <c r="L579" s="123"/>
    </row>
    <row r="580" spans="12:12">
      <c r="L580" s="245"/>
    </row>
    <row r="581" spans="12:12">
      <c r="L581" s="123"/>
    </row>
    <row r="582" spans="12:12">
      <c r="L582" s="123"/>
    </row>
    <row r="583" spans="12:12">
      <c r="L583" s="123"/>
    </row>
    <row r="584" spans="12:12">
      <c r="L584" s="123"/>
    </row>
    <row r="585" spans="12:12">
      <c r="L585" s="123"/>
    </row>
    <row r="586" spans="12:12">
      <c r="L586" s="123"/>
    </row>
    <row r="587" spans="12:12">
      <c r="L587" s="123"/>
    </row>
    <row r="588" spans="12:12">
      <c r="L588" s="123"/>
    </row>
    <row r="590" spans="12:12">
      <c r="L590" s="123"/>
    </row>
    <row r="591" spans="12:12">
      <c r="L591" s="123"/>
    </row>
    <row r="592" spans="12:12">
      <c r="L592" s="245"/>
    </row>
    <row r="593" spans="12:12">
      <c r="L593" s="123"/>
    </row>
    <row r="594" spans="12:12">
      <c r="L594" s="245"/>
    </row>
    <row r="595" spans="12:12">
      <c r="L595" s="123"/>
    </row>
    <row r="596" spans="12:12">
      <c r="L596" s="123"/>
    </row>
    <row r="597" spans="12:12">
      <c r="L597" s="123"/>
    </row>
    <row r="598" spans="12:12">
      <c r="L598" s="245"/>
    </row>
    <row r="599" spans="12:12">
      <c r="L599" s="120"/>
    </row>
    <row r="601" spans="12:12">
      <c r="L601" s="123"/>
    </row>
    <row r="602" spans="12:12">
      <c r="L602" s="245"/>
    </row>
    <row r="603" spans="12:12">
      <c r="L603" s="123"/>
    </row>
    <row r="604" spans="12:12">
      <c r="L604" s="123"/>
    </row>
    <row r="605" spans="12:12">
      <c r="L605" s="245"/>
    </row>
    <row r="606" spans="12:12">
      <c r="L606" s="123"/>
    </row>
    <row r="607" spans="12:12">
      <c r="L607" s="123"/>
    </row>
    <row r="608" spans="12:12">
      <c r="L608" s="123"/>
    </row>
    <row r="609" spans="12:12">
      <c r="L609" s="123"/>
    </row>
    <row r="610" spans="12:12">
      <c r="L610" s="123"/>
    </row>
    <row r="611" spans="12:12">
      <c r="L611" s="245"/>
    </row>
    <row r="612" spans="12:12">
      <c r="L612" s="123"/>
    </row>
    <row r="613" spans="12:12">
      <c r="L613" s="123"/>
    </row>
    <row r="614" spans="12:12">
      <c r="L614" s="123"/>
    </row>
    <row r="615" spans="12:12">
      <c r="L615" s="123"/>
    </row>
    <row r="617" spans="12:12">
      <c r="L617" s="245"/>
    </row>
    <row r="618" spans="12:12">
      <c r="L618" s="123"/>
    </row>
    <row r="619" spans="12:12">
      <c r="L619" s="123"/>
    </row>
    <row r="620" spans="12:12">
      <c r="L620" s="123"/>
    </row>
    <row r="621" spans="12:12">
      <c r="L621" s="123"/>
    </row>
    <row r="622" spans="12:12">
      <c r="L622" s="123"/>
    </row>
    <row r="623" spans="12:12">
      <c r="L623" s="123"/>
    </row>
    <row r="624" spans="12:12">
      <c r="L624" s="123"/>
    </row>
    <row r="625" spans="12:12">
      <c r="L625" s="123"/>
    </row>
    <row r="626" spans="12:12">
      <c r="L626" s="26"/>
    </row>
    <row r="627" spans="12:12">
      <c r="L627" s="123"/>
    </row>
    <row r="628" spans="12:12">
      <c r="L628" s="123"/>
    </row>
    <row r="629" spans="12:12">
      <c r="L629" s="123"/>
    </row>
    <row r="630" spans="12:12">
      <c r="L630" s="123"/>
    </row>
    <row r="631" spans="12:12">
      <c r="L631" s="123"/>
    </row>
    <row r="632" spans="12:12">
      <c r="L632" s="123"/>
    </row>
    <row r="633" spans="12:12">
      <c r="L633" s="123"/>
    </row>
    <row r="634" spans="12:12">
      <c r="L634" s="245"/>
    </row>
    <row r="635" spans="12:12">
      <c r="L635" s="123"/>
    </row>
    <row r="636" spans="12:12">
      <c r="L636" s="123"/>
    </row>
    <row r="637" spans="12:12">
      <c r="L637" s="123"/>
    </row>
    <row r="638" spans="12:12">
      <c r="L638" s="123"/>
    </row>
    <row r="639" spans="12:12">
      <c r="L639" s="123"/>
    </row>
    <row r="640" spans="12:12">
      <c r="L640" s="123"/>
    </row>
    <row r="641" spans="12:12">
      <c r="L641" s="245"/>
    </row>
    <row r="642" spans="12:12">
      <c r="L642" s="123"/>
    </row>
    <row r="643" spans="12:12">
      <c r="L643" s="123"/>
    </row>
    <row r="644" spans="12:12">
      <c r="L644" s="123"/>
    </row>
    <row r="645" spans="12:12">
      <c r="L645" s="123"/>
    </row>
    <row r="646" spans="12:12">
      <c r="L646" s="123"/>
    </row>
    <row r="647" spans="12:12">
      <c r="L647" s="123"/>
    </row>
    <row r="648" spans="12:12">
      <c r="L648" s="123"/>
    </row>
    <row r="649" spans="12:12">
      <c r="L649" s="245"/>
    </row>
    <row r="650" spans="12:12">
      <c r="L650" s="123"/>
    </row>
    <row r="651" spans="12:12">
      <c r="L651" s="123"/>
    </row>
    <row r="652" spans="12:12">
      <c r="L652" s="123"/>
    </row>
    <row r="653" spans="12:12">
      <c r="L653" s="123"/>
    </row>
    <row r="654" spans="12:12">
      <c r="L654" s="123"/>
    </row>
    <row r="655" spans="12:12">
      <c r="L655" s="123"/>
    </row>
    <row r="656" spans="12:12">
      <c r="L656" s="123"/>
    </row>
    <row r="657" spans="12:12">
      <c r="L657" s="123"/>
    </row>
    <row r="658" spans="12:12">
      <c r="L658" s="123"/>
    </row>
    <row r="659" spans="12:12">
      <c r="L659" s="120"/>
    </row>
    <row r="660" spans="12:12">
      <c r="L660" s="120"/>
    </row>
    <row r="661" spans="12:12">
      <c r="L661" s="123"/>
    </row>
    <row r="662" spans="12:12">
      <c r="L662" s="123"/>
    </row>
    <row r="663" spans="12:12">
      <c r="L663" s="123"/>
    </row>
    <row r="664" spans="12:12">
      <c r="L664" s="123"/>
    </row>
    <row r="665" spans="12:12">
      <c r="L665" s="123"/>
    </row>
    <row r="666" spans="12:12">
      <c r="L666" s="123"/>
    </row>
    <row r="667" spans="12:12">
      <c r="L667" s="123"/>
    </row>
    <row r="668" spans="12:12">
      <c r="L668" s="123"/>
    </row>
    <row r="669" spans="12:12">
      <c r="L669" s="123"/>
    </row>
    <row r="670" spans="12:12">
      <c r="L670" s="123"/>
    </row>
    <row r="671" spans="12:12">
      <c r="L671" s="123"/>
    </row>
    <row r="672" spans="12:12">
      <c r="L672" s="245"/>
    </row>
    <row r="673" spans="12:12">
      <c r="L673" s="123"/>
    </row>
    <row r="674" spans="12:12">
      <c r="L674" s="123"/>
    </row>
    <row r="675" spans="12:12">
      <c r="L675" s="245"/>
    </row>
    <row r="676" spans="12:12">
      <c r="L676" s="123"/>
    </row>
    <row r="677" spans="12:12">
      <c r="L677" s="123"/>
    </row>
    <row r="678" spans="12:12">
      <c r="L678" s="123"/>
    </row>
    <row r="679" spans="12:12">
      <c r="L679" s="43"/>
    </row>
    <row r="681" spans="12:12">
      <c r="L681" s="123"/>
    </row>
    <row r="682" spans="12:12">
      <c r="L682" s="123"/>
    </row>
    <row r="683" spans="12:12">
      <c r="L683" s="123"/>
    </row>
    <row r="684" spans="12:12">
      <c r="L684" s="123"/>
    </row>
    <row r="685" spans="12:12">
      <c r="L685" s="123"/>
    </row>
    <row r="686" spans="12:12">
      <c r="L686" s="123"/>
    </row>
    <row r="687" spans="12:12">
      <c r="L687" s="123"/>
    </row>
    <row r="688" spans="12:12">
      <c r="L688" s="123"/>
    </row>
    <row r="689" spans="12:12">
      <c r="L689" s="120"/>
    </row>
    <row r="690" spans="12:12">
      <c r="L690" s="123"/>
    </row>
    <row r="691" spans="12:12">
      <c r="L691" s="123"/>
    </row>
    <row r="692" spans="12:12">
      <c r="L692" s="123"/>
    </row>
    <row r="693" spans="12:12">
      <c r="L693" s="123"/>
    </row>
    <row r="694" spans="12:12">
      <c r="L694" s="123"/>
    </row>
    <row r="695" spans="12:12">
      <c r="L695" s="123"/>
    </row>
    <row r="696" spans="12:12">
      <c r="L696" s="123"/>
    </row>
    <row r="697" spans="12:12">
      <c r="L697" s="123"/>
    </row>
    <row r="699" spans="12:12">
      <c r="L699" s="123"/>
    </row>
    <row r="700" spans="12:12">
      <c r="L700" s="123"/>
    </row>
    <row r="701" spans="12:12">
      <c r="L701" s="123"/>
    </row>
    <row r="702" spans="12:12">
      <c r="L702" s="123"/>
    </row>
    <row r="703" spans="12:12">
      <c r="L703" s="245"/>
    </row>
    <row r="704" spans="12:12">
      <c r="L704" s="123"/>
    </row>
    <row r="705" spans="12:12">
      <c r="L705" s="123"/>
    </row>
    <row r="706" spans="12:12">
      <c r="L706" s="123"/>
    </row>
    <row r="707" spans="12:12">
      <c r="L707" s="123"/>
    </row>
    <row r="708" spans="12:12">
      <c r="L708" s="123"/>
    </row>
    <row r="709" spans="12:12">
      <c r="L709" s="123"/>
    </row>
    <row r="710" spans="12:12">
      <c r="L710" s="120"/>
    </row>
    <row r="711" spans="12:12">
      <c r="L711" s="123"/>
    </row>
    <row r="712" spans="12:12">
      <c r="L712" s="245"/>
    </row>
    <row r="713" spans="12:12">
      <c r="L713" s="123"/>
    </row>
    <row r="714" spans="12:12">
      <c r="L714" s="123"/>
    </row>
    <row r="715" spans="12:12">
      <c r="L715" s="123"/>
    </row>
    <row r="716" spans="12:12">
      <c r="L716" s="123"/>
    </row>
    <row r="717" spans="12:12">
      <c r="L717" s="123"/>
    </row>
    <row r="718" spans="12:12">
      <c r="L718" s="123"/>
    </row>
    <row r="719" spans="12:12">
      <c r="L719" s="123"/>
    </row>
    <row r="720" spans="12:12">
      <c r="L720" s="123"/>
    </row>
    <row r="721" spans="12:12">
      <c r="L721" s="123"/>
    </row>
    <row r="722" spans="12:12">
      <c r="L722" s="123"/>
    </row>
    <row r="723" spans="12:12">
      <c r="L723" s="123"/>
    </row>
    <row r="724" spans="12:12">
      <c r="L724" s="123"/>
    </row>
    <row r="725" spans="12:12">
      <c r="L725" s="123"/>
    </row>
    <row r="726" spans="12:12">
      <c r="L726" s="123"/>
    </row>
    <row r="727" spans="12:12">
      <c r="L727" s="123"/>
    </row>
    <row r="728" spans="12:12">
      <c r="L728" s="123"/>
    </row>
    <row r="729" spans="12:12">
      <c r="L729" s="123"/>
    </row>
    <row r="730" spans="12:12">
      <c r="L730" s="123"/>
    </row>
    <row r="731" spans="12:12">
      <c r="L731" s="120"/>
    </row>
    <row r="732" spans="12:12">
      <c r="L732" s="123"/>
    </row>
    <row r="733" spans="12:12">
      <c r="L733" s="123"/>
    </row>
    <row r="734" spans="12:12">
      <c r="L734" s="123"/>
    </row>
    <row r="735" spans="12:12">
      <c r="L735" s="123"/>
    </row>
    <row r="736" spans="12:12">
      <c r="L736" s="123"/>
    </row>
    <row r="737" spans="12:12">
      <c r="L737" s="27"/>
    </row>
    <row r="738" spans="12:12">
      <c r="L738" s="120"/>
    </row>
    <row r="739" spans="12:12">
      <c r="L739" s="245"/>
    </row>
    <row r="740" spans="12:12">
      <c r="L740" s="245"/>
    </row>
    <row r="741" spans="12:12">
      <c r="L741" s="123"/>
    </row>
    <row r="742" spans="12:12">
      <c r="L742" s="120"/>
    </row>
    <row r="743" spans="12:12">
      <c r="L743" s="123"/>
    </row>
    <row r="744" spans="12:12">
      <c r="L744" s="123"/>
    </row>
    <row r="745" spans="12:12">
      <c r="L745" s="123"/>
    </row>
    <row r="746" spans="12:12">
      <c r="L746" s="43"/>
    </row>
    <row r="747" spans="12:12">
      <c r="L747" s="123"/>
    </row>
    <row r="749" spans="12:12">
      <c r="L749" s="123"/>
    </row>
    <row r="750" spans="12:12">
      <c r="L750" s="120"/>
    </row>
    <row r="751" spans="12:12">
      <c r="L751" s="123"/>
    </row>
    <row r="752" spans="12:12">
      <c r="L752" s="123"/>
    </row>
    <row r="753" spans="12:28">
      <c r="L753" s="120"/>
    </row>
    <row r="754" spans="12:28">
      <c r="L754" s="123"/>
    </row>
    <row r="755" spans="12:28">
      <c r="L755" s="123"/>
    </row>
    <row r="756" spans="12:28">
      <c r="L756" s="123"/>
    </row>
    <row r="757" spans="12:28">
      <c r="L757" s="123"/>
    </row>
    <row r="758" spans="12:28">
      <c r="L758" s="123"/>
      <c r="AB758" s="379"/>
    </row>
    <row r="759" spans="12:28">
      <c r="L759" s="123"/>
    </row>
    <row r="760" spans="12:28">
      <c r="L760" s="123"/>
    </row>
    <row r="761" spans="12:28">
      <c r="L761" s="123"/>
    </row>
    <row r="762" spans="12:28">
      <c r="L762" s="123"/>
    </row>
    <row r="763" spans="12:28">
      <c r="L763" s="123"/>
    </row>
    <row r="764" spans="12:28">
      <c r="L764" s="245"/>
    </row>
    <row r="765" spans="12:28">
      <c r="L765" s="123"/>
    </row>
    <row r="766" spans="12:28">
      <c r="L766" s="123"/>
    </row>
    <row r="767" spans="12:28">
      <c r="L767" s="123"/>
    </row>
    <row r="768" spans="12:28">
      <c r="L768" s="123"/>
    </row>
    <row r="769" spans="12:14">
      <c r="L769" s="123"/>
      <c r="M769" s="234" t="s">
        <v>3322</v>
      </c>
      <c r="N769" s="234" t="s">
        <v>3322</v>
      </c>
    </row>
    <row r="770" spans="12:14">
      <c r="L770" s="123"/>
    </row>
    <row r="771" spans="12:14">
      <c r="L771" s="120"/>
    </row>
    <row r="772" spans="12:14">
      <c r="L772" s="123"/>
    </row>
    <row r="773" spans="12:14">
      <c r="L773" s="123"/>
    </row>
    <row r="774" spans="12:14">
      <c r="L774" s="123"/>
    </row>
    <row r="775" spans="12:14">
      <c r="L775" s="123"/>
    </row>
    <row r="776" spans="12:14">
      <c r="L776" s="245"/>
    </row>
    <row r="778" spans="12:14">
      <c r="L778" s="123"/>
    </row>
    <row r="779" spans="12:14">
      <c r="L779" s="123"/>
    </row>
    <row r="780" spans="12:14">
      <c r="L780" s="123"/>
    </row>
    <row r="781" spans="12:14">
      <c r="L781" s="27"/>
    </row>
    <row r="782" spans="12:14">
      <c r="L782" s="123"/>
    </row>
    <row r="783" spans="12:14">
      <c r="L783" s="245"/>
    </row>
    <row r="784" spans="12:14">
      <c r="L784" s="120"/>
    </row>
    <row r="785" spans="12:28">
      <c r="L785" s="123"/>
    </row>
    <row r="786" spans="12:28">
      <c r="L786" s="123"/>
    </row>
    <row r="787" spans="12:28">
      <c r="L787" s="123"/>
    </row>
    <row r="788" spans="12:28">
      <c r="L788" s="123"/>
      <c r="AB788" s="379"/>
    </row>
    <row r="789" spans="12:28">
      <c r="L789" s="123"/>
    </row>
    <row r="790" spans="12:28">
      <c r="L790" s="123"/>
    </row>
    <row r="791" spans="12:28">
      <c r="L791" s="123"/>
    </row>
    <row r="792" spans="12:28">
      <c r="L792" s="123"/>
    </row>
    <row r="793" spans="12:28">
      <c r="L793" s="123"/>
    </row>
    <row r="794" spans="12:28">
      <c r="L794" s="123"/>
    </row>
    <row r="795" spans="12:28">
      <c r="L795" s="123"/>
    </row>
    <row r="796" spans="12:28">
      <c r="L796" s="123"/>
    </row>
    <row r="797" spans="12:28">
      <c r="L797" s="123"/>
    </row>
    <row r="798" spans="12:28">
      <c r="L798" s="245"/>
    </row>
    <row r="800" spans="12:28">
      <c r="L800" s="123"/>
    </row>
    <row r="801" spans="12:12">
      <c r="L801" s="123"/>
    </row>
    <row r="802" spans="12:12">
      <c r="L802" s="123"/>
    </row>
    <row r="803" spans="12:12">
      <c r="L803" s="123"/>
    </row>
    <row r="804" spans="12:12">
      <c r="L804" s="123"/>
    </row>
    <row r="805" spans="12:12">
      <c r="L805" s="123"/>
    </row>
    <row r="806" spans="12:12">
      <c r="L806" s="123"/>
    </row>
    <row r="807" spans="12:12">
      <c r="L807" s="123"/>
    </row>
    <row r="808" spans="12:12">
      <c r="L808" s="123"/>
    </row>
    <row r="809" spans="12:12">
      <c r="L809" s="123"/>
    </row>
    <row r="810" spans="12:12">
      <c r="L810" s="123"/>
    </row>
    <row r="811" spans="12:12">
      <c r="L811" s="123"/>
    </row>
    <row r="812" spans="12:12">
      <c r="L812" s="123"/>
    </row>
    <row r="813" spans="12:12">
      <c r="L813" s="123"/>
    </row>
    <row r="815" spans="12:12">
      <c r="L815" s="123"/>
    </row>
    <row r="816" spans="12:12">
      <c r="L816" s="120"/>
    </row>
    <row r="817" spans="12:12">
      <c r="L817" s="123"/>
    </row>
    <row r="818" spans="12:12">
      <c r="L818" s="123"/>
    </row>
    <row r="819" spans="12:12">
      <c r="L819" s="123"/>
    </row>
    <row r="820" spans="12:12">
      <c r="L820" s="123"/>
    </row>
    <row r="821" spans="12:12">
      <c r="L821" s="123"/>
    </row>
    <row r="822" spans="12:12">
      <c r="L822" s="123"/>
    </row>
    <row r="824" spans="12:12">
      <c r="L824" s="123"/>
    </row>
    <row r="825" spans="12:12">
      <c r="L825" s="123"/>
    </row>
    <row r="826" spans="12:12">
      <c r="L826" s="123"/>
    </row>
    <row r="827" spans="12:12">
      <c r="L827" s="123"/>
    </row>
    <row r="828" spans="12:12">
      <c r="L828" s="123"/>
    </row>
    <row r="829" spans="12:12">
      <c r="L829" s="123"/>
    </row>
    <row r="830" spans="12:12">
      <c r="L830" s="123"/>
    </row>
    <row r="831" spans="12:12">
      <c r="L831" s="123"/>
    </row>
    <row r="832" spans="12:12">
      <c r="L832" s="123"/>
    </row>
    <row r="833" spans="12:12">
      <c r="L833" s="120"/>
    </row>
    <row r="834" spans="12:12">
      <c r="L834" s="123"/>
    </row>
    <row r="835" spans="12:12">
      <c r="L835" s="123"/>
    </row>
    <row r="836" spans="12:12">
      <c r="L836" s="123"/>
    </row>
    <row r="838" spans="12:12">
      <c r="L838" s="123"/>
    </row>
    <row r="839" spans="12:12">
      <c r="L839" s="123"/>
    </row>
    <row r="840" spans="12:12">
      <c r="L840" s="245"/>
    </row>
    <row r="841" spans="12:12">
      <c r="L841" s="123"/>
    </row>
    <row r="842" spans="12:12">
      <c r="L842" s="245"/>
    </row>
    <row r="843" spans="12:12">
      <c r="L843" s="123"/>
    </row>
    <row r="844" spans="12:12">
      <c r="L844" s="123"/>
    </row>
    <row r="845" spans="12:12">
      <c r="L845" s="123"/>
    </row>
    <row r="846" spans="12:12">
      <c r="L846" s="245"/>
    </row>
    <row r="847" spans="12:12">
      <c r="L847" s="245"/>
    </row>
    <row r="848" spans="12:12">
      <c r="L848" s="123"/>
    </row>
    <row r="849" spans="12:12">
      <c r="L849" s="123"/>
    </row>
    <row r="850" spans="12:12">
      <c r="L850" s="123"/>
    </row>
    <row r="851" spans="12:12">
      <c r="L851" s="123"/>
    </row>
    <row r="852" spans="12:12">
      <c r="L852" s="245"/>
    </row>
    <row r="853" spans="12:12">
      <c r="L853" s="123"/>
    </row>
    <row r="854" spans="12:12">
      <c r="L854" s="245"/>
    </row>
    <row r="855" spans="12:12">
      <c r="L855" s="123"/>
    </row>
    <row r="856" spans="12:12">
      <c r="L856" s="245"/>
    </row>
    <row r="857" spans="12:12">
      <c r="L857" s="123"/>
    </row>
    <row r="858" spans="12:12">
      <c r="L858" s="123"/>
    </row>
    <row r="859" spans="12:12">
      <c r="L859" s="123"/>
    </row>
    <row r="860" spans="12:12">
      <c r="L860" s="123"/>
    </row>
    <row r="861" spans="12:12">
      <c r="L861" s="123"/>
    </row>
    <row r="862" spans="12:12">
      <c r="L862" s="123"/>
    </row>
    <row r="863" spans="12:12">
      <c r="L863" s="123"/>
    </row>
    <row r="864" spans="12:12">
      <c r="L864" s="123"/>
    </row>
    <row r="865" spans="12:12">
      <c r="L865" s="123"/>
    </row>
    <row r="866" spans="12:12">
      <c r="L866" s="123"/>
    </row>
    <row r="867" spans="12:12">
      <c r="L867" s="123"/>
    </row>
    <row r="868" spans="12:12">
      <c r="L868" s="123"/>
    </row>
    <row r="869" spans="12:12">
      <c r="L869" s="123"/>
    </row>
    <row r="870" spans="12:12">
      <c r="L870" s="123"/>
    </row>
    <row r="871" spans="12:12">
      <c r="L871" s="123"/>
    </row>
    <row r="872" spans="12:12">
      <c r="L872" s="123"/>
    </row>
    <row r="873" spans="12:12">
      <c r="L873" s="245"/>
    </row>
    <row r="874" spans="12:12">
      <c r="L874" s="123"/>
    </row>
    <row r="875" spans="12:12">
      <c r="L875" s="123"/>
    </row>
    <row r="876" spans="12:12">
      <c r="L876" s="123"/>
    </row>
    <row r="877" spans="12:12">
      <c r="L877" s="123"/>
    </row>
    <row r="878" spans="12:12">
      <c r="L878" s="123"/>
    </row>
    <row r="879" spans="12:12">
      <c r="L879" s="123"/>
    </row>
    <row r="880" spans="12:12">
      <c r="L880" s="123"/>
    </row>
    <row r="881" spans="12:12">
      <c r="L881" s="245"/>
    </row>
    <row r="882" spans="12:12">
      <c r="L882" s="123"/>
    </row>
    <row r="883" spans="12:12">
      <c r="L883" s="123"/>
    </row>
    <row r="884" spans="12:12">
      <c r="L884" s="123"/>
    </row>
    <row r="885" spans="12:12">
      <c r="L885" s="123"/>
    </row>
    <row r="886" spans="12:12">
      <c r="L886" s="123"/>
    </row>
    <row r="887" spans="12:12">
      <c r="L887" s="123"/>
    </row>
    <row r="888" spans="12:12">
      <c r="L888" s="123"/>
    </row>
    <row r="889" spans="12:12">
      <c r="L889" s="123"/>
    </row>
    <row r="890" spans="12:12">
      <c r="L890" s="123"/>
    </row>
    <row r="891" spans="12:12">
      <c r="L891" s="123"/>
    </row>
    <row r="892" spans="12:12">
      <c r="L892" s="120"/>
    </row>
    <row r="893" spans="12:12">
      <c r="L893" s="123"/>
    </row>
    <row r="894" spans="12:12">
      <c r="L894" s="123"/>
    </row>
    <row r="895" spans="12:12">
      <c r="L895" s="245"/>
    </row>
    <row r="896" spans="12:12">
      <c r="L896" s="123"/>
    </row>
    <row r="897" spans="12:12">
      <c r="L897" s="123"/>
    </row>
    <row r="898" spans="12:12">
      <c r="L898" s="123"/>
    </row>
    <row r="899" spans="12:12">
      <c r="L899" s="123"/>
    </row>
    <row r="900" spans="12:12">
      <c r="L900" s="123"/>
    </row>
    <row r="901" spans="12:12">
      <c r="L901" s="123"/>
    </row>
    <row r="902" spans="12:12">
      <c r="L902" s="123"/>
    </row>
    <row r="903" spans="12:12">
      <c r="L903" s="245"/>
    </row>
    <row r="904" spans="12:12">
      <c r="L904" s="245"/>
    </row>
    <row r="905" spans="12:12">
      <c r="L905" s="123"/>
    </row>
    <row r="906" spans="12:12">
      <c r="L906" s="245"/>
    </row>
    <row r="907" spans="12:12">
      <c r="L907" s="123"/>
    </row>
    <row r="908" spans="12:12">
      <c r="L908" s="123"/>
    </row>
    <row r="909" spans="12:12">
      <c r="L909" s="123"/>
    </row>
    <row r="910" spans="12:12">
      <c r="L910" s="123"/>
    </row>
    <row r="911" spans="12:12">
      <c r="L911" s="123"/>
    </row>
    <row r="912" spans="12:12">
      <c r="L912" s="123"/>
    </row>
    <row r="913" spans="12:12">
      <c r="L913" s="123"/>
    </row>
    <row r="914" spans="12:12">
      <c r="L914" s="245"/>
    </row>
    <row r="915" spans="12:12">
      <c r="L915" s="123"/>
    </row>
    <row r="916" spans="12:12">
      <c r="L916" s="123"/>
    </row>
    <row r="917" spans="12:12">
      <c r="L917" s="123"/>
    </row>
    <row r="918" spans="12:12">
      <c r="L918" s="123"/>
    </row>
    <row r="919" spans="12:12">
      <c r="L919" s="123"/>
    </row>
    <row r="920" spans="12:12">
      <c r="L920" s="123"/>
    </row>
    <row r="921" spans="12:12">
      <c r="L921" s="123"/>
    </row>
    <row r="922" spans="12:12">
      <c r="L922" s="123"/>
    </row>
    <row r="923" spans="12:12">
      <c r="L923" s="123"/>
    </row>
    <row r="924" spans="12:12">
      <c r="L924" s="123"/>
    </row>
    <row r="925" spans="12:12">
      <c r="L925" s="123"/>
    </row>
    <row r="926" spans="12:12">
      <c r="L926" s="124"/>
    </row>
    <row r="927" spans="12:12">
      <c r="L927" s="123"/>
    </row>
    <row r="928" spans="12:12">
      <c r="L928" s="123"/>
    </row>
    <row r="929" spans="12:12">
      <c r="L929" s="123"/>
    </row>
    <row r="930" spans="12:12">
      <c r="L930" s="123"/>
    </row>
    <row r="931" spans="12:12">
      <c r="L931" s="123"/>
    </row>
    <row r="932" spans="12:12">
      <c r="L932" s="123"/>
    </row>
    <row r="933" spans="12:12">
      <c r="L933" s="123"/>
    </row>
    <row r="934" spans="12:12">
      <c r="L934" s="245"/>
    </row>
    <row r="935" spans="12:12">
      <c r="L935" s="123"/>
    </row>
    <row r="936" spans="12:12">
      <c r="L936" s="123"/>
    </row>
    <row r="937" spans="12:12">
      <c r="L937" s="123"/>
    </row>
    <row r="938" spans="12:12">
      <c r="L938" s="123"/>
    </row>
    <row r="939" spans="12:12">
      <c r="L939" s="123"/>
    </row>
    <row r="940" spans="12:12">
      <c r="L940" s="123"/>
    </row>
    <row r="941" spans="12:12">
      <c r="L941" s="123"/>
    </row>
    <row r="942" spans="12:12">
      <c r="L942" s="123"/>
    </row>
    <row r="943" spans="12:12">
      <c r="L943" s="123"/>
    </row>
    <row r="944" spans="12:12">
      <c r="L944" s="123"/>
    </row>
    <row r="945" spans="12:12">
      <c r="L945" s="123"/>
    </row>
    <row r="946" spans="12:12">
      <c r="L946" s="123"/>
    </row>
    <row r="947" spans="12:12">
      <c r="L947" s="123"/>
    </row>
    <row r="948" spans="12:12">
      <c r="L948" s="123"/>
    </row>
    <row r="949" spans="12:12">
      <c r="L949" s="245"/>
    </row>
    <row r="950" spans="12:12">
      <c r="L950" s="245"/>
    </row>
    <row r="951" spans="12:12">
      <c r="L951" s="123"/>
    </row>
    <row r="952" spans="12:12">
      <c r="L952" s="123"/>
    </row>
    <row r="953" spans="12:12">
      <c r="L953" s="123"/>
    </row>
    <row r="954" spans="12:12">
      <c r="L954" s="123"/>
    </row>
    <row r="955" spans="12:12">
      <c r="L955" s="123"/>
    </row>
    <row r="956" spans="12:12">
      <c r="L956" s="123"/>
    </row>
    <row r="957" spans="12:12">
      <c r="L957" s="123"/>
    </row>
    <row r="958" spans="12:12">
      <c r="L958" s="123"/>
    </row>
    <row r="959" spans="12:12">
      <c r="L959" s="123"/>
    </row>
    <row r="960" spans="12:12">
      <c r="L960" s="245"/>
    </row>
    <row r="961" spans="12:12">
      <c r="L961" s="123"/>
    </row>
    <row r="962" spans="12:12">
      <c r="L962" s="123"/>
    </row>
    <row r="963" spans="12:12">
      <c r="L963" s="123"/>
    </row>
    <row r="964" spans="12:12">
      <c r="L964" s="123"/>
    </row>
    <row r="965" spans="12:12">
      <c r="L965" s="123"/>
    </row>
    <row r="966" spans="12:12">
      <c r="L966" s="123"/>
    </row>
    <row r="967" spans="12:12">
      <c r="L967" s="120"/>
    </row>
    <row r="968" spans="12:12">
      <c r="L968" s="123"/>
    </row>
    <row r="970" spans="12:12">
      <c r="L970" s="123"/>
    </row>
    <row r="971" spans="12:12">
      <c r="L971" s="245"/>
    </row>
    <row r="972" spans="12:12">
      <c r="L972" s="123"/>
    </row>
    <row r="973" spans="12:12">
      <c r="L973" s="123"/>
    </row>
    <row r="974" spans="12:12">
      <c r="L974" s="123"/>
    </row>
    <row r="975" spans="12:12">
      <c r="L975" s="123"/>
    </row>
    <row r="976" spans="12:12">
      <c r="L976" s="123"/>
    </row>
    <row r="977" spans="12:12">
      <c r="L977" s="123"/>
    </row>
    <row r="978" spans="12:12">
      <c r="L978" s="123"/>
    </row>
    <row r="979" spans="12:12">
      <c r="L979" s="123"/>
    </row>
    <row r="980" spans="12:12">
      <c r="L980" s="123"/>
    </row>
    <row r="981" spans="12:12">
      <c r="L981" s="123"/>
    </row>
    <row r="982" spans="12:12">
      <c r="L982" s="123"/>
    </row>
    <row r="983" spans="12:12">
      <c r="L983" s="123"/>
    </row>
    <row r="984" spans="12:12">
      <c r="L984" s="123"/>
    </row>
    <row r="985" spans="12:12">
      <c r="L985" s="123"/>
    </row>
    <row r="986" spans="12:12">
      <c r="L986" s="123"/>
    </row>
    <row r="987" spans="12:12">
      <c r="L987" s="123"/>
    </row>
    <row r="988" spans="12:12">
      <c r="L988" s="123"/>
    </row>
    <row r="989" spans="12:12">
      <c r="L989" s="123"/>
    </row>
    <row r="990" spans="12:12">
      <c r="L990" s="123"/>
    </row>
    <row r="991" spans="12:12">
      <c r="L991" s="123"/>
    </row>
    <row r="992" spans="12:12">
      <c r="L992" s="123"/>
    </row>
    <row r="993" spans="12:12">
      <c r="L993" s="123"/>
    </row>
    <row r="994" spans="12:12">
      <c r="L994" s="123"/>
    </row>
    <row r="996" spans="12:12">
      <c r="L996" s="123"/>
    </row>
    <row r="997" spans="12:12">
      <c r="L997" s="123"/>
    </row>
    <row r="998" spans="12:12">
      <c r="L998" s="123"/>
    </row>
    <row r="999" spans="12:12">
      <c r="L999" s="123"/>
    </row>
    <row r="1000" spans="12:12">
      <c r="L1000" s="123"/>
    </row>
    <row r="1001" spans="12:12">
      <c r="L1001" s="123"/>
    </row>
    <row r="1002" spans="12:12">
      <c r="L1002" s="123"/>
    </row>
    <row r="1003" spans="12:12">
      <c r="L1003" s="123"/>
    </row>
    <row r="1004" spans="12:12">
      <c r="L1004" s="51"/>
    </row>
    <row r="1005" spans="12:12">
      <c r="L1005" s="123"/>
    </row>
    <row r="1006" spans="12:12">
      <c r="L1006" s="123"/>
    </row>
    <row r="1007" spans="12:12">
      <c r="L1007" s="123"/>
    </row>
    <row r="1008" spans="12:12">
      <c r="L1008" s="123"/>
    </row>
    <row r="1009" spans="12:12">
      <c r="L1009" s="123"/>
    </row>
    <row r="1010" spans="12:12">
      <c r="L1010" s="123"/>
    </row>
    <row r="1011" spans="12:12">
      <c r="L1011" s="123"/>
    </row>
    <row r="1012" spans="12:12">
      <c r="L1012" s="123"/>
    </row>
    <row r="1013" spans="12:12">
      <c r="L1013" s="123"/>
    </row>
    <row r="1014" spans="12:12">
      <c r="L1014" s="123"/>
    </row>
    <row r="1015" spans="12:12">
      <c r="L1015" s="245"/>
    </row>
    <row r="1016" spans="12:12">
      <c r="L1016" s="26"/>
    </row>
    <row r="1017" spans="12:12">
      <c r="L1017" s="245"/>
    </row>
    <row r="1018" spans="12:12">
      <c r="L1018" s="123"/>
    </row>
    <row r="1019" spans="12:12">
      <c r="L1019" s="123"/>
    </row>
    <row r="1020" spans="12:12">
      <c r="L1020" s="123"/>
    </row>
    <row r="1021" spans="12:12">
      <c r="L1021" s="123"/>
    </row>
    <row r="1022" spans="12:12">
      <c r="L1022" s="123"/>
    </row>
    <row r="1023" spans="12:12">
      <c r="L1023" s="123"/>
    </row>
    <row r="1024" spans="12:12">
      <c r="L1024" s="123"/>
    </row>
    <row r="1025" spans="12:12">
      <c r="L1025" s="123"/>
    </row>
    <row r="1026" spans="12:12">
      <c r="L1026" s="123"/>
    </row>
    <row r="1027" spans="12:12">
      <c r="L1027" s="123"/>
    </row>
    <row r="1028" spans="12:12">
      <c r="L1028" s="123"/>
    </row>
    <row r="1029" spans="12:12">
      <c r="L1029" s="123"/>
    </row>
    <row r="1030" spans="12:12">
      <c r="L1030" s="123"/>
    </row>
    <row r="1031" spans="12:12">
      <c r="L1031" s="123"/>
    </row>
    <row r="1032" spans="12:12">
      <c r="L1032" s="123"/>
    </row>
    <row r="1033" spans="12:12">
      <c r="L1033" s="123"/>
    </row>
    <row r="1034" spans="12:12">
      <c r="L1034" s="123"/>
    </row>
    <row r="1035" spans="12:12">
      <c r="L1035" s="123"/>
    </row>
    <row r="1036" spans="12:12">
      <c r="L1036" s="123"/>
    </row>
    <row r="1037" spans="12:12">
      <c r="L1037" s="123"/>
    </row>
    <row r="1038" spans="12:12">
      <c r="L1038" s="123"/>
    </row>
    <row r="1039" spans="12:12">
      <c r="L1039" s="245"/>
    </row>
    <row r="1040" spans="12:12">
      <c r="L1040" s="245"/>
    </row>
    <row r="1041" spans="12:18">
      <c r="L1041" s="27"/>
    </row>
    <row r="1042" spans="12:18">
      <c r="L1042" s="123"/>
      <c r="R1042" s="363"/>
    </row>
    <row r="1043" spans="12:18">
      <c r="L1043" s="123"/>
    </row>
    <row r="1044" spans="12:18">
      <c r="L1044" s="123"/>
    </row>
    <row r="1045" spans="12:18">
      <c r="L1045" s="123"/>
    </row>
    <row r="1046" spans="12:18">
      <c r="L1046" s="123"/>
    </row>
    <row r="1047" spans="12:18">
      <c r="L1047" s="123"/>
    </row>
    <row r="1048" spans="12:18">
      <c r="L1048" s="123"/>
    </row>
    <row r="1049" spans="12:18">
      <c r="L1049" s="123"/>
    </row>
    <row r="1050" spans="12:18">
      <c r="L1050" s="123"/>
    </row>
    <row r="1051" spans="12:18">
      <c r="L1051" s="123"/>
    </row>
    <row r="1052" spans="12:18">
      <c r="L1052" s="123"/>
      <c r="R1052" s="363"/>
    </row>
    <row r="1053" spans="12:18">
      <c r="L1053" s="123"/>
    </row>
    <row r="1054" spans="12:18">
      <c r="L1054" s="123"/>
    </row>
    <row r="1055" spans="12:18">
      <c r="L1055" s="245"/>
    </row>
    <row r="1056" spans="12:18">
      <c r="L1056" s="123"/>
      <c r="R1056" s="363"/>
    </row>
    <row r="1057" spans="12:18">
      <c r="L1057" s="123"/>
    </row>
    <row r="1058" spans="12:18">
      <c r="L1058" s="123"/>
    </row>
    <row r="1059" spans="12:18">
      <c r="L1059" s="123"/>
    </row>
    <row r="1060" spans="12:18">
      <c r="L1060" s="123"/>
    </row>
    <row r="1061" spans="12:18">
      <c r="L1061" s="123"/>
      <c r="R1061" s="363"/>
    </row>
    <row r="1062" spans="12:18">
      <c r="L1062" s="123"/>
      <c r="R1062" s="363"/>
    </row>
    <row r="1063" spans="12:18">
      <c r="L1063" s="123"/>
      <c r="R1063" s="363"/>
    </row>
    <row r="1064" spans="12:18">
      <c r="L1064" s="123"/>
    </row>
    <row r="1065" spans="12:18">
      <c r="L1065" s="123"/>
      <c r="R1065" s="363"/>
    </row>
    <row r="1066" spans="12:18">
      <c r="L1066" s="123"/>
      <c r="R1066" s="363"/>
    </row>
    <row r="1067" spans="12:18">
      <c r="L1067" s="27"/>
    </row>
    <row r="1068" spans="12:18">
      <c r="L1068" s="123"/>
      <c r="R1068" s="363"/>
    </row>
    <row r="1069" spans="12:18">
      <c r="L1069" s="123"/>
    </row>
    <row r="1070" spans="12:18">
      <c r="L1070" s="123"/>
      <c r="R1070" s="363"/>
    </row>
    <row r="1071" spans="12:18">
      <c r="L1071" s="123"/>
      <c r="R1071" s="363"/>
    </row>
    <row r="1072" spans="12:18">
      <c r="L1072" s="123"/>
      <c r="R1072" s="363"/>
    </row>
    <row r="1073" spans="12:18">
      <c r="L1073" s="123"/>
      <c r="R1073" s="363"/>
    </row>
    <row r="1074" spans="12:18">
      <c r="L1074" s="120"/>
      <c r="R1074" s="363"/>
    </row>
    <row r="1075" spans="12:18">
      <c r="L1075" s="123"/>
      <c r="R1075" s="363"/>
    </row>
    <row r="1076" spans="12:18">
      <c r="L1076" s="123"/>
      <c r="R1076" s="363"/>
    </row>
    <row r="1077" spans="12:18">
      <c r="L1077" s="123"/>
      <c r="R1077" s="363"/>
    </row>
    <row r="1078" spans="12:18">
      <c r="L1078" s="123"/>
    </row>
    <row r="1079" spans="12:18">
      <c r="L1079" s="123"/>
    </row>
    <row r="1080" spans="12:18">
      <c r="L1080" s="123"/>
    </row>
    <row r="1081" spans="12:18">
      <c r="L1081" s="123"/>
    </row>
    <row r="1082" spans="12:18">
      <c r="L1082" s="123"/>
    </row>
    <row r="1083" spans="12:18">
      <c r="L1083" s="123"/>
    </row>
    <row r="1084" spans="12:18">
      <c r="L1084" s="123"/>
    </row>
    <row r="1085" spans="12:18">
      <c r="L1085" s="123"/>
    </row>
    <row r="1086" spans="12:18">
      <c r="L1086" s="123"/>
      <c r="R1086" s="363"/>
    </row>
    <row r="1087" spans="12:18">
      <c r="L1087" s="123"/>
      <c r="R1087" s="363"/>
    </row>
    <row r="1088" spans="12:18">
      <c r="L1088" s="123"/>
      <c r="R1088" s="363"/>
    </row>
    <row r="1089" spans="12:18">
      <c r="L1089" s="123"/>
    </row>
    <row r="1090" spans="12:18">
      <c r="L1090" s="123"/>
      <c r="R1090" s="363"/>
    </row>
    <row r="1091" spans="12:18">
      <c r="L1091" s="123"/>
      <c r="R1091" s="363"/>
    </row>
    <row r="1092" spans="12:18">
      <c r="L1092" s="123"/>
      <c r="R1092" s="363"/>
    </row>
    <row r="1093" spans="12:18">
      <c r="L1093" s="123"/>
      <c r="R1093" s="363"/>
    </row>
    <row r="1094" spans="12:18">
      <c r="L1094" s="123"/>
    </row>
    <row r="1095" spans="12:18">
      <c r="L1095" s="123"/>
    </row>
    <row r="1096" spans="12:18">
      <c r="L1096" s="123"/>
    </row>
    <row r="1097" spans="12:18">
      <c r="L1097" s="123"/>
    </row>
    <row r="1098" spans="12:18">
      <c r="L1098" s="123"/>
    </row>
    <row r="1099" spans="12:18">
      <c r="L1099" s="123"/>
    </row>
    <row r="1100" spans="12:18">
      <c r="L1100" s="123"/>
    </row>
    <row r="1101" spans="12:18">
      <c r="L1101" s="123"/>
    </row>
    <row r="1102" spans="12:18">
      <c r="L1102" s="123"/>
    </row>
    <row r="1103" spans="12:18">
      <c r="L1103" s="123"/>
    </row>
    <row r="1104" spans="12:18">
      <c r="L1104" s="123"/>
    </row>
    <row r="1105" spans="12:12">
      <c r="L1105" s="123"/>
    </row>
    <row r="1106" spans="12:12">
      <c r="L1106" s="123"/>
    </row>
    <row r="1107" spans="12:12">
      <c r="L1107" s="123"/>
    </row>
    <row r="1108" spans="12:12">
      <c r="L1108" s="123"/>
    </row>
    <row r="1109" spans="12:12">
      <c r="L1109" s="123"/>
    </row>
    <row r="1110" spans="12:12">
      <c r="L1110" s="123"/>
    </row>
    <row r="1111" spans="12:12">
      <c r="L1111" s="123"/>
    </row>
    <row r="1112" spans="12:12">
      <c r="L1112" s="123"/>
    </row>
    <row r="1113" spans="12:12">
      <c r="L1113" s="123"/>
    </row>
    <row r="1114" spans="12:12">
      <c r="L1114" s="245"/>
    </row>
    <row r="1115" spans="12:12">
      <c r="L1115" s="123"/>
    </row>
    <row r="1116" spans="12:12">
      <c r="L1116" s="123"/>
    </row>
    <row r="1117" spans="12:12">
      <c r="L1117" s="123"/>
    </row>
    <row r="1118" spans="12:12">
      <c r="L1118" s="123"/>
    </row>
    <row r="1119" spans="12:12">
      <c r="L1119" s="247"/>
    </row>
    <row r="1120" spans="12:12">
      <c r="L1120" s="123"/>
    </row>
    <row r="1121" spans="12:12">
      <c r="L1121" s="123"/>
    </row>
    <row r="1122" spans="12:12">
      <c r="L1122" s="123"/>
    </row>
    <row r="1123" spans="12:12">
      <c r="L1123" s="123"/>
    </row>
    <row r="1124" spans="12:12">
      <c r="L1124" s="123"/>
    </row>
    <row r="1125" spans="12:12">
      <c r="L1125" s="123"/>
    </row>
    <row r="1126" spans="12:12">
      <c r="L1126" s="211"/>
    </row>
    <row r="1127" spans="12:12">
      <c r="L1127" s="123"/>
    </row>
    <row r="1128" spans="12:12">
      <c r="L1128" s="123"/>
    </row>
    <row r="1129" spans="12:12">
      <c r="L1129" s="123"/>
    </row>
    <row r="1130" spans="12:12">
      <c r="L1130" s="123"/>
    </row>
    <row r="1131" spans="12:12">
      <c r="L1131" s="123"/>
    </row>
    <row r="1132" spans="12:12">
      <c r="L1132" s="123"/>
    </row>
    <row r="1133" spans="12:12">
      <c r="L1133" s="123"/>
    </row>
    <row r="1134" spans="12:12">
      <c r="L1134" s="123"/>
    </row>
    <row r="1135" spans="12:12">
      <c r="L1135" s="123"/>
    </row>
    <row r="1136" spans="12:12">
      <c r="L1136" s="123"/>
    </row>
    <row r="1137" spans="12:12">
      <c r="L1137" s="245"/>
    </row>
    <row r="1138" spans="12:12">
      <c r="L1138" s="123"/>
    </row>
    <row r="1139" spans="12:12">
      <c r="L1139" s="123"/>
    </row>
    <row r="1140" spans="12:12">
      <c r="L1140" s="123"/>
    </row>
    <row r="1141" spans="12:12">
      <c r="L1141" s="123"/>
    </row>
    <row r="1142" spans="12:12">
      <c r="L1142" s="123"/>
    </row>
    <row r="1143" spans="12:12">
      <c r="L1143" s="123"/>
    </row>
    <row r="1144" spans="12:12">
      <c r="L1144" s="123"/>
    </row>
    <row r="1145" spans="12:12">
      <c r="L1145" s="123"/>
    </row>
    <row r="1146" spans="12:12">
      <c r="L1146" s="123"/>
    </row>
    <row r="1147" spans="12:12">
      <c r="L1147" s="123"/>
    </row>
    <row r="1148" spans="12:12">
      <c r="L1148" s="123"/>
    </row>
    <row r="1149" spans="12:12">
      <c r="L1149" s="245"/>
    </row>
    <row r="1150" spans="12:12">
      <c r="L1150" s="123"/>
    </row>
    <row r="1151" spans="12:12">
      <c r="L1151" s="27"/>
    </row>
    <row r="1152" spans="12:12">
      <c r="L1152" s="245"/>
    </row>
    <row r="1153" spans="12:28">
      <c r="L1153" s="123"/>
    </row>
    <row r="1154" spans="12:28">
      <c r="L1154" s="123"/>
    </row>
    <row r="1155" spans="12:28">
      <c r="L1155" s="123"/>
    </row>
    <row r="1156" spans="12:28">
      <c r="L1156" s="123"/>
    </row>
    <row r="1157" spans="12:28">
      <c r="L1157" s="245"/>
    </row>
    <row r="1158" spans="12:28">
      <c r="L1158" s="123"/>
    </row>
    <row r="1159" spans="12:28">
      <c r="L1159" s="123"/>
    </row>
    <row r="1160" spans="12:28">
      <c r="L1160" s="123"/>
    </row>
    <row r="1161" spans="12:28">
      <c r="L1161" s="123"/>
    </row>
    <row r="1162" spans="12:28">
      <c r="L1162" s="123"/>
    </row>
    <row r="1163" spans="12:28">
      <c r="L1163" s="123"/>
    </row>
    <row r="1164" spans="12:28">
      <c r="L1164" s="123"/>
    </row>
    <row r="1165" spans="12:28">
      <c r="L1165" s="123"/>
    </row>
    <row r="1166" spans="12:28">
      <c r="L1166" s="123"/>
    </row>
    <row r="1167" spans="12:28">
      <c r="L1167" s="123"/>
    </row>
    <row r="1168" spans="12:28">
      <c r="L1168" s="123"/>
      <c r="AB1168" s="379"/>
    </row>
    <row r="1169" spans="12:12">
      <c r="L1169" s="123"/>
    </row>
    <row r="1170" spans="12:12">
      <c r="L1170" s="123"/>
    </row>
    <row r="1171" spans="12:12">
      <c r="L1171" s="123"/>
    </row>
    <row r="1172" spans="12:12">
      <c r="L1172" s="123"/>
    </row>
    <row r="1173" spans="12:12">
      <c r="L1173" s="123"/>
    </row>
    <row r="1174" spans="12:12">
      <c r="L1174" s="123"/>
    </row>
    <row r="1175" spans="12:12">
      <c r="L1175" s="123"/>
    </row>
    <row r="1176" spans="12:12">
      <c r="L1176" s="123"/>
    </row>
    <row r="1177" spans="12:12">
      <c r="L1177" s="245"/>
    </row>
    <row r="1178" spans="12:12">
      <c r="L1178" s="123"/>
    </row>
    <row r="1179" spans="12:12">
      <c r="L1179" s="123"/>
    </row>
    <row r="1180" spans="12:12">
      <c r="L1180" s="123"/>
    </row>
    <row r="1181" spans="12:12">
      <c r="L1181" s="123"/>
    </row>
    <row r="1182" spans="12:12">
      <c r="L1182" s="123"/>
    </row>
    <row r="1183" spans="12:12">
      <c r="L1183" s="123"/>
    </row>
    <row r="1184" spans="12:12">
      <c r="L1184" s="123"/>
    </row>
    <row r="1185" spans="12:12">
      <c r="L1185" s="123"/>
    </row>
    <row r="1186" spans="12:12">
      <c r="L1186" s="123"/>
    </row>
    <row r="1187" spans="12:12">
      <c r="L1187" s="123"/>
    </row>
    <row r="1188" spans="12:12">
      <c r="L1188" s="123"/>
    </row>
    <row r="1189" spans="12:12">
      <c r="L1189" s="123"/>
    </row>
    <row r="1190" spans="12:12">
      <c r="L1190" s="123"/>
    </row>
    <row r="1191" spans="12:12">
      <c r="L1191" s="123"/>
    </row>
    <row r="1192" spans="12:12">
      <c r="L1192" s="123"/>
    </row>
    <row r="1193" spans="12:12">
      <c r="L1193" s="123"/>
    </row>
    <row r="1194" spans="12:12">
      <c r="L1194" s="123"/>
    </row>
    <row r="1195" spans="12:12">
      <c r="L1195" s="123"/>
    </row>
    <row r="1196" spans="12:12">
      <c r="L1196" s="123"/>
    </row>
    <row r="1197" spans="12:12">
      <c r="L1197" s="123"/>
    </row>
    <row r="1198" spans="12:12">
      <c r="L1198" s="123"/>
    </row>
    <row r="1199" spans="12:12">
      <c r="L1199" s="123"/>
    </row>
    <row r="1200" spans="12:12">
      <c r="L1200" s="123"/>
    </row>
    <row r="1201" spans="12:12">
      <c r="L1201" s="123"/>
    </row>
    <row r="1202" spans="12:12">
      <c r="L1202" s="123"/>
    </row>
    <row r="1203" spans="12:12">
      <c r="L1203" s="123"/>
    </row>
    <row r="1204" spans="12:12">
      <c r="L1204" s="123"/>
    </row>
    <row r="1205" spans="12:12">
      <c r="L1205" s="123"/>
    </row>
    <row r="1206" spans="12:12">
      <c r="L1206" s="123"/>
    </row>
    <row r="1207" spans="12:12">
      <c r="L1207" s="123"/>
    </row>
    <row r="1208" spans="12:12">
      <c r="L1208" s="123"/>
    </row>
    <row r="1209" spans="12:12">
      <c r="L1209" s="123"/>
    </row>
    <row r="1210" spans="12:12">
      <c r="L1210" s="123"/>
    </row>
    <row r="1211" spans="12:12">
      <c r="L1211" s="123"/>
    </row>
    <row r="1212" spans="12:12">
      <c r="L1212" s="123"/>
    </row>
    <row r="1213" spans="12:12">
      <c r="L1213" s="123"/>
    </row>
    <row r="1214" spans="12:12">
      <c r="L1214" s="123"/>
    </row>
    <row r="1215" spans="12:12">
      <c r="L1215" s="123"/>
    </row>
    <row r="1216" spans="12:12">
      <c r="L1216" s="245"/>
    </row>
    <row r="1217" spans="12:18">
      <c r="L1217" s="123"/>
    </row>
    <row r="1218" spans="12:18">
      <c r="L1218" s="123"/>
    </row>
    <row r="1219" spans="12:18">
      <c r="L1219" s="123"/>
      <c r="R1219" s="363"/>
    </row>
    <row r="1220" spans="12:18">
      <c r="L1220" s="123"/>
    </row>
    <row r="1221" spans="12:18">
      <c r="L1221" s="123"/>
    </row>
    <row r="1222" spans="12:18">
      <c r="L1222" s="123"/>
    </row>
    <row r="1223" spans="12:18">
      <c r="L1223" s="123"/>
    </row>
    <row r="1224" spans="12:18">
      <c r="L1224" s="123"/>
    </row>
    <row r="1225" spans="12:18">
      <c r="L1225" s="123"/>
    </row>
    <row r="1226" spans="12:18">
      <c r="L1226" s="123"/>
    </row>
    <row r="1227" spans="12:18">
      <c r="L1227" s="123"/>
    </row>
    <row r="1228" spans="12:18">
      <c r="L1228" s="123"/>
    </row>
    <row r="1229" spans="12:18">
      <c r="L1229" s="123"/>
      <c r="R1229" s="363"/>
    </row>
    <row r="1230" spans="12:18">
      <c r="L1230" s="123"/>
    </row>
    <row r="1231" spans="12:18">
      <c r="L1231" s="123"/>
    </row>
    <row r="1232" spans="12:18">
      <c r="L1232" s="123"/>
    </row>
    <row r="1233" spans="12:18">
      <c r="L1233" s="123"/>
      <c r="R1233" s="363"/>
    </row>
    <row r="1234" spans="12:18">
      <c r="L1234" s="123"/>
    </row>
    <row r="1235" spans="12:18">
      <c r="L1235" s="123"/>
    </row>
    <row r="1236" spans="12:18">
      <c r="L1236" s="123"/>
    </row>
    <row r="1237" spans="12:18">
      <c r="L1237" s="123"/>
    </row>
    <row r="1238" spans="12:18">
      <c r="L1238" s="123"/>
      <c r="R1238" s="363"/>
    </row>
    <row r="1239" spans="12:18">
      <c r="L1239" s="123"/>
      <c r="R1239" s="363"/>
    </row>
    <row r="1240" spans="12:18">
      <c r="L1240" s="123"/>
      <c r="R1240" s="363"/>
    </row>
    <row r="1241" spans="12:18">
      <c r="L1241" s="123"/>
    </row>
    <row r="1242" spans="12:18">
      <c r="L1242" s="123"/>
      <c r="R1242" s="363"/>
    </row>
    <row r="1243" spans="12:18">
      <c r="L1243" s="123"/>
      <c r="R1243" s="363"/>
    </row>
    <row r="1244" spans="12:18">
      <c r="L1244" s="123"/>
    </row>
    <row r="1245" spans="12:18">
      <c r="L1245" s="123"/>
      <c r="R1245" s="363"/>
    </row>
    <row r="1246" spans="12:18">
      <c r="L1246" s="123"/>
    </row>
    <row r="1247" spans="12:18">
      <c r="L1247" s="123"/>
      <c r="R1247" s="363"/>
    </row>
    <row r="1248" spans="12:18">
      <c r="L1248" s="123"/>
      <c r="R1248" s="363"/>
    </row>
    <row r="1249" spans="12:18">
      <c r="L1249" s="120"/>
      <c r="R1249" s="363"/>
    </row>
    <row r="1250" spans="12:18">
      <c r="L1250" s="123"/>
      <c r="R1250" s="363"/>
    </row>
    <row r="1251" spans="12:18">
      <c r="L1251" s="123"/>
      <c r="R1251" s="363"/>
    </row>
    <row r="1252" spans="12:18">
      <c r="L1252" s="123"/>
      <c r="R1252" s="363"/>
    </row>
    <row r="1253" spans="12:18">
      <c r="L1253" s="123"/>
      <c r="R1253" s="363"/>
    </row>
    <row r="1254" spans="12:18">
      <c r="L1254" s="123"/>
      <c r="R1254" s="363"/>
    </row>
    <row r="1255" spans="12:18">
      <c r="L1255" s="123"/>
      <c r="R1255" s="363"/>
    </row>
    <row r="1256" spans="12:18">
      <c r="L1256" s="123"/>
      <c r="R1256" s="363"/>
    </row>
    <row r="1257" spans="12:18">
      <c r="L1257" s="123"/>
    </row>
    <row r="1258" spans="12:18">
      <c r="L1258" s="123"/>
      <c r="R1258" s="363"/>
    </row>
    <row r="1259" spans="12:18">
      <c r="L1259" s="123"/>
      <c r="R1259" s="363"/>
    </row>
    <row r="1260" spans="12:18">
      <c r="L1260" s="123"/>
      <c r="R1260" s="363"/>
    </row>
    <row r="1261" spans="12:18">
      <c r="L1261" s="123"/>
      <c r="R1261" s="363"/>
    </row>
    <row r="1262" spans="12:18">
      <c r="L1262" s="123"/>
      <c r="R1262" s="363"/>
    </row>
    <row r="1263" spans="12:18">
      <c r="L1263" s="245"/>
      <c r="R1263" s="363"/>
    </row>
    <row r="1264" spans="12:18">
      <c r="L1264" s="123"/>
      <c r="R1264" s="363"/>
    </row>
    <row r="1265" spans="12:18">
      <c r="L1265" s="123"/>
      <c r="R1265" s="363"/>
    </row>
    <row r="1266" spans="12:18">
      <c r="L1266" s="123"/>
    </row>
    <row r="1267" spans="12:18">
      <c r="L1267" s="123"/>
      <c r="R1267" s="363"/>
    </row>
    <row r="1268" spans="12:18">
      <c r="L1268" s="123"/>
      <c r="R1268" s="363"/>
    </row>
    <row r="1269" spans="12:18">
      <c r="L1269" s="123"/>
      <c r="R1269" s="363"/>
    </row>
    <row r="1270" spans="12:18">
      <c r="L1270" s="123"/>
      <c r="R1270" s="363"/>
    </row>
    <row r="1271" spans="12:18">
      <c r="L1271" s="123"/>
      <c r="R1271" s="363"/>
    </row>
    <row r="1272" spans="12:18">
      <c r="L1272" s="123"/>
      <c r="R1272" s="363"/>
    </row>
    <row r="1273" spans="12:18">
      <c r="L1273" s="123"/>
      <c r="R1273" s="363"/>
    </row>
    <row r="1274" spans="12:18">
      <c r="L1274" s="123"/>
      <c r="R1274" s="363"/>
    </row>
    <row r="1275" spans="12:18">
      <c r="L1275" s="123"/>
      <c r="R1275" s="363"/>
    </row>
    <row r="1276" spans="12:18">
      <c r="L1276" s="123"/>
      <c r="R1276" s="363"/>
    </row>
    <row r="1277" spans="12:18">
      <c r="L1277" s="123"/>
      <c r="R1277" s="363"/>
    </row>
    <row r="1278" spans="12:18">
      <c r="L1278" s="27"/>
    </row>
    <row r="1279" spans="12:18">
      <c r="L1279" s="123"/>
      <c r="R1279" s="363"/>
    </row>
    <row r="1280" spans="12:18">
      <c r="L1280" s="123"/>
      <c r="R1280" s="363"/>
    </row>
    <row r="1281" spans="12:18">
      <c r="L1281" s="123"/>
      <c r="R1281" s="363"/>
    </row>
    <row r="1282" spans="12:18">
      <c r="L1282" s="123"/>
      <c r="R1282" s="363"/>
    </row>
    <row r="1283" spans="12:18">
      <c r="L1283" s="123"/>
      <c r="R1283" s="363"/>
    </row>
    <row r="1284" spans="12:18">
      <c r="L1284" s="123"/>
      <c r="R1284" s="363"/>
    </row>
    <row r="1285" spans="12:18">
      <c r="L1285" s="123"/>
      <c r="R1285" s="363"/>
    </row>
    <row r="1286" spans="12:18">
      <c r="L1286" s="123"/>
      <c r="R1286" s="363"/>
    </row>
    <row r="1287" spans="12:18">
      <c r="L1287" s="123"/>
    </row>
    <row r="1288" spans="12:18">
      <c r="L1288" s="123"/>
      <c r="R1288" s="363"/>
    </row>
    <row r="1289" spans="12:18">
      <c r="L1289" s="123"/>
      <c r="R1289" s="363"/>
    </row>
    <row r="1290" spans="12:18">
      <c r="L1290" s="123"/>
      <c r="R1290" s="363"/>
    </row>
    <row r="1291" spans="12:18">
      <c r="L1291" s="123"/>
      <c r="R1291" s="363"/>
    </row>
    <row r="1292" spans="12:18">
      <c r="L1292" s="245"/>
      <c r="R1292" s="363"/>
    </row>
    <row r="1293" spans="12:18">
      <c r="L1293" s="123"/>
      <c r="R1293" s="363"/>
    </row>
    <row r="1294" spans="12:18">
      <c r="L1294" s="123"/>
      <c r="R1294" s="363"/>
    </row>
    <row r="1295" spans="12:18">
      <c r="L1295" s="123"/>
      <c r="R1295" s="363"/>
    </row>
    <row r="1296" spans="12:18">
      <c r="L1296" s="123"/>
      <c r="R1296" s="363"/>
    </row>
    <row r="1297" spans="12:18">
      <c r="L1297" s="123"/>
      <c r="R1297" s="363"/>
    </row>
    <row r="1298" spans="12:18">
      <c r="L1298" s="123"/>
      <c r="R1298" s="363"/>
    </row>
    <row r="1299" spans="12:18">
      <c r="L1299" s="123"/>
      <c r="R1299" s="363"/>
    </row>
    <row r="1300" spans="12:18">
      <c r="L1300" s="123"/>
      <c r="R1300" s="363"/>
    </row>
    <row r="1301" spans="12:18">
      <c r="L1301" s="123"/>
      <c r="R1301" s="363"/>
    </row>
    <row r="1302" spans="12:18">
      <c r="L1302" s="123"/>
      <c r="R1302" s="363"/>
    </row>
    <row r="1303" spans="12:18">
      <c r="L1303" s="245"/>
      <c r="R1303" s="363"/>
    </row>
    <row r="1304" spans="12:18">
      <c r="L1304" s="123"/>
      <c r="R1304" s="363"/>
    </row>
    <row r="1305" spans="12:18">
      <c r="L1305" s="123"/>
      <c r="R1305" s="363"/>
    </row>
    <row r="1306" spans="12:18">
      <c r="L1306" s="245"/>
      <c r="R1306" s="363"/>
    </row>
    <row r="1307" spans="12:18">
      <c r="L1307" s="123"/>
      <c r="R1307" s="363"/>
    </row>
    <row r="1308" spans="12:18">
      <c r="L1308" s="123"/>
      <c r="R1308" s="363"/>
    </row>
    <row r="1309" spans="12:18">
      <c r="L1309" s="123"/>
      <c r="R1309" s="363"/>
    </row>
    <row r="1310" spans="12:18">
      <c r="L1310" s="123"/>
      <c r="R1310" s="363"/>
    </row>
    <row r="1311" spans="12:18">
      <c r="L1311" s="123"/>
      <c r="R1311" s="363"/>
    </row>
    <row r="1312" spans="12:18">
      <c r="L1312" s="123"/>
      <c r="R1312" s="363"/>
    </row>
    <row r="1313" spans="1:32">
      <c r="L1313" s="123"/>
      <c r="R1313" s="363"/>
    </row>
    <row r="1314" spans="1:32">
      <c r="L1314" s="123"/>
      <c r="R1314" s="363"/>
    </row>
    <row r="1315" spans="1:32">
      <c r="L1315" s="123"/>
      <c r="R1315" s="363"/>
    </row>
    <row r="1316" spans="1:32">
      <c r="L1316" s="123"/>
      <c r="R1316" s="363"/>
    </row>
    <row r="1317" spans="1:32" ht="26.25">
      <c r="A1317" s="246"/>
      <c r="B1317" s="245"/>
      <c r="C1317" s="245"/>
      <c r="D1317" s="245"/>
      <c r="E1317" s="245"/>
      <c r="F1317" s="187"/>
      <c r="H1317" s="245"/>
      <c r="I1317" s="245"/>
      <c r="L1317" s="123"/>
      <c r="R1317" s="363"/>
      <c r="S1317" s="321"/>
      <c r="T1317" s="85" ph="1"/>
      <c r="V1317" s="216"/>
      <c r="Y1317" s="245"/>
      <c r="Z1317" s="245"/>
      <c r="AA1317" s="329"/>
      <c r="AC1317" s="245"/>
      <c r="AD1317" s="245"/>
      <c r="AE1317" s="245"/>
      <c r="AF1317" s="7"/>
    </row>
    <row r="1318" spans="1:32">
      <c r="A1318" s="246"/>
      <c r="L1318" s="123"/>
      <c r="R1318" s="363"/>
      <c r="W1318" s="245"/>
      <c r="X1318" s="187"/>
    </row>
    <row r="1319" spans="1:32">
      <c r="L1319" s="123"/>
      <c r="R1319" s="363"/>
    </row>
    <row r="1320" spans="1:32">
      <c r="L1320" s="123"/>
      <c r="R1320" s="363"/>
    </row>
    <row r="1321" spans="1:32">
      <c r="L1321" s="123"/>
      <c r="R1321" s="363"/>
    </row>
    <row r="1322" spans="1:32">
      <c r="L1322" s="123"/>
      <c r="R1322" s="363"/>
    </row>
    <row r="1323" spans="1:32">
      <c r="L1323" s="123"/>
      <c r="R1323" s="363"/>
    </row>
    <row r="1324" spans="1:32">
      <c r="A1324" s="246"/>
      <c r="G1324" s="245"/>
      <c r="L1324" s="123"/>
      <c r="R1324" s="363"/>
    </row>
    <row r="1325" spans="1:32">
      <c r="L1325" s="123"/>
      <c r="R1325" s="363"/>
    </row>
    <row r="1326" spans="1:32">
      <c r="L1326" s="123"/>
      <c r="R1326" s="363"/>
    </row>
    <row r="1327" spans="1:32" ht="26.25">
      <c r="A1327" s="246"/>
      <c r="B1327" s="245"/>
      <c r="C1327" s="245"/>
      <c r="D1327" s="245"/>
      <c r="E1327" s="245"/>
      <c r="F1327" s="187"/>
      <c r="H1327" s="245"/>
      <c r="I1327" s="245"/>
      <c r="L1327" s="123"/>
      <c r="R1327" s="363"/>
      <c r="S1327" s="321"/>
      <c r="T1327" s="85" ph="1"/>
      <c r="V1327" s="216"/>
      <c r="Y1327" s="245"/>
      <c r="Z1327" s="245"/>
      <c r="AA1327" s="329"/>
      <c r="AC1327" s="245"/>
      <c r="AD1327" s="245"/>
      <c r="AE1327" s="245"/>
      <c r="AF1327" s="7"/>
    </row>
    <row r="1328" spans="1:32">
      <c r="A1328" s="246"/>
      <c r="L1328" s="123"/>
      <c r="R1328" s="363"/>
      <c r="W1328" s="245"/>
      <c r="X1328" s="187"/>
    </row>
    <row r="1329" spans="1:32">
      <c r="L1329" s="245"/>
      <c r="R1329" s="363"/>
    </row>
    <row r="1330" spans="1:32">
      <c r="L1330" s="123"/>
      <c r="R1330" s="363"/>
    </row>
    <row r="1331" spans="1:32" ht="26.25">
      <c r="A1331" s="246"/>
      <c r="B1331" s="245"/>
      <c r="C1331" s="245"/>
      <c r="D1331" s="245"/>
      <c r="E1331" s="245"/>
      <c r="F1331" s="187"/>
      <c r="H1331" s="245"/>
      <c r="I1331" s="245"/>
      <c r="L1331" s="123"/>
      <c r="R1331" s="363"/>
      <c r="S1331" s="321"/>
      <c r="T1331" s="85" ph="1"/>
      <c r="V1331" s="216"/>
      <c r="Y1331" s="245"/>
      <c r="Z1331" s="245"/>
      <c r="AA1331" s="329"/>
      <c r="AC1331" s="245"/>
      <c r="AD1331" s="245"/>
      <c r="AE1331" s="245"/>
      <c r="AF1331" s="7"/>
    </row>
    <row r="1332" spans="1:32">
      <c r="A1332" s="246"/>
      <c r="L1332" s="123"/>
      <c r="R1332" s="363"/>
      <c r="W1332" s="245"/>
      <c r="X1332" s="187"/>
    </row>
    <row r="1333" spans="1:32">
      <c r="L1333" s="123"/>
      <c r="R1333" s="363"/>
    </row>
    <row r="1334" spans="1:32">
      <c r="A1334" s="246"/>
      <c r="G1334" s="245"/>
      <c r="L1334" s="123"/>
      <c r="R1334" s="363"/>
    </row>
    <row r="1335" spans="1:32">
      <c r="L1335" s="123"/>
      <c r="R1335" s="363"/>
    </row>
    <row r="1336" spans="1:32" ht="26.25">
      <c r="A1336" s="246"/>
      <c r="B1336" s="245"/>
      <c r="C1336" s="245"/>
      <c r="D1336" s="245"/>
      <c r="E1336" s="245"/>
      <c r="F1336" s="187"/>
      <c r="H1336" s="245"/>
      <c r="I1336" s="245"/>
      <c r="L1336" s="123"/>
      <c r="R1336" s="363"/>
      <c r="S1336" s="321"/>
      <c r="T1336" s="85" ph="1"/>
      <c r="V1336" s="216"/>
      <c r="Y1336" s="245"/>
      <c r="Z1336" s="245"/>
      <c r="AA1336" s="329"/>
      <c r="AC1336" s="245"/>
      <c r="AD1336" s="245"/>
      <c r="AE1336" s="245"/>
      <c r="AF1336" s="7"/>
    </row>
    <row r="1337" spans="1:32" ht="26.25">
      <c r="A1337" s="246"/>
      <c r="B1337" s="245"/>
      <c r="C1337" s="245"/>
      <c r="D1337" s="245"/>
      <c r="E1337" s="245"/>
      <c r="F1337" s="187"/>
      <c r="H1337" s="245"/>
      <c r="I1337" s="245"/>
      <c r="L1337" s="123"/>
      <c r="R1337" s="363"/>
      <c r="S1337" s="321"/>
      <c r="T1337" s="85" ph="1"/>
      <c r="V1337" s="216"/>
      <c r="W1337" s="245"/>
      <c r="X1337" s="187"/>
      <c r="Y1337" s="245"/>
      <c r="Z1337" s="245"/>
      <c r="AA1337" s="329"/>
      <c r="AC1337" s="245"/>
      <c r="AD1337" s="245"/>
      <c r="AE1337" s="245"/>
      <c r="AF1337" s="7"/>
    </row>
    <row r="1338" spans="1:32" ht="26.25">
      <c r="A1338" s="246"/>
      <c r="B1338" s="245"/>
      <c r="C1338" s="245"/>
      <c r="D1338" s="245"/>
      <c r="E1338" s="245"/>
      <c r="F1338" s="187"/>
      <c r="G1338" s="245"/>
      <c r="H1338" s="245"/>
      <c r="I1338" s="245"/>
      <c r="L1338" s="123"/>
      <c r="R1338" s="363"/>
      <c r="S1338" s="321"/>
      <c r="T1338" s="85" ph="1"/>
      <c r="V1338" s="216"/>
      <c r="W1338" s="245"/>
      <c r="X1338" s="187"/>
      <c r="Y1338" s="245"/>
      <c r="Z1338" s="245"/>
      <c r="AA1338" s="329"/>
      <c r="AC1338" s="245"/>
      <c r="AD1338" s="245"/>
      <c r="AE1338" s="245"/>
      <c r="AF1338" s="7"/>
    </row>
    <row r="1339" spans="1:32">
      <c r="A1339" s="246"/>
      <c r="L1339" s="123"/>
      <c r="R1339" s="363"/>
      <c r="W1339" s="245"/>
      <c r="X1339" s="187"/>
    </row>
    <row r="1340" spans="1:32" ht="26.25">
      <c r="A1340" s="246"/>
      <c r="B1340" s="245"/>
      <c r="C1340" s="245"/>
      <c r="D1340" s="245"/>
      <c r="E1340" s="245"/>
      <c r="F1340" s="187"/>
      <c r="H1340" s="245"/>
      <c r="I1340" s="245"/>
      <c r="L1340" s="123"/>
      <c r="R1340" s="363"/>
      <c r="S1340" s="321"/>
      <c r="T1340" s="85" ph="1"/>
      <c r="V1340" s="216"/>
      <c r="Y1340" s="245"/>
      <c r="Z1340" s="245"/>
      <c r="AA1340" s="329"/>
      <c r="AC1340" s="245"/>
      <c r="AD1340" s="245"/>
      <c r="AE1340" s="245"/>
      <c r="AF1340" s="7"/>
    </row>
    <row r="1341" spans="1:32" ht="26.25">
      <c r="A1341" s="246"/>
      <c r="B1341" s="245"/>
      <c r="C1341" s="245"/>
      <c r="D1341" s="245"/>
      <c r="E1341" s="245"/>
      <c r="F1341" s="187"/>
      <c r="H1341" s="245"/>
      <c r="I1341" s="245"/>
      <c r="L1341" s="123"/>
      <c r="R1341" s="363"/>
      <c r="S1341" s="321"/>
      <c r="T1341" s="85" ph="1"/>
      <c r="V1341" s="216"/>
      <c r="W1341" s="245"/>
      <c r="X1341" s="187"/>
      <c r="Y1341" s="245"/>
      <c r="Z1341" s="245"/>
      <c r="AA1341" s="329"/>
      <c r="AC1341" s="245"/>
      <c r="AD1341" s="245"/>
      <c r="AE1341" s="245"/>
      <c r="AF1341" s="7"/>
    </row>
    <row r="1342" spans="1:32">
      <c r="A1342" s="246"/>
      <c r="L1342" s="123"/>
      <c r="R1342" s="363"/>
      <c r="W1342" s="245"/>
      <c r="X1342" s="187"/>
    </row>
    <row r="1343" spans="1:32" ht="26.25">
      <c r="A1343" s="246"/>
      <c r="B1343" s="245"/>
      <c r="C1343" s="245"/>
      <c r="D1343" s="245"/>
      <c r="E1343" s="245"/>
      <c r="F1343" s="187"/>
      <c r="G1343" s="245"/>
      <c r="H1343" s="245"/>
      <c r="I1343" s="245"/>
      <c r="L1343" s="123"/>
      <c r="R1343" s="363"/>
      <c r="S1343" s="321"/>
      <c r="T1343" s="85" ph="1"/>
      <c r="V1343" s="216"/>
      <c r="Y1343" s="245"/>
      <c r="Z1343" s="245"/>
      <c r="AA1343" s="329"/>
      <c r="AC1343" s="245"/>
      <c r="AD1343" s="245"/>
      <c r="AE1343" s="245"/>
      <c r="AF1343" s="7"/>
    </row>
    <row r="1344" spans="1:32">
      <c r="A1344" s="246"/>
      <c r="G1344" s="245"/>
      <c r="L1344" s="123"/>
      <c r="R1344" s="363"/>
      <c r="W1344" s="245"/>
      <c r="X1344" s="187"/>
    </row>
    <row r="1345" spans="1:32" ht="26.25">
      <c r="A1345" s="246"/>
      <c r="B1345" s="245"/>
      <c r="C1345" s="245"/>
      <c r="D1345" s="245"/>
      <c r="E1345" s="245"/>
      <c r="F1345" s="187"/>
      <c r="G1345" s="245"/>
      <c r="H1345" s="245"/>
      <c r="I1345" s="245"/>
      <c r="L1345" s="123"/>
      <c r="R1345" s="363"/>
      <c r="S1345" s="321"/>
      <c r="T1345" s="85" ph="1"/>
      <c r="V1345" s="216"/>
      <c r="Y1345" s="245"/>
      <c r="Z1345" s="245"/>
      <c r="AA1345" s="329"/>
      <c r="AC1345" s="245"/>
      <c r="AD1345" s="245"/>
      <c r="AE1345" s="245"/>
      <c r="AF1345" s="7"/>
    </row>
    <row r="1346" spans="1:32" ht="26.25">
      <c r="A1346" s="246"/>
      <c r="B1346" s="245"/>
      <c r="C1346" s="245"/>
      <c r="D1346" s="245"/>
      <c r="E1346" s="245"/>
      <c r="F1346" s="187"/>
      <c r="H1346" s="245"/>
      <c r="I1346" s="245"/>
      <c r="L1346" s="123"/>
      <c r="O1346" s="360"/>
      <c r="Q1346" s="351"/>
      <c r="R1346" s="363"/>
      <c r="S1346" s="321"/>
      <c r="T1346" s="85" ph="1"/>
      <c r="V1346" s="216"/>
      <c r="W1346" s="245"/>
      <c r="X1346" s="187"/>
      <c r="Y1346" s="245"/>
      <c r="Z1346" s="245"/>
      <c r="AA1346" s="329"/>
      <c r="AC1346" s="245"/>
      <c r="AD1346" s="245"/>
      <c r="AE1346" s="245"/>
      <c r="AF1346" s="7"/>
    </row>
    <row r="1347" spans="1:32" ht="26.25">
      <c r="A1347" s="246"/>
      <c r="B1347" s="245"/>
      <c r="C1347" s="245"/>
      <c r="D1347" s="245"/>
      <c r="E1347" s="245"/>
      <c r="F1347" s="187"/>
      <c r="G1347" s="245"/>
      <c r="H1347" s="245"/>
      <c r="I1347" s="245"/>
      <c r="L1347" s="123"/>
      <c r="R1347" s="363"/>
      <c r="S1347" s="321"/>
      <c r="T1347" s="85" ph="1"/>
      <c r="V1347" s="216"/>
      <c r="W1347" s="245"/>
      <c r="X1347" s="187"/>
      <c r="Y1347" s="245"/>
      <c r="Z1347" s="245"/>
      <c r="AA1347" s="329"/>
      <c r="AC1347" s="245"/>
      <c r="AD1347" s="245"/>
      <c r="AE1347" s="245"/>
      <c r="AF1347" s="7"/>
    </row>
    <row r="1348" spans="1:32" ht="26.25">
      <c r="A1348" s="246"/>
      <c r="B1348" s="245"/>
      <c r="C1348" s="245"/>
      <c r="D1348" s="245"/>
      <c r="E1348" s="245"/>
      <c r="F1348" s="187"/>
      <c r="G1348" s="245"/>
      <c r="H1348" s="245"/>
      <c r="I1348" s="245"/>
      <c r="L1348" s="123"/>
      <c r="R1348" s="363"/>
      <c r="S1348" s="321"/>
      <c r="T1348" s="85" ph="1"/>
      <c r="V1348" s="216"/>
      <c r="W1348" s="245"/>
      <c r="X1348" s="187"/>
      <c r="Y1348" s="245"/>
      <c r="Z1348" s="245"/>
      <c r="AA1348" s="329"/>
      <c r="AC1348" s="245"/>
      <c r="AD1348" s="245"/>
      <c r="AE1348" s="245"/>
      <c r="AF1348" s="7"/>
    </row>
    <row r="1349" spans="1:32" ht="26.25">
      <c r="A1349" s="246"/>
      <c r="B1349" s="245"/>
      <c r="C1349" s="245"/>
      <c r="D1349" s="245"/>
      <c r="E1349" s="245"/>
      <c r="F1349" s="187"/>
      <c r="H1349" s="245"/>
      <c r="I1349" s="245"/>
      <c r="L1349" s="123"/>
      <c r="R1349" s="363"/>
      <c r="S1349" s="321"/>
      <c r="T1349" s="85" ph="1"/>
      <c r="V1349" s="216"/>
      <c r="W1349" s="245"/>
      <c r="X1349" s="187"/>
      <c r="Y1349" s="245"/>
      <c r="Z1349" s="245"/>
      <c r="AA1349" s="329"/>
      <c r="AC1349" s="245"/>
      <c r="AD1349" s="245"/>
      <c r="AE1349" s="245"/>
      <c r="AF1349" s="7"/>
    </row>
    <row r="1350" spans="1:32" ht="26.25">
      <c r="A1350" s="246"/>
      <c r="B1350" s="245"/>
      <c r="C1350" s="245"/>
      <c r="D1350" s="245"/>
      <c r="E1350" s="245"/>
      <c r="F1350" s="187"/>
      <c r="G1350" s="245"/>
      <c r="H1350" s="245"/>
      <c r="I1350" s="245"/>
      <c r="L1350" s="123"/>
      <c r="R1350" s="363"/>
      <c r="S1350" s="321"/>
      <c r="T1350" s="85" ph="1"/>
      <c r="V1350" s="216"/>
      <c r="W1350" s="245"/>
      <c r="X1350" s="187"/>
      <c r="Y1350" s="245"/>
      <c r="Z1350" s="245"/>
      <c r="AA1350" s="329"/>
      <c r="AC1350" s="245"/>
      <c r="AD1350" s="245"/>
      <c r="AE1350" s="245"/>
      <c r="AF1350" s="7"/>
    </row>
    <row r="1351" spans="1:32" ht="26.25">
      <c r="A1351" s="246"/>
      <c r="B1351" s="245"/>
      <c r="C1351" s="245"/>
      <c r="D1351" s="245"/>
      <c r="E1351" s="245"/>
      <c r="F1351" s="187"/>
      <c r="H1351" s="245"/>
      <c r="I1351" s="245"/>
      <c r="L1351" s="123"/>
      <c r="R1351" s="363"/>
      <c r="S1351" s="321"/>
      <c r="T1351" s="85" ph="1"/>
      <c r="V1351" s="216"/>
      <c r="W1351" s="245"/>
      <c r="X1351" s="187"/>
      <c r="Y1351" s="245"/>
      <c r="Z1351" s="245"/>
      <c r="AA1351" s="329"/>
      <c r="AC1351" s="245"/>
      <c r="AD1351" s="245"/>
      <c r="AE1351" s="245"/>
      <c r="AF1351" s="7"/>
    </row>
    <row r="1352" spans="1:32" ht="26.25">
      <c r="A1352" s="246"/>
      <c r="B1352" s="245"/>
      <c r="C1352" s="245"/>
      <c r="D1352" s="245"/>
      <c r="E1352" s="245"/>
      <c r="F1352" s="187"/>
      <c r="G1352" s="245"/>
      <c r="H1352" s="245"/>
      <c r="I1352" s="245"/>
      <c r="L1352" s="123"/>
      <c r="R1352" s="363"/>
      <c r="S1352" s="321"/>
      <c r="T1352" s="85" ph="1"/>
      <c r="V1352" s="216"/>
      <c r="W1352" s="245"/>
      <c r="X1352" s="187"/>
      <c r="Y1352" s="245"/>
      <c r="Z1352" s="245"/>
      <c r="AA1352" s="329"/>
      <c r="AC1352" s="245"/>
      <c r="AD1352" s="245"/>
      <c r="AE1352" s="245"/>
      <c r="AF1352" s="7"/>
    </row>
    <row r="1353" spans="1:32" ht="26.25">
      <c r="A1353" s="246"/>
      <c r="G1353" s="245"/>
      <c r="L1353" s="123"/>
      <c r="R1353" s="363"/>
      <c r="T1353" s="85" ph="1"/>
      <c r="W1353" s="245"/>
      <c r="X1353" s="187"/>
    </row>
    <row r="1354" spans="1:32" ht="26.25">
      <c r="A1354" s="246"/>
      <c r="G1354" s="245"/>
      <c r="L1354" s="123"/>
      <c r="R1354" s="363"/>
      <c r="T1354" s="85" ph="1"/>
    </row>
    <row r="1355" spans="1:32">
      <c r="A1355" s="246"/>
      <c r="G1355" s="245"/>
      <c r="L1355" s="123"/>
      <c r="R1355" s="363"/>
    </row>
    <row r="1356" spans="1:32" ht="26.25">
      <c r="A1356" s="246"/>
      <c r="G1356" s="245"/>
      <c r="L1356" s="123"/>
      <c r="O1356" s="360"/>
      <c r="Q1356" s="351"/>
      <c r="R1356" s="363"/>
      <c r="T1356" s="85" ph="1"/>
    </row>
    <row r="1357" spans="1:32" ht="26.25">
      <c r="A1357" s="246"/>
      <c r="G1357" s="245"/>
      <c r="L1357" s="123"/>
      <c r="R1357" s="363"/>
      <c r="T1357" s="85" ph="1"/>
    </row>
    <row r="1358" spans="1:32" ht="26.25">
      <c r="A1358" s="246"/>
      <c r="G1358" s="245"/>
      <c r="L1358" s="123"/>
      <c r="R1358" s="363"/>
      <c r="T1358" s="85" ph="1"/>
    </row>
    <row r="1359" spans="1:32" ht="26.25">
      <c r="A1359" s="246"/>
      <c r="G1359" s="245"/>
      <c r="L1359" s="123"/>
      <c r="R1359" s="363"/>
      <c r="T1359" s="85" ph="1"/>
    </row>
    <row r="1360" spans="1:32" ht="26.25">
      <c r="A1360" s="246"/>
      <c r="L1360" s="123"/>
      <c r="O1360" s="360"/>
      <c r="Q1360" s="351"/>
      <c r="R1360" s="363"/>
      <c r="T1360" s="85" ph="1"/>
    </row>
    <row r="1361" spans="1:32" ht="26.25">
      <c r="A1361" s="246"/>
      <c r="B1361" s="245"/>
      <c r="C1361" s="245"/>
      <c r="D1361" s="245"/>
      <c r="E1361" s="245"/>
      <c r="F1361" s="187"/>
      <c r="G1361" s="245"/>
      <c r="H1361" s="245"/>
      <c r="I1361" s="245"/>
      <c r="L1361" s="123"/>
      <c r="R1361" s="363"/>
      <c r="S1361" s="321"/>
      <c r="T1361" s="85" ph="1"/>
      <c r="V1361" s="216"/>
      <c r="W1361" s="245"/>
      <c r="X1361" s="187"/>
      <c r="Y1361" s="245"/>
      <c r="Z1361" s="245"/>
      <c r="AA1361" s="329"/>
      <c r="AC1361" s="245"/>
      <c r="AD1361" s="245"/>
      <c r="AE1361" s="245"/>
      <c r="AF1361" s="245"/>
    </row>
    <row r="1362" spans="1:32" ht="26.25">
      <c r="A1362" s="246"/>
      <c r="B1362" s="245"/>
      <c r="C1362" s="245"/>
      <c r="D1362" s="245"/>
      <c r="E1362" s="245"/>
      <c r="F1362" s="187"/>
      <c r="G1362" s="245"/>
      <c r="H1362" s="245"/>
      <c r="I1362" s="245"/>
      <c r="L1362" s="245"/>
      <c r="R1362" s="363"/>
      <c r="S1362" s="321"/>
      <c r="T1362" s="85" ph="1"/>
      <c r="V1362" s="216"/>
      <c r="W1362" s="245"/>
      <c r="X1362" s="187"/>
      <c r="Y1362" s="245"/>
      <c r="Z1362" s="245"/>
      <c r="AA1362" s="329"/>
      <c r="AC1362" s="245"/>
      <c r="AD1362" s="245"/>
      <c r="AE1362" s="245"/>
      <c r="AF1362" s="245"/>
    </row>
    <row r="1363" spans="1:32" ht="26.25">
      <c r="A1363" s="246"/>
      <c r="B1363" s="245"/>
      <c r="C1363" s="245"/>
      <c r="D1363" s="245"/>
      <c r="E1363" s="245"/>
      <c r="F1363" s="187"/>
      <c r="G1363" s="245"/>
      <c r="H1363" s="245"/>
      <c r="I1363" s="245"/>
      <c r="L1363" s="245"/>
      <c r="R1363" s="363"/>
      <c r="S1363" s="321"/>
      <c r="T1363" s="85" ph="1"/>
      <c r="V1363" s="216"/>
      <c r="W1363" s="245"/>
      <c r="X1363" s="187"/>
      <c r="Y1363" s="245"/>
      <c r="Z1363" s="245"/>
      <c r="AA1363" s="329"/>
      <c r="AC1363" s="245"/>
      <c r="AD1363" s="245"/>
      <c r="AE1363" s="245"/>
      <c r="AF1363" s="245"/>
    </row>
    <row r="1364" spans="1:32">
      <c r="L1364" s="123"/>
      <c r="R1364" s="363"/>
    </row>
    <row r="1365" spans="1:32" ht="26.25">
      <c r="A1365" s="246"/>
      <c r="B1365" s="245"/>
      <c r="C1365" s="245"/>
      <c r="D1365" s="245"/>
      <c r="E1365" s="245"/>
      <c r="F1365" s="187"/>
      <c r="G1365" s="245"/>
      <c r="H1365" s="245"/>
      <c r="I1365" s="245"/>
      <c r="L1365" s="123"/>
      <c r="O1365" s="360"/>
      <c r="Q1365" s="351"/>
      <c r="R1365" s="363"/>
      <c r="S1365" s="321"/>
      <c r="T1365" s="85" ph="1"/>
      <c r="V1365" s="216"/>
      <c r="W1365" s="245"/>
      <c r="X1365" s="187"/>
      <c r="Y1365" s="245"/>
      <c r="Z1365" s="245"/>
      <c r="AA1365" s="329"/>
      <c r="AC1365" s="245"/>
      <c r="AD1365" s="245"/>
      <c r="AE1365" s="245"/>
      <c r="AF1365" s="245"/>
    </row>
    <row r="1366" spans="1:32" ht="26.25">
      <c r="A1366" s="246"/>
      <c r="B1366" s="245"/>
      <c r="C1366" s="245"/>
      <c r="D1366" s="245"/>
      <c r="E1366" s="245"/>
      <c r="F1366" s="187"/>
      <c r="G1366" s="245"/>
      <c r="H1366" s="245"/>
      <c r="I1366" s="245"/>
      <c r="L1366" s="123"/>
      <c r="O1366" s="360"/>
      <c r="Q1366" s="351"/>
      <c r="R1366" s="363"/>
      <c r="S1366" s="321"/>
      <c r="T1366" s="85" ph="1"/>
      <c r="V1366" s="216"/>
      <c r="W1366" s="245"/>
      <c r="X1366" s="187"/>
      <c r="Y1366" s="245"/>
      <c r="Z1366" s="245"/>
      <c r="AA1366" s="329"/>
      <c r="AC1366" s="245"/>
      <c r="AD1366" s="245"/>
      <c r="AE1366" s="245"/>
      <c r="AF1366" s="245"/>
    </row>
    <row r="1367" spans="1:32" ht="26.25">
      <c r="A1367" s="246"/>
      <c r="B1367" s="245"/>
      <c r="C1367" s="245"/>
      <c r="D1367" s="245"/>
      <c r="E1367" s="245"/>
      <c r="F1367" s="187"/>
      <c r="G1367" s="245"/>
      <c r="H1367" s="245"/>
      <c r="I1367" s="245"/>
      <c r="L1367" s="123"/>
      <c r="O1367" s="360"/>
      <c r="Q1367" s="351"/>
      <c r="R1367" s="363"/>
      <c r="S1367" s="321"/>
      <c r="T1367" s="85" ph="1"/>
      <c r="V1367" s="216"/>
      <c r="W1367" s="245"/>
      <c r="X1367" s="187"/>
      <c r="Y1367" s="245"/>
      <c r="Z1367" s="245"/>
      <c r="AA1367" s="329"/>
      <c r="AC1367" s="245"/>
      <c r="AD1367" s="245"/>
      <c r="AE1367" s="245"/>
      <c r="AF1367" s="245"/>
    </row>
    <row r="1368" spans="1:32" ht="26.25">
      <c r="A1368" s="246"/>
      <c r="B1368" s="245"/>
      <c r="C1368" s="245"/>
      <c r="D1368" s="245"/>
      <c r="E1368" s="245"/>
      <c r="F1368" s="187"/>
      <c r="G1368" s="245"/>
      <c r="H1368" s="245"/>
      <c r="I1368" s="245"/>
      <c r="L1368" s="123"/>
      <c r="R1368" s="363"/>
      <c r="S1368" s="321"/>
      <c r="T1368" s="85" ph="1"/>
      <c r="V1368" s="216"/>
      <c r="W1368" s="245"/>
      <c r="X1368" s="187"/>
      <c r="Y1368" s="245"/>
      <c r="Z1368" s="245"/>
      <c r="AA1368" s="329"/>
      <c r="AC1368" s="245"/>
      <c r="AD1368" s="245"/>
      <c r="AE1368" s="245"/>
      <c r="AF1368" s="245"/>
    </row>
    <row r="1369" spans="1:32">
      <c r="L1369" s="123"/>
      <c r="O1369" s="360"/>
      <c r="Q1369" s="351"/>
      <c r="R1369" s="363"/>
    </row>
    <row r="1370" spans="1:32">
      <c r="L1370" s="123"/>
      <c r="O1370" s="360"/>
      <c r="Q1370" s="351"/>
      <c r="R1370" s="363"/>
    </row>
    <row r="1371" spans="1:32">
      <c r="L1371" s="123"/>
      <c r="R1371" s="363"/>
    </row>
    <row r="1372" spans="1:32">
      <c r="L1372" s="245"/>
      <c r="O1372" s="360"/>
      <c r="Q1372" s="351"/>
      <c r="R1372" s="363"/>
    </row>
    <row r="1373" spans="1:32">
      <c r="L1373" s="123"/>
      <c r="R1373" s="363"/>
    </row>
    <row r="1374" spans="1:32">
      <c r="L1374" s="123"/>
      <c r="O1374" s="360"/>
      <c r="Q1374" s="351"/>
      <c r="R1374" s="363"/>
    </row>
    <row r="1375" spans="1:32">
      <c r="L1375" s="123"/>
      <c r="O1375" s="360"/>
      <c r="Q1375" s="351"/>
      <c r="R1375" s="363"/>
    </row>
    <row r="1376" spans="1:32">
      <c r="L1376" s="123"/>
      <c r="O1376" s="360"/>
      <c r="Q1376" s="351"/>
      <c r="R1376" s="363"/>
    </row>
    <row r="1377" spans="12:18">
      <c r="L1377" s="123"/>
      <c r="O1377" s="360"/>
      <c r="Q1377" s="351"/>
      <c r="R1377" s="363"/>
    </row>
    <row r="1378" spans="12:18">
      <c r="L1378" s="123"/>
      <c r="O1378" s="360"/>
      <c r="Q1378" s="351"/>
      <c r="R1378" s="363"/>
    </row>
    <row r="1379" spans="12:18">
      <c r="L1379" s="123"/>
      <c r="O1379" s="360"/>
      <c r="Q1379" s="351"/>
      <c r="R1379" s="363"/>
    </row>
    <row r="1380" spans="12:18">
      <c r="L1380" s="123"/>
      <c r="O1380" s="360"/>
      <c r="Q1380" s="351"/>
      <c r="R1380" s="363"/>
    </row>
    <row r="1381" spans="12:18">
      <c r="L1381" s="123"/>
      <c r="O1381" s="360"/>
      <c r="Q1381" s="351"/>
      <c r="R1381" s="363"/>
    </row>
    <row r="1382" spans="12:18">
      <c r="L1382" s="245"/>
      <c r="R1382" s="363"/>
    </row>
    <row r="1383" spans="12:18">
      <c r="L1383" s="123"/>
      <c r="R1383" s="363"/>
    </row>
    <row r="1384" spans="12:18">
      <c r="L1384" s="123"/>
      <c r="R1384" s="363"/>
    </row>
    <row r="1385" spans="12:18">
      <c r="L1385" s="123"/>
      <c r="R1385" s="363"/>
    </row>
    <row r="1386" spans="12:18">
      <c r="L1386" s="245"/>
      <c r="R1386" s="363"/>
    </row>
    <row r="1387" spans="12:18">
      <c r="L1387" s="123"/>
      <c r="R1387" s="363"/>
    </row>
    <row r="1388" spans="12:18">
      <c r="L1388" s="123"/>
      <c r="R1388" s="363"/>
    </row>
    <row r="1389" spans="12:18">
      <c r="L1389" s="123"/>
      <c r="R1389" s="363"/>
    </row>
    <row r="1390" spans="12:18">
      <c r="L1390" s="123"/>
      <c r="O1390" s="360"/>
      <c r="Q1390" s="351"/>
      <c r="R1390" s="363"/>
    </row>
    <row r="1391" spans="12:18">
      <c r="L1391" s="123"/>
      <c r="O1391" s="360"/>
      <c r="Q1391" s="351"/>
      <c r="R1391" s="363"/>
    </row>
    <row r="1392" spans="12:18">
      <c r="L1392" s="123"/>
      <c r="O1392" s="360"/>
      <c r="Q1392" s="351"/>
      <c r="R1392" s="363"/>
    </row>
    <row r="1393" spans="12:28">
      <c r="L1393" s="123"/>
      <c r="R1393" s="363"/>
    </row>
    <row r="1394" spans="12:28">
      <c r="L1394" s="123"/>
      <c r="O1394" s="360"/>
      <c r="Q1394" s="351"/>
      <c r="R1394" s="363"/>
    </row>
    <row r="1395" spans="12:28">
      <c r="L1395" s="123"/>
      <c r="O1395" s="360"/>
      <c r="Q1395" s="351"/>
      <c r="R1395" s="363"/>
    </row>
    <row r="1396" spans="12:28">
      <c r="L1396" s="123"/>
      <c r="O1396" s="360"/>
      <c r="Q1396" s="351"/>
      <c r="R1396" s="363"/>
    </row>
    <row r="1397" spans="12:28">
      <c r="L1397" s="123"/>
      <c r="O1397" s="360"/>
      <c r="Q1397" s="351"/>
      <c r="R1397" s="363"/>
    </row>
    <row r="1398" spans="12:28">
      <c r="L1398" s="123"/>
      <c r="R1398" s="363"/>
    </row>
    <row r="1399" spans="12:28">
      <c r="L1399" s="123"/>
      <c r="R1399" s="363"/>
    </row>
    <row r="1400" spans="12:28">
      <c r="L1400" s="123"/>
      <c r="R1400" s="363"/>
    </row>
    <row r="1401" spans="12:28">
      <c r="L1401" s="123"/>
      <c r="R1401" s="363"/>
    </row>
    <row r="1402" spans="12:28">
      <c r="L1402" s="123"/>
      <c r="R1402" s="363"/>
    </row>
    <row r="1403" spans="12:28">
      <c r="L1403" s="123"/>
      <c r="R1403" s="363"/>
    </row>
    <row r="1404" spans="12:28">
      <c r="L1404" s="123"/>
      <c r="R1404" s="363"/>
    </row>
    <row r="1405" spans="12:28">
      <c r="L1405" s="123"/>
      <c r="R1405" s="363"/>
      <c r="AB1405" s="379"/>
    </row>
    <row r="1406" spans="12:28">
      <c r="L1406" s="123"/>
      <c r="R1406" s="363"/>
    </row>
    <row r="1407" spans="12:28">
      <c r="L1407" s="123"/>
      <c r="R1407" s="363"/>
    </row>
    <row r="1408" spans="12:28">
      <c r="R1408" s="363"/>
    </row>
    <row r="1409" spans="12:18">
      <c r="L1409" s="123"/>
      <c r="R1409" s="363"/>
    </row>
    <row r="1410" spans="12:18">
      <c r="L1410" s="123"/>
      <c r="R1410" s="363"/>
    </row>
    <row r="1411" spans="12:18">
      <c r="L1411" s="123"/>
      <c r="R1411" s="363"/>
    </row>
    <row r="1412" spans="12:18">
      <c r="L1412" s="123"/>
      <c r="R1412" s="363"/>
    </row>
    <row r="1413" spans="12:18">
      <c r="L1413" s="123"/>
      <c r="R1413" s="363"/>
    </row>
    <row r="1414" spans="12:18">
      <c r="L1414" s="123"/>
      <c r="R1414" s="363"/>
    </row>
    <row r="1415" spans="12:18">
      <c r="L1415" s="123"/>
      <c r="R1415" s="363"/>
    </row>
    <row r="1416" spans="12:18">
      <c r="L1416" s="123"/>
      <c r="R1416" s="363"/>
    </row>
    <row r="1417" spans="12:18">
      <c r="L1417" s="123"/>
      <c r="R1417" s="363"/>
    </row>
    <row r="1418" spans="12:18">
      <c r="L1418" s="123"/>
      <c r="R1418" s="363"/>
    </row>
    <row r="1419" spans="12:18">
      <c r="L1419" s="123"/>
      <c r="R1419" s="363"/>
    </row>
    <row r="1420" spans="12:18">
      <c r="L1420" s="123"/>
      <c r="R1420" s="363"/>
    </row>
    <row r="1421" spans="12:18">
      <c r="L1421" s="123"/>
      <c r="R1421" s="363"/>
    </row>
    <row r="1422" spans="12:18">
      <c r="L1422" s="123"/>
      <c r="R1422" s="363"/>
    </row>
    <row r="1423" spans="12:18">
      <c r="L1423" s="123"/>
      <c r="R1423" s="363"/>
    </row>
    <row r="1424" spans="12:18">
      <c r="L1424" s="123"/>
      <c r="R1424" s="363"/>
    </row>
    <row r="1425" spans="12:18">
      <c r="L1425" s="123"/>
      <c r="R1425" s="363"/>
    </row>
    <row r="1426" spans="12:18">
      <c r="L1426" s="123"/>
      <c r="R1426" s="363"/>
    </row>
    <row r="1427" spans="12:18">
      <c r="L1427" s="123"/>
      <c r="R1427" s="363"/>
    </row>
    <row r="1428" spans="12:18">
      <c r="L1428" s="123"/>
      <c r="R1428" s="363"/>
    </row>
    <row r="1429" spans="12:18">
      <c r="L1429" s="123"/>
      <c r="R1429" s="363"/>
    </row>
    <row r="1430" spans="12:18">
      <c r="L1430" s="123"/>
      <c r="R1430" s="363"/>
    </row>
    <row r="1431" spans="12:18">
      <c r="L1431" s="123"/>
      <c r="R1431" s="363"/>
    </row>
    <row r="1432" spans="12:18">
      <c r="L1432" s="123"/>
      <c r="R1432" s="363"/>
    </row>
    <row r="1433" spans="12:18">
      <c r="L1433" s="123"/>
      <c r="R1433" s="363"/>
    </row>
    <row r="1434" spans="12:18">
      <c r="L1434" s="123"/>
      <c r="R1434" s="363"/>
    </row>
    <row r="1435" spans="12:18">
      <c r="L1435" s="123"/>
      <c r="R1435" s="363"/>
    </row>
    <row r="1436" spans="12:18">
      <c r="L1436" s="123"/>
      <c r="R1436" s="363"/>
    </row>
    <row r="1437" spans="12:18">
      <c r="L1437" s="123"/>
      <c r="R1437" s="363"/>
    </row>
    <row r="1438" spans="12:18">
      <c r="L1438" s="123"/>
      <c r="R1438" s="363"/>
    </row>
    <row r="1439" spans="12:18">
      <c r="L1439" s="123"/>
      <c r="R1439" s="363"/>
    </row>
    <row r="1440" spans="12:18">
      <c r="L1440" s="123"/>
      <c r="R1440" s="363"/>
    </row>
    <row r="1441" spans="12:18">
      <c r="L1441" s="123"/>
      <c r="R1441" s="363"/>
    </row>
    <row r="1442" spans="12:18">
      <c r="L1442" s="123"/>
      <c r="R1442" s="363"/>
    </row>
    <row r="1443" spans="12:18">
      <c r="L1443" s="123"/>
      <c r="R1443" s="363"/>
    </row>
    <row r="1444" spans="12:18">
      <c r="L1444" s="123"/>
      <c r="R1444" s="363"/>
    </row>
    <row r="1445" spans="12:18">
      <c r="L1445" s="123"/>
      <c r="R1445" s="363"/>
    </row>
    <row r="1446" spans="12:18">
      <c r="L1446" s="123"/>
      <c r="R1446" s="363"/>
    </row>
    <row r="1447" spans="12:18">
      <c r="L1447" s="123"/>
      <c r="R1447" s="363"/>
    </row>
    <row r="1448" spans="12:18">
      <c r="L1448" s="123"/>
      <c r="R1448" s="363"/>
    </row>
    <row r="1449" spans="12:18">
      <c r="L1449" s="123"/>
      <c r="R1449" s="363"/>
    </row>
    <row r="1450" spans="12:18">
      <c r="L1450" s="123"/>
      <c r="R1450" s="363"/>
    </row>
    <row r="1451" spans="12:18">
      <c r="L1451" s="123"/>
      <c r="R1451" s="363"/>
    </row>
    <row r="1452" spans="12:18">
      <c r="L1452" s="123"/>
      <c r="R1452" s="363"/>
    </row>
    <row r="1453" spans="12:18">
      <c r="L1453" s="245"/>
      <c r="R1453" s="363"/>
    </row>
    <row r="1454" spans="12:18">
      <c r="L1454" s="123"/>
      <c r="R1454" s="363"/>
    </row>
    <row r="1455" spans="12:18">
      <c r="L1455" s="123"/>
      <c r="R1455" s="363"/>
    </row>
    <row r="1456" spans="12:18">
      <c r="L1456" s="123"/>
      <c r="R1456" s="363"/>
    </row>
    <row r="1457" spans="12:18">
      <c r="L1457" s="123"/>
      <c r="R1457" s="363"/>
    </row>
    <row r="1458" spans="12:18">
      <c r="L1458" s="123"/>
      <c r="R1458" s="363"/>
    </row>
    <row r="1459" spans="12:18">
      <c r="L1459" s="123"/>
      <c r="R1459" s="363"/>
    </row>
    <row r="1460" spans="12:18">
      <c r="L1460" s="123"/>
      <c r="R1460" s="363"/>
    </row>
    <row r="1461" spans="12:18">
      <c r="L1461" s="123"/>
      <c r="R1461" s="363"/>
    </row>
    <row r="1462" spans="12:18">
      <c r="L1462" s="123"/>
      <c r="R1462" s="363"/>
    </row>
    <row r="1463" spans="12:18">
      <c r="L1463" s="123"/>
      <c r="R1463" s="363"/>
    </row>
    <row r="1464" spans="12:18">
      <c r="L1464" s="123"/>
      <c r="R1464" s="363"/>
    </row>
    <row r="1465" spans="12:18">
      <c r="L1465" s="123"/>
      <c r="R1465" s="363"/>
    </row>
    <row r="1466" spans="12:18">
      <c r="L1466" s="123"/>
      <c r="R1466" s="363"/>
    </row>
    <row r="1467" spans="12:18">
      <c r="L1467" s="123"/>
      <c r="R1467" s="363"/>
    </row>
    <row r="1468" spans="12:18">
      <c r="L1468" s="123"/>
      <c r="R1468" s="363"/>
    </row>
    <row r="1469" spans="12:18">
      <c r="L1469" s="123"/>
      <c r="R1469" s="363"/>
    </row>
    <row r="1470" spans="12:18">
      <c r="L1470" s="123"/>
      <c r="R1470" s="363"/>
    </row>
    <row r="1471" spans="12:18">
      <c r="L1471" s="123"/>
      <c r="R1471" s="363"/>
    </row>
    <row r="1472" spans="12:18">
      <c r="L1472" s="123"/>
      <c r="R1472" s="363"/>
    </row>
    <row r="1473" spans="12:18">
      <c r="L1473" s="123"/>
      <c r="R1473" s="363"/>
    </row>
    <row r="1474" spans="12:18">
      <c r="L1474" s="123"/>
      <c r="R1474" s="363"/>
    </row>
    <row r="1475" spans="12:18">
      <c r="L1475" s="123"/>
      <c r="R1475" s="363"/>
    </row>
    <row r="1476" spans="12:18">
      <c r="L1476" s="123"/>
      <c r="R1476" s="363"/>
    </row>
    <row r="1477" spans="12:18">
      <c r="L1477" s="123"/>
      <c r="R1477" s="363"/>
    </row>
    <row r="1478" spans="12:18">
      <c r="L1478" s="123"/>
      <c r="R1478" s="363"/>
    </row>
    <row r="1479" spans="12:18">
      <c r="L1479" s="123"/>
      <c r="R1479" s="363"/>
    </row>
    <row r="1480" spans="12:18">
      <c r="L1480" s="123"/>
      <c r="R1480" s="363"/>
    </row>
    <row r="1481" spans="12:18">
      <c r="L1481" s="123"/>
      <c r="R1481" s="363"/>
    </row>
    <row r="1482" spans="12:18">
      <c r="L1482" s="123"/>
      <c r="R1482" s="363"/>
    </row>
    <row r="1483" spans="12:18">
      <c r="L1483" s="123"/>
      <c r="R1483" s="363"/>
    </row>
    <row r="1484" spans="12:18">
      <c r="L1484" s="123"/>
      <c r="R1484" s="363"/>
    </row>
    <row r="1485" spans="12:18">
      <c r="L1485" s="123"/>
      <c r="R1485" s="363"/>
    </row>
    <row r="1486" spans="12:18">
      <c r="L1486" s="123"/>
      <c r="R1486" s="363"/>
    </row>
    <row r="1487" spans="12:18">
      <c r="L1487" s="123"/>
      <c r="R1487" s="363"/>
    </row>
    <row r="1488" spans="12:18">
      <c r="L1488" s="123"/>
      <c r="R1488" s="363"/>
    </row>
    <row r="1489" spans="1:32">
      <c r="L1489" s="123"/>
      <c r="R1489" s="363"/>
    </row>
    <row r="1490" spans="1:32">
      <c r="L1490" s="123"/>
      <c r="R1490" s="363"/>
    </row>
    <row r="1491" spans="1:32">
      <c r="L1491" s="123"/>
      <c r="R1491" s="363"/>
    </row>
    <row r="1492" spans="1:32">
      <c r="L1492" s="123"/>
      <c r="R1492" s="363"/>
    </row>
    <row r="1493" spans="1:32">
      <c r="L1493" s="123"/>
      <c r="R1493" s="363"/>
    </row>
    <row r="1494" spans="1:32" ht="26.25">
      <c r="A1494" s="246"/>
      <c r="B1494" s="245"/>
      <c r="C1494" s="245"/>
      <c r="D1494" s="245"/>
      <c r="E1494" s="245"/>
      <c r="F1494" s="187"/>
      <c r="G1494" s="245"/>
      <c r="H1494" s="245"/>
      <c r="I1494" s="245"/>
      <c r="L1494" s="123"/>
      <c r="R1494" s="363"/>
      <c r="S1494" s="321"/>
      <c r="T1494" s="85" ph="1"/>
      <c r="V1494" s="216"/>
      <c r="W1494" s="245"/>
      <c r="X1494" s="187"/>
      <c r="Y1494" s="245"/>
      <c r="Z1494" s="245"/>
      <c r="AA1494" s="329"/>
      <c r="AC1494" s="245"/>
      <c r="AD1494" s="245"/>
      <c r="AE1494" s="245"/>
      <c r="AF1494" s="245"/>
    </row>
    <row r="1495" spans="1:32">
      <c r="L1495" s="123"/>
      <c r="R1495" s="363"/>
    </row>
    <row r="1496" spans="1:32">
      <c r="L1496" s="245"/>
      <c r="R1496" s="363"/>
    </row>
    <row r="1497" spans="1:32">
      <c r="L1497" s="245"/>
      <c r="R1497" s="363"/>
    </row>
    <row r="1498" spans="1:32">
      <c r="L1498" s="123"/>
      <c r="R1498" s="363"/>
    </row>
    <row r="1499" spans="1:32">
      <c r="L1499" s="123"/>
      <c r="R1499" s="363"/>
    </row>
    <row r="1500" spans="1:32">
      <c r="L1500" s="123"/>
      <c r="R1500" s="363"/>
    </row>
    <row r="1501" spans="1:32">
      <c r="L1501" s="123"/>
      <c r="R1501" s="363"/>
    </row>
    <row r="1502" spans="1:32">
      <c r="L1502" s="123"/>
      <c r="R1502" s="363"/>
    </row>
    <row r="1503" spans="1:32">
      <c r="L1503" s="123"/>
      <c r="R1503" s="363"/>
    </row>
    <row r="1504" spans="1:32" ht="26.25">
      <c r="A1504" s="246"/>
      <c r="B1504" s="245"/>
      <c r="C1504" s="245"/>
      <c r="D1504" s="245"/>
      <c r="E1504" s="245"/>
      <c r="F1504" s="187"/>
      <c r="G1504" s="245"/>
      <c r="H1504" s="245"/>
      <c r="I1504" s="245"/>
      <c r="L1504" s="123"/>
      <c r="R1504" s="363"/>
      <c r="S1504" s="321"/>
      <c r="T1504" s="85" ph="1"/>
      <c r="V1504" s="216"/>
      <c r="W1504" s="245"/>
      <c r="X1504" s="187"/>
      <c r="Y1504" s="245"/>
      <c r="Z1504" s="245"/>
      <c r="AA1504" s="329"/>
      <c r="AC1504" s="245"/>
      <c r="AD1504" s="245"/>
      <c r="AE1504" s="245"/>
      <c r="AF1504" s="245"/>
    </row>
    <row r="1505" spans="1:32">
      <c r="L1505" s="123"/>
      <c r="R1505" s="363"/>
    </row>
    <row r="1506" spans="1:32">
      <c r="L1506" s="123"/>
      <c r="R1506" s="363"/>
    </row>
    <row r="1507" spans="1:32">
      <c r="L1507" s="123"/>
      <c r="R1507" s="363"/>
    </row>
    <row r="1508" spans="1:32" ht="26.25">
      <c r="A1508" s="246"/>
      <c r="B1508" s="245"/>
      <c r="C1508" s="245"/>
      <c r="D1508" s="245"/>
      <c r="E1508" s="245"/>
      <c r="F1508" s="187"/>
      <c r="G1508" s="245"/>
      <c r="H1508" s="245"/>
      <c r="I1508" s="245"/>
      <c r="L1508" s="123"/>
      <c r="R1508" s="363"/>
      <c r="S1508" s="321"/>
      <c r="T1508" s="85" ph="1"/>
      <c r="V1508" s="216"/>
      <c r="W1508" s="245"/>
      <c r="X1508" s="187"/>
      <c r="Y1508" s="245"/>
      <c r="Z1508" s="245"/>
      <c r="AA1508" s="329"/>
      <c r="AC1508" s="245"/>
      <c r="AD1508" s="245"/>
      <c r="AE1508" s="245"/>
      <c r="AF1508" s="245"/>
    </row>
    <row r="1509" spans="1:32">
      <c r="L1509" s="123"/>
      <c r="R1509" s="363"/>
    </row>
    <row r="1510" spans="1:32">
      <c r="L1510" s="245"/>
      <c r="R1510" s="363"/>
    </row>
    <row r="1511" spans="1:32">
      <c r="L1511" s="123"/>
      <c r="R1511" s="363"/>
    </row>
    <row r="1512" spans="1:32">
      <c r="L1512" s="123"/>
      <c r="R1512" s="363"/>
    </row>
    <row r="1513" spans="1:32" ht="26.25">
      <c r="A1513" s="246"/>
      <c r="B1513" s="245"/>
      <c r="C1513" s="245"/>
      <c r="D1513" s="245"/>
      <c r="E1513" s="245"/>
      <c r="F1513" s="187"/>
      <c r="G1513" s="245"/>
      <c r="H1513" s="245"/>
      <c r="I1513" s="245"/>
      <c r="L1513" s="123"/>
      <c r="R1513" s="363"/>
      <c r="S1513" s="321"/>
      <c r="T1513" s="85" ph="1"/>
      <c r="V1513" s="216"/>
      <c r="W1513" s="245"/>
      <c r="X1513" s="187"/>
      <c r="Y1513" s="245"/>
      <c r="Z1513" s="245"/>
      <c r="AA1513" s="329"/>
      <c r="AC1513" s="245"/>
      <c r="AD1513" s="245"/>
      <c r="AE1513" s="245"/>
      <c r="AF1513" s="245"/>
    </row>
    <row r="1514" spans="1:32" ht="26.25">
      <c r="A1514" s="246"/>
      <c r="B1514" s="245"/>
      <c r="C1514" s="245"/>
      <c r="D1514" s="245"/>
      <c r="E1514" s="245"/>
      <c r="F1514" s="187"/>
      <c r="G1514" s="245"/>
      <c r="H1514" s="245"/>
      <c r="I1514" s="245"/>
      <c r="L1514" s="123"/>
      <c r="R1514" s="363"/>
      <c r="S1514" s="321"/>
      <c r="T1514" s="85" ph="1"/>
      <c r="V1514" s="216"/>
      <c r="W1514" s="245"/>
      <c r="X1514" s="187"/>
      <c r="Y1514" s="245"/>
      <c r="Z1514" s="245"/>
      <c r="AA1514" s="329"/>
      <c r="AC1514" s="245"/>
      <c r="AD1514" s="245"/>
      <c r="AE1514" s="245"/>
      <c r="AF1514" s="245"/>
    </row>
    <row r="1515" spans="1:32" ht="26.25">
      <c r="A1515" s="246"/>
      <c r="B1515" s="245"/>
      <c r="C1515" s="245"/>
      <c r="D1515" s="245"/>
      <c r="E1515" s="245"/>
      <c r="F1515" s="187"/>
      <c r="G1515" s="245"/>
      <c r="H1515" s="245"/>
      <c r="I1515" s="245"/>
      <c r="L1515" s="123"/>
      <c r="R1515" s="363"/>
      <c r="S1515" s="321"/>
      <c r="T1515" s="85" ph="1"/>
      <c r="V1515" s="216"/>
      <c r="W1515" s="245"/>
      <c r="X1515" s="187"/>
      <c r="Y1515" s="245"/>
      <c r="Z1515" s="245"/>
      <c r="AA1515" s="329"/>
      <c r="AC1515" s="245"/>
      <c r="AD1515" s="245"/>
      <c r="AE1515" s="245"/>
      <c r="AF1515" s="245"/>
    </row>
    <row r="1516" spans="1:32">
      <c r="L1516" s="123"/>
      <c r="R1516" s="363"/>
    </row>
    <row r="1517" spans="1:32" ht="26.25">
      <c r="A1517" s="246"/>
      <c r="B1517" s="245"/>
      <c r="C1517" s="245"/>
      <c r="D1517" s="245"/>
      <c r="E1517" s="245"/>
      <c r="F1517" s="187"/>
      <c r="G1517" s="245"/>
      <c r="H1517" s="245"/>
      <c r="I1517" s="245"/>
      <c r="L1517" s="51"/>
      <c r="R1517" s="363"/>
      <c r="S1517" s="321"/>
      <c r="T1517" s="85" ph="1"/>
      <c r="V1517" s="216"/>
      <c r="W1517" s="245"/>
      <c r="X1517" s="187"/>
      <c r="Y1517" s="245"/>
      <c r="Z1517" s="245"/>
      <c r="AA1517" s="329"/>
      <c r="AC1517" s="245"/>
      <c r="AD1517" s="245"/>
      <c r="AE1517" s="245"/>
      <c r="AF1517" s="245"/>
    </row>
    <row r="1518" spans="1:32" ht="26.25">
      <c r="A1518" s="246"/>
      <c r="B1518" s="245"/>
      <c r="C1518" s="245"/>
      <c r="D1518" s="245"/>
      <c r="E1518" s="245"/>
      <c r="F1518" s="187"/>
      <c r="G1518" s="245"/>
      <c r="H1518" s="245"/>
      <c r="I1518" s="245"/>
      <c r="L1518" s="123"/>
      <c r="R1518" s="363"/>
      <c r="S1518" s="321"/>
      <c r="T1518" s="85" ph="1"/>
      <c r="V1518" s="216"/>
      <c r="W1518" s="245"/>
      <c r="X1518" s="187"/>
      <c r="Y1518" s="245"/>
      <c r="Z1518" s="245"/>
      <c r="AA1518" s="329"/>
      <c r="AC1518" s="245"/>
      <c r="AD1518" s="245"/>
      <c r="AE1518" s="245"/>
      <c r="AF1518" s="245"/>
    </row>
    <row r="1519" spans="1:32">
      <c r="L1519" s="123"/>
      <c r="R1519" s="363"/>
    </row>
    <row r="1520" spans="1:32" ht="26.25">
      <c r="A1520" s="246"/>
      <c r="B1520" s="245"/>
      <c r="C1520" s="245"/>
      <c r="D1520" s="245"/>
      <c r="E1520" s="245"/>
      <c r="F1520" s="187"/>
      <c r="G1520" s="245"/>
      <c r="H1520" s="245"/>
      <c r="I1520" s="245"/>
      <c r="L1520" s="123"/>
      <c r="R1520" s="363"/>
      <c r="S1520" s="321"/>
      <c r="T1520" s="85" ph="1"/>
      <c r="V1520" s="216"/>
      <c r="W1520" s="245"/>
      <c r="X1520" s="187"/>
      <c r="Y1520" s="245"/>
      <c r="Z1520" s="245"/>
      <c r="AA1520" s="329"/>
      <c r="AC1520" s="245"/>
      <c r="AD1520" s="245"/>
      <c r="AE1520" s="245"/>
      <c r="AF1520" s="245"/>
    </row>
    <row r="1521" spans="1:32">
      <c r="L1521" s="123"/>
      <c r="R1521" s="363"/>
    </row>
    <row r="1522" spans="1:32" ht="26.25">
      <c r="A1522" s="246"/>
      <c r="B1522" s="245"/>
      <c r="C1522" s="245"/>
      <c r="D1522" s="245"/>
      <c r="E1522" s="245"/>
      <c r="F1522" s="187"/>
      <c r="G1522" s="245"/>
      <c r="H1522" s="245"/>
      <c r="I1522" s="245"/>
      <c r="L1522" s="123"/>
      <c r="R1522" s="363"/>
      <c r="S1522" s="321"/>
      <c r="T1522" s="85" ph="1"/>
      <c r="V1522" s="216"/>
      <c r="W1522" s="245"/>
      <c r="X1522" s="187"/>
      <c r="Y1522" s="245"/>
      <c r="Z1522" s="245"/>
      <c r="AA1522" s="329"/>
      <c r="AC1522" s="245"/>
      <c r="AD1522" s="245"/>
      <c r="AE1522" s="245"/>
      <c r="AF1522" s="245"/>
    </row>
    <row r="1523" spans="1:32" ht="26.25">
      <c r="A1523" s="246"/>
      <c r="B1523" s="245"/>
      <c r="C1523" s="245"/>
      <c r="D1523" s="245"/>
      <c r="E1523" s="245"/>
      <c r="F1523" s="187"/>
      <c r="G1523" s="245"/>
      <c r="H1523" s="245"/>
      <c r="I1523" s="245"/>
      <c r="L1523" s="123"/>
      <c r="O1523" s="360"/>
      <c r="Q1523" s="351"/>
      <c r="R1523" s="363"/>
      <c r="S1523" s="321"/>
      <c r="T1523" s="85" ph="1"/>
      <c r="V1523" s="216"/>
      <c r="W1523" s="245"/>
      <c r="X1523" s="187"/>
      <c r="Y1523" s="245"/>
      <c r="Z1523" s="245"/>
      <c r="AA1523" s="329"/>
      <c r="AC1523" s="245"/>
      <c r="AD1523" s="245"/>
      <c r="AE1523" s="245"/>
      <c r="AF1523" s="245"/>
    </row>
    <row r="1524" spans="1:32" ht="26.25">
      <c r="A1524" s="246"/>
      <c r="B1524" s="245"/>
      <c r="C1524" s="245"/>
      <c r="D1524" s="245"/>
      <c r="E1524" s="245"/>
      <c r="F1524" s="187"/>
      <c r="G1524" s="245"/>
      <c r="H1524" s="245"/>
      <c r="I1524" s="245"/>
      <c r="L1524" s="123"/>
      <c r="R1524" s="363"/>
      <c r="S1524" s="321"/>
      <c r="T1524" s="85" ph="1"/>
      <c r="V1524" s="216"/>
      <c r="W1524" s="245"/>
      <c r="X1524" s="187"/>
      <c r="Y1524" s="245"/>
      <c r="Z1524" s="245"/>
      <c r="AA1524" s="329"/>
      <c r="AC1524" s="245"/>
      <c r="AD1524" s="245"/>
      <c r="AE1524" s="245"/>
      <c r="AF1524" s="245"/>
    </row>
    <row r="1525" spans="1:32" ht="26.25">
      <c r="A1525" s="246"/>
      <c r="B1525" s="245"/>
      <c r="C1525" s="245"/>
      <c r="D1525" s="245"/>
      <c r="E1525" s="245"/>
      <c r="F1525" s="187"/>
      <c r="G1525" s="245"/>
      <c r="H1525" s="245"/>
      <c r="I1525" s="245"/>
      <c r="L1525" s="123"/>
      <c r="R1525" s="363"/>
      <c r="S1525" s="321"/>
      <c r="T1525" s="85" ph="1"/>
      <c r="V1525" s="216"/>
      <c r="W1525" s="245"/>
      <c r="X1525" s="187"/>
      <c r="Y1525" s="245"/>
      <c r="Z1525" s="245"/>
      <c r="AA1525" s="329"/>
      <c r="AC1525" s="245"/>
      <c r="AD1525" s="245"/>
      <c r="AE1525" s="245"/>
      <c r="AF1525" s="245"/>
    </row>
    <row r="1526" spans="1:32" ht="26.25">
      <c r="A1526" s="246"/>
      <c r="B1526" s="245"/>
      <c r="C1526" s="245"/>
      <c r="D1526" s="245"/>
      <c r="E1526" s="245"/>
      <c r="F1526" s="187"/>
      <c r="G1526" s="245"/>
      <c r="H1526" s="245"/>
      <c r="I1526" s="245"/>
      <c r="L1526" s="123"/>
      <c r="R1526" s="363"/>
      <c r="S1526" s="321"/>
      <c r="T1526" s="85" ph="1"/>
      <c r="V1526" s="216"/>
      <c r="W1526" s="245"/>
      <c r="X1526" s="187"/>
      <c r="Y1526" s="245"/>
      <c r="Z1526" s="245"/>
      <c r="AA1526" s="329"/>
      <c r="AC1526" s="245"/>
      <c r="AD1526" s="245"/>
      <c r="AE1526" s="245"/>
      <c r="AF1526" s="245"/>
    </row>
    <row r="1527" spans="1:32" ht="26.25">
      <c r="A1527" s="246"/>
      <c r="B1527" s="245"/>
      <c r="C1527" s="245"/>
      <c r="D1527" s="245"/>
      <c r="E1527" s="245"/>
      <c r="F1527" s="187"/>
      <c r="G1527" s="245"/>
      <c r="H1527" s="245"/>
      <c r="I1527" s="245"/>
      <c r="L1527" s="123"/>
      <c r="R1527" s="363"/>
      <c r="S1527" s="321"/>
      <c r="T1527" s="85" ph="1"/>
      <c r="V1527" s="216"/>
      <c r="W1527" s="245"/>
      <c r="X1527" s="187"/>
      <c r="Y1527" s="245"/>
      <c r="Z1527" s="245"/>
      <c r="AA1527" s="329"/>
      <c r="AC1527" s="245"/>
      <c r="AD1527" s="245"/>
      <c r="AE1527" s="245"/>
      <c r="AF1527" s="245"/>
    </row>
    <row r="1528" spans="1:32" ht="26.25">
      <c r="A1528" s="246"/>
      <c r="B1528" s="245"/>
      <c r="C1528" s="245"/>
      <c r="D1528" s="245"/>
      <c r="E1528" s="245"/>
      <c r="F1528" s="187"/>
      <c r="G1528" s="245"/>
      <c r="H1528" s="245"/>
      <c r="I1528" s="245"/>
      <c r="L1528" s="123"/>
      <c r="R1528" s="363"/>
      <c r="S1528" s="321"/>
      <c r="T1528" s="85" ph="1"/>
      <c r="V1528" s="216"/>
      <c r="W1528" s="245"/>
      <c r="X1528" s="187"/>
      <c r="Y1528" s="245"/>
      <c r="Z1528" s="245"/>
      <c r="AA1528" s="329"/>
      <c r="AC1528" s="245"/>
      <c r="AD1528" s="245"/>
      <c r="AE1528" s="245"/>
      <c r="AF1528" s="245"/>
    </row>
    <row r="1529" spans="1:32" ht="26.25">
      <c r="A1529" s="246"/>
      <c r="B1529" s="245"/>
      <c r="C1529" s="245"/>
      <c r="D1529" s="245"/>
      <c r="E1529" s="245"/>
      <c r="F1529" s="187"/>
      <c r="G1529" s="245"/>
      <c r="H1529" s="245"/>
      <c r="I1529" s="245"/>
      <c r="L1529" s="123"/>
      <c r="R1529" s="363"/>
      <c r="S1529" s="321"/>
      <c r="T1529" s="85" ph="1"/>
      <c r="V1529" s="216"/>
      <c r="W1529" s="245"/>
      <c r="X1529" s="187"/>
      <c r="Y1529" s="245"/>
      <c r="Z1529" s="245"/>
      <c r="AA1529" s="329"/>
      <c r="AC1529" s="245"/>
      <c r="AD1529" s="245"/>
      <c r="AE1529" s="245"/>
      <c r="AF1529" s="245"/>
    </row>
    <row r="1530" spans="1:32" ht="26.25">
      <c r="A1530" s="246"/>
      <c r="B1530" s="245"/>
      <c r="C1530" s="245"/>
      <c r="D1530" s="245"/>
      <c r="E1530" s="245"/>
      <c r="F1530" s="187"/>
      <c r="G1530" s="245"/>
      <c r="H1530" s="245"/>
      <c r="I1530" s="245"/>
      <c r="L1530" s="123"/>
      <c r="R1530" s="363"/>
      <c r="S1530" s="321"/>
      <c r="T1530" s="85" ph="1"/>
      <c r="V1530" s="216"/>
      <c r="W1530" s="245"/>
      <c r="X1530" s="187"/>
      <c r="Y1530" s="245"/>
      <c r="Z1530" s="245"/>
      <c r="AA1530" s="329"/>
      <c r="AC1530" s="245"/>
      <c r="AD1530" s="245"/>
      <c r="AE1530" s="245"/>
      <c r="AF1530" s="245"/>
    </row>
    <row r="1531" spans="1:32" ht="26.25">
      <c r="A1531" s="246"/>
      <c r="B1531" s="245"/>
      <c r="C1531" s="245"/>
      <c r="D1531" s="245"/>
      <c r="E1531" s="245"/>
      <c r="F1531" s="187"/>
      <c r="G1531" s="245"/>
      <c r="H1531" s="245"/>
      <c r="I1531" s="245"/>
      <c r="L1531" s="123"/>
      <c r="R1531" s="363"/>
      <c r="S1531" s="321"/>
      <c r="T1531" s="85" ph="1"/>
      <c r="V1531" s="216"/>
      <c r="W1531" s="245"/>
      <c r="X1531" s="187"/>
      <c r="Y1531" s="245"/>
      <c r="Z1531" s="245"/>
      <c r="AA1531" s="329"/>
      <c r="AC1531" s="245"/>
      <c r="AD1531" s="245"/>
      <c r="AE1531" s="245"/>
      <c r="AF1531" s="245"/>
    </row>
    <row r="1532" spans="1:32">
      <c r="L1532" s="123"/>
      <c r="R1532" s="363"/>
    </row>
    <row r="1533" spans="1:32" ht="26.25">
      <c r="A1533" s="246"/>
      <c r="B1533" s="245"/>
      <c r="C1533" s="245"/>
      <c r="D1533" s="245"/>
      <c r="E1533" s="245"/>
      <c r="F1533" s="187"/>
      <c r="G1533" s="245"/>
      <c r="H1533" s="245"/>
      <c r="I1533" s="245"/>
      <c r="L1533" s="123"/>
      <c r="O1533" s="360"/>
      <c r="Q1533" s="351"/>
      <c r="R1533" s="363"/>
      <c r="S1533" s="321"/>
      <c r="T1533" s="85" ph="1"/>
      <c r="V1533" s="216"/>
      <c r="W1533" s="245"/>
      <c r="X1533" s="187"/>
      <c r="Y1533" s="245"/>
      <c r="Z1533" s="245"/>
      <c r="AA1533" s="329"/>
      <c r="AC1533" s="245"/>
      <c r="AD1533" s="245"/>
      <c r="AE1533" s="245"/>
      <c r="AF1533" s="245"/>
    </row>
    <row r="1534" spans="1:32" ht="26.25">
      <c r="A1534" s="246"/>
      <c r="B1534" s="245"/>
      <c r="C1534" s="245"/>
      <c r="D1534" s="245"/>
      <c r="E1534" s="245"/>
      <c r="F1534" s="187"/>
      <c r="G1534" s="245"/>
      <c r="H1534" s="245"/>
      <c r="I1534" s="245"/>
      <c r="L1534" s="123"/>
      <c r="R1534" s="363"/>
      <c r="S1534" s="321"/>
      <c r="T1534" s="85" ph="1"/>
      <c r="V1534" s="216"/>
      <c r="W1534" s="245"/>
      <c r="X1534" s="187"/>
      <c r="Y1534" s="245"/>
      <c r="Z1534" s="245"/>
      <c r="AA1534" s="329"/>
      <c r="AC1534" s="245"/>
      <c r="AD1534" s="245"/>
      <c r="AE1534" s="245"/>
      <c r="AF1534" s="245"/>
    </row>
    <row r="1535" spans="1:32" ht="26.25">
      <c r="A1535" s="246"/>
      <c r="B1535" s="245"/>
      <c r="C1535" s="245"/>
      <c r="D1535" s="245"/>
      <c r="E1535" s="245"/>
      <c r="F1535" s="187"/>
      <c r="G1535" s="245"/>
      <c r="H1535" s="245"/>
      <c r="I1535" s="245"/>
      <c r="L1535" s="123"/>
      <c r="R1535" s="363"/>
      <c r="S1535" s="321"/>
      <c r="T1535" s="85" ph="1"/>
      <c r="V1535" s="216"/>
      <c r="W1535" s="245"/>
      <c r="X1535" s="187"/>
      <c r="Y1535" s="245"/>
      <c r="Z1535" s="245"/>
      <c r="AA1535" s="329"/>
      <c r="AC1535" s="245"/>
      <c r="AD1535" s="245"/>
      <c r="AE1535" s="245"/>
      <c r="AF1535" s="245"/>
    </row>
    <row r="1536" spans="1:32" ht="26.25">
      <c r="A1536" s="246"/>
      <c r="B1536" s="245"/>
      <c r="C1536" s="245"/>
      <c r="D1536" s="245"/>
      <c r="E1536" s="245"/>
      <c r="F1536" s="187"/>
      <c r="G1536" s="245"/>
      <c r="H1536" s="245"/>
      <c r="I1536" s="245"/>
      <c r="L1536" s="123"/>
      <c r="R1536" s="363"/>
      <c r="S1536" s="321"/>
      <c r="T1536" s="85" ph="1"/>
      <c r="V1536" s="216"/>
      <c r="W1536" s="245"/>
      <c r="X1536" s="187"/>
      <c r="Y1536" s="245"/>
      <c r="Z1536" s="245"/>
      <c r="AA1536" s="329"/>
      <c r="AC1536" s="245"/>
      <c r="AD1536" s="245"/>
      <c r="AE1536" s="245"/>
      <c r="AF1536" s="245"/>
    </row>
    <row r="1537" spans="1:32" ht="26.25">
      <c r="A1537" s="246"/>
      <c r="B1537" s="245"/>
      <c r="C1537" s="245"/>
      <c r="D1537" s="245"/>
      <c r="E1537" s="245"/>
      <c r="F1537" s="187"/>
      <c r="G1537" s="245"/>
      <c r="H1537" s="245"/>
      <c r="I1537" s="245"/>
      <c r="L1537" s="123"/>
      <c r="O1537" s="360"/>
      <c r="Q1537" s="351"/>
      <c r="R1537" s="363"/>
      <c r="S1537" s="321"/>
      <c r="T1537" s="85" ph="1"/>
      <c r="V1537" s="216"/>
      <c r="W1537" s="245"/>
      <c r="X1537" s="187"/>
      <c r="Y1537" s="245"/>
      <c r="Z1537" s="245"/>
      <c r="AA1537" s="329"/>
      <c r="AC1537" s="245"/>
      <c r="AD1537" s="245"/>
      <c r="AE1537" s="245"/>
      <c r="AF1537" s="245"/>
    </row>
    <row r="1538" spans="1:32" ht="26.25">
      <c r="A1538" s="246"/>
      <c r="B1538" s="245"/>
      <c r="C1538" s="245"/>
      <c r="D1538" s="245"/>
      <c r="E1538" s="245"/>
      <c r="F1538" s="187"/>
      <c r="G1538" s="245"/>
      <c r="H1538" s="245"/>
      <c r="I1538" s="245"/>
      <c r="L1538" s="123"/>
      <c r="R1538" s="363"/>
      <c r="S1538" s="321"/>
      <c r="T1538" s="85" ph="1"/>
      <c r="V1538" s="216"/>
      <c r="W1538" s="245"/>
      <c r="X1538" s="187"/>
      <c r="Y1538" s="245"/>
      <c r="Z1538" s="245"/>
      <c r="AA1538" s="329"/>
      <c r="AC1538" s="245"/>
      <c r="AD1538" s="245"/>
      <c r="AE1538" s="245"/>
      <c r="AF1538" s="245"/>
    </row>
    <row r="1539" spans="1:32" ht="26.25">
      <c r="A1539" s="246"/>
      <c r="B1539" s="245"/>
      <c r="C1539" s="245"/>
      <c r="D1539" s="245"/>
      <c r="E1539" s="245"/>
      <c r="F1539" s="187"/>
      <c r="G1539" s="245"/>
      <c r="H1539" s="245"/>
      <c r="I1539" s="245"/>
      <c r="L1539" s="123"/>
      <c r="R1539" s="363"/>
      <c r="S1539" s="321"/>
      <c r="T1539" s="85" ph="1"/>
      <c r="V1539" s="216"/>
      <c r="W1539" s="245"/>
      <c r="X1539" s="187"/>
      <c r="Y1539" s="245"/>
      <c r="Z1539" s="245"/>
      <c r="AA1539" s="329"/>
      <c r="AC1539" s="245"/>
      <c r="AD1539" s="245"/>
      <c r="AE1539" s="245"/>
      <c r="AF1539" s="245"/>
    </row>
    <row r="1540" spans="1:32" ht="26.25">
      <c r="A1540" s="246"/>
      <c r="B1540" s="245"/>
      <c r="C1540" s="245"/>
      <c r="D1540" s="245"/>
      <c r="E1540" s="245"/>
      <c r="F1540" s="187"/>
      <c r="G1540" s="245"/>
      <c r="H1540" s="245"/>
      <c r="I1540" s="245"/>
      <c r="L1540" s="123"/>
      <c r="R1540" s="363"/>
      <c r="S1540" s="321"/>
      <c r="T1540" s="85" ph="1"/>
      <c r="V1540" s="216"/>
      <c r="W1540" s="245"/>
      <c r="X1540" s="187"/>
      <c r="Y1540" s="245"/>
      <c r="Z1540" s="245"/>
      <c r="AA1540" s="329"/>
      <c r="AC1540" s="245"/>
      <c r="AD1540" s="245"/>
      <c r="AE1540" s="245"/>
      <c r="AF1540" s="245"/>
    </row>
    <row r="1541" spans="1:32">
      <c r="L1541" s="123"/>
      <c r="R1541" s="363"/>
    </row>
    <row r="1542" spans="1:32" ht="26.25">
      <c r="A1542" s="246"/>
      <c r="B1542" s="245"/>
      <c r="C1542" s="245"/>
      <c r="D1542" s="245"/>
      <c r="E1542" s="245"/>
      <c r="F1542" s="187"/>
      <c r="G1542" s="245"/>
      <c r="H1542" s="245"/>
      <c r="I1542" s="245"/>
      <c r="L1542" s="123"/>
      <c r="O1542" s="360"/>
      <c r="Q1542" s="351"/>
      <c r="R1542" s="363"/>
      <c r="S1542" s="321"/>
      <c r="T1542" s="85" ph="1"/>
      <c r="V1542" s="216"/>
      <c r="W1542" s="245"/>
      <c r="X1542" s="187"/>
      <c r="Y1542" s="245"/>
      <c r="Z1542" s="245"/>
      <c r="AA1542" s="329"/>
      <c r="AC1542" s="245"/>
      <c r="AD1542" s="245"/>
      <c r="AE1542" s="245"/>
      <c r="AF1542" s="245"/>
    </row>
    <row r="1543" spans="1:32" ht="26.25">
      <c r="A1543" s="246"/>
      <c r="B1543" s="245"/>
      <c r="C1543" s="245"/>
      <c r="D1543" s="245"/>
      <c r="E1543" s="245"/>
      <c r="F1543" s="187"/>
      <c r="G1543" s="245"/>
      <c r="H1543" s="245"/>
      <c r="I1543" s="245"/>
      <c r="L1543" s="123"/>
      <c r="O1543" s="360"/>
      <c r="Q1543" s="351"/>
      <c r="R1543" s="363"/>
      <c r="S1543" s="321"/>
      <c r="T1543" s="85" ph="1"/>
      <c r="V1543" s="216"/>
      <c r="W1543" s="245"/>
      <c r="X1543" s="187"/>
      <c r="Y1543" s="245"/>
      <c r="Z1543" s="245"/>
      <c r="AA1543" s="329"/>
      <c r="AC1543" s="245"/>
      <c r="AD1543" s="245"/>
      <c r="AE1543" s="245"/>
      <c r="AF1543" s="245"/>
    </row>
    <row r="1544" spans="1:32" ht="26.25">
      <c r="A1544" s="246"/>
      <c r="B1544" s="245"/>
      <c r="C1544" s="245"/>
      <c r="D1544" s="245"/>
      <c r="E1544" s="245"/>
      <c r="F1544" s="187"/>
      <c r="G1544" s="245"/>
      <c r="H1544" s="245"/>
      <c r="I1544" s="245"/>
      <c r="L1544" s="123"/>
      <c r="O1544" s="360"/>
      <c r="Q1544" s="351"/>
      <c r="R1544" s="363"/>
      <c r="S1544" s="321"/>
      <c r="T1544" s="85" ph="1"/>
      <c r="V1544" s="216"/>
      <c r="W1544" s="245"/>
      <c r="X1544" s="187"/>
      <c r="Y1544" s="245"/>
      <c r="Z1544" s="245"/>
      <c r="AA1544" s="329"/>
      <c r="AC1544" s="245"/>
      <c r="AD1544" s="245"/>
      <c r="AE1544" s="245"/>
      <c r="AF1544" s="245"/>
    </row>
    <row r="1545" spans="1:32" ht="26.25">
      <c r="A1545" s="246"/>
      <c r="B1545" s="245"/>
      <c r="C1545" s="245"/>
      <c r="D1545" s="245"/>
      <c r="E1545" s="245"/>
      <c r="F1545" s="187"/>
      <c r="G1545" s="245"/>
      <c r="H1545" s="245"/>
      <c r="I1545" s="245"/>
      <c r="L1545" s="123"/>
      <c r="R1545" s="363"/>
      <c r="S1545" s="321"/>
      <c r="T1545" s="85" ph="1"/>
      <c r="V1545" s="216"/>
      <c r="W1545" s="245"/>
      <c r="X1545" s="187"/>
      <c r="Y1545" s="245"/>
      <c r="Z1545" s="245"/>
      <c r="AA1545" s="329"/>
      <c r="AC1545" s="245"/>
      <c r="AD1545" s="245"/>
      <c r="AE1545" s="245"/>
      <c r="AF1545" s="245"/>
    </row>
    <row r="1546" spans="1:32" ht="26.25">
      <c r="A1546" s="246"/>
      <c r="B1546" s="245"/>
      <c r="C1546" s="245"/>
      <c r="D1546" s="245"/>
      <c r="E1546" s="245"/>
      <c r="F1546" s="187"/>
      <c r="G1546" s="245"/>
      <c r="H1546" s="245"/>
      <c r="I1546" s="245"/>
      <c r="L1546" s="123"/>
      <c r="O1546" s="360"/>
      <c r="Q1546" s="351"/>
      <c r="R1546" s="363"/>
      <c r="S1546" s="321"/>
      <c r="T1546" s="85" ph="1"/>
      <c r="V1546" s="216"/>
      <c r="W1546" s="245"/>
      <c r="X1546" s="187"/>
      <c r="Y1546" s="245"/>
      <c r="Z1546" s="245"/>
      <c r="AA1546" s="329"/>
      <c r="AC1546" s="245"/>
      <c r="AD1546" s="245"/>
      <c r="AE1546" s="245"/>
      <c r="AF1546" s="245"/>
    </row>
    <row r="1547" spans="1:32" ht="26.25">
      <c r="A1547" s="246"/>
      <c r="B1547" s="245"/>
      <c r="C1547" s="245"/>
      <c r="D1547" s="245"/>
      <c r="E1547" s="245"/>
      <c r="F1547" s="187"/>
      <c r="G1547" s="245"/>
      <c r="H1547" s="245"/>
      <c r="I1547" s="245"/>
      <c r="L1547" s="123"/>
      <c r="O1547" s="360"/>
      <c r="Q1547" s="351"/>
      <c r="R1547" s="363"/>
      <c r="S1547" s="321"/>
      <c r="T1547" s="85" ph="1"/>
      <c r="V1547" s="216"/>
      <c r="W1547" s="245"/>
      <c r="X1547" s="187"/>
      <c r="Y1547" s="245"/>
      <c r="Z1547" s="245"/>
      <c r="AA1547" s="329"/>
      <c r="AC1547" s="245"/>
      <c r="AD1547" s="245"/>
      <c r="AE1547" s="245"/>
      <c r="AF1547" s="245"/>
    </row>
    <row r="1548" spans="1:32" ht="26.25">
      <c r="A1548" s="246"/>
      <c r="B1548" s="245"/>
      <c r="C1548" s="245"/>
      <c r="D1548" s="245"/>
      <c r="E1548" s="245"/>
      <c r="F1548" s="187"/>
      <c r="G1548" s="245"/>
      <c r="H1548" s="245"/>
      <c r="I1548" s="245"/>
      <c r="L1548" s="123"/>
      <c r="R1548" s="363"/>
      <c r="S1548" s="321"/>
      <c r="T1548" s="85" ph="1"/>
      <c r="V1548" s="216"/>
      <c r="W1548" s="245"/>
      <c r="X1548" s="187"/>
      <c r="Y1548" s="245"/>
      <c r="Z1548" s="245"/>
      <c r="AA1548" s="329"/>
      <c r="AC1548" s="245"/>
      <c r="AD1548" s="245"/>
      <c r="AE1548" s="245"/>
      <c r="AF1548" s="245"/>
    </row>
    <row r="1549" spans="1:32" ht="26.25">
      <c r="A1549" s="246"/>
      <c r="B1549" s="245"/>
      <c r="C1549" s="245"/>
      <c r="D1549" s="245"/>
      <c r="E1549" s="245"/>
      <c r="F1549" s="187"/>
      <c r="G1549" s="245"/>
      <c r="H1549" s="245"/>
      <c r="I1549" s="245"/>
      <c r="L1549" s="123"/>
      <c r="O1549" s="360"/>
      <c r="Q1549" s="351"/>
      <c r="R1549" s="363"/>
      <c r="S1549" s="321"/>
      <c r="T1549" s="85" ph="1"/>
      <c r="V1549" s="216"/>
      <c r="W1549" s="245"/>
      <c r="X1549" s="187"/>
      <c r="Y1549" s="245"/>
      <c r="Z1549" s="245"/>
      <c r="AA1549" s="329"/>
      <c r="AC1549" s="245"/>
      <c r="AD1549" s="245"/>
      <c r="AE1549" s="245"/>
      <c r="AF1549" s="245"/>
    </row>
    <row r="1550" spans="1:32" ht="26.25">
      <c r="A1550" s="246"/>
      <c r="B1550" s="245"/>
      <c r="C1550" s="245"/>
      <c r="D1550" s="245"/>
      <c r="E1550" s="245"/>
      <c r="F1550" s="187"/>
      <c r="G1550" s="245"/>
      <c r="H1550" s="245"/>
      <c r="I1550" s="245"/>
      <c r="L1550" s="120"/>
      <c r="R1550" s="363"/>
      <c r="S1550" s="321"/>
      <c r="T1550" s="85" ph="1"/>
      <c r="V1550" s="216"/>
      <c r="W1550" s="245"/>
      <c r="X1550" s="187"/>
      <c r="Y1550" s="245"/>
      <c r="Z1550" s="245"/>
      <c r="AA1550" s="329"/>
      <c r="AC1550" s="245"/>
      <c r="AD1550" s="245"/>
      <c r="AE1550" s="245"/>
      <c r="AF1550" s="245"/>
    </row>
    <row r="1551" spans="1:32" ht="26.25">
      <c r="A1551" s="246"/>
      <c r="B1551" s="245"/>
      <c r="C1551" s="245"/>
      <c r="D1551" s="245"/>
      <c r="E1551" s="245"/>
      <c r="F1551" s="187"/>
      <c r="G1551" s="245"/>
      <c r="H1551" s="245"/>
      <c r="I1551" s="245"/>
      <c r="L1551" s="123"/>
      <c r="O1551" s="360"/>
      <c r="Q1551" s="351"/>
      <c r="R1551" s="363"/>
      <c r="S1551" s="321"/>
      <c r="T1551" s="85" ph="1"/>
      <c r="V1551" s="216"/>
      <c r="W1551" s="245"/>
      <c r="X1551" s="187"/>
      <c r="Y1551" s="245"/>
      <c r="Z1551" s="245"/>
      <c r="AA1551" s="329"/>
      <c r="AC1551" s="245"/>
      <c r="AD1551" s="245"/>
      <c r="AE1551" s="245"/>
      <c r="AF1551" s="245"/>
    </row>
    <row r="1552" spans="1:32" ht="26.25">
      <c r="A1552" s="246"/>
      <c r="B1552" s="245"/>
      <c r="C1552" s="245"/>
      <c r="D1552" s="245"/>
      <c r="E1552" s="245"/>
      <c r="F1552" s="187"/>
      <c r="G1552" s="245"/>
      <c r="H1552" s="245"/>
      <c r="I1552" s="245"/>
      <c r="L1552" s="123"/>
      <c r="O1552" s="360"/>
      <c r="Q1552" s="351"/>
      <c r="R1552" s="363"/>
      <c r="S1552" s="321"/>
      <c r="T1552" s="85" ph="1"/>
      <c r="V1552" s="216"/>
      <c r="W1552" s="245"/>
      <c r="X1552" s="187"/>
      <c r="Y1552" s="245"/>
      <c r="Z1552" s="245"/>
      <c r="AA1552" s="329"/>
      <c r="AC1552" s="245"/>
      <c r="AD1552" s="245"/>
      <c r="AE1552" s="245"/>
      <c r="AF1552" s="245"/>
    </row>
    <row r="1553" spans="1:32">
      <c r="L1553" s="123"/>
      <c r="O1553" s="360"/>
      <c r="Q1553" s="351"/>
      <c r="R1553" s="363"/>
    </row>
    <row r="1554" spans="1:32" ht="26.25">
      <c r="A1554" s="246"/>
      <c r="B1554" s="245"/>
      <c r="C1554" s="245"/>
      <c r="D1554" s="245"/>
      <c r="E1554" s="245"/>
      <c r="F1554" s="187"/>
      <c r="G1554" s="245"/>
      <c r="H1554" s="245"/>
      <c r="I1554" s="245"/>
      <c r="L1554" s="123"/>
      <c r="O1554" s="360"/>
      <c r="Q1554" s="351"/>
      <c r="R1554" s="363"/>
      <c r="S1554" s="321"/>
      <c r="T1554" s="85" ph="1"/>
      <c r="V1554" s="216"/>
      <c r="W1554" s="245"/>
      <c r="X1554" s="187"/>
      <c r="Y1554" s="245"/>
      <c r="Z1554" s="245"/>
      <c r="AA1554" s="329"/>
      <c r="AC1554" s="245"/>
      <c r="AD1554" s="245"/>
      <c r="AE1554" s="245"/>
      <c r="AF1554" s="245"/>
    </row>
    <row r="1555" spans="1:32" ht="26.25">
      <c r="A1555" s="246"/>
      <c r="B1555" s="245"/>
      <c r="C1555" s="245"/>
      <c r="D1555" s="245"/>
      <c r="E1555" s="245"/>
      <c r="F1555" s="187"/>
      <c r="G1555" s="245"/>
      <c r="H1555" s="245"/>
      <c r="I1555" s="245"/>
      <c r="L1555" s="123"/>
      <c r="O1555" s="360"/>
      <c r="Q1555" s="351"/>
      <c r="R1555" s="363"/>
      <c r="S1555" s="321"/>
      <c r="T1555" s="85" ph="1"/>
      <c r="V1555" s="216"/>
      <c r="W1555" s="245"/>
      <c r="X1555" s="187"/>
      <c r="Y1555" s="245"/>
      <c r="Z1555" s="245"/>
      <c r="AA1555" s="329"/>
      <c r="AC1555" s="245"/>
      <c r="AD1555" s="245"/>
      <c r="AE1555" s="245"/>
      <c r="AF1555" s="245"/>
    </row>
    <row r="1556" spans="1:32" ht="26.25">
      <c r="A1556" s="246"/>
      <c r="B1556" s="245"/>
      <c r="C1556" s="245"/>
      <c r="D1556" s="245"/>
      <c r="E1556" s="245"/>
      <c r="F1556" s="187"/>
      <c r="G1556" s="245"/>
      <c r="H1556" s="245"/>
      <c r="I1556" s="245"/>
      <c r="L1556" s="123"/>
      <c r="O1556" s="360"/>
      <c r="Q1556" s="351"/>
      <c r="R1556" s="363"/>
      <c r="S1556" s="321"/>
      <c r="T1556" s="85" ph="1"/>
      <c r="V1556" s="216"/>
      <c r="W1556" s="245"/>
      <c r="X1556" s="187"/>
      <c r="Y1556" s="245"/>
      <c r="Z1556" s="245"/>
      <c r="AA1556" s="329"/>
      <c r="AC1556" s="245"/>
      <c r="AD1556" s="245"/>
      <c r="AE1556" s="245"/>
      <c r="AF1556" s="245"/>
    </row>
    <row r="1557" spans="1:32" ht="26.25">
      <c r="A1557" s="246"/>
      <c r="B1557" s="245"/>
      <c r="C1557" s="245"/>
      <c r="D1557" s="245"/>
      <c r="E1557" s="245"/>
      <c r="F1557" s="187"/>
      <c r="G1557" s="245"/>
      <c r="H1557" s="245"/>
      <c r="I1557" s="245"/>
      <c r="L1557" s="123"/>
      <c r="O1557" s="360"/>
      <c r="Q1557" s="351"/>
      <c r="R1557" s="363"/>
      <c r="S1557" s="321"/>
      <c r="T1557" s="85" ph="1"/>
      <c r="V1557" s="216"/>
      <c r="W1557" s="245"/>
      <c r="X1557" s="187"/>
      <c r="Y1557" s="245"/>
      <c r="Z1557" s="245"/>
      <c r="AA1557" s="329"/>
      <c r="AC1557" s="245"/>
      <c r="AD1557" s="245"/>
      <c r="AE1557" s="245"/>
      <c r="AF1557" s="245"/>
    </row>
    <row r="1558" spans="1:32" ht="26.25">
      <c r="A1558" s="246"/>
      <c r="B1558" s="245"/>
      <c r="C1558" s="245"/>
      <c r="D1558" s="245"/>
      <c r="E1558" s="245"/>
      <c r="F1558" s="187"/>
      <c r="G1558" s="245"/>
      <c r="H1558" s="245"/>
      <c r="I1558" s="245"/>
      <c r="L1558" s="123"/>
      <c r="O1558" s="360"/>
      <c r="Q1558" s="351"/>
      <c r="R1558" s="363"/>
      <c r="S1558" s="321"/>
      <c r="T1558" s="85" ph="1"/>
      <c r="V1558" s="216"/>
      <c r="W1558" s="245"/>
      <c r="X1558" s="187"/>
      <c r="Y1558" s="245"/>
      <c r="Z1558" s="245"/>
      <c r="AA1558" s="329"/>
      <c r="AC1558" s="245"/>
      <c r="AD1558" s="245"/>
      <c r="AE1558" s="245"/>
      <c r="AF1558" s="245"/>
    </row>
    <row r="1559" spans="1:32" ht="26.25">
      <c r="A1559" s="246"/>
      <c r="B1559" s="245"/>
      <c r="C1559" s="245"/>
      <c r="D1559" s="245"/>
      <c r="E1559" s="245"/>
      <c r="F1559" s="187"/>
      <c r="G1559" s="245"/>
      <c r="H1559" s="245"/>
      <c r="I1559" s="245"/>
      <c r="L1559" s="123"/>
      <c r="O1559" s="360"/>
      <c r="Q1559" s="351"/>
      <c r="R1559" s="363"/>
      <c r="S1559" s="321"/>
      <c r="T1559" s="85" ph="1"/>
      <c r="V1559" s="216"/>
      <c r="W1559" s="245"/>
      <c r="X1559" s="187"/>
      <c r="Y1559" s="245"/>
      <c r="Z1559" s="245"/>
      <c r="AA1559" s="329"/>
      <c r="AC1559" s="245"/>
      <c r="AD1559" s="245"/>
      <c r="AE1559" s="245"/>
      <c r="AF1559" s="245"/>
    </row>
    <row r="1560" spans="1:32" ht="26.25">
      <c r="A1560" s="246"/>
      <c r="B1560" s="245"/>
      <c r="C1560" s="245"/>
      <c r="D1560" s="245"/>
      <c r="E1560" s="245"/>
      <c r="F1560" s="187"/>
      <c r="G1560" s="245"/>
      <c r="H1560" s="245"/>
      <c r="I1560" s="245"/>
      <c r="L1560" s="123"/>
      <c r="O1560" s="360"/>
      <c r="Q1560" s="351"/>
      <c r="R1560" s="363"/>
      <c r="S1560" s="321"/>
      <c r="T1560" s="85" ph="1"/>
      <c r="V1560" s="216"/>
      <c r="W1560" s="245"/>
      <c r="X1560" s="187"/>
      <c r="Y1560" s="245"/>
      <c r="Z1560" s="245"/>
      <c r="AA1560" s="329"/>
      <c r="AC1560" s="245"/>
      <c r="AD1560" s="245"/>
      <c r="AE1560" s="245"/>
      <c r="AF1560" s="245"/>
    </row>
    <row r="1561" spans="1:32" ht="26.25">
      <c r="A1561" s="246"/>
      <c r="B1561" s="245"/>
      <c r="C1561" s="245"/>
      <c r="D1561" s="245"/>
      <c r="E1561" s="245"/>
      <c r="F1561" s="187"/>
      <c r="G1561" s="245"/>
      <c r="H1561" s="245"/>
      <c r="I1561" s="245"/>
      <c r="L1561" s="123"/>
      <c r="R1561" s="363"/>
      <c r="S1561" s="321"/>
      <c r="T1561" s="85" ph="1"/>
      <c r="V1561" s="216"/>
      <c r="W1561" s="245"/>
      <c r="X1561" s="187"/>
      <c r="Y1561" s="245"/>
      <c r="Z1561" s="245"/>
      <c r="AA1561" s="329"/>
      <c r="AC1561" s="245"/>
      <c r="AD1561" s="245"/>
      <c r="AE1561" s="245"/>
      <c r="AF1561" s="245"/>
    </row>
    <row r="1562" spans="1:32">
      <c r="L1562" s="123"/>
      <c r="O1562" s="360"/>
      <c r="Q1562" s="351"/>
      <c r="R1562" s="363"/>
    </row>
    <row r="1563" spans="1:32" ht="26.25">
      <c r="A1563" s="246"/>
      <c r="B1563" s="245"/>
      <c r="C1563" s="245"/>
      <c r="D1563" s="245"/>
      <c r="E1563" s="245"/>
      <c r="F1563" s="187"/>
      <c r="G1563" s="245"/>
      <c r="H1563" s="245"/>
      <c r="I1563" s="245"/>
      <c r="L1563" s="123"/>
      <c r="O1563" s="360"/>
      <c r="Q1563" s="351"/>
      <c r="R1563" s="363"/>
      <c r="S1563" s="321"/>
      <c r="T1563" s="85" ph="1"/>
      <c r="V1563" s="216"/>
      <c r="W1563" s="245"/>
      <c r="X1563" s="187"/>
      <c r="Y1563" s="245"/>
      <c r="Z1563" s="245"/>
      <c r="AA1563" s="329"/>
      <c r="AC1563" s="245"/>
      <c r="AD1563" s="245"/>
      <c r="AE1563" s="245"/>
      <c r="AF1563" s="245"/>
    </row>
    <row r="1564" spans="1:32" ht="26.25">
      <c r="A1564" s="246"/>
      <c r="B1564" s="245"/>
      <c r="C1564" s="245"/>
      <c r="D1564" s="245"/>
      <c r="E1564" s="245"/>
      <c r="F1564" s="187"/>
      <c r="G1564" s="245"/>
      <c r="H1564" s="245"/>
      <c r="I1564" s="245"/>
      <c r="L1564" s="123"/>
      <c r="O1564" s="360"/>
      <c r="Q1564" s="351"/>
      <c r="R1564" s="363"/>
      <c r="S1564" s="321"/>
      <c r="T1564" s="85" ph="1"/>
      <c r="V1564" s="216"/>
      <c r="W1564" s="245"/>
      <c r="X1564" s="187"/>
      <c r="Y1564" s="245"/>
      <c r="Z1564" s="245"/>
      <c r="AA1564" s="329"/>
      <c r="AC1564" s="245"/>
      <c r="AD1564" s="245"/>
      <c r="AE1564" s="245"/>
      <c r="AF1564" s="245"/>
    </row>
    <row r="1565" spans="1:32" ht="26.25">
      <c r="A1565" s="246"/>
      <c r="B1565" s="245"/>
      <c r="C1565" s="245"/>
      <c r="D1565" s="245"/>
      <c r="E1565" s="245"/>
      <c r="F1565" s="187"/>
      <c r="G1565" s="245"/>
      <c r="H1565" s="245"/>
      <c r="I1565" s="245"/>
      <c r="L1565" s="123"/>
      <c r="O1565" s="360"/>
      <c r="Q1565" s="351"/>
      <c r="R1565" s="363"/>
      <c r="S1565" s="321"/>
      <c r="T1565" s="85" ph="1"/>
      <c r="V1565" s="216"/>
      <c r="W1565" s="245"/>
      <c r="X1565" s="187"/>
      <c r="Y1565" s="245"/>
      <c r="Z1565" s="245"/>
      <c r="AA1565" s="329"/>
      <c r="AC1565" s="245"/>
      <c r="AD1565" s="245"/>
      <c r="AE1565" s="245"/>
      <c r="AF1565" s="245"/>
    </row>
    <row r="1566" spans="1:32" ht="26.25">
      <c r="A1566" s="246"/>
      <c r="B1566" s="245"/>
      <c r="C1566" s="245"/>
      <c r="D1566" s="245"/>
      <c r="E1566" s="245"/>
      <c r="F1566" s="187"/>
      <c r="G1566" s="245"/>
      <c r="H1566" s="245"/>
      <c r="I1566" s="245"/>
      <c r="L1566" s="123"/>
      <c r="O1566" s="360"/>
      <c r="Q1566" s="351"/>
      <c r="R1566" s="363"/>
      <c r="S1566" s="321"/>
      <c r="T1566" s="85" ph="1"/>
      <c r="V1566" s="216"/>
      <c r="W1566" s="245"/>
      <c r="X1566" s="187"/>
      <c r="Y1566" s="245"/>
      <c r="Z1566" s="245"/>
      <c r="AA1566" s="329"/>
      <c r="AC1566" s="245"/>
      <c r="AD1566" s="245"/>
      <c r="AE1566" s="245"/>
      <c r="AF1566" s="245"/>
    </row>
    <row r="1567" spans="1:32" ht="26.25">
      <c r="A1567" s="246"/>
      <c r="B1567" s="245"/>
      <c r="C1567" s="245"/>
      <c r="D1567" s="245"/>
      <c r="E1567" s="245"/>
      <c r="F1567" s="187"/>
      <c r="G1567" s="245"/>
      <c r="H1567" s="245"/>
      <c r="I1567" s="245"/>
      <c r="L1567" s="123"/>
      <c r="O1567" s="360"/>
      <c r="Q1567" s="351"/>
      <c r="R1567" s="363"/>
      <c r="S1567" s="321"/>
      <c r="T1567" s="85" ph="1"/>
      <c r="V1567" s="216"/>
      <c r="W1567" s="245"/>
      <c r="X1567" s="187"/>
      <c r="Y1567" s="245"/>
      <c r="Z1567" s="245"/>
      <c r="AA1567" s="329"/>
      <c r="AC1567" s="245"/>
      <c r="AD1567" s="245"/>
      <c r="AE1567" s="245"/>
      <c r="AF1567" s="245"/>
    </row>
    <row r="1568" spans="1:32" ht="26.25">
      <c r="A1568" s="246"/>
      <c r="B1568" s="245"/>
      <c r="C1568" s="245"/>
      <c r="D1568" s="245"/>
      <c r="E1568" s="245"/>
      <c r="F1568" s="187"/>
      <c r="G1568" s="245"/>
      <c r="H1568" s="245"/>
      <c r="I1568" s="245"/>
      <c r="L1568" s="123"/>
      <c r="O1568" s="360"/>
      <c r="Q1568" s="351"/>
      <c r="R1568" s="363"/>
      <c r="S1568" s="321"/>
      <c r="T1568" s="85" ph="1"/>
      <c r="V1568" s="216"/>
      <c r="W1568" s="245"/>
      <c r="X1568" s="187"/>
      <c r="Y1568" s="245"/>
      <c r="Z1568" s="245"/>
      <c r="AA1568" s="329"/>
      <c r="AC1568" s="245"/>
      <c r="AD1568" s="245"/>
      <c r="AE1568" s="245"/>
      <c r="AF1568" s="245"/>
    </row>
    <row r="1569" spans="1:32" ht="26.25">
      <c r="A1569" s="246"/>
      <c r="B1569" s="245"/>
      <c r="C1569" s="245"/>
      <c r="D1569" s="245"/>
      <c r="E1569" s="245"/>
      <c r="F1569" s="187"/>
      <c r="G1569" s="245"/>
      <c r="H1569" s="245"/>
      <c r="I1569" s="245"/>
      <c r="L1569" s="123"/>
      <c r="O1569" s="360"/>
      <c r="Q1569" s="351"/>
      <c r="R1569" s="363"/>
      <c r="S1569" s="321"/>
      <c r="T1569" s="85" ph="1"/>
      <c r="V1569" s="216"/>
      <c r="W1569" s="245"/>
      <c r="X1569" s="187"/>
      <c r="Y1569" s="245"/>
      <c r="Z1569" s="245"/>
      <c r="AA1569" s="329"/>
      <c r="AC1569" s="245"/>
      <c r="AD1569" s="245"/>
      <c r="AE1569" s="245"/>
      <c r="AF1569" s="245"/>
    </row>
    <row r="1570" spans="1:32" ht="26.25">
      <c r="A1570" s="246"/>
      <c r="B1570" s="245"/>
      <c r="C1570" s="245"/>
      <c r="D1570" s="245"/>
      <c r="E1570" s="245"/>
      <c r="F1570" s="187"/>
      <c r="G1570" s="245"/>
      <c r="H1570" s="245"/>
      <c r="I1570" s="245"/>
      <c r="L1570" s="123"/>
      <c r="R1570" s="363"/>
      <c r="S1570" s="321"/>
      <c r="T1570" s="85" ph="1"/>
      <c r="V1570" s="216"/>
      <c r="W1570" s="245"/>
      <c r="X1570" s="187"/>
      <c r="Y1570" s="245"/>
      <c r="Z1570" s="245"/>
      <c r="AA1570" s="329"/>
      <c r="AC1570" s="245"/>
      <c r="AD1570" s="245"/>
      <c r="AE1570" s="245"/>
      <c r="AF1570" s="245"/>
    </row>
    <row r="1571" spans="1:32" ht="26.25">
      <c r="A1571" s="246"/>
      <c r="B1571" s="245"/>
      <c r="C1571" s="245"/>
      <c r="D1571" s="245"/>
      <c r="E1571" s="245"/>
      <c r="F1571" s="187"/>
      <c r="G1571" s="245"/>
      <c r="H1571" s="245"/>
      <c r="I1571" s="245"/>
      <c r="L1571" s="123"/>
      <c r="O1571" s="360"/>
      <c r="Q1571" s="351"/>
      <c r="R1571" s="363"/>
      <c r="S1571" s="321"/>
      <c r="T1571" s="85" ph="1"/>
      <c r="V1571" s="216"/>
      <c r="W1571" s="245"/>
      <c r="X1571" s="187"/>
      <c r="Y1571" s="245"/>
      <c r="Z1571" s="245"/>
      <c r="AA1571" s="329"/>
      <c r="AC1571" s="245"/>
      <c r="AD1571" s="245"/>
      <c r="AE1571" s="245"/>
      <c r="AF1571" s="245"/>
    </row>
    <row r="1572" spans="1:32" ht="26.25">
      <c r="A1572" s="246"/>
      <c r="B1572" s="245"/>
      <c r="C1572" s="245"/>
      <c r="D1572" s="245"/>
      <c r="E1572" s="245"/>
      <c r="F1572" s="187"/>
      <c r="G1572" s="245"/>
      <c r="H1572" s="245"/>
      <c r="I1572" s="245"/>
      <c r="L1572" s="123"/>
      <c r="O1572" s="360"/>
      <c r="Q1572" s="351"/>
      <c r="R1572" s="363"/>
      <c r="S1572" s="321"/>
      <c r="T1572" s="85" ph="1"/>
      <c r="V1572" s="216"/>
      <c r="W1572" s="245"/>
      <c r="X1572" s="187"/>
      <c r="Y1572" s="245"/>
      <c r="Z1572" s="245"/>
      <c r="AA1572" s="329"/>
      <c r="AC1572" s="245"/>
      <c r="AD1572" s="245"/>
      <c r="AE1572" s="245"/>
      <c r="AF1572" s="245"/>
    </row>
    <row r="1573" spans="1:32" ht="26.25">
      <c r="A1573" s="246"/>
      <c r="B1573" s="245"/>
      <c r="C1573" s="245"/>
      <c r="D1573" s="245"/>
      <c r="E1573" s="245"/>
      <c r="F1573" s="187"/>
      <c r="G1573" s="245"/>
      <c r="H1573" s="245"/>
      <c r="I1573" s="245"/>
      <c r="L1573" s="123"/>
      <c r="O1573" s="360"/>
      <c r="Q1573" s="351"/>
      <c r="R1573" s="363"/>
      <c r="S1573" s="321"/>
      <c r="T1573" s="85" ph="1"/>
      <c r="V1573" s="216"/>
      <c r="W1573" s="245"/>
      <c r="X1573" s="187"/>
      <c r="Y1573" s="245"/>
      <c r="Z1573" s="245"/>
      <c r="AA1573" s="329"/>
      <c r="AC1573" s="245"/>
      <c r="AD1573" s="245"/>
      <c r="AE1573" s="245"/>
      <c r="AF1573" s="245"/>
    </row>
    <row r="1574" spans="1:32" ht="26.25">
      <c r="A1574" s="246"/>
      <c r="B1574" s="245"/>
      <c r="C1574" s="245"/>
      <c r="D1574" s="245"/>
      <c r="E1574" s="245"/>
      <c r="F1574" s="187"/>
      <c r="G1574" s="245"/>
      <c r="H1574" s="245"/>
      <c r="I1574" s="245"/>
      <c r="L1574" s="245"/>
      <c r="O1574" s="360"/>
      <c r="Q1574" s="351"/>
      <c r="R1574" s="363"/>
      <c r="S1574" s="321"/>
      <c r="T1574" s="85" ph="1"/>
      <c r="V1574" s="216"/>
      <c r="W1574" s="245"/>
      <c r="X1574" s="187"/>
      <c r="Y1574" s="245"/>
      <c r="Z1574" s="245"/>
      <c r="AA1574" s="329"/>
      <c r="AC1574" s="245"/>
      <c r="AD1574" s="245"/>
      <c r="AE1574" s="245"/>
      <c r="AF1574" s="245"/>
    </row>
    <row r="1575" spans="1:32" ht="26.25">
      <c r="A1575" s="246"/>
      <c r="B1575" s="245"/>
      <c r="C1575" s="245"/>
      <c r="D1575" s="245"/>
      <c r="E1575" s="245"/>
      <c r="F1575" s="187"/>
      <c r="G1575" s="245"/>
      <c r="H1575" s="245"/>
      <c r="I1575" s="245"/>
      <c r="L1575" s="123"/>
      <c r="O1575" s="360"/>
      <c r="Q1575" s="351"/>
      <c r="R1575" s="363"/>
      <c r="S1575" s="321"/>
      <c r="T1575" s="85" ph="1"/>
      <c r="V1575" s="216"/>
      <c r="W1575" s="245"/>
      <c r="X1575" s="187"/>
      <c r="Y1575" s="245"/>
      <c r="Z1575" s="245"/>
      <c r="AA1575" s="329"/>
      <c r="AC1575" s="245"/>
      <c r="AD1575" s="245"/>
      <c r="AE1575" s="245"/>
      <c r="AF1575" s="245"/>
    </row>
    <row r="1576" spans="1:32" ht="26.25">
      <c r="A1576" s="246"/>
      <c r="B1576" s="245"/>
      <c r="C1576" s="245"/>
      <c r="D1576" s="245"/>
      <c r="E1576" s="245"/>
      <c r="F1576" s="187"/>
      <c r="G1576" s="245"/>
      <c r="H1576" s="245"/>
      <c r="I1576" s="245"/>
      <c r="L1576" s="123"/>
      <c r="O1576" s="360"/>
      <c r="Q1576" s="351"/>
      <c r="R1576" s="363"/>
      <c r="S1576" s="321"/>
      <c r="T1576" s="85" ph="1"/>
      <c r="V1576" s="216"/>
      <c r="W1576" s="245"/>
      <c r="X1576" s="187"/>
      <c r="Y1576" s="245"/>
      <c r="Z1576" s="245"/>
      <c r="AA1576" s="329"/>
      <c r="AC1576" s="245"/>
      <c r="AD1576" s="245"/>
      <c r="AE1576" s="245"/>
      <c r="AF1576" s="245"/>
    </row>
    <row r="1577" spans="1:32" ht="26.25">
      <c r="A1577" s="246"/>
      <c r="B1577" s="245"/>
      <c r="C1577" s="245"/>
      <c r="D1577" s="245"/>
      <c r="E1577" s="245"/>
      <c r="F1577" s="187"/>
      <c r="G1577" s="245"/>
      <c r="H1577" s="245"/>
      <c r="I1577" s="245"/>
      <c r="L1577" s="123"/>
      <c r="O1577" s="360"/>
      <c r="Q1577" s="351"/>
      <c r="R1577" s="363"/>
      <c r="S1577" s="321"/>
      <c r="T1577" s="85" ph="1"/>
      <c r="V1577" s="216"/>
      <c r="W1577" s="245"/>
      <c r="X1577" s="187"/>
      <c r="Y1577" s="245"/>
      <c r="Z1577" s="245"/>
      <c r="AA1577" s="329"/>
      <c r="AC1577" s="245"/>
      <c r="AD1577" s="245"/>
      <c r="AE1577" s="245"/>
      <c r="AF1577" s="245"/>
    </row>
    <row r="1578" spans="1:32" ht="26.25">
      <c r="A1578" s="246"/>
      <c r="B1578" s="245"/>
      <c r="C1578" s="245"/>
      <c r="D1578" s="245"/>
      <c r="E1578" s="245"/>
      <c r="F1578" s="187"/>
      <c r="G1578" s="245"/>
      <c r="H1578" s="245"/>
      <c r="I1578" s="245"/>
      <c r="L1578" s="123"/>
      <c r="O1578" s="360"/>
      <c r="Q1578" s="351"/>
      <c r="R1578" s="363"/>
      <c r="S1578" s="321"/>
      <c r="T1578" s="85" ph="1"/>
      <c r="V1578" s="216"/>
      <c r="W1578" s="245"/>
      <c r="X1578" s="187"/>
      <c r="Y1578" s="245"/>
      <c r="Z1578" s="245"/>
      <c r="AA1578" s="329"/>
      <c r="AC1578" s="245"/>
      <c r="AD1578" s="245"/>
      <c r="AE1578" s="245"/>
      <c r="AF1578" s="245"/>
    </row>
    <row r="1579" spans="1:32" ht="26.25">
      <c r="A1579" s="246"/>
      <c r="B1579" s="245"/>
      <c r="C1579" s="245"/>
      <c r="D1579" s="245"/>
      <c r="E1579" s="245"/>
      <c r="F1579" s="187"/>
      <c r="G1579" s="245"/>
      <c r="H1579" s="245"/>
      <c r="I1579" s="245"/>
      <c r="L1579" s="245"/>
      <c r="O1579" s="360"/>
      <c r="Q1579" s="351"/>
      <c r="R1579" s="363"/>
      <c r="S1579" s="321"/>
      <c r="T1579" s="85" ph="1"/>
      <c r="V1579" s="216"/>
      <c r="W1579" s="245"/>
      <c r="X1579" s="187"/>
      <c r="Y1579" s="245"/>
      <c r="Z1579" s="245"/>
      <c r="AA1579" s="329"/>
      <c r="AC1579" s="245"/>
      <c r="AD1579" s="245"/>
      <c r="AE1579" s="245"/>
      <c r="AF1579" s="245"/>
    </row>
    <row r="1580" spans="1:32" ht="26.25">
      <c r="A1580" s="246"/>
      <c r="B1580" s="245"/>
      <c r="C1580" s="245"/>
      <c r="D1580" s="245"/>
      <c r="E1580" s="245"/>
      <c r="F1580" s="187"/>
      <c r="G1580" s="245"/>
      <c r="H1580" s="245"/>
      <c r="I1580" s="245"/>
      <c r="L1580" s="123"/>
      <c r="O1580" s="360"/>
      <c r="Q1580" s="351"/>
      <c r="R1580" s="363"/>
      <c r="S1580" s="321"/>
      <c r="T1580" s="85" ph="1"/>
      <c r="V1580" s="216"/>
      <c r="W1580" s="245"/>
      <c r="X1580" s="187"/>
      <c r="Y1580" s="245"/>
      <c r="Z1580" s="245"/>
      <c r="AA1580" s="329"/>
      <c r="AC1580" s="245"/>
      <c r="AD1580" s="245"/>
      <c r="AE1580" s="245"/>
      <c r="AF1580" s="245"/>
    </row>
    <row r="1581" spans="1:32" ht="26.25">
      <c r="A1581" s="246"/>
      <c r="B1581" s="245"/>
      <c r="C1581" s="245"/>
      <c r="D1581" s="245"/>
      <c r="E1581" s="245"/>
      <c r="F1581" s="187"/>
      <c r="G1581" s="245"/>
      <c r="H1581" s="245"/>
      <c r="I1581" s="245"/>
      <c r="L1581" s="123"/>
      <c r="O1581" s="360"/>
      <c r="Q1581" s="351"/>
      <c r="R1581" s="363"/>
      <c r="S1581" s="321"/>
      <c r="T1581" s="85" ph="1"/>
      <c r="V1581" s="216"/>
      <c r="W1581" s="245"/>
      <c r="X1581" s="187"/>
      <c r="Y1581" s="245"/>
      <c r="Z1581" s="245"/>
      <c r="AA1581" s="329"/>
      <c r="AC1581" s="245"/>
      <c r="AD1581" s="245"/>
      <c r="AE1581" s="245"/>
      <c r="AF1581" s="245"/>
    </row>
    <row r="1582" spans="1:32" ht="26.25">
      <c r="A1582" s="246"/>
      <c r="B1582" s="245"/>
      <c r="C1582" s="245"/>
      <c r="D1582" s="245"/>
      <c r="E1582" s="245"/>
      <c r="F1582" s="187"/>
      <c r="G1582" s="245"/>
      <c r="H1582" s="245"/>
      <c r="I1582" s="245"/>
      <c r="L1582" s="123"/>
      <c r="R1582" s="363"/>
      <c r="S1582" s="321"/>
      <c r="T1582" s="85" ph="1"/>
      <c r="V1582" s="216"/>
      <c r="W1582" s="245"/>
      <c r="X1582" s="187"/>
      <c r="Y1582" s="245"/>
      <c r="Z1582" s="245"/>
      <c r="AA1582" s="329"/>
      <c r="AC1582" s="245"/>
      <c r="AD1582" s="245"/>
      <c r="AE1582" s="245"/>
      <c r="AF1582" s="245"/>
    </row>
    <row r="1583" spans="1:32" ht="26.25">
      <c r="A1583" s="246"/>
      <c r="B1583" s="245"/>
      <c r="C1583" s="245"/>
      <c r="D1583" s="245"/>
      <c r="E1583" s="245"/>
      <c r="F1583" s="187"/>
      <c r="G1583" s="245"/>
      <c r="H1583" s="245"/>
      <c r="I1583" s="245"/>
      <c r="L1583" s="123"/>
      <c r="O1583" s="360"/>
      <c r="Q1583" s="351"/>
      <c r="R1583" s="363"/>
      <c r="S1583" s="321"/>
      <c r="T1583" s="85" ph="1"/>
      <c r="V1583" s="216"/>
      <c r="W1583" s="245"/>
      <c r="X1583" s="187"/>
      <c r="Y1583" s="245"/>
      <c r="Z1583" s="245"/>
      <c r="AA1583" s="329"/>
      <c r="AC1583" s="245"/>
      <c r="AD1583" s="245"/>
      <c r="AE1583" s="245"/>
      <c r="AF1583" s="245"/>
    </row>
    <row r="1584" spans="1:32" ht="26.25">
      <c r="A1584" s="246"/>
      <c r="B1584" s="245"/>
      <c r="C1584" s="245"/>
      <c r="D1584" s="245"/>
      <c r="E1584" s="245"/>
      <c r="F1584" s="187"/>
      <c r="G1584" s="245"/>
      <c r="H1584" s="245"/>
      <c r="I1584" s="245"/>
      <c r="L1584" s="123"/>
      <c r="O1584" s="360"/>
      <c r="Q1584" s="351"/>
      <c r="R1584" s="363"/>
      <c r="S1584" s="321"/>
      <c r="T1584" s="85" ph="1"/>
      <c r="V1584" s="216"/>
      <c r="W1584" s="245"/>
      <c r="X1584" s="187"/>
      <c r="Y1584" s="245"/>
      <c r="Z1584" s="245"/>
      <c r="AA1584" s="329"/>
      <c r="AC1584" s="245"/>
      <c r="AD1584" s="245"/>
      <c r="AE1584" s="245"/>
      <c r="AF1584" s="245"/>
    </row>
    <row r="1585" spans="1:32" ht="26.25">
      <c r="A1585" s="246"/>
      <c r="B1585" s="245"/>
      <c r="C1585" s="245"/>
      <c r="D1585" s="245"/>
      <c r="E1585" s="245"/>
      <c r="F1585" s="187"/>
      <c r="G1585" s="245"/>
      <c r="H1585" s="245"/>
      <c r="I1585" s="245"/>
      <c r="L1585" s="123"/>
      <c r="O1585" s="360"/>
      <c r="Q1585" s="351"/>
      <c r="R1585" s="363"/>
      <c r="S1585" s="321"/>
      <c r="T1585" s="85" ph="1"/>
      <c r="V1585" s="216"/>
      <c r="W1585" s="245"/>
      <c r="X1585" s="187"/>
      <c r="Y1585" s="245"/>
      <c r="Z1585" s="245"/>
      <c r="AA1585" s="329"/>
      <c r="AC1585" s="245"/>
      <c r="AD1585" s="245"/>
      <c r="AE1585" s="245"/>
      <c r="AF1585" s="245"/>
    </row>
    <row r="1586" spans="1:32" ht="26.25">
      <c r="A1586" s="246"/>
      <c r="B1586" s="245"/>
      <c r="C1586" s="245"/>
      <c r="D1586" s="245"/>
      <c r="E1586" s="245"/>
      <c r="F1586" s="187"/>
      <c r="G1586" s="245"/>
      <c r="H1586" s="245"/>
      <c r="I1586" s="245"/>
      <c r="L1586" s="123"/>
      <c r="O1586" s="360"/>
      <c r="Q1586" s="351"/>
      <c r="R1586" s="363"/>
      <c r="S1586" s="321"/>
      <c r="T1586" s="85" ph="1"/>
      <c r="V1586" s="216"/>
      <c r="W1586" s="245"/>
      <c r="X1586" s="187"/>
      <c r="Y1586" s="245"/>
      <c r="Z1586" s="245"/>
      <c r="AA1586" s="329"/>
      <c r="AC1586" s="245"/>
      <c r="AD1586" s="245"/>
      <c r="AE1586" s="245"/>
      <c r="AF1586" s="245"/>
    </row>
    <row r="1587" spans="1:32" ht="26.25">
      <c r="A1587" s="246"/>
      <c r="B1587" s="245"/>
      <c r="C1587" s="245"/>
      <c r="D1587" s="245"/>
      <c r="E1587" s="245"/>
      <c r="F1587" s="187"/>
      <c r="G1587" s="245"/>
      <c r="H1587" s="245"/>
      <c r="I1587" s="245"/>
      <c r="L1587" s="123"/>
      <c r="O1587" s="360"/>
      <c r="Q1587" s="351"/>
      <c r="R1587" s="363"/>
      <c r="S1587" s="321"/>
      <c r="T1587" s="85" ph="1"/>
      <c r="V1587" s="216"/>
      <c r="W1587" s="245"/>
      <c r="X1587" s="187"/>
      <c r="Y1587" s="245"/>
      <c r="Z1587" s="245"/>
      <c r="AA1587" s="329"/>
      <c r="AC1587" s="245"/>
      <c r="AD1587" s="245"/>
      <c r="AE1587" s="245"/>
      <c r="AF1587" s="245"/>
    </row>
    <row r="1588" spans="1:32" ht="26.25">
      <c r="A1588" s="246"/>
      <c r="B1588" s="245"/>
      <c r="C1588" s="245"/>
      <c r="D1588" s="245"/>
      <c r="E1588" s="245"/>
      <c r="F1588" s="187"/>
      <c r="G1588" s="245"/>
      <c r="H1588" s="245"/>
      <c r="I1588" s="245"/>
      <c r="L1588" s="123"/>
      <c r="O1588" s="360"/>
      <c r="Q1588" s="351"/>
      <c r="R1588" s="363"/>
      <c r="S1588" s="321"/>
      <c r="T1588" s="85" ph="1"/>
      <c r="V1588" s="216"/>
      <c r="W1588" s="245"/>
      <c r="X1588" s="187"/>
      <c r="Y1588" s="245"/>
      <c r="Z1588" s="245"/>
      <c r="AA1588" s="329"/>
      <c r="AC1588" s="245"/>
      <c r="AD1588" s="245"/>
      <c r="AE1588" s="245"/>
      <c r="AF1588" s="245"/>
    </row>
    <row r="1589" spans="1:32" ht="26.25">
      <c r="A1589" s="246"/>
      <c r="B1589" s="245"/>
      <c r="C1589" s="245"/>
      <c r="D1589" s="245"/>
      <c r="E1589" s="245"/>
      <c r="F1589" s="187"/>
      <c r="G1589" s="245"/>
      <c r="H1589" s="245"/>
      <c r="I1589" s="245"/>
      <c r="L1589" s="123"/>
      <c r="O1589" s="360"/>
      <c r="Q1589" s="351"/>
      <c r="R1589" s="363"/>
      <c r="S1589" s="321"/>
      <c r="T1589" s="85" ph="1"/>
      <c r="V1589" s="216"/>
      <c r="W1589" s="245"/>
      <c r="X1589" s="187"/>
      <c r="Y1589" s="245"/>
      <c r="Z1589" s="245"/>
      <c r="AA1589" s="329"/>
      <c r="AC1589" s="245"/>
      <c r="AD1589" s="245"/>
      <c r="AE1589" s="245"/>
      <c r="AF1589" s="245"/>
    </row>
    <row r="1590" spans="1:32" ht="26.25">
      <c r="A1590" s="246"/>
      <c r="B1590" s="245"/>
      <c r="C1590" s="245"/>
      <c r="D1590" s="245"/>
      <c r="E1590" s="245"/>
      <c r="F1590" s="187"/>
      <c r="G1590" s="245"/>
      <c r="H1590" s="245"/>
      <c r="I1590" s="245"/>
      <c r="L1590" s="123"/>
      <c r="O1590" s="360"/>
      <c r="Q1590" s="351"/>
      <c r="R1590" s="363"/>
      <c r="S1590" s="321"/>
      <c r="T1590" s="85" ph="1"/>
      <c r="V1590" s="216"/>
      <c r="W1590" s="245"/>
      <c r="X1590" s="187"/>
      <c r="Y1590" s="245"/>
      <c r="Z1590" s="245"/>
      <c r="AA1590" s="329"/>
      <c r="AC1590" s="245"/>
      <c r="AD1590" s="245"/>
      <c r="AE1590" s="245"/>
      <c r="AF1590" s="245"/>
    </row>
    <row r="1591" spans="1:32" ht="26.25">
      <c r="A1591" s="246"/>
      <c r="B1591" s="245"/>
      <c r="C1591" s="245"/>
      <c r="D1591" s="245"/>
      <c r="E1591" s="245"/>
      <c r="F1591" s="187"/>
      <c r="G1591" s="245"/>
      <c r="H1591" s="245"/>
      <c r="I1591" s="245"/>
      <c r="L1591" s="245"/>
      <c r="R1591" s="363"/>
      <c r="S1591" s="321"/>
      <c r="T1591" s="85" ph="1"/>
      <c r="V1591" s="216"/>
      <c r="W1591" s="245"/>
      <c r="X1591" s="187"/>
      <c r="Y1591" s="245"/>
      <c r="Z1591" s="245"/>
      <c r="AA1591" s="329"/>
      <c r="AC1591" s="245"/>
      <c r="AD1591" s="245"/>
      <c r="AE1591" s="245"/>
      <c r="AF1591" s="245"/>
    </row>
    <row r="1592" spans="1:32" ht="26.25">
      <c r="A1592" s="246"/>
      <c r="B1592" s="245"/>
      <c r="C1592" s="245"/>
      <c r="D1592" s="245"/>
      <c r="E1592" s="245"/>
      <c r="F1592" s="187"/>
      <c r="G1592" s="245"/>
      <c r="H1592" s="245"/>
      <c r="I1592" s="245"/>
      <c r="L1592" s="245"/>
      <c r="O1592" s="360"/>
      <c r="Q1592" s="351"/>
      <c r="R1592" s="363"/>
      <c r="S1592" s="321"/>
      <c r="T1592" s="85" ph="1"/>
      <c r="V1592" s="216"/>
      <c r="W1592" s="245"/>
      <c r="X1592" s="187"/>
      <c r="Y1592" s="245"/>
      <c r="Z1592" s="245"/>
      <c r="AA1592" s="329"/>
      <c r="AC1592" s="245"/>
      <c r="AD1592" s="245"/>
      <c r="AE1592" s="245"/>
      <c r="AF1592" s="245"/>
    </row>
    <row r="1593" spans="1:32" ht="26.25">
      <c r="A1593" s="246"/>
      <c r="B1593" s="245"/>
      <c r="C1593" s="245"/>
      <c r="D1593" s="245"/>
      <c r="E1593" s="245"/>
      <c r="F1593" s="187"/>
      <c r="G1593" s="245"/>
      <c r="H1593" s="245"/>
      <c r="I1593" s="245"/>
      <c r="L1593" s="245"/>
      <c r="O1593" s="360"/>
      <c r="Q1593" s="351"/>
      <c r="R1593" s="363"/>
      <c r="S1593" s="321"/>
      <c r="T1593" s="85" ph="1"/>
      <c r="V1593" s="216"/>
      <c r="W1593" s="245"/>
      <c r="X1593" s="187"/>
      <c r="Y1593" s="245"/>
      <c r="Z1593" s="245"/>
      <c r="AA1593" s="329"/>
      <c r="AC1593" s="245"/>
      <c r="AD1593" s="245"/>
      <c r="AE1593" s="245"/>
      <c r="AF1593" s="245"/>
    </row>
    <row r="1594" spans="1:32" ht="26.25">
      <c r="A1594" s="246"/>
      <c r="B1594" s="245"/>
      <c r="C1594" s="245"/>
      <c r="D1594" s="245"/>
      <c r="E1594" s="245"/>
      <c r="F1594" s="187"/>
      <c r="G1594" s="245"/>
      <c r="H1594" s="245"/>
      <c r="I1594" s="245"/>
      <c r="L1594" s="245"/>
      <c r="O1594" s="360"/>
      <c r="Q1594" s="351"/>
      <c r="R1594" s="363"/>
      <c r="S1594" s="321"/>
      <c r="T1594" s="85" ph="1"/>
      <c r="V1594" s="216"/>
      <c r="W1594" s="245"/>
      <c r="X1594" s="187"/>
      <c r="Y1594" s="245"/>
      <c r="Z1594" s="245"/>
      <c r="AA1594" s="329"/>
      <c r="AC1594" s="245"/>
      <c r="AD1594" s="245"/>
      <c r="AE1594" s="245"/>
      <c r="AF1594" s="245"/>
    </row>
    <row r="1595" spans="1:32" ht="26.25">
      <c r="A1595" s="246"/>
      <c r="B1595" s="245"/>
      <c r="C1595" s="245"/>
      <c r="D1595" s="245"/>
      <c r="E1595" s="245"/>
      <c r="F1595" s="187"/>
      <c r="G1595" s="245"/>
      <c r="H1595" s="245"/>
      <c r="I1595" s="245"/>
      <c r="L1595" s="245"/>
      <c r="O1595" s="360"/>
      <c r="Q1595" s="351"/>
      <c r="R1595" s="363"/>
      <c r="S1595" s="321"/>
      <c r="T1595" s="85" ph="1"/>
      <c r="V1595" s="216"/>
      <c r="W1595" s="245"/>
      <c r="X1595" s="187"/>
      <c r="Y1595" s="245"/>
      <c r="Z1595" s="245"/>
      <c r="AA1595" s="329"/>
      <c r="AC1595" s="245"/>
      <c r="AD1595" s="245"/>
      <c r="AE1595" s="245"/>
      <c r="AF1595" s="245"/>
    </row>
    <row r="1596" spans="1:32" ht="26.25">
      <c r="A1596" s="246"/>
      <c r="B1596" s="245"/>
      <c r="C1596" s="245"/>
      <c r="D1596" s="245"/>
      <c r="E1596" s="245"/>
      <c r="F1596" s="187"/>
      <c r="G1596" s="245"/>
      <c r="H1596" s="245"/>
      <c r="I1596" s="245"/>
      <c r="L1596" s="245"/>
      <c r="O1596" s="360"/>
      <c r="Q1596" s="351"/>
      <c r="R1596" s="363"/>
      <c r="S1596" s="321"/>
      <c r="T1596" s="85" ph="1"/>
      <c r="V1596" s="216"/>
      <c r="W1596" s="245"/>
      <c r="X1596" s="187"/>
      <c r="Y1596" s="245"/>
      <c r="Z1596" s="245"/>
      <c r="AA1596" s="329"/>
      <c r="AC1596" s="245"/>
      <c r="AD1596" s="245"/>
      <c r="AE1596" s="245"/>
      <c r="AF1596" s="245"/>
    </row>
    <row r="1597" spans="1:32" ht="26.25">
      <c r="A1597" s="246"/>
      <c r="B1597" s="245"/>
      <c r="C1597" s="245"/>
      <c r="D1597" s="245"/>
      <c r="E1597" s="245"/>
      <c r="F1597" s="187"/>
      <c r="G1597" s="245"/>
      <c r="H1597" s="245"/>
      <c r="I1597" s="245"/>
      <c r="L1597" s="245"/>
      <c r="O1597" s="360"/>
      <c r="Q1597" s="351"/>
      <c r="R1597" s="363"/>
      <c r="S1597" s="321"/>
      <c r="T1597" s="85" ph="1"/>
      <c r="V1597" s="216"/>
      <c r="W1597" s="245"/>
      <c r="X1597" s="187"/>
      <c r="Y1597" s="245"/>
      <c r="Z1597" s="245"/>
      <c r="AA1597" s="329"/>
      <c r="AC1597" s="245"/>
      <c r="AD1597" s="245"/>
      <c r="AE1597" s="245"/>
      <c r="AF1597" s="245"/>
    </row>
    <row r="1598" spans="1:32" ht="26.25">
      <c r="A1598" s="246"/>
      <c r="B1598" s="245"/>
      <c r="C1598" s="245"/>
      <c r="D1598" s="245"/>
      <c r="E1598" s="245"/>
      <c r="F1598" s="187"/>
      <c r="G1598" s="245"/>
      <c r="H1598" s="245"/>
      <c r="I1598" s="245"/>
      <c r="L1598" s="245"/>
      <c r="O1598" s="360"/>
      <c r="Q1598" s="351"/>
      <c r="R1598" s="363"/>
      <c r="S1598" s="321"/>
      <c r="T1598" s="85" ph="1"/>
      <c r="V1598" s="216"/>
      <c r="W1598" s="245"/>
      <c r="X1598" s="187"/>
      <c r="Y1598" s="245"/>
      <c r="Z1598" s="245"/>
      <c r="AA1598" s="329"/>
      <c r="AC1598" s="245"/>
      <c r="AD1598" s="245"/>
      <c r="AE1598" s="245"/>
      <c r="AF1598" s="245"/>
    </row>
    <row r="1599" spans="1:32" ht="26.25">
      <c r="A1599" s="246"/>
      <c r="B1599" s="245"/>
      <c r="C1599" s="245"/>
      <c r="D1599" s="245"/>
      <c r="E1599" s="245"/>
      <c r="F1599" s="187"/>
      <c r="G1599" s="245"/>
      <c r="H1599" s="245"/>
      <c r="I1599" s="245"/>
      <c r="L1599" s="245"/>
      <c r="O1599" s="360"/>
      <c r="Q1599" s="351"/>
      <c r="R1599" s="363"/>
      <c r="S1599" s="321"/>
      <c r="T1599" s="85" ph="1"/>
      <c r="V1599" s="216"/>
      <c r="W1599" s="245"/>
      <c r="X1599" s="187"/>
      <c r="Y1599" s="245"/>
      <c r="Z1599" s="245"/>
      <c r="AA1599" s="329"/>
      <c r="AC1599" s="245"/>
      <c r="AD1599" s="245"/>
      <c r="AE1599" s="245"/>
      <c r="AF1599" s="245"/>
    </row>
    <row r="1600" spans="1:32" ht="26.25">
      <c r="A1600" s="246"/>
      <c r="B1600" s="245"/>
      <c r="C1600" s="245"/>
      <c r="D1600" s="245"/>
      <c r="E1600" s="245"/>
      <c r="F1600" s="187"/>
      <c r="G1600" s="245"/>
      <c r="H1600" s="245"/>
      <c r="I1600" s="245"/>
      <c r="L1600" s="123"/>
      <c r="O1600" s="360"/>
      <c r="Q1600" s="351"/>
      <c r="R1600" s="363"/>
      <c r="S1600" s="321"/>
      <c r="T1600" s="85" ph="1"/>
      <c r="V1600" s="216"/>
      <c r="W1600" s="245"/>
      <c r="X1600" s="187"/>
      <c r="Y1600" s="245"/>
      <c r="Z1600" s="245"/>
      <c r="AA1600" s="329"/>
      <c r="AC1600" s="245"/>
      <c r="AD1600" s="245"/>
      <c r="AE1600" s="245"/>
      <c r="AF1600" s="245"/>
    </row>
    <row r="1601" spans="1:32" ht="26.25">
      <c r="A1601" s="246"/>
      <c r="B1601" s="245"/>
      <c r="C1601" s="245"/>
      <c r="D1601" s="245"/>
      <c r="E1601" s="245"/>
      <c r="F1601" s="187"/>
      <c r="G1601" s="245"/>
      <c r="H1601" s="245"/>
      <c r="I1601" s="245"/>
      <c r="L1601" s="245"/>
      <c r="O1601" s="360"/>
      <c r="Q1601" s="351"/>
      <c r="R1601" s="363"/>
      <c r="S1601" s="321"/>
      <c r="T1601" s="85" ph="1"/>
      <c r="V1601" s="216"/>
      <c r="W1601" s="245"/>
      <c r="X1601" s="187"/>
      <c r="Y1601" s="245"/>
      <c r="Z1601" s="245"/>
      <c r="AA1601" s="329"/>
      <c r="AC1601" s="245"/>
      <c r="AD1601" s="245"/>
      <c r="AE1601" s="245"/>
      <c r="AF1601" s="245"/>
    </row>
    <row r="1602" spans="1:32" ht="26.25">
      <c r="A1602" s="246"/>
      <c r="B1602" s="245"/>
      <c r="C1602" s="245"/>
      <c r="D1602" s="245"/>
      <c r="E1602" s="245"/>
      <c r="F1602" s="187"/>
      <c r="G1602" s="245"/>
      <c r="H1602" s="245"/>
      <c r="I1602" s="245"/>
      <c r="L1602" s="245"/>
      <c r="O1602" s="360"/>
      <c r="Q1602" s="351"/>
      <c r="R1602" s="363"/>
      <c r="S1602" s="321"/>
      <c r="T1602" s="85" ph="1"/>
      <c r="V1602" s="216"/>
      <c r="W1602" s="245"/>
      <c r="X1602" s="187"/>
      <c r="Y1602" s="245"/>
      <c r="Z1602" s="245"/>
      <c r="AA1602" s="329"/>
      <c r="AC1602" s="245"/>
      <c r="AD1602" s="245"/>
      <c r="AE1602" s="245"/>
      <c r="AF1602" s="245"/>
    </row>
    <row r="1603" spans="1:32" ht="26.25">
      <c r="A1603" s="246"/>
      <c r="B1603" s="245"/>
      <c r="C1603" s="245"/>
      <c r="D1603" s="245"/>
      <c r="E1603" s="245"/>
      <c r="F1603" s="187"/>
      <c r="G1603" s="245"/>
      <c r="H1603" s="245"/>
      <c r="I1603" s="245"/>
      <c r="L1603" s="245"/>
      <c r="O1603" s="360"/>
      <c r="Q1603" s="351"/>
      <c r="R1603" s="363"/>
      <c r="S1603" s="321"/>
      <c r="T1603" s="85" ph="1"/>
      <c r="V1603" s="216"/>
      <c r="W1603" s="245"/>
      <c r="X1603" s="187"/>
      <c r="Y1603" s="245"/>
      <c r="Z1603" s="245"/>
      <c r="AA1603" s="329"/>
      <c r="AC1603" s="245"/>
      <c r="AD1603" s="245"/>
      <c r="AE1603" s="245"/>
      <c r="AF1603" s="245"/>
    </row>
    <row r="1604" spans="1:32" ht="26.25">
      <c r="A1604" s="246"/>
      <c r="B1604" s="245"/>
      <c r="C1604" s="245"/>
      <c r="D1604" s="245"/>
      <c r="E1604" s="245"/>
      <c r="F1604" s="187"/>
      <c r="G1604" s="245"/>
      <c r="H1604" s="245"/>
      <c r="I1604" s="245"/>
      <c r="L1604" s="123"/>
      <c r="O1604" s="360"/>
      <c r="Q1604" s="351"/>
      <c r="R1604" s="363"/>
      <c r="S1604" s="321"/>
      <c r="T1604" s="85" ph="1"/>
      <c r="V1604" s="216"/>
      <c r="W1604" s="245"/>
      <c r="X1604" s="187"/>
      <c r="Y1604" s="245"/>
      <c r="Z1604" s="245"/>
      <c r="AA1604" s="329"/>
      <c r="AC1604" s="245"/>
      <c r="AD1604" s="245"/>
      <c r="AE1604" s="245"/>
      <c r="AF1604" s="245"/>
    </row>
    <row r="1605" spans="1:32" ht="26.25">
      <c r="A1605" s="246"/>
      <c r="B1605" s="245"/>
      <c r="C1605" s="245"/>
      <c r="D1605" s="245"/>
      <c r="E1605" s="245"/>
      <c r="F1605" s="187"/>
      <c r="G1605" s="245"/>
      <c r="H1605" s="245"/>
      <c r="I1605" s="245"/>
      <c r="L1605" s="245"/>
      <c r="O1605" s="360"/>
      <c r="Q1605" s="351"/>
      <c r="R1605" s="363"/>
      <c r="S1605" s="321"/>
      <c r="T1605" s="85" ph="1"/>
      <c r="V1605" s="216"/>
      <c r="W1605" s="245"/>
      <c r="X1605" s="187"/>
      <c r="Y1605" s="245"/>
      <c r="Z1605" s="245"/>
      <c r="AA1605" s="329"/>
      <c r="AC1605" s="245"/>
      <c r="AD1605" s="245"/>
      <c r="AE1605" s="245"/>
      <c r="AF1605" s="245"/>
    </row>
    <row r="1606" spans="1:32" ht="26.25">
      <c r="A1606" s="246"/>
      <c r="B1606" s="245"/>
      <c r="C1606" s="245"/>
      <c r="D1606" s="245"/>
      <c r="E1606" s="245"/>
      <c r="F1606" s="187"/>
      <c r="G1606" s="245"/>
      <c r="H1606" s="245"/>
      <c r="I1606" s="245"/>
      <c r="L1606" s="245"/>
      <c r="O1606" s="360"/>
      <c r="Q1606" s="351"/>
      <c r="R1606" s="363"/>
      <c r="S1606" s="321"/>
      <c r="T1606" s="85" ph="1"/>
      <c r="V1606" s="216"/>
      <c r="W1606" s="245"/>
      <c r="X1606" s="187"/>
      <c r="Y1606" s="245"/>
      <c r="Z1606" s="245"/>
      <c r="AA1606" s="329"/>
      <c r="AC1606" s="245"/>
      <c r="AD1606" s="245"/>
      <c r="AE1606" s="245"/>
      <c r="AF1606" s="245"/>
    </row>
    <row r="1607" spans="1:32" ht="26.25">
      <c r="A1607" s="246"/>
      <c r="B1607" s="245"/>
      <c r="C1607" s="245"/>
      <c r="D1607" s="245"/>
      <c r="E1607" s="245"/>
      <c r="F1607" s="187"/>
      <c r="G1607" s="245"/>
      <c r="H1607" s="245"/>
      <c r="I1607" s="245"/>
      <c r="L1607" s="123"/>
      <c r="O1607" s="360"/>
      <c r="Q1607" s="351"/>
      <c r="R1607" s="363"/>
      <c r="S1607" s="321"/>
      <c r="T1607" s="85" ph="1"/>
      <c r="V1607" s="216"/>
      <c r="W1607" s="245"/>
      <c r="X1607" s="187"/>
      <c r="Y1607" s="245"/>
      <c r="Z1607" s="245"/>
      <c r="AA1607" s="329"/>
      <c r="AC1607" s="245"/>
      <c r="AD1607" s="245"/>
      <c r="AE1607" s="245"/>
      <c r="AF1607" s="245"/>
    </row>
    <row r="1608" spans="1:32" ht="26.25">
      <c r="A1608" s="246"/>
      <c r="B1608" s="245"/>
      <c r="C1608" s="245"/>
      <c r="D1608" s="245"/>
      <c r="E1608" s="245"/>
      <c r="F1608" s="187"/>
      <c r="G1608" s="245"/>
      <c r="H1608" s="245"/>
      <c r="I1608" s="245"/>
      <c r="L1608" s="123"/>
      <c r="O1608" s="360"/>
      <c r="Q1608" s="351"/>
      <c r="R1608" s="363"/>
      <c r="S1608" s="321"/>
      <c r="T1608" s="85" ph="1"/>
      <c r="V1608" s="216"/>
      <c r="W1608" s="245"/>
      <c r="X1608" s="187"/>
      <c r="Y1608" s="245"/>
      <c r="Z1608" s="245"/>
      <c r="AA1608" s="329"/>
      <c r="AC1608" s="245"/>
      <c r="AD1608" s="245"/>
      <c r="AE1608" s="245"/>
      <c r="AF1608" s="245"/>
    </row>
    <row r="1609" spans="1:32" ht="26.25">
      <c r="A1609" s="246"/>
      <c r="B1609" s="245"/>
      <c r="C1609" s="245"/>
      <c r="D1609" s="245"/>
      <c r="E1609" s="245"/>
      <c r="F1609" s="187"/>
      <c r="G1609" s="245"/>
      <c r="H1609" s="245"/>
      <c r="I1609" s="245"/>
      <c r="O1609" s="360"/>
      <c r="Q1609" s="351"/>
      <c r="R1609" s="363"/>
      <c r="S1609" s="321"/>
      <c r="T1609" s="85" ph="1"/>
      <c r="V1609" s="216"/>
      <c r="W1609" s="245"/>
      <c r="X1609" s="187"/>
      <c r="Y1609" s="245"/>
      <c r="Z1609" s="245"/>
      <c r="AA1609" s="329"/>
      <c r="AC1609" s="245"/>
      <c r="AD1609" s="245"/>
      <c r="AE1609" s="245"/>
      <c r="AF1609" s="245"/>
    </row>
    <row r="1610" spans="1:32" ht="26.25">
      <c r="A1610" s="246"/>
      <c r="B1610" s="245"/>
      <c r="C1610" s="245"/>
      <c r="D1610" s="245"/>
      <c r="E1610" s="245"/>
      <c r="F1610" s="187"/>
      <c r="G1610" s="245"/>
      <c r="H1610" s="245"/>
      <c r="I1610" s="245"/>
      <c r="O1610" s="360"/>
      <c r="Q1610" s="351"/>
      <c r="R1610" s="363"/>
      <c r="S1610" s="321"/>
      <c r="T1610" s="85" ph="1"/>
      <c r="V1610" s="216"/>
      <c r="W1610" s="245"/>
      <c r="X1610" s="187"/>
      <c r="Y1610" s="245"/>
      <c r="Z1610" s="245"/>
      <c r="AA1610" s="329"/>
      <c r="AC1610" s="245"/>
      <c r="AD1610" s="245"/>
      <c r="AE1610" s="245"/>
      <c r="AF1610" s="245"/>
    </row>
    <row r="1611" spans="1:32" ht="26.25">
      <c r="A1611" s="246"/>
      <c r="B1611" s="245"/>
      <c r="C1611" s="245"/>
      <c r="D1611" s="245"/>
      <c r="E1611" s="245"/>
      <c r="F1611" s="187"/>
      <c r="G1611" s="245"/>
      <c r="H1611" s="245"/>
      <c r="I1611" s="245"/>
      <c r="O1611" s="360"/>
      <c r="Q1611" s="351"/>
      <c r="R1611" s="363"/>
      <c r="S1611" s="321"/>
      <c r="T1611" s="85" ph="1"/>
      <c r="V1611" s="216"/>
      <c r="W1611" s="245"/>
      <c r="X1611" s="187"/>
      <c r="Y1611" s="245"/>
      <c r="Z1611" s="245"/>
      <c r="AA1611" s="329"/>
      <c r="AC1611" s="245"/>
      <c r="AD1611" s="245"/>
      <c r="AE1611" s="245"/>
      <c r="AF1611" s="245"/>
    </row>
    <row r="1612" spans="1:32" ht="26.25">
      <c r="A1612" s="246"/>
      <c r="B1612" s="245"/>
      <c r="C1612" s="245"/>
      <c r="D1612" s="245"/>
      <c r="E1612" s="245"/>
      <c r="F1612" s="187"/>
      <c r="G1612" s="245"/>
      <c r="H1612" s="245"/>
      <c r="I1612" s="245"/>
      <c r="O1612" s="360"/>
      <c r="Q1612" s="351"/>
      <c r="R1612" s="363"/>
      <c r="S1612" s="321"/>
      <c r="T1612" s="85" ph="1"/>
      <c r="V1612" s="216"/>
      <c r="W1612" s="245"/>
      <c r="X1612" s="187"/>
      <c r="Y1612" s="245"/>
      <c r="Z1612" s="245"/>
      <c r="AA1612" s="329"/>
      <c r="AC1612" s="245"/>
      <c r="AD1612" s="245"/>
      <c r="AE1612" s="245"/>
      <c r="AF1612" s="245"/>
    </row>
    <row r="1613" spans="1:32" ht="26.25">
      <c r="A1613" s="246"/>
      <c r="B1613" s="245"/>
      <c r="C1613" s="245"/>
      <c r="D1613" s="245"/>
      <c r="E1613" s="245"/>
      <c r="F1613" s="187"/>
      <c r="G1613" s="245"/>
      <c r="H1613" s="245"/>
      <c r="I1613" s="245"/>
      <c r="O1613" s="360"/>
      <c r="Q1613" s="351"/>
      <c r="R1613" s="363"/>
      <c r="S1613" s="321"/>
      <c r="T1613" s="85" ph="1"/>
      <c r="V1613" s="216"/>
      <c r="W1613" s="245"/>
      <c r="X1613" s="187"/>
      <c r="Y1613" s="245"/>
      <c r="Z1613" s="245"/>
      <c r="AA1613" s="329"/>
      <c r="AC1613" s="245"/>
      <c r="AD1613" s="245"/>
      <c r="AE1613" s="245"/>
      <c r="AF1613" s="245"/>
    </row>
    <row r="1614" spans="1:32" ht="26.25">
      <c r="A1614" s="246"/>
      <c r="B1614" s="245"/>
      <c r="C1614" s="245"/>
      <c r="D1614" s="245"/>
      <c r="E1614" s="245"/>
      <c r="F1614" s="187"/>
      <c r="G1614" s="245"/>
      <c r="H1614" s="245"/>
      <c r="I1614" s="245"/>
      <c r="O1614" s="360"/>
      <c r="Q1614" s="351"/>
      <c r="R1614" s="363"/>
      <c r="S1614" s="321"/>
      <c r="T1614" s="85" ph="1"/>
      <c r="V1614" s="216"/>
      <c r="W1614" s="245"/>
      <c r="X1614" s="187"/>
      <c r="Y1614" s="245"/>
      <c r="Z1614" s="245"/>
      <c r="AA1614" s="329"/>
      <c r="AC1614" s="245"/>
      <c r="AD1614" s="245"/>
      <c r="AE1614" s="245"/>
      <c r="AF1614" s="245"/>
    </row>
    <row r="1615" spans="1:32" ht="26.25">
      <c r="A1615" s="246"/>
      <c r="B1615" s="245"/>
      <c r="C1615" s="245"/>
      <c r="D1615" s="245"/>
      <c r="E1615" s="245"/>
      <c r="F1615" s="187"/>
      <c r="G1615" s="245"/>
      <c r="H1615" s="245"/>
      <c r="I1615" s="245"/>
      <c r="O1615" s="360"/>
      <c r="Q1615" s="351"/>
      <c r="R1615" s="363"/>
      <c r="S1615" s="321"/>
      <c r="T1615" s="85" ph="1"/>
      <c r="V1615" s="216"/>
      <c r="W1615" s="245"/>
      <c r="X1615" s="187"/>
      <c r="Y1615" s="245"/>
      <c r="Z1615" s="245"/>
      <c r="AA1615" s="329"/>
      <c r="AC1615" s="245"/>
      <c r="AD1615" s="245"/>
      <c r="AE1615" s="245"/>
      <c r="AF1615" s="245"/>
    </row>
    <row r="1616" spans="1:32" ht="26.25">
      <c r="A1616" s="246"/>
      <c r="B1616" s="245"/>
      <c r="C1616" s="245"/>
      <c r="D1616" s="245"/>
      <c r="E1616" s="245"/>
      <c r="F1616" s="187"/>
      <c r="G1616" s="245"/>
      <c r="H1616" s="245"/>
      <c r="I1616" s="245"/>
      <c r="O1616" s="360"/>
      <c r="Q1616" s="351"/>
      <c r="R1616" s="363"/>
      <c r="S1616" s="321"/>
      <c r="T1616" s="85" ph="1"/>
      <c r="V1616" s="216"/>
      <c r="W1616" s="245"/>
      <c r="X1616" s="187"/>
      <c r="Y1616" s="245"/>
      <c r="Z1616" s="245"/>
      <c r="AA1616" s="329"/>
      <c r="AC1616" s="245"/>
      <c r="AD1616" s="245"/>
      <c r="AE1616" s="245"/>
      <c r="AF1616" s="245"/>
    </row>
    <row r="1617" spans="1:32" ht="26.25">
      <c r="A1617" s="246"/>
      <c r="B1617" s="245"/>
      <c r="C1617" s="245"/>
      <c r="D1617" s="245"/>
      <c r="E1617" s="245"/>
      <c r="F1617" s="187"/>
      <c r="G1617" s="245"/>
      <c r="H1617" s="245"/>
      <c r="I1617" s="245"/>
      <c r="O1617" s="360"/>
      <c r="Q1617" s="351"/>
      <c r="R1617" s="363"/>
      <c r="S1617" s="321"/>
      <c r="T1617" s="85" ph="1"/>
      <c r="V1617" s="216"/>
      <c r="W1617" s="245"/>
      <c r="X1617" s="187"/>
      <c r="Y1617" s="245"/>
      <c r="Z1617" s="245"/>
      <c r="AA1617" s="329"/>
      <c r="AC1617" s="245"/>
      <c r="AD1617" s="245"/>
      <c r="AE1617" s="245"/>
      <c r="AF1617" s="245"/>
    </row>
    <row r="1618" spans="1:32" ht="26.25">
      <c r="A1618" s="246"/>
      <c r="B1618" s="245"/>
      <c r="C1618" s="245"/>
      <c r="D1618" s="245"/>
      <c r="E1618" s="245"/>
      <c r="F1618" s="187"/>
      <c r="G1618" s="245"/>
      <c r="H1618" s="245"/>
      <c r="I1618" s="245"/>
      <c r="O1618" s="360"/>
      <c r="Q1618" s="351"/>
      <c r="R1618" s="363"/>
      <c r="S1618" s="321"/>
      <c r="T1618" s="85" ph="1"/>
      <c r="V1618" s="216"/>
      <c r="W1618" s="245"/>
      <c r="X1618" s="187"/>
      <c r="Y1618" s="245"/>
      <c r="Z1618" s="245"/>
      <c r="AA1618" s="329"/>
      <c r="AC1618" s="245"/>
      <c r="AD1618" s="245"/>
      <c r="AE1618" s="245"/>
      <c r="AF1618" s="245"/>
    </row>
    <row r="1619" spans="1:32" ht="26.25">
      <c r="A1619" s="246"/>
      <c r="B1619" s="245"/>
      <c r="C1619" s="245"/>
      <c r="D1619" s="245"/>
      <c r="E1619" s="245"/>
      <c r="F1619" s="187"/>
      <c r="G1619" s="245"/>
      <c r="H1619" s="245"/>
      <c r="I1619" s="245"/>
      <c r="O1619" s="360"/>
      <c r="Q1619" s="351"/>
      <c r="R1619" s="363"/>
      <c r="S1619" s="321"/>
      <c r="T1619" s="85" ph="1"/>
      <c r="V1619" s="216"/>
      <c r="W1619" s="245"/>
      <c r="X1619" s="187"/>
      <c r="Y1619" s="245"/>
      <c r="Z1619" s="245"/>
      <c r="AA1619" s="329"/>
      <c r="AC1619" s="245"/>
      <c r="AD1619" s="245"/>
      <c r="AE1619" s="245"/>
      <c r="AF1619" s="245"/>
    </row>
    <row r="1620" spans="1:32" ht="26.25">
      <c r="A1620" s="246"/>
      <c r="B1620" s="245"/>
      <c r="C1620" s="245"/>
      <c r="D1620" s="245"/>
      <c r="E1620" s="245"/>
      <c r="F1620" s="187"/>
      <c r="G1620" s="245"/>
      <c r="H1620" s="245"/>
      <c r="I1620" s="245"/>
      <c r="O1620" s="360"/>
      <c r="Q1620" s="351"/>
      <c r="R1620" s="363"/>
      <c r="S1620" s="321"/>
      <c r="T1620" s="85" ph="1"/>
      <c r="V1620" s="216"/>
      <c r="W1620" s="245"/>
      <c r="X1620" s="187"/>
      <c r="Y1620" s="245"/>
      <c r="Z1620" s="245"/>
      <c r="AA1620" s="329"/>
      <c r="AC1620" s="245"/>
      <c r="AD1620" s="245"/>
      <c r="AE1620" s="245"/>
      <c r="AF1620" s="245"/>
    </row>
    <row r="1621" spans="1:32" ht="26.25">
      <c r="A1621" s="246"/>
      <c r="B1621" s="245"/>
      <c r="C1621" s="245"/>
      <c r="D1621" s="245"/>
      <c r="E1621" s="245"/>
      <c r="F1621" s="187"/>
      <c r="G1621" s="245"/>
      <c r="H1621" s="245"/>
      <c r="I1621" s="245"/>
      <c r="O1621" s="360"/>
      <c r="Q1621" s="351"/>
      <c r="R1621" s="363"/>
      <c r="S1621" s="321"/>
      <c r="T1621" s="85" ph="1"/>
      <c r="V1621" s="216"/>
      <c r="W1621" s="245"/>
      <c r="X1621" s="187"/>
      <c r="Y1621" s="245"/>
      <c r="Z1621" s="245"/>
      <c r="AA1621" s="329"/>
      <c r="AC1621" s="245"/>
      <c r="AD1621" s="245"/>
      <c r="AE1621" s="245"/>
      <c r="AF1621" s="245"/>
    </row>
    <row r="1622" spans="1:32" ht="26.25">
      <c r="A1622" s="246"/>
      <c r="B1622" s="245"/>
      <c r="C1622" s="245"/>
      <c r="D1622" s="245"/>
      <c r="E1622" s="245"/>
      <c r="F1622" s="187"/>
      <c r="G1622" s="245"/>
      <c r="H1622" s="245"/>
      <c r="I1622" s="245"/>
      <c r="O1622" s="360"/>
      <c r="Q1622" s="351"/>
      <c r="R1622" s="363"/>
      <c r="S1622" s="321"/>
      <c r="T1622" s="85" ph="1"/>
      <c r="V1622" s="216"/>
      <c r="W1622" s="245"/>
      <c r="X1622" s="187"/>
      <c r="Y1622" s="245"/>
      <c r="Z1622" s="245"/>
      <c r="AA1622" s="329"/>
      <c r="AC1622" s="245"/>
      <c r="AD1622" s="245"/>
      <c r="AE1622" s="245"/>
      <c r="AF1622" s="245"/>
    </row>
    <row r="1623" spans="1:32" ht="26.25">
      <c r="A1623" s="246"/>
      <c r="B1623" s="245"/>
      <c r="C1623" s="245"/>
      <c r="D1623" s="245"/>
      <c r="E1623" s="245"/>
      <c r="F1623" s="187"/>
      <c r="G1623" s="245"/>
      <c r="H1623" s="245"/>
      <c r="I1623" s="245"/>
      <c r="O1623" s="360"/>
      <c r="Q1623" s="351"/>
      <c r="R1623" s="363"/>
      <c r="S1623" s="321"/>
      <c r="T1623" s="85" ph="1"/>
      <c r="V1623" s="216"/>
      <c r="W1623" s="245"/>
      <c r="X1623" s="187"/>
      <c r="Y1623" s="245"/>
      <c r="Z1623" s="245"/>
      <c r="AA1623" s="329"/>
      <c r="AC1623" s="245"/>
      <c r="AD1623" s="245"/>
      <c r="AE1623" s="245"/>
      <c r="AF1623" s="245"/>
    </row>
    <row r="1624" spans="1:32" ht="26.25">
      <c r="A1624" s="246"/>
      <c r="B1624" s="245"/>
      <c r="C1624" s="245"/>
      <c r="D1624" s="245"/>
      <c r="E1624" s="245"/>
      <c r="F1624" s="187"/>
      <c r="G1624" s="245"/>
      <c r="H1624" s="245"/>
      <c r="I1624" s="245"/>
      <c r="O1624" s="360"/>
      <c r="Q1624" s="351"/>
      <c r="R1624" s="363"/>
      <c r="S1624" s="321"/>
      <c r="T1624" s="85" ph="1"/>
      <c r="V1624" s="216"/>
      <c r="W1624" s="245"/>
      <c r="X1624" s="187"/>
      <c r="Y1624" s="245"/>
      <c r="Z1624" s="245"/>
      <c r="AA1624" s="329"/>
      <c r="AC1624" s="245"/>
      <c r="AD1624" s="245"/>
      <c r="AE1624" s="245"/>
      <c r="AF1624" s="245"/>
    </row>
    <row r="1625" spans="1:32" ht="26.25">
      <c r="A1625" s="246"/>
      <c r="B1625" s="245"/>
      <c r="C1625" s="245"/>
      <c r="D1625" s="245"/>
      <c r="E1625" s="245"/>
      <c r="F1625" s="187"/>
      <c r="G1625" s="245"/>
      <c r="H1625" s="245"/>
      <c r="I1625" s="245"/>
      <c r="O1625" s="360"/>
      <c r="Q1625" s="351"/>
      <c r="R1625" s="363"/>
      <c r="S1625" s="321"/>
      <c r="T1625" s="85" ph="1"/>
      <c r="V1625" s="216"/>
      <c r="W1625" s="245"/>
      <c r="X1625" s="187"/>
      <c r="Y1625" s="245"/>
      <c r="Z1625" s="245"/>
      <c r="AA1625" s="329"/>
      <c r="AC1625" s="245"/>
      <c r="AD1625" s="245"/>
      <c r="AE1625" s="245"/>
      <c r="AF1625" s="245"/>
    </row>
    <row r="1626" spans="1:32" ht="26.25">
      <c r="A1626" s="246"/>
      <c r="B1626" s="245"/>
      <c r="C1626" s="245"/>
      <c r="D1626" s="245"/>
      <c r="E1626" s="245"/>
      <c r="F1626" s="187"/>
      <c r="G1626" s="245"/>
      <c r="H1626" s="245"/>
      <c r="I1626" s="245"/>
      <c r="O1626" s="360"/>
      <c r="Q1626" s="351"/>
      <c r="R1626" s="363"/>
      <c r="S1626" s="321"/>
      <c r="T1626" s="85" ph="1"/>
      <c r="V1626" s="216"/>
      <c r="W1626" s="245"/>
      <c r="X1626" s="187"/>
      <c r="Y1626" s="245"/>
      <c r="Z1626" s="245"/>
      <c r="AA1626" s="329"/>
      <c r="AC1626" s="245"/>
      <c r="AD1626" s="245"/>
      <c r="AE1626" s="245"/>
      <c r="AF1626" s="245"/>
    </row>
    <row r="1627" spans="1:32" ht="26.25">
      <c r="A1627" s="246"/>
      <c r="B1627" s="245"/>
      <c r="C1627" s="245"/>
      <c r="D1627" s="245"/>
      <c r="E1627" s="245"/>
      <c r="F1627" s="187"/>
      <c r="G1627" s="245"/>
      <c r="H1627" s="245"/>
      <c r="I1627" s="245"/>
      <c r="O1627" s="360"/>
      <c r="Q1627" s="351"/>
      <c r="R1627" s="363"/>
      <c r="S1627" s="321"/>
      <c r="T1627" s="85" ph="1"/>
      <c r="V1627" s="216"/>
      <c r="W1627" s="245"/>
      <c r="X1627" s="187"/>
      <c r="Y1627" s="245"/>
      <c r="Z1627" s="245"/>
      <c r="AA1627" s="329"/>
      <c r="AC1627" s="245"/>
      <c r="AD1627" s="245"/>
      <c r="AE1627" s="245"/>
      <c r="AF1627" s="245"/>
    </row>
    <row r="1628" spans="1:32" ht="26.25">
      <c r="A1628" s="246"/>
      <c r="B1628" s="245"/>
      <c r="C1628" s="245"/>
      <c r="D1628" s="245"/>
      <c r="E1628" s="245"/>
      <c r="F1628" s="187"/>
      <c r="G1628" s="245"/>
      <c r="H1628" s="245"/>
      <c r="I1628" s="245"/>
      <c r="O1628" s="360"/>
      <c r="Q1628" s="351"/>
      <c r="R1628" s="363"/>
      <c r="S1628" s="321"/>
      <c r="T1628" s="85" ph="1"/>
      <c r="V1628" s="216"/>
      <c r="W1628" s="245"/>
      <c r="X1628" s="187"/>
      <c r="Y1628" s="245"/>
      <c r="Z1628" s="245"/>
      <c r="AA1628" s="329"/>
      <c r="AC1628" s="245"/>
      <c r="AD1628" s="245"/>
      <c r="AE1628" s="245"/>
      <c r="AF1628" s="245"/>
    </row>
    <row r="1629" spans="1:32" ht="26.25">
      <c r="A1629" s="246"/>
      <c r="B1629" s="245"/>
      <c r="C1629" s="245"/>
      <c r="D1629" s="245"/>
      <c r="E1629" s="245"/>
      <c r="F1629" s="187"/>
      <c r="G1629" s="245"/>
      <c r="H1629" s="245"/>
      <c r="I1629" s="245"/>
      <c r="O1629" s="360"/>
      <c r="Q1629" s="351"/>
      <c r="R1629" s="363"/>
      <c r="S1629" s="321"/>
      <c r="T1629" s="85" ph="1"/>
      <c r="V1629" s="216"/>
      <c r="W1629" s="245"/>
      <c r="X1629" s="187"/>
      <c r="Y1629" s="245"/>
      <c r="Z1629" s="245"/>
      <c r="AA1629" s="329"/>
      <c r="AC1629" s="245"/>
      <c r="AD1629" s="245"/>
      <c r="AE1629" s="245"/>
      <c r="AF1629" s="245"/>
    </row>
    <row r="1630" spans="1:32" ht="26.25">
      <c r="A1630" s="246"/>
      <c r="B1630" s="245"/>
      <c r="C1630" s="245"/>
      <c r="D1630" s="245"/>
      <c r="E1630" s="245"/>
      <c r="F1630" s="187"/>
      <c r="G1630" s="245"/>
      <c r="H1630" s="245"/>
      <c r="I1630" s="245"/>
      <c r="O1630" s="360"/>
      <c r="Q1630" s="351"/>
      <c r="R1630" s="363"/>
      <c r="S1630" s="321"/>
      <c r="T1630" s="85" ph="1"/>
      <c r="V1630" s="216"/>
      <c r="W1630" s="245"/>
      <c r="X1630" s="187"/>
      <c r="Y1630" s="245"/>
      <c r="Z1630" s="245"/>
      <c r="AA1630" s="329"/>
      <c r="AC1630" s="245"/>
      <c r="AD1630" s="245"/>
      <c r="AE1630" s="245"/>
      <c r="AF1630" s="245"/>
    </row>
    <row r="1631" spans="1:32" ht="26.25">
      <c r="A1631" s="246"/>
      <c r="B1631" s="245"/>
      <c r="C1631" s="245"/>
      <c r="D1631" s="245"/>
      <c r="E1631" s="245"/>
      <c r="F1631" s="187"/>
      <c r="G1631" s="245"/>
      <c r="H1631" s="245"/>
      <c r="I1631" s="245"/>
      <c r="O1631" s="360"/>
      <c r="Q1631" s="351"/>
      <c r="R1631" s="363"/>
      <c r="S1631" s="321"/>
      <c r="T1631" s="85" ph="1"/>
      <c r="V1631" s="216"/>
      <c r="W1631" s="245"/>
      <c r="X1631" s="187"/>
      <c r="Y1631" s="245"/>
      <c r="Z1631" s="245"/>
      <c r="AA1631" s="329"/>
      <c r="AC1631" s="245"/>
      <c r="AD1631" s="245"/>
      <c r="AE1631" s="245"/>
      <c r="AF1631" s="245"/>
    </row>
    <row r="1632" spans="1:32" ht="26.25">
      <c r="A1632" s="246"/>
      <c r="B1632" s="245"/>
      <c r="C1632" s="245"/>
      <c r="D1632" s="245"/>
      <c r="E1632" s="245"/>
      <c r="F1632" s="187"/>
      <c r="G1632" s="245"/>
      <c r="H1632" s="245"/>
      <c r="I1632" s="245"/>
      <c r="O1632" s="360"/>
      <c r="Q1632" s="351"/>
      <c r="R1632" s="363"/>
      <c r="S1632" s="321"/>
      <c r="T1632" s="85" ph="1"/>
      <c r="V1632" s="216"/>
      <c r="W1632" s="245"/>
      <c r="X1632" s="187"/>
      <c r="Y1632" s="245"/>
      <c r="Z1632" s="245"/>
      <c r="AA1632" s="329"/>
      <c r="AC1632" s="245"/>
      <c r="AD1632" s="245"/>
      <c r="AE1632" s="245"/>
      <c r="AF1632" s="245"/>
    </row>
    <row r="1633" spans="1:32" ht="26.25">
      <c r="A1633" s="246"/>
      <c r="B1633" s="245"/>
      <c r="C1633" s="245"/>
      <c r="D1633" s="245"/>
      <c r="E1633" s="245"/>
      <c r="F1633" s="187"/>
      <c r="G1633" s="245"/>
      <c r="H1633" s="245"/>
      <c r="I1633" s="245"/>
      <c r="O1633" s="360"/>
      <c r="Q1633" s="351"/>
      <c r="R1633" s="363"/>
      <c r="S1633" s="321"/>
      <c r="T1633" s="85" ph="1"/>
      <c r="V1633" s="216"/>
      <c r="W1633" s="245"/>
      <c r="X1633" s="187"/>
      <c r="Y1633" s="245"/>
      <c r="Z1633" s="245"/>
      <c r="AA1633" s="329"/>
      <c r="AC1633" s="245"/>
      <c r="AD1633" s="245"/>
      <c r="AE1633" s="245"/>
      <c r="AF1633" s="245"/>
    </row>
    <row r="1634" spans="1:32" ht="26.25">
      <c r="A1634" s="246"/>
      <c r="B1634" s="245"/>
      <c r="C1634" s="245"/>
      <c r="D1634" s="245"/>
      <c r="E1634" s="245"/>
      <c r="F1634" s="187"/>
      <c r="G1634" s="245"/>
      <c r="H1634" s="245"/>
      <c r="I1634" s="245"/>
      <c r="O1634" s="360"/>
      <c r="Q1634" s="351"/>
      <c r="R1634" s="363"/>
      <c r="S1634" s="321"/>
      <c r="T1634" s="85" ph="1"/>
      <c r="V1634" s="216"/>
      <c r="W1634" s="245"/>
      <c r="X1634" s="187"/>
      <c r="Y1634" s="245"/>
      <c r="Z1634" s="245"/>
      <c r="AA1634" s="329"/>
      <c r="AC1634" s="245"/>
      <c r="AD1634" s="245"/>
      <c r="AE1634" s="245"/>
      <c r="AF1634" s="245"/>
    </row>
    <row r="1635" spans="1:32" ht="26.25">
      <c r="A1635" s="246"/>
      <c r="B1635" s="245"/>
      <c r="C1635" s="245"/>
      <c r="D1635" s="245"/>
      <c r="E1635" s="245"/>
      <c r="F1635" s="187"/>
      <c r="G1635" s="245"/>
      <c r="H1635" s="245"/>
      <c r="I1635" s="245"/>
      <c r="O1635" s="360"/>
      <c r="Q1635" s="351"/>
      <c r="R1635" s="363"/>
      <c r="S1635" s="321"/>
      <c r="T1635" s="85" ph="1"/>
      <c r="V1635" s="216"/>
      <c r="W1635" s="245"/>
      <c r="X1635" s="187"/>
      <c r="Y1635" s="245"/>
      <c r="Z1635" s="245"/>
      <c r="AA1635" s="329"/>
      <c r="AC1635" s="245"/>
      <c r="AD1635" s="245"/>
      <c r="AE1635" s="245"/>
      <c r="AF1635" s="245"/>
    </row>
    <row r="1636" spans="1:32" ht="26.25">
      <c r="A1636" s="246"/>
      <c r="B1636" s="245"/>
      <c r="C1636" s="245"/>
      <c r="D1636" s="245"/>
      <c r="E1636" s="245"/>
      <c r="F1636" s="187"/>
      <c r="G1636" s="245"/>
      <c r="H1636" s="245"/>
      <c r="I1636" s="245"/>
      <c r="O1636" s="360"/>
      <c r="Q1636" s="351"/>
      <c r="R1636" s="363"/>
      <c r="S1636" s="321"/>
      <c r="T1636" s="85" ph="1"/>
      <c r="V1636" s="216"/>
      <c r="W1636" s="245"/>
      <c r="X1636" s="187"/>
      <c r="Y1636" s="245"/>
      <c r="Z1636" s="245"/>
      <c r="AA1636" s="329"/>
      <c r="AC1636" s="245"/>
      <c r="AD1636" s="245"/>
      <c r="AE1636" s="245"/>
      <c r="AF1636" s="245"/>
    </row>
    <row r="1637" spans="1:32" ht="26.25">
      <c r="A1637" s="246"/>
      <c r="B1637" s="245"/>
      <c r="C1637" s="245"/>
      <c r="D1637" s="245"/>
      <c r="E1637" s="245"/>
      <c r="F1637" s="187"/>
      <c r="G1637" s="245"/>
      <c r="H1637" s="245"/>
      <c r="I1637" s="245"/>
      <c r="O1637" s="360"/>
      <c r="Q1637" s="351"/>
      <c r="R1637" s="363"/>
      <c r="S1637" s="321"/>
      <c r="T1637" s="85" ph="1"/>
      <c r="V1637" s="216"/>
      <c r="W1637" s="245"/>
      <c r="X1637" s="187"/>
      <c r="Y1637" s="245"/>
      <c r="Z1637" s="245"/>
      <c r="AA1637" s="329"/>
      <c r="AC1637" s="245"/>
      <c r="AD1637" s="245"/>
      <c r="AE1637" s="245"/>
      <c r="AF1637" s="245"/>
    </row>
    <row r="1638" spans="1:32" ht="26.25">
      <c r="A1638" s="246"/>
      <c r="B1638" s="245"/>
      <c r="C1638" s="245"/>
      <c r="D1638" s="245"/>
      <c r="E1638" s="245"/>
      <c r="F1638" s="187"/>
      <c r="G1638" s="245"/>
      <c r="H1638" s="245"/>
      <c r="I1638" s="245"/>
      <c r="O1638" s="360"/>
      <c r="Q1638" s="351"/>
      <c r="R1638" s="363"/>
      <c r="S1638" s="321"/>
      <c r="T1638" s="85" ph="1"/>
      <c r="V1638" s="216"/>
      <c r="W1638" s="245"/>
      <c r="X1638" s="187"/>
      <c r="Y1638" s="245"/>
      <c r="Z1638" s="245"/>
      <c r="AA1638" s="329"/>
      <c r="AC1638" s="245"/>
      <c r="AD1638" s="245"/>
      <c r="AE1638" s="245"/>
      <c r="AF1638" s="245"/>
    </row>
    <row r="1639" spans="1:32" ht="26.25">
      <c r="A1639" s="246"/>
      <c r="B1639" s="245"/>
      <c r="C1639" s="245"/>
      <c r="D1639" s="245"/>
      <c r="E1639" s="245"/>
      <c r="F1639" s="187"/>
      <c r="G1639" s="245"/>
      <c r="H1639" s="245"/>
      <c r="I1639" s="245"/>
      <c r="O1639" s="360"/>
      <c r="Q1639" s="351"/>
      <c r="R1639" s="363"/>
      <c r="S1639" s="321"/>
      <c r="T1639" s="85" ph="1"/>
      <c r="V1639" s="216"/>
      <c r="W1639" s="245"/>
      <c r="X1639" s="187"/>
      <c r="Y1639" s="245"/>
      <c r="Z1639" s="245"/>
      <c r="AA1639" s="329"/>
      <c r="AC1639" s="245"/>
      <c r="AD1639" s="245"/>
      <c r="AE1639" s="245"/>
      <c r="AF1639" s="245"/>
    </row>
    <row r="1640" spans="1:32" ht="26.25">
      <c r="A1640" s="246"/>
      <c r="B1640" s="245"/>
      <c r="C1640" s="245"/>
      <c r="D1640" s="245"/>
      <c r="E1640" s="245"/>
      <c r="F1640" s="187"/>
      <c r="G1640" s="245"/>
      <c r="H1640" s="245"/>
      <c r="I1640" s="245"/>
      <c r="O1640" s="360"/>
      <c r="Q1640" s="351"/>
      <c r="R1640" s="363"/>
      <c r="S1640" s="321"/>
      <c r="T1640" s="85" ph="1"/>
      <c r="V1640" s="216"/>
      <c r="W1640" s="245"/>
      <c r="X1640" s="187"/>
      <c r="Y1640" s="245"/>
      <c r="Z1640" s="245"/>
      <c r="AA1640" s="329"/>
      <c r="AC1640" s="245"/>
      <c r="AD1640" s="245"/>
      <c r="AE1640" s="245"/>
      <c r="AF1640" s="245"/>
    </row>
    <row r="1641" spans="1:32" ht="26.25">
      <c r="A1641" s="246"/>
      <c r="B1641" s="245"/>
      <c r="C1641" s="245"/>
      <c r="D1641" s="245"/>
      <c r="E1641" s="245"/>
      <c r="F1641" s="187"/>
      <c r="G1641" s="245"/>
      <c r="H1641" s="245"/>
      <c r="I1641" s="245"/>
      <c r="O1641" s="360"/>
      <c r="Q1641" s="351"/>
      <c r="R1641" s="363"/>
      <c r="S1641" s="321"/>
      <c r="T1641" s="85" ph="1"/>
      <c r="V1641" s="216"/>
      <c r="W1641" s="245"/>
      <c r="X1641" s="187"/>
      <c r="Y1641" s="245"/>
      <c r="Z1641" s="245"/>
      <c r="AA1641" s="329"/>
      <c r="AC1641" s="245"/>
      <c r="AD1641" s="245"/>
      <c r="AE1641" s="245"/>
      <c r="AF1641" s="245"/>
    </row>
    <row r="1642" spans="1:32" ht="26.25">
      <c r="A1642" s="246"/>
      <c r="B1642" s="245"/>
      <c r="C1642" s="245"/>
      <c r="D1642" s="245"/>
      <c r="E1642" s="245"/>
      <c r="F1642" s="187"/>
      <c r="G1642" s="245"/>
      <c r="H1642" s="245"/>
      <c r="I1642" s="245"/>
      <c r="O1642" s="360"/>
      <c r="Q1642" s="351"/>
      <c r="R1642" s="363"/>
      <c r="S1642" s="321"/>
      <c r="T1642" s="85" ph="1"/>
      <c r="V1642" s="216"/>
      <c r="W1642" s="245"/>
      <c r="X1642" s="187"/>
      <c r="Y1642" s="245"/>
      <c r="Z1642" s="245"/>
      <c r="AA1642" s="329"/>
      <c r="AC1642" s="245"/>
      <c r="AD1642" s="245"/>
      <c r="AE1642" s="245"/>
      <c r="AF1642" s="245"/>
    </row>
    <row r="1643" spans="1:32" ht="26.25">
      <c r="A1643" s="246"/>
      <c r="B1643" s="245"/>
      <c r="C1643" s="245"/>
      <c r="D1643" s="245"/>
      <c r="E1643" s="245"/>
      <c r="F1643" s="187"/>
      <c r="G1643" s="245"/>
      <c r="H1643" s="245"/>
      <c r="I1643" s="245"/>
      <c r="O1643" s="360"/>
      <c r="Q1643" s="351"/>
      <c r="R1643" s="363"/>
      <c r="S1643" s="321"/>
      <c r="T1643" s="85" ph="1"/>
      <c r="V1643" s="216"/>
      <c r="W1643" s="245"/>
      <c r="X1643" s="187"/>
      <c r="Y1643" s="245"/>
      <c r="Z1643" s="245"/>
      <c r="AA1643" s="329"/>
      <c r="AC1643" s="245"/>
      <c r="AD1643" s="245"/>
      <c r="AE1643" s="245"/>
      <c r="AF1643" s="245"/>
    </row>
    <row r="1644" spans="1:32" ht="26.25">
      <c r="A1644" s="246"/>
      <c r="B1644" s="245"/>
      <c r="C1644" s="245"/>
      <c r="D1644" s="245"/>
      <c r="E1644" s="245"/>
      <c r="F1644" s="187"/>
      <c r="G1644" s="245"/>
      <c r="H1644" s="245"/>
      <c r="I1644" s="245"/>
      <c r="O1644" s="360"/>
      <c r="Q1644" s="351"/>
      <c r="R1644" s="363"/>
      <c r="S1644" s="321"/>
      <c r="T1644" s="85" ph="1"/>
      <c r="V1644" s="216"/>
      <c r="W1644" s="245"/>
      <c r="X1644" s="187"/>
      <c r="Y1644" s="245"/>
      <c r="Z1644" s="245"/>
      <c r="AA1644" s="329"/>
      <c r="AC1644" s="245"/>
      <c r="AD1644" s="245"/>
      <c r="AE1644" s="245"/>
      <c r="AF1644" s="245"/>
    </row>
    <row r="1645" spans="1:32" ht="26.25">
      <c r="A1645" s="246"/>
      <c r="B1645" s="245"/>
      <c r="C1645" s="245"/>
      <c r="D1645" s="245"/>
      <c r="E1645" s="245"/>
      <c r="F1645" s="187"/>
      <c r="G1645" s="245"/>
      <c r="H1645" s="245"/>
      <c r="I1645" s="245"/>
      <c r="O1645" s="360"/>
      <c r="Q1645" s="351"/>
      <c r="R1645" s="363"/>
      <c r="S1645" s="321"/>
      <c r="T1645" s="85" ph="1"/>
      <c r="V1645" s="216"/>
      <c r="W1645" s="245"/>
      <c r="X1645" s="187"/>
      <c r="Y1645" s="245"/>
      <c r="Z1645" s="245"/>
      <c r="AA1645" s="329"/>
      <c r="AC1645" s="245"/>
      <c r="AD1645" s="245"/>
      <c r="AE1645" s="245"/>
      <c r="AF1645" s="245"/>
    </row>
    <row r="1646" spans="1:32" ht="26.25">
      <c r="A1646" s="246"/>
      <c r="B1646" s="245"/>
      <c r="C1646" s="245"/>
      <c r="D1646" s="245"/>
      <c r="E1646" s="245"/>
      <c r="F1646" s="187"/>
      <c r="G1646" s="245"/>
      <c r="H1646" s="245"/>
      <c r="I1646" s="245"/>
      <c r="O1646" s="360"/>
      <c r="Q1646" s="351"/>
      <c r="R1646" s="363"/>
      <c r="S1646" s="321"/>
      <c r="T1646" s="85" ph="1"/>
      <c r="V1646" s="216"/>
      <c r="W1646" s="245"/>
      <c r="X1646" s="187"/>
      <c r="Y1646" s="245"/>
      <c r="Z1646" s="245"/>
      <c r="AA1646" s="329"/>
      <c r="AC1646" s="245"/>
      <c r="AD1646" s="245"/>
      <c r="AE1646" s="245"/>
      <c r="AF1646" s="245"/>
    </row>
    <row r="1647" spans="1:32" ht="26.25">
      <c r="A1647" s="246"/>
      <c r="B1647" s="245"/>
      <c r="C1647" s="245"/>
      <c r="D1647" s="245"/>
      <c r="E1647" s="245"/>
      <c r="F1647" s="187"/>
      <c r="G1647" s="245"/>
      <c r="H1647" s="245"/>
      <c r="I1647" s="245"/>
      <c r="O1647" s="360"/>
      <c r="Q1647" s="351"/>
      <c r="R1647" s="363"/>
      <c r="S1647" s="321"/>
      <c r="T1647" s="85" ph="1"/>
      <c r="V1647" s="216"/>
      <c r="W1647" s="245"/>
      <c r="X1647" s="187"/>
      <c r="Y1647" s="245"/>
      <c r="Z1647" s="245"/>
      <c r="AA1647" s="329"/>
      <c r="AC1647" s="245"/>
      <c r="AD1647" s="245"/>
      <c r="AE1647" s="245"/>
      <c r="AF1647" s="245"/>
    </row>
    <row r="1648" spans="1:32" ht="26.25">
      <c r="A1648" s="246"/>
      <c r="B1648" s="245"/>
      <c r="C1648" s="245"/>
      <c r="D1648" s="245"/>
      <c r="E1648" s="245"/>
      <c r="F1648" s="187"/>
      <c r="G1648" s="245"/>
      <c r="H1648" s="245"/>
      <c r="I1648" s="245"/>
      <c r="O1648" s="360"/>
      <c r="Q1648" s="351"/>
      <c r="R1648" s="363"/>
      <c r="S1648" s="321"/>
      <c r="T1648" s="85" ph="1"/>
      <c r="V1648" s="216"/>
      <c r="W1648" s="245"/>
      <c r="X1648" s="187"/>
      <c r="Y1648" s="245"/>
      <c r="Z1648" s="245"/>
      <c r="AA1648" s="329"/>
      <c r="AC1648" s="245"/>
      <c r="AD1648" s="245"/>
      <c r="AE1648" s="245"/>
      <c r="AF1648" s="245"/>
    </row>
    <row r="1649" spans="1:32" ht="26.25">
      <c r="A1649" s="246"/>
      <c r="B1649" s="245"/>
      <c r="C1649" s="245"/>
      <c r="D1649" s="245"/>
      <c r="E1649" s="245"/>
      <c r="F1649" s="187"/>
      <c r="G1649" s="245"/>
      <c r="H1649" s="245"/>
      <c r="I1649" s="245"/>
      <c r="O1649" s="360"/>
      <c r="Q1649" s="351"/>
      <c r="R1649" s="363"/>
      <c r="S1649" s="321"/>
      <c r="T1649" s="85" ph="1"/>
      <c r="V1649" s="216"/>
      <c r="W1649" s="245"/>
      <c r="X1649" s="187"/>
      <c r="Y1649" s="245"/>
      <c r="Z1649" s="245"/>
      <c r="AA1649" s="329"/>
      <c r="AC1649" s="245"/>
      <c r="AD1649" s="245"/>
      <c r="AE1649" s="245"/>
      <c r="AF1649" s="245"/>
    </row>
    <row r="1650" spans="1:32" ht="26.25">
      <c r="A1650" s="246"/>
      <c r="B1650" s="245"/>
      <c r="C1650" s="245"/>
      <c r="D1650" s="245"/>
      <c r="E1650" s="245"/>
      <c r="F1650" s="187"/>
      <c r="G1650" s="245"/>
      <c r="H1650" s="245"/>
      <c r="I1650" s="245"/>
      <c r="O1650" s="360"/>
      <c r="Q1650" s="351"/>
      <c r="R1650" s="363"/>
      <c r="S1650" s="321"/>
      <c r="T1650" s="85" ph="1"/>
      <c r="V1650" s="216"/>
      <c r="W1650" s="245"/>
      <c r="X1650" s="187"/>
      <c r="Y1650" s="245"/>
      <c r="Z1650" s="245"/>
      <c r="AA1650" s="329"/>
      <c r="AC1650" s="245"/>
      <c r="AD1650" s="245"/>
      <c r="AE1650" s="245"/>
      <c r="AF1650" s="245"/>
    </row>
    <row r="1651" spans="1:32" ht="26.25">
      <c r="A1651" s="246"/>
      <c r="B1651" s="245"/>
      <c r="C1651" s="245"/>
      <c r="D1651" s="245"/>
      <c r="E1651" s="245"/>
      <c r="F1651" s="187"/>
      <c r="G1651" s="245"/>
      <c r="H1651" s="245"/>
      <c r="I1651" s="245"/>
      <c r="O1651" s="360"/>
      <c r="Q1651" s="351"/>
      <c r="R1651" s="363"/>
      <c r="S1651" s="321"/>
      <c r="T1651" s="85" ph="1"/>
      <c r="V1651" s="216"/>
      <c r="W1651" s="245"/>
      <c r="X1651" s="187"/>
      <c r="Y1651" s="245"/>
      <c r="Z1651" s="245"/>
      <c r="AA1651" s="329"/>
      <c r="AC1651" s="245"/>
      <c r="AD1651" s="245"/>
      <c r="AE1651" s="245"/>
      <c r="AF1651" s="245"/>
    </row>
    <row r="1652" spans="1:32" ht="26.25">
      <c r="A1652" s="246"/>
      <c r="B1652" s="245"/>
      <c r="C1652" s="245"/>
      <c r="D1652" s="245"/>
      <c r="E1652" s="245"/>
      <c r="F1652" s="187"/>
      <c r="G1652" s="245"/>
      <c r="H1652" s="245"/>
      <c r="I1652" s="245"/>
      <c r="O1652" s="360"/>
      <c r="Q1652" s="351"/>
      <c r="R1652" s="363"/>
      <c r="S1652" s="321"/>
      <c r="T1652" s="85" ph="1"/>
      <c r="V1652" s="216"/>
      <c r="W1652" s="245"/>
      <c r="X1652" s="187"/>
      <c r="Y1652" s="245"/>
      <c r="Z1652" s="245"/>
      <c r="AA1652" s="329"/>
      <c r="AC1652" s="245"/>
      <c r="AD1652" s="245"/>
      <c r="AE1652" s="245"/>
      <c r="AF1652" s="245"/>
    </row>
    <row r="1653" spans="1:32" ht="26.25">
      <c r="A1653" s="246"/>
      <c r="B1653" s="245"/>
      <c r="C1653" s="245"/>
      <c r="D1653" s="245"/>
      <c r="E1653" s="245"/>
      <c r="F1653" s="187"/>
      <c r="G1653" s="245"/>
      <c r="H1653" s="245"/>
      <c r="I1653" s="245"/>
      <c r="O1653" s="360"/>
      <c r="Q1653" s="351"/>
      <c r="R1653" s="363"/>
      <c r="S1653" s="321"/>
      <c r="T1653" s="85" ph="1"/>
      <c r="V1653" s="216"/>
      <c r="W1653" s="245"/>
      <c r="X1653" s="187"/>
      <c r="Y1653" s="245"/>
      <c r="Z1653" s="245"/>
      <c r="AA1653" s="329"/>
      <c r="AC1653" s="245"/>
      <c r="AD1653" s="245"/>
      <c r="AE1653" s="245"/>
      <c r="AF1653" s="245"/>
    </row>
    <row r="1654" spans="1:32" ht="26.25">
      <c r="A1654" s="246"/>
      <c r="B1654" s="245"/>
      <c r="C1654" s="245"/>
      <c r="D1654" s="245"/>
      <c r="E1654" s="245"/>
      <c r="F1654" s="187"/>
      <c r="G1654" s="245"/>
      <c r="H1654" s="245"/>
      <c r="I1654" s="245"/>
      <c r="O1654" s="360"/>
      <c r="Q1654" s="351"/>
      <c r="R1654" s="363"/>
      <c r="S1654" s="321"/>
      <c r="T1654" s="85" ph="1"/>
      <c r="V1654" s="216"/>
      <c r="W1654" s="245"/>
      <c r="X1654" s="187"/>
      <c r="Y1654" s="245"/>
      <c r="Z1654" s="245"/>
      <c r="AA1654" s="329"/>
      <c r="AC1654" s="245"/>
      <c r="AD1654" s="245"/>
      <c r="AE1654" s="245"/>
      <c r="AF1654" s="245"/>
    </row>
    <row r="1655" spans="1:32" ht="26.25">
      <c r="A1655" s="246"/>
      <c r="B1655" s="245"/>
      <c r="C1655" s="245"/>
      <c r="D1655" s="245"/>
      <c r="E1655" s="245"/>
      <c r="F1655" s="187"/>
      <c r="G1655" s="245"/>
      <c r="H1655" s="245"/>
      <c r="I1655" s="245"/>
      <c r="O1655" s="360"/>
      <c r="Q1655" s="351"/>
      <c r="R1655" s="363"/>
      <c r="S1655" s="321"/>
      <c r="T1655" s="85" ph="1"/>
      <c r="V1655" s="216"/>
      <c r="W1655" s="245"/>
      <c r="X1655" s="187"/>
      <c r="Y1655" s="245"/>
      <c r="Z1655" s="245"/>
      <c r="AA1655" s="329"/>
      <c r="AC1655" s="245"/>
      <c r="AD1655" s="245"/>
      <c r="AE1655" s="245"/>
      <c r="AF1655" s="245"/>
    </row>
    <row r="1656" spans="1:32" ht="26.25">
      <c r="A1656" s="246"/>
      <c r="B1656" s="245"/>
      <c r="C1656" s="245"/>
      <c r="D1656" s="245"/>
      <c r="E1656" s="245"/>
      <c r="F1656" s="187"/>
      <c r="G1656" s="245"/>
      <c r="H1656" s="245"/>
      <c r="I1656" s="245"/>
      <c r="O1656" s="360"/>
      <c r="Q1656" s="351"/>
      <c r="R1656" s="363"/>
      <c r="S1656" s="321"/>
      <c r="T1656" s="85" ph="1"/>
      <c r="V1656" s="216"/>
      <c r="W1656" s="245"/>
      <c r="X1656" s="187"/>
      <c r="Y1656" s="245"/>
      <c r="Z1656" s="245"/>
      <c r="AA1656" s="329"/>
      <c r="AC1656" s="245"/>
      <c r="AD1656" s="245"/>
      <c r="AE1656" s="245"/>
      <c r="AF1656" s="245"/>
    </row>
    <row r="1657" spans="1:32" ht="26.25">
      <c r="A1657" s="246"/>
      <c r="B1657" s="245"/>
      <c r="C1657" s="245"/>
      <c r="D1657" s="245"/>
      <c r="E1657" s="245"/>
      <c r="F1657" s="187"/>
      <c r="G1657" s="245"/>
      <c r="H1657" s="245"/>
      <c r="I1657" s="245"/>
      <c r="O1657" s="360"/>
      <c r="Q1657" s="351"/>
      <c r="R1657" s="363"/>
      <c r="S1657" s="321"/>
      <c r="T1657" s="85" ph="1"/>
      <c r="V1657" s="216"/>
      <c r="W1657" s="245"/>
      <c r="X1657" s="187"/>
      <c r="Y1657" s="245"/>
      <c r="Z1657" s="245"/>
      <c r="AA1657" s="329"/>
      <c r="AC1657" s="245"/>
      <c r="AD1657" s="245"/>
      <c r="AE1657" s="245"/>
      <c r="AF1657" s="245"/>
    </row>
    <row r="1658" spans="1:32" ht="26.25">
      <c r="A1658" s="246"/>
      <c r="B1658" s="245"/>
      <c r="C1658" s="245"/>
      <c r="D1658" s="245"/>
      <c r="E1658" s="245"/>
      <c r="F1658" s="187"/>
      <c r="G1658" s="245"/>
      <c r="H1658" s="245"/>
      <c r="I1658" s="245"/>
      <c r="O1658" s="360"/>
      <c r="Q1658" s="351"/>
      <c r="R1658" s="363"/>
      <c r="S1658" s="321"/>
      <c r="T1658" s="85" ph="1"/>
      <c r="V1658" s="216"/>
      <c r="W1658" s="245"/>
      <c r="X1658" s="187"/>
      <c r="Y1658" s="245"/>
      <c r="Z1658" s="245"/>
      <c r="AA1658" s="329"/>
      <c r="AC1658" s="245"/>
      <c r="AD1658" s="245"/>
      <c r="AE1658" s="245"/>
      <c r="AF1658" s="245"/>
    </row>
    <row r="1659" spans="1:32" ht="26.25">
      <c r="A1659" s="246"/>
      <c r="B1659" s="245"/>
      <c r="C1659" s="245"/>
      <c r="D1659" s="245"/>
      <c r="E1659" s="245"/>
      <c r="F1659" s="187"/>
      <c r="G1659" s="245"/>
      <c r="H1659" s="245"/>
      <c r="I1659" s="245"/>
      <c r="O1659" s="360"/>
      <c r="Q1659" s="351"/>
      <c r="R1659" s="363"/>
      <c r="S1659" s="321"/>
      <c r="T1659" s="85" ph="1"/>
      <c r="V1659" s="216"/>
      <c r="W1659" s="245"/>
      <c r="X1659" s="187"/>
      <c r="Y1659" s="245"/>
      <c r="Z1659" s="245"/>
      <c r="AA1659" s="329"/>
      <c r="AC1659" s="245"/>
      <c r="AD1659" s="245"/>
      <c r="AE1659" s="245"/>
      <c r="AF1659" s="245"/>
    </row>
    <row r="1660" spans="1:32" ht="26.25">
      <c r="A1660" s="246"/>
      <c r="B1660" s="245"/>
      <c r="C1660" s="245"/>
      <c r="D1660" s="245"/>
      <c r="E1660" s="245"/>
      <c r="F1660" s="187"/>
      <c r="G1660" s="245"/>
      <c r="H1660" s="245"/>
      <c r="I1660" s="245"/>
      <c r="O1660" s="360"/>
      <c r="Q1660" s="351"/>
      <c r="R1660" s="363"/>
      <c r="S1660" s="321"/>
      <c r="T1660" s="85" ph="1"/>
      <c r="V1660" s="216"/>
      <c r="W1660" s="245"/>
      <c r="X1660" s="187"/>
      <c r="Y1660" s="245"/>
      <c r="Z1660" s="245"/>
      <c r="AA1660" s="329"/>
      <c r="AC1660" s="245"/>
      <c r="AD1660" s="245"/>
      <c r="AE1660" s="245"/>
      <c r="AF1660" s="245"/>
    </row>
    <row r="1661" spans="1:32" ht="26.25">
      <c r="A1661" s="246"/>
      <c r="B1661" s="245"/>
      <c r="C1661" s="245"/>
      <c r="D1661" s="245"/>
      <c r="E1661" s="245"/>
      <c r="F1661" s="187"/>
      <c r="G1661" s="245"/>
      <c r="H1661" s="245"/>
      <c r="I1661" s="245"/>
      <c r="O1661" s="360"/>
      <c r="Q1661" s="351"/>
      <c r="R1661" s="363"/>
      <c r="S1661" s="321"/>
      <c r="T1661" s="85" ph="1"/>
      <c r="V1661" s="216"/>
      <c r="W1661" s="245"/>
      <c r="X1661" s="187"/>
      <c r="Y1661" s="245"/>
      <c r="Z1661" s="245"/>
      <c r="AA1661" s="329"/>
      <c r="AC1661" s="245"/>
      <c r="AD1661" s="245"/>
      <c r="AE1661" s="245"/>
      <c r="AF1661" s="245"/>
    </row>
    <row r="1662" spans="1:32" ht="26.25">
      <c r="A1662" s="246"/>
      <c r="B1662" s="245"/>
      <c r="C1662" s="245"/>
      <c r="D1662" s="245"/>
      <c r="E1662" s="245"/>
      <c r="F1662" s="187"/>
      <c r="G1662" s="245"/>
      <c r="H1662" s="245"/>
      <c r="I1662" s="245"/>
      <c r="O1662" s="360"/>
      <c r="Q1662" s="351"/>
      <c r="R1662" s="363"/>
      <c r="S1662" s="321"/>
      <c r="T1662" s="85" ph="1"/>
      <c r="V1662" s="216"/>
      <c r="W1662" s="245"/>
      <c r="X1662" s="187"/>
      <c r="Y1662" s="245"/>
      <c r="Z1662" s="245"/>
      <c r="AA1662" s="329"/>
      <c r="AC1662" s="245"/>
      <c r="AD1662" s="245"/>
      <c r="AE1662" s="245"/>
      <c r="AF1662" s="245"/>
    </row>
    <row r="1663" spans="1:32" ht="26.25">
      <c r="A1663" s="246"/>
      <c r="B1663" s="245"/>
      <c r="C1663" s="245"/>
      <c r="D1663" s="245"/>
      <c r="E1663" s="245"/>
      <c r="F1663" s="187"/>
      <c r="G1663" s="245"/>
      <c r="H1663" s="245"/>
      <c r="I1663" s="245"/>
      <c r="O1663" s="360"/>
      <c r="Q1663" s="351"/>
      <c r="R1663" s="363"/>
      <c r="S1663" s="321"/>
      <c r="T1663" s="85" ph="1"/>
      <c r="V1663" s="216"/>
      <c r="W1663" s="245"/>
      <c r="X1663" s="187"/>
      <c r="Y1663" s="245"/>
      <c r="Z1663" s="245"/>
      <c r="AA1663" s="329"/>
      <c r="AC1663" s="245"/>
      <c r="AD1663" s="245"/>
      <c r="AE1663" s="245"/>
      <c r="AF1663" s="245"/>
    </row>
    <row r="1664" spans="1:32" ht="26.25">
      <c r="A1664" s="246"/>
      <c r="B1664" s="245"/>
      <c r="C1664" s="245"/>
      <c r="D1664" s="245"/>
      <c r="E1664" s="245"/>
      <c r="F1664" s="187"/>
      <c r="G1664" s="245"/>
      <c r="H1664" s="245"/>
      <c r="I1664" s="245"/>
      <c r="O1664" s="360"/>
      <c r="Q1664" s="351"/>
      <c r="R1664" s="363"/>
      <c r="S1664" s="321"/>
      <c r="T1664" s="85" ph="1"/>
      <c r="V1664" s="216"/>
      <c r="W1664" s="245"/>
      <c r="X1664" s="187"/>
      <c r="Y1664" s="245"/>
      <c r="Z1664" s="245"/>
      <c r="AA1664" s="329"/>
      <c r="AC1664" s="245"/>
      <c r="AD1664" s="245"/>
      <c r="AE1664" s="245"/>
      <c r="AF1664" s="245"/>
    </row>
    <row r="1665" spans="1:32" ht="26.25">
      <c r="A1665" s="246"/>
      <c r="B1665" s="245"/>
      <c r="C1665" s="245"/>
      <c r="D1665" s="245"/>
      <c r="E1665" s="245"/>
      <c r="F1665" s="187"/>
      <c r="G1665" s="245"/>
      <c r="H1665" s="245"/>
      <c r="I1665" s="245"/>
      <c r="O1665" s="360"/>
      <c r="Q1665" s="351"/>
      <c r="R1665" s="363"/>
      <c r="S1665" s="321"/>
      <c r="T1665" s="85" ph="1"/>
      <c r="V1665" s="216"/>
      <c r="W1665" s="245"/>
      <c r="X1665" s="187"/>
      <c r="Y1665" s="245"/>
      <c r="Z1665" s="245"/>
      <c r="AA1665" s="329"/>
      <c r="AC1665" s="245"/>
      <c r="AD1665" s="245"/>
      <c r="AE1665" s="245"/>
      <c r="AF1665" s="245"/>
    </row>
    <row r="1666" spans="1:32" ht="26.25">
      <c r="A1666" s="246"/>
      <c r="B1666" s="245"/>
      <c r="C1666" s="245"/>
      <c r="D1666" s="245"/>
      <c r="E1666" s="245"/>
      <c r="F1666" s="187"/>
      <c r="G1666" s="245"/>
      <c r="H1666" s="245"/>
      <c r="I1666" s="245"/>
      <c r="O1666" s="360"/>
      <c r="Q1666" s="351"/>
      <c r="R1666" s="363"/>
      <c r="S1666" s="321"/>
      <c r="T1666" s="85" ph="1"/>
      <c r="V1666" s="216"/>
      <c r="W1666" s="245"/>
      <c r="X1666" s="187"/>
      <c r="Y1666" s="245"/>
      <c r="Z1666" s="245"/>
      <c r="AA1666" s="329"/>
      <c r="AC1666" s="245"/>
      <c r="AD1666" s="245"/>
      <c r="AE1666" s="245"/>
      <c r="AF1666" s="245"/>
    </row>
    <row r="1667" spans="1:32" ht="26.25">
      <c r="A1667" s="246"/>
      <c r="B1667" s="245"/>
      <c r="C1667" s="245"/>
      <c r="D1667" s="245"/>
      <c r="E1667" s="245"/>
      <c r="F1667" s="187"/>
      <c r="G1667" s="245"/>
      <c r="H1667" s="245"/>
      <c r="I1667" s="245"/>
      <c r="O1667" s="360"/>
      <c r="Q1667" s="351"/>
      <c r="R1667" s="363"/>
      <c r="S1667" s="321"/>
      <c r="T1667" s="85" ph="1"/>
      <c r="V1667" s="216"/>
      <c r="W1667" s="245"/>
      <c r="X1667" s="187"/>
      <c r="Y1667" s="245"/>
      <c r="Z1667" s="245"/>
      <c r="AA1667" s="329"/>
      <c r="AC1667" s="245"/>
      <c r="AD1667" s="245"/>
      <c r="AE1667" s="245"/>
      <c r="AF1667" s="245"/>
    </row>
    <row r="1668" spans="1:32" ht="26.25">
      <c r="A1668" s="246"/>
      <c r="B1668" s="245"/>
      <c r="C1668" s="245"/>
      <c r="D1668" s="245"/>
      <c r="E1668" s="245"/>
      <c r="F1668" s="187"/>
      <c r="G1668" s="245"/>
      <c r="H1668" s="245"/>
      <c r="I1668" s="245"/>
      <c r="O1668" s="360"/>
      <c r="Q1668" s="351"/>
      <c r="R1668" s="363"/>
      <c r="S1668" s="321"/>
      <c r="T1668" s="85" ph="1"/>
      <c r="V1668" s="216"/>
      <c r="W1668" s="245"/>
      <c r="X1668" s="187"/>
      <c r="Y1668" s="245"/>
      <c r="Z1668" s="245"/>
      <c r="AA1668" s="329"/>
      <c r="AC1668" s="245"/>
      <c r="AD1668" s="245"/>
      <c r="AE1668" s="245"/>
      <c r="AF1668" s="245"/>
    </row>
    <row r="1669" spans="1:32" ht="26.25">
      <c r="A1669" s="246"/>
      <c r="B1669" s="245"/>
      <c r="C1669" s="245"/>
      <c r="D1669" s="245"/>
      <c r="E1669" s="245"/>
      <c r="F1669" s="187"/>
      <c r="G1669" s="245"/>
      <c r="H1669" s="245"/>
      <c r="I1669" s="245"/>
      <c r="O1669" s="360"/>
      <c r="Q1669" s="351"/>
      <c r="R1669" s="363"/>
      <c r="S1669" s="321"/>
      <c r="T1669" s="85" ph="1"/>
      <c r="V1669" s="216"/>
      <c r="W1669" s="245"/>
      <c r="X1669" s="187"/>
      <c r="Y1669" s="245"/>
      <c r="Z1669" s="245"/>
      <c r="AA1669" s="329"/>
      <c r="AC1669" s="245"/>
      <c r="AD1669" s="245"/>
      <c r="AE1669" s="245"/>
      <c r="AF1669" s="245"/>
    </row>
    <row r="1670" spans="1:32" ht="26.25">
      <c r="A1670" s="246"/>
      <c r="B1670" s="245"/>
      <c r="C1670" s="245"/>
      <c r="D1670" s="245"/>
      <c r="E1670" s="245"/>
      <c r="F1670" s="187"/>
      <c r="G1670" s="245"/>
      <c r="H1670" s="245"/>
      <c r="I1670" s="245"/>
      <c r="O1670" s="360"/>
      <c r="Q1670" s="351"/>
      <c r="R1670" s="363"/>
      <c r="S1670" s="321"/>
      <c r="T1670" s="85" ph="1"/>
      <c r="V1670" s="216"/>
      <c r="W1670" s="245"/>
      <c r="X1670" s="187"/>
      <c r="Y1670" s="245"/>
      <c r="Z1670" s="245"/>
      <c r="AA1670" s="329"/>
      <c r="AC1670" s="245"/>
      <c r="AD1670" s="245"/>
      <c r="AE1670" s="245"/>
      <c r="AF1670" s="245"/>
    </row>
    <row r="1671" spans="1:32" ht="26.25">
      <c r="A1671" s="246"/>
      <c r="B1671" s="245"/>
      <c r="C1671" s="245"/>
      <c r="D1671" s="245"/>
      <c r="E1671" s="245"/>
      <c r="F1671" s="187"/>
      <c r="G1671" s="245"/>
      <c r="H1671" s="245"/>
      <c r="I1671" s="245"/>
      <c r="O1671" s="360"/>
      <c r="Q1671" s="351"/>
      <c r="R1671" s="363"/>
      <c r="S1671" s="321"/>
      <c r="T1671" s="85" ph="1"/>
      <c r="V1671" s="216"/>
      <c r="W1671" s="245"/>
      <c r="X1671" s="187"/>
      <c r="Y1671" s="245"/>
      <c r="Z1671" s="245"/>
      <c r="AA1671" s="329"/>
      <c r="AC1671" s="245"/>
      <c r="AD1671" s="245"/>
      <c r="AE1671" s="245"/>
      <c r="AF1671" s="245"/>
    </row>
    <row r="1672" spans="1:32" ht="26.25">
      <c r="A1672" s="246"/>
      <c r="B1672" s="245"/>
      <c r="C1672" s="245"/>
      <c r="D1672" s="245"/>
      <c r="E1672" s="245"/>
      <c r="F1672" s="187"/>
      <c r="G1672" s="245"/>
      <c r="H1672" s="245"/>
      <c r="I1672" s="245"/>
      <c r="O1672" s="360"/>
      <c r="Q1672" s="351"/>
      <c r="R1672" s="363"/>
      <c r="S1672" s="321"/>
      <c r="T1672" s="85" ph="1"/>
      <c r="V1672" s="216"/>
      <c r="W1672" s="245"/>
      <c r="X1672" s="187"/>
      <c r="Y1672" s="245"/>
      <c r="Z1672" s="245"/>
      <c r="AA1672" s="329"/>
      <c r="AC1672" s="245"/>
      <c r="AD1672" s="245"/>
      <c r="AE1672" s="245"/>
      <c r="AF1672" s="245"/>
    </row>
    <row r="1673" spans="1:32" ht="26.25">
      <c r="A1673" s="246"/>
      <c r="B1673" s="245"/>
      <c r="C1673" s="245"/>
      <c r="D1673" s="245"/>
      <c r="E1673" s="245"/>
      <c r="F1673" s="187"/>
      <c r="G1673" s="245"/>
      <c r="H1673" s="245"/>
      <c r="I1673" s="245"/>
      <c r="O1673" s="360"/>
      <c r="Q1673" s="351"/>
      <c r="R1673" s="363"/>
      <c r="S1673" s="321"/>
      <c r="T1673" s="85" ph="1"/>
      <c r="V1673" s="216"/>
      <c r="W1673" s="245"/>
      <c r="X1673" s="187"/>
      <c r="Y1673" s="245"/>
      <c r="Z1673" s="245"/>
      <c r="AA1673" s="329"/>
      <c r="AC1673" s="245"/>
      <c r="AD1673" s="245"/>
      <c r="AE1673" s="245"/>
      <c r="AF1673" s="245"/>
    </row>
    <row r="1674" spans="1:32" ht="26.25">
      <c r="A1674" s="246"/>
      <c r="B1674" s="245"/>
      <c r="C1674" s="245"/>
      <c r="D1674" s="245"/>
      <c r="E1674" s="245"/>
      <c r="F1674" s="187"/>
      <c r="G1674" s="245"/>
      <c r="H1674" s="245"/>
      <c r="I1674" s="245"/>
      <c r="O1674" s="360"/>
      <c r="Q1674" s="351"/>
      <c r="R1674" s="363"/>
      <c r="S1674" s="321"/>
      <c r="T1674" s="85" ph="1"/>
      <c r="V1674" s="216"/>
      <c r="W1674" s="245"/>
      <c r="X1674" s="187"/>
      <c r="Y1674" s="245"/>
      <c r="Z1674" s="245"/>
      <c r="AA1674" s="329"/>
      <c r="AC1674" s="245"/>
      <c r="AD1674" s="245"/>
      <c r="AE1674" s="245"/>
      <c r="AF1674" s="245"/>
    </row>
    <row r="1675" spans="1:32" ht="26.25">
      <c r="A1675" s="246"/>
      <c r="B1675" s="245"/>
      <c r="C1675" s="245"/>
      <c r="D1675" s="245"/>
      <c r="E1675" s="245"/>
      <c r="F1675" s="187"/>
      <c r="G1675" s="245"/>
      <c r="H1675" s="245"/>
      <c r="I1675" s="245"/>
      <c r="O1675" s="360"/>
      <c r="Q1675" s="351"/>
      <c r="R1675" s="363"/>
      <c r="S1675" s="321"/>
      <c r="T1675" s="85" ph="1"/>
      <c r="V1675" s="216"/>
      <c r="W1675" s="245"/>
      <c r="X1675" s="187"/>
      <c r="Y1675" s="245"/>
      <c r="Z1675" s="245"/>
      <c r="AA1675" s="329"/>
      <c r="AC1675" s="245"/>
      <c r="AD1675" s="245"/>
      <c r="AE1675" s="245"/>
      <c r="AF1675" s="245"/>
    </row>
    <row r="1676" spans="1:32" ht="26.25">
      <c r="A1676" s="246"/>
      <c r="B1676" s="245"/>
      <c r="C1676" s="245"/>
      <c r="D1676" s="245"/>
      <c r="E1676" s="245"/>
      <c r="F1676" s="187"/>
      <c r="G1676" s="245"/>
      <c r="H1676" s="245"/>
      <c r="I1676" s="245"/>
      <c r="O1676" s="360"/>
      <c r="Q1676" s="351"/>
      <c r="R1676" s="363"/>
      <c r="S1676" s="321"/>
      <c r="T1676" s="85" ph="1"/>
      <c r="V1676" s="216"/>
      <c r="W1676" s="245"/>
      <c r="X1676" s="187"/>
      <c r="Y1676" s="245"/>
      <c r="Z1676" s="245"/>
      <c r="AA1676" s="329"/>
      <c r="AC1676" s="245"/>
      <c r="AD1676" s="245"/>
      <c r="AE1676" s="245"/>
      <c r="AF1676" s="245"/>
    </row>
    <row r="1677" spans="1:32" ht="26.25">
      <c r="A1677" s="246"/>
      <c r="B1677" s="245"/>
      <c r="C1677" s="245"/>
      <c r="D1677" s="245"/>
      <c r="E1677" s="245"/>
      <c r="F1677" s="187"/>
      <c r="G1677" s="245"/>
      <c r="H1677" s="245"/>
      <c r="I1677" s="245"/>
      <c r="O1677" s="360"/>
      <c r="Q1677" s="351"/>
      <c r="R1677" s="363"/>
      <c r="S1677" s="321"/>
      <c r="T1677" s="85" ph="1"/>
      <c r="V1677" s="216"/>
      <c r="W1677" s="245"/>
      <c r="X1677" s="187"/>
      <c r="Y1677" s="245"/>
      <c r="Z1677" s="245"/>
      <c r="AA1677" s="329"/>
      <c r="AC1677" s="245"/>
      <c r="AD1677" s="245"/>
      <c r="AE1677" s="245"/>
      <c r="AF1677" s="245"/>
    </row>
    <row r="1678" spans="1:32" ht="26.25">
      <c r="A1678" s="246"/>
      <c r="B1678" s="245"/>
      <c r="C1678" s="245"/>
      <c r="D1678" s="245"/>
      <c r="E1678" s="245"/>
      <c r="F1678" s="187"/>
      <c r="G1678" s="245"/>
      <c r="H1678" s="245"/>
      <c r="I1678" s="245"/>
      <c r="O1678" s="360"/>
      <c r="Q1678" s="351"/>
      <c r="R1678" s="363"/>
      <c r="S1678" s="321"/>
      <c r="T1678" s="85" ph="1"/>
      <c r="V1678" s="216"/>
      <c r="W1678" s="245"/>
      <c r="X1678" s="187"/>
      <c r="Y1678" s="245"/>
      <c r="Z1678" s="245"/>
      <c r="AA1678" s="329"/>
      <c r="AC1678" s="245"/>
      <c r="AD1678" s="245"/>
      <c r="AE1678" s="245"/>
      <c r="AF1678" s="245"/>
    </row>
    <row r="1679" spans="1:32" ht="26.25">
      <c r="A1679" s="246"/>
      <c r="B1679" s="245"/>
      <c r="C1679" s="245"/>
      <c r="D1679" s="245"/>
      <c r="E1679" s="245"/>
      <c r="F1679" s="187"/>
      <c r="G1679" s="245"/>
      <c r="H1679" s="245"/>
      <c r="I1679" s="245"/>
      <c r="O1679" s="360"/>
      <c r="Q1679" s="351"/>
      <c r="R1679" s="363"/>
      <c r="S1679" s="321"/>
      <c r="T1679" s="85" ph="1"/>
      <c r="V1679" s="216"/>
      <c r="W1679" s="245"/>
      <c r="X1679" s="187"/>
      <c r="Y1679" s="245"/>
      <c r="Z1679" s="245"/>
      <c r="AA1679" s="329"/>
      <c r="AC1679" s="245"/>
      <c r="AD1679" s="245"/>
      <c r="AE1679" s="245"/>
      <c r="AF1679" s="245"/>
    </row>
    <row r="1680" spans="1:32" ht="26.25">
      <c r="A1680" s="246"/>
      <c r="B1680" s="245"/>
      <c r="C1680" s="245"/>
      <c r="D1680" s="245"/>
      <c r="E1680" s="245"/>
      <c r="F1680" s="187"/>
      <c r="G1680" s="245"/>
      <c r="H1680" s="245"/>
      <c r="I1680" s="245"/>
      <c r="O1680" s="360"/>
      <c r="Q1680" s="351"/>
      <c r="R1680" s="363"/>
      <c r="S1680" s="321"/>
      <c r="T1680" s="85" ph="1"/>
      <c r="V1680" s="216"/>
      <c r="W1680" s="245"/>
      <c r="X1680" s="187"/>
      <c r="Y1680" s="245"/>
      <c r="Z1680" s="245"/>
      <c r="AA1680" s="329"/>
      <c r="AC1680" s="245"/>
      <c r="AD1680" s="245"/>
      <c r="AE1680" s="245"/>
      <c r="AF1680" s="245"/>
    </row>
    <row r="1681" spans="1:32" ht="26.25">
      <c r="A1681" s="246"/>
      <c r="B1681" s="245"/>
      <c r="C1681" s="245"/>
      <c r="D1681" s="245"/>
      <c r="E1681" s="245"/>
      <c r="F1681" s="187"/>
      <c r="G1681" s="245"/>
      <c r="H1681" s="245"/>
      <c r="I1681" s="245"/>
      <c r="O1681" s="360"/>
      <c r="Q1681" s="351"/>
      <c r="R1681" s="363"/>
      <c r="S1681" s="321"/>
      <c r="T1681" s="85" ph="1"/>
      <c r="V1681" s="216"/>
      <c r="W1681" s="245"/>
      <c r="X1681" s="187"/>
      <c r="Y1681" s="245"/>
      <c r="Z1681" s="245"/>
      <c r="AA1681" s="329"/>
      <c r="AC1681" s="245"/>
      <c r="AD1681" s="245"/>
      <c r="AE1681" s="245"/>
      <c r="AF1681" s="245"/>
    </row>
    <row r="1682" spans="1:32" ht="26.25">
      <c r="A1682" s="246"/>
      <c r="B1682" s="245"/>
      <c r="C1682" s="245"/>
      <c r="D1682" s="245"/>
      <c r="E1682" s="245"/>
      <c r="F1682" s="187"/>
      <c r="G1682" s="245"/>
      <c r="H1682" s="245"/>
      <c r="I1682" s="245"/>
      <c r="O1682" s="360"/>
      <c r="Q1682" s="351"/>
      <c r="R1682" s="363"/>
      <c r="S1682" s="321"/>
      <c r="T1682" s="85" ph="1"/>
      <c r="V1682" s="216"/>
      <c r="W1682" s="245"/>
      <c r="X1682" s="187"/>
      <c r="Y1682" s="245"/>
      <c r="Z1682" s="245"/>
      <c r="AA1682" s="329"/>
      <c r="AC1682" s="245"/>
      <c r="AD1682" s="245"/>
      <c r="AE1682" s="245"/>
      <c r="AF1682" s="245"/>
    </row>
    <row r="1683" spans="1:32" ht="26.25">
      <c r="A1683" s="246"/>
      <c r="B1683" s="245"/>
      <c r="C1683" s="245"/>
      <c r="D1683" s="245"/>
      <c r="E1683" s="245"/>
      <c r="F1683" s="187"/>
      <c r="G1683" s="245"/>
      <c r="H1683" s="245"/>
      <c r="I1683" s="245"/>
      <c r="O1683" s="360"/>
      <c r="Q1683" s="351"/>
      <c r="R1683" s="363"/>
      <c r="S1683" s="321"/>
      <c r="T1683" s="85" ph="1"/>
      <c r="V1683" s="216"/>
      <c r="W1683" s="245"/>
      <c r="X1683" s="187"/>
      <c r="Y1683" s="245"/>
      <c r="Z1683" s="245"/>
      <c r="AA1683" s="329"/>
      <c r="AC1683" s="245"/>
      <c r="AD1683" s="245"/>
      <c r="AE1683" s="245"/>
      <c r="AF1683" s="245"/>
    </row>
    <row r="1684" spans="1:32" ht="26.25">
      <c r="A1684" s="246"/>
      <c r="B1684" s="245"/>
      <c r="C1684" s="245"/>
      <c r="D1684" s="245"/>
      <c r="E1684" s="245"/>
      <c r="F1684" s="187"/>
      <c r="G1684" s="245"/>
      <c r="H1684" s="245"/>
      <c r="I1684" s="245"/>
      <c r="O1684" s="360"/>
      <c r="Q1684" s="351"/>
      <c r="R1684" s="363"/>
      <c r="S1684" s="321"/>
      <c r="T1684" s="85" ph="1"/>
      <c r="V1684" s="216"/>
      <c r="W1684" s="245"/>
      <c r="X1684" s="187"/>
      <c r="Y1684" s="245"/>
      <c r="Z1684" s="245"/>
      <c r="AA1684" s="329"/>
      <c r="AC1684" s="245"/>
      <c r="AD1684" s="245"/>
      <c r="AE1684" s="245"/>
      <c r="AF1684" s="245"/>
    </row>
    <row r="1685" spans="1:32" ht="26.25">
      <c r="A1685" s="246"/>
      <c r="B1685" s="245"/>
      <c r="C1685" s="245"/>
      <c r="D1685" s="245"/>
      <c r="E1685" s="245"/>
      <c r="F1685" s="187"/>
      <c r="G1685" s="245"/>
      <c r="H1685" s="245"/>
      <c r="I1685" s="245"/>
      <c r="O1685" s="360"/>
      <c r="Q1685" s="351"/>
      <c r="R1685" s="363"/>
      <c r="S1685" s="321"/>
      <c r="T1685" s="85" ph="1"/>
      <c r="V1685" s="216"/>
      <c r="W1685" s="245"/>
      <c r="X1685" s="187"/>
      <c r="Y1685" s="245"/>
      <c r="Z1685" s="245"/>
      <c r="AA1685" s="329"/>
      <c r="AC1685" s="245"/>
      <c r="AD1685" s="245"/>
      <c r="AE1685" s="245"/>
      <c r="AF1685" s="245"/>
    </row>
    <row r="1686" spans="1:32" ht="26.25">
      <c r="A1686" s="246"/>
      <c r="B1686" s="245"/>
      <c r="C1686" s="245"/>
      <c r="D1686" s="245"/>
      <c r="E1686" s="245"/>
      <c r="F1686" s="187"/>
      <c r="G1686" s="245"/>
      <c r="H1686" s="245"/>
      <c r="I1686" s="245"/>
      <c r="O1686" s="360"/>
      <c r="Q1686" s="351"/>
      <c r="R1686" s="363"/>
      <c r="S1686" s="321"/>
      <c r="T1686" s="85" ph="1"/>
      <c r="V1686" s="216"/>
      <c r="W1686" s="245"/>
      <c r="X1686" s="187"/>
      <c r="Y1686" s="245"/>
      <c r="Z1686" s="245"/>
      <c r="AA1686" s="329"/>
      <c r="AC1686" s="245"/>
      <c r="AD1686" s="245"/>
      <c r="AE1686" s="245"/>
      <c r="AF1686" s="245"/>
    </row>
    <row r="1687" spans="1:32" ht="26.25">
      <c r="A1687" s="246"/>
      <c r="B1687" s="245"/>
      <c r="C1687" s="245"/>
      <c r="D1687" s="245"/>
      <c r="E1687" s="245"/>
      <c r="F1687" s="187"/>
      <c r="G1687" s="245"/>
      <c r="H1687" s="245"/>
      <c r="I1687" s="245"/>
      <c r="O1687" s="360"/>
      <c r="Q1687" s="351"/>
      <c r="R1687" s="363"/>
      <c r="S1687" s="321"/>
      <c r="T1687" s="85" ph="1"/>
      <c r="V1687" s="216"/>
      <c r="W1687" s="245"/>
      <c r="X1687" s="187"/>
      <c r="Y1687" s="245"/>
      <c r="Z1687" s="245"/>
      <c r="AA1687" s="329"/>
      <c r="AC1687" s="245"/>
      <c r="AD1687" s="245"/>
      <c r="AE1687" s="245"/>
      <c r="AF1687" s="245"/>
    </row>
    <row r="1688" spans="1:32" ht="26.25">
      <c r="A1688" s="246"/>
      <c r="B1688" s="245"/>
      <c r="C1688" s="245"/>
      <c r="D1688" s="245"/>
      <c r="E1688" s="245"/>
      <c r="F1688" s="187"/>
      <c r="G1688" s="245"/>
      <c r="H1688" s="245"/>
      <c r="I1688" s="245"/>
      <c r="O1688" s="360"/>
      <c r="Q1688" s="351"/>
      <c r="R1688" s="363"/>
      <c r="S1688" s="321"/>
      <c r="T1688" s="85" ph="1"/>
      <c r="V1688" s="216"/>
      <c r="W1688" s="245"/>
      <c r="X1688" s="187"/>
      <c r="Y1688" s="245"/>
      <c r="Z1688" s="245"/>
      <c r="AA1688" s="329"/>
      <c r="AC1688" s="245"/>
      <c r="AD1688" s="245"/>
      <c r="AE1688" s="245"/>
      <c r="AF1688" s="245"/>
    </row>
    <row r="1689" spans="1:32" ht="26.25">
      <c r="A1689" s="246"/>
      <c r="B1689" s="245"/>
      <c r="C1689" s="245"/>
      <c r="D1689" s="245"/>
      <c r="E1689" s="245"/>
      <c r="F1689" s="187"/>
      <c r="G1689" s="245"/>
      <c r="H1689" s="245"/>
      <c r="I1689" s="245"/>
      <c r="O1689" s="360"/>
      <c r="Q1689" s="351"/>
      <c r="R1689" s="363"/>
      <c r="S1689" s="321"/>
      <c r="T1689" s="85" ph="1"/>
      <c r="V1689" s="216"/>
      <c r="W1689" s="245"/>
      <c r="X1689" s="187"/>
      <c r="Y1689" s="245"/>
      <c r="Z1689" s="245"/>
      <c r="AA1689" s="329"/>
      <c r="AC1689" s="245"/>
      <c r="AD1689" s="245"/>
      <c r="AE1689" s="245"/>
      <c r="AF1689" s="245"/>
    </row>
    <row r="1690" spans="1:32" ht="26.25">
      <c r="A1690" s="246"/>
      <c r="B1690" s="245"/>
      <c r="C1690" s="245"/>
      <c r="D1690" s="245"/>
      <c r="E1690" s="245"/>
      <c r="F1690" s="187"/>
      <c r="G1690" s="245"/>
      <c r="H1690" s="245"/>
      <c r="I1690" s="245"/>
      <c r="O1690" s="360"/>
      <c r="Q1690" s="351"/>
      <c r="R1690" s="363"/>
      <c r="S1690" s="321"/>
      <c r="T1690" s="85" ph="1"/>
      <c r="V1690" s="216"/>
      <c r="W1690" s="245"/>
      <c r="X1690" s="187"/>
      <c r="Y1690" s="245"/>
      <c r="Z1690" s="245"/>
      <c r="AA1690" s="329"/>
      <c r="AC1690" s="245"/>
      <c r="AD1690" s="245"/>
      <c r="AE1690" s="245"/>
      <c r="AF1690" s="245"/>
    </row>
    <row r="1691" spans="1:32" ht="26.25">
      <c r="A1691" s="246"/>
      <c r="B1691" s="245"/>
      <c r="C1691" s="245"/>
      <c r="D1691" s="245"/>
      <c r="E1691" s="245"/>
      <c r="F1691" s="187"/>
      <c r="G1691" s="245"/>
      <c r="H1691" s="245"/>
      <c r="I1691" s="245"/>
      <c r="O1691" s="360"/>
      <c r="Q1691" s="351"/>
      <c r="R1691" s="363"/>
      <c r="S1691" s="321"/>
      <c r="T1691" s="85" ph="1"/>
      <c r="V1691" s="216"/>
      <c r="W1691" s="245"/>
      <c r="X1691" s="187"/>
      <c r="Y1691" s="245"/>
      <c r="Z1691" s="245"/>
      <c r="AA1691" s="329"/>
      <c r="AC1691" s="245"/>
      <c r="AD1691" s="245"/>
      <c r="AE1691" s="245"/>
      <c r="AF1691" s="245"/>
    </row>
    <row r="1692" spans="1:32" ht="26.25">
      <c r="A1692" s="246"/>
      <c r="B1692" s="245"/>
      <c r="C1692" s="245"/>
      <c r="D1692" s="245"/>
      <c r="E1692" s="245"/>
      <c r="F1692" s="187"/>
      <c r="G1692" s="245"/>
      <c r="H1692" s="245"/>
      <c r="I1692" s="245"/>
      <c r="O1692" s="360"/>
      <c r="Q1692" s="351"/>
      <c r="R1692" s="363"/>
      <c r="S1692" s="321"/>
      <c r="T1692" s="85" ph="1"/>
      <c r="V1692" s="216"/>
      <c r="W1692" s="245"/>
      <c r="X1692" s="187"/>
      <c r="Y1692" s="245"/>
      <c r="Z1692" s="245"/>
      <c r="AA1692" s="329"/>
      <c r="AC1692" s="245"/>
      <c r="AD1692" s="245"/>
      <c r="AE1692" s="245"/>
      <c r="AF1692" s="245"/>
    </row>
    <row r="1693" spans="1:32" ht="26.25">
      <c r="A1693" s="246"/>
      <c r="B1693" s="245"/>
      <c r="C1693" s="245"/>
      <c r="D1693" s="245"/>
      <c r="E1693" s="245"/>
      <c r="F1693" s="187"/>
      <c r="G1693" s="245"/>
      <c r="H1693" s="245"/>
      <c r="I1693" s="245"/>
      <c r="O1693" s="360"/>
      <c r="Q1693" s="351"/>
      <c r="R1693" s="363"/>
      <c r="S1693" s="321"/>
      <c r="T1693" s="85" ph="1"/>
      <c r="V1693" s="216"/>
      <c r="W1693" s="245"/>
      <c r="X1693" s="187"/>
      <c r="Y1693" s="245"/>
      <c r="Z1693" s="245"/>
      <c r="AA1693" s="329"/>
      <c r="AC1693" s="245"/>
      <c r="AD1693" s="245"/>
      <c r="AE1693" s="245"/>
      <c r="AF1693" s="245"/>
    </row>
    <row r="1694" spans="1:32" ht="26.25">
      <c r="A1694" s="246"/>
      <c r="B1694" s="245"/>
      <c r="C1694" s="245"/>
      <c r="D1694" s="245"/>
      <c r="E1694" s="245"/>
      <c r="F1694" s="187"/>
      <c r="G1694" s="245"/>
      <c r="H1694" s="245"/>
      <c r="I1694" s="245"/>
      <c r="O1694" s="360"/>
      <c r="Q1694" s="351"/>
      <c r="R1694" s="363"/>
      <c r="S1694" s="321"/>
      <c r="T1694" s="85" ph="1"/>
      <c r="V1694" s="216"/>
      <c r="W1694" s="245"/>
      <c r="X1694" s="187"/>
      <c r="Y1694" s="245"/>
      <c r="Z1694" s="245"/>
      <c r="AA1694" s="329"/>
      <c r="AC1694" s="245"/>
      <c r="AD1694" s="245"/>
      <c r="AE1694" s="245"/>
      <c r="AF1694" s="245"/>
    </row>
    <row r="1695" spans="1:32" ht="26.25">
      <c r="A1695" s="246"/>
      <c r="B1695" s="245"/>
      <c r="C1695" s="245"/>
      <c r="D1695" s="245"/>
      <c r="E1695" s="245"/>
      <c r="F1695" s="187"/>
      <c r="G1695" s="245"/>
      <c r="H1695" s="245"/>
      <c r="I1695" s="245"/>
      <c r="O1695" s="360"/>
      <c r="Q1695" s="351"/>
      <c r="R1695" s="363"/>
      <c r="S1695" s="321"/>
      <c r="T1695" s="85" ph="1"/>
      <c r="V1695" s="216"/>
      <c r="W1695" s="245"/>
      <c r="X1695" s="187"/>
      <c r="Y1695" s="245"/>
      <c r="Z1695" s="245"/>
      <c r="AA1695" s="329"/>
      <c r="AC1695" s="245"/>
      <c r="AD1695" s="245"/>
      <c r="AE1695" s="245"/>
      <c r="AF1695" s="245"/>
    </row>
    <row r="1696" spans="1:32" ht="26.25">
      <c r="A1696" s="246"/>
      <c r="B1696" s="245"/>
      <c r="C1696" s="245"/>
      <c r="D1696" s="245"/>
      <c r="E1696" s="245"/>
      <c r="F1696" s="187"/>
      <c r="G1696" s="245"/>
      <c r="H1696" s="245"/>
      <c r="I1696" s="245"/>
      <c r="O1696" s="360"/>
      <c r="Q1696" s="351"/>
      <c r="R1696" s="363"/>
      <c r="S1696" s="321"/>
      <c r="T1696" s="85" ph="1"/>
      <c r="V1696" s="216"/>
      <c r="W1696" s="245"/>
      <c r="X1696" s="187"/>
      <c r="Y1696" s="245"/>
      <c r="Z1696" s="245"/>
      <c r="AA1696" s="329"/>
      <c r="AC1696" s="245"/>
      <c r="AD1696" s="245"/>
      <c r="AE1696" s="245"/>
      <c r="AF1696" s="245"/>
    </row>
    <row r="1697" spans="1:32" ht="26.25">
      <c r="A1697" s="246"/>
      <c r="B1697" s="245"/>
      <c r="C1697" s="245"/>
      <c r="D1697" s="245"/>
      <c r="E1697" s="245"/>
      <c r="F1697" s="187"/>
      <c r="G1697" s="245"/>
      <c r="H1697" s="245"/>
      <c r="I1697" s="245"/>
      <c r="O1697" s="360"/>
      <c r="Q1697" s="351"/>
      <c r="R1697" s="363"/>
      <c r="S1697" s="321"/>
      <c r="T1697" s="85" ph="1"/>
      <c r="V1697" s="216"/>
      <c r="W1697" s="245"/>
      <c r="X1697" s="187"/>
      <c r="Y1697" s="245"/>
      <c r="Z1697" s="245"/>
      <c r="AA1697" s="329"/>
      <c r="AC1697" s="245"/>
      <c r="AD1697" s="245"/>
      <c r="AE1697" s="245"/>
      <c r="AF1697" s="245"/>
    </row>
    <row r="1698" spans="1:32" ht="26.25">
      <c r="A1698" s="246"/>
      <c r="B1698" s="245"/>
      <c r="C1698" s="245"/>
      <c r="D1698" s="245"/>
      <c r="E1698" s="245"/>
      <c r="F1698" s="187"/>
      <c r="G1698" s="245"/>
      <c r="H1698" s="245"/>
      <c r="I1698" s="245"/>
      <c r="O1698" s="360"/>
      <c r="Q1698" s="351"/>
      <c r="R1698" s="363"/>
      <c r="S1698" s="321"/>
      <c r="T1698" s="85" ph="1"/>
      <c r="V1698" s="216"/>
      <c r="W1698" s="245"/>
      <c r="X1698" s="187"/>
      <c r="Y1698" s="245"/>
      <c r="Z1698" s="245"/>
      <c r="AA1698" s="329"/>
      <c r="AC1698" s="245"/>
      <c r="AD1698" s="245"/>
      <c r="AE1698" s="245"/>
      <c r="AF1698" s="245"/>
    </row>
    <row r="1699" spans="1:32" ht="26.25">
      <c r="A1699" s="246"/>
      <c r="B1699" s="245"/>
      <c r="C1699" s="245"/>
      <c r="D1699" s="245"/>
      <c r="E1699" s="245"/>
      <c r="F1699" s="187"/>
      <c r="G1699" s="245"/>
      <c r="H1699" s="245"/>
      <c r="I1699" s="245"/>
      <c r="O1699" s="360"/>
      <c r="Q1699" s="351"/>
      <c r="R1699" s="363"/>
      <c r="S1699" s="321"/>
      <c r="T1699" s="85" ph="1"/>
      <c r="V1699" s="216"/>
      <c r="W1699" s="245"/>
      <c r="X1699" s="187"/>
      <c r="Y1699" s="245"/>
      <c r="Z1699" s="245"/>
      <c r="AA1699" s="329"/>
      <c r="AC1699" s="245"/>
      <c r="AD1699" s="245"/>
      <c r="AE1699" s="245"/>
      <c r="AF1699" s="245"/>
    </row>
    <row r="1700" spans="1:32" ht="26.25">
      <c r="A1700" s="246"/>
      <c r="B1700" s="245"/>
      <c r="C1700" s="245"/>
      <c r="D1700" s="245"/>
      <c r="E1700" s="245"/>
      <c r="F1700" s="187"/>
      <c r="G1700" s="245"/>
      <c r="H1700" s="245"/>
      <c r="I1700" s="245"/>
      <c r="O1700" s="360"/>
      <c r="Q1700" s="351"/>
      <c r="R1700" s="363"/>
      <c r="S1700" s="321"/>
      <c r="T1700" s="85" ph="1"/>
      <c r="V1700" s="216"/>
      <c r="W1700" s="245"/>
      <c r="X1700" s="187"/>
      <c r="Y1700" s="245"/>
      <c r="Z1700" s="245"/>
      <c r="AA1700" s="329"/>
      <c r="AC1700" s="245"/>
      <c r="AD1700" s="245"/>
      <c r="AE1700" s="245"/>
      <c r="AF1700" s="245"/>
    </row>
    <row r="1701" spans="1:32" ht="26.25">
      <c r="A1701" s="246"/>
      <c r="B1701" s="245"/>
      <c r="C1701" s="245"/>
      <c r="D1701" s="245"/>
      <c r="E1701" s="245"/>
      <c r="F1701" s="187"/>
      <c r="G1701" s="245"/>
      <c r="H1701" s="245"/>
      <c r="I1701" s="245"/>
      <c r="O1701" s="360"/>
      <c r="Q1701" s="351"/>
      <c r="R1701" s="363"/>
      <c r="S1701" s="321"/>
      <c r="T1701" s="85" ph="1"/>
      <c r="V1701" s="216"/>
      <c r="W1701" s="245"/>
      <c r="X1701" s="187"/>
      <c r="Y1701" s="245"/>
      <c r="Z1701" s="245"/>
      <c r="AA1701" s="329"/>
      <c r="AC1701" s="245"/>
      <c r="AD1701" s="245"/>
      <c r="AE1701" s="245"/>
      <c r="AF1701" s="245"/>
    </row>
    <row r="1702" spans="1:32" ht="26.25">
      <c r="A1702" s="246"/>
      <c r="B1702" s="245"/>
      <c r="C1702" s="245"/>
      <c r="D1702" s="245"/>
      <c r="E1702" s="245"/>
      <c r="F1702" s="187"/>
      <c r="G1702" s="245"/>
      <c r="H1702" s="245"/>
      <c r="I1702" s="245"/>
      <c r="O1702" s="360"/>
      <c r="Q1702" s="351"/>
      <c r="R1702" s="363"/>
      <c r="S1702" s="321"/>
      <c r="T1702" s="85" ph="1"/>
      <c r="V1702" s="216"/>
      <c r="W1702" s="245"/>
      <c r="X1702" s="187"/>
      <c r="Y1702" s="245"/>
      <c r="Z1702" s="245"/>
      <c r="AA1702" s="329"/>
      <c r="AC1702" s="245"/>
      <c r="AD1702" s="245"/>
      <c r="AE1702" s="245"/>
      <c r="AF1702" s="245"/>
    </row>
    <row r="1703" spans="1:32" ht="26.25">
      <c r="A1703" s="246"/>
      <c r="B1703" s="245"/>
      <c r="C1703" s="245"/>
      <c r="D1703" s="245"/>
      <c r="E1703" s="245"/>
      <c r="F1703" s="187"/>
      <c r="G1703" s="245"/>
      <c r="H1703" s="245"/>
      <c r="I1703" s="245"/>
      <c r="O1703" s="360"/>
      <c r="Q1703" s="351"/>
      <c r="R1703" s="363"/>
      <c r="S1703" s="321"/>
      <c r="T1703" s="85" ph="1"/>
      <c r="V1703" s="216"/>
      <c r="W1703" s="245"/>
      <c r="X1703" s="187"/>
      <c r="Y1703" s="245"/>
      <c r="Z1703" s="245"/>
      <c r="AA1703" s="329"/>
      <c r="AC1703" s="245"/>
      <c r="AD1703" s="245"/>
      <c r="AE1703" s="245"/>
      <c r="AF1703" s="245"/>
    </row>
    <row r="1704" spans="1:32" ht="26.25">
      <c r="A1704" s="246"/>
      <c r="B1704" s="245"/>
      <c r="C1704" s="245"/>
      <c r="D1704" s="245"/>
      <c r="E1704" s="245"/>
      <c r="F1704" s="187"/>
      <c r="G1704" s="245"/>
      <c r="H1704" s="245"/>
      <c r="I1704" s="245"/>
      <c r="O1704" s="360"/>
      <c r="Q1704" s="351"/>
      <c r="R1704" s="363"/>
      <c r="S1704" s="321"/>
      <c r="T1704" s="85" ph="1"/>
      <c r="V1704" s="216"/>
      <c r="W1704" s="245"/>
      <c r="X1704" s="187"/>
      <c r="Y1704" s="245"/>
      <c r="Z1704" s="245"/>
      <c r="AA1704" s="329"/>
      <c r="AC1704" s="245"/>
      <c r="AD1704" s="245"/>
      <c r="AE1704" s="245"/>
      <c r="AF1704" s="245"/>
    </row>
    <row r="1705" spans="1:32" ht="26.25">
      <c r="A1705" s="246"/>
      <c r="B1705" s="245"/>
      <c r="C1705" s="245"/>
      <c r="D1705" s="245"/>
      <c r="E1705" s="245"/>
      <c r="F1705" s="187"/>
      <c r="G1705" s="245"/>
      <c r="H1705" s="245"/>
      <c r="I1705" s="245"/>
      <c r="O1705" s="360"/>
      <c r="Q1705" s="351"/>
      <c r="R1705" s="363"/>
      <c r="S1705" s="321"/>
      <c r="T1705" s="85" ph="1"/>
      <c r="V1705" s="216"/>
      <c r="W1705" s="245"/>
      <c r="X1705" s="187"/>
      <c r="Y1705" s="245"/>
      <c r="Z1705" s="245"/>
      <c r="AA1705" s="329"/>
      <c r="AC1705" s="245"/>
      <c r="AD1705" s="245"/>
      <c r="AE1705" s="245"/>
      <c r="AF1705" s="245"/>
    </row>
    <row r="1706" spans="1:32" ht="26.25">
      <c r="A1706" s="246"/>
      <c r="B1706" s="245"/>
      <c r="C1706" s="245"/>
      <c r="D1706" s="245"/>
      <c r="E1706" s="245"/>
      <c r="F1706" s="187"/>
      <c r="G1706" s="245"/>
      <c r="H1706" s="245"/>
      <c r="I1706" s="245"/>
      <c r="O1706" s="360"/>
      <c r="Q1706" s="351"/>
      <c r="R1706" s="363"/>
      <c r="S1706" s="321"/>
      <c r="T1706" s="85" ph="1"/>
      <c r="V1706" s="216"/>
      <c r="W1706" s="245"/>
      <c r="X1706" s="187"/>
      <c r="Y1706" s="245"/>
      <c r="Z1706" s="245"/>
      <c r="AA1706" s="329"/>
      <c r="AC1706" s="245"/>
      <c r="AD1706" s="245"/>
      <c r="AE1706" s="245"/>
      <c r="AF1706" s="245"/>
    </row>
    <row r="1707" spans="1:32" ht="26.25">
      <c r="A1707" s="246"/>
      <c r="B1707" s="245"/>
      <c r="C1707" s="245"/>
      <c r="D1707" s="245"/>
      <c r="E1707" s="245"/>
      <c r="F1707" s="187"/>
      <c r="G1707" s="245"/>
      <c r="H1707" s="245"/>
      <c r="I1707" s="245"/>
      <c r="O1707" s="360"/>
      <c r="Q1707" s="351"/>
      <c r="R1707" s="363"/>
      <c r="S1707" s="321"/>
      <c r="T1707" s="85" ph="1"/>
      <c r="V1707" s="216"/>
      <c r="W1707" s="245"/>
      <c r="X1707" s="187"/>
      <c r="Y1707" s="245"/>
      <c r="Z1707" s="245"/>
      <c r="AA1707" s="329"/>
      <c r="AC1707" s="245"/>
      <c r="AD1707" s="245"/>
      <c r="AE1707" s="245"/>
      <c r="AF1707" s="245"/>
    </row>
    <row r="1708" spans="1:32" ht="26.25">
      <c r="A1708" s="246"/>
      <c r="B1708" s="245"/>
      <c r="C1708" s="245"/>
      <c r="D1708" s="245"/>
      <c r="E1708" s="245"/>
      <c r="F1708" s="187"/>
      <c r="G1708" s="245"/>
      <c r="H1708" s="245"/>
      <c r="I1708" s="245"/>
      <c r="O1708" s="360"/>
      <c r="Q1708" s="351"/>
      <c r="R1708" s="363"/>
      <c r="S1708" s="321"/>
      <c r="T1708" s="85" ph="1"/>
      <c r="V1708" s="216"/>
      <c r="W1708" s="245"/>
      <c r="X1708" s="187"/>
      <c r="Y1708" s="245"/>
      <c r="Z1708" s="245"/>
      <c r="AA1708" s="329"/>
      <c r="AC1708" s="245"/>
      <c r="AD1708" s="245"/>
      <c r="AE1708" s="245"/>
      <c r="AF1708" s="245"/>
    </row>
    <row r="1709" spans="1:32" ht="26.25">
      <c r="A1709" s="246"/>
      <c r="B1709" s="245"/>
      <c r="C1709" s="245"/>
      <c r="D1709" s="245"/>
      <c r="E1709" s="245"/>
      <c r="F1709" s="187"/>
      <c r="G1709" s="245"/>
      <c r="H1709" s="245"/>
      <c r="I1709" s="245"/>
      <c r="O1709" s="360"/>
      <c r="Q1709" s="351"/>
      <c r="R1709" s="363"/>
      <c r="S1709" s="321"/>
      <c r="T1709" s="85" ph="1"/>
      <c r="V1709" s="216"/>
      <c r="W1709" s="245"/>
      <c r="X1709" s="187"/>
      <c r="Y1709" s="245"/>
      <c r="Z1709" s="245"/>
      <c r="AA1709" s="329"/>
      <c r="AC1709" s="245"/>
      <c r="AD1709" s="245"/>
      <c r="AE1709" s="245"/>
      <c r="AF1709" s="245"/>
    </row>
    <row r="1710" spans="1:32" ht="26.25">
      <c r="A1710" s="246"/>
      <c r="B1710" s="245"/>
      <c r="C1710" s="245"/>
      <c r="D1710" s="245"/>
      <c r="E1710" s="245"/>
      <c r="F1710" s="187"/>
      <c r="G1710" s="245"/>
      <c r="H1710" s="245"/>
      <c r="I1710" s="245"/>
      <c r="O1710" s="360"/>
      <c r="Q1710" s="351"/>
      <c r="R1710" s="363"/>
      <c r="S1710" s="321"/>
      <c r="T1710" s="85" ph="1"/>
      <c r="V1710" s="216"/>
      <c r="W1710" s="245"/>
      <c r="X1710" s="187"/>
      <c r="Y1710" s="245"/>
      <c r="Z1710" s="245"/>
      <c r="AA1710" s="329"/>
      <c r="AC1710" s="245"/>
      <c r="AD1710" s="245"/>
      <c r="AE1710" s="245"/>
      <c r="AF1710" s="245"/>
    </row>
    <row r="1711" spans="1:32" ht="26.25">
      <c r="A1711" s="246"/>
      <c r="B1711" s="245"/>
      <c r="C1711" s="245"/>
      <c r="D1711" s="245"/>
      <c r="E1711" s="245"/>
      <c r="F1711" s="187"/>
      <c r="G1711" s="245"/>
      <c r="H1711" s="245"/>
      <c r="I1711" s="245"/>
      <c r="O1711" s="360"/>
      <c r="Q1711" s="351"/>
      <c r="R1711" s="363"/>
      <c r="S1711" s="321"/>
      <c r="T1711" s="85" ph="1"/>
      <c r="V1711" s="216"/>
      <c r="W1711" s="245"/>
      <c r="X1711" s="187"/>
      <c r="Y1711" s="245"/>
      <c r="Z1711" s="245"/>
      <c r="AA1711" s="329"/>
      <c r="AC1711" s="245"/>
      <c r="AD1711" s="245"/>
      <c r="AE1711" s="245"/>
      <c r="AF1711" s="245"/>
    </row>
    <row r="1712" spans="1:32" ht="26.25">
      <c r="A1712" s="246"/>
      <c r="B1712" s="245"/>
      <c r="C1712" s="245"/>
      <c r="D1712" s="245"/>
      <c r="E1712" s="245"/>
      <c r="F1712" s="187"/>
      <c r="G1712" s="245"/>
      <c r="H1712" s="245"/>
      <c r="I1712" s="245"/>
      <c r="O1712" s="360"/>
      <c r="Q1712" s="351"/>
      <c r="R1712" s="363"/>
      <c r="S1712" s="321"/>
      <c r="T1712" s="85" ph="1"/>
      <c r="V1712" s="216"/>
      <c r="W1712" s="245"/>
      <c r="X1712" s="187"/>
      <c r="Y1712" s="245"/>
      <c r="Z1712" s="245"/>
      <c r="AA1712" s="329"/>
      <c r="AC1712" s="245"/>
      <c r="AD1712" s="245"/>
      <c r="AE1712" s="245"/>
      <c r="AF1712" s="245"/>
    </row>
    <row r="1713" spans="1:32" ht="26.25">
      <c r="A1713" s="246"/>
      <c r="B1713" s="245"/>
      <c r="C1713" s="245"/>
      <c r="D1713" s="245"/>
      <c r="E1713" s="245"/>
      <c r="F1713" s="187"/>
      <c r="G1713" s="245"/>
      <c r="H1713" s="245"/>
      <c r="I1713" s="245"/>
      <c r="O1713" s="360"/>
      <c r="Q1713" s="351"/>
      <c r="R1713" s="363"/>
      <c r="S1713" s="321"/>
      <c r="T1713" s="85" ph="1"/>
      <c r="V1713" s="216"/>
      <c r="W1713" s="245"/>
      <c r="X1713" s="187"/>
      <c r="Y1713" s="245"/>
      <c r="Z1713" s="245"/>
      <c r="AA1713" s="329"/>
      <c r="AC1713" s="245"/>
      <c r="AD1713" s="245"/>
      <c r="AE1713" s="245"/>
      <c r="AF1713" s="245"/>
    </row>
    <row r="1714" spans="1:32" ht="26.25">
      <c r="A1714" s="246"/>
      <c r="B1714" s="245"/>
      <c r="C1714" s="245"/>
      <c r="D1714" s="245"/>
      <c r="E1714" s="245"/>
      <c r="F1714" s="187"/>
      <c r="G1714" s="245"/>
      <c r="H1714" s="245"/>
      <c r="I1714" s="245"/>
      <c r="O1714" s="360"/>
      <c r="Q1714" s="351"/>
      <c r="R1714" s="363"/>
      <c r="S1714" s="321"/>
      <c r="T1714" s="85" ph="1"/>
      <c r="V1714" s="216"/>
      <c r="W1714" s="245"/>
      <c r="X1714" s="187"/>
      <c r="Y1714" s="245"/>
      <c r="Z1714" s="245"/>
      <c r="AA1714" s="329"/>
      <c r="AC1714" s="245"/>
      <c r="AD1714" s="245"/>
      <c r="AE1714" s="245"/>
      <c r="AF1714" s="245"/>
    </row>
    <row r="1715" spans="1:32" ht="26.25">
      <c r="A1715" s="246"/>
      <c r="B1715" s="245"/>
      <c r="C1715" s="245"/>
      <c r="D1715" s="245"/>
      <c r="E1715" s="245"/>
      <c r="F1715" s="187"/>
      <c r="G1715" s="245"/>
      <c r="H1715" s="245"/>
      <c r="I1715" s="245"/>
      <c r="O1715" s="360"/>
      <c r="Q1715" s="351"/>
      <c r="R1715" s="363"/>
      <c r="S1715" s="321"/>
      <c r="T1715" s="85" ph="1"/>
      <c r="V1715" s="216"/>
      <c r="W1715" s="245"/>
      <c r="X1715" s="187"/>
      <c r="Y1715" s="245"/>
      <c r="Z1715" s="245"/>
      <c r="AA1715" s="329"/>
      <c r="AC1715" s="245"/>
      <c r="AD1715" s="245"/>
      <c r="AE1715" s="245"/>
      <c r="AF1715" s="245"/>
    </row>
    <row r="1716" spans="1:32" ht="26.25">
      <c r="A1716" s="246"/>
      <c r="B1716" s="245"/>
      <c r="C1716" s="245"/>
      <c r="D1716" s="245"/>
      <c r="E1716" s="245"/>
      <c r="F1716" s="187"/>
      <c r="G1716" s="245"/>
      <c r="H1716" s="245"/>
      <c r="I1716" s="245"/>
      <c r="O1716" s="360"/>
      <c r="Q1716" s="351"/>
      <c r="R1716" s="363"/>
      <c r="S1716" s="321"/>
      <c r="T1716" s="85" ph="1"/>
      <c r="V1716" s="216"/>
      <c r="W1716" s="245"/>
      <c r="X1716" s="187"/>
      <c r="Y1716" s="245"/>
      <c r="Z1716" s="245"/>
      <c r="AA1716" s="329"/>
      <c r="AC1716" s="245"/>
      <c r="AD1716" s="245"/>
      <c r="AE1716" s="245"/>
      <c r="AF1716" s="245"/>
    </row>
    <row r="1717" spans="1:32" ht="26.25">
      <c r="A1717" s="246"/>
      <c r="B1717" s="245"/>
      <c r="C1717" s="245"/>
      <c r="D1717" s="245"/>
      <c r="E1717" s="245"/>
      <c r="F1717" s="187"/>
      <c r="G1717" s="245"/>
      <c r="H1717" s="245"/>
      <c r="I1717" s="245"/>
      <c r="O1717" s="360"/>
      <c r="Q1717" s="351"/>
      <c r="R1717" s="363"/>
      <c r="S1717" s="321"/>
      <c r="T1717" s="85" ph="1"/>
      <c r="V1717" s="216"/>
      <c r="W1717" s="245"/>
      <c r="X1717" s="187"/>
      <c r="Y1717" s="245"/>
      <c r="Z1717" s="245"/>
      <c r="AA1717" s="329"/>
      <c r="AC1717" s="245"/>
      <c r="AD1717" s="245"/>
      <c r="AE1717" s="245"/>
      <c r="AF1717" s="245"/>
    </row>
    <row r="1718" spans="1:32" ht="26.25">
      <c r="A1718" s="246"/>
      <c r="B1718" s="245"/>
      <c r="C1718" s="245"/>
      <c r="D1718" s="245"/>
      <c r="E1718" s="245"/>
      <c r="F1718" s="187"/>
      <c r="G1718" s="245"/>
      <c r="H1718" s="245"/>
      <c r="I1718" s="245"/>
      <c r="O1718" s="360"/>
      <c r="Q1718" s="351"/>
      <c r="R1718" s="363"/>
      <c r="S1718" s="321"/>
      <c r="T1718" s="85" ph="1"/>
      <c r="V1718" s="216"/>
      <c r="W1718" s="245"/>
      <c r="X1718" s="187"/>
      <c r="Y1718" s="245"/>
      <c r="Z1718" s="245"/>
      <c r="AA1718" s="329"/>
      <c r="AC1718" s="245"/>
      <c r="AD1718" s="245"/>
      <c r="AE1718" s="245"/>
      <c r="AF1718" s="245"/>
    </row>
    <row r="1719" spans="1:32" ht="26.25">
      <c r="A1719" s="246"/>
      <c r="B1719" s="245"/>
      <c r="C1719" s="245"/>
      <c r="D1719" s="245"/>
      <c r="E1719" s="245"/>
      <c r="F1719" s="187"/>
      <c r="G1719" s="245"/>
      <c r="H1719" s="245"/>
      <c r="I1719" s="245"/>
      <c r="O1719" s="360"/>
      <c r="Q1719" s="351"/>
      <c r="R1719" s="363"/>
      <c r="S1719" s="321"/>
      <c r="T1719" s="85" ph="1"/>
      <c r="V1719" s="216"/>
      <c r="W1719" s="245"/>
      <c r="X1719" s="187"/>
      <c r="Y1719" s="245"/>
      <c r="Z1719" s="245"/>
      <c r="AA1719" s="329"/>
      <c r="AC1719" s="245"/>
      <c r="AD1719" s="245"/>
      <c r="AE1719" s="245"/>
      <c r="AF1719" s="245"/>
    </row>
    <row r="1720" spans="1:32" ht="26.25">
      <c r="A1720" s="246"/>
      <c r="B1720" s="245"/>
      <c r="C1720" s="245"/>
      <c r="D1720" s="245"/>
      <c r="E1720" s="245"/>
      <c r="F1720" s="187"/>
      <c r="G1720" s="245"/>
      <c r="H1720" s="245"/>
      <c r="I1720" s="245"/>
      <c r="O1720" s="360"/>
      <c r="Q1720" s="351"/>
      <c r="R1720" s="363"/>
      <c r="S1720" s="321"/>
      <c r="T1720" s="85" ph="1"/>
      <c r="V1720" s="216"/>
      <c r="W1720" s="245"/>
      <c r="X1720" s="187"/>
      <c r="Y1720" s="245"/>
      <c r="Z1720" s="245"/>
      <c r="AA1720" s="329"/>
      <c r="AC1720" s="245"/>
      <c r="AD1720" s="245"/>
      <c r="AE1720" s="245"/>
      <c r="AF1720" s="245"/>
    </row>
    <row r="1721" spans="1:32" ht="26.25">
      <c r="A1721" s="246"/>
      <c r="B1721" s="245"/>
      <c r="C1721" s="245"/>
      <c r="D1721" s="245"/>
      <c r="E1721" s="245"/>
      <c r="F1721" s="187"/>
      <c r="G1721" s="245"/>
      <c r="H1721" s="245"/>
      <c r="I1721" s="245"/>
      <c r="O1721" s="360"/>
      <c r="Q1721" s="351"/>
      <c r="R1721" s="363"/>
      <c r="S1721" s="321"/>
      <c r="T1721" s="85" ph="1"/>
      <c r="V1721" s="216"/>
      <c r="W1721" s="245"/>
      <c r="X1721" s="187"/>
      <c r="Y1721" s="245"/>
      <c r="Z1721" s="245"/>
      <c r="AA1721" s="329"/>
      <c r="AC1721" s="245"/>
      <c r="AD1721" s="245"/>
      <c r="AE1721" s="245"/>
      <c r="AF1721" s="245"/>
    </row>
    <row r="1722" spans="1:32" ht="26.25">
      <c r="A1722" s="246"/>
      <c r="B1722" s="245"/>
      <c r="C1722" s="245"/>
      <c r="D1722" s="245"/>
      <c r="E1722" s="245"/>
      <c r="F1722" s="187"/>
      <c r="G1722" s="245"/>
      <c r="H1722" s="245"/>
      <c r="I1722" s="245"/>
      <c r="O1722" s="360"/>
      <c r="Q1722" s="351"/>
      <c r="R1722" s="363"/>
      <c r="S1722" s="321"/>
      <c r="T1722" s="85" ph="1"/>
      <c r="V1722" s="216"/>
      <c r="W1722" s="245"/>
      <c r="X1722" s="187"/>
      <c r="Y1722" s="245"/>
      <c r="Z1722" s="245"/>
      <c r="AA1722" s="329"/>
      <c r="AC1722" s="245"/>
      <c r="AD1722" s="245"/>
      <c r="AE1722" s="245"/>
      <c r="AF1722" s="245"/>
    </row>
    <row r="1723" spans="1:32" ht="26.25">
      <c r="A1723" s="246"/>
      <c r="B1723" s="245"/>
      <c r="C1723" s="245"/>
      <c r="D1723" s="245"/>
      <c r="E1723" s="245"/>
      <c r="F1723" s="187"/>
      <c r="G1723" s="245"/>
      <c r="H1723" s="245"/>
      <c r="I1723" s="245"/>
      <c r="O1723" s="360"/>
      <c r="Q1723" s="351"/>
      <c r="R1723" s="363"/>
      <c r="S1723" s="321"/>
      <c r="T1723" s="85" ph="1"/>
      <c r="V1723" s="216"/>
      <c r="W1723" s="245"/>
      <c r="X1723" s="187"/>
      <c r="Y1723" s="245"/>
      <c r="Z1723" s="245"/>
      <c r="AA1723" s="329"/>
      <c r="AC1723" s="245"/>
      <c r="AD1723" s="245"/>
      <c r="AE1723" s="245"/>
      <c r="AF1723" s="245"/>
    </row>
    <row r="1724" spans="1:32" ht="26.25">
      <c r="A1724" s="246"/>
      <c r="B1724" s="245"/>
      <c r="C1724" s="245"/>
      <c r="D1724" s="245"/>
      <c r="E1724" s="245"/>
      <c r="F1724" s="187"/>
      <c r="G1724" s="245"/>
      <c r="H1724" s="245"/>
      <c r="I1724" s="245"/>
      <c r="O1724" s="360"/>
      <c r="Q1724" s="351"/>
      <c r="R1724" s="363"/>
      <c r="S1724" s="321"/>
      <c r="T1724" s="85" ph="1"/>
      <c r="V1724" s="216"/>
      <c r="W1724" s="245"/>
      <c r="X1724" s="187"/>
      <c r="Y1724" s="245"/>
      <c r="Z1724" s="245"/>
      <c r="AA1724" s="329"/>
      <c r="AC1724" s="245"/>
      <c r="AD1724" s="245"/>
      <c r="AE1724" s="245"/>
      <c r="AF1724" s="245"/>
    </row>
    <row r="1725" spans="1:32" ht="26.25">
      <c r="A1725" s="246"/>
      <c r="B1725" s="245"/>
      <c r="C1725" s="245"/>
      <c r="D1725" s="245"/>
      <c r="E1725" s="245"/>
      <c r="F1725" s="187"/>
      <c r="G1725" s="245"/>
      <c r="H1725" s="245"/>
      <c r="I1725" s="245"/>
      <c r="O1725" s="360"/>
      <c r="Q1725" s="351"/>
      <c r="R1725" s="363"/>
      <c r="S1725" s="321"/>
      <c r="T1725" s="85" ph="1"/>
      <c r="V1725" s="216"/>
      <c r="W1725" s="245"/>
      <c r="X1725" s="187"/>
      <c r="Y1725" s="245"/>
      <c r="Z1725" s="245"/>
      <c r="AA1725" s="329"/>
      <c r="AC1725" s="245"/>
      <c r="AD1725" s="245"/>
      <c r="AE1725" s="245"/>
      <c r="AF1725" s="245"/>
    </row>
    <row r="1726" spans="1:32" ht="26.25">
      <c r="A1726" s="246"/>
      <c r="B1726" s="245"/>
      <c r="C1726" s="245"/>
      <c r="D1726" s="245"/>
      <c r="E1726" s="245"/>
      <c r="F1726" s="187"/>
      <c r="G1726" s="245"/>
      <c r="H1726" s="245"/>
      <c r="I1726" s="245"/>
      <c r="O1726" s="360"/>
      <c r="Q1726" s="351"/>
      <c r="R1726" s="363"/>
      <c r="S1726" s="321"/>
      <c r="T1726" s="85" ph="1"/>
      <c r="V1726" s="216"/>
      <c r="W1726" s="245"/>
      <c r="X1726" s="187"/>
      <c r="Y1726" s="245"/>
      <c r="Z1726" s="245"/>
      <c r="AA1726" s="329"/>
      <c r="AC1726" s="245"/>
      <c r="AD1726" s="245"/>
      <c r="AE1726" s="245"/>
      <c r="AF1726" s="245"/>
    </row>
    <row r="1727" spans="1:32" ht="26.25">
      <c r="A1727" s="246"/>
      <c r="B1727" s="245"/>
      <c r="C1727" s="245"/>
      <c r="D1727" s="245"/>
      <c r="E1727" s="245"/>
      <c r="F1727" s="187"/>
      <c r="G1727" s="245"/>
      <c r="H1727" s="245"/>
      <c r="I1727" s="245"/>
      <c r="O1727" s="360"/>
      <c r="Q1727" s="351"/>
      <c r="R1727" s="363"/>
      <c r="S1727" s="321"/>
      <c r="T1727" s="85" ph="1"/>
      <c r="V1727" s="216"/>
      <c r="W1727" s="245"/>
      <c r="X1727" s="187"/>
      <c r="Y1727" s="245"/>
      <c r="Z1727" s="245"/>
      <c r="AA1727" s="329"/>
      <c r="AC1727" s="245"/>
      <c r="AD1727" s="245"/>
      <c r="AE1727" s="245"/>
      <c r="AF1727" s="245"/>
    </row>
    <row r="1728" spans="1:32" ht="26.25">
      <c r="A1728" s="246"/>
      <c r="B1728" s="245"/>
      <c r="C1728" s="245"/>
      <c r="D1728" s="245"/>
      <c r="E1728" s="245"/>
      <c r="F1728" s="187"/>
      <c r="G1728" s="245"/>
      <c r="H1728" s="245"/>
      <c r="I1728" s="245"/>
      <c r="O1728" s="360"/>
      <c r="Q1728" s="351"/>
      <c r="R1728" s="363"/>
      <c r="S1728" s="321"/>
      <c r="T1728" s="85" ph="1"/>
      <c r="V1728" s="216"/>
      <c r="W1728" s="245"/>
      <c r="X1728" s="187"/>
      <c r="Y1728" s="245"/>
      <c r="Z1728" s="245"/>
      <c r="AA1728" s="329"/>
      <c r="AC1728" s="245"/>
      <c r="AD1728" s="245"/>
      <c r="AE1728" s="245"/>
      <c r="AF1728" s="245"/>
    </row>
    <row r="1729" spans="1:32" ht="26.25">
      <c r="A1729" s="246"/>
      <c r="B1729" s="245"/>
      <c r="C1729" s="245"/>
      <c r="D1729" s="245"/>
      <c r="E1729" s="245"/>
      <c r="F1729" s="187"/>
      <c r="G1729" s="245"/>
      <c r="H1729" s="245"/>
      <c r="I1729" s="245"/>
      <c r="O1729" s="360"/>
      <c r="Q1729" s="351"/>
      <c r="R1729" s="363"/>
      <c r="S1729" s="321"/>
      <c r="T1729" s="85" ph="1"/>
      <c r="V1729" s="216"/>
      <c r="W1729" s="245"/>
      <c r="X1729" s="187"/>
      <c r="Y1729" s="245"/>
      <c r="Z1729" s="245"/>
      <c r="AA1729" s="329"/>
      <c r="AC1729" s="245"/>
      <c r="AD1729" s="245"/>
      <c r="AE1729" s="245"/>
      <c r="AF1729" s="245"/>
    </row>
    <row r="1730" spans="1:32" ht="26.25">
      <c r="A1730" s="246"/>
      <c r="B1730" s="245"/>
      <c r="C1730" s="245"/>
      <c r="D1730" s="245"/>
      <c r="E1730" s="245"/>
      <c r="F1730" s="187"/>
      <c r="G1730" s="245"/>
      <c r="H1730" s="245"/>
      <c r="I1730" s="245"/>
      <c r="O1730" s="360"/>
      <c r="Q1730" s="351"/>
      <c r="R1730" s="363"/>
      <c r="S1730" s="321"/>
      <c r="T1730" s="85" ph="1"/>
      <c r="V1730" s="216"/>
      <c r="W1730" s="245"/>
      <c r="X1730" s="187"/>
      <c r="Y1730" s="245"/>
      <c r="Z1730" s="245"/>
      <c r="AA1730" s="329"/>
      <c r="AC1730" s="245"/>
      <c r="AD1730" s="245"/>
      <c r="AE1730" s="245"/>
      <c r="AF1730" s="245"/>
    </row>
    <row r="1731" spans="1:32" ht="26.25">
      <c r="A1731" s="246"/>
      <c r="B1731" s="245"/>
      <c r="C1731" s="245"/>
      <c r="D1731" s="245"/>
      <c r="E1731" s="245"/>
      <c r="F1731" s="187"/>
      <c r="G1731" s="245"/>
      <c r="H1731" s="245"/>
      <c r="I1731" s="245"/>
      <c r="O1731" s="360"/>
      <c r="Q1731" s="351"/>
      <c r="R1731" s="363"/>
      <c r="S1731" s="321"/>
      <c r="T1731" s="85" ph="1"/>
      <c r="V1731" s="216"/>
      <c r="W1731" s="245"/>
      <c r="X1731" s="187"/>
      <c r="Y1731" s="245"/>
      <c r="Z1731" s="245"/>
      <c r="AA1731" s="329"/>
      <c r="AC1731" s="245"/>
      <c r="AD1731" s="245"/>
      <c r="AE1731" s="245"/>
      <c r="AF1731" s="245"/>
    </row>
    <row r="1732" spans="1:32" ht="26.25">
      <c r="A1732" s="246"/>
      <c r="B1732" s="245"/>
      <c r="C1732" s="245"/>
      <c r="D1732" s="245"/>
      <c r="E1732" s="245"/>
      <c r="F1732" s="187"/>
      <c r="G1732" s="245"/>
      <c r="H1732" s="245"/>
      <c r="I1732" s="245"/>
      <c r="O1732" s="360"/>
      <c r="Q1732" s="351"/>
      <c r="R1732" s="363"/>
      <c r="S1732" s="321"/>
      <c r="T1732" s="85" ph="1"/>
      <c r="V1732" s="216"/>
      <c r="W1732" s="245"/>
      <c r="X1732" s="187"/>
      <c r="Y1732" s="245"/>
      <c r="Z1732" s="245"/>
      <c r="AA1732" s="329"/>
      <c r="AC1732" s="245"/>
      <c r="AD1732" s="245"/>
      <c r="AE1732" s="245"/>
      <c r="AF1732" s="245"/>
    </row>
    <row r="1733" spans="1:32" ht="26.25">
      <c r="A1733" s="246"/>
      <c r="B1733" s="245"/>
      <c r="C1733" s="245"/>
      <c r="D1733" s="245"/>
      <c r="E1733" s="245"/>
      <c r="F1733" s="187"/>
      <c r="G1733" s="245"/>
      <c r="H1733" s="245"/>
      <c r="I1733" s="245"/>
      <c r="O1733" s="360"/>
      <c r="Q1733" s="351"/>
      <c r="R1733" s="363"/>
      <c r="S1733" s="321"/>
      <c r="T1733" s="85" ph="1"/>
      <c r="V1733" s="216"/>
      <c r="W1733" s="245"/>
      <c r="X1733" s="187"/>
      <c r="Y1733" s="245"/>
      <c r="Z1733" s="245"/>
      <c r="AA1733" s="329"/>
      <c r="AC1733" s="245"/>
      <c r="AD1733" s="245"/>
      <c r="AE1733" s="245"/>
      <c r="AF1733" s="245"/>
    </row>
    <row r="1734" spans="1:32" ht="26.25">
      <c r="A1734" s="246"/>
      <c r="B1734" s="245"/>
      <c r="C1734" s="245"/>
      <c r="D1734" s="245"/>
      <c r="E1734" s="245"/>
      <c r="F1734" s="187"/>
      <c r="G1734" s="245"/>
      <c r="H1734" s="245"/>
      <c r="I1734" s="245"/>
      <c r="O1734" s="360"/>
      <c r="Q1734" s="351"/>
      <c r="R1734" s="363"/>
      <c r="S1734" s="321"/>
      <c r="T1734" s="85" ph="1"/>
      <c r="V1734" s="216"/>
      <c r="W1734" s="245"/>
      <c r="X1734" s="187"/>
      <c r="Y1734" s="245"/>
      <c r="Z1734" s="245"/>
      <c r="AA1734" s="329"/>
      <c r="AC1734" s="245"/>
      <c r="AD1734" s="245"/>
      <c r="AE1734" s="245"/>
      <c r="AF1734" s="245"/>
    </row>
    <row r="1735" spans="1:32" ht="26.25">
      <c r="A1735" s="246"/>
      <c r="B1735" s="245"/>
      <c r="C1735" s="245"/>
      <c r="D1735" s="245"/>
      <c r="E1735" s="245"/>
      <c r="F1735" s="187"/>
      <c r="G1735" s="245"/>
      <c r="H1735" s="245"/>
      <c r="I1735" s="245"/>
      <c r="O1735" s="360"/>
      <c r="Q1735" s="351"/>
      <c r="R1735" s="363"/>
      <c r="S1735" s="321"/>
      <c r="T1735" s="85" ph="1"/>
      <c r="V1735" s="216"/>
      <c r="W1735" s="245"/>
      <c r="X1735" s="187"/>
      <c r="Y1735" s="245"/>
      <c r="Z1735" s="245"/>
      <c r="AA1735" s="329"/>
      <c r="AC1735" s="245"/>
      <c r="AD1735" s="245"/>
      <c r="AE1735" s="245"/>
      <c r="AF1735" s="245"/>
    </row>
    <row r="1736" spans="1:32" ht="26.25">
      <c r="A1736" s="246"/>
      <c r="B1736" s="245"/>
      <c r="C1736" s="245"/>
      <c r="D1736" s="245"/>
      <c r="E1736" s="245"/>
      <c r="F1736" s="187"/>
      <c r="G1736" s="245"/>
      <c r="H1736" s="245"/>
      <c r="I1736" s="245"/>
      <c r="O1736" s="360"/>
      <c r="Q1736" s="351"/>
      <c r="R1736" s="363"/>
      <c r="S1736" s="321"/>
      <c r="T1736" s="85" ph="1"/>
      <c r="V1736" s="216"/>
      <c r="W1736" s="245"/>
      <c r="X1736" s="187"/>
      <c r="Y1736" s="245"/>
      <c r="Z1736" s="245"/>
      <c r="AA1736" s="329"/>
      <c r="AC1736" s="245"/>
      <c r="AD1736" s="245"/>
      <c r="AE1736" s="245"/>
      <c r="AF1736" s="245"/>
    </row>
    <row r="1737" spans="1:32" ht="26.25">
      <c r="A1737" s="246"/>
      <c r="B1737" s="245"/>
      <c r="C1737" s="245"/>
      <c r="D1737" s="245"/>
      <c r="E1737" s="245"/>
      <c r="F1737" s="187"/>
      <c r="G1737" s="245"/>
      <c r="H1737" s="245"/>
      <c r="I1737" s="245"/>
      <c r="O1737" s="360"/>
      <c r="Q1737" s="351"/>
      <c r="R1737" s="363"/>
      <c r="S1737" s="321"/>
      <c r="T1737" s="85" ph="1"/>
      <c r="V1737" s="216"/>
      <c r="W1737" s="245"/>
      <c r="X1737" s="187"/>
      <c r="Y1737" s="245"/>
      <c r="Z1737" s="245"/>
      <c r="AA1737" s="329"/>
      <c r="AC1737" s="245"/>
      <c r="AD1737" s="245"/>
      <c r="AE1737" s="245"/>
      <c r="AF1737" s="245"/>
    </row>
    <row r="1738" spans="1:32" ht="26.25">
      <c r="A1738" s="246"/>
      <c r="B1738" s="245"/>
      <c r="C1738" s="245"/>
      <c r="D1738" s="245"/>
      <c r="E1738" s="245"/>
      <c r="F1738" s="187"/>
      <c r="G1738" s="245"/>
      <c r="H1738" s="245"/>
      <c r="I1738" s="245"/>
      <c r="O1738" s="360"/>
      <c r="Q1738" s="351"/>
      <c r="R1738" s="363"/>
      <c r="S1738" s="321"/>
      <c r="T1738" s="85" ph="1"/>
      <c r="V1738" s="216"/>
      <c r="W1738" s="245"/>
      <c r="X1738" s="187"/>
      <c r="Y1738" s="245"/>
      <c r="Z1738" s="245"/>
      <c r="AA1738" s="329"/>
      <c r="AC1738" s="245"/>
      <c r="AD1738" s="245"/>
      <c r="AE1738" s="245"/>
      <c r="AF1738" s="245"/>
    </row>
    <row r="1739" spans="1:32" ht="26.25">
      <c r="A1739" s="246"/>
      <c r="B1739" s="245"/>
      <c r="C1739" s="245"/>
      <c r="D1739" s="245"/>
      <c r="E1739" s="245"/>
      <c r="F1739" s="187"/>
      <c r="G1739" s="245"/>
      <c r="H1739" s="245"/>
      <c r="I1739" s="245"/>
      <c r="O1739" s="360"/>
      <c r="Q1739" s="351"/>
      <c r="R1739" s="363"/>
      <c r="S1739" s="321"/>
      <c r="T1739" s="85" ph="1"/>
      <c r="V1739" s="216"/>
      <c r="W1739" s="245"/>
      <c r="X1739" s="187"/>
      <c r="Y1739" s="245"/>
      <c r="Z1739" s="245"/>
      <c r="AA1739" s="329"/>
      <c r="AC1739" s="245"/>
      <c r="AD1739" s="245"/>
      <c r="AE1739" s="245"/>
      <c r="AF1739" s="245"/>
    </row>
    <row r="1740" spans="1:32" ht="26.25">
      <c r="A1740" s="246"/>
      <c r="B1740" s="245"/>
      <c r="C1740" s="245"/>
      <c r="D1740" s="245"/>
      <c r="E1740" s="245"/>
      <c r="F1740" s="187"/>
      <c r="G1740" s="245"/>
      <c r="H1740" s="245"/>
      <c r="I1740" s="245"/>
      <c r="O1740" s="360"/>
      <c r="Q1740" s="351"/>
      <c r="R1740" s="363"/>
      <c r="S1740" s="321"/>
      <c r="T1740" s="85" ph="1"/>
      <c r="V1740" s="216"/>
      <c r="W1740" s="245"/>
      <c r="X1740" s="187"/>
      <c r="Y1740" s="245"/>
      <c r="Z1740" s="245"/>
      <c r="AA1740" s="329"/>
      <c r="AC1740" s="245"/>
      <c r="AD1740" s="245"/>
      <c r="AE1740" s="245"/>
      <c r="AF1740" s="245"/>
    </row>
    <row r="1741" spans="1:32" ht="26.25">
      <c r="A1741" s="246"/>
      <c r="B1741" s="245"/>
      <c r="C1741" s="245"/>
      <c r="D1741" s="245"/>
      <c r="E1741" s="245"/>
      <c r="F1741" s="187"/>
      <c r="G1741" s="245"/>
      <c r="H1741" s="245"/>
      <c r="I1741" s="245"/>
      <c r="O1741" s="360"/>
      <c r="Q1741" s="351"/>
      <c r="R1741" s="363"/>
      <c r="S1741" s="321"/>
      <c r="T1741" s="85" ph="1"/>
      <c r="V1741" s="216"/>
      <c r="W1741" s="245"/>
      <c r="X1741" s="187"/>
      <c r="Y1741" s="245"/>
      <c r="Z1741" s="245"/>
      <c r="AA1741" s="329"/>
      <c r="AC1741" s="245"/>
      <c r="AD1741" s="245"/>
      <c r="AE1741" s="245"/>
      <c r="AF1741" s="245"/>
    </row>
    <row r="1742" spans="1:32" ht="26.25">
      <c r="A1742" s="246"/>
      <c r="B1742" s="245"/>
      <c r="C1742" s="245"/>
      <c r="D1742" s="245"/>
      <c r="E1742" s="245"/>
      <c r="F1742" s="187"/>
      <c r="G1742" s="245"/>
      <c r="H1742" s="245"/>
      <c r="I1742" s="245"/>
      <c r="O1742" s="360"/>
      <c r="Q1742" s="351"/>
      <c r="R1742" s="363"/>
      <c r="S1742" s="321"/>
      <c r="T1742" s="85" ph="1"/>
      <c r="V1742" s="216"/>
      <c r="W1742" s="245"/>
      <c r="X1742" s="187"/>
      <c r="Y1742" s="245"/>
      <c r="Z1742" s="245"/>
      <c r="AA1742" s="329"/>
      <c r="AC1742" s="245"/>
      <c r="AD1742" s="245"/>
      <c r="AE1742" s="245"/>
      <c r="AF1742" s="245"/>
    </row>
    <row r="1743" spans="1:32" ht="26.25">
      <c r="A1743" s="246"/>
      <c r="B1743" s="245"/>
      <c r="C1743" s="245"/>
      <c r="D1743" s="245"/>
      <c r="E1743" s="245"/>
      <c r="F1743" s="187"/>
      <c r="G1743" s="245"/>
      <c r="H1743" s="245"/>
      <c r="I1743" s="245"/>
      <c r="O1743" s="360"/>
      <c r="Q1743" s="351"/>
      <c r="R1743" s="363"/>
      <c r="S1743" s="321"/>
      <c r="T1743" s="85" ph="1"/>
      <c r="V1743" s="216"/>
      <c r="W1743" s="245"/>
      <c r="X1743" s="187"/>
      <c r="Y1743" s="245"/>
      <c r="Z1743" s="245"/>
      <c r="AA1743" s="329"/>
      <c r="AC1743" s="245"/>
      <c r="AD1743" s="245"/>
      <c r="AE1743" s="245"/>
      <c r="AF1743" s="245"/>
    </row>
    <row r="1744" spans="1:32" ht="26.25">
      <c r="A1744" s="246"/>
      <c r="B1744" s="245"/>
      <c r="C1744" s="245"/>
      <c r="D1744" s="245"/>
      <c r="E1744" s="245"/>
      <c r="F1744" s="187"/>
      <c r="G1744" s="245"/>
      <c r="H1744" s="245"/>
      <c r="I1744" s="245"/>
      <c r="O1744" s="360"/>
      <c r="Q1744" s="351"/>
      <c r="R1744" s="363"/>
      <c r="S1744" s="321"/>
      <c r="T1744" s="85" ph="1"/>
      <c r="V1744" s="216"/>
      <c r="W1744" s="245"/>
      <c r="X1744" s="187"/>
      <c r="Y1744" s="245"/>
      <c r="Z1744" s="245"/>
      <c r="AA1744" s="329"/>
      <c r="AC1744" s="245"/>
      <c r="AD1744" s="245"/>
      <c r="AE1744" s="245"/>
      <c r="AF1744" s="245"/>
    </row>
    <row r="1745" spans="1:32" ht="26.25">
      <c r="A1745" s="246"/>
      <c r="B1745" s="245"/>
      <c r="C1745" s="245"/>
      <c r="D1745" s="245"/>
      <c r="E1745" s="245"/>
      <c r="F1745" s="187"/>
      <c r="G1745" s="245"/>
      <c r="H1745" s="245"/>
      <c r="I1745" s="245"/>
      <c r="O1745" s="360"/>
      <c r="Q1745" s="351"/>
      <c r="R1745" s="363"/>
      <c r="S1745" s="321"/>
      <c r="T1745" s="85" ph="1"/>
      <c r="V1745" s="216"/>
      <c r="W1745" s="245"/>
      <c r="X1745" s="187"/>
      <c r="Y1745" s="245"/>
      <c r="Z1745" s="245"/>
      <c r="AA1745" s="329"/>
      <c r="AC1745" s="245"/>
      <c r="AD1745" s="245"/>
      <c r="AE1745" s="245"/>
      <c r="AF1745" s="245"/>
    </row>
    <row r="1746" spans="1:32" ht="26.25">
      <c r="A1746" s="246"/>
      <c r="B1746" s="245"/>
      <c r="C1746" s="245"/>
      <c r="D1746" s="245"/>
      <c r="E1746" s="245"/>
      <c r="F1746" s="187"/>
      <c r="G1746" s="245"/>
      <c r="H1746" s="245"/>
      <c r="I1746" s="245"/>
      <c r="O1746" s="360"/>
      <c r="Q1746" s="351"/>
      <c r="R1746" s="363"/>
      <c r="S1746" s="321"/>
      <c r="T1746" s="85" ph="1"/>
      <c r="V1746" s="216"/>
      <c r="W1746" s="245"/>
      <c r="X1746" s="187"/>
      <c r="Y1746" s="245"/>
      <c r="Z1746" s="245"/>
      <c r="AA1746" s="329"/>
      <c r="AC1746" s="245"/>
      <c r="AD1746" s="245"/>
      <c r="AE1746" s="245"/>
      <c r="AF1746" s="245"/>
    </row>
    <row r="1747" spans="1:32" ht="26.25">
      <c r="A1747" s="246"/>
      <c r="B1747" s="245"/>
      <c r="C1747" s="245"/>
      <c r="D1747" s="245"/>
      <c r="E1747" s="245"/>
      <c r="F1747" s="187"/>
      <c r="G1747" s="245"/>
      <c r="H1747" s="245"/>
      <c r="I1747" s="245"/>
      <c r="O1747" s="360"/>
      <c r="Q1747" s="351"/>
      <c r="R1747" s="363"/>
      <c r="S1747" s="321"/>
      <c r="T1747" s="85" ph="1"/>
      <c r="V1747" s="216"/>
      <c r="W1747" s="245"/>
      <c r="X1747" s="187"/>
      <c r="Y1747" s="245"/>
      <c r="Z1747" s="245"/>
      <c r="AA1747" s="329"/>
      <c r="AC1747" s="245"/>
      <c r="AD1747" s="245"/>
      <c r="AE1747" s="245"/>
      <c r="AF1747" s="245"/>
    </row>
    <row r="1748" spans="1:32" ht="26.25">
      <c r="A1748" s="246"/>
      <c r="B1748" s="245"/>
      <c r="C1748" s="245"/>
      <c r="D1748" s="245"/>
      <c r="E1748" s="245"/>
      <c r="F1748" s="187"/>
      <c r="G1748" s="245"/>
      <c r="H1748" s="245"/>
      <c r="I1748" s="245"/>
      <c r="O1748" s="360"/>
      <c r="Q1748" s="351"/>
      <c r="R1748" s="363"/>
      <c r="S1748" s="321"/>
      <c r="T1748" s="85" ph="1"/>
      <c r="V1748" s="216"/>
      <c r="W1748" s="245"/>
      <c r="X1748" s="187"/>
      <c r="Y1748" s="245"/>
      <c r="Z1748" s="245"/>
      <c r="AA1748" s="329"/>
      <c r="AC1748" s="245"/>
      <c r="AD1748" s="245"/>
      <c r="AE1748" s="245"/>
      <c r="AF1748" s="245"/>
    </row>
    <row r="1749" spans="1:32" ht="26.25">
      <c r="A1749" s="246"/>
      <c r="B1749" s="245"/>
      <c r="C1749" s="245"/>
      <c r="D1749" s="245"/>
      <c r="E1749" s="245"/>
      <c r="F1749" s="187"/>
      <c r="G1749" s="245"/>
      <c r="H1749" s="245"/>
      <c r="I1749" s="245"/>
      <c r="O1749" s="360"/>
      <c r="Q1749" s="351"/>
      <c r="R1749" s="363"/>
      <c r="S1749" s="321"/>
      <c r="T1749" s="85" ph="1"/>
      <c r="V1749" s="216"/>
      <c r="W1749" s="245"/>
      <c r="X1749" s="187"/>
      <c r="Y1749" s="245"/>
      <c r="Z1749" s="245"/>
      <c r="AA1749" s="329"/>
      <c r="AC1749" s="245"/>
      <c r="AD1749" s="245"/>
      <c r="AE1749" s="245"/>
      <c r="AF1749" s="245"/>
    </row>
    <row r="1750" spans="1:32" ht="26.25">
      <c r="A1750" s="246"/>
      <c r="B1750" s="245"/>
      <c r="C1750" s="245"/>
      <c r="D1750" s="245"/>
      <c r="E1750" s="245"/>
      <c r="F1750" s="187"/>
      <c r="G1750" s="245"/>
      <c r="H1750" s="245"/>
      <c r="I1750" s="245"/>
      <c r="O1750" s="360"/>
      <c r="Q1750" s="351"/>
      <c r="R1750" s="363"/>
      <c r="S1750" s="321"/>
      <c r="T1750" s="85" ph="1"/>
      <c r="V1750" s="216"/>
      <c r="W1750" s="245"/>
      <c r="X1750" s="187"/>
      <c r="Y1750" s="245"/>
      <c r="Z1750" s="245"/>
      <c r="AA1750" s="329"/>
      <c r="AC1750" s="245"/>
      <c r="AD1750" s="245"/>
      <c r="AE1750" s="245"/>
      <c r="AF1750" s="245"/>
    </row>
    <row r="1751" spans="1:32" ht="26.25">
      <c r="A1751" s="246"/>
      <c r="B1751" s="245"/>
      <c r="C1751" s="245"/>
      <c r="D1751" s="245"/>
      <c r="E1751" s="245"/>
      <c r="F1751" s="187"/>
      <c r="G1751" s="245"/>
      <c r="H1751" s="245"/>
      <c r="I1751" s="245"/>
      <c r="O1751" s="360"/>
      <c r="Q1751" s="351"/>
      <c r="R1751" s="363"/>
      <c r="S1751" s="321"/>
      <c r="T1751" s="85" ph="1"/>
      <c r="V1751" s="216"/>
      <c r="W1751" s="245"/>
      <c r="X1751" s="187"/>
      <c r="Y1751" s="245"/>
      <c r="Z1751" s="245"/>
      <c r="AA1751" s="329"/>
      <c r="AC1751" s="245"/>
      <c r="AD1751" s="245"/>
      <c r="AE1751" s="245"/>
      <c r="AF1751" s="245"/>
    </row>
    <row r="1752" spans="1:32" ht="26.25">
      <c r="A1752" s="246"/>
      <c r="B1752" s="245"/>
      <c r="C1752" s="245"/>
      <c r="D1752" s="245"/>
      <c r="E1752" s="245"/>
      <c r="F1752" s="187"/>
      <c r="G1752" s="245"/>
      <c r="H1752" s="245"/>
      <c r="I1752" s="245"/>
      <c r="O1752" s="360"/>
      <c r="Q1752" s="351"/>
      <c r="R1752" s="363"/>
      <c r="S1752" s="321"/>
      <c r="T1752" s="85" ph="1"/>
      <c r="V1752" s="216"/>
      <c r="W1752" s="245"/>
      <c r="X1752" s="187"/>
      <c r="Y1752" s="245"/>
      <c r="Z1752" s="245"/>
      <c r="AA1752" s="329"/>
      <c r="AC1752" s="245"/>
      <c r="AD1752" s="245"/>
      <c r="AE1752" s="245"/>
      <c r="AF1752" s="245"/>
    </row>
    <row r="1753" spans="1:32" ht="26.25">
      <c r="A1753" s="246"/>
      <c r="B1753" s="245"/>
      <c r="C1753" s="245"/>
      <c r="D1753" s="245"/>
      <c r="E1753" s="245"/>
      <c r="F1753" s="187"/>
      <c r="G1753" s="245"/>
      <c r="H1753" s="245"/>
      <c r="I1753" s="245"/>
      <c r="O1753" s="360"/>
      <c r="Q1753" s="351"/>
      <c r="R1753" s="363"/>
      <c r="S1753" s="321"/>
      <c r="T1753" s="85" ph="1"/>
      <c r="V1753" s="216"/>
      <c r="W1753" s="245"/>
      <c r="X1753" s="187"/>
      <c r="Y1753" s="245"/>
      <c r="Z1753" s="245"/>
      <c r="AA1753" s="329"/>
      <c r="AC1753" s="245"/>
      <c r="AD1753" s="245"/>
      <c r="AE1753" s="245"/>
      <c r="AF1753" s="245"/>
    </row>
    <row r="1754" spans="1:32" ht="26.25">
      <c r="A1754" s="246"/>
      <c r="B1754" s="245"/>
      <c r="C1754" s="245"/>
      <c r="D1754" s="245"/>
      <c r="E1754" s="245"/>
      <c r="F1754" s="187"/>
      <c r="G1754" s="245"/>
      <c r="H1754" s="245"/>
      <c r="I1754" s="245"/>
      <c r="O1754" s="360"/>
      <c r="Q1754" s="351"/>
      <c r="R1754" s="363"/>
      <c r="S1754" s="321"/>
      <c r="T1754" s="85" ph="1"/>
      <c r="V1754" s="216"/>
      <c r="W1754" s="245"/>
      <c r="X1754" s="187"/>
      <c r="Y1754" s="245"/>
      <c r="Z1754" s="245"/>
      <c r="AA1754" s="329"/>
      <c r="AC1754" s="245"/>
      <c r="AD1754" s="245"/>
      <c r="AE1754" s="245"/>
      <c r="AF1754" s="245"/>
    </row>
    <row r="1755" spans="1:32" ht="26.25">
      <c r="A1755" s="246"/>
      <c r="B1755" s="245"/>
      <c r="C1755" s="245"/>
      <c r="D1755" s="245"/>
      <c r="E1755" s="245"/>
      <c r="F1755" s="187"/>
      <c r="G1755" s="245"/>
      <c r="H1755" s="245"/>
      <c r="I1755" s="245"/>
      <c r="O1755" s="360"/>
      <c r="Q1755" s="351"/>
      <c r="R1755" s="363"/>
      <c r="S1755" s="321"/>
      <c r="T1755" s="85" ph="1"/>
      <c r="V1755" s="216"/>
      <c r="W1755" s="245"/>
      <c r="X1755" s="187"/>
      <c r="Y1755" s="245"/>
      <c r="Z1755" s="245"/>
      <c r="AA1755" s="329"/>
      <c r="AC1755" s="245"/>
      <c r="AD1755" s="245"/>
      <c r="AE1755" s="245"/>
      <c r="AF1755" s="245"/>
    </row>
    <row r="1756" spans="1:32" ht="26.25">
      <c r="A1756" s="246"/>
      <c r="B1756" s="245"/>
      <c r="C1756" s="245"/>
      <c r="D1756" s="245"/>
      <c r="E1756" s="245"/>
      <c r="F1756" s="187"/>
      <c r="G1756" s="245"/>
      <c r="H1756" s="245"/>
      <c r="I1756" s="245"/>
      <c r="O1756" s="360"/>
      <c r="Q1756" s="351"/>
      <c r="R1756" s="363"/>
      <c r="S1756" s="321"/>
      <c r="T1756" s="85" ph="1"/>
      <c r="V1756" s="216"/>
      <c r="W1756" s="245"/>
      <c r="X1756" s="187"/>
      <c r="Y1756" s="245"/>
      <c r="Z1756" s="245"/>
      <c r="AA1756" s="329"/>
      <c r="AC1756" s="245"/>
      <c r="AD1756" s="245"/>
      <c r="AE1756" s="245"/>
      <c r="AF1756" s="245"/>
    </row>
    <row r="1757" spans="1:32" ht="26.25">
      <c r="A1757" s="246"/>
      <c r="B1757" s="245"/>
      <c r="C1757" s="245"/>
      <c r="D1757" s="245"/>
      <c r="E1757" s="245"/>
      <c r="F1757" s="187"/>
      <c r="G1757" s="245"/>
      <c r="H1757" s="245"/>
      <c r="I1757" s="245"/>
      <c r="O1757" s="360"/>
      <c r="Q1757" s="351"/>
      <c r="R1757" s="363"/>
      <c r="S1757" s="321"/>
      <c r="T1757" s="85" ph="1"/>
      <c r="V1757" s="216"/>
      <c r="W1757" s="245"/>
      <c r="X1757" s="187"/>
      <c r="Y1757" s="245"/>
      <c r="Z1757" s="245"/>
      <c r="AA1757" s="329"/>
      <c r="AC1757" s="245"/>
      <c r="AD1757" s="245"/>
      <c r="AE1757" s="245"/>
      <c r="AF1757" s="245"/>
    </row>
    <row r="1758" spans="1:32" ht="26.25">
      <c r="A1758" s="246"/>
      <c r="B1758" s="245"/>
      <c r="C1758" s="245"/>
      <c r="D1758" s="245"/>
      <c r="E1758" s="245"/>
      <c r="F1758" s="187"/>
      <c r="G1758" s="245"/>
      <c r="H1758" s="245"/>
      <c r="I1758" s="245"/>
      <c r="O1758" s="360"/>
      <c r="Q1758" s="351"/>
      <c r="R1758" s="363"/>
      <c r="S1758" s="321"/>
      <c r="T1758" s="85" ph="1"/>
      <c r="V1758" s="216"/>
      <c r="W1758" s="245"/>
      <c r="X1758" s="187"/>
      <c r="Y1758" s="245"/>
      <c r="Z1758" s="245"/>
      <c r="AA1758" s="329"/>
      <c r="AC1758" s="245"/>
      <c r="AD1758" s="245"/>
      <c r="AE1758" s="245"/>
      <c r="AF1758" s="245"/>
    </row>
    <row r="1759" spans="1:32" ht="26.25">
      <c r="A1759" s="246"/>
      <c r="B1759" s="245"/>
      <c r="C1759" s="245"/>
      <c r="D1759" s="245"/>
      <c r="E1759" s="245"/>
      <c r="F1759" s="187"/>
      <c r="G1759" s="245"/>
      <c r="H1759" s="245"/>
      <c r="I1759" s="245"/>
      <c r="O1759" s="360"/>
      <c r="Q1759" s="351"/>
      <c r="R1759" s="363"/>
      <c r="S1759" s="321"/>
      <c r="T1759" s="85" ph="1"/>
      <c r="V1759" s="216"/>
      <c r="W1759" s="245"/>
      <c r="X1759" s="187"/>
      <c r="Y1759" s="245"/>
      <c r="Z1759" s="245"/>
      <c r="AA1759" s="329"/>
      <c r="AC1759" s="245"/>
      <c r="AD1759" s="245"/>
      <c r="AE1759" s="245"/>
      <c r="AF1759" s="245"/>
    </row>
    <row r="1760" spans="1:32" ht="26.25">
      <c r="A1760" s="246"/>
      <c r="B1760" s="245"/>
      <c r="C1760" s="245"/>
      <c r="D1760" s="245"/>
      <c r="E1760" s="245"/>
      <c r="F1760" s="187"/>
      <c r="G1760" s="245"/>
      <c r="H1760" s="245"/>
      <c r="I1760" s="245"/>
      <c r="O1760" s="360"/>
      <c r="Q1760" s="351"/>
      <c r="R1760" s="363"/>
      <c r="S1760" s="321"/>
      <c r="T1760" s="85" ph="1"/>
      <c r="V1760" s="216"/>
      <c r="W1760" s="245"/>
      <c r="X1760" s="187"/>
      <c r="Y1760" s="245"/>
      <c r="Z1760" s="245"/>
      <c r="AA1760" s="329"/>
      <c r="AC1760" s="245"/>
      <c r="AD1760" s="245"/>
      <c r="AE1760" s="245"/>
      <c r="AF1760" s="245"/>
    </row>
    <row r="1761" spans="1:32" ht="26.25">
      <c r="A1761" s="246"/>
      <c r="B1761" s="245"/>
      <c r="C1761" s="245"/>
      <c r="D1761" s="245"/>
      <c r="E1761" s="245"/>
      <c r="F1761" s="187"/>
      <c r="G1761" s="245"/>
      <c r="H1761" s="245"/>
      <c r="I1761" s="245"/>
      <c r="O1761" s="360"/>
      <c r="Q1761" s="351"/>
      <c r="R1761" s="363"/>
      <c r="S1761" s="321"/>
      <c r="T1761" s="85" ph="1"/>
      <c r="V1761" s="216"/>
      <c r="W1761" s="245"/>
      <c r="X1761" s="187"/>
      <c r="Y1761" s="245"/>
      <c r="Z1761" s="245"/>
      <c r="AA1761" s="329"/>
      <c r="AC1761" s="245"/>
      <c r="AD1761" s="245"/>
      <c r="AE1761" s="245"/>
      <c r="AF1761" s="245"/>
    </row>
    <row r="1762" spans="1:32" ht="26.25">
      <c r="A1762" s="246"/>
      <c r="B1762" s="245"/>
      <c r="C1762" s="245"/>
      <c r="D1762" s="245"/>
      <c r="E1762" s="245"/>
      <c r="F1762" s="187"/>
      <c r="G1762" s="245"/>
      <c r="H1762" s="245"/>
      <c r="I1762" s="245"/>
      <c r="O1762" s="360"/>
      <c r="Q1762" s="351"/>
      <c r="R1762" s="363"/>
      <c r="S1762" s="321"/>
      <c r="T1762" s="85" ph="1"/>
      <c r="V1762" s="216"/>
      <c r="W1762" s="245"/>
      <c r="X1762" s="187"/>
      <c r="Y1762" s="245"/>
      <c r="Z1762" s="245"/>
      <c r="AA1762" s="329"/>
      <c r="AC1762" s="245"/>
      <c r="AD1762" s="245"/>
      <c r="AE1762" s="245"/>
      <c r="AF1762" s="245"/>
    </row>
    <row r="1763" spans="1:32" ht="26.25">
      <c r="A1763" s="246"/>
      <c r="B1763" s="245"/>
      <c r="C1763" s="245"/>
      <c r="D1763" s="245"/>
      <c r="E1763" s="245"/>
      <c r="F1763" s="187"/>
      <c r="G1763" s="245"/>
      <c r="H1763" s="245"/>
      <c r="I1763" s="245"/>
      <c r="O1763" s="360"/>
      <c r="Q1763" s="351"/>
      <c r="R1763" s="363"/>
      <c r="S1763" s="321"/>
      <c r="T1763" s="85" ph="1"/>
      <c r="V1763" s="216"/>
      <c r="W1763" s="245"/>
      <c r="X1763" s="187"/>
      <c r="Y1763" s="245"/>
      <c r="Z1763" s="245"/>
      <c r="AA1763" s="329"/>
      <c r="AC1763" s="245"/>
      <c r="AD1763" s="245"/>
      <c r="AE1763" s="245"/>
      <c r="AF1763" s="245"/>
    </row>
    <row r="1764" spans="1:32" ht="26.25">
      <c r="A1764" s="246"/>
      <c r="B1764" s="245"/>
      <c r="C1764" s="245"/>
      <c r="D1764" s="245"/>
      <c r="E1764" s="245"/>
      <c r="F1764" s="187"/>
      <c r="G1764" s="245"/>
      <c r="H1764" s="245"/>
      <c r="I1764" s="245"/>
      <c r="O1764" s="360"/>
      <c r="Q1764" s="351"/>
      <c r="R1764" s="363"/>
      <c r="S1764" s="321"/>
      <c r="T1764" s="85" ph="1"/>
      <c r="V1764" s="216"/>
      <c r="W1764" s="245"/>
      <c r="X1764" s="187"/>
      <c r="Y1764" s="245"/>
      <c r="Z1764" s="245"/>
      <c r="AA1764" s="329"/>
      <c r="AC1764" s="245"/>
      <c r="AD1764" s="245"/>
      <c r="AE1764" s="245"/>
      <c r="AF1764" s="245"/>
    </row>
    <row r="1765" spans="1:32" ht="26.25">
      <c r="A1765" s="246"/>
      <c r="B1765" s="245"/>
      <c r="C1765" s="245"/>
      <c r="D1765" s="245"/>
      <c r="E1765" s="245"/>
      <c r="F1765" s="187"/>
      <c r="G1765" s="245"/>
      <c r="H1765" s="245"/>
      <c r="I1765" s="245"/>
      <c r="O1765" s="360"/>
      <c r="Q1765" s="351"/>
      <c r="R1765" s="363"/>
      <c r="S1765" s="321"/>
      <c r="T1765" s="85" ph="1"/>
      <c r="V1765" s="216"/>
      <c r="W1765" s="245"/>
      <c r="X1765" s="187"/>
      <c r="Y1765" s="245"/>
      <c r="Z1765" s="245"/>
      <c r="AA1765" s="329"/>
      <c r="AC1765" s="245"/>
      <c r="AD1765" s="245"/>
      <c r="AE1765" s="245"/>
      <c r="AF1765" s="245"/>
    </row>
    <row r="1766" spans="1:32" ht="26.25">
      <c r="A1766" s="246"/>
      <c r="B1766" s="245"/>
      <c r="C1766" s="245"/>
      <c r="D1766" s="245"/>
      <c r="E1766" s="245"/>
      <c r="F1766" s="187"/>
      <c r="G1766" s="245"/>
      <c r="H1766" s="245"/>
      <c r="I1766" s="245"/>
      <c r="O1766" s="360"/>
      <c r="Q1766" s="351"/>
      <c r="R1766" s="363"/>
      <c r="S1766" s="321"/>
      <c r="T1766" s="85" ph="1"/>
      <c r="V1766" s="216"/>
      <c r="W1766" s="245"/>
      <c r="X1766" s="187"/>
      <c r="Y1766" s="245"/>
      <c r="Z1766" s="245"/>
      <c r="AA1766" s="329"/>
      <c r="AC1766" s="245"/>
      <c r="AD1766" s="245"/>
      <c r="AE1766" s="245"/>
      <c r="AF1766" s="245"/>
    </row>
    <row r="1767" spans="1:32" ht="26.25">
      <c r="A1767" s="246"/>
      <c r="B1767" s="245"/>
      <c r="C1767" s="245"/>
      <c r="D1767" s="245"/>
      <c r="E1767" s="245"/>
      <c r="F1767" s="187"/>
      <c r="G1767" s="245"/>
      <c r="H1767" s="245"/>
      <c r="I1767" s="245"/>
      <c r="O1767" s="360"/>
      <c r="Q1767" s="351"/>
      <c r="R1767" s="363"/>
      <c r="S1767" s="321"/>
      <c r="T1767" s="85" ph="1"/>
      <c r="V1767" s="216"/>
      <c r="W1767" s="245"/>
      <c r="X1767" s="187"/>
      <c r="Y1767" s="245"/>
      <c r="Z1767" s="245"/>
      <c r="AA1767" s="329"/>
      <c r="AC1767" s="245"/>
      <c r="AD1767" s="245"/>
      <c r="AE1767" s="245"/>
      <c r="AF1767" s="245"/>
    </row>
    <row r="1768" spans="1:32" ht="26.25">
      <c r="A1768" s="246"/>
      <c r="B1768" s="245"/>
      <c r="C1768" s="245"/>
      <c r="D1768" s="245"/>
      <c r="E1768" s="245"/>
      <c r="F1768" s="187"/>
      <c r="G1768" s="245"/>
      <c r="H1768" s="245"/>
      <c r="I1768" s="245"/>
      <c r="O1768" s="360"/>
      <c r="Q1768" s="351"/>
      <c r="R1768" s="363"/>
      <c r="S1768" s="321"/>
      <c r="T1768" s="85" ph="1"/>
      <c r="V1768" s="216"/>
      <c r="W1768" s="245"/>
      <c r="X1768" s="187"/>
      <c r="Y1768" s="245"/>
      <c r="Z1768" s="245"/>
      <c r="AA1768" s="329"/>
      <c r="AC1768" s="245"/>
      <c r="AD1768" s="245"/>
      <c r="AE1768" s="245"/>
      <c r="AF1768" s="245"/>
    </row>
    <row r="1769" spans="1:32" ht="26.25">
      <c r="A1769" s="246"/>
      <c r="B1769" s="245"/>
      <c r="C1769" s="245"/>
      <c r="D1769" s="245"/>
      <c r="E1769" s="245"/>
      <c r="F1769" s="187"/>
      <c r="G1769" s="245"/>
      <c r="H1769" s="245"/>
      <c r="I1769" s="245"/>
      <c r="O1769" s="360"/>
      <c r="Q1769" s="351"/>
      <c r="R1769" s="363"/>
      <c r="S1769" s="321"/>
      <c r="T1769" s="85" ph="1"/>
      <c r="V1769" s="216"/>
      <c r="W1769" s="245"/>
      <c r="X1769" s="187"/>
      <c r="Y1769" s="245"/>
      <c r="Z1769" s="245"/>
      <c r="AA1769" s="329"/>
      <c r="AC1769" s="245"/>
      <c r="AD1769" s="245"/>
      <c r="AE1769" s="245"/>
      <c r="AF1769" s="245"/>
    </row>
    <row r="1770" spans="1:32" ht="26.25">
      <c r="A1770" s="246"/>
      <c r="B1770" s="245"/>
      <c r="C1770" s="245"/>
      <c r="D1770" s="245"/>
      <c r="E1770" s="245"/>
      <c r="F1770" s="187"/>
      <c r="G1770" s="245"/>
      <c r="H1770" s="245"/>
      <c r="I1770" s="245"/>
      <c r="O1770" s="360"/>
      <c r="Q1770" s="351"/>
      <c r="R1770" s="363"/>
      <c r="S1770" s="321"/>
      <c r="T1770" s="85" ph="1"/>
      <c r="V1770" s="216"/>
      <c r="W1770" s="245"/>
      <c r="X1770" s="187"/>
      <c r="Y1770" s="245"/>
      <c r="Z1770" s="245"/>
      <c r="AA1770" s="329"/>
      <c r="AC1770" s="245"/>
      <c r="AD1770" s="245"/>
      <c r="AE1770" s="245"/>
      <c r="AF1770" s="245"/>
    </row>
    <row r="1771" spans="1:32" ht="26.25">
      <c r="A1771" s="246"/>
      <c r="B1771" s="245"/>
      <c r="C1771" s="245"/>
      <c r="D1771" s="245"/>
      <c r="E1771" s="245"/>
      <c r="F1771" s="187"/>
      <c r="G1771" s="245"/>
      <c r="H1771" s="245"/>
      <c r="I1771" s="245"/>
      <c r="O1771" s="360"/>
      <c r="Q1771" s="351"/>
      <c r="R1771" s="363"/>
      <c r="S1771" s="321"/>
      <c r="T1771" s="85" ph="1"/>
      <c r="V1771" s="216"/>
      <c r="W1771" s="245"/>
      <c r="X1771" s="187"/>
      <c r="Y1771" s="245"/>
      <c r="Z1771" s="245"/>
      <c r="AA1771" s="329"/>
      <c r="AC1771" s="245"/>
      <c r="AD1771" s="245"/>
      <c r="AE1771" s="245"/>
      <c r="AF1771" s="245"/>
    </row>
    <row r="1772" spans="1:32" ht="26.25">
      <c r="A1772" s="246"/>
      <c r="B1772" s="245"/>
      <c r="C1772" s="245"/>
      <c r="D1772" s="245"/>
      <c r="E1772" s="245"/>
      <c r="F1772" s="187"/>
      <c r="G1772" s="245"/>
      <c r="H1772" s="245"/>
      <c r="I1772" s="245"/>
      <c r="O1772" s="360"/>
      <c r="Q1772" s="351"/>
      <c r="R1772" s="363"/>
      <c r="S1772" s="321"/>
      <c r="T1772" s="85" ph="1"/>
      <c r="V1772" s="216"/>
      <c r="W1772" s="245"/>
      <c r="X1772" s="187"/>
      <c r="Y1772" s="245"/>
      <c r="Z1772" s="245"/>
      <c r="AA1772" s="329"/>
      <c r="AC1772" s="245"/>
      <c r="AD1772" s="245"/>
      <c r="AE1772" s="245"/>
      <c r="AF1772" s="245"/>
    </row>
    <row r="1773" spans="1:32" ht="26.25">
      <c r="A1773" s="246"/>
      <c r="B1773" s="245"/>
      <c r="C1773" s="245"/>
      <c r="D1773" s="245"/>
      <c r="E1773" s="245"/>
      <c r="F1773" s="187"/>
      <c r="G1773" s="245"/>
      <c r="H1773" s="245"/>
      <c r="I1773" s="245"/>
      <c r="O1773" s="360"/>
      <c r="Q1773" s="351"/>
      <c r="R1773" s="363"/>
      <c r="S1773" s="321"/>
      <c r="T1773" s="85" ph="1"/>
      <c r="V1773" s="216"/>
      <c r="W1773" s="245"/>
      <c r="X1773" s="187"/>
      <c r="Y1773" s="245"/>
      <c r="Z1773" s="245"/>
      <c r="AA1773" s="329"/>
      <c r="AC1773" s="245"/>
      <c r="AD1773" s="245"/>
      <c r="AE1773" s="245"/>
      <c r="AF1773" s="245"/>
    </row>
    <row r="1774" spans="1:32" ht="26.25">
      <c r="A1774" s="246"/>
      <c r="B1774" s="245"/>
      <c r="C1774" s="245"/>
      <c r="D1774" s="245"/>
      <c r="E1774" s="245"/>
      <c r="F1774" s="187"/>
      <c r="G1774" s="245"/>
      <c r="H1774" s="245"/>
      <c r="I1774" s="245"/>
      <c r="O1774" s="360"/>
      <c r="Q1774" s="351"/>
      <c r="R1774" s="363"/>
      <c r="S1774" s="321"/>
      <c r="T1774" s="85" ph="1"/>
      <c r="V1774" s="216"/>
      <c r="W1774" s="245"/>
      <c r="X1774" s="187"/>
      <c r="Y1774" s="245"/>
      <c r="Z1774" s="245"/>
      <c r="AA1774" s="329"/>
      <c r="AC1774" s="245"/>
      <c r="AD1774" s="245"/>
      <c r="AE1774" s="245"/>
      <c r="AF1774" s="245"/>
    </row>
    <row r="1775" spans="1:32" ht="26.25">
      <c r="A1775" s="246"/>
      <c r="B1775" s="245"/>
      <c r="C1775" s="245"/>
      <c r="D1775" s="245"/>
      <c r="E1775" s="245"/>
      <c r="F1775" s="187"/>
      <c r="G1775" s="245"/>
      <c r="H1775" s="245"/>
      <c r="I1775" s="245"/>
      <c r="O1775" s="360"/>
      <c r="Q1775" s="351"/>
      <c r="R1775" s="363"/>
      <c r="S1775" s="321"/>
      <c r="T1775" s="85" ph="1"/>
      <c r="V1775" s="216"/>
      <c r="W1775" s="245"/>
      <c r="X1775" s="187"/>
      <c r="Y1775" s="245"/>
      <c r="Z1775" s="245"/>
      <c r="AA1775" s="329"/>
      <c r="AC1775" s="245"/>
      <c r="AD1775" s="245"/>
      <c r="AE1775" s="245"/>
      <c r="AF1775" s="245"/>
    </row>
    <row r="1776" spans="1:32" ht="26.25">
      <c r="A1776" s="246"/>
      <c r="B1776" s="245"/>
      <c r="C1776" s="245"/>
      <c r="D1776" s="245"/>
      <c r="E1776" s="245"/>
      <c r="F1776" s="187"/>
      <c r="G1776" s="245"/>
      <c r="H1776" s="245"/>
      <c r="I1776" s="245"/>
      <c r="O1776" s="360"/>
      <c r="Q1776" s="351"/>
      <c r="R1776" s="363"/>
      <c r="S1776" s="321"/>
      <c r="T1776" s="85" ph="1"/>
      <c r="V1776" s="216"/>
      <c r="W1776" s="245"/>
      <c r="X1776" s="187"/>
      <c r="Y1776" s="245"/>
      <c r="Z1776" s="245"/>
      <c r="AA1776" s="329"/>
      <c r="AC1776" s="245"/>
      <c r="AD1776" s="245"/>
      <c r="AE1776" s="245"/>
      <c r="AF1776" s="245"/>
    </row>
    <row r="1777" spans="1:32" ht="26.25">
      <c r="A1777" s="246"/>
      <c r="B1777" s="245"/>
      <c r="C1777" s="245"/>
      <c r="D1777" s="245"/>
      <c r="E1777" s="245"/>
      <c r="F1777" s="187"/>
      <c r="G1777" s="245"/>
      <c r="H1777" s="245"/>
      <c r="I1777" s="245"/>
      <c r="O1777" s="360"/>
      <c r="Q1777" s="351"/>
      <c r="R1777" s="363"/>
      <c r="S1777" s="321"/>
      <c r="T1777" s="85" ph="1"/>
      <c r="V1777" s="216"/>
      <c r="W1777" s="245"/>
      <c r="X1777" s="187"/>
      <c r="Y1777" s="245"/>
      <c r="Z1777" s="245"/>
      <c r="AA1777" s="329"/>
      <c r="AC1777" s="245"/>
      <c r="AD1777" s="245"/>
      <c r="AE1777" s="245"/>
      <c r="AF1777" s="245"/>
    </row>
    <row r="1778" spans="1:32" ht="26.25">
      <c r="A1778" s="246"/>
      <c r="B1778" s="245"/>
      <c r="C1778" s="245"/>
      <c r="D1778" s="245"/>
      <c r="E1778" s="245"/>
      <c r="F1778" s="187"/>
      <c r="G1778" s="245"/>
      <c r="H1778" s="245"/>
      <c r="I1778" s="245"/>
      <c r="O1778" s="360"/>
      <c r="Q1778" s="351"/>
      <c r="R1778" s="363"/>
      <c r="S1778" s="321"/>
      <c r="T1778" s="85" ph="1"/>
      <c r="V1778" s="216"/>
      <c r="W1778" s="245"/>
      <c r="X1778" s="187"/>
      <c r="Y1778" s="245"/>
      <c r="Z1778" s="245"/>
      <c r="AA1778" s="329"/>
      <c r="AC1778" s="245"/>
      <c r="AD1778" s="245"/>
      <c r="AE1778" s="245"/>
      <c r="AF1778" s="245"/>
    </row>
    <row r="1779" spans="1:32" ht="26.25">
      <c r="A1779" s="246"/>
      <c r="B1779" s="245"/>
      <c r="C1779" s="245"/>
      <c r="D1779" s="245"/>
      <c r="E1779" s="245"/>
      <c r="F1779" s="187"/>
      <c r="G1779" s="245"/>
      <c r="H1779" s="245"/>
      <c r="I1779" s="245"/>
      <c r="O1779" s="360"/>
      <c r="Q1779" s="351"/>
      <c r="R1779" s="363"/>
      <c r="S1779" s="321"/>
      <c r="T1779" s="85" ph="1"/>
      <c r="V1779" s="216"/>
      <c r="W1779" s="245"/>
      <c r="X1779" s="187"/>
      <c r="Y1779" s="245"/>
      <c r="Z1779" s="245"/>
      <c r="AA1779" s="329"/>
      <c r="AC1779" s="245"/>
      <c r="AD1779" s="245"/>
      <c r="AE1779" s="245"/>
      <c r="AF1779" s="245"/>
    </row>
    <row r="1780" spans="1:32" ht="26.25">
      <c r="A1780" s="246"/>
      <c r="B1780" s="245"/>
      <c r="C1780" s="245"/>
      <c r="D1780" s="245"/>
      <c r="E1780" s="245"/>
      <c r="F1780" s="187"/>
      <c r="G1780" s="245"/>
      <c r="H1780" s="245"/>
      <c r="I1780" s="245"/>
      <c r="O1780" s="360"/>
      <c r="Q1780" s="351"/>
      <c r="R1780" s="363"/>
      <c r="S1780" s="321"/>
      <c r="T1780" s="85" ph="1"/>
      <c r="V1780" s="216"/>
      <c r="W1780" s="245"/>
      <c r="X1780" s="187"/>
      <c r="Y1780" s="245"/>
      <c r="Z1780" s="245"/>
      <c r="AA1780" s="329"/>
      <c r="AC1780" s="245"/>
      <c r="AD1780" s="245"/>
      <c r="AE1780" s="245"/>
      <c r="AF1780" s="245"/>
    </row>
    <row r="1781" spans="1:32" ht="26.25">
      <c r="A1781" s="246"/>
      <c r="B1781" s="245"/>
      <c r="C1781" s="245"/>
      <c r="D1781" s="245"/>
      <c r="E1781" s="245"/>
      <c r="F1781" s="187"/>
      <c r="G1781" s="245"/>
      <c r="H1781" s="245"/>
      <c r="I1781" s="245"/>
      <c r="O1781" s="360"/>
      <c r="Q1781" s="351"/>
      <c r="R1781" s="363"/>
      <c r="S1781" s="321"/>
      <c r="T1781" s="85" ph="1"/>
      <c r="V1781" s="216"/>
      <c r="W1781" s="245"/>
      <c r="X1781" s="187"/>
      <c r="Y1781" s="245"/>
      <c r="Z1781" s="245"/>
      <c r="AA1781" s="329"/>
      <c r="AC1781" s="245"/>
      <c r="AD1781" s="245"/>
      <c r="AE1781" s="245"/>
      <c r="AF1781" s="245"/>
    </row>
    <row r="1782" spans="1:32" ht="26.25">
      <c r="A1782" s="246"/>
      <c r="B1782" s="245"/>
      <c r="C1782" s="245"/>
      <c r="D1782" s="245"/>
      <c r="E1782" s="245"/>
      <c r="F1782" s="187"/>
      <c r="G1782" s="245"/>
      <c r="H1782" s="245"/>
      <c r="I1782" s="245"/>
      <c r="O1782" s="360"/>
      <c r="Q1782" s="351"/>
      <c r="R1782" s="363"/>
      <c r="S1782" s="321"/>
      <c r="T1782" s="85" ph="1"/>
      <c r="V1782" s="216"/>
      <c r="W1782" s="245"/>
      <c r="X1782" s="187"/>
      <c r="Y1782" s="245"/>
      <c r="Z1782" s="245"/>
      <c r="AA1782" s="329"/>
      <c r="AC1782" s="245"/>
      <c r="AD1782" s="245"/>
      <c r="AE1782" s="245"/>
      <c r="AF1782" s="245"/>
    </row>
    <row r="1783" spans="1:32" ht="26.25">
      <c r="A1783" s="246"/>
      <c r="B1783" s="245"/>
      <c r="C1783" s="245"/>
      <c r="D1783" s="245"/>
      <c r="E1783" s="245"/>
      <c r="F1783" s="187"/>
      <c r="G1783" s="245"/>
      <c r="H1783" s="245"/>
      <c r="I1783" s="245"/>
      <c r="O1783" s="360"/>
      <c r="Q1783" s="351"/>
      <c r="R1783" s="363"/>
      <c r="S1783" s="321"/>
      <c r="T1783" s="85" ph="1"/>
      <c r="V1783" s="216"/>
      <c r="W1783" s="245"/>
      <c r="X1783" s="187"/>
      <c r="Y1783" s="245"/>
      <c r="Z1783" s="245"/>
      <c r="AA1783" s="329"/>
      <c r="AC1783" s="245"/>
      <c r="AD1783" s="245"/>
      <c r="AE1783" s="245"/>
      <c r="AF1783" s="245"/>
    </row>
    <row r="1784" spans="1:32" ht="26.25">
      <c r="A1784" s="246"/>
      <c r="B1784" s="245"/>
      <c r="C1784" s="245"/>
      <c r="D1784" s="245"/>
      <c r="E1784" s="245"/>
      <c r="F1784" s="187"/>
      <c r="G1784" s="245"/>
      <c r="H1784" s="245"/>
      <c r="I1784" s="245"/>
      <c r="O1784" s="360"/>
      <c r="Q1784" s="351"/>
      <c r="R1784" s="363"/>
      <c r="S1784" s="321"/>
      <c r="T1784" s="85" ph="1"/>
      <c r="V1784" s="216"/>
      <c r="W1784" s="245"/>
      <c r="X1784" s="187"/>
      <c r="Y1784" s="245"/>
      <c r="Z1784" s="245"/>
      <c r="AA1784" s="329"/>
      <c r="AC1784" s="245"/>
      <c r="AD1784" s="245"/>
      <c r="AE1784" s="245"/>
      <c r="AF1784" s="245"/>
    </row>
    <row r="1785" spans="1:32" ht="26.25">
      <c r="A1785" s="246"/>
      <c r="B1785" s="245"/>
      <c r="C1785" s="245"/>
      <c r="D1785" s="245"/>
      <c r="E1785" s="245"/>
      <c r="F1785" s="187"/>
      <c r="G1785" s="245"/>
      <c r="H1785" s="245"/>
      <c r="I1785" s="245"/>
      <c r="O1785" s="360"/>
      <c r="Q1785" s="351"/>
      <c r="R1785" s="363"/>
      <c r="S1785" s="321"/>
      <c r="T1785" s="85" ph="1"/>
      <c r="V1785" s="216"/>
      <c r="W1785" s="245"/>
      <c r="X1785" s="187"/>
      <c r="Y1785" s="245"/>
      <c r="Z1785" s="245"/>
      <c r="AA1785" s="329"/>
      <c r="AC1785" s="245"/>
      <c r="AD1785" s="245"/>
      <c r="AE1785" s="245"/>
      <c r="AF1785" s="245"/>
    </row>
    <row r="1786" spans="1:32" ht="26.25">
      <c r="A1786" s="246"/>
      <c r="B1786" s="245"/>
      <c r="C1786" s="245"/>
      <c r="D1786" s="245"/>
      <c r="E1786" s="245"/>
      <c r="F1786" s="187"/>
      <c r="G1786" s="245"/>
      <c r="H1786" s="245"/>
      <c r="I1786" s="245"/>
      <c r="O1786" s="360"/>
      <c r="Q1786" s="351"/>
      <c r="R1786" s="363"/>
      <c r="S1786" s="321"/>
      <c r="T1786" s="85" ph="1"/>
      <c r="V1786" s="216"/>
      <c r="W1786" s="245"/>
      <c r="X1786" s="187"/>
      <c r="Y1786" s="245"/>
      <c r="Z1786" s="245"/>
      <c r="AA1786" s="329"/>
      <c r="AC1786" s="245"/>
      <c r="AD1786" s="245"/>
      <c r="AE1786" s="245"/>
      <c r="AF1786" s="245"/>
    </row>
    <row r="1787" spans="1:32" ht="26.25">
      <c r="A1787" s="246"/>
      <c r="B1787" s="245"/>
      <c r="C1787" s="245"/>
      <c r="D1787" s="245"/>
      <c r="E1787" s="245"/>
      <c r="F1787" s="187"/>
      <c r="G1787" s="245"/>
      <c r="H1787" s="245"/>
      <c r="I1787" s="245"/>
      <c r="O1787" s="360"/>
      <c r="Q1787" s="351"/>
      <c r="R1787" s="363"/>
      <c r="S1787" s="321"/>
      <c r="T1787" s="85" ph="1"/>
      <c r="V1787" s="216"/>
      <c r="W1787" s="245"/>
      <c r="X1787" s="187"/>
      <c r="Y1787" s="245"/>
      <c r="Z1787" s="245"/>
      <c r="AA1787" s="329"/>
      <c r="AC1787" s="245"/>
      <c r="AD1787" s="245"/>
      <c r="AE1787" s="245"/>
      <c r="AF1787" s="245"/>
    </row>
    <row r="1788" spans="1:32" ht="26.25">
      <c r="A1788" s="246"/>
      <c r="B1788" s="245"/>
      <c r="C1788" s="245"/>
      <c r="D1788" s="245"/>
      <c r="E1788" s="245"/>
      <c r="F1788" s="187"/>
      <c r="G1788" s="245"/>
      <c r="H1788" s="245"/>
      <c r="I1788" s="245"/>
      <c r="O1788" s="360"/>
      <c r="Q1788" s="351"/>
      <c r="R1788" s="363"/>
      <c r="S1788" s="321"/>
      <c r="T1788" s="85" ph="1"/>
      <c r="V1788" s="216"/>
      <c r="W1788" s="245"/>
      <c r="X1788" s="187"/>
      <c r="Y1788" s="245"/>
      <c r="Z1788" s="245"/>
      <c r="AA1788" s="329"/>
      <c r="AC1788" s="245"/>
      <c r="AD1788" s="245"/>
      <c r="AE1788" s="245"/>
      <c r="AF1788" s="245"/>
    </row>
    <row r="1789" spans="1:32" ht="26.25">
      <c r="A1789" s="246"/>
      <c r="B1789" s="245"/>
      <c r="C1789" s="245"/>
      <c r="D1789" s="245"/>
      <c r="E1789" s="245"/>
      <c r="F1789" s="187"/>
      <c r="G1789" s="245"/>
      <c r="H1789" s="245"/>
      <c r="I1789" s="245"/>
      <c r="O1789" s="360"/>
      <c r="Q1789" s="351"/>
      <c r="R1789" s="363"/>
      <c r="S1789" s="321"/>
      <c r="T1789" s="85" ph="1"/>
      <c r="V1789" s="216"/>
      <c r="W1789" s="245"/>
      <c r="X1789" s="187"/>
      <c r="Y1789" s="245"/>
      <c r="Z1789" s="245"/>
      <c r="AA1789" s="329"/>
      <c r="AC1789" s="245"/>
      <c r="AD1789" s="245"/>
      <c r="AE1789" s="245"/>
      <c r="AF1789" s="245"/>
    </row>
    <row r="1790" spans="1:32" ht="26.25">
      <c r="A1790" s="246"/>
      <c r="B1790" s="245"/>
      <c r="C1790" s="245"/>
      <c r="D1790" s="245"/>
      <c r="E1790" s="245"/>
      <c r="F1790" s="187"/>
      <c r="G1790" s="245"/>
      <c r="H1790" s="245"/>
      <c r="I1790" s="245"/>
      <c r="O1790" s="360"/>
      <c r="Q1790" s="351"/>
      <c r="R1790" s="363"/>
      <c r="S1790" s="321"/>
      <c r="T1790" s="85" ph="1"/>
      <c r="V1790" s="216"/>
      <c r="W1790" s="245"/>
      <c r="X1790" s="187"/>
      <c r="Y1790" s="245"/>
      <c r="Z1790" s="245"/>
      <c r="AA1790" s="329"/>
      <c r="AC1790" s="245"/>
      <c r="AD1790" s="245"/>
      <c r="AE1790" s="245"/>
      <c r="AF1790" s="245"/>
    </row>
    <row r="1791" spans="1:32" ht="26.25">
      <c r="A1791" s="246"/>
      <c r="B1791" s="245"/>
      <c r="C1791" s="245"/>
      <c r="D1791" s="245"/>
      <c r="E1791" s="245"/>
      <c r="F1791" s="187"/>
      <c r="G1791" s="245"/>
      <c r="H1791" s="245"/>
      <c r="I1791" s="245"/>
      <c r="O1791" s="360"/>
      <c r="Q1791" s="351"/>
      <c r="R1791" s="363"/>
      <c r="S1791" s="321"/>
      <c r="T1791" s="85" ph="1"/>
      <c r="V1791" s="216"/>
      <c r="W1791" s="245"/>
      <c r="X1791" s="187"/>
      <c r="Y1791" s="245"/>
      <c r="Z1791" s="245"/>
      <c r="AA1791" s="329"/>
      <c r="AC1791" s="245"/>
      <c r="AD1791" s="245"/>
      <c r="AE1791" s="245"/>
      <c r="AF1791" s="245"/>
    </row>
    <row r="1792" spans="1:32" ht="26.25">
      <c r="A1792" s="246"/>
      <c r="B1792" s="245"/>
      <c r="C1792" s="245"/>
      <c r="D1792" s="245"/>
      <c r="E1792" s="245"/>
      <c r="F1792" s="187"/>
      <c r="G1792" s="245"/>
      <c r="H1792" s="245"/>
      <c r="I1792" s="245"/>
      <c r="O1792" s="360"/>
      <c r="Q1792" s="351"/>
      <c r="R1792" s="363"/>
      <c r="S1792" s="321"/>
      <c r="T1792" s="85" ph="1"/>
      <c r="V1792" s="216"/>
      <c r="W1792" s="245"/>
      <c r="X1792" s="187"/>
      <c r="Y1792" s="245"/>
      <c r="Z1792" s="245"/>
      <c r="AA1792" s="329"/>
      <c r="AC1792" s="245"/>
      <c r="AD1792" s="245"/>
      <c r="AE1792" s="245"/>
      <c r="AF1792" s="245"/>
    </row>
    <row r="1793" spans="1:32" ht="26.25">
      <c r="A1793" s="246"/>
      <c r="B1793" s="245"/>
      <c r="C1793" s="245"/>
      <c r="D1793" s="245"/>
      <c r="E1793" s="245"/>
      <c r="F1793" s="187"/>
      <c r="G1793" s="245"/>
      <c r="H1793" s="245"/>
      <c r="I1793" s="245"/>
      <c r="O1793" s="360"/>
      <c r="Q1793" s="351"/>
      <c r="R1793" s="363"/>
      <c r="S1793" s="321"/>
      <c r="T1793" s="85" ph="1"/>
      <c r="V1793" s="216"/>
      <c r="W1793" s="245"/>
      <c r="X1793" s="187"/>
      <c r="Y1793" s="245"/>
      <c r="Z1793" s="245"/>
      <c r="AA1793" s="329"/>
      <c r="AC1793" s="245"/>
      <c r="AD1793" s="245"/>
      <c r="AE1793" s="245"/>
      <c r="AF1793" s="245"/>
    </row>
    <row r="1794" spans="1:32" ht="26.25">
      <c r="A1794" s="246"/>
      <c r="B1794" s="245"/>
      <c r="C1794" s="245"/>
      <c r="D1794" s="245"/>
      <c r="E1794" s="245"/>
      <c r="F1794" s="187"/>
      <c r="G1794" s="245"/>
      <c r="H1794" s="245"/>
      <c r="I1794" s="245"/>
      <c r="O1794" s="360"/>
      <c r="Q1794" s="351"/>
      <c r="R1794" s="363"/>
      <c r="S1794" s="321"/>
      <c r="T1794" s="85" ph="1"/>
      <c r="V1794" s="216"/>
      <c r="W1794" s="245"/>
      <c r="X1794" s="187"/>
      <c r="Y1794" s="245"/>
      <c r="Z1794" s="245"/>
      <c r="AA1794" s="329"/>
      <c r="AC1794" s="245"/>
      <c r="AD1794" s="245"/>
      <c r="AE1794" s="245"/>
      <c r="AF1794" s="245"/>
    </row>
    <row r="1795" spans="1:32" ht="26.25">
      <c r="A1795" s="246"/>
      <c r="B1795" s="245"/>
      <c r="C1795" s="245"/>
      <c r="D1795" s="245"/>
      <c r="E1795" s="245"/>
      <c r="F1795" s="187"/>
      <c r="G1795" s="245"/>
      <c r="H1795" s="245"/>
      <c r="I1795" s="245"/>
      <c r="O1795" s="360"/>
      <c r="Q1795" s="351"/>
      <c r="R1795" s="363"/>
      <c r="S1795" s="321"/>
      <c r="T1795" s="85" ph="1"/>
      <c r="V1795" s="216"/>
      <c r="W1795" s="245"/>
      <c r="X1795" s="187"/>
      <c r="Y1795" s="245"/>
      <c r="Z1795" s="245"/>
      <c r="AA1795" s="329"/>
      <c r="AC1795" s="245"/>
      <c r="AD1795" s="245"/>
      <c r="AE1795" s="245"/>
      <c r="AF1795" s="245"/>
    </row>
    <row r="1796" spans="1:32" ht="26.25">
      <c r="A1796" s="246"/>
      <c r="B1796" s="245"/>
      <c r="C1796" s="245"/>
      <c r="D1796" s="245"/>
      <c r="E1796" s="245"/>
      <c r="F1796" s="187"/>
      <c r="G1796" s="245"/>
      <c r="H1796" s="245"/>
      <c r="I1796" s="245"/>
      <c r="O1796" s="360"/>
      <c r="Q1796" s="351"/>
      <c r="R1796" s="363"/>
      <c r="S1796" s="321"/>
      <c r="T1796" s="85" ph="1"/>
      <c r="V1796" s="216"/>
      <c r="W1796" s="245"/>
      <c r="X1796" s="187"/>
      <c r="Y1796" s="245"/>
      <c r="Z1796" s="245"/>
      <c r="AA1796" s="329"/>
      <c r="AC1796" s="245"/>
      <c r="AD1796" s="245"/>
      <c r="AE1796" s="245"/>
      <c r="AF1796" s="245"/>
    </row>
    <row r="1797" spans="1:32" ht="26.25">
      <c r="A1797" s="246"/>
      <c r="B1797" s="245"/>
      <c r="C1797" s="245"/>
      <c r="D1797" s="245"/>
      <c r="E1797" s="245"/>
      <c r="F1797" s="187"/>
      <c r="G1797" s="245"/>
      <c r="H1797" s="245"/>
      <c r="I1797" s="245"/>
      <c r="O1797" s="360"/>
      <c r="Q1797" s="351"/>
      <c r="R1797" s="363"/>
      <c r="S1797" s="321"/>
      <c r="T1797" s="85" ph="1"/>
      <c r="V1797" s="216"/>
      <c r="W1797" s="245"/>
      <c r="X1797" s="187"/>
      <c r="Y1797" s="245"/>
      <c r="Z1797" s="245"/>
      <c r="AA1797" s="329"/>
      <c r="AC1797" s="245"/>
      <c r="AD1797" s="245"/>
      <c r="AE1797" s="245"/>
      <c r="AF1797" s="245"/>
    </row>
    <row r="1798" spans="1:32" ht="26.25">
      <c r="A1798" s="246"/>
      <c r="B1798" s="245"/>
      <c r="C1798" s="245"/>
      <c r="D1798" s="245"/>
      <c r="E1798" s="245"/>
      <c r="F1798" s="187"/>
      <c r="G1798" s="245"/>
      <c r="H1798" s="245"/>
      <c r="I1798" s="245"/>
      <c r="O1798" s="360"/>
      <c r="Q1798" s="351"/>
      <c r="R1798" s="363"/>
      <c r="S1798" s="321"/>
      <c r="T1798" s="85" ph="1"/>
      <c r="V1798" s="216"/>
      <c r="W1798" s="245"/>
      <c r="X1798" s="187"/>
      <c r="Y1798" s="245"/>
      <c r="Z1798" s="245"/>
      <c r="AA1798" s="329"/>
      <c r="AC1798" s="245"/>
      <c r="AD1798" s="245"/>
      <c r="AE1798" s="245"/>
      <c r="AF1798" s="245"/>
    </row>
    <row r="1799" spans="1:32" ht="26.25">
      <c r="A1799" s="246"/>
      <c r="B1799" s="245"/>
      <c r="C1799" s="245"/>
      <c r="D1799" s="245"/>
      <c r="E1799" s="245"/>
      <c r="F1799" s="187"/>
      <c r="G1799" s="245"/>
      <c r="H1799" s="245"/>
      <c r="I1799" s="245"/>
      <c r="O1799" s="360"/>
      <c r="Q1799" s="351"/>
      <c r="R1799" s="363"/>
      <c r="S1799" s="321"/>
      <c r="T1799" s="85" ph="1"/>
      <c r="V1799" s="216"/>
      <c r="W1799" s="245"/>
      <c r="X1799" s="187"/>
      <c r="Y1799" s="245"/>
      <c r="Z1799" s="245"/>
      <c r="AA1799" s="329"/>
      <c r="AC1799" s="245"/>
      <c r="AD1799" s="245"/>
      <c r="AE1799" s="245"/>
      <c r="AF1799" s="245"/>
    </row>
    <row r="1800" spans="1:32" ht="26.25">
      <c r="A1800" s="246"/>
      <c r="B1800" s="245"/>
      <c r="C1800" s="245"/>
      <c r="D1800" s="245"/>
      <c r="E1800" s="245"/>
      <c r="F1800" s="187"/>
      <c r="G1800" s="245"/>
      <c r="H1800" s="245"/>
      <c r="I1800" s="245"/>
      <c r="O1800" s="360"/>
      <c r="Q1800" s="351"/>
      <c r="R1800" s="363"/>
      <c r="S1800" s="321"/>
      <c r="T1800" s="85" ph="1"/>
      <c r="V1800" s="216"/>
      <c r="W1800" s="245"/>
      <c r="X1800" s="187"/>
      <c r="Y1800" s="245"/>
      <c r="Z1800" s="245"/>
      <c r="AA1800" s="329"/>
      <c r="AC1800" s="245"/>
      <c r="AD1800" s="245"/>
      <c r="AE1800" s="245"/>
      <c r="AF1800" s="245"/>
    </row>
    <row r="1801" spans="1:32" ht="26.25">
      <c r="A1801" s="246"/>
      <c r="B1801" s="245"/>
      <c r="C1801" s="245"/>
      <c r="D1801" s="245"/>
      <c r="E1801" s="245"/>
      <c r="F1801" s="187"/>
      <c r="G1801" s="245"/>
      <c r="H1801" s="245"/>
      <c r="I1801" s="245"/>
      <c r="O1801" s="360"/>
      <c r="Q1801" s="351"/>
      <c r="R1801" s="363"/>
      <c r="S1801" s="321"/>
      <c r="T1801" s="85" ph="1"/>
      <c r="V1801" s="216"/>
      <c r="W1801" s="245"/>
      <c r="X1801" s="187"/>
      <c r="Y1801" s="245"/>
      <c r="Z1801" s="245"/>
      <c r="AA1801" s="329"/>
      <c r="AC1801" s="245"/>
      <c r="AD1801" s="245"/>
      <c r="AE1801" s="245"/>
      <c r="AF1801" s="245"/>
    </row>
    <row r="1802" spans="1:32" ht="26.25">
      <c r="A1802" s="246"/>
      <c r="B1802" s="245"/>
      <c r="C1802" s="245"/>
      <c r="D1802" s="245"/>
      <c r="E1802" s="245"/>
      <c r="F1802" s="187"/>
      <c r="G1802" s="245"/>
      <c r="H1802" s="245"/>
      <c r="I1802" s="245"/>
      <c r="O1802" s="360"/>
      <c r="Q1802" s="351"/>
      <c r="R1802" s="363"/>
      <c r="S1802" s="321"/>
      <c r="T1802" s="85" ph="1"/>
      <c r="V1802" s="216"/>
      <c r="W1802" s="245"/>
      <c r="X1802" s="187"/>
      <c r="Y1802" s="245"/>
      <c r="Z1802" s="245"/>
      <c r="AA1802" s="329"/>
      <c r="AC1802" s="245"/>
      <c r="AD1802" s="245"/>
      <c r="AE1802" s="245"/>
      <c r="AF1802" s="245"/>
    </row>
    <row r="1803" spans="1:32" ht="26.25">
      <c r="A1803" s="246"/>
      <c r="B1803" s="245"/>
      <c r="C1803" s="245"/>
      <c r="D1803" s="245"/>
      <c r="E1803" s="245"/>
      <c r="F1803" s="187"/>
      <c r="G1803" s="245"/>
      <c r="H1803" s="245"/>
      <c r="I1803" s="245"/>
      <c r="O1803" s="360"/>
      <c r="Q1803" s="351"/>
      <c r="R1803" s="363"/>
      <c r="S1803" s="321"/>
      <c r="T1803" s="85" ph="1"/>
      <c r="V1803" s="216"/>
      <c r="W1803" s="245"/>
      <c r="X1803" s="187"/>
      <c r="Y1803" s="245"/>
      <c r="Z1803" s="245"/>
      <c r="AA1803" s="329"/>
      <c r="AC1803" s="245"/>
      <c r="AD1803" s="245"/>
      <c r="AE1803" s="245"/>
      <c r="AF1803" s="245"/>
    </row>
    <row r="1804" spans="1:32" ht="26.25">
      <c r="A1804" s="246"/>
      <c r="B1804" s="245"/>
      <c r="C1804" s="245"/>
      <c r="D1804" s="245"/>
      <c r="E1804" s="245"/>
      <c r="F1804" s="187"/>
      <c r="G1804" s="245"/>
      <c r="H1804" s="245"/>
      <c r="I1804" s="245"/>
      <c r="O1804" s="360"/>
      <c r="Q1804" s="351"/>
      <c r="R1804" s="363"/>
      <c r="S1804" s="321"/>
      <c r="T1804" s="85" ph="1"/>
      <c r="V1804" s="216"/>
      <c r="W1804" s="245"/>
      <c r="X1804" s="187"/>
      <c r="Y1804" s="245"/>
      <c r="Z1804" s="245"/>
      <c r="AA1804" s="329"/>
      <c r="AC1804" s="245"/>
      <c r="AD1804" s="245"/>
      <c r="AE1804" s="245"/>
      <c r="AF1804" s="245"/>
    </row>
    <row r="1805" spans="1:32" ht="26.25">
      <c r="A1805" s="246"/>
      <c r="B1805" s="245"/>
      <c r="C1805" s="245"/>
      <c r="D1805" s="245"/>
      <c r="E1805" s="245"/>
      <c r="F1805" s="187"/>
      <c r="G1805" s="245"/>
      <c r="H1805" s="245"/>
      <c r="I1805" s="245"/>
      <c r="O1805" s="360"/>
      <c r="Q1805" s="351"/>
      <c r="R1805" s="363"/>
      <c r="S1805" s="321"/>
      <c r="T1805" s="85" ph="1"/>
      <c r="V1805" s="216"/>
      <c r="W1805" s="245"/>
      <c r="X1805" s="187"/>
      <c r="Y1805" s="245"/>
      <c r="Z1805" s="245"/>
      <c r="AA1805" s="329"/>
      <c r="AC1805" s="245"/>
      <c r="AD1805" s="245"/>
      <c r="AE1805" s="245"/>
      <c r="AF1805" s="245"/>
    </row>
    <row r="1806" spans="1:32" ht="26.25">
      <c r="A1806" s="246"/>
      <c r="B1806" s="245"/>
      <c r="C1806" s="245"/>
      <c r="D1806" s="245"/>
      <c r="E1806" s="245"/>
      <c r="F1806" s="187"/>
      <c r="G1806" s="245"/>
      <c r="H1806" s="245"/>
      <c r="I1806" s="245"/>
      <c r="O1806" s="360"/>
      <c r="Q1806" s="351"/>
      <c r="R1806" s="363"/>
      <c r="S1806" s="321"/>
      <c r="T1806" s="85" ph="1"/>
      <c r="V1806" s="216"/>
      <c r="W1806" s="245"/>
      <c r="X1806" s="187"/>
      <c r="Y1806" s="245"/>
      <c r="Z1806" s="245"/>
      <c r="AA1806" s="329"/>
      <c r="AC1806" s="245"/>
      <c r="AD1806" s="245"/>
      <c r="AE1806" s="245"/>
      <c r="AF1806" s="245"/>
    </row>
    <row r="1807" spans="1:32" ht="26.25">
      <c r="A1807" s="246"/>
      <c r="B1807" s="245"/>
      <c r="C1807" s="245"/>
      <c r="D1807" s="245"/>
      <c r="E1807" s="245"/>
      <c r="F1807" s="187"/>
      <c r="G1807" s="245"/>
      <c r="H1807" s="245"/>
      <c r="I1807" s="245"/>
      <c r="O1807" s="360"/>
      <c r="Q1807" s="351"/>
      <c r="R1807" s="363"/>
      <c r="S1807" s="321"/>
      <c r="T1807" s="85" ph="1"/>
      <c r="V1807" s="216"/>
      <c r="W1807" s="245"/>
      <c r="X1807" s="187"/>
      <c r="Y1807" s="245"/>
      <c r="Z1807" s="245"/>
      <c r="AA1807" s="329"/>
      <c r="AC1807" s="245"/>
      <c r="AD1807" s="245"/>
      <c r="AE1807" s="245"/>
      <c r="AF1807" s="245"/>
    </row>
    <row r="1808" spans="1:32" ht="26.25">
      <c r="A1808" s="246"/>
      <c r="B1808" s="245"/>
      <c r="C1808" s="245"/>
      <c r="D1808" s="245"/>
      <c r="E1808" s="245"/>
      <c r="F1808" s="187"/>
      <c r="G1808" s="245"/>
      <c r="H1808" s="245"/>
      <c r="I1808" s="245"/>
      <c r="O1808" s="360"/>
      <c r="Q1808" s="351"/>
      <c r="R1808" s="363"/>
      <c r="S1808" s="321"/>
      <c r="T1808" s="85" ph="1"/>
      <c r="V1808" s="216"/>
      <c r="W1808" s="245"/>
      <c r="X1808" s="187"/>
      <c r="Y1808" s="245"/>
      <c r="Z1808" s="245"/>
      <c r="AA1808" s="329"/>
      <c r="AC1808" s="245"/>
      <c r="AD1808" s="245"/>
      <c r="AE1808" s="245"/>
      <c r="AF1808" s="245"/>
    </row>
    <row r="1809" spans="1:32" ht="26.25">
      <c r="A1809" s="246"/>
      <c r="B1809" s="245"/>
      <c r="C1809" s="245"/>
      <c r="D1809" s="245"/>
      <c r="E1809" s="245"/>
      <c r="F1809" s="187"/>
      <c r="G1809" s="245"/>
      <c r="H1809" s="245"/>
      <c r="I1809" s="245"/>
      <c r="O1809" s="360"/>
      <c r="Q1809" s="351"/>
      <c r="R1809" s="363"/>
      <c r="S1809" s="321"/>
      <c r="T1809" s="85" ph="1"/>
      <c r="V1809" s="216"/>
      <c r="W1809" s="245"/>
      <c r="X1809" s="187"/>
      <c r="Y1809" s="245"/>
      <c r="Z1809" s="245"/>
      <c r="AA1809" s="329"/>
      <c r="AC1809" s="245"/>
      <c r="AD1809" s="245"/>
      <c r="AE1809" s="245"/>
      <c r="AF1809" s="245"/>
    </row>
    <row r="1810" spans="1:32" ht="26.25">
      <c r="A1810" s="246"/>
      <c r="B1810" s="245"/>
      <c r="C1810" s="245"/>
      <c r="D1810" s="245"/>
      <c r="E1810" s="245"/>
      <c r="F1810" s="187"/>
      <c r="G1810" s="245"/>
      <c r="H1810" s="245"/>
      <c r="I1810" s="245"/>
      <c r="O1810" s="360"/>
      <c r="Q1810" s="351"/>
      <c r="R1810" s="363"/>
      <c r="S1810" s="321"/>
      <c r="T1810" s="85" ph="1"/>
      <c r="V1810" s="216"/>
      <c r="W1810" s="245"/>
      <c r="X1810" s="187"/>
      <c r="Y1810" s="245"/>
      <c r="Z1810" s="245"/>
      <c r="AA1810" s="329"/>
      <c r="AC1810" s="245"/>
      <c r="AD1810" s="245"/>
      <c r="AE1810" s="245"/>
      <c r="AF1810" s="245"/>
    </row>
    <row r="1811" spans="1:32" ht="26.25">
      <c r="A1811" s="246"/>
      <c r="B1811" s="245"/>
      <c r="C1811" s="245"/>
      <c r="D1811" s="245"/>
      <c r="E1811" s="245"/>
      <c r="F1811" s="187"/>
      <c r="G1811" s="245"/>
      <c r="H1811" s="245"/>
      <c r="I1811" s="245"/>
      <c r="O1811" s="360"/>
      <c r="Q1811" s="351"/>
      <c r="R1811" s="363"/>
      <c r="S1811" s="321"/>
      <c r="T1811" s="85" ph="1"/>
      <c r="V1811" s="216"/>
      <c r="W1811" s="245"/>
      <c r="X1811" s="187"/>
      <c r="Y1811" s="245"/>
      <c r="Z1811" s="245"/>
      <c r="AA1811" s="329"/>
      <c r="AC1811" s="245"/>
      <c r="AD1811" s="245"/>
      <c r="AE1811" s="245"/>
      <c r="AF1811" s="245"/>
    </row>
    <row r="1812" spans="1:32" ht="26.25">
      <c r="A1812" s="246"/>
      <c r="B1812" s="245"/>
      <c r="C1812" s="245"/>
      <c r="D1812" s="245"/>
      <c r="E1812" s="245"/>
      <c r="F1812" s="187"/>
      <c r="G1812" s="245"/>
      <c r="H1812" s="245"/>
      <c r="I1812" s="245"/>
      <c r="O1812" s="360"/>
      <c r="Q1812" s="351"/>
      <c r="R1812" s="363"/>
      <c r="S1812" s="321"/>
      <c r="T1812" s="85" ph="1"/>
      <c r="V1812" s="216"/>
      <c r="W1812" s="245"/>
      <c r="X1812" s="187"/>
      <c r="Y1812" s="245"/>
      <c r="Z1812" s="245"/>
      <c r="AA1812" s="329"/>
      <c r="AC1812" s="245"/>
      <c r="AD1812" s="245"/>
      <c r="AE1812" s="245"/>
      <c r="AF1812" s="245"/>
    </row>
    <row r="1813" spans="1:32" ht="26.25">
      <c r="A1813" s="246"/>
      <c r="B1813" s="245"/>
      <c r="C1813" s="245"/>
      <c r="D1813" s="245"/>
      <c r="E1813" s="245"/>
      <c r="F1813" s="187"/>
      <c r="G1813" s="245"/>
      <c r="H1813" s="245"/>
      <c r="I1813" s="245"/>
      <c r="O1813" s="360"/>
      <c r="Q1813" s="351"/>
      <c r="R1813" s="363"/>
      <c r="S1813" s="321"/>
      <c r="T1813" s="85" ph="1"/>
      <c r="V1813" s="216"/>
      <c r="W1813" s="245"/>
      <c r="X1813" s="187"/>
      <c r="Y1813" s="245"/>
      <c r="Z1813" s="245"/>
      <c r="AA1813" s="329"/>
      <c r="AC1813" s="245"/>
      <c r="AD1813" s="245"/>
      <c r="AE1813" s="245"/>
      <c r="AF1813" s="245"/>
    </row>
    <row r="1814" spans="1:32" ht="26.25">
      <c r="A1814" s="246"/>
      <c r="B1814" s="245"/>
      <c r="C1814" s="245"/>
      <c r="D1814" s="245"/>
      <c r="E1814" s="245"/>
      <c r="F1814" s="187"/>
      <c r="G1814" s="245"/>
      <c r="H1814" s="245"/>
      <c r="I1814" s="245"/>
      <c r="O1814" s="360"/>
      <c r="Q1814" s="351"/>
      <c r="R1814" s="363"/>
      <c r="S1814" s="321"/>
      <c r="T1814" s="85" ph="1"/>
      <c r="V1814" s="216"/>
      <c r="W1814" s="245"/>
      <c r="X1814" s="187"/>
      <c r="Y1814" s="245"/>
      <c r="Z1814" s="245"/>
      <c r="AA1814" s="329"/>
      <c r="AC1814" s="245"/>
      <c r="AD1814" s="245"/>
      <c r="AE1814" s="245"/>
      <c r="AF1814" s="245"/>
    </row>
    <row r="1815" spans="1:32" ht="26.25">
      <c r="A1815" s="246"/>
      <c r="B1815" s="245"/>
      <c r="C1815" s="245"/>
      <c r="D1815" s="245"/>
      <c r="E1815" s="245"/>
      <c r="F1815" s="187"/>
      <c r="G1815" s="245"/>
      <c r="H1815" s="245"/>
      <c r="I1815" s="245"/>
      <c r="O1815" s="360"/>
      <c r="Q1815" s="351"/>
      <c r="R1815" s="363"/>
      <c r="S1815" s="321"/>
      <c r="T1815" s="85" ph="1"/>
      <c r="V1815" s="216"/>
      <c r="W1815" s="245"/>
      <c r="X1815" s="187"/>
      <c r="Y1815" s="245"/>
      <c r="Z1815" s="245"/>
      <c r="AA1815" s="329"/>
      <c r="AC1815" s="245"/>
      <c r="AD1815" s="245"/>
      <c r="AE1815" s="245"/>
      <c r="AF1815" s="245"/>
    </row>
    <row r="1816" spans="1:32" ht="26.25">
      <c r="A1816" s="246"/>
      <c r="B1816" s="245"/>
      <c r="C1816" s="245"/>
      <c r="D1816" s="245"/>
      <c r="E1816" s="245"/>
      <c r="F1816" s="187"/>
      <c r="G1816" s="245"/>
      <c r="H1816" s="245"/>
      <c r="I1816" s="245"/>
      <c r="O1816" s="360"/>
      <c r="Q1816" s="351"/>
      <c r="R1816" s="363"/>
      <c r="S1816" s="321"/>
      <c r="T1816" s="85" ph="1"/>
      <c r="V1816" s="216"/>
      <c r="W1816" s="245"/>
      <c r="X1816" s="187"/>
      <c r="Y1816" s="245"/>
      <c r="Z1816" s="245"/>
      <c r="AA1816" s="329"/>
      <c r="AC1816" s="245"/>
      <c r="AD1816" s="245"/>
      <c r="AE1816" s="245"/>
      <c r="AF1816" s="245"/>
    </row>
    <row r="1817" spans="1:32" ht="26.25">
      <c r="A1817" s="246"/>
      <c r="B1817" s="245"/>
      <c r="C1817" s="245"/>
      <c r="D1817" s="245"/>
      <c r="E1817" s="245"/>
      <c r="F1817" s="187"/>
      <c r="G1817" s="245"/>
      <c r="H1817" s="245"/>
      <c r="I1817" s="245"/>
      <c r="O1817" s="360"/>
      <c r="Q1817" s="351"/>
      <c r="R1817" s="363"/>
      <c r="S1817" s="321"/>
      <c r="T1817" s="85" ph="1"/>
      <c r="V1817" s="216"/>
      <c r="W1817" s="245"/>
      <c r="X1817" s="187"/>
      <c r="Y1817" s="245"/>
      <c r="Z1817" s="245"/>
      <c r="AA1817" s="329"/>
      <c r="AC1817" s="245"/>
      <c r="AD1817" s="245"/>
      <c r="AE1817" s="245"/>
      <c r="AF1817" s="245"/>
    </row>
    <row r="1818" spans="1:32" ht="26.25">
      <c r="A1818" s="246"/>
      <c r="B1818" s="245"/>
      <c r="C1818" s="245"/>
      <c r="D1818" s="245"/>
      <c r="E1818" s="245"/>
      <c r="F1818" s="187"/>
      <c r="G1818" s="245"/>
      <c r="H1818" s="245"/>
      <c r="I1818" s="245"/>
      <c r="O1818" s="360"/>
      <c r="Q1818" s="351"/>
      <c r="R1818" s="363"/>
      <c r="S1818" s="321"/>
      <c r="T1818" s="85" ph="1"/>
      <c r="V1818" s="216"/>
      <c r="W1818" s="245"/>
      <c r="X1818" s="187"/>
      <c r="Y1818" s="245"/>
      <c r="Z1818" s="245"/>
      <c r="AA1818" s="329"/>
      <c r="AC1818" s="245"/>
      <c r="AD1818" s="245"/>
      <c r="AE1818" s="245"/>
      <c r="AF1818" s="245"/>
    </row>
    <row r="1819" spans="1:32" ht="26.25">
      <c r="A1819" s="246"/>
      <c r="B1819" s="245"/>
      <c r="C1819" s="245"/>
      <c r="D1819" s="245"/>
      <c r="E1819" s="245"/>
      <c r="F1819" s="187"/>
      <c r="G1819" s="245"/>
      <c r="H1819" s="245"/>
      <c r="I1819" s="245"/>
      <c r="O1819" s="360"/>
      <c r="Q1819" s="351"/>
      <c r="R1819" s="363"/>
      <c r="S1819" s="321"/>
      <c r="T1819" s="85" ph="1"/>
      <c r="V1819" s="216"/>
      <c r="W1819" s="245"/>
      <c r="X1819" s="187"/>
      <c r="Y1819" s="245"/>
      <c r="Z1819" s="245"/>
      <c r="AA1819" s="329"/>
      <c r="AC1819" s="245"/>
      <c r="AD1819" s="245"/>
      <c r="AE1819" s="245"/>
      <c r="AF1819" s="245"/>
    </row>
    <row r="1820" spans="1:32" ht="26.25">
      <c r="A1820" s="246"/>
      <c r="B1820" s="245"/>
      <c r="C1820" s="245"/>
      <c r="D1820" s="245"/>
      <c r="E1820" s="245"/>
      <c r="F1820" s="187"/>
      <c r="G1820" s="245"/>
      <c r="H1820" s="245"/>
      <c r="I1820" s="245"/>
      <c r="O1820" s="360"/>
      <c r="Q1820" s="351"/>
      <c r="R1820" s="363"/>
      <c r="S1820" s="321"/>
      <c r="T1820" s="85" ph="1"/>
      <c r="V1820" s="216"/>
      <c r="W1820" s="245"/>
      <c r="X1820" s="187"/>
      <c r="Y1820" s="245"/>
      <c r="Z1820" s="245"/>
      <c r="AA1820" s="329"/>
      <c r="AC1820" s="245"/>
      <c r="AD1820" s="245"/>
      <c r="AE1820" s="245"/>
      <c r="AF1820" s="245"/>
    </row>
    <row r="1821" spans="1:32" ht="26.25">
      <c r="A1821" s="246"/>
      <c r="B1821" s="245"/>
      <c r="C1821" s="245"/>
      <c r="D1821" s="245"/>
      <c r="E1821" s="245"/>
      <c r="F1821" s="187"/>
      <c r="G1821" s="245"/>
      <c r="H1821" s="245"/>
      <c r="I1821" s="245"/>
      <c r="O1821" s="360"/>
      <c r="Q1821" s="351"/>
      <c r="R1821" s="363"/>
      <c r="S1821" s="321"/>
      <c r="T1821" s="85" ph="1"/>
      <c r="V1821" s="216"/>
      <c r="W1821" s="245"/>
      <c r="X1821" s="187"/>
      <c r="Y1821" s="245"/>
      <c r="Z1821" s="245"/>
      <c r="AA1821" s="329"/>
      <c r="AC1821" s="245"/>
      <c r="AD1821" s="245"/>
      <c r="AE1821" s="245"/>
      <c r="AF1821" s="245"/>
    </row>
    <row r="1822" spans="1:32" ht="26.25">
      <c r="A1822" s="246"/>
      <c r="B1822" s="245"/>
      <c r="C1822" s="245"/>
      <c r="D1822" s="245"/>
      <c r="E1822" s="245"/>
      <c r="F1822" s="187"/>
      <c r="G1822" s="245"/>
      <c r="H1822" s="245"/>
      <c r="I1822" s="245"/>
      <c r="O1822" s="360"/>
      <c r="Q1822" s="351"/>
      <c r="R1822" s="363"/>
      <c r="S1822" s="321"/>
      <c r="T1822" s="85" ph="1"/>
      <c r="V1822" s="216"/>
      <c r="W1822" s="245"/>
      <c r="X1822" s="187"/>
      <c r="Y1822" s="245"/>
      <c r="Z1822" s="245"/>
      <c r="AA1822" s="329"/>
      <c r="AC1822" s="245"/>
      <c r="AD1822" s="245"/>
      <c r="AE1822" s="245"/>
      <c r="AF1822" s="245"/>
    </row>
    <row r="1823" spans="1:32" ht="26.25">
      <c r="A1823" s="246"/>
      <c r="B1823" s="245"/>
      <c r="C1823" s="245"/>
      <c r="D1823" s="245"/>
      <c r="E1823" s="245"/>
      <c r="F1823" s="187"/>
      <c r="G1823" s="245"/>
      <c r="H1823" s="245"/>
      <c r="I1823" s="245"/>
      <c r="O1823" s="360"/>
      <c r="Q1823" s="351"/>
      <c r="R1823" s="363"/>
      <c r="S1823" s="321"/>
      <c r="T1823" s="85" ph="1"/>
      <c r="V1823" s="216"/>
      <c r="W1823" s="245"/>
      <c r="X1823" s="187"/>
      <c r="Y1823" s="245"/>
      <c r="Z1823" s="245"/>
      <c r="AA1823" s="329"/>
      <c r="AC1823" s="245"/>
      <c r="AD1823" s="245"/>
      <c r="AE1823" s="245"/>
      <c r="AF1823" s="245"/>
    </row>
    <row r="1824" spans="1:32" ht="26.25">
      <c r="A1824" s="246"/>
      <c r="B1824" s="245"/>
      <c r="C1824" s="245"/>
      <c r="D1824" s="245"/>
      <c r="E1824" s="245"/>
      <c r="F1824" s="187"/>
      <c r="G1824" s="245"/>
      <c r="H1824" s="245"/>
      <c r="I1824" s="245"/>
      <c r="O1824" s="360"/>
      <c r="Q1824" s="351"/>
      <c r="R1824" s="363"/>
      <c r="S1824" s="321"/>
      <c r="T1824" s="85" ph="1"/>
      <c r="V1824" s="216"/>
      <c r="W1824" s="245"/>
      <c r="X1824" s="187"/>
      <c r="Y1824" s="245"/>
      <c r="Z1824" s="245"/>
      <c r="AA1824" s="329"/>
      <c r="AC1824" s="245"/>
      <c r="AD1824" s="245"/>
      <c r="AE1824" s="245"/>
      <c r="AF1824" s="245"/>
    </row>
    <row r="1825" spans="1:32" ht="26.25">
      <c r="A1825" s="246"/>
      <c r="B1825" s="245"/>
      <c r="C1825" s="245"/>
      <c r="D1825" s="245"/>
      <c r="E1825" s="245"/>
      <c r="F1825" s="187"/>
      <c r="G1825" s="245"/>
      <c r="H1825" s="245"/>
      <c r="I1825" s="245"/>
      <c r="O1825" s="360"/>
      <c r="Q1825" s="351"/>
      <c r="R1825" s="363"/>
      <c r="S1825" s="321"/>
      <c r="T1825" s="85" ph="1"/>
      <c r="V1825" s="216"/>
      <c r="W1825" s="245"/>
      <c r="X1825" s="187"/>
      <c r="Y1825" s="245"/>
      <c r="Z1825" s="245"/>
      <c r="AA1825" s="329"/>
      <c r="AC1825" s="245"/>
      <c r="AD1825" s="245"/>
      <c r="AE1825" s="245"/>
      <c r="AF1825" s="245"/>
    </row>
    <row r="1826" spans="1:32" ht="26.25">
      <c r="A1826" s="246"/>
      <c r="B1826" s="245"/>
      <c r="C1826" s="245"/>
      <c r="D1826" s="245"/>
      <c r="E1826" s="245"/>
      <c r="F1826" s="187"/>
      <c r="G1826" s="245"/>
      <c r="H1826" s="245"/>
      <c r="I1826" s="245"/>
      <c r="O1826" s="360"/>
      <c r="Q1826" s="351"/>
      <c r="R1826" s="363"/>
      <c r="S1826" s="321"/>
      <c r="T1826" s="85" ph="1"/>
      <c r="V1826" s="216"/>
      <c r="W1826" s="245"/>
      <c r="X1826" s="187"/>
      <c r="Y1826" s="245"/>
      <c r="Z1826" s="245"/>
      <c r="AA1826" s="329"/>
      <c r="AC1826" s="245"/>
      <c r="AD1826" s="245"/>
      <c r="AE1826" s="245"/>
      <c r="AF1826" s="245"/>
    </row>
    <row r="1827" spans="1:32" ht="26.25">
      <c r="A1827" s="246"/>
      <c r="B1827" s="245"/>
      <c r="C1827" s="245"/>
      <c r="D1827" s="245"/>
      <c r="E1827" s="245"/>
      <c r="F1827" s="187"/>
      <c r="G1827" s="245"/>
      <c r="H1827" s="245"/>
      <c r="I1827" s="245"/>
      <c r="O1827" s="360"/>
      <c r="Q1827" s="351"/>
      <c r="R1827" s="363"/>
      <c r="S1827" s="321"/>
      <c r="T1827" s="85" ph="1"/>
      <c r="V1827" s="216"/>
      <c r="W1827" s="245"/>
      <c r="X1827" s="187"/>
      <c r="Y1827" s="245"/>
      <c r="Z1827" s="245"/>
      <c r="AA1827" s="329"/>
      <c r="AC1827" s="245"/>
      <c r="AD1827" s="245"/>
      <c r="AE1827" s="245"/>
      <c r="AF1827" s="245"/>
    </row>
    <row r="1828" spans="1:32" ht="26.25">
      <c r="A1828" s="246"/>
      <c r="B1828" s="245"/>
      <c r="C1828" s="245"/>
      <c r="D1828" s="245"/>
      <c r="E1828" s="245"/>
      <c r="F1828" s="187"/>
      <c r="G1828" s="245"/>
      <c r="H1828" s="245"/>
      <c r="I1828" s="245"/>
      <c r="O1828" s="360"/>
      <c r="Q1828" s="351"/>
      <c r="R1828" s="363"/>
      <c r="S1828" s="321"/>
      <c r="T1828" s="85" ph="1"/>
      <c r="V1828" s="216"/>
      <c r="W1828" s="245"/>
      <c r="X1828" s="187"/>
      <c r="Y1828" s="245"/>
      <c r="Z1828" s="245"/>
      <c r="AA1828" s="329"/>
      <c r="AC1828" s="245"/>
      <c r="AD1828" s="245"/>
      <c r="AE1828" s="245"/>
      <c r="AF1828" s="245"/>
    </row>
    <row r="1829" spans="1:32" ht="26.25">
      <c r="A1829" s="246"/>
      <c r="B1829" s="245"/>
      <c r="C1829" s="245"/>
      <c r="D1829" s="245"/>
      <c r="E1829" s="245"/>
      <c r="F1829" s="187"/>
      <c r="G1829" s="245"/>
      <c r="H1829" s="245"/>
      <c r="I1829" s="245"/>
      <c r="O1829" s="360"/>
      <c r="Q1829" s="351"/>
      <c r="R1829" s="363"/>
      <c r="S1829" s="321"/>
      <c r="T1829" s="85" ph="1"/>
      <c r="V1829" s="216"/>
      <c r="W1829" s="245"/>
      <c r="X1829" s="187"/>
      <c r="Y1829" s="245"/>
      <c r="Z1829" s="245"/>
      <c r="AA1829" s="329"/>
      <c r="AC1829" s="245"/>
      <c r="AD1829" s="245"/>
      <c r="AE1829" s="245"/>
      <c r="AF1829" s="245"/>
    </row>
    <row r="1830" spans="1:32" ht="26.25">
      <c r="A1830" s="246"/>
      <c r="B1830" s="245"/>
      <c r="C1830" s="245"/>
      <c r="D1830" s="245"/>
      <c r="E1830" s="245"/>
      <c r="F1830" s="187"/>
      <c r="G1830" s="245"/>
      <c r="H1830" s="245"/>
      <c r="I1830" s="245"/>
      <c r="O1830" s="360"/>
      <c r="Q1830" s="351"/>
      <c r="R1830" s="363"/>
      <c r="S1830" s="321"/>
      <c r="T1830" s="85" ph="1"/>
      <c r="V1830" s="216"/>
      <c r="W1830" s="245"/>
      <c r="X1830" s="187"/>
      <c r="Y1830" s="245"/>
      <c r="Z1830" s="245"/>
      <c r="AA1830" s="329"/>
      <c r="AC1830" s="245"/>
      <c r="AD1830" s="245"/>
      <c r="AE1830" s="245"/>
      <c r="AF1830" s="245"/>
    </row>
    <row r="1831" spans="1:32" ht="26.25">
      <c r="A1831" s="246"/>
      <c r="B1831" s="245"/>
      <c r="C1831" s="245"/>
      <c r="D1831" s="245"/>
      <c r="E1831" s="245"/>
      <c r="F1831" s="187"/>
      <c r="G1831" s="245"/>
      <c r="H1831" s="245"/>
      <c r="I1831" s="245"/>
      <c r="O1831" s="360"/>
      <c r="Q1831" s="351"/>
      <c r="R1831" s="363"/>
      <c r="S1831" s="321"/>
      <c r="T1831" s="85" ph="1"/>
      <c r="V1831" s="216"/>
      <c r="W1831" s="245"/>
      <c r="X1831" s="187"/>
      <c r="Y1831" s="245"/>
      <c r="Z1831" s="245"/>
      <c r="AA1831" s="329"/>
      <c r="AC1831" s="245"/>
      <c r="AD1831" s="245"/>
      <c r="AE1831" s="245"/>
      <c r="AF1831" s="245"/>
    </row>
    <row r="1832" spans="1:32" ht="26.25">
      <c r="A1832" s="246"/>
      <c r="B1832" s="245"/>
      <c r="C1832" s="245"/>
      <c r="D1832" s="245"/>
      <c r="E1832" s="245"/>
      <c r="F1832" s="187"/>
      <c r="G1832" s="245"/>
      <c r="H1832" s="245"/>
      <c r="I1832" s="245"/>
      <c r="O1832" s="360"/>
      <c r="Q1832" s="351"/>
      <c r="R1832" s="363"/>
      <c r="S1832" s="321"/>
      <c r="T1832" s="85" ph="1"/>
      <c r="V1832" s="216"/>
      <c r="W1832" s="245"/>
      <c r="X1832" s="187"/>
      <c r="Y1832" s="245"/>
      <c r="Z1832" s="245"/>
      <c r="AA1832" s="329"/>
      <c r="AC1832" s="245"/>
      <c r="AD1832" s="245"/>
      <c r="AE1832" s="245"/>
      <c r="AF1832" s="245"/>
    </row>
    <row r="1833" spans="1:32" ht="26.25">
      <c r="A1833" s="246"/>
      <c r="B1833" s="245"/>
      <c r="C1833" s="245"/>
      <c r="D1833" s="245"/>
      <c r="E1833" s="245"/>
      <c r="F1833" s="187"/>
      <c r="G1833" s="245"/>
      <c r="H1833" s="245"/>
      <c r="I1833" s="245"/>
      <c r="O1833" s="360"/>
      <c r="Q1833" s="351"/>
      <c r="R1833" s="363"/>
      <c r="S1833" s="321"/>
      <c r="T1833" s="85" ph="1"/>
      <c r="V1833" s="216"/>
      <c r="W1833" s="245"/>
      <c r="X1833" s="187"/>
      <c r="Y1833" s="245"/>
      <c r="Z1833" s="245"/>
      <c r="AA1833" s="329"/>
      <c r="AC1833" s="245"/>
      <c r="AD1833" s="245"/>
      <c r="AE1833" s="245"/>
      <c r="AF1833" s="245"/>
    </row>
    <row r="1834" spans="1:32" ht="26.25">
      <c r="A1834" s="246"/>
      <c r="B1834" s="245"/>
      <c r="C1834" s="245"/>
      <c r="D1834" s="245"/>
      <c r="E1834" s="245"/>
      <c r="F1834" s="187"/>
      <c r="G1834" s="245"/>
      <c r="H1834" s="245"/>
      <c r="I1834" s="245"/>
      <c r="O1834" s="360"/>
      <c r="Q1834" s="351"/>
      <c r="R1834" s="363"/>
      <c r="S1834" s="321"/>
      <c r="T1834" s="85" ph="1"/>
      <c r="V1834" s="216"/>
      <c r="W1834" s="245"/>
      <c r="X1834" s="187"/>
      <c r="Y1834" s="245"/>
      <c r="Z1834" s="245"/>
      <c r="AA1834" s="329"/>
      <c r="AC1834" s="245"/>
      <c r="AD1834" s="245"/>
      <c r="AE1834" s="245"/>
      <c r="AF1834" s="245"/>
    </row>
    <row r="1835" spans="1:32" ht="26.25">
      <c r="A1835" s="246"/>
      <c r="B1835" s="245"/>
      <c r="C1835" s="245"/>
      <c r="D1835" s="245"/>
      <c r="E1835" s="245"/>
      <c r="F1835" s="187"/>
      <c r="G1835" s="245"/>
      <c r="H1835" s="245"/>
      <c r="I1835" s="245"/>
      <c r="O1835" s="360"/>
      <c r="Q1835" s="351"/>
      <c r="R1835" s="363"/>
      <c r="S1835" s="321"/>
      <c r="T1835" s="85" ph="1"/>
      <c r="V1835" s="216"/>
      <c r="W1835" s="245"/>
      <c r="X1835" s="187"/>
      <c r="Y1835" s="245"/>
      <c r="Z1835" s="245"/>
      <c r="AA1835" s="329"/>
      <c r="AC1835" s="245"/>
      <c r="AD1835" s="245"/>
      <c r="AE1835" s="245"/>
      <c r="AF1835" s="245"/>
    </row>
    <row r="1836" spans="1:32" ht="26.25">
      <c r="A1836" s="246"/>
      <c r="B1836" s="245"/>
      <c r="C1836" s="245"/>
      <c r="D1836" s="245"/>
      <c r="E1836" s="245"/>
      <c r="F1836" s="187"/>
      <c r="G1836" s="245"/>
      <c r="H1836" s="245"/>
      <c r="I1836" s="245"/>
      <c r="O1836" s="360"/>
      <c r="Q1836" s="351"/>
      <c r="R1836" s="363"/>
      <c r="S1836" s="321"/>
      <c r="T1836" s="85" ph="1"/>
      <c r="V1836" s="216"/>
      <c r="W1836" s="245"/>
      <c r="X1836" s="187"/>
      <c r="Y1836" s="245"/>
      <c r="Z1836" s="245"/>
      <c r="AA1836" s="329"/>
      <c r="AC1836" s="245"/>
      <c r="AD1836" s="245"/>
      <c r="AE1836" s="245"/>
      <c r="AF1836" s="245"/>
    </row>
    <row r="1837" spans="1:32" ht="26.25">
      <c r="A1837" s="246"/>
      <c r="B1837" s="245"/>
      <c r="C1837" s="245"/>
      <c r="D1837" s="245"/>
      <c r="E1837" s="245"/>
      <c r="F1837" s="187"/>
      <c r="G1837" s="245"/>
      <c r="H1837" s="245"/>
      <c r="I1837" s="245"/>
      <c r="O1837" s="360"/>
      <c r="Q1837" s="351"/>
      <c r="R1837" s="363"/>
      <c r="S1837" s="321"/>
      <c r="T1837" s="85" ph="1"/>
      <c r="V1837" s="216"/>
      <c r="W1837" s="245"/>
      <c r="X1837" s="187"/>
      <c r="Y1837" s="245"/>
      <c r="Z1837" s="245"/>
      <c r="AA1837" s="329"/>
      <c r="AC1837" s="245"/>
      <c r="AD1837" s="245"/>
      <c r="AE1837" s="245"/>
      <c r="AF1837" s="245"/>
    </row>
    <row r="1838" spans="1:32" ht="26.25">
      <c r="A1838" s="246"/>
      <c r="B1838" s="245"/>
      <c r="C1838" s="245"/>
      <c r="D1838" s="245"/>
      <c r="E1838" s="245"/>
      <c r="F1838" s="187"/>
      <c r="G1838" s="245"/>
      <c r="H1838" s="245"/>
      <c r="I1838" s="245"/>
      <c r="O1838" s="360"/>
      <c r="Q1838" s="351"/>
      <c r="R1838" s="363"/>
      <c r="S1838" s="321"/>
      <c r="T1838" s="85" ph="1"/>
      <c r="V1838" s="216"/>
      <c r="W1838" s="245"/>
      <c r="X1838" s="187"/>
      <c r="Y1838" s="245"/>
      <c r="Z1838" s="245"/>
      <c r="AA1838" s="329"/>
      <c r="AC1838" s="245"/>
      <c r="AD1838" s="245"/>
      <c r="AE1838" s="245"/>
      <c r="AF1838" s="245"/>
    </row>
    <row r="1839" spans="1:32" ht="26.25">
      <c r="A1839" s="246"/>
      <c r="B1839" s="245"/>
      <c r="C1839" s="245"/>
      <c r="D1839" s="245"/>
      <c r="E1839" s="245"/>
      <c r="F1839" s="187"/>
      <c r="G1839" s="245"/>
      <c r="H1839" s="245"/>
      <c r="I1839" s="245"/>
      <c r="O1839" s="360"/>
      <c r="Q1839" s="351"/>
      <c r="R1839" s="363"/>
      <c r="S1839" s="321"/>
      <c r="T1839" s="85" ph="1"/>
      <c r="V1839" s="216"/>
      <c r="W1839" s="245"/>
      <c r="X1839" s="187"/>
      <c r="Y1839" s="245"/>
      <c r="Z1839" s="245"/>
      <c r="AA1839" s="329"/>
      <c r="AC1839" s="245"/>
      <c r="AD1839" s="245"/>
      <c r="AE1839" s="245"/>
      <c r="AF1839" s="245"/>
    </row>
    <row r="1840" spans="1:32" ht="26.25">
      <c r="A1840" s="246"/>
      <c r="B1840" s="245"/>
      <c r="C1840" s="245"/>
      <c r="D1840" s="245"/>
      <c r="E1840" s="245"/>
      <c r="F1840" s="187"/>
      <c r="G1840" s="245"/>
      <c r="H1840" s="245"/>
      <c r="I1840" s="245"/>
      <c r="O1840" s="360"/>
      <c r="Q1840" s="351"/>
      <c r="R1840" s="363"/>
      <c r="S1840" s="321"/>
      <c r="T1840" s="85" ph="1"/>
      <c r="V1840" s="216"/>
      <c r="W1840" s="245"/>
      <c r="X1840" s="187"/>
      <c r="Y1840" s="245"/>
      <c r="Z1840" s="245"/>
      <c r="AA1840" s="329"/>
      <c r="AC1840" s="245"/>
      <c r="AD1840" s="245"/>
      <c r="AE1840" s="245"/>
      <c r="AF1840" s="245"/>
    </row>
    <row r="1841" spans="1:32" ht="26.25">
      <c r="A1841" s="246"/>
      <c r="B1841" s="245"/>
      <c r="C1841" s="245"/>
      <c r="D1841" s="245"/>
      <c r="E1841" s="245"/>
      <c r="F1841" s="187"/>
      <c r="G1841" s="245"/>
      <c r="H1841" s="245"/>
      <c r="I1841" s="245"/>
      <c r="O1841" s="360"/>
      <c r="Q1841" s="351"/>
      <c r="R1841" s="363"/>
      <c r="S1841" s="321"/>
      <c r="T1841" s="85" ph="1"/>
      <c r="V1841" s="216"/>
      <c r="W1841" s="245"/>
      <c r="X1841" s="187"/>
      <c r="Y1841" s="245"/>
      <c r="Z1841" s="245"/>
      <c r="AA1841" s="329"/>
      <c r="AC1841" s="245"/>
      <c r="AD1841" s="245"/>
      <c r="AE1841" s="245"/>
      <c r="AF1841" s="245"/>
    </row>
    <row r="1842" spans="1:32" ht="26.25">
      <c r="A1842" s="246"/>
      <c r="B1842" s="245"/>
      <c r="C1842" s="245"/>
      <c r="D1842" s="245"/>
      <c r="E1842" s="245"/>
      <c r="F1842" s="187"/>
      <c r="G1842" s="245"/>
      <c r="H1842" s="245"/>
      <c r="I1842" s="245"/>
      <c r="O1842" s="360"/>
      <c r="Q1842" s="351"/>
      <c r="R1842" s="363"/>
      <c r="S1842" s="321"/>
      <c r="T1842" s="85" ph="1"/>
      <c r="V1842" s="216"/>
      <c r="W1842" s="245"/>
      <c r="X1842" s="187"/>
      <c r="Y1842" s="245"/>
      <c r="Z1842" s="245"/>
      <c r="AA1842" s="329"/>
      <c r="AC1842" s="245"/>
      <c r="AD1842" s="245"/>
      <c r="AE1842" s="245"/>
      <c r="AF1842" s="245"/>
    </row>
    <row r="1843" spans="1:32" ht="26.25">
      <c r="A1843" s="246"/>
      <c r="B1843" s="245"/>
      <c r="C1843" s="245"/>
      <c r="D1843" s="245"/>
      <c r="E1843" s="245"/>
      <c r="F1843" s="187"/>
      <c r="G1843" s="245"/>
      <c r="H1843" s="245"/>
      <c r="I1843" s="245"/>
      <c r="O1843" s="360"/>
      <c r="Q1843" s="351"/>
      <c r="R1843" s="363"/>
      <c r="S1843" s="321"/>
      <c r="T1843" s="85" ph="1"/>
      <c r="V1843" s="216"/>
      <c r="W1843" s="245"/>
      <c r="X1843" s="187"/>
      <c r="Y1843" s="245"/>
      <c r="Z1843" s="245"/>
      <c r="AA1843" s="329"/>
      <c r="AC1843" s="245"/>
      <c r="AD1843" s="245"/>
      <c r="AE1843" s="245"/>
      <c r="AF1843" s="245"/>
    </row>
    <row r="1844" spans="1:32" ht="26.25">
      <c r="A1844" s="246"/>
      <c r="B1844" s="245"/>
      <c r="C1844" s="245"/>
      <c r="D1844" s="245"/>
      <c r="E1844" s="245"/>
      <c r="F1844" s="187"/>
      <c r="G1844" s="245"/>
      <c r="H1844" s="245"/>
      <c r="I1844" s="245"/>
      <c r="O1844" s="360"/>
      <c r="Q1844" s="351"/>
      <c r="R1844" s="363"/>
      <c r="S1844" s="321"/>
      <c r="T1844" s="85" ph="1"/>
      <c r="V1844" s="216"/>
      <c r="W1844" s="245"/>
      <c r="X1844" s="187"/>
      <c r="Y1844" s="245"/>
      <c r="Z1844" s="245"/>
      <c r="AA1844" s="329"/>
      <c r="AC1844" s="245"/>
      <c r="AD1844" s="245"/>
      <c r="AE1844" s="245"/>
      <c r="AF1844" s="245"/>
    </row>
    <row r="1845" spans="1:32" ht="26.25">
      <c r="A1845" s="246"/>
      <c r="B1845" s="245"/>
      <c r="C1845" s="245"/>
      <c r="D1845" s="245"/>
      <c r="E1845" s="245"/>
      <c r="F1845" s="187"/>
      <c r="G1845" s="245"/>
      <c r="H1845" s="245"/>
      <c r="I1845" s="245"/>
      <c r="O1845" s="360"/>
      <c r="Q1845" s="351"/>
      <c r="R1845" s="363"/>
      <c r="S1845" s="321"/>
      <c r="T1845" s="85" ph="1"/>
      <c r="V1845" s="216"/>
      <c r="W1845" s="245"/>
      <c r="X1845" s="187"/>
      <c r="Y1845" s="245"/>
      <c r="Z1845" s="245"/>
      <c r="AA1845" s="329"/>
      <c r="AC1845" s="245"/>
      <c r="AD1845" s="245"/>
      <c r="AE1845" s="245"/>
      <c r="AF1845" s="245"/>
    </row>
    <row r="1846" spans="1:32" ht="26.25">
      <c r="A1846" s="246"/>
      <c r="B1846" s="245"/>
      <c r="C1846" s="245"/>
      <c r="D1846" s="245"/>
      <c r="E1846" s="245"/>
      <c r="F1846" s="187"/>
      <c r="G1846" s="245"/>
      <c r="H1846" s="245"/>
      <c r="I1846" s="245"/>
      <c r="O1846" s="360"/>
      <c r="Q1846" s="351"/>
      <c r="R1846" s="363"/>
      <c r="S1846" s="321"/>
      <c r="T1846" s="85" ph="1"/>
      <c r="V1846" s="216"/>
      <c r="W1846" s="245"/>
      <c r="X1846" s="187"/>
      <c r="Y1846" s="245"/>
      <c r="Z1846" s="245"/>
      <c r="AA1846" s="329"/>
      <c r="AC1846" s="245"/>
      <c r="AD1846" s="245"/>
      <c r="AE1846" s="245"/>
      <c r="AF1846" s="245"/>
    </row>
    <row r="1847" spans="1:32" ht="26.25">
      <c r="A1847" s="246"/>
      <c r="B1847" s="245"/>
      <c r="C1847" s="245"/>
      <c r="D1847" s="245"/>
      <c r="E1847" s="245"/>
      <c r="F1847" s="187"/>
      <c r="G1847" s="245"/>
      <c r="H1847" s="245"/>
      <c r="I1847" s="245"/>
      <c r="O1847" s="360"/>
      <c r="Q1847" s="351"/>
      <c r="R1847" s="363"/>
      <c r="S1847" s="321"/>
      <c r="T1847" s="85" ph="1"/>
      <c r="V1847" s="216"/>
      <c r="W1847" s="245"/>
      <c r="X1847" s="187"/>
      <c r="Y1847" s="245"/>
      <c r="Z1847" s="245"/>
      <c r="AA1847" s="329"/>
      <c r="AC1847" s="245"/>
      <c r="AD1847" s="245"/>
      <c r="AE1847" s="245"/>
      <c r="AF1847" s="245"/>
    </row>
    <row r="1848" spans="1:32" ht="26.25">
      <c r="A1848" s="246"/>
      <c r="B1848" s="245"/>
      <c r="C1848" s="245"/>
      <c r="D1848" s="245"/>
      <c r="E1848" s="245"/>
      <c r="F1848" s="187"/>
      <c r="G1848" s="245"/>
      <c r="H1848" s="245"/>
      <c r="I1848" s="245"/>
      <c r="O1848" s="360"/>
      <c r="Q1848" s="351"/>
      <c r="R1848" s="363"/>
      <c r="S1848" s="321"/>
      <c r="T1848" s="85" ph="1"/>
      <c r="V1848" s="216"/>
      <c r="W1848" s="245"/>
      <c r="X1848" s="187"/>
      <c r="Y1848" s="245"/>
      <c r="Z1848" s="245"/>
      <c r="AA1848" s="329"/>
      <c r="AC1848" s="245"/>
      <c r="AD1848" s="245"/>
      <c r="AE1848" s="245"/>
      <c r="AF1848" s="245"/>
    </row>
    <row r="1849" spans="1:32" ht="26.25">
      <c r="A1849" s="246"/>
      <c r="B1849" s="245"/>
      <c r="C1849" s="245"/>
      <c r="D1849" s="245"/>
      <c r="E1849" s="245"/>
      <c r="F1849" s="187"/>
      <c r="G1849" s="245"/>
      <c r="H1849" s="245"/>
      <c r="I1849" s="245"/>
      <c r="O1849" s="360"/>
      <c r="Q1849" s="351"/>
      <c r="R1849" s="363"/>
      <c r="S1849" s="321"/>
      <c r="T1849" s="85" ph="1"/>
      <c r="V1849" s="216"/>
      <c r="W1849" s="245"/>
      <c r="X1849" s="187"/>
      <c r="Y1849" s="245"/>
      <c r="Z1849" s="245"/>
      <c r="AA1849" s="329"/>
      <c r="AC1849" s="245"/>
      <c r="AD1849" s="245"/>
      <c r="AE1849" s="245"/>
      <c r="AF1849" s="245"/>
    </row>
    <row r="1850" spans="1:32" ht="26.25">
      <c r="A1850" s="246"/>
      <c r="B1850" s="245"/>
      <c r="C1850" s="245"/>
      <c r="D1850" s="245"/>
      <c r="E1850" s="245"/>
      <c r="F1850" s="187"/>
      <c r="G1850" s="245"/>
      <c r="H1850" s="245"/>
      <c r="I1850" s="245"/>
      <c r="O1850" s="360"/>
      <c r="Q1850" s="351"/>
      <c r="R1850" s="363"/>
      <c r="S1850" s="321"/>
      <c r="T1850" s="85" ph="1"/>
      <c r="V1850" s="216"/>
      <c r="W1850" s="245"/>
      <c r="X1850" s="187"/>
      <c r="Y1850" s="245"/>
      <c r="Z1850" s="245"/>
      <c r="AA1850" s="329"/>
      <c r="AC1850" s="245"/>
      <c r="AD1850" s="245"/>
      <c r="AE1850" s="245"/>
      <c r="AF1850" s="245"/>
    </row>
    <row r="1851" spans="1:32" ht="26.25">
      <c r="A1851" s="246"/>
      <c r="B1851" s="245"/>
      <c r="C1851" s="245"/>
      <c r="D1851" s="245"/>
      <c r="E1851" s="245"/>
      <c r="F1851" s="187"/>
      <c r="G1851" s="245"/>
      <c r="H1851" s="245"/>
      <c r="I1851" s="245"/>
      <c r="O1851" s="360"/>
      <c r="Q1851" s="351"/>
      <c r="R1851" s="363"/>
      <c r="S1851" s="321"/>
      <c r="T1851" s="85" ph="1"/>
      <c r="V1851" s="216"/>
      <c r="W1851" s="245"/>
      <c r="X1851" s="187"/>
      <c r="Y1851" s="245"/>
      <c r="Z1851" s="245"/>
      <c r="AA1851" s="329"/>
      <c r="AC1851" s="245"/>
      <c r="AD1851" s="245"/>
      <c r="AE1851" s="245"/>
      <c r="AF1851" s="245"/>
    </row>
    <row r="1852" spans="1:32" ht="26.25">
      <c r="A1852" s="246"/>
      <c r="B1852" s="245"/>
      <c r="C1852" s="245"/>
      <c r="D1852" s="245"/>
      <c r="E1852" s="245"/>
      <c r="F1852" s="187"/>
      <c r="G1852" s="245"/>
      <c r="H1852" s="245"/>
      <c r="I1852" s="245"/>
      <c r="O1852" s="360"/>
      <c r="Q1852" s="351"/>
      <c r="R1852" s="363"/>
      <c r="S1852" s="321"/>
      <c r="T1852" s="85" ph="1"/>
      <c r="V1852" s="216"/>
      <c r="W1852" s="245"/>
      <c r="X1852" s="187"/>
      <c r="Y1852" s="245"/>
      <c r="Z1852" s="245"/>
      <c r="AA1852" s="329"/>
      <c r="AC1852" s="245"/>
      <c r="AD1852" s="245"/>
      <c r="AE1852" s="245"/>
      <c r="AF1852" s="245"/>
    </row>
    <row r="1853" spans="1:32" ht="26.25">
      <c r="A1853" s="246"/>
      <c r="B1853" s="245"/>
      <c r="C1853" s="245"/>
      <c r="D1853" s="245"/>
      <c r="E1853" s="245"/>
      <c r="F1853" s="187"/>
      <c r="G1853" s="245"/>
      <c r="H1853" s="245"/>
      <c r="I1853" s="245"/>
      <c r="O1853" s="360"/>
      <c r="Q1853" s="351"/>
      <c r="R1853" s="363"/>
      <c r="S1853" s="321"/>
      <c r="T1853" s="85" ph="1"/>
      <c r="V1853" s="216"/>
      <c r="W1853" s="245"/>
      <c r="X1853" s="187"/>
      <c r="Y1853" s="245"/>
      <c r="Z1853" s="245"/>
      <c r="AA1853" s="329"/>
      <c r="AC1853" s="245"/>
      <c r="AD1853" s="245"/>
      <c r="AE1853" s="245"/>
      <c r="AF1853" s="245"/>
    </row>
    <row r="1854" spans="1:32" ht="26.25">
      <c r="A1854" s="246"/>
      <c r="B1854" s="245"/>
      <c r="C1854" s="245"/>
      <c r="D1854" s="245"/>
      <c r="E1854" s="245"/>
      <c r="F1854" s="187"/>
      <c r="G1854" s="245"/>
      <c r="H1854" s="245"/>
      <c r="I1854" s="245"/>
      <c r="O1854" s="360"/>
      <c r="Q1854" s="351"/>
      <c r="R1854" s="363"/>
      <c r="S1854" s="321"/>
      <c r="T1854" s="85" ph="1"/>
      <c r="V1854" s="216"/>
      <c r="W1854" s="245"/>
      <c r="X1854" s="187"/>
      <c r="Y1854" s="245"/>
      <c r="Z1854" s="245"/>
      <c r="AA1854" s="329"/>
      <c r="AC1854" s="245"/>
      <c r="AD1854" s="245"/>
      <c r="AE1854" s="245"/>
      <c r="AF1854" s="245"/>
    </row>
    <row r="1855" spans="1:32" ht="26.25">
      <c r="A1855" s="246"/>
      <c r="B1855" s="245"/>
      <c r="C1855" s="245"/>
      <c r="D1855" s="245"/>
      <c r="E1855" s="245"/>
      <c r="F1855" s="187"/>
      <c r="G1855" s="245"/>
      <c r="H1855" s="245"/>
      <c r="I1855" s="245"/>
      <c r="O1855" s="360"/>
      <c r="Q1855" s="351"/>
      <c r="R1855" s="363"/>
      <c r="S1855" s="321"/>
      <c r="T1855" s="85" ph="1"/>
      <c r="V1855" s="216"/>
      <c r="W1855" s="245"/>
      <c r="X1855" s="187"/>
      <c r="Y1855" s="245"/>
      <c r="Z1855" s="245"/>
      <c r="AA1855" s="329"/>
      <c r="AC1855" s="245"/>
      <c r="AD1855" s="245"/>
      <c r="AE1855" s="245"/>
      <c r="AF1855" s="245"/>
    </row>
    <row r="1856" spans="1:32" ht="26.25">
      <c r="A1856" s="246"/>
      <c r="B1856" s="245"/>
      <c r="C1856" s="245"/>
      <c r="D1856" s="245"/>
      <c r="E1856" s="245"/>
      <c r="F1856" s="187"/>
      <c r="G1856" s="245"/>
      <c r="H1856" s="245"/>
      <c r="I1856" s="245"/>
      <c r="O1856" s="360"/>
      <c r="Q1856" s="351"/>
      <c r="R1856" s="363"/>
      <c r="S1856" s="321"/>
      <c r="T1856" s="85" ph="1"/>
      <c r="V1856" s="216"/>
      <c r="W1856" s="245"/>
      <c r="X1856" s="187"/>
      <c r="Y1856" s="245"/>
      <c r="Z1856" s="245"/>
      <c r="AA1856" s="329"/>
      <c r="AC1856" s="245"/>
      <c r="AD1856" s="245"/>
      <c r="AE1856" s="245"/>
      <c r="AF1856" s="245"/>
    </row>
    <row r="1857" spans="1:32" ht="26.25">
      <c r="A1857" s="246"/>
      <c r="B1857" s="245"/>
      <c r="C1857" s="245"/>
      <c r="D1857" s="245"/>
      <c r="E1857" s="245"/>
      <c r="F1857" s="187"/>
      <c r="G1857" s="245"/>
      <c r="H1857" s="245"/>
      <c r="I1857" s="245"/>
      <c r="O1857" s="360"/>
      <c r="Q1857" s="351"/>
      <c r="R1857" s="363"/>
      <c r="S1857" s="321"/>
      <c r="T1857" s="85" ph="1"/>
      <c r="V1857" s="216"/>
      <c r="W1857" s="245"/>
      <c r="X1857" s="187"/>
      <c r="Y1857" s="245"/>
      <c r="Z1857" s="245"/>
      <c r="AA1857" s="329"/>
      <c r="AC1857" s="245"/>
      <c r="AD1857" s="245"/>
      <c r="AE1857" s="245"/>
      <c r="AF1857" s="245"/>
    </row>
    <row r="1858" spans="1:32" ht="26.25">
      <c r="A1858" s="246"/>
      <c r="B1858" s="245"/>
      <c r="C1858" s="245"/>
      <c r="D1858" s="245"/>
      <c r="E1858" s="245"/>
      <c r="F1858" s="187"/>
      <c r="G1858" s="245"/>
      <c r="H1858" s="245"/>
      <c r="I1858" s="245"/>
      <c r="O1858" s="360"/>
      <c r="Q1858" s="351"/>
      <c r="R1858" s="363"/>
      <c r="S1858" s="321"/>
      <c r="T1858" s="85" ph="1"/>
      <c r="V1858" s="216"/>
      <c r="W1858" s="245"/>
      <c r="X1858" s="187"/>
      <c r="Y1858" s="245"/>
      <c r="Z1858" s="245"/>
      <c r="AA1858" s="329"/>
      <c r="AC1858" s="245"/>
      <c r="AD1858" s="245"/>
      <c r="AE1858" s="245"/>
      <c r="AF1858" s="245"/>
    </row>
    <row r="1859" spans="1:32" ht="26.25">
      <c r="A1859" s="246"/>
      <c r="B1859" s="245"/>
      <c r="C1859" s="245"/>
      <c r="D1859" s="245"/>
      <c r="E1859" s="245"/>
      <c r="F1859" s="187"/>
      <c r="G1859" s="245"/>
      <c r="H1859" s="245"/>
      <c r="I1859" s="245"/>
      <c r="O1859" s="360"/>
      <c r="Q1859" s="351"/>
      <c r="R1859" s="363"/>
      <c r="S1859" s="321"/>
      <c r="T1859" s="85" ph="1"/>
      <c r="V1859" s="216"/>
      <c r="W1859" s="245"/>
      <c r="X1859" s="187"/>
      <c r="Y1859" s="245"/>
      <c r="Z1859" s="245"/>
      <c r="AA1859" s="329"/>
      <c r="AC1859" s="245"/>
      <c r="AD1859" s="245"/>
      <c r="AE1859" s="245"/>
      <c r="AF1859" s="245"/>
    </row>
    <row r="1860" spans="1:32" ht="26.25">
      <c r="A1860" s="246"/>
      <c r="B1860" s="245"/>
      <c r="C1860" s="245"/>
      <c r="D1860" s="245"/>
      <c r="E1860" s="245"/>
      <c r="F1860" s="187"/>
      <c r="G1860" s="245"/>
      <c r="H1860" s="245"/>
      <c r="I1860" s="245"/>
      <c r="O1860" s="360"/>
      <c r="Q1860" s="351"/>
      <c r="R1860" s="363"/>
      <c r="S1860" s="321"/>
      <c r="T1860" s="85" ph="1"/>
      <c r="V1860" s="216"/>
      <c r="W1860" s="245"/>
      <c r="X1860" s="187"/>
      <c r="Y1860" s="245"/>
      <c r="Z1860" s="245"/>
      <c r="AA1860" s="329"/>
      <c r="AC1860" s="245"/>
      <c r="AD1860" s="245"/>
      <c r="AE1860" s="245"/>
      <c r="AF1860" s="245"/>
    </row>
    <row r="1861" spans="1:32" ht="26.25">
      <c r="A1861" s="246"/>
      <c r="B1861" s="245"/>
      <c r="C1861" s="245"/>
      <c r="D1861" s="245"/>
      <c r="E1861" s="245"/>
      <c r="F1861" s="187"/>
      <c r="G1861" s="245"/>
      <c r="H1861" s="245"/>
      <c r="I1861" s="245"/>
      <c r="O1861" s="360"/>
      <c r="Q1861" s="351"/>
      <c r="R1861" s="363"/>
      <c r="S1861" s="321"/>
      <c r="T1861" s="85" ph="1"/>
      <c r="V1861" s="216"/>
      <c r="W1861" s="245"/>
      <c r="X1861" s="187"/>
      <c r="Y1861" s="245"/>
      <c r="Z1861" s="245"/>
      <c r="AA1861" s="329"/>
      <c r="AC1861" s="245"/>
      <c r="AD1861" s="245"/>
      <c r="AE1861" s="245"/>
      <c r="AF1861" s="245"/>
    </row>
    <row r="1862" spans="1:32" ht="26.25">
      <c r="A1862" s="246"/>
      <c r="B1862" s="245"/>
      <c r="C1862" s="245"/>
      <c r="D1862" s="245"/>
      <c r="E1862" s="245"/>
      <c r="F1862" s="187"/>
      <c r="G1862" s="245"/>
      <c r="H1862" s="245"/>
      <c r="I1862" s="245"/>
      <c r="O1862" s="360"/>
      <c r="Q1862" s="351"/>
      <c r="R1862" s="363"/>
      <c r="S1862" s="321"/>
      <c r="T1862" s="85" ph="1"/>
      <c r="V1862" s="216"/>
      <c r="W1862" s="245"/>
      <c r="X1862" s="187"/>
      <c r="Y1862" s="245"/>
      <c r="Z1862" s="245"/>
      <c r="AA1862" s="329"/>
      <c r="AC1862" s="245"/>
      <c r="AD1862" s="245"/>
      <c r="AE1862" s="245"/>
      <c r="AF1862" s="245"/>
    </row>
    <row r="1863" spans="1:32" ht="26.25">
      <c r="A1863" s="246"/>
      <c r="B1863" s="245"/>
      <c r="C1863" s="245"/>
      <c r="D1863" s="245"/>
      <c r="E1863" s="245"/>
      <c r="F1863" s="187"/>
      <c r="G1863" s="245"/>
      <c r="H1863" s="245"/>
      <c r="I1863" s="245"/>
      <c r="O1863" s="360"/>
      <c r="Q1863" s="351"/>
      <c r="R1863" s="363"/>
      <c r="S1863" s="321"/>
      <c r="T1863" s="85" ph="1"/>
      <c r="V1863" s="216"/>
      <c r="W1863" s="245"/>
      <c r="X1863" s="187"/>
      <c r="Y1863" s="245"/>
      <c r="Z1863" s="245"/>
      <c r="AA1863" s="329"/>
      <c r="AC1863" s="245"/>
      <c r="AD1863" s="245"/>
      <c r="AE1863" s="245"/>
      <c r="AF1863" s="245"/>
    </row>
    <row r="1864" spans="1:32" ht="26.25">
      <c r="A1864" s="246"/>
      <c r="B1864" s="245"/>
      <c r="C1864" s="245"/>
      <c r="D1864" s="245"/>
      <c r="E1864" s="245"/>
      <c r="F1864" s="187"/>
      <c r="G1864" s="245"/>
      <c r="H1864" s="245"/>
      <c r="I1864" s="245"/>
      <c r="O1864" s="360"/>
      <c r="Q1864" s="351"/>
      <c r="R1864" s="363"/>
      <c r="S1864" s="321"/>
      <c r="T1864" s="85" ph="1"/>
      <c r="V1864" s="216"/>
      <c r="W1864" s="245"/>
      <c r="X1864" s="187"/>
      <c r="Y1864" s="245"/>
      <c r="Z1864" s="245"/>
      <c r="AA1864" s="329"/>
      <c r="AC1864" s="245"/>
      <c r="AD1864" s="245"/>
      <c r="AE1864" s="245"/>
      <c r="AF1864" s="245"/>
    </row>
    <row r="1865" spans="1:32" ht="26.25">
      <c r="A1865" s="246"/>
      <c r="B1865" s="245"/>
      <c r="C1865" s="245"/>
      <c r="D1865" s="245"/>
      <c r="E1865" s="245"/>
      <c r="F1865" s="187"/>
      <c r="G1865" s="245"/>
      <c r="H1865" s="245"/>
      <c r="I1865" s="245"/>
      <c r="O1865" s="360"/>
      <c r="Q1865" s="351"/>
      <c r="R1865" s="363"/>
      <c r="S1865" s="321"/>
      <c r="T1865" s="85" ph="1"/>
      <c r="V1865" s="216"/>
      <c r="W1865" s="245"/>
      <c r="X1865" s="187"/>
      <c r="Y1865" s="245"/>
      <c r="Z1865" s="245"/>
      <c r="AA1865" s="329"/>
      <c r="AC1865" s="245"/>
      <c r="AD1865" s="245"/>
      <c r="AE1865" s="245"/>
      <c r="AF1865" s="245"/>
    </row>
    <row r="1866" spans="1:32" ht="26.25">
      <c r="A1866" s="246"/>
      <c r="B1866" s="245"/>
      <c r="C1866" s="245"/>
      <c r="D1866" s="245"/>
      <c r="E1866" s="245"/>
      <c r="F1866" s="187"/>
      <c r="G1866" s="245"/>
      <c r="H1866" s="245"/>
      <c r="I1866" s="245"/>
      <c r="O1866" s="360"/>
      <c r="Q1866" s="351"/>
      <c r="R1866" s="363"/>
      <c r="S1866" s="321"/>
      <c r="T1866" s="85" ph="1"/>
      <c r="V1866" s="216"/>
      <c r="W1866" s="245"/>
      <c r="X1866" s="187"/>
      <c r="Y1866" s="245"/>
      <c r="Z1866" s="245"/>
      <c r="AA1866" s="329"/>
      <c r="AC1866" s="245"/>
      <c r="AD1866" s="245"/>
      <c r="AE1866" s="245"/>
      <c r="AF1866" s="245"/>
    </row>
    <row r="1867" spans="1:32" ht="26.25">
      <c r="A1867" s="246"/>
      <c r="B1867" s="245"/>
      <c r="C1867" s="245"/>
      <c r="D1867" s="245"/>
      <c r="E1867" s="245"/>
      <c r="F1867" s="187"/>
      <c r="G1867" s="245"/>
      <c r="H1867" s="245"/>
      <c r="I1867" s="245"/>
      <c r="O1867" s="360"/>
      <c r="Q1867" s="351"/>
      <c r="R1867" s="363"/>
      <c r="S1867" s="321"/>
      <c r="T1867" s="85" ph="1"/>
      <c r="V1867" s="216"/>
      <c r="W1867" s="245"/>
      <c r="X1867" s="187"/>
      <c r="Y1867" s="245"/>
      <c r="Z1867" s="245"/>
      <c r="AA1867" s="329"/>
      <c r="AC1867" s="245"/>
      <c r="AD1867" s="245"/>
      <c r="AE1867" s="245"/>
      <c r="AF1867" s="245"/>
    </row>
    <row r="1868" spans="1:32" ht="26.25">
      <c r="A1868" s="246"/>
      <c r="B1868" s="245"/>
      <c r="C1868" s="245"/>
      <c r="D1868" s="245"/>
      <c r="E1868" s="245"/>
      <c r="F1868" s="187"/>
      <c r="G1868" s="245"/>
      <c r="H1868" s="245"/>
      <c r="I1868" s="245"/>
      <c r="O1868" s="360"/>
      <c r="Q1868" s="351"/>
      <c r="R1868" s="363"/>
      <c r="S1868" s="321"/>
      <c r="T1868" s="85" ph="1"/>
      <c r="V1868" s="216"/>
      <c r="W1868" s="245"/>
      <c r="X1868" s="187"/>
      <c r="Y1868" s="245"/>
      <c r="Z1868" s="245"/>
      <c r="AA1868" s="329"/>
      <c r="AC1868" s="245"/>
      <c r="AD1868" s="245"/>
      <c r="AE1868" s="245"/>
      <c r="AF1868" s="245"/>
    </row>
    <row r="1869" spans="1:32" ht="26.25">
      <c r="A1869" s="246"/>
      <c r="B1869" s="245"/>
      <c r="C1869" s="245"/>
      <c r="D1869" s="245"/>
      <c r="E1869" s="245"/>
      <c r="F1869" s="187"/>
      <c r="G1869" s="245"/>
      <c r="H1869" s="245"/>
      <c r="I1869" s="245"/>
      <c r="O1869" s="360"/>
      <c r="Q1869" s="351"/>
      <c r="R1869" s="363"/>
      <c r="S1869" s="321"/>
      <c r="T1869" s="85" ph="1"/>
      <c r="V1869" s="216"/>
      <c r="W1869" s="245"/>
      <c r="X1869" s="187"/>
      <c r="Y1869" s="245"/>
      <c r="Z1869" s="245"/>
      <c r="AA1869" s="329"/>
      <c r="AC1869" s="245"/>
      <c r="AD1869" s="245"/>
      <c r="AE1869" s="245"/>
      <c r="AF1869" s="245"/>
    </row>
    <row r="1870" spans="1:32" ht="26.25">
      <c r="A1870" s="246"/>
      <c r="B1870" s="245"/>
      <c r="C1870" s="245"/>
      <c r="D1870" s="245"/>
      <c r="E1870" s="245"/>
      <c r="F1870" s="187"/>
      <c r="G1870" s="245"/>
      <c r="H1870" s="245"/>
      <c r="I1870" s="245"/>
      <c r="O1870" s="360"/>
      <c r="Q1870" s="351"/>
      <c r="R1870" s="363"/>
      <c r="S1870" s="321"/>
      <c r="T1870" s="85" ph="1"/>
      <c r="V1870" s="216"/>
      <c r="W1870" s="245"/>
      <c r="X1870" s="187"/>
      <c r="Y1870" s="245"/>
      <c r="Z1870" s="245"/>
      <c r="AA1870" s="329"/>
      <c r="AC1870" s="245"/>
      <c r="AD1870" s="245"/>
      <c r="AE1870" s="245"/>
      <c r="AF1870" s="245"/>
    </row>
    <row r="1871" spans="1:32" ht="26.25">
      <c r="A1871" s="246"/>
      <c r="B1871" s="245"/>
      <c r="C1871" s="245"/>
      <c r="D1871" s="245"/>
      <c r="E1871" s="245"/>
      <c r="F1871" s="187"/>
      <c r="G1871" s="245"/>
      <c r="H1871" s="245"/>
      <c r="I1871" s="245"/>
      <c r="O1871" s="360"/>
      <c r="Q1871" s="351"/>
      <c r="R1871" s="363"/>
      <c r="S1871" s="321"/>
      <c r="T1871" s="85" ph="1"/>
      <c r="V1871" s="216"/>
      <c r="W1871" s="245"/>
      <c r="X1871" s="187"/>
      <c r="Y1871" s="245"/>
      <c r="Z1871" s="245"/>
      <c r="AA1871" s="329"/>
      <c r="AC1871" s="245"/>
      <c r="AD1871" s="245"/>
      <c r="AE1871" s="245"/>
      <c r="AF1871" s="245"/>
    </row>
    <row r="1872" spans="1:32" ht="26.25">
      <c r="A1872" s="246"/>
      <c r="B1872" s="245"/>
      <c r="C1872" s="245"/>
      <c r="D1872" s="245"/>
      <c r="E1872" s="245"/>
      <c r="F1872" s="187"/>
      <c r="G1872" s="245"/>
      <c r="H1872" s="245"/>
      <c r="I1872" s="245"/>
      <c r="O1872" s="360"/>
      <c r="Q1872" s="351"/>
      <c r="R1872" s="363"/>
      <c r="S1872" s="321"/>
      <c r="T1872" s="85" ph="1"/>
      <c r="V1872" s="216"/>
      <c r="W1872" s="245"/>
      <c r="X1872" s="187"/>
      <c r="Y1872" s="245"/>
      <c r="Z1872" s="245"/>
      <c r="AA1872" s="329"/>
      <c r="AC1872" s="245"/>
      <c r="AD1872" s="245"/>
      <c r="AE1872" s="245"/>
      <c r="AF1872" s="245"/>
    </row>
    <row r="1873" spans="1:32" ht="26.25">
      <c r="A1873" s="246"/>
      <c r="B1873" s="245"/>
      <c r="C1873" s="245"/>
      <c r="D1873" s="245"/>
      <c r="E1873" s="245"/>
      <c r="F1873" s="187"/>
      <c r="G1873" s="245"/>
      <c r="H1873" s="245"/>
      <c r="I1873" s="245"/>
      <c r="O1873" s="360"/>
      <c r="Q1873" s="351"/>
      <c r="R1873" s="363"/>
      <c r="S1873" s="321"/>
      <c r="T1873" s="85" ph="1"/>
      <c r="V1873" s="216"/>
      <c r="W1873" s="245"/>
      <c r="X1873" s="187"/>
      <c r="Y1873" s="245"/>
      <c r="Z1873" s="245"/>
      <c r="AA1873" s="329"/>
      <c r="AC1873" s="245"/>
      <c r="AD1873" s="245"/>
      <c r="AE1873" s="245"/>
      <c r="AF1873" s="245"/>
    </row>
    <row r="1874" spans="1:32" ht="26.25">
      <c r="A1874" s="246"/>
      <c r="B1874" s="245"/>
      <c r="C1874" s="245"/>
      <c r="D1874" s="245"/>
      <c r="E1874" s="245"/>
      <c r="F1874" s="187"/>
      <c r="G1874" s="245"/>
      <c r="H1874" s="245"/>
      <c r="I1874" s="245"/>
      <c r="O1874" s="360"/>
      <c r="Q1874" s="351"/>
      <c r="R1874" s="363"/>
      <c r="S1874" s="321"/>
      <c r="T1874" s="85" ph="1"/>
      <c r="V1874" s="216"/>
      <c r="W1874" s="245"/>
      <c r="X1874" s="187"/>
      <c r="Y1874" s="245"/>
      <c r="Z1874" s="245"/>
      <c r="AA1874" s="329"/>
      <c r="AC1874" s="245"/>
      <c r="AD1874" s="245"/>
      <c r="AE1874" s="245"/>
      <c r="AF1874" s="245"/>
    </row>
    <row r="1875" spans="1:32" ht="26.25">
      <c r="A1875" s="246"/>
      <c r="B1875" s="245"/>
      <c r="C1875" s="245"/>
      <c r="D1875" s="245"/>
      <c r="E1875" s="245"/>
      <c r="F1875" s="187"/>
      <c r="G1875" s="245"/>
      <c r="H1875" s="245"/>
      <c r="I1875" s="245"/>
      <c r="O1875" s="360"/>
      <c r="Q1875" s="351"/>
      <c r="R1875" s="363"/>
      <c r="S1875" s="321"/>
      <c r="T1875" s="85" ph="1"/>
      <c r="V1875" s="216"/>
      <c r="W1875" s="245"/>
      <c r="X1875" s="187"/>
      <c r="Y1875" s="245"/>
      <c r="Z1875" s="245"/>
      <c r="AA1875" s="329"/>
      <c r="AC1875" s="245"/>
      <c r="AD1875" s="245"/>
      <c r="AE1875" s="245"/>
      <c r="AF1875" s="245"/>
    </row>
    <row r="1876" spans="1:32" ht="26.25">
      <c r="A1876" s="246"/>
      <c r="B1876" s="245"/>
      <c r="C1876" s="245"/>
      <c r="D1876" s="245"/>
      <c r="E1876" s="245"/>
      <c r="F1876" s="187"/>
      <c r="G1876" s="245"/>
      <c r="H1876" s="245"/>
      <c r="I1876" s="245"/>
      <c r="O1876" s="360"/>
      <c r="Q1876" s="351"/>
      <c r="R1876" s="363"/>
      <c r="S1876" s="321"/>
      <c r="T1876" s="85" ph="1"/>
      <c r="V1876" s="216"/>
      <c r="W1876" s="245"/>
      <c r="X1876" s="187"/>
      <c r="Y1876" s="245"/>
      <c r="Z1876" s="245"/>
      <c r="AA1876" s="329"/>
      <c r="AC1876" s="245"/>
      <c r="AD1876" s="245"/>
      <c r="AE1876" s="245"/>
      <c r="AF1876" s="245"/>
    </row>
    <row r="1877" spans="1:32" ht="26.25">
      <c r="A1877" s="246"/>
      <c r="B1877" s="245"/>
      <c r="C1877" s="245"/>
      <c r="D1877" s="245"/>
      <c r="E1877" s="245"/>
      <c r="F1877" s="187"/>
      <c r="G1877" s="245"/>
      <c r="H1877" s="245"/>
      <c r="I1877" s="245"/>
      <c r="O1877" s="360"/>
      <c r="Q1877" s="351"/>
      <c r="R1877" s="363"/>
      <c r="S1877" s="321"/>
      <c r="T1877" s="85" ph="1"/>
      <c r="V1877" s="216"/>
      <c r="W1877" s="245"/>
      <c r="X1877" s="187"/>
      <c r="Y1877" s="245"/>
      <c r="Z1877" s="245"/>
      <c r="AA1877" s="329"/>
      <c r="AC1877" s="245"/>
      <c r="AD1877" s="245"/>
      <c r="AE1877" s="245"/>
      <c r="AF1877" s="245"/>
    </row>
    <row r="1878" spans="1:32" ht="26.25">
      <c r="A1878" s="246"/>
      <c r="B1878" s="245"/>
      <c r="C1878" s="245"/>
      <c r="D1878" s="245"/>
      <c r="E1878" s="245"/>
      <c r="F1878" s="187"/>
      <c r="G1878" s="245"/>
      <c r="H1878" s="245"/>
      <c r="I1878" s="245"/>
      <c r="O1878" s="360"/>
      <c r="Q1878" s="351"/>
      <c r="R1878" s="363"/>
      <c r="S1878" s="321"/>
      <c r="T1878" s="85" ph="1"/>
      <c r="V1878" s="216"/>
      <c r="W1878" s="245"/>
      <c r="X1878" s="187"/>
      <c r="Y1878" s="245"/>
      <c r="Z1878" s="245"/>
      <c r="AA1878" s="329"/>
      <c r="AC1878" s="245"/>
      <c r="AD1878" s="245"/>
      <c r="AE1878" s="245"/>
      <c r="AF1878" s="245"/>
    </row>
    <row r="1879" spans="1:32" ht="26.25">
      <c r="A1879" s="246"/>
      <c r="B1879" s="245"/>
      <c r="C1879" s="245"/>
      <c r="D1879" s="245"/>
      <c r="E1879" s="245"/>
      <c r="F1879" s="187"/>
      <c r="G1879" s="245"/>
      <c r="H1879" s="245"/>
      <c r="I1879" s="245"/>
      <c r="O1879" s="360"/>
      <c r="Q1879" s="351"/>
      <c r="R1879" s="363"/>
      <c r="S1879" s="321"/>
      <c r="T1879" s="85" ph="1"/>
      <c r="V1879" s="216"/>
      <c r="W1879" s="245"/>
      <c r="X1879" s="187"/>
      <c r="Y1879" s="245"/>
      <c r="Z1879" s="245"/>
      <c r="AA1879" s="329"/>
      <c r="AC1879" s="245"/>
      <c r="AD1879" s="245"/>
      <c r="AE1879" s="245"/>
      <c r="AF1879" s="245"/>
    </row>
    <row r="1880" spans="1:32" ht="26.25">
      <c r="A1880" s="246"/>
      <c r="B1880" s="245"/>
      <c r="C1880" s="245"/>
      <c r="D1880" s="245"/>
      <c r="E1880" s="245"/>
      <c r="F1880" s="187"/>
      <c r="G1880" s="245"/>
      <c r="H1880" s="245"/>
      <c r="I1880" s="245"/>
      <c r="O1880" s="360"/>
      <c r="Q1880" s="351"/>
      <c r="R1880" s="363"/>
      <c r="S1880" s="321"/>
      <c r="T1880" s="85" ph="1"/>
      <c r="V1880" s="216"/>
      <c r="W1880" s="245"/>
      <c r="X1880" s="187"/>
      <c r="Y1880" s="245"/>
      <c r="Z1880" s="245"/>
      <c r="AA1880" s="329"/>
      <c r="AC1880" s="245"/>
      <c r="AD1880" s="245"/>
      <c r="AE1880" s="245"/>
      <c r="AF1880" s="245"/>
    </row>
    <row r="1881" spans="1:32" ht="26.25">
      <c r="A1881" s="246"/>
      <c r="B1881" s="245"/>
      <c r="C1881" s="245"/>
      <c r="D1881" s="245"/>
      <c r="E1881" s="245"/>
      <c r="F1881" s="187"/>
      <c r="G1881" s="245"/>
      <c r="H1881" s="245"/>
      <c r="I1881" s="245"/>
      <c r="O1881" s="360"/>
      <c r="Q1881" s="351"/>
      <c r="R1881" s="363"/>
      <c r="S1881" s="321"/>
      <c r="T1881" s="85" ph="1"/>
      <c r="V1881" s="216"/>
      <c r="W1881" s="245"/>
      <c r="X1881" s="187"/>
      <c r="Y1881" s="245"/>
      <c r="Z1881" s="245"/>
      <c r="AA1881" s="329"/>
      <c r="AC1881" s="245"/>
      <c r="AD1881" s="245"/>
      <c r="AE1881" s="245"/>
      <c r="AF1881" s="245"/>
    </row>
    <row r="1882" spans="1:32" ht="26.25">
      <c r="A1882" s="246"/>
      <c r="B1882" s="245"/>
      <c r="C1882" s="245"/>
      <c r="D1882" s="245"/>
      <c r="E1882" s="245"/>
      <c r="F1882" s="187"/>
      <c r="G1882" s="245"/>
      <c r="H1882" s="245"/>
      <c r="I1882" s="245"/>
      <c r="O1882" s="360"/>
      <c r="Q1882" s="351"/>
      <c r="R1882" s="363"/>
      <c r="S1882" s="321"/>
      <c r="T1882" s="85" ph="1"/>
      <c r="V1882" s="216"/>
      <c r="W1882" s="245"/>
      <c r="X1882" s="187"/>
      <c r="Y1882" s="245"/>
      <c r="Z1882" s="245"/>
      <c r="AA1882" s="329"/>
      <c r="AC1882" s="245"/>
      <c r="AD1882" s="245"/>
      <c r="AE1882" s="245"/>
      <c r="AF1882" s="245"/>
    </row>
    <row r="1883" spans="1:32" ht="26.25">
      <c r="A1883" s="246"/>
      <c r="B1883" s="245"/>
      <c r="C1883" s="245"/>
      <c r="D1883" s="245"/>
      <c r="E1883" s="245"/>
      <c r="F1883" s="187"/>
      <c r="G1883" s="245"/>
      <c r="H1883" s="245"/>
      <c r="I1883" s="245"/>
      <c r="O1883" s="360"/>
      <c r="Q1883" s="351"/>
      <c r="R1883" s="363"/>
      <c r="S1883" s="321"/>
      <c r="T1883" s="85" ph="1"/>
      <c r="V1883" s="216"/>
      <c r="W1883" s="245"/>
      <c r="X1883" s="187"/>
      <c r="Y1883" s="245"/>
      <c r="Z1883" s="245"/>
      <c r="AA1883" s="329"/>
      <c r="AC1883" s="245"/>
      <c r="AD1883" s="245"/>
      <c r="AE1883" s="245"/>
      <c r="AF1883" s="245"/>
    </row>
    <row r="1884" spans="1:32" ht="26.25">
      <c r="A1884" s="246"/>
      <c r="B1884" s="245"/>
      <c r="C1884" s="245"/>
      <c r="D1884" s="245"/>
      <c r="E1884" s="245"/>
      <c r="F1884" s="187"/>
      <c r="G1884" s="245"/>
      <c r="H1884" s="245"/>
      <c r="I1884" s="245"/>
      <c r="O1884" s="360"/>
      <c r="Q1884" s="351"/>
      <c r="R1884" s="363"/>
      <c r="S1884" s="321"/>
      <c r="T1884" s="85" ph="1"/>
      <c r="V1884" s="216"/>
      <c r="W1884" s="245"/>
      <c r="X1884" s="187"/>
      <c r="Y1884" s="245"/>
      <c r="Z1884" s="245"/>
      <c r="AA1884" s="329"/>
      <c r="AC1884" s="245"/>
      <c r="AD1884" s="245"/>
      <c r="AE1884" s="245"/>
      <c r="AF1884" s="245"/>
    </row>
    <row r="1885" spans="1:32" ht="26.25">
      <c r="A1885" s="246"/>
      <c r="B1885" s="245"/>
      <c r="C1885" s="245"/>
      <c r="D1885" s="245"/>
      <c r="E1885" s="245"/>
      <c r="F1885" s="187"/>
      <c r="G1885" s="245"/>
      <c r="H1885" s="245"/>
      <c r="I1885" s="245"/>
      <c r="O1885" s="360"/>
      <c r="Q1885" s="351"/>
      <c r="R1885" s="363"/>
      <c r="S1885" s="321"/>
      <c r="T1885" s="85" ph="1"/>
      <c r="V1885" s="216"/>
      <c r="W1885" s="245"/>
      <c r="X1885" s="187"/>
      <c r="Y1885" s="245"/>
      <c r="Z1885" s="245"/>
      <c r="AA1885" s="329"/>
      <c r="AC1885" s="245"/>
      <c r="AD1885" s="245"/>
      <c r="AE1885" s="245"/>
      <c r="AF1885" s="245"/>
    </row>
    <row r="1886" spans="1:32" ht="26.25">
      <c r="A1886" s="246"/>
      <c r="B1886" s="245"/>
      <c r="C1886" s="245"/>
      <c r="D1886" s="245"/>
      <c r="E1886" s="245"/>
      <c r="F1886" s="187"/>
      <c r="G1886" s="245"/>
      <c r="H1886" s="245"/>
      <c r="I1886" s="245"/>
      <c r="O1886" s="360"/>
      <c r="Q1886" s="351"/>
      <c r="R1886" s="363"/>
      <c r="S1886" s="321"/>
      <c r="T1886" s="85" ph="1"/>
      <c r="V1886" s="216"/>
      <c r="W1886" s="245"/>
      <c r="X1886" s="187"/>
      <c r="Y1886" s="245"/>
      <c r="Z1886" s="245"/>
      <c r="AA1886" s="329"/>
      <c r="AC1886" s="245"/>
      <c r="AD1886" s="245"/>
      <c r="AE1886" s="245"/>
      <c r="AF1886" s="245"/>
    </row>
    <row r="1887" spans="1:32" ht="26.25">
      <c r="A1887" s="246"/>
      <c r="B1887" s="245"/>
      <c r="C1887" s="245"/>
      <c r="D1887" s="245"/>
      <c r="E1887" s="245"/>
      <c r="F1887" s="187"/>
      <c r="G1887" s="245"/>
      <c r="H1887" s="245"/>
      <c r="I1887" s="245"/>
      <c r="O1887" s="360"/>
      <c r="Q1887" s="351"/>
      <c r="R1887" s="363"/>
      <c r="S1887" s="321"/>
      <c r="T1887" s="85" ph="1"/>
      <c r="V1887" s="216"/>
      <c r="W1887" s="245"/>
      <c r="X1887" s="187"/>
      <c r="Y1887" s="245"/>
      <c r="Z1887" s="245"/>
      <c r="AA1887" s="329"/>
      <c r="AC1887" s="245"/>
      <c r="AD1887" s="245"/>
      <c r="AE1887" s="245"/>
      <c r="AF1887" s="245"/>
    </row>
    <row r="1888" spans="1:32" ht="26.25">
      <c r="A1888" s="246"/>
      <c r="B1888" s="245"/>
      <c r="C1888" s="245"/>
      <c r="D1888" s="245"/>
      <c r="E1888" s="245"/>
      <c r="F1888" s="187"/>
      <c r="G1888" s="245"/>
      <c r="H1888" s="245"/>
      <c r="I1888" s="245"/>
      <c r="O1888" s="360"/>
      <c r="Q1888" s="351"/>
      <c r="R1888" s="363"/>
      <c r="S1888" s="321"/>
      <c r="T1888" s="85" ph="1"/>
      <c r="V1888" s="216"/>
      <c r="W1888" s="245"/>
      <c r="X1888" s="187"/>
      <c r="Y1888" s="245"/>
      <c r="Z1888" s="245"/>
      <c r="AA1888" s="329"/>
      <c r="AC1888" s="245"/>
      <c r="AD1888" s="245"/>
      <c r="AE1888" s="245"/>
      <c r="AF1888" s="245"/>
    </row>
    <row r="1889" spans="1:32" ht="26.25">
      <c r="A1889" s="246"/>
      <c r="B1889" s="245"/>
      <c r="C1889" s="245"/>
      <c r="D1889" s="245"/>
      <c r="E1889" s="245"/>
      <c r="F1889" s="187"/>
      <c r="G1889" s="245"/>
      <c r="H1889" s="245"/>
      <c r="I1889" s="245"/>
      <c r="O1889" s="360"/>
      <c r="Q1889" s="351"/>
      <c r="R1889" s="363"/>
      <c r="S1889" s="321"/>
      <c r="T1889" s="85" ph="1"/>
      <c r="V1889" s="216"/>
      <c r="W1889" s="245"/>
      <c r="X1889" s="187"/>
      <c r="Y1889" s="245"/>
      <c r="Z1889" s="245"/>
      <c r="AA1889" s="329"/>
      <c r="AC1889" s="245"/>
      <c r="AD1889" s="245"/>
      <c r="AE1889" s="245"/>
      <c r="AF1889" s="245"/>
    </row>
    <row r="1890" spans="1:32" ht="26.25">
      <c r="A1890" s="246"/>
      <c r="B1890" s="245"/>
      <c r="C1890" s="245"/>
      <c r="D1890" s="245"/>
      <c r="E1890" s="245"/>
      <c r="F1890" s="187"/>
      <c r="G1890" s="245"/>
      <c r="H1890" s="245"/>
      <c r="I1890" s="245"/>
      <c r="O1890" s="360"/>
      <c r="Q1890" s="351"/>
      <c r="R1890" s="363"/>
      <c r="S1890" s="321"/>
      <c r="T1890" s="85" ph="1"/>
      <c r="V1890" s="216"/>
      <c r="W1890" s="245"/>
      <c r="X1890" s="187"/>
      <c r="Y1890" s="245"/>
      <c r="Z1890" s="245"/>
      <c r="AA1890" s="329"/>
      <c r="AC1890" s="245"/>
      <c r="AD1890" s="245"/>
      <c r="AE1890" s="245"/>
      <c r="AF1890" s="245"/>
    </row>
    <row r="1891" spans="1:32" ht="26.25">
      <c r="A1891" s="246"/>
      <c r="B1891" s="245"/>
      <c r="C1891" s="245"/>
      <c r="D1891" s="245"/>
      <c r="E1891" s="245"/>
      <c r="F1891" s="187"/>
      <c r="G1891" s="245"/>
      <c r="H1891" s="245"/>
      <c r="I1891" s="245"/>
      <c r="O1891" s="360"/>
      <c r="Q1891" s="351"/>
      <c r="R1891" s="363"/>
      <c r="S1891" s="321"/>
      <c r="T1891" s="85" ph="1"/>
      <c r="V1891" s="216"/>
      <c r="W1891" s="245"/>
      <c r="X1891" s="187"/>
      <c r="Y1891" s="245"/>
      <c r="Z1891" s="245"/>
      <c r="AA1891" s="329"/>
      <c r="AC1891" s="245"/>
      <c r="AD1891" s="245"/>
      <c r="AE1891" s="245"/>
      <c r="AF1891" s="245"/>
    </row>
    <row r="1892" spans="1:32" ht="26.25">
      <c r="A1892" s="246"/>
      <c r="B1892" s="245"/>
      <c r="C1892" s="245"/>
      <c r="D1892" s="245"/>
      <c r="E1892" s="245"/>
      <c r="F1892" s="187"/>
      <c r="G1892" s="245"/>
      <c r="H1892" s="245"/>
      <c r="I1892" s="245"/>
      <c r="O1892" s="360"/>
      <c r="Q1892" s="351"/>
      <c r="R1892" s="363"/>
      <c r="S1892" s="321"/>
      <c r="T1892" s="85" ph="1"/>
      <c r="V1892" s="216"/>
      <c r="W1892" s="245"/>
      <c r="X1892" s="187"/>
      <c r="Y1892" s="245"/>
      <c r="Z1892" s="245"/>
      <c r="AA1892" s="329"/>
      <c r="AC1892" s="245"/>
      <c r="AD1892" s="245"/>
      <c r="AE1892" s="245"/>
      <c r="AF1892" s="245"/>
    </row>
    <row r="1893" spans="1:32" ht="26.25">
      <c r="A1893" s="246"/>
      <c r="B1893" s="245"/>
      <c r="C1893" s="245"/>
      <c r="D1893" s="245"/>
      <c r="E1893" s="245"/>
      <c r="F1893" s="187"/>
      <c r="G1893" s="245"/>
      <c r="H1893" s="245"/>
      <c r="I1893" s="245"/>
      <c r="O1893" s="360"/>
      <c r="Q1893" s="351"/>
      <c r="R1893" s="363"/>
      <c r="S1893" s="321"/>
      <c r="T1893" s="85" ph="1"/>
      <c r="V1893" s="216"/>
      <c r="W1893" s="245"/>
      <c r="X1893" s="187"/>
      <c r="Y1893" s="245"/>
      <c r="Z1893" s="245"/>
      <c r="AA1893" s="329"/>
      <c r="AC1893" s="245"/>
      <c r="AD1893" s="245"/>
      <c r="AE1893" s="245"/>
      <c r="AF1893" s="245"/>
    </row>
    <row r="1894" spans="1:32" ht="26.25">
      <c r="A1894" s="246"/>
      <c r="B1894" s="245"/>
      <c r="C1894" s="245"/>
      <c r="D1894" s="245"/>
      <c r="E1894" s="245"/>
      <c r="F1894" s="187"/>
      <c r="G1894" s="245"/>
      <c r="H1894" s="245"/>
      <c r="I1894" s="245"/>
      <c r="O1894" s="360"/>
      <c r="Q1894" s="351"/>
      <c r="R1894" s="363"/>
      <c r="S1894" s="321"/>
      <c r="T1894" s="85" ph="1"/>
      <c r="V1894" s="216"/>
      <c r="W1894" s="245"/>
      <c r="X1894" s="187"/>
      <c r="Y1894" s="245"/>
      <c r="Z1894" s="245"/>
      <c r="AA1894" s="329"/>
      <c r="AC1894" s="245"/>
      <c r="AD1894" s="245"/>
      <c r="AE1894" s="245"/>
      <c r="AF1894" s="245"/>
    </row>
    <row r="1895" spans="1:32" ht="26.25">
      <c r="A1895" s="246"/>
      <c r="B1895" s="245"/>
      <c r="C1895" s="245"/>
      <c r="D1895" s="245"/>
      <c r="E1895" s="245"/>
      <c r="F1895" s="187"/>
      <c r="G1895" s="245"/>
      <c r="H1895" s="245"/>
      <c r="I1895" s="245"/>
      <c r="O1895" s="360"/>
      <c r="Q1895" s="351"/>
      <c r="R1895" s="363"/>
      <c r="S1895" s="321"/>
      <c r="T1895" s="85" ph="1"/>
      <c r="V1895" s="216"/>
      <c r="W1895" s="245"/>
      <c r="X1895" s="187"/>
      <c r="Y1895" s="245"/>
      <c r="Z1895" s="245"/>
      <c r="AA1895" s="329"/>
      <c r="AC1895" s="245"/>
      <c r="AD1895" s="245"/>
      <c r="AE1895" s="245"/>
      <c r="AF1895" s="245"/>
    </row>
    <row r="1896" spans="1:32" ht="26.25">
      <c r="A1896" s="246"/>
      <c r="B1896" s="245"/>
      <c r="C1896" s="245"/>
      <c r="D1896" s="245"/>
      <c r="E1896" s="245"/>
      <c r="F1896" s="187"/>
      <c r="G1896" s="245"/>
      <c r="H1896" s="245"/>
      <c r="I1896" s="245"/>
      <c r="O1896" s="360"/>
      <c r="Q1896" s="351"/>
      <c r="R1896" s="363"/>
      <c r="S1896" s="321"/>
      <c r="T1896" s="85" ph="1"/>
      <c r="V1896" s="216"/>
      <c r="W1896" s="245"/>
      <c r="X1896" s="187"/>
      <c r="Y1896" s="245"/>
      <c r="Z1896" s="245"/>
      <c r="AA1896" s="329"/>
      <c r="AC1896" s="245"/>
      <c r="AD1896" s="245"/>
      <c r="AE1896" s="245"/>
      <c r="AF1896" s="245"/>
    </row>
    <row r="1897" spans="1:32" ht="26.25">
      <c r="A1897" s="246"/>
      <c r="B1897" s="245"/>
      <c r="C1897" s="245"/>
      <c r="D1897" s="245"/>
      <c r="E1897" s="245"/>
      <c r="F1897" s="187"/>
      <c r="G1897" s="245"/>
      <c r="H1897" s="245"/>
      <c r="I1897" s="245"/>
      <c r="O1897" s="360"/>
      <c r="Q1897" s="351"/>
      <c r="R1897" s="363"/>
      <c r="S1897" s="321"/>
      <c r="T1897" s="85" ph="1"/>
      <c r="V1897" s="216"/>
      <c r="W1897" s="245"/>
      <c r="X1897" s="187"/>
      <c r="Y1897" s="245"/>
      <c r="Z1897" s="245"/>
      <c r="AA1897" s="329"/>
      <c r="AC1897" s="245"/>
      <c r="AD1897" s="245"/>
      <c r="AE1897" s="245"/>
      <c r="AF1897" s="245"/>
    </row>
    <row r="1898" spans="1:32" ht="26.25">
      <c r="A1898" s="246"/>
      <c r="B1898" s="245"/>
      <c r="C1898" s="245"/>
      <c r="D1898" s="245"/>
      <c r="E1898" s="245"/>
      <c r="F1898" s="187"/>
      <c r="G1898" s="245"/>
      <c r="H1898" s="245"/>
      <c r="I1898" s="245"/>
      <c r="O1898" s="360"/>
      <c r="Q1898" s="351"/>
      <c r="R1898" s="363"/>
      <c r="S1898" s="321"/>
      <c r="T1898" s="85" ph="1"/>
      <c r="V1898" s="216"/>
      <c r="W1898" s="245"/>
      <c r="X1898" s="187"/>
      <c r="Y1898" s="245"/>
      <c r="Z1898" s="245"/>
      <c r="AA1898" s="329"/>
      <c r="AC1898" s="245"/>
      <c r="AD1898" s="245"/>
      <c r="AE1898" s="245"/>
      <c r="AF1898" s="245"/>
    </row>
    <row r="1899" spans="1:32" ht="26.25">
      <c r="A1899" s="246"/>
      <c r="B1899" s="245"/>
      <c r="C1899" s="245"/>
      <c r="D1899" s="245"/>
      <c r="E1899" s="245"/>
      <c r="F1899" s="187"/>
      <c r="G1899" s="245"/>
      <c r="H1899" s="245"/>
      <c r="I1899" s="245"/>
      <c r="O1899" s="360"/>
      <c r="Q1899" s="351"/>
      <c r="R1899" s="363"/>
      <c r="S1899" s="321"/>
      <c r="T1899" s="85" ph="1"/>
      <c r="V1899" s="216"/>
      <c r="W1899" s="245"/>
      <c r="X1899" s="187"/>
      <c r="Y1899" s="245"/>
      <c r="Z1899" s="245"/>
      <c r="AA1899" s="329"/>
      <c r="AC1899" s="245"/>
      <c r="AD1899" s="245"/>
      <c r="AE1899" s="245"/>
      <c r="AF1899" s="245"/>
    </row>
    <row r="1900" spans="1:32" ht="26.25">
      <c r="A1900" s="246"/>
      <c r="B1900" s="245"/>
      <c r="C1900" s="245"/>
      <c r="D1900" s="245"/>
      <c r="E1900" s="245"/>
      <c r="F1900" s="187"/>
      <c r="G1900" s="245"/>
      <c r="H1900" s="245"/>
      <c r="I1900" s="245"/>
      <c r="O1900" s="360"/>
      <c r="Q1900" s="351"/>
      <c r="R1900" s="363"/>
      <c r="S1900" s="321"/>
      <c r="T1900" s="85" ph="1"/>
      <c r="V1900" s="216"/>
      <c r="W1900" s="245"/>
      <c r="X1900" s="187"/>
      <c r="Y1900" s="245"/>
      <c r="Z1900" s="245"/>
      <c r="AA1900" s="329"/>
      <c r="AC1900" s="245"/>
      <c r="AD1900" s="245"/>
      <c r="AE1900" s="245"/>
      <c r="AF1900" s="245"/>
    </row>
    <row r="1901" spans="1:32" ht="26.25">
      <c r="A1901" s="246"/>
      <c r="B1901" s="245"/>
      <c r="C1901" s="245"/>
      <c r="D1901" s="245"/>
      <c r="E1901" s="245"/>
      <c r="F1901" s="187"/>
      <c r="G1901" s="245"/>
      <c r="H1901" s="245"/>
      <c r="I1901" s="245"/>
      <c r="O1901" s="360"/>
      <c r="Q1901" s="351"/>
      <c r="R1901" s="363"/>
      <c r="S1901" s="321"/>
      <c r="T1901" s="85" ph="1"/>
      <c r="V1901" s="216"/>
      <c r="W1901" s="245"/>
      <c r="X1901" s="187"/>
      <c r="Y1901" s="245"/>
      <c r="Z1901" s="245"/>
      <c r="AA1901" s="329"/>
      <c r="AC1901" s="245"/>
      <c r="AD1901" s="245"/>
      <c r="AE1901" s="245"/>
      <c r="AF1901" s="245"/>
    </row>
    <row r="1902" spans="1:32" ht="26.25">
      <c r="A1902" s="246"/>
      <c r="B1902" s="245"/>
      <c r="C1902" s="245"/>
      <c r="D1902" s="245"/>
      <c r="E1902" s="245"/>
      <c r="F1902" s="187"/>
      <c r="G1902" s="245"/>
      <c r="H1902" s="245"/>
      <c r="I1902" s="245"/>
      <c r="O1902" s="360"/>
      <c r="Q1902" s="351"/>
      <c r="R1902" s="363"/>
      <c r="S1902" s="321"/>
      <c r="T1902" s="85" ph="1"/>
      <c r="V1902" s="216"/>
      <c r="W1902" s="245"/>
      <c r="X1902" s="187"/>
      <c r="Y1902" s="245"/>
      <c r="Z1902" s="245"/>
      <c r="AA1902" s="329"/>
      <c r="AC1902" s="245"/>
      <c r="AD1902" s="245"/>
      <c r="AE1902" s="245"/>
      <c r="AF1902" s="245"/>
    </row>
    <row r="1903" spans="1:32" ht="26.25">
      <c r="A1903" s="246"/>
      <c r="B1903" s="245"/>
      <c r="C1903" s="245"/>
      <c r="D1903" s="245"/>
      <c r="E1903" s="245"/>
      <c r="F1903" s="187"/>
      <c r="G1903" s="245"/>
      <c r="H1903" s="245"/>
      <c r="I1903" s="245"/>
      <c r="O1903" s="360"/>
      <c r="Q1903" s="351"/>
      <c r="R1903" s="363"/>
      <c r="S1903" s="321"/>
      <c r="T1903" s="85" ph="1"/>
      <c r="V1903" s="216"/>
      <c r="W1903" s="245"/>
      <c r="X1903" s="187"/>
      <c r="Y1903" s="245"/>
      <c r="Z1903" s="245"/>
      <c r="AA1903" s="329"/>
      <c r="AC1903" s="245"/>
      <c r="AD1903" s="245"/>
      <c r="AE1903" s="245"/>
      <c r="AF1903" s="245"/>
    </row>
    <row r="1904" spans="1:32" ht="26.25">
      <c r="A1904" s="246"/>
      <c r="B1904" s="245"/>
      <c r="C1904" s="245"/>
      <c r="D1904" s="245"/>
      <c r="E1904" s="245"/>
      <c r="F1904" s="187"/>
      <c r="G1904" s="245"/>
      <c r="H1904" s="245"/>
      <c r="I1904" s="245"/>
      <c r="O1904" s="360"/>
      <c r="Q1904" s="351"/>
      <c r="R1904" s="363"/>
      <c r="S1904" s="321"/>
      <c r="T1904" s="85" ph="1"/>
      <c r="V1904" s="216"/>
      <c r="W1904" s="245"/>
      <c r="X1904" s="187"/>
      <c r="Y1904" s="245"/>
      <c r="Z1904" s="245"/>
      <c r="AA1904" s="329"/>
      <c r="AC1904" s="245"/>
      <c r="AD1904" s="245"/>
      <c r="AE1904" s="245"/>
      <c r="AF1904" s="245"/>
    </row>
    <row r="1905" spans="1:32" ht="26.25">
      <c r="A1905" s="246"/>
      <c r="B1905" s="245"/>
      <c r="C1905" s="245"/>
      <c r="D1905" s="245"/>
      <c r="E1905" s="245"/>
      <c r="F1905" s="187"/>
      <c r="G1905" s="245"/>
      <c r="H1905" s="245"/>
      <c r="I1905" s="245"/>
      <c r="O1905" s="360"/>
      <c r="Q1905" s="351"/>
      <c r="R1905" s="363"/>
      <c r="S1905" s="321"/>
      <c r="T1905" s="85" ph="1"/>
      <c r="V1905" s="216"/>
      <c r="W1905" s="245"/>
      <c r="X1905" s="187"/>
      <c r="Y1905" s="245"/>
      <c r="Z1905" s="245"/>
      <c r="AA1905" s="329"/>
      <c r="AC1905" s="245"/>
      <c r="AD1905" s="245"/>
      <c r="AE1905" s="245"/>
      <c r="AF1905" s="245"/>
    </row>
    <row r="1906" spans="1:32" ht="26.25">
      <c r="A1906" s="246"/>
      <c r="B1906" s="245"/>
      <c r="C1906" s="245"/>
      <c r="D1906" s="245"/>
      <c r="E1906" s="245"/>
      <c r="F1906" s="187"/>
      <c r="G1906" s="245"/>
      <c r="H1906" s="245"/>
      <c r="I1906" s="245"/>
      <c r="O1906" s="360"/>
      <c r="Q1906" s="351"/>
      <c r="R1906" s="363"/>
      <c r="S1906" s="321"/>
      <c r="T1906" s="85" ph="1"/>
      <c r="V1906" s="216"/>
      <c r="W1906" s="245"/>
      <c r="X1906" s="187"/>
      <c r="Y1906" s="245"/>
      <c r="Z1906" s="245"/>
      <c r="AA1906" s="329"/>
      <c r="AC1906" s="245"/>
      <c r="AD1906" s="245"/>
      <c r="AE1906" s="245"/>
      <c r="AF1906" s="245"/>
    </row>
    <row r="1907" spans="1:32" ht="26.25">
      <c r="A1907" s="246"/>
      <c r="B1907" s="245"/>
      <c r="C1907" s="245"/>
      <c r="D1907" s="245"/>
      <c r="E1907" s="245"/>
      <c r="F1907" s="187"/>
      <c r="G1907" s="245"/>
      <c r="H1907" s="245"/>
      <c r="I1907" s="245"/>
      <c r="O1907" s="360"/>
      <c r="Q1907" s="351"/>
      <c r="R1907" s="363"/>
      <c r="S1907" s="321"/>
      <c r="T1907" s="85" ph="1"/>
      <c r="V1907" s="216"/>
      <c r="W1907" s="245"/>
      <c r="X1907" s="187"/>
      <c r="Y1907" s="245"/>
      <c r="Z1907" s="245"/>
      <c r="AA1907" s="329"/>
      <c r="AC1907" s="245"/>
      <c r="AD1907" s="245"/>
      <c r="AE1907" s="245"/>
      <c r="AF1907" s="245"/>
    </row>
    <row r="1908" spans="1:32" ht="26.25">
      <c r="A1908" s="246"/>
      <c r="B1908" s="245"/>
      <c r="C1908" s="245"/>
      <c r="D1908" s="245"/>
      <c r="E1908" s="245"/>
      <c r="F1908" s="187"/>
      <c r="G1908" s="245"/>
      <c r="H1908" s="245"/>
      <c r="I1908" s="245"/>
      <c r="O1908" s="360"/>
      <c r="Q1908" s="351"/>
      <c r="R1908" s="363"/>
      <c r="S1908" s="321"/>
      <c r="T1908" s="85" ph="1"/>
      <c r="V1908" s="216"/>
      <c r="W1908" s="245"/>
      <c r="X1908" s="187"/>
      <c r="Y1908" s="245"/>
      <c r="Z1908" s="245"/>
      <c r="AA1908" s="329"/>
      <c r="AC1908" s="245"/>
      <c r="AD1908" s="245"/>
      <c r="AE1908" s="245"/>
      <c r="AF1908" s="245"/>
    </row>
    <row r="1909" spans="1:32" ht="26.25">
      <c r="A1909" s="246"/>
      <c r="B1909" s="245"/>
      <c r="C1909" s="245"/>
      <c r="D1909" s="245"/>
      <c r="E1909" s="245"/>
      <c r="F1909" s="187"/>
      <c r="G1909" s="245"/>
      <c r="H1909" s="245"/>
      <c r="I1909" s="245"/>
      <c r="O1909" s="360"/>
      <c r="Q1909" s="351"/>
      <c r="R1909" s="363"/>
      <c r="S1909" s="321"/>
      <c r="T1909" s="85" ph="1"/>
      <c r="V1909" s="216"/>
      <c r="W1909" s="245"/>
      <c r="X1909" s="187"/>
      <c r="Y1909" s="245"/>
      <c r="Z1909" s="245"/>
      <c r="AA1909" s="329"/>
      <c r="AC1909" s="245"/>
      <c r="AD1909" s="245"/>
      <c r="AE1909" s="245"/>
      <c r="AF1909" s="245"/>
    </row>
    <row r="1910" spans="1:32" ht="26.25">
      <c r="A1910" s="246"/>
      <c r="B1910" s="245"/>
      <c r="C1910" s="245"/>
      <c r="D1910" s="245"/>
      <c r="E1910" s="245"/>
      <c r="F1910" s="187"/>
      <c r="G1910" s="245"/>
      <c r="H1910" s="245"/>
      <c r="I1910" s="245"/>
      <c r="O1910" s="360"/>
      <c r="Q1910" s="351"/>
      <c r="R1910" s="363"/>
      <c r="S1910" s="321"/>
      <c r="T1910" s="85" ph="1"/>
      <c r="V1910" s="216"/>
      <c r="W1910" s="245"/>
      <c r="X1910" s="187"/>
      <c r="Y1910" s="245"/>
      <c r="Z1910" s="245"/>
      <c r="AA1910" s="329"/>
      <c r="AC1910" s="245"/>
      <c r="AD1910" s="245"/>
      <c r="AE1910" s="245"/>
      <c r="AF1910" s="245"/>
    </row>
    <row r="1911" spans="1:32" ht="26.25">
      <c r="A1911" s="246"/>
      <c r="B1911" s="245"/>
      <c r="C1911" s="245"/>
      <c r="D1911" s="245"/>
      <c r="E1911" s="245"/>
      <c r="F1911" s="187"/>
      <c r="G1911" s="245"/>
      <c r="H1911" s="245"/>
      <c r="I1911" s="245"/>
      <c r="O1911" s="360"/>
      <c r="Q1911" s="351"/>
      <c r="R1911" s="363"/>
      <c r="S1911" s="321"/>
      <c r="T1911" s="85" ph="1"/>
      <c r="V1911" s="216"/>
      <c r="W1911" s="245"/>
      <c r="X1911" s="187"/>
      <c r="Y1911" s="245"/>
      <c r="Z1911" s="245"/>
      <c r="AA1911" s="329"/>
      <c r="AC1911" s="245"/>
      <c r="AD1911" s="245"/>
      <c r="AE1911" s="245"/>
      <c r="AF1911" s="245"/>
    </row>
    <row r="1912" spans="1:32" ht="26.25">
      <c r="A1912" s="246"/>
      <c r="B1912" s="245"/>
      <c r="C1912" s="245"/>
      <c r="D1912" s="245"/>
      <c r="E1912" s="245"/>
      <c r="F1912" s="187"/>
      <c r="G1912" s="245"/>
      <c r="H1912" s="245"/>
      <c r="I1912" s="245"/>
      <c r="O1912" s="360"/>
      <c r="Q1912" s="351"/>
      <c r="R1912" s="363"/>
      <c r="S1912" s="321"/>
      <c r="T1912" s="85" ph="1"/>
      <c r="V1912" s="216"/>
      <c r="W1912" s="245"/>
      <c r="X1912" s="187"/>
      <c r="Y1912" s="245"/>
      <c r="Z1912" s="245"/>
      <c r="AA1912" s="329"/>
      <c r="AC1912" s="245"/>
      <c r="AD1912" s="245"/>
      <c r="AE1912" s="245"/>
      <c r="AF1912" s="245"/>
    </row>
    <row r="1913" spans="1:32" ht="26.25">
      <c r="A1913" s="246"/>
      <c r="B1913" s="245"/>
      <c r="C1913" s="245"/>
      <c r="D1913" s="245"/>
      <c r="E1913" s="245"/>
      <c r="F1913" s="187"/>
      <c r="G1913" s="245"/>
      <c r="H1913" s="245"/>
      <c r="I1913" s="245"/>
      <c r="O1913" s="360"/>
      <c r="Q1913" s="351"/>
      <c r="R1913" s="363"/>
      <c r="S1913" s="321"/>
      <c r="T1913" s="85" ph="1"/>
      <c r="V1913" s="216"/>
      <c r="W1913" s="245"/>
      <c r="X1913" s="187"/>
      <c r="Y1913" s="245"/>
      <c r="Z1913" s="245"/>
      <c r="AA1913" s="329"/>
      <c r="AC1913" s="245"/>
      <c r="AD1913" s="245"/>
      <c r="AE1913" s="245"/>
      <c r="AF1913" s="245"/>
    </row>
    <row r="1914" spans="1:32" ht="26.25">
      <c r="A1914" s="246"/>
      <c r="B1914" s="245"/>
      <c r="C1914" s="245"/>
      <c r="D1914" s="245"/>
      <c r="E1914" s="245"/>
      <c r="F1914" s="187"/>
      <c r="G1914" s="245"/>
      <c r="H1914" s="245"/>
      <c r="I1914" s="245"/>
      <c r="O1914" s="360"/>
      <c r="Q1914" s="351"/>
      <c r="R1914" s="363"/>
      <c r="S1914" s="321"/>
      <c r="T1914" s="85" ph="1"/>
      <c r="V1914" s="216"/>
      <c r="W1914" s="245"/>
      <c r="X1914" s="187"/>
      <c r="Y1914" s="245"/>
      <c r="Z1914" s="245"/>
      <c r="AA1914" s="329"/>
      <c r="AC1914" s="245"/>
      <c r="AD1914" s="245"/>
      <c r="AE1914" s="245"/>
      <c r="AF1914" s="245"/>
    </row>
    <row r="1915" spans="1:32" ht="26.25">
      <c r="A1915" s="246"/>
      <c r="B1915" s="245"/>
      <c r="C1915" s="245"/>
      <c r="D1915" s="245"/>
      <c r="E1915" s="245"/>
      <c r="F1915" s="187"/>
      <c r="G1915" s="245"/>
      <c r="H1915" s="245"/>
      <c r="I1915" s="245"/>
      <c r="O1915" s="360"/>
      <c r="Q1915" s="351"/>
      <c r="R1915" s="363"/>
      <c r="S1915" s="321"/>
      <c r="T1915" s="85" ph="1"/>
      <c r="V1915" s="216"/>
      <c r="W1915" s="245"/>
      <c r="X1915" s="187"/>
      <c r="Y1915" s="245"/>
      <c r="Z1915" s="245"/>
      <c r="AA1915" s="329"/>
      <c r="AC1915" s="245"/>
      <c r="AD1915" s="245"/>
      <c r="AE1915" s="245"/>
      <c r="AF1915" s="245"/>
    </row>
    <row r="1916" spans="1:32" ht="26.25">
      <c r="A1916" s="246"/>
      <c r="B1916" s="245"/>
      <c r="C1916" s="245"/>
      <c r="D1916" s="245"/>
      <c r="E1916" s="245"/>
      <c r="F1916" s="187"/>
      <c r="G1916" s="245"/>
      <c r="H1916" s="245"/>
      <c r="I1916" s="245"/>
      <c r="O1916" s="360"/>
      <c r="Q1916" s="351"/>
      <c r="R1916" s="363"/>
      <c r="S1916" s="321"/>
      <c r="T1916" s="85" ph="1"/>
      <c r="V1916" s="216"/>
      <c r="W1916" s="245"/>
      <c r="X1916" s="187"/>
      <c r="Y1916" s="245"/>
      <c r="Z1916" s="245"/>
      <c r="AA1916" s="329"/>
      <c r="AC1916" s="245"/>
      <c r="AD1916" s="245"/>
      <c r="AE1916" s="245"/>
      <c r="AF1916" s="245"/>
    </row>
    <row r="1917" spans="1:32" ht="26.25">
      <c r="A1917" s="246"/>
      <c r="B1917" s="245"/>
      <c r="C1917" s="245"/>
      <c r="D1917" s="245"/>
      <c r="E1917" s="245"/>
      <c r="F1917" s="187"/>
      <c r="G1917" s="245"/>
      <c r="H1917" s="245"/>
      <c r="I1917" s="245"/>
      <c r="O1917" s="360"/>
      <c r="Q1917" s="351"/>
      <c r="R1917" s="363"/>
      <c r="S1917" s="321"/>
      <c r="T1917" s="85" ph="1"/>
      <c r="V1917" s="216"/>
      <c r="W1917" s="245"/>
      <c r="X1917" s="187"/>
      <c r="Y1917" s="245"/>
      <c r="Z1917" s="245"/>
      <c r="AA1917" s="329"/>
      <c r="AC1917" s="245"/>
      <c r="AD1917" s="245"/>
      <c r="AE1917" s="245"/>
      <c r="AF1917" s="245"/>
    </row>
    <row r="1918" spans="1:32" ht="26.25">
      <c r="A1918" s="246"/>
      <c r="B1918" s="245"/>
      <c r="C1918" s="245"/>
      <c r="D1918" s="245"/>
      <c r="E1918" s="245"/>
      <c r="F1918" s="187"/>
      <c r="G1918" s="245"/>
      <c r="H1918" s="245"/>
      <c r="I1918" s="245"/>
      <c r="O1918" s="360"/>
      <c r="Q1918" s="351"/>
      <c r="R1918" s="363"/>
      <c r="S1918" s="321"/>
      <c r="T1918" s="85" ph="1"/>
      <c r="V1918" s="216"/>
      <c r="W1918" s="245"/>
      <c r="X1918" s="187"/>
      <c r="Y1918" s="245"/>
      <c r="Z1918" s="245"/>
      <c r="AA1918" s="329"/>
      <c r="AC1918" s="245"/>
      <c r="AD1918" s="245"/>
      <c r="AE1918" s="245"/>
      <c r="AF1918" s="245"/>
    </row>
    <row r="1919" spans="1:32" ht="26.25">
      <c r="A1919" s="246"/>
      <c r="B1919" s="245"/>
      <c r="C1919" s="245"/>
      <c r="D1919" s="245"/>
      <c r="E1919" s="245"/>
      <c r="F1919" s="187"/>
      <c r="G1919" s="245"/>
      <c r="H1919" s="245"/>
      <c r="I1919" s="245"/>
      <c r="O1919" s="360"/>
      <c r="Q1919" s="351"/>
      <c r="R1919" s="363"/>
      <c r="S1919" s="321"/>
      <c r="T1919" s="85" ph="1"/>
      <c r="V1919" s="216"/>
      <c r="W1919" s="245"/>
      <c r="X1919" s="187"/>
      <c r="Y1919" s="245"/>
      <c r="Z1919" s="245"/>
      <c r="AA1919" s="329"/>
      <c r="AC1919" s="245"/>
      <c r="AD1919" s="245"/>
      <c r="AE1919" s="245"/>
      <c r="AF1919" s="245"/>
    </row>
    <row r="1920" spans="1:32" ht="26.25">
      <c r="A1920" s="246"/>
      <c r="B1920" s="245"/>
      <c r="C1920" s="245"/>
      <c r="D1920" s="245"/>
      <c r="E1920" s="245"/>
      <c r="F1920" s="187"/>
      <c r="G1920" s="245"/>
      <c r="H1920" s="245"/>
      <c r="I1920" s="245"/>
      <c r="O1920" s="360"/>
      <c r="Q1920" s="351"/>
      <c r="R1920" s="363"/>
      <c r="S1920" s="321"/>
      <c r="T1920" s="85" ph="1"/>
      <c r="V1920" s="216"/>
      <c r="W1920" s="245"/>
      <c r="X1920" s="187"/>
      <c r="Y1920" s="245"/>
      <c r="Z1920" s="245"/>
      <c r="AA1920" s="329"/>
      <c r="AC1920" s="245"/>
      <c r="AD1920" s="245"/>
      <c r="AE1920" s="245"/>
      <c r="AF1920" s="245"/>
    </row>
    <row r="1921" spans="1:32" ht="26.25">
      <c r="A1921" s="246"/>
      <c r="B1921" s="245"/>
      <c r="C1921" s="245"/>
      <c r="D1921" s="245"/>
      <c r="E1921" s="245"/>
      <c r="F1921" s="187"/>
      <c r="G1921" s="245"/>
      <c r="H1921" s="245"/>
      <c r="I1921" s="245"/>
      <c r="O1921" s="360"/>
      <c r="Q1921" s="351"/>
      <c r="R1921" s="363"/>
      <c r="S1921" s="321"/>
      <c r="T1921" s="85" ph="1"/>
      <c r="V1921" s="216"/>
      <c r="W1921" s="245"/>
      <c r="X1921" s="187"/>
      <c r="Y1921" s="245"/>
      <c r="Z1921" s="245"/>
      <c r="AA1921" s="329"/>
      <c r="AC1921" s="245"/>
      <c r="AD1921" s="245"/>
      <c r="AE1921" s="245"/>
      <c r="AF1921" s="245"/>
    </row>
    <row r="1922" spans="1:32" ht="26.25">
      <c r="A1922" s="246"/>
      <c r="B1922" s="245"/>
      <c r="C1922" s="245"/>
      <c r="D1922" s="245"/>
      <c r="E1922" s="245"/>
      <c r="F1922" s="187"/>
      <c r="G1922" s="245"/>
      <c r="H1922" s="245"/>
      <c r="I1922" s="245"/>
      <c r="O1922" s="360"/>
      <c r="Q1922" s="351"/>
      <c r="R1922" s="363"/>
      <c r="S1922" s="321"/>
      <c r="T1922" s="85" ph="1"/>
      <c r="V1922" s="216"/>
      <c r="W1922" s="245"/>
      <c r="X1922" s="187"/>
      <c r="Y1922" s="245"/>
      <c r="Z1922" s="245"/>
      <c r="AA1922" s="329"/>
      <c r="AC1922" s="245"/>
      <c r="AD1922" s="245"/>
      <c r="AE1922" s="245"/>
      <c r="AF1922" s="245"/>
    </row>
    <row r="1923" spans="1:32" ht="26.25">
      <c r="A1923" s="246"/>
      <c r="B1923" s="245"/>
      <c r="C1923" s="245"/>
      <c r="D1923" s="245"/>
      <c r="E1923" s="245"/>
      <c r="F1923" s="187"/>
      <c r="G1923" s="245"/>
      <c r="H1923" s="245"/>
      <c r="I1923" s="245"/>
      <c r="O1923" s="360"/>
      <c r="Q1923" s="351"/>
      <c r="R1923" s="363"/>
      <c r="S1923" s="321"/>
      <c r="T1923" s="85" ph="1"/>
      <c r="V1923" s="216"/>
      <c r="W1923" s="245"/>
      <c r="X1923" s="187"/>
      <c r="Y1923" s="245"/>
      <c r="Z1923" s="245"/>
      <c r="AA1923" s="329"/>
      <c r="AC1923" s="245"/>
      <c r="AD1923" s="245"/>
      <c r="AE1923" s="245"/>
      <c r="AF1923" s="245"/>
    </row>
    <row r="1924" spans="1:32" ht="26.25">
      <c r="A1924" s="246"/>
      <c r="B1924" s="245"/>
      <c r="C1924" s="245"/>
      <c r="D1924" s="245"/>
      <c r="E1924" s="245"/>
      <c r="F1924" s="187"/>
      <c r="G1924" s="245"/>
      <c r="H1924" s="245"/>
      <c r="I1924" s="245"/>
      <c r="O1924" s="360"/>
      <c r="Q1924" s="351"/>
      <c r="R1924" s="363"/>
      <c r="S1924" s="321"/>
      <c r="T1924" s="85" ph="1"/>
      <c r="V1924" s="216"/>
      <c r="W1924" s="245"/>
      <c r="X1924" s="187"/>
      <c r="Y1924" s="245"/>
      <c r="Z1924" s="245"/>
      <c r="AA1924" s="329"/>
      <c r="AC1924" s="245"/>
      <c r="AD1924" s="245"/>
      <c r="AE1924" s="245"/>
      <c r="AF1924" s="245"/>
    </row>
    <row r="1925" spans="1:32" ht="26.25">
      <c r="A1925" s="246"/>
      <c r="B1925" s="245"/>
      <c r="C1925" s="245"/>
      <c r="D1925" s="245"/>
      <c r="E1925" s="245"/>
      <c r="F1925" s="187"/>
      <c r="G1925" s="245"/>
      <c r="H1925" s="245"/>
      <c r="I1925" s="245"/>
      <c r="O1925" s="360"/>
      <c r="Q1925" s="351"/>
      <c r="R1925" s="363"/>
      <c r="S1925" s="321"/>
      <c r="T1925" s="85" ph="1"/>
      <c r="V1925" s="216"/>
      <c r="W1925" s="245"/>
      <c r="X1925" s="187"/>
      <c r="Y1925" s="245"/>
      <c r="Z1925" s="245"/>
      <c r="AA1925" s="329"/>
      <c r="AC1925" s="245"/>
      <c r="AD1925" s="245"/>
      <c r="AE1925" s="245"/>
      <c r="AF1925" s="245"/>
    </row>
    <row r="1926" spans="1:32" ht="26.25">
      <c r="A1926" s="246"/>
      <c r="B1926" s="245"/>
      <c r="C1926" s="245"/>
      <c r="D1926" s="245"/>
      <c r="E1926" s="245"/>
      <c r="F1926" s="187"/>
      <c r="G1926" s="245"/>
      <c r="H1926" s="245"/>
      <c r="I1926" s="245"/>
      <c r="O1926" s="360"/>
      <c r="Q1926" s="351"/>
      <c r="R1926" s="363"/>
      <c r="S1926" s="321"/>
      <c r="T1926" s="85" ph="1"/>
      <c r="V1926" s="216"/>
      <c r="W1926" s="245"/>
      <c r="X1926" s="187"/>
      <c r="Y1926" s="245"/>
      <c r="Z1926" s="245"/>
      <c r="AA1926" s="329"/>
      <c r="AC1926" s="245"/>
      <c r="AD1926" s="245"/>
      <c r="AE1926" s="245"/>
      <c r="AF1926" s="245"/>
    </row>
    <row r="1927" spans="1:32" ht="26.25">
      <c r="A1927" s="246"/>
      <c r="B1927" s="245"/>
      <c r="C1927" s="245"/>
      <c r="D1927" s="245"/>
      <c r="E1927" s="245"/>
      <c r="F1927" s="187"/>
      <c r="G1927" s="245"/>
      <c r="H1927" s="245"/>
      <c r="I1927" s="245"/>
      <c r="O1927" s="360"/>
      <c r="Q1927" s="351"/>
      <c r="R1927" s="363"/>
      <c r="S1927" s="321"/>
      <c r="T1927" s="85" ph="1"/>
      <c r="V1927" s="216"/>
      <c r="W1927" s="245"/>
      <c r="X1927" s="187"/>
      <c r="Y1927" s="245"/>
      <c r="Z1927" s="245"/>
      <c r="AA1927" s="329"/>
      <c r="AC1927" s="245"/>
      <c r="AD1927" s="245"/>
      <c r="AE1927" s="245"/>
      <c r="AF1927" s="245"/>
    </row>
    <row r="1928" spans="1:32" ht="26.25">
      <c r="A1928" s="246"/>
      <c r="B1928" s="245"/>
      <c r="C1928" s="245"/>
      <c r="D1928" s="245"/>
      <c r="E1928" s="245"/>
      <c r="F1928" s="187"/>
      <c r="G1928" s="245"/>
      <c r="H1928" s="245"/>
      <c r="I1928" s="245"/>
      <c r="O1928" s="360"/>
      <c r="Q1928" s="351"/>
      <c r="R1928" s="363"/>
      <c r="S1928" s="321"/>
      <c r="T1928" s="85" ph="1"/>
      <c r="V1928" s="216"/>
      <c r="W1928" s="245"/>
      <c r="X1928" s="187"/>
      <c r="Y1928" s="245"/>
      <c r="Z1928" s="245"/>
      <c r="AA1928" s="329"/>
      <c r="AC1928" s="245"/>
      <c r="AD1928" s="245"/>
      <c r="AE1928" s="245"/>
      <c r="AF1928" s="245"/>
    </row>
    <row r="1929" spans="1:32" ht="26.25">
      <c r="A1929" s="246"/>
      <c r="B1929" s="245"/>
      <c r="C1929" s="245"/>
      <c r="D1929" s="245"/>
      <c r="E1929" s="245"/>
      <c r="F1929" s="187"/>
      <c r="G1929" s="245"/>
      <c r="H1929" s="245"/>
      <c r="I1929" s="245"/>
      <c r="O1929" s="360"/>
      <c r="Q1929" s="351"/>
      <c r="R1929" s="363"/>
      <c r="S1929" s="321"/>
      <c r="T1929" s="85" ph="1"/>
      <c r="V1929" s="216"/>
      <c r="W1929" s="245"/>
      <c r="X1929" s="187"/>
      <c r="Y1929" s="245"/>
      <c r="Z1929" s="245"/>
      <c r="AA1929" s="329"/>
      <c r="AC1929" s="245"/>
      <c r="AD1929" s="245"/>
      <c r="AE1929" s="245"/>
      <c r="AF1929" s="245"/>
    </row>
    <row r="1930" spans="1:32" ht="26.25">
      <c r="A1930" s="246"/>
      <c r="B1930" s="245"/>
      <c r="C1930" s="245"/>
      <c r="D1930" s="245"/>
      <c r="E1930" s="245"/>
      <c r="F1930" s="187"/>
      <c r="G1930" s="245"/>
      <c r="H1930" s="245"/>
      <c r="I1930" s="245"/>
      <c r="O1930" s="360"/>
      <c r="Q1930" s="351"/>
      <c r="R1930" s="363"/>
      <c r="S1930" s="321"/>
      <c r="T1930" s="85" ph="1"/>
      <c r="V1930" s="216"/>
      <c r="W1930" s="245"/>
      <c r="X1930" s="187"/>
      <c r="Y1930" s="245"/>
      <c r="Z1930" s="245"/>
      <c r="AA1930" s="329"/>
      <c r="AC1930" s="245"/>
      <c r="AD1930" s="245"/>
      <c r="AE1930" s="245"/>
      <c r="AF1930" s="245"/>
    </row>
    <row r="1931" spans="1:32" ht="26.25">
      <c r="A1931" s="246"/>
      <c r="B1931" s="245"/>
      <c r="C1931" s="245"/>
      <c r="D1931" s="245"/>
      <c r="E1931" s="245"/>
      <c r="F1931" s="187"/>
      <c r="G1931" s="245"/>
      <c r="H1931" s="245"/>
      <c r="I1931" s="245"/>
      <c r="O1931" s="360"/>
      <c r="Q1931" s="351"/>
      <c r="R1931" s="363"/>
      <c r="S1931" s="321"/>
      <c r="T1931" s="85" ph="1"/>
      <c r="V1931" s="216"/>
      <c r="W1931" s="245"/>
      <c r="X1931" s="187"/>
      <c r="Y1931" s="245"/>
      <c r="Z1931" s="245"/>
      <c r="AA1931" s="329"/>
      <c r="AC1931" s="245"/>
      <c r="AD1931" s="245"/>
      <c r="AE1931" s="245"/>
      <c r="AF1931" s="245"/>
    </row>
    <row r="1932" spans="1:32" ht="26.25">
      <c r="A1932" s="246"/>
      <c r="B1932" s="245"/>
      <c r="C1932" s="245"/>
      <c r="D1932" s="245"/>
      <c r="E1932" s="245"/>
      <c r="F1932" s="187"/>
      <c r="G1932" s="245"/>
      <c r="H1932" s="245"/>
      <c r="I1932" s="245"/>
      <c r="O1932" s="360"/>
      <c r="Q1932" s="351"/>
      <c r="R1932" s="363"/>
      <c r="S1932" s="321"/>
      <c r="T1932" s="85" ph="1"/>
      <c r="V1932" s="216"/>
      <c r="W1932" s="245"/>
      <c r="X1932" s="187"/>
      <c r="Y1932" s="245"/>
      <c r="Z1932" s="245"/>
      <c r="AA1932" s="329"/>
      <c r="AC1932" s="245"/>
      <c r="AD1932" s="245"/>
      <c r="AE1932" s="245"/>
      <c r="AF1932" s="245"/>
    </row>
    <row r="1933" spans="1:32" ht="26.25">
      <c r="A1933" s="246"/>
      <c r="B1933" s="245"/>
      <c r="C1933" s="245"/>
      <c r="D1933" s="245"/>
      <c r="E1933" s="245"/>
      <c r="F1933" s="187"/>
      <c r="G1933" s="245"/>
      <c r="H1933" s="245"/>
      <c r="I1933" s="245"/>
      <c r="O1933" s="360"/>
      <c r="Q1933" s="351"/>
      <c r="R1933" s="363"/>
      <c r="S1933" s="321"/>
      <c r="T1933" s="85" ph="1"/>
      <c r="V1933" s="216"/>
      <c r="W1933" s="245"/>
      <c r="X1933" s="187"/>
      <c r="Y1933" s="245"/>
      <c r="Z1933" s="245"/>
      <c r="AA1933" s="329"/>
      <c r="AC1933" s="245"/>
      <c r="AD1933" s="245"/>
      <c r="AE1933" s="245"/>
      <c r="AF1933" s="245"/>
    </row>
    <row r="1934" spans="1:32" ht="26.25">
      <c r="A1934" s="246"/>
      <c r="B1934" s="245"/>
      <c r="C1934" s="245"/>
      <c r="D1934" s="245"/>
      <c r="E1934" s="245"/>
      <c r="F1934" s="187"/>
      <c r="G1934" s="245"/>
      <c r="H1934" s="245"/>
      <c r="I1934" s="245"/>
      <c r="O1934" s="360"/>
      <c r="Q1934" s="351"/>
      <c r="R1934" s="363"/>
      <c r="S1934" s="321"/>
      <c r="T1934" s="85" ph="1"/>
      <c r="V1934" s="216"/>
      <c r="W1934" s="245"/>
      <c r="X1934" s="187"/>
      <c r="Y1934" s="245"/>
      <c r="Z1934" s="245"/>
      <c r="AA1934" s="329"/>
      <c r="AC1934" s="245"/>
      <c r="AD1934" s="245"/>
      <c r="AE1934" s="245"/>
      <c r="AF1934" s="245"/>
    </row>
    <row r="1935" spans="1:32" ht="26.25">
      <c r="A1935" s="246"/>
      <c r="B1935" s="245"/>
      <c r="C1935" s="245"/>
      <c r="D1935" s="245"/>
      <c r="E1935" s="245"/>
      <c r="F1935" s="187"/>
      <c r="G1935" s="245"/>
      <c r="H1935" s="245"/>
      <c r="I1935" s="245"/>
      <c r="O1935" s="360"/>
      <c r="Q1935" s="351"/>
      <c r="R1935" s="363"/>
      <c r="S1935" s="321"/>
      <c r="T1935" s="85" ph="1"/>
      <c r="V1935" s="216"/>
      <c r="W1935" s="245"/>
      <c r="X1935" s="187"/>
      <c r="Y1935" s="245"/>
      <c r="Z1935" s="245"/>
      <c r="AA1935" s="329"/>
      <c r="AC1935" s="245"/>
      <c r="AD1935" s="245"/>
      <c r="AE1935" s="245"/>
      <c r="AF1935" s="245"/>
    </row>
    <row r="1936" spans="1:32" ht="26.25">
      <c r="A1936" s="246"/>
      <c r="B1936" s="245"/>
      <c r="C1936" s="245"/>
      <c r="D1936" s="245"/>
      <c r="E1936" s="245"/>
      <c r="F1936" s="187"/>
      <c r="G1936" s="245"/>
      <c r="H1936" s="245"/>
      <c r="I1936" s="245"/>
      <c r="O1936" s="360"/>
      <c r="Q1936" s="351"/>
      <c r="R1936" s="363"/>
      <c r="S1936" s="321"/>
      <c r="T1936" s="85" ph="1"/>
      <c r="V1936" s="216"/>
      <c r="W1936" s="245"/>
      <c r="X1936" s="187"/>
      <c r="Y1936" s="245"/>
      <c r="Z1936" s="245"/>
      <c r="AA1936" s="329"/>
      <c r="AC1936" s="245"/>
      <c r="AD1936" s="245"/>
      <c r="AE1936" s="245"/>
      <c r="AF1936" s="245"/>
    </row>
    <row r="1937" spans="1:32" ht="26.25">
      <c r="A1937" s="246"/>
      <c r="B1937" s="245"/>
      <c r="C1937" s="245"/>
      <c r="D1937" s="245"/>
      <c r="E1937" s="245"/>
      <c r="F1937" s="187"/>
      <c r="G1937" s="245"/>
      <c r="H1937" s="245"/>
      <c r="I1937" s="245"/>
      <c r="O1937" s="360"/>
      <c r="Q1937" s="351"/>
      <c r="R1937" s="363"/>
      <c r="S1937" s="321"/>
      <c r="T1937" s="85" ph="1"/>
      <c r="V1937" s="216"/>
      <c r="W1937" s="245"/>
      <c r="X1937" s="187"/>
      <c r="Y1937" s="245"/>
      <c r="Z1937" s="245"/>
      <c r="AA1937" s="329"/>
      <c r="AC1937" s="245"/>
      <c r="AD1937" s="245"/>
      <c r="AE1937" s="245"/>
      <c r="AF1937" s="245"/>
    </row>
    <row r="1938" spans="1:32" ht="26.25">
      <c r="A1938" s="246"/>
      <c r="B1938" s="245"/>
      <c r="C1938" s="245"/>
      <c r="D1938" s="245"/>
      <c r="E1938" s="245"/>
      <c r="F1938" s="187"/>
      <c r="G1938" s="245"/>
      <c r="H1938" s="245"/>
      <c r="I1938" s="245"/>
      <c r="O1938" s="360"/>
      <c r="Q1938" s="351"/>
      <c r="R1938" s="363"/>
      <c r="S1938" s="321"/>
      <c r="T1938" s="85" ph="1"/>
      <c r="V1938" s="216"/>
      <c r="W1938" s="245"/>
      <c r="X1938" s="187"/>
      <c r="Y1938" s="245"/>
      <c r="Z1938" s="245"/>
      <c r="AA1938" s="329"/>
      <c r="AC1938" s="245"/>
      <c r="AD1938" s="245"/>
      <c r="AE1938" s="245"/>
      <c r="AF1938" s="245"/>
    </row>
    <row r="1939" spans="1:32" ht="26.25">
      <c r="A1939" s="246"/>
      <c r="B1939" s="245"/>
      <c r="C1939" s="245"/>
      <c r="D1939" s="245"/>
      <c r="E1939" s="245"/>
      <c r="F1939" s="187"/>
      <c r="G1939" s="245"/>
      <c r="H1939" s="245"/>
      <c r="I1939" s="245"/>
      <c r="O1939" s="360"/>
      <c r="Q1939" s="351"/>
      <c r="R1939" s="363"/>
      <c r="S1939" s="321"/>
      <c r="T1939" s="85" ph="1"/>
      <c r="V1939" s="216"/>
      <c r="W1939" s="245"/>
      <c r="X1939" s="187"/>
      <c r="Y1939" s="245"/>
      <c r="Z1939" s="245"/>
      <c r="AA1939" s="329"/>
      <c r="AC1939" s="245"/>
      <c r="AD1939" s="245"/>
      <c r="AE1939" s="245"/>
      <c r="AF1939" s="245"/>
    </row>
    <row r="1940" spans="1:32" ht="26.25">
      <c r="A1940" s="246"/>
      <c r="B1940" s="245"/>
      <c r="C1940" s="245"/>
      <c r="D1940" s="245"/>
      <c r="E1940" s="245"/>
      <c r="F1940" s="187"/>
      <c r="G1940" s="245"/>
      <c r="H1940" s="245"/>
      <c r="I1940" s="245"/>
      <c r="O1940" s="360"/>
      <c r="Q1940" s="351"/>
      <c r="R1940" s="363"/>
      <c r="S1940" s="321"/>
      <c r="T1940" s="85" ph="1"/>
      <c r="V1940" s="216"/>
      <c r="W1940" s="245"/>
      <c r="X1940" s="187"/>
      <c r="Y1940" s="245"/>
      <c r="Z1940" s="245"/>
      <c r="AA1940" s="329"/>
      <c r="AC1940" s="245"/>
      <c r="AD1940" s="245"/>
      <c r="AE1940" s="245"/>
      <c r="AF1940" s="245"/>
    </row>
    <row r="1941" spans="1:32" ht="26.25">
      <c r="A1941" s="246"/>
      <c r="B1941" s="245"/>
      <c r="C1941" s="245"/>
      <c r="D1941" s="245"/>
      <c r="E1941" s="245"/>
      <c r="F1941" s="187"/>
      <c r="G1941" s="245"/>
      <c r="H1941" s="245"/>
      <c r="I1941" s="245"/>
      <c r="O1941" s="360"/>
      <c r="Q1941" s="351"/>
      <c r="R1941" s="363"/>
      <c r="S1941" s="321"/>
      <c r="T1941" s="85" ph="1"/>
      <c r="V1941" s="216"/>
      <c r="W1941" s="245"/>
      <c r="X1941" s="187"/>
      <c r="Y1941" s="245"/>
      <c r="Z1941" s="245"/>
      <c r="AA1941" s="329"/>
      <c r="AC1941" s="245"/>
      <c r="AD1941" s="245"/>
      <c r="AE1941" s="245"/>
      <c r="AF1941" s="245"/>
    </row>
    <row r="1942" spans="1:32" ht="26.25">
      <c r="A1942" s="246"/>
      <c r="B1942" s="245"/>
      <c r="C1942" s="245"/>
      <c r="D1942" s="245"/>
      <c r="E1942" s="245"/>
      <c r="F1942" s="187"/>
      <c r="G1942" s="245"/>
      <c r="H1942" s="245"/>
      <c r="I1942" s="245"/>
      <c r="O1942" s="360"/>
      <c r="Q1942" s="351"/>
      <c r="R1942" s="363"/>
      <c r="S1942" s="321"/>
      <c r="T1942" s="85" ph="1"/>
      <c r="V1942" s="216"/>
      <c r="W1942" s="245"/>
      <c r="X1942" s="187"/>
      <c r="Y1942" s="245"/>
      <c r="Z1942" s="245"/>
      <c r="AA1942" s="329"/>
      <c r="AC1942" s="245"/>
      <c r="AD1942" s="245"/>
      <c r="AE1942" s="245"/>
      <c r="AF1942" s="245"/>
    </row>
    <row r="1943" spans="1:32" ht="26.25">
      <c r="A1943" s="246"/>
      <c r="B1943" s="245"/>
      <c r="C1943" s="245"/>
      <c r="D1943" s="245"/>
      <c r="E1943" s="245"/>
      <c r="F1943" s="187"/>
      <c r="G1943" s="245"/>
      <c r="H1943" s="245"/>
      <c r="I1943" s="245"/>
      <c r="O1943" s="360"/>
      <c r="Q1943" s="351"/>
      <c r="R1943" s="363"/>
      <c r="S1943" s="321"/>
      <c r="T1943" s="85" ph="1"/>
      <c r="V1943" s="216"/>
      <c r="W1943" s="245"/>
      <c r="X1943" s="187"/>
      <c r="Y1943" s="245"/>
      <c r="Z1943" s="245"/>
      <c r="AA1943" s="329"/>
      <c r="AC1943" s="245"/>
      <c r="AD1943" s="245"/>
      <c r="AE1943" s="245"/>
      <c r="AF1943" s="245"/>
    </row>
    <row r="1944" spans="1:32" ht="26.25">
      <c r="A1944" s="246"/>
      <c r="B1944" s="245"/>
      <c r="C1944" s="245"/>
      <c r="D1944" s="245"/>
      <c r="E1944" s="245"/>
      <c r="F1944" s="187"/>
      <c r="G1944" s="245"/>
      <c r="H1944" s="245"/>
      <c r="I1944" s="245"/>
      <c r="O1944" s="360"/>
      <c r="Q1944" s="351"/>
      <c r="R1944" s="363"/>
      <c r="S1944" s="321"/>
      <c r="T1944" s="85" ph="1"/>
      <c r="V1944" s="216"/>
      <c r="W1944" s="245"/>
      <c r="X1944" s="187"/>
      <c r="Y1944" s="245"/>
      <c r="Z1944" s="245"/>
      <c r="AA1944" s="329"/>
      <c r="AC1944" s="245"/>
      <c r="AD1944" s="245"/>
      <c r="AE1944" s="245"/>
      <c r="AF1944" s="245"/>
    </row>
    <row r="1945" spans="1:32" ht="26.25">
      <c r="A1945" s="246"/>
      <c r="B1945" s="245"/>
      <c r="C1945" s="245"/>
      <c r="D1945" s="245"/>
      <c r="E1945" s="245"/>
      <c r="F1945" s="187"/>
      <c r="G1945" s="245"/>
      <c r="H1945" s="245"/>
      <c r="I1945" s="245"/>
      <c r="O1945" s="360"/>
      <c r="Q1945" s="351"/>
      <c r="R1945" s="363"/>
      <c r="S1945" s="321"/>
      <c r="T1945" s="85" ph="1"/>
      <c r="V1945" s="216"/>
      <c r="W1945" s="245"/>
      <c r="X1945" s="187"/>
      <c r="Y1945" s="245"/>
      <c r="Z1945" s="245"/>
      <c r="AA1945" s="329"/>
      <c r="AC1945" s="245"/>
      <c r="AD1945" s="245"/>
      <c r="AE1945" s="245"/>
      <c r="AF1945" s="245"/>
    </row>
    <row r="1946" spans="1:32" ht="26.25">
      <c r="A1946" s="246"/>
      <c r="B1946" s="245"/>
      <c r="C1946" s="245"/>
      <c r="D1946" s="245"/>
      <c r="E1946" s="245"/>
      <c r="F1946" s="187"/>
      <c r="G1946" s="245"/>
      <c r="H1946" s="245"/>
      <c r="I1946" s="245"/>
      <c r="O1946" s="360"/>
      <c r="Q1946" s="351"/>
      <c r="R1946" s="363"/>
      <c r="S1946" s="321"/>
      <c r="T1946" s="85" ph="1"/>
      <c r="V1946" s="216"/>
      <c r="W1946" s="245"/>
      <c r="X1946" s="187"/>
      <c r="Y1946" s="245"/>
      <c r="Z1946" s="245"/>
      <c r="AA1946" s="329"/>
      <c r="AC1946" s="245"/>
      <c r="AD1946" s="245"/>
      <c r="AE1946" s="245"/>
      <c r="AF1946" s="245"/>
    </row>
    <row r="1947" spans="1:32" ht="26.25">
      <c r="A1947" s="246"/>
      <c r="B1947" s="245"/>
      <c r="C1947" s="245"/>
      <c r="D1947" s="245"/>
      <c r="E1947" s="245"/>
      <c r="F1947" s="187"/>
      <c r="G1947" s="245"/>
      <c r="H1947" s="245"/>
      <c r="I1947" s="245"/>
      <c r="O1947" s="360"/>
      <c r="Q1947" s="351"/>
      <c r="R1947" s="363"/>
      <c r="S1947" s="321"/>
      <c r="T1947" s="85" ph="1"/>
      <c r="V1947" s="216"/>
      <c r="W1947" s="245"/>
      <c r="X1947" s="187"/>
      <c r="Y1947" s="245"/>
      <c r="Z1947" s="245"/>
      <c r="AA1947" s="329"/>
      <c r="AC1947" s="245"/>
      <c r="AD1947" s="245"/>
      <c r="AE1947" s="245"/>
      <c r="AF1947" s="245"/>
    </row>
    <row r="1948" spans="1:32" ht="26.25">
      <c r="A1948" s="246"/>
      <c r="B1948" s="245"/>
      <c r="C1948" s="245"/>
      <c r="D1948" s="245"/>
      <c r="E1948" s="245"/>
      <c r="F1948" s="187"/>
      <c r="G1948" s="245"/>
      <c r="H1948" s="245"/>
      <c r="I1948" s="245"/>
      <c r="O1948" s="360"/>
      <c r="Q1948" s="351"/>
      <c r="R1948" s="363"/>
      <c r="S1948" s="321"/>
      <c r="T1948" s="85" ph="1"/>
      <c r="V1948" s="216"/>
      <c r="W1948" s="245"/>
      <c r="X1948" s="187"/>
      <c r="Y1948" s="245"/>
      <c r="Z1948" s="245"/>
      <c r="AA1948" s="329"/>
      <c r="AC1948" s="245"/>
      <c r="AD1948" s="245"/>
      <c r="AE1948" s="245"/>
      <c r="AF1948" s="245"/>
    </row>
    <row r="1949" spans="1:32" ht="26.25">
      <c r="A1949" s="246"/>
      <c r="B1949" s="245"/>
      <c r="C1949" s="245"/>
      <c r="D1949" s="245"/>
      <c r="E1949" s="245"/>
      <c r="F1949" s="187"/>
      <c r="G1949" s="245"/>
      <c r="H1949" s="245"/>
      <c r="I1949" s="245"/>
      <c r="O1949" s="360"/>
      <c r="Q1949" s="351"/>
      <c r="R1949" s="363"/>
      <c r="S1949" s="321"/>
      <c r="T1949" s="85" ph="1"/>
      <c r="V1949" s="216"/>
      <c r="W1949" s="245"/>
      <c r="X1949" s="187"/>
      <c r="Y1949" s="245"/>
      <c r="Z1949" s="245"/>
      <c r="AA1949" s="329"/>
      <c r="AC1949" s="245"/>
      <c r="AD1949" s="245"/>
      <c r="AE1949" s="245"/>
      <c r="AF1949" s="245"/>
    </row>
    <row r="1950" spans="1:32" ht="26.25">
      <c r="A1950" s="246"/>
      <c r="B1950" s="245"/>
      <c r="C1950" s="245"/>
      <c r="D1950" s="245"/>
      <c r="E1950" s="245"/>
      <c r="F1950" s="187"/>
      <c r="G1950" s="245"/>
      <c r="H1950" s="245"/>
      <c r="I1950" s="245"/>
      <c r="O1950" s="360"/>
      <c r="Q1950" s="351"/>
      <c r="R1950" s="363"/>
      <c r="S1950" s="321"/>
      <c r="T1950" s="85" ph="1"/>
      <c r="V1950" s="216"/>
      <c r="W1950" s="245"/>
      <c r="X1950" s="187"/>
      <c r="Y1950" s="245"/>
      <c r="Z1950" s="245"/>
      <c r="AA1950" s="329"/>
      <c r="AC1950" s="245"/>
      <c r="AD1950" s="245"/>
      <c r="AE1950" s="245"/>
      <c r="AF1950" s="245"/>
    </row>
    <row r="1951" spans="1:32" ht="26.25">
      <c r="A1951" s="246"/>
      <c r="B1951" s="245"/>
      <c r="C1951" s="245"/>
      <c r="D1951" s="245"/>
      <c r="E1951" s="245"/>
      <c r="F1951" s="187"/>
      <c r="G1951" s="245"/>
      <c r="H1951" s="245"/>
      <c r="I1951" s="245"/>
      <c r="O1951" s="360"/>
      <c r="Q1951" s="351"/>
      <c r="R1951" s="363"/>
      <c r="S1951" s="321"/>
      <c r="T1951" s="85" ph="1"/>
      <c r="V1951" s="216"/>
      <c r="W1951" s="245"/>
      <c r="X1951" s="187"/>
      <c r="Y1951" s="245"/>
      <c r="Z1951" s="245"/>
      <c r="AA1951" s="329"/>
      <c r="AC1951" s="245"/>
      <c r="AD1951" s="245"/>
      <c r="AE1951" s="245"/>
      <c r="AF1951" s="245"/>
    </row>
    <row r="1952" spans="1:32" ht="26.25">
      <c r="A1952" s="246"/>
      <c r="B1952" s="245"/>
      <c r="C1952" s="245"/>
      <c r="D1952" s="245"/>
      <c r="E1952" s="245"/>
      <c r="F1952" s="187"/>
      <c r="G1952" s="245"/>
      <c r="H1952" s="245"/>
      <c r="I1952" s="245"/>
      <c r="O1952" s="360"/>
      <c r="Q1952" s="351"/>
      <c r="R1952" s="363"/>
      <c r="S1952" s="321"/>
      <c r="T1952" s="85" ph="1"/>
      <c r="V1952" s="216"/>
      <c r="W1952" s="245"/>
      <c r="X1952" s="187"/>
      <c r="Y1952" s="245"/>
      <c r="Z1952" s="245"/>
      <c r="AA1952" s="329"/>
      <c r="AC1952" s="245"/>
      <c r="AD1952" s="245"/>
      <c r="AE1952" s="245"/>
      <c r="AF1952" s="245"/>
    </row>
    <row r="1953" spans="1:32" ht="26.25">
      <c r="A1953" s="246"/>
      <c r="B1953" s="245"/>
      <c r="C1953" s="245"/>
      <c r="D1953" s="245"/>
      <c r="E1953" s="245"/>
      <c r="F1953" s="187"/>
      <c r="G1953" s="245"/>
      <c r="H1953" s="245"/>
      <c r="I1953" s="245"/>
      <c r="O1953" s="360"/>
      <c r="Q1953" s="351"/>
      <c r="R1953" s="363"/>
      <c r="S1953" s="321"/>
      <c r="T1953" s="85" ph="1"/>
      <c r="V1953" s="216"/>
      <c r="W1953" s="245"/>
      <c r="X1953" s="187"/>
      <c r="Y1953" s="245"/>
      <c r="Z1953" s="245"/>
      <c r="AA1953" s="329"/>
      <c r="AC1953" s="245"/>
      <c r="AD1953" s="245"/>
      <c r="AE1953" s="245"/>
      <c r="AF1953" s="245"/>
    </row>
    <row r="1954" spans="1:32" ht="26.25">
      <c r="A1954" s="246"/>
      <c r="B1954" s="245"/>
      <c r="C1954" s="245"/>
      <c r="D1954" s="245"/>
      <c r="E1954" s="245"/>
      <c r="F1954" s="187"/>
      <c r="G1954" s="245"/>
      <c r="H1954" s="245"/>
      <c r="I1954" s="245"/>
      <c r="O1954" s="360"/>
      <c r="Q1954" s="351"/>
      <c r="R1954" s="363"/>
      <c r="S1954" s="321"/>
      <c r="T1954" s="85" ph="1"/>
      <c r="V1954" s="216"/>
      <c r="W1954" s="245"/>
      <c r="X1954" s="187"/>
      <c r="Y1954" s="245"/>
      <c r="Z1954" s="245"/>
      <c r="AA1954" s="329"/>
      <c r="AC1954" s="245"/>
      <c r="AD1954" s="245"/>
      <c r="AE1954" s="245"/>
      <c r="AF1954" s="245"/>
    </row>
    <row r="1955" spans="1:32" ht="26.25">
      <c r="A1955" s="246"/>
      <c r="B1955" s="245"/>
      <c r="C1955" s="245"/>
      <c r="D1955" s="245"/>
      <c r="E1955" s="245"/>
      <c r="F1955" s="187"/>
      <c r="G1955" s="245"/>
      <c r="H1955" s="245"/>
      <c r="I1955" s="245"/>
      <c r="O1955" s="360"/>
      <c r="Q1955" s="351"/>
      <c r="R1955" s="363"/>
      <c r="S1955" s="321"/>
      <c r="T1955" s="85" ph="1"/>
      <c r="V1955" s="216"/>
      <c r="W1955" s="245"/>
      <c r="X1955" s="187"/>
      <c r="Y1955" s="245"/>
      <c r="Z1955" s="245"/>
      <c r="AA1955" s="329"/>
      <c r="AC1955" s="245"/>
      <c r="AD1955" s="245"/>
      <c r="AE1955" s="245"/>
      <c r="AF1955" s="245"/>
    </row>
    <row r="1956" spans="1:32" ht="26.25">
      <c r="A1956" s="246"/>
      <c r="B1956" s="245"/>
      <c r="C1956" s="245"/>
      <c r="D1956" s="245"/>
      <c r="E1956" s="245"/>
      <c r="F1956" s="187"/>
      <c r="G1956" s="245"/>
      <c r="H1956" s="245"/>
      <c r="I1956" s="245"/>
      <c r="O1956" s="360"/>
      <c r="Q1956" s="351"/>
      <c r="R1956" s="363"/>
      <c r="S1956" s="321"/>
      <c r="T1956" s="85" ph="1"/>
      <c r="V1956" s="216"/>
      <c r="W1956" s="245"/>
      <c r="X1956" s="187"/>
      <c r="Y1956" s="245"/>
      <c r="Z1956" s="245"/>
      <c r="AA1956" s="329"/>
      <c r="AC1956" s="245"/>
      <c r="AD1956" s="245"/>
      <c r="AE1956" s="245"/>
      <c r="AF1956" s="245"/>
    </row>
    <row r="1957" spans="1:32" ht="26.25">
      <c r="A1957" s="246"/>
      <c r="B1957" s="245"/>
      <c r="C1957" s="245"/>
      <c r="D1957" s="245"/>
      <c r="E1957" s="245"/>
      <c r="F1957" s="187"/>
      <c r="G1957" s="245"/>
      <c r="H1957" s="245"/>
      <c r="I1957" s="245"/>
      <c r="O1957" s="360"/>
      <c r="Q1957" s="351"/>
      <c r="R1957" s="363"/>
      <c r="S1957" s="321"/>
      <c r="T1957" s="85" ph="1"/>
      <c r="V1957" s="216"/>
      <c r="W1957" s="245"/>
      <c r="X1957" s="187"/>
      <c r="Y1957" s="245"/>
      <c r="Z1957" s="245"/>
      <c r="AA1957" s="329"/>
      <c r="AC1957" s="245"/>
      <c r="AD1957" s="245"/>
      <c r="AE1957" s="245"/>
      <c r="AF1957" s="245"/>
    </row>
    <row r="1958" spans="1:32" ht="26.25">
      <c r="A1958" s="246"/>
      <c r="B1958" s="245"/>
      <c r="C1958" s="245"/>
      <c r="D1958" s="245"/>
      <c r="E1958" s="245"/>
      <c r="F1958" s="187"/>
      <c r="G1958" s="245"/>
      <c r="H1958" s="245"/>
      <c r="I1958" s="245"/>
      <c r="O1958" s="360"/>
      <c r="Q1958" s="351"/>
      <c r="R1958" s="363"/>
      <c r="S1958" s="321"/>
      <c r="T1958" s="85" ph="1"/>
      <c r="V1958" s="216"/>
      <c r="W1958" s="245"/>
      <c r="X1958" s="187"/>
      <c r="Y1958" s="245"/>
      <c r="Z1958" s="245"/>
      <c r="AA1958" s="329"/>
      <c r="AC1958" s="245"/>
      <c r="AD1958" s="245"/>
      <c r="AE1958" s="245"/>
      <c r="AF1958" s="245"/>
    </row>
    <row r="1959" spans="1:32" ht="26.25">
      <c r="A1959" s="246"/>
      <c r="B1959" s="245"/>
      <c r="C1959" s="245"/>
      <c r="D1959" s="245"/>
      <c r="E1959" s="245"/>
      <c r="F1959" s="187"/>
      <c r="G1959" s="245"/>
      <c r="H1959" s="245"/>
      <c r="I1959" s="245"/>
      <c r="O1959" s="360"/>
      <c r="Q1959" s="351"/>
      <c r="R1959" s="363"/>
      <c r="S1959" s="321"/>
      <c r="T1959" s="85" ph="1"/>
      <c r="V1959" s="216"/>
      <c r="W1959" s="245"/>
      <c r="X1959" s="187"/>
      <c r="Y1959" s="245"/>
      <c r="Z1959" s="245"/>
      <c r="AA1959" s="329"/>
      <c r="AC1959" s="245"/>
      <c r="AD1959" s="245"/>
      <c r="AE1959" s="245"/>
      <c r="AF1959" s="245"/>
    </row>
    <row r="1960" spans="1:32" ht="26.25">
      <c r="A1960" s="246"/>
      <c r="B1960" s="245"/>
      <c r="C1960" s="245"/>
      <c r="D1960" s="245"/>
      <c r="E1960" s="245"/>
      <c r="F1960" s="187"/>
      <c r="G1960" s="245"/>
      <c r="H1960" s="245"/>
      <c r="I1960" s="245"/>
      <c r="O1960" s="360"/>
      <c r="Q1960" s="351"/>
      <c r="R1960" s="363"/>
      <c r="S1960" s="321"/>
      <c r="T1960" s="85" ph="1"/>
      <c r="V1960" s="216"/>
      <c r="W1960" s="245"/>
      <c r="X1960" s="187"/>
      <c r="Y1960" s="245"/>
      <c r="Z1960" s="245"/>
      <c r="AA1960" s="329"/>
      <c r="AC1960" s="245"/>
      <c r="AD1960" s="245"/>
      <c r="AE1960" s="245"/>
      <c r="AF1960" s="245"/>
    </row>
    <row r="1961" spans="1:32" ht="26.25">
      <c r="A1961" s="246"/>
      <c r="B1961" s="245"/>
      <c r="C1961" s="245"/>
      <c r="D1961" s="245"/>
      <c r="E1961" s="245"/>
      <c r="F1961" s="187"/>
      <c r="G1961" s="245"/>
      <c r="H1961" s="245"/>
      <c r="I1961" s="245"/>
      <c r="O1961" s="360"/>
      <c r="Q1961" s="351"/>
      <c r="R1961" s="363"/>
      <c r="S1961" s="321"/>
      <c r="T1961" s="85" ph="1"/>
      <c r="V1961" s="216"/>
      <c r="W1961" s="245"/>
      <c r="X1961" s="187"/>
      <c r="Y1961" s="245"/>
      <c r="Z1961" s="245"/>
      <c r="AA1961" s="329"/>
      <c r="AC1961" s="245"/>
      <c r="AD1961" s="245"/>
      <c r="AE1961" s="245"/>
      <c r="AF1961" s="245"/>
    </row>
    <row r="1962" spans="1:32" ht="26.25">
      <c r="A1962" s="246"/>
      <c r="B1962" s="245"/>
      <c r="C1962" s="245"/>
      <c r="D1962" s="245"/>
      <c r="E1962" s="245"/>
      <c r="F1962" s="187"/>
      <c r="G1962" s="245"/>
      <c r="H1962" s="245"/>
      <c r="I1962" s="245"/>
      <c r="O1962" s="360"/>
      <c r="Q1962" s="351"/>
      <c r="R1962" s="363"/>
      <c r="S1962" s="321"/>
      <c r="T1962" s="85" ph="1"/>
      <c r="V1962" s="216"/>
      <c r="W1962" s="245"/>
      <c r="X1962" s="187"/>
      <c r="Y1962" s="245"/>
      <c r="Z1962" s="245"/>
      <c r="AA1962" s="329"/>
      <c r="AC1962" s="245"/>
      <c r="AD1962" s="245"/>
      <c r="AE1962" s="245"/>
      <c r="AF1962" s="245"/>
    </row>
    <row r="1963" spans="1:32" ht="26.25">
      <c r="A1963" s="246"/>
      <c r="B1963" s="245"/>
      <c r="C1963" s="245"/>
      <c r="D1963" s="245"/>
      <c r="E1963" s="245"/>
      <c r="F1963" s="187"/>
      <c r="G1963" s="245"/>
      <c r="H1963" s="245"/>
      <c r="I1963" s="245"/>
      <c r="O1963" s="360"/>
      <c r="Q1963" s="351"/>
      <c r="R1963" s="363"/>
      <c r="S1963" s="321"/>
      <c r="T1963" s="85" ph="1"/>
      <c r="V1963" s="216"/>
      <c r="W1963" s="245"/>
      <c r="X1963" s="187"/>
      <c r="Y1963" s="245"/>
      <c r="Z1963" s="245"/>
      <c r="AA1963" s="329"/>
      <c r="AC1963" s="245"/>
      <c r="AD1963" s="245"/>
      <c r="AE1963" s="245"/>
      <c r="AF1963" s="245"/>
    </row>
    <row r="1964" spans="1:32" ht="26.25">
      <c r="A1964" s="246"/>
      <c r="B1964" s="245"/>
      <c r="C1964" s="245"/>
      <c r="D1964" s="245"/>
      <c r="E1964" s="245"/>
      <c r="F1964" s="187"/>
      <c r="G1964" s="245"/>
      <c r="H1964" s="245"/>
      <c r="I1964" s="245"/>
      <c r="O1964" s="360"/>
      <c r="Q1964" s="351"/>
      <c r="R1964" s="363"/>
      <c r="S1964" s="321"/>
      <c r="T1964" s="85" ph="1"/>
      <c r="V1964" s="216"/>
      <c r="W1964" s="245"/>
      <c r="X1964" s="187"/>
      <c r="Y1964" s="245"/>
      <c r="Z1964" s="245"/>
      <c r="AA1964" s="329"/>
      <c r="AC1964" s="245"/>
      <c r="AD1964" s="245"/>
      <c r="AE1964" s="245"/>
      <c r="AF1964" s="245"/>
    </row>
    <row r="1965" spans="1:32" ht="26.25">
      <c r="A1965" s="246"/>
      <c r="B1965" s="245"/>
      <c r="C1965" s="245"/>
      <c r="D1965" s="245"/>
      <c r="E1965" s="245"/>
      <c r="F1965" s="187"/>
      <c r="G1965" s="245"/>
      <c r="H1965" s="245"/>
      <c r="I1965" s="245"/>
      <c r="O1965" s="360"/>
      <c r="Q1965" s="351"/>
      <c r="R1965" s="363"/>
      <c r="S1965" s="321"/>
      <c r="T1965" s="85" ph="1"/>
      <c r="V1965" s="216"/>
      <c r="W1965" s="245"/>
      <c r="X1965" s="187"/>
      <c r="Y1965" s="245"/>
      <c r="Z1965" s="245"/>
      <c r="AA1965" s="329"/>
      <c r="AC1965" s="245"/>
      <c r="AD1965" s="245"/>
      <c r="AE1965" s="245"/>
      <c r="AF1965" s="245"/>
    </row>
    <row r="1966" spans="1:32" ht="26.25">
      <c r="A1966" s="246"/>
      <c r="B1966" s="245"/>
      <c r="C1966" s="245"/>
      <c r="D1966" s="245"/>
      <c r="E1966" s="245"/>
      <c r="F1966" s="187"/>
      <c r="G1966" s="245"/>
      <c r="H1966" s="245"/>
      <c r="I1966" s="245"/>
      <c r="O1966" s="360"/>
      <c r="Q1966" s="351"/>
      <c r="R1966" s="363"/>
      <c r="S1966" s="321"/>
      <c r="T1966" s="85" ph="1"/>
      <c r="V1966" s="216"/>
      <c r="W1966" s="245"/>
      <c r="X1966" s="187"/>
      <c r="Y1966" s="245"/>
      <c r="Z1966" s="245"/>
      <c r="AA1966" s="329"/>
      <c r="AC1966" s="245"/>
      <c r="AD1966" s="245"/>
      <c r="AE1966" s="245"/>
      <c r="AF1966" s="245"/>
    </row>
    <row r="1967" spans="1:32" ht="26.25">
      <c r="A1967" s="246"/>
      <c r="B1967" s="245"/>
      <c r="C1967" s="245"/>
      <c r="D1967" s="245"/>
      <c r="E1967" s="245"/>
      <c r="F1967" s="187"/>
      <c r="G1967" s="245"/>
      <c r="H1967" s="245"/>
      <c r="I1967" s="245"/>
      <c r="O1967" s="360"/>
      <c r="Q1967" s="351"/>
      <c r="R1967" s="363"/>
      <c r="S1967" s="321"/>
      <c r="T1967" s="85" ph="1"/>
      <c r="V1967" s="216"/>
      <c r="W1967" s="245"/>
      <c r="X1967" s="187"/>
      <c r="Y1967" s="245"/>
      <c r="Z1967" s="245"/>
      <c r="AA1967" s="329"/>
      <c r="AC1967" s="245"/>
      <c r="AD1967" s="245"/>
      <c r="AE1967" s="245"/>
      <c r="AF1967" s="245"/>
    </row>
    <row r="1968" spans="1:32" ht="26.25">
      <c r="A1968" s="246"/>
      <c r="B1968" s="245"/>
      <c r="C1968" s="245"/>
      <c r="D1968" s="245"/>
      <c r="E1968" s="245"/>
      <c r="F1968" s="187"/>
      <c r="G1968" s="245"/>
      <c r="H1968" s="245"/>
      <c r="I1968" s="245"/>
      <c r="O1968" s="360"/>
      <c r="Q1968" s="351"/>
      <c r="R1968" s="363"/>
      <c r="S1968" s="321"/>
      <c r="T1968" s="85" ph="1"/>
      <c r="V1968" s="216"/>
      <c r="W1968" s="245"/>
      <c r="X1968" s="187"/>
      <c r="Y1968" s="245"/>
      <c r="Z1968" s="245"/>
      <c r="AA1968" s="329"/>
      <c r="AC1968" s="245"/>
      <c r="AD1968" s="245"/>
      <c r="AE1968" s="245"/>
      <c r="AF1968" s="245"/>
    </row>
    <row r="1969" spans="1:32" ht="26.25">
      <c r="A1969" s="246"/>
      <c r="B1969" s="245"/>
      <c r="C1969" s="245"/>
      <c r="D1969" s="245"/>
      <c r="E1969" s="245"/>
      <c r="F1969" s="187"/>
      <c r="G1969" s="245"/>
      <c r="H1969" s="245"/>
      <c r="I1969" s="245"/>
      <c r="O1969" s="360"/>
      <c r="Q1969" s="351"/>
      <c r="R1969" s="363"/>
      <c r="S1969" s="321"/>
      <c r="T1969" s="85" ph="1"/>
      <c r="V1969" s="216"/>
      <c r="W1969" s="245"/>
      <c r="X1969" s="187"/>
      <c r="Y1969" s="245"/>
      <c r="Z1969" s="245"/>
      <c r="AA1969" s="329"/>
      <c r="AC1969" s="245"/>
      <c r="AD1969" s="245"/>
      <c r="AE1969" s="245"/>
      <c r="AF1969" s="245"/>
    </row>
    <row r="1970" spans="1:32" ht="26.25">
      <c r="A1970" s="246"/>
      <c r="B1970" s="245"/>
      <c r="C1970" s="245"/>
      <c r="D1970" s="245"/>
      <c r="E1970" s="245"/>
      <c r="F1970" s="187"/>
      <c r="G1970" s="245"/>
      <c r="H1970" s="245"/>
      <c r="I1970" s="245"/>
      <c r="O1970" s="360"/>
      <c r="Q1970" s="351"/>
      <c r="R1970" s="363"/>
      <c r="S1970" s="321"/>
      <c r="T1970" s="85" ph="1"/>
      <c r="V1970" s="216"/>
      <c r="W1970" s="245"/>
      <c r="X1970" s="187"/>
      <c r="Y1970" s="245"/>
      <c r="Z1970" s="245"/>
      <c r="AA1970" s="329"/>
      <c r="AC1970" s="245"/>
      <c r="AD1970" s="245"/>
      <c r="AE1970" s="245"/>
      <c r="AF1970" s="245"/>
    </row>
    <row r="1971" spans="1:32" ht="26.25">
      <c r="A1971" s="246"/>
      <c r="B1971" s="245"/>
      <c r="C1971" s="245"/>
      <c r="D1971" s="245"/>
      <c r="E1971" s="245"/>
      <c r="F1971" s="187"/>
      <c r="G1971" s="245"/>
      <c r="H1971" s="245"/>
      <c r="I1971" s="245"/>
      <c r="O1971" s="360"/>
      <c r="Q1971" s="351"/>
      <c r="R1971" s="363"/>
      <c r="S1971" s="321"/>
      <c r="T1971" s="85" ph="1"/>
      <c r="V1971" s="216"/>
      <c r="W1971" s="245"/>
      <c r="X1971" s="187"/>
      <c r="Y1971" s="245"/>
      <c r="Z1971" s="245"/>
      <c r="AA1971" s="329"/>
      <c r="AC1971" s="245"/>
      <c r="AD1971" s="245"/>
      <c r="AE1971" s="245"/>
      <c r="AF1971" s="245"/>
    </row>
    <row r="1972" spans="1:32" ht="26.25">
      <c r="A1972" s="246"/>
      <c r="B1972" s="245"/>
      <c r="C1972" s="245"/>
      <c r="D1972" s="245"/>
      <c r="E1972" s="245"/>
      <c r="F1972" s="187"/>
      <c r="G1972" s="245"/>
      <c r="H1972" s="245"/>
      <c r="I1972" s="245"/>
      <c r="O1972" s="360"/>
      <c r="Q1972" s="351"/>
      <c r="R1972" s="363"/>
      <c r="S1972" s="321"/>
      <c r="T1972" s="85" ph="1"/>
      <c r="V1972" s="216"/>
      <c r="W1972" s="245"/>
      <c r="X1972" s="187"/>
      <c r="Y1972" s="245"/>
      <c r="Z1972" s="245"/>
      <c r="AA1972" s="329"/>
      <c r="AC1972" s="245"/>
      <c r="AD1972" s="245"/>
      <c r="AE1972" s="245"/>
      <c r="AF1972" s="245"/>
    </row>
    <row r="1973" spans="1:32" ht="26.25">
      <c r="A1973" s="246"/>
      <c r="B1973" s="245"/>
      <c r="C1973" s="245"/>
      <c r="D1973" s="245"/>
      <c r="E1973" s="245"/>
      <c r="F1973" s="187"/>
      <c r="G1973" s="245"/>
      <c r="H1973" s="245"/>
      <c r="I1973" s="245"/>
      <c r="O1973" s="360"/>
      <c r="Q1973" s="351"/>
      <c r="R1973" s="363"/>
      <c r="S1973" s="321"/>
      <c r="T1973" s="85" ph="1"/>
      <c r="V1973" s="216"/>
      <c r="W1973" s="245"/>
      <c r="X1973" s="187"/>
      <c r="Y1973" s="245"/>
      <c r="Z1973" s="245"/>
      <c r="AA1973" s="329"/>
      <c r="AC1973" s="245"/>
      <c r="AD1973" s="245"/>
      <c r="AE1973" s="245"/>
      <c r="AF1973" s="245"/>
    </row>
    <row r="1974" spans="1:32" ht="26.25">
      <c r="A1974" s="246"/>
      <c r="B1974" s="245"/>
      <c r="C1974" s="245"/>
      <c r="D1974" s="245"/>
      <c r="E1974" s="245"/>
      <c r="F1974" s="187"/>
      <c r="G1974" s="245"/>
      <c r="H1974" s="245"/>
      <c r="I1974" s="245"/>
      <c r="O1974" s="360"/>
      <c r="Q1974" s="351"/>
      <c r="R1974" s="363"/>
      <c r="S1974" s="321"/>
      <c r="T1974" s="85" ph="1"/>
      <c r="V1974" s="216"/>
      <c r="W1974" s="245"/>
      <c r="X1974" s="187"/>
      <c r="Y1974" s="245"/>
      <c r="Z1974" s="245"/>
      <c r="AA1974" s="329"/>
      <c r="AC1974" s="245"/>
      <c r="AD1974" s="245"/>
      <c r="AE1974" s="245"/>
      <c r="AF1974" s="245"/>
    </row>
    <row r="1975" spans="1:32" ht="26.25">
      <c r="A1975" s="246"/>
      <c r="B1975" s="245"/>
      <c r="C1975" s="245"/>
      <c r="D1975" s="245"/>
      <c r="E1975" s="245"/>
      <c r="F1975" s="187"/>
      <c r="G1975" s="245"/>
      <c r="H1975" s="245"/>
      <c r="I1975" s="245"/>
      <c r="O1975" s="360"/>
      <c r="Q1975" s="351"/>
      <c r="R1975" s="363"/>
      <c r="S1975" s="321"/>
      <c r="T1975" s="85" ph="1"/>
      <c r="V1975" s="216"/>
      <c r="W1975" s="245"/>
      <c r="X1975" s="187"/>
      <c r="Y1975" s="245"/>
      <c r="Z1975" s="245"/>
      <c r="AA1975" s="329"/>
      <c r="AC1975" s="245"/>
      <c r="AD1975" s="245"/>
      <c r="AE1975" s="245"/>
      <c r="AF1975" s="245"/>
    </row>
    <row r="1976" spans="1:32" ht="26.25">
      <c r="A1976" s="246"/>
      <c r="B1976" s="245"/>
      <c r="C1976" s="245"/>
      <c r="D1976" s="245"/>
      <c r="E1976" s="245"/>
      <c r="F1976" s="187"/>
      <c r="G1976" s="245"/>
      <c r="H1976" s="245"/>
      <c r="I1976" s="245"/>
      <c r="O1976" s="360"/>
      <c r="Q1976" s="351"/>
      <c r="R1976" s="363"/>
      <c r="S1976" s="321"/>
      <c r="T1976" s="85" ph="1"/>
      <c r="V1976" s="216"/>
      <c r="W1976" s="245"/>
      <c r="X1976" s="187"/>
      <c r="Y1976" s="245"/>
      <c r="Z1976" s="245"/>
      <c r="AA1976" s="329"/>
      <c r="AC1976" s="245"/>
      <c r="AD1976" s="245"/>
      <c r="AE1976" s="245"/>
      <c r="AF1976" s="245"/>
    </row>
    <row r="1977" spans="1:32" ht="26.25">
      <c r="A1977" s="246"/>
      <c r="B1977" s="245"/>
      <c r="C1977" s="245"/>
      <c r="D1977" s="245"/>
      <c r="E1977" s="245"/>
      <c r="F1977" s="187"/>
      <c r="G1977" s="245"/>
      <c r="H1977" s="245"/>
      <c r="I1977" s="245"/>
      <c r="O1977" s="360"/>
      <c r="Q1977" s="351"/>
      <c r="R1977" s="363"/>
      <c r="S1977" s="321"/>
      <c r="T1977" s="85" ph="1"/>
      <c r="V1977" s="216"/>
      <c r="W1977" s="245"/>
      <c r="X1977" s="187"/>
      <c r="Y1977" s="245"/>
      <c r="Z1977" s="245"/>
      <c r="AA1977" s="329"/>
      <c r="AC1977" s="245"/>
      <c r="AD1977" s="245"/>
      <c r="AE1977" s="245"/>
      <c r="AF1977" s="245"/>
    </row>
    <row r="1978" spans="1:32" ht="26.25">
      <c r="A1978" s="246"/>
      <c r="B1978" s="245"/>
      <c r="C1978" s="245"/>
      <c r="D1978" s="245"/>
      <c r="E1978" s="245"/>
      <c r="F1978" s="187"/>
      <c r="G1978" s="245"/>
      <c r="H1978" s="245"/>
      <c r="I1978" s="245"/>
      <c r="O1978" s="360"/>
      <c r="Q1978" s="351"/>
      <c r="R1978" s="363"/>
      <c r="S1978" s="321"/>
      <c r="T1978" s="85" ph="1"/>
      <c r="V1978" s="216"/>
      <c r="W1978" s="245"/>
      <c r="X1978" s="187"/>
      <c r="Y1978" s="245"/>
      <c r="Z1978" s="245"/>
      <c r="AA1978" s="329"/>
      <c r="AC1978" s="245"/>
      <c r="AD1978" s="245"/>
      <c r="AE1978" s="245"/>
      <c r="AF1978" s="245"/>
    </row>
    <row r="1979" spans="1:32" ht="26.25">
      <c r="A1979" s="246"/>
      <c r="B1979" s="245"/>
      <c r="C1979" s="245"/>
      <c r="D1979" s="245"/>
      <c r="E1979" s="245"/>
      <c r="F1979" s="187"/>
      <c r="G1979" s="245"/>
      <c r="H1979" s="245"/>
      <c r="I1979" s="245"/>
      <c r="O1979" s="360"/>
      <c r="Q1979" s="351"/>
      <c r="R1979" s="363"/>
      <c r="S1979" s="321"/>
      <c r="T1979" s="85" ph="1"/>
      <c r="V1979" s="216"/>
      <c r="W1979" s="245"/>
      <c r="X1979" s="187"/>
      <c r="Y1979" s="245"/>
      <c r="Z1979" s="245"/>
      <c r="AA1979" s="329"/>
      <c r="AC1979" s="245"/>
      <c r="AD1979" s="245"/>
      <c r="AE1979" s="245"/>
      <c r="AF1979" s="245"/>
    </row>
    <row r="1980" spans="1:32" ht="26.25">
      <c r="A1980" s="246"/>
      <c r="B1980" s="245"/>
      <c r="C1980" s="245"/>
      <c r="D1980" s="245"/>
      <c r="E1980" s="245"/>
      <c r="F1980" s="187"/>
      <c r="G1980" s="245"/>
      <c r="H1980" s="245"/>
      <c r="I1980" s="245"/>
      <c r="O1980" s="360"/>
      <c r="Q1980" s="351"/>
      <c r="R1980" s="363"/>
      <c r="S1980" s="321"/>
      <c r="T1980" s="85" ph="1"/>
      <c r="V1980" s="216"/>
      <c r="W1980" s="245"/>
      <c r="X1980" s="187"/>
      <c r="Y1980" s="245"/>
      <c r="Z1980" s="245"/>
      <c r="AA1980" s="329"/>
      <c r="AC1980" s="245"/>
      <c r="AD1980" s="245"/>
      <c r="AE1980" s="245"/>
      <c r="AF1980" s="245"/>
    </row>
    <row r="1981" spans="1:32" ht="26.25">
      <c r="A1981" s="246"/>
      <c r="B1981" s="245"/>
      <c r="C1981" s="245"/>
      <c r="D1981" s="245"/>
      <c r="E1981" s="245"/>
      <c r="F1981" s="187"/>
      <c r="G1981" s="245"/>
      <c r="H1981" s="245"/>
      <c r="I1981" s="245"/>
      <c r="O1981" s="360"/>
      <c r="Q1981" s="351"/>
      <c r="R1981" s="363"/>
      <c r="S1981" s="321"/>
      <c r="T1981" s="85" ph="1"/>
      <c r="V1981" s="216"/>
      <c r="W1981" s="245"/>
      <c r="X1981" s="187"/>
      <c r="Y1981" s="245"/>
      <c r="Z1981" s="245"/>
      <c r="AA1981" s="329"/>
      <c r="AC1981" s="245"/>
      <c r="AD1981" s="245"/>
      <c r="AE1981" s="245"/>
      <c r="AF1981" s="245"/>
    </row>
    <row r="1982" spans="1:32" ht="26.25">
      <c r="A1982" s="246"/>
      <c r="B1982" s="245"/>
      <c r="C1982" s="245"/>
      <c r="D1982" s="245"/>
      <c r="E1982" s="245"/>
      <c r="F1982" s="187"/>
      <c r="G1982" s="245"/>
      <c r="H1982" s="245"/>
      <c r="I1982" s="245"/>
      <c r="O1982" s="360"/>
      <c r="Q1982" s="351"/>
      <c r="R1982" s="363"/>
      <c r="S1982" s="321"/>
      <c r="T1982" s="85" ph="1"/>
      <c r="V1982" s="216"/>
      <c r="W1982" s="245"/>
      <c r="X1982" s="187"/>
      <c r="Y1982" s="245"/>
      <c r="Z1982" s="245"/>
      <c r="AA1982" s="329"/>
      <c r="AC1982" s="245"/>
      <c r="AD1982" s="245"/>
      <c r="AE1982" s="245"/>
      <c r="AF1982" s="245"/>
    </row>
    <row r="1983" spans="1:32" ht="26.25">
      <c r="A1983" s="246"/>
      <c r="B1983" s="245"/>
      <c r="C1983" s="245"/>
      <c r="D1983" s="245"/>
      <c r="E1983" s="245"/>
      <c r="F1983" s="187"/>
      <c r="G1983" s="245"/>
      <c r="H1983" s="245"/>
      <c r="I1983" s="245"/>
      <c r="O1983" s="360"/>
      <c r="Q1983" s="351"/>
      <c r="R1983" s="363"/>
      <c r="S1983" s="321"/>
      <c r="T1983" s="85" ph="1"/>
      <c r="V1983" s="216"/>
      <c r="W1983" s="245"/>
      <c r="X1983" s="187"/>
      <c r="Y1983" s="245"/>
      <c r="Z1983" s="245"/>
      <c r="AA1983" s="329"/>
      <c r="AC1983" s="245"/>
      <c r="AD1983" s="245"/>
      <c r="AE1983" s="245"/>
      <c r="AF1983" s="245"/>
    </row>
    <row r="1984" spans="1:32" ht="26.25">
      <c r="A1984" s="246"/>
      <c r="B1984" s="245"/>
      <c r="C1984" s="245"/>
      <c r="D1984" s="245"/>
      <c r="E1984" s="245"/>
      <c r="F1984" s="187"/>
      <c r="G1984" s="245"/>
      <c r="H1984" s="245"/>
      <c r="I1984" s="245"/>
      <c r="O1984" s="360"/>
      <c r="Q1984" s="351"/>
      <c r="R1984" s="363"/>
      <c r="S1984" s="321"/>
      <c r="T1984" s="85" ph="1"/>
      <c r="V1984" s="216"/>
      <c r="W1984" s="245"/>
      <c r="X1984" s="187"/>
      <c r="Y1984" s="245"/>
      <c r="Z1984" s="245"/>
      <c r="AA1984" s="329"/>
      <c r="AC1984" s="245"/>
      <c r="AD1984" s="245"/>
      <c r="AE1984" s="245"/>
      <c r="AF1984" s="245"/>
    </row>
    <row r="1985" spans="1:32" ht="26.25">
      <c r="A1985" s="246"/>
      <c r="B1985" s="245"/>
      <c r="C1985" s="245"/>
      <c r="D1985" s="245"/>
      <c r="E1985" s="245"/>
      <c r="F1985" s="187"/>
      <c r="G1985" s="245"/>
      <c r="H1985" s="245"/>
      <c r="I1985" s="245"/>
      <c r="O1985" s="360"/>
      <c r="Q1985" s="351"/>
      <c r="R1985" s="363"/>
      <c r="S1985" s="321"/>
      <c r="T1985" s="85" ph="1"/>
      <c r="V1985" s="216"/>
      <c r="W1985" s="245"/>
      <c r="X1985" s="187"/>
      <c r="Y1985" s="245"/>
      <c r="Z1985" s="245"/>
      <c r="AA1985" s="329"/>
      <c r="AC1985" s="245"/>
      <c r="AD1985" s="245"/>
      <c r="AE1985" s="245"/>
      <c r="AF1985" s="245"/>
    </row>
    <row r="1986" spans="1:32" ht="26.25">
      <c r="A1986" s="246"/>
      <c r="B1986" s="245"/>
      <c r="C1986" s="245"/>
      <c r="D1986" s="245"/>
      <c r="E1986" s="245"/>
      <c r="F1986" s="187"/>
      <c r="G1986" s="245"/>
      <c r="H1986" s="245"/>
      <c r="I1986" s="245"/>
      <c r="O1986" s="360"/>
      <c r="Q1986" s="351"/>
      <c r="R1986" s="363"/>
      <c r="S1986" s="321"/>
      <c r="T1986" s="85" ph="1"/>
      <c r="V1986" s="216"/>
      <c r="W1986" s="245"/>
      <c r="X1986" s="187"/>
      <c r="Y1986" s="245"/>
      <c r="Z1986" s="245"/>
      <c r="AA1986" s="329"/>
      <c r="AC1986" s="245"/>
      <c r="AD1986" s="245"/>
      <c r="AE1986" s="245"/>
      <c r="AF1986" s="245"/>
    </row>
    <row r="1987" spans="1:32" ht="26.25">
      <c r="A1987" s="246"/>
      <c r="B1987" s="245"/>
      <c r="C1987" s="245"/>
      <c r="D1987" s="245"/>
      <c r="E1987" s="245"/>
      <c r="F1987" s="187"/>
      <c r="G1987" s="245"/>
      <c r="H1987" s="245"/>
      <c r="I1987" s="245"/>
      <c r="O1987" s="360"/>
      <c r="Q1987" s="351"/>
      <c r="R1987" s="363"/>
      <c r="S1987" s="321"/>
      <c r="T1987" s="85" ph="1"/>
      <c r="V1987" s="216"/>
      <c r="W1987" s="245"/>
      <c r="X1987" s="187"/>
      <c r="Y1987" s="245"/>
      <c r="Z1987" s="245"/>
      <c r="AA1987" s="329"/>
      <c r="AC1987" s="245"/>
      <c r="AD1987" s="245"/>
      <c r="AE1987" s="245"/>
      <c r="AF1987" s="245"/>
    </row>
    <row r="1988" spans="1:32" ht="26.25">
      <c r="A1988" s="246"/>
      <c r="B1988" s="245"/>
      <c r="C1988" s="245"/>
      <c r="D1988" s="245"/>
      <c r="E1988" s="245"/>
      <c r="F1988" s="187"/>
      <c r="G1988" s="245"/>
      <c r="H1988" s="245"/>
      <c r="I1988" s="245"/>
      <c r="O1988" s="360"/>
      <c r="Q1988" s="351"/>
      <c r="R1988" s="363"/>
      <c r="S1988" s="321"/>
      <c r="T1988" s="85" ph="1"/>
      <c r="V1988" s="216"/>
      <c r="W1988" s="245"/>
      <c r="X1988" s="187"/>
      <c r="Y1988" s="245"/>
      <c r="Z1988" s="245"/>
      <c r="AA1988" s="329"/>
      <c r="AC1988" s="245"/>
      <c r="AD1988" s="245"/>
      <c r="AE1988" s="245"/>
      <c r="AF1988" s="245"/>
    </row>
    <row r="1989" spans="1:32" ht="26.25">
      <c r="A1989" s="246"/>
      <c r="B1989" s="245"/>
      <c r="C1989" s="245"/>
      <c r="D1989" s="245"/>
      <c r="E1989" s="245"/>
      <c r="F1989" s="187"/>
      <c r="G1989" s="245"/>
      <c r="H1989" s="245"/>
      <c r="I1989" s="245"/>
      <c r="O1989" s="360"/>
      <c r="Q1989" s="351"/>
      <c r="R1989" s="363"/>
      <c r="S1989" s="321"/>
      <c r="T1989" s="85" ph="1"/>
      <c r="V1989" s="216"/>
      <c r="W1989" s="245"/>
      <c r="X1989" s="187"/>
      <c r="Y1989" s="245"/>
      <c r="Z1989" s="245"/>
      <c r="AA1989" s="329"/>
      <c r="AC1989" s="245"/>
      <c r="AD1989" s="245"/>
      <c r="AE1989" s="245"/>
      <c r="AF1989" s="245"/>
    </row>
    <row r="1990" spans="1:32" ht="26.25">
      <c r="A1990" s="246"/>
      <c r="B1990" s="245"/>
      <c r="C1990" s="245"/>
      <c r="D1990" s="245"/>
      <c r="E1990" s="245"/>
      <c r="F1990" s="187"/>
      <c r="G1990" s="245"/>
      <c r="H1990" s="245"/>
      <c r="I1990" s="245"/>
      <c r="O1990" s="360"/>
      <c r="Q1990" s="351"/>
      <c r="R1990" s="363"/>
      <c r="S1990" s="321"/>
      <c r="T1990" s="85" ph="1"/>
      <c r="V1990" s="216"/>
      <c r="W1990" s="245"/>
      <c r="X1990" s="187"/>
      <c r="Y1990" s="245"/>
      <c r="Z1990" s="245"/>
      <c r="AA1990" s="329"/>
      <c r="AC1990" s="245"/>
      <c r="AD1990" s="245"/>
      <c r="AE1990" s="245"/>
      <c r="AF1990" s="245"/>
    </row>
    <row r="1991" spans="1:32" ht="26.25">
      <c r="A1991" s="246"/>
      <c r="B1991" s="245"/>
      <c r="C1991" s="245"/>
      <c r="D1991" s="245"/>
      <c r="E1991" s="245"/>
      <c r="F1991" s="187"/>
      <c r="G1991" s="245"/>
      <c r="H1991" s="245"/>
      <c r="I1991" s="245"/>
      <c r="O1991" s="360"/>
      <c r="Q1991" s="351"/>
      <c r="R1991" s="363"/>
      <c r="S1991" s="321"/>
      <c r="T1991" s="85" ph="1"/>
      <c r="V1991" s="216"/>
      <c r="W1991" s="245"/>
      <c r="X1991" s="187"/>
      <c r="Y1991" s="245"/>
      <c r="Z1991" s="245"/>
      <c r="AA1991" s="329"/>
      <c r="AC1991" s="245"/>
      <c r="AD1991" s="245"/>
      <c r="AE1991" s="245"/>
      <c r="AF1991" s="245"/>
    </row>
    <row r="1992" spans="1:32" ht="26.25">
      <c r="A1992" s="246"/>
      <c r="B1992" s="245"/>
      <c r="C1992" s="245"/>
      <c r="D1992" s="245"/>
      <c r="E1992" s="245"/>
      <c r="F1992" s="187"/>
      <c r="G1992" s="245"/>
      <c r="H1992" s="245"/>
      <c r="I1992" s="245"/>
      <c r="O1992" s="360"/>
      <c r="Q1992" s="351"/>
      <c r="R1992" s="363"/>
      <c r="S1992" s="321"/>
      <c r="T1992" s="85" ph="1"/>
      <c r="V1992" s="216"/>
      <c r="W1992" s="245"/>
      <c r="X1992" s="187"/>
      <c r="Y1992" s="245"/>
      <c r="Z1992" s="245"/>
      <c r="AA1992" s="329"/>
      <c r="AC1992" s="245"/>
      <c r="AD1992" s="245"/>
      <c r="AE1992" s="245"/>
      <c r="AF1992" s="245"/>
    </row>
    <row r="1993" spans="1:32" ht="26.25">
      <c r="A1993" s="246"/>
      <c r="B1993" s="245"/>
      <c r="C1993" s="245"/>
      <c r="D1993" s="245"/>
      <c r="E1993" s="245"/>
      <c r="F1993" s="187"/>
      <c r="G1993" s="245"/>
      <c r="H1993" s="245"/>
      <c r="I1993" s="245"/>
      <c r="O1993" s="360"/>
      <c r="Q1993" s="351"/>
      <c r="R1993" s="363"/>
      <c r="S1993" s="321"/>
      <c r="T1993" s="85" ph="1"/>
      <c r="V1993" s="216"/>
      <c r="W1993" s="245"/>
      <c r="X1993" s="187"/>
      <c r="Y1993" s="245"/>
      <c r="Z1993" s="245"/>
      <c r="AA1993" s="329"/>
      <c r="AC1993" s="245"/>
      <c r="AD1993" s="245"/>
      <c r="AE1993" s="245"/>
      <c r="AF1993" s="245"/>
    </row>
    <row r="1994" spans="1:32" ht="26.25">
      <c r="A1994" s="246"/>
      <c r="B1994" s="245"/>
      <c r="C1994" s="245"/>
      <c r="D1994" s="245"/>
      <c r="E1994" s="245"/>
      <c r="F1994" s="187"/>
      <c r="G1994" s="245"/>
      <c r="H1994" s="245"/>
      <c r="I1994" s="245"/>
      <c r="O1994" s="360"/>
      <c r="Q1994" s="351"/>
      <c r="R1994" s="363"/>
      <c r="S1994" s="321"/>
      <c r="T1994" s="85" ph="1"/>
      <c r="V1994" s="216"/>
      <c r="W1994" s="245"/>
      <c r="X1994" s="187"/>
      <c r="Y1994" s="245"/>
      <c r="Z1994" s="245"/>
      <c r="AA1994" s="329"/>
      <c r="AC1994" s="245"/>
      <c r="AD1994" s="245"/>
      <c r="AE1994" s="245"/>
      <c r="AF1994" s="245"/>
    </row>
    <row r="1995" spans="1:32" ht="26.25">
      <c r="A1995" s="246"/>
      <c r="B1995" s="245"/>
      <c r="C1995" s="245"/>
      <c r="D1995" s="245"/>
      <c r="E1995" s="245"/>
      <c r="F1995" s="187"/>
      <c r="G1995" s="245"/>
      <c r="H1995" s="245"/>
      <c r="I1995" s="245"/>
      <c r="O1995" s="360"/>
      <c r="Q1995" s="351"/>
      <c r="R1995" s="363"/>
      <c r="S1995" s="321"/>
      <c r="T1995" s="85" ph="1"/>
      <c r="V1995" s="216"/>
      <c r="W1995" s="245"/>
      <c r="X1995" s="187"/>
      <c r="Y1995" s="245"/>
      <c r="Z1995" s="245"/>
      <c r="AA1995" s="329"/>
      <c r="AC1995" s="245"/>
      <c r="AD1995" s="245"/>
      <c r="AE1995" s="245"/>
      <c r="AF1995" s="245"/>
    </row>
    <row r="1996" spans="1:32" ht="26.25">
      <c r="A1996" s="246"/>
      <c r="B1996" s="245"/>
      <c r="C1996" s="245"/>
      <c r="D1996" s="245"/>
      <c r="E1996" s="245"/>
      <c r="F1996" s="187"/>
      <c r="G1996" s="245"/>
      <c r="H1996" s="245"/>
      <c r="I1996" s="245"/>
      <c r="O1996" s="360"/>
      <c r="Q1996" s="351"/>
      <c r="R1996" s="363"/>
      <c r="S1996" s="321"/>
      <c r="T1996" s="85" ph="1"/>
      <c r="V1996" s="216"/>
      <c r="W1996" s="245"/>
      <c r="X1996" s="187"/>
      <c r="Y1996" s="245"/>
      <c r="Z1996" s="245"/>
      <c r="AA1996" s="329"/>
      <c r="AC1996" s="245"/>
      <c r="AD1996" s="245"/>
      <c r="AE1996" s="245"/>
      <c r="AF1996" s="245"/>
    </row>
    <row r="1997" spans="1:32" ht="26.25">
      <c r="A1997" s="246"/>
      <c r="B1997" s="245"/>
      <c r="C1997" s="245"/>
      <c r="D1997" s="245"/>
      <c r="E1997" s="245"/>
      <c r="F1997" s="187"/>
      <c r="G1997" s="245"/>
      <c r="H1997" s="245"/>
      <c r="I1997" s="245"/>
      <c r="O1997" s="360"/>
      <c r="Q1997" s="351"/>
      <c r="R1997" s="363"/>
      <c r="S1997" s="321"/>
      <c r="T1997" s="85" ph="1"/>
      <c r="V1997" s="216"/>
      <c r="W1997" s="245"/>
      <c r="X1997" s="187"/>
      <c r="Y1997" s="245"/>
      <c r="Z1997" s="245"/>
      <c r="AA1997" s="329"/>
      <c r="AC1997" s="245"/>
      <c r="AD1997" s="245"/>
      <c r="AE1997" s="245"/>
      <c r="AF1997" s="245"/>
    </row>
    <row r="1998" spans="1:32" ht="26.25">
      <c r="A1998" s="246"/>
      <c r="B1998" s="245"/>
      <c r="C1998" s="245"/>
      <c r="D1998" s="245"/>
      <c r="E1998" s="245"/>
      <c r="F1998" s="187"/>
      <c r="G1998" s="245"/>
      <c r="H1998" s="245"/>
      <c r="I1998" s="245"/>
      <c r="O1998" s="360"/>
      <c r="Q1998" s="351"/>
      <c r="R1998" s="363"/>
      <c r="S1998" s="321"/>
      <c r="T1998" s="85" ph="1"/>
      <c r="V1998" s="216"/>
      <c r="W1998" s="245"/>
      <c r="X1998" s="187"/>
      <c r="Y1998" s="245"/>
      <c r="Z1998" s="245"/>
      <c r="AA1998" s="329"/>
      <c r="AC1998" s="245"/>
      <c r="AD1998" s="245"/>
      <c r="AE1998" s="245"/>
      <c r="AF1998" s="245"/>
    </row>
    <row r="1999" spans="1:32" ht="26.25">
      <c r="A1999" s="246"/>
      <c r="B1999" s="245"/>
      <c r="C1999" s="245"/>
      <c r="D1999" s="245"/>
      <c r="E1999" s="245"/>
      <c r="F1999" s="187"/>
      <c r="G1999" s="245"/>
      <c r="H1999" s="245"/>
      <c r="I1999" s="245"/>
      <c r="O1999" s="360"/>
      <c r="Q1999" s="351"/>
      <c r="R1999" s="363"/>
      <c r="S1999" s="321"/>
      <c r="T1999" s="85" ph="1"/>
      <c r="V1999" s="216"/>
      <c r="W1999" s="245"/>
      <c r="X1999" s="187"/>
      <c r="Y1999" s="245"/>
      <c r="Z1999" s="245"/>
      <c r="AA1999" s="329"/>
      <c r="AC1999" s="245"/>
      <c r="AD1999" s="245"/>
      <c r="AE1999" s="245"/>
      <c r="AF1999" s="245"/>
    </row>
    <row r="2000" spans="1:32" ht="26.25">
      <c r="A2000" s="246"/>
      <c r="B2000" s="245"/>
      <c r="C2000" s="245"/>
      <c r="D2000" s="245"/>
      <c r="E2000" s="245"/>
      <c r="F2000" s="187"/>
      <c r="G2000" s="245"/>
      <c r="H2000" s="245"/>
      <c r="I2000" s="245"/>
      <c r="O2000" s="360"/>
      <c r="Q2000" s="351"/>
      <c r="R2000" s="363"/>
      <c r="S2000" s="321"/>
      <c r="T2000" s="85" ph="1"/>
      <c r="V2000" s="216"/>
      <c r="W2000" s="245"/>
      <c r="X2000" s="187"/>
      <c r="Y2000" s="245"/>
      <c r="Z2000" s="245"/>
      <c r="AA2000" s="329"/>
      <c r="AC2000" s="245"/>
      <c r="AD2000" s="245"/>
      <c r="AE2000" s="245"/>
      <c r="AF2000" s="245"/>
    </row>
    <row r="2001" spans="1:32" ht="26.25">
      <c r="A2001" s="246"/>
      <c r="B2001" s="245"/>
      <c r="C2001" s="245"/>
      <c r="D2001" s="245"/>
      <c r="E2001" s="245"/>
      <c r="F2001" s="187"/>
      <c r="G2001" s="245"/>
      <c r="H2001" s="245"/>
      <c r="I2001" s="245"/>
      <c r="O2001" s="360"/>
      <c r="Q2001" s="351"/>
      <c r="R2001" s="363"/>
      <c r="S2001" s="321"/>
      <c r="T2001" s="85" ph="1"/>
      <c r="V2001" s="216"/>
      <c r="W2001" s="245"/>
      <c r="X2001" s="187"/>
      <c r="Y2001" s="245"/>
      <c r="Z2001" s="245"/>
      <c r="AA2001" s="329"/>
      <c r="AC2001" s="245"/>
      <c r="AD2001" s="245"/>
      <c r="AE2001" s="245"/>
      <c r="AF2001" s="245"/>
    </row>
    <row r="2002" spans="1:32" ht="26.25">
      <c r="A2002" s="246"/>
      <c r="B2002" s="245"/>
      <c r="C2002" s="245"/>
      <c r="D2002" s="245"/>
      <c r="E2002" s="245"/>
      <c r="F2002" s="187"/>
      <c r="G2002" s="245"/>
      <c r="H2002" s="245"/>
      <c r="I2002" s="245"/>
      <c r="O2002" s="360"/>
      <c r="Q2002" s="351"/>
      <c r="R2002" s="363"/>
      <c r="S2002" s="321"/>
      <c r="T2002" s="85" ph="1"/>
      <c r="V2002" s="216"/>
      <c r="W2002" s="245"/>
      <c r="X2002" s="187"/>
      <c r="Y2002" s="245"/>
      <c r="Z2002" s="245"/>
      <c r="AA2002" s="329"/>
      <c r="AC2002" s="245"/>
      <c r="AD2002" s="245"/>
      <c r="AE2002" s="245"/>
      <c r="AF2002" s="245"/>
    </row>
    <row r="2003" spans="1:32" ht="26.25">
      <c r="A2003" s="246"/>
      <c r="B2003" s="245"/>
      <c r="C2003" s="245"/>
      <c r="D2003" s="245"/>
      <c r="E2003" s="245"/>
      <c r="F2003" s="187"/>
      <c r="G2003" s="245"/>
      <c r="H2003" s="245"/>
      <c r="I2003" s="245"/>
      <c r="O2003" s="360"/>
      <c r="Q2003" s="351"/>
      <c r="R2003" s="363"/>
      <c r="S2003" s="321"/>
      <c r="T2003" s="85" ph="1"/>
      <c r="V2003" s="216"/>
      <c r="W2003" s="245"/>
      <c r="X2003" s="187"/>
      <c r="Y2003" s="245"/>
      <c r="Z2003" s="245"/>
      <c r="AA2003" s="329"/>
      <c r="AC2003" s="245"/>
      <c r="AD2003" s="245"/>
      <c r="AE2003" s="245"/>
      <c r="AF2003" s="245"/>
    </row>
    <row r="2004" spans="1:32" ht="26.25">
      <c r="A2004" s="246"/>
      <c r="B2004" s="245"/>
      <c r="C2004" s="245"/>
      <c r="D2004" s="245"/>
      <c r="E2004" s="245"/>
      <c r="F2004" s="187"/>
      <c r="G2004" s="245"/>
      <c r="H2004" s="245"/>
      <c r="I2004" s="245"/>
      <c r="O2004" s="360"/>
      <c r="Q2004" s="351"/>
      <c r="R2004" s="363"/>
      <c r="S2004" s="321"/>
      <c r="T2004" s="85" ph="1"/>
      <c r="V2004" s="216"/>
      <c r="W2004" s="245"/>
      <c r="X2004" s="187"/>
      <c r="Y2004" s="245"/>
      <c r="Z2004" s="245"/>
      <c r="AA2004" s="329"/>
      <c r="AC2004" s="245"/>
      <c r="AD2004" s="245"/>
      <c r="AE2004" s="245"/>
      <c r="AF2004" s="245"/>
    </row>
    <row r="2005" spans="1:32" ht="26.25">
      <c r="A2005" s="246"/>
      <c r="B2005" s="245"/>
      <c r="C2005" s="245"/>
      <c r="D2005" s="245"/>
      <c r="E2005" s="245"/>
      <c r="F2005" s="187"/>
      <c r="G2005" s="245"/>
      <c r="H2005" s="245"/>
      <c r="I2005" s="245"/>
      <c r="O2005" s="360"/>
      <c r="Q2005" s="351"/>
      <c r="R2005" s="363"/>
      <c r="S2005" s="321"/>
      <c r="T2005" s="85" ph="1"/>
      <c r="V2005" s="216"/>
      <c r="W2005" s="245"/>
      <c r="X2005" s="187"/>
      <c r="Y2005" s="245"/>
      <c r="Z2005" s="245"/>
      <c r="AA2005" s="329"/>
      <c r="AC2005" s="245"/>
      <c r="AD2005" s="245"/>
      <c r="AE2005" s="245"/>
      <c r="AF2005" s="245"/>
    </row>
    <row r="2006" spans="1:32" ht="26.25">
      <c r="A2006" s="246"/>
      <c r="B2006" s="245"/>
      <c r="C2006" s="245"/>
      <c r="D2006" s="245"/>
      <c r="E2006" s="245"/>
      <c r="F2006" s="187"/>
      <c r="G2006" s="245"/>
      <c r="H2006" s="245"/>
      <c r="I2006" s="245"/>
      <c r="O2006" s="360"/>
      <c r="Q2006" s="351"/>
      <c r="R2006" s="363"/>
      <c r="S2006" s="321"/>
      <c r="T2006" s="85" ph="1"/>
      <c r="V2006" s="216"/>
      <c r="W2006" s="245"/>
      <c r="X2006" s="187"/>
      <c r="Y2006" s="245"/>
      <c r="Z2006" s="245"/>
      <c r="AA2006" s="329"/>
      <c r="AC2006" s="245"/>
      <c r="AD2006" s="245"/>
      <c r="AE2006" s="245"/>
      <c r="AF2006" s="245"/>
    </row>
    <row r="2007" spans="1:32" ht="26.25">
      <c r="A2007" s="246"/>
      <c r="B2007" s="245"/>
      <c r="C2007" s="245"/>
      <c r="D2007" s="245"/>
      <c r="E2007" s="245"/>
      <c r="F2007" s="187"/>
      <c r="G2007" s="245"/>
      <c r="H2007" s="245"/>
      <c r="I2007" s="245"/>
      <c r="O2007" s="360"/>
      <c r="Q2007" s="351"/>
      <c r="R2007" s="363"/>
      <c r="S2007" s="321"/>
      <c r="T2007" s="85" ph="1"/>
      <c r="V2007" s="216"/>
      <c r="W2007" s="245"/>
      <c r="X2007" s="187"/>
      <c r="Y2007" s="245"/>
      <c r="Z2007" s="245"/>
      <c r="AA2007" s="329"/>
      <c r="AC2007" s="245"/>
      <c r="AD2007" s="245"/>
      <c r="AE2007" s="245"/>
      <c r="AF2007" s="245"/>
    </row>
    <row r="2008" spans="1:32" ht="26.25">
      <c r="A2008" s="246"/>
      <c r="B2008" s="245"/>
      <c r="C2008" s="245"/>
      <c r="D2008" s="245"/>
      <c r="E2008" s="245"/>
      <c r="F2008" s="187"/>
      <c r="G2008" s="245"/>
      <c r="H2008" s="245"/>
      <c r="I2008" s="245"/>
      <c r="O2008" s="360"/>
      <c r="Q2008" s="351"/>
      <c r="R2008" s="363"/>
      <c r="S2008" s="321"/>
      <c r="T2008" s="85" ph="1"/>
      <c r="V2008" s="216"/>
      <c r="W2008" s="245"/>
      <c r="X2008" s="187"/>
      <c r="Y2008" s="245"/>
      <c r="Z2008" s="245"/>
      <c r="AA2008" s="329"/>
      <c r="AC2008" s="245"/>
      <c r="AD2008" s="245"/>
      <c r="AE2008" s="245"/>
      <c r="AF2008" s="245"/>
    </row>
    <row r="2009" spans="1:32" ht="26.25">
      <c r="A2009" s="246"/>
      <c r="B2009" s="245"/>
      <c r="C2009" s="245"/>
      <c r="D2009" s="245"/>
      <c r="E2009" s="245"/>
      <c r="F2009" s="187"/>
      <c r="G2009" s="245"/>
      <c r="H2009" s="245"/>
      <c r="I2009" s="245"/>
      <c r="O2009" s="360"/>
      <c r="Q2009" s="351"/>
      <c r="R2009" s="363"/>
      <c r="S2009" s="321"/>
      <c r="T2009" s="85" ph="1"/>
      <c r="V2009" s="216"/>
      <c r="W2009" s="245"/>
      <c r="X2009" s="187"/>
      <c r="Y2009" s="245"/>
      <c r="Z2009" s="245"/>
      <c r="AA2009" s="329"/>
      <c r="AC2009" s="245"/>
      <c r="AD2009" s="245"/>
      <c r="AE2009" s="245"/>
      <c r="AF2009" s="245"/>
    </row>
    <row r="2010" spans="1:32" ht="26.25">
      <c r="A2010" s="246"/>
      <c r="B2010" s="245"/>
      <c r="C2010" s="245"/>
      <c r="D2010" s="245"/>
      <c r="E2010" s="245"/>
      <c r="F2010" s="187"/>
      <c r="G2010" s="245"/>
      <c r="H2010" s="245"/>
      <c r="I2010" s="245"/>
      <c r="O2010" s="360"/>
      <c r="Q2010" s="351"/>
      <c r="R2010" s="363"/>
      <c r="S2010" s="321"/>
      <c r="T2010" s="85" ph="1"/>
      <c r="V2010" s="216"/>
      <c r="W2010" s="245"/>
      <c r="X2010" s="187"/>
      <c r="Y2010" s="245"/>
      <c r="Z2010" s="245"/>
      <c r="AA2010" s="329"/>
      <c r="AC2010" s="245"/>
      <c r="AD2010" s="245"/>
      <c r="AE2010" s="245"/>
      <c r="AF2010" s="245"/>
    </row>
    <row r="2011" spans="1:32" ht="26.25">
      <c r="A2011" s="246"/>
      <c r="B2011" s="245"/>
      <c r="C2011" s="245"/>
      <c r="D2011" s="245"/>
      <c r="E2011" s="245"/>
      <c r="F2011" s="187"/>
      <c r="G2011" s="245"/>
      <c r="H2011" s="245"/>
      <c r="I2011" s="245"/>
      <c r="O2011" s="360"/>
      <c r="Q2011" s="351"/>
      <c r="R2011" s="363"/>
      <c r="S2011" s="321"/>
      <c r="T2011" s="85" ph="1"/>
      <c r="V2011" s="216"/>
      <c r="W2011" s="245"/>
      <c r="X2011" s="187"/>
      <c r="Y2011" s="245"/>
      <c r="Z2011" s="245"/>
      <c r="AA2011" s="329"/>
      <c r="AC2011" s="245"/>
      <c r="AD2011" s="245"/>
      <c r="AE2011" s="245"/>
      <c r="AF2011" s="245"/>
    </row>
    <row r="2012" spans="1:32" ht="26.25">
      <c r="A2012" s="246"/>
      <c r="B2012" s="245"/>
      <c r="C2012" s="245"/>
      <c r="D2012" s="245"/>
      <c r="E2012" s="245"/>
      <c r="F2012" s="187"/>
      <c r="G2012" s="245"/>
      <c r="H2012" s="245"/>
      <c r="I2012" s="245"/>
      <c r="O2012" s="360"/>
      <c r="Q2012" s="351"/>
      <c r="R2012" s="363"/>
      <c r="S2012" s="321"/>
      <c r="T2012" s="85" ph="1"/>
      <c r="V2012" s="216"/>
      <c r="W2012" s="245"/>
      <c r="X2012" s="187"/>
      <c r="Y2012" s="245"/>
      <c r="Z2012" s="245"/>
      <c r="AA2012" s="329"/>
      <c r="AC2012" s="245"/>
      <c r="AD2012" s="245"/>
      <c r="AE2012" s="245"/>
      <c r="AF2012" s="245"/>
    </row>
    <row r="2013" spans="1:32" ht="26.25">
      <c r="A2013" s="246"/>
      <c r="B2013" s="245"/>
      <c r="C2013" s="245"/>
      <c r="D2013" s="245"/>
      <c r="E2013" s="245"/>
      <c r="F2013" s="187"/>
      <c r="G2013" s="245"/>
      <c r="H2013" s="245"/>
      <c r="I2013" s="245"/>
      <c r="O2013" s="360"/>
      <c r="Q2013" s="351"/>
      <c r="R2013" s="363"/>
      <c r="S2013" s="321"/>
      <c r="T2013" s="85" ph="1"/>
      <c r="V2013" s="216"/>
      <c r="W2013" s="245"/>
      <c r="X2013" s="187"/>
      <c r="Y2013" s="245"/>
      <c r="Z2013" s="245"/>
      <c r="AA2013" s="329"/>
      <c r="AC2013" s="245"/>
      <c r="AD2013" s="245"/>
      <c r="AE2013" s="245"/>
      <c r="AF2013" s="245"/>
    </row>
    <row r="2014" spans="1:32" ht="26.25">
      <c r="A2014" s="246"/>
      <c r="B2014" s="245"/>
      <c r="C2014" s="245"/>
      <c r="D2014" s="245"/>
      <c r="E2014" s="245"/>
      <c r="F2014" s="187"/>
      <c r="G2014" s="245"/>
      <c r="H2014" s="245"/>
      <c r="I2014" s="245"/>
      <c r="O2014" s="360"/>
      <c r="Q2014" s="351"/>
      <c r="R2014" s="363"/>
      <c r="S2014" s="321"/>
      <c r="T2014" s="85" ph="1"/>
      <c r="V2014" s="216"/>
      <c r="W2014" s="245"/>
      <c r="X2014" s="187"/>
      <c r="Y2014" s="245"/>
      <c r="Z2014" s="245"/>
      <c r="AA2014" s="329"/>
      <c r="AC2014" s="245"/>
      <c r="AD2014" s="245"/>
      <c r="AE2014" s="245"/>
      <c r="AF2014" s="245"/>
    </row>
    <row r="2015" spans="1:32" ht="26.25">
      <c r="A2015" s="246"/>
      <c r="B2015" s="245"/>
      <c r="C2015" s="245"/>
      <c r="D2015" s="245"/>
      <c r="E2015" s="245"/>
      <c r="F2015" s="187"/>
      <c r="G2015" s="245"/>
      <c r="H2015" s="245"/>
      <c r="I2015" s="245"/>
      <c r="O2015" s="360"/>
      <c r="Q2015" s="351"/>
      <c r="R2015" s="363"/>
      <c r="S2015" s="321"/>
      <c r="T2015" s="85" ph="1"/>
      <c r="V2015" s="216"/>
      <c r="W2015" s="245"/>
      <c r="X2015" s="187"/>
      <c r="Y2015" s="245"/>
      <c r="Z2015" s="245"/>
      <c r="AA2015" s="329"/>
      <c r="AC2015" s="245"/>
      <c r="AD2015" s="245"/>
      <c r="AE2015" s="245"/>
      <c r="AF2015" s="245"/>
    </row>
    <row r="2016" spans="1:32" ht="26.25">
      <c r="A2016" s="246"/>
      <c r="B2016" s="245"/>
      <c r="C2016" s="245"/>
      <c r="D2016" s="245"/>
      <c r="E2016" s="245"/>
      <c r="F2016" s="187"/>
      <c r="G2016" s="245"/>
      <c r="H2016" s="245"/>
      <c r="I2016" s="245"/>
      <c r="O2016" s="360"/>
      <c r="Q2016" s="351"/>
      <c r="R2016" s="363"/>
      <c r="S2016" s="321"/>
      <c r="T2016" s="85" ph="1"/>
      <c r="V2016" s="216"/>
      <c r="W2016" s="245"/>
      <c r="X2016" s="187"/>
      <c r="Y2016" s="245"/>
      <c r="Z2016" s="245"/>
      <c r="AA2016" s="329"/>
      <c r="AC2016" s="245"/>
      <c r="AD2016" s="245"/>
      <c r="AE2016" s="245"/>
      <c r="AF2016" s="245"/>
    </row>
    <row r="2017" spans="1:32" ht="26.25">
      <c r="A2017" s="246"/>
      <c r="B2017" s="245"/>
      <c r="C2017" s="245"/>
      <c r="D2017" s="245"/>
      <c r="E2017" s="245"/>
      <c r="F2017" s="187"/>
      <c r="G2017" s="245"/>
      <c r="H2017" s="245"/>
      <c r="I2017" s="245"/>
      <c r="O2017" s="360"/>
      <c r="Q2017" s="351"/>
      <c r="R2017" s="363"/>
      <c r="S2017" s="321"/>
      <c r="T2017" s="85" ph="1"/>
      <c r="V2017" s="216"/>
      <c r="W2017" s="245"/>
      <c r="X2017" s="187"/>
      <c r="Y2017" s="245"/>
      <c r="Z2017" s="245"/>
      <c r="AA2017" s="329"/>
      <c r="AC2017" s="245"/>
      <c r="AD2017" s="245"/>
      <c r="AE2017" s="245"/>
      <c r="AF2017" s="245"/>
    </row>
    <row r="2018" spans="1:32" ht="26.25">
      <c r="A2018" s="246"/>
      <c r="B2018" s="245"/>
      <c r="C2018" s="245"/>
      <c r="D2018" s="245"/>
      <c r="E2018" s="245"/>
      <c r="F2018" s="187"/>
      <c r="G2018" s="245"/>
      <c r="H2018" s="245"/>
      <c r="I2018" s="245"/>
      <c r="O2018" s="360"/>
      <c r="Q2018" s="351"/>
      <c r="R2018" s="363"/>
      <c r="S2018" s="321"/>
      <c r="T2018" s="85" ph="1"/>
      <c r="V2018" s="216"/>
      <c r="W2018" s="245"/>
      <c r="X2018" s="187"/>
      <c r="Y2018" s="245"/>
      <c r="Z2018" s="245"/>
      <c r="AA2018" s="329"/>
      <c r="AC2018" s="245"/>
      <c r="AD2018" s="245"/>
      <c r="AE2018" s="245"/>
      <c r="AF2018" s="245"/>
    </row>
    <row r="2019" spans="1:32" ht="26.25">
      <c r="A2019" s="246"/>
      <c r="B2019" s="245"/>
      <c r="C2019" s="245"/>
      <c r="D2019" s="245"/>
      <c r="E2019" s="245"/>
      <c r="F2019" s="187"/>
      <c r="G2019" s="245"/>
      <c r="H2019" s="245"/>
      <c r="I2019" s="245"/>
      <c r="O2019" s="360"/>
      <c r="Q2019" s="351"/>
      <c r="R2019" s="363"/>
      <c r="S2019" s="321"/>
      <c r="T2019" s="85" ph="1"/>
      <c r="V2019" s="216"/>
      <c r="W2019" s="245"/>
      <c r="X2019" s="187"/>
      <c r="Y2019" s="245"/>
      <c r="Z2019" s="245"/>
      <c r="AA2019" s="329"/>
      <c r="AC2019" s="245"/>
      <c r="AD2019" s="245"/>
      <c r="AE2019" s="245"/>
      <c r="AF2019" s="245"/>
    </row>
    <row r="2020" spans="1:32" ht="26.25">
      <c r="A2020" s="246"/>
      <c r="B2020" s="245"/>
      <c r="C2020" s="245"/>
      <c r="D2020" s="245"/>
      <c r="E2020" s="245"/>
      <c r="F2020" s="187"/>
      <c r="G2020" s="245"/>
      <c r="H2020" s="245"/>
      <c r="I2020" s="245"/>
      <c r="O2020" s="360"/>
      <c r="Q2020" s="351"/>
      <c r="R2020" s="363"/>
      <c r="S2020" s="321"/>
      <c r="T2020" s="85" ph="1"/>
      <c r="V2020" s="216"/>
      <c r="W2020" s="245"/>
      <c r="X2020" s="187"/>
      <c r="Y2020" s="245"/>
      <c r="Z2020" s="245"/>
      <c r="AA2020" s="329"/>
      <c r="AC2020" s="245"/>
      <c r="AD2020" s="245"/>
      <c r="AE2020" s="245"/>
      <c r="AF2020" s="245"/>
    </row>
    <row r="2021" spans="1:32" ht="26.25">
      <c r="A2021" s="246"/>
      <c r="B2021" s="245"/>
      <c r="C2021" s="245"/>
      <c r="D2021" s="245"/>
      <c r="E2021" s="245"/>
      <c r="F2021" s="187"/>
      <c r="G2021" s="245"/>
      <c r="H2021" s="245"/>
      <c r="I2021" s="245"/>
      <c r="O2021" s="360"/>
      <c r="Q2021" s="351"/>
      <c r="R2021" s="363"/>
      <c r="S2021" s="321"/>
      <c r="T2021" s="85" ph="1"/>
      <c r="V2021" s="216"/>
      <c r="W2021" s="245"/>
      <c r="X2021" s="187"/>
      <c r="Y2021" s="245"/>
      <c r="Z2021" s="245"/>
      <c r="AA2021" s="329"/>
      <c r="AC2021" s="245"/>
      <c r="AD2021" s="245"/>
      <c r="AE2021" s="245"/>
      <c r="AF2021" s="245"/>
    </row>
    <row r="2022" spans="1:32" ht="26.25">
      <c r="A2022" s="246"/>
      <c r="B2022" s="245"/>
      <c r="C2022" s="245"/>
      <c r="D2022" s="245"/>
      <c r="E2022" s="245"/>
      <c r="F2022" s="187"/>
      <c r="G2022" s="245"/>
      <c r="H2022" s="245"/>
      <c r="I2022" s="245"/>
      <c r="O2022" s="360"/>
      <c r="Q2022" s="351"/>
      <c r="R2022" s="363"/>
      <c r="S2022" s="321"/>
      <c r="T2022" s="85" ph="1"/>
      <c r="V2022" s="216"/>
      <c r="W2022" s="245"/>
      <c r="X2022" s="187"/>
      <c r="Y2022" s="245"/>
      <c r="Z2022" s="245"/>
      <c r="AA2022" s="329"/>
      <c r="AC2022" s="245"/>
      <c r="AD2022" s="245"/>
      <c r="AE2022" s="245"/>
      <c r="AF2022" s="245"/>
    </row>
    <row r="2023" spans="1:32" ht="26.25">
      <c r="A2023" s="246"/>
      <c r="B2023" s="245"/>
      <c r="C2023" s="245"/>
      <c r="D2023" s="245"/>
      <c r="E2023" s="245"/>
      <c r="F2023" s="187"/>
      <c r="G2023" s="245"/>
      <c r="H2023" s="245"/>
      <c r="I2023" s="245"/>
      <c r="O2023" s="360"/>
      <c r="Q2023" s="351"/>
      <c r="R2023" s="363"/>
      <c r="S2023" s="321"/>
      <c r="T2023" s="85" ph="1"/>
      <c r="V2023" s="216"/>
      <c r="W2023" s="245"/>
      <c r="X2023" s="187"/>
      <c r="Y2023" s="245"/>
      <c r="Z2023" s="245"/>
      <c r="AA2023" s="329"/>
      <c r="AC2023" s="245"/>
      <c r="AD2023" s="245"/>
      <c r="AE2023" s="245"/>
      <c r="AF2023" s="245"/>
    </row>
    <row r="2024" spans="1:32" ht="26.25">
      <c r="A2024" s="246"/>
      <c r="B2024" s="245"/>
      <c r="C2024" s="245"/>
      <c r="D2024" s="245"/>
      <c r="E2024" s="245"/>
      <c r="F2024" s="187"/>
      <c r="G2024" s="245"/>
      <c r="H2024" s="245"/>
      <c r="I2024" s="245"/>
      <c r="O2024" s="360"/>
      <c r="Q2024" s="351"/>
      <c r="R2024" s="363"/>
      <c r="S2024" s="321"/>
      <c r="T2024" s="85" ph="1"/>
      <c r="V2024" s="216"/>
      <c r="W2024" s="245"/>
      <c r="X2024" s="187"/>
      <c r="Y2024" s="245"/>
      <c r="Z2024" s="245"/>
      <c r="AA2024" s="329"/>
      <c r="AC2024" s="245"/>
      <c r="AD2024" s="245"/>
      <c r="AE2024" s="245"/>
      <c r="AF2024" s="245"/>
    </row>
    <row r="2025" spans="1:32" ht="26.25">
      <c r="A2025" s="246"/>
      <c r="B2025" s="245"/>
      <c r="C2025" s="245"/>
      <c r="D2025" s="245"/>
      <c r="E2025" s="245"/>
      <c r="F2025" s="187"/>
      <c r="G2025" s="245"/>
      <c r="H2025" s="245"/>
      <c r="I2025" s="245"/>
      <c r="O2025" s="360"/>
      <c r="Q2025" s="351"/>
      <c r="R2025" s="363"/>
      <c r="S2025" s="321"/>
      <c r="T2025" s="85" ph="1"/>
      <c r="V2025" s="216"/>
      <c r="W2025" s="245"/>
      <c r="X2025" s="187"/>
      <c r="Y2025" s="245"/>
      <c r="Z2025" s="245"/>
      <c r="AA2025" s="329"/>
      <c r="AC2025" s="245"/>
      <c r="AD2025" s="245"/>
      <c r="AE2025" s="245"/>
      <c r="AF2025" s="245"/>
    </row>
    <row r="2026" spans="1:32" ht="26.25">
      <c r="A2026" s="246"/>
      <c r="B2026" s="245"/>
      <c r="C2026" s="245"/>
      <c r="D2026" s="245"/>
      <c r="E2026" s="245"/>
      <c r="F2026" s="187"/>
      <c r="G2026" s="245"/>
      <c r="H2026" s="245"/>
      <c r="I2026" s="245"/>
      <c r="O2026" s="360"/>
      <c r="Q2026" s="351"/>
      <c r="R2026" s="363"/>
      <c r="S2026" s="321"/>
      <c r="T2026" s="85" ph="1"/>
      <c r="V2026" s="216"/>
      <c r="W2026" s="245"/>
      <c r="X2026" s="187"/>
      <c r="Y2026" s="245"/>
      <c r="Z2026" s="245"/>
      <c r="AA2026" s="329"/>
      <c r="AC2026" s="245"/>
      <c r="AD2026" s="245"/>
      <c r="AE2026" s="245"/>
      <c r="AF2026" s="245"/>
    </row>
    <row r="2027" spans="1:32" ht="26.25">
      <c r="A2027" s="246"/>
      <c r="B2027" s="245"/>
      <c r="C2027" s="245"/>
      <c r="D2027" s="245"/>
      <c r="E2027" s="245"/>
      <c r="F2027" s="187"/>
      <c r="G2027" s="245"/>
      <c r="H2027" s="245"/>
      <c r="I2027" s="245"/>
      <c r="O2027" s="360"/>
      <c r="Q2027" s="351"/>
      <c r="R2027" s="363"/>
      <c r="S2027" s="321"/>
      <c r="T2027" s="85" ph="1"/>
      <c r="V2027" s="216"/>
      <c r="W2027" s="245"/>
      <c r="X2027" s="187"/>
      <c r="Y2027" s="245"/>
      <c r="Z2027" s="245"/>
      <c r="AA2027" s="329"/>
      <c r="AC2027" s="245"/>
      <c r="AD2027" s="245"/>
      <c r="AE2027" s="245"/>
      <c r="AF2027" s="245"/>
    </row>
    <row r="2028" spans="1:32" ht="26.25">
      <c r="A2028" s="246"/>
      <c r="B2028" s="245"/>
      <c r="C2028" s="245"/>
      <c r="D2028" s="245"/>
      <c r="E2028" s="245"/>
      <c r="F2028" s="187"/>
      <c r="G2028" s="245"/>
      <c r="H2028" s="245"/>
      <c r="I2028" s="245"/>
      <c r="O2028" s="360"/>
      <c r="Q2028" s="351"/>
      <c r="R2028" s="363"/>
      <c r="S2028" s="321"/>
      <c r="T2028" s="85" ph="1"/>
      <c r="V2028" s="216"/>
      <c r="W2028" s="245"/>
      <c r="X2028" s="187"/>
      <c r="Y2028" s="245"/>
      <c r="Z2028" s="245"/>
      <c r="AA2028" s="329"/>
      <c r="AC2028" s="245"/>
      <c r="AD2028" s="245"/>
      <c r="AE2028" s="245"/>
      <c r="AF2028" s="245"/>
    </row>
    <row r="2029" spans="1:32" ht="26.25">
      <c r="A2029" s="246"/>
      <c r="B2029" s="245"/>
      <c r="C2029" s="245"/>
      <c r="D2029" s="245"/>
      <c r="E2029" s="245"/>
      <c r="F2029" s="187"/>
      <c r="G2029" s="245"/>
      <c r="H2029" s="245"/>
      <c r="I2029" s="245"/>
      <c r="O2029" s="360"/>
      <c r="Q2029" s="351"/>
      <c r="R2029" s="363"/>
      <c r="S2029" s="321"/>
      <c r="T2029" s="85" ph="1"/>
      <c r="V2029" s="216"/>
      <c r="W2029" s="245"/>
      <c r="X2029" s="187"/>
      <c r="Y2029" s="245"/>
      <c r="Z2029" s="245"/>
      <c r="AA2029" s="329"/>
      <c r="AC2029" s="245"/>
      <c r="AD2029" s="245"/>
      <c r="AE2029" s="245"/>
      <c r="AF2029" s="245"/>
    </row>
    <row r="2030" spans="1:32" ht="26.25">
      <c r="A2030" s="246"/>
      <c r="B2030" s="245"/>
      <c r="C2030" s="245"/>
      <c r="D2030" s="245"/>
      <c r="E2030" s="245"/>
      <c r="F2030" s="187"/>
      <c r="G2030" s="245"/>
      <c r="H2030" s="245"/>
      <c r="I2030" s="245"/>
      <c r="O2030" s="360"/>
      <c r="Q2030" s="351"/>
      <c r="R2030" s="363"/>
      <c r="S2030" s="321"/>
      <c r="T2030" s="85" ph="1"/>
      <c r="V2030" s="216"/>
      <c r="W2030" s="245"/>
      <c r="X2030" s="187"/>
      <c r="Y2030" s="245"/>
      <c r="Z2030" s="245"/>
      <c r="AA2030" s="329"/>
      <c r="AC2030" s="245"/>
      <c r="AD2030" s="245"/>
      <c r="AE2030" s="245"/>
      <c r="AF2030" s="245"/>
    </row>
    <row r="2031" spans="1:32" ht="26.25">
      <c r="A2031" s="246"/>
      <c r="B2031" s="245"/>
      <c r="C2031" s="245"/>
      <c r="D2031" s="245"/>
      <c r="E2031" s="245"/>
      <c r="F2031" s="187"/>
      <c r="G2031" s="245"/>
      <c r="H2031" s="245"/>
      <c r="I2031" s="245"/>
      <c r="O2031" s="360"/>
      <c r="Q2031" s="351"/>
      <c r="R2031" s="363"/>
      <c r="S2031" s="321"/>
      <c r="T2031" s="85" ph="1"/>
      <c r="V2031" s="216"/>
      <c r="W2031" s="245"/>
      <c r="X2031" s="187"/>
      <c r="Y2031" s="245"/>
      <c r="Z2031" s="245"/>
      <c r="AA2031" s="329"/>
      <c r="AC2031" s="245"/>
      <c r="AD2031" s="245"/>
      <c r="AE2031" s="245"/>
      <c r="AF2031" s="245"/>
    </row>
    <row r="2032" spans="1:32" ht="26.25">
      <c r="A2032" s="246"/>
      <c r="B2032" s="245"/>
      <c r="C2032" s="245"/>
      <c r="D2032" s="245"/>
      <c r="E2032" s="245"/>
      <c r="F2032" s="187"/>
      <c r="G2032" s="245"/>
      <c r="H2032" s="245"/>
      <c r="I2032" s="245"/>
      <c r="O2032" s="360"/>
      <c r="Q2032" s="351"/>
      <c r="R2032" s="363"/>
      <c r="S2032" s="321"/>
      <c r="T2032" s="85" ph="1"/>
      <c r="V2032" s="216"/>
      <c r="W2032" s="245"/>
      <c r="X2032" s="187"/>
      <c r="Y2032" s="245"/>
      <c r="Z2032" s="245"/>
      <c r="AA2032" s="329"/>
      <c r="AC2032" s="245"/>
      <c r="AD2032" s="245"/>
      <c r="AE2032" s="245"/>
      <c r="AF2032" s="245"/>
    </row>
    <row r="2033" spans="1:32" ht="26.25">
      <c r="A2033" s="246"/>
      <c r="B2033" s="245"/>
      <c r="C2033" s="245"/>
      <c r="D2033" s="245"/>
      <c r="E2033" s="245"/>
      <c r="F2033" s="187"/>
      <c r="G2033" s="245"/>
      <c r="H2033" s="245"/>
      <c r="I2033" s="245"/>
      <c r="O2033" s="360"/>
      <c r="Q2033" s="351"/>
      <c r="R2033" s="363"/>
      <c r="S2033" s="321"/>
      <c r="T2033" s="85" ph="1"/>
      <c r="V2033" s="216"/>
      <c r="W2033" s="245"/>
      <c r="X2033" s="187"/>
      <c r="Y2033" s="245"/>
      <c r="Z2033" s="245"/>
      <c r="AA2033" s="329"/>
      <c r="AC2033" s="245"/>
      <c r="AD2033" s="245"/>
      <c r="AE2033" s="245"/>
      <c r="AF2033" s="245"/>
    </row>
    <row r="2034" spans="1:32" ht="26.25">
      <c r="A2034" s="246"/>
      <c r="B2034" s="245"/>
      <c r="C2034" s="245"/>
      <c r="D2034" s="245"/>
      <c r="E2034" s="245"/>
      <c r="F2034" s="187"/>
      <c r="G2034" s="245"/>
      <c r="H2034" s="245"/>
      <c r="I2034" s="245"/>
      <c r="O2034" s="360"/>
      <c r="Q2034" s="351"/>
      <c r="R2034" s="363"/>
      <c r="S2034" s="321"/>
      <c r="T2034" s="85" ph="1"/>
      <c r="V2034" s="216"/>
      <c r="W2034" s="245"/>
      <c r="X2034" s="187"/>
      <c r="Y2034" s="245"/>
      <c r="Z2034" s="245"/>
      <c r="AA2034" s="329"/>
      <c r="AC2034" s="245"/>
      <c r="AD2034" s="245"/>
      <c r="AE2034" s="245"/>
      <c r="AF2034" s="245"/>
    </row>
    <row r="2035" spans="1:32" ht="26.25">
      <c r="A2035" s="246"/>
      <c r="B2035" s="245"/>
      <c r="C2035" s="245"/>
      <c r="D2035" s="245"/>
      <c r="E2035" s="245"/>
      <c r="F2035" s="187"/>
      <c r="G2035" s="245"/>
      <c r="H2035" s="245"/>
      <c r="I2035" s="245"/>
      <c r="O2035" s="360"/>
      <c r="Q2035" s="351"/>
      <c r="R2035" s="363"/>
      <c r="S2035" s="321"/>
      <c r="T2035" s="85" ph="1"/>
      <c r="V2035" s="216"/>
      <c r="W2035" s="245"/>
      <c r="X2035" s="187"/>
      <c r="Y2035" s="245"/>
      <c r="Z2035" s="245"/>
      <c r="AA2035" s="329"/>
      <c r="AC2035" s="245"/>
      <c r="AD2035" s="245"/>
      <c r="AE2035" s="245"/>
      <c r="AF2035" s="245"/>
    </row>
    <row r="2036" spans="1:32" ht="26.25">
      <c r="A2036" s="246"/>
      <c r="B2036" s="245"/>
      <c r="C2036" s="245"/>
      <c r="D2036" s="245"/>
      <c r="E2036" s="245"/>
      <c r="F2036" s="187"/>
      <c r="G2036" s="245"/>
      <c r="H2036" s="245"/>
      <c r="I2036" s="245"/>
      <c r="O2036" s="360"/>
      <c r="Q2036" s="351"/>
      <c r="R2036" s="363"/>
      <c r="S2036" s="321"/>
      <c r="T2036" s="85" ph="1"/>
      <c r="V2036" s="216"/>
      <c r="W2036" s="245"/>
      <c r="X2036" s="187"/>
      <c r="Y2036" s="245"/>
      <c r="Z2036" s="245"/>
      <c r="AA2036" s="329"/>
      <c r="AC2036" s="245"/>
      <c r="AD2036" s="245"/>
      <c r="AE2036" s="245"/>
      <c r="AF2036" s="245"/>
    </row>
    <row r="2037" spans="1:32" ht="26.25">
      <c r="A2037" s="246"/>
      <c r="B2037" s="245"/>
      <c r="C2037" s="245"/>
      <c r="D2037" s="245"/>
      <c r="E2037" s="245"/>
      <c r="F2037" s="187"/>
      <c r="G2037" s="245"/>
      <c r="H2037" s="245"/>
      <c r="I2037" s="245"/>
      <c r="O2037" s="360"/>
      <c r="Q2037" s="351"/>
      <c r="R2037" s="363"/>
      <c r="S2037" s="321"/>
      <c r="T2037" s="85" ph="1"/>
      <c r="V2037" s="216"/>
      <c r="W2037" s="245"/>
      <c r="X2037" s="187"/>
      <c r="Y2037" s="245"/>
      <c r="Z2037" s="245"/>
      <c r="AA2037" s="329"/>
      <c r="AC2037" s="245"/>
      <c r="AD2037" s="245"/>
      <c r="AE2037" s="245"/>
      <c r="AF2037" s="245"/>
    </row>
    <row r="2038" spans="1:32" ht="26.25">
      <c r="A2038" s="246"/>
      <c r="B2038" s="245"/>
      <c r="C2038" s="245"/>
      <c r="D2038" s="245"/>
      <c r="E2038" s="245"/>
      <c r="F2038" s="187"/>
      <c r="G2038" s="245"/>
      <c r="H2038" s="245"/>
      <c r="I2038" s="245"/>
      <c r="O2038" s="360"/>
      <c r="Q2038" s="351"/>
      <c r="R2038" s="363"/>
      <c r="S2038" s="321"/>
      <c r="T2038" s="85" ph="1"/>
      <c r="V2038" s="216"/>
      <c r="W2038" s="245"/>
      <c r="X2038" s="187"/>
      <c r="Y2038" s="245"/>
      <c r="Z2038" s="245"/>
      <c r="AA2038" s="329"/>
      <c r="AC2038" s="245"/>
      <c r="AD2038" s="245"/>
      <c r="AE2038" s="245"/>
      <c r="AF2038" s="245"/>
    </row>
    <row r="2039" spans="1:32" ht="26.25">
      <c r="A2039" s="246"/>
      <c r="B2039" s="245"/>
      <c r="C2039" s="245"/>
      <c r="D2039" s="245"/>
      <c r="E2039" s="245"/>
      <c r="F2039" s="187"/>
      <c r="G2039" s="245"/>
      <c r="H2039" s="245"/>
      <c r="I2039" s="245"/>
      <c r="O2039" s="360"/>
      <c r="Q2039" s="351"/>
      <c r="R2039" s="363"/>
      <c r="S2039" s="321"/>
      <c r="T2039" s="85" ph="1"/>
      <c r="V2039" s="216"/>
      <c r="W2039" s="245"/>
      <c r="X2039" s="187"/>
      <c r="Y2039" s="245"/>
      <c r="Z2039" s="245"/>
      <c r="AA2039" s="329"/>
      <c r="AC2039" s="245"/>
      <c r="AD2039" s="245"/>
      <c r="AE2039" s="245"/>
      <c r="AF2039" s="245"/>
    </row>
    <row r="2040" spans="1:32" ht="26.25">
      <c r="A2040" s="246"/>
      <c r="B2040" s="245"/>
      <c r="C2040" s="245"/>
      <c r="D2040" s="245"/>
      <c r="E2040" s="245"/>
      <c r="F2040" s="187"/>
      <c r="G2040" s="245"/>
      <c r="H2040" s="245"/>
      <c r="I2040" s="245"/>
      <c r="O2040" s="360"/>
      <c r="Q2040" s="351"/>
      <c r="R2040" s="363"/>
      <c r="S2040" s="321"/>
      <c r="T2040" s="85" ph="1"/>
      <c r="V2040" s="216"/>
      <c r="W2040" s="245"/>
      <c r="X2040" s="187"/>
      <c r="Y2040" s="245"/>
      <c r="Z2040" s="245"/>
      <c r="AA2040" s="329"/>
      <c r="AC2040" s="245"/>
      <c r="AD2040" s="245"/>
      <c r="AE2040" s="245"/>
      <c r="AF2040" s="245"/>
    </row>
    <row r="2041" spans="1:32" ht="26.25">
      <c r="A2041" s="246"/>
      <c r="B2041" s="245"/>
      <c r="C2041" s="245"/>
      <c r="D2041" s="245"/>
      <c r="E2041" s="245"/>
      <c r="F2041" s="187"/>
      <c r="G2041" s="245"/>
      <c r="H2041" s="245"/>
      <c r="I2041" s="245"/>
      <c r="O2041" s="360"/>
      <c r="Q2041" s="351"/>
      <c r="R2041" s="363"/>
      <c r="S2041" s="321"/>
      <c r="T2041" s="85" ph="1"/>
      <c r="V2041" s="216"/>
      <c r="W2041" s="245"/>
      <c r="X2041" s="187"/>
      <c r="Y2041" s="245"/>
      <c r="Z2041" s="245"/>
      <c r="AA2041" s="329"/>
      <c r="AC2041" s="245"/>
      <c r="AD2041" s="245"/>
      <c r="AE2041" s="245"/>
      <c r="AF2041" s="245"/>
    </row>
    <row r="2042" spans="1:32" ht="26.25">
      <c r="A2042" s="246"/>
      <c r="B2042" s="245"/>
      <c r="C2042" s="245"/>
      <c r="D2042" s="245"/>
      <c r="E2042" s="245"/>
      <c r="F2042" s="187"/>
      <c r="G2042" s="245"/>
      <c r="H2042" s="245"/>
      <c r="I2042" s="245"/>
      <c r="O2042" s="360"/>
      <c r="Q2042" s="351"/>
      <c r="R2042" s="363"/>
      <c r="S2042" s="321"/>
      <c r="T2042" s="85" ph="1"/>
      <c r="V2042" s="216"/>
      <c r="W2042" s="245"/>
      <c r="X2042" s="187"/>
      <c r="Y2042" s="245"/>
      <c r="Z2042" s="245"/>
      <c r="AA2042" s="329"/>
      <c r="AC2042" s="245"/>
      <c r="AD2042" s="245"/>
      <c r="AE2042" s="245"/>
      <c r="AF2042" s="245"/>
    </row>
    <row r="2043" spans="1:32" ht="26.25">
      <c r="A2043" s="246"/>
      <c r="B2043" s="245"/>
      <c r="C2043" s="245"/>
      <c r="D2043" s="245"/>
      <c r="E2043" s="245"/>
      <c r="F2043" s="187"/>
      <c r="G2043" s="245"/>
      <c r="H2043" s="245"/>
      <c r="I2043" s="245"/>
      <c r="O2043" s="360"/>
      <c r="Q2043" s="351"/>
      <c r="R2043" s="363"/>
      <c r="S2043" s="321"/>
      <c r="T2043" s="85" ph="1"/>
      <c r="V2043" s="216"/>
      <c r="W2043" s="245"/>
      <c r="X2043" s="187"/>
      <c r="Y2043" s="245"/>
      <c r="Z2043" s="245"/>
      <c r="AA2043" s="329"/>
      <c r="AC2043" s="245"/>
      <c r="AD2043" s="245"/>
      <c r="AE2043" s="245"/>
      <c r="AF2043" s="245"/>
    </row>
    <row r="2044" spans="1:32" ht="26.25">
      <c r="A2044" s="246"/>
      <c r="B2044" s="245"/>
      <c r="C2044" s="245"/>
      <c r="D2044" s="245"/>
      <c r="E2044" s="245"/>
      <c r="F2044" s="187"/>
      <c r="G2044" s="245"/>
      <c r="H2044" s="245"/>
      <c r="I2044" s="245"/>
      <c r="O2044" s="360"/>
      <c r="Q2044" s="351"/>
      <c r="R2044" s="363"/>
      <c r="S2044" s="321"/>
      <c r="T2044" s="85" ph="1"/>
      <c r="V2044" s="216"/>
      <c r="W2044" s="245"/>
      <c r="X2044" s="187"/>
      <c r="Y2044" s="245"/>
      <c r="Z2044" s="245"/>
      <c r="AA2044" s="329"/>
      <c r="AC2044" s="245"/>
      <c r="AD2044" s="245"/>
      <c r="AE2044" s="245"/>
      <c r="AF2044" s="245"/>
    </row>
    <row r="2045" spans="1:32" ht="26.25">
      <c r="A2045" s="246"/>
      <c r="B2045" s="245"/>
      <c r="C2045" s="245"/>
      <c r="D2045" s="245"/>
      <c r="E2045" s="245"/>
      <c r="F2045" s="187"/>
      <c r="G2045" s="245"/>
      <c r="H2045" s="245"/>
      <c r="I2045" s="245"/>
      <c r="O2045" s="360"/>
      <c r="Q2045" s="351"/>
      <c r="R2045" s="363"/>
      <c r="S2045" s="321"/>
      <c r="T2045" s="85" ph="1"/>
      <c r="V2045" s="216"/>
      <c r="W2045" s="245"/>
      <c r="X2045" s="187"/>
      <c r="Y2045" s="245"/>
      <c r="Z2045" s="245"/>
      <c r="AA2045" s="329"/>
      <c r="AC2045" s="245"/>
      <c r="AD2045" s="245"/>
      <c r="AE2045" s="245"/>
      <c r="AF2045" s="245"/>
    </row>
    <row r="2046" spans="1:32" ht="26.25">
      <c r="A2046" s="246"/>
      <c r="B2046" s="245"/>
      <c r="C2046" s="245"/>
      <c r="D2046" s="245"/>
      <c r="E2046" s="245"/>
      <c r="F2046" s="187"/>
      <c r="G2046" s="245"/>
      <c r="H2046" s="245"/>
      <c r="I2046" s="245"/>
      <c r="O2046" s="360"/>
      <c r="Q2046" s="351"/>
      <c r="R2046" s="363"/>
      <c r="S2046" s="321"/>
      <c r="T2046" s="85" ph="1"/>
      <c r="V2046" s="216"/>
      <c r="W2046" s="245"/>
      <c r="X2046" s="187"/>
      <c r="Y2046" s="245"/>
      <c r="Z2046" s="245"/>
      <c r="AA2046" s="329"/>
      <c r="AC2046" s="245"/>
      <c r="AD2046" s="245"/>
      <c r="AE2046" s="245"/>
      <c r="AF2046" s="245"/>
    </row>
    <row r="2047" spans="1:32" ht="26.25">
      <c r="A2047" s="246"/>
      <c r="B2047" s="245"/>
      <c r="C2047" s="245"/>
      <c r="D2047" s="245"/>
      <c r="E2047" s="245"/>
      <c r="F2047" s="187"/>
      <c r="G2047" s="245"/>
      <c r="H2047" s="245"/>
      <c r="I2047" s="245"/>
      <c r="O2047" s="360"/>
      <c r="Q2047" s="351"/>
      <c r="R2047" s="363"/>
      <c r="S2047" s="321"/>
      <c r="T2047" s="85" ph="1"/>
      <c r="V2047" s="216"/>
      <c r="W2047" s="245"/>
      <c r="X2047" s="187"/>
      <c r="Y2047" s="245"/>
      <c r="Z2047" s="245"/>
      <c r="AA2047" s="329"/>
      <c r="AC2047" s="245"/>
      <c r="AD2047" s="245"/>
      <c r="AE2047" s="245"/>
      <c r="AF2047" s="245"/>
    </row>
    <row r="2048" spans="1:32" ht="26.25">
      <c r="A2048" s="246"/>
      <c r="B2048" s="245"/>
      <c r="C2048" s="245"/>
      <c r="D2048" s="245"/>
      <c r="E2048" s="245"/>
      <c r="F2048" s="187"/>
      <c r="G2048" s="245"/>
      <c r="H2048" s="245"/>
      <c r="I2048" s="245"/>
      <c r="O2048" s="360"/>
      <c r="Q2048" s="351"/>
      <c r="R2048" s="363"/>
      <c r="S2048" s="321"/>
      <c r="T2048" s="85" ph="1"/>
      <c r="V2048" s="216"/>
      <c r="W2048" s="245"/>
      <c r="X2048" s="187"/>
      <c r="Y2048" s="245"/>
      <c r="Z2048" s="245"/>
      <c r="AA2048" s="329"/>
      <c r="AC2048" s="245"/>
      <c r="AD2048" s="245"/>
      <c r="AE2048" s="245"/>
      <c r="AF2048" s="245"/>
    </row>
    <row r="2049" spans="1:32" ht="26.25">
      <c r="A2049" s="246"/>
      <c r="B2049" s="245"/>
      <c r="C2049" s="245"/>
      <c r="D2049" s="245"/>
      <c r="E2049" s="245"/>
      <c r="F2049" s="187"/>
      <c r="G2049" s="245"/>
      <c r="H2049" s="245"/>
      <c r="I2049" s="245"/>
      <c r="O2049" s="360"/>
      <c r="Q2049" s="351"/>
      <c r="R2049" s="363"/>
      <c r="S2049" s="321"/>
      <c r="T2049" s="85" ph="1"/>
      <c r="V2049" s="216"/>
      <c r="W2049" s="245"/>
      <c r="X2049" s="187"/>
      <c r="Y2049" s="245"/>
      <c r="Z2049" s="245"/>
      <c r="AA2049" s="329"/>
      <c r="AC2049" s="245"/>
      <c r="AD2049" s="245"/>
      <c r="AE2049" s="245"/>
      <c r="AF2049" s="245"/>
    </row>
    <row r="2050" spans="1:32" ht="26.25">
      <c r="A2050" s="246"/>
      <c r="B2050" s="245"/>
      <c r="C2050" s="245"/>
      <c r="D2050" s="245"/>
      <c r="E2050" s="245"/>
      <c r="F2050" s="187"/>
      <c r="G2050" s="245"/>
      <c r="H2050" s="245"/>
      <c r="I2050" s="245"/>
      <c r="O2050" s="360"/>
      <c r="Q2050" s="351"/>
      <c r="R2050" s="363"/>
      <c r="S2050" s="321"/>
      <c r="T2050" s="85" ph="1"/>
      <c r="V2050" s="216"/>
      <c r="W2050" s="245"/>
      <c r="X2050" s="187"/>
      <c r="Y2050" s="245"/>
      <c r="Z2050" s="245"/>
      <c r="AA2050" s="329"/>
      <c r="AC2050" s="245"/>
      <c r="AD2050" s="245"/>
      <c r="AE2050" s="245"/>
      <c r="AF2050" s="245"/>
    </row>
    <row r="2051" spans="1:32" ht="26.25">
      <c r="A2051" s="246"/>
      <c r="B2051" s="245"/>
      <c r="C2051" s="245"/>
      <c r="D2051" s="245"/>
      <c r="E2051" s="245"/>
      <c r="F2051" s="187"/>
      <c r="G2051" s="245"/>
      <c r="H2051" s="245"/>
      <c r="I2051" s="245"/>
      <c r="O2051" s="360"/>
      <c r="Q2051" s="351"/>
      <c r="R2051" s="363"/>
      <c r="S2051" s="321"/>
      <c r="T2051" s="85" ph="1"/>
      <c r="V2051" s="216"/>
      <c r="W2051" s="245"/>
      <c r="X2051" s="187"/>
      <c r="Y2051" s="245"/>
      <c r="Z2051" s="245"/>
      <c r="AA2051" s="329"/>
      <c r="AC2051" s="245"/>
      <c r="AD2051" s="245"/>
      <c r="AE2051" s="245"/>
      <c r="AF2051" s="245"/>
    </row>
    <row r="2052" spans="1:32" ht="26.25">
      <c r="A2052" s="246"/>
      <c r="B2052" s="245"/>
      <c r="C2052" s="245"/>
      <c r="D2052" s="245"/>
      <c r="E2052" s="245"/>
      <c r="F2052" s="187"/>
      <c r="G2052" s="245"/>
      <c r="H2052" s="245"/>
      <c r="I2052" s="245"/>
      <c r="O2052" s="360"/>
      <c r="Q2052" s="351"/>
      <c r="R2052" s="363"/>
      <c r="S2052" s="321"/>
      <c r="T2052" s="85" ph="1"/>
      <c r="V2052" s="216"/>
      <c r="W2052" s="245"/>
      <c r="X2052" s="187"/>
      <c r="Y2052" s="245"/>
      <c r="Z2052" s="245"/>
      <c r="AA2052" s="329"/>
      <c r="AC2052" s="245"/>
      <c r="AD2052" s="245"/>
      <c r="AE2052" s="245"/>
      <c r="AF2052" s="245"/>
    </row>
    <row r="2053" spans="1:32" ht="26.25">
      <c r="A2053" s="246"/>
      <c r="B2053" s="245"/>
      <c r="C2053" s="245"/>
      <c r="D2053" s="245"/>
      <c r="E2053" s="245"/>
      <c r="F2053" s="187"/>
      <c r="G2053" s="245"/>
      <c r="H2053" s="245"/>
      <c r="I2053" s="245"/>
      <c r="O2053" s="360"/>
      <c r="Q2053" s="351"/>
      <c r="R2053" s="363"/>
      <c r="S2053" s="321"/>
      <c r="T2053" s="85" ph="1"/>
      <c r="V2053" s="216"/>
      <c r="W2053" s="245"/>
      <c r="X2053" s="187"/>
      <c r="Y2053" s="245"/>
      <c r="Z2053" s="245"/>
      <c r="AA2053" s="329"/>
      <c r="AC2053" s="245"/>
      <c r="AD2053" s="245"/>
      <c r="AE2053" s="245"/>
      <c r="AF2053" s="245"/>
    </row>
    <row r="2054" spans="1:32" ht="26.25">
      <c r="A2054" s="246"/>
      <c r="B2054" s="245"/>
      <c r="C2054" s="245"/>
      <c r="D2054" s="245"/>
      <c r="E2054" s="245"/>
      <c r="F2054" s="187"/>
      <c r="G2054" s="245"/>
      <c r="H2054" s="245"/>
      <c r="I2054" s="245"/>
      <c r="O2054" s="360"/>
      <c r="Q2054" s="351"/>
      <c r="R2054" s="363"/>
      <c r="S2054" s="321"/>
      <c r="T2054" s="85" ph="1"/>
      <c r="V2054" s="216"/>
      <c r="W2054" s="245"/>
      <c r="X2054" s="187"/>
      <c r="Y2054" s="245"/>
      <c r="Z2054" s="245"/>
      <c r="AA2054" s="329"/>
      <c r="AC2054" s="245"/>
      <c r="AD2054" s="245"/>
      <c r="AE2054" s="245"/>
      <c r="AF2054" s="245"/>
    </row>
    <row r="2055" spans="1:32" ht="26.25">
      <c r="A2055" s="246"/>
      <c r="B2055" s="245"/>
      <c r="C2055" s="245"/>
      <c r="D2055" s="245"/>
      <c r="E2055" s="245"/>
      <c r="F2055" s="187"/>
      <c r="G2055" s="245"/>
      <c r="H2055" s="245"/>
      <c r="I2055" s="245"/>
      <c r="O2055" s="360"/>
      <c r="Q2055" s="351"/>
      <c r="S2055" s="321"/>
      <c r="T2055" s="85" ph="1"/>
      <c r="V2055" s="216"/>
      <c r="W2055" s="245"/>
      <c r="X2055" s="187"/>
      <c r="Y2055" s="245"/>
      <c r="Z2055" s="245"/>
      <c r="AA2055" s="329"/>
      <c r="AC2055" s="245"/>
      <c r="AD2055" s="245"/>
      <c r="AE2055" s="245"/>
      <c r="AF2055" s="245"/>
    </row>
    <row r="2056" spans="1:32" ht="26.25">
      <c r="A2056" s="246"/>
      <c r="B2056" s="245"/>
      <c r="C2056" s="245"/>
      <c r="D2056" s="245"/>
      <c r="E2056" s="245"/>
      <c r="F2056" s="187"/>
      <c r="G2056" s="245"/>
      <c r="H2056" s="245"/>
      <c r="I2056" s="245"/>
      <c r="O2056" s="360"/>
      <c r="Q2056" s="351"/>
      <c r="S2056" s="321"/>
      <c r="T2056" s="85" ph="1"/>
      <c r="V2056" s="216"/>
      <c r="W2056" s="245"/>
      <c r="X2056" s="187"/>
      <c r="Y2056" s="245"/>
      <c r="Z2056" s="245"/>
      <c r="AA2056" s="329"/>
      <c r="AC2056" s="245"/>
      <c r="AD2056" s="245"/>
      <c r="AE2056" s="245"/>
      <c r="AF2056" s="245"/>
    </row>
    <row r="2057" spans="1:32" ht="26.25">
      <c r="A2057" s="246"/>
      <c r="B2057" s="245"/>
      <c r="C2057" s="245"/>
      <c r="D2057" s="245"/>
      <c r="E2057" s="245"/>
      <c r="F2057" s="187"/>
      <c r="G2057" s="245"/>
      <c r="H2057" s="245"/>
      <c r="I2057" s="245"/>
      <c r="O2057" s="360"/>
      <c r="Q2057" s="351"/>
      <c r="S2057" s="321"/>
      <c r="T2057" s="85" ph="1"/>
      <c r="V2057" s="216"/>
      <c r="W2057" s="245"/>
      <c r="X2057" s="187"/>
      <c r="Y2057" s="245"/>
      <c r="Z2057" s="245"/>
      <c r="AA2057" s="329"/>
      <c r="AC2057" s="245"/>
      <c r="AD2057" s="245"/>
      <c r="AE2057" s="245"/>
      <c r="AF2057" s="245"/>
    </row>
    <row r="2058" spans="1:32" ht="26.25">
      <c r="A2058" s="246"/>
      <c r="B2058" s="245"/>
      <c r="C2058" s="245"/>
      <c r="D2058" s="245"/>
      <c r="E2058" s="245"/>
      <c r="F2058" s="187"/>
      <c r="G2058" s="245"/>
      <c r="H2058" s="245"/>
      <c r="I2058" s="245"/>
      <c r="O2058" s="360"/>
      <c r="Q2058" s="351"/>
      <c r="S2058" s="321"/>
      <c r="T2058" s="85" ph="1"/>
      <c r="V2058" s="216"/>
      <c r="W2058" s="245"/>
      <c r="X2058" s="187"/>
      <c r="Y2058" s="245"/>
      <c r="Z2058" s="245"/>
      <c r="AA2058" s="329"/>
      <c r="AC2058" s="245"/>
      <c r="AD2058" s="245"/>
      <c r="AE2058" s="245"/>
      <c r="AF2058" s="245"/>
    </row>
    <row r="2059" spans="1:32" ht="26.25">
      <c r="A2059" s="246"/>
      <c r="B2059" s="245"/>
      <c r="C2059" s="245"/>
      <c r="D2059" s="245"/>
      <c r="E2059" s="245"/>
      <c r="F2059" s="187"/>
      <c r="G2059" s="245"/>
      <c r="H2059" s="245"/>
      <c r="I2059" s="245"/>
      <c r="O2059" s="360"/>
      <c r="Q2059" s="351"/>
      <c r="S2059" s="321"/>
      <c r="T2059" s="85" ph="1"/>
      <c r="V2059" s="216"/>
      <c r="W2059" s="245"/>
      <c r="X2059" s="187"/>
      <c r="Y2059" s="245"/>
      <c r="Z2059" s="245"/>
      <c r="AA2059" s="329"/>
      <c r="AC2059" s="245"/>
      <c r="AD2059" s="245"/>
      <c r="AE2059" s="245"/>
      <c r="AF2059" s="245"/>
    </row>
    <row r="2060" spans="1:32" ht="26.25">
      <c r="A2060" s="246"/>
      <c r="B2060" s="245"/>
      <c r="C2060" s="245"/>
      <c r="D2060" s="245"/>
      <c r="E2060" s="245"/>
      <c r="F2060" s="187"/>
      <c r="G2060" s="245"/>
      <c r="H2060" s="245"/>
      <c r="I2060" s="245"/>
      <c r="O2060" s="360"/>
      <c r="Q2060" s="351"/>
      <c r="S2060" s="321"/>
      <c r="T2060" s="85" ph="1"/>
      <c r="V2060" s="216"/>
      <c r="W2060" s="245"/>
      <c r="X2060" s="187"/>
      <c r="Y2060" s="245"/>
      <c r="Z2060" s="245"/>
      <c r="AA2060" s="329"/>
      <c r="AC2060" s="245"/>
      <c r="AD2060" s="245"/>
      <c r="AE2060" s="245"/>
      <c r="AF2060" s="245"/>
    </row>
    <row r="2061" spans="1:32" ht="26.25">
      <c r="A2061" s="246"/>
      <c r="B2061" s="245"/>
      <c r="C2061" s="245"/>
      <c r="D2061" s="245"/>
      <c r="E2061" s="245"/>
      <c r="F2061" s="187"/>
      <c r="G2061" s="245"/>
      <c r="H2061" s="245"/>
      <c r="I2061" s="245"/>
      <c r="O2061" s="360"/>
      <c r="Q2061" s="351"/>
      <c r="S2061" s="321"/>
      <c r="T2061" s="85" ph="1"/>
      <c r="V2061" s="216"/>
      <c r="W2061" s="245"/>
      <c r="X2061" s="187"/>
      <c r="Y2061" s="245"/>
      <c r="Z2061" s="245"/>
      <c r="AA2061" s="329"/>
      <c r="AC2061" s="245"/>
      <c r="AD2061" s="245"/>
      <c r="AE2061" s="245"/>
      <c r="AF2061" s="245"/>
    </row>
    <row r="2062" spans="1:32" ht="26.25">
      <c r="A2062" s="246"/>
      <c r="B2062" s="245"/>
      <c r="C2062" s="245"/>
      <c r="D2062" s="245"/>
      <c r="E2062" s="245"/>
      <c r="F2062" s="187"/>
      <c r="G2062" s="245"/>
      <c r="H2062" s="245"/>
      <c r="I2062" s="245"/>
      <c r="O2062" s="360"/>
      <c r="Q2062" s="351"/>
      <c r="S2062" s="321"/>
      <c r="T2062" s="85" ph="1"/>
      <c r="V2062" s="216"/>
      <c r="W2062" s="245"/>
      <c r="X2062" s="187"/>
      <c r="Y2062" s="245"/>
      <c r="Z2062" s="245"/>
      <c r="AA2062" s="329"/>
      <c r="AC2062" s="245"/>
      <c r="AD2062" s="245"/>
      <c r="AE2062" s="245"/>
      <c r="AF2062" s="245"/>
    </row>
    <row r="2063" spans="1:32" ht="26.25">
      <c r="A2063" s="246"/>
      <c r="B2063" s="245"/>
      <c r="C2063" s="245"/>
      <c r="D2063" s="245"/>
      <c r="E2063" s="245"/>
      <c r="F2063" s="187"/>
      <c r="G2063" s="245"/>
      <c r="H2063" s="245"/>
      <c r="I2063" s="245"/>
      <c r="O2063" s="360"/>
      <c r="Q2063" s="351"/>
      <c r="S2063" s="321"/>
      <c r="T2063" s="85" ph="1"/>
      <c r="V2063" s="216"/>
      <c r="W2063" s="245"/>
      <c r="X2063" s="187"/>
      <c r="Y2063" s="245"/>
      <c r="Z2063" s="245"/>
      <c r="AA2063" s="329"/>
      <c r="AC2063" s="245"/>
      <c r="AD2063" s="245"/>
      <c r="AE2063" s="245"/>
      <c r="AF2063" s="245"/>
    </row>
    <row r="2064" spans="1:32" ht="26.25">
      <c r="A2064" s="246"/>
      <c r="B2064" s="245"/>
      <c r="C2064" s="245"/>
      <c r="D2064" s="245"/>
      <c r="E2064" s="245"/>
      <c r="F2064" s="187"/>
      <c r="G2064" s="245"/>
      <c r="H2064" s="245"/>
      <c r="I2064" s="245"/>
      <c r="O2064" s="360"/>
      <c r="Q2064" s="351"/>
      <c r="S2064" s="321"/>
      <c r="T2064" s="85" ph="1"/>
      <c r="V2064" s="216"/>
      <c r="W2064" s="245"/>
      <c r="X2064" s="187"/>
      <c r="Y2064" s="245"/>
      <c r="Z2064" s="245"/>
      <c r="AA2064" s="329"/>
      <c r="AC2064" s="245"/>
      <c r="AD2064" s="245"/>
      <c r="AE2064" s="245"/>
      <c r="AF2064" s="245"/>
    </row>
    <row r="2065" spans="1:32" ht="26.25">
      <c r="A2065" s="246"/>
      <c r="B2065" s="245"/>
      <c r="C2065" s="245"/>
      <c r="D2065" s="245"/>
      <c r="E2065" s="245"/>
      <c r="F2065" s="187"/>
      <c r="G2065" s="245"/>
      <c r="H2065" s="245"/>
      <c r="I2065" s="245"/>
      <c r="O2065" s="360"/>
      <c r="Q2065" s="351"/>
      <c r="S2065" s="321"/>
      <c r="T2065" s="85" ph="1"/>
      <c r="V2065" s="216"/>
      <c r="W2065" s="245"/>
      <c r="X2065" s="187"/>
      <c r="Y2065" s="245"/>
      <c r="Z2065" s="245"/>
      <c r="AA2065" s="329"/>
      <c r="AC2065" s="245"/>
      <c r="AD2065" s="245"/>
      <c r="AE2065" s="245"/>
      <c r="AF2065" s="245"/>
    </row>
    <row r="2066" spans="1:32" ht="26.25">
      <c r="A2066" s="246"/>
      <c r="B2066" s="245"/>
      <c r="C2066" s="245"/>
      <c r="D2066" s="245"/>
      <c r="E2066" s="245"/>
      <c r="F2066" s="187"/>
      <c r="G2066" s="245"/>
      <c r="H2066" s="245"/>
      <c r="I2066" s="245"/>
      <c r="O2066" s="360"/>
      <c r="Q2066" s="351"/>
      <c r="S2066" s="321"/>
      <c r="T2066" s="85" ph="1"/>
      <c r="V2066" s="216"/>
      <c r="W2066" s="245"/>
      <c r="X2066" s="187"/>
      <c r="Y2066" s="245"/>
      <c r="Z2066" s="245"/>
      <c r="AA2066" s="329"/>
      <c r="AC2066" s="245"/>
      <c r="AD2066" s="245"/>
      <c r="AE2066" s="245"/>
      <c r="AF2066" s="245"/>
    </row>
    <row r="2067" spans="1:32" ht="26.25">
      <c r="A2067" s="246"/>
      <c r="B2067" s="245"/>
      <c r="C2067" s="245"/>
      <c r="D2067" s="245"/>
      <c r="E2067" s="245"/>
      <c r="F2067" s="187"/>
      <c r="G2067" s="245"/>
      <c r="H2067" s="245"/>
      <c r="I2067" s="245"/>
      <c r="O2067" s="360"/>
      <c r="Q2067" s="351"/>
      <c r="S2067" s="321"/>
      <c r="T2067" s="85" ph="1"/>
      <c r="V2067" s="216"/>
      <c r="W2067" s="245"/>
      <c r="X2067" s="187"/>
      <c r="Y2067" s="245"/>
      <c r="Z2067" s="245"/>
      <c r="AA2067" s="329"/>
      <c r="AC2067" s="245"/>
      <c r="AD2067" s="245"/>
      <c r="AE2067" s="245"/>
      <c r="AF2067" s="245"/>
    </row>
    <row r="2068" spans="1:32" ht="26.25">
      <c r="A2068" s="246"/>
      <c r="B2068" s="245"/>
      <c r="C2068" s="245"/>
      <c r="D2068" s="245"/>
      <c r="E2068" s="245"/>
      <c r="F2068" s="187"/>
      <c r="G2068" s="245"/>
      <c r="H2068" s="245"/>
      <c r="I2068" s="245"/>
      <c r="O2068" s="360"/>
      <c r="Q2068" s="351"/>
      <c r="S2068" s="321"/>
      <c r="T2068" s="85" ph="1"/>
      <c r="V2068" s="216"/>
      <c r="W2068" s="245"/>
      <c r="X2068" s="187"/>
      <c r="Y2068" s="245"/>
      <c r="Z2068" s="245"/>
      <c r="AA2068" s="329"/>
      <c r="AC2068" s="245"/>
      <c r="AD2068" s="245"/>
      <c r="AE2068" s="245"/>
      <c r="AF2068" s="245"/>
    </row>
    <row r="2069" spans="1:32" ht="26.25">
      <c r="A2069" s="246"/>
      <c r="B2069" s="245"/>
      <c r="C2069" s="245"/>
      <c r="D2069" s="245"/>
      <c r="E2069" s="245"/>
      <c r="F2069" s="187"/>
      <c r="G2069" s="245"/>
      <c r="H2069" s="245"/>
      <c r="I2069" s="245"/>
      <c r="O2069" s="360"/>
      <c r="Q2069" s="351"/>
      <c r="S2069" s="321"/>
      <c r="T2069" s="85" ph="1"/>
      <c r="V2069" s="216"/>
      <c r="W2069" s="245"/>
      <c r="X2069" s="187"/>
      <c r="Y2069" s="245"/>
      <c r="Z2069" s="245"/>
      <c r="AA2069" s="329"/>
      <c r="AC2069" s="245"/>
      <c r="AD2069" s="245"/>
      <c r="AE2069" s="245"/>
      <c r="AF2069" s="245"/>
    </row>
    <row r="2070" spans="1:32" ht="26.25">
      <c r="A2070" s="246"/>
      <c r="B2070" s="245"/>
      <c r="C2070" s="245"/>
      <c r="D2070" s="245"/>
      <c r="E2070" s="245"/>
      <c r="F2070" s="187"/>
      <c r="G2070" s="245"/>
      <c r="H2070" s="245"/>
      <c r="I2070" s="245"/>
      <c r="O2070" s="360"/>
      <c r="Q2070" s="351"/>
      <c r="S2070" s="321"/>
      <c r="T2070" s="85" ph="1"/>
      <c r="V2070" s="216"/>
      <c r="W2070" s="245"/>
      <c r="X2070" s="187"/>
      <c r="Y2070" s="245"/>
      <c r="Z2070" s="245"/>
      <c r="AA2070" s="329"/>
      <c r="AC2070" s="245"/>
      <c r="AD2070" s="245"/>
      <c r="AE2070" s="245"/>
      <c r="AF2070" s="245"/>
    </row>
    <row r="2071" spans="1:32" ht="26.25">
      <c r="A2071" s="246"/>
      <c r="B2071" s="245"/>
      <c r="C2071" s="245"/>
      <c r="D2071" s="245"/>
      <c r="E2071" s="245"/>
      <c r="F2071" s="187"/>
      <c r="G2071" s="245"/>
      <c r="H2071" s="245"/>
      <c r="I2071" s="245"/>
      <c r="O2071" s="360"/>
      <c r="Q2071" s="351"/>
      <c r="S2071" s="321"/>
      <c r="T2071" s="85" ph="1"/>
      <c r="V2071" s="216"/>
      <c r="W2071" s="245"/>
      <c r="X2071" s="187"/>
      <c r="Y2071" s="245"/>
      <c r="Z2071" s="245"/>
      <c r="AA2071" s="329"/>
      <c r="AC2071" s="245"/>
      <c r="AD2071" s="245"/>
      <c r="AE2071" s="245"/>
      <c r="AF2071" s="245"/>
    </row>
    <row r="2072" spans="1:32" ht="26.25">
      <c r="A2072" s="246"/>
      <c r="B2072" s="245"/>
      <c r="C2072" s="245"/>
      <c r="D2072" s="245"/>
      <c r="E2072" s="245"/>
      <c r="F2072" s="187"/>
      <c r="G2072" s="245"/>
      <c r="H2072" s="245"/>
      <c r="I2072" s="245"/>
      <c r="O2072" s="360"/>
      <c r="Q2072" s="351"/>
      <c r="S2072" s="321"/>
      <c r="T2072" s="85" ph="1"/>
      <c r="V2072" s="216"/>
      <c r="W2072" s="245"/>
      <c r="X2072" s="187"/>
      <c r="Y2072" s="245"/>
      <c r="Z2072" s="245"/>
      <c r="AA2072" s="329"/>
      <c r="AC2072" s="245"/>
      <c r="AD2072" s="245"/>
      <c r="AE2072" s="245"/>
      <c r="AF2072" s="245"/>
    </row>
    <row r="2073" spans="1:32" ht="26.25">
      <c r="A2073" s="246"/>
      <c r="B2073" s="245"/>
      <c r="C2073" s="245"/>
      <c r="D2073" s="245"/>
      <c r="E2073" s="245"/>
      <c r="F2073" s="187"/>
      <c r="G2073" s="245"/>
      <c r="H2073" s="245"/>
      <c r="I2073" s="245"/>
      <c r="O2073" s="360"/>
      <c r="Q2073" s="351"/>
      <c r="S2073" s="321"/>
      <c r="T2073" s="85" ph="1"/>
      <c r="V2073" s="216"/>
      <c r="W2073" s="245"/>
      <c r="X2073" s="187"/>
      <c r="Y2073" s="245"/>
      <c r="Z2073" s="245"/>
      <c r="AA2073" s="329"/>
      <c r="AC2073" s="245"/>
      <c r="AD2073" s="245"/>
      <c r="AE2073" s="245"/>
      <c r="AF2073" s="245"/>
    </row>
    <row r="2074" spans="1:32" ht="26.25">
      <c r="A2074" s="246"/>
      <c r="B2074" s="245"/>
      <c r="C2074" s="245"/>
      <c r="D2074" s="245"/>
      <c r="E2074" s="245"/>
      <c r="F2074" s="187"/>
      <c r="G2074" s="245"/>
      <c r="H2074" s="245"/>
      <c r="I2074" s="245"/>
      <c r="O2074" s="360"/>
      <c r="Q2074" s="351"/>
      <c r="S2074" s="321"/>
      <c r="T2074" s="85" ph="1"/>
      <c r="V2074" s="216"/>
      <c r="W2074" s="245"/>
      <c r="X2074" s="187"/>
      <c r="Y2074" s="245"/>
      <c r="Z2074" s="245"/>
      <c r="AA2074" s="329"/>
      <c r="AC2074" s="245"/>
      <c r="AD2074" s="245"/>
      <c r="AE2074" s="245"/>
      <c r="AF2074" s="245"/>
    </row>
    <row r="2075" spans="1:32" ht="26.25">
      <c r="A2075" s="246"/>
      <c r="B2075" s="245"/>
      <c r="C2075" s="245"/>
      <c r="D2075" s="245"/>
      <c r="E2075" s="245"/>
      <c r="F2075" s="187"/>
      <c r="G2075" s="245"/>
      <c r="H2075" s="245"/>
      <c r="I2075" s="245"/>
      <c r="O2075" s="360"/>
      <c r="Q2075" s="351"/>
      <c r="S2075" s="321"/>
      <c r="T2075" s="85" ph="1"/>
      <c r="V2075" s="216"/>
      <c r="W2075" s="245"/>
      <c r="X2075" s="187"/>
      <c r="Y2075" s="245"/>
      <c r="Z2075" s="245"/>
      <c r="AA2075" s="329"/>
      <c r="AC2075" s="245"/>
      <c r="AD2075" s="245"/>
      <c r="AE2075" s="245"/>
      <c r="AF2075" s="245"/>
    </row>
    <row r="2076" spans="1:32" ht="26.25">
      <c r="A2076" s="246"/>
      <c r="B2076" s="245"/>
      <c r="C2076" s="245"/>
      <c r="D2076" s="245"/>
      <c r="E2076" s="245"/>
      <c r="F2076" s="187"/>
      <c r="G2076" s="245"/>
      <c r="H2076" s="245"/>
      <c r="I2076" s="245"/>
      <c r="O2076" s="360"/>
      <c r="Q2076" s="351"/>
      <c r="S2076" s="321"/>
      <c r="T2076" s="85" ph="1"/>
      <c r="V2076" s="216"/>
      <c r="W2076" s="245"/>
      <c r="X2076" s="187"/>
      <c r="Y2076" s="245"/>
      <c r="Z2076" s="245"/>
      <c r="AA2076" s="329"/>
      <c r="AC2076" s="245"/>
      <c r="AD2076" s="245"/>
      <c r="AE2076" s="245"/>
      <c r="AF2076" s="245"/>
    </row>
    <row r="2077" spans="1:32" ht="26.25">
      <c r="A2077" s="246"/>
      <c r="B2077" s="245"/>
      <c r="C2077" s="245"/>
      <c r="D2077" s="245"/>
      <c r="E2077" s="245"/>
      <c r="F2077" s="187"/>
      <c r="G2077" s="245"/>
      <c r="H2077" s="245"/>
      <c r="I2077" s="245"/>
      <c r="O2077" s="360"/>
      <c r="Q2077" s="351"/>
      <c r="S2077" s="321"/>
      <c r="T2077" s="85" ph="1"/>
      <c r="V2077" s="216"/>
      <c r="W2077" s="245"/>
      <c r="X2077" s="187"/>
      <c r="Y2077" s="245"/>
      <c r="Z2077" s="245"/>
      <c r="AA2077" s="329"/>
      <c r="AC2077" s="245"/>
      <c r="AD2077" s="245"/>
      <c r="AE2077" s="245"/>
      <c r="AF2077" s="245"/>
    </row>
    <row r="2078" spans="1:32" ht="26.25">
      <c r="A2078" s="246"/>
      <c r="B2078" s="245"/>
      <c r="C2078" s="245"/>
      <c r="D2078" s="245"/>
      <c r="E2078" s="245"/>
      <c r="F2078" s="187"/>
      <c r="G2078" s="245"/>
      <c r="H2078" s="245"/>
      <c r="I2078" s="245"/>
      <c r="O2078" s="360"/>
      <c r="Q2078" s="351"/>
      <c r="S2078" s="321"/>
      <c r="T2078" s="85" ph="1"/>
      <c r="V2078" s="216"/>
      <c r="W2078" s="245"/>
      <c r="X2078" s="187"/>
      <c r="Y2078" s="245"/>
      <c r="Z2078" s="245"/>
      <c r="AA2078" s="329"/>
      <c r="AC2078" s="245"/>
      <c r="AD2078" s="245"/>
      <c r="AE2078" s="245"/>
      <c r="AF2078" s="245"/>
    </row>
    <row r="2079" spans="1:32" ht="26.25">
      <c r="A2079" s="246"/>
      <c r="B2079" s="245"/>
      <c r="C2079" s="245"/>
      <c r="D2079" s="245"/>
      <c r="E2079" s="245"/>
      <c r="F2079" s="187"/>
      <c r="G2079" s="245"/>
      <c r="H2079" s="245"/>
      <c r="I2079" s="245"/>
      <c r="O2079" s="360"/>
      <c r="Q2079" s="351"/>
      <c r="S2079" s="321"/>
      <c r="T2079" s="85" ph="1"/>
      <c r="V2079" s="216"/>
      <c r="W2079" s="245"/>
      <c r="X2079" s="187"/>
      <c r="Y2079" s="245"/>
      <c r="Z2079" s="245"/>
      <c r="AA2079" s="329"/>
      <c r="AC2079" s="245"/>
      <c r="AD2079" s="245"/>
      <c r="AE2079" s="245"/>
      <c r="AF2079" s="245"/>
    </row>
    <row r="2080" spans="1:32" ht="26.25">
      <c r="A2080" s="246"/>
      <c r="B2080" s="245"/>
      <c r="C2080" s="245"/>
      <c r="D2080" s="245"/>
      <c r="E2080" s="245"/>
      <c r="F2080" s="187"/>
      <c r="G2080" s="245"/>
      <c r="H2080" s="245"/>
      <c r="I2080" s="245"/>
      <c r="O2080" s="360"/>
      <c r="Q2080" s="351"/>
      <c r="S2080" s="321"/>
      <c r="T2080" s="85" ph="1"/>
      <c r="V2080" s="216"/>
      <c r="W2080" s="245"/>
      <c r="X2080" s="187"/>
      <c r="Y2080" s="245"/>
      <c r="Z2080" s="245"/>
      <c r="AA2080" s="329"/>
      <c r="AC2080" s="245"/>
      <c r="AD2080" s="245"/>
      <c r="AE2080" s="245"/>
      <c r="AF2080" s="245"/>
    </row>
    <row r="2081" spans="1:32" ht="26.25">
      <c r="A2081" s="246"/>
      <c r="B2081" s="245"/>
      <c r="C2081" s="245"/>
      <c r="D2081" s="245"/>
      <c r="E2081" s="245"/>
      <c r="F2081" s="187"/>
      <c r="G2081" s="245"/>
      <c r="H2081" s="245"/>
      <c r="I2081" s="245"/>
      <c r="O2081" s="360"/>
      <c r="Q2081" s="351"/>
      <c r="S2081" s="321"/>
      <c r="T2081" s="85" ph="1"/>
      <c r="V2081" s="216"/>
      <c r="W2081" s="245"/>
      <c r="X2081" s="187"/>
      <c r="Y2081" s="245"/>
      <c r="Z2081" s="245"/>
      <c r="AA2081" s="329"/>
      <c r="AC2081" s="245"/>
      <c r="AD2081" s="245"/>
      <c r="AE2081" s="245"/>
      <c r="AF2081" s="245"/>
    </row>
    <row r="2082" spans="1:32" ht="26.25">
      <c r="A2082" s="246"/>
      <c r="B2082" s="245"/>
      <c r="C2082" s="245"/>
      <c r="D2082" s="245"/>
      <c r="E2082" s="245"/>
      <c r="F2082" s="187"/>
      <c r="G2082" s="245"/>
      <c r="H2082" s="245"/>
      <c r="I2082" s="245"/>
      <c r="O2082" s="360"/>
      <c r="Q2082" s="351"/>
      <c r="S2082" s="321"/>
      <c r="T2082" s="85" ph="1"/>
      <c r="V2082" s="216"/>
      <c r="W2082" s="245"/>
      <c r="X2082" s="187"/>
      <c r="Y2082" s="245"/>
      <c r="Z2082" s="245"/>
      <c r="AA2082" s="329"/>
      <c r="AC2082" s="245"/>
      <c r="AD2082" s="245"/>
      <c r="AE2082" s="245"/>
      <c r="AF2082" s="245"/>
    </row>
    <row r="2083" spans="1:32" ht="26.25">
      <c r="A2083" s="246"/>
      <c r="B2083" s="245"/>
      <c r="C2083" s="245"/>
      <c r="D2083" s="245"/>
      <c r="E2083" s="245"/>
      <c r="F2083" s="187"/>
      <c r="G2083" s="245"/>
      <c r="H2083" s="245"/>
      <c r="I2083" s="245"/>
      <c r="O2083" s="360"/>
      <c r="Q2083" s="351"/>
      <c r="S2083" s="321"/>
      <c r="T2083" s="85" ph="1"/>
      <c r="V2083" s="216"/>
      <c r="W2083" s="245"/>
      <c r="X2083" s="187"/>
      <c r="Y2083" s="245"/>
      <c r="Z2083" s="245"/>
      <c r="AA2083" s="329"/>
      <c r="AC2083" s="245"/>
      <c r="AD2083" s="245"/>
      <c r="AE2083" s="245"/>
      <c r="AF2083" s="245"/>
    </row>
    <row r="2084" spans="1:32" ht="26.25">
      <c r="A2084" s="246"/>
      <c r="B2084" s="245"/>
      <c r="C2084" s="245"/>
      <c r="D2084" s="245"/>
      <c r="E2084" s="245"/>
      <c r="F2084" s="187"/>
      <c r="G2084" s="245"/>
      <c r="H2084" s="245"/>
      <c r="I2084" s="245"/>
      <c r="O2084" s="360"/>
      <c r="Q2084" s="351"/>
      <c r="S2084" s="321"/>
      <c r="T2084" s="85" ph="1"/>
      <c r="V2084" s="216"/>
      <c r="W2084" s="245"/>
      <c r="X2084" s="187"/>
      <c r="Y2084" s="245"/>
      <c r="Z2084" s="245"/>
      <c r="AA2084" s="329"/>
      <c r="AC2084" s="245"/>
      <c r="AD2084" s="245"/>
      <c r="AE2084" s="245"/>
      <c r="AF2084" s="245"/>
    </row>
    <row r="2085" spans="1:32" ht="26.25">
      <c r="A2085" s="246"/>
      <c r="B2085" s="245"/>
      <c r="C2085" s="245"/>
      <c r="D2085" s="245"/>
      <c r="E2085" s="245"/>
      <c r="F2085" s="187"/>
      <c r="G2085" s="245"/>
      <c r="H2085" s="245"/>
      <c r="I2085" s="245"/>
      <c r="O2085" s="360"/>
      <c r="Q2085" s="351"/>
      <c r="S2085" s="321"/>
      <c r="T2085" s="85" ph="1"/>
      <c r="V2085" s="216"/>
      <c r="W2085" s="245"/>
      <c r="X2085" s="187"/>
      <c r="Y2085" s="245"/>
      <c r="Z2085" s="245"/>
      <c r="AA2085" s="329"/>
      <c r="AC2085" s="245"/>
      <c r="AD2085" s="245"/>
      <c r="AE2085" s="245"/>
      <c r="AF2085" s="245"/>
    </row>
    <row r="2086" spans="1:32" ht="26.25">
      <c r="A2086" s="246"/>
      <c r="B2086" s="245"/>
      <c r="C2086" s="245"/>
      <c r="D2086" s="245"/>
      <c r="E2086" s="245"/>
      <c r="F2086" s="187"/>
      <c r="G2086" s="245"/>
      <c r="H2086" s="245"/>
      <c r="I2086" s="245"/>
      <c r="O2086" s="360"/>
      <c r="Q2086" s="351"/>
      <c r="S2086" s="321"/>
      <c r="T2086" s="85" ph="1"/>
      <c r="V2086" s="216"/>
      <c r="W2086" s="245"/>
      <c r="X2086" s="187"/>
      <c r="Y2086" s="245"/>
      <c r="Z2086" s="245"/>
      <c r="AA2086" s="329"/>
      <c r="AC2086" s="245"/>
      <c r="AD2086" s="245"/>
      <c r="AE2086" s="245"/>
      <c r="AF2086" s="245"/>
    </row>
    <row r="2087" spans="1:32" ht="26.25">
      <c r="A2087" s="246"/>
      <c r="B2087" s="245"/>
      <c r="C2087" s="245"/>
      <c r="D2087" s="245"/>
      <c r="E2087" s="245"/>
      <c r="F2087" s="187"/>
      <c r="G2087" s="245"/>
      <c r="H2087" s="245"/>
      <c r="I2087" s="245"/>
      <c r="O2087" s="360"/>
      <c r="Q2087" s="351"/>
      <c r="S2087" s="321"/>
      <c r="T2087" s="85" ph="1"/>
      <c r="V2087" s="216"/>
      <c r="W2087" s="245"/>
      <c r="X2087" s="187"/>
      <c r="Y2087" s="245"/>
      <c r="Z2087" s="245"/>
      <c r="AA2087" s="329"/>
      <c r="AC2087" s="245"/>
      <c r="AD2087" s="245"/>
      <c r="AE2087" s="245"/>
      <c r="AF2087" s="245"/>
    </row>
    <row r="2088" spans="1:32" ht="26.25">
      <c r="A2088" s="246"/>
      <c r="B2088" s="245"/>
      <c r="C2088" s="245"/>
      <c r="D2088" s="245"/>
      <c r="E2088" s="245"/>
      <c r="F2088" s="187"/>
      <c r="G2088" s="245"/>
      <c r="H2088" s="245"/>
      <c r="I2088" s="245"/>
      <c r="O2088" s="360"/>
      <c r="Q2088" s="351"/>
      <c r="S2088" s="321"/>
      <c r="T2088" s="85" ph="1"/>
      <c r="V2088" s="216"/>
      <c r="W2088" s="245"/>
      <c r="X2088" s="187"/>
      <c r="Y2088" s="245"/>
      <c r="Z2088" s="245"/>
      <c r="AA2088" s="329"/>
      <c r="AC2088" s="245"/>
      <c r="AD2088" s="245"/>
      <c r="AE2088" s="245"/>
      <c r="AF2088" s="245"/>
    </row>
    <row r="2089" spans="1:32" ht="26.25">
      <c r="A2089" s="246"/>
      <c r="B2089" s="245"/>
      <c r="C2089" s="245"/>
      <c r="D2089" s="245"/>
      <c r="E2089" s="245"/>
      <c r="F2089" s="187"/>
      <c r="G2089" s="245"/>
      <c r="H2089" s="245"/>
      <c r="I2089" s="245"/>
      <c r="O2089" s="360"/>
      <c r="Q2089" s="351"/>
      <c r="S2089" s="321"/>
      <c r="T2089" s="85" ph="1"/>
      <c r="V2089" s="216"/>
      <c r="W2089" s="245"/>
      <c r="X2089" s="187"/>
      <c r="Y2089" s="245"/>
      <c r="Z2089" s="245"/>
      <c r="AA2089" s="329"/>
      <c r="AC2089" s="245"/>
      <c r="AD2089" s="245"/>
      <c r="AE2089" s="245"/>
      <c r="AF2089" s="245"/>
    </row>
    <row r="2090" spans="1:32" ht="26.25">
      <c r="A2090" s="246"/>
      <c r="B2090" s="245"/>
      <c r="C2090" s="245"/>
      <c r="D2090" s="245"/>
      <c r="E2090" s="245"/>
      <c r="F2090" s="187"/>
      <c r="G2090" s="245"/>
      <c r="H2090" s="245"/>
      <c r="I2090" s="245"/>
      <c r="O2090" s="360"/>
      <c r="Q2090" s="351"/>
      <c r="S2090" s="321"/>
      <c r="T2090" s="85" ph="1"/>
      <c r="V2090" s="216"/>
      <c r="W2090" s="245"/>
      <c r="X2090" s="187"/>
      <c r="Y2090" s="245"/>
      <c r="Z2090" s="245"/>
      <c r="AA2090" s="329"/>
      <c r="AC2090" s="245"/>
      <c r="AD2090" s="245"/>
      <c r="AE2090" s="245"/>
      <c r="AF2090" s="245"/>
    </row>
    <row r="2091" spans="1:32" ht="26.25">
      <c r="A2091" s="246"/>
      <c r="B2091" s="245"/>
      <c r="C2091" s="245"/>
      <c r="D2091" s="245"/>
      <c r="E2091" s="245"/>
      <c r="F2091" s="187"/>
      <c r="G2091" s="245"/>
      <c r="H2091" s="245"/>
      <c r="I2091" s="245"/>
      <c r="O2091" s="360"/>
      <c r="Q2091" s="351"/>
      <c r="S2091" s="321"/>
      <c r="T2091" s="85" ph="1"/>
      <c r="V2091" s="216"/>
      <c r="W2091" s="245"/>
      <c r="X2091" s="187"/>
      <c r="Y2091" s="245"/>
      <c r="Z2091" s="245"/>
      <c r="AA2091" s="329"/>
      <c r="AC2091" s="245"/>
      <c r="AD2091" s="245"/>
      <c r="AE2091" s="245"/>
      <c r="AF2091" s="245"/>
    </row>
    <row r="2092" spans="1:32" ht="26.25">
      <c r="A2092" s="246"/>
      <c r="B2092" s="245"/>
      <c r="C2092" s="245"/>
      <c r="D2092" s="245"/>
      <c r="E2092" s="245"/>
      <c r="F2092" s="187"/>
      <c r="G2092" s="245"/>
      <c r="H2092" s="245"/>
      <c r="I2092" s="245"/>
      <c r="O2092" s="360"/>
      <c r="Q2092" s="351"/>
      <c r="S2092" s="321"/>
      <c r="T2092" s="85" ph="1"/>
      <c r="V2092" s="216"/>
      <c r="W2092" s="245"/>
      <c r="X2092" s="187"/>
      <c r="Y2092" s="245"/>
      <c r="Z2092" s="245"/>
      <c r="AA2092" s="329"/>
      <c r="AC2092" s="245"/>
      <c r="AD2092" s="245"/>
      <c r="AE2092" s="245"/>
      <c r="AF2092" s="245"/>
    </row>
    <row r="2093" spans="1:32" ht="26.25">
      <c r="A2093" s="246"/>
      <c r="B2093" s="245"/>
      <c r="C2093" s="245"/>
      <c r="D2093" s="245"/>
      <c r="E2093" s="245"/>
      <c r="F2093" s="187"/>
      <c r="G2093" s="245"/>
      <c r="H2093" s="245"/>
      <c r="I2093" s="245"/>
      <c r="O2093" s="360"/>
      <c r="Q2093" s="351"/>
      <c r="S2093" s="321"/>
      <c r="T2093" s="85" ph="1"/>
      <c r="V2093" s="216"/>
      <c r="W2093" s="245"/>
      <c r="X2093" s="187"/>
      <c r="Y2093" s="245"/>
      <c r="Z2093" s="245"/>
      <c r="AA2093" s="329"/>
      <c r="AC2093" s="245"/>
      <c r="AD2093" s="245"/>
      <c r="AE2093" s="245"/>
      <c r="AF2093" s="245"/>
    </row>
    <row r="2094" spans="1:32" ht="26.25">
      <c r="A2094" s="246"/>
      <c r="B2094" s="245"/>
      <c r="C2094" s="245"/>
      <c r="D2094" s="245"/>
      <c r="E2094" s="245"/>
      <c r="F2094" s="187"/>
      <c r="G2094" s="245"/>
      <c r="H2094" s="245"/>
      <c r="I2094" s="245"/>
      <c r="O2094" s="360"/>
      <c r="Q2094" s="351"/>
      <c r="S2094" s="321"/>
      <c r="T2094" s="85" ph="1"/>
      <c r="V2094" s="216"/>
      <c r="W2094" s="245"/>
      <c r="X2094" s="187"/>
      <c r="Y2094" s="245"/>
      <c r="Z2094" s="245"/>
      <c r="AA2094" s="329"/>
      <c r="AC2094" s="245"/>
      <c r="AD2094" s="245"/>
      <c r="AE2094" s="245"/>
      <c r="AF2094" s="245"/>
    </row>
    <row r="2095" spans="1:32" ht="26.25">
      <c r="A2095" s="246"/>
      <c r="B2095" s="245"/>
      <c r="C2095" s="245"/>
      <c r="D2095" s="245"/>
      <c r="E2095" s="245"/>
      <c r="F2095" s="187"/>
      <c r="G2095" s="245"/>
      <c r="H2095" s="245"/>
      <c r="I2095" s="245"/>
      <c r="O2095" s="360"/>
      <c r="Q2095" s="351"/>
      <c r="S2095" s="321"/>
      <c r="T2095" s="85" ph="1"/>
      <c r="V2095" s="216"/>
      <c r="W2095" s="245"/>
      <c r="X2095" s="187"/>
      <c r="Y2095" s="245"/>
      <c r="Z2095" s="245"/>
      <c r="AA2095" s="329"/>
      <c r="AC2095" s="245"/>
      <c r="AD2095" s="245"/>
      <c r="AE2095" s="245"/>
      <c r="AF2095" s="245"/>
    </row>
    <row r="2096" spans="1:32" ht="26.25">
      <c r="A2096" s="246"/>
      <c r="B2096" s="245"/>
      <c r="C2096" s="245"/>
      <c r="D2096" s="245"/>
      <c r="E2096" s="245"/>
      <c r="F2096" s="187"/>
      <c r="G2096" s="245"/>
      <c r="H2096" s="245"/>
      <c r="I2096" s="245"/>
      <c r="O2096" s="360"/>
      <c r="Q2096" s="351"/>
      <c r="S2096" s="321"/>
      <c r="T2096" s="85" ph="1"/>
      <c r="V2096" s="216"/>
      <c r="W2096" s="245"/>
      <c r="X2096" s="187"/>
      <c r="Y2096" s="245"/>
      <c r="Z2096" s="245"/>
      <c r="AA2096" s="329"/>
      <c r="AC2096" s="245"/>
      <c r="AD2096" s="245"/>
      <c r="AE2096" s="245"/>
      <c r="AF2096" s="245"/>
    </row>
    <row r="2097" spans="1:32" ht="26.25">
      <c r="A2097" s="246"/>
      <c r="B2097" s="245"/>
      <c r="C2097" s="245"/>
      <c r="D2097" s="245"/>
      <c r="E2097" s="245"/>
      <c r="F2097" s="187"/>
      <c r="G2097" s="245"/>
      <c r="H2097" s="245"/>
      <c r="I2097" s="245"/>
      <c r="O2097" s="360"/>
      <c r="Q2097" s="351"/>
      <c r="S2097" s="321"/>
      <c r="T2097" s="85" ph="1"/>
      <c r="V2097" s="216"/>
      <c r="W2097" s="245"/>
      <c r="X2097" s="187"/>
      <c r="Y2097" s="245"/>
      <c r="Z2097" s="245"/>
      <c r="AA2097" s="329"/>
      <c r="AC2097" s="245"/>
      <c r="AD2097" s="245"/>
      <c r="AE2097" s="245"/>
      <c r="AF2097" s="245"/>
    </row>
    <row r="2098" spans="1:32" ht="26.25">
      <c r="A2098" s="246"/>
      <c r="B2098" s="245"/>
      <c r="C2098" s="245"/>
      <c r="D2098" s="245"/>
      <c r="E2098" s="245"/>
      <c r="F2098" s="187"/>
      <c r="G2098" s="245"/>
      <c r="H2098" s="245"/>
      <c r="I2098" s="245"/>
      <c r="O2098" s="360"/>
      <c r="Q2098" s="351"/>
      <c r="S2098" s="321"/>
      <c r="T2098" s="85" ph="1"/>
      <c r="V2098" s="216"/>
      <c r="W2098" s="245"/>
      <c r="X2098" s="187"/>
      <c r="Y2098" s="245"/>
      <c r="Z2098" s="245"/>
      <c r="AA2098" s="329"/>
      <c r="AC2098" s="245"/>
      <c r="AD2098" s="245"/>
      <c r="AE2098" s="245"/>
      <c r="AF2098" s="245"/>
    </row>
    <row r="2099" spans="1:32" ht="26.25">
      <c r="A2099" s="246"/>
      <c r="B2099" s="245"/>
      <c r="C2099" s="245"/>
      <c r="D2099" s="245"/>
      <c r="E2099" s="245"/>
      <c r="F2099" s="187"/>
      <c r="G2099" s="245"/>
      <c r="H2099" s="245"/>
      <c r="I2099" s="245"/>
      <c r="O2099" s="360"/>
      <c r="Q2099" s="351"/>
      <c r="S2099" s="321"/>
      <c r="T2099" s="85" ph="1"/>
      <c r="V2099" s="216"/>
      <c r="W2099" s="245"/>
      <c r="X2099" s="187"/>
      <c r="Y2099" s="245"/>
      <c r="Z2099" s="245"/>
      <c r="AA2099" s="329"/>
      <c r="AC2099" s="245"/>
      <c r="AD2099" s="245"/>
      <c r="AE2099" s="245"/>
      <c r="AF2099" s="245"/>
    </row>
    <row r="2100" spans="1:32" ht="26.25">
      <c r="A2100" s="246"/>
      <c r="B2100" s="245"/>
      <c r="C2100" s="245"/>
      <c r="D2100" s="245"/>
      <c r="E2100" s="245"/>
      <c r="F2100" s="187"/>
      <c r="G2100" s="245"/>
      <c r="H2100" s="245"/>
      <c r="I2100" s="245"/>
      <c r="O2100" s="360"/>
      <c r="Q2100" s="351"/>
      <c r="S2100" s="321"/>
      <c r="T2100" s="85" ph="1"/>
      <c r="V2100" s="216"/>
      <c r="W2100" s="245"/>
      <c r="X2100" s="187"/>
      <c r="Y2100" s="245"/>
      <c r="Z2100" s="245"/>
      <c r="AA2100" s="329"/>
      <c r="AC2100" s="245"/>
      <c r="AD2100" s="245"/>
      <c r="AE2100" s="245"/>
      <c r="AF2100" s="245"/>
    </row>
    <row r="2101" spans="1:32" ht="26.25">
      <c r="A2101" s="246"/>
      <c r="B2101" s="245"/>
      <c r="C2101" s="245"/>
      <c r="D2101" s="245"/>
      <c r="E2101" s="245"/>
      <c r="F2101" s="187"/>
      <c r="G2101" s="245"/>
      <c r="H2101" s="245"/>
      <c r="I2101" s="245"/>
      <c r="O2101" s="360"/>
      <c r="Q2101" s="351"/>
      <c r="S2101" s="321"/>
      <c r="T2101" s="85" ph="1"/>
      <c r="V2101" s="216"/>
      <c r="W2101" s="245"/>
      <c r="X2101" s="187"/>
      <c r="Y2101" s="245"/>
      <c r="Z2101" s="245"/>
      <c r="AA2101" s="329"/>
      <c r="AC2101" s="245"/>
      <c r="AD2101" s="245"/>
      <c r="AE2101" s="245"/>
      <c r="AF2101" s="245"/>
    </row>
    <row r="2102" spans="1:32" ht="26.25">
      <c r="A2102" s="246"/>
      <c r="B2102" s="245"/>
      <c r="C2102" s="245"/>
      <c r="D2102" s="245"/>
      <c r="E2102" s="245"/>
      <c r="F2102" s="187"/>
      <c r="G2102" s="245"/>
      <c r="H2102" s="245"/>
      <c r="I2102" s="245"/>
      <c r="O2102" s="360"/>
      <c r="Q2102" s="351"/>
      <c r="S2102" s="321"/>
      <c r="T2102" s="85" ph="1"/>
      <c r="V2102" s="216"/>
      <c r="W2102" s="245"/>
      <c r="X2102" s="187"/>
      <c r="Y2102" s="245"/>
      <c r="Z2102" s="245"/>
      <c r="AA2102" s="329"/>
      <c r="AC2102" s="245"/>
      <c r="AD2102" s="245"/>
      <c r="AE2102" s="245"/>
      <c r="AF2102" s="245"/>
    </row>
    <row r="2103" spans="1:32" ht="26.25">
      <c r="A2103" s="246"/>
      <c r="B2103" s="245"/>
      <c r="C2103" s="245"/>
      <c r="D2103" s="245"/>
      <c r="E2103" s="245"/>
      <c r="F2103" s="187"/>
      <c r="G2103" s="245"/>
      <c r="H2103" s="245"/>
      <c r="I2103" s="245"/>
      <c r="O2103" s="360"/>
      <c r="Q2103" s="351"/>
      <c r="S2103" s="321"/>
      <c r="T2103" s="85" ph="1"/>
      <c r="V2103" s="216"/>
      <c r="W2103" s="245"/>
      <c r="X2103" s="187"/>
      <c r="Y2103" s="245"/>
      <c r="Z2103" s="245"/>
      <c r="AA2103" s="329"/>
      <c r="AC2103" s="245"/>
      <c r="AD2103" s="245"/>
      <c r="AE2103" s="245"/>
      <c r="AF2103" s="245"/>
    </row>
    <row r="2104" spans="1:32" ht="26.25">
      <c r="A2104" s="246"/>
      <c r="B2104" s="245"/>
      <c r="C2104" s="245"/>
      <c r="D2104" s="245"/>
      <c r="E2104" s="245"/>
      <c r="F2104" s="187"/>
      <c r="G2104" s="245"/>
      <c r="H2104" s="245"/>
      <c r="I2104" s="245"/>
      <c r="O2104" s="360"/>
      <c r="Q2104" s="351"/>
      <c r="S2104" s="321"/>
      <c r="T2104" s="85" ph="1"/>
      <c r="V2104" s="216"/>
      <c r="W2104" s="245"/>
      <c r="X2104" s="187"/>
      <c r="Y2104" s="245"/>
      <c r="Z2104" s="245"/>
      <c r="AA2104" s="329"/>
      <c r="AC2104" s="245"/>
      <c r="AD2104" s="245"/>
      <c r="AE2104" s="245"/>
      <c r="AF2104" s="245"/>
    </row>
    <row r="2105" spans="1:32" ht="26.25">
      <c r="A2105" s="246"/>
      <c r="B2105" s="245"/>
      <c r="C2105" s="245"/>
      <c r="D2105" s="245"/>
      <c r="E2105" s="245"/>
      <c r="F2105" s="187"/>
      <c r="G2105" s="245"/>
      <c r="H2105" s="245"/>
      <c r="I2105" s="245"/>
      <c r="O2105" s="360"/>
      <c r="Q2105" s="351"/>
      <c r="S2105" s="321"/>
      <c r="T2105" s="85" ph="1"/>
      <c r="V2105" s="216"/>
      <c r="W2105" s="245"/>
      <c r="X2105" s="187"/>
      <c r="Y2105" s="245"/>
      <c r="Z2105" s="245"/>
      <c r="AA2105" s="329"/>
      <c r="AC2105" s="245"/>
      <c r="AD2105" s="245"/>
      <c r="AE2105" s="245"/>
      <c r="AF2105" s="245"/>
    </row>
    <row r="2106" spans="1:32" ht="26.25">
      <c r="A2106" s="246"/>
      <c r="B2106" s="245"/>
      <c r="C2106" s="245"/>
      <c r="D2106" s="245"/>
      <c r="E2106" s="245"/>
      <c r="F2106" s="187"/>
      <c r="G2106" s="245"/>
      <c r="H2106" s="245"/>
      <c r="I2106" s="245"/>
      <c r="O2106" s="360"/>
      <c r="Q2106" s="351"/>
      <c r="S2106" s="321"/>
      <c r="T2106" s="85" ph="1"/>
      <c r="V2106" s="216"/>
      <c r="W2106" s="245"/>
      <c r="X2106" s="187"/>
      <c r="Y2106" s="245"/>
      <c r="Z2106" s="245"/>
      <c r="AA2106" s="329"/>
      <c r="AC2106" s="245"/>
      <c r="AD2106" s="245"/>
      <c r="AE2106" s="245"/>
      <c r="AF2106" s="245"/>
    </row>
    <row r="2107" spans="1:32" ht="26.25">
      <c r="A2107" s="246"/>
      <c r="B2107" s="245"/>
      <c r="C2107" s="245"/>
      <c r="D2107" s="245"/>
      <c r="E2107" s="245"/>
      <c r="F2107" s="187"/>
      <c r="G2107" s="245"/>
      <c r="H2107" s="245"/>
      <c r="I2107" s="245"/>
      <c r="O2107" s="360"/>
      <c r="Q2107" s="351"/>
      <c r="S2107" s="321"/>
      <c r="T2107" s="85" ph="1"/>
      <c r="V2107" s="216"/>
      <c r="W2107" s="245"/>
      <c r="X2107" s="187"/>
      <c r="Y2107" s="245"/>
      <c r="Z2107" s="245"/>
      <c r="AA2107" s="329"/>
      <c r="AC2107" s="245"/>
      <c r="AD2107" s="245"/>
      <c r="AE2107" s="245"/>
      <c r="AF2107" s="245"/>
    </row>
    <row r="2108" spans="1:32" ht="26.25">
      <c r="A2108" s="246"/>
      <c r="B2108" s="245"/>
      <c r="C2108" s="245"/>
      <c r="D2108" s="245"/>
      <c r="E2108" s="245"/>
      <c r="F2108" s="187"/>
      <c r="G2108" s="245"/>
      <c r="H2108" s="245"/>
      <c r="I2108" s="245"/>
      <c r="O2108" s="360"/>
      <c r="Q2108" s="351"/>
      <c r="S2108" s="321"/>
      <c r="T2108" s="85" ph="1"/>
      <c r="V2108" s="216"/>
      <c r="W2108" s="245"/>
      <c r="X2108" s="187"/>
      <c r="Y2108" s="245"/>
      <c r="Z2108" s="245"/>
      <c r="AA2108" s="329"/>
      <c r="AC2108" s="245"/>
      <c r="AD2108" s="245"/>
      <c r="AE2108" s="245"/>
      <c r="AF2108" s="245"/>
    </row>
    <row r="2109" spans="1:32" ht="26.25">
      <c r="A2109" s="246"/>
      <c r="B2109" s="245"/>
      <c r="C2109" s="245"/>
      <c r="D2109" s="245"/>
      <c r="E2109" s="245"/>
      <c r="F2109" s="187"/>
      <c r="G2109" s="245"/>
      <c r="H2109" s="245"/>
      <c r="I2109" s="245"/>
      <c r="O2109" s="360"/>
      <c r="Q2109" s="351"/>
      <c r="S2109" s="321"/>
      <c r="T2109" s="85" ph="1"/>
      <c r="V2109" s="216"/>
      <c r="W2109" s="245"/>
      <c r="X2109" s="187"/>
      <c r="Y2109" s="245"/>
      <c r="Z2109" s="245"/>
      <c r="AA2109" s="329"/>
      <c r="AC2109" s="245"/>
      <c r="AD2109" s="245"/>
      <c r="AE2109" s="245"/>
      <c r="AF2109" s="245"/>
    </row>
    <row r="2110" spans="1:32" ht="26.25">
      <c r="A2110" s="246"/>
      <c r="B2110" s="245"/>
      <c r="C2110" s="245"/>
      <c r="D2110" s="245"/>
      <c r="E2110" s="245"/>
      <c r="F2110" s="187"/>
      <c r="G2110" s="245"/>
      <c r="H2110" s="245"/>
      <c r="I2110" s="245"/>
      <c r="O2110" s="360"/>
      <c r="Q2110" s="351"/>
      <c r="S2110" s="321"/>
      <c r="T2110" s="85" ph="1"/>
      <c r="V2110" s="216"/>
      <c r="W2110" s="245"/>
      <c r="X2110" s="187"/>
      <c r="Y2110" s="245"/>
      <c r="Z2110" s="245"/>
      <c r="AA2110" s="329"/>
      <c r="AC2110" s="245"/>
      <c r="AD2110" s="245"/>
      <c r="AE2110" s="245"/>
      <c r="AF2110" s="245"/>
    </row>
    <row r="2111" spans="1:32" ht="26.25">
      <c r="A2111" s="246"/>
      <c r="B2111" s="245"/>
      <c r="C2111" s="245"/>
      <c r="D2111" s="245"/>
      <c r="E2111" s="245"/>
      <c r="F2111" s="187"/>
      <c r="G2111" s="245"/>
      <c r="H2111" s="245"/>
      <c r="I2111" s="245"/>
      <c r="O2111" s="360"/>
      <c r="Q2111" s="351"/>
      <c r="S2111" s="321"/>
      <c r="T2111" s="85" ph="1"/>
      <c r="V2111" s="216"/>
      <c r="W2111" s="245"/>
      <c r="X2111" s="187"/>
      <c r="Y2111" s="245"/>
      <c r="Z2111" s="245"/>
      <c r="AA2111" s="329"/>
      <c r="AC2111" s="245"/>
      <c r="AD2111" s="245"/>
      <c r="AE2111" s="245"/>
      <c r="AF2111" s="245"/>
    </row>
    <row r="2112" spans="1:32" ht="26.25">
      <c r="A2112" s="246"/>
      <c r="B2112" s="245"/>
      <c r="C2112" s="245"/>
      <c r="D2112" s="245"/>
      <c r="E2112" s="245"/>
      <c r="F2112" s="187"/>
      <c r="G2112" s="245"/>
      <c r="H2112" s="245"/>
      <c r="I2112" s="245"/>
      <c r="O2112" s="360"/>
      <c r="Q2112" s="351"/>
      <c r="S2112" s="321"/>
      <c r="T2112" s="85" ph="1"/>
      <c r="V2112" s="216"/>
      <c r="W2112" s="245"/>
      <c r="X2112" s="187"/>
      <c r="Y2112" s="245"/>
      <c r="Z2112" s="245"/>
      <c r="AA2112" s="329"/>
      <c r="AC2112" s="245"/>
      <c r="AD2112" s="245"/>
      <c r="AE2112" s="245"/>
      <c r="AF2112" s="245"/>
    </row>
    <row r="2113" spans="1:32" ht="26.25">
      <c r="A2113" s="246"/>
      <c r="B2113" s="245"/>
      <c r="C2113" s="245"/>
      <c r="D2113" s="245"/>
      <c r="E2113" s="245"/>
      <c r="F2113" s="187"/>
      <c r="G2113" s="245"/>
      <c r="H2113" s="245"/>
      <c r="I2113" s="245"/>
      <c r="O2113" s="360"/>
      <c r="Q2113" s="351"/>
      <c r="S2113" s="321"/>
      <c r="T2113" s="85" ph="1"/>
      <c r="V2113" s="216"/>
      <c r="W2113" s="245"/>
      <c r="X2113" s="187"/>
      <c r="Y2113" s="245"/>
      <c r="Z2113" s="245"/>
      <c r="AA2113" s="329"/>
      <c r="AC2113" s="245"/>
      <c r="AD2113" s="245"/>
      <c r="AE2113" s="245"/>
      <c r="AF2113" s="245"/>
    </row>
    <row r="2114" spans="1:32" ht="26.25">
      <c r="A2114" s="246"/>
      <c r="B2114" s="245"/>
      <c r="C2114" s="245"/>
      <c r="D2114" s="245"/>
      <c r="E2114" s="245"/>
      <c r="F2114" s="187"/>
      <c r="G2114" s="245"/>
      <c r="H2114" s="245"/>
      <c r="I2114" s="245"/>
      <c r="O2114" s="360"/>
      <c r="Q2114" s="351"/>
      <c r="S2114" s="321"/>
      <c r="T2114" s="85" ph="1"/>
      <c r="V2114" s="216"/>
      <c r="W2114" s="245"/>
      <c r="X2114" s="187"/>
      <c r="Y2114" s="245"/>
      <c r="Z2114" s="245"/>
      <c r="AA2114" s="329"/>
      <c r="AC2114" s="245"/>
      <c r="AD2114" s="245"/>
      <c r="AE2114" s="245"/>
      <c r="AF2114" s="245"/>
    </row>
    <row r="2115" spans="1:32" ht="26.25">
      <c r="A2115" s="246"/>
      <c r="B2115" s="245"/>
      <c r="C2115" s="245"/>
      <c r="D2115" s="245"/>
      <c r="E2115" s="245"/>
      <c r="F2115" s="187"/>
      <c r="G2115" s="245"/>
      <c r="H2115" s="245"/>
      <c r="I2115" s="245"/>
      <c r="O2115" s="360"/>
      <c r="Q2115" s="351"/>
      <c r="S2115" s="321"/>
      <c r="T2115" s="85" ph="1"/>
      <c r="V2115" s="216"/>
      <c r="W2115" s="245"/>
      <c r="X2115" s="187"/>
      <c r="Y2115" s="245"/>
      <c r="Z2115" s="245"/>
      <c r="AA2115" s="329"/>
      <c r="AC2115" s="245"/>
      <c r="AD2115" s="245"/>
      <c r="AE2115" s="245"/>
      <c r="AF2115" s="245"/>
    </row>
    <row r="2116" spans="1:32" ht="26.25">
      <c r="A2116" s="246"/>
      <c r="B2116" s="245"/>
      <c r="C2116" s="245"/>
      <c r="D2116" s="245"/>
      <c r="E2116" s="245"/>
      <c r="F2116" s="187"/>
      <c r="G2116" s="245"/>
      <c r="H2116" s="245"/>
      <c r="I2116" s="245"/>
      <c r="O2116" s="360"/>
      <c r="Q2116" s="351"/>
      <c r="S2116" s="321"/>
      <c r="T2116" s="85" ph="1"/>
      <c r="V2116" s="216"/>
      <c r="W2116" s="245"/>
      <c r="X2116" s="187"/>
      <c r="Y2116" s="245"/>
      <c r="Z2116" s="245"/>
      <c r="AA2116" s="329"/>
      <c r="AC2116" s="245"/>
      <c r="AD2116" s="245"/>
      <c r="AE2116" s="245"/>
      <c r="AF2116" s="245"/>
    </row>
    <row r="2117" spans="1:32" ht="26.25">
      <c r="A2117" s="246"/>
      <c r="B2117" s="245"/>
      <c r="C2117" s="245"/>
      <c r="D2117" s="245"/>
      <c r="E2117" s="245"/>
      <c r="F2117" s="187"/>
      <c r="G2117" s="245"/>
      <c r="H2117" s="245"/>
      <c r="I2117" s="245"/>
      <c r="O2117" s="360"/>
      <c r="Q2117" s="351"/>
      <c r="S2117" s="321"/>
      <c r="T2117" s="85" ph="1"/>
      <c r="V2117" s="216"/>
      <c r="W2117" s="245"/>
      <c r="X2117" s="187"/>
      <c r="Y2117" s="245"/>
      <c r="Z2117" s="245"/>
      <c r="AA2117" s="329"/>
      <c r="AC2117" s="245"/>
      <c r="AD2117" s="245"/>
      <c r="AE2117" s="245"/>
      <c r="AF2117" s="245"/>
    </row>
    <row r="2118" spans="1:32" ht="26.25">
      <c r="A2118" s="246"/>
      <c r="B2118" s="245"/>
      <c r="C2118" s="245"/>
      <c r="D2118" s="245"/>
      <c r="E2118" s="245"/>
      <c r="F2118" s="187"/>
      <c r="G2118" s="245"/>
      <c r="H2118" s="245"/>
      <c r="I2118" s="245"/>
      <c r="O2118" s="360"/>
      <c r="Q2118" s="351"/>
      <c r="S2118" s="321"/>
      <c r="T2118" s="85" ph="1"/>
      <c r="V2118" s="216"/>
      <c r="W2118" s="245"/>
      <c r="X2118" s="187"/>
      <c r="Y2118" s="245"/>
      <c r="Z2118" s="245"/>
      <c r="AA2118" s="329"/>
      <c r="AC2118" s="245"/>
      <c r="AD2118" s="245"/>
      <c r="AE2118" s="245"/>
      <c r="AF2118" s="245"/>
    </row>
    <row r="2119" spans="1:32" ht="26.25">
      <c r="A2119" s="246"/>
      <c r="B2119" s="245"/>
      <c r="C2119" s="245"/>
      <c r="D2119" s="245"/>
      <c r="E2119" s="245"/>
      <c r="F2119" s="187"/>
      <c r="G2119" s="245"/>
      <c r="H2119" s="245"/>
      <c r="I2119" s="245"/>
      <c r="O2119" s="360"/>
      <c r="Q2119" s="351"/>
      <c r="S2119" s="321"/>
      <c r="T2119" s="85" ph="1"/>
      <c r="V2119" s="216"/>
      <c r="W2119" s="245"/>
      <c r="X2119" s="187"/>
      <c r="Y2119" s="245"/>
      <c r="Z2119" s="245"/>
      <c r="AA2119" s="329"/>
      <c r="AC2119" s="245"/>
      <c r="AD2119" s="245"/>
      <c r="AE2119" s="245"/>
      <c r="AF2119" s="245"/>
    </row>
    <row r="2120" spans="1:32" ht="26.25">
      <c r="A2120" s="246"/>
      <c r="B2120" s="245"/>
      <c r="C2120" s="245"/>
      <c r="D2120" s="245"/>
      <c r="E2120" s="245"/>
      <c r="F2120" s="187"/>
      <c r="G2120" s="245"/>
      <c r="H2120" s="245"/>
      <c r="I2120" s="245"/>
      <c r="O2120" s="360"/>
      <c r="Q2120" s="351"/>
      <c r="S2120" s="321"/>
      <c r="T2120" s="85" ph="1"/>
      <c r="V2120" s="216"/>
      <c r="W2120" s="245"/>
      <c r="X2120" s="187"/>
      <c r="Y2120" s="245"/>
      <c r="Z2120" s="245"/>
      <c r="AA2120" s="329"/>
      <c r="AC2120" s="245"/>
      <c r="AD2120" s="245"/>
      <c r="AE2120" s="245"/>
      <c r="AF2120" s="245"/>
    </row>
    <row r="2121" spans="1:32" ht="26.25">
      <c r="A2121" s="246"/>
      <c r="B2121" s="245"/>
      <c r="C2121" s="245"/>
      <c r="D2121" s="245"/>
      <c r="E2121" s="245"/>
      <c r="F2121" s="187"/>
      <c r="G2121" s="245"/>
      <c r="H2121" s="245"/>
      <c r="I2121" s="245"/>
      <c r="O2121" s="360"/>
      <c r="Q2121" s="351"/>
      <c r="S2121" s="321"/>
      <c r="T2121" s="85" ph="1"/>
      <c r="V2121" s="216"/>
      <c r="W2121" s="245"/>
      <c r="X2121" s="187"/>
      <c r="Y2121" s="245"/>
      <c r="Z2121" s="245"/>
      <c r="AA2121" s="329"/>
      <c r="AC2121" s="245"/>
      <c r="AD2121" s="245"/>
      <c r="AE2121" s="245"/>
      <c r="AF2121" s="245"/>
    </row>
    <row r="2122" spans="1:32" ht="26.25">
      <c r="A2122" s="246"/>
      <c r="B2122" s="245"/>
      <c r="C2122" s="245"/>
      <c r="D2122" s="245"/>
      <c r="E2122" s="245"/>
      <c r="F2122" s="187"/>
      <c r="G2122" s="245"/>
      <c r="H2122" s="245"/>
      <c r="I2122" s="245"/>
      <c r="O2122" s="360"/>
      <c r="Q2122" s="351"/>
      <c r="S2122" s="321"/>
      <c r="T2122" s="85" ph="1"/>
      <c r="V2122" s="216"/>
      <c r="W2122" s="245"/>
      <c r="X2122" s="187"/>
      <c r="Y2122" s="245"/>
      <c r="Z2122" s="245"/>
      <c r="AA2122" s="329"/>
      <c r="AC2122" s="245"/>
      <c r="AD2122" s="245"/>
      <c r="AE2122" s="245"/>
      <c r="AF2122" s="245"/>
    </row>
    <row r="2123" spans="1:32" ht="26.25">
      <c r="A2123" s="246"/>
      <c r="B2123" s="245"/>
      <c r="C2123" s="245"/>
      <c r="D2123" s="245"/>
      <c r="E2123" s="245"/>
      <c r="F2123" s="187"/>
      <c r="G2123" s="245"/>
      <c r="H2123" s="245"/>
      <c r="I2123" s="245"/>
      <c r="O2123" s="360"/>
      <c r="Q2123" s="351"/>
      <c r="S2123" s="321"/>
      <c r="T2123" s="85" ph="1"/>
      <c r="V2123" s="216"/>
      <c r="W2123" s="245"/>
      <c r="X2123" s="187"/>
      <c r="Y2123" s="245"/>
      <c r="Z2123" s="245"/>
      <c r="AA2123" s="329"/>
      <c r="AC2123" s="245"/>
      <c r="AD2123" s="245"/>
      <c r="AE2123" s="245"/>
      <c r="AF2123" s="245"/>
    </row>
    <row r="2124" spans="1:32" ht="26.25">
      <c r="A2124" s="246"/>
      <c r="B2124" s="245"/>
      <c r="C2124" s="245"/>
      <c r="D2124" s="245"/>
      <c r="E2124" s="245"/>
      <c r="F2124" s="187"/>
      <c r="G2124" s="245"/>
      <c r="H2124" s="245"/>
      <c r="I2124" s="245"/>
      <c r="O2124" s="360"/>
      <c r="Q2124" s="351"/>
      <c r="S2124" s="321"/>
      <c r="T2124" s="85" ph="1"/>
      <c r="V2124" s="216"/>
      <c r="W2124" s="245"/>
      <c r="X2124" s="187"/>
      <c r="Y2124" s="245"/>
      <c r="Z2124" s="245"/>
      <c r="AA2124" s="329"/>
      <c r="AC2124" s="245"/>
      <c r="AD2124" s="245"/>
      <c r="AE2124" s="245"/>
      <c r="AF2124" s="245"/>
    </row>
    <row r="2125" spans="1:32" ht="26.25">
      <c r="A2125" s="246"/>
      <c r="B2125" s="245"/>
      <c r="C2125" s="245"/>
      <c r="D2125" s="245"/>
      <c r="E2125" s="245"/>
      <c r="F2125" s="187"/>
      <c r="G2125" s="245"/>
      <c r="H2125" s="245"/>
      <c r="I2125" s="245"/>
      <c r="O2125" s="360"/>
      <c r="Q2125" s="351"/>
      <c r="S2125" s="321"/>
      <c r="T2125" s="85" ph="1"/>
      <c r="V2125" s="216"/>
      <c r="W2125" s="245"/>
      <c r="X2125" s="187"/>
      <c r="Y2125" s="245"/>
      <c r="Z2125" s="245"/>
      <c r="AA2125" s="329"/>
      <c r="AC2125" s="245"/>
      <c r="AD2125" s="245"/>
      <c r="AE2125" s="245"/>
      <c r="AF2125" s="245"/>
    </row>
    <row r="2126" spans="1:32" ht="26.25">
      <c r="A2126" s="246"/>
      <c r="B2126" s="245"/>
      <c r="C2126" s="245"/>
      <c r="D2126" s="245"/>
      <c r="E2126" s="245"/>
      <c r="F2126" s="187"/>
      <c r="G2126" s="245"/>
      <c r="H2126" s="245"/>
      <c r="I2126" s="245"/>
      <c r="O2126" s="360"/>
      <c r="Q2126" s="351"/>
      <c r="S2126" s="321"/>
      <c r="T2126" s="85" ph="1"/>
      <c r="V2126" s="216"/>
      <c r="W2126" s="245"/>
      <c r="X2126" s="187"/>
      <c r="Y2126" s="245"/>
      <c r="Z2126" s="245"/>
      <c r="AA2126" s="329"/>
      <c r="AC2126" s="245"/>
      <c r="AD2126" s="245"/>
      <c r="AE2126" s="245"/>
      <c r="AF2126" s="245"/>
    </row>
    <row r="2127" spans="1:32" ht="26.25">
      <c r="A2127" s="246"/>
      <c r="B2127" s="245"/>
      <c r="C2127" s="245"/>
      <c r="D2127" s="245"/>
      <c r="E2127" s="245"/>
      <c r="F2127" s="187"/>
      <c r="G2127" s="245"/>
      <c r="H2127" s="245"/>
      <c r="I2127" s="245"/>
      <c r="O2127" s="360"/>
      <c r="Q2127" s="351"/>
      <c r="S2127" s="321"/>
      <c r="T2127" s="85" ph="1"/>
      <c r="V2127" s="216"/>
      <c r="W2127" s="245"/>
      <c r="X2127" s="187"/>
      <c r="Y2127" s="245"/>
      <c r="Z2127" s="245"/>
      <c r="AA2127" s="329"/>
      <c r="AC2127" s="245"/>
      <c r="AD2127" s="245"/>
      <c r="AE2127" s="245"/>
      <c r="AF2127" s="245"/>
    </row>
    <row r="2128" spans="1:32" ht="26.25">
      <c r="A2128" s="246"/>
      <c r="B2128" s="245"/>
      <c r="C2128" s="245"/>
      <c r="D2128" s="245"/>
      <c r="E2128" s="245"/>
      <c r="F2128" s="187"/>
      <c r="G2128" s="245"/>
      <c r="H2128" s="245"/>
      <c r="I2128" s="245"/>
      <c r="O2128" s="360"/>
      <c r="Q2128" s="351"/>
      <c r="S2128" s="321"/>
      <c r="T2128" s="85" ph="1"/>
      <c r="V2128" s="216"/>
      <c r="W2128" s="245"/>
      <c r="X2128" s="187"/>
      <c r="Y2128" s="245"/>
      <c r="Z2128" s="245"/>
      <c r="AA2128" s="329"/>
      <c r="AC2128" s="245"/>
      <c r="AD2128" s="245"/>
      <c r="AE2128" s="245"/>
      <c r="AF2128" s="245"/>
    </row>
    <row r="2129" spans="1:32" ht="26.25">
      <c r="A2129" s="246"/>
      <c r="B2129" s="245"/>
      <c r="C2129" s="245"/>
      <c r="D2129" s="245"/>
      <c r="E2129" s="245"/>
      <c r="F2129" s="187"/>
      <c r="G2129" s="245"/>
      <c r="H2129" s="245"/>
      <c r="I2129" s="245"/>
      <c r="O2129" s="360"/>
      <c r="Q2129" s="351"/>
      <c r="S2129" s="321"/>
      <c r="T2129" s="85" ph="1"/>
      <c r="V2129" s="216"/>
      <c r="W2129" s="245"/>
      <c r="X2129" s="187"/>
      <c r="Y2129" s="245"/>
      <c r="Z2129" s="245"/>
      <c r="AA2129" s="329"/>
      <c r="AC2129" s="245"/>
      <c r="AD2129" s="245"/>
      <c r="AE2129" s="245"/>
      <c r="AF2129" s="245"/>
    </row>
    <row r="2130" spans="1:32" ht="26.25">
      <c r="A2130" s="246"/>
      <c r="B2130" s="245"/>
      <c r="C2130" s="245"/>
      <c r="D2130" s="245"/>
      <c r="E2130" s="245"/>
      <c r="F2130" s="187"/>
      <c r="G2130" s="245"/>
      <c r="H2130" s="245"/>
      <c r="I2130" s="245"/>
      <c r="O2130" s="360"/>
      <c r="Q2130" s="351"/>
      <c r="S2130" s="321"/>
      <c r="T2130" s="85" ph="1"/>
      <c r="V2130" s="216"/>
      <c r="W2130" s="245"/>
      <c r="X2130" s="187"/>
      <c r="Y2130" s="245"/>
      <c r="Z2130" s="245"/>
      <c r="AA2130" s="329"/>
      <c r="AC2130" s="245"/>
      <c r="AD2130" s="245"/>
      <c r="AE2130" s="245"/>
      <c r="AF2130" s="245"/>
    </row>
    <row r="2131" spans="1:32" ht="26.25">
      <c r="A2131" s="246"/>
      <c r="B2131" s="245"/>
      <c r="C2131" s="245"/>
      <c r="D2131" s="245"/>
      <c r="E2131" s="245"/>
      <c r="F2131" s="187"/>
      <c r="G2131" s="245"/>
      <c r="H2131" s="245"/>
      <c r="I2131" s="245"/>
      <c r="O2131" s="360"/>
      <c r="Q2131" s="351"/>
      <c r="S2131" s="321"/>
      <c r="T2131" s="85" ph="1"/>
      <c r="V2131" s="216"/>
      <c r="W2131" s="245"/>
      <c r="X2131" s="187"/>
      <c r="Y2131" s="245"/>
      <c r="Z2131" s="245"/>
      <c r="AA2131" s="329"/>
      <c r="AC2131" s="245"/>
      <c r="AD2131" s="245"/>
      <c r="AE2131" s="245"/>
      <c r="AF2131" s="245"/>
    </row>
    <row r="2132" spans="1:32" ht="26.25">
      <c r="A2132" s="246"/>
      <c r="B2132" s="245"/>
      <c r="C2132" s="245"/>
      <c r="D2132" s="245"/>
      <c r="E2132" s="245"/>
      <c r="F2132" s="187"/>
      <c r="G2132" s="245"/>
      <c r="H2132" s="245"/>
      <c r="I2132" s="245"/>
      <c r="O2132" s="360"/>
      <c r="Q2132" s="351"/>
      <c r="S2132" s="321"/>
      <c r="T2132" s="85" ph="1"/>
      <c r="V2132" s="216"/>
      <c r="W2132" s="245"/>
      <c r="X2132" s="187"/>
      <c r="Y2132" s="245"/>
      <c r="Z2132" s="245"/>
      <c r="AA2132" s="329"/>
      <c r="AC2132" s="245"/>
      <c r="AD2132" s="245"/>
      <c r="AE2132" s="245"/>
      <c r="AF2132" s="245"/>
    </row>
    <row r="2133" spans="1:32" ht="26.25">
      <c r="A2133" s="246"/>
      <c r="B2133" s="245"/>
      <c r="C2133" s="245"/>
      <c r="D2133" s="245"/>
      <c r="E2133" s="245"/>
      <c r="F2133" s="187"/>
      <c r="G2133" s="245"/>
      <c r="H2133" s="245"/>
      <c r="I2133" s="245"/>
      <c r="O2133" s="360"/>
      <c r="Q2133" s="351"/>
      <c r="S2133" s="321"/>
      <c r="T2133" s="85" ph="1"/>
      <c r="V2133" s="216"/>
      <c r="W2133" s="245"/>
      <c r="X2133" s="187"/>
      <c r="Y2133" s="245"/>
      <c r="Z2133" s="245"/>
      <c r="AA2133" s="329"/>
      <c r="AC2133" s="245"/>
      <c r="AD2133" s="245"/>
      <c r="AE2133" s="245"/>
      <c r="AF2133" s="245"/>
    </row>
    <row r="2134" spans="1:32" ht="26.25">
      <c r="A2134" s="246"/>
      <c r="B2134" s="245"/>
      <c r="C2134" s="245"/>
      <c r="D2134" s="245"/>
      <c r="E2134" s="245"/>
      <c r="F2134" s="187"/>
      <c r="G2134" s="245"/>
      <c r="H2134" s="245"/>
      <c r="I2134" s="245"/>
      <c r="O2134" s="360"/>
      <c r="Q2134" s="351"/>
      <c r="S2134" s="321"/>
      <c r="T2134" s="85" ph="1"/>
      <c r="V2134" s="216"/>
      <c r="W2134" s="245"/>
      <c r="X2134" s="187"/>
      <c r="Y2134" s="245"/>
      <c r="Z2134" s="245"/>
      <c r="AA2134" s="329"/>
      <c r="AC2134" s="245"/>
      <c r="AD2134" s="245"/>
      <c r="AE2134" s="245"/>
      <c r="AF2134" s="245"/>
    </row>
    <row r="2135" spans="1:32" ht="26.25">
      <c r="A2135" s="246"/>
      <c r="B2135" s="245"/>
      <c r="C2135" s="245"/>
      <c r="D2135" s="245"/>
      <c r="E2135" s="245"/>
      <c r="F2135" s="187"/>
      <c r="G2135" s="245"/>
      <c r="H2135" s="245"/>
      <c r="I2135" s="245"/>
      <c r="O2135" s="360"/>
      <c r="Q2135" s="351"/>
      <c r="S2135" s="321"/>
      <c r="T2135" s="85" ph="1"/>
      <c r="V2135" s="216"/>
      <c r="W2135" s="245"/>
      <c r="X2135" s="187"/>
      <c r="Y2135" s="245"/>
      <c r="Z2135" s="245"/>
      <c r="AA2135" s="329"/>
      <c r="AC2135" s="245"/>
      <c r="AD2135" s="245"/>
      <c r="AE2135" s="245"/>
      <c r="AF2135" s="245"/>
    </row>
    <row r="2136" spans="1:32" ht="26.25">
      <c r="A2136" s="246"/>
      <c r="B2136" s="245"/>
      <c r="C2136" s="245"/>
      <c r="D2136" s="245"/>
      <c r="E2136" s="245"/>
      <c r="F2136" s="187"/>
      <c r="G2136" s="245"/>
      <c r="H2136" s="245"/>
      <c r="I2136" s="245"/>
      <c r="O2136" s="360"/>
      <c r="Q2136" s="351"/>
      <c r="S2136" s="321"/>
      <c r="T2136" s="85" ph="1"/>
      <c r="V2136" s="216"/>
      <c r="W2136" s="245"/>
      <c r="X2136" s="187"/>
      <c r="Y2136" s="245"/>
      <c r="Z2136" s="245"/>
      <c r="AA2136" s="329"/>
      <c r="AC2136" s="245"/>
      <c r="AD2136" s="245"/>
      <c r="AE2136" s="245"/>
      <c r="AF2136" s="245"/>
    </row>
    <row r="2137" spans="1:32" ht="26.25">
      <c r="A2137" s="246"/>
      <c r="B2137" s="245"/>
      <c r="C2137" s="245"/>
      <c r="D2137" s="245"/>
      <c r="E2137" s="245"/>
      <c r="F2137" s="187"/>
      <c r="G2137" s="245"/>
      <c r="H2137" s="245"/>
      <c r="I2137" s="245"/>
      <c r="O2137" s="360"/>
      <c r="Q2137" s="351"/>
      <c r="S2137" s="321"/>
      <c r="T2137" s="85" ph="1"/>
      <c r="V2137" s="216"/>
      <c r="W2137" s="245"/>
      <c r="X2137" s="187"/>
      <c r="Y2137" s="245"/>
      <c r="Z2137" s="245"/>
      <c r="AA2137" s="329"/>
      <c r="AC2137" s="245"/>
      <c r="AD2137" s="245"/>
      <c r="AE2137" s="245"/>
      <c r="AF2137" s="245"/>
    </row>
    <row r="2138" spans="1:32" ht="26.25">
      <c r="A2138" s="246"/>
      <c r="B2138" s="245"/>
      <c r="C2138" s="245"/>
      <c r="D2138" s="245"/>
      <c r="E2138" s="245"/>
      <c r="F2138" s="187"/>
      <c r="G2138" s="245"/>
      <c r="H2138" s="245"/>
      <c r="I2138" s="245"/>
      <c r="O2138" s="360"/>
      <c r="Q2138" s="351"/>
      <c r="S2138" s="321"/>
      <c r="T2138" s="85" ph="1"/>
      <c r="V2138" s="216"/>
      <c r="W2138" s="245"/>
      <c r="X2138" s="187"/>
      <c r="Y2138" s="245"/>
      <c r="Z2138" s="245"/>
      <c r="AA2138" s="329"/>
      <c r="AC2138" s="245"/>
      <c r="AD2138" s="245"/>
      <c r="AE2138" s="245"/>
      <c r="AF2138" s="245"/>
    </row>
    <row r="2139" spans="1:32" ht="26.25">
      <c r="A2139" s="246"/>
      <c r="B2139" s="245"/>
      <c r="C2139" s="245"/>
      <c r="D2139" s="245"/>
      <c r="E2139" s="245"/>
      <c r="F2139" s="187"/>
      <c r="G2139" s="245"/>
      <c r="H2139" s="245"/>
      <c r="I2139" s="245"/>
      <c r="O2139" s="360"/>
      <c r="Q2139" s="351"/>
      <c r="S2139" s="321"/>
      <c r="T2139" s="85" ph="1"/>
      <c r="V2139" s="216"/>
      <c r="W2139" s="245"/>
      <c r="X2139" s="187"/>
      <c r="Y2139" s="245"/>
      <c r="Z2139" s="245"/>
      <c r="AA2139" s="329"/>
      <c r="AC2139" s="245"/>
      <c r="AD2139" s="245"/>
      <c r="AE2139" s="245"/>
      <c r="AF2139" s="245"/>
    </row>
    <row r="2140" spans="1:32" ht="26.25">
      <c r="A2140" s="246"/>
      <c r="B2140" s="245"/>
      <c r="C2140" s="245"/>
      <c r="D2140" s="245"/>
      <c r="E2140" s="245"/>
      <c r="F2140" s="187"/>
      <c r="G2140" s="245"/>
      <c r="H2140" s="245"/>
      <c r="I2140" s="245"/>
      <c r="O2140" s="360"/>
      <c r="Q2140" s="351"/>
      <c r="S2140" s="321"/>
      <c r="T2140" s="85" ph="1"/>
      <c r="V2140" s="216"/>
      <c r="W2140" s="245"/>
      <c r="X2140" s="187"/>
      <c r="Y2140" s="245"/>
      <c r="Z2140" s="245"/>
      <c r="AA2140" s="329"/>
      <c r="AC2140" s="245"/>
      <c r="AD2140" s="245"/>
      <c r="AE2140" s="245"/>
      <c r="AF2140" s="245"/>
    </row>
    <row r="2141" spans="1:32" ht="26.25">
      <c r="A2141" s="246"/>
      <c r="B2141" s="245"/>
      <c r="C2141" s="245"/>
      <c r="D2141" s="245"/>
      <c r="E2141" s="245"/>
      <c r="F2141" s="187"/>
      <c r="G2141" s="245"/>
      <c r="H2141" s="245"/>
      <c r="I2141" s="245"/>
      <c r="O2141" s="360"/>
      <c r="Q2141" s="351"/>
      <c r="S2141" s="321"/>
      <c r="T2141" s="85" ph="1"/>
      <c r="V2141" s="216"/>
      <c r="W2141" s="245"/>
      <c r="X2141" s="187"/>
      <c r="Y2141" s="245"/>
      <c r="Z2141" s="245"/>
      <c r="AA2141" s="329"/>
      <c r="AC2141" s="245"/>
      <c r="AD2141" s="245"/>
      <c r="AE2141" s="245"/>
      <c r="AF2141" s="245"/>
    </row>
    <row r="2142" spans="1:32" ht="26.25">
      <c r="A2142" s="246"/>
      <c r="B2142" s="245"/>
      <c r="C2142" s="245"/>
      <c r="D2142" s="245"/>
      <c r="E2142" s="245"/>
      <c r="F2142" s="187"/>
      <c r="G2142" s="245"/>
      <c r="H2142" s="245"/>
      <c r="I2142" s="245"/>
      <c r="O2142" s="360"/>
      <c r="Q2142" s="351"/>
      <c r="S2142" s="321"/>
      <c r="T2142" s="85" ph="1"/>
      <c r="V2142" s="216"/>
      <c r="W2142" s="245"/>
      <c r="X2142" s="187"/>
      <c r="Y2142" s="245"/>
      <c r="Z2142" s="245"/>
      <c r="AA2142" s="329"/>
      <c r="AC2142" s="245"/>
      <c r="AD2142" s="245"/>
      <c r="AE2142" s="245"/>
      <c r="AF2142" s="245"/>
    </row>
    <row r="2143" spans="1:32" ht="26.25">
      <c r="A2143" s="246"/>
      <c r="B2143" s="245"/>
      <c r="C2143" s="245"/>
      <c r="D2143" s="245"/>
      <c r="E2143" s="245"/>
      <c r="F2143" s="187"/>
      <c r="G2143" s="245"/>
      <c r="H2143" s="245"/>
      <c r="I2143" s="245"/>
      <c r="O2143" s="360"/>
      <c r="Q2143" s="351"/>
      <c r="S2143" s="321"/>
      <c r="T2143" s="85" ph="1"/>
      <c r="V2143" s="216"/>
      <c r="W2143" s="245"/>
      <c r="X2143" s="187"/>
      <c r="Y2143" s="245"/>
      <c r="Z2143" s="245"/>
      <c r="AA2143" s="329"/>
      <c r="AC2143" s="245"/>
      <c r="AD2143" s="245"/>
      <c r="AE2143" s="245"/>
      <c r="AF2143" s="245"/>
    </row>
    <row r="2144" spans="1:32" ht="26.25">
      <c r="A2144" s="246"/>
      <c r="B2144" s="245"/>
      <c r="C2144" s="245"/>
      <c r="D2144" s="245"/>
      <c r="E2144" s="245"/>
      <c r="F2144" s="187"/>
      <c r="G2144" s="245"/>
      <c r="H2144" s="245"/>
      <c r="I2144" s="245"/>
      <c r="O2144" s="360"/>
      <c r="Q2144" s="351"/>
      <c r="S2144" s="321"/>
      <c r="T2144" s="85" ph="1"/>
      <c r="V2144" s="216"/>
      <c r="W2144" s="245"/>
      <c r="X2144" s="187"/>
      <c r="Y2144" s="245"/>
      <c r="Z2144" s="245"/>
      <c r="AA2144" s="329"/>
      <c r="AC2144" s="245"/>
      <c r="AD2144" s="245"/>
      <c r="AE2144" s="245"/>
      <c r="AF2144" s="245"/>
    </row>
    <row r="2145" spans="1:32" ht="26.25">
      <c r="A2145" s="246"/>
      <c r="B2145" s="245"/>
      <c r="C2145" s="245"/>
      <c r="D2145" s="245"/>
      <c r="E2145" s="245"/>
      <c r="F2145" s="187"/>
      <c r="G2145" s="245"/>
      <c r="H2145" s="245"/>
      <c r="I2145" s="245"/>
      <c r="O2145" s="360"/>
      <c r="Q2145" s="351"/>
      <c r="S2145" s="321"/>
      <c r="T2145" s="85" ph="1"/>
      <c r="V2145" s="216"/>
      <c r="W2145" s="245"/>
      <c r="X2145" s="187"/>
      <c r="Y2145" s="245"/>
      <c r="Z2145" s="245"/>
      <c r="AA2145" s="329"/>
      <c r="AC2145" s="245"/>
      <c r="AD2145" s="245"/>
      <c r="AE2145" s="245"/>
      <c r="AF2145" s="245"/>
    </row>
    <row r="2146" spans="1:32" ht="26.25">
      <c r="A2146" s="246"/>
      <c r="B2146" s="245"/>
      <c r="C2146" s="245"/>
      <c r="D2146" s="245"/>
      <c r="E2146" s="245"/>
      <c r="F2146" s="187"/>
      <c r="G2146" s="245"/>
      <c r="H2146" s="245"/>
      <c r="I2146" s="245"/>
      <c r="O2146" s="360"/>
      <c r="Q2146" s="351"/>
      <c r="S2146" s="321"/>
      <c r="T2146" s="85" ph="1"/>
      <c r="V2146" s="216"/>
      <c r="W2146" s="245"/>
      <c r="X2146" s="187"/>
      <c r="Y2146" s="245"/>
      <c r="Z2146" s="245"/>
      <c r="AA2146" s="329"/>
      <c r="AC2146" s="245"/>
      <c r="AD2146" s="245"/>
      <c r="AE2146" s="245"/>
      <c r="AF2146" s="245"/>
    </row>
    <row r="2147" spans="1:32" ht="26.25">
      <c r="A2147" s="246"/>
      <c r="B2147" s="245"/>
      <c r="C2147" s="245"/>
      <c r="D2147" s="245"/>
      <c r="E2147" s="245"/>
      <c r="F2147" s="187"/>
      <c r="G2147" s="245"/>
      <c r="H2147" s="245"/>
      <c r="I2147" s="245"/>
      <c r="O2147" s="360"/>
      <c r="Q2147" s="351"/>
      <c r="S2147" s="321"/>
      <c r="T2147" s="85" ph="1"/>
      <c r="V2147" s="216"/>
      <c r="W2147" s="245"/>
      <c r="X2147" s="187"/>
      <c r="Y2147" s="245"/>
      <c r="Z2147" s="245"/>
      <c r="AA2147" s="329"/>
      <c r="AC2147" s="245"/>
      <c r="AD2147" s="245"/>
      <c r="AE2147" s="245"/>
      <c r="AF2147" s="245"/>
    </row>
    <row r="2148" spans="1:32" ht="26.25">
      <c r="A2148" s="246"/>
      <c r="B2148" s="245"/>
      <c r="C2148" s="245"/>
      <c r="D2148" s="245"/>
      <c r="E2148" s="245"/>
      <c r="F2148" s="187"/>
      <c r="G2148" s="245"/>
      <c r="H2148" s="245"/>
      <c r="I2148" s="245"/>
      <c r="O2148" s="360"/>
      <c r="Q2148" s="351"/>
      <c r="S2148" s="321"/>
      <c r="T2148" s="85" ph="1"/>
      <c r="V2148" s="216"/>
      <c r="W2148" s="245"/>
      <c r="X2148" s="187"/>
      <c r="Y2148" s="245"/>
      <c r="Z2148" s="245"/>
      <c r="AA2148" s="329"/>
      <c r="AC2148" s="245"/>
      <c r="AD2148" s="245"/>
      <c r="AE2148" s="245"/>
      <c r="AF2148" s="245"/>
    </row>
    <row r="2149" spans="1:32" ht="26.25">
      <c r="A2149" s="246"/>
      <c r="B2149" s="245"/>
      <c r="C2149" s="245"/>
      <c r="D2149" s="245"/>
      <c r="E2149" s="245"/>
      <c r="F2149" s="187"/>
      <c r="G2149" s="245"/>
      <c r="H2149" s="245"/>
      <c r="I2149" s="245"/>
      <c r="O2149" s="360"/>
      <c r="Q2149" s="351"/>
      <c r="S2149" s="321"/>
      <c r="T2149" s="85" ph="1"/>
      <c r="V2149" s="216"/>
      <c r="W2149" s="245"/>
      <c r="X2149" s="187"/>
      <c r="Y2149" s="245"/>
      <c r="Z2149" s="245"/>
      <c r="AA2149" s="329"/>
      <c r="AC2149" s="245"/>
      <c r="AD2149" s="245"/>
      <c r="AE2149" s="245"/>
      <c r="AF2149" s="245"/>
    </row>
    <row r="2150" spans="1:32" ht="26.25">
      <c r="A2150" s="246"/>
      <c r="B2150" s="245"/>
      <c r="C2150" s="245"/>
      <c r="D2150" s="245"/>
      <c r="E2150" s="245"/>
      <c r="F2150" s="187"/>
      <c r="G2150" s="245"/>
      <c r="H2150" s="245"/>
      <c r="I2150" s="245"/>
      <c r="O2150" s="360"/>
      <c r="Q2150" s="351"/>
      <c r="S2150" s="321"/>
      <c r="T2150" s="85" ph="1"/>
      <c r="V2150" s="216"/>
      <c r="W2150" s="245"/>
      <c r="X2150" s="187"/>
      <c r="Y2150" s="245"/>
      <c r="Z2150" s="245"/>
      <c r="AA2150" s="329"/>
      <c r="AC2150" s="245"/>
      <c r="AD2150" s="245"/>
      <c r="AE2150" s="245"/>
      <c r="AF2150" s="245"/>
    </row>
    <row r="2151" spans="1:32" ht="26.25">
      <c r="A2151" s="246"/>
      <c r="B2151" s="245"/>
      <c r="C2151" s="245"/>
      <c r="D2151" s="245"/>
      <c r="E2151" s="245"/>
      <c r="F2151" s="187"/>
      <c r="G2151" s="245"/>
      <c r="H2151" s="245"/>
      <c r="I2151" s="245"/>
      <c r="O2151" s="360"/>
      <c r="Q2151" s="351"/>
      <c r="S2151" s="321"/>
      <c r="T2151" s="85" ph="1"/>
      <c r="V2151" s="216"/>
      <c r="W2151" s="245"/>
      <c r="X2151" s="187"/>
      <c r="Y2151" s="245"/>
      <c r="Z2151" s="245"/>
      <c r="AA2151" s="329"/>
      <c r="AC2151" s="245"/>
      <c r="AD2151" s="245"/>
      <c r="AE2151" s="245"/>
      <c r="AF2151" s="245"/>
    </row>
    <row r="2152" spans="1:32" ht="26.25">
      <c r="A2152" s="246"/>
      <c r="B2152" s="245"/>
      <c r="C2152" s="245"/>
      <c r="D2152" s="245"/>
      <c r="E2152" s="245"/>
      <c r="F2152" s="187"/>
      <c r="G2152" s="245"/>
      <c r="H2152" s="245"/>
      <c r="I2152" s="245"/>
      <c r="O2152" s="360"/>
      <c r="Q2152" s="351"/>
      <c r="S2152" s="321"/>
      <c r="T2152" s="85" ph="1"/>
      <c r="V2152" s="216"/>
      <c r="W2152" s="245"/>
      <c r="X2152" s="187"/>
      <c r="Y2152" s="245"/>
      <c r="Z2152" s="245"/>
      <c r="AA2152" s="329"/>
      <c r="AC2152" s="245"/>
      <c r="AD2152" s="245"/>
      <c r="AE2152" s="245"/>
      <c r="AF2152" s="245"/>
    </row>
    <row r="2153" spans="1:32" ht="26.25">
      <c r="A2153" s="246"/>
      <c r="B2153" s="245"/>
      <c r="C2153" s="245"/>
      <c r="D2153" s="245"/>
      <c r="E2153" s="245"/>
      <c r="F2153" s="187"/>
      <c r="G2153" s="245"/>
      <c r="H2153" s="245"/>
      <c r="I2153" s="245"/>
      <c r="O2153" s="360"/>
      <c r="Q2153" s="351"/>
      <c r="S2153" s="321"/>
      <c r="T2153" s="85" ph="1"/>
      <c r="V2153" s="216"/>
      <c r="W2153" s="245"/>
      <c r="X2153" s="187"/>
      <c r="Y2153" s="245"/>
      <c r="Z2153" s="245"/>
      <c r="AA2153" s="329"/>
      <c r="AC2153" s="245"/>
      <c r="AD2153" s="245"/>
      <c r="AE2153" s="245"/>
      <c r="AF2153" s="245"/>
    </row>
    <row r="2154" spans="1:32" ht="26.25">
      <c r="A2154" s="246"/>
      <c r="B2154" s="245"/>
      <c r="C2154" s="245"/>
      <c r="D2154" s="245"/>
      <c r="E2154" s="245"/>
      <c r="F2154" s="187"/>
      <c r="G2154" s="245"/>
      <c r="H2154" s="245"/>
      <c r="I2154" s="245"/>
      <c r="O2154" s="360"/>
      <c r="Q2154" s="351"/>
      <c r="S2154" s="321"/>
      <c r="T2154" s="85" ph="1"/>
      <c r="V2154" s="216"/>
      <c r="W2154" s="245"/>
      <c r="X2154" s="187"/>
      <c r="Y2154" s="245"/>
      <c r="Z2154" s="245"/>
      <c r="AA2154" s="329"/>
      <c r="AC2154" s="245"/>
      <c r="AD2154" s="245"/>
      <c r="AE2154" s="245"/>
      <c r="AF2154" s="245"/>
    </row>
    <row r="2155" spans="1:32" ht="26.25">
      <c r="A2155" s="246"/>
      <c r="B2155" s="245"/>
      <c r="C2155" s="245"/>
      <c r="D2155" s="245"/>
      <c r="E2155" s="245"/>
      <c r="F2155" s="187"/>
      <c r="G2155" s="245"/>
      <c r="H2155" s="245"/>
      <c r="I2155" s="245"/>
      <c r="O2155" s="360"/>
      <c r="Q2155" s="351"/>
      <c r="S2155" s="321"/>
      <c r="T2155" s="85" ph="1"/>
      <c r="V2155" s="216"/>
      <c r="W2155" s="245"/>
      <c r="X2155" s="187"/>
      <c r="Y2155" s="245"/>
      <c r="Z2155" s="245"/>
      <c r="AA2155" s="329"/>
      <c r="AC2155" s="245"/>
      <c r="AD2155" s="245"/>
      <c r="AE2155" s="245"/>
      <c r="AF2155" s="245"/>
    </row>
    <row r="2156" spans="1:32" ht="26.25">
      <c r="A2156" s="246"/>
      <c r="B2156" s="245"/>
      <c r="C2156" s="245"/>
      <c r="D2156" s="245"/>
      <c r="E2156" s="245"/>
      <c r="F2156" s="187"/>
      <c r="G2156" s="245"/>
      <c r="H2156" s="245"/>
      <c r="I2156" s="245"/>
      <c r="O2156" s="360"/>
      <c r="Q2156" s="351"/>
      <c r="S2156" s="321"/>
      <c r="T2156" s="85" ph="1"/>
      <c r="V2156" s="216"/>
      <c r="W2156" s="245"/>
      <c r="X2156" s="187"/>
      <c r="Y2156" s="245"/>
      <c r="Z2156" s="245"/>
      <c r="AA2156" s="329"/>
      <c r="AC2156" s="245"/>
      <c r="AD2156" s="245"/>
      <c r="AE2156" s="245"/>
      <c r="AF2156" s="245"/>
    </row>
    <row r="2157" spans="1:32" ht="26.25">
      <c r="A2157" s="246"/>
      <c r="B2157" s="245"/>
      <c r="C2157" s="245"/>
      <c r="D2157" s="245"/>
      <c r="E2157" s="245"/>
      <c r="F2157" s="187"/>
      <c r="G2157" s="245"/>
      <c r="H2157" s="245"/>
      <c r="I2157" s="245"/>
      <c r="O2157" s="360"/>
      <c r="Q2157" s="351"/>
      <c r="S2157" s="321"/>
      <c r="T2157" s="85" ph="1"/>
      <c r="V2157" s="216"/>
      <c r="W2157" s="245"/>
      <c r="X2157" s="187"/>
      <c r="Y2157" s="245"/>
      <c r="Z2157" s="245"/>
      <c r="AA2157" s="329"/>
      <c r="AC2157" s="245"/>
      <c r="AD2157" s="245"/>
      <c r="AE2157" s="245"/>
      <c r="AF2157" s="245"/>
    </row>
    <row r="2158" spans="1:32" ht="26.25">
      <c r="A2158" s="246"/>
      <c r="B2158" s="245"/>
      <c r="C2158" s="245"/>
      <c r="D2158" s="245"/>
      <c r="E2158" s="245"/>
      <c r="F2158" s="187"/>
      <c r="G2158" s="245"/>
      <c r="H2158" s="245"/>
      <c r="I2158" s="245"/>
      <c r="O2158" s="360"/>
      <c r="Q2158" s="351"/>
      <c r="S2158" s="321"/>
      <c r="T2158" s="85" ph="1"/>
      <c r="V2158" s="216"/>
      <c r="W2158" s="245"/>
      <c r="X2158" s="187"/>
      <c r="Y2158" s="245"/>
      <c r="Z2158" s="245"/>
      <c r="AA2158" s="329"/>
      <c r="AC2158" s="245"/>
      <c r="AD2158" s="245"/>
      <c r="AE2158" s="245"/>
      <c r="AF2158" s="245"/>
    </row>
    <row r="2159" spans="1:32" ht="26.25">
      <c r="A2159" s="246"/>
      <c r="B2159" s="245"/>
      <c r="C2159" s="245"/>
      <c r="D2159" s="245"/>
      <c r="E2159" s="245"/>
      <c r="F2159" s="187"/>
      <c r="G2159" s="245"/>
      <c r="H2159" s="245"/>
      <c r="I2159" s="245"/>
      <c r="O2159" s="360"/>
      <c r="Q2159" s="351"/>
      <c r="S2159" s="321"/>
      <c r="T2159" s="85" ph="1"/>
      <c r="V2159" s="216"/>
      <c r="W2159" s="245"/>
      <c r="X2159" s="187"/>
      <c r="Y2159" s="245"/>
      <c r="Z2159" s="245"/>
      <c r="AA2159" s="329"/>
      <c r="AC2159" s="245"/>
      <c r="AD2159" s="245"/>
      <c r="AE2159" s="245"/>
      <c r="AF2159" s="245"/>
    </row>
    <row r="2160" spans="1:32" ht="26.25">
      <c r="A2160" s="246"/>
      <c r="B2160" s="245"/>
      <c r="C2160" s="245"/>
      <c r="D2160" s="245"/>
      <c r="E2160" s="245"/>
      <c r="F2160" s="187"/>
      <c r="G2160" s="245"/>
      <c r="H2160" s="245"/>
      <c r="I2160" s="245"/>
      <c r="O2160" s="360"/>
      <c r="Q2160" s="351"/>
      <c r="S2160" s="321"/>
      <c r="T2160" s="85" ph="1"/>
      <c r="V2160" s="216"/>
      <c r="W2160" s="245"/>
      <c r="X2160" s="187"/>
      <c r="Y2160" s="245"/>
      <c r="Z2160" s="245"/>
      <c r="AA2160" s="329"/>
      <c r="AC2160" s="245"/>
      <c r="AD2160" s="245"/>
      <c r="AE2160" s="245"/>
      <c r="AF2160" s="245"/>
    </row>
    <row r="2161" spans="1:32" ht="26.25">
      <c r="A2161" s="246"/>
      <c r="B2161" s="245"/>
      <c r="C2161" s="245"/>
      <c r="D2161" s="245"/>
      <c r="E2161" s="245"/>
      <c r="F2161" s="187"/>
      <c r="G2161" s="245"/>
      <c r="H2161" s="245"/>
      <c r="I2161" s="245"/>
      <c r="O2161" s="360"/>
      <c r="Q2161" s="351"/>
      <c r="S2161" s="321"/>
      <c r="T2161" s="85" ph="1"/>
      <c r="V2161" s="216"/>
      <c r="W2161" s="245"/>
      <c r="X2161" s="187"/>
      <c r="Y2161" s="245"/>
      <c r="Z2161" s="245"/>
      <c r="AA2161" s="329"/>
      <c r="AC2161" s="245"/>
      <c r="AD2161" s="245"/>
      <c r="AE2161" s="245"/>
      <c r="AF2161" s="245"/>
    </row>
    <row r="2162" spans="1:32" ht="26.25">
      <c r="A2162" s="246"/>
      <c r="B2162" s="245"/>
      <c r="C2162" s="245"/>
      <c r="D2162" s="245"/>
      <c r="E2162" s="245"/>
      <c r="F2162" s="187"/>
      <c r="G2162" s="245"/>
      <c r="H2162" s="245"/>
      <c r="I2162" s="245"/>
      <c r="O2162" s="360"/>
      <c r="Q2162" s="351"/>
      <c r="S2162" s="321"/>
      <c r="T2162" s="85" ph="1"/>
      <c r="V2162" s="216"/>
      <c r="W2162" s="245"/>
      <c r="X2162" s="187"/>
      <c r="Y2162" s="245"/>
      <c r="Z2162" s="245"/>
      <c r="AA2162" s="329"/>
      <c r="AC2162" s="245"/>
      <c r="AD2162" s="245"/>
      <c r="AE2162" s="245"/>
      <c r="AF2162" s="245"/>
    </row>
    <row r="2163" spans="1:32" ht="26.25">
      <c r="A2163" s="246"/>
      <c r="B2163" s="245"/>
      <c r="C2163" s="245"/>
      <c r="D2163" s="245"/>
      <c r="E2163" s="245"/>
      <c r="F2163" s="187"/>
      <c r="G2163" s="245"/>
      <c r="H2163" s="245"/>
      <c r="I2163" s="245"/>
      <c r="O2163" s="360"/>
      <c r="Q2163" s="351"/>
      <c r="S2163" s="321"/>
      <c r="T2163" s="85" ph="1"/>
      <c r="V2163" s="216"/>
      <c r="W2163" s="245"/>
      <c r="X2163" s="187"/>
      <c r="Y2163" s="245"/>
      <c r="Z2163" s="245"/>
      <c r="AA2163" s="329"/>
      <c r="AC2163" s="245"/>
      <c r="AD2163" s="245"/>
      <c r="AE2163" s="245"/>
      <c r="AF2163" s="245"/>
    </row>
    <row r="2164" spans="1:32" ht="26.25">
      <c r="A2164" s="246"/>
      <c r="B2164" s="245"/>
      <c r="C2164" s="245"/>
      <c r="D2164" s="245"/>
      <c r="E2164" s="245"/>
      <c r="F2164" s="187"/>
      <c r="G2164" s="245"/>
      <c r="H2164" s="245"/>
      <c r="I2164" s="245"/>
      <c r="O2164" s="360"/>
      <c r="Q2164" s="351"/>
      <c r="S2164" s="321"/>
      <c r="T2164" s="85" ph="1"/>
      <c r="V2164" s="216"/>
      <c r="W2164" s="245"/>
      <c r="X2164" s="187"/>
      <c r="Y2164" s="245"/>
      <c r="Z2164" s="245"/>
      <c r="AA2164" s="329"/>
      <c r="AC2164" s="245"/>
      <c r="AD2164" s="245"/>
      <c r="AE2164" s="245"/>
      <c r="AF2164" s="245"/>
    </row>
    <row r="2165" spans="1:32" ht="26.25">
      <c r="A2165" s="246"/>
      <c r="B2165" s="245"/>
      <c r="C2165" s="245"/>
      <c r="D2165" s="245"/>
      <c r="E2165" s="245"/>
      <c r="F2165" s="187"/>
      <c r="G2165" s="245"/>
      <c r="H2165" s="245"/>
      <c r="I2165" s="245"/>
      <c r="O2165" s="360"/>
      <c r="Q2165" s="351"/>
      <c r="S2165" s="321"/>
      <c r="T2165" s="85" ph="1"/>
      <c r="V2165" s="216"/>
      <c r="W2165" s="245"/>
      <c r="X2165" s="187"/>
      <c r="Y2165" s="245"/>
      <c r="Z2165" s="245"/>
      <c r="AA2165" s="329"/>
      <c r="AC2165" s="245"/>
      <c r="AD2165" s="245"/>
      <c r="AE2165" s="245"/>
      <c r="AF2165" s="245"/>
    </row>
    <row r="2166" spans="1:32" ht="26.25">
      <c r="A2166" s="246"/>
      <c r="B2166" s="245"/>
      <c r="C2166" s="245"/>
      <c r="D2166" s="245"/>
      <c r="E2166" s="245"/>
      <c r="F2166" s="187"/>
      <c r="G2166" s="245"/>
      <c r="H2166" s="245"/>
      <c r="I2166" s="245"/>
      <c r="O2166" s="360"/>
      <c r="Q2166" s="351"/>
      <c r="S2166" s="321"/>
      <c r="T2166" s="85" ph="1"/>
      <c r="V2166" s="216"/>
      <c r="W2166" s="245"/>
      <c r="X2166" s="187"/>
      <c r="Y2166" s="245"/>
      <c r="Z2166" s="245"/>
      <c r="AA2166" s="329"/>
      <c r="AC2166" s="245"/>
      <c r="AD2166" s="245"/>
      <c r="AE2166" s="245"/>
      <c r="AF2166" s="245"/>
    </row>
    <row r="2167" spans="1:32" ht="26.25">
      <c r="A2167" s="246"/>
      <c r="B2167" s="245"/>
      <c r="C2167" s="245"/>
      <c r="D2167" s="245"/>
      <c r="E2167" s="245"/>
      <c r="F2167" s="187"/>
      <c r="G2167" s="245"/>
      <c r="H2167" s="245"/>
      <c r="I2167" s="245"/>
      <c r="O2167" s="360"/>
      <c r="Q2167" s="351"/>
      <c r="S2167" s="321"/>
      <c r="T2167" s="85" ph="1"/>
      <c r="V2167" s="216"/>
      <c r="W2167" s="245"/>
      <c r="X2167" s="187"/>
      <c r="Y2167" s="245"/>
      <c r="Z2167" s="245"/>
      <c r="AA2167" s="329"/>
      <c r="AC2167" s="245"/>
      <c r="AD2167" s="245"/>
      <c r="AE2167" s="245"/>
      <c r="AF2167" s="245"/>
    </row>
    <row r="2168" spans="1:32" ht="26.25">
      <c r="A2168" s="246"/>
      <c r="B2168" s="245"/>
      <c r="C2168" s="245"/>
      <c r="D2168" s="245"/>
      <c r="E2168" s="245"/>
      <c r="F2168" s="187"/>
      <c r="G2168" s="245"/>
      <c r="H2168" s="245"/>
      <c r="I2168" s="245"/>
      <c r="O2168" s="360"/>
      <c r="Q2168" s="351"/>
      <c r="S2168" s="321"/>
      <c r="T2168" s="85" ph="1"/>
      <c r="V2168" s="216"/>
      <c r="W2168" s="245"/>
      <c r="X2168" s="187"/>
      <c r="Y2168" s="245"/>
      <c r="Z2168" s="245"/>
      <c r="AA2168" s="329"/>
      <c r="AC2168" s="245"/>
      <c r="AD2168" s="245"/>
      <c r="AE2168" s="245"/>
      <c r="AF2168" s="245"/>
    </row>
    <row r="2169" spans="1:32" ht="26.25">
      <c r="A2169" s="246"/>
      <c r="B2169" s="245"/>
      <c r="C2169" s="245"/>
      <c r="D2169" s="245"/>
      <c r="E2169" s="245"/>
      <c r="F2169" s="187"/>
      <c r="G2169" s="245"/>
      <c r="H2169" s="245"/>
      <c r="I2169" s="245"/>
      <c r="O2169" s="360"/>
      <c r="Q2169" s="351"/>
      <c r="S2169" s="321"/>
      <c r="T2169" s="85" ph="1"/>
      <c r="V2169" s="216"/>
      <c r="W2169" s="245"/>
      <c r="X2169" s="187"/>
      <c r="Y2169" s="245"/>
      <c r="Z2169" s="245"/>
      <c r="AA2169" s="329"/>
      <c r="AC2169" s="245"/>
      <c r="AD2169" s="245"/>
      <c r="AE2169" s="245"/>
      <c r="AF2169" s="245"/>
    </row>
    <row r="2170" spans="1:32" ht="26.25">
      <c r="A2170" s="246"/>
      <c r="B2170" s="245"/>
      <c r="C2170" s="245"/>
      <c r="D2170" s="245"/>
      <c r="E2170" s="245"/>
      <c r="F2170" s="187"/>
      <c r="G2170" s="245"/>
      <c r="H2170" s="245"/>
      <c r="I2170" s="245"/>
      <c r="O2170" s="360"/>
      <c r="Q2170" s="351"/>
      <c r="S2170" s="321"/>
      <c r="T2170" s="85" ph="1"/>
      <c r="V2170" s="216"/>
      <c r="W2170" s="245"/>
      <c r="X2170" s="187"/>
      <c r="Y2170" s="245"/>
      <c r="Z2170" s="245"/>
      <c r="AA2170" s="329"/>
      <c r="AC2170" s="245"/>
      <c r="AD2170" s="245"/>
      <c r="AE2170" s="245"/>
      <c r="AF2170" s="245"/>
    </row>
    <row r="2171" spans="1:32" ht="26.25">
      <c r="A2171" s="246"/>
      <c r="B2171" s="245"/>
      <c r="C2171" s="245"/>
      <c r="D2171" s="245"/>
      <c r="E2171" s="245"/>
      <c r="F2171" s="187"/>
      <c r="G2171" s="245"/>
      <c r="H2171" s="245"/>
      <c r="I2171" s="245"/>
      <c r="O2171" s="360"/>
      <c r="Q2171" s="351"/>
      <c r="S2171" s="321"/>
      <c r="T2171" s="85" ph="1"/>
      <c r="V2171" s="216"/>
      <c r="W2171" s="245"/>
      <c r="X2171" s="187"/>
      <c r="Y2171" s="245"/>
      <c r="Z2171" s="245"/>
      <c r="AA2171" s="329"/>
      <c r="AC2171" s="245"/>
      <c r="AD2171" s="245"/>
      <c r="AE2171" s="245"/>
      <c r="AF2171" s="245"/>
    </row>
    <row r="2172" spans="1:32" ht="26.25">
      <c r="A2172" s="246"/>
      <c r="B2172" s="245"/>
      <c r="C2172" s="245"/>
      <c r="D2172" s="245"/>
      <c r="E2172" s="245"/>
      <c r="F2172" s="187"/>
      <c r="G2172" s="245"/>
      <c r="H2172" s="245"/>
      <c r="I2172" s="245"/>
      <c r="O2172" s="360"/>
      <c r="Q2172" s="351"/>
      <c r="S2172" s="321"/>
      <c r="T2172" s="85" ph="1"/>
      <c r="V2172" s="216"/>
      <c r="W2172" s="245"/>
      <c r="X2172" s="187"/>
      <c r="Y2172" s="245"/>
      <c r="Z2172" s="245"/>
      <c r="AA2172" s="329"/>
      <c r="AC2172" s="245"/>
      <c r="AD2172" s="245"/>
      <c r="AE2172" s="245"/>
      <c r="AF2172" s="245"/>
    </row>
    <row r="2173" spans="1:32" ht="26.25">
      <c r="A2173" s="246"/>
      <c r="B2173" s="245"/>
      <c r="C2173" s="245"/>
      <c r="D2173" s="245"/>
      <c r="E2173" s="245"/>
      <c r="F2173" s="187"/>
      <c r="G2173" s="245"/>
      <c r="H2173" s="245"/>
      <c r="I2173" s="245"/>
      <c r="O2173" s="360"/>
      <c r="Q2173" s="351"/>
      <c r="S2173" s="321"/>
      <c r="T2173" s="85" ph="1"/>
      <c r="V2173" s="216"/>
      <c r="W2173" s="245"/>
      <c r="X2173" s="187"/>
      <c r="Y2173" s="245"/>
      <c r="Z2173" s="245"/>
      <c r="AA2173" s="329"/>
      <c r="AC2173" s="245"/>
      <c r="AD2173" s="245"/>
      <c r="AE2173" s="245"/>
      <c r="AF2173" s="245"/>
    </row>
    <row r="2174" spans="1:32" ht="26.25">
      <c r="A2174" s="246"/>
      <c r="B2174" s="245"/>
      <c r="C2174" s="245"/>
      <c r="D2174" s="245"/>
      <c r="E2174" s="245"/>
      <c r="F2174" s="187"/>
      <c r="G2174" s="245"/>
      <c r="H2174" s="245"/>
      <c r="I2174" s="245"/>
      <c r="O2174" s="360"/>
      <c r="Q2174" s="351"/>
      <c r="S2174" s="321"/>
      <c r="T2174" s="85" ph="1"/>
      <c r="V2174" s="216"/>
      <c r="W2174" s="245"/>
      <c r="X2174" s="187"/>
      <c r="Y2174" s="245"/>
      <c r="Z2174" s="245"/>
      <c r="AA2174" s="329"/>
      <c r="AC2174" s="245"/>
      <c r="AD2174" s="245"/>
      <c r="AE2174" s="245"/>
      <c r="AF2174" s="245"/>
    </row>
    <row r="2175" spans="1:32" ht="26.25">
      <c r="A2175" s="246"/>
      <c r="B2175" s="245"/>
      <c r="C2175" s="245"/>
      <c r="D2175" s="245"/>
      <c r="E2175" s="245"/>
      <c r="F2175" s="187"/>
      <c r="G2175" s="245"/>
      <c r="H2175" s="245"/>
      <c r="I2175" s="245"/>
      <c r="O2175" s="360"/>
      <c r="Q2175" s="351"/>
      <c r="S2175" s="321"/>
      <c r="T2175" s="85" ph="1"/>
      <c r="V2175" s="216"/>
      <c r="W2175" s="245"/>
      <c r="X2175" s="187"/>
      <c r="Y2175" s="245"/>
      <c r="Z2175" s="245"/>
      <c r="AA2175" s="329"/>
      <c r="AC2175" s="245"/>
      <c r="AD2175" s="245"/>
      <c r="AE2175" s="245"/>
      <c r="AF2175" s="245"/>
    </row>
    <row r="2176" spans="1:32" ht="26.25">
      <c r="A2176" s="246"/>
      <c r="B2176" s="245"/>
      <c r="C2176" s="245"/>
      <c r="D2176" s="245"/>
      <c r="E2176" s="245"/>
      <c r="F2176" s="187"/>
      <c r="G2176" s="245"/>
      <c r="H2176" s="245"/>
      <c r="I2176" s="245"/>
      <c r="O2176" s="360"/>
      <c r="Q2176" s="351"/>
      <c r="S2176" s="321"/>
      <c r="T2176" s="85" ph="1"/>
      <c r="V2176" s="216"/>
      <c r="W2176" s="245"/>
      <c r="X2176" s="187"/>
      <c r="Y2176" s="245"/>
      <c r="Z2176" s="245"/>
      <c r="AA2176" s="329"/>
      <c r="AC2176" s="245"/>
      <c r="AD2176" s="245"/>
      <c r="AE2176" s="245"/>
      <c r="AF2176" s="245"/>
    </row>
    <row r="2177" spans="1:32" ht="26.25">
      <c r="A2177" s="246"/>
      <c r="B2177" s="245"/>
      <c r="C2177" s="245"/>
      <c r="D2177" s="245"/>
      <c r="E2177" s="245"/>
      <c r="F2177" s="187"/>
      <c r="G2177" s="245"/>
      <c r="H2177" s="245"/>
      <c r="I2177" s="245"/>
      <c r="O2177" s="360"/>
      <c r="Q2177" s="351"/>
      <c r="S2177" s="321"/>
      <c r="T2177" s="85" ph="1"/>
      <c r="V2177" s="216"/>
      <c r="W2177" s="245"/>
      <c r="X2177" s="187"/>
      <c r="Y2177" s="245"/>
      <c r="Z2177" s="245"/>
      <c r="AA2177" s="329"/>
      <c r="AC2177" s="245"/>
      <c r="AD2177" s="245"/>
      <c r="AE2177" s="245"/>
      <c r="AF2177" s="245"/>
    </row>
    <row r="2178" spans="1:32" ht="26.25">
      <c r="A2178" s="246"/>
      <c r="B2178" s="245"/>
      <c r="C2178" s="245"/>
      <c r="D2178" s="245"/>
      <c r="E2178" s="245"/>
      <c r="F2178" s="187"/>
      <c r="G2178" s="245"/>
      <c r="H2178" s="245"/>
      <c r="I2178" s="245"/>
      <c r="O2178" s="360"/>
      <c r="Q2178" s="351"/>
      <c r="S2178" s="321"/>
      <c r="T2178" s="85" ph="1"/>
      <c r="V2178" s="216"/>
      <c r="W2178" s="245"/>
      <c r="X2178" s="187"/>
      <c r="Y2178" s="245"/>
      <c r="Z2178" s="245"/>
      <c r="AA2178" s="329"/>
      <c r="AC2178" s="245"/>
      <c r="AD2178" s="245"/>
      <c r="AE2178" s="245"/>
      <c r="AF2178" s="245"/>
    </row>
    <row r="2179" spans="1:32" ht="26.25">
      <c r="A2179" s="246"/>
      <c r="B2179" s="245"/>
      <c r="C2179" s="245"/>
      <c r="D2179" s="245"/>
      <c r="E2179" s="245"/>
      <c r="F2179" s="187"/>
      <c r="G2179" s="245"/>
      <c r="H2179" s="245"/>
      <c r="I2179" s="245"/>
      <c r="O2179" s="360"/>
      <c r="Q2179" s="351"/>
      <c r="S2179" s="321"/>
      <c r="T2179" s="85" ph="1"/>
      <c r="V2179" s="216"/>
      <c r="W2179" s="245"/>
      <c r="X2179" s="187"/>
      <c r="Y2179" s="245"/>
      <c r="Z2179" s="245"/>
      <c r="AA2179" s="329"/>
      <c r="AC2179" s="245"/>
      <c r="AD2179" s="245"/>
      <c r="AE2179" s="245"/>
      <c r="AF2179" s="245"/>
    </row>
    <row r="2180" spans="1:32" ht="26.25">
      <c r="A2180" s="246"/>
      <c r="B2180" s="245"/>
      <c r="C2180" s="245"/>
      <c r="D2180" s="245"/>
      <c r="E2180" s="245"/>
      <c r="F2180" s="187"/>
      <c r="G2180" s="245"/>
      <c r="H2180" s="245"/>
      <c r="I2180" s="245"/>
      <c r="O2180" s="360"/>
      <c r="Q2180" s="351"/>
      <c r="S2180" s="321"/>
      <c r="T2180" s="85" ph="1"/>
      <c r="V2180" s="216"/>
      <c r="W2180" s="245"/>
      <c r="X2180" s="187"/>
      <c r="Y2180" s="245"/>
      <c r="Z2180" s="245"/>
      <c r="AA2180" s="329"/>
      <c r="AC2180" s="245"/>
      <c r="AD2180" s="245"/>
      <c r="AE2180" s="245"/>
      <c r="AF2180" s="245"/>
    </row>
    <row r="2181" spans="1:32" ht="26.25">
      <c r="A2181" s="246"/>
      <c r="B2181" s="245"/>
      <c r="C2181" s="245"/>
      <c r="D2181" s="245"/>
      <c r="E2181" s="245"/>
      <c r="F2181" s="187"/>
      <c r="G2181" s="245"/>
      <c r="H2181" s="245"/>
      <c r="I2181" s="245"/>
      <c r="O2181" s="360"/>
      <c r="Q2181" s="351"/>
      <c r="S2181" s="321"/>
      <c r="T2181" s="85" ph="1"/>
      <c r="V2181" s="216"/>
      <c r="W2181" s="245"/>
      <c r="X2181" s="187"/>
      <c r="Y2181" s="245"/>
      <c r="Z2181" s="245"/>
      <c r="AA2181" s="329"/>
      <c r="AC2181" s="245"/>
      <c r="AD2181" s="245"/>
      <c r="AE2181" s="245"/>
      <c r="AF2181" s="245"/>
    </row>
    <row r="2182" spans="1:32" ht="26.25">
      <c r="A2182" s="246"/>
      <c r="B2182" s="245"/>
      <c r="C2182" s="245"/>
      <c r="D2182" s="245"/>
      <c r="E2182" s="245"/>
      <c r="F2182" s="187"/>
      <c r="G2182" s="245"/>
      <c r="H2182" s="245"/>
      <c r="I2182" s="245"/>
      <c r="O2182" s="360"/>
      <c r="Q2182" s="351"/>
      <c r="S2182" s="321"/>
      <c r="T2182" s="85" ph="1"/>
      <c r="V2182" s="216"/>
      <c r="W2182" s="245"/>
      <c r="X2182" s="187"/>
      <c r="Y2182" s="245"/>
      <c r="Z2182" s="245"/>
      <c r="AA2182" s="329"/>
      <c r="AC2182" s="245"/>
      <c r="AD2182" s="245"/>
      <c r="AE2182" s="245"/>
      <c r="AF2182" s="245"/>
    </row>
    <row r="2183" spans="1:32" ht="26.25">
      <c r="A2183" s="246"/>
      <c r="B2183" s="245"/>
      <c r="C2183" s="245"/>
      <c r="D2183" s="245"/>
      <c r="E2183" s="245"/>
      <c r="F2183" s="187"/>
      <c r="G2183" s="245"/>
      <c r="H2183" s="245"/>
      <c r="I2183" s="245"/>
      <c r="O2183" s="360"/>
      <c r="Q2183" s="351"/>
      <c r="S2183" s="321"/>
      <c r="T2183" s="85" ph="1"/>
      <c r="V2183" s="216"/>
      <c r="W2183" s="245"/>
      <c r="X2183" s="187"/>
      <c r="Y2183" s="245"/>
      <c r="Z2183" s="245"/>
      <c r="AA2183" s="329"/>
      <c r="AC2183" s="245"/>
      <c r="AD2183" s="245"/>
      <c r="AE2183" s="245"/>
      <c r="AF2183" s="245"/>
    </row>
    <row r="2184" spans="1:32" ht="26.25">
      <c r="A2184" s="246"/>
      <c r="B2184" s="245"/>
      <c r="C2184" s="245"/>
      <c r="D2184" s="245"/>
      <c r="E2184" s="245"/>
      <c r="F2184" s="187"/>
      <c r="G2184" s="245"/>
      <c r="H2184" s="245"/>
      <c r="I2184" s="245"/>
      <c r="O2184" s="360"/>
      <c r="Q2184" s="351"/>
      <c r="S2184" s="321"/>
      <c r="T2184" s="85" ph="1"/>
      <c r="V2184" s="216"/>
      <c r="W2184" s="245"/>
      <c r="X2184" s="187"/>
      <c r="Y2184" s="245"/>
      <c r="Z2184" s="245"/>
      <c r="AA2184" s="329"/>
      <c r="AC2184" s="245"/>
      <c r="AD2184" s="245"/>
      <c r="AE2184" s="245"/>
      <c r="AF2184" s="245"/>
    </row>
    <row r="2185" spans="1:32" ht="26.25">
      <c r="A2185" s="246"/>
      <c r="B2185" s="245"/>
      <c r="C2185" s="245"/>
      <c r="D2185" s="245"/>
      <c r="E2185" s="245"/>
      <c r="F2185" s="187"/>
      <c r="G2185" s="245"/>
      <c r="H2185" s="245"/>
      <c r="I2185" s="245"/>
      <c r="O2185" s="360"/>
      <c r="Q2185" s="351"/>
      <c r="S2185" s="321"/>
      <c r="T2185" s="85" ph="1"/>
      <c r="V2185" s="216"/>
      <c r="W2185" s="245"/>
      <c r="X2185" s="187"/>
      <c r="Y2185" s="245"/>
      <c r="Z2185" s="245"/>
      <c r="AA2185" s="329"/>
      <c r="AC2185" s="245"/>
      <c r="AD2185" s="245"/>
      <c r="AE2185" s="245"/>
      <c r="AF2185" s="245"/>
    </row>
    <row r="2186" spans="1:32" ht="26.25">
      <c r="A2186" s="246"/>
      <c r="B2186" s="245"/>
      <c r="C2186" s="245"/>
      <c r="D2186" s="245"/>
      <c r="E2186" s="245"/>
      <c r="F2186" s="187"/>
      <c r="G2186" s="245"/>
      <c r="H2186" s="245"/>
      <c r="I2186" s="245"/>
      <c r="O2186" s="360"/>
      <c r="Q2186" s="351"/>
      <c r="S2186" s="321"/>
      <c r="T2186" s="85" ph="1"/>
      <c r="V2186" s="216"/>
      <c r="W2186" s="245"/>
      <c r="X2186" s="187"/>
      <c r="Y2186" s="245"/>
      <c r="Z2186" s="245"/>
      <c r="AA2186" s="329"/>
      <c r="AC2186" s="245"/>
      <c r="AD2186" s="245"/>
      <c r="AE2186" s="245"/>
      <c r="AF2186" s="245"/>
    </row>
    <row r="2187" spans="1:32" ht="26.25">
      <c r="A2187" s="246"/>
      <c r="B2187" s="245"/>
      <c r="C2187" s="245"/>
      <c r="D2187" s="245"/>
      <c r="E2187" s="245"/>
      <c r="F2187" s="187"/>
      <c r="G2187" s="245"/>
      <c r="H2187" s="245"/>
      <c r="I2187" s="245"/>
      <c r="O2187" s="360"/>
      <c r="Q2187" s="351"/>
      <c r="S2187" s="321"/>
      <c r="T2187" s="85" ph="1"/>
      <c r="V2187" s="216"/>
      <c r="W2187" s="245"/>
      <c r="X2187" s="187"/>
      <c r="Y2187" s="245"/>
      <c r="Z2187" s="245"/>
      <c r="AA2187" s="329"/>
      <c r="AC2187" s="245"/>
      <c r="AD2187" s="245"/>
      <c r="AE2187" s="245"/>
      <c r="AF2187" s="245"/>
    </row>
    <row r="2188" spans="1:32" ht="26.25">
      <c r="A2188" s="246"/>
      <c r="B2188" s="245"/>
      <c r="C2188" s="245"/>
      <c r="D2188" s="245"/>
      <c r="E2188" s="245"/>
      <c r="F2188" s="187"/>
      <c r="G2188" s="245"/>
      <c r="H2188" s="245"/>
      <c r="I2188" s="245"/>
      <c r="O2188" s="360"/>
      <c r="Q2188" s="351"/>
      <c r="S2188" s="321"/>
      <c r="T2188" s="85" ph="1"/>
      <c r="V2188" s="216"/>
      <c r="W2188" s="245"/>
      <c r="X2188" s="187"/>
      <c r="Y2188" s="245"/>
      <c r="Z2188" s="245"/>
      <c r="AA2188" s="329"/>
      <c r="AC2188" s="245"/>
      <c r="AD2188" s="245"/>
      <c r="AE2188" s="245"/>
      <c r="AF2188" s="245"/>
    </row>
    <row r="2189" spans="1:32" ht="26.25">
      <c r="A2189" s="246"/>
      <c r="B2189" s="245"/>
      <c r="C2189" s="245"/>
      <c r="D2189" s="245"/>
      <c r="E2189" s="245"/>
      <c r="F2189" s="187"/>
      <c r="G2189" s="245"/>
      <c r="H2189" s="245"/>
      <c r="I2189" s="245"/>
      <c r="O2189" s="360"/>
      <c r="Q2189" s="351"/>
      <c r="S2189" s="321"/>
      <c r="T2189" s="85" ph="1"/>
      <c r="V2189" s="216"/>
      <c r="W2189" s="245"/>
      <c r="X2189" s="187"/>
      <c r="Y2189" s="245"/>
      <c r="Z2189" s="245"/>
      <c r="AA2189" s="329"/>
      <c r="AC2189" s="245"/>
      <c r="AD2189" s="245"/>
      <c r="AE2189" s="245"/>
      <c r="AF2189" s="245"/>
    </row>
    <row r="2190" spans="1:32" ht="26.25">
      <c r="A2190" s="246"/>
      <c r="B2190" s="245"/>
      <c r="C2190" s="245"/>
      <c r="D2190" s="245"/>
      <c r="E2190" s="245"/>
      <c r="F2190" s="187"/>
      <c r="G2190" s="245"/>
      <c r="H2190" s="245"/>
      <c r="I2190" s="245"/>
      <c r="O2190" s="360"/>
      <c r="Q2190" s="351"/>
      <c r="S2190" s="321"/>
      <c r="T2190" s="85" ph="1"/>
      <c r="V2190" s="216"/>
      <c r="W2190" s="245"/>
      <c r="X2190" s="187"/>
      <c r="Y2190" s="245"/>
      <c r="Z2190" s="245"/>
      <c r="AA2190" s="329"/>
      <c r="AC2190" s="245"/>
      <c r="AD2190" s="245"/>
      <c r="AE2190" s="245"/>
      <c r="AF2190" s="245"/>
    </row>
    <row r="2191" spans="1:32" ht="26.25">
      <c r="A2191" s="246"/>
      <c r="B2191" s="245"/>
      <c r="C2191" s="245"/>
      <c r="D2191" s="245"/>
      <c r="E2191" s="245"/>
      <c r="F2191" s="187"/>
      <c r="G2191" s="245"/>
      <c r="H2191" s="245"/>
      <c r="I2191" s="245"/>
      <c r="O2191" s="360"/>
      <c r="Q2191" s="351"/>
      <c r="S2191" s="321"/>
      <c r="T2191" s="85" ph="1"/>
      <c r="V2191" s="216"/>
      <c r="W2191" s="245"/>
      <c r="X2191" s="187"/>
      <c r="Y2191" s="245"/>
      <c r="Z2191" s="245"/>
      <c r="AA2191" s="329"/>
      <c r="AC2191" s="245"/>
      <c r="AD2191" s="245"/>
      <c r="AE2191" s="245"/>
      <c r="AF2191" s="245"/>
    </row>
    <row r="2192" spans="1:32" ht="26.25">
      <c r="A2192" s="246"/>
      <c r="B2192" s="245"/>
      <c r="C2192" s="245"/>
      <c r="D2192" s="245"/>
      <c r="E2192" s="245"/>
      <c r="F2192" s="187"/>
      <c r="G2192" s="245"/>
      <c r="H2192" s="245"/>
      <c r="I2192" s="245"/>
      <c r="O2192" s="360"/>
      <c r="Q2192" s="351"/>
      <c r="S2192" s="321"/>
      <c r="T2192" s="85" ph="1"/>
      <c r="V2192" s="216"/>
      <c r="W2192" s="245"/>
      <c r="X2192" s="187"/>
      <c r="Y2192" s="245"/>
      <c r="Z2192" s="245"/>
      <c r="AA2192" s="329"/>
      <c r="AC2192" s="245"/>
      <c r="AD2192" s="245"/>
      <c r="AE2192" s="245"/>
      <c r="AF2192" s="245"/>
    </row>
    <row r="2193" spans="1:32" ht="26.25">
      <c r="A2193" s="246"/>
      <c r="B2193" s="245"/>
      <c r="C2193" s="245"/>
      <c r="D2193" s="245"/>
      <c r="E2193" s="245"/>
      <c r="F2193" s="187"/>
      <c r="G2193" s="245"/>
      <c r="H2193" s="245"/>
      <c r="I2193" s="245"/>
      <c r="O2193" s="360"/>
      <c r="Q2193" s="351"/>
      <c r="S2193" s="321"/>
      <c r="T2193" s="85" ph="1"/>
      <c r="V2193" s="216"/>
      <c r="W2193" s="245"/>
      <c r="X2193" s="187"/>
      <c r="Y2193" s="245"/>
      <c r="Z2193" s="245"/>
      <c r="AA2193" s="329"/>
      <c r="AC2193" s="245"/>
      <c r="AD2193" s="245"/>
      <c r="AE2193" s="245"/>
      <c r="AF2193" s="245"/>
    </row>
    <row r="2194" spans="1:32" ht="26.25">
      <c r="A2194" s="246"/>
      <c r="B2194" s="245"/>
      <c r="C2194" s="245"/>
      <c r="D2194" s="245"/>
      <c r="E2194" s="245"/>
      <c r="F2194" s="187"/>
      <c r="G2194" s="245"/>
      <c r="H2194" s="245"/>
      <c r="I2194" s="245"/>
      <c r="O2194" s="360"/>
      <c r="Q2194" s="351"/>
      <c r="S2194" s="321"/>
      <c r="T2194" s="85" ph="1"/>
      <c r="V2194" s="216"/>
      <c r="W2194" s="245"/>
      <c r="X2194" s="187"/>
      <c r="Y2194" s="245"/>
      <c r="Z2194" s="245"/>
      <c r="AA2194" s="329"/>
      <c r="AC2194" s="245"/>
      <c r="AD2194" s="245"/>
      <c r="AE2194" s="245"/>
      <c r="AF2194" s="245"/>
    </row>
    <row r="2195" spans="1:32" ht="26.25">
      <c r="A2195" s="246"/>
      <c r="B2195" s="245"/>
      <c r="C2195" s="245"/>
      <c r="D2195" s="245"/>
      <c r="E2195" s="245"/>
      <c r="F2195" s="187"/>
      <c r="G2195" s="245"/>
      <c r="H2195" s="245"/>
      <c r="I2195" s="245"/>
      <c r="O2195" s="360"/>
      <c r="Q2195" s="351"/>
      <c r="S2195" s="321"/>
      <c r="T2195" s="85" ph="1"/>
      <c r="V2195" s="216"/>
      <c r="W2195" s="245"/>
      <c r="X2195" s="187"/>
      <c r="Y2195" s="245"/>
      <c r="Z2195" s="245"/>
      <c r="AA2195" s="329"/>
      <c r="AC2195" s="245"/>
      <c r="AD2195" s="245"/>
      <c r="AE2195" s="245"/>
      <c r="AF2195" s="245"/>
    </row>
    <row r="2196" spans="1:32" ht="26.25">
      <c r="A2196" s="246"/>
      <c r="B2196" s="245"/>
      <c r="C2196" s="245"/>
      <c r="D2196" s="245"/>
      <c r="E2196" s="245"/>
      <c r="F2196" s="187"/>
      <c r="G2196" s="245"/>
      <c r="H2196" s="245"/>
      <c r="I2196" s="245"/>
      <c r="O2196" s="360"/>
      <c r="Q2196" s="351"/>
      <c r="S2196" s="321"/>
      <c r="T2196" s="85" ph="1"/>
      <c r="V2196" s="216"/>
      <c r="W2196" s="245"/>
      <c r="X2196" s="187"/>
      <c r="Y2196" s="245"/>
      <c r="Z2196" s="245"/>
      <c r="AA2196" s="329"/>
      <c r="AC2196" s="245"/>
      <c r="AD2196" s="245"/>
      <c r="AE2196" s="245"/>
      <c r="AF2196" s="245"/>
    </row>
    <row r="2197" spans="1:32" ht="26.25">
      <c r="A2197" s="246"/>
      <c r="B2197" s="245"/>
      <c r="C2197" s="245"/>
      <c r="D2197" s="245"/>
      <c r="E2197" s="245"/>
      <c r="F2197" s="187"/>
      <c r="G2197" s="245"/>
      <c r="H2197" s="245"/>
      <c r="I2197" s="245"/>
      <c r="O2197" s="360"/>
      <c r="Q2197" s="351"/>
      <c r="S2197" s="321"/>
      <c r="T2197" s="85" ph="1"/>
      <c r="V2197" s="216"/>
      <c r="W2197" s="245"/>
      <c r="X2197" s="187"/>
      <c r="Y2197" s="245"/>
      <c r="Z2197" s="245"/>
      <c r="AA2197" s="329"/>
      <c r="AC2197" s="245"/>
      <c r="AD2197" s="245"/>
      <c r="AE2197" s="245"/>
      <c r="AF2197" s="245"/>
    </row>
    <row r="2198" spans="1:32" ht="26.25">
      <c r="A2198" s="246"/>
      <c r="B2198" s="245"/>
      <c r="C2198" s="245"/>
      <c r="D2198" s="245"/>
      <c r="E2198" s="245"/>
      <c r="F2198" s="187"/>
      <c r="G2198" s="245"/>
      <c r="H2198" s="245"/>
      <c r="I2198" s="245"/>
      <c r="O2198" s="360"/>
      <c r="Q2198" s="351"/>
      <c r="S2198" s="321"/>
      <c r="T2198" s="85" ph="1"/>
      <c r="V2198" s="216"/>
      <c r="W2198" s="245"/>
      <c r="X2198" s="187"/>
      <c r="Y2198" s="245"/>
      <c r="Z2198" s="245"/>
      <c r="AA2198" s="329"/>
      <c r="AC2198" s="245"/>
      <c r="AD2198" s="245"/>
      <c r="AE2198" s="245"/>
      <c r="AF2198" s="245"/>
    </row>
    <row r="2199" spans="1:32" ht="26.25">
      <c r="A2199" s="246"/>
      <c r="B2199" s="245"/>
      <c r="C2199" s="245"/>
      <c r="D2199" s="245"/>
      <c r="E2199" s="245"/>
      <c r="F2199" s="187"/>
      <c r="G2199" s="245"/>
      <c r="H2199" s="245"/>
      <c r="I2199" s="245"/>
      <c r="O2199" s="360"/>
      <c r="Q2199" s="351"/>
      <c r="S2199" s="321"/>
      <c r="T2199" s="85" ph="1"/>
      <c r="V2199" s="216"/>
      <c r="W2199" s="245"/>
      <c r="X2199" s="187"/>
      <c r="Y2199" s="245"/>
      <c r="Z2199" s="245"/>
      <c r="AA2199" s="329"/>
      <c r="AC2199" s="245"/>
      <c r="AD2199" s="245"/>
      <c r="AE2199" s="245"/>
      <c r="AF2199" s="245"/>
    </row>
    <row r="2200" spans="1:32" ht="26.25">
      <c r="A2200" s="246"/>
      <c r="B2200" s="245"/>
      <c r="C2200" s="245"/>
      <c r="D2200" s="245"/>
      <c r="E2200" s="245"/>
      <c r="F2200" s="187"/>
      <c r="G2200" s="245"/>
      <c r="H2200" s="245"/>
      <c r="I2200" s="245"/>
      <c r="O2200" s="360"/>
      <c r="Q2200" s="351"/>
      <c r="S2200" s="321"/>
      <c r="T2200" s="85" ph="1"/>
      <c r="V2200" s="216"/>
      <c r="W2200" s="245"/>
      <c r="X2200" s="187"/>
      <c r="Y2200" s="245"/>
      <c r="Z2200" s="245"/>
      <c r="AA2200" s="329"/>
      <c r="AC2200" s="245"/>
      <c r="AD2200" s="245"/>
      <c r="AE2200" s="245"/>
      <c r="AF2200" s="245"/>
    </row>
    <row r="2201" spans="1:32" ht="26.25">
      <c r="A2201" s="246"/>
      <c r="B2201" s="245"/>
      <c r="C2201" s="245"/>
      <c r="D2201" s="245"/>
      <c r="E2201" s="245"/>
      <c r="F2201" s="187"/>
      <c r="G2201" s="245"/>
      <c r="H2201" s="245"/>
      <c r="I2201" s="245"/>
      <c r="O2201" s="360"/>
      <c r="Q2201" s="351"/>
      <c r="S2201" s="321"/>
      <c r="T2201" s="85" ph="1"/>
      <c r="V2201" s="216"/>
      <c r="W2201" s="245"/>
      <c r="X2201" s="187"/>
      <c r="Y2201" s="245"/>
      <c r="Z2201" s="245"/>
      <c r="AA2201" s="329"/>
      <c r="AC2201" s="245"/>
      <c r="AD2201" s="245"/>
      <c r="AE2201" s="245"/>
      <c r="AF2201" s="245"/>
    </row>
    <row r="2202" spans="1:32" ht="26.25">
      <c r="A2202" s="246"/>
      <c r="B2202" s="245"/>
      <c r="C2202" s="245"/>
      <c r="D2202" s="245"/>
      <c r="E2202" s="245"/>
      <c r="F2202" s="187"/>
      <c r="G2202" s="245"/>
      <c r="H2202" s="245"/>
      <c r="I2202" s="245"/>
      <c r="O2202" s="360"/>
      <c r="Q2202" s="351"/>
      <c r="S2202" s="321"/>
      <c r="T2202" s="85" ph="1"/>
      <c r="V2202" s="216"/>
      <c r="W2202" s="245"/>
      <c r="X2202" s="187"/>
      <c r="Y2202" s="245"/>
      <c r="Z2202" s="245"/>
      <c r="AA2202" s="329"/>
      <c r="AC2202" s="245"/>
      <c r="AD2202" s="245"/>
      <c r="AE2202" s="245"/>
      <c r="AF2202" s="245"/>
    </row>
    <row r="2203" spans="1:32" ht="26.25">
      <c r="A2203" s="246"/>
      <c r="B2203" s="245"/>
      <c r="C2203" s="245"/>
      <c r="D2203" s="245"/>
      <c r="E2203" s="245"/>
      <c r="F2203" s="187"/>
      <c r="G2203" s="245"/>
      <c r="H2203" s="245"/>
      <c r="I2203" s="245"/>
      <c r="O2203" s="360"/>
      <c r="Q2203" s="351"/>
      <c r="S2203" s="321"/>
      <c r="T2203" s="85" ph="1"/>
      <c r="V2203" s="216"/>
      <c r="W2203" s="245"/>
      <c r="X2203" s="187"/>
      <c r="Y2203" s="245"/>
      <c r="Z2203" s="245"/>
      <c r="AA2203" s="329"/>
      <c r="AC2203" s="245"/>
      <c r="AD2203" s="245"/>
      <c r="AE2203" s="245"/>
      <c r="AF2203" s="245"/>
    </row>
    <row r="2204" spans="1:32" ht="26.25">
      <c r="A2204" s="246"/>
      <c r="B2204" s="245"/>
      <c r="C2204" s="245"/>
      <c r="D2204" s="245"/>
      <c r="E2204" s="245"/>
      <c r="F2204" s="187"/>
      <c r="G2204" s="245"/>
      <c r="H2204" s="245"/>
      <c r="I2204" s="245"/>
      <c r="O2204" s="360"/>
      <c r="Q2204" s="351"/>
      <c r="S2204" s="321"/>
      <c r="T2204" s="85" ph="1"/>
      <c r="V2204" s="216"/>
      <c r="W2204" s="245"/>
      <c r="X2204" s="187"/>
      <c r="Y2204" s="245"/>
      <c r="Z2204" s="245"/>
      <c r="AA2204" s="329"/>
      <c r="AC2204" s="245"/>
      <c r="AD2204" s="245"/>
      <c r="AE2204" s="245"/>
      <c r="AF2204" s="245"/>
    </row>
    <row r="2205" spans="1:32" ht="26.25">
      <c r="A2205" s="246"/>
      <c r="B2205" s="245"/>
      <c r="C2205" s="245"/>
      <c r="D2205" s="245"/>
      <c r="E2205" s="245"/>
      <c r="F2205" s="187"/>
      <c r="G2205" s="245"/>
      <c r="H2205" s="245"/>
      <c r="I2205" s="245"/>
      <c r="O2205" s="360"/>
      <c r="Q2205" s="351"/>
      <c r="S2205" s="321"/>
      <c r="T2205" s="85" ph="1"/>
      <c r="V2205" s="216"/>
      <c r="W2205" s="245"/>
      <c r="X2205" s="187"/>
      <c r="Y2205" s="245"/>
      <c r="Z2205" s="245"/>
      <c r="AA2205" s="329"/>
      <c r="AC2205" s="245"/>
      <c r="AD2205" s="245"/>
      <c r="AE2205" s="245"/>
      <c r="AF2205" s="245"/>
    </row>
    <row r="2206" spans="1:32" ht="26.25">
      <c r="A2206" s="246"/>
      <c r="B2206" s="245"/>
      <c r="C2206" s="245"/>
      <c r="D2206" s="245"/>
      <c r="E2206" s="245"/>
      <c r="F2206" s="187"/>
      <c r="G2206" s="245"/>
      <c r="H2206" s="245"/>
      <c r="I2206" s="245"/>
      <c r="O2206" s="360"/>
      <c r="Q2206" s="351"/>
      <c r="S2206" s="321"/>
      <c r="T2206" s="85" ph="1"/>
      <c r="V2206" s="216"/>
      <c r="W2206" s="245"/>
      <c r="X2206" s="187"/>
      <c r="Y2206" s="245"/>
      <c r="Z2206" s="245"/>
      <c r="AA2206" s="329"/>
      <c r="AC2206" s="245"/>
      <c r="AD2206" s="245"/>
      <c r="AE2206" s="245"/>
      <c r="AF2206" s="245"/>
    </row>
    <row r="2207" spans="1:32" ht="26.25">
      <c r="A2207" s="246"/>
      <c r="B2207" s="245"/>
      <c r="C2207" s="245"/>
      <c r="D2207" s="245"/>
      <c r="E2207" s="245"/>
      <c r="F2207" s="187"/>
      <c r="G2207" s="245"/>
      <c r="H2207" s="245"/>
      <c r="I2207" s="245"/>
      <c r="O2207" s="360"/>
      <c r="Q2207" s="351"/>
      <c r="S2207" s="321"/>
      <c r="T2207" s="85" ph="1"/>
      <c r="V2207" s="216"/>
      <c r="W2207" s="245"/>
      <c r="X2207" s="187"/>
      <c r="Y2207" s="245"/>
      <c r="Z2207" s="245"/>
      <c r="AA2207" s="329"/>
      <c r="AC2207" s="245"/>
      <c r="AD2207" s="245"/>
      <c r="AE2207" s="245"/>
      <c r="AF2207" s="245"/>
    </row>
    <row r="2208" spans="1:32" ht="26.25">
      <c r="A2208" s="246"/>
      <c r="B2208" s="245"/>
      <c r="C2208" s="245"/>
      <c r="D2208" s="245"/>
      <c r="E2208" s="245"/>
      <c r="F2208" s="187"/>
      <c r="G2208" s="245"/>
      <c r="H2208" s="245"/>
      <c r="I2208" s="245"/>
      <c r="O2208" s="360"/>
      <c r="Q2208" s="351"/>
      <c r="S2208" s="321"/>
      <c r="T2208" s="85" ph="1"/>
      <c r="V2208" s="216"/>
      <c r="W2208" s="245"/>
      <c r="X2208" s="187"/>
      <c r="Y2208" s="245"/>
      <c r="Z2208" s="245"/>
      <c r="AA2208" s="329"/>
      <c r="AC2208" s="245"/>
      <c r="AD2208" s="245"/>
      <c r="AE2208" s="245"/>
      <c r="AF2208" s="245"/>
    </row>
    <row r="2209" spans="1:32" ht="26.25">
      <c r="A2209" s="246"/>
      <c r="B2209" s="245"/>
      <c r="C2209" s="245"/>
      <c r="D2209" s="245"/>
      <c r="E2209" s="245"/>
      <c r="F2209" s="187"/>
      <c r="G2209" s="245"/>
      <c r="H2209" s="245"/>
      <c r="I2209" s="245"/>
      <c r="O2209" s="360"/>
      <c r="Q2209" s="351"/>
      <c r="S2209" s="321"/>
      <c r="T2209" s="85" ph="1"/>
      <c r="V2209" s="216"/>
      <c r="W2209" s="245"/>
      <c r="X2209" s="187"/>
      <c r="Y2209" s="245"/>
      <c r="Z2209" s="245"/>
      <c r="AA2209" s="329"/>
      <c r="AC2209" s="245"/>
      <c r="AD2209" s="245"/>
      <c r="AE2209" s="245"/>
      <c r="AF2209" s="245"/>
    </row>
    <row r="2210" spans="1:32" ht="26.25">
      <c r="A2210" s="246"/>
      <c r="B2210" s="245"/>
      <c r="C2210" s="245"/>
      <c r="D2210" s="245"/>
      <c r="E2210" s="245"/>
      <c r="F2210" s="187"/>
      <c r="G2210" s="245"/>
      <c r="H2210" s="245"/>
      <c r="I2210" s="245"/>
      <c r="O2210" s="360"/>
      <c r="Q2210" s="351"/>
      <c r="S2210" s="321"/>
      <c r="T2210" s="85" ph="1"/>
      <c r="V2210" s="216"/>
      <c r="W2210" s="245"/>
      <c r="X2210" s="187"/>
      <c r="Y2210" s="245"/>
      <c r="Z2210" s="245"/>
      <c r="AA2210" s="329"/>
      <c r="AC2210" s="245"/>
      <c r="AD2210" s="245"/>
      <c r="AE2210" s="245"/>
      <c r="AF2210" s="245"/>
    </row>
    <row r="2211" spans="1:32" ht="26.25">
      <c r="A2211" s="246"/>
      <c r="B2211" s="245"/>
      <c r="C2211" s="245"/>
      <c r="D2211" s="245"/>
      <c r="E2211" s="245"/>
      <c r="F2211" s="187"/>
      <c r="G2211" s="245"/>
      <c r="H2211" s="245"/>
      <c r="I2211" s="245"/>
      <c r="O2211" s="360"/>
      <c r="Q2211" s="351"/>
      <c r="S2211" s="321"/>
      <c r="T2211" s="85" ph="1"/>
      <c r="V2211" s="216"/>
      <c r="W2211" s="245"/>
      <c r="X2211" s="187"/>
      <c r="Y2211" s="245"/>
      <c r="Z2211" s="245"/>
      <c r="AA2211" s="329"/>
      <c r="AC2211" s="245"/>
      <c r="AD2211" s="245"/>
      <c r="AE2211" s="245"/>
      <c r="AF2211" s="245"/>
    </row>
    <row r="2212" spans="1:32" ht="26.25">
      <c r="A2212" s="246"/>
      <c r="B2212" s="245"/>
      <c r="C2212" s="245"/>
      <c r="D2212" s="245"/>
      <c r="E2212" s="245"/>
      <c r="F2212" s="187"/>
      <c r="G2212" s="245"/>
      <c r="H2212" s="245"/>
      <c r="I2212" s="245"/>
      <c r="O2212" s="360"/>
      <c r="Q2212" s="351"/>
      <c r="S2212" s="321"/>
      <c r="T2212" s="85" ph="1"/>
      <c r="V2212" s="216"/>
      <c r="W2212" s="245"/>
      <c r="X2212" s="187"/>
      <c r="Y2212" s="245"/>
      <c r="Z2212" s="245"/>
      <c r="AA2212" s="329"/>
      <c r="AC2212" s="245"/>
      <c r="AD2212" s="245"/>
      <c r="AE2212" s="245"/>
      <c r="AF2212" s="245"/>
    </row>
    <row r="2213" spans="1:32" ht="26.25">
      <c r="A2213" s="246"/>
      <c r="B2213" s="245"/>
      <c r="C2213" s="245"/>
      <c r="D2213" s="245"/>
      <c r="E2213" s="245"/>
      <c r="F2213" s="187"/>
      <c r="G2213" s="245"/>
      <c r="H2213" s="245"/>
      <c r="I2213" s="245"/>
      <c r="O2213" s="360"/>
      <c r="Q2213" s="351"/>
      <c r="S2213" s="321"/>
      <c r="T2213" s="85" ph="1"/>
      <c r="V2213" s="216"/>
      <c r="W2213" s="245"/>
      <c r="X2213" s="187"/>
      <c r="Y2213" s="245"/>
      <c r="Z2213" s="245"/>
      <c r="AA2213" s="329"/>
      <c r="AC2213" s="245"/>
      <c r="AD2213" s="245"/>
      <c r="AE2213" s="245"/>
      <c r="AF2213" s="245"/>
    </row>
    <row r="2214" spans="1:32" ht="26.25">
      <c r="A2214" s="246"/>
      <c r="B2214" s="245"/>
      <c r="C2214" s="245"/>
      <c r="D2214" s="245"/>
      <c r="E2214" s="245"/>
      <c r="F2214" s="187"/>
      <c r="G2214" s="245"/>
      <c r="H2214" s="245"/>
      <c r="I2214" s="245"/>
      <c r="O2214" s="360"/>
      <c r="Q2214" s="351"/>
      <c r="S2214" s="321"/>
      <c r="T2214" s="85" ph="1"/>
      <c r="V2214" s="216"/>
      <c r="W2214" s="245"/>
      <c r="X2214" s="187"/>
      <c r="Y2214" s="245"/>
      <c r="Z2214" s="245"/>
      <c r="AA2214" s="329"/>
      <c r="AC2214" s="245"/>
      <c r="AD2214" s="245"/>
      <c r="AE2214" s="245"/>
      <c r="AF2214" s="245"/>
    </row>
    <row r="2215" spans="1:32" ht="26.25">
      <c r="A2215" s="246"/>
      <c r="B2215" s="245"/>
      <c r="C2215" s="245"/>
      <c r="D2215" s="245"/>
      <c r="E2215" s="245"/>
      <c r="F2215" s="187"/>
      <c r="G2215" s="245"/>
      <c r="H2215" s="245"/>
      <c r="I2215" s="245"/>
      <c r="O2215" s="360"/>
      <c r="Q2215" s="351"/>
      <c r="S2215" s="321"/>
      <c r="T2215" s="85" ph="1"/>
      <c r="V2215" s="216"/>
      <c r="W2215" s="245"/>
      <c r="X2215" s="187"/>
      <c r="Y2215" s="245"/>
      <c r="Z2215" s="245"/>
      <c r="AA2215" s="329"/>
      <c r="AC2215" s="245"/>
      <c r="AD2215" s="245"/>
      <c r="AE2215" s="245"/>
      <c r="AF2215" s="245"/>
    </row>
    <row r="2216" spans="1:32" ht="26.25">
      <c r="A2216" s="246"/>
      <c r="B2216" s="245"/>
      <c r="C2216" s="245"/>
      <c r="D2216" s="245"/>
      <c r="E2216" s="245"/>
      <c r="F2216" s="187"/>
      <c r="G2216" s="245"/>
      <c r="H2216" s="245"/>
      <c r="I2216" s="245"/>
      <c r="O2216" s="360"/>
      <c r="Q2216" s="351"/>
      <c r="S2216" s="321"/>
      <c r="T2216" s="85" ph="1"/>
      <c r="V2216" s="216"/>
      <c r="W2216" s="245"/>
      <c r="X2216" s="187"/>
      <c r="Y2216" s="245"/>
      <c r="Z2216" s="245"/>
      <c r="AA2216" s="329"/>
      <c r="AC2216" s="245"/>
      <c r="AD2216" s="245"/>
      <c r="AE2216" s="245"/>
      <c r="AF2216" s="245"/>
    </row>
    <row r="2217" spans="1:32" ht="26.25">
      <c r="A2217" s="246"/>
      <c r="B2217" s="245"/>
      <c r="C2217" s="245"/>
      <c r="D2217" s="245"/>
      <c r="E2217" s="245"/>
      <c r="F2217" s="187"/>
      <c r="G2217" s="245"/>
      <c r="H2217" s="245"/>
      <c r="I2217" s="245"/>
      <c r="O2217" s="360"/>
      <c r="Q2217" s="351"/>
      <c r="S2217" s="321"/>
      <c r="T2217" s="85" ph="1"/>
      <c r="V2217" s="216"/>
      <c r="W2217" s="245"/>
      <c r="X2217" s="187"/>
      <c r="Y2217" s="245"/>
      <c r="Z2217" s="245"/>
      <c r="AA2217" s="329"/>
      <c r="AC2217" s="245"/>
      <c r="AD2217" s="245"/>
      <c r="AE2217" s="245"/>
      <c r="AF2217" s="245"/>
    </row>
    <row r="2218" spans="1:32" ht="26.25">
      <c r="A2218" s="246"/>
      <c r="B2218" s="245"/>
      <c r="C2218" s="245"/>
      <c r="D2218" s="245"/>
      <c r="E2218" s="245"/>
      <c r="F2218" s="187"/>
      <c r="G2218" s="245"/>
      <c r="H2218" s="245"/>
      <c r="I2218" s="245"/>
      <c r="O2218" s="360"/>
      <c r="Q2218" s="351"/>
      <c r="S2218" s="321"/>
      <c r="T2218" s="85" ph="1"/>
      <c r="V2218" s="216"/>
      <c r="W2218" s="245"/>
      <c r="X2218" s="187"/>
      <c r="Y2218" s="245"/>
      <c r="Z2218" s="245"/>
      <c r="AA2218" s="329"/>
      <c r="AC2218" s="245"/>
      <c r="AD2218" s="245"/>
      <c r="AE2218" s="245"/>
      <c r="AF2218" s="245"/>
    </row>
    <row r="2219" spans="1:32" ht="26.25">
      <c r="A2219" s="246"/>
      <c r="B2219" s="245"/>
      <c r="C2219" s="245"/>
      <c r="D2219" s="245"/>
      <c r="E2219" s="245"/>
      <c r="F2219" s="187"/>
      <c r="G2219" s="245"/>
      <c r="H2219" s="245"/>
      <c r="I2219" s="245"/>
      <c r="O2219" s="360"/>
      <c r="Q2219" s="351"/>
      <c r="S2219" s="321"/>
      <c r="T2219" s="85" ph="1"/>
      <c r="V2219" s="216"/>
      <c r="W2219" s="245"/>
      <c r="X2219" s="187"/>
      <c r="Y2219" s="245"/>
      <c r="Z2219" s="245"/>
      <c r="AA2219" s="329"/>
      <c r="AC2219" s="245"/>
      <c r="AD2219" s="245"/>
      <c r="AE2219" s="245"/>
      <c r="AF2219" s="245"/>
    </row>
    <row r="2220" spans="1:32" ht="26.25">
      <c r="A2220" s="246"/>
      <c r="B2220" s="245"/>
      <c r="C2220" s="245"/>
      <c r="D2220" s="245"/>
      <c r="E2220" s="245"/>
      <c r="F2220" s="187"/>
      <c r="G2220" s="245"/>
      <c r="H2220" s="245"/>
      <c r="I2220" s="245"/>
      <c r="O2220" s="360"/>
      <c r="Q2220" s="351"/>
      <c r="S2220" s="321"/>
      <c r="T2220" s="85" ph="1"/>
      <c r="V2220" s="216"/>
      <c r="W2220" s="245"/>
      <c r="X2220" s="187"/>
      <c r="Y2220" s="245"/>
      <c r="Z2220" s="245"/>
      <c r="AA2220" s="329"/>
      <c r="AC2220" s="245"/>
      <c r="AD2220" s="245"/>
      <c r="AE2220" s="245"/>
      <c r="AF2220" s="245"/>
    </row>
    <row r="2221" spans="1:32" ht="26.25">
      <c r="A2221" s="246"/>
      <c r="B2221" s="245"/>
      <c r="C2221" s="245"/>
      <c r="D2221" s="245"/>
      <c r="E2221" s="245"/>
      <c r="F2221" s="187"/>
      <c r="G2221" s="245"/>
      <c r="H2221" s="245"/>
      <c r="I2221" s="245"/>
      <c r="O2221" s="360"/>
      <c r="Q2221" s="351"/>
      <c r="S2221" s="321"/>
      <c r="T2221" s="85" ph="1"/>
      <c r="V2221" s="216"/>
      <c r="W2221" s="245"/>
      <c r="X2221" s="187"/>
      <c r="Y2221" s="245"/>
      <c r="Z2221" s="245"/>
      <c r="AA2221" s="329"/>
      <c r="AC2221" s="245"/>
      <c r="AD2221" s="245"/>
      <c r="AE2221" s="245"/>
      <c r="AF2221" s="245"/>
    </row>
    <row r="2222" spans="1:32" ht="26.25">
      <c r="A2222" s="246"/>
      <c r="B2222" s="245"/>
      <c r="C2222" s="245"/>
      <c r="D2222" s="245"/>
      <c r="E2222" s="245"/>
      <c r="F2222" s="187"/>
      <c r="G2222" s="245"/>
      <c r="H2222" s="245"/>
      <c r="I2222" s="245"/>
      <c r="O2222" s="360"/>
      <c r="Q2222" s="351"/>
      <c r="S2222" s="321"/>
      <c r="T2222" s="85" ph="1"/>
      <c r="V2222" s="216"/>
      <c r="W2222" s="245"/>
      <c r="X2222" s="187"/>
      <c r="Y2222" s="245"/>
      <c r="Z2222" s="245"/>
      <c r="AA2222" s="329"/>
      <c r="AC2222" s="245"/>
      <c r="AD2222" s="245"/>
      <c r="AE2222" s="245"/>
      <c r="AF2222" s="245"/>
    </row>
    <row r="2223" spans="1:32" ht="26.25">
      <c r="A2223" s="246"/>
      <c r="B2223" s="245"/>
      <c r="C2223" s="245"/>
      <c r="D2223" s="245"/>
      <c r="E2223" s="245"/>
      <c r="F2223" s="187"/>
      <c r="G2223" s="245"/>
      <c r="H2223" s="245"/>
      <c r="I2223" s="245"/>
      <c r="O2223" s="360"/>
      <c r="Q2223" s="351"/>
      <c r="S2223" s="321"/>
      <c r="T2223" s="85" ph="1"/>
      <c r="V2223" s="216"/>
      <c r="W2223" s="245"/>
      <c r="X2223" s="187"/>
      <c r="Y2223" s="245"/>
      <c r="Z2223" s="245"/>
      <c r="AA2223" s="329"/>
      <c r="AC2223" s="245"/>
      <c r="AD2223" s="245"/>
      <c r="AE2223" s="245"/>
      <c r="AF2223" s="245"/>
    </row>
    <row r="2224" spans="1:32" ht="26.25">
      <c r="A2224" s="246"/>
      <c r="B2224" s="245"/>
      <c r="C2224" s="245"/>
      <c r="D2224" s="245"/>
      <c r="E2224" s="245"/>
      <c r="F2224" s="187"/>
      <c r="G2224" s="245"/>
      <c r="H2224" s="245"/>
      <c r="I2224" s="245"/>
      <c r="O2224" s="360"/>
      <c r="Q2224" s="351"/>
      <c r="S2224" s="321"/>
      <c r="T2224" s="85" ph="1"/>
      <c r="V2224" s="216"/>
      <c r="W2224" s="245"/>
      <c r="X2224" s="187"/>
      <c r="Y2224" s="245"/>
      <c r="Z2224" s="245"/>
      <c r="AA2224" s="329"/>
      <c r="AC2224" s="245"/>
      <c r="AD2224" s="245"/>
      <c r="AE2224" s="245"/>
      <c r="AF2224" s="245"/>
    </row>
    <row r="2225" spans="1:32" ht="26.25">
      <c r="A2225" s="246"/>
      <c r="B2225" s="245"/>
      <c r="C2225" s="245"/>
      <c r="D2225" s="245"/>
      <c r="E2225" s="245"/>
      <c r="F2225" s="187"/>
      <c r="G2225" s="245"/>
      <c r="H2225" s="245"/>
      <c r="I2225" s="245"/>
      <c r="O2225" s="360"/>
      <c r="Q2225" s="351"/>
      <c r="S2225" s="321"/>
      <c r="T2225" s="85" ph="1"/>
      <c r="V2225" s="216"/>
      <c r="W2225" s="245"/>
      <c r="X2225" s="187"/>
      <c r="Y2225" s="245"/>
      <c r="Z2225" s="245"/>
      <c r="AA2225" s="329"/>
      <c r="AC2225" s="245"/>
      <c r="AD2225" s="245"/>
      <c r="AE2225" s="245"/>
      <c r="AF2225" s="245"/>
    </row>
    <row r="2226" spans="1:32" ht="26.25">
      <c r="A2226" s="246"/>
      <c r="B2226" s="245"/>
      <c r="C2226" s="245"/>
      <c r="D2226" s="245"/>
      <c r="E2226" s="245"/>
      <c r="F2226" s="187"/>
      <c r="G2226" s="245"/>
      <c r="H2226" s="245"/>
      <c r="I2226" s="245"/>
      <c r="O2226" s="360"/>
      <c r="Q2226" s="351"/>
      <c r="S2226" s="321"/>
      <c r="T2226" s="85" ph="1"/>
      <c r="V2226" s="216"/>
      <c r="W2226" s="245"/>
      <c r="X2226" s="187"/>
      <c r="Y2226" s="245"/>
      <c r="Z2226" s="245"/>
      <c r="AA2226" s="329"/>
      <c r="AC2226" s="245"/>
      <c r="AD2226" s="245"/>
      <c r="AE2226" s="245"/>
      <c r="AF2226" s="245"/>
    </row>
    <row r="2227" spans="1:32" ht="26.25">
      <c r="A2227" s="246"/>
      <c r="B2227" s="245"/>
      <c r="C2227" s="245"/>
      <c r="D2227" s="245"/>
      <c r="E2227" s="245"/>
      <c r="F2227" s="187"/>
      <c r="G2227" s="245"/>
      <c r="H2227" s="245"/>
      <c r="I2227" s="245"/>
      <c r="O2227" s="360"/>
      <c r="Q2227" s="351"/>
      <c r="S2227" s="321"/>
      <c r="T2227" s="85" ph="1"/>
      <c r="V2227" s="216"/>
      <c r="W2227" s="245"/>
      <c r="X2227" s="187"/>
      <c r="Y2227" s="245"/>
      <c r="Z2227" s="245"/>
      <c r="AA2227" s="329"/>
      <c r="AC2227" s="245"/>
      <c r="AD2227" s="245"/>
      <c r="AE2227" s="245"/>
      <c r="AF2227" s="245"/>
    </row>
    <row r="2228" spans="1:32" ht="26.25">
      <c r="A2228" s="246"/>
      <c r="B2228" s="245"/>
      <c r="C2228" s="245"/>
      <c r="D2228" s="245"/>
      <c r="E2228" s="245"/>
      <c r="F2228" s="187"/>
      <c r="G2228" s="245"/>
      <c r="H2228" s="245"/>
      <c r="I2228" s="245"/>
      <c r="O2228" s="360"/>
      <c r="Q2228" s="351"/>
      <c r="S2228" s="321"/>
      <c r="T2228" s="85" ph="1"/>
      <c r="V2228" s="216"/>
      <c r="W2228" s="245"/>
      <c r="X2228" s="187"/>
      <c r="Y2228" s="245"/>
      <c r="Z2228" s="245"/>
      <c r="AA2228" s="329"/>
      <c r="AC2228" s="245"/>
      <c r="AD2228" s="245"/>
      <c r="AE2228" s="245"/>
      <c r="AF2228" s="245"/>
    </row>
    <row r="2229" spans="1:32" ht="26.25">
      <c r="A2229" s="246"/>
      <c r="B2229" s="245"/>
      <c r="C2229" s="245"/>
      <c r="D2229" s="245"/>
      <c r="E2229" s="245"/>
      <c r="F2229" s="187"/>
      <c r="G2229" s="245"/>
      <c r="H2229" s="245"/>
      <c r="I2229" s="245"/>
      <c r="O2229" s="360"/>
      <c r="Q2229" s="351"/>
      <c r="S2229" s="321"/>
      <c r="T2229" s="85" ph="1"/>
      <c r="V2229" s="216"/>
      <c r="W2229" s="245"/>
      <c r="X2229" s="187"/>
      <c r="Y2229" s="245"/>
      <c r="Z2229" s="245"/>
      <c r="AA2229" s="329"/>
      <c r="AC2229" s="245"/>
      <c r="AD2229" s="245"/>
      <c r="AE2229" s="245"/>
      <c r="AF2229" s="245"/>
    </row>
    <row r="2230" spans="1:32" ht="26.25">
      <c r="A2230" s="246"/>
      <c r="B2230" s="245"/>
      <c r="C2230" s="245"/>
      <c r="D2230" s="245"/>
      <c r="E2230" s="245"/>
      <c r="F2230" s="187"/>
      <c r="G2230" s="245"/>
      <c r="H2230" s="245"/>
      <c r="I2230" s="245"/>
      <c r="O2230" s="360"/>
      <c r="Q2230" s="351"/>
      <c r="S2230" s="321"/>
      <c r="T2230" s="85" ph="1"/>
      <c r="V2230" s="216"/>
      <c r="W2230" s="245"/>
      <c r="X2230" s="187"/>
      <c r="Y2230" s="245"/>
      <c r="Z2230" s="245"/>
      <c r="AA2230" s="329"/>
      <c r="AC2230" s="245"/>
      <c r="AD2230" s="245"/>
      <c r="AE2230" s="245"/>
      <c r="AF2230" s="245"/>
    </row>
    <row r="2231" spans="1:32" ht="26.25">
      <c r="A2231" s="246"/>
      <c r="B2231" s="245"/>
      <c r="C2231" s="245"/>
      <c r="D2231" s="245"/>
      <c r="E2231" s="245"/>
      <c r="F2231" s="187"/>
      <c r="G2231" s="245"/>
      <c r="H2231" s="245"/>
      <c r="I2231" s="245"/>
      <c r="O2231" s="360"/>
      <c r="Q2231" s="351"/>
      <c r="S2231" s="321"/>
      <c r="T2231" s="85" ph="1"/>
      <c r="V2231" s="216"/>
      <c r="W2231" s="245"/>
      <c r="X2231" s="187"/>
      <c r="Y2231" s="245"/>
      <c r="Z2231" s="245"/>
      <c r="AA2231" s="329"/>
      <c r="AC2231" s="245"/>
      <c r="AD2231" s="245"/>
      <c r="AE2231" s="245"/>
      <c r="AF2231" s="245"/>
    </row>
    <row r="2232" spans="1:32" ht="26.25">
      <c r="A2232" s="246"/>
      <c r="B2232" s="245"/>
      <c r="C2232" s="245"/>
      <c r="D2232" s="245"/>
      <c r="E2232" s="245"/>
      <c r="F2232" s="187"/>
      <c r="G2232" s="245"/>
      <c r="H2232" s="245"/>
      <c r="I2232" s="245"/>
      <c r="O2232" s="360"/>
      <c r="Q2232" s="351"/>
      <c r="S2232" s="321"/>
      <c r="T2232" s="85" ph="1"/>
      <c r="V2232" s="216"/>
      <c r="W2232" s="245"/>
      <c r="X2232" s="187"/>
      <c r="Y2232" s="245"/>
      <c r="Z2232" s="245"/>
      <c r="AA2232" s="329"/>
      <c r="AC2232" s="245"/>
      <c r="AD2232" s="245"/>
      <c r="AE2232" s="245"/>
      <c r="AF2232" s="245"/>
    </row>
    <row r="2233" spans="1:32" ht="26.25">
      <c r="A2233" s="246"/>
      <c r="B2233" s="245"/>
      <c r="C2233" s="245"/>
      <c r="D2233" s="245"/>
      <c r="E2233" s="245"/>
      <c r="F2233" s="187"/>
      <c r="G2233" s="245"/>
      <c r="H2233" s="245"/>
      <c r="I2233" s="245"/>
      <c r="O2233" s="360"/>
      <c r="Q2233" s="351"/>
      <c r="S2233" s="321"/>
      <c r="T2233" s="85" ph="1"/>
      <c r="V2233" s="216"/>
      <c r="W2233" s="245"/>
      <c r="X2233" s="187"/>
      <c r="Y2233" s="245"/>
      <c r="Z2233" s="245"/>
      <c r="AA2233" s="329"/>
      <c r="AC2233" s="245"/>
      <c r="AD2233" s="245"/>
      <c r="AE2233" s="245"/>
      <c r="AF2233" s="245"/>
    </row>
    <row r="2234" spans="1:32" ht="26.25">
      <c r="A2234" s="246"/>
      <c r="B2234" s="245"/>
      <c r="C2234" s="245"/>
      <c r="D2234" s="245"/>
      <c r="E2234" s="245"/>
      <c r="F2234" s="187"/>
      <c r="G2234" s="245"/>
      <c r="H2234" s="245"/>
      <c r="I2234" s="245"/>
      <c r="O2234" s="360"/>
      <c r="Q2234" s="351"/>
      <c r="S2234" s="321"/>
      <c r="T2234" s="85" ph="1"/>
      <c r="V2234" s="216"/>
      <c r="W2234" s="245"/>
      <c r="X2234" s="187"/>
      <c r="Y2234" s="245"/>
      <c r="Z2234" s="245"/>
      <c r="AA2234" s="329"/>
      <c r="AC2234" s="245"/>
      <c r="AD2234" s="245"/>
      <c r="AE2234" s="245"/>
      <c r="AF2234" s="245"/>
    </row>
    <row r="2235" spans="1:32" ht="26.25">
      <c r="A2235" s="246"/>
      <c r="B2235" s="245"/>
      <c r="C2235" s="245"/>
      <c r="D2235" s="245"/>
      <c r="E2235" s="245"/>
      <c r="F2235" s="187"/>
      <c r="G2235" s="245"/>
      <c r="H2235" s="245"/>
      <c r="I2235" s="245"/>
      <c r="O2235" s="360"/>
      <c r="Q2235" s="351"/>
      <c r="S2235" s="321"/>
      <c r="T2235" s="85" ph="1"/>
      <c r="V2235" s="216"/>
      <c r="W2235" s="245"/>
      <c r="X2235" s="187"/>
      <c r="Y2235" s="245"/>
      <c r="Z2235" s="245"/>
      <c r="AA2235" s="329"/>
      <c r="AC2235" s="245"/>
      <c r="AD2235" s="245"/>
      <c r="AE2235" s="245"/>
      <c r="AF2235" s="245"/>
    </row>
    <row r="2236" spans="1:32" ht="26.25">
      <c r="A2236" s="246"/>
      <c r="B2236" s="245"/>
      <c r="C2236" s="245"/>
      <c r="D2236" s="245"/>
      <c r="E2236" s="245"/>
      <c r="F2236" s="187"/>
      <c r="G2236" s="245"/>
      <c r="H2236" s="245"/>
      <c r="I2236" s="245"/>
      <c r="O2236" s="360"/>
      <c r="Q2236" s="351"/>
      <c r="S2236" s="321"/>
      <c r="T2236" s="85" ph="1"/>
      <c r="V2236" s="216"/>
      <c r="W2236" s="245"/>
      <c r="X2236" s="187"/>
      <c r="Y2236" s="245"/>
      <c r="Z2236" s="245"/>
      <c r="AA2236" s="329"/>
      <c r="AC2236" s="245"/>
      <c r="AD2236" s="245"/>
      <c r="AE2236" s="245"/>
      <c r="AF2236" s="245"/>
    </row>
    <row r="2237" spans="1:32" ht="26.25">
      <c r="A2237" s="246"/>
      <c r="B2237" s="245"/>
      <c r="C2237" s="245"/>
      <c r="D2237" s="245"/>
      <c r="E2237" s="245"/>
      <c r="F2237" s="187"/>
      <c r="G2237" s="245"/>
      <c r="H2237" s="245"/>
      <c r="I2237" s="245"/>
      <c r="O2237" s="360"/>
      <c r="Q2237" s="351"/>
      <c r="S2237" s="321"/>
      <c r="T2237" s="85" ph="1"/>
      <c r="V2237" s="216"/>
      <c r="W2237" s="245"/>
      <c r="X2237" s="187"/>
      <c r="Y2237" s="245"/>
      <c r="Z2237" s="245"/>
      <c r="AA2237" s="329"/>
      <c r="AC2237" s="245"/>
      <c r="AD2237" s="245"/>
      <c r="AE2237" s="245"/>
      <c r="AF2237" s="245"/>
    </row>
    <row r="2238" spans="1:32" ht="26.25">
      <c r="A2238" s="246"/>
      <c r="B2238" s="245"/>
      <c r="C2238" s="245"/>
      <c r="D2238" s="245"/>
      <c r="E2238" s="245"/>
      <c r="F2238" s="187"/>
      <c r="G2238" s="245"/>
      <c r="H2238" s="245"/>
      <c r="I2238" s="245"/>
      <c r="O2238" s="360"/>
      <c r="Q2238" s="351"/>
      <c r="S2238" s="321"/>
      <c r="T2238" s="85" ph="1"/>
      <c r="V2238" s="216"/>
      <c r="W2238" s="245"/>
      <c r="X2238" s="187"/>
      <c r="Y2238" s="245"/>
      <c r="Z2238" s="245"/>
      <c r="AA2238" s="329"/>
      <c r="AC2238" s="245"/>
      <c r="AD2238" s="245"/>
      <c r="AE2238" s="245"/>
      <c r="AF2238" s="245"/>
    </row>
    <row r="2239" spans="1:32" ht="26.25">
      <c r="A2239" s="246"/>
      <c r="B2239" s="245"/>
      <c r="C2239" s="245"/>
      <c r="D2239" s="245"/>
      <c r="E2239" s="245"/>
      <c r="F2239" s="187"/>
      <c r="G2239" s="245"/>
      <c r="H2239" s="245"/>
      <c r="I2239" s="245"/>
      <c r="O2239" s="360"/>
      <c r="Q2239" s="351"/>
      <c r="S2239" s="321"/>
      <c r="T2239" s="85" ph="1"/>
      <c r="V2239" s="216"/>
      <c r="W2239" s="245"/>
      <c r="X2239" s="187"/>
      <c r="Y2239" s="245"/>
      <c r="Z2239" s="245"/>
      <c r="AA2239" s="329"/>
      <c r="AC2239" s="245"/>
      <c r="AD2239" s="245"/>
      <c r="AE2239" s="245"/>
      <c r="AF2239" s="245"/>
    </row>
    <row r="2240" spans="1:32" ht="26.25">
      <c r="A2240" s="246"/>
      <c r="B2240" s="245"/>
      <c r="C2240" s="245"/>
      <c r="D2240" s="245"/>
      <c r="E2240" s="245"/>
      <c r="F2240" s="187"/>
      <c r="G2240" s="245"/>
      <c r="H2240" s="245"/>
      <c r="I2240" s="245"/>
      <c r="O2240" s="360"/>
      <c r="Q2240" s="351"/>
      <c r="S2240" s="321"/>
      <c r="T2240" s="85" ph="1"/>
      <c r="V2240" s="216"/>
      <c r="W2240" s="245"/>
      <c r="X2240" s="187"/>
      <c r="Y2240" s="245"/>
      <c r="Z2240" s="245"/>
      <c r="AA2240" s="329"/>
      <c r="AC2240" s="245"/>
      <c r="AD2240" s="245"/>
      <c r="AE2240" s="245"/>
      <c r="AF2240" s="245"/>
    </row>
    <row r="2241" spans="1:32" ht="26.25">
      <c r="A2241" s="246"/>
      <c r="B2241" s="245"/>
      <c r="C2241" s="245"/>
      <c r="D2241" s="245"/>
      <c r="E2241" s="245"/>
      <c r="F2241" s="187"/>
      <c r="G2241" s="245"/>
      <c r="H2241" s="245"/>
      <c r="I2241" s="245"/>
      <c r="O2241" s="360"/>
      <c r="Q2241" s="351"/>
      <c r="S2241" s="321"/>
      <c r="T2241" s="85" ph="1"/>
      <c r="V2241" s="216"/>
      <c r="W2241" s="245"/>
      <c r="X2241" s="187"/>
      <c r="Y2241" s="245"/>
      <c r="Z2241" s="245"/>
      <c r="AA2241" s="329"/>
      <c r="AC2241" s="245"/>
      <c r="AD2241" s="245"/>
      <c r="AE2241" s="245"/>
      <c r="AF2241" s="245"/>
    </row>
    <row r="2242" spans="1:32" ht="26.25">
      <c r="A2242" s="246"/>
      <c r="B2242" s="245"/>
      <c r="C2242" s="245"/>
      <c r="D2242" s="245"/>
      <c r="E2242" s="245"/>
      <c r="F2242" s="187"/>
      <c r="G2242" s="245"/>
      <c r="H2242" s="245"/>
      <c r="I2242" s="245"/>
      <c r="O2242" s="360"/>
      <c r="Q2242" s="351"/>
      <c r="S2242" s="321"/>
      <c r="T2242" s="85" ph="1"/>
      <c r="V2242" s="216"/>
      <c r="W2242" s="245"/>
      <c r="X2242" s="187"/>
      <c r="Y2242" s="245"/>
      <c r="Z2242" s="245"/>
      <c r="AA2242" s="329"/>
      <c r="AC2242" s="245"/>
      <c r="AD2242" s="245"/>
      <c r="AE2242" s="245"/>
      <c r="AF2242" s="245"/>
    </row>
    <row r="2243" spans="1:32" ht="26.25">
      <c r="A2243" s="246"/>
      <c r="B2243" s="245"/>
      <c r="C2243" s="245"/>
      <c r="D2243" s="245"/>
      <c r="E2243" s="245"/>
      <c r="F2243" s="187"/>
      <c r="G2243" s="245"/>
      <c r="H2243" s="245"/>
      <c r="I2243" s="245"/>
      <c r="O2243" s="360"/>
      <c r="Q2243" s="351"/>
      <c r="S2243" s="321"/>
      <c r="T2243" s="85" ph="1"/>
      <c r="V2243" s="216"/>
      <c r="W2243" s="245"/>
      <c r="X2243" s="187"/>
      <c r="Y2243" s="245"/>
      <c r="Z2243" s="245"/>
      <c r="AA2243" s="329"/>
      <c r="AC2243" s="245"/>
      <c r="AD2243" s="245"/>
      <c r="AE2243" s="245"/>
      <c r="AF2243" s="245"/>
    </row>
    <row r="2244" spans="1:32" ht="26.25">
      <c r="A2244" s="246"/>
      <c r="B2244" s="245"/>
      <c r="C2244" s="245"/>
      <c r="D2244" s="245"/>
      <c r="E2244" s="245"/>
      <c r="F2244" s="187"/>
      <c r="G2244" s="245"/>
      <c r="H2244" s="245"/>
      <c r="I2244" s="245"/>
      <c r="O2244" s="360"/>
      <c r="Q2244" s="351"/>
      <c r="S2244" s="321"/>
      <c r="T2244" s="85" ph="1"/>
      <c r="V2244" s="216"/>
      <c r="W2244" s="245"/>
      <c r="X2244" s="187"/>
      <c r="Y2244" s="245"/>
      <c r="Z2244" s="245"/>
      <c r="AA2244" s="329"/>
      <c r="AC2244" s="245"/>
      <c r="AD2244" s="245"/>
      <c r="AE2244" s="245"/>
      <c r="AF2244" s="245"/>
    </row>
    <row r="2245" spans="1:32" ht="26.25">
      <c r="A2245" s="246"/>
      <c r="B2245" s="245"/>
      <c r="C2245" s="245"/>
      <c r="D2245" s="245"/>
      <c r="E2245" s="245"/>
      <c r="F2245" s="187"/>
      <c r="G2245" s="245"/>
      <c r="H2245" s="245"/>
      <c r="I2245" s="245"/>
      <c r="O2245" s="360"/>
      <c r="Q2245" s="351"/>
      <c r="S2245" s="321"/>
      <c r="T2245" s="85" ph="1"/>
      <c r="V2245" s="216"/>
      <c r="W2245" s="245"/>
      <c r="X2245" s="187"/>
      <c r="Y2245" s="245"/>
      <c r="Z2245" s="245"/>
      <c r="AA2245" s="329"/>
      <c r="AC2245" s="245"/>
      <c r="AD2245" s="245"/>
      <c r="AE2245" s="245"/>
      <c r="AF2245" s="245"/>
    </row>
    <row r="2246" spans="1:32" ht="26.25">
      <c r="A2246" s="246"/>
      <c r="B2246" s="245"/>
      <c r="C2246" s="245"/>
      <c r="D2246" s="245"/>
      <c r="E2246" s="245"/>
      <c r="F2246" s="187"/>
      <c r="G2246" s="245"/>
      <c r="H2246" s="245"/>
      <c r="I2246" s="245"/>
      <c r="O2246" s="360"/>
      <c r="Q2246" s="351"/>
      <c r="S2246" s="321"/>
      <c r="T2246" s="85" ph="1"/>
      <c r="V2246" s="216"/>
      <c r="W2246" s="245"/>
      <c r="X2246" s="187"/>
      <c r="Y2246" s="245"/>
      <c r="Z2246" s="245"/>
      <c r="AA2246" s="329"/>
      <c r="AC2246" s="245"/>
      <c r="AD2246" s="245"/>
      <c r="AE2246" s="245"/>
      <c r="AF2246" s="245"/>
    </row>
    <row r="2247" spans="1:32" ht="26.25">
      <c r="A2247" s="246"/>
      <c r="B2247" s="245"/>
      <c r="C2247" s="245"/>
      <c r="D2247" s="245"/>
      <c r="E2247" s="245"/>
      <c r="F2247" s="187"/>
      <c r="G2247" s="245"/>
      <c r="H2247" s="245"/>
      <c r="I2247" s="245"/>
      <c r="O2247" s="360"/>
      <c r="Q2247" s="351"/>
      <c r="S2247" s="321"/>
      <c r="T2247" s="85" ph="1"/>
      <c r="V2247" s="216"/>
      <c r="W2247" s="245"/>
      <c r="X2247" s="187"/>
      <c r="Y2247" s="245"/>
      <c r="Z2247" s="245"/>
      <c r="AA2247" s="329"/>
      <c r="AC2247" s="245"/>
      <c r="AD2247" s="245"/>
      <c r="AE2247" s="245"/>
      <c r="AF2247" s="245"/>
    </row>
    <row r="2248" spans="1:32" ht="26.25">
      <c r="A2248" s="246"/>
      <c r="B2248" s="245"/>
      <c r="C2248" s="245"/>
      <c r="D2248" s="245"/>
      <c r="E2248" s="245"/>
      <c r="F2248" s="187"/>
      <c r="G2248" s="245"/>
      <c r="H2248" s="245"/>
      <c r="I2248" s="245"/>
      <c r="O2248" s="360"/>
      <c r="Q2248" s="351"/>
      <c r="S2248" s="321"/>
      <c r="T2248" s="85" ph="1"/>
      <c r="V2248" s="216"/>
      <c r="W2248" s="245"/>
      <c r="X2248" s="187"/>
      <c r="Y2248" s="245"/>
      <c r="Z2248" s="245"/>
      <c r="AA2248" s="329"/>
      <c r="AC2248" s="245"/>
      <c r="AD2248" s="245"/>
      <c r="AE2248" s="245"/>
      <c r="AF2248" s="245"/>
    </row>
    <row r="2249" spans="1:32" ht="26.25">
      <c r="A2249" s="246"/>
      <c r="B2249" s="245"/>
      <c r="C2249" s="245"/>
      <c r="D2249" s="245"/>
      <c r="E2249" s="245"/>
      <c r="F2249" s="187"/>
      <c r="G2249" s="245"/>
      <c r="H2249" s="245"/>
      <c r="I2249" s="245"/>
      <c r="O2249" s="360"/>
      <c r="Q2249" s="351"/>
      <c r="S2249" s="321"/>
      <c r="T2249" s="85" ph="1"/>
      <c r="V2249" s="216"/>
      <c r="W2249" s="245"/>
      <c r="X2249" s="187"/>
      <c r="Y2249" s="245"/>
      <c r="Z2249" s="245"/>
      <c r="AA2249" s="329"/>
      <c r="AC2249" s="245"/>
      <c r="AD2249" s="245"/>
      <c r="AE2249" s="245"/>
      <c r="AF2249" s="245"/>
    </row>
    <row r="2250" spans="1:32" ht="26.25">
      <c r="A2250" s="246"/>
      <c r="B2250" s="245"/>
      <c r="C2250" s="245"/>
      <c r="D2250" s="245"/>
      <c r="E2250" s="245"/>
      <c r="F2250" s="187"/>
      <c r="G2250" s="245"/>
      <c r="H2250" s="245"/>
      <c r="I2250" s="245"/>
      <c r="O2250" s="360"/>
      <c r="Q2250" s="351"/>
      <c r="S2250" s="321"/>
      <c r="T2250" s="85" ph="1"/>
      <c r="V2250" s="216"/>
      <c r="W2250" s="245"/>
      <c r="X2250" s="187"/>
      <c r="Y2250" s="245"/>
      <c r="Z2250" s="245"/>
      <c r="AA2250" s="329"/>
      <c r="AC2250" s="245"/>
      <c r="AD2250" s="245"/>
      <c r="AE2250" s="245"/>
      <c r="AF2250" s="245"/>
    </row>
    <row r="2251" spans="1:32" ht="26.25">
      <c r="A2251" s="246"/>
      <c r="B2251" s="245"/>
      <c r="C2251" s="245"/>
      <c r="D2251" s="245"/>
      <c r="E2251" s="245"/>
      <c r="F2251" s="187"/>
      <c r="G2251" s="245"/>
      <c r="H2251" s="245"/>
      <c r="I2251" s="245"/>
      <c r="O2251" s="360"/>
      <c r="Q2251" s="351"/>
      <c r="S2251" s="321"/>
      <c r="T2251" s="85" ph="1"/>
      <c r="V2251" s="216"/>
      <c r="W2251" s="245"/>
      <c r="X2251" s="187"/>
      <c r="Y2251" s="245"/>
      <c r="Z2251" s="245"/>
      <c r="AA2251" s="329"/>
      <c r="AC2251" s="245"/>
      <c r="AD2251" s="245"/>
      <c r="AE2251" s="245"/>
      <c r="AF2251" s="245"/>
    </row>
    <row r="2252" spans="1:32" ht="26.25">
      <c r="A2252" s="246"/>
      <c r="B2252" s="245"/>
      <c r="C2252" s="245"/>
      <c r="D2252" s="245"/>
      <c r="E2252" s="245"/>
      <c r="F2252" s="187"/>
      <c r="G2252" s="245"/>
      <c r="H2252" s="245"/>
      <c r="I2252" s="245"/>
      <c r="O2252" s="360"/>
      <c r="Q2252" s="351"/>
      <c r="S2252" s="321"/>
      <c r="T2252" s="85" ph="1"/>
      <c r="V2252" s="216"/>
      <c r="W2252" s="245"/>
      <c r="X2252" s="187"/>
      <c r="Y2252" s="245"/>
      <c r="Z2252" s="245"/>
      <c r="AA2252" s="329"/>
      <c r="AC2252" s="245"/>
      <c r="AD2252" s="245"/>
      <c r="AE2252" s="245"/>
      <c r="AF2252" s="245"/>
    </row>
    <row r="2253" spans="1:32" ht="26.25">
      <c r="A2253" s="246"/>
      <c r="B2253" s="245"/>
      <c r="C2253" s="245"/>
      <c r="D2253" s="245"/>
      <c r="E2253" s="245"/>
      <c r="F2253" s="187"/>
      <c r="G2253" s="245"/>
      <c r="H2253" s="245"/>
      <c r="I2253" s="245"/>
      <c r="O2253" s="360"/>
      <c r="Q2253" s="351"/>
      <c r="S2253" s="321"/>
      <c r="T2253" s="85" ph="1"/>
      <c r="V2253" s="216"/>
      <c r="W2253" s="245"/>
      <c r="X2253" s="187"/>
      <c r="Y2253" s="245"/>
      <c r="Z2253" s="245"/>
      <c r="AA2253" s="329"/>
      <c r="AC2253" s="245"/>
      <c r="AD2253" s="245"/>
      <c r="AE2253" s="245"/>
      <c r="AF2253" s="245"/>
    </row>
    <row r="2254" spans="1:32" ht="26.25">
      <c r="A2254" s="246"/>
      <c r="B2254" s="245"/>
      <c r="C2254" s="245"/>
      <c r="D2254" s="245"/>
      <c r="E2254" s="245"/>
      <c r="F2254" s="187"/>
      <c r="G2254" s="245"/>
      <c r="H2254" s="245"/>
      <c r="I2254" s="245"/>
      <c r="O2254" s="360"/>
      <c r="Q2254" s="351"/>
      <c r="S2254" s="321"/>
      <c r="T2254" s="85" ph="1"/>
      <c r="V2254" s="216"/>
      <c r="W2254" s="245"/>
      <c r="X2254" s="187"/>
      <c r="Y2254" s="245"/>
      <c r="Z2254" s="245"/>
      <c r="AA2254" s="329"/>
      <c r="AC2254" s="245"/>
      <c r="AD2254" s="245"/>
      <c r="AE2254" s="245"/>
      <c r="AF2254" s="245"/>
    </row>
    <row r="2255" spans="1:32" ht="26.25">
      <c r="A2255" s="246"/>
      <c r="B2255" s="245"/>
      <c r="C2255" s="245"/>
      <c r="D2255" s="245"/>
      <c r="E2255" s="245"/>
      <c r="F2255" s="187"/>
      <c r="G2255" s="245"/>
      <c r="H2255" s="245"/>
      <c r="I2255" s="245"/>
      <c r="O2255" s="360"/>
      <c r="Q2255" s="351"/>
      <c r="S2255" s="321"/>
      <c r="T2255" s="85" ph="1"/>
      <c r="V2255" s="216"/>
      <c r="W2255" s="245"/>
      <c r="X2255" s="187"/>
      <c r="Y2255" s="245"/>
      <c r="Z2255" s="245"/>
      <c r="AA2255" s="329"/>
      <c r="AC2255" s="245"/>
      <c r="AD2255" s="245"/>
      <c r="AE2255" s="245"/>
      <c r="AF2255" s="245"/>
    </row>
    <row r="2256" spans="1:32" ht="26.25">
      <c r="A2256" s="246"/>
      <c r="B2256" s="245"/>
      <c r="C2256" s="245"/>
      <c r="D2256" s="245"/>
      <c r="E2256" s="245"/>
      <c r="F2256" s="187"/>
      <c r="G2256" s="245"/>
      <c r="H2256" s="245"/>
      <c r="I2256" s="245"/>
      <c r="O2256" s="360"/>
      <c r="Q2256" s="351"/>
      <c r="S2256" s="321"/>
      <c r="T2256" s="85" ph="1"/>
      <c r="V2256" s="216"/>
      <c r="W2256" s="245"/>
      <c r="X2256" s="187"/>
      <c r="Y2256" s="245"/>
      <c r="Z2256" s="245"/>
      <c r="AA2256" s="329"/>
      <c r="AC2256" s="245"/>
      <c r="AD2256" s="245"/>
      <c r="AE2256" s="245"/>
      <c r="AF2256" s="245"/>
    </row>
    <row r="2257" spans="1:32" ht="26.25">
      <c r="A2257" s="246"/>
      <c r="B2257" s="245"/>
      <c r="C2257" s="245"/>
      <c r="D2257" s="245"/>
      <c r="E2257" s="245"/>
      <c r="F2257" s="187"/>
      <c r="G2257" s="245"/>
      <c r="H2257" s="245"/>
      <c r="I2257" s="245"/>
      <c r="O2257" s="360"/>
      <c r="Q2257" s="351"/>
      <c r="S2257" s="321"/>
      <c r="T2257" s="85" ph="1"/>
      <c r="V2257" s="216"/>
      <c r="W2257" s="245"/>
      <c r="X2257" s="187"/>
      <c r="Y2257" s="245"/>
      <c r="Z2257" s="245"/>
      <c r="AA2257" s="329"/>
      <c r="AC2257" s="245"/>
      <c r="AD2257" s="245"/>
      <c r="AE2257" s="245"/>
      <c r="AF2257" s="245"/>
    </row>
    <row r="2258" spans="1:32" ht="26.25">
      <c r="A2258" s="246"/>
      <c r="B2258" s="245"/>
      <c r="C2258" s="245"/>
      <c r="D2258" s="245"/>
      <c r="E2258" s="245"/>
      <c r="F2258" s="187"/>
      <c r="G2258" s="245"/>
      <c r="H2258" s="245"/>
      <c r="I2258" s="245"/>
      <c r="O2258" s="360"/>
      <c r="Q2258" s="351"/>
      <c r="S2258" s="321"/>
      <c r="T2258" s="85" ph="1"/>
      <c r="V2258" s="216"/>
      <c r="W2258" s="245"/>
      <c r="X2258" s="187"/>
      <c r="Y2258" s="245"/>
      <c r="Z2258" s="245"/>
      <c r="AA2258" s="329"/>
      <c r="AC2258" s="245"/>
      <c r="AD2258" s="245"/>
      <c r="AE2258" s="245"/>
      <c r="AF2258" s="245"/>
    </row>
    <row r="2259" spans="1:32" ht="26.25">
      <c r="A2259" s="246"/>
      <c r="B2259" s="245"/>
      <c r="C2259" s="245"/>
      <c r="D2259" s="245"/>
      <c r="E2259" s="245"/>
      <c r="F2259" s="187"/>
      <c r="G2259" s="245"/>
      <c r="H2259" s="245"/>
      <c r="I2259" s="245"/>
      <c r="O2259" s="360"/>
      <c r="Q2259" s="351"/>
      <c r="S2259" s="321"/>
      <c r="T2259" s="85" ph="1"/>
      <c r="V2259" s="216"/>
      <c r="W2259" s="245"/>
      <c r="X2259" s="187"/>
      <c r="Y2259" s="245"/>
      <c r="Z2259" s="245"/>
      <c r="AA2259" s="329"/>
      <c r="AC2259" s="245"/>
      <c r="AD2259" s="245"/>
      <c r="AE2259" s="245"/>
      <c r="AF2259" s="245"/>
    </row>
    <row r="2260" spans="1:32" ht="26.25">
      <c r="A2260" s="246"/>
      <c r="B2260" s="245"/>
      <c r="C2260" s="245"/>
      <c r="D2260" s="245"/>
      <c r="E2260" s="245"/>
      <c r="F2260" s="187"/>
      <c r="G2260" s="245"/>
      <c r="H2260" s="245"/>
      <c r="I2260" s="245"/>
      <c r="O2260" s="360"/>
      <c r="Q2260" s="351"/>
      <c r="S2260" s="321"/>
      <c r="T2260" s="85" ph="1"/>
      <c r="V2260" s="216"/>
      <c r="W2260" s="245"/>
      <c r="X2260" s="187"/>
      <c r="Y2260" s="245"/>
      <c r="Z2260" s="245"/>
      <c r="AA2260" s="329"/>
      <c r="AC2260" s="245"/>
      <c r="AD2260" s="245"/>
      <c r="AE2260" s="245"/>
      <c r="AF2260" s="245"/>
    </row>
    <row r="2261" spans="1:32" ht="26.25">
      <c r="A2261" s="246"/>
      <c r="B2261" s="245"/>
      <c r="C2261" s="245"/>
      <c r="D2261" s="245"/>
      <c r="E2261" s="245"/>
      <c r="F2261" s="187"/>
      <c r="G2261" s="245"/>
      <c r="H2261" s="245"/>
      <c r="I2261" s="245"/>
      <c r="O2261" s="360"/>
      <c r="Q2261" s="351"/>
      <c r="S2261" s="321"/>
      <c r="T2261" s="85" ph="1"/>
      <c r="V2261" s="216"/>
      <c r="W2261" s="245"/>
      <c r="X2261" s="187"/>
      <c r="Y2261" s="245"/>
      <c r="Z2261" s="245"/>
      <c r="AA2261" s="329"/>
      <c r="AC2261" s="245"/>
      <c r="AD2261" s="245"/>
      <c r="AE2261" s="245"/>
      <c r="AF2261" s="245"/>
    </row>
    <row r="2262" spans="1:32" ht="26.25">
      <c r="A2262" s="246"/>
      <c r="B2262" s="245"/>
      <c r="C2262" s="245"/>
      <c r="D2262" s="245"/>
      <c r="E2262" s="245"/>
      <c r="F2262" s="187"/>
      <c r="G2262" s="245"/>
      <c r="H2262" s="245"/>
      <c r="I2262" s="245"/>
      <c r="O2262" s="360"/>
      <c r="Q2262" s="351"/>
      <c r="S2262" s="321"/>
      <c r="T2262" s="85" ph="1"/>
      <c r="V2262" s="216"/>
      <c r="W2262" s="245"/>
      <c r="X2262" s="187"/>
      <c r="Y2262" s="245"/>
      <c r="Z2262" s="245"/>
      <c r="AA2262" s="329"/>
      <c r="AC2262" s="245"/>
      <c r="AD2262" s="245"/>
      <c r="AE2262" s="245"/>
      <c r="AF2262" s="245"/>
    </row>
    <row r="2263" spans="1:32" ht="26.25">
      <c r="A2263" s="246"/>
      <c r="B2263" s="245"/>
      <c r="C2263" s="245"/>
      <c r="D2263" s="245"/>
      <c r="E2263" s="245"/>
      <c r="F2263" s="187"/>
      <c r="G2263" s="245"/>
      <c r="H2263" s="245"/>
      <c r="I2263" s="245"/>
      <c r="O2263" s="360"/>
      <c r="Q2263" s="351"/>
      <c r="S2263" s="321"/>
      <c r="T2263" s="85" ph="1"/>
      <c r="V2263" s="216"/>
      <c r="W2263" s="245"/>
      <c r="X2263" s="187"/>
      <c r="Y2263" s="245"/>
      <c r="Z2263" s="245"/>
      <c r="AA2263" s="329"/>
      <c r="AC2263" s="245"/>
      <c r="AD2263" s="245"/>
      <c r="AE2263" s="245"/>
      <c r="AF2263" s="245"/>
    </row>
    <row r="2264" spans="1:32" ht="26.25">
      <c r="A2264" s="246"/>
      <c r="B2264" s="245"/>
      <c r="C2264" s="245"/>
      <c r="D2264" s="245"/>
      <c r="E2264" s="245"/>
      <c r="F2264" s="187"/>
      <c r="G2264" s="245"/>
      <c r="H2264" s="245"/>
      <c r="I2264" s="245"/>
      <c r="O2264" s="360"/>
      <c r="Q2264" s="351"/>
      <c r="S2264" s="321"/>
      <c r="T2264" s="85" ph="1"/>
      <c r="V2264" s="216"/>
      <c r="W2264" s="245"/>
      <c r="X2264" s="187"/>
      <c r="Y2264" s="245"/>
      <c r="Z2264" s="245"/>
      <c r="AA2264" s="329"/>
      <c r="AC2264" s="245"/>
      <c r="AD2264" s="245"/>
      <c r="AE2264" s="245"/>
      <c r="AF2264" s="245"/>
    </row>
    <row r="2265" spans="1:32" ht="26.25">
      <c r="A2265" s="246"/>
      <c r="B2265" s="245"/>
      <c r="C2265" s="245"/>
      <c r="D2265" s="245"/>
      <c r="E2265" s="245"/>
      <c r="F2265" s="187"/>
      <c r="G2265" s="245"/>
      <c r="H2265" s="245"/>
      <c r="I2265" s="245"/>
      <c r="O2265" s="360"/>
      <c r="Q2265" s="351"/>
      <c r="S2265" s="321"/>
      <c r="T2265" s="85" ph="1"/>
      <c r="V2265" s="216"/>
      <c r="W2265" s="245"/>
      <c r="X2265" s="187"/>
      <c r="Y2265" s="245"/>
      <c r="Z2265" s="245"/>
      <c r="AA2265" s="329"/>
      <c r="AC2265" s="245"/>
      <c r="AD2265" s="245"/>
      <c r="AE2265" s="245"/>
      <c r="AF2265" s="245"/>
    </row>
    <row r="2266" spans="1:32" ht="26.25">
      <c r="A2266" s="246"/>
      <c r="B2266" s="245"/>
      <c r="C2266" s="245"/>
      <c r="D2266" s="245"/>
      <c r="E2266" s="245"/>
      <c r="F2266" s="187"/>
      <c r="G2266" s="245"/>
      <c r="H2266" s="245"/>
      <c r="I2266" s="245"/>
      <c r="O2266" s="360"/>
      <c r="Q2266" s="351"/>
      <c r="S2266" s="321"/>
      <c r="T2266" s="85" ph="1"/>
      <c r="V2266" s="216"/>
      <c r="W2266" s="245"/>
      <c r="X2266" s="187"/>
      <c r="Y2266" s="245"/>
      <c r="Z2266" s="245"/>
      <c r="AA2266" s="329"/>
      <c r="AC2266" s="245"/>
      <c r="AD2266" s="245"/>
      <c r="AE2266" s="245"/>
      <c r="AF2266" s="245"/>
    </row>
    <row r="2267" spans="1:32" ht="26.25">
      <c r="A2267" s="246"/>
      <c r="B2267" s="245"/>
      <c r="C2267" s="245"/>
      <c r="D2267" s="245"/>
      <c r="E2267" s="245"/>
      <c r="F2267" s="187"/>
      <c r="G2267" s="245"/>
      <c r="H2267" s="245"/>
      <c r="I2267" s="245"/>
      <c r="O2267" s="360"/>
      <c r="Q2267" s="351"/>
      <c r="S2267" s="321"/>
      <c r="T2267" s="85" ph="1"/>
      <c r="V2267" s="216"/>
      <c r="W2267" s="245"/>
      <c r="X2267" s="187"/>
      <c r="Y2267" s="245"/>
      <c r="Z2267" s="245"/>
      <c r="AA2267" s="329"/>
      <c r="AC2267" s="245"/>
      <c r="AD2267" s="245"/>
      <c r="AE2267" s="245"/>
      <c r="AF2267" s="245"/>
    </row>
    <row r="2268" spans="1:32" ht="26.25">
      <c r="A2268" s="246"/>
      <c r="B2268" s="245"/>
      <c r="C2268" s="245"/>
      <c r="D2268" s="245"/>
      <c r="E2268" s="245"/>
      <c r="F2268" s="187"/>
      <c r="G2268" s="245"/>
      <c r="H2268" s="245"/>
      <c r="I2268" s="245"/>
      <c r="O2268" s="360"/>
      <c r="Q2268" s="351"/>
      <c r="S2268" s="321"/>
      <c r="T2268" s="85" ph="1"/>
      <c r="V2268" s="216"/>
      <c r="W2268" s="245"/>
      <c r="X2268" s="187"/>
      <c r="Y2268" s="245"/>
      <c r="Z2268" s="245"/>
      <c r="AA2268" s="329"/>
      <c r="AC2268" s="245"/>
      <c r="AD2268" s="245"/>
      <c r="AE2268" s="245"/>
      <c r="AF2268" s="245"/>
    </row>
    <row r="2269" spans="1:32" ht="26.25">
      <c r="A2269" s="246"/>
      <c r="B2269" s="245"/>
      <c r="C2269" s="245"/>
      <c r="D2269" s="245"/>
      <c r="E2269" s="245"/>
      <c r="F2269" s="187"/>
      <c r="G2269" s="245"/>
      <c r="H2269" s="245"/>
      <c r="I2269" s="245"/>
      <c r="O2269" s="360"/>
      <c r="Q2269" s="351"/>
      <c r="S2269" s="321"/>
      <c r="T2269" s="85" ph="1"/>
      <c r="V2269" s="216"/>
      <c r="W2269" s="245"/>
      <c r="X2269" s="187"/>
      <c r="Y2269" s="245"/>
      <c r="Z2269" s="245"/>
      <c r="AA2269" s="329"/>
      <c r="AC2269" s="245"/>
      <c r="AD2269" s="245"/>
      <c r="AE2269" s="245"/>
      <c r="AF2269" s="245"/>
    </row>
    <row r="2270" spans="1:32" ht="26.25">
      <c r="A2270" s="246"/>
      <c r="B2270" s="245"/>
      <c r="C2270" s="245"/>
      <c r="D2270" s="245"/>
      <c r="E2270" s="245"/>
      <c r="F2270" s="187"/>
      <c r="G2270" s="245"/>
      <c r="H2270" s="245"/>
      <c r="I2270" s="245"/>
      <c r="O2270" s="360"/>
      <c r="Q2270" s="351"/>
      <c r="S2270" s="321"/>
      <c r="T2270" s="85" ph="1"/>
      <c r="V2270" s="216"/>
      <c r="W2270" s="245"/>
      <c r="X2270" s="187"/>
      <c r="Y2270" s="245"/>
      <c r="Z2270" s="245"/>
      <c r="AA2270" s="329"/>
      <c r="AC2270" s="245"/>
      <c r="AD2270" s="245"/>
      <c r="AE2270" s="245"/>
      <c r="AF2270" s="245"/>
    </row>
    <row r="2271" spans="1:32" ht="26.25">
      <c r="A2271" s="246"/>
      <c r="B2271" s="245"/>
      <c r="C2271" s="245"/>
      <c r="D2271" s="245"/>
      <c r="E2271" s="245"/>
      <c r="F2271" s="187"/>
      <c r="G2271" s="245"/>
      <c r="H2271" s="245"/>
      <c r="I2271" s="245"/>
      <c r="O2271" s="360"/>
      <c r="Q2271" s="351"/>
      <c r="S2271" s="321"/>
      <c r="T2271" s="85" ph="1"/>
      <c r="V2271" s="216"/>
      <c r="W2271" s="245"/>
      <c r="X2271" s="187"/>
      <c r="Y2271" s="245"/>
      <c r="Z2271" s="245"/>
      <c r="AA2271" s="329"/>
      <c r="AC2271" s="245"/>
      <c r="AD2271" s="245"/>
      <c r="AE2271" s="245"/>
      <c r="AF2271" s="245"/>
    </row>
    <row r="2272" spans="1:32" ht="26.25">
      <c r="A2272" s="246"/>
      <c r="B2272" s="245"/>
      <c r="C2272" s="245"/>
      <c r="D2272" s="245"/>
      <c r="E2272" s="245"/>
      <c r="F2272" s="187"/>
      <c r="G2272" s="245"/>
      <c r="H2272" s="245"/>
      <c r="I2272" s="245"/>
      <c r="O2272" s="360"/>
      <c r="Q2272" s="351"/>
      <c r="S2272" s="321"/>
      <c r="T2272" s="85" ph="1"/>
      <c r="V2272" s="216"/>
      <c r="W2272" s="245"/>
      <c r="X2272" s="187"/>
      <c r="Y2272" s="245"/>
      <c r="Z2272" s="245"/>
      <c r="AA2272" s="329"/>
      <c r="AC2272" s="245"/>
      <c r="AD2272" s="245"/>
      <c r="AE2272" s="245"/>
      <c r="AF2272" s="245"/>
    </row>
    <row r="2273" spans="1:32" ht="26.25">
      <c r="A2273" s="246"/>
      <c r="B2273" s="245"/>
      <c r="C2273" s="245"/>
      <c r="D2273" s="245"/>
      <c r="E2273" s="245"/>
      <c r="F2273" s="187"/>
      <c r="G2273" s="245"/>
      <c r="H2273" s="245"/>
      <c r="I2273" s="245"/>
      <c r="O2273" s="360"/>
      <c r="Q2273" s="351"/>
      <c r="S2273" s="321"/>
      <c r="T2273" s="85" ph="1"/>
      <c r="V2273" s="216"/>
      <c r="W2273" s="245"/>
      <c r="X2273" s="187"/>
      <c r="Y2273" s="245"/>
      <c r="Z2273" s="245"/>
      <c r="AA2273" s="329"/>
      <c r="AC2273" s="245"/>
      <c r="AD2273" s="245"/>
      <c r="AE2273" s="245"/>
      <c r="AF2273" s="245"/>
    </row>
    <row r="2274" spans="1:32" ht="26.25">
      <c r="A2274" s="246"/>
      <c r="B2274" s="245"/>
      <c r="C2274" s="245"/>
      <c r="D2274" s="245"/>
      <c r="E2274" s="245"/>
      <c r="F2274" s="187"/>
      <c r="G2274" s="245"/>
      <c r="H2274" s="245"/>
      <c r="I2274" s="245"/>
      <c r="O2274" s="360"/>
      <c r="Q2274" s="351"/>
      <c r="S2274" s="321"/>
      <c r="T2274" s="85" ph="1"/>
      <c r="V2274" s="216"/>
      <c r="W2274" s="245"/>
      <c r="X2274" s="187"/>
      <c r="Y2274" s="245"/>
      <c r="Z2274" s="245"/>
      <c r="AA2274" s="329"/>
      <c r="AC2274" s="245"/>
      <c r="AD2274" s="245"/>
      <c r="AE2274" s="245"/>
      <c r="AF2274" s="245"/>
    </row>
    <row r="2275" spans="1:32" ht="26.25">
      <c r="A2275" s="246"/>
      <c r="B2275" s="245"/>
      <c r="C2275" s="245"/>
      <c r="D2275" s="245"/>
      <c r="E2275" s="245"/>
      <c r="F2275" s="187"/>
      <c r="G2275" s="245"/>
      <c r="H2275" s="245"/>
      <c r="I2275" s="245"/>
      <c r="O2275" s="360"/>
      <c r="Q2275" s="351"/>
      <c r="S2275" s="321"/>
      <c r="T2275" s="85" ph="1"/>
      <c r="V2275" s="216"/>
      <c r="W2275" s="245"/>
      <c r="X2275" s="187"/>
      <c r="Y2275" s="245"/>
      <c r="Z2275" s="245"/>
      <c r="AA2275" s="329"/>
      <c r="AC2275" s="245"/>
      <c r="AD2275" s="245"/>
      <c r="AE2275" s="245"/>
      <c r="AF2275" s="245"/>
    </row>
    <row r="2276" spans="1:32" ht="26.25">
      <c r="A2276" s="246"/>
      <c r="B2276" s="245"/>
      <c r="C2276" s="245"/>
      <c r="D2276" s="245"/>
      <c r="E2276" s="245"/>
      <c r="F2276" s="187"/>
      <c r="G2276" s="245"/>
      <c r="H2276" s="245"/>
      <c r="I2276" s="245"/>
      <c r="O2276" s="360"/>
      <c r="Q2276" s="351"/>
      <c r="S2276" s="321"/>
      <c r="T2276" s="85" ph="1"/>
      <c r="V2276" s="216"/>
      <c r="W2276" s="245"/>
      <c r="X2276" s="187"/>
      <c r="Y2276" s="245"/>
      <c r="Z2276" s="245"/>
      <c r="AA2276" s="329"/>
      <c r="AC2276" s="245"/>
      <c r="AD2276" s="245"/>
      <c r="AE2276" s="245"/>
      <c r="AF2276" s="245"/>
    </row>
    <row r="2277" spans="1:32" ht="26.25">
      <c r="A2277" s="246"/>
      <c r="B2277" s="245"/>
      <c r="C2277" s="245"/>
      <c r="D2277" s="245"/>
      <c r="E2277" s="245"/>
      <c r="F2277" s="187"/>
      <c r="G2277" s="245"/>
      <c r="H2277" s="245"/>
      <c r="I2277" s="245"/>
      <c r="O2277" s="360"/>
      <c r="Q2277" s="351"/>
      <c r="S2277" s="321"/>
      <c r="T2277" s="85" ph="1"/>
      <c r="V2277" s="216"/>
      <c r="W2277" s="245"/>
      <c r="X2277" s="187"/>
      <c r="Y2277" s="245"/>
      <c r="Z2277" s="245"/>
      <c r="AA2277" s="329"/>
      <c r="AC2277" s="245"/>
      <c r="AD2277" s="245"/>
      <c r="AE2277" s="245"/>
      <c r="AF2277" s="245"/>
    </row>
    <row r="2278" spans="1:32" ht="26.25">
      <c r="A2278" s="246"/>
      <c r="B2278" s="245"/>
      <c r="C2278" s="245"/>
      <c r="D2278" s="245"/>
      <c r="E2278" s="245"/>
      <c r="F2278" s="187"/>
      <c r="G2278" s="245"/>
      <c r="H2278" s="245"/>
      <c r="I2278" s="245"/>
      <c r="O2278" s="360"/>
      <c r="Q2278" s="351"/>
      <c r="S2278" s="321"/>
      <c r="T2278" s="85" ph="1"/>
      <c r="V2278" s="216"/>
      <c r="W2278" s="245"/>
      <c r="X2278" s="187"/>
      <c r="Y2278" s="245"/>
      <c r="Z2278" s="245"/>
      <c r="AA2278" s="329"/>
      <c r="AC2278" s="245"/>
      <c r="AD2278" s="245"/>
      <c r="AE2278" s="245"/>
      <c r="AF2278" s="245"/>
    </row>
    <row r="2279" spans="1:32" ht="26.25">
      <c r="A2279" s="246"/>
      <c r="B2279" s="245"/>
      <c r="C2279" s="245"/>
      <c r="D2279" s="245"/>
      <c r="E2279" s="245"/>
      <c r="F2279" s="187"/>
      <c r="G2279" s="245"/>
      <c r="H2279" s="245"/>
      <c r="I2279" s="245"/>
      <c r="O2279" s="360"/>
      <c r="Q2279" s="351"/>
      <c r="S2279" s="321"/>
      <c r="T2279" s="85" ph="1"/>
      <c r="V2279" s="216"/>
      <c r="W2279" s="245"/>
      <c r="X2279" s="187"/>
      <c r="Y2279" s="245"/>
      <c r="Z2279" s="245"/>
      <c r="AA2279" s="329"/>
      <c r="AC2279" s="245"/>
      <c r="AD2279" s="245"/>
      <c r="AE2279" s="245"/>
      <c r="AF2279" s="245"/>
    </row>
    <row r="2280" spans="1:32" ht="26.25">
      <c r="A2280" s="246"/>
      <c r="B2280" s="245"/>
      <c r="C2280" s="245"/>
      <c r="D2280" s="245"/>
      <c r="E2280" s="245"/>
      <c r="F2280" s="187"/>
      <c r="G2280" s="245"/>
      <c r="H2280" s="245"/>
      <c r="I2280" s="245"/>
      <c r="O2280" s="360"/>
      <c r="Q2280" s="351"/>
      <c r="S2280" s="321"/>
      <c r="T2280" s="85" ph="1"/>
      <c r="V2280" s="216"/>
      <c r="W2280" s="245"/>
      <c r="X2280" s="187"/>
      <c r="Y2280" s="245"/>
      <c r="Z2280" s="245"/>
      <c r="AA2280" s="329"/>
      <c r="AC2280" s="245"/>
      <c r="AD2280" s="245"/>
      <c r="AE2280" s="245"/>
      <c r="AF2280" s="245"/>
    </row>
    <row r="2281" spans="1:32" ht="26.25">
      <c r="A2281" s="246"/>
      <c r="B2281" s="245"/>
      <c r="C2281" s="245"/>
      <c r="D2281" s="245"/>
      <c r="E2281" s="245"/>
      <c r="F2281" s="187"/>
      <c r="G2281" s="245"/>
      <c r="H2281" s="245"/>
      <c r="I2281" s="245"/>
      <c r="O2281" s="360"/>
      <c r="Q2281" s="351"/>
      <c r="S2281" s="321"/>
      <c r="T2281" s="85" ph="1"/>
      <c r="V2281" s="216"/>
      <c r="W2281" s="245"/>
      <c r="X2281" s="187"/>
      <c r="Y2281" s="245"/>
      <c r="Z2281" s="245"/>
      <c r="AA2281" s="329"/>
      <c r="AC2281" s="245"/>
      <c r="AD2281" s="245"/>
      <c r="AE2281" s="245"/>
      <c r="AF2281" s="245"/>
    </row>
    <row r="2282" spans="1:32" ht="26.25">
      <c r="A2282" s="246"/>
      <c r="B2282" s="245"/>
      <c r="C2282" s="245"/>
      <c r="D2282" s="245"/>
      <c r="E2282" s="245"/>
      <c r="F2282" s="187"/>
      <c r="G2282" s="245"/>
      <c r="H2282" s="245"/>
      <c r="I2282" s="245"/>
      <c r="O2282" s="360"/>
      <c r="Q2282" s="351"/>
      <c r="S2282" s="321"/>
      <c r="T2282" s="85" ph="1"/>
      <c r="V2282" s="216"/>
      <c r="W2282" s="245"/>
      <c r="X2282" s="187"/>
      <c r="Y2282" s="245"/>
      <c r="Z2282" s="245"/>
      <c r="AA2282" s="329"/>
      <c r="AC2282" s="245"/>
      <c r="AD2282" s="245"/>
      <c r="AE2282" s="245"/>
      <c r="AF2282" s="245"/>
    </row>
    <row r="2283" spans="1:32" ht="26.25">
      <c r="A2283" s="246"/>
      <c r="B2283" s="245"/>
      <c r="C2283" s="245"/>
      <c r="D2283" s="245"/>
      <c r="E2283" s="245"/>
      <c r="F2283" s="187"/>
      <c r="G2283" s="245"/>
      <c r="H2283" s="245"/>
      <c r="I2283" s="245"/>
      <c r="O2283" s="360"/>
      <c r="Q2283" s="351"/>
      <c r="S2283" s="321"/>
      <c r="T2283" s="85" ph="1"/>
      <c r="V2283" s="216"/>
      <c r="W2283" s="245"/>
      <c r="X2283" s="187"/>
      <c r="Y2283" s="245"/>
      <c r="Z2283" s="245"/>
      <c r="AA2283" s="329"/>
      <c r="AC2283" s="245"/>
      <c r="AD2283" s="245"/>
      <c r="AE2283" s="245"/>
      <c r="AF2283" s="245"/>
    </row>
    <row r="2284" spans="1:32" ht="26.25">
      <c r="A2284" s="246"/>
      <c r="B2284" s="245"/>
      <c r="C2284" s="245"/>
      <c r="D2284" s="245"/>
      <c r="E2284" s="245"/>
      <c r="F2284" s="187"/>
      <c r="G2284" s="245"/>
      <c r="H2284" s="245"/>
      <c r="I2284" s="245"/>
      <c r="O2284" s="360"/>
      <c r="Q2284" s="351"/>
      <c r="S2284" s="321"/>
      <c r="T2284" s="85" ph="1"/>
      <c r="V2284" s="216"/>
      <c r="W2284" s="245"/>
      <c r="X2284" s="187"/>
      <c r="Y2284" s="245"/>
      <c r="Z2284" s="245"/>
      <c r="AA2284" s="329"/>
      <c r="AC2284" s="245"/>
      <c r="AD2284" s="245"/>
      <c r="AE2284" s="245"/>
      <c r="AF2284" s="245"/>
    </row>
    <row r="2285" spans="1:32" ht="26.25">
      <c r="A2285" s="246"/>
      <c r="B2285" s="245"/>
      <c r="C2285" s="245"/>
      <c r="D2285" s="245"/>
      <c r="E2285" s="245"/>
      <c r="F2285" s="187"/>
      <c r="G2285" s="245"/>
      <c r="H2285" s="245"/>
      <c r="I2285" s="245"/>
      <c r="O2285" s="360"/>
      <c r="Q2285" s="351"/>
      <c r="S2285" s="321"/>
      <c r="T2285" s="85" ph="1"/>
      <c r="V2285" s="216"/>
      <c r="W2285" s="245"/>
      <c r="X2285" s="187"/>
      <c r="Y2285" s="245"/>
      <c r="Z2285" s="245"/>
      <c r="AA2285" s="329"/>
      <c r="AC2285" s="245"/>
      <c r="AD2285" s="245"/>
      <c r="AE2285" s="245"/>
      <c r="AF2285" s="245"/>
    </row>
    <row r="2286" spans="1:32" ht="26.25">
      <c r="A2286" s="246"/>
      <c r="B2286" s="245"/>
      <c r="C2286" s="245"/>
      <c r="D2286" s="245"/>
      <c r="E2286" s="245"/>
      <c r="F2286" s="187"/>
      <c r="G2286" s="245"/>
      <c r="H2286" s="245"/>
      <c r="I2286" s="245"/>
      <c r="O2286" s="360"/>
      <c r="Q2286" s="351"/>
      <c r="S2286" s="321"/>
      <c r="T2286" s="85" ph="1"/>
      <c r="V2286" s="216"/>
      <c r="W2286" s="245"/>
      <c r="X2286" s="187"/>
      <c r="Y2286" s="245"/>
      <c r="Z2286" s="245"/>
      <c r="AA2286" s="329"/>
      <c r="AC2286" s="245"/>
      <c r="AD2286" s="245"/>
      <c r="AE2286" s="245"/>
      <c r="AF2286" s="245"/>
    </row>
    <row r="2287" spans="1:32" ht="26.25">
      <c r="A2287" s="246"/>
      <c r="B2287" s="245"/>
      <c r="C2287" s="245"/>
      <c r="D2287" s="245"/>
      <c r="E2287" s="245"/>
      <c r="F2287" s="187"/>
      <c r="G2287" s="245"/>
      <c r="H2287" s="245"/>
      <c r="I2287" s="245"/>
      <c r="O2287" s="360"/>
      <c r="Q2287" s="351"/>
      <c r="S2287" s="321"/>
      <c r="T2287" s="85" ph="1"/>
      <c r="V2287" s="216"/>
      <c r="W2287" s="245"/>
      <c r="X2287" s="187"/>
      <c r="Y2287" s="245"/>
      <c r="Z2287" s="245"/>
      <c r="AA2287" s="329"/>
      <c r="AC2287" s="245"/>
      <c r="AD2287" s="245"/>
      <c r="AE2287" s="245"/>
      <c r="AF2287" s="245"/>
    </row>
    <row r="2288" spans="1:32" ht="26.25">
      <c r="A2288" s="246"/>
      <c r="B2288" s="245"/>
      <c r="C2288" s="245"/>
      <c r="D2288" s="245"/>
      <c r="E2288" s="245"/>
      <c r="F2288" s="187"/>
      <c r="G2288" s="245"/>
      <c r="H2288" s="245"/>
      <c r="I2288" s="245"/>
      <c r="O2288" s="360"/>
      <c r="Q2288" s="351"/>
      <c r="S2288" s="321"/>
      <c r="T2288" s="85" ph="1"/>
      <c r="V2288" s="216"/>
      <c r="W2288" s="245"/>
      <c r="X2288" s="187"/>
      <c r="Y2288" s="245"/>
      <c r="Z2288" s="245"/>
      <c r="AA2288" s="329"/>
      <c r="AC2288" s="245"/>
      <c r="AD2288" s="245"/>
      <c r="AE2288" s="245"/>
      <c r="AF2288" s="245"/>
    </row>
    <row r="2289" spans="1:32" ht="26.25">
      <c r="A2289" s="246"/>
      <c r="B2289" s="245"/>
      <c r="C2289" s="245"/>
      <c r="D2289" s="245"/>
      <c r="E2289" s="245"/>
      <c r="F2289" s="187"/>
      <c r="G2289" s="245"/>
      <c r="H2289" s="245"/>
      <c r="I2289" s="245"/>
      <c r="O2289" s="360"/>
      <c r="Q2289" s="351"/>
      <c r="S2289" s="321"/>
      <c r="T2289" s="85" ph="1"/>
      <c r="V2289" s="216"/>
      <c r="W2289" s="245"/>
      <c r="X2289" s="187"/>
      <c r="Y2289" s="245"/>
      <c r="Z2289" s="245"/>
      <c r="AA2289" s="329"/>
      <c r="AC2289" s="245"/>
      <c r="AD2289" s="245"/>
      <c r="AE2289" s="245"/>
      <c r="AF2289" s="245"/>
    </row>
    <row r="2290" spans="1:32" ht="26.25">
      <c r="A2290" s="246"/>
      <c r="B2290" s="245"/>
      <c r="C2290" s="245"/>
      <c r="D2290" s="245"/>
      <c r="E2290" s="245"/>
      <c r="F2290" s="187"/>
      <c r="G2290" s="245"/>
      <c r="H2290" s="245"/>
      <c r="I2290" s="245"/>
      <c r="O2290" s="360"/>
      <c r="Q2290" s="351"/>
      <c r="S2290" s="321"/>
      <c r="T2290" s="85" ph="1"/>
      <c r="V2290" s="216"/>
      <c r="W2290" s="245"/>
      <c r="X2290" s="187"/>
      <c r="Y2290" s="245"/>
      <c r="Z2290" s="245"/>
      <c r="AA2290" s="329"/>
      <c r="AC2290" s="245"/>
      <c r="AD2290" s="245"/>
      <c r="AE2290" s="245"/>
      <c r="AF2290" s="245"/>
    </row>
    <row r="2291" spans="1:32" ht="26.25">
      <c r="A2291" s="246"/>
      <c r="B2291" s="245"/>
      <c r="C2291" s="245"/>
      <c r="D2291" s="245"/>
      <c r="E2291" s="245"/>
      <c r="F2291" s="187"/>
      <c r="G2291" s="245"/>
      <c r="H2291" s="245"/>
      <c r="I2291" s="245"/>
      <c r="O2291" s="360"/>
      <c r="Q2291" s="351"/>
      <c r="S2291" s="321"/>
      <c r="T2291" s="85" ph="1"/>
      <c r="V2291" s="216"/>
      <c r="W2291" s="245"/>
      <c r="X2291" s="187"/>
      <c r="Y2291" s="245"/>
      <c r="Z2291" s="245"/>
      <c r="AA2291" s="329"/>
      <c r="AC2291" s="245"/>
      <c r="AD2291" s="245"/>
      <c r="AE2291" s="245"/>
      <c r="AF2291" s="245"/>
    </row>
    <row r="2292" spans="1:32" ht="26.25">
      <c r="A2292" s="246"/>
      <c r="B2292" s="245"/>
      <c r="C2292" s="245"/>
      <c r="D2292" s="245"/>
      <c r="E2292" s="245"/>
      <c r="F2292" s="187"/>
      <c r="G2292" s="245"/>
      <c r="H2292" s="245"/>
      <c r="I2292" s="245"/>
      <c r="O2292" s="360"/>
      <c r="Q2292" s="351"/>
      <c r="S2292" s="321"/>
      <c r="T2292" s="85" ph="1"/>
      <c r="V2292" s="216"/>
      <c r="W2292" s="245"/>
      <c r="X2292" s="187"/>
      <c r="Y2292" s="245"/>
      <c r="Z2292" s="245"/>
      <c r="AA2292" s="329"/>
      <c r="AC2292" s="245"/>
      <c r="AD2292" s="245"/>
      <c r="AE2292" s="245"/>
      <c r="AF2292" s="245"/>
    </row>
    <row r="2293" spans="1:32" ht="26.25">
      <c r="A2293" s="246"/>
      <c r="B2293" s="245"/>
      <c r="C2293" s="245"/>
      <c r="D2293" s="245"/>
      <c r="E2293" s="245"/>
      <c r="F2293" s="187"/>
      <c r="G2293" s="245"/>
      <c r="H2293" s="245"/>
      <c r="I2293" s="245"/>
      <c r="O2293" s="360"/>
      <c r="Q2293" s="351"/>
      <c r="S2293" s="321"/>
      <c r="T2293" s="85" ph="1"/>
      <c r="V2293" s="216"/>
      <c r="W2293" s="245"/>
      <c r="X2293" s="187"/>
      <c r="Y2293" s="245"/>
      <c r="Z2293" s="245"/>
      <c r="AA2293" s="329"/>
      <c r="AC2293" s="245"/>
      <c r="AD2293" s="245"/>
      <c r="AE2293" s="245"/>
      <c r="AF2293" s="245"/>
    </row>
    <row r="2294" spans="1:32" ht="26.25">
      <c r="A2294" s="246"/>
      <c r="B2294" s="245"/>
      <c r="C2294" s="245"/>
      <c r="D2294" s="245"/>
      <c r="E2294" s="245"/>
      <c r="F2294" s="187"/>
      <c r="G2294" s="245"/>
      <c r="H2294" s="245"/>
      <c r="I2294" s="245"/>
      <c r="O2294" s="360"/>
      <c r="Q2294" s="351"/>
      <c r="S2294" s="321"/>
      <c r="T2294" s="85" ph="1"/>
      <c r="V2294" s="216"/>
      <c r="W2294" s="245"/>
      <c r="X2294" s="187"/>
      <c r="Y2294" s="245"/>
      <c r="Z2294" s="245"/>
      <c r="AA2294" s="329"/>
      <c r="AC2294" s="245"/>
      <c r="AD2294" s="245"/>
      <c r="AE2294" s="245"/>
      <c r="AF2294" s="245"/>
    </row>
    <row r="2295" spans="1:32" ht="26.25">
      <c r="A2295" s="246"/>
      <c r="B2295" s="245"/>
      <c r="C2295" s="245"/>
      <c r="D2295" s="245"/>
      <c r="E2295" s="245"/>
      <c r="F2295" s="187"/>
      <c r="G2295" s="245"/>
      <c r="H2295" s="245"/>
      <c r="I2295" s="245"/>
      <c r="O2295" s="360"/>
      <c r="Q2295" s="351"/>
      <c r="S2295" s="321"/>
      <c r="T2295" s="85" ph="1"/>
      <c r="V2295" s="216"/>
      <c r="W2295" s="245"/>
      <c r="X2295" s="187"/>
      <c r="Y2295" s="245"/>
      <c r="Z2295" s="245"/>
      <c r="AA2295" s="329"/>
      <c r="AC2295" s="245"/>
      <c r="AD2295" s="245"/>
      <c r="AE2295" s="245"/>
      <c r="AF2295" s="245"/>
    </row>
    <row r="2296" spans="1:32" ht="26.25">
      <c r="A2296" s="246"/>
      <c r="B2296" s="245"/>
      <c r="C2296" s="245"/>
      <c r="D2296" s="245"/>
      <c r="E2296" s="245"/>
      <c r="F2296" s="187"/>
      <c r="G2296" s="245"/>
      <c r="H2296" s="245"/>
      <c r="I2296" s="245"/>
      <c r="O2296" s="360"/>
      <c r="Q2296" s="351"/>
      <c r="S2296" s="321"/>
      <c r="T2296" s="85" ph="1"/>
      <c r="V2296" s="216"/>
      <c r="W2296" s="245"/>
      <c r="X2296" s="187"/>
      <c r="Y2296" s="245"/>
      <c r="Z2296" s="245"/>
      <c r="AA2296" s="329"/>
      <c r="AC2296" s="245"/>
      <c r="AD2296" s="245"/>
      <c r="AE2296" s="245"/>
      <c r="AF2296" s="245"/>
    </row>
    <row r="2297" spans="1:32" ht="26.25">
      <c r="A2297" s="246"/>
      <c r="B2297" s="245"/>
      <c r="C2297" s="245"/>
      <c r="D2297" s="245"/>
      <c r="E2297" s="245"/>
      <c r="F2297" s="187"/>
      <c r="G2297" s="245"/>
      <c r="H2297" s="245"/>
      <c r="I2297" s="245"/>
      <c r="O2297" s="360"/>
      <c r="Q2297" s="351"/>
      <c r="S2297" s="321"/>
      <c r="T2297" s="85" ph="1"/>
      <c r="V2297" s="216"/>
      <c r="W2297" s="245"/>
      <c r="X2297" s="187"/>
      <c r="Y2297" s="245"/>
      <c r="Z2297" s="245"/>
      <c r="AA2297" s="329"/>
      <c r="AC2297" s="245"/>
      <c r="AD2297" s="245"/>
      <c r="AE2297" s="245"/>
      <c r="AF2297" s="245"/>
    </row>
    <row r="2298" spans="1:32" ht="26.25">
      <c r="A2298" s="246"/>
      <c r="B2298" s="245"/>
      <c r="C2298" s="245"/>
      <c r="D2298" s="245"/>
      <c r="E2298" s="245"/>
      <c r="F2298" s="187"/>
      <c r="G2298" s="245"/>
      <c r="H2298" s="245"/>
      <c r="I2298" s="245"/>
      <c r="O2298" s="360"/>
      <c r="Q2298" s="351"/>
      <c r="S2298" s="321"/>
      <c r="T2298" s="85" ph="1"/>
      <c r="V2298" s="216"/>
      <c r="W2298" s="245"/>
      <c r="X2298" s="187"/>
      <c r="Y2298" s="245"/>
      <c r="Z2298" s="245"/>
      <c r="AA2298" s="329"/>
      <c r="AC2298" s="245"/>
      <c r="AD2298" s="245"/>
      <c r="AE2298" s="245"/>
      <c r="AF2298" s="245"/>
    </row>
    <row r="2299" spans="1:32" ht="26.25">
      <c r="A2299" s="246"/>
      <c r="B2299" s="245"/>
      <c r="C2299" s="245"/>
      <c r="D2299" s="245"/>
      <c r="E2299" s="245"/>
      <c r="F2299" s="187"/>
      <c r="G2299" s="245"/>
      <c r="H2299" s="245"/>
      <c r="I2299" s="245"/>
      <c r="O2299" s="360"/>
      <c r="Q2299" s="351"/>
      <c r="S2299" s="321"/>
      <c r="T2299" s="85" ph="1"/>
      <c r="V2299" s="216"/>
      <c r="W2299" s="245"/>
      <c r="X2299" s="187"/>
      <c r="Y2299" s="245"/>
      <c r="Z2299" s="245"/>
      <c r="AA2299" s="329"/>
      <c r="AC2299" s="245"/>
      <c r="AD2299" s="245"/>
      <c r="AE2299" s="245"/>
      <c r="AF2299" s="245"/>
    </row>
    <row r="2300" spans="1:32" ht="26.25">
      <c r="A2300" s="246"/>
      <c r="B2300" s="245"/>
      <c r="C2300" s="245"/>
      <c r="D2300" s="245"/>
      <c r="E2300" s="245"/>
      <c r="F2300" s="187"/>
      <c r="G2300" s="245"/>
      <c r="H2300" s="245"/>
      <c r="I2300" s="245"/>
      <c r="O2300" s="360"/>
      <c r="Q2300" s="351"/>
      <c r="S2300" s="321"/>
      <c r="T2300" s="85" ph="1"/>
      <c r="V2300" s="216"/>
      <c r="W2300" s="245"/>
      <c r="X2300" s="187"/>
      <c r="Y2300" s="245"/>
      <c r="Z2300" s="245"/>
      <c r="AA2300" s="329"/>
      <c r="AC2300" s="245"/>
      <c r="AD2300" s="245"/>
      <c r="AE2300" s="245"/>
      <c r="AF2300" s="245"/>
    </row>
    <row r="2301" spans="1:32" ht="26.25">
      <c r="A2301" s="246"/>
      <c r="B2301" s="245"/>
      <c r="C2301" s="245"/>
      <c r="D2301" s="245"/>
      <c r="E2301" s="245"/>
      <c r="F2301" s="187"/>
      <c r="G2301" s="245"/>
      <c r="H2301" s="245"/>
      <c r="I2301" s="245"/>
      <c r="O2301" s="360"/>
      <c r="Q2301" s="351"/>
      <c r="S2301" s="321"/>
      <c r="T2301" s="85" ph="1"/>
      <c r="V2301" s="216"/>
      <c r="W2301" s="245"/>
      <c r="X2301" s="187"/>
      <c r="Y2301" s="245"/>
      <c r="Z2301" s="245"/>
      <c r="AA2301" s="329"/>
      <c r="AC2301" s="245"/>
      <c r="AD2301" s="245"/>
      <c r="AE2301" s="245"/>
      <c r="AF2301" s="245"/>
    </row>
    <row r="2302" spans="1:32" ht="26.25">
      <c r="A2302" s="246"/>
      <c r="B2302" s="245"/>
      <c r="C2302" s="245"/>
      <c r="D2302" s="245"/>
      <c r="E2302" s="245"/>
      <c r="F2302" s="187"/>
      <c r="G2302" s="245"/>
      <c r="H2302" s="245"/>
      <c r="I2302" s="245"/>
      <c r="O2302" s="360"/>
      <c r="Q2302" s="351"/>
      <c r="S2302" s="321"/>
      <c r="T2302" s="85" ph="1"/>
      <c r="V2302" s="216"/>
      <c r="W2302" s="245"/>
      <c r="X2302" s="187"/>
      <c r="Y2302" s="245"/>
      <c r="Z2302" s="245"/>
      <c r="AA2302" s="329"/>
      <c r="AC2302" s="245"/>
      <c r="AD2302" s="245"/>
      <c r="AE2302" s="245"/>
      <c r="AF2302" s="245"/>
    </row>
    <row r="2303" spans="1:32" ht="26.25">
      <c r="A2303" s="246"/>
      <c r="B2303" s="245"/>
      <c r="C2303" s="245"/>
      <c r="D2303" s="245"/>
      <c r="E2303" s="245"/>
      <c r="F2303" s="187"/>
      <c r="G2303" s="245"/>
      <c r="H2303" s="245"/>
      <c r="I2303" s="245"/>
      <c r="O2303" s="360"/>
      <c r="Q2303" s="351"/>
      <c r="S2303" s="321"/>
      <c r="T2303" s="85" ph="1"/>
      <c r="V2303" s="216"/>
      <c r="W2303" s="245"/>
      <c r="X2303" s="187"/>
      <c r="Y2303" s="245"/>
      <c r="Z2303" s="245"/>
      <c r="AA2303" s="329"/>
      <c r="AC2303" s="245"/>
      <c r="AD2303" s="245"/>
      <c r="AE2303" s="245"/>
      <c r="AF2303" s="245"/>
    </row>
    <row r="2304" spans="1:32" ht="26.25">
      <c r="A2304" s="246"/>
      <c r="B2304" s="245"/>
      <c r="C2304" s="245"/>
      <c r="D2304" s="245"/>
      <c r="E2304" s="245"/>
      <c r="F2304" s="187"/>
      <c r="G2304" s="245"/>
      <c r="H2304" s="245"/>
      <c r="I2304" s="245"/>
      <c r="O2304" s="360"/>
      <c r="Q2304" s="351"/>
      <c r="S2304" s="321"/>
      <c r="T2304" s="85" ph="1"/>
      <c r="V2304" s="216"/>
      <c r="W2304" s="245"/>
      <c r="X2304" s="187"/>
      <c r="Y2304" s="245"/>
      <c r="Z2304" s="245"/>
      <c r="AA2304" s="329"/>
      <c r="AC2304" s="245"/>
      <c r="AD2304" s="245"/>
      <c r="AE2304" s="245"/>
      <c r="AF2304" s="245"/>
    </row>
    <row r="2305" spans="1:32" ht="26.25">
      <c r="A2305" s="246"/>
      <c r="B2305" s="245"/>
      <c r="C2305" s="245"/>
      <c r="D2305" s="245"/>
      <c r="E2305" s="245"/>
      <c r="F2305" s="187"/>
      <c r="G2305" s="245"/>
      <c r="H2305" s="245"/>
      <c r="I2305" s="245"/>
      <c r="O2305" s="360"/>
      <c r="Q2305" s="351"/>
      <c r="S2305" s="321"/>
      <c r="T2305" s="85" ph="1"/>
      <c r="V2305" s="216"/>
      <c r="W2305" s="245"/>
      <c r="X2305" s="187"/>
      <c r="Y2305" s="245"/>
      <c r="Z2305" s="245"/>
      <c r="AA2305" s="329"/>
      <c r="AC2305" s="245"/>
      <c r="AD2305" s="245"/>
      <c r="AE2305" s="245"/>
      <c r="AF2305" s="245"/>
    </row>
    <row r="2306" spans="1:32" ht="26.25">
      <c r="A2306" s="246"/>
      <c r="B2306" s="245"/>
      <c r="C2306" s="245"/>
      <c r="D2306" s="245"/>
      <c r="E2306" s="245"/>
      <c r="F2306" s="187"/>
      <c r="G2306" s="245"/>
      <c r="H2306" s="245"/>
      <c r="I2306" s="245"/>
      <c r="O2306" s="360"/>
      <c r="Q2306" s="351"/>
      <c r="S2306" s="321"/>
      <c r="T2306" s="85" ph="1"/>
      <c r="V2306" s="216"/>
      <c r="W2306" s="245"/>
      <c r="X2306" s="187"/>
      <c r="Y2306" s="245"/>
      <c r="Z2306" s="245"/>
      <c r="AA2306" s="329"/>
      <c r="AC2306" s="245"/>
      <c r="AD2306" s="245"/>
      <c r="AE2306" s="245"/>
      <c r="AF2306" s="245"/>
    </row>
    <row r="2307" spans="1:32" ht="26.25">
      <c r="A2307" s="246"/>
      <c r="B2307" s="245"/>
      <c r="C2307" s="245"/>
      <c r="D2307" s="245"/>
      <c r="E2307" s="245"/>
      <c r="F2307" s="187"/>
      <c r="G2307" s="245"/>
      <c r="H2307" s="245"/>
      <c r="I2307" s="245"/>
      <c r="O2307" s="360"/>
      <c r="Q2307" s="351"/>
      <c r="S2307" s="321"/>
      <c r="T2307" s="85" ph="1"/>
      <c r="V2307" s="216"/>
      <c r="W2307" s="245"/>
      <c r="X2307" s="187"/>
      <c r="Y2307" s="245"/>
      <c r="Z2307" s="245"/>
      <c r="AA2307" s="329"/>
      <c r="AC2307" s="245"/>
      <c r="AD2307" s="245"/>
      <c r="AE2307" s="245"/>
      <c r="AF2307" s="245"/>
    </row>
    <row r="2308" spans="1:32" ht="26.25">
      <c r="A2308" s="246"/>
      <c r="B2308" s="245"/>
      <c r="C2308" s="245"/>
      <c r="D2308" s="245"/>
      <c r="E2308" s="245"/>
      <c r="F2308" s="187"/>
      <c r="G2308" s="245"/>
      <c r="H2308" s="245"/>
      <c r="I2308" s="245"/>
      <c r="O2308" s="360"/>
      <c r="Q2308" s="351"/>
      <c r="S2308" s="321"/>
      <c r="T2308" s="85" ph="1"/>
      <c r="V2308" s="216"/>
      <c r="W2308" s="245"/>
      <c r="X2308" s="187"/>
      <c r="Y2308" s="245"/>
      <c r="Z2308" s="245"/>
      <c r="AA2308" s="329"/>
      <c r="AC2308" s="245"/>
      <c r="AD2308" s="245"/>
      <c r="AE2308" s="245"/>
      <c r="AF2308" s="245"/>
    </row>
    <row r="2309" spans="1:32" ht="26.25">
      <c r="A2309" s="246"/>
      <c r="B2309" s="245"/>
      <c r="C2309" s="245"/>
      <c r="D2309" s="245"/>
      <c r="E2309" s="245"/>
      <c r="F2309" s="187"/>
      <c r="G2309" s="245"/>
      <c r="H2309" s="245"/>
      <c r="I2309" s="245"/>
      <c r="O2309" s="360"/>
      <c r="Q2309" s="351"/>
      <c r="S2309" s="321"/>
      <c r="T2309" s="85" ph="1"/>
      <c r="V2309" s="216"/>
      <c r="W2309" s="245"/>
      <c r="X2309" s="187"/>
      <c r="Y2309" s="245"/>
      <c r="Z2309" s="245"/>
      <c r="AA2309" s="329"/>
      <c r="AC2309" s="245"/>
      <c r="AD2309" s="245"/>
      <c r="AE2309" s="245"/>
      <c r="AF2309" s="245"/>
    </row>
    <row r="2310" spans="1:32" ht="26.25">
      <c r="A2310" s="246"/>
      <c r="B2310" s="245"/>
      <c r="C2310" s="245"/>
      <c r="D2310" s="245"/>
      <c r="E2310" s="245"/>
      <c r="F2310" s="187"/>
      <c r="G2310" s="245"/>
      <c r="H2310" s="245"/>
      <c r="I2310" s="245"/>
      <c r="O2310" s="360"/>
      <c r="Q2310" s="351"/>
      <c r="S2310" s="321"/>
      <c r="T2310" s="85" ph="1"/>
      <c r="V2310" s="216"/>
      <c r="W2310" s="245"/>
      <c r="X2310" s="187"/>
      <c r="Y2310" s="245"/>
      <c r="Z2310" s="245"/>
      <c r="AA2310" s="329"/>
      <c r="AC2310" s="245"/>
      <c r="AD2310" s="245"/>
      <c r="AE2310" s="245"/>
      <c r="AF2310" s="245"/>
    </row>
    <row r="2311" spans="1:32" ht="26.25">
      <c r="A2311" s="246"/>
      <c r="B2311" s="245"/>
      <c r="C2311" s="245"/>
      <c r="D2311" s="245"/>
      <c r="E2311" s="245"/>
      <c r="F2311" s="187"/>
      <c r="G2311" s="245"/>
      <c r="H2311" s="245"/>
      <c r="I2311" s="245"/>
      <c r="O2311" s="360"/>
      <c r="Q2311" s="351"/>
      <c r="S2311" s="321"/>
      <c r="T2311" s="85" ph="1"/>
      <c r="V2311" s="216"/>
      <c r="W2311" s="245"/>
      <c r="X2311" s="187"/>
      <c r="Y2311" s="245"/>
      <c r="Z2311" s="245"/>
      <c r="AA2311" s="329"/>
      <c r="AC2311" s="245"/>
      <c r="AD2311" s="245"/>
      <c r="AE2311" s="245"/>
      <c r="AF2311" s="245"/>
    </row>
    <row r="2312" spans="1:32" ht="26.25">
      <c r="A2312" s="246"/>
      <c r="B2312" s="245"/>
      <c r="C2312" s="245"/>
      <c r="D2312" s="245"/>
      <c r="E2312" s="245"/>
      <c r="F2312" s="187"/>
      <c r="G2312" s="245"/>
      <c r="H2312" s="245"/>
      <c r="I2312" s="245"/>
      <c r="O2312" s="360"/>
      <c r="Q2312" s="351"/>
      <c r="S2312" s="321"/>
      <c r="T2312" s="85" ph="1"/>
      <c r="V2312" s="216"/>
      <c r="W2312" s="245"/>
      <c r="X2312" s="187"/>
      <c r="Y2312" s="245"/>
      <c r="Z2312" s="245"/>
      <c r="AA2312" s="329"/>
      <c r="AC2312" s="245"/>
      <c r="AD2312" s="245"/>
      <c r="AE2312" s="245"/>
      <c r="AF2312" s="245"/>
    </row>
    <row r="2313" spans="1:32" ht="26.25">
      <c r="A2313" s="246"/>
      <c r="B2313" s="245"/>
      <c r="C2313" s="245"/>
      <c r="D2313" s="245"/>
      <c r="E2313" s="245"/>
      <c r="F2313" s="187"/>
      <c r="G2313" s="245"/>
      <c r="H2313" s="245"/>
      <c r="I2313" s="245"/>
      <c r="O2313" s="360"/>
      <c r="Q2313" s="351"/>
      <c r="S2313" s="321"/>
      <c r="T2313" s="85" ph="1"/>
      <c r="V2313" s="216"/>
      <c r="W2313" s="245"/>
      <c r="X2313" s="187"/>
      <c r="Y2313" s="245"/>
      <c r="Z2313" s="245"/>
      <c r="AA2313" s="329"/>
      <c r="AC2313" s="245"/>
      <c r="AD2313" s="245"/>
      <c r="AE2313" s="245"/>
      <c r="AF2313" s="245"/>
    </row>
    <row r="2314" spans="1:32" ht="26.25">
      <c r="A2314" s="246"/>
      <c r="B2314" s="245"/>
      <c r="C2314" s="245"/>
      <c r="D2314" s="245"/>
      <c r="E2314" s="245"/>
      <c r="F2314" s="187"/>
      <c r="G2314" s="245"/>
      <c r="H2314" s="245"/>
      <c r="I2314" s="245"/>
      <c r="O2314" s="360"/>
      <c r="Q2314" s="351"/>
      <c r="S2314" s="321"/>
      <c r="T2314" s="85" ph="1"/>
      <c r="V2314" s="216"/>
      <c r="W2314" s="245"/>
      <c r="X2314" s="187"/>
      <c r="Y2314" s="245"/>
      <c r="Z2314" s="245"/>
      <c r="AA2314" s="329"/>
      <c r="AC2314" s="245"/>
      <c r="AD2314" s="245"/>
      <c r="AE2314" s="245"/>
      <c r="AF2314" s="245"/>
    </row>
    <row r="2315" spans="1:32" ht="26.25">
      <c r="A2315" s="246"/>
      <c r="B2315" s="245"/>
      <c r="C2315" s="245"/>
      <c r="D2315" s="245"/>
      <c r="E2315" s="245"/>
      <c r="F2315" s="187"/>
      <c r="G2315" s="245"/>
      <c r="H2315" s="245"/>
      <c r="I2315" s="245"/>
      <c r="O2315" s="360"/>
      <c r="Q2315" s="351"/>
      <c r="S2315" s="321"/>
      <c r="T2315" s="85" ph="1"/>
      <c r="V2315" s="216"/>
      <c r="W2315" s="245"/>
      <c r="X2315" s="187"/>
      <c r="Y2315" s="245"/>
      <c r="Z2315" s="245"/>
      <c r="AA2315" s="329"/>
      <c r="AC2315" s="245"/>
      <c r="AD2315" s="245"/>
      <c r="AE2315" s="245"/>
      <c r="AF2315" s="245"/>
    </row>
    <row r="2316" spans="1:32" ht="26.25">
      <c r="A2316" s="246"/>
      <c r="B2316" s="245"/>
      <c r="C2316" s="245"/>
      <c r="D2316" s="245"/>
      <c r="E2316" s="245"/>
      <c r="F2316" s="187"/>
      <c r="G2316" s="245"/>
      <c r="H2316" s="245"/>
      <c r="I2316" s="245"/>
      <c r="O2316" s="360"/>
      <c r="Q2316" s="351"/>
      <c r="S2316" s="321"/>
      <c r="T2316" s="85" ph="1"/>
      <c r="V2316" s="216"/>
      <c r="W2316" s="245"/>
      <c r="X2316" s="187"/>
      <c r="Y2316" s="245"/>
      <c r="Z2316" s="245"/>
      <c r="AA2316" s="329"/>
      <c r="AC2316" s="245"/>
      <c r="AD2316" s="245"/>
      <c r="AE2316" s="245"/>
      <c r="AF2316" s="245"/>
    </row>
    <row r="2317" spans="1:32" ht="26.25">
      <c r="A2317" s="246"/>
      <c r="B2317" s="245"/>
      <c r="C2317" s="245"/>
      <c r="D2317" s="245"/>
      <c r="E2317" s="245"/>
      <c r="F2317" s="187"/>
      <c r="G2317" s="245"/>
      <c r="H2317" s="245"/>
      <c r="I2317" s="245"/>
      <c r="O2317" s="360"/>
      <c r="Q2317" s="351"/>
      <c r="S2317" s="321"/>
      <c r="T2317" s="85" ph="1"/>
      <c r="V2317" s="216"/>
      <c r="W2317" s="245"/>
      <c r="X2317" s="187"/>
      <c r="Y2317" s="245"/>
      <c r="Z2317" s="245"/>
      <c r="AA2317" s="329"/>
      <c r="AC2317" s="245"/>
      <c r="AD2317" s="245"/>
      <c r="AE2317" s="245"/>
      <c r="AF2317" s="245"/>
    </row>
    <row r="2318" spans="1:32" ht="26.25">
      <c r="A2318" s="246"/>
      <c r="B2318" s="245"/>
      <c r="C2318" s="245"/>
      <c r="D2318" s="245"/>
      <c r="E2318" s="245"/>
      <c r="F2318" s="187"/>
      <c r="G2318" s="245"/>
      <c r="H2318" s="245"/>
      <c r="I2318" s="245"/>
      <c r="O2318" s="360"/>
      <c r="Q2318" s="351"/>
      <c r="S2318" s="321"/>
      <c r="T2318" s="85" ph="1"/>
      <c r="V2318" s="216"/>
      <c r="W2318" s="245"/>
      <c r="X2318" s="187"/>
      <c r="Y2318" s="245"/>
      <c r="Z2318" s="245"/>
      <c r="AA2318" s="329"/>
      <c r="AC2318" s="245"/>
      <c r="AD2318" s="245"/>
      <c r="AE2318" s="245"/>
      <c r="AF2318" s="245"/>
    </row>
    <row r="2319" spans="1:32" ht="26.25">
      <c r="A2319" s="246"/>
      <c r="B2319" s="245"/>
      <c r="C2319" s="245"/>
      <c r="D2319" s="245"/>
      <c r="E2319" s="245"/>
      <c r="F2319" s="187"/>
      <c r="G2319" s="245"/>
      <c r="H2319" s="245"/>
      <c r="I2319" s="245"/>
      <c r="O2319" s="360"/>
      <c r="Q2319" s="351"/>
      <c r="S2319" s="321"/>
      <c r="T2319" s="85" ph="1"/>
      <c r="V2319" s="216"/>
      <c r="W2319" s="245"/>
      <c r="X2319" s="187"/>
      <c r="Y2319" s="245"/>
      <c r="Z2319" s="245"/>
      <c r="AA2319" s="329"/>
      <c r="AC2319" s="245"/>
      <c r="AD2319" s="245"/>
      <c r="AE2319" s="245"/>
      <c r="AF2319" s="245"/>
    </row>
    <row r="2320" spans="1:32" ht="26.25">
      <c r="A2320" s="246"/>
      <c r="B2320" s="245"/>
      <c r="C2320" s="245"/>
      <c r="D2320" s="245"/>
      <c r="E2320" s="245"/>
      <c r="F2320" s="187"/>
      <c r="G2320" s="245"/>
      <c r="H2320" s="245"/>
      <c r="I2320" s="245"/>
      <c r="O2320" s="360"/>
      <c r="Q2320" s="351"/>
      <c r="S2320" s="321"/>
      <c r="T2320" s="85" ph="1"/>
      <c r="V2320" s="216"/>
      <c r="W2320" s="245"/>
      <c r="X2320" s="187"/>
      <c r="Y2320" s="245"/>
      <c r="Z2320" s="245"/>
      <c r="AA2320" s="329"/>
      <c r="AC2320" s="245"/>
      <c r="AD2320" s="245"/>
      <c r="AE2320" s="245"/>
      <c r="AF2320" s="245"/>
    </row>
    <row r="2321" spans="1:32" ht="26.25">
      <c r="A2321" s="246"/>
      <c r="B2321" s="245"/>
      <c r="C2321" s="245"/>
      <c r="D2321" s="245"/>
      <c r="E2321" s="245"/>
      <c r="F2321" s="187"/>
      <c r="G2321" s="245"/>
      <c r="H2321" s="245"/>
      <c r="I2321" s="245"/>
      <c r="O2321" s="360"/>
      <c r="Q2321" s="351"/>
      <c r="S2321" s="321"/>
      <c r="T2321" s="85" ph="1"/>
      <c r="V2321" s="216"/>
      <c r="W2321" s="245"/>
      <c r="X2321" s="187"/>
      <c r="Y2321" s="245"/>
      <c r="Z2321" s="245"/>
      <c r="AA2321" s="329"/>
      <c r="AC2321" s="245"/>
      <c r="AD2321" s="245"/>
      <c r="AE2321" s="245"/>
      <c r="AF2321" s="245"/>
    </row>
    <row r="2322" spans="1:32" ht="26.25">
      <c r="A2322" s="246"/>
      <c r="B2322" s="245"/>
      <c r="C2322" s="245"/>
      <c r="D2322" s="245"/>
      <c r="E2322" s="245"/>
      <c r="F2322" s="187"/>
      <c r="G2322" s="245"/>
      <c r="H2322" s="245"/>
      <c r="I2322" s="245"/>
      <c r="O2322" s="360"/>
      <c r="Q2322" s="351"/>
      <c r="S2322" s="321"/>
      <c r="T2322" s="85" ph="1"/>
      <c r="V2322" s="216"/>
      <c r="W2322" s="245"/>
      <c r="X2322" s="187"/>
      <c r="Y2322" s="245"/>
      <c r="Z2322" s="245"/>
      <c r="AA2322" s="329"/>
      <c r="AC2322" s="245"/>
      <c r="AD2322" s="245"/>
      <c r="AE2322" s="245"/>
      <c r="AF2322" s="245"/>
    </row>
    <row r="2323" spans="1:32" ht="26.25">
      <c r="A2323" s="246"/>
      <c r="B2323" s="245"/>
      <c r="C2323" s="245"/>
      <c r="D2323" s="245"/>
      <c r="E2323" s="245"/>
      <c r="F2323" s="187"/>
      <c r="G2323" s="245"/>
      <c r="H2323" s="245"/>
      <c r="I2323" s="245"/>
      <c r="O2323" s="360"/>
      <c r="Q2323" s="351"/>
      <c r="S2323" s="321"/>
      <c r="T2323" s="85" ph="1"/>
      <c r="V2323" s="216"/>
      <c r="W2323" s="245"/>
      <c r="X2323" s="187"/>
      <c r="Y2323" s="245"/>
      <c r="Z2323" s="245"/>
      <c r="AA2323" s="329"/>
      <c r="AC2323" s="245"/>
      <c r="AD2323" s="245"/>
      <c r="AE2323" s="245"/>
      <c r="AF2323" s="245"/>
    </row>
    <row r="2324" spans="1:32" ht="26.25">
      <c r="A2324" s="246"/>
      <c r="B2324" s="245"/>
      <c r="C2324" s="245"/>
      <c r="D2324" s="245"/>
      <c r="E2324" s="245"/>
      <c r="F2324" s="187"/>
      <c r="G2324" s="245"/>
      <c r="H2324" s="245"/>
      <c r="I2324" s="245"/>
      <c r="O2324" s="360"/>
      <c r="Q2324" s="351"/>
      <c r="S2324" s="321"/>
      <c r="T2324" s="85" ph="1"/>
      <c r="V2324" s="216"/>
      <c r="W2324" s="245"/>
      <c r="X2324" s="187"/>
      <c r="Y2324" s="245"/>
      <c r="Z2324" s="245"/>
      <c r="AA2324" s="329"/>
      <c r="AC2324" s="245"/>
      <c r="AD2324" s="245"/>
      <c r="AE2324" s="245"/>
      <c r="AF2324" s="245"/>
    </row>
    <row r="2325" spans="1:32" ht="26.25">
      <c r="A2325" s="246"/>
      <c r="B2325" s="245"/>
      <c r="C2325" s="245"/>
      <c r="D2325" s="245"/>
      <c r="E2325" s="245"/>
      <c r="F2325" s="187"/>
      <c r="G2325" s="245"/>
      <c r="H2325" s="245"/>
      <c r="I2325" s="245"/>
      <c r="O2325" s="360"/>
      <c r="Q2325" s="351"/>
      <c r="S2325" s="321"/>
      <c r="T2325" s="85" ph="1"/>
      <c r="V2325" s="216"/>
      <c r="W2325" s="245"/>
      <c r="X2325" s="187"/>
      <c r="Y2325" s="245"/>
      <c r="Z2325" s="245"/>
      <c r="AA2325" s="329"/>
      <c r="AC2325" s="245"/>
      <c r="AD2325" s="245"/>
      <c r="AE2325" s="245"/>
      <c r="AF2325" s="245"/>
    </row>
    <row r="2326" spans="1:32" ht="26.25">
      <c r="A2326" s="246"/>
      <c r="B2326" s="245"/>
      <c r="C2326" s="245"/>
      <c r="D2326" s="245"/>
      <c r="E2326" s="245"/>
      <c r="F2326" s="187"/>
      <c r="G2326" s="245"/>
      <c r="H2326" s="245"/>
      <c r="I2326" s="245"/>
      <c r="O2326" s="360"/>
      <c r="Q2326" s="351"/>
      <c r="S2326" s="321"/>
      <c r="T2326" s="85" ph="1"/>
      <c r="V2326" s="216"/>
      <c r="W2326" s="245"/>
      <c r="X2326" s="187"/>
      <c r="Y2326" s="245"/>
      <c r="Z2326" s="245"/>
      <c r="AA2326" s="329"/>
      <c r="AC2326" s="245"/>
      <c r="AD2326" s="245"/>
      <c r="AE2326" s="245"/>
      <c r="AF2326" s="245"/>
    </row>
    <row r="2327" spans="1:32" ht="26.25">
      <c r="A2327" s="246"/>
      <c r="B2327" s="245"/>
      <c r="C2327" s="245"/>
      <c r="D2327" s="245"/>
      <c r="E2327" s="245"/>
      <c r="F2327" s="187"/>
      <c r="G2327" s="245"/>
      <c r="H2327" s="245"/>
      <c r="I2327" s="245"/>
      <c r="O2327" s="360"/>
      <c r="Q2327" s="351"/>
      <c r="S2327" s="321"/>
      <c r="T2327" s="85" ph="1"/>
      <c r="V2327" s="216"/>
      <c r="W2327" s="245"/>
      <c r="X2327" s="187"/>
      <c r="Y2327" s="245"/>
      <c r="Z2327" s="245"/>
      <c r="AA2327" s="329"/>
      <c r="AC2327" s="245"/>
      <c r="AD2327" s="245"/>
      <c r="AE2327" s="245"/>
      <c r="AF2327" s="245"/>
    </row>
    <row r="2328" spans="1:32" ht="26.25">
      <c r="A2328" s="246"/>
      <c r="B2328" s="245"/>
      <c r="C2328" s="245"/>
      <c r="D2328" s="245"/>
      <c r="E2328" s="245"/>
      <c r="F2328" s="187"/>
      <c r="G2328" s="245"/>
      <c r="H2328" s="245"/>
      <c r="I2328" s="245"/>
      <c r="O2328" s="360"/>
      <c r="Q2328" s="351"/>
      <c r="S2328" s="321"/>
      <c r="T2328" s="85" ph="1"/>
      <c r="V2328" s="216"/>
      <c r="W2328" s="245"/>
      <c r="X2328" s="187"/>
      <c r="Y2328" s="245"/>
      <c r="Z2328" s="245"/>
      <c r="AA2328" s="329"/>
      <c r="AC2328" s="245"/>
      <c r="AD2328" s="245"/>
      <c r="AE2328" s="245"/>
      <c r="AF2328" s="245"/>
    </row>
    <row r="2329" spans="1:32" ht="26.25">
      <c r="A2329" s="246"/>
      <c r="B2329" s="245"/>
      <c r="C2329" s="245"/>
      <c r="D2329" s="245"/>
      <c r="E2329" s="245"/>
      <c r="F2329" s="187"/>
      <c r="G2329" s="245"/>
      <c r="H2329" s="245"/>
      <c r="I2329" s="245"/>
      <c r="O2329" s="360"/>
      <c r="Q2329" s="351"/>
      <c r="S2329" s="321"/>
      <c r="T2329" s="85" ph="1"/>
      <c r="V2329" s="216"/>
      <c r="W2329" s="245"/>
      <c r="X2329" s="187"/>
      <c r="Y2329" s="245"/>
      <c r="Z2329" s="245"/>
      <c r="AA2329" s="329"/>
      <c r="AC2329" s="245"/>
      <c r="AD2329" s="245"/>
      <c r="AE2329" s="245"/>
      <c r="AF2329" s="245"/>
    </row>
    <row r="2330" spans="1:32" ht="26.25">
      <c r="O2330" s="360"/>
      <c r="Q2330" s="351"/>
      <c r="T2330" s="85" ph="1"/>
    </row>
    <row r="2331" spans="1:32" ht="26.25">
      <c r="O2331" s="360"/>
      <c r="Q2331" s="351"/>
      <c r="T2331" s="85" ph="1"/>
    </row>
    <row r="2332" spans="1:32" ht="26.25">
      <c r="O2332" s="360"/>
      <c r="Q2332" s="351"/>
      <c r="T2332" s="85" ph="1"/>
    </row>
    <row r="2333" spans="1:32" ht="26.25">
      <c r="O2333" s="360"/>
      <c r="Q2333" s="351"/>
      <c r="T2333" s="85" ph="1"/>
    </row>
    <row r="2334" spans="1:32" ht="26.25">
      <c r="O2334" s="360"/>
      <c r="Q2334" s="351"/>
      <c r="T2334" s="85" ph="1"/>
    </row>
    <row r="2335" spans="1:32" ht="26.25">
      <c r="O2335" s="360"/>
      <c r="Q2335" s="351"/>
      <c r="T2335" s="85" ph="1"/>
    </row>
    <row r="2336" spans="1:32" ht="26.25">
      <c r="O2336" s="360"/>
      <c r="Q2336" s="351"/>
      <c r="T2336" s="85" ph="1"/>
    </row>
    <row r="2337" spans="15:20" ht="26.25">
      <c r="O2337" s="360"/>
      <c r="Q2337" s="351"/>
      <c r="T2337" s="85" ph="1"/>
    </row>
    <row r="2338" spans="15:20" ht="26.25">
      <c r="O2338" s="360"/>
      <c r="Q2338" s="351"/>
      <c r="T2338" s="85" ph="1"/>
    </row>
    <row r="2339" spans="15:20" ht="26.25">
      <c r="O2339" s="360"/>
      <c r="Q2339" s="351"/>
      <c r="T2339" s="85" ph="1"/>
    </row>
    <row r="2340" spans="15:20" ht="26.25">
      <c r="O2340" s="360"/>
      <c r="Q2340" s="351"/>
      <c r="T2340" s="85" ph="1"/>
    </row>
    <row r="2341" spans="15:20" ht="26.25">
      <c r="O2341" s="360"/>
      <c r="Q2341" s="351"/>
      <c r="T2341" s="85" ph="1"/>
    </row>
    <row r="2342" spans="15:20" ht="26.25">
      <c r="O2342" s="360"/>
      <c r="Q2342" s="351"/>
      <c r="T2342" s="85" ph="1"/>
    </row>
    <row r="2343" spans="15:20" ht="26.25">
      <c r="O2343" s="360"/>
      <c r="Q2343" s="351"/>
      <c r="T2343" s="85" ph="1"/>
    </row>
    <row r="2344" spans="15:20" ht="26.25">
      <c r="O2344" s="360"/>
      <c r="Q2344" s="351"/>
      <c r="T2344" s="85" ph="1"/>
    </row>
    <row r="2345" spans="15:20" ht="26.25">
      <c r="O2345" s="360"/>
      <c r="Q2345" s="351"/>
      <c r="T2345" s="85" ph="1"/>
    </row>
    <row r="2346" spans="15:20" ht="26.25">
      <c r="O2346" s="360"/>
      <c r="Q2346" s="351"/>
      <c r="T2346" s="85" ph="1"/>
    </row>
    <row r="2347" spans="15:20" ht="26.25">
      <c r="O2347" s="360"/>
      <c r="Q2347" s="351"/>
      <c r="T2347" s="85" ph="1"/>
    </row>
    <row r="2348" spans="15:20" ht="26.25">
      <c r="O2348" s="360"/>
      <c r="Q2348" s="351"/>
      <c r="T2348" s="85" ph="1"/>
    </row>
    <row r="2349" spans="15:20" ht="26.25">
      <c r="O2349" s="360"/>
      <c r="Q2349" s="351"/>
      <c r="T2349" s="85" ph="1"/>
    </row>
    <row r="2350" spans="15:20" ht="26.25">
      <c r="O2350" s="360"/>
      <c r="Q2350" s="351"/>
      <c r="T2350" s="85" ph="1"/>
    </row>
    <row r="2351" spans="15:20" ht="26.25">
      <c r="O2351" s="360"/>
      <c r="Q2351" s="351"/>
      <c r="T2351" s="85" ph="1"/>
    </row>
    <row r="2352" spans="15:20" ht="26.25">
      <c r="O2352" s="360"/>
      <c r="Q2352" s="351"/>
      <c r="T2352" s="85" ph="1"/>
    </row>
    <row r="2353" spans="15:20" ht="26.25">
      <c r="O2353" s="360"/>
      <c r="Q2353" s="351"/>
      <c r="T2353" s="85" ph="1"/>
    </row>
    <row r="2354" spans="15:20" ht="26.25">
      <c r="O2354" s="360"/>
      <c r="Q2354" s="351"/>
      <c r="T2354" s="85" ph="1"/>
    </row>
    <row r="2355" spans="15:20" ht="26.25">
      <c r="O2355" s="360"/>
      <c r="Q2355" s="351"/>
      <c r="T2355" s="85" ph="1"/>
    </row>
    <row r="2356" spans="15:20" ht="26.25">
      <c r="O2356" s="360"/>
      <c r="Q2356" s="351"/>
      <c r="T2356" s="85" ph="1"/>
    </row>
    <row r="2357" spans="15:20" ht="26.25">
      <c r="O2357" s="360"/>
      <c r="Q2357" s="351"/>
      <c r="T2357" s="85" ph="1"/>
    </row>
    <row r="2358" spans="15:20" ht="26.25">
      <c r="O2358" s="360"/>
      <c r="Q2358" s="351"/>
      <c r="T2358" s="85" ph="1"/>
    </row>
    <row r="2359" spans="15:20" ht="26.25">
      <c r="T2359" s="85" ph="1"/>
    </row>
    <row r="2360" spans="15:20" ht="26.25">
      <c r="T2360" s="85" ph="1"/>
    </row>
    <row r="2361" spans="15:20" ht="26.25">
      <c r="T2361" s="85" ph="1"/>
    </row>
    <row r="2362" spans="15:20" ht="26.25">
      <c r="T2362" s="85" ph="1"/>
    </row>
    <row r="2363" spans="15:20" ht="26.25">
      <c r="T2363" s="85" ph="1"/>
    </row>
    <row r="2364" spans="15:20" ht="26.25">
      <c r="T2364" s="85" ph="1"/>
    </row>
    <row r="2365" spans="15:20" ht="26.25">
      <c r="T2365" s="85" ph="1"/>
    </row>
    <row r="2366" spans="15:20" ht="26.25">
      <c r="T2366" s="85" ph="1"/>
    </row>
    <row r="2367" spans="15:20" ht="26.25">
      <c r="T2367" s="85" ph="1"/>
    </row>
    <row r="2368" spans="15:20" ht="26.25">
      <c r="T2368" s="85" ph="1"/>
    </row>
    <row r="2369" spans="20:20" ht="26.25">
      <c r="T2369" s="85" ph="1"/>
    </row>
    <row r="2370" spans="20:20" ht="26.25">
      <c r="T2370" s="85" ph="1"/>
    </row>
    <row r="2371" spans="20:20" ht="26.25">
      <c r="T2371" s="85" ph="1"/>
    </row>
    <row r="2372" spans="20:20" ht="26.25">
      <c r="T2372" s="85" ph="1"/>
    </row>
    <row r="2373" spans="20:20" ht="26.25">
      <c r="T2373" s="85" ph="1"/>
    </row>
    <row r="2374" spans="20:20" ht="26.25">
      <c r="T2374" s="85" ph="1"/>
    </row>
    <row r="2375" spans="20:20" ht="26.25">
      <c r="T2375" s="85" ph="1"/>
    </row>
    <row r="2376" spans="20:20" ht="26.25">
      <c r="T2376" s="85" ph="1"/>
    </row>
    <row r="2377" spans="20:20" ht="26.25">
      <c r="T2377" s="85" ph="1"/>
    </row>
    <row r="2378" spans="20:20" ht="26.25">
      <c r="T2378" s="85" ph="1"/>
    </row>
    <row r="2379" spans="20:20" ht="26.25">
      <c r="T2379" s="85" ph="1"/>
    </row>
    <row r="2380" spans="20:20" ht="26.25">
      <c r="T2380" s="85" ph="1"/>
    </row>
    <row r="2381" spans="20:20" ht="26.25">
      <c r="T2381" s="85" ph="1"/>
    </row>
    <row r="2382" spans="20:20" ht="26.25">
      <c r="T2382" s="85" ph="1"/>
    </row>
    <row r="2383" spans="20:20" ht="26.25">
      <c r="T2383" s="85" ph="1"/>
    </row>
    <row r="2384" spans="20:20" ht="26.25">
      <c r="T2384" s="85" ph="1"/>
    </row>
    <row r="2385" spans="20:20" ht="26.25">
      <c r="T2385" s="85" ph="1"/>
    </row>
    <row r="2386" spans="20:20" ht="26.25">
      <c r="T2386" s="85" ph="1"/>
    </row>
    <row r="2387" spans="20:20" ht="26.25">
      <c r="T2387" s="85" ph="1"/>
    </row>
    <row r="2388" spans="20:20" ht="26.25">
      <c r="T2388" s="85" ph="1"/>
    </row>
    <row r="2389" spans="20:20" ht="26.25">
      <c r="T2389" s="85" ph="1"/>
    </row>
    <row r="2390" spans="20:20" ht="26.25">
      <c r="T2390" s="85" ph="1"/>
    </row>
    <row r="2391" spans="20:20" ht="26.25">
      <c r="T2391" s="85" ph="1"/>
    </row>
    <row r="2392" spans="20:20" ht="26.25">
      <c r="T2392" s="85" ph="1"/>
    </row>
    <row r="2393" spans="20:20" ht="26.25">
      <c r="T2393" s="85" ph="1"/>
    </row>
    <row r="2394" spans="20:20" ht="26.25">
      <c r="T2394" s="85" ph="1"/>
    </row>
    <row r="2395" spans="20:20" ht="26.25">
      <c r="T2395" s="85" ph="1"/>
    </row>
    <row r="2396" spans="20:20" ht="26.25">
      <c r="T2396" s="85" ph="1"/>
    </row>
    <row r="2397" spans="20:20" ht="26.25">
      <c r="T2397" s="85" ph="1"/>
    </row>
    <row r="2398" spans="20:20" ht="26.25">
      <c r="T2398" s="85" ph="1"/>
    </row>
    <row r="2399" spans="20:20" ht="26.25">
      <c r="T2399" s="85" ph="1"/>
    </row>
    <row r="2400" spans="20:20" ht="26.25">
      <c r="T2400" s="85" ph="1"/>
    </row>
    <row r="2401" spans="20:20" ht="26.25">
      <c r="T2401" s="85" ph="1"/>
    </row>
    <row r="2402" spans="20:20" ht="26.25">
      <c r="T2402" s="85" ph="1"/>
    </row>
    <row r="2403" spans="20:20" ht="26.25">
      <c r="T2403" s="85" ph="1"/>
    </row>
    <row r="2404" spans="20:20" ht="26.25">
      <c r="T2404" s="85" ph="1"/>
    </row>
    <row r="2405" spans="20:20" ht="26.25">
      <c r="T2405" s="85" ph="1"/>
    </row>
    <row r="2406" spans="20:20" ht="26.25">
      <c r="T2406" s="85" ph="1"/>
    </row>
    <row r="2407" spans="20:20" ht="26.25">
      <c r="T2407" s="85" ph="1"/>
    </row>
    <row r="2408" spans="20:20" ht="26.25">
      <c r="T2408" s="85" ph="1"/>
    </row>
    <row r="2409" spans="20:20" ht="26.25">
      <c r="T2409" s="85" ph="1"/>
    </row>
    <row r="2410" spans="20:20" ht="26.25">
      <c r="T2410" s="85" ph="1"/>
    </row>
    <row r="2411" spans="20:20" ht="26.25">
      <c r="T2411" s="85" ph="1"/>
    </row>
    <row r="2412" spans="20:20" ht="26.25">
      <c r="T2412" s="85" ph="1"/>
    </row>
    <row r="2413" spans="20:20" ht="26.25">
      <c r="T2413" s="85" ph="1"/>
    </row>
    <row r="2414" spans="20:20" ht="26.25">
      <c r="T2414" s="85" ph="1"/>
    </row>
    <row r="2415" spans="20:20" ht="26.25">
      <c r="T2415" s="85" ph="1"/>
    </row>
    <row r="2416" spans="20:20" ht="26.25">
      <c r="T2416" s="85" ph="1"/>
    </row>
    <row r="2417" spans="20:20" ht="26.25">
      <c r="T2417" s="85" ph="1"/>
    </row>
    <row r="2418" spans="20:20" ht="26.25">
      <c r="T2418" s="85" ph="1"/>
    </row>
    <row r="2419" spans="20:20" ht="26.25">
      <c r="T2419" s="85" ph="1"/>
    </row>
    <row r="2420" spans="20:20" ht="26.25">
      <c r="T2420" s="85" ph="1"/>
    </row>
    <row r="2421" spans="20:20" ht="26.25">
      <c r="T2421" s="85" ph="1"/>
    </row>
    <row r="2422" spans="20:20" ht="26.25">
      <c r="T2422" s="85" ph="1"/>
    </row>
    <row r="2423" spans="20:20" ht="26.25">
      <c r="T2423" s="85" ph="1"/>
    </row>
    <row r="2424" spans="20:20" ht="26.25">
      <c r="T2424" s="85" ph="1"/>
    </row>
    <row r="2425" spans="20:20" ht="26.25">
      <c r="T2425" s="85" ph="1"/>
    </row>
    <row r="2426" spans="20:20" ht="26.25">
      <c r="T2426" s="85" ph="1"/>
    </row>
    <row r="2427" spans="20:20" ht="26.25">
      <c r="T2427" s="85" ph="1"/>
    </row>
    <row r="2428" spans="20:20" ht="26.25">
      <c r="T2428" s="85" ph="1"/>
    </row>
    <row r="2429" spans="20:20" ht="26.25">
      <c r="T2429" s="85" ph="1"/>
    </row>
    <row r="2430" spans="20:20" ht="26.25">
      <c r="T2430" s="85" ph="1"/>
    </row>
    <row r="2431" spans="20:20" ht="26.25">
      <c r="T2431" s="85" ph="1"/>
    </row>
    <row r="2432" spans="20:20" ht="26.25">
      <c r="T2432" s="85" ph="1"/>
    </row>
    <row r="2433" spans="20:20" ht="26.25">
      <c r="T2433" s="85" ph="1"/>
    </row>
    <row r="2434" spans="20:20" ht="26.25">
      <c r="T2434" s="85" ph="1"/>
    </row>
    <row r="2435" spans="20:20" ht="26.25">
      <c r="T2435" s="85" ph="1"/>
    </row>
    <row r="2436" spans="20:20" ht="26.25">
      <c r="T2436" s="85" ph="1"/>
    </row>
    <row r="2437" spans="20:20" ht="26.25">
      <c r="T2437" s="85" ph="1"/>
    </row>
    <row r="2438" spans="20:20" ht="26.25">
      <c r="T2438" s="85" ph="1"/>
    </row>
    <row r="2439" spans="20:20" ht="26.25">
      <c r="T2439" s="85" ph="1"/>
    </row>
    <row r="2440" spans="20:20" ht="26.25">
      <c r="T2440" s="85" ph="1"/>
    </row>
    <row r="2441" spans="20:20" ht="26.25">
      <c r="T2441" s="85" ph="1"/>
    </row>
    <row r="2442" spans="20:20" ht="26.25">
      <c r="T2442" s="85" ph="1"/>
    </row>
    <row r="2443" spans="20:20" ht="26.25">
      <c r="T2443" s="85" ph="1"/>
    </row>
    <row r="2444" spans="20:20" ht="26.25">
      <c r="T2444" s="85" ph="1"/>
    </row>
    <row r="2445" spans="20:20" ht="26.25">
      <c r="T2445" s="85" ph="1"/>
    </row>
    <row r="2446" spans="20:20" ht="26.25">
      <c r="T2446" s="85" ph="1"/>
    </row>
    <row r="2447" spans="20:20" ht="26.25">
      <c r="T2447" s="85" ph="1"/>
    </row>
    <row r="2448" spans="20:20" ht="26.25">
      <c r="T2448" s="85" ph="1"/>
    </row>
    <row r="2449" spans="20:20" ht="26.25">
      <c r="T2449" s="85" ph="1"/>
    </row>
    <row r="2450" spans="20:20" ht="26.25">
      <c r="T2450" s="85" ph="1"/>
    </row>
    <row r="2451" spans="20:20" ht="26.25">
      <c r="T2451" s="85" ph="1"/>
    </row>
    <row r="2452" spans="20:20" ht="26.25">
      <c r="T2452" s="85" ph="1"/>
    </row>
    <row r="2453" spans="20:20" ht="26.25">
      <c r="T2453" s="85" ph="1"/>
    </row>
    <row r="2454" spans="20:20" ht="26.25">
      <c r="T2454" s="85" ph="1"/>
    </row>
    <row r="2455" spans="20:20" ht="26.25">
      <c r="T2455" s="85" ph="1"/>
    </row>
    <row r="2456" spans="20:20" ht="26.25">
      <c r="T2456" s="85" ph="1"/>
    </row>
    <row r="2457" spans="20:20" ht="26.25">
      <c r="T2457" s="85" ph="1"/>
    </row>
    <row r="2458" spans="20:20" ht="26.25">
      <c r="T2458" s="85" ph="1"/>
    </row>
    <row r="2459" spans="20:20" ht="26.25">
      <c r="T2459" s="85" ph="1"/>
    </row>
    <row r="2460" spans="20:20" ht="26.25">
      <c r="T2460" s="85" ph="1"/>
    </row>
    <row r="2461" spans="20:20" ht="26.25">
      <c r="T2461" s="85" ph="1"/>
    </row>
    <row r="2462" spans="20:20" ht="26.25">
      <c r="T2462" s="85" ph="1"/>
    </row>
    <row r="2463" spans="20:20" ht="26.25">
      <c r="T2463" s="85" ph="1"/>
    </row>
    <row r="2464" spans="20:20" ht="26.25">
      <c r="T2464" s="85" ph="1"/>
    </row>
    <row r="2465" spans="20:20" ht="26.25">
      <c r="T2465" s="85" ph="1"/>
    </row>
    <row r="2466" spans="20:20" ht="26.25">
      <c r="T2466" s="85" ph="1"/>
    </row>
    <row r="2467" spans="20:20" ht="26.25">
      <c r="T2467" s="85" ph="1"/>
    </row>
    <row r="2468" spans="20:20" ht="26.25">
      <c r="T2468" s="85" ph="1"/>
    </row>
    <row r="2469" spans="20:20" ht="26.25">
      <c r="T2469" s="85" ph="1"/>
    </row>
    <row r="2470" spans="20:20" ht="26.25">
      <c r="T2470" s="85" ph="1"/>
    </row>
    <row r="2471" spans="20:20" ht="26.25">
      <c r="T2471" s="85" ph="1"/>
    </row>
    <row r="2472" spans="20:20" ht="26.25">
      <c r="T2472" s="85" ph="1"/>
    </row>
    <row r="2473" spans="20:20" ht="26.25">
      <c r="T2473" s="85" ph="1"/>
    </row>
    <row r="2474" spans="20:20" ht="26.25">
      <c r="T2474" s="85" ph="1"/>
    </row>
    <row r="2475" spans="20:20" ht="26.25">
      <c r="T2475" s="85" ph="1"/>
    </row>
    <row r="2476" spans="20:20" ht="26.25">
      <c r="T2476" s="85" ph="1"/>
    </row>
    <row r="2477" spans="20:20" ht="26.25">
      <c r="T2477" s="85" ph="1"/>
    </row>
    <row r="2478" spans="20:20" ht="26.25">
      <c r="T2478" s="85" ph="1"/>
    </row>
    <row r="2479" spans="20:20" ht="26.25">
      <c r="T2479" s="85" ph="1"/>
    </row>
    <row r="2480" spans="20:20" ht="26.25">
      <c r="T2480" s="85" ph="1"/>
    </row>
    <row r="2481" spans="20:20" ht="26.25">
      <c r="T2481" s="85" ph="1"/>
    </row>
    <row r="2482" spans="20:20" ht="26.25">
      <c r="T2482" s="85" ph="1"/>
    </row>
    <row r="2483" spans="20:20" ht="26.25">
      <c r="T2483" s="85" ph="1"/>
    </row>
    <row r="2484" spans="20:20" ht="26.25">
      <c r="T2484" s="85" ph="1"/>
    </row>
    <row r="2485" spans="20:20" ht="26.25">
      <c r="T2485" s="85" ph="1"/>
    </row>
    <row r="2486" spans="20:20" ht="26.25">
      <c r="T2486" s="85" ph="1"/>
    </row>
    <row r="2487" spans="20:20" ht="26.25">
      <c r="T2487" s="85" ph="1"/>
    </row>
    <row r="2488" spans="20:20" ht="26.25">
      <c r="T2488" s="85" ph="1"/>
    </row>
    <row r="2489" spans="20:20" ht="26.25">
      <c r="T2489" s="85" ph="1"/>
    </row>
    <row r="2490" spans="20:20" ht="26.25">
      <c r="T2490" s="85" ph="1"/>
    </row>
    <row r="2491" spans="20:20" ht="26.25">
      <c r="T2491" s="85" ph="1"/>
    </row>
    <row r="2492" spans="20:20" ht="26.25">
      <c r="T2492" s="85" ph="1"/>
    </row>
    <row r="2493" spans="20:20" ht="26.25">
      <c r="T2493" s="85" ph="1"/>
    </row>
    <row r="2494" spans="20:20" ht="26.25">
      <c r="T2494" s="85" ph="1"/>
    </row>
    <row r="2495" spans="20:20" ht="26.25">
      <c r="T2495" s="85" ph="1"/>
    </row>
    <row r="2496" spans="20:20" ht="26.25">
      <c r="T2496" s="85" ph="1"/>
    </row>
    <row r="2497" spans="20:20" ht="26.25">
      <c r="T2497" s="85" ph="1"/>
    </row>
    <row r="2498" spans="20:20" ht="26.25">
      <c r="T2498" s="85" ph="1"/>
    </row>
    <row r="2499" spans="20:20" ht="26.25">
      <c r="T2499" s="85" ph="1"/>
    </row>
    <row r="2500" spans="20:20" ht="26.25">
      <c r="T2500" s="85" ph="1"/>
    </row>
    <row r="2501" spans="20:20" ht="26.25">
      <c r="T2501" s="85" ph="1"/>
    </row>
    <row r="2502" spans="20:20" ht="26.25">
      <c r="T2502" s="85" ph="1"/>
    </row>
    <row r="2503" spans="20:20" ht="26.25">
      <c r="T2503" s="85" ph="1"/>
    </row>
    <row r="2504" spans="20:20" ht="26.25">
      <c r="T2504" s="85" ph="1"/>
    </row>
    <row r="2505" spans="20:20" ht="26.25">
      <c r="T2505" s="85" ph="1"/>
    </row>
    <row r="2506" spans="20:20" ht="26.25">
      <c r="T2506" s="85" ph="1"/>
    </row>
    <row r="2507" spans="20:20" ht="26.25">
      <c r="T2507" s="85" ph="1"/>
    </row>
    <row r="2508" spans="20:20" ht="26.25">
      <c r="T2508" s="85" ph="1"/>
    </row>
    <row r="2509" spans="20:20" ht="26.25">
      <c r="T2509" s="85" ph="1"/>
    </row>
    <row r="2510" spans="20:20" ht="26.25">
      <c r="T2510" s="85" ph="1"/>
    </row>
    <row r="2511" spans="20:20" ht="26.25">
      <c r="T2511" s="85" ph="1"/>
    </row>
    <row r="2512" spans="20:20" ht="26.25">
      <c r="T2512" s="85" ph="1"/>
    </row>
    <row r="2513" spans="20:20" ht="26.25">
      <c r="T2513" s="85" ph="1"/>
    </row>
    <row r="2514" spans="20:20" ht="26.25">
      <c r="T2514" s="85" ph="1"/>
    </row>
    <row r="2515" spans="20:20" ht="26.25">
      <c r="T2515" s="85" ph="1"/>
    </row>
    <row r="2516" spans="20:20" ht="26.25">
      <c r="T2516" s="85" ph="1"/>
    </row>
    <row r="2517" spans="20:20" ht="26.25">
      <c r="T2517" s="85" ph="1"/>
    </row>
    <row r="2518" spans="20:20" ht="26.25">
      <c r="T2518" s="85" ph="1"/>
    </row>
    <row r="2519" spans="20:20" ht="26.25">
      <c r="T2519" s="85" ph="1"/>
    </row>
    <row r="2520" spans="20:20" ht="26.25">
      <c r="T2520" s="85" ph="1"/>
    </row>
    <row r="2521" spans="20:20" ht="26.25">
      <c r="T2521" s="85" ph="1"/>
    </row>
    <row r="2522" spans="20:20" ht="26.25">
      <c r="T2522" s="85" ph="1"/>
    </row>
    <row r="2523" spans="20:20" ht="26.25">
      <c r="T2523" s="85" ph="1"/>
    </row>
    <row r="2524" spans="20:20" ht="26.25">
      <c r="T2524" s="85" ph="1"/>
    </row>
    <row r="2525" spans="20:20" ht="26.25">
      <c r="T2525" s="85" ph="1"/>
    </row>
    <row r="2526" spans="20:20" ht="26.25">
      <c r="T2526" s="85" ph="1"/>
    </row>
    <row r="2527" spans="20:20" ht="26.25">
      <c r="T2527" s="85" ph="1"/>
    </row>
    <row r="2528" spans="20:20" ht="26.25">
      <c r="T2528" s="85" ph="1"/>
    </row>
    <row r="2529" spans="20:20" ht="26.25">
      <c r="T2529" s="85" ph="1"/>
    </row>
    <row r="2530" spans="20:20" ht="26.25">
      <c r="T2530" s="85" ph="1"/>
    </row>
    <row r="2531" spans="20:20" ht="26.25">
      <c r="T2531" s="85" ph="1"/>
    </row>
    <row r="2532" spans="20:20" ht="26.25">
      <c r="T2532" s="85" ph="1"/>
    </row>
    <row r="2533" spans="20:20" ht="26.25">
      <c r="T2533" s="85" ph="1"/>
    </row>
    <row r="2534" spans="20:20" ht="26.25">
      <c r="T2534" s="85" ph="1"/>
    </row>
    <row r="2535" spans="20:20" ht="26.25">
      <c r="T2535" s="85" ph="1"/>
    </row>
    <row r="2536" spans="20:20" ht="26.25">
      <c r="T2536" s="85" ph="1"/>
    </row>
    <row r="2537" spans="20:20" ht="26.25">
      <c r="T2537" s="85" ph="1"/>
    </row>
    <row r="2538" spans="20:20" ht="26.25">
      <c r="T2538" s="85" ph="1"/>
    </row>
    <row r="2539" spans="20:20" ht="26.25">
      <c r="T2539" s="85" ph="1"/>
    </row>
    <row r="2540" spans="20:20" ht="26.25">
      <c r="T2540" s="85" ph="1"/>
    </row>
    <row r="2541" spans="20:20" ht="26.25">
      <c r="T2541" s="85" ph="1"/>
    </row>
    <row r="2542" spans="20:20" ht="26.25">
      <c r="T2542" s="85" ph="1"/>
    </row>
    <row r="2543" spans="20:20" ht="26.25">
      <c r="T2543" s="85" ph="1"/>
    </row>
    <row r="2544" spans="20:20" ht="26.25">
      <c r="T2544" s="85" ph="1"/>
    </row>
    <row r="2545" spans="20:20" ht="26.25">
      <c r="T2545" s="85" ph="1"/>
    </row>
    <row r="2546" spans="20:20" ht="26.25">
      <c r="T2546" s="85" ph="1"/>
    </row>
    <row r="2547" spans="20:20" ht="26.25">
      <c r="T2547" s="85" ph="1"/>
    </row>
    <row r="2548" spans="20:20" ht="26.25">
      <c r="T2548" s="85" ph="1"/>
    </row>
    <row r="2549" spans="20:20" ht="26.25">
      <c r="T2549" s="85" ph="1"/>
    </row>
    <row r="2550" spans="20:20" ht="26.25">
      <c r="T2550" s="85" ph="1"/>
    </row>
    <row r="2551" spans="20:20" ht="26.25">
      <c r="T2551" s="85" ph="1"/>
    </row>
    <row r="2552" spans="20:20" ht="26.25">
      <c r="T2552" s="85" ph="1"/>
    </row>
    <row r="2553" spans="20:20" ht="26.25">
      <c r="T2553" s="85" ph="1"/>
    </row>
    <row r="2554" spans="20:20" ht="26.25">
      <c r="T2554" s="85" ph="1"/>
    </row>
    <row r="2555" spans="20:20" ht="26.25">
      <c r="T2555" s="85" ph="1"/>
    </row>
    <row r="2556" spans="20:20" ht="26.25">
      <c r="T2556" s="85" ph="1"/>
    </row>
    <row r="2557" spans="20:20" ht="26.25">
      <c r="T2557" s="85" ph="1"/>
    </row>
    <row r="2558" spans="20:20" ht="26.25">
      <c r="T2558" s="85" ph="1"/>
    </row>
    <row r="2559" spans="20:20" ht="26.25">
      <c r="T2559" s="85" ph="1"/>
    </row>
    <row r="2560" spans="20:20" ht="26.25">
      <c r="T2560" s="85" ph="1"/>
    </row>
    <row r="2561" spans="20:20" ht="26.25">
      <c r="T2561" s="85" ph="1"/>
    </row>
    <row r="2562" spans="20:20" ht="26.25">
      <c r="T2562" s="85" ph="1"/>
    </row>
    <row r="2563" spans="20:20" ht="26.25">
      <c r="T2563" s="85" ph="1"/>
    </row>
    <row r="2564" spans="20:20" ht="26.25">
      <c r="T2564" s="85" ph="1"/>
    </row>
    <row r="2565" spans="20:20" ht="26.25">
      <c r="T2565" s="85" ph="1"/>
    </row>
    <row r="2566" spans="20:20" ht="26.25">
      <c r="T2566" s="85" ph="1"/>
    </row>
    <row r="2567" spans="20:20" ht="26.25">
      <c r="T2567" s="85" ph="1"/>
    </row>
    <row r="2568" spans="20:20" ht="26.25">
      <c r="T2568" s="85" ph="1"/>
    </row>
    <row r="2569" spans="20:20" ht="26.25">
      <c r="T2569" s="85" ph="1"/>
    </row>
    <row r="2570" spans="20:20" ht="26.25">
      <c r="T2570" s="85" ph="1"/>
    </row>
    <row r="2571" spans="20:20" ht="26.25">
      <c r="T2571" s="85" ph="1"/>
    </row>
    <row r="2572" spans="20:20" ht="26.25">
      <c r="T2572" s="85" ph="1"/>
    </row>
    <row r="2573" spans="20:20" ht="26.25">
      <c r="T2573" s="85" ph="1"/>
    </row>
    <row r="2574" spans="20:20" ht="26.25">
      <c r="T2574" s="85" ph="1"/>
    </row>
    <row r="2575" spans="20:20" ht="26.25">
      <c r="T2575" s="85" ph="1"/>
    </row>
    <row r="2576" spans="20:20" ht="26.25">
      <c r="T2576" s="85" ph="1"/>
    </row>
    <row r="2577" spans="20:20" ht="26.25">
      <c r="T2577" s="85" ph="1"/>
    </row>
    <row r="2578" spans="20:20" ht="26.25">
      <c r="T2578" s="85" ph="1"/>
    </row>
    <row r="2579" spans="20:20" ht="26.25">
      <c r="T2579" s="85" ph="1"/>
    </row>
    <row r="2580" spans="20:20" ht="26.25">
      <c r="T2580" s="85" ph="1"/>
    </row>
    <row r="2581" spans="20:20" ht="26.25">
      <c r="T2581" s="85" ph="1"/>
    </row>
    <row r="2582" spans="20:20" ht="26.25">
      <c r="T2582" s="85" ph="1"/>
    </row>
    <row r="2583" spans="20:20" ht="26.25">
      <c r="T2583" s="85" ph="1"/>
    </row>
    <row r="2584" spans="20:20" ht="26.25">
      <c r="T2584" s="85" ph="1"/>
    </row>
    <row r="2585" spans="20:20" ht="26.25">
      <c r="T2585" s="85" ph="1"/>
    </row>
    <row r="2586" spans="20:20" ht="26.25">
      <c r="T2586" s="85" ph="1"/>
    </row>
    <row r="2587" spans="20:20" ht="26.25">
      <c r="T2587" s="85" ph="1"/>
    </row>
    <row r="2588" spans="20:20" ht="26.25">
      <c r="T2588" s="85" ph="1"/>
    </row>
    <row r="2589" spans="20:20" ht="26.25">
      <c r="T2589" s="85" ph="1"/>
    </row>
    <row r="2590" spans="20:20" ht="26.25">
      <c r="T2590" s="85" ph="1"/>
    </row>
    <row r="2591" spans="20:20" ht="26.25">
      <c r="T2591" s="85" ph="1"/>
    </row>
    <row r="2592" spans="20:20" ht="26.25">
      <c r="T2592" s="85" ph="1"/>
    </row>
    <row r="2593" spans="20:20" ht="26.25">
      <c r="T2593" s="85" ph="1"/>
    </row>
    <row r="2594" spans="20:20" ht="26.25">
      <c r="T2594" s="85" ph="1"/>
    </row>
    <row r="2595" spans="20:20" ht="26.25">
      <c r="T2595" s="85" ph="1"/>
    </row>
    <row r="2596" spans="20:20" ht="26.25">
      <c r="T2596" s="85" ph="1"/>
    </row>
    <row r="2597" spans="20:20" ht="26.25">
      <c r="T2597" s="85" ph="1"/>
    </row>
    <row r="2598" spans="20:20" ht="26.25">
      <c r="T2598" s="85" ph="1"/>
    </row>
    <row r="2599" spans="20:20" ht="26.25">
      <c r="T2599" s="85" ph="1"/>
    </row>
    <row r="2600" spans="20:20" ht="26.25">
      <c r="T2600" s="85" ph="1"/>
    </row>
    <row r="2601" spans="20:20" ht="26.25">
      <c r="T2601" s="85" ph="1"/>
    </row>
    <row r="2602" spans="20:20" ht="26.25">
      <c r="T2602" s="85" ph="1"/>
    </row>
    <row r="2603" spans="20:20" ht="26.25">
      <c r="T2603" s="85" ph="1"/>
    </row>
    <row r="2604" spans="20:20" ht="26.25">
      <c r="T2604" s="85" ph="1"/>
    </row>
    <row r="2605" spans="20:20" ht="26.25">
      <c r="T2605" s="85" ph="1"/>
    </row>
    <row r="2606" spans="20:20" ht="26.25">
      <c r="T2606" s="85" ph="1"/>
    </row>
    <row r="2607" spans="20:20" ht="26.25">
      <c r="T2607" s="85" ph="1"/>
    </row>
    <row r="2608" spans="20:20" ht="26.25">
      <c r="T2608" s="85" ph="1"/>
    </row>
    <row r="2609" spans="20:20" ht="26.25">
      <c r="T2609" s="85" ph="1"/>
    </row>
    <row r="2610" spans="20:20" ht="26.25">
      <c r="T2610" s="85" ph="1"/>
    </row>
    <row r="2611" spans="20:20" ht="26.25">
      <c r="T2611" s="85" ph="1"/>
    </row>
    <row r="2612" spans="20:20" ht="26.25">
      <c r="T2612" s="85" ph="1"/>
    </row>
    <row r="2613" spans="20:20" ht="26.25">
      <c r="T2613" s="85" ph="1"/>
    </row>
    <row r="2614" spans="20:20" ht="26.25">
      <c r="T2614" s="85" ph="1"/>
    </row>
    <row r="2615" spans="20:20" ht="26.25">
      <c r="T2615" s="85" ph="1"/>
    </row>
    <row r="2616" spans="20:20" ht="26.25">
      <c r="T2616" s="85" ph="1"/>
    </row>
    <row r="2617" spans="20:20" ht="26.25">
      <c r="T2617" s="85" ph="1"/>
    </row>
    <row r="2618" spans="20:20" ht="26.25">
      <c r="T2618" s="85" ph="1"/>
    </row>
    <row r="2619" spans="20:20" ht="26.25">
      <c r="T2619" s="85" ph="1"/>
    </row>
    <row r="2620" spans="20:20" ht="26.25">
      <c r="T2620" s="85" ph="1"/>
    </row>
    <row r="2621" spans="20:20" ht="26.25">
      <c r="T2621" s="85" ph="1"/>
    </row>
    <row r="2622" spans="20:20" ht="26.25">
      <c r="T2622" s="85" ph="1"/>
    </row>
    <row r="2623" spans="20:20" ht="26.25">
      <c r="T2623" s="85" ph="1"/>
    </row>
    <row r="2624" spans="20:20" ht="26.25">
      <c r="T2624" s="85" ph="1"/>
    </row>
    <row r="2625" spans="20:20" ht="26.25">
      <c r="T2625" s="85" ph="1"/>
    </row>
    <row r="2626" spans="20:20" ht="26.25">
      <c r="T2626" s="85" ph="1"/>
    </row>
    <row r="2627" spans="20:20" ht="26.25">
      <c r="T2627" s="85" ph="1"/>
    </row>
    <row r="2628" spans="20:20" ht="26.25">
      <c r="T2628" s="85" ph="1"/>
    </row>
    <row r="2629" spans="20:20" ht="26.25">
      <c r="T2629" s="85" ph="1"/>
    </row>
    <row r="2630" spans="20:20" ht="26.25">
      <c r="T2630" s="85" ph="1"/>
    </row>
    <row r="2631" spans="20:20" ht="26.25">
      <c r="T2631" s="85" ph="1"/>
    </row>
    <row r="2632" spans="20:20" ht="26.25">
      <c r="T2632" s="85" ph="1"/>
    </row>
    <row r="2633" spans="20:20" ht="26.25">
      <c r="T2633" s="85" ph="1"/>
    </row>
    <row r="2634" spans="20:20" ht="26.25">
      <c r="T2634" s="85" ph="1"/>
    </row>
    <row r="2635" spans="20:20" ht="26.25">
      <c r="T2635" s="85" ph="1"/>
    </row>
    <row r="2636" spans="20:20" ht="26.25">
      <c r="T2636" s="85" ph="1"/>
    </row>
    <row r="2637" spans="20:20" ht="26.25">
      <c r="T2637" s="85" ph="1"/>
    </row>
    <row r="2638" spans="20:20" ht="26.25">
      <c r="T2638" s="85" ph="1"/>
    </row>
    <row r="2639" spans="20:20" ht="26.25">
      <c r="T2639" s="85" ph="1"/>
    </row>
    <row r="2640" spans="20:20" ht="26.25">
      <c r="T2640" s="85" ph="1"/>
    </row>
    <row r="2641" spans="20:20" ht="26.25">
      <c r="T2641" s="85" ph="1"/>
    </row>
    <row r="2642" spans="20:20" ht="26.25">
      <c r="T2642" s="85" ph="1"/>
    </row>
    <row r="2643" spans="20:20" ht="26.25">
      <c r="T2643" s="85" ph="1"/>
    </row>
    <row r="2644" spans="20:20" ht="26.25">
      <c r="T2644" s="85" ph="1"/>
    </row>
    <row r="2645" spans="20:20" ht="26.25">
      <c r="T2645" s="85" ph="1"/>
    </row>
    <row r="2646" spans="20:20" ht="26.25">
      <c r="T2646" s="85" ph="1"/>
    </row>
    <row r="2647" spans="20:20" ht="26.25">
      <c r="T2647" s="85" ph="1"/>
    </row>
    <row r="2648" spans="20:20" ht="26.25">
      <c r="T2648" s="85" ph="1"/>
    </row>
    <row r="2649" spans="20:20" ht="26.25">
      <c r="T2649" s="85" ph="1"/>
    </row>
    <row r="2650" spans="20:20" ht="26.25">
      <c r="T2650" s="85" ph="1"/>
    </row>
    <row r="2651" spans="20:20" ht="26.25">
      <c r="T2651" s="85" ph="1"/>
    </row>
    <row r="2652" spans="20:20" ht="26.25">
      <c r="T2652" s="85" ph="1"/>
    </row>
    <row r="2653" spans="20:20" ht="26.25">
      <c r="T2653" s="85" ph="1"/>
    </row>
    <row r="2654" spans="20:20" ht="26.25">
      <c r="T2654" s="85" ph="1"/>
    </row>
    <row r="2655" spans="20:20" ht="26.25">
      <c r="T2655" s="85" ph="1"/>
    </row>
    <row r="2656" spans="20:20" ht="26.25">
      <c r="T2656" s="85" ph="1"/>
    </row>
    <row r="2657" spans="20:20" ht="26.25">
      <c r="T2657" s="85" ph="1"/>
    </row>
    <row r="2658" spans="20:20" ht="26.25">
      <c r="T2658" s="85" ph="1"/>
    </row>
    <row r="2659" spans="20:20" ht="26.25">
      <c r="T2659" s="85" ph="1"/>
    </row>
    <row r="2660" spans="20:20" ht="26.25">
      <c r="T2660" s="85" ph="1"/>
    </row>
    <row r="2661" spans="20:20" ht="26.25">
      <c r="T2661" s="85" ph="1"/>
    </row>
    <row r="2662" spans="20:20" ht="26.25">
      <c r="T2662" s="85" ph="1"/>
    </row>
    <row r="2663" spans="20:20" ht="26.25">
      <c r="T2663" s="85" ph="1"/>
    </row>
    <row r="2664" spans="20:20" ht="26.25">
      <c r="T2664" s="85" ph="1"/>
    </row>
    <row r="2665" spans="20:20" ht="26.25">
      <c r="T2665" s="85" ph="1"/>
    </row>
    <row r="2666" spans="20:20" ht="26.25">
      <c r="T2666" s="85" ph="1"/>
    </row>
    <row r="2667" spans="20:20" ht="26.25">
      <c r="T2667" s="85" ph="1"/>
    </row>
    <row r="2668" spans="20:20" ht="26.25">
      <c r="T2668" s="85" ph="1"/>
    </row>
    <row r="2669" spans="20:20" ht="26.25">
      <c r="T2669" s="85" ph="1"/>
    </row>
    <row r="2670" spans="20:20" ht="26.25">
      <c r="T2670" s="85" ph="1"/>
    </row>
    <row r="2671" spans="20:20" ht="26.25">
      <c r="T2671" s="85" ph="1"/>
    </row>
    <row r="2672" spans="20:20" ht="26.25">
      <c r="T2672" s="85" ph="1"/>
    </row>
    <row r="2673" spans="20:20" ht="26.25">
      <c r="T2673" s="85" ph="1"/>
    </row>
    <row r="2674" spans="20:20" ht="26.25">
      <c r="T2674" s="85" ph="1"/>
    </row>
    <row r="2675" spans="20:20" ht="26.25">
      <c r="T2675" s="85" ph="1"/>
    </row>
    <row r="2676" spans="20:20" ht="26.25">
      <c r="T2676" s="85" ph="1"/>
    </row>
    <row r="2677" spans="20:20" ht="26.25">
      <c r="T2677" s="85" ph="1"/>
    </row>
    <row r="2678" spans="20:20" ht="26.25">
      <c r="T2678" s="85" ph="1"/>
    </row>
    <row r="2679" spans="20:20" ht="26.25">
      <c r="T2679" s="85" ph="1"/>
    </row>
    <row r="2680" spans="20:20" ht="26.25">
      <c r="T2680" s="85" ph="1"/>
    </row>
    <row r="2681" spans="20:20" ht="26.25">
      <c r="T2681" s="85" ph="1"/>
    </row>
    <row r="2682" spans="20:20" ht="26.25">
      <c r="T2682" s="85" ph="1"/>
    </row>
    <row r="2683" spans="20:20" ht="26.25">
      <c r="T2683" s="85" ph="1"/>
    </row>
    <row r="2684" spans="20:20" ht="26.25">
      <c r="T2684" s="85" ph="1"/>
    </row>
    <row r="2685" spans="20:20" ht="26.25">
      <c r="T2685" s="85" ph="1"/>
    </row>
    <row r="2686" spans="20:20" ht="26.25">
      <c r="T2686" s="85" ph="1"/>
    </row>
    <row r="2687" spans="20:20" ht="26.25">
      <c r="T2687" s="85" ph="1"/>
    </row>
    <row r="2688" spans="20:20" ht="26.25">
      <c r="T2688" s="85" ph="1"/>
    </row>
    <row r="2689" spans="20:20" ht="26.25">
      <c r="T2689" s="85" ph="1"/>
    </row>
    <row r="2690" spans="20:20" ht="26.25">
      <c r="T2690" s="85" ph="1"/>
    </row>
    <row r="2691" spans="20:20" ht="26.25">
      <c r="T2691" s="85" ph="1"/>
    </row>
    <row r="2692" spans="20:20" ht="26.25">
      <c r="T2692" s="85" ph="1"/>
    </row>
    <row r="2693" spans="20:20" ht="26.25">
      <c r="T2693" s="85" ph="1"/>
    </row>
    <row r="2694" spans="20:20" ht="26.25">
      <c r="T2694" s="85" ph="1"/>
    </row>
    <row r="2695" spans="20:20" ht="26.25">
      <c r="T2695" s="85" ph="1"/>
    </row>
    <row r="2696" spans="20:20" ht="26.25">
      <c r="T2696" s="85" ph="1"/>
    </row>
    <row r="2697" spans="20:20" ht="26.25">
      <c r="T2697" s="85" ph="1"/>
    </row>
    <row r="2698" spans="20:20" ht="26.25">
      <c r="T2698" s="85" ph="1"/>
    </row>
    <row r="2699" spans="20:20" ht="26.25">
      <c r="T2699" s="85" ph="1"/>
    </row>
    <row r="2700" spans="20:20" ht="26.25">
      <c r="T2700" s="85" ph="1"/>
    </row>
    <row r="2701" spans="20:20" ht="26.25">
      <c r="T2701" s="85" ph="1"/>
    </row>
    <row r="2702" spans="20:20" ht="26.25">
      <c r="T2702" s="85" ph="1"/>
    </row>
    <row r="2703" spans="20:20" ht="26.25">
      <c r="T2703" s="85" ph="1"/>
    </row>
    <row r="2704" spans="20:20" ht="26.25">
      <c r="T2704" s="85" ph="1"/>
    </row>
    <row r="2705" spans="20:20" ht="26.25">
      <c r="T2705" s="85" ph="1"/>
    </row>
    <row r="2706" spans="20:20" ht="26.25">
      <c r="T2706" s="85" ph="1"/>
    </row>
    <row r="2707" spans="20:20" ht="26.25">
      <c r="T2707" s="85" ph="1"/>
    </row>
    <row r="2708" spans="20:20" ht="26.25">
      <c r="T2708" s="85" ph="1"/>
    </row>
    <row r="2709" spans="20:20" ht="26.25">
      <c r="T2709" s="85" ph="1"/>
    </row>
    <row r="2710" spans="20:20" ht="26.25">
      <c r="T2710" s="85" ph="1"/>
    </row>
    <row r="2711" spans="20:20" ht="26.25">
      <c r="T2711" s="85" ph="1"/>
    </row>
    <row r="2712" spans="20:20" ht="26.25">
      <c r="T2712" s="85" ph="1"/>
    </row>
    <row r="2713" spans="20:20" ht="26.25">
      <c r="T2713" s="85" ph="1"/>
    </row>
    <row r="2714" spans="20:20" ht="26.25">
      <c r="T2714" s="85" ph="1"/>
    </row>
    <row r="2715" spans="20:20" ht="26.25">
      <c r="T2715" s="85" ph="1"/>
    </row>
    <row r="2716" spans="20:20" ht="26.25">
      <c r="T2716" s="85" ph="1"/>
    </row>
    <row r="2717" spans="20:20" ht="26.25">
      <c r="T2717" s="85" ph="1"/>
    </row>
    <row r="2718" spans="20:20" ht="26.25">
      <c r="T2718" s="85" ph="1"/>
    </row>
    <row r="2719" spans="20:20" ht="26.25">
      <c r="T2719" s="85" ph="1"/>
    </row>
    <row r="2720" spans="20:20" ht="26.25">
      <c r="T2720" s="85" ph="1"/>
    </row>
    <row r="2721" spans="20:20" ht="26.25">
      <c r="T2721" s="85" ph="1"/>
    </row>
    <row r="2722" spans="20:20" ht="26.25">
      <c r="T2722" s="85" ph="1"/>
    </row>
    <row r="2723" spans="20:20" ht="26.25">
      <c r="T2723" s="85" ph="1"/>
    </row>
    <row r="2724" spans="20:20" ht="26.25">
      <c r="T2724" s="85" ph="1"/>
    </row>
    <row r="2725" spans="20:20" ht="26.25">
      <c r="T2725" s="85" ph="1"/>
    </row>
    <row r="2726" spans="20:20" ht="26.25">
      <c r="T2726" s="85" ph="1"/>
    </row>
    <row r="2727" spans="20:20" ht="26.25">
      <c r="T2727" s="85" ph="1"/>
    </row>
    <row r="2728" spans="20:20" ht="26.25">
      <c r="T2728" s="85" ph="1"/>
    </row>
    <row r="2729" spans="20:20" ht="26.25">
      <c r="T2729" s="85" ph="1"/>
    </row>
    <row r="2730" spans="20:20" ht="26.25">
      <c r="T2730" s="85" ph="1"/>
    </row>
    <row r="2731" spans="20:20" ht="26.25">
      <c r="T2731" s="85" ph="1"/>
    </row>
    <row r="2732" spans="20:20" ht="26.25">
      <c r="T2732" s="85" ph="1"/>
    </row>
    <row r="2733" spans="20:20" ht="26.25">
      <c r="T2733" s="85" ph="1"/>
    </row>
    <row r="2734" spans="20:20" ht="26.25">
      <c r="T2734" s="85" ph="1"/>
    </row>
    <row r="2735" spans="20:20" ht="26.25">
      <c r="T2735" s="85" ph="1"/>
    </row>
    <row r="2736" spans="20:20" ht="26.25">
      <c r="T2736" s="85" ph="1"/>
    </row>
    <row r="2737" spans="20:20" ht="26.25">
      <c r="T2737" s="85" ph="1"/>
    </row>
    <row r="2738" spans="20:20" ht="26.25">
      <c r="T2738" s="85" ph="1"/>
    </row>
    <row r="2739" spans="20:20" ht="26.25">
      <c r="T2739" s="85" ph="1"/>
    </row>
    <row r="2740" spans="20:20" ht="26.25">
      <c r="T2740" s="85" ph="1"/>
    </row>
    <row r="2741" spans="20:20" ht="26.25">
      <c r="T2741" s="85" ph="1"/>
    </row>
    <row r="2742" spans="20:20" ht="26.25">
      <c r="T2742" s="85" ph="1"/>
    </row>
    <row r="2743" spans="20:20" ht="26.25">
      <c r="T2743" s="85" ph="1"/>
    </row>
    <row r="2744" spans="20:20" ht="26.25">
      <c r="T2744" s="85" ph="1"/>
    </row>
    <row r="2745" spans="20:20" ht="26.25">
      <c r="T2745" s="85" ph="1"/>
    </row>
    <row r="2746" spans="20:20" ht="26.25">
      <c r="T2746" s="85" ph="1"/>
    </row>
    <row r="2747" spans="20:20" ht="26.25">
      <c r="T2747" s="85" ph="1"/>
    </row>
    <row r="2748" spans="20:20" ht="26.25">
      <c r="T2748" s="85" ph="1"/>
    </row>
    <row r="2749" spans="20:20" ht="26.25">
      <c r="T2749" s="85" ph="1"/>
    </row>
    <row r="2750" spans="20:20" ht="26.25">
      <c r="T2750" s="85" ph="1"/>
    </row>
    <row r="2751" spans="20:20" ht="26.25">
      <c r="T2751" s="85" ph="1"/>
    </row>
    <row r="2752" spans="20:20" ht="26.25">
      <c r="T2752" s="85" ph="1"/>
    </row>
    <row r="2753" spans="20:20" ht="26.25">
      <c r="T2753" s="85" ph="1"/>
    </row>
    <row r="2754" spans="20:20" ht="26.25">
      <c r="T2754" s="85" ph="1"/>
    </row>
    <row r="2755" spans="20:20" ht="26.25">
      <c r="T2755" s="85" ph="1"/>
    </row>
    <row r="2756" spans="20:20" ht="26.25">
      <c r="T2756" s="85" ph="1"/>
    </row>
    <row r="2757" spans="20:20" ht="26.25">
      <c r="T2757" s="85" ph="1"/>
    </row>
    <row r="2758" spans="20:20" ht="26.25">
      <c r="T2758" s="85" ph="1"/>
    </row>
    <row r="2759" spans="20:20" ht="26.25">
      <c r="T2759" s="85" ph="1"/>
    </row>
    <row r="2760" spans="20:20" ht="26.25">
      <c r="T2760" s="85" ph="1"/>
    </row>
    <row r="2761" spans="20:20" ht="26.25">
      <c r="T2761" s="85" ph="1"/>
    </row>
    <row r="2762" spans="20:20" ht="26.25">
      <c r="T2762" s="85" ph="1"/>
    </row>
    <row r="2763" spans="20:20" ht="26.25">
      <c r="T2763" s="85" ph="1"/>
    </row>
    <row r="2764" spans="20:20" ht="26.25">
      <c r="T2764" s="85" ph="1"/>
    </row>
    <row r="2765" spans="20:20" ht="26.25">
      <c r="T2765" s="85" ph="1"/>
    </row>
    <row r="2766" spans="20:20" ht="26.25">
      <c r="T2766" s="85" ph="1"/>
    </row>
    <row r="2767" spans="20:20" ht="26.25">
      <c r="T2767" s="85" ph="1"/>
    </row>
    <row r="2768" spans="20:20" ht="26.25">
      <c r="T2768" s="85" ph="1"/>
    </row>
    <row r="2769" spans="20:20" ht="26.25">
      <c r="T2769" s="85" ph="1"/>
    </row>
    <row r="2770" spans="20:20" ht="26.25">
      <c r="T2770" s="85" ph="1"/>
    </row>
    <row r="2771" spans="20:20" ht="26.25">
      <c r="T2771" s="85" ph="1"/>
    </row>
    <row r="2772" spans="20:20" ht="26.25">
      <c r="T2772" s="85" ph="1"/>
    </row>
    <row r="2773" spans="20:20" ht="26.25">
      <c r="T2773" s="85" ph="1"/>
    </row>
    <row r="2774" spans="20:20" ht="26.25">
      <c r="T2774" s="85" ph="1"/>
    </row>
    <row r="2775" spans="20:20" ht="26.25">
      <c r="T2775" s="85" ph="1"/>
    </row>
    <row r="2776" spans="20:20" ht="26.25">
      <c r="T2776" s="85" ph="1"/>
    </row>
    <row r="2777" spans="20:20" ht="26.25">
      <c r="T2777" s="85" ph="1"/>
    </row>
    <row r="2778" spans="20:20" ht="26.25">
      <c r="T2778" s="85" ph="1"/>
    </row>
    <row r="2779" spans="20:20" ht="26.25">
      <c r="T2779" s="85" ph="1"/>
    </row>
    <row r="2780" spans="20:20" ht="26.25">
      <c r="T2780" s="85" ph="1"/>
    </row>
    <row r="2781" spans="20:20" ht="26.25">
      <c r="T2781" s="85" ph="1"/>
    </row>
    <row r="2782" spans="20:20" ht="26.25">
      <c r="T2782" s="85" ph="1"/>
    </row>
    <row r="2783" spans="20:20" ht="26.25">
      <c r="T2783" s="85" ph="1"/>
    </row>
    <row r="2784" spans="20:20" ht="26.25">
      <c r="T2784" s="85" ph="1"/>
    </row>
    <row r="2785" spans="20:20" ht="26.25">
      <c r="T2785" s="85" ph="1"/>
    </row>
    <row r="2786" spans="20:20" ht="26.25">
      <c r="T2786" s="85" ph="1"/>
    </row>
    <row r="2787" spans="20:20" ht="26.25">
      <c r="T2787" s="85" ph="1"/>
    </row>
    <row r="2788" spans="20:20" ht="26.25">
      <c r="T2788" s="85" ph="1"/>
    </row>
    <row r="2789" spans="20:20" ht="26.25">
      <c r="T2789" s="85" ph="1"/>
    </row>
    <row r="2790" spans="20:20" ht="26.25">
      <c r="T2790" s="85" ph="1"/>
    </row>
    <row r="2791" spans="20:20" ht="26.25">
      <c r="T2791" s="85" ph="1"/>
    </row>
    <row r="2792" spans="20:20" ht="26.25">
      <c r="T2792" s="85" ph="1"/>
    </row>
    <row r="2793" spans="20:20" ht="26.25">
      <c r="T2793" s="85" ph="1"/>
    </row>
    <row r="2794" spans="20:20" ht="26.25">
      <c r="T2794" s="85" ph="1"/>
    </row>
    <row r="2795" spans="20:20" ht="26.25">
      <c r="T2795" s="85" ph="1"/>
    </row>
    <row r="2796" spans="20:20" ht="26.25">
      <c r="T2796" s="85" ph="1"/>
    </row>
    <row r="2797" spans="20:20" ht="26.25">
      <c r="T2797" s="85" ph="1"/>
    </row>
    <row r="2798" spans="20:20" ht="26.25">
      <c r="T2798" s="85" ph="1"/>
    </row>
    <row r="2799" spans="20:20" ht="26.25">
      <c r="T2799" s="85" ph="1"/>
    </row>
    <row r="2800" spans="20:20" ht="26.25">
      <c r="T2800" s="85" ph="1"/>
    </row>
    <row r="2801" spans="20:20" ht="26.25">
      <c r="T2801" s="85" ph="1"/>
    </row>
    <row r="2802" spans="20:20" ht="26.25">
      <c r="T2802" s="85" ph="1"/>
    </row>
    <row r="2803" spans="20:20" ht="26.25">
      <c r="T2803" s="85" ph="1"/>
    </row>
    <row r="2804" spans="20:20" ht="26.25">
      <c r="T2804" s="85" ph="1"/>
    </row>
    <row r="2805" spans="20:20" ht="26.25">
      <c r="T2805" s="85" ph="1"/>
    </row>
    <row r="2806" spans="20:20" ht="26.25">
      <c r="T2806" s="85" ph="1"/>
    </row>
    <row r="2807" spans="20:20" ht="26.25">
      <c r="T2807" s="85" ph="1"/>
    </row>
    <row r="2808" spans="20:20" ht="26.25">
      <c r="T2808" s="85" ph="1"/>
    </row>
    <row r="2809" spans="20:20" ht="26.25">
      <c r="T2809" s="85" ph="1"/>
    </row>
    <row r="2810" spans="20:20" ht="26.25">
      <c r="T2810" s="85" ph="1"/>
    </row>
    <row r="2811" spans="20:20" ht="26.25">
      <c r="T2811" s="85" ph="1"/>
    </row>
    <row r="2812" spans="20:20" ht="26.25">
      <c r="T2812" s="85" ph="1"/>
    </row>
    <row r="2813" spans="20:20" ht="26.25">
      <c r="T2813" s="85" ph="1"/>
    </row>
    <row r="2814" spans="20:20" ht="26.25">
      <c r="T2814" s="85" ph="1"/>
    </row>
    <row r="2815" spans="20:20" ht="26.25">
      <c r="T2815" s="85" ph="1"/>
    </row>
    <row r="2816" spans="20:20" ht="26.25">
      <c r="T2816" s="85" ph="1"/>
    </row>
    <row r="2817" spans="20:20" ht="26.25">
      <c r="T2817" s="85" ph="1"/>
    </row>
    <row r="2818" spans="20:20" ht="26.25">
      <c r="T2818" s="85" ph="1"/>
    </row>
    <row r="2819" spans="20:20" ht="26.25">
      <c r="T2819" s="85" ph="1"/>
    </row>
    <row r="2820" spans="20:20" ht="26.25">
      <c r="T2820" s="85" ph="1"/>
    </row>
    <row r="2821" spans="20:20" ht="26.25">
      <c r="T2821" s="85" ph="1"/>
    </row>
    <row r="2822" spans="20:20" ht="26.25">
      <c r="T2822" s="85" ph="1"/>
    </row>
    <row r="2823" spans="20:20" ht="26.25">
      <c r="T2823" s="85" ph="1"/>
    </row>
    <row r="2824" spans="20:20" ht="26.25">
      <c r="T2824" s="85" ph="1"/>
    </row>
    <row r="2825" spans="20:20" ht="26.25">
      <c r="T2825" s="85" ph="1"/>
    </row>
    <row r="2826" spans="20:20" ht="26.25">
      <c r="T2826" s="85" ph="1"/>
    </row>
    <row r="2827" spans="20:20" ht="26.25">
      <c r="T2827" s="85" ph="1"/>
    </row>
    <row r="2828" spans="20:20" ht="26.25">
      <c r="T2828" s="85" ph="1"/>
    </row>
    <row r="2829" spans="20:20" ht="26.25">
      <c r="T2829" s="85" ph="1"/>
    </row>
    <row r="2830" spans="20:20" ht="26.25">
      <c r="T2830" s="85" ph="1"/>
    </row>
    <row r="2831" spans="20:20" ht="26.25">
      <c r="T2831" s="85" ph="1"/>
    </row>
    <row r="2832" spans="20:20" ht="26.25">
      <c r="T2832" s="85" ph="1"/>
    </row>
    <row r="2833" spans="20:20" ht="26.25">
      <c r="T2833" s="85" ph="1"/>
    </row>
    <row r="2834" spans="20:20" ht="26.25">
      <c r="T2834" s="85" ph="1"/>
    </row>
    <row r="2835" spans="20:20" ht="26.25">
      <c r="T2835" s="85" ph="1"/>
    </row>
    <row r="2836" spans="20:20" ht="26.25">
      <c r="T2836" s="85" ph="1"/>
    </row>
    <row r="2837" spans="20:20" ht="26.25">
      <c r="T2837" s="85" ph="1"/>
    </row>
    <row r="2838" spans="20:20" ht="26.25">
      <c r="T2838" s="85" ph="1"/>
    </row>
    <row r="2839" spans="20:20" ht="26.25">
      <c r="T2839" s="85" ph="1"/>
    </row>
    <row r="2840" spans="20:20" ht="26.25">
      <c r="T2840" s="85" ph="1"/>
    </row>
    <row r="2841" spans="20:20" ht="26.25">
      <c r="T2841" s="85" ph="1"/>
    </row>
    <row r="2842" spans="20:20" ht="26.25">
      <c r="T2842" s="85" ph="1"/>
    </row>
    <row r="2843" spans="20:20" ht="26.25">
      <c r="T2843" s="85" ph="1"/>
    </row>
    <row r="2844" spans="20:20" ht="26.25">
      <c r="T2844" s="85" ph="1"/>
    </row>
    <row r="2845" spans="20:20" ht="26.25">
      <c r="T2845" s="85" ph="1"/>
    </row>
    <row r="2846" spans="20:20" ht="26.25">
      <c r="T2846" s="85" ph="1"/>
    </row>
    <row r="2847" spans="20:20" ht="26.25">
      <c r="T2847" s="85" ph="1"/>
    </row>
    <row r="2848" spans="20:20" ht="26.25">
      <c r="T2848" s="85" ph="1"/>
    </row>
    <row r="2849" spans="20:20" ht="26.25">
      <c r="T2849" s="85" ph="1"/>
    </row>
    <row r="2850" spans="20:20" ht="26.25">
      <c r="T2850" s="85" ph="1"/>
    </row>
    <row r="2851" spans="20:20" ht="26.25">
      <c r="T2851" s="85" ph="1"/>
    </row>
    <row r="2852" spans="20:20" ht="26.25">
      <c r="T2852" s="85" ph="1"/>
    </row>
    <row r="2853" spans="20:20" ht="26.25">
      <c r="T2853" s="85" ph="1"/>
    </row>
    <row r="2854" spans="20:20" ht="26.25">
      <c r="T2854" s="85" ph="1"/>
    </row>
    <row r="2855" spans="20:20" ht="26.25">
      <c r="T2855" s="85" ph="1"/>
    </row>
    <row r="2856" spans="20:20" ht="26.25">
      <c r="T2856" s="85" ph="1"/>
    </row>
    <row r="2857" spans="20:20" ht="26.25">
      <c r="T2857" s="85" ph="1"/>
    </row>
    <row r="2858" spans="20:20" ht="26.25">
      <c r="T2858" s="85" ph="1"/>
    </row>
    <row r="2859" spans="20:20" ht="26.25">
      <c r="T2859" s="85" ph="1"/>
    </row>
    <row r="2860" spans="20:20" ht="26.25">
      <c r="T2860" s="85" ph="1"/>
    </row>
    <row r="2861" spans="20:20" ht="26.25">
      <c r="T2861" s="85" ph="1"/>
    </row>
    <row r="2862" spans="20:20" ht="26.25">
      <c r="T2862" s="85" ph="1"/>
    </row>
    <row r="2863" spans="20:20" ht="26.25">
      <c r="T2863" s="85" ph="1"/>
    </row>
    <row r="2864" spans="20:20" ht="26.25">
      <c r="T2864" s="85" ph="1"/>
    </row>
    <row r="2865" spans="20:20" ht="26.25">
      <c r="T2865" s="85" ph="1"/>
    </row>
    <row r="2866" spans="20:20" ht="26.25">
      <c r="T2866" s="85" ph="1"/>
    </row>
    <row r="2867" spans="20:20" ht="26.25">
      <c r="T2867" s="85" ph="1"/>
    </row>
    <row r="2868" spans="20:20" ht="26.25">
      <c r="T2868" s="85" ph="1"/>
    </row>
    <row r="2869" spans="20:20" ht="26.25">
      <c r="T2869" s="85" ph="1"/>
    </row>
    <row r="2870" spans="20:20" ht="26.25">
      <c r="T2870" s="85" ph="1"/>
    </row>
    <row r="2871" spans="20:20" ht="26.25">
      <c r="T2871" s="85" ph="1"/>
    </row>
    <row r="2872" spans="20:20" ht="26.25">
      <c r="T2872" s="85" ph="1"/>
    </row>
    <row r="2873" spans="20:20" ht="26.25">
      <c r="T2873" s="85" ph="1"/>
    </row>
    <row r="2874" spans="20:20" ht="26.25">
      <c r="T2874" s="85" ph="1"/>
    </row>
    <row r="2875" spans="20:20" ht="26.25">
      <c r="T2875" s="85" ph="1"/>
    </row>
    <row r="2876" spans="20:20" ht="26.25">
      <c r="T2876" s="85" ph="1"/>
    </row>
    <row r="2877" spans="20:20" ht="26.25">
      <c r="T2877" s="85" ph="1"/>
    </row>
    <row r="2878" spans="20:20" ht="26.25">
      <c r="T2878" s="85" ph="1"/>
    </row>
    <row r="2879" spans="20:20" ht="26.25">
      <c r="T2879" s="85" ph="1"/>
    </row>
    <row r="2880" spans="20:20" ht="26.25">
      <c r="T2880" s="85" ph="1"/>
    </row>
    <row r="2881" spans="20:20" ht="26.25">
      <c r="T2881" s="85" ph="1"/>
    </row>
    <row r="2882" spans="20:20" ht="26.25">
      <c r="T2882" s="85" ph="1"/>
    </row>
    <row r="2883" spans="20:20" ht="26.25">
      <c r="T2883" s="85" ph="1"/>
    </row>
    <row r="2884" spans="20:20" ht="26.25">
      <c r="T2884" s="85" ph="1"/>
    </row>
    <row r="2885" spans="20:20" ht="26.25">
      <c r="T2885" s="85" ph="1"/>
    </row>
    <row r="2886" spans="20:20" ht="26.25">
      <c r="T2886" s="85" ph="1"/>
    </row>
    <row r="2887" spans="20:20" ht="26.25">
      <c r="T2887" s="85" ph="1"/>
    </row>
    <row r="2888" spans="20:20" ht="26.25">
      <c r="T2888" s="85" ph="1"/>
    </row>
    <row r="2889" spans="20:20" ht="26.25">
      <c r="T2889" s="85" ph="1"/>
    </row>
    <row r="2890" spans="20:20" ht="26.25">
      <c r="T2890" s="85" ph="1"/>
    </row>
    <row r="2891" spans="20:20" ht="26.25">
      <c r="T2891" s="85" ph="1"/>
    </row>
    <row r="2892" spans="20:20" ht="26.25">
      <c r="T2892" s="85" ph="1"/>
    </row>
    <row r="2893" spans="20:20" ht="26.25">
      <c r="T2893" s="85" ph="1"/>
    </row>
    <row r="2894" spans="20:20" ht="26.25">
      <c r="T2894" s="85" ph="1"/>
    </row>
    <row r="2895" spans="20:20" ht="26.25">
      <c r="T2895" s="85" ph="1"/>
    </row>
    <row r="2896" spans="20:20" ht="26.25">
      <c r="T2896" s="85" ph="1"/>
    </row>
    <row r="2897" spans="20:20" ht="26.25">
      <c r="T2897" s="85" ph="1"/>
    </row>
    <row r="2898" spans="20:20" ht="26.25">
      <c r="T2898" s="85" ph="1"/>
    </row>
    <row r="2899" spans="20:20" ht="26.25">
      <c r="T2899" s="85" ph="1"/>
    </row>
    <row r="2900" spans="20:20" ht="26.25">
      <c r="T2900" s="85" ph="1"/>
    </row>
    <row r="2901" spans="20:20" ht="26.25">
      <c r="T2901" s="85" ph="1"/>
    </row>
    <row r="2902" spans="20:20" ht="26.25">
      <c r="T2902" s="85" ph="1"/>
    </row>
    <row r="2903" spans="20:20" ht="26.25">
      <c r="T2903" s="85" ph="1"/>
    </row>
    <row r="2904" spans="20:20" ht="26.25">
      <c r="T2904" s="85" ph="1"/>
    </row>
    <row r="2905" spans="20:20" ht="26.25">
      <c r="T2905" s="85" ph="1"/>
    </row>
    <row r="2906" spans="20:20" ht="26.25">
      <c r="T2906" s="85" ph="1"/>
    </row>
    <row r="2907" spans="20:20" ht="26.25">
      <c r="T2907" s="85" ph="1"/>
    </row>
    <row r="2908" spans="20:20" ht="26.25">
      <c r="T2908" s="85" ph="1"/>
    </row>
    <row r="2909" spans="20:20" ht="26.25">
      <c r="T2909" s="85" ph="1"/>
    </row>
    <row r="2910" spans="20:20" ht="26.25">
      <c r="T2910" s="85" ph="1"/>
    </row>
    <row r="2911" spans="20:20" ht="26.25">
      <c r="T2911" s="85" ph="1"/>
    </row>
    <row r="2912" spans="20:20" ht="26.25">
      <c r="T2912" s="85" ph="1"/>
    </row>
    <row r="2913" spans="20:20" ht="26.25">
      <c r="T2913" s="85" ph="1"/>
    </row>
    <row r="2914" spans="20:20" ht="26.25">
      <c r="T2914" s="85" ph="1"/>
    </row>
    <row r="2915" spans="20:20" ht="26.25">
      <c r="T2915" s="85" ph="1"/>
    </row>
    <row r="2916" spans="20:20" ht="26.25">
      <c r="T2916" s="85" ph="1"/>
    </row>
    <row r="2917" spans="20:20" ht="26.25">
      <c r="T2917" s="85" ph="1"/>
    </row>
    <row r="2918" spans="20:20" ht="26.25">
      <c r="T2918" s="85" ph="1"/>
    </row>
    <row r="2919" spans="20:20" ht="26.25">
      <c r="T2919" s="85" ph="1"/>
    </row>
    <row r="2920" spans="20:20" ht="26.25">
      <c r="T2920" s="85" ph="1"/>
    </row>
    <row r="2921" spans="20:20" ht="26.25">
      <c r="T2921" s="85" ph="1"/>
    </row>
    <row r="2922" spans="20:20" ht="26.25">
      <c r="T2922" s="85" ph="1"/>
    </row>
    <row r="2923" spans="20:20" ht="26.25">
      <c r="T2923" s="85" ph="1"/>
    </row>
    <row r="2924" spans="20:20" ht="26.25">
      <c r="T2924" s="85" ph="1"/>
    </row>
    <row r="2925" spans="20:20" ht="26.25">
      <c r="T2925" s="85" ph="1"/>
    </row>
    <row r="2926" spans="20:20" ht="26.25">
      <c r="T2926" s="85" ph="1"/>
    </row>
    <row r="2927" spans="20:20" ht="26.25">
      <c r="T2927" s="85" ph="1"/>
    </row>
    <row r="2928" spans="20:20" ht="26.25">
      <c r="T2928" s="85" ph="1"/>
    </row>
    <row r="2929" spans="20:20" ht="26.25">
      <c r="T2929" s="85" ph="1"/>
    </row>
    <row r="2930" spans="20:20" ht="26.25">
      <c r="T2930" s="85" ph="1"/>
    </row>
    <row r="2931" spans="20:20" ht="26.25">
      <c r="T2931" s="85" ph="1"/>
    </row>
    <row r="2932" spans="20:20" ht="26.25">
      <c r="T2932" s="85" ph="1"/>
    </row>
    <row r="2933" spans="20:20" ht="26.25">
      <c r="T2933" s="85" ph="1"/>
    </row>
    <row r="2934" spans="20:20" ht="26.25">
      <c r="T2934" s="85" ph="1"/>
    </row>
    <row r="2935" spans="20:20" ht="26.25">
      <c r="T2935" s="85" ph="1"/>
    </row>
    <row r="2936" spans="20:20" ht="26.25">
      <c r="T2936" s="85" ph="1"/>
    </row>
    <row r="2937" spans="20:20" ht="26.25">
      <c r="T2937" s="85" ph="1"/>
    </row>
    <row r="2938" spans="20:20" ht="26.25">
      <c r="T2938" s="85" ph="1"/>
    </row>
    <row r="2939" spans="20:20" ht="26.25">
      <c r="T2939" s="85" ph="1"/>
    </row>
    <row r="2940" spans="20:20" ht="26.25">
      <c r="T2940" s="85" ph="1"/>
    </row>
    <row r="2941" spans="20:20" ht="26.25">
      <c r="T2941" s="85" ph="1"/>
    </row>
    <row r="2942" spans="20:20" ht="26.25">
      <c r="T2942" s="85" ph="1"/>
    </row>
    <row r="2943" spans="20:20" ht="26.25">
      <c r="T2943" s="85" ph="1"/>
    </row>
    <row r="2944" spans="20:20" ht="26.25">
      <c r="T2944" s="85" ph="1"/>
    </row>
    <row r="2945" spans="20:20" ht="26.25">
      <c r="T2945" s="85" ph="1"/>
    </row>
    <row r="2946" spans="20:20" ht="26.25">
      <c r="T2946" s="85" ph="1"/>
    </row>
    <row r="2947" spans="20:20" ht="26.25">
      <c r="T2947" s="85" ph="1"/>
    </row>
    <row r="2948" spans="20:20" ht="26.25">
      <c r="T2948" s="85" ph="1"/>
    </row>
    <row r="2949" spans="20:20" ht="26.25">
      <c r="T2949" s="85" ph="1"/>
    </row>
    <row r="2950" spans="20:20" ht="26.25">
      <c r="T2950" s="85" ph="1"/>
    </row>
    <row r="2951" spans="20:20" ht="26.25">
      <c r="T2951" s="85" ph="1"/>
    </row>
    <row r="2952" spans="20:20" ht="26.25">
      <c r="T2952" s="85" ph="1"/>
    </row>
    <row r="2953" spans="20:20" ht="26.25">
      <c r="T2953" s="85" ph="1"/>
    </row>
    <row r="2954" spans="20:20" ht="26.25">
      <c r="T2954" s="85" ph="1"/>
    </row>
    <row r="2955" spans="20:20" ht="26.25">
      <c r="T2955" s="85" ph="1"/>
    </row>
    <row r="2956" spans="20:20" ht="26.25">
      <c r="T2956" s="85" ph="1"/>
    </row>
    <row r="2957" spans="20:20" ht="26.25">
      <c r="T2957" s="85" ph="1"/>
    </row>
    <row r="2958" spans="20:20" ht="26.25">
      <c r="T2958" s="85" ph="1"/>
    </row>
    <row r="2959" spans="20:20" ht="26.25">
      <c r="T2959" s="85" ph="1"/>
    </row>
    <row r="2960" spans="20:20" ht="26.25">
      <c r="T2960" s="85" ph="1"/>
    </row>
    <row r="2961" spans="20:20" ht="26.25">
      <c r="T2961" s="85" ph="1"/>
    </row>
    <row r="2962" spans="20:20" ht="26.25">
      <c r="T2962" s="85" ph="1"/>
    </row>
    <row r="2963" spans="20:20" ht="26.25">
      <c r="T2963" s="85" ph="1"/>
    </row>
    <row r="2964" spans="20:20" ht="26.25">
      <c r="T2964" s="85" ph="1"/>
    </row>
    <row r="2965" spans="20:20" ht="26.25">
      <c r="T2965" s="85" ph="1"/>
    </row>
    <row r="2966" spans="20:20" ht="26.25">
      <c r="T2966" s="85" ph="1"/>
    </row>
    <row r="2967" spans="20:20" ht="26.25">
      <c r="T2967" s="85" ph="1"/>
    </row>
    <row r="2968" spans="20:20" ht="26.25">
      <c r="T2968" s="85" ph="1"/>
    </row>
    <row r="2969" spans="20:20" ht="26.25">
      <c r="T2969" s="85" ph="1"/>
    </row>
    <row r="2970" spans="20:20" ht="26.25">
      <c r="T2970" s="85" ph="1"/>
    </row>
    <row r="2971" spans="20:20" ht="26.25">
      <c r="T2971" s="85" ph="1"/>
    </row>
    <row r="2972" spans="20:20" ht="26.25">
      <c r="T2972" s="85" ph="1"/>
    </row>
    <row r="2973" spans="20:20" ht="26.25">
      <c r="T2973" s="85" ph="1"/>
    </row>
    <row r="2974" spans="20:20" ht="26.25">
      <c r="T2974" s="85" ph="1"/>
    </row>
    <row r="2975" spans="20:20" ht="26.25">
      <c r="T2975" s="85" ph="1"/>
    </row>
    <row r="2976" spans="20:20" ht="26.25">
      <c r="T2976" s="85" ph="1"/>
    </row>
    <row r="2977" spans="20:20" ht="26.25">
      <c r="T2977" s="85" ph="1"/>
    </row>
    <row r="2978" spans="20:20" ht="26.25">
      <c r="T2978" s="85" ph="1"/>
    </row>
    <row r="2979" spans="20:20" ht="26.25">
      <c r="T2979" s="85" ph="1"/>
    </row>
    <row r="2980" spans="20:20" ht="26.25">
      <c r="T2980" s="85" ph="1"/>
    </row>
    <row r="2981" spans="20:20" ht="26.25">
      <c r="T2981" s="85" ph="1"/>
    </row>
    <row r="2982" spans="20:20" ht="26.25">
      <c r="T2982" s="85" ph="1"/>
    </row>
    <row r="2983" spans="20:20" ht="26.25">
      <c r="T2983" s="85" ph="1"/>
    </row>
    <row r="2984" spans="20:20" ht="26.25">
      <c r="T2984" s="85" ph="1"/>
    </row>
    <row r="2985" spans="20:20" ht="26.25">
      <c r="T2985" s="85" ph="1"/>
    </row>
    <row r="2986" spans="20:20" ht="26.25">
      <c r="T2986" s="85" ph="1"/>
    </row>
    <row r="2987" spans="20:20" ht="26.25">
      <c r="T2987" s="85" ph="1"/>
    </row>
    <row r="2988" spans="20:20" ht="26.25">
      <c r="T2988" s="85" ph="1"/>
    </row>
    <row r="2989" spans="20:20" ht="26.25">
      <c r="T2989" s="85" ph="1"/>
    </row>
    <row r="2990" spans="20:20" ht="26.25">
      <c r="T2990" s="85" ph="1"/>
    </row>
    <row r="2991" spans="20:20" ht="26.25">
      <c r="T2991" s="85" ph="1"/>
    </row>
    <row r="2992" spans="20:20" ht="26.25">
      <c r="T2992" s="85" ph="1"/>
    </row>
    <row r="2993" spans="20:20" ht="26.25">
      <c r="T2993" s="85" ph="1"/>
    </row>
    <row r="2994" spans="20:20" ht="26.25">
      <c r="T2994" s="85" ph="1"/>
    </row>
    <row r="2995" spans="20:20" ht="26.25">
      <c r="T2995" s="85" ph="1"/>
    </row>
    <row r="2996" spans="20:20" ht="26.25">
      <c r="T2996" s="85" ph="1"/>
    </row>
    <row r="2997" spans="20:20" ht="26.25">
      <c r="T2997" s="85" ph="1"/>
    </row>
    <row r="2998" spans="20:20" ht="26.25">
      <c r="T2998" s="85" ph="1"/>
    </row>
    <row r="2999" spans="20:20" ht="26.25">
      <c r="T2999" s="85" ph="1"/>
    </row>
    <row r="3000" spans="20:20" ht="26.25">
      <c r="T3000" s="85" ph="1"/>
    </row>
    <row r="3001" spans="20:20" ht="26.25">
      <c r="T3001" s="85" ph="1"/>
    </row>
    <row r="3002" spans="20:20" ht="26.25">
      <c r="T3002" s="85" ph="1"/>
    </row>
    <row r="3003" spans="20:20" ht="26.25">
      <c r="T3003" s="85" ph="1"/>
    </row>
    <row r="3004" spans="20:20" ht="26.25">
      <c r="T3004" s="85" ph="1"/>
    </row>
    <row r="3005" spans="20:20" ht="26.25">
      <c r="T3005" s="85" ph="1"/>
    </row>
    <row r="3006" spans="20:20" ht="26.25">
      <c r="T3006" s="85" ph="1"/>
    </row>
    <row r="3007" spans="20:20" ht="26.25">
      <c r="T3007" s="85" ph="1"/>
    </row>
    <row r="3008" spans="20:20" ht="26.25">
      <c r="T3008" s="85" ph="1"/>
    </row>
    <row r="3009" spans="20:20" ht="26.25">
      <c r="T3009" s="85" ph="1"/>
    </row>
    <row r="3010" spans="20:20" ht="26.25">
      <c r="T3010" s="85" ph="1"/>
    </row>
    <row r="3011" spans="20:20" ht="26.25">
      <c r="T3011" s="85" ph="1"/>
    </row>
    <row r="3012" spans="20:20" ht="26.25">
      <c r="T3012" s="85" ph="1"/>
    </row>
    <row r="3013" spans="20:20" ht="26.25">
      <c r="T3013" s="85" ph="1"/>
    </row>
    <row r="3014" spans="20:20" ht="26.25">
      <c r="T3014" s="85" ph="1"/>
    </row>
    <row r="3015" spans="20:20" ht="26.25">
      <c r="T3015" s="85" ph="1"/>
    </row>
    <row r="3016" spans="20:20" ht="26.25">
      <c r="T3016" s="85" ph="1"/>
    </row>
    <row r="3017" spans="20:20" ht="26.25">
      <c r="T3017" s="85" ph="1"/>
    </row>
    <row r="3018" spans="20:20" ht="26.25">
      <c r="T3018" s="85" ph="1"/>
    </row>
    <row r="3019" spans="20:20" ht="26.25">
      <c r="T3019" s="85" ph="1"/>
    </row>
    <row r="3020" spans="20:20" ht="26.25">
      <c r="T3020" s="85" ph="1"/>
    </row>
    <row r="3021" spans="20:20" ht="26.25">
      <c r="T3021" s="85" ph="1"/>
    </row>
    <row r="3022" spans="20:20" ht="26.25">
      <c r="T3022" s="85" ph="1"/>
    </row>
    <row r="3023" spans="20:20" ht="26.25">
      <c r="T3023" s="85" ph="1"/>
    </row>
    <row r="3024" spans="20:20" ht="26.25">
      <c r="T3024" s="85" ph="1"/>
    </row>
    <row r="3025" spans="20:20" ht="26.25">
      <c r="T3025" s="85" ph="1"/>
    </row>
    <row r="3026" spans="20:20" ht="26.25">
      <c r="T3026" s="85" ph="1"/>
    </row>
    <row r="3027" spans="20:20" ht="26.25">
      <c r="T3027" s="85" ph="1"/>
    </row>
    <row r="3028" spans="20:20" ht="26.25">
      <c r="T3028" s="85" ph="1"/>
    </row>
    <row r="3029" spans="20:20" ht="26.25">
      <c r="T3029" s="85" ph="1"/>
    </row>
    <row r="3030" spans="20:20" ht="26.25">
      <c r="T3030" s="85" ph="1"/>
    </row>
    <row r="3031" spans="20:20" ht="26.25">
      <c r="T3031" s="85" ph="1"/>
    </row>
    <row r="3032" spans="20:20" ht="26.25">
      <c r="T3032" s="85" ph="1"/>
    </row>
    <row r="3033" spans="20:20" ht="26.25">
      <c r="T3033" s="85" ph="1"/>
    </row>
    <row r="3034" spans="20:20" ht="26.25">
      <c r="T3034" s="85" ph="1"/>
    </row>
    <row r="3035" spans="20:20" ht="26.25">
      <c r="T3035" s="85" ph="1"/>
    </row>
    <row r="3036" spans="20:20" ht="26.25">
      <c r="T3036" s="85" ph="1"/>
    </row>
    <row r="3037" spans="20:20" ht="26.25">
      <c r="T3037" s="85" ph="1"/>
    </row>
    <row r="3038" spans="20:20" ht="26.25">
      <c r="T3038" s="85" ph="1"/>
    </row>
    <row r="3039" spans="20:20" ht="26.25">
      <c r="T3039" s="85" ph="1"/>
    </row>
    <row r="3040" spans="20:20" ht="26.25">
      <c r="T3040" s="85" ph="1"/>
    </row>
    <row r="3041" spans="20:20" ht="26.25">
      <c r="T3041" s="85" ph="1"/>
    </row>
    <row r="3042" spans="20:20" ht="26.25">
      <c r="T3042" s="85" ph="1"/>
    </row>
    <row r="3043" spans="20:20" ht="26.25">
      <c r="T3043" s="85" ph="1"/>
    </row>
    <row r="3044" spans="20:20" ht="26.25">
      <c r="T3044" s="85" ph="1"/>
    </row>
    <row r="3045" spans="20:20" ht="26.25">
      <c r="T3045" s="85" ph="1"/>
    </row>
    <row r="3046" spans="20:20" ht="26.25">
      <c r="T3046" s="85" ph="1"/>
    </row>
    <row r="3047" spans="20:20" ht="26.25">
      <c r="T3047" s="85" ph="1"/>
    </row>
    <row r="3048" spans="20:20" ht="26.25">
      <c r="T3048" s="85" ph="1"/>
    </row>
    <row r="3049" spans="20:20" ht="26.25">
      <c r="T3049" s="85" ph="1"/>
    </row>
    <row r="3050" spans="20:20" ht="26.25">
      <c r="T3050" s="85" ph="1"/>
    </row>
    <row r="3051" spans="20:20" ht="26.25">
      <c r="T3051" s="85" ph="1"/>
    </row>
    <row r="3052" spans="20:20" ht="26.25">
      <c r="T3052" s="85" ph="1"/>
    </row>
    <row r="3053" spans="20:20" ht="26.25">
      <c r="T3053" s="85" ph="1"/>
    </row>
    <row r="3054" spans="20:20" ht="26.25">
      <c r="T3054" s="85" ph="1"/>
    </row>
    <row r="3055" spans="20:20" ht="26.25">
      <c r="T3055" s="85" ph="1"/>
    </row>
    <row r="3056" spans="20:20" ht="26.25">
      <c r="T3056" s="85" ph="1"/>
    </row>
    <row r="3057" spans="20:20" ht="26.25">
      <c r="T3057" s="85" ph="1"/>
    </row>
    <row r="3058" spans="20:20" ht="26.25">
      <c r="T3058" s="85" ph="1"/>
    </row>
    <row r="3059" spans="20:20" ht="26.25">
      <c r="T3059" s="85" ph="1"/>
    </row>
    <row r="3060" spans="20:20" ht="26.25">
      <c r="T3060" s="85" ph="1"/>
    </row>
    <row r="3061" spans="20:20" ht="26.25">
      <c r="T3061" s="85" ph="1"/>
    </row>
    <row r="3062" spans="20:20" ht="26.25">
      <c r="T3062" s="85" ph="1"/>
    </row>
    <row r="3063" spans="20:20" ht="26.25">
      <c r="T3063" s="85" ph="1"/>
    </row>
    <row r="3064" spans="20:20" ht="26.25">
      <c r="T3064" s="85" ph="1"/>
    </row>
    <row r="3065" spans="20:20" ht="26.25">
      <c r="T3065" s="85" ph="1"/>
    </row>
    <row r="3066" spans="20:20" ht="26.25">
      <c r="T3066" s="85" ph="1"/>
    </row>
    <row r="3067" spans="20:20" ht="26.25">
      <c r="T3067" s="85" ph="1"/>
    </row>
    <row r="3068" spans="20:20" ht="26.25">
      <c r="T3068" s="85" ph="1"/>
    </row>
    <row r="3069" spans="20:20" ht="26.25">
      <c r="T3069" s="85" ph="1"/>
    </row>
    <row r="3070" spans="20:20" ht="26.25">
      <c r="T3070" s="85" ph="1"/>
    </row>
    <row r="3071" spans="20:20" ht="26.25">
      <c r="T3071" s="85" ph="1"/>
    </row>
    <row r="3072" spans="20:20" ht="26.25">
      <c r="T3072" s="85" ph="1"/>
    </row>
    <row r="3073" spans="20:20" ht="26.25">
      <c r="T3073" s="85" ph="1"/>
    </row>
    <row r="3074" spans="20:20" ht="26.25">
      <c r="T3074" s="85" ph="1"/>
    </row>
    <row r="3075" spans="20:20" ht="26.25">
      <c r="T3075" s="85" ph="1"/>
    </row>
    <row r="3076" spans="20:20" ht="26.25">
      <c r="T3076" s="85" ph="1"/>
    </row>
    <row r="3077" spans="20:20" ht="26.25">
      <c r="T3077" s="85" ph="1"/>
    </row>
    <row r="3078" spans="20:20" ht="26.25">
      <c r="T3078" s="85" ph="1"/>
    </row>
    <row r="3079" spans="20:20" ht="26.25">
      <c r="T3079" s="85" ph="1"/>
    </row>
    <row r="3080" spans="20:20" ht="26.25">
      <c r="T3080" s="85" ph="1"/>
    </row>
    <row r="3081" spans="20:20" ht="26.25">
      <c r="T3081" s="85" ph="1"/>
    </row>
    <row r="3082" spans="20:20" ht="26.25">
      <c r="T3082" s="85" ph="1"/>
    </row>
    <row r="3083" spans="20:20" ht="26.25">
      <c r="T3083" s="85" ph="1"/>
    </row>
    <row r="3084" spans="20:20" ht="26.25">
      <c r="T3084" s="85" ph="1"/>
    </row>
    <row r="3085" spans="20:20" ht="26.25">
      <c r="T3085" s="85" ph="1"/>
    </row>
    <row r="3086" spans="20:20" ht="26.25">
      <c r="T3086" s="85" ph="1"/>
    </row>
    <row r="3087" spans="20:20" ht="26.25">
      <c r="T3087" s="85" ph="1"/>
    </row>
    <row r="3088" spans="20:20" ht="26.25">
      <c r="T3088" s="85" ph="1"/>
    </row>
    <row r="3089" spans="20:20" ht="26.25">
      <c r="T3089" s="85" ph="1"/>
    </row>
    <row r="3090" spans="20:20" ht="26.25">
      <c r="T3090" s="85" ph="1"/>
    </row>
    <row r="3091" spans="20:20" ht="26.25">
      <c r="T3091" s="85" ph="1"/>
    </row>
    <row r="3092" spans="20:20" ht="26.25">
      <c r="T3092" s="85" ph="1"/>
    </row>
    <row r="3093" spans="20:20" ht="26.25">
      <c r="T3093" s="85" ph="1"/>
    </row>
    <row r="3094" spans="20:20" ht="26.25">
      <c r="T3094" s="85" ph="1"/>
    </row>
    <row r="3095" spans="20:20" ht="26.25">
      <c r="T3095" s="85" ph="1"/>
    </row>
    <row r="3096" spans="20:20" ht="26.25">
      <c r="T3096" s="85" ph="1"/>
    </row>
    <row r="3097" spans="20:20" ht="26.25">
      <c r="T3097" s="85" ph="1"/>
    </row>
    <row r="3098" spans="20:20" ht="26.25">
      <c r="T3098" s="85" ph="1"/>
    </row>
    <row r="3099" spans="20:20" ht="26.25">
      <c r="T3099" s="85" ph="1"/>
    </row>
    <row r="3100" spans="20:20" ht="26.25">
      <c r="T3100" s="85" ph="1"/>
    </row>
    <row r="3101" spans="20:20" ht="26.25">
      <c r="T3101" s="85" ph="1"/>
    </row>
    <row r="3102" spans="20:20" ht="26.25">
      <c r="T3102" s="85" ph="1"/>
    </row>
    <row r="3103" spans="20:20" ht="26.25">
      <c r="T3103" s="85" ph="1"/>
    </row>
    <row r="3104" spans="20:20" ht="26.25">
      <c r="T3104" s="85" ph="1"/>
    </row>
    <row r="3105" spans="20:20" ht="26.25">
      <c r="T3105" s="85" ph="1"/>
    </row>
    <row r="3106" spans="20:20" ht="26.25">
      <c r="T3106" s="85" ph="1"/>
    </row>
    <row r="3107" spans="20:20" ht="26.25">
      <c r="T3107" s="85" ph="1"/>
    </row>
    <row r="3108" spans="20:20" ht="26.25">
      <c r="T3108" s="85" ph="1"/>
    </row>
    <row r="3109" spans="20:20" ht="26.25">
      <c r="T3109" s="85" ph="1"/>
    </row>
    <row r="3110" spans="20:20" ht="26.25">
      <c r="T3110" s="85" ph="1"/>
    </row>
    <row r="3111" spans="20:20" ht="26.25">
      <c r="T3111" s="85" ph="1"/>
    </row>
    <row r="3112" spans="20:20" ht="26.25">
      <c r="T3112" s="85" ph="1"/>
    </row>
    <row r="3113" spans="20:20" ht="26.25">
      <c r="T3113" s="85" ph="1"/>
    </row>
    <row r="3114" spans="20:20" ht="26.25">
      <c r="T3114" s="85" ph="1"/>
    </row>
    <row r="3115" spans="20:20" ht="26.25">
      <c r="T3115" s="85" ph="1"/>
    </row>
    <row r="3116" spans="20:20" ht="26.25">
      <c r="T3116" s="85" ph="1"/>
    </row>
    <row r="3117" spans="20:20" ht="26.25">
      <c r="T3117" s="85" ph="1"/>
    </row>
    <row r="3118" spans="20:20" ht="26.25">
      <c r="T3118" s="85" ph="1"/>
    </row>
    <row r="3119" spans="20:20" ht="26.25">
      <c r="T3119" s="85" ph="1"/>
    </row>
    <row r="3120" spans="20:20" ht="26.25">
      <c r="T3120" s="85" ph="1"/>
    </row>
    <row r="3121" spans="20:20" ht="26.25">
      <c r="T3121" s="85" ph="1"/>
    </row>
    <row r="3122" spans="20:20" ht="26.25">
      <c r="T3122" s="85" ph="1"/>
    </row>
    <row r="3123" spans="20:20" ht="26.25">
      <c r="T3123" s="85" ph="1"/>
    </row>
    <row r="3124" spans="20:20" ht="26.25">
      <c r="T3124" s="85" ph="1"/>
    </row>
    <row r="3125" spans="20:20" ht="26.25">
      <c r="T3125" s="85" ph="1"/>
    </row>
    <row r="3126" spans="20:20" ht="26.25">
      <c r="T3126" s="85" ph="1"/>
    </row>
    <row r="3127" spans="20:20" ht="26.25">
      <c r="T3127" s="85" ph="1"/>
    </row>
    <row r="3128" spans="20:20" ht="26.25">
      <c r="T3128" s="85" ph="1"/>
    </row>
    <row r="3129" spans="20:20" ht="26.25">
      <c r="T3129" s="85" ph="1"/>
    </row>
    <row r="3130" spans="20:20" ht="26.25">
      <c r="T3130" s="85" ph="1"/>
    </row>
    <row r="3131" spans="20:20" ht="26.25">
      <c r="T3131" s="85" ph="1"/>
    </row>
    <row r="3132" spans="20:20" ht="26.25">
      <c r="T3132" s="85" ph="1"/>
    </row>
    <row r="3133" spans="20:20" ht="26.25">
      <c r="T3133" s="85" ph="1"/>
    </row>
    <row r="3134" spans="20:20" ht="26.25">
      <c r="T3134" s="85" ph="1"/>
    </row>
    <row r="3135" spans="20:20" ht="26.25">
      <c r="T3135" s="85" ph="1"/>
    </row>
    <row r="3136" spans="20:20" ht="26.25">
      <c r="T3136" s="85" ph="1"/>
    </row>
    <row r="3137" spans="20:20" ht="26.25">
      <c r="T3137" s="85" ph="1"/>
    </row>
    <row r="3138" spans="20:20" ht="26.25">
      <c r="T3138" s="85" ph="1"/>
    </row>
    <row r="3139" spans="20:20" ht="26.25">
      <c r="T3139" s="85" ph="1"/>
    </row>
    <row r="3140" spans="20:20" ht="26.25">
      <c r="T3140" s="85" ph="1"/>
    </row>
    <row r="3141" spans="20:20" ht="26.25">
      <c r="T3141" s="85" ph="1"/>
    </row>
    <row r="3142" spans="20:20" ht="26.25">
      <c r="T3142" s="85" ph="1"/>
    </row>
    <row r="3143" spans="20:20" ht="26.25">
      <c r="T3143" s="85" ph="1"/>
    </row>
    <row r="3144" spans="20:20" ht="26.25">
      <c r="T3144" s="85" ph="1"/>
    </row>
    <row r="3145" spans="20:20" ht="26.25">
      <c r="T3145" s="85" ph="1"/>
    </row>
    <row r="3146" spans="20:20" ht="26.25">
      <c r="T3146" s="85" ph="1"/>
    </row>
    <row r="3147" spans="20:20" ht="26.25">
      <c r="T3147" s="85" ph="1"/>
    </row>
    <row r="3148" spans="20:20" ht="26.25">
      <c r="T3148" s="85" ph="1"/>
    </row>
    <row r="3149" spans="20:20" ht="26.25">
      <c r="T3149" s="85" ph="1"/>
    </row>
    <row r="3150" spans="20:20" ht="26.25">
      <c r="T3150" s="85" ph="1"/>
    </row>
    <row r="3151" spans="20:20" ht="26.25">
      <c r="T3151" s="85" ph="1"/>
    </row>
    <row r="3152" spans="20:20" ht="26.25">
      <c r="T3152" s="85" ph="1"/>
    </row>
    <row r="3153" spans="20:20" ht="26.25">
      <c r="T3153" s="85" ph="1"/>
    </row>
    <row r="3154" spans="20:20" ht="26.25">
      <c r="T3154" s="85" ph="1"/>
    </row>
    <row r="3155" spans="20:20" ht="26.25">
      <c r="T3155" s="85" ph="1"/>
    </row>
    <row r="3156" spans="20:20" ht="26.25">
      <c r="T3156" s="85" ph="1"/>
    </row>
    <row r="3157" spans="20:20" ht="26.25">
      <c r="T3157" s="85" ph="1"/>
    </row>
    <row r="3158" spans="20:20" ht="26.25">
      <c r="T3158" s="85" ph="1"/>
    </row>
    <row r="3159" spans="20:20" ht="26.25">
      <c r="T3159" s="85" ph="1"/>
    </row>
    <row r="3160" spans="20:20" ht="26.25">
      <c r="T3160" s="85" ph="1"/>
    </row>
    <row r="3161" spans="20:20" ht="26.25">
      <c r="T3161" s="85" ph="1"/>
    </row>
    <row r="3162" spans="20:20" ht="26.25">
      <c r="T3162" s="85" ph="1"/>
    </row>
    <row r="3163" spans="20:20" ht="26.25">
      <c r="T3163" s="85" ph="1"/>
    </row>
    <row r="3164" spans="20:20" ht="26.25">
      <c r="T3164" s="85" ph="1"/>
    </row>
    <row r="3165" spans="20:20" ht="26.25">
      <c r="T3165" s="85" ph="1"/>
    </row>
    <row r="3166" spans="20:20" ht="26.25">
      <c r="T3166" s="85" ph="1"/>
    </row>
    <row r="3167" spans="20:20" ht="26.25">
      <c r="T3167" s="85" ph="1"/>
    </row>
    <row r="3168" spans="20:20" ht="26.25">
      <c r="T3168" s="85" ph="1"/>
    </row>
    <row r="3169" spans="20:20" ht="26.25">
      <c r="T3169" s="85" ph="1"/>
    </row>
    <row r="3170" spans="20:20" ht="26.25">
      <c r="T3170" s="85" ph="1"/>
    </row>
    <row r="3171" spans="20:20" ht="26.25">
      <c r="T3171" s="85" ph="1"/>
    </row>
    <row r="3172" spans="20:20" ht="26.25">
      <c r="T3172" s="85" ph="1"/>
    </row>
    <row r="3173" spans="20:20" ht="26.25">
      <c r="T3173" s="85" ph="1"/>
    </row>
    <row r="3174" spans="20:20" ht="26.25">
      <c r="T3174" s="85" ph="1"/>
    </row>
    <row r="3175" spans="20:20" ht="26.25">
      <c r="T3175" s="85" ph="1"/>
    </row>
    <row r="3176" spans="20:20" ht="26.25">
      <c r="T3176" s="85" ph="1"/>
    </row>
    <row r="3177" spans="20:20" ht="26.25">
      <c r="T3177" s="85" ph="1"/>
    </row>
    <row r="3178" spans="20:20" ht="26.25">
      <c r="T3178" s="85" ph="1"/>
    </row>
    <row r="3179" spans="20:20" ht="26.25">
      <c r="T3179" s="85" ph="1"/>
    </row>
    <row r="3180" spans="20:20" ht="26.25">
      <c r="T3180" s="85" ph="1"/>
    </row>
    <row r="3181" spans="20:20" ht="26.25">
      <c r="T3181" s="85" ph="1"/>
    </row>
    <row r="3182" spans="20:20" ht="26.25">
      <c r="T3182" s="85" ph="1"/>
    </row>
    <row r="3183" spans="20:20" ht="26.25">
      <c r="T3183" s="85" ph="1"/>
    </row>
    <row r="3184" spans="20:20" ht="26.25">
      <c r="T3184" s="85" ph="1"/>
    </row>
    <row r="3185" spans="20:20" ht="26.25">
      <c r="T3185" s="85" ph="1"/>
    </row>
    <row r="3186" spans="20:20" ht="26.25">
      <c r="T3186" s="85" ph="1"/>
    </row>
    <row r="3187" spans="20:20" ht="26.25">
      <c r="T3187" s="85" ph="1"/>
    </row>
    <row r="3188" spans="20:20" ht="26.25">
      <c r="T3188" s="85" ph="1"/>
    </row>
    <row r="3189" spans="20:20" ht="26.25">
      <c r="T3189" s="85" ph="1"/>
    </row>
    <row r="3190" spans="20:20" ht="26.25">
      <c r="T3190" s="85" ph="1"/>
    </row>
    <row r="3191" spans="20:20" ht="26.25">
      <c r="T3191" s="85" ph="1"/>
    </row>
    <row r="3192" spans="20:20" ht="26.25">
      <c r="T3192" s="85" ph="1"/>
    </row>
    <row r="3193" spans="20:20" ht="26.25">
      <c r="T3193" s="85" ph="1"/>
    </row>
    <row r="3194" spans="20:20" ht="26.25">
      <c r="T3194" s="85" ph="1"/>
    </row>
    <row r="3195" spans="20:20" ht="26.25">
      <c r="T3195" s="85" ph="1"/>
    </row>
    <row r="3196" spans="20:20" ht="26.25">
      <c r="T3196" s="85" ph="1"/>
    </row>
    <row r="3197" spans="20:20" ht="26.25">
      <c r="T3197" s="85" ph="1"/>
    </row>
    <row r="3198" spans="20:20" ht="26.25">
      <c r="T3198" s="85" ph="1"/>
    </row>
    <row r="3199" spans="20:20" ht="26.25">
      <c r="T3199" s="85" ph="1"/>
    </row>
    <row r="3200" spans="20:20" ht="26.25">
      <c r="T3200" s="85" ph="1"/>
    </row>
    <row r="3201" spans="20:20" ht="26.25">
      <c r="T3201" s="85" ph="1"/>
    </row>
    <row r="3202" spans="20:20" ht="26.25">
      <c r="T3202" s="85" ph="1"/>
    </row>
    <row r="3203" spans="20:20" ht="26.25">
      <c r="T3203" s="85" ph="1"/>
    </row>
    <row r="3204" spans="20:20" ht="26.25">
      <c r="T3204" s="85" ph="1"/>
    </row>
    <row r="3205" spans="20:20" ht="26.25">
      <c r="T3205" s="85" ph="1"/>
    </row>
    <row r="3206" spans="20:20" ht="26.25">
      <c r="T3206" s="85" ph="1"/>
    </row>
    <row r="3207" spans="20:20" ht="26.25">
      <c r="T3207" s="85" ph="1"/>
    </row>
    <row r="3208" spans="20:20" ht="26.25">
      <c r="T3208" s="85" ph="1"/>
    </row>
    <row r="3209" spans="20:20" ht="26.25">
      <c r="T3209" s="85" ph="1"/>
    </row>
    <row r="3210" spans="20:20" ht="26.25">
      <c r="T3210" s="85" ph="1"/>
    </row>
    <row r="3211" spans="20:20" ht="26.25">
      <c r="T3211" s="85" ph="1"/>
    </row>
    <row r="3212" spans="20:20" ht="26.25">
      <c r="T3212" s="85" ph="1"/>
    </row>
    <row r="3213" spans="20:20" ht="26.25">
      <c r="T3213" s="85" ph="1"/>
    </row>
    <row r="3214" spans="20:20" ht="26.25">
      <c r="T3214" s="85" ph="1"/>
    </row>
    <row r="3215" spans="20:20" ht="26.25">
      <c r="T3215" s="85" ph="1"/>
    </row>
    <row r="3216" spans="20:20" ht="26.25">
      <c r="T3216" s="85" ph="1"/>
    </row>
    <row r="3217" spans="20:20" ht="26.25">
      <c r="T3217" s="85" ph="1"/>
    </row>
    <row r="3218" spans="20:20" ht="26.25">
      <c r="T3218" s="85" ph="1"/>
    </row>
    <row r="3219" spans="20:20" ht="26.25">
      <c r="T3219" s="85" ph="1"/>
    </row>
    <row r="3220" spans="20:20" ht="26.25">
      <c r="T3220" s="85" ph="1"/>
    </row>
    <row r="3221" spans="20:20" ht="26.25">
      <c r="T3221" s="85" ph="1"/>
    </row>
    <row r="3222" spans="20:20" ht="26.25">
      <c r="T3222" s="85" ph="1"/>
    </row>
    <row r="3223" spans="20:20" ht="26.25">
      <c r="T3223" s="85" ph="1"/>
    </row>
    <row r="3224" spans="20:20" ht="26.25">
      <c r="T3224" s="85" ph="1"/>
    </row>
    <row r="3225" spans="20:20" ht="26.25">
      <c r="T3225" s="85" ph="1"/>
    </row>
    <row r="3226" spans="20:20" ht="26.25">
      <c r="T3226" s="85" ph="1"/>
    </row>
    <row r="3227" spans="20:20" ht="26.25">
      <c r="T3227" s="85" ph="1"/>
    </row>
    <row r="3228" spans="20:20" ht="26.25">
      <c r="T3228" s="85" ph="1"/>
    </row>
    <row r="3229" spans="20:20" ht="26.25">
      <c r="T3229" s="85" ph="1"/>
    </row>
    <row r="3230" spans="20:20" ht="26.25">
      <c r="T3230" s="85" ph="1"/>
    </row>
    <row r="3231" spans="20:20" ht="26.25">
      <c r="T3231" s="85" ph="1"/>
    </row>
    <row r="3232" spans="20:20" ht="26.25">
      <c r="T3232" s="85" ph="1"/>
    </row>
    <row r="3233" spans="20:20" ht="26.25">
      <c r="T3233" s="85" ph="1"/>
    </row>
    <row r="3234" spans="20:20" ht="26.25">
      <c r="T3234" s="85" ph="1"/>
    </row>
    <row r="3235" spans="20:20" ht="26.25">
      <c r="T3235" s="85" ph="1"/>
    </row>
    <row r="3236" spans="20:20" ht="26.25">
      <c r="T3236" s="85" ph="1"/>
    </row>
    <row r="3237" spans="20:20" ht="26.25">
      <c r="T3237" s="85" ph="1"/>
    </row>
    <row r="3238" spans="20:20" ht="26.25">
      <c r="T3238" s="85" ph="1"/>
    </row>
    <row r="3239" spans="20:20" ht="26.25">
      <c r="T3239" s="85" ph="1"/>
    </row>
    <row r="3240" spans="20:20" ht="26.25">
      <c r="T3240" s="85" ph="1"/>
    </row>
    <row r="3241" spans="20:20" ht="26.25">
      <c r="T3241" s="85" ph="1"/>
    </row>
    <row r="3242" spans="20:20" ht="26.25">
      <c r="T3242" s="85" ph="1"/>
    </row>
    <row r="3243" spans="20:20" ht="26.25">
      <c r="T3243" s="85" ph="1"/>
    </row>
    <row r="3244" spans="20:20" ht="26.25">
      <c r="T3244" s="85" ph="1"/>
    </row>
    <row r="3245" spans="20:20" ht="26.25">
      <c r="T3245" s="85" ph="1"/>
    </row>
    <row r="3246" spans="20:20" ht="26.25">
      <c r="T3246" s="85" ph="1"/>
    </row>
    <row r="3247" spans="20:20" ht="26.25">
      <c r="T3247" s="85" ph="1"/>
    </row>
    <row r="3248" spans="20:20" ht="26.25">
      <c r="T3248" s="85" ph="1"/>
    </row>
    <row r="3249" spans="20:20" ht="26.25">
      <c r="T3249" s="85" ph="1"/>
    </row>
    <row r="3250" spans="20:20" ht="26.25">
      <c r="T3250" s="85" ph="1"/>
    </row>
    <row r="3251" spans="20:20" ht="26.25">
      <c r="T3251" s="85" ph="1"/>
    </row>
    <row r="3252" spans="20:20" ht="26.25">
      <c r="T3252" s="85" ph="1"/>
    </row>
    <row r="3253" spans="20:20" ht="26.25">
      <c r="T3253" s="85" ph="1"/>
    </row>
    <row r="3254" spans="20:20" ht="26.25">
      <c r="T3254" s="85" ph="1"/>
    </row>
    <row r="3255" spans="20:20" ht="26.25">
      <c r="T3255" s="85" ph="1"/>
    </row>
    <row r="3256" spans="20:20" ht="26.25">
      <c r="T3256" s="85" ph="1"/>
    </row>
    <row r="3257" spans="20:20" ht="26.25">
      <c r="T3257" s="85" ph="1"/>
    </row>
    <row r="3258" spans="20:20" ht="26.25">
      <c r="T3258" s="85" ph="1"/>
    </row>
    <row r="3259" spans="20:20" ht="26.25">
      <c r="T3259" s="85" ph="1"/>
    </row>
    <row r="3260" spans="20:20" ht="26.25">
      <c r="T3260" s="85" ph="1"/>
    </row>
    <row r="3261" spans="20:20" ht="26.25">
      <c r="T3261" s="85" ph="1"/>
    </row>
    <row r="3262" spans="20:20" ht="26.25">
      <c r="T3262" s="85" ph="1"/>
    </row>
    <row r="3263" spans="20:20" ht="26.25">
      <c r="T3263" s="85" ph="1"/>
    </row>
    <row r="3264" spans="20:20" ht="26.25">
      <c r="T3264" s="85" ph="1"/>
    </row>
    <row r="3265" spans="20:20" ht="26.25">
      <c r="T3265" s="85" ph="1"/>
    </row>
    <row r="3266" spans="20:20" ht="26.25">
      <c r="T3266" s="85" ph="1"/>
    </row>
    <row r="3267" spans="20:20" ht="26.25">
      <c r="T3267" s="85" ph="1"/>
    </row>
    <row r="3268" spans="20:20" ht="26.25">
      <c r="T3268" s="85" ph="1"/>
    </row>
    <row r="3269" spans="20:20" ht="26.25">
      <c r="T3269" s="85" ph="1"/>
    </row>
    <row r="3270" spans="20:20" ht="26.25">
      <c r="T3270" s="85" ph="1"/>
    </row>
    <row r="3271" spans="20:20" ht="26.25">
      <c r="T3271" s="85" ph="1"/>
    </row>
    <row r="3272" spans="20:20" ht="26.25">
      <c r="T3272" s="85" ph="1"/>
    </row>
    <row r="3273" spans="20:20" ht="26.25">
      <c r="T3273" s="85" ph="1"/>
    </row>
    <row r="3274" spans="20:20" ht="26.25">
      <c r="T3274" s="85" ph="1"/>
    </row>
    <row r="3275" spans="20:20" ht="26.25">
      <c r="T3275" s="85" ph="1"/>
    </row>
    <row r="3276" spans="20:20" ht="26.25">
      <c r="T3276" s="85" ph="1"/>
    </row>
    <row r="3277" spans="20:20" ht="26.25">
      <c r="T3277" s="85" ph="1"/>
    </row>
    <row r="3278" spans="20:20" ht="26.25">
      <c r="T3278" s="85" ph="1"/>
    </row>
    <row r="3279" spans="20:20" ht="26.25">
      <c r="T3279" s="85" ph="1"/>
    </row>
    <row r="3280" spans="20:20" ht="26.25">
      <c r="T3280" s="85" ph="1"/>
    </row>
    <row r="3281" spans="20:20" ht="26.25">
      <c r="T3281" s="85" ph="1"/>
    </row>
    <row r="3282" spans="20:20" ht="26.25">
      <c r="T3282" s="85" ph="1"/>
    </row>
    <row r="3283" spans="20:20" ht="26.25">
      <c r="T3283" s="85" ph="1"/>
    </row>
    <row r="3284" spans="20:20" ht="26.25">
      <c r="T3284" s="85" ph="1"/>
    </row>
    <row r="3285" spans="20:20" ht="26.25">
      <c r="T3285" s="85" ph="1"/>
    </row>
    <row r="3286" spans="20:20" ht="26.25">
      <c r="T3286" s="85" ph="1"/>
    </row>
    <row r="3287" spans="20:20" ht="26.25">
      <c r="T3287" s="85" ph="1"/>
    </row>
    <row r="3288" spans="20:20" ht="26.25">
      <c r="T3288" s="85" ph="1"/>
    </row>
    <row r="3289" spans="20:20" ht="26.25">
      <c r="T3289" s="85" ph="1"/>
    </row>
    <row r="3290" spans="20:20" ht="26.25">
      <c r="T3290" s="85" ph="1"/>
    </row>
    <row r="3291" spans="20:20" ht="26.25">
      <c r="T3291" s="85" ph="1"/>
    </row>
    <row r="3292" spans="20:20" ht="26.25">
      <c r="T3292" s="85" ph="1"/>
    </row>
    <row r="3293" spans="20:20" ht="26.25">
      <c r="T3293" s="85" ph="1"/>
    </row>
    <row r="3294" spans="20:20" ht="26.25">
      <c r="T3294" s="85" ph="1"/>
    </row>
    <row r="3295" spans="20:20" ht="26.25">
      <c r="T3295" s="85" ph="1"/>
    </row>
    <row r="3296" spans="20:20" ht="26.25">
      <c r="T3296" s="85" ph="1"/>
    </row>
    <row r="3297" spans="20:20" ht="26.25">
      <c r="T3297" s="85" ph="1"/>
    </row>
    <row r="3298" spans="20:20" ht="26.25">
      <c r="T3298" s="85" ph="1"/>
    </row>
    <row r="3299" spans="20:20" ht="26.25">
      <c r="T3299" s="85" ph="1"/>
    </row>
    <row r="3300" spans="20:20" ht="26.25">
      <c r="T3300" s="85" ph="1"/>
    </row>
    <row r="3301" spans="20:20" ht="26.25">
      <c r="T3301" s="85" ph="1"/>
    </row>
    <row r="3302" spans="20:20" ht="26.25">
      <c r="T3302" s="85" ph="1"/>
    </row>
    <row r="3303" spans="20:20" ht="26.25">
      <c r="T3303" s="85" ph="1"/>
    </row>
    <row r="3304" spans="20:20" ht="26.25">
      <c r="T3304" s="85" ph="1"/>
    </row>
    <row r="3305" spans="20:20" ht="26.25">
      <c r="T3305" s="85" ph="1"/>
    </row>
    <row r="3306" spans="20:20" ht="26.25">
      <c r="T3306" s="85" ph="1"/>
    </row>
    <row r="3307" spans="20:20" ht="26.25">
      <c r="T3307" s="85" ph="1"/>
    </row>
    <row r="3308" spans="20:20" ht="26.25">
      <c r="T3308" s="85" ph="1"/>
    </row>
    <row r="3309" spans="20:20" ht="26.25">
      <c r="T3309" s="85" ph="1"/>
    </row>
    <row r="3310" spans="20:20" ht="26.25">
      <c r="T3310" s="85" ph="1"/>
    </row>
    <row r="3311" spans="20:20" ht="26.25">
      <c r="T3311" s="85" ph="1"/>
    </row>
    <row r="3312" spans="20:20" ht="26.25">
      <c r="T3312" s="85" ph="1"/>
    </row>
    <row r="3313" spans="20:20" ht="26.25">
      <c r="T3313" s="85" ph="1"/>
    </row>
    <row r="3314" spans="20:20" ht="26.25">
      <c r="T3314" s="85" ph="1"/>
    </row>
    <row r="3315" spans="20:20" ht="26.25">
      <c r="T3315" s="85" ph="1"/>
    </row>
    <row r="3316" spans="20:20" ht="26.25">
      <c r="T3316" s="85" ph="1"/>
    </row>
    <row r="3317" spans="20:20" ht="26.25">
      <c r="T3317" s="85" ph="1"/>
    </row>
    <row r="3318" spans="20:20" ht="26.25">
      <c r="T3318" s="85" ph="1"/>
    </row>
    <row r="3319" spans="20:20" ht="26.25">
      <c r="T3319" s="85" ph="1"/>
    </row>
    <row r="3320" spans="20:20" ht="26.25">
      <c r="T3320" s="85" ph="1"/>
    </row>
    <row r="3321" spans="20:20" ht="26.25">
      <c r="T3321" s="85" ph="1"/>
    </row>
    <row r="3322" spans="20:20" ht="26.25">
      <c r="T3322" s="85" ph="1"/>
    </row>
    <row r="3323" spans="20:20" ht="26.25">
      <c r="T3323" s="85" ph="1"/>
    </row>
    <row r="3324" spans="20:20" ht="26.25">
      <c r="T3324" s="85" ph="1"/>
    </row>
    <row r="3325" spans="20:20" ht="26.25">
      <c r="T3325" s="85" ph="1"/>
    </row>
    <row r="3326" spans="20:20" ht="26.25">
      <c r="T3326" s="85" ph="1"/>
    </row>
    <row r="3327" spans="20:20" ht="26.25">
      <c r="T3327" s="85" ph="1"/>
    </row>
    <row r="3328" spans="20:20" ht="26.25">
      <c r="T3328" s="85" ph="1"/>
    </row>
    <row r="3329" spans="20:20" ht="26.25">
      <c r="T3329" s="85" ph="1"/>
    </row>
    <row r="3330" spans="20:20" ht="26.25">
      <c r="T3330" s="85" ph="1"/>
    </row>
    <row r="3331" spans="20:20" ht="26.25">
      <c r="T3331" s="85" ph="1"/>
    </row>
    <row r="3332" spans="20:20" ht="26.25">
      <c r="T3332" s="85" ph="1"/>
    </row>
    <row r="3333" spans="20:20" ht="26.25">
      <c r="T3333" s="85" ph="1"/>
    </row>
    <row r="3334" spans="20:20" ht="26.25">
      <c r="T3334" s="85" ph="1"/>
    </row>
    <row r="3335" spans="20:20" ht="26.25">
      <c r="T3335" s="85" ph="1"/>
    </row>
    <row r="3336" spans="20:20" ht="26.25">
      <c r="T3336" s="85" ph="1"/>
    </row>
    <row r="3337" spans="20:20" ht="26.25">
      <c r="T3337" s="85" ph="1"/>
    </row>
    <row r="3338" spans="20:20" ht="26.25">
      <c r="T3338" s="85" ph="1"/>
    </row>
    <row r="3339" spans="20:20" ht="26.25">
      <c r="T3339" s="85" ph="1"/>
    </row>
    <row r="3340" spans="20:20" ht="26.25">
      <c r="T3340" s="85" ph="1"/>
    </row>
    <row r="3341" spans="20:20" ht="26.25">
      <c r="T3341" s="85" ph="1"/>
    </row>
    <row r="3342" spans="20:20" ht="26.25">
      <c r="T3342" s="85" ph="1"/>
    </row>
    <row r="3343" spans="20:20" ht="26.25">
      <c r="T3343" s="85" ph="1"/>
    </row>
    <row r="3344" spans="20:20" ht="26.25">
      <c r="T3344" s="85" ph="1"/>
    </row>
    <row r="3345" spans="20:20" ht="26.25">
      <c r="T3345" s="85" ph="1"/>
    </row>
    <row r="3346" spans="20:20" ht="26.25">
      <c r="T3346" s="85" ph="1"/>
    </row>
    <row r="3347" spans="20:20" ht="26.25">
      <c r="T3347" s="85" ph="1"/>
    </row>
    <row r="3348" spans="20:20" ht="26.25">
      <c r="T3348" s="85" ph="1"/>
    </row>
    <row r="3349" spans="20:20" ht="26.25">
      <c r="T3349" s="85" ph="1"/>
    </row>
    <row r="3350" spans="20:20" ht="26.25">
      <c r="T3350" s="85" ph="1"/>
    </row>
    <row r="3351" spans="20:20" ht="26.25">
      <c r="T3351" s="85" ph="1"/>
    </row>
    <row r="3352" spans="20:20" ht="26.25">
      <c r="T3352" s="85" ph="1"/>
    </row>
    <row r="3353" spans="20:20" ht="26.25">
      <c r="T3353" s="85" ph="1"/>
    </row>
    <row r="3354" spans="20:20" ht="26.25">
      <c r="T3354" s="85" ph="1"/>
    </row>
    <row r="3355" spans="20:20" ht="26.25">
      <c r="T3355" s="85" ph="1"/>
    </row>
    <row r="3356" spans="20:20" ht="26.25">
      <c r="T3356" s="85" ph="1"/>
    </row>
    <row r="3357" spans="20:20" ht="26.25">
      <c r="T3357" s="85" ph="1"/>
    </row>
    <row r="3358" spans="20:20" ht="26.25">
      <c r="T3358" s="85" ph="1"/>
    </row>
    <row r="3359" spans="20:20" ht="26.25">
      <c r="T3359" s="85" ph="1"/>
    </row>
    <row r="3360" spans="20:20" ht="26.25">
      <c r="T3360" s="85" ph="1"/>
    </row>
    <row r="3361" spans="20:20" ht="26.25">
      <c r="T3361" s="85" ph="1"/>
    </row>
    <row r="3362" spans="20:20" ht="26.25">
      <c r="T3362" s="85" ph="1"/>
    </row>
    <row r="3363" spans="20:20" ht="26.25">
      <c r="T3363" s="85" ph="1"/>
    </row>
    <row r="3364" spans="20:20" ht="26.25">
      <c r="T3364" s="85" ph="1"/>
    </row>
    <row r="3365" spans="20:20" ht="26.25">
      <c r="T3365" s="85" ph="1"/>
    </row>
    <row r="3366" spans="20:20" ht="26.25">
      <c r="T3366" s="85" ph="1"/>
    </row>
    <row r="3367" spans="20:20" ht="26.25">
      <c r="T3367" s="85" ph="1"/>
    </row>
    <row r="3368" spans="20:20" ht="26.25">
      <c r="T3368" s="85" ph="1"/>
    </row>
    <row r="3369" spans="20:20" ht="26.25">
      <c r="T3369" s="85" ph="1"/>
    </row>
    <row r="3370" spans="20:20" ht="26.25">
      <c r="T3370" s="85" ph="1"/>
    </row>
    <row r="3371" spans="20:20" ht="26.25">
      <c r="T3371" s="85" ph="1"/>
    </row>
    <row r="3372" spans="20:20" ht="26.25">
      <c r="T3372" s="85" ph="1"/>
    </row>
    <row r="3373" spans="20:20" ht="26.25">
      <c r="T3373" s="85" ph="1"/>
    </row>
    <row r="3374" spans="20:20" ht="26.25">
      <c r="T3374" s="85" ph="1"/>
    </row>
    <row r="3375" spans="20:20" ht="26.25">
      <c r="T3375" s="85" ph="1"/>
    </row>
    <row r="3376" spans="20:20" ht="26.25">
      <c r="T3376" s="85" ph="1"/>
    </row>
    <row r="3377" spans="20:20" ht="26.25">
      <c r="T3377" s="85" ph="1"/>
    </row>
    <row r="3378" spans="20:20" ht="26.25">
      <c r="T3378" s="85" ph="1"/>
    </row>
    <row r="3379" spans="20:20" ht="26.25">
      <c r="T3379" s="85" ph="1"/>
    </row>
    <row r="3380" spans="20:20" ht="26.25">
      <c r="T3380" s="85" ph="1"/>
    </row>
    <row r="3381" spans="20:20" ht="26.25">
      <c r="T3381" s="85" ph="1"/>
    </row>
    <row r="3382" spans="20:20" ht="26.25">
      <c r="T3382" s="85" ph="1"/>
    </row>
    <row r="3383" spans="20:20" ht="26.25">
      <c r="T3383" s="85" ph="1"/>
    </row>
    <row r="3384" spans="20:20" ht="26.25">
      <c r="T3384" s="85" ph="1"/>
    </row>
    <row r="3385" spans="20:20" ht="26.25">
      <c r="T3385" s="85" ph="1"/>
    </row>
    <row r="3386" spans="20:20" ht="26.25">
      <c r="T3386" s="85" ph="1"/>
    </row>
    <row r="3387" spans="20:20" ht="26.25">
      <c r="T3387" s="85" ph="1"/>
    </row>
    <row r="3388" spans="20:20" ht="26.25">
      <c r="T3388" s="85" ph="1"/>
    </row>
    <row r="3389" spans="20:20" ht="26.25">
      <c r="T3389" s="85" ph="1"/>
    </row>
    <row r="3390" spans="20:20" ht="26.25">
      <c r="T3390" s="85" ph="1"/>
    </row>
    <row r="3391" spans="20:20" ht="26.25">
      <c r="T3391" s="85" ph="1"/>
    </row>
    <row r="3392" spans="20:20" ht="26.25">
      <c r="T3392" s="85" ph="1"/>
    </row>
    <row r="3393" spans="20:20" ht="26.25">
      <c r="T3393" s="85" ph="1"/>
    </row>
    <row r="3394" spans="20:20" ht="26.25">
      <c r="T3394" s="85" ph="1"/>
    </row>
    <row r="3395" spans="20:20" ht="26.25">
      <c r="T3395" s="85" ph="1"/>
    </row>
    <row r="3396" spans="20:20" ht="26.25">
      <c r="T3396" s="85" ph="1"/>
    </row>
    <row r="3397" spans="20:20" ht="26.25">
      <c r="T3397" s="85" ph="1"/>
    </row>
    <row r="3398" spans="20:20" ht="26.25">
      <c r="T3398" s="85" ph="1"/>
    </row>
    <row r="3399" spans="20:20" ht="26.25">
      <c r="T3399" s="85" ph="1"/>
    </row>
    <row r="3400" spans="20:20" ht="26.25">
      <c r="T3400" s="85" ph="1"/>
    </row>
    <row r="3401" spans="20:20" ht="26.25">
      <c r="T3401" s="85" ph="1"/>
    </row>
    <row r="3402" spans="20:20" ht="26.25">
      <c r="T3402" s="85" ph="1"/>
    </row>
    <row r="3403" spans="20:20" ht="26.25">
      <c r="T3403" s="85" ph="1"/>
    </row>
    <row r="3404" spans="20:20" ht="26.25">
      <c r="T3404" s="85" ph="1"/>
    </row>
    <row r="3405" spans="20:20" ht="26.25">
      <c r="T3405" s="85" ph="1"/>
    </row>
    <row r="3406" spans="20:20" ht="26.25">
      <c r="T3406" s="85" ph="1"/>
    </row>
    <row r="3407" spans="20:20" ht="26.25">
      <c r="T3407" s="85" ph="1"/>
    </row>
    <row r="3408" spans="20:20" ht="26.25">
      <c r="T3408" s="85" ph="1"/>
    </row>
    <row r="3409" spans="20:20" ht="26.25">
      <c r="T3409" s="85" ph="1"/>
    </row>
    <row r="3410" spans="20:20" ht="26.25">
      <c r="T3410" s="85" ph="1"/>
    </row>
    <row r="3411" spans="20:20" ht="26.25">
      <c r="T3411" s="85" ph="1"/>
    </row>
    <row r="3412" spans="20:20" ht="26.25">
      <c r="T3412" s="85" ph="1"/>
    </row>
    <row r="3413" spans="20:20" ht="26.25">
      <c r="T3413" s="85" ph="1"/>
    </row>
    <row r="3414" spans="20:20" ht="26.25">
      <c r="T3414" s="85" ph="1"/>
    </row>
    <row r="3415" spans="20:20" ht="26.25">
      <c r="T3415" s="85" ph="1"/>
    </row>
    <row r="3416" spans="20:20" ht="26.25">
      <c r="T3416" s="85" ph="1"/>
    </row>
    <row r="3417" spans="20:20" ht="26.25">
      <c r="T3417" s="85" ph="1"/>
    </row>
    <row r="3418" spans="20:20" ht="26.25">
      <c r="T3418" s="85" ph="1"/>
    </row>
    <row r="3419" spans="20:20" ht="26.25">
      <c r="T3419" s="85" ph="1"/>
    </row>
    <row r="3420" spans="20:20" ht="26.25">
      <c r="T3420" s="85" ph="1"/>
    </row>
    <row r="3421" spans="20:20" ht="26.25">
      <c r="T3421" s="85" ph="1"/>
    </row>
    <row r="3422" spans="20:20" ht="26.25">
      <c r="T3422" s="85" ph="1"/>
    </row>
    <row r="3423" spans="20:20" ht="26.25">
      <c r="T3423" s="85" ph="1"/>
    </row>
    <row r="3424" spans="20:20" ht="26.25">
      <c r="T3424" s="85" ph="1"/>
    </row>
    <row r="3425" spans="20:20" ht="26.25">
      <c r="T3425" s="85" ph="1"/>
    </row>
    <row r="3426" spans="20:20" ht="26.25">
      <c r="T3426" s="85" ph="1"/>
    </row>
    <row r="3427" spans="20:20" ht="26.25">
      <c r="T3427" s="85" ph="1"/>
    </row>
    <row r="3428" spans="20:20" ht="26.25">
      <c r="T3428" s="85" ph="1"/>
    </row>
    <row r="3429" spans="20:20" ht="26.25">
      <c r="T3429" s="85" ph="1"/>
    </row>
    <row r="3430" spans="20:20" ht="26.25">
      <c r="T3430" s="85" ph="1"/>
    </row>
    <row r="3431" spans="20:20" ht="26.25">
      <c r="T3431" s="85" ph="1"/>
    </row>
    <row r="3432" spans="20:20" ht="26.25">
      <c r="T3432" s="85" ph="1"/>
    </row>
    <row r="3433" spans="20:20" ht="26.25">
      <c r="T3433" s="85" ph="1"/>
    </row>
    <row r="3434" spans="20:20" ht="26.25">
      <c r="T3434" s="85" ph="1"/>
    </row>
    <row r="3435" spans="20:20" ht="26.25">
      <c r="T3435" s="85" ph="1"/>
    </row>
    <row r="3436" spans="20:20" ht="26.25">
      <c r="T3436" s="85" ph="1"/>
    </row>
    <row r="3437" spans="20:20" ht="26.25">
      <c r="T3437" s="85" ph="1"/>
    </row>
    <row r="3438" spans="20:20" ht="26.25">
      <c r="T3438" s="85" ph="1"/>
    </row>
    <row r="3439" spans="20:20" ht="26.25">
      <c r="T3439" s="85" ph="1"/>
    </row>
    <row r="3440" spans="20:20" ht="26.25">
      <c r="T3440" s="85" ph="1"/>
    </row>
    <row r="3441" spans="20:20" ht="26.25">
      <c r="T3441" s="85" ph="1"/>
    </row>
    <row r="3442" spans="20:20" ht="26.25">
      <c r="T3442" s="85" ph="1"/>
    </row>
    <row r="3443" spans="20:20" ht="26.25">
      <c r="T3443" s="85" ph="1"/>
    </row>
    <row r="3444" spans="20:20" ht="26.25">
      <c r="T3444" s="85" ph="1"/>
    </row>
    <row r="3445" spans="20:20" ht="26.25">
      <c r="T3445" s="85" ph="1"/>
    </row>
    <row r="3446" spans="20:20" ht="26.25">
      <c r="T3446" s="85" ph="1"/>
    </row>
    <row r="3447" spans="20:20" ht="26.25">
      <c r="T3447" s="85" ph="1"/>
    </row>
    <row r="3448" spans="20:20" ht="26.25">
      <c r="T3448" s="85" ph="1"/>
    </row>
    <row r="3449" spans="20:20" ht="26.25">
      <c r="T3449" s="85" ph="1"/>
    </row>
    <row r="3450" spans="20:20" ht="26.25">
      <c r="T3450" s="85" ph="1"/>
    </row>
    <row r="3451" spans="20:20" ht="26.25">
      <c r="T3451" s="85" ph="1"/>
    </row>
    <row r="3452" spans="20:20" ht="26.25">
      <c r="T3452" s="85" ph="1"/>
    </row>
    <row r="3453" spans="20:20" ht="26.25">
      <c r="T3453" s="85" ph="1"/>
    </row>
    <row r="3454" spans="20:20" ht="26.25">
      <c r="T3454" s="85" ph="1"/>
    </row>
    <row r="3455" spans="20:20" ht="26.25">
      <c r="T3455" s="85" ph="1"/>
    </row>
    <row r="3456" spans="20:20" ht="26.25">
      <c r="T3456" s="85" ph="1"/>
    </row>
    <row r="3457" spans="20:20" ht="26.25">
      <c r="T3457" s="85" ph="1"/>
    </row>
    <row r="3458" spans="20:20" ht="26.25">
      <c r="T3458" s="85" ph="1"/>
    </row>
    <row r="3459" spans="20:20" ht="26.25">
      <c r="T3459" s="85" ph="1"/>
    </row>
    <row r="3460" spans="20:20" ht="26.25">
      <c r="T3460" s="85" ph="1"/>
    </row>
    <row r="3461" spans="20:20" ht="26.25">
      <c r="T3461" s="85" ph="1"/>
    </row>
    <row r="3462" spans="20:20" ht="26.25">
      <c r="T3462" s="85" ph="1"/>
    </row>
    <row r="3463" spans="20:20" ht="26.25">
      <c r="T3463" s="85" ph="1"/>
    </row>
    <row r="3464" spans="20:20" ht="26.25">
      <c r="T3464" s="85" ph="1"/>
    </row>
    <row r="3465" spans="20:20" ht="26.25">
      <c r="T3465" s="85" ph="1"/>
    </row>
    <row r="3466" spans="20:20" ht="26.25">
      <c r="T3466" s="85" ph="1"/>
    </row>
    <row r="3467" spans="20:20" ht="26.25">
      <c r="T3467" s="85" ph="1"/>
    </row>
    <row r="3468" spans="20:20" ht="26.25">
      <c r="T3468" s="85" ph="1"/>
    </row>
    <row r="3469" spans="20:20" ht="26.25">
      <c r="T3469" s="85" ph="1"/>
    </row>
    <row r="3470" spans="20:20" ht="26.25">
      <c r="T3470" s="85" ph="1"/>
    </row>
    <row r="3471" spans="20:20" ht="26.25">
      <c r="T3471" s="85" ph="1"/>
    </row>
    <row r="3472" spans="20:20" ht="26.25">
      <c r="T3472" s="85" ph="1"/>
    </row>
    <row r="3473" spans="20:20" ht="26.25">
      <c r="T3473" s="85" ph="1"/>
    </row>
    <row r="3474" spans="20:20" ht="26.25">
      <c r="T3474" s="85" ph="1"/>
    </row>
    <row r="3475" spans="20:20" ht="26.25">
      <c r="T3475" s="85" ph="1"/>
    </row>
    <row r="3476" spans="20:20" ht="26.25">
      <c r="T3476" s="85" ph="1"/>
    </row>
    <row r="3477" spans="20:20" ht="26.25">
      <c r="T3477" s="85" ph="1"/>
    </row>
    <row r="3478" spans="20:20" ht="26.25">
      <c r="T3478" s="85" ph="1"/>
    </row>
    <row r="3479" spans="20:20" ht="26.25">
      <c r="T3479" s="85" ph="1"/>
    </row>
    <row r="3480" spans="20:20" ht="26.25">
      <c r="T3480" s="85" ph="1"/>
    </row>
    <row r="3481" spans="20:20" ht="26.25">
      <c r="T3481" s="85" ph="1"/>
    </row>
    <row r="3482" spans="20:20" ht="26.25">
      <c r="T3482" s="85" ph="1"/>
    </row>
    <row r="3483" spans="20:20" ht="26.25">
      <c r="T3483" s="85" ph="1"/>
    </row>
    <row r="3484" spans="20:20" ht="26.25">
      <c r="T3484" s="85" ph="1"/>
    </row>
    <row r="3485" spans="20:20" ht="26.25">
      <c r="T3485" s="85" ph="1"/>
    </row>
    <row r="3486" spans="20:20" ht="26.25">
      <c r="T3486" s="85" ph="1"/>
    </row>
    <row r="3487" spans="20:20" ht="26.25">
      <c r="T3487" s="85" ph="1"/>
    </row>
    <row r="3488" spans="20:20" ht="26.25">
      <c r="T3488" s="85" ph="1"/>
    </row>
    <row r="3489" spans="20:20" ht="26.25">
      <c r="T3489" s="85" ph="1"/>
    </row>
    <row r="3490" spans="20:20" ht="26.25">
      <c r="T3490" s="85" ph="1"/>
    </row>
    <row r="3491" spans="20:20" ht="26.25">
      <c r="T3491" s="85" ph="1"/>
    </row>
    <row r="3492" spans="20:20" ht="26.25">
      <c r="T3492" s="85" ph="1"/>
    </row>
    <row r="3493" spans="20:20" ht="26.25">
      <c r="T3493" s="85" ph="1"/>
    </row>
    <row r="3494" spans="20:20" ht="26.25">
      <c r="T3494" s="85" ph="1"/>
    </row>
    <row r="3495" spans="20:20" ht="26.25">
      <c r="T3495" s="85" ph="1"/>
    </row>
    <row r="3496" spans="20:20" ht="26.25">
      <c r="T3496" s="85" ph="1"/>
    </row>
    <row r="3497" spans="20:20" ht="26.25">
      <c r="T3497" s="85" ph="1"/>
    </row>
    <row r="3498" spans="20:20" ht="26.25">
      <c r="T3498" s="85" ph="1"/>
    </row>
    <row r="3499" spans="20:20" ht="26.25">
      <c r="T3499" s="85" ph="1"/>
    </row>
    <row r="3500" spans="20:20" ht="26.25">
      <c r="T3500" s="85" ph="1"/>
    </row>
    <row r="3501" spans="20:20" ht="26.25">
      <c r="T3501" s="85" ph="1"/>
    </row>
    <row r="3502" spans="20:20" ht="26.25">
      <c r="T3502" s="85" ph="1"/>
    </row>
    <row r="3503" spans="20:20" ht="26.25">
      <c r="T3503" s="85" ph="1"/>
    </row>
    <row r="3504" spans="20:20" ht="26.25">
      <c r="T3504" s="85" ph="1"/>
    </row>
    <row r="3505" spans="20:20" ht="26.25">
      <c r="T3505" s="85" ph="1"/>
    </row>
    <row r="3506" spans="20:20" ht="26.25">
      <c r="T3506" s="85" ph="1"/>
    </row>
    <row r="3507" spans="20:20" ht="26.25">
      <c r="T3507" s="85" ph="1"/>
    </row>
    <row r="3508" spans="20:20" ht="26.25">
      <c r="T3508" s="85" ph="1"/>
    </row>
    <row r="3509" spans="20:20" ht="26.25">
      <c r="T3509" s="85" ph="1"/>
    </row>
    <row r="3510" spans="20:20" ht="26.25">
      <c r="T3510" s="85" ph="1"/>
    </row>
    <row r="3511" spans="20:20" ht="26.25">
      <c r="T3511" s="85" ph="1"/>
    </row>
    <row r="3512" spans="20:20" ht="26.25">
      <c r="T3512" s="85" ph="1"/>
    </row>
    <row r="3513" spans="20:20" ht="26.25">
      <c r="T3513" s="85" ph="1"/>
    </row>
    <row r="3514" spans="20:20" ht="26.25">
      <c r="T3514" s="85" ph="1"/>
    </row>
    <row r="3515" spans="20:20" ht="26.25">
      <c r="T3515" s="85" ph="1"/>
    </row>
    <row r="3516" spans="20:20" ht="26.25">
      <c r="T3516" s="85" ph="1"/>
    </row>
    <row r="3517" spans="20:20" ht="26.25">
      <c r="T3517" s="85" ph="1"/>
    </row>
    <row r="3518" spans="20:20" ht="26.25">
      <c r="T3518" s="85" ph="1"/>
    </row>
    <row r="3519" spans="20:20" ht="26.25">
      <c r="T3519" s="85" ph="1"/>
    </row>
    <row r="3520" spans="20:20" ht="26.25">
      <c r="T3520" s="85" ph="1"/>
    </row>
    <row r="3521" spans="20:20" ht="26.25">
      <c r="T3521" s="85" ph="1"/>
    </row>
    <row r="3522" spans="20:20" ht="26.25">
      <c r="T3522" s="85" ph="1"/>
    </row>
    <row r="3523" spans="20:20" ht="26.25">
      <c r="T3523" s="85" ph="1"/>
    </row>
    <row r="3524" spans="20:20" ht="26.25">
      <c r="T3524" s="85" ph="1"/>
    </row>
    <row r="3525" spans="20:20" ht="26.25">
      <c r="T3525" s="85" ph="1"/>
    </row>
    <row r="3526" spans="20:20" ht="26.25">
      <c r="T3526" s="85" ph="1"/>
    </row>
    <row r="3527" spans="20:20" ht="26.25">
      <c r="T3527" s="85" ph="1"/>
    </row>
    <row r="3528" spans="20:20" ht="26.25">
      <c r="T3528" s="85" ph="1"/>
    </row>
    <row r="3529" spans="20:20" ht="26.25">
      <c r="T3529" s="85" ph="1"/>
    </row>
    <row r="3530" spans="20:20" ht="26.25">
      <c r="T3530" s="85" ph="1"/>
    </row>
    <row r="3531" spans="20:20" ht="26.25">
      <c r="T3531" s="85" ph="1"/>
    </row>
    <row r="3532" spans="20:20" ht="26.25">
      <c r="T3532" s="85" ph="1"/>
    </row>
    <row r="3533" spans="20:20" ht="26.25">
      <c r="T3533" s="85" ph="1"/>
    </row>
    <row r="3534" spans="20:20" ht="26.25">
      <c r="T3534" s="85" ph="1"/>
    </row>
    <row r="3535" spans="20:20" ht="26.25">
      <c r="T3535" s="85" ph="1"/>
    </row>
    <row r="3536" spans="20:20" ht="26.25">
      <c r="T3536" s="85" ph="1"/>
    </row>
    <row r="3537" spans="20:20" ht="26.25">
      <c r="T3537" s="85" ph="1"/>
    </row>
    <row r="3538" spans="20:20" ht="26.25">
      <c r="T3538" s="85" ph="1"/>
    </row>
    <row r="3539" spans="20:20" ht="26.25">
      <c r="T3539" s="85" ph="1"/>
    </row>
    <row r="3540" spans="20:20" ht="26.25">
      <c r="T3540" s="85" ph="1"/>
    </row>
    <row r="3541" spans="20:20" ht="26.25">
      <c r="T3541" s="85" ph="1"/>
    </row>
    <row r="3542" spans="20:20" ht="26.25">
      <c r="T3542" s="85" ph="1"/>
    </row>
    <row r="3543" spans="20:20" ht="26.25">
      <c r="T3543" s="85" ph="1"/>
    </row>
    <row r="3544" spans="20:20" ht="26.25">
      <c r="T3544" s="85" ph="1"/>
    </row>
    <row r="3545" spans="20:20" ht="26.25">
      <c r="T3545" s="85" ph="1"/>
    </row>
    <row r="3546" spans="20:20" ht="26.25">
      <c r="T3546" s="85" ph="1"/>
    </row>
    <row r="3547" spans="20:20" ht="26.25">
      <c r="T3547" s="85" ph="1"/>
    </row>
    <row r="3548" spans="20:20" ht="26.25">
      <c r="T3548" s="85" ph="1"/>
    </row>
    <row r="3549" spans="20:20" ht="26.25">
      <c r="T3549" s="85" ph="1"/>
    </row>
    <row r="3550" spans="20:20" ht="26.25">
      <c r="T3550" s="85" ph="1"/>
    </row>
    <row r="3551" spans="20:20" ht="26.25">
      <c r="T3551" s="85" ph="1"/>
    </row>
    <row r="3552" spans="20:20" ht="26.25">
      <c r="T3552" s="85" ph="1"/>
    </row>
    <row r="3553" spans="20:20" ht="26.25">
      <c r="T3553" s="85" ph="1"/>
    </row>
    <row r="3554" spans="20:20" ht="26.25">
      <c r="T3554" s="85" ph="1"/>
    </row>
    <row r="3555" spans="20:20" ht="26.25">
      <c r="T3555" s="85" ph="1"/>
    </row>
    <row r="3556" spans="20:20" ht="26.25">
      <c r="T3556" s="85" ph="1"/>
    </row>
    <row r="3557" spans="20:20" ht="26.25">
      <c r="T3557" s="85" ph="1"/>
    </row>
    <row r="3558" spans="20:20" ht="26.25">
      <c r="T3558" s="85" ph="1"/>
    </row>
    <row r="3559" spans="20:20" ht="26.25">
      <c r="T3559" s="85" ph="1"/>
    </row>
    <row r="3560" spans="20:20" ht="26.25">
      <c r="T3560" s="85" ph="1"/>
    </row>
    <row r="3561" spans="20:20" ht="26.25">
      <c r="T3561" s="85" ph="1"/>
    </row>
    <row r="3562" spans="20:20" ht="26.25">
      <c r="T3562" s="85" ph="1"/>
    </row>
    <row r="3563" spans="20:20" ht="26.25">
      <c r="T3563" s="85" ph="1"/>
    </row>
    <row r="3564" spans="20:20" ht="26.25">
      <c r="T3564" s="85" ph="1"/>
    </row>
    <row r="3565" spans="20:20" ht="26.25">
      <c r="T3565" s="85" ph="1"/>
    </row>
    <row r="3566" spans="20:20" ht="26.25">
      <c r="T3566" s="85" ph="1"/>
    </row>
    <row r="3567" spans="20:20" ht="26.25">
      <c r="T3567" s="85" ph="1"/>
    </row>
    <row r="3568" spans="20:20" ht="26.25">
      <c r="T3568" s="85" ph="1"/>
    </row>
    <row r="3569" spans="20:20" ht="26.25">
      <c r="T3569" s="85" ph="1"/>
    </row>
    <row r="3570" spans="20:20" ht="26.25">
      <c r="T3570" s="85" ph="1"/>
    </row>
    <row r="3571" spans="20:20" ht="26.25">
      <c r="T3571" s="85" ph="1"/>
    </row>
    <row r="3572" spans="20:20" ht="26.25">
      <c r="T3572" s="85" ph="1"/>
    </row>
    <row r="3573" spans="20:20" ht="26.25">
      <c r="T3573" s="85" ph="1"/>
    </row>
    <row r="3574" spans="20:20" ht="26.25">
      <c r="T3574" s="85" ph="1"/>
    </row>
    <row r="3575" spans="20:20" ht="26.25">
      <c r="T3575" s="85" ph="1"/>
    </row>
    <row r="3576" spans="20:20" ht="26.25">
      <c r="T3576" s="85" ph="1"/>
    </row>
    <row r="3577" spans="20:20" ht="26.25">
      <c r="T3577" s="85" ph="1"/>
    </row>
    <row r="3578" spans="20:20" ht="26.25">
      <c r="T3578" s="85" ph="1"/>
    </row>
    <row r="3579" spans="20:20" ht="26.25">
      <c r="T3579" s="85" ph="1"/>
    </row>
    <row r="3580" spans="20:20" ht="26.25">
      <c r="T3580" s="85" ph="1"/>
    </row>
    <row r="3581" spans="20:20" ht="26.25">
      <c r="T3581" s="85" ph="1"/>
    </row>
    <row r="3582" spans="20:20" ht="26.25">
      <c r="T3582" s="85" ph="1"/>
    </row>
    <row r="3583" spans="20:20" ht="26.25">
      <c r="T3583" s="85" ph="1"/>
    </row>
    <row r="3584" spans="20:20" ht="26.25">
      <c r="T3584" s="85" ph="1"/>
    </row>
    <row r="3585" spans="20:20" ht="26.25">
      <c r="T3585" s="85" ph="1"/>
    </row>
    <row r="3586" spans="20:20" ht="26.25">
      <c r="T3586" s="85" ph="1"/>
    </row>
    <row r="3587" spans="20:20" ht="26.25">
      <c r="T3587" s="85" ph="1"/>
    </row>
    <row r="3588" spans="20:20" ht="26.25">
      <c r="T3588" s="85" ph="1"/>
    </row>
    <row r="3589" spans="20:20" ht="26.25">
      <c r="T3589" s="85" ph="1"/>
    </row>
    <row r="3590" spans="20:20" ht="26.25">
      <c r="T3590" s="85" ph="1"/>
    </row>
    <row r="3591" spans="20:20" ht="26.25">
      <c r="T3591" s="85" ph="1"/>
    </row>
    <row r="3592" spans="20:20" ht="26.25">
      <c r="T3592" s="85" ph="1"/>
    </row>
    <row r="3593" spans="20:20" ht="26.25">
      <c r="T3593" s="85" ph="1"/>
    </row>
    <row r="3594" spans="20:20" ht="26.25">
      <c r="T3594" s="85" ph="1"/>
    </row>
    <row r="3595" spans="20:20" ht="26.25">
      <c r="T3595" s="85" ph="1"/>
    </row>
    <row r="3596" spans="20:20" ht="26.25">
      <c r="T3596" s="85" ph="1"/>
    </row>
    <row r="3597" spans="20:20" ht="26.25">
      <c r="T3597" s="85" ph="1"/>
    </row>
    <row r="3598" spans="20:20" ht="26.25">
      <c r="T3598" s="85" ph="1"/>
    </row>
    <row r="3599" spans="20:20" ht="26.25">
      <c r="T3599" s="85" ph="1"/>
    </row>
    <row r="3600" spans="20:20" ht="26.25">
      <c r="T3600" s="85" ph="1"/>
    </row>
    <row r="3601" spans="20:20" ht="26.25">
      <c r="T3601" s="85" ph="1"/>
    </row>
    <row r="3602" spans="20:20" ht="26.25">
      <c r="T3602" s="85" ph="1"/>
    </row>
    <row r="3603" spans="20:20" ht="26.25">
      <c r="T3603" s="85" ph="1"/>
    </row>
    <row r="3604" spans="20:20" ht="26.25">
      <c r="T3604" s="85" ph="1"/>
    </row>
    <row r="3605" spans="20:20" ht="26.25">
      <c r="T3605" s="85" ph="1"/>
    </row>
    <row r="3606" spans="20:20" ht="26.25">
      <c r="T3606" s="85" ph="1"/>
    </row>
    <row r="3607" spans="20:20" ht="26.25">
      <c r="T3607" s="85" ph="1"/>
    </row>
    <row r="3608" spans="20:20" ht="26.25">
      <c r="T3608" s="85" ph="1"/>
    </row>
    <row r="3609" spans="20:20" ht="26.25">
      <c r="T3609" s="85" ph="1"/>
    </row>
    <row r="3610" spans="20:20" ht="26.25">
      <c r="T3610" s="85" ph="1"/>
    </row>
    <row r="3611" spans="20:20" ht="26.25">
      <c r="T3611" s="85" ph="1"/>
    </row>
    <row r="3612" spans="20:20" ht="26.25">
      <c r="T3612" s="85" ph="1"/>
    </row>
    <row r="3613" spans="20:20" ht="26.25">
      <c r="T3613" s="85" ph="1"/>
    </row>
    <row r="3614" spans="20:20" ht="26.25">
      <c r="T3614" s="85" ph="1"/>
    </row>
    <row r="3615" spans="20:20" ht="26.25">
      <c r="T3615" s="85" ph="1"/>
    </row>
    <row r="3616" spans="20:20" ht="26.25">
      <c r="T3616" s="85" ph="1"/>
    </row>
    <row r="3617" spans="20:20" ht="26.25">
      <c r="T3617" s="85" ph="1"/>
    </row>
    <row r="3618" spans="20:20" ht="26.25">
      <c r="T3618" s="85" ph="1"/>
    </row>
    <row r="3619" spans="20:20" ht="26.25">
      <c r="T3619" s="85" ph="1"/>
    </row>
    <row r="3620" spans="20:20" ht="26.25">
      <c r="T3620" s="85" ph="1"/>
    </row>
    <row r="3621" spans="20:20" ht="26.25">
      <c r="T3621" s="85" ph="1"/>
    </row>
    <row r="3622" spans="20:20" ht="26.25">
      <c r="T3622" s="85" ph="1"/>
    </row>
    <row r="3623" spans="20:20" ht="26.25">
      <c r="T3623" s="85" ph="1"/>
    </row>
    <row r="3624" spans="20:20" ht="26.25">
      <c r="T3624" s="85" ph="1"/>
    </row>
    <row r="3625" spans="20:20" ht="26.25">
      <c r="T3625" s="85" ph="1"/>
    </row>
    <row r="3626" spans="20:20" ht="26.25">
      <c r="T3626" s="85" ph="1"/>
    </row>
    <row r="3627" spans="20:20" ht="26.25">
      <c r="T3627" s="85" ph="1"/>
    </row>
    <row r="3628" spans="20:20" ht="26.25">
      <c r="T3628" s="85" ph="1"/>
    </row>
    <row r="3629" spans="20:20" ht="26.25">
      <c r="T3629" s="85" ph="1"/>
    </row>
    <row r="3630" spans="20:20" ht="26.25">
      <c r="T3630" s="85" ph="1"/>
    </row>
    <row r="3631" spans="20:20" ht="26.25">
      <c r="T3631" s="85" ph="1"/>
    </row>
    <row r="3632" spans="20:20" ht="26.25">
      <c r="T3632" s="85" ph="1"/>
    </row>
    <row r="3633" spans="20:20" ht="26.25">
      <c r="T3633" s="85" ph="1"/>
    </row>
    <row r="3634" spans="20:20" ht="26.25">
      <c r="T3634" s="85" ph="1"/>
    </row>
    <row r="3635" spans="20:20" ht="26.25">
      <c r="T3635" s="85" ph="1"/>
    </row>
    <row r="3636" spans="20:20" ht="26.25">
      <c r="T3636" s="85" ph="1"/>
    </row>
    <row r="3637" spans="20:20" ht="26.25">
      <c r="T3637" s="85" ph="1"/>
    </row>
    <row r="3638" spans="20:20" ht="26.25">
      <c r="T3638" s="85" ph="1"/>
    </row>
    <row r="3639" spans="20:20" ht="26.25">
      <c r="T3639" s="85" ph="1"/>
    </row>
    <row r="3640" spans="20:20" ht="26.25">
      <c r="T3640" s="85" ph="1"/>
    </row>
    <row r="3641" spans="20:20" ht="26.25">
      <c r="T3641" s="85" ph="1"/>
    </row>
    <row r="3642" spans="20:20" ht="26.25">
      <c r="T3642" s="85" ph="1"/>
    </row>
    <row r="3643" spans="20:20" ht="26.25">
      <c r="T3643" s="85" ph="1"/>
    </row>
    <row r="3644" spans="20:20" ht="26.25">
      <c r="T3644" s="85" ph="1"/>
    </row>
    <row r="3645" spans="20:20" ht="26.25">
      <c r="T3645" s="85" ph="1"/>
    </row>
    <row r="3646" spans="20:20" ht="26.25">
      <c r="T3646" s="85" ph="1"/>
    </row>
    <row r="3647" spans="20:20" ht="26.25">
      <c r="T3647" s="85" ph="1"/>
    </row>
    <row r="3648" spans="20:20" ht="26.25">
      <c r="T3648" s="85" ph="1"/>
    </row>
    <row r="3649" spans="20:20" ht="26.25">
      <c r="T3649" s="85" ph="1"/>
    </row>
    <row r="3650" spans="20:20" ht="26.25">
      <c r="T3650" s="85" ph="1"/>
    </row>
    <row r="3651" spans="20:20" ht="26.25">
      <c r="T3651" s="85" ph="1"/>
    </row>
    <row r="3652" spans="20:20" ht="26.25">
      <c r="T3652" s="85" ph="1"/>
    </row>
    <row r="3653" spans="20:20" ht="26.25">
      <c r="T3653" s="85" ph="1"/>
    </row>
    <row r="3654" spans="20:20" ht="26.25">
      <c r="T3654" s="85" ph="1"/>
    </row>
    <row r="3655" spans="20:20" ht="26.25">
      <c r="T3655" s="85" ph="1"/>
    </row>
    <row r="3656" spans="20:20" ht="26.25">
      <c r="T3656" s="85" ph="1"/>
    </row>
    <row r="3657" spans="20:20" ht="26.25">
      <c r="T3657" s="85" ph="1"/>
    </row>
    <row r="3658" spans="20:20" ht="26.25">
      <c r="T3658" s="85" ph="1"/>
    </row>
    <row r="3659" spans="20:20" ht="26.25">
      <c r="T3659" s="85" ph="1"/>
    </row>
    <row r="3660" spans="20:20" ht="26.25">
      <c r="T3660" s="85" ph="1"/>
    </row>
    <row r="3661" spans="20:20" ht="26.25">
      <c r="T3661" s="85" ph="1"/>
    </row>
    <row r="3662" spans="20:20" ht="26.25">
      <c r="T3662" s="85" ph="1"/>
    </row>
    <row r="3663" spans="20:20" ht="26.25">
      <c r="T3663" s="85" ph="1"/>
    </row>
    <row r="3664" spans="20:20" ht="26.25">
      <c r="T3664" s="85" ph="1"/>
    </row>
    <row r="3665" spans="20:20" ht="26.25">
      <c r="T3665" s="85" ph="1"/>
    </row>
    <row r="3666" spans="20:20" ht="26.25">
      <c r="T3666" s="85" ph="1"/>
    </row>
    <row r="3667" spans="20:20" ht="26.25">
      <c r="T3667" s="85" ph="1"/>
    </row>
    <row r="3668" spans="20:20" ht="26.25">
      <c r="T3668" s="85" ph="1"/>
    </row>
    <row r="3669" spans="20:20" ht="26.25">
      <c r="T3669" s="85" ph="1"/>
    </row>
    <row r="3670" spans="20:20" ht="26.25">
      <c r="T3670" s="85" ph="1"/>
    </row>
    <row r="3671" spans="20:20" ht="26.25">
      <c r="T3671" s="85" ph="1"/>
    </row>
    <row r="3672" spans="20:20" ht="26.25">
      <c r="T3672" s="85" ph="1"/>
    </row>
    <row r="3673" spans="20:20" ht="26.25">
      <c r="T3673" s="85" ph="1"/>
    </row>
    <row r="3674" spans="20:20" ht="26.25">
      <c r="T3674" s="85" ph="1"/>
    </row>
    <row r="3675" spans="20:20" ht="26.25">
      <c r="T3675" s="85" ph="1"/>
    </row>
    <row r="3676" spans="20:20" ht="26.25">
      <c r="T3676" s="85" ph="1"/>
    </row>
    <row r="3677" spans="20:20" ht="26.25">
      <c r="T3677" s="85" ph="1"/>
    </row>
    <row r="3678" spans="20:20" ht="26.25">
      <c r="T3678" s="85" ph="1"/>
    </row>
    <row r="3679" spans="20:20" ht="26.25">
      <c r="T3679" s="85" ph="1"/>
    </row>
    <row r="3680" spans="20:20" ht="26.25">
      <c r="T3680" s="85" ph="1"/>
    </row>
    <row r="3681" spans="20:20" ht="26.25">
      <c r="T3681" s="85" ph="1"/>
    </row>
    <row r="3682" spans="20:20" ht="26.25">
      <c r="T3682" s="85" ph="1"/>
    </row>
    <row r="3683" spans="20:20" ht="26.25">
      <c r="T3683" s="85" ph="1"/>
    </row>
    <row r="3684" spans="20:20" ht="26.25">
      <c r="T3684" s="85" ph="1"/>
    </row>
    <row r="3685" spans="20:20" ht="26.25">
      <c r="T3685" s="85" ph="1"/>
    </row>
    <row r="3686" spans="20:20" ht="26.25">
      <c r="T3686" s="85" ph="1"/>
    </row>
    <row r="3687" spans="20:20" ht="26.25">
      <c r="T3687" s="85" ph="1"/>
    </row>
    <row r="3688" spans="20:20" ht="26.25">
      <c r="T3688" s="85" ph="1"/>
    </row>
    <row r="3689" spans="20:20" ht="26.25">
      <c r="T3689" s="85" ph="1"/>
    </row>
    <row r="3690" spans="20:20" ht="26.25">
      <c r="T3690" s="85" ph="1"/>
    </row>
    <row r="3691" spans="20:20" ht="26.25">
      <c r="T3691" s="85" ph="1"/>
    </row>
    <row r="3692" spans="20:20" ht="26.25">
      <c r="T3692" s="85" ph="1"/>
    </row>
    <row r="3693" spans="20:20" ht="26.25">
      <c r="T3693" s="85" ph="1"/>
    </row>
    <row r="3694" spans="20:20" ht="26.25">
      <c r="T3694" s="85" ph="1"/>
    </row>
    <row r="3695" spans="20:20" ht="26.25">
      <c r="T3695" s="85" ph="1"/>
    </row>
    <row r="3696" spans="20:20" ht="26.25">
      <c r="T3696" s="85" ph="1"/>
    </row>
    <row r="3697" spans="20:20" ht="26.25">
      <c r="T3697" s="85" ph="1"/>
    </row>
    <row r="3698" spans="20:20" ht="26.25">
      <c r="T3698" s="85" ph="1"/>
    </row>
    <row r="3699" spans="20:20" ht="26.25">
      <c r="T3699" s="85" ph="1"/>
    </row>
    <row r="3700" spans="20:20" ht="26.25">
      <c r="T3700" s="85" ph="1"/>
    </row>
    <row r="3701" spans="20:20" ht="26.25">
      <c r="T3701" s="85" ph="1"/>
    </row>
    <row r="3702" spans="20:20" ht="26.25">
      <c r="T3702" s="85" ph="1"/>
    </row>
    <row r="3703" spans="20:20" ht="26.25">
      <c r="T3703" s="85" ph="1"/>
    </row>
    <row r="3704" spans="20:20" ht="26.25">
      <c r="T3704" s="85" ph="1"/>
    </row>
    <row r="3705" spans="20:20" ht="26.25">
      <c r="T3705" s="85" ph="1"/>
    </row>
    <row r="3706" spans="20:20" ht="26.25">
      <c r="T3706" s="85" ph="1"/>
    </row>
    <row r="3707" spans="20:20" ht="26.25">
      <c r="T3707" s="85" ph="1"/>
    </row>
    <row r="3708" spans="20:20" ht="26.25">
      <c r="T3708" s="85" ph="1"/>
    </row>
    <row r="3709" spans="20:20" ht="26.25">
      <c r="T3709" s="85" ph="1"/>
    </row>
    <row r="3710" spans="20:20" ht="26.25">
      <c r="T3710" s="85" ph="1"/>
    </row>
    <row r="3711" spans="20:20" ht="26.25">
      <c r="T3711" s="85" ph="1"/>
    </row>
    <row r="3712" spans="20:20" ht="26.25">
      <c r="T3712" s="85" ph="1"/>
    </row>
    <row r="3713" spans="20:20" ht="26.25">
      <c r="T3713" s="85" ph="1"/>
    </row>
    <row r="3714" spans="20:20" ht="26.25">
      <c r="T3714" s="85" ph="1"/>
    </row>
    <row r="3715" spans="20:20" ht="26.25">
      <c r="T3715" s="85" ph="1"/>
    </row>
    <row r="3716" spans="20:20" ht="26.25">
      <c r="T3716" s="85" ph="1"/>
    </row>
    <row r="3717" spans="20:20" ht="26.25">
      <c r="T3717" s="85" ph="1"/>
    </row>
    <row r="3718" spans="20:20" ht="26.25">
      <c r="T3718" s="85" ph="1"/>
    </row>
    <row r="3719" spans="20:20" ht="26.25">
      <c r="T3719" s="85" ph="1"/>
    </row>
    <row r="3720" spans="20:20" ht="26.25">
      <c r="T3720" s="85" ph="1"/>
    </row>
    <row r="3721" spans="20:20" ht="26.25">
      <c r="T3721" s="85" ph="1"/>
    </row>
    <row r="3722" spans="20:20" ht="26.25">
      <c r="T3722" s="85" ph="1"/>
    </row>
    <row r="3723" spans="20:20" ht="26.25">
      <c r="T3723" s="85" ph="1"/>
    </row>
    <row r="3724" spans="20:20" ht="26.25">
      <c r="T3724" s="85" ph="1"/>
    </row>
    <row r="3725" spans="20:20" ht="26.25">
      <c r="T3725" s="85" ph="1"/>
    </row>
    <row r="3726" spans="20:20" ht="26.25">
      <c r="T3726" s="85" ph="1"/>
    </row>
    <row r="3727" spans="20:20" ht="26.25">
      <c r="T3727" s="85" ph="1"/>
    </row>
    <row r="3728" spans="20:20" ht="26.25">
      <c r="T3728" s="85" ph="1"/>
    </row>
    <row r="3729" spans="20:20" ht="26.25">
      <c r="T3729" s="85" ph="1"/>
    </row>
    <row r="3730" spans="20:20" ht="26.25">
      <c r="T3730" s="85" ph="1"/>
    </row>
    <row r="3731" spans="20:20" ht="26.25">
      <c r="T3731" s="85" ph="1"/>
    </row>
    <row r="3732" spans="20:20" ht="26.25">
      <c r="T3732" s="85" ph="1"/>
    </row>
    <row r="3733" spans="20:20" ht="26.25">
      <c r="T3733" s="85" ph="1"/>
    </row>
    <row r="3734" spans="20:20" ht="26.25">
      <c r="T3734" s="85" ph="1"/>
    </row>
    <row r="3735" spans="20:20" ht="26.25">
      <c r="T3735" s="85" ph="1"/>
    </row>
    <row r="3736" spans="20:20" ht="26.25">
      <c r="T3736" s="85" ph="1"/>
    </row>
    <row r="3737" spans="20:20" ht="26.25">
      <c r="T3737" s="85" ph="1"/>
    </row>
    <row r="3738" spans="20:20" ht="26.25">
      <c r="T3738" s="85" ph="1"/>
    </row>
    <row r="3739" spans="20:20" ht="26.25">
      <c r="T3739" s="85" ph="1"/>
    </row>
    <row r="3740" spans="20:20" ht="26.25">
      <c r="T3740" s="85" ph="1"/>
    </row>
    <row r="3741" spans="20:20" ht="26.25">
      <c r="T3741" s="85" ph="1"/>
    </row>
    <row r="3742" spans="20:20" ht="26.25">
      <c r="T3742" s="85" ph="1"/>
    </row>
    <row r="3743" spans="20:20" ht="26.25">
      <c r="T3743" s="85" ph="1"/>
    </row>
    <row r="3744" spans="20:20" ht="26.25">
      <c r="T3744" s="85" ph="1"/>
    </row>
    <row r="3745" spans="20:20" ht="26.25">
      <c r="T3745" s="85" ph="1"/>
    </row>
    <row r="3746" spans="20:20" ht="26.25">
      <c r="T3746" s="85" ph="1"/>
    </row>
    <row r="3747" spans="20:20" ht="26.25">
      <c r="T3747" s="85" ph="1"/>
    </row>
    <row r="3748" spans="20:20" ht="26.25">
      <c r="T3748" s="85" ph="1"/>
    </row>
    <row r="3749" spans="20:20" ht="26.25">
      <c r="T3749" s="85" ph="1"/>
    </row>
    <row r="3750" spans="20:20" ht="26.25">
      <c r="T3750" s="85" ph="1"/>
    </row>
    <row r="3751" spans="20:20" ht="26.25">
      <c r="T3751" s="85" ph="1"/>
    </row>
    <row r="3752" spans="20:20" ht="26.25">
      <c r="T3752" s="85" ph="1"/>
    </row>
    <row r="3753" spans="20:20" ht="26.25">
      <c r="T3753" s="85" ph="1"/>
    </row>
    <row r="3754" spans="20:20" ht="26.25">
      <c r="T3754" s="85" ph="1"/>
    </row>
    <row r="3755" spans="20:20" ht="26.25">
      <c r="T3755" s="85" ph="1"/>
    </row>
    <row r="3756" spans="20:20" ht="26.25">
      <c r="T3756" s="85" ph="1"/>
    </row>
    <row r="3757" spans="20:20" ht="26.25">
      <c r="T3757" s="85" ph="1"/>
    </row>
    <row r="3758" spans="20:20" ht="26.25">
      <c r="T3758" s="85" ph="1"/>
    </row>
    <row r="3759" spans="20:20" ht="26.25">
      <c r="T3759" s="85" ph="1"/>
    </row>
    <row r="3760" spans="20:20" ht="26.25">
      <c r="T3760" s="85" ph="1"/>
    </row>
    <row r="3761" spans="20:20" ht="26.25">
      <c r="T3761" s="85" ph="1"/>
    </row>
    <row r="3762" spans="20:20" ht="26.25">
      <c r="T3762" s="85" ph="1"/>
    </row>
    <row r="3763" spans="20:20" ht="26.25">
      <c r="T3763" s="85" ph="1"/>
    </row>
    <row r="3764" spans="20:20" ht="26.25">
      <c r="T3764" s="85" ph="1"/>
    </row>
    <row r="3765" spans="20:20" ht="26.25">
      <c r="T3765" s="85" ph="1"/>
    </row>
    <row r="3766" spans="20:20" ht="26.25">
      <c r="T3766" s="85" ph="1"/>
    </row>
    <row r="3767" spans="20:20" ht="26.25">
      <c r="T3767" s="85" ph="1"/>
    </row>
    <row r="3768" spans="20:20" ht="26.25">
      <c r="T3768" s="85" ph="1"/>
    </row>
    <row r="3769" spans="20:20" ht="26.25">
      <c r="T3769" s="85" ph="1"/>
    </row>
    <row r="3770" spans="20:20" ht="26.25">
      <c r="T3770" s="85" ph="1"/>
    </row>
    <row r="3771" spans="20:20" ht="26.25">
      <c r="T3771" s="85" ph="1"/>
    </row>
    <row r="3772" spans="20:20" ht="26.25">
      <c r="T3772" s="85" ph="1"/>
    </row>
    <row r="3773" spans="20:20" ht="26.25">
      <c r="T3773" s="85" ph="1"/>
    </row>
    <row r="3774" spans="20:20" ht="26.25">
      <c r="T3774" s="85" ph="1"/>
    </row>
    <row r="3775" spans="20:20" ht="26.25">
      <c r="T3775" s="85" ph="1"/>
    </row>
    <row r="3776" spans="20:20" ht="26.25">
      <c r="T3776" s="85" ph="1"/>
    </row>
    <row r="3777" spans="20:20" ht="26.25">
      <c r="T3777" s="85" ph="1"/>
    </row>
    <row r="3778" spans="20:20" ht="26.25">
      <c r="T3778" s="85" ph="1"/>
    </row>
    <row r="3779" spans="20:20" ht="26.25">
      <c r="T3779" s="85" ph="1"/>
    </row>
    <row r="3780" spans="20:20" ht="26.25">
      <c r="T3780" s="85" ph="1"/>
    </row>
    <row r="3781" spans="20:20" ht="26.25">
      <c r="T3781" s="85" ph="1"/>
    </row>
    <row r="3782" spans="20:20" ht="26.25">
      <c r="T3782" s="85" ph="1"/>
    </row>
    <row r="3783" spans="20:20" ht="26.25">
      <c r="T3783" s="85" ph="1"/>
    </row>
    <row r="3784" spans="20:20" ht="26.25">
      <c r="T3784" s="85" ph="1"/>
    </row>
    <row r="3785" spans="20:20" ht="26.25">
      <c r="T3785" s="85" ph="1"/>
    </row>
    <row r="3786" spans="20:20" ht="26.25">
      <c r="T3786" s="85" ph="1"/>
    </row>
    <row r="3787" spans="20:20" ht="26.25">
      <c r="T3787" s="85" ph="1"/>
    </row>
    <row r="3788" spans="20:20" ht="26.25">
      <c r="T3788" s="85" ph="1"/>
    </row>
    <row r="3789" spans="20:20" ht="26.25">
      <c r="T3789" s="85" ph="1"/>
    </row>
    <row r="3790" spans="20:20" ht="26.25">
      <c r="T3790" s="85" ph="1"/>
    </row>
    <row r="3791" spans="20:20" ht="26.25">
      <c r="T3791" s="85" ph="1"/>
    </row>
    <row r="3792" spans="20:20" ht="26.25">
      <c r="T3792" s="85" ph="1"/>
    </row>
    <row r="3793" spans="20:20" ht="26.25">
      <c r="T3793" s="85" ph="1"/>
    </row>
    <row r="3794" spans="20:20" ht="26.25">
      <c r="T3794" s="85" ph="1"/>
    </row>
    <row r="3795" spans="20:20" ht="26.25">
      <c r="T3795" s="85" ph="1"/>
    </row>
    <row r="3796" spans="20:20" ht="26.25">
      <c r="T3796" s="85" ph="1"/>
    </row>
    <row r="3797" spans="20:20" ht="26.25">
      <c r="T3797" s="85" ph="1"/>
    </row>
    <row r="3798" spans="20:20" ht="26.25">
      <c r="T3798" s="85" ph="1"/>
    </row>
    <row r="3799" spans="20:20" ht="26.25">
      <c r="T3799" s="85" ph="1"/>
    </row>
    <row r="3800" spans="20:20" ht="26.25">
      <c r="T3800" s="85" ph="1"/>
    </row>
    <row r="3801" spans="20:20" ht="26.25">
      <c r="T3801" s="85" ph="1"/>
    </row>
    <row r="3802" spans="20:20" ht="26.25">
      <c r="T3802" s="85" ph="1"/>
    </row>
    <row r="3803" spans="20:20" ht="26.25">
      <c r="T3803" s="85" ph="1"/>
    </row>
    <row r="3804" spans="20:20" ht="26.25">
      <c r="T3804" s="85" ph="1"/>
    </row>
    <row r="3805" spans="20:20" ht="26.25">
      <c r="T3805" s="85" ph="1"/>
    </row>
    <row r="3806" spans="20:20" ht="26.25">
      <c r="T3806" s="85" ph="1"/>
    </row>
    <row r="3807" spans="20:20" ht="26.25">
      <c r="T3807" s="85" ph="1"/>
    </row>
    <row r="3808" spans="20:20" ht="26.25">
      <c r="T3808" s="85" ph="1"/>
    </row>
    <row r="3809" spans="20:20" ht="26.25">
      <c r="T3809" s="85" ph="1"/>
    </row>
    <row r="3810" spans="20:20" ht="26.25">
      <c r="T3810" s="85" ph="1"/>
    </row>
    <row r="3811" spans="20:20" ht="26.25">
      <c r="T3811" s="85" ph="1"/>
    </row>
    <row r="3812" spans="20:20" ht="26.25">
      <c r="T3812" s="85" ph="1"/>
    </row>
    <row r="3813" spans="20:20" ht="26.25">
      <c r="T3813" s="85" ph="1"/>
    </row>
    <row r="3814" spans="20:20" ht="26.25">
      <c r="T3814" s="85" ph="1"/>
    </row>
    <row r="3815" spans="20:20" ht="26.25">
      <c r="T3815" s="85" ph="1"/>
    </row>
    <row r="3816" spans="20:20" ht="26.25">
      <c r="T3816" s="85" ph="1"/>
    </row>
    <row r="3817" spans="20:20" ht="26.25">
      <c r="T3817" s="85" ph="1"/>
    </row>
    <row r="3818" spans="20:20" ht="26.25">
      <c r="T3818" s="85" ph="1"/>
    </row>
    <row r="3819" spans="20:20" ht="26.25">
      <c r="T3819" s="85" ph="1"/>
    </row>
    <row r="3820" spans="20:20" ht="26.25">
      <c r="T3820" s="85" ph="1"/>
    </row>
    <row r="3821" spans="20:20" ht="26.25">
      <c r="T3821" s="85" ph="1"/>
    </row>
    <row r="3822" spans="20:20" ht="26.25">
      <c r="T3822" s="85" ph="1"/>
    </row>
    <row r="3823" spans="20:20" ht="26.25">
      <c r="T3823" s="85" ph="1"/>
    </row>
    <row r="3824" spans="20:20" ht="26.25">
      <c r="T3824" s="85" ph="1"/>
    </row>
    <row r="3825" spans="20:20" ht="26.25">
      <c r="T3825" s="85" ph="1"/>
    </row>
    <row r="3826" spans="20:20" ht="26.25">
      <c r="T3826" s="85" ph="1"/>
    </row>
    <row r="3827" spans="20:20" ht="26.25">
      <c r="T3827" s="85" ph="1"/>
    </row>
    <row r="3828" spans="20:20" ht="26.25">
      <c r="T3828" s="85" ph="1"/>
    </row>
    <row r="3829" spans="20:20" ht="26.25">
      <c r="T3829" s="85" ph="1"/>
    </row>
    <row r="3830" spans="20:20" ht="26.25">
      <c r="T3830" s="85" ph="1"/>
    </row>
    <row r="3831" spans="20:20" ht="26.25">
      <c r="T3831" s="85" ph="1"/>
    </row>
    <row r="3832" spans="20:20" ht="26.25">
      <c r="T3832" s="85" ph="1"/>
    </row>
    <row r="3833" spans="20:20" ht="26.25">
      <c r="T3833" s="85" ph="1"/>
    </row>
    <row r="3834" spans="20:20" ht="26.25">
      <c r="T3834" s="85" ph="1"/>
    </row>
    <row r="3835" spans="20:20" ht="26.25">
      <c r="T3835" s="85" ph="1"/>
    </row>
    <row r="3836" spans="20:20" ht="26.25">
      <c r="T3836" s="85" ph="1"/>
    </row>
    <row r="3837" spans="20:20" ht="26.25">
      <c r="T3837" s="85" ph="1"/>
    </row>
    <row r="3838" spans="20:20" ht="26.25">
      <c r="T3838" s="85" ph="1"/>
    </row>
    <row r="3839" spans="20:20" ht="26.25">
      <c r="T3839" s="85" ph="1"/>
    </row>
    <row r="3840" spans="20:20" ht="26.25">
      <c r="T3840" s="85" ph="1"/>
    </row>
    <row r="3841" spans="20:20" ht="26.25">
      <c r="T3841" s="85" ph="1"/>
    </row>
    <row r="3842" spans="20:20" ht="26.25">
      <c r="T3842" s="85" ph="1"/>
    </row>
    <row r="3843" spans="20:20" ht="26.25">
      <c r="T3843" s="85" ph="1"/>
    </row>
    <row r="3844" spans="20:20" ht="26.25">
      <c r="T3844" s="85" ph="1"/>
    </row>
    <row r="3845" spans="20:20" ht="26.25">
      <c r="T3845" s="85" ph="1"/>
    </row>
    <row r="3846" spans="20:20" ht="26.25">
      <c r="T3846" s="85" ph="1"/>
    </row>
    <row r="3847" spans="20:20" ht="26.25">
      <c r="T3847" s="85" ph="1"/>
    </row>
    <row r="3848" spans="20:20" ht="26.25">
      <c r="T3848" s="85" ph="1"/>
    </row>
    <row r="3849" spans="20:20" ht="26.25">
      <c r="T3849" s="85" ph="1"/>
    </row>
    <row r="3850" spans="20:20" ht="26.25">
      <c r="T3850" s="85" ph="1"/>
    </row>
    <row r="3851" spans="20:20" ht="26.25">
      <c r="T3851" s="85" ph="1"/>
    </row>
    <row r="3852" spans="20:20" ht="26.25">
      <c r="T3852" s="85" ph="1"/>
    </row>
    <row r="3853" spans="20:20" ht="26.25">
      <c r="T3853" s="85" ph="1"/>
    </row>
    <row r="3854" spans="20:20" ht="26.25">
      <c r="T3854" s="85" ph="1"/>
    </row>
    <row r="3855" spans="20:20" ht="26.25">
      <c r="T3855" s="85" ph="1"/>
    </row>
    <row r="3856" spans="20:20" ht="26.25">
      <c r="T3856" s="85" ph="1"/>
    </row>
    <row r="3857" spans="20:20" ht="26.25">
      <c r="T3857" s="85" ph="1"/>
    </row>
    <row r="3858" spans="20:20" ht="26.25">
      <c r="T3858" s="85" ph="1"/>
    </row>
    <row r="3859" spans="20:20" ht="26.25">
      <c r="T3859" s="85" ph="1"/>
    </row>
    <row r="3860" spans="20:20" ht="26.25">
      <c r="T3860" s="85" ph="1"/>
    </row>
    <row r="3861" spans="20:20" ht="26.25">
      <c r="T3861" s="85" ph="1"/>
    </row>
    <row r="3862" spans="20:20" ht="26.25">
      <c r="T3862" s="85" ph="1"/>
    </row>
    <row r="3863" spans="20:20" ht="26.25">
      <c r="T3863" s="85" ph="1"/>
    </row>
    <row r="3864" spans="20:20" ht="26.25">
      <c r="T3864" s="85" ph="1"/>
    </row>
    <row r="3865" spans="20:20" ht="26.25">
      <c r="T3865" s="85" ph="1"/>
    </row>
    <row r="3866" spans="20:20" ht="26.25">
      <c r="T3866" s="85" ph="1"/>
    </row>
    <row r="3867" spans="20:20" ht="26.25">
      <c r="T3867" s="85" ph="1"/>
    </row>
    <row r="3868" spans="20:20" ht="26.25">
      <c r="T3868" s="85" ph="1"/>
    </row>
    <row r="3869" spans="20:20" ht="26.25">
      <c r="T3869" s="85" ph="1"/>
    </row>
    <row r="3870" spans="20:20" ht="26.25">
      <c r="T3870" s="85" ph="1"/>
    </row>
    <row r="3871" spans="20:20" ht="26.25">
      <c r="T3871" s="85" ph="1"/>
    </row>
    <row r="3872" spans="20:20" ht="26.25">
      <c r="T3872" s="85" ph="1"/>
    </row>
    <row r="3873" spans="20:20" ht="26.25">
      <c r="T3873" s="85" ph="1"/>
    </row>
    <row r="3874" spans="20:20" ht="26.25">
      <c r="T3874" s="85" ph="1"/>
    </row>
    <row r="3875" spans="20:20" ht="26.25">
      <c r="T3875" s="85" ph="1"/>
    </row>
    <row r="3876" spans="20:20" ht="26.25">
      <c r="T3876" s="85" ph="1"/>
    </row>
    <row r="3877" spans="20:20" ht="26.25">
      <c r="T3877" s="85" ph="1"/>
    </row>
    <row r="3878" spans="20:20" ht="26.25">
      <c r="T3878" s="85" ph="1"/>
    </row>
    <row r="3879" spans="20:20" ht="26.25">
      <c r="T3879" s="85" ph="1"/>
    </row>
    <row r="3880" spans="20:20" ht="26.25">
      <c r="T3880" s="85" ph="1"/>
    </row>
    <row r="3881" spans="20:20" ht="26.25">
      <c r="T3881" s="85" ph="1"/>
    </row>
    <row r="3882" spans="20:20" ht="26.25">
      <c r="T3882" s="85" ph="1"/>
    </row>
    <row r="3883" spans="20:20" ht="26.25">
      <c r="T3883" s="85" ph="1"/>
    </row>
    <row r="3884" spans="20:20" ht="26.25">
      <c r="T3884" s="85" ph="1"/>
    </row>
    <row r="3885" spans="20:20" ht="26.25">
      <c r="T3885" s="85" ph="1"/>
    </row>
    <row r="3886" spans="20:20" ht="26.25">
      <c r="T3886" s="85" ph="1"/>
    </row>
    <row r="3887" spans="20:20" ht="26.25">
      <c r="T3887" s="85" ph="1"/>
    </row>
    <row r="3888" spans="20:20" ht="26.25">
      <c r="T3888" s="85" ph="1"/>
    </row>
    <row r="3889" spans="20:20" ht="26.25">
      <c r="T3889" s="85" ph="1"/>
    </row>
    <row r="3890" spans="20:20" ht="26.25">
      <c r="T3890" s="85" ph="1"/>
    </row>
    <row r="3891" spans="20:20" ht="26.25">
      <c r="T3891" s="85" ph="1"/>
    </row>
    <row r="3892" spans="20:20" ht="26.25">
      <c r="T3892" s="85" ph="1"/>
    </row>
    <row r="3893" spans="20:20" ht="26.25">
      <c r="T3893" s="85" ph="1"/>
    </row>
    <row r="3894" spans="20:20" ht="26.25">
      <c r="T3894" s="85" ph="1"/>
    </row>
    <row r="3895" spans="20:20" ht="26.25">
      <c r="T3895" s="85" ph="1"/>
    </row>
    <row r="3896" spans="20:20" ht="26.25">
      <c r="T3896" s="85" ph="1"/>
    </row>
    <row r="3897" spans="20:20" ht="26.25">
      <c r="T3897" s="85" ph="1"/>
    </row>
    <row r="3898" spans="20:20" ht="26.25">
      <c r="T3898" s="85" ph="1"/>
    </row>
    <row r="3899" spans="20:20" ht="26.25">
      <c r="T3899" s="85" ph="1"/>
    </row>
    <row r="3900" spans="20:20" ht="26.25">
      <c r="T3900" s="85" ph="1"/>
    </row>
    <row r="3901" spans="20:20" ht="26.25">
      <c r="T3901" s="85" ph="1"/>
    </row>
    <row r="3902" spans="20:20" ht="26.25">
      <c r="T3902" s="85" ph="1"/>
    </row>
    <row r="3903" spans="20:20" ht="26.25">
      <c r="T3903" s="85" ph="1"/>
    </row>
    <row r="3904" spans="20:20" ht="26.25">
      <c r="T3904" s="85" ph="1"/>
    </row>
    <row r="3905" spans="20:20" ht="26.25">
      <c r="T3905" s="85" ph="1"/>
    </row>
    <row r="3906" spans="20:20" ht="26.25">
      <c r="T3906" s="85" ph="1"/>
    </row>
    <row r="3907" spans="20:20" ht="26.25">
      <c r="T3907" s="85" ph="1"/>
    </row>
    <row r="3908" spans="20:20" ht="26.25">
      <c r="T3908" s="85" ph="1"/>
    </row>
    <row r="3909" spans="20:20" ht="26.25">
      <c r="T3909" s="85" ph="1"/>
    </row>
    <row r="3910" spans="20:20" ht="26.25">
      <c r="T3910" s="85" ph="1"/>
    </row>
    <row r="3911" spans="20:20" ht="26.25">
      <c r="T3911" s="85" ph="1"/>
    </row>
    <row r="3912" spans="20:20" ht="26.25">
      <c r="T3912" s="85" ph="1"/>
    </row>
    <row r="3913" spans="20:20" ht="26.25">
      <c r="T3913" s="85" ph="1"/>
    </row>
    <row r="3914" spans="20:20" ht="26.25">
      <c r="T3914" s="85" ph="1"/>
    </row>
    <row r="3915" spans="20:20" ht="26.25">
      <c r="T3915" s="85" ph="1"/>
    </row>
    <row r="3916" spans="20:20" ht="26.25">
      <c r="T3916" s="85" ph="1"/>
    </row>
    <row r="3917" spans="20:20" ht="26.25">
      <c r="T3917" s="85" ph="1"/>
    </row>
    <row r="3918" spans="20:20" ht="26.25">
      <c r="T3918" s="85" ph="1"/>
    </row>
    <row r="3919" spans="20:20" ht="26.25">
      <c r="T3919" s="85" ph="1"/>
    </row>
    <row r="3920" spans="20:20" ht="26.25">
      <c r="T3920" s="85" ph="1"/>
    </row>
    <row r="3921" spans="20:20" ht="26.25">
      <c r="T3921" s="85" ph="1"/>
    </row>
    <row r="3922" spans="20:20" ht="26.25">
      <c r="T3922" s="85" ph="1"/>
    </row>
    <row r="3923" spans="20:20" ht="26.25">
      <c r="T3923" s="85" ph="1"/>
    </row>
    <row r="3924" spans="20:20" ht="26.25">
      <c r="T3924" s="85" ph="1"/>
    </row>
    <row r="3925" spans="20:20" ht="26.25">
      <c r="T3925" s="85" ph="1"/>
    </row>
    <row r="3926" spans="20:20" ht="26.25">
      <c r="T3926" s="85" ph="1"/>
    </row>
    <row r="3927" spans="20:20" ht="26.25">
      <c r="T3927" s="85" ph="1"/>
    </row>
    <row r="3928" spans="20:20" ht="26.25">
      <c r="T3928" s="85" ph="1"/>
    </row>
    <row r="3929" spans="20:20" ht="26.25">
      <c r="T3929" s="85" ph="1"/>
    </row>
    <row r="3930" spans="20:20" ht="26.25">
      <c r="T3930" s="85" ph="1"/>
    </row>
    <row r="3931" spans="20:20" ht="26.25">
      <c r="T3931" s="85" ph="1"/>
    </row>
    <row r="3932" spans="20:20" ht="26.25">
      <c r="T3932" s="85" ph="1"/>
    </row>
    <row r="3933" spans="20:20" ht="26.25">
      <c r="T3933" s="85" ph="1"/>
    </row>
    <row r="3934" spans="20:20" ht="26.25">
      <c r="T3934" s="85" ph="1"/>
    </row>
    <row r="3935" spans="20:20" ht="26.25">
      <c r="T3935" s="85" ph="1"/>
    </row>
    <row r="3936" spans="20:20" ht="26.25">
      <c r="T3936" s="85" ph="1"/>
    </row>
    <row r="3937" spans="20:20" ht="26.25">
      <c r="T3937" s="85" ph="1"/>
    </row>
    <row r="3938" spans="20:20" ht="26.25">
      <c r="T3938" s="85" ph="1"/>
    </row>
    <row r="3939" spans="20:20" ht="26.25">
      <c r="T3939" s="85" ph="1"/>
    </row>
    <row r="3940" spans="20:20" ht="26.25">
      <c r="T3940" s="85" ph="1"/>
    </row>
    <row r="3941" spans="20:20" ht="26.25">
      <c r="T3941" s="85" ph="1"/>
    </row>
    <row r="3942" spans="20:20" ht="26.25">
      <c r="T3942" s="85" ph="1"/>
    </row>
    <row r="3943" spans="20:20" ht="26.25">
      <c r="T3943" s="85" ph="1"/>
    </row>
    <row r="3944" spans="20:20" ht="26.25">
      <c r="T3944" s="85" ph="1"/>
    </row>
    <row r="3945" spans="20:20" ht="26.25">
      <c r="T3945" s="85" ph="1"/>
    </row>
    <row r="3946" spans="20:20" ht="26.25">
      <c r="T3946" s="85" ph="1"/>
    </row>
    <row r="3947" spans="20:20" ht="26.25">
      <c r="T3947" s="85" ph="1"/>
    </row>
    <row r="3948" spans="20:20" ht="26.25">
      <c r="T3948" s="85" ph="1"/>
    </row>
    <row r="3949" spans="20:20" ht="26.25">
      <c r="T3949" s="85" ph="1"/>
    </row>
    <row r="3950" spans="20:20" ht="26.25">
      <c r="T3950" s="85" ph="1"/>
    </row>
    <row r="3951" spans="20:20" ht="26.25">
      <c r="T3951" s="85" ph="1"/>
    </row>
    <row r="3952" spans="20:20" ht="26.25">
      <c r="T3952" s="85" ph="1"/>
    </row>
    <row r="3953" spans="20:20" ht="26.25">
      <c r="T3953" s="85" ph="1"/>
    </row>
    <row r="3954" spans="20:20" ht="26.25">
      <c r="T3954" s="85" ph="1"/>
    </row>
    <row r="3955" spans="20:20" ht="26.25">
      <c r="T3955" s="85" ph="1"/>
    </row>
    <row r="3956" spans="20:20" ht="26.25">
      <c r="T3956" s="85" ph="1"/>
    </row>
    <row r="3957" spans="20:20" ht="26.25">
      <c r="T3957" s="85" ph="1"/>
    </row>
    <row r="3958" spans="20:20" ht="26.25">
      <c r="T3958" s="85" ph="1"/>
    </row>
    <row r="3959" spans="20:20" ht="26.25">
      <c r="T3959" s="85" ph="1"/>
    </row>
    <row r="3960" spans="20:20" ht="26.25">
      <c r="T3960" s="85" ph="1"/>
    </row>
    <row r="3961" spans="20:20" ht="26.25">
      <c r="T3961" s="85" ph="1"/>
    </row>
    <row r="3962" spans="20:20" ht="26.25">
      <c r="T3962" s="85" ph="1"/>
    </row>
    <row r="3963" spans="20:20" ht="26.25">
      <c r="T3963" s="85" ph="1"/>
    </row>
    <row r="3964" spans="20:20" ht="26.25">
      <c r="T3964" s="85" ph="1"/>
    </row>
    <row r="3965" spans="20:20" ht="26.25">
      <c r="T3965" s="85" ph="1"/>
    </row>
    <row r="3966" spans="20:20" ht="26.25">
      <c r="T3966" s="85" ph="1"/>
    </row>
    <row r="3967" spans="20:20" ht="26.25">
      <c r="T3967" s="85" ph="1"/>
    </row>
    <row r="3968" spans="20:20" ht="26.25">
      <c r="T3968" s="85" ph="1"/>
    </row>
    <row r="3969" spans="20:20" ht="26.25">
      <c r="T3969" s="85" ph="1"/>
    </row>
    <row r="3970" spans="20:20" ht="26.25">
      <c r="T3970" s="85" ph="1"/>
    </row>
    <row r="3971" spans="20:20" ht="26.25">
      <c r="T3971" s="85" ph="1"/>
    </row>
    <row r="3972" spans="20:20" ht="26.25">
      <c r="T3972" s="85" ph="1"/>
    </row>
    <row r="3973" spans="20:20" ht="26.25">
      <c r="T3973" s="85" ph="1"/>
    </row>
    <row r="3974" spans="20:20" ht="26.25">
      <c r="T3974" s="85" ph="1"/>
    </row>
    <row r="3975" spans="20:20" ht="26.25">
      <c r="T3975" s="85" ph="1"/>
    </row>
    <row r="3976" spans="20:20" ht="26.25">
      <c r="T3976" s="85" ph="1"/>
    </row>
    <row r="3977" spans="20:20" ht="26.25">
      <c r="T3977" s="85" ph="1"/>
    </row>
    <row r="3978" spans="20:20" ht="26.25">
      <c r="T3978" s="85" ph="1"/>
    </row>
    <row r="3979" spans="20:20" ht="26.25">
      <c r="T3979" s="85" ph="1"/>
    </row>
    <row r="3980" spans="20:20" ht="26.25">
      <c r="T3980" s="85" ph="1"/>
    </row>
    <row r="3981" spans="20:20" ht="26.25">
      <c r="T3981" s="85" ph="1"/>
    </row>
    <row r="3982" spans="20:20" ht="26.25">
      <c r="T3982" s="85" ph="1"/>
    </row>
    <row r="3983" spans="20:20" ht="26.25">
      <c r="T3983" s="85" ph="1"/>
    </row>
    <row r="3984" spans="20:20" ht="26.25">
      <c r="T3984" s="85" ph="1"/>
    </row>
    <row r="3985" spans="20:20" ht="26.25">
      <c r="T3985" s="85" ph="1"/>
    </row>
    <row r="3986" spans="20:20" ht="26.25">
      <c r="T3986" s="85" ph="1"/>
    </row>
    <row r="3987" spans="20:20" ht="26.25">
      <c r="T3987" s="85" ph="1"/>
    </row>
    <row r="3988" spans="20:20" ht="26.25">
      <c r="T3988" s="85" ph="1"/>
    </row>
    <row r="3989" spans="20:20" ht="26.25">
      <c r="T3989" s="85" ph="1"/>
    </row>
    <row r="3990" spans="20:20" ht="26.25">
      <c r="T3990" s="85" ph="1"/>
    </row>
    <row r="3991" spans="20:20" ht="26.25">
      <c r="T3991" s="85" ph="1"/>
    </row>
    <row r="3992" spans="20:20" ht="26.25">
      <c r="T3992" s="85" ph="1"/>
    </row>
    <row r="3993" spans="20:20" ht="26.25">
      <c r="T3993" s="85" ph="1"/>
    </row>
    <row r="3994" spans="20:20" ht="26.25">
      <c r="T3994" s="85" ph="1"/>
    </row>
    <row r="3995" spans="20:20" ht="26.25">
      <c r="T3995" s="85" ph="1"/>
    </row>
    <row r="3996" spans="20:20" ht="26.25">
      <c r="T3996" s="85" ph="1"/>
    </row>
    <row r="3997" spans="20:20" ht="26.25">
      <c r="T3997" s="85" ph="1"/>
    </row>
    <row r="3998" spans="20:20" ht="26.25">
      <c r="T3998" s="85" ph="1"/>
    </row>
    <row r="3999" spans="20:20" ht="26.25">
      <c r="T3999" s="85" ph="1"/>
    </row>
    <row r="4000" spans="20:20" ht="26.25">
      <c r="T4000" s="85" ph="1"/>
    </row>
    <row r="4001" spans="20:20" ht="26.25">
      <c r="T4001" s="85" ph="1"/>
    </row>
    <row r="4002" spans="20:20" ht="26.25">
      <c r="T4002" s="85" ph="1"/>
    </row>
    <row r="4003" spans="20:20" ht="26.25">
      <c r="T4003" s="85" ph="1"/>
    </row>
    <row r="4004" spans="20:20" ht="26.25">
      <c r="T4004" s="85" ph="1"/>
    </row>
    <row r="4005" spans="20:20" ht="26.25">
      <c r="T4005" s="85" ph="1"/>
    </row>
    <row r="4006" spans="20:20" ht="26.25">
      <c r="T4006" s="85" ph="1"/>
    </row>
    <row r="4007" spans="20:20" ht="26.25">
      <c r="T4007" s="85" ph="1"/>
    </row>
    <row r="4008" spans="20:20" ht="26.25">
      <c r="T4008" s="85" ph="1"/>
    </row>
    <row r="4009" spans="20:20" ht="26.25">
      <c r="T4009" s="85" ph="1"/>
    </row>
    <row r="4010" spans="20:20" ht="26.25">
      <c r="T4010" s="85" ph="1"/>
    </row>
    <row r="4011" spans="20:20" ht="26.25">
      <c r="T4011" s="85" ph="1"/>
    </row>
    <row r="4012" spans="20:20" ht="26.25">
      <c r="T4012" s="85" ph="1"/>
    </row>
    <row r="4013" spans="20:20" ht="26.25">
      <c r="T4013" s="85" ph="1"/>
    </row>
    <row r="4014" spans="20:20" ht="26.25">
      <c r="T4014" s="85" ph="1"/>
    </row>
    <row r="4015" spans="20:20" ht="26.25">
      <c r="T4015" s="85" ph="1"/>
    </row>
    <row r="4016" spans="20:20" ht="26.25">
      <c r="T4016" s="85" ph="1"/>
    </row>
    <row r="4017" spans="20:20" ht="26.25">
      <c r="T4017" s="85" ph="1"/>
    </row>
    <row r="4018" spans="20:20" ht="26.25">
      <c r="T4018" s="85" ph="1"/>
    </row>
    <row r="4019" spans="20:20" ht="26.25">
      <c r="T4019" s="85" ph="1"/>
    </row>
    <row r="4020" spans="20:20" ht="26.25">
      <c r="T4020" s="85" ph="1"/>
    </row>
    <row r="4021" spans="20:20" ht="26.25">
      <c r="T4021" s="85" ph="1"/>
    </row>
    <row r="4022" spans="20:20" ht="26.25">
      <c r="T4022" s="85" ph="1"/>
    </row>
    <row r="4023" spans="20:20" ht="26.25">
      <c r="T4023" s="85" ph="1"/>
    </row>
    <row r="4024" spans="20:20" ht="26.25">
      <c r="T4024" s="85" ph="1"/>
    </row>
    <row r="4025" spans="20:20" ht="26.25">
      <c r="T4025" s="85" ph="1"/>
    </row>
    <row r="4026" spans="20:20" ht="26.25">
      <c r="T4026" s="85" ph="1"/>
    </row>
    <row r="4027" spans="20:20" ht="26.25">
      <c r="T4027" s="85" ph="1"/>
    </row>
    <row r="4028" spans="20:20" ht="26.25">
      <c r="T4028" s="85" ph="1"/>
    </row>
    <row r="4029" spans="20:20" ht="26.25">
      <c r="T4029" s="85" ph="1"/>
    </row>
    <row r="4030" spans="20:20" ht="26.25">
      <c r="T4030" s="85" ph="1"/>
    </row>
    <row r="4031" spans="20:20" ht="26.25">
      <c r="T4031" s="85" ph="1"/>
    </row>
    <row r="4032" spans="20:20" ht="26.25">
      <c r="T4032" s="85" ph="1"/>
    </row>
    <row r="4033" spans="20:20" ht="26.25">
      <c r="T4033" s="85" ph="1"/>
    </row>
    <row r="4034" spans="20:20" ht="26.25">
      <c r="T4034" s="85" ph="1"/>
    </row>
    <row r="4035" spans="20:20" ht="26.25">
      <c r="T4035" s="85" ph="1"/>
    </row>
    <row r="4036" spans="20:20" ht="26.25">
      <c r="T4036" s="85" ph="1"/>
    </row>
    <row r="4037" spans="20:20" ht="26.25">
      <c r="T4037" s="85" ph="1"/>
    </row>
    <row r="4038" spans="20:20" ht="26.25">
      <c r="T4038" s="85" ph="1"/>
    </row>
    <row r="4039" spans="20:20" ht="26.25">
      <c r="T4039" s="85" ph="1"/>
    </row>
    <row r="4040" spans="20:20" ht="26.25">
      <c r="T4040" s="85" ph="1"/>
    </row>
    <row r="4041" spans="20:20" ht="26.25">
      <c r="T4041" s="85" ph="1"/>
    </row>
    <row r="4042" spans="20:20" ht="26.25">
      <c r="T4042" s="85" ph="1"/>
    </row>
    <row r="4043" spans="20:20" ht="26.25">
      <c r="T4043" s="85" ph="1"/>
    </row>
    <row r="4044" spans="20:20" ht="26.25">
      <c r="T4044" s="85" ph="1"/>
    </row>
    <row r="4045" spans="20:20" ht="26.25">
      <c r="T4045" s="85" ph="1"/>
    </row>
    <row r="4046" spans="20:20" ht="26.25">
      <c r="T4046" s="85" ph="1"/>
    </row>
    <row r="4047" spans="20:20" ht="26.25">
      <c r="T4047" s="85" ph="1"/>
    </row>
    <row r="4048" spans="20:20" ht="26.25">
      <c r="T4048" s="85" ph="1"/>
    </row>
    <row r="4049" spans="20:20" ht="26.25">
      <c r="T4049" s="85" ph="1"/>
    </row>
    <row r="4050" spans="20:20" ht="26.25">
      <c r="T4050" s="85" ph="1"/>
    </row>
    <row r="4051" spans="20:20" ht="26.25">
      <c r="T4051" s="85" ph="1"/>
    </row>
    <row r="4052" spans="20:20" ht="26.25">
      <c r="T4052" s="85" ph="1"/>
    </row>
    <row r="4053" spans="20:20" ht="26.25">
      <c r="T4053" s="85" ph="1"/>
    </row>
    <row r="4054" spans="20:20" ht="26.25">
      <c r="T4054" s="85" ph="1"/>
    </row>
    <row r="4055" spans="20:20" ht="26.25">
      <c r="T4055" s="85" ph="1"/>
    </row>
    <row r="4056" spans="20:20" ht="26.25">
      <c r="T4056" s="85" ph="1"/>
    </row>
    <row r="4057" spans="20:20" ht="26.25">
      <c r="T4057" s="85" ph="1"/>
    </row>
    <row r="4058" spans="20:20" ht="26.25">
      <c r="T4058" s="85" ph="1"/>
    </row>
    <row r="4059" spans="20:20" ht="26.25">
      <c r="T4059" s="85" ph="1"/>
    </row>
    <row r="4060" spans="20:20" ht="26.25">
      <c r="T4060" s="85" ph="1"/>
    </row>
    <row r="4061" spans="20:20" ht="26.25">
      <c r="T4061" s="85" ph="1"/>
    </row>
    <row r="4062" spans="20:20" ht="26.25">
      <c r="T4062" s="85" ph="1"/>
    </row>
    <row r="4063" spans="20:20" ht="26.25">
      <c r="T4063" s="85" ph="1"/>
    </row>
    <row r="4064" spans="20:20" ht="26.25">
      <c r="T4064" s="85" ph="1"/>
    </row>
    <row r="4065" spans="20:20" ht="26.25">
      <c r="T4065" s="85" ph="1"/>
    </row>
    <row r="4066" spans="20:20" ht="26.25">
      <c r="T4066" s="85" ph="1"/>
    </row>
    <row r="4067" spans="20:20" ht="26.25">
      <c r="T4067" s="85" ph="1"/>
    </row>
    <row r="4068" spans="20:20" ht="26.25">
      <c r="T4068" s="85" ph="1"/>
    </row>
    <row r="4069" spans="20:20" ht="26.25">
      <c r="T4069" s="85" ph="1"/>
    </row>
    <row r="4070" spans="20:20" ht="26.25">
      <c r="T4070" s="85" ph="1"/>
    </row>
    <row r="4071" spans="20:20" ht="26.25">
      <c r="T4071" s="85" ph="1"/>
    </row>
    <row r="4072" spans="20:20" ht="26.25">
      <c r="T4072" s="85" ph="1"/>
    </row>
    <row r="4073" spans="20:20" ht="26.25">
      <c r="T4073" s="85" ph="1"/>
    </row>
    <row r="4074" spans="20:20" ht="26.25">
      <c r="T4074" s="85" ph="1"/>
    </row>
    <row r="4075" spans="20:20" ht="26.25">
      <c r="T4075" s="85" ph="1"/>
    </row>
    <row r="4076" spans="20:20" ht="26.25">
      <c r="T4076" s="85" ph="1"/>
    </row>
    <row r="4077" spans="20:20" ht="26.25">
      <c r="T4077" s="85" ph="1"/>
    </row>
    <row r="4078" spans="20:20" ht="26.25">
      <c r="T4078" s="85" ph="1"/>
    </row>
    <row r="4079" spans="20:20" ht="26.25">
      <c r="T4079" s="85" ph="1"/>
    </row>
    <row r="4080" spans="20:20" ht="26.25">
      <c r="T4080" s="85" ph="1"/>
    </row>
    <row r="4081" spans="20:20" ht="26.25">
      <c r="T4081" s="85" ph="1"/>
    </row>
    <row r="4082" spans="20:20" ht="26.25">
      <c r="T4082" s="85" ph="1"/>
    </row>
    <row r="4083" spans="20:20" ht="26.25">
      <c r="T4083" s="85" ph="1"/>
    </row>
    <row r="4084" spans="20:20" ht="26.25">
      <c r="T4084" s="85" ph="1"/>
    </row>
    <row r="4085" spans="20:20" ht="26.25">
      <c r="T4085" s="85" ph="1"/>
    </row>
    <row r="4086" spans="20:20" ht="26.25">
      <c r="T4086" s="85" ph="1"/>
    </row>
    <row r="4087" spans="20:20" ht="26.25">
      <c r="T4087" s="85" ph="1"/>
    </row>
    <row r="4088" spans="20:20" ht="26.25">
      <c r="T4088" s="85" ph="1"/>
    </row>
    <row r="4089" spans="20:20" ht="26.25">
      <c r="T4089" s="85" ph="1"/>
    </row>
    <row r="4090" spans="20:20" ht="26.25">
      <c r="T4090" s="85" ph="1"/>
    </row>
    <row r="4091" spans="20:20" ht="26.25">
      <c r="T4091" s="85" ph="1"/>
    </row>
    <row r="4092" spans="20:20" ht="26.25">
      <c r="T4092" s="85" ph="1"/>
    </row>
    <row r="4093" spans="20:20" ht="26.25">
      <c r="T4093" s="85" ph="1"/>
    </row>
    <row r="4094" spans="20:20" ht="26.25">
      <c r="T4094" s="85" ph="1"/>
    </row>
    <row r="4095" spans="20:20" ht="26.25">
      <c r="T4095" s="85" ph="1"/>
    </row>
    <row r="4096" spans="20:20" ht="26.25">
      <c r="T4096" s="85" ph="1"/>
    </row>
    <row r="4097" spans="20:20" ht="26.25">
      <c r="T4097" s="85" ph="1"/>
    </row>
    <row r="4098" spans="20:20" ht="26.25">
      <c r="T4098" s="85" ph="1"/>
    </row>
    <row r="4099" spans="20:20" ht="26.25">
      <c r="T4099" s="85" ph="1"/>
    </row>
    <row r="4100" spans="20:20" ht="26.25">
      <c r="T4100" s="85" ph="1"/>
    </row>
    <row r="4101" spans="20:20" ht="26.25">
      <c r="T4101" s="85" ph="1"/>
    </row>
    <row r="4102" spans="20:20" ht="26.25">
      <c r="T4102" s="85" ph="1"/>
    </row>
    <row r="4103" spans="20:20" ht="26.25">
      <c r="T4103" s="85" ph="1"/>
    </row>
    <row r="4104" spans="20:20" ht="26.25">
      <c r="T4104" s="85" ph="1"/>
    </row>
    <row r="4105" spans="20:20" ht="26.25">
      <c r="T4105" s="85" ph="1"/>
    </row>
    <row r="4106" spans="20:20" ht="26.25">
      <c r="T4106" s="85" ph="1"/>
    </row>
    <row r="4107" spans="20:20" ht="26.25">
      <c r="T4107" s="85" ph="1"/>
    </row>
    <row r="4108" spans="20:20" ht="26.25">
      <c r="T4108" s="85" ph="1"/>
    </row>
    <row r="4109" spans="20:20" ht="26.25">
      <c r="T4109" s="85" ph="1"/>
    </row>
    <row r="4110" spans="20:20" ht="26.25">
      <c r="T4110" s="85" ph="1"/>
    </row>
    <row r="4111" spans="20:20" ht="26.25">
      <c r="T4111" s="85" ph="1"/>
    </row>
    <row r="4112" spans="20:20" ht="26.25">
      <c r="T4112" s="85" ph="1"/>
    </row>
    <row r="4113" spans="20:20" ht="26.25">
      <c r="T4113" s="85" ph="1"/>
    </row>
    <row r="4114" spans="20:20" ht="26.25">
      <c r="T4114" s="85" ph="1"/>
    </row>
    <row r="4115" spans="20:20" ht="26.25">
      <c r="T4115" s="85" ph="1"/>
    </row>
    <row r="4116" spans="20:20" ht="26.25">
      <c r="T4116" s="85" ph="1"/>
    </row>
    <row r="4117" spans="20:20" ht="26.25">
      <c r="T4117" s="85" ph="1"/>
    </row>
    <row r="4118" spans="20:20" ht="26.25">
      <c r="T4118" s="85" ph="1"/>
    </row>
    <row r="4119" spans="20:20" ht="26.25">
      <c r="T4119" s="85" ph="1"/>
    </row>
    <row r="4120" spans="20:20" ht="26.25">
      <c r="T4120" s="85" ph="1"/>
    </row>
    <row r="4121" spans="20:20" ht="26.25">
      <c r="T4121" s="85" ph="1"/>
    </row>
    <row r="4122" spans="20:20" ht="26.25">
      <c r="T4122" s="85" ph="1"/>
    </row>
    <row r="4123" spans="20:20" ht="26.25">
      <c r="T4123" s="85" ph="1"/>
    </row>
    <row r="4124" spans="20:20" ht="26.25">
      <c r="T4124" s="85" ph="1"/>
    </row>
    <row r="4125" spans="20:20" ht="26.25">
      <c r="T4125" s="85" ph="1"/>
    </row>
    <row r="4126" spans="20:20" ht="26.25">
      <c r="T4126" s="85" ph="1"/>
    </row>
    <row r="4127" spans="20:20" ht="26.25">
      <c r="T4127" s="85" ph="1"/>
    </row>
    <row r="4128" spans="20:20" ht="26.25">
      <c r="T4128" s="85" ph="1"/>
    </row>
    <row r="4129" spans="20:20" ht="26.25">
      <c r="T4129" s="85" ph="1"/>
    </row>
    <row r="4130" spans="20:20" ht="26.25">
      <c r="T4130" s="85" ph="1"/>
    </row>
    <row r="4131" spans="20:20" ht="26.25">
      <c r="T4131" s="85" ph="1"/>
    </row>
    <row r="4132" spans="20:20" ht="26.25">
      <c r="T4132" s="85" ph="1"/>
    </row>
    <row r="4133" spans="20:20" ht="26.25">
      <c r="T4133" s="85" ph="1"/>
    </row>
    <row r="4134" spans="20:20" ht="26.25">
      <c r="T4134" s="85" ph="1"/>
    </row>
    <row r="4135" spans="20:20" ht="26.25">
      <c r="T4135" s="85" ph="1"/>
    </row>
    <row r="4136" spans="20:20" ht="26.25">
      <c r="T4136" s="85" ph="1"/>
    </row>
    <row r="4137" spans="20:20" ht="26.25">
      <c r="T4137" s="85" ph="1"/>
    </row>
    <row r="4138" spans="20:20" ht="26.25">
      <c r="T4138" s="85" ph="1"/>
    </row>
    <row r="4139" spans="20:20" ht="26.25">
      <c r="T4139" s="85" ph="1"/>
    </row>
    <row r="4140" spans="20:20" ht="26.25">
      <c r="T4140" s="85" ph="1"/>
    </row>
    <row r="4141" spans="20:20" ht="26.25">
      <c r="T4141" s="85" ph="1"/>
    </row>
    <row r="4142" spans="20:20" ht="26.25">
      <c r="T4142" s="85" ph="1"/>
    </row>
    <row r="4143" spans="20:20" ht="26.25">
      <c r="T4143" s="85" ph="1"/>
    </row>
    <row r="4144" spans="20:20" ht="26.25">
      <c r="T4144" s="85" ph="1"/>
    </row>
    <row r="4145" spans="20:20" ht="26.25">
      <c r="T4145" s="85" ph="1"/>
    </row>
    <row r="4146" spans="20:20" ht="26.25">
      <c r="T4146" s="85" ph="1"/>
    </row>
    <row r="4147" spans="20:20" ht="26.25">
      <c r="T4147" s="85" ph="1"/>
    </row>
    <row r="4148" spans="20:20" ht="26.25">
      <c r="T4148" s="85" ph="1"/>
    </row>
    <row r="4149" spans="20:20" ht="26.25">
      <c r="T4149" s="85" ph="1"/>
    </row>
    <row r="4150" spans="20:20" ht="26.25">
      <c r="T4150" s="85" ph="1"/>
    </row>
    <row r="4151" spans="20:20" ht="26.25">
      <c r="T4151" s="85" ph="1"/>
    </row>
    <row r="4152" spans="20:20" ht="26.25">
      <c r="T4152" s="85" ph="1"/>
    </row>
    <row r="4153" spans="20:20" ht="26.25">
      <c r="T4153" s="85" ph="1"/>
    </row>
    <row r="4154" spans="20:20" ht="26.25">
      <c r="T4154" s="85" ph="1"/>
    </row>
    <row r="4155" spans="20:20" ht="26.25">
      <c r="T4155" s="85" ph="1"/>
    </row>
    <row r="4156" spans="20:20" ht="26.25">
      <c r="T4156" s="85" ph="1"/>
    </row>
    <row r="4157" spans="20:20" ht="26.25">
      <c r="T4157" s="85" ph="1"/>
    </row>
    <row r="4158" spans="20:20" ht="26.25">
      <c r="T4158" s="85" ph="1"/>
    </row>
    <row r="4159" spans="20:20" ht="26.25">
      <c r="T4159" s="85" ph="1"/>
    </row>
    <row r="4160" spans="20:20" ht="26.25">
      <c r="T4160" s="85" ph="1"/>
    </row>
    <row r="4161" spans="20:20" ht="26.25">
      <c r="T4161" s="85" ph="1"/>
    </row>
    <row r="4162" spans="20:20" ht="26.25">
      <c r="T4162" s="85" ph="1"/>
    </row>
    <row r="4163" spans="20:20" ht="26.25">
      <c r="T4163" s="85" ph="1"/>
    </row>
    <row r="4164" spans="20:20" ht="26.25">
      <c r="T4164" s="85" ph="1"/>
    </row>
    <row r="4165" spans="20:20" ht="26.25">
      <c r="T4165" s="85" ph="1"/>
    </row>
    <row r="4166" spans="20:20" ht="26.25">
      <c r="T4166" s="85" ph="1"/>
    </row>
    <row r="4167" spans="20:20" ht="26.25">
      <c r="T4167" s="85" ph="1"/>
    </row>
    <row r="4168" spans="20:20" ht="26.25">
      <c r="T4168" s="85" ph="1"/>
    </row>
    <row r="4169" spans="20:20" ht="26.25">
      <c r="T4169" s="85" ph="1"/>
    </row>
    <row r="4170" spans="20:20" ht="26.25">
      <c r="T4170" s="85" ph="1"/>
    </row>
    <row r="4171" spans="20:20" ht="26.25">
      <c r="T4171" s="85" ph="1"/>
    </row>
    <row r="4172" spans="20:20" ht="26.25">
      <c r="T4172" s="85" ph="1"/>
    </row>
    <row r="4173" spans="20:20" ht="26.25">
      <c r="T4173" s="85" ph="1"/>
    </row>
    <row r="4174" spans="20:20" ht="26.25">
      <c r="T4174" s="85" ph="1"/>
    </row>
    <row r="4175" spans="20:20" ht="26.25">
      <c r="T4175" s="85" ph="1"/>
    </row>
    <row r="4176" spans="20:20" ht="26.25">
      <c r="T4176" s="85" ph="1"/>
    </row>
    <row r="4177" spans="20:20" ht="26.25">
      <c r="T4177" s="85" ph="1"/>
    </row>
    <row r="4178" spans="20:20" ht="26.25">
      <c r="T4178" s="85" ph="1"/>
    </row>
    <row r="4179" spans="20:20" ht="26.25">
      <c r="T4179" s="85" ph="1"/>
    </row>
    <row r="4180" spans="20:20" ht="26.25">
      <c r="T4180" s="85" ph="1"/>
    </row>
    <row r="4181" spans="20:20" ht="26.25">
      <c r="T4181" s="85" ph="1"/>
    </row>
    <row r="4182" spans="20:20" ht="26.25">
      <c r="T4182" s="85" ph="1"/>
    </row>
    <row r="4183" spans="20:20" ht="26.25">
      <c r="T4183" s="85" ph="1"/>
    </row>
    <row r="4184" spans="20:20" ht="26.25">
      <c r="T4184" s="85" ph="1"/>
    </row>
    <row r="4185" spans="20:20" ht="26.25">
      <c r="T4185" s="85" ph="1"/>
    </row>
    <row r="4186" spans="20:20" ht="26.25">
      <c r="T4186" s="85" ph="1"/>
    </row>
    <row r="4187" spans="20:20" ht="26.25">
      <c r="T4187" s="85" ph="1"/>
    </row>
    <row r="4188" spans="20:20" ht="26.25">
      <c r="T4188" s="85" ph="1"/>
    </row>
    <row r="4189" spans="20:20" ht="26.25">
      <c r="T4189" s="85" ph="1"/>
    </row>
    <row r="4190" spans="20:20" ht="26.25">
      <c r="T4190" s="85" ph="1"/>
    </row>
    <row r="4191" spans="20:20" ht="26.25">
      <c r="T4191" s="85" ph="1"/>
    </row>
    <row r="4192" spans="20:20" ht="26.25">
      <c r="T4192" s="85" ph="1"/>
    </row>
    <row r="4193" spans="20:20" ht="26.25">
      <c r="T4193" s="85" ph="1"/>
    </row>
    <row r="4194" spans="20:20" ht="26.25">
      <c r="T4194" s="85" ph="1"/>
    </row>
    <row r="4195" spans="20:20" ht="26.25">
      <c r="T4195" s="85" ph="1"/>
    </row>
    <row r="4196" spans="20:20" ht="26.25">
      <c r="T4196" s="85" ph="1"/>
    </row>
    <row r="4197" spans="20:20" ht="26.25">
      <c r="T4197" s="85" ph="1"/>
    </row>
    <row r="4198" spans="20:20" ht="26.25">
      <c r="T4198" s="85" ph="1"/>
    </row>
    <row r="4199" spans="20:20" ht="26.25">
      <c r="T4199" s="85" ph="1"/>
    </row>
    <row r="4200" spans="20:20" ht="26.25">
      <c r="T4200" s="85" ph="1"/>
    </row>
    <row r="4201" spans="20:20" ht="26.25">
      <c r="T4201" s="85" ph="1"/>
    </row>
    <row r="4202" spans="20:20" ht="26.25">
      <c r="T4202" s="85" ph="1"/>
    </row>
    <row r="4203" spans="20:20" ht="26.25">
      <c r="T4203" s="85" ph="1"/>
    </row>
    <row r="4204" spans="20:20" ht="26.25">
      <c r="T4204" s="85" ph="1"/>
    </row>
    <row r="4205" spans="20:20" ht="26.25">
      <c r="T4205" s="85" ph="1"/>
    </row>
    <row r="4206" spans="20:20" ht="26.25">
      <c r="T4206" s="85" ph="1"/>
    </row>
    <row r="4207" spans="20:20" ht="26.25">
      <c r="T4207" s="85" ph="1"/>
    </row>
    <row r="4208" spans="20:20" ht="26.25">
      <c r="T4208" s="85" ph="1"/>
    </row>
    <row r="4209" spans="20:20" ht="26.25">
      <c r="T4209" s="85" ph="1"/>
    </row>
    <row r="4210" spans="20:20" ht="26.25">
      <c r="T4210" s="85" ph="1"/>
    </row>
    <row r="4211" spans="20:20" ht="26.25">
      <c r="T4211" s="85" ph="1"/>
    </row>
    <row r="4212" spans="20:20" ht="26.25">
      <c r="T4212" s="85" ph="1"/>
    </row>
    <row r="4213" spans="20:20" ht="26.25">
      <c r="T4213" s="85" ph="1"/>
    </row>
    <row r="4214" spans="20:20" ht="26.25">
      <c r="T4214" s="85" ph="1"/>
    </row>
    <row r="4215" spans="20:20" ht="26.25">
      <c r="T4215" s="85" ph="1"/>
    </row>
    <row r="4216" spans="20:20" ht="26.25">
      <c r="T4216" s="85" ph="1"/>
    </row>
    <row r="4217" spans="20:20" ht="26.25">
      <c r="T4217" s="85" ph="1"/>
    </row>
    <row r="4218" spans="20:20" ht="26.25">
      <c r="T4218" s="85" ph="1"/>
    </row>
    <row r="4219" spans="20:20" ht="26.25">
      <c r="T4219" s="85" ph="1"/>
    </row>
    <row r="4220" spans="20:20" ht="26.25">
      <c r="T4220" s="85" ph="1"/>
    </row>
    <row r="4221" spans="20:20" ht="26.25">
      <c r="T4221" s="85" ph="1"/>
    </row>
    <row r="4222" spans="20:20" ht="26.25">
      <c r="T4222" s="85" ph="1"/>
    </row>
    <row r="4223" spans="20:20" ht="26.25">
      <c r="T4223" s="85" ph="1"/>
    </row>
    <row r="4224" spans="20:20" ht="26.25">
      <c r="T4224" s="85" ph="1"/>
    </row>
    <row r="4225" spans="20:20" ht="26.25">
      <c r="T4225" s="85" ph="1"/>
    </row>
    <row r="4226" spans="20:20" ht="26.25">
      <c r="T4226" s="85" ph="1"/>
    </row>
    <row r="4227" spans="20:20" ht="26.25">
      <c r="T4227" s="85" ph="1"/>
    </row>
    <row r="4228" spans="20:20" ht="26.25">
      <c r="T4228" s="85" ph="1"/>
    </row>
    <row r="4229" spans="20:20" ht="26.25">
      <c r="T4229" s="85" ph="1"/>
    </row>
    <row r="4230" spans="20:20" ht="26.25">
      <c r="T4230" s="85" ph="1"/>
    </row>
    <row r="4231" spans="20:20" ht="26.25">
      <c r="T4231" s="85" ph="1"/>
    </row>
    <row r="4232" spans="20:20" ht="26.25">
      <c r="T4232" s="85" ph="1"/>
    </row>
    <row r="4233" spans="20:20" ht="26.25">
      <c r="T4233" s="85" ph="1"/>
    </row>
    <row r="4234" spans="20:20" ht="26.25">
      <c r="T4234" s="85" ph="1"/>
    </row>
    <row r="4235" spans="20:20" ht="26.25">
      <c r="T4235" s="85" ph="1"/>
    </row>
    <row r="4236" spans="20:20" ht="26.25">
      <c r="T4236" s="85" ph="1"/>
    </row>
    <row r="4237" spans="20:20" ht="26.25">
      <c r="T4237" s="85" ph="1"/>
    </row>
    <row r="4238" spans="20:20" ht="26.25">
      <c r="T4238" s="85" ph="1"/>
    </row>
    <row r="4239" spans="20:20" ht="26.25">
      <c r="T4239" s="85" ph="1"/>
    </row>
    <row r="4240" spans="20:20" ht="26.25">
      <c r="T4240" s="85" ph="1"/>
    </row>
    <row r="4241" spans="20:20" ht="26.25">
      <c r="T4241" s="85" ph="1"/>
    </row>
    <row r="4242" spans="20:20" ht="26.25">
      <c r="T4242" s="85" ph="1"/>
    </row>
    <row r="4243" spans="20:20" ht="26.25">
      <c r="T4243" s="85" ph="1"/>
    </row>
    <row r="4244" spans="20:20" ht="26.25">
      <c r="T4244" s="85" ph="1"/>
    </row>
    <row r="4245" spans="20:20" ht="26.25">
      <c r="T4245" s="85" ph="1"/>
    </row>
    <row r="4246" spans="20:20" ht="26.25">
      <c r="T4246" s="85" ph="1"/>
    </row>
    <row r="4247" spans="20:20" ht="26.25">
      <c r="T4247" s="85" ph="1"/>
    </row>
    <row r="4248" spans="20:20" ht="26.25">
      <c r="T4248" s="85" ph="1"/>
    </row>
    <row r="4249" spans="20:20" ht="26.25">
      <c r="T4249" s="85" ph="1"/>
    </row>
    <row r="4250" spans="20:20" ht="26.25">
      <c r="T4250" s="85" ph="1"/>
    </row>
    <row r="4251" spans="20:20" ht="26.25">
      <c r="T4251" s="85" ph="1"/>
    </row>
    <row r="4252" spans="20:20" ht="26.25">
      <c r="T4252" s="85" ph="1"/>
    </row>
    <row r="4253" spans="20:20" ht="26.25">
      <c r="T4253" s="85" ph="1"/>
    </row>
    <row r="4254" spans="20:20" ht="26.25">
      <c r="T4254" s="85" ph="1"/>
    </row>
    <row r="4255" spans="20:20" ht="26.25">
      <c r="T4255" s="85" ph="1"/>
    </row>
    <row r="4256" spans="20:20" ht="26.25">
      <c r="T4256" s="85" ph="1"/>
    </row>
    <row r="4257" spans="20:20" ht="26.25">
      <c r="T4257" s="85" ph="1"/>
    </row>
    <row r="4258" spans="20:20" ht="26.25">
      <c r="T4258" s="85" ph="1"/>
    </row>
    <row r="4259" spans="20:20" ht="26.25">
      <c r="T4259" s="85" ph="1"/>
    </row>
    <row r="4260" spans="20:20" ht="26.25">
      <c r="T4260" s="85" ph="1"/>
    </row>
    <row r="4261" spans="20:20" ht="26.25">
      <c r="T4261" s="85" ph="1"/>
    </row>
    <row r="4262" spans="20:20" ht="26.25">
      <c r="T4262" s="85" ph="1"/>
    </row>
    <row r="4263" spans="20:20" ht="26.25">
      <c r="T4263" s="85" ph="1"/>
    </row>
    <row r="4264" spans="20:20" ht="26.25">
      <c r="T4264" s="85" ph="1"/>
    </row>
    <row r="4265" spans="20:20" ht="26.25">
      <c r="T4265" s="85" ph="1"/>
    </row>
    <row r="4266" spans="20:20" ht="26.25">
      <c r="T4266" s="85" ph="1"/>
    </row>
    <row r="4267" spans="20:20" ht="26.25">
      <c r="T4267" s="85" ph="1"/>
    </row>
    <row r="4268" spans="20:20" ht="26.25">
      <c r="T4268" s="85" ph="1"/>
    </row>
    <row r="4269" spans="20:20" ht="26.25">
      <c r="T4269" s="85" ph="1"/>
    </row>
    <row r="4270" spans="20:20" ht="26.25">
      <c r="T4270" s="85" ph="1"/>
    </row>
    <row r="4271" spans="20:20" ht="26.25">
      <c r="T4271" s="85" ph="1"/>
    </row>
    <row r="4272" spans="20:20" ht="26.25">
      <c r="T4272" s="85" ph="1"/>
    </row>
    <row r="4273" spans="20:20" ht="26.25">
      <c r="T4273" s="85" ph="1"/>
    </row>
    <row r="4274" spans="20:20" ht="26.25">
      <c r="T4274" s="85" ph="1"/>
    </row>
    <row r="4275" spans="20:20" ht="26.25">
      <c r="T4275" s="85" ph="1"/>
    </row>
    <row r="4276" spans="20:20" ht="26.25">
      <c r="T4276" s="85" ph="1"/>
    </row>
    <row r="4277" spans="20:20" ht="26.25">
      <c r="T4277" s="85" ph="1"/>
    </row>
    <row r="4278" spans="20:20" ht="26.25">
      <c r="T4278" s="85" ph="1"/>
    </row>
    <row r="4279" spans="20:20" ht="26.25">
      <c r="T4279" s="85" ph="1"/>
    </row>
    <row r="4280" spans="20:20" ht="26.25">
      <c r="T4280" s="85" ph="1"/>
    </row>
    <row r="4281" spans="20:20" ht="26.25">
      <c r="T4281" s="85" ph="1"/>
    </row>
    <row r="4282" spans="20:20" ht="26.25">
      <c r="T4282" s="85" ph="1"/>
    </row>
    <row r="4283" spans="20:20" ht="26.25">
      <c r="T4283" s="85" ph="1"/>
    </row>
    <row r="4284" spans="20:20" ht="26.25">
      <c r="T4284" s="85" ph="1"/>
    </row>
    <row r="4285" spans="20:20" ht="26.25">
      <c r="T4285" s="85" ph="1"/>
    </row>
    <row r="4286" spans="20:20" ht="26.25">
      <c r="T4286" s="85" ph="1"/>
    </row>
    <row r="4287" spans="20:20" ht="26.25">
      <c r="T4287" s="85" ph="1"/>
    </row>
    <row r="4288" spans="20:20" ht="26.25">
      <c r="T4288" s="85" ph="1"/>
    </row>
    <row r="4289" spans="20:20" ht="26.25">
      <c r="T4289" s="85" ph="1"/>
    </row>
    <row r="4290" spans="20:20" ht="26.25">
      <c r="T4290" s="85" ph="1"/>
    </row>
    <row r="4291" spans="20:20" ht="26.25">
      <c r="T4291" s="85" ph="1"/>
    </row>
    <row r="4292" spans="20:20" ht="26.25">
      <c r="T4292" s="85" ph="1"/>
    </row>
    <row r="4293" spans="20:20" ht="26.25">
      <c r="T4293" s="85" ph="1"/>
    </row>
    <row r="4294" spans="20:20" ht="26.25">
      <c r="T4294" s="85" ph="1"/>
    </row>
    <row r="4295" spans="20:20" ht="26.25">
      <c r="T4295" s="85" ph="1"/>
    </row>
    <row r="4296" spans="20:20" ht="26.25">
      <c r="T4296" s="85" ph="1"/>
    </row>
    <row r="4297" spans="20:20" ht="26.25">
      <c r="T4297" s="85" ph="1"/>
    </row>
    <row r="4298" spans="20:20" ht="26.25">
      <c r="T4298" s="85" ph="1"/>
    </row>
    <row r="4299" spans="20:20" ht="26.25">
      <c r="T4299" s="85" ph="1"/>
    </row>
    <row r="4300" spans="20:20" ht="26.25">
      <c r="T4300" s="85" ph="1"/>
    </row>
    <row r="4301" spans="20:20" ht="26.25">
      <c r="T4301" s="85" ph="1"/>
    </row>
    <row r="4302" spans="20:20" ht="26.25">
      <c r="T4302" s="85" ph="1"/>
    </row>
    <row r="4303" spans="20:20" ht="26.25">
      <c r="T4303" s="85" ph="1"/>
    </row>
    <row r="4304" spans="20:20" ht="26.25">
      <c r="T4304" s="85" ph="1"/>
    </row>
    <row r="4305" spans="20:20" ht="26.25">
      <c r="T4305" s="85" ph="1"/>
    </row>
    <row r="4306" spans="20:20" ht="26.25">
      <c r="T4306" s="85" ph="1"/>
    </row>
    <row r="4307" spans="20:20" ht="26.25">
      <c r="T4307" s="85" ph="1"/>
    </row>
    <row r="4308" spans="20:20" ht="26.25">
      <c r="T4308" s="85" ph="1"/>
    </row>
    <row r="4309" spans="20:20" ht="26.25">
      <c r="T4309" s="85" ph="1"/>
    </row>
    <row r="4310" spans="20:20" ht="26.25">
      <c r="T4310" s="85" ph="1"/>
    </row>
    <row r="4311" spans="20:20" ht="26.25">
      <c r="T4311" s="85" ph="1"/>
    </row>
    <row r="4312" spans="20:20" ht="26.25">
      <c r="T4312" s="85" ph="1"/>
    </row>
    <row r="4313" spans="20:20" ht="26.25">
      <c r="T4313" s="85" ph="1"/>
    </row>
    <row r="4314" spans="20:20" ht="26.25">
      <c r="T4314" s="85" ph="1"/>
    </row>
    <row r="4315" spans="20:20" ht="26.25">
      <c r="T4315" s="85" ph="1"/>
    </row>
    <row r="4316" spans="20:20" ht="26.25">
      <c r="T4316" s="85" ph="1"/>
    </row>
    <row r="4317" spans="20:20" ht="26.25">
      <c r="T4317" s="85" ph="1"/>
    </row>
    <row r="4318" spans="20:20" ht="26.25">
      <c r="T4318" s="85" ph="1"/>
    </row>
    <row r="4319" spans="20:20" ht="26.25">
      <c r="T4319" s="85" ph="1"/>
    </row>
    <row r="4320" spans="20:20" ht="26.25">
      <c r="T4320" s="85" ph="1"/>
    </row>
    <row r="4321" spans="20:20" ht="26.25">
      <c r="T4321" s="85" ph="1"/>
    </row>
    <row r="4322" spans="20:20" ht="26.25">
      <c r="T4322" s="85" ph="1"/>
    </row>
    <row r="4323" spans="20:20" ht="26.25">
      <c r="T4323" s="85" ph="1"/>
    </row>
    <row r="4324" spans="20:20" ht="26.25">
      <c r="T4324" s="85" ph="1"/>
    </row>
    <row r="4325" spans="20:20" ht="26.25">
      <c r="T4325" s="85" ph="1"/>
    </row>
    <row r="4326" spans="20:20" ht="26.25">
      <c r="T4326" s="85" ph="1"/>
    </row>
    <row r="4327" spans="20:20" ht="26.25">
      <c r="T4327" s="85" ph="1"/>
    </row>
    <row r="4328" spans="20:20" ht="26.25">
      <c r="T4328" s="85" ph="1"/>
    </row>
    <row r="4329" spans="20:20" ht="26.25">
      <c r="T4329" s="85" ph="1"/>
    </row>
    <row r="4330" spans="20:20" ht="26.25">
      <c r="T4330" s="85" ph="1"/>
    </row>
    <row r="4331" spans="20:20" ht="26.25">
      <c r="T4331" s="85" ph="1"/>
    </row>
    <row r="4332" spans="20:20" ht="26.25">
      <c r="T4332" s="85" ph="1"/>
    </row>
    <row r="4333" spans="20:20" ht="26.25">
      <c r="T4333" s="85" ph="1"/>
    </row>
    <row r="4334" spans="20:20" ht="26.25">
      <c r="T4334" s="85" ph="1"/>
    </row>
    <row r="4335" spans="20:20" ht="26.25">
      <c r="T4335" s="85" ph="1"/>
    </row>
    <row r="4336" spans="20:20" ht="26.25">
      <c r="T4336" s="85" ph="1"/>
    </row>
    <row r="4337" spans="20:20" ht="26.25">
      <c r="T4337" s="85" ph="1"/>
    </row>
    <row r="4338" spans="20:20" ht="26.25">
      <c r="T4338" s="85" ph="1"/>
    </row>
    <row r="4339" spans="20:20" ht="26.25">
      <c r="T4339" s="85" ph="1"/>
    </row>
    <row r="4340" spans="20:20" ht="26.25">
      <c r="T4340" s="85" ph="1"/>
    </row>
    <row r="4341" spans="20:20" ht="26.25">
      <c r="T4341" s="85" ph="1"/>
    </row>
    <row r="4342" spans="20:20" ht="26.25">
      <c r="T4342" s="85" ph="1"/>
    </row>
    <row r="4343" spans="20:20" ht="26.25">
      <c r="T4343" s="85" ph="1"/>
    </row>
    <row r="4344" spans="20:20" ht="26.25">
      <c r="T4344" s="85" ph="1"/>
    </row>
    <row r="4345" spans="20:20" ht="26.25">
      <c r="T4345" s="85" ph="1"/>
    </row>
    <row r="4346" spans="20:20" ht="26.25">
      <c r="T4346" s="85" ph="1"/>
    </row>
    <row r="4347" spans="20:20" ht="26.25">
      <c r="T4347" s="85" ph="1"/>
    </row>
    <row r="4348" spans="20:20" ht="26.25">
      <c r="T4348" s="85" ph="1"/>
    </row>
    <row r="4349" spans="20:20" ht="26.25">
      <c r="T4349" s="85" ph="1"/>
    </row>
    <row r="4350" spans="20:20" ht="26.25">
      <c r="T4350" s="85" ph="1"/>
    </row>
    <row r="4351" spans="20:20" ht="26.25">
      <c r="T4351" s="85" ph="1"/>
    </row>
    <row r="4352" spans="20:20" ht="26.25">
      <c r="T4352" s="85" ph="1"/>
    </row>
    <row r="4353" spans="20:20" ht="26.25">
      <c r="T4353" s="85" ph="1"/>
    </row>
    <row r="4354" spans="20:20" ht="26.25">
      <c r="T4354" s="85" ph="1"/>
    </row>
    <row r="4355" spans="20:20" ht="26.25">
      <c r="T4355" s="85" ph="1"/>
    </row>
    <row r="4356" spans="20:20" ht="26.25">
      <c r="T4356" s="85" ph="1"/>
    </row>
    <row r="4357" spans="20:20" ht="26.25">
      <c r="T4357" s="85" ph="1"/>
    </row>
    <row r="4358" spans="20:20" ht="26.25">
      <c r="T4358" s="85" ph="1"/>
    </row>
    <row r="4359" spans="20:20" ht="26.25">
      <c r="T4359" s="85" ph="1"/>
    </row>
    <row r="4360" spans="20:20" ht="26.25">
      <c r="T4360" s="85" ph="1"/>
    </row>
    <row r="4361" spans="20:20" ht="26.25">
      <c r="T4361" s="85" ph="1"/>
    </row>
    <row r="4362" spans="20:20" ht="26.25">
      <c r="T4362" s="85" ph="1"/>
    </row>
    <row r="4363" spans="20:20" ht="26.25">
      <c r="T4363" s="85" ph="1"/>
    </row>
    <row r="4364" spans="20:20" ht="26.25">
      <c r="T4364" s="85" ph="1"/>
    </row>
    <row r="4365" spans="20:20" ht="26.25">
      <c r="T4365" s="85" ph="1"/>
    </row>
    <row r="4366" spans="20:20" ht="26.25">
      <c r="T4366" s="85" ph="1"/>
    </row>
    <row r="4367" spans="20:20" ht="26.25">
      <c r="T4367" s="85" ph="1"/>
    </row>
    <row r="4368" spans="20:20" ht="26.25">
      <c r="T4368" s="85" ph="1"/>
    </row>
    <row r="4369" spans="20:20" ht="26.25">
      <c r="T4369" s="85" ph="1"/>
    </row>
    <row r="4370" spans="20:20" ht="26.25">
      <c r="T4370" s="85" ph="1"/>
    </row>
    <row r="4371" spans="20:20" ht="26.25">
      <c r="T4371" s="85" ph="1"/>
    </row>
    <row r="4372" spans="20:20" ht="26.25">
      <c r="T4372" s="85" ph="1"/>
    </row>
    <row r="4373" spans="20:20" ht="26.25">
      <c r="T4373" s="85" ph="1"/>
    </row>
    <row r="4374" spans="20:20" ht="26.25">
      <c r="T4374" s="85" ph="1"/>
    </row>
    <row r="4375" spans="20:20" ht="26.25">
      <c r="T4375" s="85" ph="1"/>
    </row>
    <row r="4376" spans="20:20" ht="26.25">
      <c r="T4376" s="85" ph="1"/>
    </row>
    <row r="4377" spans="20:20" ht="26.25">
      <c r="T4377" s="85" ph="1"/>
    </row>
    <row r="4378" spans="20:20" ht="26.25">
      <c r="T4378" s="85" ph="1"/>
    </row>
    <row r="4379" spans="20:20" ht="26.25">
      <c r="T4379" s="85" ph="1"/>
    </row>
    <row r="4380" spans="20:20" ht="26.25">
      <c r="T4380" s="85" ph="1"/>
    </row>
    <row r="4381" spans="20:20" ht="26.25">
      <c r="T4381" s="85" ph="1"/>
    </row>
    <row r="4382" spans="20:20" ht="26.25">
      <c r="T4382" s="85" ph="1"/>
    </row>
    <row r="4383" spans="20:20" ht="26.25">
      <c r="T4383" s="85" ph="1"/>
    </row>
    <row r="4384" spans="20:20" ht="26.25">
      <c r="T4384" s="85" ph="1"/>
    </row>
    <row r="4385" spans="20:20" ht="26.25">
      <c r="T4385" s="85" ph="1"/>
    </row>
    <row r="4386" spans="20:20" ht="26.25">
      <c r="T4386" s="85" ph="1"/>
    </row>
    <row r="4387" spans="20:20" ht="26.25">
      <c r="T4387" s="85" ph="1"/>
    </row>
    <row r="4388" spans="20:20" ht="26.25">
      <c r="T4388" s="85" ph="1"/>
    </row>
    <row r="4389" spans="20:20" ht="26.25">
      <c r="T4389" s="85" ph="1"/>
    </row>
    <row r="4390" spans="20:20" ht="26.25">
      <c r="T4390" s="85" ph="1"/>
    </row>
    <row r="4391" spans="20:20" ht="26.25">
      <c r="T4391" s="85" ph="1"/>
    </row>
    <row r="4392" spans="20:20" ht="26.25">
      <c r="T4392" s="85" ph="1"/>
    </row>
    <row r="4393" spans="20:20" ht="26.25">
      <c r="T4393" s="85" ph="1"/>
    </row>
    <row r="4394" spans="20:20" ht="26.25">
      <c r="T4394" s="85" ph="1"/>
    </row>
    <row r="4395" spans="20:20" ht="26.25">
      <c r="T4395" s="85" ph="1"/>
    </row>
    <row r="4396" spans="20:20" ht="26.25">
      <c r="T4396" s="85" ph="1"/>
    </row>
    <row r="4397" spans="20:20" ht="26.25">
      <c r="T4397" s="85" ph="1"/>
    </row>
    <row r="4398" spans="20:20" ht="26.25">
      <c r="T4398" s="85" ph="1"/>
    </row>
    <row r="4399" spans="20:20" ht="26.25">
      <c r="T4399" s="85" ph="1"/>
    </row>
    <row r="4400" spans="20:20" ht="26.25">
      <c r="T4400" s="85" ph="1"/>
    </row>
    <row r="4401" spans="20:20" ht="26.25">
      <c r="T4401" s="85" ph="1"/>
    </row>
    <row r="4402" spans="20:20" ht="26.25">
      <c r="T4402" s="85" ph="1"/>
    </row>
    <row r="4403" spans="20:20" ht="26.25">
      <c r="T4403" s="85" ph="1"/>
    </row>
    <row r="4404" spans="20:20" ht="26.25">
      <c r="T4404" s="85" ph="1"/>
    </row>
    <row r="4405" spans="20:20" ht="26.25">
      <c r="T4405" s="85" ph="1"/>
    </row>
    <row r="4406" spans="20:20" ht="26.25">
      <c r="T4406" s="85" ph="1"/>
    </row>
    <row r="4407" spans="20:20" ht="26.25">
      <c r="T4407" s="85" ph="1"/>
    </row>
    <row r="4408" spans="20:20" ht="26.25">
      <c r="T4408" s="85" ph="1"/>
    </row>
    <row r="4409" spans="20:20" ht="26.25">
      <c r="T4409" s="85" ph="1"/>
    </row>
    <row r="4410" spans="20:20" ht="26.25">
      <c r="T4410" s="85" ph="1"/>
    </row>
    <row r="4411" spans="20:20" ht="26.25">
      <c r="T4411" s="85" ph="1"/>
    </row>
    <row r="4412" spans="20:20" ht="26.25">
      <c r="T4412" s="85" ph="1"/>
    </row>
    <row r="4413" spans="20:20" ht="26.25">
      <c r="T4413" s="85" ph="1"/>
    </row>
    <row r="4414" spans="20:20" ht="26.25">
      <c r="T4414" s="85" ph="1"/>
    </row>
    <row r="4415" spans="20:20" ht="26.25">
      <c r="T4415" s="85" ph="1"/>
    </row>
    <row r="4416" spans="20:20" ht="26.25">
      <c r="T4416" s="85" ph="1"/>
    </row>
    <row r="4417" spans="20:20" ht="26.25">
      <c r="T4417" s="85" ph="1"/>
    </row>
    <row r="4418" spans="20:20" ht="26.25">
      <c r="T4418" s="85" ph="1"/>
    </row>
    <row r="4419" spans="20:20" ht="26.25">
      <c r="T4419" s="85" ph="1"/>
    </row>
    <row r="4420" spans="20:20" ht="26.25">
      <c r="T4420" s="85" ph="1"/>
    </row>
    <row r="4421" spans="20:20" ht="26.25">
      <c r="T4421" s="85" ph="1"/>
    </row>
    <row r="4422" spans="20:20" ht="26.25">
      <c r="T4422" s="85" ph="1"/>
    </row>
    <row r="4423" spans="20:20" ht="26.25">
      <c r="T4423" s="85" ph="1"/>
    </row>
    <row r="4424" spans="20:20" ht="26.25">
      <c r="T4424" s="85" ph="1"/>
    </row>
    <row r="4425" spans="20:20" ht="26.25">
      <c r="T4425" s="85" ph="1"/>
    </row>
    <row r="4426" spans="20:20" ht="26.25">
      <c r="T4426" s="85" ph="1"/>
    </row>
    <row r="4427" spans="20:20" ht="26.25">
      <c r="T4427" s="85" ph="1"/>
    </row>
    <row r="4428" spans="20:20" ht="26.25">
      <c r="T4428" s="85" ph="1"/>
    </row>
    <row r="4429" spans="20:20" ht="26.25">
      <c r="T4429" s="85" ph="1"/>
    </row>
    <row r="4430" spans="20:20" ht="26.25">
      <c r="T4430" s="85" ph="1"/>
    </row>
    <row r="4431" spans="20:20" ht="26.25">
      <c r="T4431" s="85" ph="1"/>
    </row>
    <row r="4432" spans="20:20" ht="26.25">
      <c r="T4432" s="85" ph="1"/>
    </row>
    <row r="4433" spans="20:20" ht="26.25">
      <c r="T4433" s="85" ph="1"/>
    </row>
    <row r="4434" spans="20:20" ht="26.25">
      <c r="T4434" s="85" ph="1"/>
    </row>
    <row r="4435" spans="20:20" ht="26.25">
      <c r="T4435" s="85" ph="1"/>
    </row>
    <row r="4436" spans="20:20" ht="26.25">
      <c r="T4436" s="85" ph="1"/>
    </row>
    <row r="4437" spans="20:20" ht="26.25">
      <c r="T4437" s="85" ph="1"/>
    </row>
    <row r="4438" spans="20:20" ht="26.25">
      <c r="T4438" s="85" ph="1"/>
    </row>
    <row r="4439" spans="20:20" ht="26.25">
      <c r="T4439" s="85" ph="1"/>
    </row>
    <row r="4440" spans="20:20" ht="26.25">
      <c r="T4440" s="85" ph="1"/>
    </row>
    <row r="4441" spans="20:20" ht="26.25">
      <c r="T4441" s="85" ph="1"/>
    </row>
    <row r="4442" spans="20:20" ht="26.25">
      <c r="T4442" s="85" ph="1"/>
    </row>
    <row r="4443" spans="20:20" ht="26.25">
      <c r="T4443" s="85" ph="1"/>
    </row>
    <row r="4444" spans="20:20" ht="26.25">
      <c r="T4444" s="85" ph="1"/>
    </row>
    <row r="4445" spans="20:20" ht="26.25">
      <c r="T4445" s="85" ph="1"/>
    </row>
    <row r="4446" spans="20:20" ht="26.25">
      <c r="T4446" s="85" ph="1"/>
    </row>
    <row r="4447" spans="20:20" ht="26.25">
      <c r="T4447" s="85" ph="1"/>
    </row>
    <row r="4448" spans="20:20" ht="26.25">
      <c r="T4448" s="85" ph="1"/>
    </row>
    <row r="4449" spans="20:20" ht="26.25">
      <c r="T4449" s="85" ph="1"/>
    </row>
    <row r="4450" spans="20:20" ht="26.25">
      <c r="T4450" s="85" ph="1"/>
    </row>
    <row r="4451" spans="20:20" ht="26.25">
      <c r="T4451" s="85" ph="1"/>
    </row>
    <row r="4452" spans="20:20" ht="26.25">
      <c r="T4452" s="85" ph="1"/>
    </row>
    <row r="4453" spans="20:20" ht="26.25">
      <c r="T4453" s="85" ph="1"/>
    </row>
    <row r="4454" spans="20:20" ht="26.25">
      <c r="T4454" s="85" ph="1"/>
    </row>
    <row r="4455" spans="20:20" ht="26.25">
      <c r="T4455" s="85" ph="1"/>
    </row>
    <row r="4456" spans="20:20" ht="26.25">
      <c r="T4456" s="85" ph="1"/>
    </row>
    <row r="4457" spans="20:20" ht="26.25">
      <c r="T4457" s="85" ph="1"/>
    </row>
    <row r="4458" spans="20:20" ht="26.25">
      <c r="T4458" s="85" ph="1"/>
    </row>
    <row r="4459" spans="20:20" ht="26.25">
      <c r="T4459" s="85" ph="1"/>
    </row>
    <row r="4460" spans="20:20" ht="26.25">
      <c r="T4460" s="85" ph="1"/>
    </row>
    <row r="4461" spans="20:20" ht="26.25">
      <c r="T4461" s="85" ph="1"/>
    </row>
    <row r="4462" spans="20:20" ht="26.25">
      <c r="T4462" s="85" ph="1"/>
    </row>
    <row r="4463" spans="20:20" ht="26.25">
      <c r="T4463" s="85" ph="1"/>
    </row>
    <row r="4464" spans="20:20" ht="26.25">
      <c r="T4464" s="85" ph="1"/>
    </row>
    <row r="4465" spans="20:20" ht="26.25">
      <c r="T4465" s="85" ph="1"/>
    </row>
    <row r="4466" spans="20:20" ht="26.25">
      <c r="T4466" s="85" ph="1"/>
    </row>
    <row r="4467" spans="20:20" ht="26.25">
      <c r="T4467" s="85" ph="1"/>
    </row>
    <row r="4468" spans="20:20" ht="26.25">
      <c r="T4468" s="85" ph="1"/>
    </row>
    <row r="4469" spans="20:20" ht="26.25">
      <c r="T4469" s="85" ph="1"/>
    </row>
    <row r="4470" spans="20:20" ht="26.25">
      <c r="T4470" s="85" ph="1"/>
    </row>
    <row r="4471" spans="20:20" ht="26.25">
      <c r="T4471" s="85" ph="1"/>
    </row>
    <row r="4472" spans="20:20" ht="26.25">
      <c r="T4472" s="85" ph="1"/>
    </row>
    <row r="4473" spans="20:20" ht="26.25">
      <c r="T4473" s="85" ph="1"/>
    </row>
    <row r="4474" spans="20:20" ht="26.25">
      <c r="T4474" s="85" ph="1"/>
    </row>
    <row r="4475" spans="20:20" ht="26.25">
      <c r="T4475" s="85" ph="1"/>
    </row>
    <row r="4476" spans="20:20" ht="26.25">
      <c r="T4476" s="85" ph="1"/>
    </row>
    <row r="4477" spans="20:20" ht="26.25">
      <c r="T4477" s="85" ph="1"/>
    </row>
    <row r="4478" spans="20:20" ht="26.25">
      <c r="T4478" s="85" ph="1"/>
    </row>
    <row r="4479" spans="20:20" ht="26.25">
      <c r="T4479" s="85" ph="1"/>
    </row>
    <row r="4480" spans="20:20" ht="26.25">
      <c r="T4480" s="85" ph="1"/>
    </row>
    <row r="4481" spans="20:20" ht="26.25">
      <c r="T4481" s="85" ph="1"/>
    </row>
    <row r="4482" spans="20:20" ht="26.25">
      <c r="T4482" s="85" ph="1"/>
    </row>
    <row r="4483" spans="20:20" ht="26.25">
      <c r="T4483" s="85" ph="1"/>
    </row>
    <row r="4484" spans="20:20" ht="26.25">
      <c r="T4484" s="85" ph="1"/>
    </row>
    <row r="4485" spans="20:20" ht="26.25">
      <c r="T4485" s="85" ph="1"/>
    </row>
    <row r="4486" spans="20:20" ht="26.25">
      <c r="T4486" s="85" ph="1"/>
    </row>
    <row r="4487" spans="20:20" ht="26.25">
      <c r="T4487" s="85" ph="1"/>
    </row>
    <row r="4488" spans="20:20" ht="26.25">
      <c r="T4488" s="85" ph="1"/>
    </row>
    <row r="4489" spans="20:20" ht="26.25">
      <c r="T4489" s="85" ph="1"/>
    </row>
    <row r="4490" spans="20:20" ht="26.25">
      <c r="T4490" s="85" ph="1"/>
    </row>
    <row r="4491" spans="20:20" ht="26.25">
      <c r="T4491" s="85" ph="1"/>
    </row>
    <row r="4492" spans="20:20" ht="26.25">
      <c r="T4492" s="85" ph="1"/>
    </row>
    <row r="4493" spans="20:20" ht="26.25">
      <c r="T4493" s="85" ph="1"/>
    </row>
    <row r="4494" spans="20:20" ht="26.25">
      <c r="T4494" s="85" ph="1"/>
    </row>
    <row r="4495" spans="20:20" ht="26.25">
      <c r="T4495" s="85" ph="1"/>
    </row>
    <row r="4496" spans="20:20" ht="26.25">
      <c r="T4496" s="85" ph="1"/>
    </row>
    <row r="4497" spans="20:20" ht="26.25">
      <c r="T4497" s="85" ph="1"/>
    </row>
    <row r="4498" spans="20:20" ht="26.25">
      <c r="T4498" s="85" ph="1"/>
    </row>
    <row r="4499" spans="20:20" ht="26.25">
      <c r="T4499" s="85" ph="1"/>
    </row>
    <row r="4500" spans="20:20" ht="26.25">
      <c r="T4500" s="85" ph="1"/>
    </row>
    <row r="4501" spans="20:20" ht="26.25">
      <c r="T4501" s="85" ph="1"/>
    </row>
    <row r="4502" spans="20:20" ht="26.25">
      <c r="T4502" s="85" ph="1"/>
    </row>
    <row r="4503" spans="20:20" ht="26.25">
      <c r="T4503" s="85" ph="1"/>
    </row>
    <row r="4504" spans="20:20" ht="26.25">
      <c r="T4504" s="85" ph="1"/>
    </row>
    <row r="4505" spans="20:20" ht="26.25">
      <c r="T4505" s="85" ph="1"/>
    </row>
    <row r="4506" spans="20:20" ht="26.25">
      <c r="T4506" s="85" ph="1"/>
    </row>
    <row r="4507" spans="20:20" ht="26.25">
      <c r="T4507" s="85" ph="1"/>
    </row>
    <row r="4508" spans="20:20" ht="26.25">
      <c r="T4508" s="85" ph="1"/>
    </row>
    <row r="4509" spans="20:20" ht="26.25">
      <c r="T4509" s="85" ph="1"/>
    </row>
    <row r="4510" spans="20:20" ht="26.25">
      <c r="T4510" s="85" ph="1"/>
    </row>
    <row r="4511" spans="20:20" ht="26.25">
      <c r="T4511" s="85" ph="1"/>
    </row>
    <row r="4512" spans="20:20" ht="26.25">
      <c r="T4512" s="85" ph="1"/>
    </row>
    <row r="4513" spans="20:20" ht="26.25">
      <c r="T4513" s="85" ph="1"/>
    </row>
    <row r="4514" spans="20:20" ht="26.25">
      <c r="T4514" s="85" ph="1"/>
    </row>
    <row r="4515" spans="20:20" ht="26.25">
      <c r="T4515" s="85" ph="1"/>
    </row>
    <row r="4516" spans="20:20" ht="26.25">
      <c r="T4516" s="85" ph="1"/>
    </row>
    <row r="4517" spans="20:20" ht="26.25">
      <c r="T4517" s="85" ph="1"/>
    </row>
    <row r="4518" spans="20:20" ht="26.25">
      <c r="T4518" s="85" ph="1"/>
    </row>
    <row r="4519" spans="20:20" ht="26.25">
      <c r="T4519" s="85" ph="1"/>
    </row>
    <row r="4520" spans="20:20" ht="26.25">
      <c r="T4520" s="85" ph="1"/>
    </row>
    <row r="4521" spans="20:20" ht="26.25">
      <c r="T4521" s="85" ph="1"/>
    </row>
    <row r="4522" spans="20:20" ht="26.25">
      <c r="T4522" s="85" ph="1"/>
    </row>
    <row r="4523" spans="20:20" ht="26.25">
      <c r="T4523" s="85" ph="1"/>
    </row>
    <row r="4524" spans="20:20" ht="26.25">
      <c r="T4524" s="85" ph="1"/>
    </row>
    <row r="4525" spans="20:20" ht="26.25">
      <c r="T4525" s="85" ph="1"/>
    </row>
    <row r="4526" spans="20:20" ht="26.25">
      <c r="T4526" s="85" ph="1"/>
    </row>
    <row r="4527" spans="20:20" ht="26.25">
      <c r="T4527" s="85" ph="1"/>
    </row>
    <row r="4528" spans="20:20" ht="26.25">
      <c r="T4528" s="85" ph="1"/>
    </row>
    <row r="4529" spans="20:20" ht="26.25">
      <c r="T4529" s="85" ph="1"/>
    </row>
    <row r="4530" spans="20:20" ht="26.25">
      <c r="T4530" s="85" ph="1"/>
    </row>
    <row r="4531" spans="20:20" ht="26.25">
      <c r="T4531" s="85" ph="1"/>
    </row>
    <row r="4532" spans="20:20" ht="26.25">
      <c r="T4532" s="85" ph="1"/>
    </row>
    <row r="4533" spans="20:20" ht="26.25">
      <c r="T4533" s="85" ph="1"/>
    </row>
    <row r="4534" spans="20:20" ht="26.25">
      <c r="T4534" s="85" ph="1"/>
    </row>
    <row r="4535" spans="20:20" ht="26.25">
      <c r="T4535" s="85" ph="1"/>
    </row>
    <row r="4536" spans="20:20" ht="26.25">
      <c r="T4536" s="85" ph="1"/>
    </row>
    <row r="4537" spans="20:20" ht="26.25">
      <c r="T4537" s="85" ph="1"/>
    </row>
    <row r="4538" spans="20:20" ht="26.25">
      <c r="T4538" s="85" ph="1"/>
    </row>
    <row r="4539" spans="20:20" ht="26.25">
      <c r="T4539" s="85" ph="1"/>
    </row>
    <row r="4540" spans="20:20" ht="26.25">
      <c r="T4540" s="85" ph="1"/>
    </row>
    <row r="4541" spans="20:20" ht="26.25">
      <c r="T4541" s="85" ph="1"/>
    </row>
    <row r="4542" spans="20:20" ht="26.25">
      <c r="T4542" s="85" ph="1"/>
    </row>
    <row r="4543" spans="20:20" ht="26.25">
      <c r="T4543" s="85" ph="1"/>
    </row>
    <row r="4544" spans="20:20" ht="26.25">
      <c r="T4544" s="85" ph="1"/>
    </row>
    <row r="4545" spans="20:20" ht="26.25">
      <c r="T4545" s="85" ph="1"/>
    </row>
    <row r="4546" spans="20:20" ht="26.25">
      <c r="T4546" s="85" ph="1"/>
    </row>
    <row r="4547" spans="20:20" ht="26.25">
      <c r="T4547" s="85" ph="1"/>
    </row>
    <row r="4548" spans="20:20" ht="26.25">
      <c r="T4548" s="85" ph="1"/>
    </row>
    <row r="4549" spans="20:20" ht="26.25">
      <c r="T4549" s="85" ph="1"/>
    </row>
    <row r="4550" spans="20:20" ht="26.25">
      <c r="T4550" s="85" ph="1"/>
    </row>
    <row r="4551" spans="20:20" ht="26.25">
      <c r="T4551" s="85" ph="1"/>
    </row>
    <row r="4552" spans="20:20" ht="26.25">
      <c r="T4552" s="85" ph="1"/>
    </row>
    <row r="4553" spans="20:20" ht="26.25">
      <c r="T4553" s="85" ph="1"/>
    </row>
    <row r="4554" spans="20:20" ht="26.25">
      <c r="T4554" s="85" ph="1"/>
    </row>
    <row r="4555" spans="20:20" ht="26.25">
      <c r="T4555" s="85" ph="1"/>
    </row>
    <row r="4556" spans="20:20" ht="26.25">
      <c r="T4556" s="85" ph="1"/>
    </row>
    <row r="4557" spans="20:20" ht="26.25">
      <c r="T4557" s="85" ph="1"/>
    </row>
    <row r="4558" spans="20:20" ht="26.25">
      <c r="T4558" s="85" ph="1"/>
    </row>
    <row r="4559" spans="20:20" ht="26.25">
      <c r="T4559" s="85" ph="1"/>
    </row>
    <row r="4560" spans="20:20" ht="26.25">
      <c r="T4560" s="85" ph="1"/>
    </row>
    <row r="4561" spans="20:20" ht="26.25">
      <c r="T4561" s="85" ph="1"/>
    </row>
    <row r="4562" spans="20:20" ht="26.25">
      <c r="T4562" s="85" ph="1"/>
    </row>
    <row r="4563" spans="20:20" ht="26.25">
      <c r="T4563" s="85" ph="1"/>
    </row>
    <row r="4564" spans="20:20" ht="26.25">
      <c r="T4564" s="85" ph="1"/>
    </row>
    <row r="4565" spans="20:20" ht="26.25">
      <c r="T4565" s="85" ph="1"/>
    </row>
    <row r="4566" spans="20:20" ht="26.25">
      <c r="T4566" s="85" ph="1"/>
    </row>
    <row r="4567" spans="20:20" ht="26.25">
      <c r="T4567" s="85" ph="1"/>
    </row>
    <row r="4568" spans="20:20" ht="26.25">
      <c r="T4568" s="85" ph="1"/>
    </row>
    <row r="4569" spans="20:20" ht="26.25">
      <c r="T4569" s="85" ph="1"/>
    </row>
    <row r="4570" spans="20:20" ht="26.25">
      <c r="T4570" s="85" ph="1"/>
    </row>
    <row r="4571" spans="20:20" ht="26.25">
      <c r="T4571" s="85" ph="1"/>
    </row>
    <row r="4572" spans="20:20" ht="26.25">
      <c r="T4572" s="85" ph="1"/>
    </row>
    <row r="4573" spans="20:20" ht="26.25">
      <c r="T4573" s="85" ph="1"/>
    </row>
    <row r="4574" spans="20:20" ht="26.25">
      <c r="T4574" s="85" ph="1"/>
    </row>
    <row r="4575" spans="20:20" ht="26.25">
      <c r="T4575" s="85" ph="1"/>
    </row>
    <row r="4576" spans="20:20" ht="26.25">
      <c r="T4576" s="85" ph="1"/>
    </row>
    <row r="4577" spans="20:20" ht="26.25">
      <c r="T4577" s="85" ph="1"/>
    </row>
    <row r="4578" spans="20:20" ht="26.25">
      <c r="T4578" s="85" ph="1"/>
    </row>
    <row r="4579" spans="20:20" ht="26.25">
      <c r="T4579" s="85" ph="1"/>
    </row>
    <row r="4580" spans="20:20" ht="26.25">
      <c r="T4580" s="85" ph="1"/>
    </row>
    <row r="4581" spans="20:20" ht="26.25">
      <c r="T4581" s="85" ph="1"/>
    </row>
    <row r="4582" spans="20:20" ht="26.25">
      <c r="T4582" s="85" ph="1"/>
    </row>
    <row r="4583" spans="20:20" ht="26.25">
      <c r="T4583" s="85" ph="1"/>
    </row>
    <row r="4584" spans="20:20" ht="26.25">
      <c r="T4584" s="85" ph="1"/>
    </row>
    <row r="4585" spans="20:20" ht="26.25">
      <c r="T4585" s="85" ph="1"/>
    </row>
    <row r="4586" spans="20:20" ht="26.25">
      <c r="T4586" s="85" ph="1"/>
    </row>
    <row r="4587" spans="20:20" ht="26.25">
      <c r="T4587" s="85" ph="1"/>
    </row>
    <row r="4588" spans="20:20" ht="26.25">
      <c r="T4588" s="85" ph="1"/>
    </row>
    <row r="4589" spans="20:20" ht="26.25">
      <c r="T4589" s="85" ph="1"/>
    </row>
    <row r="4590" spans="20:20" ht="26.25">
      <c r="T4590" s="85" ph="1"/>
    </row>
    <row r="4591" spans="20:20" ht="26.25">
      <c r="T4591" s="85" ph="1"/>
    </row>
    <row r="4592" spans="20:20" ht="26.25">
      <c r="T4592" s="85" ph="1"/>
    </row>
    <row r="4593" spans="20:20" ht="26.25">
      <c r="T4593" s="85" ph="1"/>
    </row>
    <row r="4594" spans="20:20" ht="26.25">
      <c r="T4594" s="85" ph="1"/>
    </row>
    <row r="4595" spans="20:20" ht="26.25">
      <c r="T4595" s="85" ph="1"/>
    </row>
    <row r="4596" spans="20:20" ht="26.25">
      <c r="T4596" s="85" ph="1"/>
    </row>
    <row r="4597" spans="20:20" ht="26.25">
      <c r="T4597" s="85" ph="1"/>
    </row>
    <row r="4598" spans="20:20" ht="26.25">
      <c r="T4598" s="85" ph="1"/>
    </row>
    <row r="4599" spans="20:20" ht="26.25">
      <c r="T4599" s="85" ph="1"/>
    </row>
    <row r="4600" spans="20:20" ht="26.25">
      <c r="T4600" s="85" ph="1"/>
    </row>
    <row r="4601" spans="20:20" ht="26.25">
      <c r="T4601" s="85" ph="1"/>
    </row>
    <row r="4602" spans="20:20" ht="26.25">
      <c r="T4602" s="85" ph="1"/>
    </row>
    <row r="4603" spans="20:20" ht="26.25">
      <c r="T4603" s="85" ph="1"/>
    </row>
    <row r="4604" spans="20:20" ht="26.25">
      <c r="T4604" s="85" ph="1"/>
    </row>
    <row r="4605" spans="20:20" ht="26.25">
      <c r="T4605" s="85" ph="1"/>
    </row>
    <row r="4606" spans="20:20" ht="26.25">
      <c r="T4606" s="85" ph="1"/>
    </row>
    <row r="4607" spans="20:20" ht="26.25">
      <c r="T4607" s="85" ph="1"/>
    </row>
    <row r="4608" spans="20:20" ht="26.25">
      <c r="T4608" s="85" ph="1"/>
    </row>
    <row r="4609" spans="20:20" ht="26.25">
      <c r="T4609" s="85" ph="1"/>
    </row>
    <row r="4610" spans="20:20" ht="26.25">
      <c r="T4610" s="85" ph="1"/>
    </row>
    <row r="4611" spans="20:20" ht="26.25">
      <c r="T4611" s="85" ph="1"/>
    </row>
    <row r="4612" spans="20:20" ht="26.25">
      <c r="T4612" s="85" ph="1"/>
    </row>
    <row r="4613" spans="20:20" ht="26.25">
      <c r="T4613" s="85" ph="1"/>
    </row>
    <row r="4614" spans="20:20" ht="26.25">
      <c r="T4614" s="85" ph="1"/>
    </row>
    <row r="4615" spans="20:20" ht="26.25">
      <c r="T4615" s="85" ph="1"/>
    </row>
    <row r="4616" spans="20:20" ht="26.25">
      <c r="T4616" s="85" ph="1"/>
    </row>
    <row r="4617" spans="20:20" ht="26.25">
      <c r="T4617" s="85" ph="1"/>
    </row>
    <row r="4618" spans="20:20" ht="26.25">
      <c r="T4618" s="85" ph="1"/>
    </row>
    <row r="4619" spans="20:20" ht="26.25">
      <c r="T4619" s="85" ph="1"/>
    </row>
    <row r="4620" spans="20:20" ht="26.25">
      <c r="T4620" s="85" ph="1"/>
    </row>
    <row r="4621" spans="20:20" ht="26.25">
      <c r="T4621" s="85" ph="1"/>
    </row>
    <row r="4622" spans="20:20" ht="26.25">
      <c r="T4622" s="85" ph="1"/>
    </row>
    <row r="4623" spans="20:20" ht="26.25">
      <c r="T4623" s="85" ph="1"/>
    </row>
    <row r="4624" spans="20:20" ht="26.25">
      <c r="T4624" s="85" ph="1"/>
    </row>
    <row r="4625" spans="20:20" ht="26.25">
      <c r="T4625" s="85" ph="1"/>
    </row>
    <row r="4626" spans="20:20" ht="26.25">
      <c r="T4626" s="85" ph="1"/>
    </row>
    <row r="4627" spans="20:20" ht="26.25">
      <c r="T4627" s="85" ph="1"/>
    </row>
    <row r="4628" spans="20:20" ht="26.25">
      <c r="T4628" s="85" ph="1"/>
    </row>
    <row r="4629" spans="20:20" ht="26.25">
      <c r="T4629" s="85" ph="1"/>
    </row>
    <row r="4630" spans="20:20" ht="26.25">
      <c r="T4630" s="85" ph="1"/>
    </row>
    <row r="4631" spans="20:20" ht="26.25">
      <c r="T4631" s="85" ph="1"/>
    </row>
    <row r="4632" spans="20:20" ht="26.25">
      <c r="T4632" s="85" ph="1"/>
    </row>
    <row r="4633" spans="20:20" ht="26.25">
      <c r="T4633" s="85" ph="1"/>
    </row>
    <row r="4634" spans="20:20" ht="26.25">
      <c r="T4634" s="85" ph="1"/>
    </row>
    <row r="4635" spans="20:20" ht="26.25">
      <c r="T4635" s="85" ph="1"/>
    </row>
    <row r="4636" spans="20:20" ht="26.25">
      <c r="T4636" s="85" ph="1"/>
    </row>
    <row r="4637" spans="20:20" ht="26.25">
      <c r="T4637" s="85" ph="1"/>
    </row>
    <row r="4638" spans="20:20" ht="26.25">
      <c r="T4638" s="85" ph="1"/>
    </row>
    <row r="4639" spans="20:20" ht="26.25">
      <c r="T4639" s="85" ph="1"/>
    </row>
    <row r="4640" spans="20:20" ht="26.25">
      <c r="T4640" s="85" ph="1"/>
    </row>
    <row r="4641" spans="20:20" ht="26.25">
      <c r="T4641" s="85" ph="1"/>
    </row>
    <row r="4642" spans="20:20" ht="26.25">
      <c r="T4642" s="85" ph="1"/>
    </row>
    <row r="4643" spans="20:20" ht="26.25">
      <c r="T4643" s="85" ph="1"/>
    </row>
    <row r="4644" spans="20:20" ht="26.25">
      <c r="T4644" s="85" ph="1"/>
    </row>
    <row r="4645" spans="20:20" ht="26.25">
      <c r="T4645" s="85" ph="1"/>
    </row>
    <row r="4646" spans="20:20" ht="26.25">
      <c r="T4646" s="85" ph="1"/>
    </row>
    <row r="4647" spans="20:20" ht="26.25">
      <c r="T4647" s="85" ph="1"/>
    </row>
    <row r="4648" spans="20:20" ht="26.25">
      <c r="T4648" s="85" ph="1"/>
    </row>
    <row r="4649" spans="20:20" ht="26.25">
      <c r="T4649" s="85" ph="1"/>
    </row>
    <row r="4650" spans="20:20" ht="26.25">
      <c r="T4650" s="85" ph="1"/>
    </row>
    <row r="4651" spans="20:20" ht="26.25">
      <c r="T4651" s="85" ph="1"/>
    </row>
    <row r="4652" spans="20:20" ht="26.25">
      <c r="T4652" s="85" ph="1"/>
    </row>
    <row r="4653" spans="20:20" ht="26.25">
      <c r="T4653" s="85" ph="1"/>
    </row>
    <row r="4654" spans="20:20" ht="26.25">
      <c r="T4654" s="85" ph="1"/>
    </row>
    <row r="4655" spans="20:20" ht="26.25">
      <c r="T4655" s="85" ph="1"/>
    </row>
    <row r="4656" spans="20:20" ht="26.25">
      <c r="T4656" s="85" ph="1"/>
    </row>
    <row r="4657" spans="20:20" ht="26.25">
      <c r="T4657" s="85" ph="1"/>
    </row>
    <row r="4658" spans="20:20" ht="26.25">
      <c r="T4658" s="85" ph="1"/>
    </row>
    <row r="4659" spans="20:20" ht="26.25">
      <c r="T4659" s="85" ph="1"/>
    </row>
    <row r="4660" spans="20:20" ht="26.25">
      <c r="T4660" s="85" ph="1"/>
    </row>
    <row r="4661" spans="20:20" ht="26.25">
      <c r="T4661" s="85" ph="1"/>
    </row>
    <row r="4662" spans="20:20" ht="26.25">
      <c r="T4662" s="85" ph="1"/>
    </row>
    <row r="4663" spans="20:20" ht="26.25">
      <c r="T4663" s="85" ph="1"/>
    </row>
    <row r="4664" spans="20:20" ht="26.25">
      <c r="T4664" s="85" ph="1"/>
    </row>
    <row r="4665" spans="20:20" ht="26.25">
      <c r="T4665" s="85" ph="1"/>
    </row>
    <row r="4666" spans="20:20" ht="26.25">
      <c r="T4666" s="85" ph="1"/>
    </row>
    <row r="4667" spans="20:20" ht="26.25">
      <c r="T4667" s="85" ph="1"/>
    </row>
    <row r="4668" spans="20:20" ht="26.25">
      <c r="T4668" s="85" ph="1"/>
    </row>
    <row r="4669" spans="20:20" ht="26.25">
      <c r="T4669" s="85" ph="1"/>
    </row>
    <row r="4670" spans="20:20" ht="26.25">
      <c r="T4670" s="85" ph="1"/>
    </row>
    <row r="4671" spans="20:20" ht="26.25">
      <c r="T4671" s="85" ph="1"/>
    </row>
    <row r="4672" spans="20:20" ht="26.25">
      <c r="T4672" s="85" ph="1"/>
    </row>
    <row r="4673" spans="20:20" ht="26.25">
      <c r="T4673" s="85" ph="1"/>
    </row>
    <row r="4674" spans="20:20" ht="26.25">
      <c r="T4674" s="85" ph="1"/>
    </row>
    <row r="4675" spans="20:20" ht="26.25">
      <c r="T4675" s="85" ph="1"/>
    </row>
    <row r="4676" spans="20:20" ht="26.25">
      <c r="T4676" s="85" ph="1"/>
    </row>
    <row r="4677" spans="20:20" ht="26.25">
      <c r="T4677" s="85" ph="1"/>
    </row>
    <row r="4678" spans="20:20" ht="26.25">
      <c r="T4678" s="85" ph="1"/>
    </row>
    <row r="4679" spans="20:20" ht="26.25">
      <c r="T4679" s="85" ph="1"/>
    </row>
    <row r="4680" spans="20:20" ht="26.25">
      <c r="T4680" s="85" ph="1"/>
    </row>
    <row r="4681" spans="20:20" ht="26.25">
      <c r="T4681" s="85" ph="1"/>
    </row>
    <row r="4682" spans="20:20" ht="26.25">
      <c r="T4682" s="85" ph="1"/>
    </row>
    <row r="4683" spans="20:20" ht="26.25">
      <c r="T4683" s="85" ph="1"/>
    </row>
    <row r="4684" spans="20:20" ht="26.25">
      <c r="T4684" s="85" ph="1"/>
    </row>
    <row r="4685" spans="20:20" ht="26.25">
      <c r="T4685" s="85" ph="1"/>
    </row>
    <row r="4686" spans="20:20" ht="26.25">
      <c r="T4686" s="85" ph="1"/>
    </row>
    <row r="4687" spans="20:20" ht="26.25">
      <c r="T4687" s="85" ph="1"/>
    </row>
    <row r="4688" spans="20:20" ht="26.25">
      <c r="T4688" s="85" ph="1"/>
    </row>
    <row r="4689" spans="20:20" ht="26.25">
      <c r="T4689" s="85" ph="1"/>
    </row>
    <row r="4690" spans="20:20" ht="26.25">
      <c r="T4690" s="85" ph="1"/>
    </row>
    <row r="4691" spans="20:20" ht="26.25">
      <c r="T4691" s="85" ph="1"/>
    </row>
    <row r="4692" spans="20:20" ht="26.25">
      <c r="T4692" s="85" ph="1"/>
    </row>
    <row r="4693" spans="20:20" ht="26.25">
      <c r="T4693" s="85" ph="1"/>
    </row>
    <row r="4694" spans="20:20" ht="26.25">
      <c r="T4694" s="85" ph="1"/>
    </row>
    <row r="4695" spans="20:20" ht="26.25">
      <c r="T4695" s="85" ph="1"/>
    </row>
    <row r="4696" spans="20:20" ht="26.25">
      <c r="T4696" s="85" ph="1"/>
    </row>
    <row r="4697" spans="20:20" ht="26.25">
      <c r="T4697" s="85" ph="1"/>
    </row>
    <row r="4698" spans="20:20" ht="26.25">
      <c r="T4698" s="85" ph="1"/>
    </row>
    <row r="4699" spans="20:20" ht="26.25">
      <c r="T4699" s="85" ph="1"/>
    </row>
    <row r="4700" spans="20:20" ht="26.25">
      <c r="T4700" s="85" ph="1"/>
    </row>
    <row r="4701" spans="20:20" ht="26.25">
      <c r="T4701" s="85" ph="1"/>
    </row>
    <row r="4702" spans="20:20" ht="26.25">
      <c r="T4702" s="85" ph="1"/>
    </row>
    <row r="4703" spans="20:20" ht="26.25">
      <c r="T4703" s="85" ph="1"/>
    </row>
    <row r="4704" spans="20:20" ht="26.25">
      <c r="T4704" s="85" ph="1"/>
    </row>
    <row r="4705" spans="20:20" ht="26.25">
      <c r="T4705" s="85" ph="1"/>
    </row>
    <row r="4706" spans="20:20" ht="26.25">
      <c r="T4706" s="85" ph="1"/>
    </row>
    <row r="4707" spans="20:20" ht="26.25">
      <c r="T4707" s="85" ph="1"/>
    </row>
    <row r="4708" spans="20:20" ht="26.25">
      <c r="T4708" s="85" ph="1"/>
    </row>
    <row r="4709" spans="20:20" ht="26.25">
      <c r="T4709" s="85" ph="1"/>
    </row>
    <row r="4710" spans="20:20" ht="26.25">
      <c r="T4710" s="85" ph="1"/>
    </row>
    <row r="4711" spans="20:20" ht="26.25">
      <c r="T4711" s="85" ph="1"/>
    </row>
    <row r="4712" spans="20:20" ht="26.25">
      <c r="T4712" s="85" ph="1"/>
    </row>
    <row r="4713" spans="20:20" ht="26.25">
      <c r="T4713" s="85" ph="1"/>
    </row>
    <row r="4714" spans="20:20" ht="26.25">
      <c r="T4714" s="85" ph="1"/>
    </row>
    <row r="4715" spans="20:20" ht="26.25">
      <c r="T4715" s="85" ph="1"/>
    </row>
    <row r="4716" spans="20:20" ht="26.25">
      <c r="T4716" s="85" ph="1"/>
    </row>
    <row r="4717" spans="20:20" ht="26.25">
      <c r="T4717" s="85" ph="1"/>
    </row>
    <row r="4718" spans="20:20" ht="26.25">
      <c r="T4718" s="85" ph="1"/>
    </row>
    <row r="4719" spans="20:20" ht="26.25">
      <c r="T4719" s="85" ph="1"/>
    </row>
    <row r="4720" spans="20:20" ht="26.25">
      <c r="T4720" s="85" ph="1"/>
    </row>
    <row r="4721" spans="20:20" ht="26.25">
      <c r="T4721" s="85" ph="1"/>
    </row>
    <row r="4722" spans="20:20" ht="26.25">
      <c r="T4722" s="85" ph="1"/>
    </row>
    <row r="4723" spans="20:20" ht="26.25">
      <c r="T4723" s="85" ph="1"/>
    </row>
    <row r="4724" spans="20:20" ht="26.25">
      <c r="T4724" s="85" ph="1"/>
    </row>
    <row r="4725" spans="20:20" ht="26.25">
      <c r="T4725" s="85" ph="1"/>
    </row>
    <row r="4726" spans="20:20" ht="26.25">
      <c r="T4726" s="85" ph="1"/>
    </row>
    <row r="4727" spans="20:20" ht="26.25">
      <c r="T4727" s="85" ph="1"/>
    </row>
    <row r="4728" spans="20:20" ht="26.25">
      <c r="T4728" s="85" ph="1"/>
    </row>
    <row r="4729" spans="20:20" ht="26.25">
      <c r="T4729" s="85" ph="1"/>
    </row>
    <row r="4730" spans="20:20" ht="26.25">
      <c r="T4730" s="85" ph="1"/>
    </row>
    <row r="4731" spans="20:20" ht="26.25">
      <c r="T4731" s="85" ph="1"/>
    </row>
    <row r="4732" spans="20:20" ht="26.25">
      <c r="T4732" s="85" ph="1"/>
    </row>
    <row r="4733" spans="20:20" ht="26.25">
      <c r="T4733" s="85" ph="1"/>
    </row>
    <row r="4734" spans="20:20" ht="26.25">
      <c r="T4734" s="85" ph="1"/>
    </row>
    <row r="4735" spans="20:20" ht="26.25">
      <c r="T4735" s="85" ph="1"/>
    </row>
    <row r="4736" spans="20:20" ht="26.25">
      <c r="T4736" s="85" ph="1"/>
    </row>
    <row r="4737" spans="20:20" ht="26.25">
      <c r="T4737" s="85" ph="1"/>
    </row>
    <row r="4738" spans="20:20" ht="26.25">
      <c r="T4738" s="85" ph="1"/>
    </row>
    <row r="4739" spans="20:20" ht="26.25">
      <c r="T4739" s="85" ph="1"/>
    </row>
    <row r="4740" spans="20:20" ht="26.25">
      <c r="T4740" s="85" ph="1"/>
    </row>
    <row r="4741" spans="20:20" ht="26.25">
      <c r="T4741" s="85" ph="1"/>
    </row>
    <row r="4742" spans="20:20" ht="26.25">
      <c r="T4742" s="85" ph="1"/>
    </row>
    <row r="4743" spans="20:20" ht="26.25">
      <c r="T4743" s="85" ph="1"/>
    </row>
    <row r="4744" spans="20:20" ht="26.25">
      <c r="T4744" s="85" ph="1"/>
    </row>
    <row r="4745" spans="20:20" ht="26.25">
      <c r="T4745" s="85" ph="1"/>
    </row>
    <row r="4746" spans="20:20" ht="26.25">
      <c r="T4746" s="85" ph="1"/>
    </row>
    <row r="4747" spans="20:20" ht="26.25">
      <c r="T4747" s="85" ph="1"/>
    </row>
    <row r="4748" spans="20:20" ht="26.25">
      <c r="T4748" s="85" ph="1"/>
    </row>
    <row r="4749" spans="20:20" ht="26.25">
      <c r="T4749" s="85" ph="1"/>
    </row>
    <row r="4750" spans="20:20" ht="26.25">
      <c r="T4750" s="85" ph="1"/>
    </row>
    <row r="4751" spans="20:20" ht="26.25">
      <c r="T4751" s="85" ph="1"/>
    </row>
    <row r="4752" spans="20:20" ht="26.25">
      <c r="T4752" s="85" ph="1"/>
    </row>
    <row r="4753" spans="20:20" ht="26.25">
      <c r="T4753" s="85" ph="1"/>
    </row>
    <row r="4754" spans="20:20" ht="26.25">
      <c r="T4754" s="85" ph="1"/>
    </row>
    <row r="4755" spans="20:20" ht="26.25">
      <c r="T4755" s="85" ph="1"/>
    </row>
    <row r="4756" spans="20:20" ht="26.25">
      <c r="T4756" s="85" ph="1"/>
    </row>
    <row r="4757" spans="20:20" ht="26.25">
      <c r="T4757" s="85" ph="1"/>
    </row>
    <row r="4758" spans="20:20" ht="26.25">
      <c r="T4758" s="85" ph="1"/>
    </row>
    <row r="4759" spans="20:20" ht="26.25">
      <c r="T4759" s="85" ph="1"/>
    </row>
    <row r="4760" spans="20:20" ht="26.25">
      <c r="T4760" s="85" ph="1"/>
    </row>
    <row r="4761" spans="20:20" ht="26.25">
      <c r="T4761" s="85" ph="1"/>
    </row>
    <row r="4762" spans="20:20" ht="26.25">
      <c r="T4762" s="85" ph="1"/>
    </row>
    <row r="4763" spans="20:20" ht="26.25">
      <c r="T4763" s="85" ph="1"/>
    </row>
    <row r="4764" spans="20:20" ht="26.25">
      <c r="T4764" s="85" ph="1"/>
    </row>
    <row r="4765" spans="20:20" ht="26.25">
      <c r="T4765" s="85" ph="1"/>
    </row>
    <row r="4766" spans="20:20" ht="26.25">
      <c r="T4766" s="85" ph="1"/>
    </row>
    <row r="4767" spans="20:20" ht="26.25">
      <c r="T4767" s="85" ph="1"/>
    </row>
    <row r="4768" spans="20:20" ht="26.25">
      <c r="T4768" s="85" ph="1"/>
    </row>
    <row r="4769" spans="20:20" ht="26.25">
      <c r="T4769" s="85" ph="1"/>
    </row>
    <row r="4770" spans="20:20" ht="26.25">
      <c r="T4770" s="85" ph="1"/>
    </row>
    <row r="4771" spans="20:20" ht="26.25">
      <c r="T4771" s="85" ph="1"/>
    </row>
    <row r="4772" spans="20:20" ht="26.25">
      <c r="T4772" s="85" ph="1"/>
    </row>
    <row r="4773" spans="20:20" ht="26.25">
      <c r="T4773" s="85" ph="1"/>
    </row>
    <row r="4774" spans="20:20" ht="26.25">
      <c r="T4774" s="85" ph="1"/>
    </row>
    <row r="4775" spans="20:20" ht="26.25">
      <c r="T4775" s="85" ph="1"/>
    </row>
    <row r="4776" spans="20:20" ht="26.25">
      <c r="T4776" s="85" ph="1"/>
    </row>
    <row r="4777" spans="20:20" ht="26.25">
      <c r="T4777" s="85" ph="1"/>
    </row>
    <row r="4778" spans="20:20" ht="26.25">
      <c r="T4778" s="85" ph="1"/>
    </row>
    <row r="4779" spans="20:20" ht="26.25">
      <c r="T4779" s="85" ph="1"/>
    </row>
    <row r="4780" spans="20:20" ht="26.25">
      <c r="T4780" s="85" ph="1"/>
    </row>
    <row r="4781" spans="20:20" ht="26.25">
      <c r="T4781" s="85" ph="1"/>
    </row>
    <row r="4782" spans="20:20" ht="26.25">
      <c r="T4782" s="85" ph="1"/>
    </row>
    <row r="4783" spans="20:20" ht="26.25">
      <c r="T4783" s="85" ph="1"/>
    </row>
    <row r="4784" spans="20:20" ht="26.25">
      <c r="T4784" s="85" ph="1"/>
    </row>
    <row r="4785" spans="20:20" ht="26.25">
      <c r="T4785" s="85" ph="1"/>
    </row>
    <row r="4786" spans="20:20" ht="26.25">
      <c r="T4786" s="85" ph="1"/>
    </row>
    <row r="4787" spans="20:20" ht="26.25">
      <c r="T4787" s="85" ph="1"/>
    </row>
    <row r="4788" spans="20:20" ht="26.25">
      <c r="T4788" s="85" ph="1"/>
    </row>
    <row r="4789" spans="20:20" ht="26.25">
      <c r="T4789" s="85" ph="1"/>
    </row>
    <row r="4790" spans="20:20" ht="26.25">
      <c r="T4790" s="85" ph="1"/>
    </row>
    <row r="4791" spans="20:20" ht="26.25">
      <c r="T4791" s="85" ph="1"/>
    </row>
    <row r="4792" spans="20:20" ht="26.25">
      <c r="T4792" s="85" ph="1"/>
    </row>
    <row r="4793" spans="20:20" ht="26.25">
      <c r="T4793" s="85" ph="1"/>
    </row>
    <row r="4794" spans="20:20" ht="26.25">
      <c r="T4794" s="85" ph="1"/>
    </row>
    <row r="4795" spans="20:20" ht="26.25">
      <c r="T4795" s="85" ph="1"/>
    </row>
    <row r="4796" spans="20:20" ht="26.25">
      <c r="T4796" s="85" ph="1"/>
    </row>
    <row r="4797" spans="20:20" ht="26.25">
      <c r="T4797" s="85" ph="1"/>
    </row>
    <row r="4798" spans="20:20" ht="26.25">
      <c r="T4798" s="85" ph="1"/>
    </row>
    <row r="4799" spans="20:20" ht="26.25">
      <c r="T4799" s="85" ph="1"/>
    </row>
    <row r="4800" spans="20:20" ht="26.25">
      <c r="T4800" s="85" ph="1"/>
    </row>
    <row r="4801" spans="20:20" ht="26.25">
      <c r="T4801" s="85" ph="1"/>
    </row>
    <row r="4802" spans="20:20" ht="26.25">
      <c r="T4802" s="85" ph="1"/>
    </row>
    <row r="4803" spans="20:20" ht="26.25">
      <c r="T4803" s="85" ph="1"/>
    </row>
    <row r="4804" spans="20:20" ht="26.25">
      <c r="T4804" s="85" ph="1"/>
    </row>
    <row r="4805" spans="20:20" ht="26.25">
      <c r="T4805" s="85" ph="1"/>
    </row>
    <row r="4806" spans="20:20" ht="26.25">
      <c r="T4806" s="85" ph="1"/>
    </row>
    <row r="4807" spans="20:20" ht="26.25">
      <c r="T4807" s="85" ph="1"/>
    </row>
    <row r="4808" spans="20:20" ht="26.25">
      <c r="T4808" s="85" ph="1"/>
    </row>
    <row r="4809" spans="20:20" ht="26.25">
      <c r="T4809" s="85" ph="1"/>
    </row>
    <row r="4810" spans="20:20" ht="26.25">
      <c r="T4810" s="85" ph="1"/>
    </row>
    <row r="4811" spans="20:20" ht="26.25">
      <c r="T4811" s="85" ph="1"/>
    </row>
    <row r="4812" spans="20:20" ht="26.25">
      <c r="T4812" s="85" ph="1"/>
    </row>
    <row r="4813" spans="20:20" ht="26.25">
      <c r="T4813" s="85" ph="1"/>
    </row>
    <row r="4814" spans="20:20" ht="26.25">
      <c r="T4814" s="85" ph="1"/>
    </row>
    <row r="4815" spans="20:20" ht="26.25">
      <c r="T4815" s="85" ph="1"/>
    </row>
    <row r="4816" spans="20:20" ht="26.25">
      <c r="T4816" s="85" ph="1"/>
    </row>
    <row r="4817" spans="20:20" ht="26.25">
      <c r="T4817" s="85" ph="1"/>
    </row>
    <row r="4818" spans="20:20" ht="26.25">
      <c r="T4818" s="85" ph="1"/>
    </row>
    <row r="4819" spans="20:20" ht="26.25">
      <c r="T4819" s="85" ph="1"/>
    </row>
    <row r="4820" spans="20:20" ht="26.25">
      <c r="T4820" s="85" ph="1"/>
    </row>
    <row r="4821" spans="20:20" ht="26.25">
      <c r="T4821" s="85" ph="1"/>
    </row>
    <row r="4822" spans="20:20" ht="26.25">
      <c r="T4822" s="85" ph="1"/>
    </row>
    <row r="4823" spans="20:20" ht="26.25">
      <c r="T4823" s="85" ph="1"/>
    </row>
    <row r="4824" spans="20:20" ht="26.25">
      <c r="T4824" s="85" ph="1"/>
    </row>
    <row r="4825" spans="20:20" ht="26.25">
      <c r="T4825" s="85" ph="1"/>
    </row>
    <row r="4826" spans="20:20" ht="26.25">
      <c r="T4826" s="85" ph="1"/>
    </row>
    <row r="4827" spans="20:20" ht="26.25">
      <c r="T4827" s="85" ph="1"/>
    </row>
    <row r="4828" spans="20:20" ht="26.25">
      <c r="T4828" s="85" ph="1"/>
    </row>
    <row r="4829" spans="20:20" ht="26.25">
      <c r="T4829" s="85" ph="1"/>
    </row>
    <row r="4830" spans="20:20" ht="26.25">
      <c r="T4830" s="85" ph="1"/>
    </row>
    <row r="4831" spans="20:20" ht="26.25">
      <c r="T4831" s="85" ph="1"/>
    </row>
    <row r="4832" spans="20:20" ht="26.25">
      <c r="T4832" s="85" ph="1"/>
    </row>
    <row r="4833" spans="20:20" ht="26.25">
      <c r="T4833" s="85" ph="1"/>
    </row>
    <row r="4834" spans="20:20" ht="26.25">
      <c r="T4834" s="85" ph="1"/>
    </row>
    <row r="4835" spans="20:20" ht="26.25">
      <c r="T4835" s="85" ph="1"/>
    </row>
    <row r="4836" spans="20:20" ht="26.25">
      <c r="T4836" s="85" ph="1"/>
    </row>
    <row r="4837" spans="20:20" ht="26.25">
      <c r="T4837" s="85" ph="1"/>
    </row>
    <row r="4838" spans="20:20" ht="26.25">
      <c r="T4838" s="85" ph="1"/>
    </row>
    <row r="4839" spans="20:20" ht="26.25">
      <c r="T4839" s="85" ph="1"/>
    </row>
    <row r="4840" spans="20:20" ht="26.25">
      <c r="T4840" s="85" ph="1"/>
    </row>
    <row r="4841" spans="20:20" ht="26.25">
      <c r="T4841" s="85" ph="1"/>
    </row>
    <row r="4842" spans="20:20" ht="26.25">
      <c r="T4842" s="85" ph="1"/>
    </row>
    <row r="4843" spans="20:20" ht="26.25">
      <c r="T4843" s="85" ph="1"/>
    </row>
    <row r="4844" spans="20:20" ht="26.25">
      <c r="T4844" s="85" ph="1"/>
    </row>
    <row r="4845" spans="20:20" ht="26.25">
      <c r="T4845" s="85" ph="1"/>
    </row>
    <row r="4846" spans="20:20" ht="26.25">
      <c r="T4846" s="85" ph="1"/>
    </row>
    <row r="4847" spans="20:20" ht="26.25">
      <c r="T4847" s="85" ph="1"/>
    </row>
    <row r="4848" spans="20:20" ht="26.25">
      <c r="T4848" s="85" ph="1"/>
    </row>
    <row r="4849" spans="20:20" ht="26.25">
      <c r="T4849" s="85" ph="1"/>
    </row>
    <row r="4850" spans="20:20" ht="26.25">
      <c r="T4850" s="85" ph="1"/>
    </row>
    <row r="4851" spans="20:20" ht="26.25">
      <c r="T4851" s="85" ph="1"/>
    </row>
    <row r="4852" spans="20:20" ht="26.25">
      <c r="T4852" s="85" ph="1"/>
    </row>
    <row r="4853" spans="20:20" ht="26.25">
      <c r="T4853" s="85" ph="1"/>
    </row>
    <row r="4854" spans="20:20" ht="26.25">
      <c r="T4854" s="85" ph="1"/>
    </row>
    <row r="4855" spans="20:20" ht="26.25">
      <c r="T4855" s="85" ph="1"/>
    </row>
    <row r="4856" spans="20:20" ht="26.25">
      <c r="T4856" s="85" ph="1"/>
    </row>
    <row r="4857" spans="20:20" ht="26.25">
      <c r="T4857" s="85" ph="1"/>
    </row>
    <row r="4858" spans="20:20" ht="26.25">
      <c r="T4858" s="85" ph="1"/>
    </row>
    <row r="4859" spans="20:20" ht="26.25">
      <c r="T4859" s="85" ph="1"/>
    </row>
    <row r="4860" spans="20:20" ht="26.25">
      <c r="T4860" s="85" ph="1"/>
    </row>
    <row r="4861" spans="20:20" ht="26.25">
      <c r="T4861" s="85" ph="1"/>
    </row>
    <row r="4862" spans="20:20" ht="26.25">
      <c r="T4862" s="85" ph="1"/>
    </row>
    <row r="4863" spans="20:20" ht="26.25">
      <c r="T4863" s="85" ph="1"/>
    </row>
    <row r="4864" spans="20:20" ht="26.25">
      <c r="T4864" s="85" ph="1"/>
    </row>
    <row r="4865" spans="20:20" ht="26.25">
      <c r="T4865" s="85" ph="1"/>
    </row>
    <row r="4866" spans="20:20" ht="26.25">
      <c r="T4866" s="85" ph="1"/>
    </row>
    <row r="4867" spans="20:20" ht="26.25">
      <c r="T4867" s="85" ph="1"/>
    </row>
    <row r="4868" spans="20:20" ht="26.25">
      <c r="T4868" s="85" ph="1"/>
    </row>
    <row r="4869" spans="20:20" ht="26.25">
      <c r="T4869" s="85" ph="1"/>
    </row>
    <row r="4870" spans="20:20" ht="26.25">
      <c r="T4870" s="85" ph="1"/>
    </row>
    <row r="4871" spans="20:20" ht="26.25">
      <c r="T4871" s="85" ph="1"/>
    </row>
    <row r="4872" spans="20:20" ht="26.25">
      <c r="T4872" s="85" ph="1"/>
    </row>
    <row r="4873" spans="20:20" ht="26.25">
      <c r="T4873" s="85" ph="1"/>
    </row>
    <row r="4874" spans="20:20" ht="26.25">
      <c r="T4874" s="85" ph="1"/>
    </row>
    <row r="4875" spans="20:20" ht="26.25">
      <c r="T4875" s="85" ph="1"/>
    </row>
    <row r="4876" spans="20:20" ht="26.25">
      <c r="T4876" s="85" ph="1"/>
    </row>
    <row r="4877" spans="20:20" ht="26.25">
      <c r="T4877" s="85" ph="1"/>
    </row>
    <row r="4878" spans="20:20" ht="26.25">
      <c r="T4878" s="85" ph="1"/>
    </row>
    <row r="4879" spans="20:20" ht="26.25">
      <c r="T4879" s="85" ph="1"/>
    </row>
    <row r="4880" spans="20:20" ht="26.25">
      <c r="T4880" s="85" ph="1"/>
    </row>
    <row r="4881" spans="20:20" ht="26.25">
      <c r="T4881" s="85" ph="1"/>
    </row>
    <row r="4882" spans="20:20" ht="26.25">
      <c r="T4882" s="85" ph="1"/>
    </row>
    <row r="4883" spans="20:20" ht="26.25">
      <c r="T4883" s="85" ph="1"/>
    </row>
    <row r="4884" spans="20:20" ht="26.25">
      <c r="T4884" s="85" ph="1"/>
    </row>
    <row r="4885" spans="20:20" ht="26.25">
      <c r="T4885" s="85" ph="1"/>
    </row>
    <row r="4886" spans="20:20" ht="26.25">
      <c r="T4886" s="85" ph="1"/>
    </row>
    <row r="4887" spans="20:20" ht="26.25">
      <c r="T4887" s="85" ph="1"/>
    </row>
    <row r="4888" spans="20:20" ht="26.25">
      <c r="T4888" s="85" ph="1"/>
    </row>
    <row r="4889" spans="20:20" ht="26.25">
      <c r="T4889" s="85" ph="1"/>
    </row>
    <row r="4890" spans="20:20" ht="26.25">
      <c r="T4890" s="85" ph="1"/>
    </row>
    <row r="4891" spans="20:20" ht="26.25">
      <c r="T4891" s="85" ph="1"/>
    </row>
    <row r="4892" spans="20:20" ht="26.25">
      <c r="T4892" s="85" ph="1"/>
    </row>
    <row r="4893" spans="20:20" ht="26.25">
      <c r="T4893" s="85" ph="1"/>
    </row>
    <row r="4894" spans="20:20" ht="26.25">
      <c r="T4894" s="85" ph="1"/>
    </row>
    <row r="4895" spans="20:20" ht="26.25">
      <c r="T4895" s="85" ph="1"/>
    </row>
    <row r="4896" spans="20:20" ht="26.25">
      <c r="T4896" s="85" ph="1"/>
    </row>
    <row r="4897" spans="20:20" ht="26.25">
      <c r="T4897" s="85" ph="1"/>
    </row>
    <row r="4898" spans="20:20" ht="26.25">
      <c r="T4898" s="85" ph="1"/>
    </row>
    <row r="4899" spans="20:20" ht="26.25">
      <c r="T4899" s="85" ph="1"/>
    </row>
    <row r="4900" spans="20:20" ht="26.25">
      <c r="T4900" s="85" ph="1"/>
    </row>
    <row r="4901" spans="20:20" ht="26.25">
      <c r="T4901" s="85" ph="1"/>
    </row>
    <row r="4902" spans="20:20" ht="26.25">
      <c r="T4902" s="85" ph="1"/>
    </row>
    <row r="4903" spans="20:20" ht="26.25">
      <c r="T4903" s="85" ph="1"/>
    </row>
    <row r="4904" spans="20:20" ht="26.25">
      <c r="T4904" s="85" ph="1"/>
    </row>
    <row r="4905" spans="20:20" ht="26.25">
      <c r="T4905" s="85" ph="1"/>
    </row>
    <row r="4906" spans="20:20" ht="26.25">
      <c r="T4906" s="85" ph="1"/>
    </row>
    <row r="4907" spans="20:20" ht="26.25">
      <c r="T4907" s="85" ph="1"/>
    </row>
    <row r="4908" spans="20:20" ht="26.25">
      <c r="T4908" s="85" ph="1"/>
    </row>
    <row r="4909" spans="20:20" ht="26.25">
      <c r="T4909" s="85" ph="1"/>
    </row>
    <row r="4910" spans="20:20" ht="26.25">
      <c r="T4910" s="85" ph="1"/>
    </row>
    <row r="4911" spans="20:20" ht="26.25">
      <c r="T4911" s="85" ph="1"/>
    </row>
    <row r="4912" spans="20:20" ht="26.25">
      <c r="T4912" s="85" ph="1"/>
    </row>
    <row r="4913" spans="20:20" ht="26.25">
      <c r="T4913" s="85" ph="1"/>
    </row>
    <row r="4914" spans="20:20" ht="26.25">
      <c r="T4914" s="85" ph="1"/>
    </row>
    <row r="4915" spans="20:20" ht="26.25">
      <c r="T4915" s="85" ph="1"/>
    </row>
    <row r="4916" spans="20:20" ht="26.25">
      <c r="T4916" s="85" ph="1"/>
    </row>
    <row r="4917" spans="20:20" ht="26.25">
      <c r="T4917" s="85" ph="1"/>
    </row>
    <row r="4918" spans="20:20" ht="26.25">
      <c r="T4918" s="85" ph="1"/>
    </row>
    <row r="4919" spans="20:20" ht="26.25">
      <c r="T4919" s="85" ph="1"/>
    </row>
    <row r="4920" spans="20:20" ht="26.25">
      <c r="T4920" s="85" ph="1"/>
    </row>
    <row r="4921" spans="20:20" ht="26.25">
      <c r="T4921" s="85" ph="1"/>
    </row>
    <row r="4922" spans="20:20" ht="26.25">
      <c r="T4922" s="85" ph="1"/>
    </row>
    <row r="4923" spans="20:20" ht="26.25">
      <c r="T4923" s="85" ph="1"/>
    </row>
    <row r="4924" spans="20:20" ht="26.25">
      <c r="T4924" s="85" ph="1"/>
    </row>
    <row r="4925" spans="20:20" ht="26.25">
      <c r="T4925" s="85" ph="1"/>
    </row>
    <row r="4926" spans="20:20" ht="26.25">
      <c r="T4926" s="85" ph="1"/>
    </row>
    <row r="4927" spans="20:20" ht="26.25">
      <c r="T4927" s="85" ph="1"/>
    </row>
    <row r="4928" spans="20:20" ht="26.25">
      <c r="T4928" s="85" ph="1"/>
    </row>
    <row r="4929" spans="20:20" ht="26.25">
      <c r="T4929" s="85" ph="1"/>
    </row>
    <row r="4930" spans="20:20" ht="26.25">
      <c r="T4930" s="85" ph="1"/>
    </row>
    <row r="4931" spans="20:20" ht="26.25">
      <c r="T4931" s="85" ph="1"/>
    </row>
    <row r="4932" spans="20:20" ht="26.25">
      <c r="T4932" s="85" ph="1"/>
    </row>
    <row r="4933" spans="20:20" ht="26.25">
      <c r="T4933" s="85" ph="1"/>
    </row>
    <row r="4934" spans="20:20" ht="26.25">
      <c r="T4934" s="85" ph="1"/>
    </row>
    <row r="4935" spans="20:20" ht="26.25">
      <c r="T4935" s="85" ph="1"/>
    </row>
    <row r="4936" spans="20:20" ht="26.25">
      <c r="T4936" s="85" ph="1"/>
    </row>
    <row r="4937" spans="20:20" ht="26.25">
      <c r="T4937" s="85" ph="1"/>
    </row>
    <row r="4938" spans="20:20" ht="26.25">
      <c r="T4938" s="85" ph="1"/>
    </row>
    <row r="4939" spans="20:20" ht="26.25">
      <c r="T4939" s="85" ph="1"/>
    </row>
    <row r="4940" spans="20:20" ht="26.25">
      <c r="T4940" s="85" ph="1"/>
    </row>
    <row r="4941" spans="20:20" ht="26.25">
      <c r="T4941" s="85" ph="1"/>
    </row>
    <row r="4942" spans="20:20" ht="26.25">
      <c r="T4942" s="85" ph="1"/>
    </row>
    <row r="4943" spans="20:20" ht="26.25">
      <c r="T4943" s="85" ph="1"/>
    </row>
    <row r="4944" spans="20:20" ht="26.25">
      <c r="T4944" s="85" ph="1"/>
    </row>
    <row r="4945" spans="20:20" ht="26.25">
      <c r="T4945" s="85" ph="1"/>
    </row>
    <row r="4946" spans="20:20" ht="26.25">
      <c r="T4946" s="85" ph="1"/>
    </row>
    <row r="4947" spans="20:20" ht="26.25">
      <c r="T4947" s="85" ph="1"/>
    </row>
    <row r="4948" spans="20:20" ht="26.25">
      <c r="T4948" s="85" ph="1"/>
    </row>
    <row r="4949" spans="20:20" ht="26.25">
      <c r="T4949" s="85" ph="1"/>
    </row>
    <row r="4950" spans="20:20" ht="26.25">
      <c r="T4950" s="85" ph="1"/>
    </row>
    <row r="4951" spans="20:20" ht="26.25">
      <c r="T4951" s="85" ph="1"/>
    </row>
    <row r="4952" spans="20:20" ht="26.25">
      <c r="T4952" s="85" ph="1"/>
    </row>
    <row r="4953" spans="20:20" ht="26.25">
      <c r="T4953" s="85" ph="1"/>
    </row>
    <row r="4954" spans="20:20" ht="26.25">
      <c r="T4954" s="85" ph="1"/>
    </row>
    <row r="4955" spans="20:20" ht="26.25">
      <c r="T4955" s="85" ph="1"/>
    </row>
    <row r="4956" spans="20:20" ht="26.25">
      <c r="T4956" s="85" ph="1"/>
    </row>
    <row r="4957" spans="20:20" ht="26.25">
      <c r="T4957" s="85" ph="1"/>
    </row>
    <row r="4958" spans="20:20" ht="26.25">
      <c r="T4958" s="85" ph="1"/>
    </row>
    <row r="4959" spans="20:20" ht="26.25">
      <c r="T4959" s="85" ph="1"/>
    </row>
    <row r="4960" spans="20:20" ht="26.25">
      <c r="T4960" s="85" ph="1"/>
    </row>
    <row r="4961" spans="20:20" ht="26.25">
      <c r="T4961" s="85" ph="1"/>
    </row>
    <row r="4962" spans="20:20" ht="26.25">
      <c r="T4962" s="85" ph="1"/>
    </row>
    <row r="4963" spans="20:20" ht="26.25">
      <c r="T4963" s="85" ph="1"/>
    </row>
    <row r="4964" spans="20:20" ht="26.25">
      <c r="T4964" s="85" ph="1"/>
    </row>
    <row r="4965" spans="20:20" ht="26.25">
      <c r="T4965" s="85" ph="1"/>
    </row>
    <row r="4966" spans="20:20" ht="26.25">
      <c r="T4966" s="85" ph="1"/>
    </row>
    <row r="4967" spans="20:20" ht="26.25">
      <c r="T4967" s="85" ph="1"/>
    </row>
    <row r="4968" spans="20:20" ht="26.25">
      <c r="T4968" s="85" ph="1"/>
    </row>
    <row r="4969" spans="20:20" ht="26.25">
      <c r="T4969" s="85" ph="1"/>
    </row>
    <row r="4970" spans="20:20" ht="26.25">
      <c r="T4970" s="85" ph="1"/>
    </row>
    <row r="4971" spans="20:20" ht="26.25">
      <c r="T4971" s="85" ph="1"/>
    </row>
    <row r="4972" spans="20:20" ht="26.25">
      <c r="T4972" s="85" ph="1"/>
    </row>
    <row r="4973" spans="20:20" ht="26.25">
      <c r="T4973" s="85" ph="1"/>
    </row>
    <row r="4974" spans="20:20" ht="26.25">
      <c r="T4974" s="85" ph="1"/>
    </row>
    <row r="4975" spans="20:20" ht="26.25">
      <c r="T4975" s="85" ph="1"/>
    </row>
    <row r="4976" spans="20:20" ht="26.25">
      <c r="T4976" s="85" ph="1"/>
    </row>
    <row r="4977" spans="20:20" ht="26.25">
      <c r="T4977" s="85" ph="1"/>
    </row>
    <row r="4978" spans="20:20" ht="26.25">
      <c r="T4978" s="85" ph="1"/>
    </row>
    <row r="4979" spans="20:20" ht="26.25">
      <c r="T4979" s="85" ph="1"/>
    </row>
    <row r="4980" spans="20:20" ht="26.25">
      <c r="T4980" s="85" ph="1"/>
    </row>
    <row r="4981" spans="20:20" ht="26.25">
      <c r="T4981" s="85" ph="1"/>
    </row>
    <row r="4982" spans="20:20" ht="26.25">
      <c r="T4982" s="85" ph="1"/>
    </row>
    <row r="4983" spans="20:20" ht="26.25">
      <c r="T4983" s="85" ph="1"/>
    </row>
    <row r="4984" spans="20:20" ht="26.25">
      <c r="T4984" s="85" ph="1"/>
    </row>
    <row r="4985" spans="20:20" ht="26.25">
      <c r="T4985" s="85" ph="1"/>
    </row>
    <row r="4986" spans="20:20" ht="26.25">
      <c r="T4986" s="85" ph="1"/>
    </row>
    <row r="4987" spans="20:20" ht="26.25">
      <c r="T4987" s="85" ph="1"/>
    </row>
    <row r="4988" spans="20:20" ht="26.25">
      <c r="T4988" s="85" ph="1"/>
    </row>
    <row r="4989" spans="20:20" ht="26.25">
      <c r="T4989" s="85" ph="1"/>
    </row>
    <row r="4990" spans="20:20" ht="26.25">
      <c r="T4990" s="85" ph="1"/>
    </row>
    <row r="4991" spans="20:20" ht="26.25">
      <c r="T4991" s="85" ph="1"/>
    </row>
    <row r="4992" spans="20:20" ht="26.25">
      <c r="T4992" s="85" ph="1"/>
    </row>
    <row r="4993" spans="20:20" ht="26.25">
      <c r="T4993" s="85" ph="1"/>
    </row>
    <row r="4994" spans="20:20" ht="26.25">
      <c r="T4994" s="85" ph="1"/>
    </row>
    <row r="4995" spans="20:20" ht="26.25">
      <c r="T4995" s="85" ph="1"/>
    </row>
    <row r="4996" spans="20:20" ht="26.25">
      <c r="T4996" s="85" ph="1"/>
    </row>
    <row r="4997" spans="20:20" ht="26.25">
      <c r="T4997" s="85" ph="1"/>
    </row>
    <row r="4998" spans="20:20" ht="26.25">
      <c r="T4998" s="85" ph="1"/>
    </row>
    <row r="4999" spans="20:20" ht="26.25">
      <c r="T4999" s="85" ph="1"/>
    </row>
    <row r="5000" spans="20:20" ht="26.25">
      <c r="T5000" s="85" ph="1"/>
    </row>
    <row r="5001" spans="20:20" ht="26.25">
      <c r="T5001" s="85" ph="1"/>
    </row>
    <row r="5002" spans="20:20" ht="26.25">
      <c r="T5002" s="85" ph="1"/>
    </row>
    <row r="5003" spans="20:20" ht="26.25">
      <c r="T5003" s="85" ph="1"/>
    </row>
    <row r="5004" spans="20:20" ht="26.25">
      <c r="T5004" s="85" ph="1"/>
    </row>
    <row r="5005" spans="20:20" ht="26.25">
      <c r="T5005" s="85" ph="1"/>
    </row>
    <row r="5006" spans="20:20" ht="26.25">
      <c r="T5006" s="85" ph="1"/>
    </row>
    <row r="5007" spans="20:20" ht="26.25">
      <c r="T5007" s="85" ph="1"/>
    </row>
    <row r="5008" spans="20:20" ht="26.25">
      <c r="T5008" s="85" ph="1"/>
    </row>
    <row r="5009" spans="20:20" ht="26.25">
      <c r="T5009" s="85" ph="1"/>
    </row>
    <row r="5010" spans="20:20" ht="26.25">
      <c r="T5010" s="85" ph="1"/>
    </row>
    <row r="5011" spans="20:20" ht="26.25">
      <c r="T5011" s="85" ph="1"/>
    </row>
    <row r="5012" spans="20:20" ht="26.25">
      <c r="T5012" s="85" ph="1"/>
    </row>
    <row r="5013" spans="20:20" ht="26.25">
      <c r="T5013" s="85" ph="1"/>
    </row>
    <row r="5014" spans="20:20" ht="26.25">
      <c r="T5014" s="85" ph="1"/>
    </row>
    <row r="5015" spans="20:20" ht="26.25">
      <c r="T5015" s="85" ph="1"/>
    </row>
    <row r="5016" spans="20:20" ht="26.25">
      <c r="T5016" s="85" ph="1"/>
    </row>
    <row r="5017" spans="20:20" ht="26.25">
      <c r="T5017" s="85" ph="1"/>
    </row>
    <row r="5018" spans="20:20" ht="26.25">
      <c r="T5018" s="85" ph="1"/>
    </row>
    <row r="5019" spans="20:20" ht="26.25">
      <c r="T5019" s="85" ph="1"/>
    </row>
    <row r="5020" spans="20:20" ht="26.25">
      <c r="T5020" s="85" ph="1"/>
    </row>
    <row r="5021" spans="20:20" ht="26.25">
      <c r="T5021" s="85" ph="1"/>
    </row>
    <row r="5022" spans="20:20" ht="26.25">
      <c r="T5022" s="85" ph="1"/>
    </row>
    <row r="5023" spans="20:20" ht="26.25">
      <c r="T5023" s="85" ph="1"/>
    </row>
    <row r="5024" spans="20:20" ht="26.25">
      <c r="T5024" s="85" ph="1"/>
    </row>
    <row r="5025" spans="20:20" ht="26.25">
      <c r="T5025" s="85" ph="1"/>
    </row>
    <row r="5026" spans="20:20" ht="26.25">
      <c r="T5026" s="85" ph="1"/>
    </row>
    <row r="5027" spans="20:20" ht="26.25">
      <c r="T5027" s="85" ph="1"/>
    </row>
    <row r="5028" spans="20:20" ht="26.25">
      <c r="T5028" s="85" ph="1"/>
    </row>
    <row r="5029" spans="20:20" ht="26.25">
      <c r="T5029" s="85" ph="1"/>
    </row>
    <row r="5030" spans="20:20" ht="26.25">
      <c r="T5030" s="85" ph="1"/>
    </row>
    <row r="5031" spans="20:20" ht="26.25">
      <c r="T5031" s="85" ph="1"/>
    </row>
    <row r="5032" spans="20:20" ht="26.25">
      <c r="T5032" s="85" ph="1"/>
    </row>
    <row r="5033" spans="20:20" ht="26.25">
      <c r="T5033" s="85" ph="1"/>
    </row>
    <row r="5034" spans="20:20" ht="26.25">
      <c r="T5034" s="85" ph="1"/>
    </row>
    <row r="5035" spans="20:20" ht="26.25">
      <c r="T5035" s="85" ph="1"/>
    </row>
    <row r="5036" spans="20:20" ht="26.25">
      <c r="T5036" s="85" ph="1"/>
    </row>
    <row r="5037" spans="20:20" ht="26.25">
      <c r="T5037" s="85" ph="1"/>
    </row>
    <row r="5038" spans="20:20" ht="26.25">
      <c r="T5038" s="85" ph="1"/>
    </row>
    <row r="5039" spans="20:20" ht="26.25">
      <c r="T5039" s="85" ph="1"/>
    </row>
    <row r="5040" spans="20:20" ht="26.25">
      <c r="T5040" s="85" ph="1"/>
    </row>
    <row r="5041" spans="20:20" ht="26.25">
      <c r="T5041" s="85" ph="1"/>
    </row>
    <row r="5042" spans="20:20" ht="26.25">
      <c r="T5042" s="85" ph="1"/>
    </row>
    <row r="5043" spans="20:20" ht="26.25">
      <c r="T5043" s="85" ph="1"/>
    </row>
    <row r="5044" spans="20:20" ht="26.25">
      <c r="T5044" s="85" ph="1"/>
    </row>
    <row r="5045" spans="20:20" ht="26.25">
      <c r="T5045" s="85" ph="1"/>
    </row>
    <row r="5046" spans="20:20" ht="26.25">
      <c r="T5046" s="85" ph="1"/>
    </row>
    <row r="5047" spans="20:20" ht="26.25">
      <c r="T5047" s="85" ph="1"/>
    </row>
    <row r="5048" spans="20:20" ht="26.25">
      <c r="T5048" s="85" ph="1"/>
    </row>
    <row r="5049" spans="20:20" ht="26.25">
      <c r="T5049" s="85" ph="1"/>
    </row>
    <row r="5050" spans="20:20" ht="26.25">
      <c r="T5050" s="85" ph="1"/>
    </row>
    <row r="5051" spans="20:20" ht="26.25">
      <c r="T5051" s="85" ph="1"/>
    </row>
    <row r="5052" spans="20:20" ht="26.25">
      <c r="T5052" s="85" ph="1"/>
    </row>
    <row r="5053" spans="20:20" ht="26.25">
      <c r="T5053" s="85" ph="1"/>
    </row>
    <row r="5054" spans="20:20" ht="26.25">
      <c r="T5054" s="85" ph="1"/>
    </row>
    <row r="5055" spans="20:20" ht="26.25">
      <c r="T5055" s="85" ph="1"/>
    </row>
    <row r="5056" spans="20:20" ht="26.25">
      <c r="T5056" s="85" ph="1"/>
    </row>
    <row r="5057" spans="20:20" ht="26.25">
      <c r="T5057" s="85" ph="1"/>
    </row>
    <row r="5058" spans="20:20" ht="26.25">
      <c r="T5058" s="85" ph="1"/>
    </row>
    <row r="5059" spans="20:20" ht="26.25">
      <c r="T5059" s="85" ph="1"/>
    </row>
    <row r="5060" spans="20:20" ht="26.25">
      <c r="T5060" s="85" ph="1"/>
    </row>
    <row r="5061" spans="20:20" ht="26.25">
      <c r="T5061" s="85" ph="1"/>
    </row>
    <row r="5062" spans="20:20" ht="26.25">
      <c r="T5062" s="85" ph="1"/>
    </row>
    <row r="5063" spans="20:20" ht="26.25">
      <c r="T5063" s="85" ph="1"/>
    </row>
    <row r="5064" spans="20:20" ht="26.25">
      <c r="T5064" s="85" ph="1"/>
    </row>
    <row r="5065" spans="20:20" ht="26.25">
      <c r="T5065" s="85" ph="1"/>
    </row>
    <row r="5066" spans="20:20" ht="26.25">
      <c r="T5066" s="85" ph="1"/>
    </row>
    <row r="5067" spans="20:20" ht="26.25">
      <c r="T5067" s="85" ph="1"/>
    </row>
    <row r="5068" spans="20:20" ht="26.25">
      <c r="T5068" s="85" ph="1"/>
    </row>
    <row r="5069" spans="20:20" ht="26.25">
      <c r="T5069" s="85" ph="1"/>
    </row>
    <row r="5070" spans="20:20" ht="26.25">
      <c r="T5070" s="85" ph="1"/>
    </row>
    <row r="5071" spans="20:20" ht="26.25">
      <c r="T5071" s="85" ph="1"/>
    </row>
    <row r="5072" spans="20:20" ht="26.25">
      <c r="T5072" s="85" ph="1"/>
    </row>
    <row r="5073" spans="20:20" ht="26.25">
      <c r="T5073" s="85" ph="1"/>
    </row>
    <row r="5074" spans="20:20" ht="26.25">
      <c r="T5074" s="85" ph="1"/>
    </row>
    <row r="5075" spans="20:20" ht="26.25">
      <c r="T5075" s="85" ph="1"/>
    </row>
    <row r="5076" spans="20:20" ht="26.25">
      <c r="T5076" s="85" ph="1"/>
    </row>
    <row r="5077" spans="20:20" ht="26.25">
      <c r="T5077" s="85" ph="1"/>
    </row>
    <row r="5078" spans="20:20" ht="26.25">
      <c r="T5078" s="85" ph="1"/>
    </row>
    <row r="5079" spans="20:20" ht="26.25">
      <c r="T5079" s="85" ph="1"/>
    </row>
    <row r="5080" spans="20:20" ht="26.25">
      <c r="T5080" s="85" ph="1"/>
    </row>
    <row r="5081" spans="20:20" ht="26.25">
      <c r="T5081" s="85" ph="1"/>
    </row>
    <row r="5082" spans="20:20" ht="26.25">
      <c r="T5082" s="85" ph="1"/>
    </row>
    <row r="5083" spans="20:20" ht="26.25">
      <c r="T5083" s="85" ph="1"/>
    </row>
    <row r="5084" spans="20:20" ht="26.25">
      <c r="T5084" s="85" ph="1"/>
    </row>
    <row r="5085" spans="20:20" ht="26.25">
      <c r="T5085" s="85" ph="1"/>
    </row>
    <row r="5086" spans="20:20" ht="26.25">
      <c r="T5086" s="85" ph="1"/>
    </row>
    <row r="5087" spans="20:20" ht="26.25">
      <c r="T5087" s="85" ph="1"/>
    </row>
    <row r="5088" spans="20:20" ht="26.25">
      <c r="T5088" s="85" ph="1"/>
    </row>
    <row r="5089" spans="20:20" ht="26.25">
      <c r="T5089" s="85" ph="1"/>
    </row>
    <row r="5090" spans="20:20" ht="26.25">
      <c r="T5090" s="85" ph="1"/>
    </row>
    <row r="5091" spans="20:20" ht="26.25">
      <c r="T5091" s="85" ph="1"/>
    </row>
    <row r="5092" spans="20:20" ht="26.25">
      <c r="T5092" s="85" ph="1"/>
    </row>
    <row r="5093" spans="20:20" ht="26.25">
      <c r="T5093" s="85" ph="1"/>
    </row>
    <row r="5094" spans="20:20" ht="26.25">
      <c r="T5094" s="85" ph="1"/>
    </row>
    <row r="5095" spans="20:20" ht="26.25">
      <c r="T5095" s="85" ph="1"/>
    </row>
    <row r="5096" spans="20:20" ht="26.25">
      <c r="T5096" s="85" ph="1"/>
    </row>
    <row r="5097" spans="20:20" ht="26.25">
      <c r="T5097" s="85" ph="1"/>
    </row>
    <row r="5098" spans="20:20" ht="26.25">
      <c r="T5098" s="85" ph="1"/>
    </row>
    <row r="5099" spans="20:20" ht="26.25">
      <c r="T5099" s="85" ph="1"/>
    </row>
    <row r="5100" spans="20:20" ht="26.25">
      <c r="T5100" s="85" ph="1"/>
    </row>
    <row r="5101" spans="20:20" ht="26.25">
      <c r="T5101" s="85" ph="1"/>
    </row>
    <row r="5102" spans="20:20" ht="26.25">
      <c r="T5102" s="85" ph="1"/>
    </row>
    <row r="5103" spans="20:20" ht="26.25">
      <c r="T5103" s="85" ph="1"/>
    </row>
    <row r="5104" spans="20:20" ht="26.25">
      <c r="T5104" s="85" ph="1"/>
    </row>
    <row r="5105" spans="20:20" ht="26.25">
      <c r="T5105" s="85" ph="1"/>
    </row>
    <row r="5106" spans="20:20" ht="26.25">
      <c r="T5106" s="85" ph="1"/>
    </row>
    <row r="5107" spans="20:20" ht="26.25">
      <c r="T5107" s="85" ph="1"/>
    </row>
    <row r="5108" spans="20:20" ht="26.25">
      <c r="T5108" s="85" ph="1"/>
    </row>
    <row r="5109" spans="20:20" ht="26.25">
      <c r="T5109" s="85" ph="1"/>
    </row>
    <row r="5110" spans="20:20" ht="26.25">
      <c r="T5110" s="85" ph="1"/>
    </row>
    <row r="5111" spans="20:20" ht="26.25">
      <c r="T5111" s="85" ph="1"/>
    </row>
    <row r="5112" spans="20:20" ht="26.25">
      <c r="T5112" s="85" ph="1"/>
    </row>
    <row r="5113" spans="20:20" ht="26.25">
      <c r="T5113" s="85" ph="1"/>
    </row>
    <row r="5114" spans="20:20" ht="26.25">
      <c r="T5114" s="85" ph="1"/>
    </row>
    <row r="5115" spans="20:20" ht="26.25">
      <c r="T5115" s="85" ph="1"/>
    </row>
    <row r="5116" spans="20:20" ht="26.25">
      <c r="T5116" s="85" ph="1"/>
    </row>
    <row r="5117" spans="20:20" ht="26.25">
      <c r="T5117" s="85" ph="1"/>
    </row>
    <row r="5118" spans="20:20" ht="26.25">
      <c r="T5118" s="85" ph="1"/>
    </row>
    <row r="5119" spans="20:20" ht="26.25">
      <c r="T5119" s="85" ph="1"/>
    </row>
    <row r="5120" spans="20:20" ht="26.25">
      <c r="T5120" s="85" ph="1"/>
    </row>
    <row r="5121" spans="20:20" ht="26.25">
      <c r="T5121" s="85" ph="1"/>
    </row>
    <row r="5122" spans="20:20" ht="26.25">
      <c r="T5122" s="85" ph="1"/>
    </row>
    <row r="5123" spans="20:20" ht="26.25">
      <c r="T5123" s="85" ph="1"/>
    </row>
    <row r="5124" spans="20:20" ht="26.25">
      <c r="T5124" s="85" ph="1"/>
    </row>
    <row r="5125" spans="20:20" ht="26.25">
      <c r="T5125" s="85" ph="1"/>
    </row>
    <row r="5126" spans="20:20" ht="26.25">
      <c r="T5126" s="85" ph="1"/>
    </row>
    <row r="5127" spans="20:20" ht="26.25">
      <c r="T5127" s="85" ph="1"/>
    </row>
    <row r="5128" spans="20:20" ht="26.25">
      <c r="T5128" s="85" ph="1"/>
    </row>
    <row r="5129" spans="20:20" ht="26.25">
      <c r="T5129" s="85" ph="1"/>
    </row>
    <row r="5130" spans="20:20" ht="26.25">
      <c r="T5130" s="85" ph="1"/>
    </row>
    <row r="5131" spans="20:20" ht="26.25">
      <c r="T5131" s="85" ph="1"/>
    </row>
    <row r="5132" spans="20:20" ht="26.25">
      <c r="T5132" s="85" ph="1"/>
    </row>
    <row r="5133" spans="20:20" ht="26.25">
      <c r="T5133" s="85" ph="1"/>
    </row>
    <row r="5134" spans="20:20" ht="26.25">
      <c r="T5134" s="85" ph="1"/>
    </row>
    <row r="5135" spans="20:20" ht="26.25">
      <c r="T5135" s="85" ph="1"/>
    </row>
    <row r="5136" spans="20:20" ht="26.25">
      <c r="T5136" s="85" ph="1"/>
    </row>
    <row r="5137" spans="20:20" ht="26.25">
      <c r="T5137" s="85" ph="1"/>
    </row>
    <row r="5138" spans="20:20" ht="26.25">
      <c r="T5138" s="85" ph="1"/>
    </row>
    <row r="5139" spans="20:20" ht="26.25">
      <c r="T5139" s="85" ph="1"/>
    </row>
    <row r="5140" spans="20:20" ht="26.25">
      <c r="T5140" s="85" ph="1"/>
    </row>
    <row r="5141" spans="20:20" ht="26.25">
      <c r="T5141" s="85" ph="1"/>
    </row>
    <row r="5142" spans="20:20" ht="26.25">
      <c r="T5142" s="85" ph="1"/>
    </row>
    <row r="5143" spans="20:20" ht="26.25">
      <c r="T5143" s="85" ph="1"/>
    </row>
    <row r="5144" spans="20:20" ht="26.25">
      <c r="T5144" s="85" ph="1"/>
    </row>
    <row r="5145" spans="20:20" ht="26.25">
      <c r="T5145" s="85" ph="1"/>
    </row>
    <row r="5146" spans="20:20" ht="26.25">
      <c r="T5146" s="85" ph="1"/>
    </row>
    <row r="5147" spans="20:20" ht="26.25">
      <c r="T5147" s="85" ph="1"/>
    </row>
    <row r="5148" spans="20:20" ht="26.25">
      <c r="T5148" s="85" ph="1"/>
    </row>
    <row r="5149" spans="20:20" ht="26.25">
      <c r="T5149" s="85" ph="1"/>
    </row>
    <row r="5150" spans="20:20" ht="26.25">
      <c r="T5150" s="85" ph="1"/>
    </row>
    <row r="5151" spans="20:20" ht="26.25">
      <c r="T5151" s="85" ph="1"/>
    </row>
    <row r="5152" spans="20:20" ht="26.25">
      <c r="T5152" s="85" ph="1"/>
    </row>
    <row r="5153" spans="20:20" ht="26.25">
      <c r="T5153" s="85" ph="1"/>
    </row>
    <row r="5154" spans="20:20" ht="26.25">
      <c r="T5154" s="85" ph="1"/>
    </row>
    <row r="5155" spans="20:20" ht="26.25">
      <c r="T5155" s="85" ph="1"/>
    </row>
    <row r="5156" spans="20:20" ht="26.25">
      <c r="T5156" s="85" ph="1"/>
    </row>
    <row r="5157" spans="20:20" ht="26.25">
      <c r="T5157" s="85" ph="1"/>
    </row>
    <row r="5158" spans="20:20" ht="26.25">
      <c r="T5158" s="85" ph="1"/>
    </row>
    <row r="5159" spans="20:20" ht="26.25">
      <c r="T5159" s="85" ph="1"/>
    </row>
    <row r="5160" spans="20:20" ht="26.25">
      <c r="T5160" s="85" ph="1"/>
    </row>
    <row r="5161" spans="20:20" ht="26.25">
      <c r="T5161" s="85" ph="1"/>
    </row>
    <row r="5162" spans="20:20" ht="26.25">
      <c r="T5162" s="85" ph="1"/>
    </row>
    <row r="5163" spans="20:20" ht="26.25">
      <c r="T5163" s="85" ph="1"/>
    </row>
    <row r="5164" spans="20:20" ht="26.25">
      <c r="T5164" s="85" ph="1"/>
    </row>
    <row r="5165" spans="20:20" ht="26.25">
      <c r="T5165" s="85" ph="1"/>
    </row>
    <row r="5166" spans="20:20" ht="26.25">
      <c r="T5166" s="85" ph="1"/>
    </row>
    <row r="5167" spans="20:20" ht="26.25">
      <c r="T5167" s="85" ph="1"/>
    </row>
    <row r="5168" spans="20:20" ht="26.25">
      <c r="T5168" s="85" ph="1"/>
    </row>
    <row r="5169" spans="20:20" ht="26.25">
      <c r="T5169" s="85" ph="1"/>
    </row>
    <row r="5170" spans="20:20" ht="26.25">
      <c r="T5170" s="85" ph="1"/>
    </row>
    <row r="5171" spans="20:20" ht="26.25">
      <c r="T5171" s="85" ph="1"/>
    </row>
    <row r="5172" spans="20:20" ht="26.25">
      <c r="T5172" s="85" ph="1"/>
    </row>
    <row r="5173" spans="20:20" ht="26.25">
      <c r="T5173" s="85" ph="1"/>
    </row>
    <row r="5174" spans="20:20" ht="26.25">
      <c r="T5174" s="85" ph="1"/>
    </row>
    <row r="5175" spans="20:20" ht="26.25">
      <c r="T5175" s="85" ph="1"/>
    </row>
    <row r="5176" spans="20:20" ht="26.25">
      <c r="T5176" s="85" ph="1"/>
    </row>
    <row r="5177" spans="20:20" ht="26.25">
      <c r="T5177" s="85" ph="1"/>
    </row>
    <row r="5178" spans="20:20" ht="26.25">
      <c r="T5178" s="85" ph="1"/>
    </row>
    <row r="5179" spans="20:20" ht="26.25">
      <c r="T5179" s="85" ph="1"/>
    </row>
    <row r="5180" spans="20:20" ht="26.25">
      <c r="T5180" s="85" ph="1"/>
    </row>
    <row r="5181" spans="20:20" ht="26.25">
      <c r="T5181" s="85" ph="1"/>
    </row>
    <row r="5182" spans="20:20" ht="26.25">
      <c r="T5182" s="85" ph="1"/>
    </row>
    <row r="5183" spans="20:20" ht="26.25">
      <c r="T5183" s="85" ph="1"/>
    </row>
    <row r="5184" spans="20:20" ht="26.25">
      <c r="T5184" s="85" ph="1"/>
    </row>
    <row r="5185" spans="20:20" ht="26.25">
      <c r="T5185" s="85" ph="1"/>
    </row>
    <row r="5186" spans="20:20" ht="26.25">
      <c r="T5186" s="85" ph="1"/>
    </row>
    <row r="5187" spans="20:20" ht="26.25">
      <c r="T5187" s="85" ph="1"/>
    </row>
    <row r="5188" spans="20:20" ht="26.25">
      <c r="T5188" s="85" ph="1"/>
    </row>
    <row r="5189" spans="20:20" ht="26.25">
      <c r="T5189" s="85" ph="1"/>
    </row>
    <row r="5190" spans="20:20" ht="26.25">
      <c r="T5190" s="85" ph="1"/>
    </row>
    <row r="5191" spans="20:20" ht="26.25">
      <c r="T5191" s="85" ph="1"/>
    </row>
    <row r="5192" spans="20:20" ht="26.25">
      <c r="T5192" s="85" ph="1"/>
    </row>
    <row r="5193" spans="20:20" ht="26.25">
      <c r="T5193" s="85" ph="1"/>
    </row>
    <row r="5194" spans="20:20" ht="26.25">
      <c r="T5194" s="85" ph="1"/>
    </row>
    <row r="5195" spans="20:20" ht="26.25">
      <c r="T5195" s="85" ph="1"/>
    </row>
    <row r="5196" spans="20:20" ht="26.25">
      <c r="T5196" s="85" ph="1"/>
    </row>
    <row r="5197" spans="20:20" ht="26.25">
      <c r="T5197" s="85" ph="1"/>
    </row>
    <row r="5198" spans="20:20" ht="26.25">
      <c r="T5198" s="85" ph="1"/>
    </row>
    <row r="5199" spans="20:20" ht="26.25">
      <c r="T5199" s="85" ph="1"/>
    </row>
    <row r="5200" spans="20:20" ht="26.25">
      <c r="T5200" s="85" ph="1"/>
    </row>
    <row r="5201" spans="20:20" ht="26.25">
      <c r="T5201" s="85" ph="1"/>
    </row>
    <row r="5202" spans="20:20" ht="26.25">
      <c r="T5202" s="85" ph="1"/>
    </row>
    <row r="5203" spans="20:20" ht="26.25">
      <c r="T5203" s="85" ph="1"/>
    </row>
    <row r="5204" spans="20:20" ht="26.25">
      <c r="T5204" s="85" ph="1"/>
    </row>
    <row r="5205" spans="20:20" ht="26.25">
      <c r="T5205" s="85" ph="1"/>
    </row>
    <row r="5206" spans="20:20" ht="26.25">
      <c r="T5206" s="85" ph="1"/>
    </row>
    <row r="5207" spans="20:20" ht="26.25">
      <c r="T5207" s="85" ph="1"/>
    </row>
    <row r="5208" spans="20:20" ht="26.25">
      <c r="T5208" s="85" ph="1"/>
    </row>
    <row r="5209" spans="20:20" ht="26.25">
      <c r="T5209" s="85" ph="1"/>
    </row>
    <row r="5210" spans="20:20" ht="26.25">
      <c r="T5210" s="85" ph="1"/>
    </row>
    <row r="5211" spans="20:20" ht="26.25">
      <c r="T5211" s="85" ph="1"/>
    </row>
    <row r="5212" spans="20:20" ht="26.25">
      <c r="T5212" s="85" ph="1"/>
    </row>
    <row r="5213" spans="20:20" ht="26.25">
      <c r="T5213" s="85" ph="1"/>
    </row>
    <row r="5214" spans="20:20" ht="26.25">
      <c r="T5214" s="85" ph="1"/>
    </row>
    <row r="5215" spans="20:20" ht="26.25">
      <c r="T5215" s="85" ph="1"/>
    </row>
    <row r="5216" spans="20:20" ht="26.25">
      <c r="T5216" s="85" ph="1"/>
    </row>
    <row r="5217" spans="20:20" ht="26.25">
      <c r="T5217" s="85" ph="1"/>
    </row>
    <row r="5218" spans="20:20" ht="26.25">
      <c r="T5218" s="85" ph="1"/>
    </row>
    <row r="5219" spans="20:20" ht="26.25">
      <c r="T5219" s="85" ph="1"/>
    </row>
    <row r="5220" spans="20:20" ht="26.25">
      <c r="T5220" s="85" ph="1"/>
    </row>
    <row r="5221" spans="20:20" ht="26.25">
      <c r="T5221" s="85" ph="1"/>
    </row>
    <row r="5222" spans="20:20" ht="26.25">
      <c r="T5222" s="85" ph="1"/>
    </row>
    <row r="5223" spans="20:20" ht="26.25">
      <c r="T5223" s="85" ph="1"/>
    </row>
    <row r="5224" spans="20:20" ht="26.25">
      <c r="T5224" s="85" ph="1"/>
    </row>
    <row r="5225" spans="20:20" ht="26.25">
      <c r="T5225" s="85" ph="1"/>
    </row>
    <row r="5226" spans="20:20" ht="26.25">
      <c r="T5226" s="85" ph="1"/>
    </row>
    <row r="5227" spans="20:20" ht="26.25">
      <c r="T5227" s="85" ph="1"/>
    </row>
    <row r="5228" spans="20:20" ht="26.25">
      <c r="T5228" s="85" ph="1"/>
    </row>
    <row r="5229" spans="20:20" ht="26.25">
      <c r="T5229" s="85" ph="1"/>
    </row>
    <row r="5230" spans="20:20" ht="26.25">
      <c r="T5230" s="85" ph="1"/>
    </row>
    <row r="5231" spans="20:20" ht="26.25">
      <c r="T5231" s="85" ph="1"/>
    </row>
    <row r="5232" spans="20:20" ht="26.25">
      <c r="T5232" s="85" ph="1"/>
    </row>
    <row r="5233" spans="20:20" ht="26.25">
      <c r="T5233" s="85" ph="1"/>
    </row>
    <row r="5234" spans="20:20" ht="26.25">
      <c r="T5234" s="85" ph="1"/>
    </row>
    <row r="5235" spans="20:20" ht="26.25">
      <c r="T5235" s="85" ph="1"/>
    </row>
    <row r="5236" spans="20:20" ht="26.25">
      <c r="T5236" s="85" ph="1"/>
    </row>
    <row r="5237" spans="20:20" ht="26.25">
      <c r="T5237" s="85" ph="1"/>
    </row>
    <row r="5238" spans="20:20" ht="26.25">
      <c r="T5238" s="85" ph="1"/>
    </row>
    <row r="5239" spans="20:20" ht="26.25">
      <c r="T5239" s="85" ph="1"/>
    </row>
    <row r="5240" spans="20:20" ht="26.25">
      <c r="T5240" s="85" ph="1"/>
    </row>
    <row r="5241" spans="20:20" ht="26.25">
      <c r="T5241" s="85" ph="1"/>
    </row>
    <row r="5242" spans="20:20" ht="26.25">
      <c r="T5242" s="85" ph="1"/>
    </row>
    <row r="5243" spans="20:20" ht="26.25">
      <c r="T5243" s="85" ph="1"/>
    </row>
    <row r="5244" spans="20:20" ht="26.25">
      <c r="T5244" s="85" ph="1"/>
    </row>
    <row r="5245" spans="20:20" ht="26.25">
      <c r="T5245" s="85" ph="1"/>
    </row>
    <row r="5246" spans="20:20" ht="26.25">
      <c r="T5246" s="85" ph="1"/>
    </row>
    <row r="5247" spans="20:20" ht="26.25">
      <c r="T5247" s="85" ph="1"/>
    </row>
    <row r="5248" spans="20:20" ht="26.25">
      <c r="T5248" s="85" ph="1"/>
    </row>
    <row r="5249" spans="20:20" ht="26.25">
      <c r="T5249" s="85" ph="1"/>
    </row>
    <row r="5250" spans="20:20" ht="26.25">
      <c r="T5250" s="85" ph="1"/>
    </row>
    <row r="5251" spans="20:20" ht="26.25">
      <c r="T5251" s="85" ph="1"/>
    </row>
    <row r="5252" spans="20:20" ht="26.25">
      <c r="T5252" s="85" ph="1"/>
    </row>
    <row r="5253" spans="20:20" ht="26.25">
      <c r="T5253" s="85" ph="1"/>
    </row>
    <row r="5254" spans="20:20" ht="26.25">
      <c r="T5254" s="85" ph="1"/>
    </row>
    <row r="5255" spans="20:20" ht="26.25">
      <c r="T5255" s="85" ph="1"/>
    </row>
    <row r="5256" spans="20:20" ht="26.25">
      <c r="T5256" s="85" ph="1"/>
    </row>
    <row r="5257" spans="20:20" ht="26.25">
      <c r="T5257" s="85" ph="1"/>
    </row>
    <row r="5258" spans="20:20" ht="26.25">
      <c r="T5258" s="85" ph="1"/>
    </row>
    <row r="5259" spans="20:20" ht="26.25">
      <c r="T5259" s="85" ph="1"/>
    </row>
    <row r="5260" spans="20:20" ht="26.25">
      <c r="T5260" s="85" ph="1"/>
    </row>
    <row r="5261" spans="20:20" ht="26.25">
      <c r="T5261" s="85" ph="1"/>
    </row>
    <row r="5262" spans="20:20" ht="26.25">
      <c r="T5262" s="85" ph="1"/>
    </row>
    <row r="5263" spans="20:20" ht="26.25">
      <c r="T5263" s="85" ph="1"/>
    </row>
    <row r="5264" spans="20:20" ht="26.25">
      <c r="T5264" s="85" ph="1"/>
    </row>
    <row r="5265" spans="20:20" ht="26.25">
      <c r="T5265" s="85" ph="1"/>
    </row>
    <row r="5266" spans="20:20" ht="26.25">
      <c r="T5266" s="85" ph="1"/>
    </row>
    <row r="5267" spans="20:20" ht="26.25">
      <c r="T5267" s="85" ph="1"/>
    </row>
    <row r="5268" spans="20:20" ht="26.25">
      <c r="T5268" s="85" ph="1"/>
    </row>
    <row r="5269" spans="20:20" ht="26.25">
      <c r="T5269" s="85" ph="1"/>
    </row>
    <row r="5270" spans="20:20" ht="26.25">
      <c r="T5270" s="85" ph="1"/>
    </row>
    <row r="5271" spans="20:20" ht="26.25">
      <c r="T5271" s="85" ph="1"/>
    </row>
    <row r="5272" spans="20:20" ht="26.25">
      <c r="T5272" s="85" ph="1"/>
    </row>
    <row r="5273" spans="20:20" ht="26.25">
      <c r="T5273" s="85" ph="1"/>
    </row>
    <row r="5274" spans="20:20" ht="26.25">
      <c r="T5274" s="85" ph="1"/>
    </row>
    <row r="5275" spans="20:20" ht="26.25">
      <c r="T5275" s="85" ph="1"/>
    </row>
    <row r="5276" spans="20:20" ht="26.25">
      <c r="T5276" s="85" ph="1"/>
    </row>
    <row r="5277" spans="20:20" ht="26.25">
      <c r="T5277" s="85" ph="1"/>
    </row>
    <row r="5278" spans="20:20" ht="26.25">
      <c r="T5278" s="85" ph="1"/>
    </row>
    <row r="5279" spans="20:20" ht="26.25">
      <c r="T5279" s="85" ph="1"/>
    </row>
    <row r="5280" spans="20:20" ht="26.25">
      <c r="T5280" s="85" ph="1"/>
    </row>
    <row r="5281" spans="20:20" ht="26.25">
      <c r="T5281" s="85" ph="1"/>
    </row>
    <row r="5282" spans="20:20" ht="26.25">
      <c r="T5282" s="85" ph="1"/>
    </row>
    <row r="5283" spans="20:20" ht="26.25">
      <c r="T5283" s="85" ph="1"/>
    </row>
    <row r="5284" spans="20:20" ht="26.25">
      <c r="T5284" s="85" ph="1"/>
    </row>
    <row r="5285" spans="20:20" ht="26.25">
      <c r="T5285" s="85" ph="1"/>
    </row>
    <row r="5286" spans="20:20" ht="26.25">
      <c r="T5286" s="85" ph="1"/>
    </row>
    <row r="5287" spans="20:20" ht="26.25">
      <c r="T5287" s="85" ph="1"/>
    </row>
    <row r="5288" spans="20:20" ht="26.25">
      <c r="T5288" s="85" ph="1"/>
    </row>
    <row r="5289" spans="20:20" ht="26.25">
      <c r="T5289" s="85" ph="1"/>
    </row>
    <row r="5290" spans="20:20" ht="26.25">
      <c r="T5290" s="85" ph="1"/>
    </row>
    <row r="5291" spans="20:20" ht="26.25">
      <c r="T5291" s="85" ph="1"/>
    </row>
    <row r="5292" spans="20:20" ht="26.25">
      <c r="T5292" s="85" ph="1"/>
    </row>
    <row r="5293" spans="20:20" ht="26.25">
      <c r="T5293" s="85" ph="1"/>
    </row>
    <row r="5294" spans="20:20" ht="26.25">
      <c r="T5294" s="85" ph="1"/>
    </row>
    <row r="5295" spans="20:20" ht="26.25">
      <c r="T5295" s="85" ph="1"/>
    </row>
    <row r="5296" spans="20:20" ht="26.25">
      <c r="T5296" s="85" ph="1"/>
    </row>
    <row r="5297" spans="20:20" ht="26.25">
      <c r="T5297" s="85" ph="1"/>
    </row>
    <row r="5298" spans="20:20" ht="26.25">
      <c r="T5298" s="85" ph="1"/>
    </row>
    <row r="5299" spans="20:20" ht="26.25">
      <c r="T5299" s="85" ph="1"/>
    </row>
    <row r="5300" spans="20:20" ht="26.25">
      <c r="T5300" s="85" ph="1"/>
    </row>
    <row r="5301" spans="20:20" ht="26.25">
      <c r="T5301" s="85" ph="1"/>
    </row>
    <row r="5302" spans="20:20" ht="26.25">
      <c r="T5302" s="85" ph="1"/>
    </row>
    <row r="5303" spans="20:20" ht="26.25">
      <c r="T5303" s="85" ph="1"/>
    </row>
    <row r="5304" spans="20:20" ht="26.25">
      <c r="T5304" s="85" ph="1"/>
    </row>
    <row r="5305" spans="20:20" ht="26.25">
      <c r="T5305" s="85" ph="1"/>
    </row>
    <row r="5306" spans="20:20" ht="26.25">
      <c r="T5306" s="85" ph="1"/>
    </row>
    <row r="5307" spans="20:20" ht="26.25">
      <c r="T5307" s="85" ph="1"/>
    </row>
    <row r="5308" spans="20:20" ht="26.25">
      <c r="T5308" s="85" ph="1"/>
    </row>
    <row r="5309" spans="20:20" ht="26.25">
      <c r="T5309" s="85" ph="1"/>
    </row>
    <row r="5310" spans="20:20" ht="26.25">
      <c r="T5310" s="85" ph="1"/>
    </row>
    <row r="5311" spans="20:20" ht="26.25">
      <c r="T5311" s="85" ph="1"/>
    </row>
    <row r="5312" spans="20:20" ht="26.25">
      <c r="T5312" s="85" ph="1"/>
    </row>
    <row r="5313" spans="20:20" ht="26.25">
      <c r="T5313" s="85" ph="1"/>
    </row>
    <row r="5314" spans="20:20" ht="26.25">
      <c r="T5314" s="85" ph="1"/>
    </row>
    <row r="5315" spans="20:20" ht="26.25">
      <c r="T5315" s="85" ph="1"/>
    </row>
    <row r="5316" spans="20:20" ht="26.25">
      <c r="T5316" s="85" ph="1"/>
    </row>
    <row r="5317" spans="20:20" ht="26.25">
      <c r="T5317" s="85" ph="1"/>
    </row>
    <row r="5318" spans="20:20" ht="26.25">
      <c r="T5318" s="85" ph="1"/>
    </row>
    <row r="5319" spans="20:20" ht="26.25">
      <c r="T5319" s="85" ph="1"/>
    </row>
    <row r="5320" spans="20:20" ht="26.25">
      <c r="T5320" s="85" ph="1"/>
    </row>
    <row r="5321" spans="20:20" ht="26.25">
      <c r="T5321" s="85" ph="1"/>
    </row>
    <row r="5322" spans="20:20" ht="26.25">
      <c r="T5322" s="85" ph="1"/>
    </row>
    <row r="5323" spans="20:20" ht="26.25">
      <c r="T5323" s="85" ph="1"/>
    </row>
    <row r="5324" spans="20:20" ht="26.25">
      <c r="T5324" s="85" ph="1"/>
    </row>
    <row r="5325" spans="20:20" ht="26.25">
      <c r="T5325" s="85" ph="1"/>
    </row>
    <row r="5326" spans="20:20" ht="26.25">
      <c r="T5326" s="85" ph="1"/>
    </row>
    <row r="5327" spans="20:20" ht="26.25">
      <c r="T5327" s="85" ph="1"/>
    </row>
    <row r="5328" spans="20:20" ht="26.25">
      <c r="T5328" s="85" ph="1"/>
    </row>
    <row r="5329" spans="20:20" ht="26.25">
      <c r="T5329" s="85" ph="1"/>
    </row>
    <row r="5330" spans="20:20" ht="26.25">
      <c r="T5330" s="85" ph="1"/>
    </row>
    <row r="5331" spans="20:20" ht="26.25">
      <c r="T5331" s="85" ph="1"/>
    </row>
    <row r="5332" spans="20:20" ht="26.25">
      <c r="T5332" s="85" ph="1"/>
    </row>
    <row r="5333" spans="20:20" ht="26.25">
      <c r="T5333" s="85" ph="1"/>
    </row>
    <row r="5334" spans="20:20" ht="26.25">
      <c r="T5334" s="85" ph="1"/>
    </row>
    <row r="5335" spans="20:20" ht="26.25">
      <c r="T5335" s="85" ph="1"/>
    </row>
    <row r="5336" spans="20:20" ht="26.25">
      <c r="T5336" s="85" ph="1"/>
    </row>
    <row r="5337" spans="20:20" ht="26.25">
      <c r="T5337" s="85" ph="1"/>
    </row>
    <row r="5338" spans="20:20" ht="26.25">
      <c r="T5338" s="85" ph="1"/>
    </row>
    <row r="5339" spans="20:20" ht="26.25">
      <c r="T5339" s="85" ph="1"/>
    </row>
    <row r="5340" spans="20:20" ht="26.25">
      <c r="T5340" s="85" ph="1"/>
    </row>
    <row r="5341" spans="20:20" ht="26.25">
      <c r="T5341" s="85" ph="1"/>
    </row>
    <row r="5342" spans="20:20" ht="26.25">
      <c r="T5342" s="85" ph="1"/>
    </row>
    <row r="5343" spans="20:20" ht="26.25">
      <c r="T5343" s="85" ph="1"/>
    </row>
    <row r="5344" spans="20:20" ht="26.25">
      <c r="T5344" s="85" ph="1"/>
    </row>
    <row r="5345" spans="20:20" ht="26.25">
      <c r="T5345" s="85" ph="1"/>
    </row>
    <row r="5346" spans="20:20" ht="26.25">
      <c r="T5346" s="85" ph="1"/>
    </row>
    <row r="5347" spans="20:20" ht="26.25">
      <c r="T5347" s="85" ph="1"/>
    </row>
    <row r="5348" spans="20:20" ht="26.25">
      <c r="T5348" s="85" ph="1"/>
    </row>
    <row r="5349" spans="20:20" ht="26.25">
      <c r="T5349" s="85" ph="1"/>
    </row>
    <row r="5350" spans="20:20" ht="26.25">
      <c r="T5350" s="85" ph="1"/>
    </row>
    <row r="5351" spans="20:20" ht="26.25">
      <c r="T5351" s="85" ph="1"/>
    </row>
    <row r="5352" spans="20:20" ht="26.25">
      <c r="T5352" s="85" ph="1"/>
    </row>
    <row r="5353" spans="20:20" ht="26.25">
      <c r="T5353" s="85" ph="1"/>
    </row>
    <row r="5354" spans="20:20" ht="26.25">
      <c r="T5354" s="85" ph="1"/>
    </row>
    <row r="5355" spans="20:20" ht="26.25">
      <c r="T5355" s="85" ph="1"/>
    </row>
    <row r="5356" spans="20:20" ht="26.25">
      <c r="T5356" s="85" ph="1"/>
    </row>
    <row r="5357" spans="20:20" ht="26.25">
      <c r="T5357" s="85" ph="1"/>
    </row>
    <row r="5358" spans="20:20" ht="26.25">
      <c r="T5358" s="85" ph="1"/>
    </row>
    <row r="5359" spans="20:20" ht="26.25">
      <c r="T5359" s="85" ph="1"/>
    </row>
    <row r="5360" spans="20:20" ht="26.25">
      <c r="T5360" s="85" ph="1"/>
    </row>
    <row r="5361" spans="20:20" ht="26.25">
      <c r="T5361" s="85" ph="1"/>
    </row>
    <row r="5362" spans="20:20" ht="26.25">
      <c r="T5362" s="85" ph="1"/>
    </row>
    <row r="5363" spans="20:20" ht="26.25">
      <c r="T5363" s="85" ph="1"/>
    </row>
    <row r="5364" spans="20:20" ht="26.25">
      <c r="T5364" s="85" ph="1"/>
    </row>
    <row r="5365" spans="20:20" ht="26.25">
      <c r="T5365" s="85" ph="1"/>
    </row>
    <row r="5366" spans="20:20" ht="26.25">
      <c r="T5366" s="85" ph="1"/>
    </row>
    <row r="5367" spans="20:20" ht="26.25">
      <c r="T5367" s="85" ph="1"/>
    </row>
    <row r="5368" spans="20:20" ht="26.25">
      <c r="T5368" s="85" ph="1"/>
    </row>
    <row r="5369" spans="20:20" ht="26.25">
      <c r="T5369" s="85" ph="1"/>
    </row>
    <row r="5370" spans="20:20" ht="26.25">
      <c r="T5370" s="85" ph="1"/>
    </row>
    <row r="5371" spans="20:20" ht="26.25">
      <c r="T5371" s="85" ph="1"/>
    </row>
    <row r="5372" spans="20:20" ht="26.25">
      <c r="T5372" s="85" ph="1"/>
    </row>
    <row r="5373" spans="20:20" ht="26.25">
      <c r="T5373" s="85" ph="1"/>
    </row>
    <row r="5374" spans="20:20" ht="26.25">
      <c r="T5374" s="85" ph="1"/>
    </row>
    <row r="5375" spans="20:20" ht="26.25">
      <c r="T5375" s="85" ph="1"/>
    </row>
    <row r="5376" spans="20:20" ht="26.25">
      <c r="T5376" s="85" ph="1"/>
    </row>
    <row r="5377" spans="20:20" ht="26.25">
      <c r="T5377" s="85" ph="1"/>
    </row>
    <row r="5378" spans="20:20" ht="26.25">
      <c r="T5378" s="85" ph="1"/>
    </row>
    <row r="5379" spans="20:20" ht="26.25">
      <c r="T5379" s="85" ph="1"/>
    </row>
    <row r="5380" spans="20:20" ht="26.25">
      <c r="T5380" s="85" ph="1"/>
    </row>
    <row r="5381" spans="20:20" ht="26.25">
      <c r="T5381" s="85" ph="1"/>
    </row>
    <row r="5382" spans="20:20" ht="26.25">
      <c r="T5382" s="85" ph="1"/>
    </row>
    <row r="5383" spans="20:20" ht="26.25">
      <c r="T5383" s="85" ph="1"/>
    </row>
    <row r="5384" spans="20:20" ht="26.25">
      <c r="T5384" s="85" ph="1"/>
    </row>
    <row r="5385" spans="20:20" ht="26.25">
      <c r="T5385" s="85" ph="1"/>
    </row>
    <row r="5386" spans="20:20" ht="26.25">
      <c r="T5386" s="85" ph="1"/>
    </row>
    <row r="5387" spans="20:20" ht="26.25">
      <c r="T5387" s="85" ph="1"/>
    </row>
    <row r="5388" spans="20:20" ht="26.25">
      <c r="T5388" s="85" ph="1"/>
    </row>
    <row r="5389" spans="20:20" ht="26.25">
      <c r="T5389" s="85" ph="1"/>
    </row>
    <row r="5390" spans="20:20" ht="26.25">
      <c r="T5390" s="85" ph="1"/>
    </row>
    <row r="5391" spans="20:20" ht="26.25">
      <c r="T5391" s="85" ph="1"/>
    </row>
    <row r="5392" spans="20:20" ht="26.25">
      <c r="T5392" s="85" ph="1"/>
    </row>
    <row r="5393" spans="20:20" ht="26.25">
      <c r="T5393" s="85" ph="1"/>
    </row>
    <row r="5394" spans="20:20" ht="26.25">
      <c r="T5394" s="85" ph="1"/>
    </row>
    <row r="5395" spans="20:20" ht="26.25">
      <c r="T5395" s="85" ph="1"/>
    </row>
    <row r="5396" spans="20:20" ht="26.25">
      <c r="T5396" s="85" ph="1"/>
    </row>
    <row r="5397" spans="20:20" ht="26.25">
      <c r="T5397" s="85" ph="1"/>
    </row>
    <row r="5398" spans="20:20" ht="26.25">
      <c r="T5398" s="85" ph="1"/>
    </row>
    <row r="5399" spans="20:20" ht="26.25">
      <c r="T5399" s="85" ph="1"/>
    </row>
    <row r="5400" spans="20:20" ht="26.25">
      <c r="T5400" s="85" ph="1"/>
    </row>
    <row r="5401" spans="20:20" ht="26.25">
      <c r="T5401" s="85" ph="1"/>
    </row>
    <row r="5402" spans="20:20" ht="26.25">
      <c r="T5402" s="85" ph="1"/>
    </row>
    <row r="5403" spans="20:20" ht="26.25">
      <c r="T5403" s="85" ph="1"/>
    </row>
    <row r="5404" spans="20:20" ht="26.25">
      <c r="T5404" s="85" ph="1"/>
    </row>
    <row r="5405" spans="20:20" ht="26.25">
      <c r="T5405" s="85" ph="1"/>
    </row>
    <row r="5406" spans="20:20" ht="26.25">
      <c r="T5406" s="85" ph="1"/>
    </row>
    <row r="5407" spans="20:20" ht="26.25">
      <c r="T5407" s="85" ph="1"/>
    </row>
    <row r="5408" spans="20:20" ht="26.25">
      <c r="T5408" s="85" ph="1"/>
    </row>
    <row r="5409" spans="20:20" ht="26.25">
      <c r="T5409" s="85" ph="1"/>
    </row>
    <row r="5410" spans="20:20" ht="26.25">
      <c r="T5410" s="85" ph="1"/>
    </row>
    <row r="5411" spans="20:20" ht="26.25">
      <c r="T5411" s="85" ph="1"/>
    </row>
    <row r="5412" spans="20:20" ht="26.25">
      <c r="T5412" s="85" ph="1"/>
    </row>
    <row r="5413" spans="20:20" ht="26.25">
      <c r="T5413" s="85" ph="1"/>
    </row>
    <row r="5414" spans="20:20" ht="26.25">
      <c r="T5414" s="85" ph="1"/>
    </row>
    <row r="5415" spans="20:20" ht="26.25">
      <c r="T5415" s="85" ph="1"/>
    </row>
    <row r="5416" spans="20:20" ht="26.25">
      <c r="T5416" s="85" ph="1"/>
    </row>
    <row r="5417" spans="20:20" ht="26.25">
      <c r="T5417" s="85" ph="1"/>
    </row>
    <row r="5418" spans="20:20" ht="26.25">
      <c r="T5418" s="85" ph="1"/>
    </row>
    <row r="5419" spans="20:20" ht="26.25">
      <c r="T5419" s="85" ph="1"/>
    </row>
    <row r="5420" spans="20:20" ht="26.25">
      <c r="T5420" s="85" ph="1"/>
    </row>
    <row r="5421" spans="20:20" ht="26.25">
      <c r="T5421" s="85" ph="1"/>
    </row>
    <row r="5422" spans="20:20" ht="26.25">
      <c r="T5422" s="85" ph="1"/>
    </row>
    <row r="5423" spans="20:20" ht="26.25">
      <c r="T5423" s="85" ph="1"/>
    </row>
    <row r="5424" spans="20:20" ht="26.25">
      <c r="T5424" s="85" ph="1"/>
    </row>
    <row r="5425" spans="20:20" ht="26.25">
      <c r="T5425" s="85" ph="1"/>
    </row>
    <row r="5426" spans="20:20" ht="26.25">
      <c r="T5426" s="85" ph="1"/>
    </row>
    <row r="5427" spans="20:20" ht="26.25">
      <c r="T5427" s="85" ph="1"/>
    </row>
    <row r="5428" spans="20:20" ht="26.25">
      <c r="T5428" s="85" ph="1"/>
    </row>
    <row r="5429" spans="20:20" ht="26.25">
      <c r="T5429" s="85" ph="1"/>
    </row>
    <row r="5430" spans="20:20" ht="26.25">
      <c r="T5430" s="85" ph="1"/>
    </row>
    <row r="5431" spans="20:20" ht="26.25">
      <c r="T5431" s="85" ph="1"/>
    </row>
    <row r="5432" spans="20:20" ht="26.25">
      <c r="T5432" s="85" ph="1"/>
    </row>
    <row r="5433" spans="20:20" ht="26.25">
      <c r="T5433" s="85" ph="1"/>
    </row>
    <row r="5434" spans="20:20" ht="26.25">
      <c r="T5434" s="85" ph="1"/>
    </row>
    <row r="5435" spans="20:20" ht="26.25">
      <c r="T5435" s="85" ph="1"/>
    </row>
    <row r="5436" spans="20:20" ht="26.25">
      <c r="T5436" s="85" ph="1"/>
    </row>
    <row r="5437" spans="20:20" ht="26.25">
      <c r="T5437" s="85" ph="1"/>
    </row>
    <row r="5438" spans="20:20" ht="26.25">
      <c r="T5438" s="85" ph="1"/>
    </row>
    <row r="5439" spans="20:20" ht="26.25">
      <c r="T5439" s="85" ph="1"/>
    </row>
    <row r="5440" spans="20:20" ht="26.25">
      <c r="T5440" s="85" ph="1"/>
    </row>
    <row r="5441" spans="20:20" ht="26.25">
      <c r="T5441" s="85" ph="1"/>
    </row>
    <row r="5442" spans="20:20" ht="26.25">
      <c r="T5442" s="85" ph="1"/>
    </row>
    <row r="5443" spans="20:20" ht="26.25">
      <c r="T5443" s="85" ph="1"/>
    </row>
    <row r="5444" spans="20:20" ht="26.25">
      <c r="T5444" s="85" ph="1"/>
    </row>
    <row r="5445" spans="20:20" ht="26.25">
      <c r="T5445" s="85" ph="1"/>
    </row>
    <row r="5446" spans="20:20" ht="26.25">
      <c r="T5446" s="85" ph="1"/>
    </row>
    <row r="5447" spans="20:20" ht="26.25">
      <c r="T5447" s="85" ph="1"/>
    </row>
    <row r="5448" spans="20:20" ht="26.25">
      <c r="T5448" s="85" ph="1"/>
    </row>
    <row r="5449" spans="20:20" ht="26.25">
      <c r="T5449" s="85" ph="1"/>
    </row>
    <row r="5450" spans="20:20" ht="26.25">
      <c r="T5450" s="85" ph="1"/>
    </row>
    <row r="5451" spans="20:20" ht="26.25">
      <c r="T5451" s="85" ph="1"/>
    </row>
    <row r="5452" spans="20:20" ht="26.25">
      <c r="T5452" s="85" ph="1"/>
    </row>
    <row r="5453" spans="20:20" ht="26.25">
      <c r="T5453" s="85" ph="1"/>
    </row>
    <row r="5454" spans="20:20" ht="26.25">
      <c r="T5454" s="85" ph="1"/>
    </row>
    <row r="5455" spans="20:20" ht="26.25">
      <c r="T5455" s="85" ph="1"/>
    </row>
    <row r="5456" spans="20:20" ht="26.25">
      <c r="T5456" s="85" ph="1"/>
    </row>
    <row r="5457" spans="20:20" ht="26.25">
      <c r="T5457" s="85" ph="1"/>
    </row>
    <row r="5458" spans="20:20" ht="26.25">
      <c r="T5458" s="85" ph="1"/>
    </row>
    <row r="5459" spans="20:20" ht="26.25">
      <c r="T5459" s="85" ph="1"/>
    </row>
    <row r="5460" spans="20:20" ht="26.25">
      <c r="T5460" s="85" ph="1"/>
    </row>
    <row r="5461" spans="20:20" ht="26.25">
      <c r="T5461" s="85" ph="1"/>
    </row>
    <row r="5462" spans="20:20" ht="26.25">
      <c r="T5462" s="85" ph="1"/>
    </row>
    <row r="5463" spans="20:20" ht="26.25">
      <c r="T5463" s="85" ph="1"/>
    </row>
    <row r="5464" spans="20:20" ht="26.25">
      <c r="T5464" s="85" ph="1"/>
    </row>
    <row r="5465" spans="20:20" ht="26.25">
      <c r="T5465" s="85" ph="1"/>
    </row>
    <row r="5466" spans="20:20" ht="26.25">
      <c r="T5466" s="85" ph="1"/>
    </row>
    <row r="5467" spans="20:20" ht="26.25">
      <c r="T5467" s="85" ph="1"/>
    </row>
    <row r="5468" spans="20:20" ht="26.25">
      <c r="T5468" s="85" ph="1"/>
    </row>
    <row r="5469" spans="20:20" ht="26.25">
      <c r="T5469" s="85" ph="1"/>
    </row>
    <row r="5470" spans="20:20" ht="26.25">
      <c r="T5470" s="85" ph="1"/>
    </row>
    <row r="5471" spans="20:20" ht="26.25">
      <c r="T5471" s="85" ph="1"/>
    </row>
    <row r="5472" spans="20:20" ht="26.25">
      <c r="T5472" s="85" ph="1"/>
    </row>
    <row r="5473" spans="20:20" ht="26.25">
      <c r="T5473" s="85" ph="1"/>
    </row>
    <row r="5474" spans="20:20" ht="26.25">
      <c r="T5474" s="85" ph="1"/>
    </row>
    <row r="5475" spans="20:20" ht="26.25">
      <c r="T5475" s="85" ph="1"/>
    </row>
    <row r="5476" spans="20:20" ht="26.25">
      <c r="T5476" s="85" ph="1"/>
    </row>
    <row r="5477" spans="20:20" ht="26.25">
      <c r="T5477" s="85" ph="1"/>
    </row>
    <row r="5478" spans="20:20" ht="26.25">
      <c r="T5478" s="85" ph="1"/>
    </row>
    <row r="5479" spans="20:20" ht="26.25">
      <c r="T5479" s="85" ph="1"/>
    </row>
    <row r="5480" spans="20:20" ht="26.25">
      <c r="T5480" s="85" ph="1"/>
    </row>
    <row r="5481" spans="20:20" ht="26.25">
      <c r="T5481" s="85" ph="1"/>
    </row>
    <row r="5482" spans="20:20" ht="26.25">
      <c r="T5482" s="85" ph="1"/>
    </row>
    <row r="5483" spans="20:20" ht="26.25">
      <c r="T5483" s="85" ph="1"/>
    </row>
    <row r="5484" spans="20:20" ht="26.25">
      <c r="T5484" s="85" ph="1"/>
    </row>
    <row r="5485" spans="20:20" ht="26.25">
      <c r="T5485" s="85" ph="1"/>
    </row>
    <row r="5486" spans="20:20" ht="26.25">
      <c r="T5486" s="85" ph="1"/>
    </row>
    <row r="5487" spans="20:20" ht="26.25">
      <c r="T5487" s="85" ph="1"/>
    </row>
    <row r="5488" spans="20:20" ht="26.25">
      <c r="T5488" s="85" ph="1"/>
    </row>
    <row r="5489" spans="20:20" ht="26.25">
      <c r="T5489" s="85" ph="1"/>
    </row>
    <row r="5490" spans="20:20" ht="26.25">
      <c r="T5490" s="85" ph="1"/>
    </row>
    <row r="5491" spans="20:20" ht="26.25">
      <c r="T5491" s="85" ph="1"/>
    </row>
    <row r="5492" spans="20:20" ht="26.25">
      <c r="T5492" s="85" ph="1"/>
    </row>
    <row r="5493" spans="20:20" ht="26.25">
      <c r="T5493" s="85" ph="1"/>
    </row>
    <row r="5494" spans="20:20" ht="26.25">
      <c r="T5494" s="85" ph="1"/>
    </row>
    <row r="5495" spans="20:20" ht="26.25">
      <c r="T5495" s="85" ph="1"/>
    </row>
    <row r="5496" spans="20:20" ht="26.25">
      <c r="T5496" s="85" ph="1"/>
    </row>
    <row r="5497" spans="20:20" ht="26.25">
      <c r="T5497" s="85" ph="1"/>
    </row>
    <row r="5498" spans="20:20" ht="26.25">
      <c r="T5498" s="85" ph="1"/>
    </row>
    <row r="5499" spans="20:20" ht="26.25">
      <c r="T5499" s="85" ph="1"/>
    </row>
    <row r="5500" spans="20:20" ht="26.25">
      <c r="T5500" s="85" ph="1"/>
    </row>
    <row r="5501" spans="20:20" ht="26.25">
      <c r="T5501" s="85" ph="1"/>
    </row>
    <row r="5502" spans="20:20" ht="26.25">
      <c r="T5502" s="85" ph="1"/>
    </row>
    <row r="5503" spans="20:20" ht="26.25">
      <c r="T5503" s="85" ph="1"/>
    </row>
    <row r="5504" spans="20:20" ht="26.25">
      <c r="T5504" s="85" ph="1"/>
    </row>
    <row r="5505" spans="20:20" ht="26.25">
      <c r="T5505" s="85" ph="1"/>
    </row>
    <row r="5506" spans="20:20" ht="26.25">
      <c r="T5506" s="85" ph="1"/>
    </row>
    <row r="5507" spans="20:20" ht="26.25">
      <c r="T5507" s="85" ph="1"/>
    </row>
    <row r="5508" spans="20:20" ht="26.25">
      <c r="T5508" s="85" ph="1"/>
    </row>
    <row r="5509" spans="20:20" ht="26.25">
      <c r="T5509" s="85" ph="1"/>
    </row>
    <row r="5510" spans="20:20" ht="26.25">
      <c r="T5510" s="85" ph="1"/>
    </row>
    <row r="5511" spans="20:20" ht="26.25">
      <c r="T5511" s="85" ph="1"/>
    </row>
    <row r="5512" spans="20:20" ht="26.25">
      <c r="T5512" s="85" ph="1"/>
    </row>
    <row r="5513" spans="20:20" ht="26.25">
      <c r="T5513" s="85" ph="1"/>
    </row>
    <row r="5514" spans="20:20" ht="26.25">
      <c r="T5514" s="85" ph="1"/>
    </row>
    <row r="5515" spans="20:20" ht="26.25">
      <c r="T5515" s="85" ph="1"/>
    </row>
    <row r="5516" spans="20:20" ht="26.25">
      <c r="T5516" s="85" ph="1"/>
    </row>
    <row r="5517" spans="20:20" ht="26.25">
      <c r="T5517" s="85" ph="1"/>
    </row>
    <row r="5518" spans="20:20" ht="26.25">
      <c r="T5518" s="85" ph="1"/>
    </row>
    <row r="5519" spans="20:20" ht="26.25">
      <c r="T5519" s="85" ph="1"/>
    </row>
    <row r="5520" spans="20:20" ht="26.25">
      <c r="T5520" s="85" ph="1"/>
    </row>
    <row r="5521" spans="20:20" ht="26.25">
      <c r="T5521" s="85" ph="1"/>
    </row>
    <row r="5522" spans="20:20" ht="26.25">
      <c r="T5522" s="85" ph="1"/>
    </row>
    <row r="5523" spans="20:20" ht="26.25">
      <c r="T5523" s="85" ph="1"/>
    </row>
    <row r="5524" spans="20:20" ht="26.25">
      <c r="T5524" s="85" ph="1"/>
    </row>
    <row r="5525" spans="20:20" ht="26.25">
      <c r="T5525" s="85" ph="1"/>
    </row>
    <row r="5526" spans="20:20" ht="26.25">
      <c r="T5526" s="85" ph="1"/>
    </row>
    <row r="5527" spans="20:20" ht="26.25">
      <c r="T5527" s="85" ph="1"/>
    </row>
    <row r="5528" spans="20:20" ht="26.25">
      <c r="T5528" s="85" ph="1"/>
    </row>
    <row r="5529" spans="20:20" ht="26.25">
      <c r="T5529" s="85" ph="1"/>
    </row>
    <row r="5530" spans="20:20" ht="26.25">
      <c r="T5530" s="85" ph="1"/>
    </row>
    <row r="5531" spans="20:20" ht="26.25">
      <c r="T5531" s="85" ph="1"/>
    </row>
    <row r="5532" spans="20:20" ht="26.25">
      <c r="T5532" s="85" ph="1"/>
    </row>
    <row r="5533" spans="20:20" ht="26.25">
      <c r="T5533" s="85" ph="1"/>
    </row>
    <row r="5534" spans="20:20" ht="26.25">
      <c r="T5534" s="85" ph="1"/>
    </row>
    <row r="5535" spans="20:20" ht="26.25">
      <c r="T5535" s="85" ph="1"/>
    </row>
    <row r="5536" spans="20:20" ht="26.25">
      <c r="T5536" s="85" ph="1"/>
    </row>
    <row r="5537" spans="20:20" ht="26.25">
      <c r="T5537" s="85" ph="1"/>
    </row>
    <row r="5538" spans="20:20" ht="26.25">
      <c r="T5538" s="85" ph="1"/>
    </row>
    <row r="5539" spans="20:20" ht="26.25">
      <c r="T5539" s="85" ph="1"/>
    </row>
    <row r="5540" spans="20:20" ht="26.25">
      <c r="T5540" s="85" ph="1"/>
    </row>
    <row r="5541" spans="20:20" ht="26.25">
      <c r="T5541" s="85" ph="1"/>
    </row>
    <row r="5542" spans="20:20" ht="26.25">
      <c r="T5542" s="85" ph="1"/>
    </row>
    <row r="5543" spans="20:20" ht="26.25">
      <c r="T5543" s="85" ph="1"/>
    </row>
    <row r="5544" spans="20:20" ht="26.25">
      <c r="T5544" s="85" ph="1"/>
    </row>
    <row r="5545" spans="20:20" ht="26.25">
      <c r="T5545" s="85" ph="1"/>
    </row>
    <row r="5546" spans="20:20" ht="26.25">
      <c r="T5546" s="85" ph="1"/>
    </row>
    <row r="5547" spans="20:20" ht="26.25">
      <c r="T5547" s="85" ph="1"/>
    </row>
    <row r="5548" spans="20:20" ht="26.25">
      <c r="T5548" s="85" ph="1"/>
    </row>
    <row r="5549" spans="20:20" ht="26.25">
      <c r="T5549" s="85" ph="1"/>
    </row>
    <row r="5550" spans="20:20" ht="26.25">
      <c r="T5550" s="85" ph="1"/>
    </row>
    <row r="5551" spans="20:20" ht="26.25">
      <c r="T5551" s="85" ph="1"/>
    </row>
    <row r="5552" spans="20:20" ht="26.25">
      <c r="T5552" s="85" ph="1"/>
    </row>
    <row r="5553" spans="20:20" ht="26.25">
      <c r="T5553" s="85" ph="1"/>
    </row>
    <row r="5554" spans="20:20" ht="26.25">
      <c r="T5554" s="85" ph="1"/>
    </row>
    <row r="5555" spans="20:20" ht="26.25">
      <c r="T5555" s="85" ph="1"/>
    </row>
    <row r="5556" spans="20:20" ht="26.25">
      <c r="T5556" s="85" ph="1"/>
    </row>
    <row r="5557" spans="20:20" ht="26.25">
      <c r="T5557" s="85" ph="1"/>
    </row>
    <row r="5558" spans="20:20" ht="26.25">
      <c r="T5558" s="85" ph="1"/>
    </row>
    <row r="5559" spans="20:20" ht="26.25">
      <c r="T5559" s="85" ph="1"/>
    </row>
    <row r="5560" spans="20:20" ht="26.25">
      <c r="T5560" s="85" ph="1"/>
    </row>
    <row r="5561" spans="20:20" ht="26.25">
      <c r="T5561" s="85" ph="1"/>
    </row>
    <row r="5562" spans="20:20" ht="26.25">
      <c r="T5562" s="85" ph="1"/>
    </row>
    <row r="5563" spans="20:20" ht="26.25">
      <c r="T5563" s="85" ph="1"/>
    </row>
    <row r="5564" spans="20:20" ht="26.25">
      <c r="T5564" s="85" ph="1"/>
    </row>
    <row r="5565" spans="20:20" ht="26.25">
      <c r="T5565" s="85" ph="1"/>
    </row>
    <row r="5566" spans="20:20" ht="26.25">
      <c r="T5566" s="85" ph="1"/>
    </row>
    <row r="5567" spans="20:20" ht="26.25">
      <c r="T5567" s="85" ph="1"/>
    </row>
    <row r="5568" spans="20:20" ht="26.25">
      <c r="T5568" s="85" ph="1"/>
    </row>
    <row r="5569" spans="20:20" ht="26.25">
      <c r="T5569" s="85" ph="1"/>
    </row>
    <row r="5570" spans="20:20" ht="26.25">
      <c r="T5570" s="85" ph="1"/>
    </row>
    <row r="5571" spans="20:20" ht="26.25">
      <c r="T5571" s="85" ph="1"/>
    </row>
    <row r="5572" spans="20:20" ht="26.25">
      <c r="T5572" s="85" ph="1"/>
    </row>
    <row r="5573" spans="20:20" ht="26.25">
      <c r="T5573" s="85" ph="1"/>
    </row>
    <row r="5574" spans="20:20" ht="26.25">
      <c r="T5574" s="85" ph="1"/>
    </row>
    <row r="5575" spans="20:20" ht="26.25">
      <c r="T5575" s="85" ph="1"/>
    </row>
    <row r="5576" spans="20:20" ht="26.25">
      <c r="T5576" s="85" ph="1"/>
    </row>
    <row r="5577" spans="20:20" ht="26.25">
      <c r="T5577" s="85" ph="1"/>
    </row>
    <row r="5578" spans="20:20" ht="26.25">
      <c r="T5578" s="85" ph="1"/>
    </row>
    <row r="5579" spans="20:20" ht="26.25">
      <c r="T5579" s="85" ph="1"/>
    </row>
    <row r="5580" spans="20:20" ht="26.25">
      <c r="T5580" s="85" ph="1"/>
    </row>
    <row r="5581" spans="20:20" ht="26.25">
      <c r="T5581" s="85" ph="1"/>
    </row>
    <row r="5582" spans="20:20" ht="26.25">
      <c r="T5582" s="85" ph="1"/>
    </row>
    <row r="5583" spans="20:20" ht="26.25">
      <c r="T5583" s="85" ph="1"/>
    </row>
    <row r="5584" spans="20:20" ht="26.25">
      <c r="T5584" s="85" ph="1"/>
    </row>
    <row r="5585" spans="20:20" ht="26.25">
      <c r="T5585" s="85" ph="1"/>
    </row>
    <row r="5586" spans="20:20" ht="26.25">
      <c r="T5586" s="85" ph="1"/>
    </row>
    <row r="5587" spans="20:20" ht="26.25">
      <c r="T5587" s="85" ph="1"/>
    </row>
    <row r="5588" spans="20:20" ht="26.25">
      <c r="T5588" s="85" ph="1"/>
    </row>
    <row r="5589" spans="20:20" ht="26.25">
      <c r="T5589" s="85" ph="1"/>
    </row>
    <row r="5590" spans="20:20" ht="26.25">
      <c r="T5590" s="85" ph="1"/>
    </row>
    <row r="5591" spans="20:20" ht="26.25">
      <c r="T5591" s="85" ph="1"/>
    </row>
    <row r="5592" spans="20:20" ht="26.25">
      <c r="T5592" s="85" ph="1"/>
    </row>
    <row r="5593" spans="20:20" ht="26.25">
      <c r="T5593" s="85" ph="1"/>
    </row>
    <row r="5594" spans="20:20" ht="26.25">
      <c r="T5594" s="85" ph="1"/>
    </row>
    <row r="5595" spans="20:20" ht="26.25">
      <c r="T5595" s="85" ph="1"/>
    </row>
    <row r="5596" spans="20:20" ht="26.25">
      <c r="T5596" s="85" ph="1"/>
    </row>
    <row r="5597" spans="20:20" ht="26.25">
      <c r="T5597" s="85" ph="1"/>
    </row>
    <row r="5598" spans="20:20" ht="26.25">
      <c r="T5598" s="85" ph="1"/>
    </row>
    <row r="5599" spans="20:20" ht="26.25">
      <c r="T5599" s="85" ph="1"/>
    </row>
    <row r="5600" spans="20:20" ht="26.25">
      <c r="T5600" s="85" ph="1"/>
    </row>
    <row r="5601" spans="20:20" ht="26.25">
      <c r="T5601" s="85" ph="1"/>
    </row>
    <row r="5602" spans="20:20" ht="26.25">
      <c r="T5602" s="85" ph="1"/>
    </row>
    <row r="5603" spans="20:20" ht="26.25">
      <c r="T5603" s="85" ph="1"/>
    </row>
    <row r="5604" spans="20:20" ht="26.25">
      <c r="T5604" s="85" ph="1"/>
    </row>
    <row r="5605" spans="20:20" ht="26.25">
      <c r="T5605" s="85" ph="1"/>
    </row>
    <row r="5606" spans="20:20" ht="26.25">
      <c r="T5606" s="85" ph="1"/>
    </row>
    <row r="5607" spans="20:20" ht="26.25">
      <c r="T5607" s="85" ph="1"/>
    </row>
    <row r="5608" spans="20:20" ht="26.25">
      <c r="T5608" s="85" ph="1"/>
    </row>
    <row r="5609" spans="20:20" ht="26.25">
      <c r="T5609" s="85" ph="1"/>
    </row>
    <row r="5610" spans="20:20" ht="26.25">
      <c r="T5610" s="85" ph="1"/>
    </row>
    <row r="5611" spans="20:20" ht="26.25">
      <c r="T5611" s="85" ph="1"/>
    </row>
    <row r="5612" spans="20:20" ht="26.25">
      <c r="T5612" s="85" ph="1"/>
    </row>
    <row r="5613" spans="20:20" ht="26.25">
      <c r="T5613" s="85" ph="1"/>
    </row>
    <row r="5614" spans="20:20" ht="26.25">
      <c r="T5614" s="85" ph="1"/>
    </row>
    <row r="5615" spans="20:20" ht="26.25">
      <c r="T5615" s="85" ph="1"/>
    </row>
    <row r="5616" spans="20:20" ht="26.25">
      <c r="T5616" s="85" ph="1"/>
    </row>
    <row r="5617" spans="20:20" ht="26.25">
      <c r="T5617" s="85" ph="1"/>
    </row>
    <row r="5618" spans="20:20" ht="26.25">
      <c r="T5618" s="85" ph="1"/>
    </row>
    <row r="5619" spans="20:20" ht="26.25">
      <c r="T5619" s="85" ph="1"/>
    </row>
    <row r="5620" spans="20:20" ht="26.25">
      <c r="T5620" s="85" ph="1"/>
    </row>
    <row r="5621" spans="20:20" ht="26.25">
      <c r="T5621" s="85" ph="1"/>
    </row>
    <row r="5622" spans="20:20" ht="26.25">
      <c r="T5622" s="85" ph="1"/>
    </row>
    <row r="5623" spans="20:20" ht="26.25">
      <c r="T5623" s="85" ph="1"/>
    </row>
    <row r="5624" spans="20:20" ht="26.25">
      <c r="T5624" s="85" ph="1"/>
    </row>
    <row r="5625" spans="20:20" ht="26.25">
      <c r="T5625" s="85" ph="1"/>
    </row>
    <row r="5626" spans="20:20" ht="26.25">
      <c r="T5626" s="85" ph="1"/>
    </row>
    <row r="5627" spans="20:20" ht="26.25">
      <c r="T5627" s="85" ph="1"/>
    </row>
    <row r="5628" spans="20:20" ht="26.25">
      <c r="T5628" s="85" ph="1"/>
    </row>
    <row r="5629" spans="20:20" ht="26.25">
      <c r="T5629" s="85" ph="1"/>
    </row>
    <row r="5630" spans="20:20" ht="26.25">
      <c r="T5630" s="85" ph="1"/>
    </row>
    <row r="5631" spans="20:20" ht="26.25">
      <c r="T5631" s="85" ph="1"/>
    </row>
    <row r="5632" spans="20:20" ht="26.25">
      <c r="T5632" s="85" ph="1"/>
    </row>
    <row r="5633" spans="20:20" ht="26.25">
      <c r="T5633" s="85" ph="1"/>
    </row>
    <row r="5634" spans="20:20" ht="26.25">
      <c r="T5634" s="85" ph="1"/>
    </row>
    <row r="5635" spans="20:20" ht="26.25">
      <c r="T5635" s="85" ph="1"/>
    </row>
    <row r="5636" spans="20:20" ht="26.25">
      <c r="T5636" s="85" ph="1"/>
    </row>
    <row r="5637" spans="20:20" ht="26.25">
      <c r="T5637" s="85" ph="1"/>
    </row>
    <row r="5638" spans="20:20" ht="26.25">
      <c r="T5638" s="85" ph="1"/>
    </row>
    <row r="5639" spans="20:20" ht="26.25">
      <c r="T5639" s="85" ph="1"/>
    </row>
    <row r="5640" spans="20:20" ht="26.25">
      <c r="T5640" s="85" ph="1"/>
    </row>
    <row r="5641" spans="20:20" ht="26.25">
      <c r="T5641" s="85" ph="1"/>
    </row>
    <row r="5642" spans="20:20" ht="26.25">
      <c r="T5642" s="85" ph="1"/>
    </row>
    <row r="5643" spans="20:20" ht="26.25">
      <c r="T5643" s="85" ph="1"/>
    </row>
    <row r="5644" spans="20:20" ht="26.25">
      <c r="T5644" s="85" ph="1"/>
    </row>
    <row r="5645" spans="20:20" ht="26.25">
      <c r="T5645" s="85" ph="1"/>
    </row>
    <row r="5646" spans="20:20" ht="26.25">
      <c r="T5646" s="85" ph="1"/>
    </row>
    <row r="5647" spans="20:20" ht="26.25">
      <c r="T5647" s="85" ph="1"/>
    </row>
    <row r="5648" spans="20:20" ht="26.25">
      <c r="T5648" s="85" ph="1"/>
    </row>
    <row r="5649" spans="20:20" ht="26.25">
      <c r="T5649" s="85" ph="1"/>
    </row>
    <row r="5650" spans="20:20" ht="26.25">
      <c r="T5650" s="85" ph="1"/>
    </row>
    <row r="5651" spans="20:20" ht="26.25">
      <c r="T5651" s="85" ph="1"/>
    </row>
    <row r="5652" spans="20:20" ht="26.25">
      <c r="T5652" s="85" ph="1"/>
    </row>
    <row r="5653" spans="20:20" ht="26.25">
      <c r="T5653" s="85" ph="1"/>
    </row>
    <row r="5654" spans="20:20" ht="26.25">
      <c r="T5654" s="85" ph="1"/>
    </row>
    <row r="5655" spans="20:20" ht="26.25">
      <c r="T5655" s="85" ph="1"/>
    </row>
    <row r="5656" spans="20:20" ht="26.25">
      <c r="T5656" s="85" ph="1"/>
    </row>
    <row r="5657" spans="20:20" ht="26.25">
      <c r="T5657" s="85" ph="1"/>
    </row>
    <row r="5658" spans="20:20" ht="26.25">
      <c r="T5658" s="85" ph="1"/>
    </row>
    <row r="5659" spans="20:20" ht="26.25">
      <c r="T5659" s="85" ph="1"/>
    </row>
    <row r="5660" spans="20:20" ht="26.25">
      <c r="T5660" s="85" ph="1"/>
    </row>
    <row r="5661" spans="20:20" ht="26.25">
      <c r="T5661" s="85" ph="1"/>
    </row>
    <row r="5662" spans="20:20" ht="26.25">
      <c r="T5662" s="85" ph="1"/>
    </row>
    <row r="5663" spans="20:20" ht="26.25">
      <c r="T5663" s="85" ph="1"/>
    </row>
    <row r="5664" spans="20:20" ht="26.25">
      <c r="T5664" s="85" ph="1"/>
    </row>
    <row r="5665" spans="20:20" ht="26.25">
      <c r="T5665" s="85" ph="1"/>
    </row>
    <row r="5666" spans="20:20" ht="26.25">
      <c r="T5666" s="85" ph="1"/>
    </row>
    <row r="5667" spans="20:20" ht="26.25">
      <c r="T5667" s="85" ph="1"/>
    </row>
    <row r="5668" spans="20:20" ht="26.25">
      <c r="T5668" s="85" ph="1"/>
    </row>
    <row r="5669" spans="20:20" ht="26.25">
      <c r="T5669" s="85" ph="1"/>
    </row>
    <row r="5670" spans="20:20" ht="26.25">
      <c r="T5670" s="85" ph="1"/>
    </row>
    <row r="5671" spans="20:20" ht="26.25">
      <c r="T5671" s="85" ph="1"/>
    </row>
    <row r="5672" spans="20:20" ht="26.25">
      <c r="T5672" s="85" ph="1"/>
    </row>
    <row r="5673" spans="20:20" ht="26.25">
      <c r="T5673" s="85" ph="1"/>
    </row>
    <row r="5674" spans="20:20" ht="26.25">
      <c r="T5674" s="85" ph="1"/>
    </row>
    <row r="5675" spans="20:20" ht="26.25">
      <c r="T5675" s="85" ph="1"/>
    </row>
    <row r="5676" spans="20:20" ht="26.25">
      <c r="T5676" s="85" ph="1"/>
    </row>
    <row r="5677" spans="20:20" ht="26.25">
      <c r="T5677" s="85" ph="1"/>
    </row>
    <row r="5678" spans="20:20" ht="26.25">
      <c r="T5678" s="85" ph="1"/>
    </row>
    <row r="5679" spans="20:20" ht="26.25">
      <c r="T5679" s="85" ph="1"/>
    </row>
    <row r="5680" spans="20:20" ht="26.25">
      <c r="T5680" s="85" ph="1"/>
    </row>
    <row r="5681" spans="20:20" ht="26.25">
      <c r="T5681" s="85" ph="1"/>
    </row>
    <row r="5682" spans="20:20" ht="26.25">
      <c r="T5682" s="85" ph="1"/>
    </row>
    <row r="5683" spans="20:20" ht="26.25">
      <c r="T5683" s="85" ph="1"/>
    </row>
    <row r="5684" spans="20:20" ht="26.25">
      <c r="T5684" s="85" ph="1"/>
    </row>
    <row r="5685" spans="20:20" ht="26.25">
      <c r="T5685" s="85" ph="1"/>
    </row>
    <row r="5686" spans="20:20" ht="26.25">
      <c r="T5686" s="85" ph="1"/>
    </row>
    <row r="5687" spans="20:20" ht="26.25">
      <c r="T5687" s="85" ph="1"/>
    </row>
    <row r="5688" spans="20:20" ht="26.25">
      <c r="T5688" s="85" ph="1"/>
    </row>
    <row r="5689" spans="20:20" ht="26.25">
      <c r="T5689" s="85" ph="1"/>
    </row>
    <row r="5690" spans="20:20" ht="26.25">
      <c r="T5690" s="85" ph="1"/>
    </row>
    <row r="5691" spans="20:20" ht="26.25">
      <c r="T5691" s="85" ph="1"/>
    </row>
    <row r="5692" spans="20:20" ht="26.25">
      <c r="T5692" s="85" ph="1"/>
    </row>
    <row r="5693" spans="20:20" ht="26.25">
      <c r="T5693" s="85" ph="1"/>
    </row>
    <row r="5694" spans="20:20" ht="26.25">
      <c r="T5694" s="85" ph="1"/>
    </row>
    <row r="5695" spans="20:20" ht="26.25">
      <c r="T5695" s="85" ph="1"/>
    </row>
    <row r="5696" spans="20:20" ht="26.25">
      <c r="T5696" s="85" ph="1"/>
    </row>
    <row r="5697" spans="20:20" ht="26.25">
      <c r="T5697" s="85" ph="1"/>
    </row>
    <row r="5698" spans="20:20" ht="26.25">
      <c r="T5698" s="85" ph="1"/>
    </row>
    <row r="5699" spans="20:20" ht="26.25">
      <c r="T5699" s="85" ph="1"/>
    </row>
    <row r="5700" spans="20:20" ht="26.25">
      <c r="T5700" s="85" ph="1"/>
    </row>
    <row r="5701" spans="20:20" ht="26.25">
      <c r="T5701" s="85" ph="1"/>
    </row>
    <row r="5702" spans="20:20" ht="26.25">
      <c r="T5702" s="85" ph="1"/>
    </row>
    <row r="5703" spans="20:20" ht="26.25">
      <c r="T5703" s="85" ph="1"/>
    </row>
    <row r="5704" spans="20:20" ht="26.25">
      <c r="T5704" s="85" ph="1"/>
    </row>
    <row r="5705" spans="20:20" ht="26.25">
      <c r="T5705" s="85" ph="1"/>
    </row>
    <row r="5706" spans="20:20" ht="26.25">
      <c r="T5706" s="85" ph="1"/>
    </row>
    <row r="5707" spans="20:20" ht="26.25">
      <c r="T5707" s="85" ph="1"/>
    </row>
    <row r="5708" spans="20:20" ht="26.25">
      <c r="T5708" s="85" ph="1"/>
    </row>
    <row r="5709" spans="20:20" ht="26.25">
      <c r="T5709" s="85" ph="1"/>
    </row>
    <row r="5710" spans="20:20" ht="26.25">
      <c r="T5710" s="85" ph="1"/>
    </row>
    <row r="5711" spans="20:20" ht="26.25">
      <c r="T5711" s="85" ph="1"/>
    </row>
    <row r="5712" spans="20:20" ht="26.25">
      <c r="T5712" s="85" ph="1"/>
    </row>
    <row r="5713" spans="20:20" ht="26.25">
      <c r="T5713" s="85" ph="1"/>
    </row>
    <row r="5714" spans="20:20" ht="26.25">
      <c r="T5714" s="85" ph="1"/>
    </row>
    <row r="5715" spans="20:20" ht="26.25">
      <c r="T5715" s="85" ph="1"/>
    </row>
    <row r="5716" spans="20:20" ht="26.25">
      <c r="T5716" s="85" ph="1"/>
    </row>
    <row r="5717" spans="20:20" ht="26.25">
      <c r="T5717" s="85" ph="1"/>
    </row>
    <row r="5718" spans="20:20" ht="26.25">
      <c r="T5718" s="85" ph="1"/>
    </row>
    <row r="5719" spans="20:20" ht="26.25">
      <c r="T5719" s="85" ph="1"/>
    </row>
    <row r="5720" spans="20:20" ht="26.25">
      <c r="T5720" s="85" ph="1"/>
    </row>
    <row r="5721" spans="20:20" ht="26.25">
      <c r="T5721" s="85" ph="1"/>
    </row>
    <row r="5722" spans="20:20" ht="26.25">
      <c r="T5722" s="85" ph="1"/>
    </row>
    <row r="5723" spans="20:20" ht="26.25">
      <c r="T5723" s="85" ph="1"/>
    </row>
    <row r="5724" spans="20:20" ht="26.25">
      <c r="T5724" s="85" ph="1"/>
    </row>
    <row r="5725" spans="20:20" ht="26.25">
      <c r="T5725" s="85" ph="1"/>
    </row>
    <row r="5726" spans="20:20" ht="26.25">
      <c r="T5726" s="85" ph="1"/>
    </row>
    <row r="5727" spans="20:20" ht="26.25">
      <c r="T5727" s="85" ph="1"/>
    </row>
    <row r="5728" spans="20:20" ht="26.25">
      <c r="T5728" s="85" ph="1"/>
    </row>
    <row r="5729" spans="20:20" ht="26.25">
      <c r="T5729" s="85" ph="1"/>
    </row>
    <row r="5730" spans="20:20" ht="26.25">
      <c r="T5730" s="85" ph="1"/>
    </row>
    <row r="5731" spans="20:20" ht="26.25">
      <c r="T5731" s="85" ph="1"/>
    </row>
    <row r="5732" spans="20:20" ht="26.25">
      <c r="T5732" s="85" ph="1"/>
    </row>
    <row r="5733" spans="20:20" ht="26.25">
      <c r="T5733" s="85" ph="1"/>
    </row>
    <row r="5734" spans="20:20" ht="26.25">
      <c r="T5734" s="85" ph="1"/>
    </row>
    <row r="5735" spans="20:20" ht="26.25">
      <c r="T5735" s="85" ph="1"/>
    </row>
    <row r="5736" spans="20:20" ht="26.25">
      <c r="T5736" s="85" ph="1"/>
    </row>
    <row r="5737" spans="20:20" ht="26.25">
      <c r="T5737" s="85" ph="1"/>
    </row>
    <row r="5738" spans="20:20" ht="26.25">
      <c r="T5738" s="85" ph="1"/>
    </row>
    <row r="5739" spans="20:20" ht="26.25">
      <c r="T5739" s="85" ph="1"/>
    </row>
    <row r="5740" spans="20:20" ht="26.25">
      <c r="T5740" s="85" ph="1"/>
    </row>
    <row r="5741" spans="20:20" ht="26.25">
      <c r="T5741" s="85" ph="1"/>
    </row>
    <row r="5742" spans="20:20" ht="26.25">
      <c r="T5742" s="85" ph="1"/>
    </row>
    <row r="5743" spans="20:20" ht="26.25">
      <c r="T5743" s="85" ph="1"/>
    </row>
    <row r="5744" spans="20:20" ht="26.25">
      <c r="T5744" s="85" ph="1"/>
    </row>
    <row r="5745" spans="20:20" ht="26.25">
      <c r="T5745" s="85" ph="1"/>
    </row>
    <row r="5746" spans="20:20" ht="26.25">
      <c r="T5746" s="85" ph="1"/>
    </row>
    <row r="5747" spans="20:20" ht="26.25">
      <c r="T5747" s="85" ph="1"/>
    </row>
    <row r="5748" spans="20:20" ht="26.25">
      <c r="T5748" s="85" ph="1"/>
    </row>
    <row r="5749" spans="20:20" ht="26.25">
      <c r="T5749" s="85" ph="1"/>
    </row>
    <row r="5750" spans="20:20" ht="26.25">
      <c r="T5750" s="85" ph="1"/>
    </row>
    <row r="5751" spans="20:20" ht="26.25">
      <c r="T5751" s="85" ph="1"/>
    </row>
    <row r="5752" spans="20:20" ht="26.25">
      <c r="T5752" s="85" ph="1"/>
    </row>
    <row r="5753" spans="20:20" ht="26.25">
      <c r="T5753" s="85" ph="1"/>
    </row>
    <row r="5754" spans="20:20" ht="26.25">
      <c r="T5754" s="85" ph="1"/>
    </row>
    <row r="5755" spans="20:20" ht="26.25">
      <c r="T5755" s="85" ph="1"/>
    </row>
    <row r="5756" spans="20:20" ht="26.25">
      <c r="T5756" s="85" ph="1"/>
    </row>
    <row r="5757" spans="20:20" ht="26.25">
      <c r="T5757" s="85" ph="1"/>
    </row>
    <row r="5758" spans="20:20" ht="26.25">
      <c r="T5758" s="85" ph="1"/>
    </row>
    <row r="5759" spans="20:20" ht="26.25">
      <c r="T5759" s="85" ph="1"/>
    </row>
    <row r="5760" spans="20:20" ht="26.25">
      <c r="T5760" s="85" ph="1"/>
    </row>
    <row r="5761" spans="20:20" ht="26.25">
      <c r="T5761" s="85" ph="1"/>
    </row>
    <row r="5762" spans="20:20" ht="26.25">
      <c r="T5762" s="85" ph="1"/>
    </row>
    <row r="5763" spans="20:20" ht="26.25">
      <c r="T5763" s="85" ph="1"/>
    </row>
    <row r="5764" spans="20:20" ht="26.25">
      <c r="T5764" s="85" ph="1"/>
    </row>
    <row r="5765" spans="20:20" ht="26.25">
      <c r="T5765" s="85" ph="1"/>
    </row>
    <row r="5766" spans="20:20" ht="26.25">
      <c r="T5766" s="85" ph="1"/>
    </row>
    <row r="5767" spans="20:20" ht="26.25">
      <c r="T5767" s="85" ph="1"/>
    </row>
    <row r="5768" spans="20:20" ht="26.25">
      <c r="T5768" s="85" ph="1"/>
    </row>
    <row r="5769" spans="20:20" ht="26.25">
      <c r="T5769" s="85" ph="1"/>
    </row>
    <row r="5770" spans="20:20" ht="26.25">
      <c r="T5770" s="85" ph="1"/>
    </row>
    <row r="5771" spans="20:20" ht="26.25">
      <c r="T5771" s="85" ph="1"/>
    </row>
    <row r="5772" spans="20:20" ht="26.25">
      <c r="T5772" s="85" ph="1"/>
    </row>
    <row r="5773" spans="20:20" ht="26.25">
      <c r="T5773" s="85" ph="1"/>
    </row>
    <row r="5774" spans="20:20" ht="26.25">
      <c r="T5774" s="85" ph="1"/>
    </row>
    <row r="5775" spans="20:20" ht="26.25">
      <c r="T5775" s="85" ph="1"/>
    </row>
    <row r="5776" spans="20:20" ht="26.25">
      <c r="T5776" s="85" ph="1"/>
    </row>
    <row r="5777" spans="20:20" ht="26.25">
      <c r="T5777" s="85" ph="1"/>
    </row>
    <row r="5778" spans="20:20" ht="26.25">
      <c r="T5778" s="85" ph="1"/>
    </row>
    <row r="5779" spans="20:20" ht="26.25">
      <c r="T5779" s="85" ph="1"/>
    </row>
    <row r="5780" spans="20:20" ht="26.25">
      <c r="T5780" s="85" ph="1"/>
    </row>
    <row r="5781" spans="20:20" ht="26.25">
      <c r="T5781" s="85" ph="1"/>
    </row>
    <row r="5782" spans="20:20" ht="26.25">
      <c r="T5782" s="85" ph="1"/>
    </row>
    <row r="5783" spans="20:20" ht="26.25">
      <c r="T5783" s="85" ph="1"/>
    </row>
    <row r="5784" spans="20:20" ht="26.25">
      <c r="T5784" s="85" ph="1"/>
    </row>
    <row r="5785" spans="20:20" ht="26.25">
      <c r="T5785" s="85" ph="1"/>
    </row>
    <row r="5786" spans="20:20" ht="26.25">
      <c r="T5786" s="85" ph="1"/>
    </row>
    <row r="5787" spans="20:20" ht="26.25">
      <c r="T5787" s="85" ph="1"/>
    </row>
    <row r="5788" spans="20:20" ht="26.25">
      <c r="T5788" s="85" ph="1"/>
    </row>
    <row r="5789" spans="20:20" ht="26.25">
      <c r="T5789" s="85" ph="1"/>
    </row>
    <row r="5790" spans="20:20" ht="26.25">
      <c r="T5790" s="85" ph="1"/>
    </row>
    <row r="5791" spans="20:20" ht="26.25">
      <c r="T5791" s="85" ph="1"/>
    </row>
    <row r="5792" spans="20:20" ht="26.25">
      <c r="T5792" s="85" ph="1"/>
    </row>
    <row r="5793" spans="20:20" ht="26.25">
      <c r="T5793" s="85" ph="1"/>
    </row>
    <row r="5794" spans="20:20" ht="26.25">
      <c r="T5794" s="85" ph="1"/>
    </row>
    <row r="5795" spans="20:20" ht="26.25">
      <c r="T5795" s="85" ph="1"/>
    </row>
    <row r="5796" spans="20:20" ht="26.25">
      <c r="T5796" s="85" ph="1"/>
    </row>
    <row r="5797" spans="20:20" ht="26.25">
      <c r="T5797" s="85" ph="1"/>
    </row>
    <row r="5798" spans="20:20" ht="26.25">
      <c r="T5798" s="85" ph="1"/>
    </row>
    <row r="5799" spans="20:20" ht="26.25">
      <c r="T5799" s="85" ph="1"/>
    </row>
    <row r="5800" spans="20:20" ht="26.25">
      <c r="T5800" s="85" ph="1"/>
    </row>
    <row r="5801" spans="20:20" ht="26.25">
      <c r="T5801" s="85" ph="1"/>
    </row>
    <row r="5802" spans="20:20" ht="26.25">
      <c r="T5802" s="85" ph="1"/>
    </row>
    <row r="5803" spans="20:20" ht="26.25">
      <c r="T5803" s="85" ph="1"/>
    </row>
    <row r="5804" spans="20:20" ht="26.25">
      <c r="T5804" s="85" ph="1"/>
    </row>
    <row r="5805" spans="20:20" ht="26.25">
      <c r="T5805" s="85" ph="1"/>
    </row>
    <row r="5806" spans="20:20" ht="26.25">
      <c r="T5806" s="85" ph="1"/>
    </row>
    <row r="5807" spans="20:20" ht="26.25">
      <c r="T5807" s="85" ph="1"/>
    </row>
    <row r="5808" spans="20:20" ht="26.25">
      <c r="T5808" s="85" ph="1"/>
    </row>
    <row r="5809" spans="20:20" ht="26.25">
      <c r="T5809" s="85" ph="1"/>
    </row>
    <row r="5810" spans="20:20" ht="26.25">
      <c r="T5810" s="85" ph="1"/>
    </row>
    <row r="5811" spans="20:20" ht="26.25">
      <c r="T5811" s="85" ph="1"/>
    </row>
    <row r="5812" spans="20:20" ht="26.25">
      <c r="T5812" s="85" ph="1"/>
    </row>
    <row r="5813" spans="20:20" ht="26.25">
      <c r="T5813" s="85" ph="1"/>
    </row>
    <row r="5814" spans="20:20" ht="26.25">
      <c r="T5814" s="85" ph="1"/>
    </row>
    <row r="5815" spans="20:20" ht="26.25">
      <c r="T5815" s="85" ph="1"/>
    </row>
    <row r="5816" spans="20:20" ht="26.25">
      <c r="T5816" s="85" ph="1"/>
    </row>
    <row r="5817" spans="20:20" ht="26.25">
      <c r="T5817" s="85" ph="1"/>
    </row>
    <row r="5818" spans="20:20" ht="26.25">
      <c r="T5818" s="85" ph="1"/>
    </row>
    <row r="5819" spans="20:20" ht="26.25">
      <c r="T5819" s="85" ph="1"/>
    </row>
    <row r="5820" spans="20:20" ht="26.25">
      <c r="T5820" s="85" ph="1"/>
    </row>
    <row r="5821" spans="20:20" ht="26.25">
      <c r="T5821" s="85" ph="1"/>
    </row>
    <row r="5822" spans="20:20" ht="26.25">
      <c r="T5822" s="85" ph="1"/>
    </row>
    <row r="5823" spans="20:20" ht="26.25">
      <c r="T5823" s="85" ph="1"/>
    </row>
    <row r="5824" spans="20:20" ht="26.25">
      <c r="T5824" s="85" ph="1"/>
    </row>
    <row r="5825" spans="20:20" ht="26.25">
      <c r="T5825" s="85" ph="1"/>
    </row>
    <row r="5826" spans="20:20" ht="26.25">
      <c r="T5826" s="85" ph="1"/>
    </row>
    <row r="5827" spans="20:20" ht="26.25">
      <c r="T5827" s="85" ph="1"/>
    </row>
    <row r="5828" spans="20:20" ht="26.25">
      <c r="T5828" s="85" ph="1"/>
    </row>
    <row r="5829" spans="20:20" ht="26.25">
      <c r="T5829" s="85" ph="1"/>
    </row>
    <row r="5830" spans="20:20" ht="26.25">
      <c r="T5830" s="85" ph="1"/>
    </row>
    <row r="5831" spans="20:20" ht="26.25">
      <c r="T5831" s="85" ph="1"/>
    </row>
    <row r="5832" spans="20:20" ht="26.25">
      <c r="T5832" s="85" ph="1"/>
    </row>
    <row r="5833" spans="20:20" ht="26.25">
      <c r="T5833" s="85" ph="1"/>
    </row>
    <row r="5834" spans="20:20" ht="26.25">
      <c r="T5834" s="85" ph="1"/>
    </row>
    <row r="5835" spans="20:20" ht="26.25">
      <c r="T5835" s="85" ph="1"/>
    </row>
    <row r="5836" spans="20:20" ht="26.25">
      <c r="T5836" s="85" ph="1"/>
    </row>
    <row r="5837" spans="20:20" ht="26.25">
      <c r="T5837" s="85" ph="1"/>
    </row>
    <row r="5838" spans="20:20" ht="26.25">
      <c r="T5838" s="85" ph="1"/>
    </row>
    <row r="5839" spans="20:20" ht="26.25">
      <c r="T5839" s="85" ph="1"/>
    </row>
    <row r="5840" spans="20:20" ht="26.25">
      <c r="T5840" s="85" ph="1"/>
    </row>
    <row r="5841" spans="20:20" ht="26.25">
      <c r="T5841" s="85" ph="1"/>
    </row>
    <row r="5842" spans="20:20" ht="26.25">
      <c r="T5842" s="85" ph="1"/>
    </row>
    <row r="5843" spans="20:20" ht="26.25">
      <c r="T5843" s="85" ph="1"/>
    </row>
    <row r="5844" spans="20:20" ht="26.25">
      <c r="T5844" s="85" ph="1"/>
    </row>
    <row r="5845" spans="20:20" ht="26.25">
      <c r="T5845" s="85" ph="1"/>
    </row>
    <row r="5846" spans="20:20" ht="26.25">
      <c r="T5846" s="85" ph="1"/>
    </row>
    <row r="5847" spans="20:20" ht="26.25">
      <c r="T5847" s="85" ph="1"/>
    </row>
    <row r="5848" spans="20:20" ht="26.25">
      <c r="T5848" s="85" ph="1"/>
    </row>
    <row r="5849" spans="20:20" ht="26.25">
      <c r="T5849" s="85" ph="1"/>
    </row>
    <row r="5850" spans="20:20" ht="26.25">
      <c r="T5850" s="85" ph="1"/>
    </row>
    <row r="5851" spans="20:20" ht="26.25">
      <c r="T5851" s="85" ph="1"/>
    </row>
    <row r="5852" spans="20:20" ht="26.25">
      <c r="T5852" s="85" ph="1"/>
    </row>
    <row r="5853" spans="20:20" ht="26.25">
      <c r="T5853" s="85" ph="1"/>
    </row>
    <row r="5854" spans="20:20" ht="26.25">
      <c r="T5854" s="85" ph="1"/>
    </row>
    <row r="5855" spans="20:20" ht="26.25">
      <c r="T5855" s="85" ph="1"/>
    </row>
    <row r="5856" spans="20:20" ht="26.25">
      <c r="T5856" s="85" ph="1"/>
    </row>
    <row r="5857" spans="20:20" ht="26.25">
      <c r="T5857" s="85" ph="1"/>
    </row>
    <row r="5858" spans="20:20" ht="26.25">
      <c r="T5858" s="85" ph="1"/>
    </row>
    <row r="5859" spans="20:20" ht="26.25">
      <c r="T5859" s="85" ph="1"/>
    </row>
    <row r="5860" spans="20:20" ht="26.25">
      <c r="T5860" s="85" ph="1"/>
    </row>
    <row r="5861" spans="20:20" ht="26.25">
      <c r="T5861" s="85" ph="1"/>
    </row>
    <row r="5862" spans="20:20" ht="26.25">
      <c r="T5862" s="85" ph="1"/>
    </row>
    <row r="5863" spans="20:20" ht="26.25">
      <c r="T5863" s="85" ph="1"/>
    </row>
    <row r="5864" spans="20:20" ht="26.25">
      <c r="T5864" s="85" ph="1"/>
    </row>
    <row r="5865" spans="20:20" ht="26.25">
      <c r="T5865" s="85" ph="1"/>
    </row>
    <row r="5866" spans="20:20" ht="26.25">
      <c r="T5866" s="85" ph="1"/>
    </row>
    <row r="5867" spans="20:20" ht="26.25">
      <c r="T5867" s="85" ph="1"/>
    </row>
    <row r="5868" spans="20:20" ht="26.25">
      <c r="T5868" s="85" ph="1"/>
    </row>
    <row r="5869" spans="20:20" ht="26.25">
      <c r="T5869" s="85" ph="1"/>
    </row>
    <row r="5870" spans="20:20" ht="26.25">
      <c r="T5870" s="85" ph="1"/>
    </row>
    <row r="5871" spans="20:20" ht="26.25">
      <c r="T5871" s="85" ph="1"/>
    </row>
    <row r="5872" spans="20:20" ht="26.25">
      <c r="T5872" s="85" ph="1"/>
    </row>
    <row r="5873" spans="20:20" ht="26.25">
      <c r="T5873" s="85" ph="1"/>
    </row>
    <row r="5874" spans="20:20" ht="26.25">
      <c r="T5874" s="85" ph="1"/>
    </row>
    <row r="5875" spans="20:20" ht="26.25">
      <c r="T5875" s="85" ph="1"/>
    </row>
    <row r="5876" spans="20:20" ht="26.25">
      <c r="T5876" s="85" ph="1"/>
    </row>
    <row r="5877" spans="20:20" ht="26.25">
      <c r="T5877" s="85" ph="1"/>
    </row>
    <row r="5878" spans="20:20" ht="26.25">
      <c r="T5878" s="85" ph="1"/>
    </row>
    <row r="5879" spans="20:20" ht="26.25">
      <c r="T5879" s="85" ph="1"/>
    </row>
    <row r="5880" spans="20:20" ht="26.25">
      <c r="T5880" s="85" ph="1"/>
    </row>
    <row r="5881" spans="20:20" ht="26.25">
      <c r="T5881" s="85" ph="1"/>
    </row>
    <row r="5882" spans="20:20" ht="26.25">
      <c r="T5882" s="85" ph="1"/>
    </row>
    <row r="5883" spans="20:20" ht="26.25">
      <c r="T5883" s="85" ph="1"/>
    </row>
    <row r="5884" spans="20:20" ht="26.25">
      <c r="T5884" s="85" ph="1"/>
    </row>
    <row r="5885" spans="20:20" ht="26.25">
      <c r="T5885" s="85" ph="1"/>
    </row>
    <row r="5886" spans="20:20" ht="26.25">
      <c r="T5886" s="85" ph="1"/>
    </row>
    <row r="5887" spans="20:20" ht="26.25">
      <c r="T5887" s="85" ph="1"/>
    </row>
    <row r="5888" spans="20:20" ht="26.25">
      <c r="T5888" s="85" ph="1"/>
    </row>
    <row r="5889" spans="20:20" ht="26.25">
      <c r="T5889" s="85" ph="1"/>
    </row>
    <row r="5890" spans="20:20" ht="26.25">
      <c r="T5890" s="85" ph="1"/>
    </row>
    <row r="5891" spans="20:20" ht="26.25">
      <c r="T5891" s="85" ph="1"/>
    </row>
    <row r="5892" spans="20:20" ht="26.25">
      <c r="T5892" s="85" ph="1"/>
    </row>
    <row r="5893" spans="20:20" ht="26.25">
      <c r="T5893" s="85" ph="1"/>
    </row>
    <row r="5894" spans="20:20" ht="26.25">
      <c r="T5894" s="85" ph="1"/>
    </row>
    <row r="5895" spans="20:20" ht="26.25">
      <c r="T5895" s="85" ph="1"/>
    </row>
    <row r="5896" spans="20:20" ht="26.25">
      <c r="T5896" s="85" ph="1"/>
    </row>
    <row r="5897" spans="20:20" ht="26.25">
      <c r="T5897" s="85" ph="1"/>
    </row>
    <row r="5898" spans="20:20" ht="26.25">
      <c r="T5898" s="85" ph="1"/>
    </row>
    <row r="5899" spans="20:20" ht="26.25">
      <c r="T5899" s="85" ph="1"/>
    </row>
    <row r="5900" spans="20:20" ht="26.25">
      <c r="T5900" s="85" ph="1"/>
    </row>
    <row r="5901" spans="20:20" ht="26.25">
      <c r="T5901" s="85" ph="1"/>
    </row>
    <row r="5902" spans="20:20" ht="26.25">
      <c r="T5902" s="85" ph="1"/>
    </row>
    <row r="5903" spans="20:20" ht="26.25">
      <c r="T5903" s="85" ph="1"/>
    </row>
    <row r="5904" spans="20:20" ht="26.25">
      <c r="T5904" s="85" ph="1"/>
    </row>
    <row r="5905" spans="20:20" ht="26.25">
      <c r="T5905" s="85" ph="1"/>
    </row>
    <row r="5906" spans="20:20" ht="26.25">
      <c r="T5906" s="85" ph="1"/>
    </row>
    <row r="5907" spans="20:20" ht="26.25">
      <c r="T5907" s="85" ph="1"/>
    </row>
    <row r="5908" spans="20:20" ht="26.25">
      <c r="T5908" s="85" ph="1"/>
    </row>
    <row r="5909" spans="20:20" ht="26.25">
      <c r="T5909" s="85" ph="1"/>
    </row>
    <row r="5910" spans="20:20" ht="26.25">
      <c r="T5910" s="85" ph="1"/>
    </row>
    <row r="5911" spans="20:20" ht="26.25">
      <c r="T5911" s="85" ph="1"/>
    </row>
    <row r="5912" spans="20:20" ht="26.25">
      <c r="T5912" s="85" ph="1"/>
    </row>
    <row r="5913" spans="20:20" ht="26.25">
      <c r="T5913" s="85" ph="1"/>
    </row>
    <row r="5914" spans="20:20" ht="26.25">
      <c r="T5914" s="85" ph="1"/>
    </row>
    <row r="5915" spans="20:20" ht="26.25">
      <c r="T5915" s="85" ph="1"/>
    </row>
    <row r="5916" spans="20:20" ht="26.25">
      <c r="T5916" s="85" ph="1"/>
    </row>
    <row r="5917" spans="20:20" ht="26.25">
      <c r="T5917" s="85" ph="1"/>
    </row>
    <row r="5918" spans="20:20" ht="26.25">
      <c r="T5918" s="85" ph="1"/>
    </row>
    <row r="5919" spans="20:20" ht="26.25">
      <c r="T5919" s="85" ph="1"/>
    </row>
    <row r="5920" spans="20:20" ht="26.25">
      <c r="T5920" s="85" ph="1"/>
    </row>
    <row r="5921" spans="20:20" ht="26.25">
      <c r="T5921" s="85" ph="1"/>
    </row>
    <row r="5922" spans="20:20" ht="26.25">
      <c r="T5922" s="85" ph="1"/>
    </row>
    <row r="5923" spans="20:20" ht="26.25">
      <c r="T5923" s="85" ph="1"/>
    </row>
    <row r="5924" spans="20:20" ht="26.25">
      <c r="T5924" s="85" ph="1"/>
    </row>
    <row r="5925" spans="20:20" ht="26.25">
      <c r="T5925" s="85" ph="1"/>
    </row>
    <row r="5926" spans="20:20" ht="26.25">
      <c r="T5926" s="85" ph="1"/>
    </row>
    <row r="5927" spans="20:20" ht="26.25">
      <c r="T5927" s="85" ph="1"/>
    </row>
    <row r="5928" spans="20:20" ht="26.25">
      <c r="T5928" s="85" ph="1"/>
    </row>
    <row r="5929" spans="20:20" ht="26.25">
      <c r="T5929" s="85" ph="1"/>
    </row>
    <row r="5930" spans="20:20" ht="26.25">
      <c r="T5930" s="85" ph="1"/>
    </row>
    <row r="5931" spans="20:20" ht="26.25">
      <c r="T5931" s="85" ph="1"/>
    </row>
    <row r="5932" spans="20:20" ht="26.25">
      <c r="T5932" s="85" ph="1"/>
    </row>
    <row r="5933" spans="20:20" ht="26.25">
      <c r="T5933" s="85" ph="1"/>
    </row>
    <row r="5934" spans="20:20" ht="26.25">
      <c r="T5934" s="85" ph="1"/>
    </row>
    <row r="5935" spans="20:20" ht="26.25">
      <c r="T5935" s="85" ph="1"/>
    </row>
    <row r="5936" spans="20:20" ht="26.25">
      <c r="T5936" s="85" ph="1"/>
    </row>
    <row r="5937" spans="20:20" ht="26.25">
      <c r="T5937" s="85" ph="1"/>
    </row>
    <row r="5938" spans="20:20" ht="26.25">
      <c r="T5938" s="85" ph="1"/>
    </row>
    <row r="5939" spans="20:20" ht="26.25">
      <c r="T5939" s="85" ph="1"/>
    </row>
    <row r="5940" spans="20:20" ht="26.25">
      <c r="T5940" s="85" ph="1"/>
    </row>
    <row r="5941" spans="20:20" ht="26.25">
      <c r="T5941" s="85" ph="1"/>
    </row>
    <row r="5942" spans="20:20" ht="26.25">
      <c r="T5942" s="85" ph="1"/>
    </row>
    <row r="5943" spans="20:20" ht="26.25">
      <c r="T5943" s="85" ph="1"/>
    </row>
    <row r="5944" spans="20:20" ht="26.25">
      <c r="T5944" s="85" ph="1"/>
    </row>
    <row r="5945" spans="20:20" ht="26.25">
      <c r="T5945" s="85" ph="1"/>
    </row>
    <row r="5946" spans="20:20" ht="26.25">
      <c r="T5946" s="85" ph="1"/>
    </row>
    <row r="5947" spans="20:20" ht="26.25">
      <c r="T5947" s="85" ph="1"/>
    </row>
    <row r="5948" spans="20:20" ht="26.25">
      <c r="T5948" s="85" ph="1"/>
    </row>
    <row r="5949" spans="20:20" ht="26.25">
      <c r="T5949" s="85" ph="1"/>
    </row>
    <row r="5950" spans="20:20" ht="26.25">
      <c r="T5950" s="85" ph="1"/>
    </row>
    <row r="5951" spans="20:20" ht="26.25">
      <c r="T5951" s="85" ph="1"/>
    </row>
    <row r="5952" spans="20:20" ht="26.25">
      <c r="T5952" s="85" ph="1"/>
    </row>
    <row r="5953" spans="20:20" ht="26.25">
      <c r="T5953" s="85" ph="1"/>
    </row>
    <row r="5954" spans="20:20" ht="26.25">
      <c r="T5954" s="85" ph="1"/>
    </row>
    <row r="5955" spans="20:20" ht="26.25">
      <c r="T5955" s="85" ph="1"/>
    </row>
    <row r="5956" spans="20:20" ht="26.25">
      <c r="T5956" s="85" ph="1"/>
    </row>
    <row r="5957" spans="20:20" ht="26.25">
      <c r="T5957" s="85" ph="1"/>
    </row>
    <row r="5958" spans="20:20" ht="26.25">
      <c r="T5958" s="85" ph="1"/>
    </row>
    <row r="5959" spans="20:20" ht="26.25">
      <c r="T5959" s="85" ph="1"/>
    </row>
    <row r="5960" spans="20:20" ht="26.25">
      <c r="T5960" s="85" ph="1"/>
    </row>
    <row r="5961" spans="20:20" ht="26.25">
      <c r="T5961" s="85" ph="1"/>
    </row>
    <row r="5962" spans="20:20" ht="26.25">
      <c r="T5962" s="85" ph="1"/>
    </row>
    <row r="5963" spans="20:20" ht="26.25">
      <c r="T5963" s="85" ph="1"/>
    </row>
    <row r="5964" spans="20:20" ht="26.25">
      <c r="T5964" s="85" ph="1"/>
    </row>
    <row r="5965" spans="20:20" ht="26.25">
      <c r="T5965" s="85" ph="1"/>
    </row>
    <row r="5966" spans="20:20" ht="26.25">
      <c r="T5966" s="85" ph="1"/>
    </row>
    <row r="5967" spans="20:20" ht="26.25">
      <c r="T5967" s="85" ph="1"/>
    </row>
    <row r="5968" spans="20:20" ht="26.25">
      <c r="T5968" s="85" ph="1"/>
    </row>
    <row r="5969" spans="20:20" ht="26.25">
      <c r="T5969" s="85" ph="1"/>
    </row>
    <row r="5970" spans="20:20" ht="26.25">
      <c r="T5970" s="85" ph="1"/>
    </row>
    <row r="5971" spans="20:20" ht="26.25">
      <c r="T5971" s="85" ph="1"/>
    </row>
    <row r="5972" spans="20:20" ht="26.25">
      <c r="T5972" s="85" ph="1"/>
    </row>
    <row r="5973" spans="20:20" ht="26.25">
      <c r="T5973" s="85" ph="1"/>
    </row>
    <row r="5974" spans="20:20" ht="26.25">
      <c r="T5974" s="85" ph="1"/>
    </row>
    <row r="5975" spans="20:20" ht="26.25">
      <c r="T5975" s="85" ph="1"/>
    </row>
    <row r="5976" spans="20:20" ht="26.25">
      <c r="T5976" s="85" ph="1"/>
    </row>
    <row r="5977" spans="20:20" ht="26.25">
      <c r="T5977" s="85" ph="1"/>
    </row>
    <row r="5978" spans="20:20" ht="26.25">
      <c r="T5978" s="85" ph="1"/>
    </row>
    <row r="5979" spans="20:20" ht="26.25">
      <c r="T5979" s="85" ph="1"/>
    </row>
    <row r="5980" spans="20:20" ht="26.25">
      <c r="T5980" s="85" ph="1"/>
    </row>
    <row r="5981" spans="20:20" ht="26.25">
      <c r="T5981" s="85" ph="1"/>
    </row>
    <row r="5982" spans="20:20" ht="26.25">
      <c r="T5982" s="85" ph="1"/>
    </row>
    <row r="5983" spans="20:20" ht="26.25">
      <c r="T5983" s="85" ph="1"/>
    </row>
    <row r="5984" spans="20:20" ht="26.25">
      <c r="T5984" s="85" ph="1"/>
    </row>
    <row r="5985" spans="20:20" ht="26.25">
      <c r="T5985" s="85" ph="1"/>
    </row>
    <row r="5986" spans="20:20" ht="26.25">
      <c r="T5986" s="85" ph="1"/>
    </row>
    <row r="5987" spans="20:20" ht="26.25">
      <c r="T5987" s="85" ph="1"/>
    </row>
    <row r="5988" spans="20:20" ht="26.25">
      <c r="T5988" s="85" ph="1"/>
    </row>
    <row r="5989" spans="20:20" ht="26.25">
      <c r="T5989" s="85" ph="1"/>
    </row>
    <row r="5990" spans="20:20" ht="26.25">
      <c r="T5990" s="85" ph="1"/>
    </row>
    <row r="5991" spans="20:20" ht="26.25">
      <c r="T5991" s="85" ph="1"/>
    </row>
    <row r="5992" spans="20:20" ht="26.25">
      <c r="T5992" s="85" ph="1"/>
    </row>
    <row r="5993" spans="20:20" ht="26.25">
      <c r="T5993" s="85" ph="1"/>
    </row>
    <row r="5994" spans="20:20" ht="26.25">
      <c r="T5994" s="85" ph="1"/>
    </row>
    <row r="5995" spans="20:20" ht="26.25">
      <c r="T5995" s="85" ph="1"/>
    </row>
    <row r="5996" spans="20:20" ht="26.25">
      <c r="T5996" s="85" ph="1"/>
    </row>
    <row r="5997" spans="20:20" ht="26.25">
      <c r="T5997" s="85" ph="1"/>
    </row>
    <row r="5998" spans="20:20" ht="26.25">
      <c r="T5998" s="85" ph="1"/>
    </row>
    <row r="5999" spans="20:20" ht="26.25">
      <c r="T5999" s="85" ph="1"/>
    </row>
    <row r="6000" spans="20:20" ht="26.25">
      <c r="T6000" s="85" ph="1"/>
    </row>
    <row r="6001" spans="20:20" ht="26.25">
      <c r="T6001" s="85" ph="1"/>
    </row>
    <row r="6002" spans="20:20" ht="26.25">
      <c r="T6002" s="85" ph="1"/>
    </row>
    <row r="6003" spans="20:20" ht="26.25">
      <c r="T6003" s="85" ph="1"/>
    </row>
    <row r="6004" spans="20:20" ht="26.25">
      <c r="T6004" s="85" ph="1"/>
    </row>
    <row r="6005" spans="20:20" ht="26.25">
      <c r="T6005" s="85" ph="1"/>
    </row>
    <row r="6006" spans="20:20" ht="26.25">
      <c r="T6006" s="85" ph="1"/>
    </row>
    <row r="6007" spans="20:20" ht="26.25">
      <c r="T6007" s="85" ph="1"/>
    </row>
    <row r="6008" spans="20:20" ht="26.25">
      <c r="T6008" s="85" ph="1"/>
    </row>
    <row r="6009" spans="20:20" ht="26.25">
      <c r="T6009" s="85" ph="1"/>
    </row>
    <row r="6010" spans="20:20" ht="26.25">
      <c r="T6010" s="85" ph="1"/>
    </row>
    <row r="6011" spans="20:20" ht="26.25">
      <c r="T6011" s="85" ph="1"/>
    </row>
    <row r="6012" spans="20:20" ht="26.25">
      <c r="T6012" s="85" ph="1"/>
    </row>
    <row r="6013" spans="20:20" ht="26.25">
      <c r="T6013" s="85" ph="1"/>
    </row>
    <row r="6014" spans="20:20" ht="26.25">
      <c r="T6014" s="85" ph="1"/>
    </row>
    <row r="6015" spans="20:20" ht="26.25">
      <c r="T6015" s="85" ph="1"/>
    </row>
    <row r="6016" spans="20:20" ht="26.25">
      <c r="T6016" s="85" ph="1"/>
    </row>
    <row r="6017" spans="20:20" ht="26.25">
      <c r="T6017" s="85" ph="1"/>
    </row>
    <row r="6018" spans="20:20" ht="26.25">
      <c r="T6018" s="85" ph="1"/>
    </row>
    <row r="6019" spans="20:20" ht="26.25">
      <c r="T6019" s="85" ph="1"/>
    </row>
    <row r="6020" spans="20:20" ht="26.25">
      <c r="T6020" s="85" ph="1"/>
    </row>
    <row r="6021" spans="20:20" ht="26.25">
      <c r="T6021" s="85" ph="1"/>
    </row>
    <row r="6022" spans="20:20" ht="26.25">
      <c r="T6022" s="85" ph="1"/>
    </row>
    <row r="6023" spans="20:20" ht="26.25">
      <c r="T6023" s="85" ph="1"/>
    </row>
    <row r="6024" spans="20:20" ht="26.25">
      <c r="T6024" s="85" ph="1"/>
    </row>
    <row r="6025" spans="20:20" ht="26.25">
      <c r="T6025" s="85" ph="1"/>
    </row>
    <row r="6026" spans="20:20" ht="26.25">
      <c r="T6026" s="85" ph="1"/>
    </row>
    <row r="6027" spans="20:20" ht="26.25">
      <c r="T6027" s="85" ph="1"/>
    </row>
    <row r="6028" spans="20:20" ht="26.25">
      <c r="T6028" s="85" ph="1"/>
    </row>
    <row r="6029" spans="20:20" ht="26.25">
      <c r="T6029" s="85" ph="1"/>
    </row>
    <row r="6030" spans="20:20" ht="26.25">
      <c r="T6030" s="85" ph="1"/>
    </row>
    <row r="6031" spans="20:20" ht="26.25">
      <c r="T6031" s="85" ph="1"/>
    </row>
    <row r="6032" spans="20:20" ht="26.25">
      <c r="T6032" s="85" ph="1"/>
    </row>
    <row r="6033" spans="20:20" ht="26.25">
      <c r="T6033" s="85" ph="1"/>
    </row>
    <row r="6034" spans="20:20" ht="26.25">
      <c r="T6034" s="85" ph="1"/>
    </row>
    <row r="6035" spans="20:20" ht="26.25">
      <c r="T6035" s="85" ph="1"/>
    </row>
    <row r="6036" spans="20:20" ht="26.25">
      <c r="T6036" s="85" ph="1"/>
    </row>
    <row r="6037" spans="20:20" ht="26.25">
      <c r="T6037" s="85" ph="1"/>
    </row>
    <row r="6038" spans="20:20" ht="26.25">
      <c r="T6038" s="85" ph="1"/>
    </row>
    <row r="6039" spans="20:20" ht="26.25">
      <c r="T6039" s="85" ph="1"/>
    </row>
    <row r="6040" spans="20:20" ht="26.25">
      <c r="T6040" s="85" ph="1"/>
    </row>
    <row r="6041" spans="20:20" ht="26.25">
      <c r="T6041" s="85" ph="1"/>
    </row>
    <row r="6042" spans="20:20" ht="26.25">
      <c r="T6042" s="85" ph="1"/>
    </row>
    <row r="6043" spans="20:20" ht="26.25">
      <c r="T6043" s="85" ph="1"/>
    </row>
    <row r="6044" spans="20:20" ht="26.25">
      <c r="T6044" s="85" ph="1"/>
    </row>
    <row r="6045" spans="20:20" ht="26.25">
      <c r="T6045" s="85" ph="1"/>
    </row>
    <row r="6046" spans="20:20" ht="26.25">
      <c r="T6046" s="85" ph="1"/>
    </row>
    <row r="6047" spans="20:20" ht="26.25">
      <c r="T6047" s="85" ph="1"/>
    </row>
    <row r="6048" spans="20:20" ht="26.25">
      <c r="T6048" s="85" ph="1"/>
    </row>
    <row r="6049" spans="20:20" ht="26.25">
      <c r="T6049" s="85" ph="1"/>
    </row>
    <row r="6050" spans="20:20" ht="26.25">
      <c r="T6050" s="85" ph="1"/>
    </row>
    <row r="6051" spans="20:20" ht="26.25">
      <c r="T6051" s="85" ph="1"/>
    </row>
    <row r="6052" spans="20:20" ht="26.25">
      <c r="T6052" s="85" ph="1"/>
    </row>
    <row r="6053" spans="20:20" ht="26.25">
      <c r="T6053" s="85" ph="1"/>
    </row>
    <row r="6054" spans="20:20" ht="26.25">
      <c r="T6054" s="85" ph="1"/>
    </row>
    <row r="6055" spans="20:20" ht="26.25">
      <c r="T6055" s="85" ph="1"/>
    </row>
    <row r="6056" spans="20:20" ht="26.25">
      <c r="T6056" s="85" ph="1"/>
    </row>
    <row r="6057" spans="20:20" ht="26.25">
      <c r="T6057" s="85" ph="1"/>
    </row>
    <row r="6058" spans="20:20" ht="26.25">
      <c r="T6058" s="85" ph="1"/>
    </row>
    <row r="6059" spans="20:20" ht="26.25">
      <c r="T6059" s="85" ph="1"/>
    </row>
    <row r="6060" spans="20:20" ht="26.25">
      <c r="T6060" s="85" ph="1"/>
    </row>
    <row r="6061" spans="20:20" ht="26.25">
      <c r="T6061" s="85" ph="1"/>
    </row>
    <row r="6062" spans="20:20" ht="26.25">
      <c r="T6062" s="85" ph="1"/>
    </row>
    <row r="6063" spans="20:20" ht="26.25">
      <c r="T6063" s="85" ph="1"/>
    </row>
    <row r="6064" spans="20:20" ht="26.25">
      <c r="T6064" s="85" ph="1"/>
    </row>
    <row r="6065" spans="20:20" ht="26.25">
      <c r="T6065" s="85" ph="1"/>
    </row>
    <row r="6066" spans="20:20" ht="26.25">
      <c r="T6066" s="85" ph="1"/>
    </row>
    <row r="6067" spans="20:20" ht="26.25">
      <c r="T6067" s="85" ph="1"/>
    </row>
    <row r="6068" spans="20:20" ht="26.25">
      <c r="T6068" s="85" ph="1"/>
    </row>
    <row r="6069" spans="20:20" ht="26.25">
      <c r="T6069" s="85" ph="1"/>
    </row>
    <row r="6070" spans="20:20" ht="26.25">
      <c r="T6070" s="85" ph="1"/>
    </row>
    <row r="6071" spans="20:20" ht="26.25">
      <c r="T6071" s="85" ph="1"/>
    </row>
    <row r="6072" spans="20:20" ht="26.25">
      <c r="T6072" s="85" ph="1"/>
    </row>
    <row r="6073" spans="20:20" ht="26.25">
      <c r="T6073" s="85" ph="1"/>
    </row>
    <row r="6074" spans="20:20" ht="26.25">
      <c r="T6074" s="85" ph="1"/>
    </row>
    <row r="6075" spans="20:20" ht="26.25">
      <c r="T6075" s="85" ph="1"/>
    </row>
    <row r="6076" spans="20:20" ht="26.25">
      <c r="T6076" s="85" ph="1"/>
    </row>
    <row r="6077" spans="20:20" ht="26.25">
      <c r="T6077" s="85" ph="1"/>
    </row>
    <row r="6078" spans="20:20" ht="26.25">
      <c r="T6078" s="85" ph="1"/>
    </row>
    <row r="6079" spans="20:20" ht="26.25">
      <c r="T6079" s="85" ph="1"/>
    </row>
    <row r="6080" spans="20:20" ht="26.25">
      <c r="T6080" s="85" ph="1"/>
    </row>
    <row r="6081" spans="20:20" ht="26.25">
      <c r="T6081" s="85" ph="1"/>
    </row>
    <row r="6082" spans="20:20" ht="26.25">
      <c r="T6082" s="85" ph="1"/>
    </row>
    <row r="6083" spans="20:20" ht="26.25">
      <c r="T6083" s="85" ph="1"/>
    </row>
    <row r="6084" spans="20:20" ht="26.25">
      <c r="T6084" s="85" ph="1"/>
    </row>
    <row r="6085" spans="20:20" ht="26.25">
      <c r="T6085" s="85" ph="1"/>
    </row>
    <row r="6086" spans="20:20" ht="26.25">
      <c r="T6086" s="85" ph="1"/>
    </row>
    <row r="6087" spans="20:20" ht="26.25">
      <c r="T6087" s="85" ph="1"/>
    </row>
    <row r="6088" spans="20:20" ht="26.25">
      <c r="T6088" s="85" ph="1"/>
    </row>
    <row r="6089" spans="20:20" ht="26.25">
      <c r="T6089" s="85" ph="1"/>
    </row>
    <row r="6090" spans="20:20" ht="26.25">
      <c r="T6090" s="85" ph="1"/>
    </row>
    <row r="6091" spans="20:20" ht="26.25">
      <c r="T6091" s="85" ph="1"/>
    </row>
    <row r="6092" spans="20:20" ht="26.25">
      <c r="T6092" s="85" ph="1"/>
    </row>
    <row r="6093" spans="20:20" ht="26.25">
      <c r="T6093" s="85" ph="1"/>
    </row>
    <row r="6094" spans="20:20" ht="26.25">
      <c r="T6094" s="85" ph="1"/>
    </row>
    <row r="6095" spans="20:20" ht="26.25">
      <c r="T6095" s="85" ph="1"/>
    </row>
    <row r="6096" spans="20:20" ht="26.25">
      <c r="T6096" s="85" ph="1"/>
    </row>
    <row r="6097" spans="20:20" ht="26.25">
      <c r="T6097" s="85" ph="1"/>
    </row>
    <row r="6098" spans="20:20" ht="26.25">
      <c r="T6098" s="85" ph="1"/>
    </row>
    <row r="6099" spans="20:20" ht="26.25">
      <c r="T6099" s="85" ph="1"/>
    </row>
    <row r="6100" spans="20:20" ht="26.25">
      <c r="T6100" s="85" ph="1"/>
    </row>
    <row r="6101" spans="20:20" ht="26.25">
      <c r="T6101" s="85" ph="1"/>
    </row>
    <row r="6102" spans="20:20" ht="26.25">
      <c r="T6102" s="85" ph="1"/>
    </row>
    <row r="6103" spans="20:20" ht="26.25">
      <c r="T6103" s="85" ph="1"/>
    </row>
    <row r="6104" spans="20:20" ht="26.25">
      <c r="T6104" s="85" ph="1"/>
    </row>
    <row r="6105" spans="20:20" ht="26.25">
      <c r="T6105" s="85" ph="1"/>
    </row>
    <row r="6106" spans="20:20" ht="26.25">
      <c r="T6106" s="85" ph="1"/>
    </row>
    <row r="6107" spans="20:20" ht="26.25">
      <c r="T6107" s="85" ph="1"/>
    </row>
    <row r="6108" spans="20:20" ht="26.25">
      <c r="T6108" s="85" ph="1"/>
    </row>
    <row r="6109" spans="20:20" ht="26.25">
      <c r="T6109" s="85" ph="1"/>
    </row>
    <row r="6110" spans="20:20" ht="26.25">
      <c r="T6110" s="85" ph="1"/>
    </row>
    <row r="6111" spans="20:20" ht="26.25">
      <c r="T6111" s="85" ph="1"/>
    </row>
    <row r="6112" spans="20:20" ht="26.25">
      <c r="T6112" s="85" ph="1"/>
    </row>
    <row r="6113" spans="20:20" ht="26.25">
      <c r="T6113" s="85" ph="1"/>
    </row>
    <row r="6114" spans="20:20" ht="26.25">
      <c r="T6114" s="85" ph="1"/>
    </row>
    <row r="6115" spans="20:20" ht="26.25">
      <c r="T6115" s="85" ph="1"/>
    </row>
    <row r="6116" spans="20:20" ht="26.25">
      <c r="T6116" s="85" ph="1"/>
    </row>
    <row r="6117" spans="20:20" ht="26.25">
      <c r="T6117" s="85" ph="1"/>
    </row>
    <row r="6118" spans="20:20" ht="26.25">
      <c r="T6118" s="85" ph="1"/>
    </row>
    <row r="6119" spans="20:20" ht="26.25">
      <c r="T6119" s="85" ph="1"/>
    </row>
    <row r="6120" spans="20:20" ht="26.25">
      <c r="T6120" s="85" ph="1"/>
    </row>
    <row r="6121" spans="20:20" ht="26.25">
      <c r="T6121" s="85" ph="1"/>
    </row>
    <row r="6122" spans="20:20" ht="26.25">
      <c r="T6122" s="85" ph="1"/>
    </row>
    <row r="6123" spans="20:20" ht="26.25">
      <c r="T6123" s="85" ph="1"/>
    </row>
    <row r="6124" spans="20:20" ht="26.25">
      <c r="T6124" s="85" ph="1"/>
    </row>
    <row r="6125" spans="20:20" ht="26.25">
      <c r="T6125" s="85" ph="1"/>
    </row>
    <row r="6126" spans="20:20" ht="26.25">
      <c r="T6126" s="85" ph="1"/>
    </row>
    <row r="6127" spans="20:20" ht="26.25">
      <c r="T6127" s="85" ph="1"/>
    </row>
    <row r="6128" spans="20:20" ht="26.25">
      <c r="T6128" s="85" ph="1"/>
    </row>
    <row r="6129" spans="20:20" ht="26.25">
      <c r="T6129" s="85" ph="1"/>
    </row>
    <row r="6130" spans="20:20" ht="26.25">
      <c r="T6130" s="85" ph="1"/>
    </row>
    <row r="6131" spans="20:20" ht="26.25">
      <c r="T6131" s="85" ph="1"/>
    </row>
    <row r="6132" spans="20:20" ht="26.25">
      <c r="T6132" s="85" ph="1"/>
    </row>
    <row r="6133" spans="20:20" ht="26.25">
      <c r="T6133" s="85" ph="1"/>
    </row>
    <row r="6134" spans="20:20" ht="26.25">
      <c r="T6134" s="85" ph="1"/>
    </row>
    <row r="6135" spans="20:20" ht="26.25">
      <c r="T6135" s="85" ph="1"/>
    </row>
    <row r="6136" spans="20:20" ht="26.25">
      <c r="T6136" s="85" ph="1"/>
    </row>
    <row r="6137" spans="20:20" ht="26.25">
      <c r="T6137" s="85" ph="1"/>
    </row>
    <row r="6138" spans="20:20" ht="26.25">
      <c r="T6138" s="85" ph="1"/>
    </row>
    <row r="6139" spans="20:20" ht="26.25">
      <c r="T6139" s="85" ph="1"/>
    </row>
    <row r="6140" spans="20:20" ht="26.25">
      <c r="T6140" s="85" ph="1"/>
    </row>
    <row r="6141" spans="20:20" ht="26.25">
      <c r="T6141" s="85" ph="1"/>
    </row>
    <row r="6142" spans="20:20" ht="26.25">
      <c r="T6142" s="85" ph="1"/>
    </row>
    <row r="6143" spans="20:20" ht="26.25">
      <c r="T6143" s="85" ph="1"/>
    </row>
    <row r="6144" spans="20:20" ht="26.25">
      <c r="T6144" s="85" ph="1"/>
    </row>
    <row r="6145" spans="20:20" ht="26.25">
      <c r="T6145" s="85" ph="1"/>
    </row>
    <row r="6146" spans="20:20" ht="26.25">
      <c r="T6146" s="85" ph="1"/>
    </row>
    <row r="6147" spans="20:20" ht="26.25">
      <c r="T6147" s="85" ph="1"/>
    </row>
    <row r="6148" spans="20:20" ht="26.25">
      <c r="T6148" s="85" ph="1"/>
    </row>
    <row r="6149" spans="20:20" ht="26.25">
      <c r="T6149" s="85" ph="1"/>
    </row>
    <row r="6150" spans="20:20" ht="26.25">
      <c r="T6150" s="85" ph="1"/>
    </row>
    <row r="6151" spans="20:20" ht="26.25">
      <c r="T6151" s="85" ph="1"/>
    </row>
    <row r="6152" spans="20:20" ht="26.25">
      <c r="T6152" s="85" ph="1"/>
    </row>
    <row r="6153" spans="20:20" ht="26.25">
      <c r="T6153" s="85" ph="1"/>
    </row>
    <row r="6154" spans="20:20" ht="26.25">
      <c r="T6154" s="85" ph="1"/>
    </row>
    <row r="6155" spans="20:20" ht="26.25">
      <c r="T6155" s="85" ph="1"/>
    </row>
    <row r="6156" spans="20:20" ht="26.25">
      <c r="T6156" s="85" ph="1"/>
    </row>
    <row r="6157" spans="20:20" ht="26.25">
      <c r="T6157" s="85" ph="1"/>
    </row>
    <row r="6158" spans="20:20" ht="26.25">
      <c r="T6158" s="85" ph="1"/>
    </row>
    <row r="6159" spans="20:20" ht="26.25">
      <c r="T6159" s="85" ph="1"/>
    </row>
    <row r="6160" spans="20:20" ht="26.25">
      <c r="T6160" s="85" ph="1"/>
    </row>
    <row r="6161" spans="20:20" ht="26.25">
      <c r="T6161" s="85" ph="1"/>
    </row>
    <row r="6162" spans="20:20" ht="26.25">
      <c r="T6162" s="85" ph="1"/>
    </row>
    <row r="6163" spans="20:20" ht="26.25">
      <c r="T6163" s="85" ph="1"/>
    </row>
    <row r="6164" spans="20:20" ht="26.25">
      <c r="T6164" s="85" ph="1"/>
    </row>
    <row r="6165" spans="20:20" ht="26.25">
      <c r="T6165" s="85" ph="1"/>
    </row>
    <row r="6166" spans="20:20" ht="26.25">
      <c r="T6166" s="85" ph="1"/>
    </row>
    <row r="6167" spans="20:20" ht="26.25">
      <c r="T6167" s="85" ph="1"/>
    </row>
    <row r="6168" spans="20:20" ht="26.25">
      <c r="T6168" s="85" ph="1"/>
    </row>
    <row r="6169" spans="20:20" ht="26.25">
      <c r="T6169" s="85" ph="1"/>
    </row>
    <row r="6170" spans="20:20" ht="26.25">
      <c r="T6170" s="85" ph="1"/>
    </row>
    <row r="6171" spans="20:20" ht="26.25">
      <c r="T6171" s="85" ph="1"/>
    </row>
    <row r="6172" spans="20:20" ht="26.25">
      <c r="T6172" s="85" ph="1"/>
    </row>
    <row r="6173" spans="20:20" ht="26.25">
      <c r="T6173" s="85" ph="1"/>
    </row>
    <row r="6174" spans="20:20" ht="26.25">
      <c r="T6174" s="85" ph="1"/>
    </row>
    <row r="6175" spans="20:20" ht="26.25">
      <c r="T6175" s="85" ph="1"/>
    </row>
    <row r="6176" spans="20:20" ht="26.25">
      <c r="T6176" s="85" ph="1"/>
    </row>
    <row r="6177" spans="20:20" ht="26.25">
      <c r="T6177" s="85" ph="1"/>
    </row>
    <row r="6178" spans="20:20" ht="26.25">
      <c r="T6178" s="85" ph="1"/>
    </row>
    <row r="6179" spans="20:20" ht="26.25">
      <c r="T6179" s="85" ph="1"/>
    </row>
    <row r="6180" spans="20:20" ht="26.25">
      <c r="T6180" s="85" ph="1"/>
    </row>
    <row r="6181" spans="20:20" ht="26.25">
      <c r="T6181" s="85" ph="1"/>
    </row>
    <row r="6182" spans="20:20" ht="26.25">
      <c r="T6182" s="85" ph="1"/>
    </row>
    <row r="6183" spans="20:20" ht="26.25">
      <c r="T6183" s="85" ph="1"/>
    </row>
    <row r="6184" spans="20:20" ht="26.25">
      <c r="T6184" s="85" ph="1"/>
    </row>
    <row r="6185" spans="20:20" ht="26.25">
      <c r="T6185" s="85" ph="1"/>
    </row>
    <row r="6186" spans="20:20" ht="26.25">
      <c r="T6186" s="85" ph="1"/>
    </row>
    <row r="6187" spans="20:20" ht="26.25">
      <c r="T6187" s="85" ph="1"/>
    </row>
    <row r="6188" spans="20:20" ht="26.25">
      <c r="T6188" s="85" ph="1"/>
    </row>
    <row r="6189" spans="20:20" ht="26.25">
      <c r="T6189" s="85" ph="1"/>
    </row>
    <row r="6190" spans="20:20" ht="26.25">
      <c r="T6190" s="85" ph="1"/>
    </row>
    <row r="6191" spans="20:20" ht="26.25">
      <c r="T6191" s="85" ph="1"/>
    </row>
    <row r="6192" spans="20:20" ht="26.25">
      <c r="T6192" s="85" ph="1"/>
    </row>
    <row r="6193" spans="20:20" ht="26.25">
      <c r="T6193" s="85" ph="1"/>
    </row>
    <row r="6194" spans="20:20" ht="26.25">
      <c r="T6194" s="85" ph="1"/>
    </row>
    <row r="6195" spans="20:20" ht="26.25">
      <c r="T6195" s="85" ph="1"/>
    </row>
    <row r="6196" spans="20:20" ht="26.25">
      <c r="T6196" s="85" ph="1"/>
    </row>
    <row r="6197" spans="20:20" ht="26.25">
      <c r="T6197" s="85" ph="1"/>
    </row>
    <row r="6198" spans="20:20" ht="26.25">
      <c r="T6198" s="85" ph="1"/>
    </row>
    <row r="6199" spans="20:20" ht="26.25">
      <c r="T6199" s="85" ph="1"/>
    </row>
    <row r="6200" spans="20:20" ht="26.25">
      <c r="T6200" s="85" ph="1"/>
    </row>
    <row r="6201" spans="20:20" ht="26.25">
      <c r="T6201" s="85" ph="1"/>
    </row>
    <row r="6202" spans="20:20" ht="26.25">
      <c r="T6202" s="85" ph="1"/>
    </row>
    <row r="6203" spans="20:20" ht="26.25">
      <c r="T6203" s="85" ph="1"/>
    </row>
    <row r="6204" spans="20:20" ht="26.25">
      <c r="T6204" s="85" ph="1"/>
    </row>
    <row r="6205" spans="20:20" ht="26.25">
      <c r="T6205" s="85" ph="1"/>
    </row>
    <row r="6206" spans="20:20" ht="26.25">
      <c r="T6206" s="85" ph="1"/>
    </row>
    <row r="6207" spans="20:20" ht="26.25">
      <c r="T6207" s="85" ph="1"/>
    </row>
    <row r="6208" spans="20:20" ht="26.25">
      <c r="T6208" s="85" ph="1"/>
    </row>
    <row r="6209" spans="20:20" ht="26.25">
      <c r="T6209" s="85" ph="1"/>
    </row>
  </sheetData>
  <phoneticPr fontId="1" type="noConversion"/>
  <conditionalFormatting sqref="H66 O1:P1048576 R1:R1048576">
    <cfRule type="cellIs" dxfId="70" priority="314" operator="between">
      <formula>100</formula>
      <formula>1</formula>
    </cfRule>
  </conditionalFormatting>
  <conditionalFormatting sqref="Q1:Q1048576">
    <cfRule type="cellIs" dxfId="69" priority="313" operator="between">
      <formula>200</formula>
      <formula>1</formula>
    </cfRule>
  </conditionalFormatting>
  <conditionalFormatting sqref="S1:S1048576">
    <cfRule type="cellIs" dxfId="68" priority="294" operator="between">
      <formula>100</formula>
      <formula>1</formula>
    </cfRule>
  </conditionalFormatting>
  <conditionalFormatting sqref="B1:E1048576">
    <cfRule type="cellIs" dxfId="67" priority="290" operator="lessThan">
      <formula>0</formula>
    </cfRule>
  </conditionalFormatting>
  <conditionalFormatting sqref="F1:F1048576">
    <cfRule type="cellIs" dxfId="66" priority="289" operator="greaterThan">
      <formula>10</formula>
    </cfRule>
  </conditionalFormatting>
  <conditionalFormatting sqref="T1:T1048576">
    <cfRule type="cellIs" dxfId="65" priority="288" operator="greaterThanOrEqual">
      <formula>3</formula>
    </cfRule>
  </conditionalFormatting>
  <conditionalFormatting sqref="A47:A48 A39 A34 A17:A28 A36">
    <cfRule type="expression" dxfId="64" priority="287">
      <formula>IF($F17&gt;10,$A17,"")</formula>
    </cfRule>
  </conditionalFormatting>
  <conditionalFormatting sqref="A49:A65">
    <cfRule type="expression" dxfId="63" priority="286">
      <formula>IF($F49&gt;10,$A49,"")</formula>
    </cfRule>
  </conditionalFormatting>
  <conditionalFormatting sqref="A68:A77">
    <cfRule type="expression" dxfId="62" priority="285">
      <formula>IF($F68&gt;10,$A68,"")</formula>
    </cfRule>
  </conditionalFormatting>
  <conditionalFormatting sqref="A80:A95">
    <cfRule type="expression" dxfId="61" priority="284">
      <formula>IF($F80&gt;10,$A80,"")</formula>
    </cfRule>
  </conditionalFormatting>
  <conditionalFormatting sqref="A98:A141">
    <cfRule type="expression" dxfId="60" priority="283">
      <formula>IF($F98&gt;10,$A98,"")</formula>
    </cfRule>
  </conditionalFormatting>
  <conditionalFormatting sqref="A144:A169">
    <cfRule type="expression" dxfId="59" priority="282">
      <formula>IF($F144&gt;10,$A144,"")</formula>
    </cfRule>
  </conditionalFormatting>
  <conditionalFormatting sqref="A172:A185">
    <cfRule type="expression" dxfId="58" priority="281">
      <formula>IF($F172&gt;10,$A172,"")</formula>
    </cfRule>
  </conditionalFormatting>
  <conditionalFormatting sqref="V11:V28 V33:V48 V2:V9">
    <cfRule type="expression" dxfId="57" priority="280">
      <formula>IF($V2&lt;$T2,$V2,"")</formula>
    </cfRule>
  </conditionalFormatting>
  <conditionalFormatting sqref="V49:V65">
    <cfRule type="expression" dxfId="56" priority="279">
      <formula>IF($V49&lt;$T49,$V49,"")</formula>
    </cfRule>
  </conditionalFormatting>
  <conditionalFormatting sqref="V68:V77">
    <cfRule type="expression" dxfId="55" priority="278">
      <formula>IF($V68&lt;$T68,$V68,"")</formula>
    </cfRule>
  </conditionalFormatting>
  <conditionalFormatting sqref="V80:V95">
    <cfRule type="expression" dxfId="54" priority="277">
      <formula>IF($V80&lt;$T80,$V80,"")</formula>
    </cfRule>
  </conditionalFormatting>
  <conditionalFormatting sqref="V98:V141">
    <cfRule type="expression" dxfId="53" priority="276">
      <formula>IF($V98&lt;$T98,$V98,"")</formula>
    </cfRule>
  </conditionalFormatting>
  <conditionalFormatting sqref="V144:V169">
    <cfRule type="expression" dxfId="52" priority="275">
      <formula>IF($V144&lt;$T144,$V144,"")</formula>
    </cfRule>
  </conditionalFormatting>
  <conditionalFormatting sqref="V172:V185">
    <cfRule type="expression" dxfId="51" priority="274">
      <formula>IF($V172&lt;$T172,$V172,"")</formula>
    </cfRule>
  </conditionalFormatting>
  <conditionalFormatting sqref="A40:A46 A33 A35 A11:A16 A37:A38 A2:A9">
    <cfRule type="expression" dxfId="50" priority="266">
      <formula>IF($F2&gt;0,$A2,"")</formula>
    </cfRule>
  </conditionalFormatting>
  <conditionalFormatting sqref="S68:S77 S80:S95 S98:S141 S144:S169 S172:S185 S33:S65 S11:S28 S2:S9">
    <cfRule type="cellIs" dxfId="49" priority="115" operator="between">
      <formula>101</formula>
      <formula>200</formula>
    </cfRule>
    <cfRule type="cellIs" dxfId="48" priority="116" operator="between">
      <formula>100</formula>
      <formula>1</formula>
    </cfRule>
  </conditionalFormatting>
  <conditionalFormatting sqref="V12">
    <cfRule type="expression" dxfId="47" priority="66">
      <formula>IF($V12&lt;$T12,$V12,"")</formula>
    </cfRule>
  </conditionalFormatting>
  <conditionalFormatting sqref="A12">
    <cfRule type="expression" dxfId="46" priority="65">
      <formula>IF($F12&gt;0,$A12,"")</formula>
    </cfRule>
  </conditionalFormatting>
  <conditionalFormatting sqref="Z1:Z1048576">
    <cfRule type="cellIs" dxfId="45" priority="27" operator="lessThanOrEqual">
      <formula>-0.1</formula>
    </cfRule>
  </conditionalFormatting>
  <conditionalFormatting sqref="AB11:AB28">
    <cfRule type="expression" dxfId="44" priority="367">
      <formula>IF($AR11="中",$AB11,"")</formula>
    </cfRule>
    <cfRule type="expression" dxfId="43" priority="368">
      <formula>IF($AR11="低",$AB11,"")</formula>
    </cfRule>
    <cfRule type="expression" dxfId="42" priority="369">
      <formula>IF($AR11="高",$AB11,"")</formula>
    </cfRule>
  </conditionalFormatting>
  <conditionalFormatting sqref="AB33:AB65 AB68:AB77">
    <cfRule type="expression" dxfId="41" priority="370">
      <formula>IF($AR33="低",$AB33,"")</formula>
    </cfRule>
    <cfRule type="expression" dxfId="40" priority="371">
      <formula>IF($AR33="中",$AB33,"")</formula>
    </cfRule>
    <cfRule type="expression" dxfId="39" priority="372">
      <formula>IF($AR33="高",$AB33,"")</formula>
    </cfRule>
  </conditionalFormatting>
  <conditionalFormatting sqref="AB2:AB9">
    <cfRule type="expression" dxfId="38" priority="1">
      <formula>IF($AR2="高",$AB2,"")</formula>
    </cfRule>
    <cfRule type="expression" dxfId="37" priority="2">
      <formula>IF($AR2="中",$AB2,"")</formula>
    </cfRule>
    <cfRule type="expression" dxfId="36" priority="3">
      <formula>IF($AR2="低",$AB2,"")</formula>
    </cfRule>
  </conditionalFormatting>
  <pageMargins left="0.7" right="0.7" top="0.75" bottom="0.75" header="0.3" footer="0.3"/>
  <pageSetup paperSize="9" orientation="portrait" r:id="rId1"/>
  <legacyDrawing r:id="rId2"/>
  <extLst xmlns:x14="http://schemas.microsoft.com/office/spreadsheetml/2009/9/main">
    <ext uri="{78C0D931-6437-407d-A8EE-F0AAD7539E65}">
      <x14:conditionalFormattings>
        <x14:conditionalFormatting xmlns:xm="http://schemas.microsoft.com/office/excel/2006/main">
          <x14:cfRule type="expression" priority="1" id="{DAF4BEF6-D9A6-4BB9-9CFC-2D7F83B6C050}">
            <xm:f>IF(INDEX(基本資料!$N:$N,MATCH($G1,基本資料!$A:$A,0),0)="高",$AB1,"")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" id="{A0D3B4A8-FD8B-4CA2-B6B5-5432D900840E}">
            <xm:f>IF(INDEX(基本資料!$N:$N,MATCH($G1,基本資料!$A:$A,0),0)="中",$AB1,"")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" id="{A2C5ED13-867E-4996-BC0C-C3BD35D7B5DC}">
            <xm:f>IF(INDEX(基本資料!$N:$N,MATCH($G1,基本資料!$A:$A,0),0)="低",$AB1,"")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AB1:AB1048576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工作表6"/>
  <dimension ref="A1:AR5453"/>
  <sheetViews>
    <sheetView workbookViewId="0">
      <selection activeCell="Z30" sqref="Z30"/>
    </sheetView>
  </sheetViews>
  <sheetFormatPr defaultRowHeight="16.5"/>
  <cols>
    <col min="1" max="1" width="7.7109375" style="142" customWidth="1"/>
    <col min="2" max="2" width="6.85546875" style="91" customWidth="1"/>
    <col min="3" max="3" width="6.28515625" style="91" customWidth="1"/>
    <col min="4" max="4" width="5.7109375" style="91" customWidth="1"/>
    <col min="5" max="5" width="6.42578125" style="91" customWidth="1"/>
    <col min="6" max="6" width="10.85546875" style="195" customWidth="1"/>
    <col min="7" max="7" width="6.7109375" style="19" customWidth="1"/>
    <col min="8" max="8" width="5.7109375" style="12" customWidth="1"/>
    <col min="9" max="9" width="8.7109375" style="9" customWidth="1"/>
    <col min="10" max="10" width="6.7109375" style="8" customWidth="1"/>
    <col min="11" max="11" width="5.7109375" style="5" customWidth="1"/>
    <col min="12" max="12" width="3.7109375" style="121" customWidth="1"/>
    <col min="13" max="13" width="3.7109375" style="234" customWidth="1"/>
    <col min="14" max="14" width="5.7109375" style="234" customWidth="1"/>
    <col min="15" max="15" width="6.7109375" style="89" customWidth="1"/>
    <col min="16" max="16" width="6.7109375" style="73" customWidth="1"/>
    <col min="17" max="17" width="6.7109375" style="350" customWidth="1"/>
    <col min="18" max="18" width="5.7109375" style="26" customWidth="1"/>
    <col min="19" max="19" width="7.7109375" style="324" customWidth="1"/>
    <col min="20" max="20" width="7.7109375" style="85" customWidth="1"/>
    <col min="21" max="21" width="7.7109375" style="308" customWidth="1"/>
    <col min="22" max="22" width="7.7109375" style="215" customWidth="1"/>
    <col min="23" max="23" width="8.7109375" style="246" customWidth="1"/>
    <col min="24" max="24" width="8.7109375" style="69" customWidth="1"/>
    <col min="25" max="25" width="9.7109375" style="58" customWidth="1"/>
    <col min="26" max="26" width="8.7109375" style="11" customWidth="1"/>
    <col min="27" max="27" width="6.7109375" style="100" customWidth="1"/>
    <col min="28" max="28" width="5.7109375" style="376" customWidth="1"/>
    <col min="29" max="29" width="8.7109375" style="9" customWidth="1"/>
    <col min="30" max="30" width="11.7109375" style="84" customWidth="1"/>
    <col min="31" max="31" width="11.7109375" style="83" customWidth="1"/>
    <col min="32" max="32" width="3.7109375" style="78" customWidth="1"/>
    <col min="33" max="33" width="4.7109375" style="245" customWidth="1"/>
    <col min="34" max="34" width="8.7109375" style="9" customWidth="1"/>
    <col min="35" max="35" width="6.7109375" style="224" customWidth="1"/>
    <col min="36" max="36" width="8.7109375" style="7" customWidth="1"/>
    <col min="37" max="37" width="6.7109375" style="44" customWidth="1"/>
    <col min="38" max="38" width="6.7109375" style="278" customWidth="1"/>
    <col min="39" max="39" width="7.7109375" customWidth="1"/>
    <col min="40" max="40" width="2.7109375" customWidth="1"/>
  </cols>
  <sheetData>
    <row r="1" spans="1:44" s="245" customFormat="1">
      <c r="A1" s="343">
        <f>IFERROR(VLOOKUP($G1,基本資料!$A:$J,3,0),"無")</f>
        <v>2593</v>
      </c>
      <c r="B1" s="79">
        <f>IFERROR(VLOOKUP($G1,基本資料!$A:$J,4,0),"無")</f>
        <v>15</v>
      </c>
      <c r="C1" s="79">
        <f>IFERROR(VLOOKUP($G1,基本資料!$A:$J,5,0),"無")</f>
        <v>14</v>
      </c>
      <c r="D1" s="79">
        <f>IFERROR(VLOOKUP($G1,基本資料!$A:$J,6,0),"無")</f>
        <v>0</v>
      </c>
      <c r="E1" s="79">
        <f>IFERROR(VLOOKUP($G1,基本資料!$A:$J,7,0),"無")</f>
        <v>55</v>
      </c>
      <c r="F1" s="6">
        <f>IFERROR(VLOOKUP($G1,基本資料!$A:$J,8,0),"無")</f>
        <v>40.950000000000003</v>
      </c>
      <c r="G1" s="80">
        <v>2330</v>
      </c>
      <c r="H1" s="18" t="s">
        <v>3038</v>
      </c>
      <c r="I1" s="22" t="s">
        <v>8</v>
      </c>
      <c r="J1" s="8">
        <f>IFERROR(VLOOKUP($G1,今日總結!$A:$AN,39,0),"")</f>
        <v>0</v>
      </c>
      <c r="K1" s="5">
        <f>IFERROR(VLOOKUP($G1,今日總結!$A:$AN,40,0),"")</f>
        <v>0</v>
      </c>
      <c r="L1" s="156">
        <f>IFERROR(VLOOKUP($G1,今日總結!$A:$AN,37,0),"")</f>
        <v>0</v>
      </c>
      <c r="M1" s="337">
        <f>IFERROR(VLOOKUP($G1,今日總結!$A:$AN,38,0),"")</f>
        <v>0</v>
      </c>
      <c r="N1" s="240">
        <f>IFERROR(L1-M1,"")</f>
        <v>0</v>
      </c>
      <c r="O1" s="359">
        <f>IFERROR(VLOOKUP($G1,融外自投!$A:$J,7,0),"無")</f>
        <v>1307</v>
      </c>
      <c r="P1" s="79">
        <f>IFERROR(VLOOKUP($G1,融外自投!$A:$J,9,0),"無")</f>
        <v>269</v>
      </c>
      <c r="Q1" s="342">
        <f>IFERROR(VLOOKUP($G1,融外自投!$A:$J,8,0),"無")</f>
        <v>20</v>
      </c>
      <c r="R1" s="81">
        <f>IFERROR(VLOOKUP($G1,融外自投!$A:$J,10,0),"無")</f>
        <v>168</v>
      </c>
      <c r="S1" s="324">
        <f>IFERROR(VLOOKUP($G1,'321買'!$A:$E,4,0),"'沒有資料'")</f>
        <v>565</v>
      </c>
      <c r="T1" s="186">
        <f>IFERROR(VLOOKUP($G1,基本資料!$A:$J,9,0),"無")</f>
        <v>11</v>
      </c>
      <c r="U1" s="307">
        <f>$T1/$W1</f>
        <v>2.1153846153846155E-2</v>
      </c>
      <c r="V1" s="94">
        <f>IFERROR(VLOOKUP($G1,基本資料!$A:$J,10,0),"無")</f>
        <v>23.01</v>
      </c>
      <c r="W1" s="36">
        <f>RTD("money.excel",,"2330","Price")</f>
        <v>520</v>
      </c>
      <c r="X1" s="65">
        <v>538</v>
      </c>
      <c r="Y1" s="15">
        <f t="shared" ref="Y1:Y38" si="0">W1-X1</f>
        <v>-18</v>
      </c>
      <c r="Z1" s="3">
        <f t="shared" ref="Z1:Z31" si="1">Y1/X1</f>
        <v>-3.3457249070631967E-2</v>
      </c>
      <c r="AA1" s="340">
        <f>IFERROR(VLOOKUP($G1,基本資料!$A:$M,11,0),"無")</f>
        <v>-24.42</v>
      </c>
      <c r="AB1" s="389">
        <f>IFERROR(VLOOKUP($G1,基本資料!$A:$M,12,0),"無")</f>
        <v>12.11</v>
      </c>
      <c r="AC1" s="22" t="s">
        <v>8</v>
      </c>
      <c r="AD1" s="84"/>
      <c r="AE1" s="83"/>
      <c r="AF1" s="33"/>
      <c r="AG1" s="43" t="s">
        <v>2555</v>
      </c>
      <c r="AH1" s="22" t="s">
        <v>8</v>
      </c>
      <c r="AI1" s="66">
        <f>AJ1/AK1</f>
        <v>0.64390811672186687</v>
      </c>
      <c r="AJ1" s="283">
        <f>RTD("money.excel",,$G1,"PredictVolume")</f>
        <v>21133</v>
      </c>
      <c r="AK1" s="392">
        <f>IFERROR(VLOOKUP($G1,基本資料!$A:$M,13,0),"無")</f>
        <v>32819.9</v>
      </c>
      <c r="AL1" s="275">
        <f>RTD("money.excel",,"2330","VolumeStrength")</f>
        <v>-27</v>
      </c>
      <c r="AM1" s="40">
        <f>RTD("money.excel",,"2330","ChangePercent")</f>
        <v>1.7612524461839529</v>
      </c>
      <c r="AR1" s="245" t="str">
        <f>INDEX(基本資料!N:N,MATCH($G1,基本資料!A:A,0))</f>
        <v>低</v>
      </c>
    </row>
    <row r="2" spans="1:44" s="245" customFormat="1">
      <c r="A2" s="343">
        <f>IFERROR(VLOOKUP($G2,基本資料!$A:$J,3,0),"無")</f>
        <v>1386</v>
      </c>
      <c r="B2" s="79">
        <f>IFERROR(VLOOKUP($G2,基本資料!$A:$J,4,0),"無")</f>
        <v>34</v>
      </c>
      <c r="C2" s="79">
        <f>IFERROR(VLOOKUP($G2,基本資料!$A:$J,5,0),"無")</f>
        <v>34</v>
      </c>
      <c r="D2" s="79">
        <f>IFERROR(VLOOKUP($G2,基本資料!$A:$J,6,0),"無")</f>
        <v>-4</v>
      </c>
      <c r="E2" s="79">
        <f>IFERROR(VLOOKUP($G2,基本資料!$A:$J,7,0),"無")</f>
        <v>-2</v>
      </c>
      <c r="F2" s="6">
        <f>IFERROR(VLOOKUP($G2,基本資料!$A:$J,8,0),"無")</f>
        <v>2.4900000000000002</v>
      </c>
      <c r="G2" s="80">
        <v>2317</v>
      </c>
      <c r="H2" s="18" t="s">
        <v>314</v>
      </c>
      <c r="I2" s="22" t="s">
        <v>4</v>
      </c>
      <c r="J2" s="8" t="str">
        <f>IFERROR(VLOOKUP($G2,今日總結!$A:$AN,39,0),"")</f>
        <v>自投</v>
      </c>
      <c r="K2" s="5">
        <f>IFERROR(VLOOKUP($G2,今日總結!$A:$AN,40,0),"")</f>
        <v>0</v>
      </c>
      <c r="L2" s="156">
        <f>IFERROR(VLOOKUP($G2,今日總結!$A:$AN,37,0),"")</f>
        <v>13</v>
      </c>
      <c r="M2" s="337">
        <f>IFERROR(VLOOKUP($G2,今日總結!$A:$AN,38,0),"")</f>
        <v>0</v>
      </c>
      <c r="N2" s="240">
        <f t="shared" ref="N2:N40" si="2">IFERROR(L2-M2,"")</f>
        <v>13</v>
      </c>
      <c r="O2" s="359">
        <f>IFERROR(VLOOKUP($G2,融外自投!$A:$J,7,0),"無")</f>
        <v>1173</v>
      </c>
      <c r="P2" s="79">
        <f>IFERROR(VLOOKUP($G2,融外自投!$A:$J,9,0),"無")</f>
        <v>331</v>
      </c>
      <c r="Q2" s="342">
        <f>IFERROR(VLOOKUP($G2,融外自投!$A:$J,8,0),"無")</f>
        <v>94</v>
      </c>
      <c r="R2" s="81">
        <f>IFERROR(VLOOKUP($G2,融外自投!$A:$J,10,0),"無")</f>
        <v>161</v>
      </c>
      <c r="S2" s="324">
        <f>IFERROR(VLOOKUP($G2,'321買'!$A:$E,4,0),"'沒有資料'")</f>
        <v>530</v>
      </c>
      <c r="T2" s="186">
        <f>IFERROR(VLOOKUP($G2,基本資料!$A:$J,9,0),"無")</f>
        <v>5.2</v>
      </c>
      <c r="U2" s="307">
        <f>$T2/$W2</f>
        <v>4.9760765550239235E-2</v>
      </c>
      <c r="V2" s="94">
        <f>IFERROR(VLOOKUP($G2,基本資料!$A:$J,10,0),"無")</f>
        <v>10.050000000000001</v>
      </c>
      <c r="W2" s="36">
        <f>RTD("money.excel",,"2317","Price")</f>
        <v>104.5</v>
      </c>
      <c r="X2" s="65">
        <v>102</v>
      </c>
      <c r="Y2" s="15">
        <f t="shared" si="0"/>
        <v>2.5</v>
      </c>
      <c r="Z2" s="3">
        <f t="shared" si="1"/>
        <v>2.4509803921568627E-2</v>
      </c>
      <c r="AA2" s="340">
        <f>IFERROR(VLOOKUP($G2,基本資料!$A:$M,11,0),"無")</f>
        <v>-12.92</v>
      </c>
      <c r="AB2" s="389">
        <f>IFERROR(VLOOKUP($G2,基本資料!$A:$M,12,0),"無")</f>
        <v>50.13</v>
      </c>
      <c r="AC2" s="22" t="s">
        <v>4</v>
      </c>
      <c r="AD2" s="84"/>
      <c r="AE2" s="83"/>
      <c r="AF2" s="8"/>
      <c r="AG2" s="43" t="s">
        <v>2561</v>
      </c>
      <c r="AH2" s="22" t="s">
        <v>4</v>
      </c>
      <c r="AI2" s="66">
        <f t="shared" ref="AI2:AI40" si="3">AJ2/AK2</f>
        <v>0.94381710652737449</v>
      </c>
      <c r="AJ2" s="283">
        <f>RTD("money.excel",,$G2,"PredictVolume")</f>
        <v>22446</v>
      </c>
      <c r="AK2" s="392">
        <f>IFERROR(VLOOKUP($G2,基本資料!$A:$M,13,0),"無")</f>
        <v>23782.15</v>
      </c>
      <c r="AL2" s="275">
        <f>RTD("money.excel",,"2317","VolumeStrength")</f>
        <v>14</v>
      </c>
      <c r="AM2" s="40">
        <f>RTD("money.excel",,"2317","ChangePercent")</f>
        <v>0.48076923076923078</v>
      </c>
      <c r="AR2" s="245" t="str">
        <f>INDEX(基本資料!N:N,MATCH($G2,基本資料!A:A,0))</f>
        <v>中</v>
      </c>
    </row>
    <row r="3" spans="1:44" s="245" customFormat="1">
      <c r="A3" s="343">
        <f>IFERROR(VLOOKUP($G3,基本資料!$A:$J,3,0),"無")</f>
        <v>159</v>
      </c>
      <c r="B3" s="79">
        <f>IFERROR(VLOOKUP($G3,基本資料!$A:$J,4,0),"無")</f>
        <v>169</v>
      </c>
      <c r="C3" s="79">
        <f>IFERROR(VLOOKUP($G3,基本資料!$A:$J,5,0),"無")</f>
        <v>149</v>
      </c>
      <c r="D3" s="79">
        <f>IFERROR(VLOOKUP($G3,基本資料!$A:$J,6,0),"無")</f>
        <v>-11</v>
      </c>
      <c r="E3" s="79">
        <f>IFERROR(VLOOKUP($G3,基本資料!$A:$J,7,0),"無")</f>
        <v>43</v>
      </c>
      <c r="F3" s="6">
        <f>IFERROR(VLOOKUP($G3,基本資料!$A:$J,8,0),"無")</f>
        <v>21.9</v>
      </c>
      <c r="G3" s="80">
        <v>2454</v>
      </c>
      <c r="H3" s="5" t="s">
        <v>3038</v>
      </c>
      <c r="I3" s="22" t="s">
        <v>1838</v>
      </c>
      <c r="J3" s="8">
        <f>IFERROR(VLOOKUP($G3,今日總結!$A:$AN,39,0),"")</f>
        <v>0</v>
      </c>
      <c r="K3" s="5">
        <f>IFERROR(VLOOKUP($G3,今日總結!$A:$AN,40,0),"")</f>
        <v>0</v>
      </c>
      <c r="L3" s="156">
        <f>IFERROR(VLOOKUP($G3,今日總結!$A:$AN,37,0),"")</f>
        <v>0</v>
      </c>
      <c r="M3" s="337">
        <f>IFERROR(VLOOKUP($G3,今日總結!$A:$AN,38,0),"")</f>
        <v>0</v>
      </c>
      <c r="N3" s="240">
        <f t="shared" si="2"/>
        <v>0</v>
      </c>
      <c r="O3" s="359">
        <f>IFERROR(VLOOKUP($G3,融外自投!$A:$J,7,0),"無")</f>
        <v>1081</v>
      </c>
      <c r="P3" s="79">
        <f>IFERROR(VLOOKUP($G3,融外自投!$A:$J,9,0),"無")</f>
        <v>151</v>
      </c>
      <c r="Q3" s="342">
        <f>IFERROR(VLOOKUP($G3,融外自投!$A:$J,8,0),"無")</f>
        <v>41</v>
      </c>
      <c r="R3" s="81">
        <f>IFERROR(VLOOKUP($G3,融外自投!$A:$J,10,0),"無")</f>
        <v>112</v>
      </c>
      <c r="S3" s="324">
        <f>IFERROR(VLOOKUP($G3,'321買'!$A:$E,4,0),"'沒有資料'")</f>
        <v>565</v>
      </c>
      <c r="T3" s="186">
        <f>IFERROR(VLOOKUP($G3,基本資料!$A:$J,9,0),"無")</f>
        <v>73</v>
      </c>
      <c r="U3" s="307">
        <f t="shared" ref="U3:U40" si="4">$T3/$W3</f>
        <v>8.8484848484848486E-2</v>
      </c>
      <c r="V3" s="94">
        <f>IFERROR(VLOOKUP($G3,基本資料!$A:$J,10,0),"無")</f>
        <v>70.56</v>
      </c>
      <c r="W3" s="366">
        <f>RTD("money.excel",,"2454","Price")</f>
        <v>825</v>
      </c>
      <c r="X3" s="66">
        <v>830</v>
      </c>
      <c r="Y3" s="15">
        <f t="shared" si="0"/>
        <v>-5</v>
      </c>
      <c r="Z3" s="3">
        <f t="shared" si="1"/>
        <v>-6.024096385542169E-3</v>
      </c>
      <c r="AA3" s="340">
        <f>IFERROR(VLOOKUP($G3,基本資料!$A:$M,11,0),"無")</f>
        <v>-32.1</v>
      </c>
      <c r="AB3" s="389">
        <f>IFERROR(VLOOKUP($G3,基本資料!$A:$M,12,0),"無")</f>
        <v>15.15</v>
      </c>
      <c r="AC3" s="22" t="s">
        <v>1838</v>
      </c>
      <c r="AD3" s="84"/>
      <c r="AE3" s="83"/>
      <c r="AF3" s="33"/>
      <c r="AG3" s="117" t="s">
        <v>1050</v>
      </c>
      <c r="AH3" s="22" t="s">
        <v>1838</v>
      </c>
      <c r="AI3" s="66">
        <f t="shared" si="3"/>
        <v>0.80724661335074266</v>
      </c>
      <c r="AJ3" s="283">
        <f>RTD("money.excel",,$G3,"PredictVolume")</f>
        <v>4946</v>
      </c>
      <c r="AK3" s="392">
        <f>IFERROR(VLOOKUP($G3,基本資料!$A:$M,13,0),"無")</f>
        <v>6127</v>
      </c>
      <c r="AL3" s="275">
        <f>RTD("money.excel",,"2454","VolumeStrength")</f>
        <v>8</v>
      </c>
      <c r="AM3" s="40">
        <f>RTD("money.excel",,"2454","ChangePercent")</f>
        <v>-2.1352313167259784</v>
      </c>
      <c r="AR3" s="245" t="str">
        <f>INDEX(基本資料!N:N,MATCH($G3,基本資料!A:A,0))</f>
        <v>低</v>
      </c>
    </row>
    <row r="4" spans="1:44" s="245" customFormat="1">
      <c r="A4" s="343">
        <f>IFERROR(VLOOKUP($G4,基本資料!$A:$J,3,0),"無")</f>
        <v>1248</v>
      </c>
      <c r="B4" s="79">
        <f>IFERROR(VLOOKUP($G4,基本資料!$A:$J,4,0),"無")</f>
        <v>102</v>
      </c>
      <c r="C4" s="79">
        <f>IFERROR(VLOOKUP($G4,基本資料!$A:$J,5,0),"無")</f>
        <v>134</v>
      </c>
      <c r="D4" s="79">
        <f>IFERROR(VLOOKUP($G4,基本資料!$A:$J,6,0),"無")</f>
        <v>2</v>
      </c>
      <c r="E4" s="79">
        <f>IFERROR(VLOOKUP($G4,基本資料!$A:$J,7,0),"無")</f>
        <v>39</v>
      </c>
      <c r="F4" s="6">
        <f>IFERROR(VLOOKUP($G4,基本資料!$A:$J,8,0),"無")</f>
        <v>24.26</v>
      </c>
      <c r="G4" s="80">
        <v>2303</v>
      </c>
      <c r="H4" s="18" t="s">
        <v>3038</v>
      </c>
      <c r="I4" s="22" t="s">
        <v>1828</v>
      </c>
      <c r="J4" s="8" t="str">
        <f>IFERROR(VLOOKUP($G4,今日總結!$A:$AN,39,0),"")</f>
        <v>外</v>
      </c>
      <c r="K4" s="5">
        <f>IFERROR(VLOOKUP($G4,今日總結!$A:$AN,40,0),"")</f>
        <v>0</v>
      </c>
      <c r="L4" s="156">
        <f>IFERROR(VLOOKUP($G4,今日總結!$A:$AN,37,0),"")</f>
        <v>5</v>
      </c>
      <c r="M4" s="337">
        <f>IFERROR(VLOOKUP($G4,今日總結!$A:$AN,38,0),"")</f>
        <v>0</v>
      </c>
      <c r="N4" s="240">
        <f t="shared" si="2"/>
        <v>5</v>
      </c>
      <c r="O4" s="359">
        <f>IFERROR(VLOOKUP($G4,融外自投!$A:$J,7,0),"無")</f>
        <v>703</v>
      </c>
      <c r="P4" s="79">
        <f>IFERROR(VLOOKUP($G4,融外自投!$A:$J,9,0),"無")</f>
        <v>178</v>
      </c>
      <c r="Q4" s="342">
        <f>IFERROR(VLOOKUP($G4,融外自投!$A:$J,8,0),"無")</f>
        <v>166</v>
      </c>
      <c r="R4" s="81">
        <f>IFERROR(VLOOKUP($G4,融外自投!$A:$J,10,0),"無")</f>
        <v>92</v>
      </c>
      <c r="S4" s="324">
        <f>IFERROR(VLOOKUP($G4,'321買'!$A:$E,4,0),"'沒有資料'")</f>
        <v>286</v>
      </c>
      <c r="T4" s="186">
        <f>IFERROR(VLOOKUP($G4,基本資料!$A:$J,9,0),"無")</f>
        <v>3</v>
      </c>
      <c r="U4" s="307">
        <f t="shared" si="4"/>
        <v>6.0667340748230533E-2</v>
      </c>
      <c r="V4" s="94">
        <f>IFERROR(VLOOKUP($G4,基本資料!$A:$J,10,0),"無")</f>
        <v>4.57</v>
      </c>
      <c r="W4" s="36">
        <f>RTD("money.excel",,"2303","Price")</f>
        <v>49.45</v>
      </c>
      <c r="X4" s="66">
        <v>47.8</v>
      </c>
      <c r="Y4" s="15">
        <f t="shared" si="0"/>
        <v>1.6500000000000057</v>
      </c>
      <c r="Z4" s="3">
        <f t="shared" si="1"/>
        <v>3.4518828451882963E-2</v>
      </c>
      <c r="AA4" s="340">
        <f>IFERROR(VLOOKUP($G4,基本資料!$A:$M,11,0),"無")</f>
        <v>-31.32</v>
      </c>
      <c r="AB4" s="389">
        <f>IFERROR(VLOOKUP($G4,基本資料!$A:$M,12,0),"無")</f>
        <v>41.94</v>
      </c>
      <c r="AC4" s="22" t="s">
        <v>1828</v>
      </c>
      <c r="AD4" s="84"/>
      <c r="AE4" s="83"/>
      <c r="AF4" s="33"/>
      <c r="AG4" s="117" t="s">
        <v>2556</v>
      </c>
      <c r="AH4" s="22" t="s">
        <v>1828</v>
      </c>
      <c r="AI4" s="66">
        <f t="shared" si="3"/>
        <v>1.2245363555279372</v>
      </c>
      <c r="AJ4" s="283">
        <f>RTD("money.excel",,$G4,"PredictVolume")</f>
        <v>112716</v>
      </c>
      <c r="AK4" s="392">
        <f>IFERROR(VLOOKUP($G4,基本資料!$A:$M,13,0),"無")</f>
        <v>92047.9</v>
      </c>
      <c r="AL4" s="275">
        <f>RTD("money.excel",,"2303","VolumeStrength")</f>
        <v>52</v>
      </c>
      <c r="AM4" s="40">
        <f>RTD("money.excel",,"2330","ChangePercent")</f>
        <v>1.7612524461839529</v>
      </c>
      <c r="AR4" s="245" t="str">
        <f>INDEX(基本資料!N:N,MATCH($G4,基本資料!A:A,0))</f>
        <v>低</v>
      </c>
    </row>
    <row r="5" spans="1:44" s="245" customFormat="1">
      <c r="A5" s="343">
        <f>IFERROR(VLOOKUP($G5,基本資料!$A:$J,3,0),"無")</f>
        <v>259</v>
      </c>
      <c r="B5" s="79">
        <f>IFERROR(VLOOKUP($G5,基本資料!$A:$J,4,0),"無")</f>
        <v>4</v>
      </c>
      <c r="C5" s="79">
        <f>IFERROR(VLOOKUP($G5,基本資料!$A:$J,5,0),"無")</f>
        <v>0</v>
      </c>
      <c r="D5" s="79">
        <f>IFERROR(VLOOKUP($G5,基本資料!$A:$J,6,0),"無")</f>
        <v>-11</v>
      </c>
      <c r="E5" s="79">
        <f>IFERROR(VLOOKUP($G5,基本資料!$A:$J,7,0),"無")</f>
        <v>3</v>
      </c>
      <c r="F5" s="6">
        <f>IFERROR(VLOOKUP($G5,基本資料!$A:$J,8,0),"無")</f>
        <v>9.9700000000000006</v>
      </c>
      <c r="G5" s="80">
        <v>2308</v>
      </c>
      <c r="H5" s="5" t="s">
        <v>308</v>
      </c>
      <c r="I5" s="22" t="s">
        <v>4470</v>
      </c>
      <c r="J5" s="8">
        <f>IFERROR(VLOOKUP($G5,今日總結!$A:$AN,39,0),"")</f>
        <v>0</v>
      </c>
      <c r="K5" s="5">
        <f>IFERROR(VLOOKUP($G5,今日總結!$A:$AN,40,0),"")</f>
        <v>0</v>
      </c>
      <c r="L5" s="156">
        <f>IFERROR(VLOOKUP($G5,今日總結!$A:$AN,37,0),"")</f>
        <v>0</v>
      </c>
      <c r="M5" s="337">
        <f>IFERROR(VLOOKUP($G5,今日總結!$A:$AN,38,0),"")</f>
        <v>0</v>
      </c>
      <c r="N5" s="240">
        <f t="shared" si="2"/>
        <v>0</v>
      </c>
      <c r="O5" s="359">
        <f>IFERROR(VLOOKUP($G5,融外自投!$A:$J,7,0),"無")</f>
        <v>1321</v>
      </c>
      <c r="P5" s="79">
        <f>IFERROR(VLOOKUP($G5,融外自投!$A:$J,9,0),"無")</f>
        <v>451</v>
      </c>
      <c r="Q5" s="342">
        <f>IFERROR(VLOOKUP($G5,融外自投!$A:$J,8,0),"無")</f>
        <v>34</v>
      </c>
      <c r="R5" s="81">
        <f>IFERROR(VLOOKUP($G5,融外自投!$A:$J,10,0),"無")</f>
        <v>141</v>
      </c>
      <c r="S5" s="324">
        <f>IFERROR(VLOOKUP($G5,'321買'!$A:$E,4,0),"'沒有資料'")</f>
        <v>606</v>
      </c>
      <c r="T5" s="186">
        <f>IFERROR(VLOOKUP($G5,基本資料!$A:$J,9,0),"無")</f>
        <v>5.5</v>
      </c>
      <c r="U5" s="307">
        <f t="shared" si="4"/>
        <v>2.4663677130044841E-2</v>
      </c>
      <c r="V5" s="94">
        <f>IFERROR(VLOOKUP($G5,基本資料!$A:$J,10,0),"無")</f>
        <v>10.32</v>
      </c>
      <c r="W5" s="36">
        <f>RTD("money.excel",,"2308","Price")</f>
        <v>223</v>
      </c>
      <c r="X5" s="66">
        <v>250</v>
      </c>
      <c r="Y5" s="15">
        <f t="shared" si="0"/>
        <v>-27</v>
      </c>
      <c r="Z5" s="3">
        <f t="shared" si="1"/>
        <v>-0.108</v>
      </c>
      <c r="AA5" s="340">
        <f>IFERROR(VLOOKUP($G5,基本資料!$A:$M,11,0),"無")</f>
        <v>-33.43</v>
      </c>
      <c r="AB5" s="389">
        <f>IFERROR(VLOOKUP($G5,基本資料!$A:$M,12,0),"無")</f>
        <v>20.07</v>
      </c>
      <c r="AC5" s="22" t="s">
        <v>4470</v>
      </c>
      <c r="AD5" s="84"/>
      <c r="AE5" s="83"/>
      <c r="AF5" s="5"/>
      <c r="AG5" s="119" t="s">
        <v>4471</v>
      </c>
      <c r="AH5" s="22" t="s">
        <v>4470</v>
      </c>
      <c r="AI5" s="66">
        <f t="shared" si="3"/>
        <v>0.58725975968337618</v>
      </c>
      <c r="AJ5" s="283">
        <f>RTD("money.excel",,$G5,"PredictVolume")</f>
        <v>2886</v>
      </c>
      <c r="AK5" s="392">
        <f>IFERROR(VLOOKUP($G5,基本資料!$A:$M,13,0),"無")</f>
        <v>4914.3500000000004</v>
      </c>
      <c r="AL5" s="275">
        <f>RTD("money.excel",,"2308","VolumeStrength")</f>
        <v>-41</v>
      </c>
      <c r="AM5" s="40">
        <f>RTD("money.excel",,"2308","ChangePercent")</f>
        <v>0.90497737556561086</v>
      </c>
      <c r="AR5" s="245" t="str">
        <f>INDEX(基本資料!N:N,MATCH($G5,基本資料!A:A,0))</f>
        <v>低</v>
      </c>
    </row>
    <row r="6" spans="1:44" s="245" customFormat="1">
      <c r="A6" s="343">
        <f>IFERROR(VLOOKUP($G6,基本資料!$A:$J,3,0),"無")</f>
        <v>435</v>
      </c>
      <c r="B6" s="79">
        <f>IFERROR(VLOOKUP($G6,基本資料!$A:$J,4,0),"無")</f>
        <v>125</v>
      </c>
      <c r="C6" s="79">
        <f>IFERROR(VLOOKUP($G6,基本資料!$A:$J,5,0),"無")</f>
        <v>78</v>
      </c>
      <c r="D6" s="79">
        <f>IFERROR(VLOOKUP($G6,基本資料!$A:$J,6,0),"無")</f>
        <v>-6</v>
      </c>
      <c r="E6" s="79">
        <f>IFERROR(VLOOKUP($G6,基本資料!$A:$J,7,0),"無")</f>
        <v>17</v>
      </c>
      <c r="F6" s="6">
        <f>IFERROR(VLOOKUP($G6,基本資料!$A:$J,8,0),"無")</f>
        <v>10.9</v>
      </c>
      <c r="G6" s="80">
        <v>3711</v>
      </c>
      <c r="H6" s="5" t="s">
        <v>3038</v>
      </c>
      <c r="I6" s="22" t="s">
        <v>12</v>
      </c>
      <c r="J6" s="8">
        <f>IFERROR(VLOOKUP($G6,今日總結!$A:$AN,39,0),"")</f>
        <v>0</v>
      </c>
      <c r="K6" s="5">
        <f>IFERROR(VLOOKUP($G6,今日總結!$A:$AN,40,0),"")</f>
        <v>0</v>
      </c>
      <c r="L6" s="156">
        <f>IFERROR(VLOOKUP($G6,今日總結!$A:$AN,37,0),"")</f>
        <v>0</v>
      </c>
      <c r="M6" s="337">
        <f>IFERROR(VLOOKUP($G6,今日總結!$A:$AN,38,0),"")</f>
        <v>0</v>
      </c>
      <c r="N6" s="240">
        <f t="shared" si="2"/>
        <v>0</v>
      </c>
      <c r="O6" s="359">
        <f>IFERROR(VLOOKUP($G6,融外自投!$A:$J,7,0),"無")</f>
        <v>1214</v>
      </c>
      <c r="P6" s="79">
        <f>IFERROR(VLOOKUP($G6,融外自投!$A:$J,9,0),"無")</f>
        <v>478</v>
      </c>
      <c r="Q6" s="342">
        <f>IFERROR(VLOOKUP($G6,融外自投!$A:$J,8,0),"無")</f>
        <v>17</v>
      </c>
      <c r="R6" s="81">
        <f>IFERROR(VLOOKUP($G6,融外自投!$A:$J,10,0),"無")</f>
        <v>154</v>
      </c>
      <c r="S6" s="324">
        <f>IFERROR(VLOOKUP($G6,'321買'!$A:$E,4,0),"'沒有資料'")</f>
        <v>565</v>
      </c>
      <c r="T6" s="186">
        <f>IFERROR(VLOOKUP($G6,基本資料!$A:$J,9,0),"無")</f>
        <v>7</v>
      </c>
      <c r="U6" s="307">
        <f t="shared" si="4"/>
        <v>7.3917634635691662E-2</v>
      </c>
      <c r="V6" s="94">
        <f>IFERROR(VLOOKUP($G6,基本資料!$A:$J,10,0),"無")</f>
        <v>14.84</v>
      </c>
      <c r="W6" s="36">
        <f>RTD("money.excel",,"3711","Price")</f>
        <v>94.7</v>
      </c>
      <c r="X6" s="66">
        <v>95.6</v>
      </c>
      <c r="Y6" s="15">
        <f t="shared" si="0"/>
        <v>-0.89999999999999147</v>
      </c>
      <c r="Z6" s="3">
        <f t="shared" si="1"/>
        <v>-9.4142259414225059E-3</v>
      </c>
      <c r="AA6" s="340">
        <f>IFERROR(VLOOKUP($G6,基本資料!$A:$M,11,0),"無")</f>
        <v>-29.06</v>
      </c>
      <c r="AB6" s="389">
        <f>IFERROR(VLOOKUP($G6,基本資料!$A:$M,12,0),"無")</f>
        <v>30.06</v>
      </c>
      <c r="AC6" s="22" t="s">
        <v>12</v>
      </c>
      <c r="AD6" s="84"/>
      <c r="AE6" s="83"/>
      <c r="AF6" s="33"/>
      <c r="AG6" s="117" t="s">
        <v>2389</v>
      </c>
      <c r="AH6" s="22" t="s">
        <v>12</v>
      </c>
      <c r="AI6" s="66">
        <f t="shared" si="3"/>
        <v>0.58826704085487613</v>
      </c>
      <c r="AJ6" s="283">
        <f>RTD("money.excel",,$G6,"PredictVolume")</f>
        <v>5995</v>
      </c>
      <c r="AK6" s="392">
        <f>IFERROR(VLOOKUP($G6,基本資料!$A:$M,13,0),"無")</f>
        <v>10190.950000000001</v>
      </c>
      <c r="AL6" s="275">
        <f>RTD("money.excel",,"3711","VolumeStrength")</f>
        <v>-29</v>
      </c>
      <c r="AM6" s="40">
        <f>RTD("money.excel",,"3711","ChangePercent")</f>
        <v>0.42417815482502652</v>
      </c>
      <c r="AR6" s="245" t="str">
        <f>INDEX(基本資料!N:N,MATCH($G6,基本資料!A:A,0))</f>
        <v>低</v>
      </c>
    </row>
    <row r="7" spans="1:44" s="245" customFormat="1">
      <c r="A7" s="343">
        <f>IFERROR(VLOOKUP($G7,基本資料!$A:$J,3,0),"無")</f>
        <v>386</v>
      </c>
      <c r="B7" s="79">
        <f>IFERROR(VLOOKUP($G7,基本資料!$A:$J,4,0),"無")</f>
        <v>35</v>
      </c>
      <c r="C7" s="79">
        <f>IFERROR(VLOOKUP($G7,基本資料!$A:$J,5,0),"無")</f>
        <v>14</v>
      </c>
      <c r="D7" s="79">
        <f>IFERROR(VLOOKUP($G7,基本資料!$A:$J,6,0),"無")</f>
        <v>-39</v>
      </c>
      <c r="E7" s="79">
        <f>IFERROR(VLOOKUP($G7,基本資料!$A:$J,7,0),"無")</f>
        <v>-21</v>
      </c>
      <c r="F7" s="6">
        <f>IFERROR(VLOOKUP($G7,基本資料!$A:$J,8,0),"無")</f>
        <v>3.3</v>
      </c>
      <c r="G7" s="80">
        <v>2382</v>
      </c>
      <c r="H7" s="193" t="s">
        <v>1145</v>
      </c>
      <c r="I7" s="22" t="s">
        <v>208</v>
      </c>
      <c r="J7" s="8" t="str">
        <f>IFERROR(VLOOKUP($G7,今日總結!$A:$AN,39,0),"")</f>
        <v>自投</v>
      </c>
      <c r="K7" s="5" t="str">
        <f>IFERROR(VLOOKUP($G7,今日總結!$A:$AN,40,0),"")</f>
        <v>主外</v>
      </c>
      <c r="L7" s="156">
        <f>IFERROR(VLOOKUP($G7,今日總結!$A:$AN,37,0),"")</f>
        <v>20</v>
      </c>
      <c r="M7" s="337">
        <f>IFERROR(VLOOKUP($G7,今日總結!$A:$AN,38,0),"")</f>
        <v>7</v>
      </c>
      <c r="N7" s="240">
        <f t="shared" si="2"/>
        <v>13</v>
      </c>
      <c r="O7" s="359">
        <f>IFERROR(VLOOKUP($G7,融外自投!$A:$J,7,0),"無")</f>
        <v>1352</v>
      </c>
      <c r="P7" s="79">
        <f>IFERROR(VLOOKUP($G7,融外自投!$A:$J,9,0),"無")</f>
        <v>58</v>
      </c>
      <c r="Q7" s="342">
        <f>IFERROR(VLOOKUP($G7,融外自投!$A:$J,8,0),"無")</f>
        <v>219</v>
      </c>
      <c r="R7" s="81">
        <f>IFERROR(VLOOKUP($G7,融外自投!$A:$J,10,0),"無")</f>
        <v>73</v>
      </c>
      <c r="S7" s="324">
        <f>IFERROR(VLOOKUP($G7,'321買'!$A:$E,4,0),"'沒有資料'")</f>
        <v>465</v>
      </c>
      <c r="T7" s="186">
        <f>IFERROR(VLOOKUP($G7,基本資料!$A:$J,9,0),"無")</f>
        <v>6.6</v>
      </c>
      <c r="U7" s="307">
        <f t="shared" si="4"/>
        <v>8.6387434554973816E-2</v>
      </c>
      <c r="V7" s="94">
        <f>IFERROR(VLOOKUP($G7,基本資料!$A:$J,10,0),"無")</f>
        <v>8.73</v>
      </c>
      <c r="W7" s="36">
        <f>RTD("money.excel",,"2382","Price")</f>
        <v>76.400000000000006</v>
      </c>
      <c r="X7" s="66">
        <v>83.8</v>
      </c>
      <c r="Y7" s="15">
        <f t="shared" si="0"/>
        <v>-7.3999999999999915</v>
      </c>
      <c r="Z7" s="3">
        <f t="shared" si="1"/>
        <v>-8.8305489260143102E-2</v>
      </c>
      <c r="AA7" s="340">
        <f>IFERROR(VLOOKUP($G7,基本資料!$A:$M,11,0),"無")</f>
        <v>-20.420000000000002</v>
      </c>
      <c r="AB7" s="389">
        <f>IFERROR(VLOOKUP($G7,基本資料!$A:$M,12,0),"無")</f>
        <v>11.42</v>
      </c>
      <c r="AC7" s="22" t="s">
        <v>208</v>
      </c>
      <c r="AD7" s="84"/>
      <c r="AE7" s="83"/>
      <c r="AF7" s="33"/>
      <c r="AG7" s="117" t="s">
        <v>2715</v>
      </c>
      <c r="AH7" s="22" t="s">
        <v>208</v>
      </c>
      <c r="AI7" s="66">
        <f t="shared" si="3"/>
        <v>2.7875241124028989</v>
      </c>
      <c r="AJ7" s="283">
        <f>RTD("money.excel",,$G7,"PredictVolume")</f>
        <v>21387</v>
      </c>
      <c r="AK7" s="392">
        <f>IFERROR(VLOOKUP($G7,基本資料!$A:$M,13,0),"無")</f>
        <v>7672.4</v>
      </c>
      <c r="AL7" s="275">
        <f>RTD("money.excel",,"2382","VolumeStrength")</f>
        <v>191</v>
      </c>
      <c r="AM7" s="40">
        <f>RTD("money.excel",,"2382","ChangePercent")</f>
        <v>-6.9427527405602927</v>
      </c>
      <c r="AR7" s="245" t="str">
        <f>INDEX(基本資料!N:N,MATCH($G7,基本資料!A:A,0))</f>
        <v>低</v>
      </c>
    </row>
    <row r="8" spans="1:44" s="245" customFormat="1">
      <c r="A8" s="343">
        <f>IFERROR(VLOOKUP($G8,基本資料!$A:$J,3,0),"無")</f>
        <v>952</v>
      </c>
      <c r="B8" s="79">
        <f>IFERROR(VLOOKUP($G8,基本資料!$A:$J,4,0),"無")</f>
        <v>569</v>
      </c>
      <c r="C8" s="79">
        <f>IFERROR(VLOOKUP($G8,基本資料!$A:$J,5,0),"無")</f>
        <v>1892</v>
      </c>
      <c r="D8" s="79">
        <f>IFERROR(VLOOKUP($G8,基本資料!$A:$J,6,0),"無")</f>
        <v>-4</v>
      </c>
      <c r="E8" s="79">
        <f>IFERROR(VLOOKUP($G8,基本資料!$A:$J,7,0),"無")</f>
        <v>40</v>
      </c>
      <c r="F8" s="6">
        <f>IFERROR(VLOOKUP($G8,基本資料!$A:$J,8,0),"無")</f>
        <v>8.9</v>
      </c>
      <c r="G8" s="80">
        <v>6505</v>
      </c>
      <c r="H8" s="18" t="s">
        <v>312</v>
      </c>
      <c r="I8" s="22" t="s">
        <v>4670</v>
      </c>
      <c r="J8" s="8">
        <f>IFERROR(VLOOKUP($G8,今日總結!$A:$AN,39,0),"")</f>
        <v>0</v>
      </c>
      <c r="K8" s="5" t="str">
        <f>IFERROR(VLOOKUP($G8,今日總結!$A:$AN,40,0),"")</f>
        <v>融</v>
      </c>
      <c r="L8" s="156">
        <f>IFERROR(VLOOKUP($G8,今日總結!$A:$AN,37,0),"")</f>
        <v>0</v>
      </c>
      <c r="M8" s="337">
        <f>IFERROR(VLOOKUP($G8,今日總結!$A:$AN,38,0),"")</f>
        <v>2</v>
      </c>
      <c r="N8" s="240">
        <f t="shared" si="2"/>
        <v>-2</v>
      </c>
      <c r="O8" s="359">
        <f>IFERROR(VLOOKUP($G8,融外自投!$A:$J,7,0),"無")</f>
        <v>1446</v>
      </c>
      <c r="P8" s="79">
        <f>IFERROR(VLOOKUP($G8,融外自投!$A:$J,9,0),"無")</f>
        <v>908</v>
      </c>
      <c r="Q8" s="342">
        <f>IFERROR(VLOOKUP($G8,融外自投!$A:$J,8,0),"無")</f>
        <v>643</v>
      </c>
      <c r="R8" s="81">
        <f>IFERROR(VLOOKUP($G8,融外自投!$A:$J,10,0),"無")</f>
        <v>336</v>
      </c>
      <c r="S8" s="324">
        <f>IFERROR(VLOOKUP($G8,'321買'!$A:$E,4,0),"'沒有資料'")</f>
        <v>411</v>
      </c>
      <c r="T8" s="186">
        <f>IFERROR(VLOOKUP($G8,基本資料!$A:$J,9,0),"無")</f>
        <v>3.8</v>
      </c>
      <c r="U8" s="307">
        <f t="shared" si="4"/>
        <v>4.1621029572836803E-2</v>
      </c>
      <c r="V8" s="94">
        <f>IFERROR(VLOOKUP($G8,基本資料!$A:$J,10,0),"無")</f>
        <v>5.19</v>
      </c>
      <c r="W8" s="36">
        <f>RTD("money.excel",,"6505","Price")</f>
        <v>91.3</v>
      </c>
      <c r="X8" s="65">
        <v>91.6</v>
      </c>
      <c r="Y8" s="15">
        <f t="shared" si="0"/>
        <v>-0.29999999999999716</v>
      </c>
      <c r="Z8" s="3">
        <f t="shared" si="1"/>
        <v>-3.2751091703056459E-3</v>
      </c>
      <c r="AA8" s="340">
        <f>IFERROR(VLOOKUP($G8,基本資料!$A:$M,11,0),"無")</f>
        <v>-22.3</v>
      </c>
      <c r="AB8" s="389">
        <f>IFERROR(VLOOKUP($G8,基本資料!$A:$M,12,0),"無")</f>
        <v>24.64</v>
      </c>
      <c r="AC8" s="22" t="s">
        <v>4670</v>
      </c>
      <c r="AD8" s="84"/>
      <c r="AE8" s="83"/>
      <c r="AF8" s="33"/>
      <c r="AG8" s="43" t="s">
        <v>2595</v>
      </c>
      <c r="AH8" s="22" t="s">
        <v>4670</v>
      </c>
      <c r="AI8" s="66">
        <f t="shared" si="3"/>
        <v>0.59019059234282711</v>
      </c>
      <c r="AJ8" s="283">
        <f>RTD("money.excel",,$G8,"PredictVolume")</f>
        <v>1234</v>
      </c>
      <c r="AK8" s="392">
        <f>IFERROR(VLOOKUP($G8,基本資料!$A:$M,13,0),"無")</f>
        <v>2090.85</v>
      </c>
      <c r="AL8" s="275">
        <f>RTD("money.excel",,"6505","VolumeStrength")</f>
        <v>-40</v>
      </c>
      <c r="AM8" s="40">
        <f>RTD("money.excel",,"6505","ChangePercent")</f>
        <v>0.88397790055248615</v>
      </c>
      <c r="AR8" s="245" t="str">
        <f>INDEX(基本資料!N:N,MATCH($G8,基本資料!A:A,0))</f>
        <v>低</v>
      </c>
    </row>
    <row r="9" spans="1:44" s="245" customFormat="1">
      <c r="A9" s="343">
        <f>IFERROR(VLOOKUP($G9,基本資料!$A:$J,3,0),"無")</f>
        <v>636</v>
      </c>
      <c r="B9" s="79">
        <f>IFERROR(VLOOKUP($G9,基本資料!$A:$J,4,0),"無")</f>
        <v>256</v>
      </c>
      <c r="C9" s="79">
        <f>IFERROR(VLOOKUP($G9,基本資料!$A:$J,5,0),"無")</f>
        <v>251</v>
      </c>
      <c r="D9" s="79">
        <f>IFERROR(VLOOKUP($G9,基本資料!$A:$J,6,0),"無")</f>
        <v>-5</v>
      </c>
      <c r="E9" s="79">
        <f>IFERROR(VLOOKUP($G9,基本資料!$A:$J,7,0),"無")</f>
        <v>3</v>
      </c>
      <c r="F9" s="6">
        <f>IFERROR(VLOOKUP($G9,基本資料!$A:$J,8,0),"無")</f>
        <v>21.99</v>
      </c>
      <c r="G9" s="80">
        <v>1301</v>
      </c>
      <c r="H9" s="18" t="s">
        <v>3328</v>
      </c>
      <c r="I9" s="22" t="s">
        <v>67</v>
      </c>
      <c r="J9" s="8" t="str">
        <f>IFERROR(VLOOKUP($G9,今日總結!$A:$AN,39,0),"")</f>
        <v>投</v>
      </c>
      <c r="K9" s="5">
        <f>IFERROR(VLOOKUP($G9,今日總結!$A:$AN,40,0),"")</f>
        <v>0</v>
      </c>
      <c r="L9" s="156">
        <f>IFERROR(VLOOKUP($G9,今日總結!$A:$AN,37,0),"")</f>
        <v>17</v>
      </c>
      <c r="M9" s="337">
        <f>IFERROR(VLOOKUP($G9,今日總結!$A:$AN,38,0),"")</f>
        <v>0</v>
      </c>
      <c r="N9" s="240">
        <f t="shared" si="2"/>
        <v>17</v>
      </c>
      <c r="O9" s="359">
        <f>IFERROR(VLOOKUP($G9,融外自投!$A:$J,7,0),"無")</f>
        <v>1425</v>
      </c>
      <c r="P9" s="79">
        <f>IFERROR(VLOOKUP($G9,融外自投!$A:$J,9,0),"無")</f>
        <v>240</v>
      </c>
      <c r="Q9" s="342">
        <f>IFERROR(VLOOKUP($G9,融外自投!$A:$J,8,0),"無")</f>
        <v>136</v>
      </c>
      <c r="R9" s="81">
        <f>IFERROR(VLOOKUP($G9,融外自投!$A:$J,10,0),"無")</f>
        <v>157</v>
      </c>
      <c r="S9" s="324">
        <f>IFERROR(VLOOKUP($G9,'321買'!$A:$E,4,0),"'沒有資料'")</f>
        <v>497</v>
      </c>
      <c r="T9" s="186">
        <f>IFERROR(VLOOKUP($G9,基本資料!$A:$J,9,0),"無")</f>
        <v>8.1999999999999993</v>
      </c>
      <c r="U9" s="307">
        <f t="shared" si="4"/>
        <v>7.9999999999999988E-2</v>
      </c>
      <c r="V9" s="94">
        <f>IFERROR(VLOOKUP($G9,基本資料!$A:$J,10,0),"無")</f>
        <v>11.21</v>
      </c>
      <c r="W9" s="36">
        <f>RTD("money.excel",,$G9,"Price")</f>
        <v>102.5</v>
      </c>
      <c r="X9" s="65">
        <v>105.5</v>
      </c>
      <c r="Y9" s="15">
        <f t="shared" si="0"/>
        <v>-3</v>
      </c>
      <c r="Z9" s="3">
        <f t="shared" si="1"/>
        <v>-2.843601895734597E-2</v>
      </c>
      <c r="AA9" s="340">
        <f>IFERROR(VLOOKUP($G9,基本資料!$A:$M,11,0),"無")</f>
        <v>-15.29</v>
      </c>
      <c r="AB9" s="389">
        <f>IFERROR(VLOOKUP($G9,基本資料!$A:$M,12,0),"無")</f>
        <v>35.22</v>
      </c>
      <c r="AC9" s="22" t="s">
        <v>67</v>
      </c>
      <c r="AD9" s="84"/>
      <c r="AE9" s="83"/>
      <c r="AF9" s="33"/>
      <c r="AG9" s="43" t="s">
        <v>3530</v>
      </c>
      <c r="AH9" s="22" t="s">
        <v>67</v>
      </c>
      <c r="AI9" s="66">
        <f t="shared" si="3"/>
        <v>0.79399710458169359</v>
      </c>
      <c r="AJ9" s="283">
        <f>RTD("money.excel",,$G9,"PredictVolume")</f>
        <v>5841</v>
      </c>
      <c r="AK9" s="392">
        <f>IFERROR(VLOOKUP($G9,基本資料!$A:$M,13,0),"無")</f>
        <v>7356.45</v>
      </c>
      <c r="AL9" s="275">
        <f>RTD("money.excel",,"1301","VolumeStrength")</f>
        <v>-63</v>
      </c>
      <c r="AM9" s="40">
        <f>RTD("money.excel",,"1301","ChangePercent")</f>
        <v>0</v>
      </c>
      <c r="AR9" s="245" t="str">
        <f>INDEX(基本資料!N:N,MATCH($G9,基本資料!A:A,0))</f>
        <v>低</v>
      </c>
    </row>
    <row r="10" spans="1:44" s="245" customFormat="1">
      <c r="A10" s="343">
        <f>IFERROR(VLOOKUP($G10,基本資料!$A:$J,3,0),"無")</f>
        <v>793</v>
      </c>
      <c r="B10" s="79">
        <f>IFERROR(VLOOKUP($G10,基本資料!$A:$J,4,0),"無")</f>
        <v>215</v>
      </c>
      <c r="C10" s="79">
        <f>IFERROR(VLOOKUP($G10,基本資料!$A:$J,5,0),"無")</f>
        <v>281</v>
      </c>
      <c r="D10" s="79">
        <f>IFERROR(VLOOKUP($G10,基本資料!$A:$J,6,0),"無")</f>
        <v>-19</v>
      </c>
      <c r="E10" s="79">
        <f>IFERROR(VLOOKUP($G10,基本資料!$A:$J,7,0),"無")</f>
        <v>-14</v>
      </c>
      <c r="F10" s="6">
        <f>IFERROR(VLOOKUP($G10,基本資料!$A:$J,8,0),"無")</f>
        <v>19.68</v>
      </c>
      <c r="G10" s="80">
        <v>1303</v>
      </c>
      <c r="H10" s="18" t="s">
        <v>3328</v>
      </c>
      <c r="I10" s="22" t="s">
        <v>1058</v>
      </c>
      <c r="J10" s="8" t="str">
        <f>IFERROR(VLOOKUP($G10,今日總結!$A:$AN,39,0),"")</f>
        <v>投</v>
      </c>
      <c r="K10" s="5" t="str">
        <f>IFERROR(VLOOKUP($G10,今日總結!$A:$AN,40,0),"")</f>
        <v>主外</v>
      </c>
      <c r="L10" s="156">
        <f>IFERROR(VLOOKUP($G10,今日總結!$A:$AN,37,0),"")</f>
        <v>11</v>
      </c>
      <c r="M10" s="337">
        <f>IFERROR(VLOOKUP($G10,今日總結!$A:$AN,38,0),"")</f>
        <v>9</v>
      </c>
      <c r="N10" s="240">
        <f t="shared" si="2"/>
        <v>2</v>
      </c>
      <c r="O10" s="359">
        <f>IFERROR(VLOOKUP($G10,融外自投!$A:$J,7,0),"無")</f>
        <v>1425</v>
      </c>
      <c r="P10" s="79">
        <f>IFERROR(VLOOKUP($G10,融外自投!$A:$J,9,0),"無")</f>
        <v>297</v>
      </c>
      <c r="Q10" s="342">
        <f>IFERROR(VLOOKUP($G10,融外自投!$A:$J,8,0),"無")</f>
        <v>165</v>
      </c>
      <c r="R10" s="81">
        <f>IFERROR(VLOOKUP($G10,融外自投!$A:$J,10,0),"無")</f>
        <v>160</v>
      </c>
      <c r="S10" s="324">
        <f>IFERROR(VLOOKUP($G10,'321買'!$A:$E,4,0),"'沒有資料'")</f>
        <v>202</v>
      </c>
      <c r="T10" s="186">
        <f>IFERROR(VLOOKUP($G10,基本資料!$A:$J,9,0),"無")</f>
        <v>7.5</v>
      </c>
      <c r="U10" s="307">
        <f t="shared" si="4"/>
        <v>9.2364532019704432E-2</v>
      </c>
      <c r="V10" s="94">
        <f>IFERROR(VLOOKUP($G10,基本資料!$A:$J,10,0),"無")</f>
        <v>10.25</v>
      </c>
      <c r="W10" s="36">
        <f>RTD("money.excel",,$G10,"Price")</f>
        <v>81.2</v>
      </c>
      <c r="X10" s="65">
        <v>86.7</v>
      </c>
      <c r="Y10" s="15">
        <f t="shared" si="0"/>
        <v>-5.5</v>
      </c>
      <c r="Z10" s="3">
        <f t="shared" si="1"/>
        <v>-6.3437139561707032E-2</v>
      </c>
      <c r="AA10" s="340">
        <f>IFERROR(VLOOKUP($G10,基本資料!$A:$M,11,0),"無")</f>
        <v>-13.62</v>
      </c>
      <c r="AB10" s="389">
        <f>IFERROR(VLOOKUP($G10,基本資料!$A:$M,12,0),"無")</f>
        <v>16.41</v>
      </c>
      <c r="AC10" s="22" t="s">
        <v>1058</v>
      </c>
      <c r="AD10" s="84"/>
      <c r="AE10" s="83"/>
      <c r="AF10" s="5"/>
      <c r="AG10" s="43" t="s">
        <v>2596</v>
      </c>
      <c r="AH10" s="22" t="s">
        <v>1058</v>
      </c>
      <c r="AI10" s="66">
        <f t="shared" si="3"/>
        <v>1.2021260975538133</v>
      </c>
      <c r="AJ10" s="283">
        <f>RTD("money.excel",,$G10,"PredictVolume")</f>
        <v>10234</v>
      </c>
      <c r="AK10" s="392">
        <f>IFERROR(VLOOKUP($G10,基本資料!$A:$M,13,0),"無")</f>
        <v>8513.25</v>
      </c>
      <c r="AL10" s="275">
        <f>RTD("money.excel",,"1303","VolumeStrength")</f>
        <v>-18</v>
      </c>
      <c r="AM10" s="40">
        <f>RTD("money.excel",,"1303","ChangePercent")</f>
        <v>-0.97560975609756095</v>
      </c>
      <c r="AR10" s="245" t="str">
        <f>INDEX(基本資料!N:N,MATCH($G10,基本資料!A:A,0))</f>
        <v>低</v>
      </c>
    </row>
    <row r="11" spans="1:44" s="245" customFormat="1">
      <c r="A11" s="343">
        <f>IFERROR(VLOOKUP($G11,基本資料!$A:$J,3,0),"無")</f>
        <v>586</v>
      </c>
      <c r="B11" s="79">
        <f>IFERROR(VLOOKUP($G11,基本資料!$A:$J,4,0),"無")</f>
        <v>98</v>
      </c>
      <c r="C11" s="79">
        <f>IFERROR(VLOOKUP($G11,基本資料!$A:$J,5,0),"無")</f>
        <v>124</v>
      </c>
      <c r="D11" s="79">
        <f>IFERROR(VLOOKUP($G11,基本資料!$A:$J,6,0),"無")</f>
        <v>0</v>
      </c>
      <c r="E11" s="79">
        <f>IFERROR(VLOOKUP($G11,基本資料!$A:$J,7,0),"無")</f>
        <v>10</v>
      </c>
      <c r="F11" s="6">
        <f>IFERROR(VLOOKUP($G11,基本資料!$A:$J,8,0),"無")</f>
        <v>9.41</v>
      </c>
      <c r="G11" s="80">
        <v>1326</v>
      </c>
      <c r="H11" s="18" t="s">
        <v>3328</v>
      </c>
      <c r="I11" s="22" t="s">
        <v>3586</v>
      </c>
      <c r="J11" s="8">
        <f>IFERROR(VLOOKUP($G11,今日總結!$A:$AN,39,0),"")</f>
        <v>0</v>
      </c>
      <c r="K11" s="5">
        <f>IFERROR(VLOOKUP($G11,今日總結!$A:$AN,40,0),"")</f>
        <v>0</v>
      </c>
      <c r="L11" s="156">
        <f>IFERROR(VLOOKUP($G11,今日總結!$A:$AN,37,0),"")</f>
        <v>0</v>
      </c>
      <c r="M11" s="337">
        <f>IFERROR(VLOOKUP($G11,今日總結!$A:$AN,38,0),"")</f>
        <v>0</v>
      </c>
      <c r="N11" s="240">
        <f t="shared" si="2"/>
        <v>0</v>
      </c>
      <c r="O11" s="359">
        <f>IFERROR(VLOOKUP($G11,融外自投!$A:$J,7,0),"無")</f>
        <v>1430</v>
      </c>
      <c r="P11" s="79">
        <f>IFERROR(VLOOKUP($G11,融外自投!$A:$J,9,0),"無")</f>
        <v>276</v>
      </c>
      <c r="Q11" s="342">
        <f>IFERROR(VLOOKUP($G11,融外自投!$A:$J,8,0),"無")</f>
        <v>146</v>
      </c>
      <c r="R11" s="81">
        <f>IFERROR(VLOOKUP($G11,融外自投!$A:$J,10,0),"無")</f>
        <v>200</v>
      </c>
      <c r="S11" s="324">
        <f>IFERROR(VLOOKUP($G11,'321買'!$A:$E,4,0),"'沒有資料'")</f>
        <v>606</v>
      </c>
      <c r="T11" s="186">
        <f>IFERROR(VLOOKUP($G11,基本資料!$A:$J,9,0),"無")</f>
        <v>4.8</v>
      </c>
      <c r="U11" s="307">
        <f t="shared" si="4"/>
        <v>6.2095730918499355E-2</v>
      </c>
      <c r="V11" s="94">
        <f>IFERROR(VLOOKUP($G11,基本資料!$A:$J,10,0),"無")</f>
        <v>6.56</v>
      </c>
      <c r="W11" s="36">
        <f>RTD("money.excel",,$G11,"Price")</f>
        <v>77.3</v>
      </c>
      <c r="X11" s="65">
        <v>79.900000000000006</v>
      </c>
      <c r="Y11" s="15">
        <f t="shared" si="0"/>
        <v>-2.6000000000000085</v>
      </c>
      <c r="Z11" s="3">
        <f t="shared" si="1"/>
        <v>-3.2540675844806112E-2</v>
      </c>
      <c r="AA11" s="340">
        <f>IFERROR(VLOOKUP($G11,基本資料!$A:$M,11,0),"無")</f>
        <v>-11.56</v>
      </c>
      <c r="AB11" s="389">
        <f>IFERROR(VLOOKUP($G11,基本資料!$A:$M,12,0),"無")</f>
        <v>31.15</v>
      </c>
      <c r="AC11" s="22" t="s">
        <v>3586</v>
      </c>
      <c r="AD11" s="84"/>
      <c r="AE11" s="83"/>
      <c r="AF11" s="33"/>
      <c r="AG11" s="43" t="s">
        <v>3534</v>
      </c>
      <c r="AH11" s="22" t="s">
        <v>3586</v>
      </c>
      <c r="AI11" s="66">
        <f t="shared" si="3"/>
        <v>0.68733735544326846</v>
      </c>
      <c r="AJ11" s="283">
        <f>RTD("money.excel",,$G11,"PredictVolume")</f>
        <v>2945</v>
      </c>
      <c r="AK11" s="392">
        <f>IFERROR(VLOOKUP($G11,基本資料!$A:$M,13,0),"無")</f>
        <v>4284.6499999999996</v>
      </c>
      <c r="AL11" s="275">
        <f>RTD("money.excel",,"1326","VolumeStrength")</f>
        <v>-33</v>
      </c>
      <c r="AM11" s="40">
        <f>RTD("money.excel",,"1326","ChangePercent")</f>
        <v>0.12953367875647667</v>
      </c>
      <c r="AR11" s="245" t="str">
        <f>INDEX(基本資料!N:N,MATCH($G11,基本資料!A:A,0))</f>
        <v>低</v>
      </c>
    </row>
    <row r="12" spans="1:44" s="245" customFormat="1">
      <c r="A12" s="343">
        <f>IFERROR(VLOOKUP($G12,基本資料!$A:$J,3,0),"無")</f>
        <v>1180</v>
      </c>
      <c r="B12" s="79">
        <f>IFERROR(VLOOKUP($G12,基本資料!$A:$J,4,0),"無")</f>
        <v>61</v>
      </c>
      <c r="C12" s="79">
        <f>IFERROR(VLOOKUP($G12,基本資料!$A:$J,5,0),"無")</f>
        <v>0</v>
      </c>
      <c r="D12" s="79">
        <f>IFERROR(VLOOKUP($G12,基本資料!$A:$J,6,0),"無")</f>
        <v>14</v>
      </c>
      <c r="E12" s="79">
        <f>IFERROR(VLOOKUP($G12,基本資料!$A:$J,7,0),"無")</f>
        <v>-16</v>
      </c>
      <c r="F12" s="6">
        <f>IFERROR(VLOOKUP($G12,基本資料!$A:$J,8,0),"無")</f>
        <v>0</v>
      </c>
      <c r="G12" s="80">
        <v>2881</v>
      </c>
      <c r="H12" s="18" t="s">
        <v>4640</v>
      </c>
      <c r="I12" s="22" t="s">
        <v>68</v>
      </c>
      <c r="J12" s="8">
        <f>IFERROR(VLOOKUP($G12,今日總結!$A:$AN,39,0),"")</f>
        <v>0</v>
      </c>
      <c r="K12" s="5" t="str">
        <f>IFERROR(VLOOKUP($G12,今日總結!$A:$AN,40,0),"")</f>
        <v>主外</v>
      </c>
      <c r="L12" s="156">
        <f>IFERROR(VLOOKUP($G12,今日總結!$A:$AN,37,0),"")</f>
        <v>0</v>
      </c>
      <c r="M12" s="337">
        <f>IFERROR(VLOOKUP($G12,今日總結!$A:$AN,38,0),"")</f>
        <v>8</v>
      </c>
      <c r="N12" s="240">
        <f t="shared" si="2"/>
        <v>-8</v>
      </c>
      <c r="O12" s="359">
        <f>IFERROR(VLOOKUP($G12,融外自投!$A:$J,7,0),"無")</f>
        <v>1288</v>
      </c>
      <c r="P12" s="79">
        <f>IFERROR(VLOOKUP($G12,融外自投!$A:$J,9,0),"無")</f>
        <v>467</v>
      </c>
      <c r="Q12" s="342">
        <f>IFERROR(VLOOKUP($G12,融外自投!$A:$J,8,0),"無")</f>
        <v>285</v>
      </c>
      <c r="R12" s="81">
        <f>IFERROR(VLOOKUP($G12,融外自投!$A:$J,10,0),"無")</f>
        <v>181</v>
      </c>
      <c r="S12" s="324">
        <f>IFERROR(VLOOKUP($G12,'321買'!$A:$E,4,0),"'沒有資料'")</f>
        <v>565</v>
      </c>
      <c r="T12" s="186">
        <f>IFERROR(VLOOKUP($G12,基本資料!$A:$J,9,0),"無")</f>
        <v>4</v>
      </c>
      <c r="U12" s="307">
        <f t="shared" si="4"/>
        <v>6.4102564102564111E-2</v>
      </c>
      <c r="V12" s="94">
        <f>IFERROR(VLOOKUP($G12,基本資料!$A:$J,10,0),"無")</f>
        <v>12.49</v>
      </c>
      <c r="W12" s="36">
        <f>RTD("money.excel",,"2881","Price")</f>
        <v>62.4</v>
      </c>
      <c r="X12" s="65">
        <v>74.400000000000006</v>
      </c>
      <c r="Y12" s="15">
        <f t="shared" si="0"/>
        <v>-12.000000000000007</v>
      </c>
      <c r="Z12" s="3">
        <f t="shared" si="1"/>
        <v>-0.16129032258064524</v>
      </c>
      <c r="AA12" s="340">
        <f>IFERROR(VLOOKUP($G12,基本資料!$A:$M,11,0),"無")</f>
        <v>-27.19</v>
      </c>
      <c r="AB12" s="389">
        <f>IFERROR(VLOOKUP($G12,基本資料!$A:$M,12,0),"無")</f>
        <v>24.41</v>
      </c>
      <c r="AC12" s="22" t="s">
        <v>68</v>
      </c>
      <c r="AD12" s="84"/>
      <c r="AE12" s="83"/>
      <c r="AF12" s="33"/>
      <c r="AG12" s="43" t="s">
        <v>2598</v>
      </c>
      <c r="AH12" s="22" t="s">
        <v>68</v>
      </c>
      <c r="AI12" s="66">
        <f t="shared" si="3"/>
        <v>1.7608588591026955</v>
      </c>
      <c r="AJ12" s="283">
        <f>RTD("money.excel",,$G12,"PredictVolume")</f>
        <v>49878</v>
      </c>
      <c r="AK12" s="392">
        <f>IFERROR(VLOOKUP($G12,基本資料!$A:$M,13,0),"無")</f>
        <v>28325.95</v>
      </c>
      <c r="AL12" s="275">
        <f>RTD("money.excel",,"2881","VolumeStrength")</f>
        <v>5</v>
      </c>
      <c r="AM12" s="40">
        <f>RTD("money.excel",,"2881","ChangePercent")</f>
        <v>-1.7322834645669292</v>
      </c>
      <c r="AR12" s="245" t="str">
        <f>INDEX(基本資料!N:N,MATCH($G12,基本資料!A:A,0))</f>
        <v>低</v>
      </c>
    </row>
    <row r="13" spans="1:44" s="245" customFormat="1">
      <c r="A13" s="343">
        <f>IFERROR(VLOOKUP($G13,基本資料!$A:$J,3,0),"無")</f>
        <v>1316</v>
      </c>
      <c r="B13" s="79">
        <f>IFERROR(VLOOKUP($G13,基本資料!$A:$J,4,0),"無")</f>
        <v>85</v>
      </c>
      <c r="C13" s="79">
        <f>IFERROR(VLOOKUP($G13,基本資料!$A:$J,5,0),"無")</f>
        <v>0</v>
      </c>
      <c r="D13" s="79">
        <f>IFERROR(VLOOKUP($G13,基本資料!$A:$J,6,0),"無")</f>
        <v>-34</v>
      </c>
      <c r="E13" s="79">
        <f>IFERROR(VLOOKUP($G13,基本資料!$A:$J,7,0),"無")</f>
        <v>-43</v>
      </c>
      <c r="F13" s="6">
        <f>IFERROR(VLOOKUP($G13,基本資料!$A:$J,8,0),"無")</f>
        <v>0</v>
      </c>
      <c r="G13" s="80">
        <v>2882</v>
      </c>
      <c r="H13" s="18" t="s">
        <v>4640</v>
      </c>
      <c r="I13" s="22" t="s">
        <v>9</v>
      </c>
      <c r="J13" s="8">
        <f>IFERROR(VLOOKUP($G13,今日總結!$A:$AN,39,0),"")</f>
        <v>0</v>
      </c>
      <c r="K13" s="5" t="str">
        <f>IFERROR(VLOOKUP($G13,今日總結!$A:$AN,40,0),"")</f>
        <v>主借</v>
      </c>
      <c r="L13" s="156">
        <f>IFERROR(VLOOKUP($G13,今日總結!$A:$AN,37,0),"")</f>
        <v>0</v>
      </c>
      <c r="M13" s="337">
        <f>IFERROR(VLOOKUP($G13,今日總結!$A:$AN,38,0),"")</f>
        <v>9</v>
      </c>
      <c r="N13" s="240">
        <f t="shared" si="2"/>
        <v>-9</v>
      </c>
      <c r="O13" s="359">
        <f>IFERROR(VLOOKUP($G13,融外自投!$A:$J,7,0),"無")</f>
        <v>1313</v>
      </c>
      <c r="P13" s="79">
        <f>IFERROR(VLOOKUP($G13,融外自投!$A:$J,9,0),"無")</f>
        <v>378</v>
      </c>
      <c r="Q13" s="342">
        <f>IFERROR(VLOOKUP($G13,融外自投!$A:$J,8,0),"無")</f>
        <v>224</v>
      </c>
      <c r="R13" s="81">
        <f>IFERROR(VLOOKUP($G13,融外自投!$A:$J,10,0),"無")</f>
        <v>173</v>
      </c>
      <c r="S13" s="324">
        <f>IFERROR(VLOOKUP($G13,'321買'!$A:$E,4,0),"'沒有資料'")</f>
        <v>300</v>
      </c>
      <c r="T13" s="186">
        <f>IFERROR(VLOOKUP($G13,基本資料!$A:$J,9,0),"無")</f>
        <v>3.5</v>
      </c>
      <c r="U13" s="307">
        <f t="shared" si="4"/>
        <v>6.5789473684210523E-2</v>
      </c>
      <c r="V13" s="94">
        <f>IFERROR(VLOOKUP($G13,基本資料!$A:$J,10,0),"無")</f>
        <v>10.34</v>
      </c>
      <c r="W13" s="36">
        <f>RTD("money.excel",,"2882","Price")</f>
        <v>53.2</v>
      </c>
      <c r="X13" s="65">
        <v>62.5</v>
      </c>
      <c r="Y13" s="15">
        <f t="shared" si="0"/>
        <v>-9.2999999999999972</v>
      </c>
      <c r="Z13" s="3">
        <f t="shared" si="1"/>
        <v>-0.14879999999999996</v>
      </c>
      <c r="AA13" s="340">
        <f>IFERROR(VLOOKUP($G13,基本資料!$A:$M,11,0),"無")</f>
        <v>-22.22</v>
      </c>
      <c r="AB13" s="389">
        <f>IFERROR(VLOOKUP($G13,基本資料!$A:$M,12,0),"無")</f>
        <v>28.91</v>
      </c>
      <c r="AC13" s="22" t="s">
        <v>9</v>
      </c>
      <c r="AD13" s="84"/>
      <c r="AE13" s="83"/>
      <c r="AF13" s="33"/>
      <c r="AG13" s="43" t="s">
        <v>2597</v>
      </c>
      <c r="AH13" s="22" t="s">
        <v>9</v>
      </c>
      <c r="AI13" s="66">
        <f t="shared" si="3"/>
        <v>1.2026356734855843</v>
      </c>
      <c r="AJ13" s="283">
        <f>RTD("money.excel",,$G13,"PredictVolume")</f>
        <v>28792</v>
      </c>
      <c r="AK13" s="392">
        <f>IFERROR(VLOOKUP($G13,基本資料!$A:$M,13,0),"無")</f>
        <v>23940.75</v>
      </c>
      <c r="AL13" s="275">
        <f>RTD("money.excel",,"2882","VolumeStrength")</f>
        <v>-24</v>
      </c>
      <c r="AM13" s="40">
        <f>RTD("money.excel",,"2882","ChangePercent")</f>
        <v>-2.0257826887661143</v>
      </c>
      <c r="AR13" s="245" t="str">
        <f>INDEX(基本資料!N:N,MATCH($G13,基本資料!A:A,0))</f>
        <v>低</v>
      </c>
    </row>
    <row r="14" spans="1:44" s="245" customFormat="1">
      <c r="A14" s="343">
        <f>IFERROR(VLOOKUP($G14,基本資料!$A:$J,3,0),"無")</f>
        <v>1949</v>
      </c>
      <c r="B14" s="79">
        <f>IFERROR(VLOOKUP($G14,基本資料!$A:$J,4,0),"無")</f>
        <v>26</v>
      </c>
      <c r="C14" s="79">
        <f>IFERROR(VLOOKUP($G14,基本資料!$A:$J,5,0),"無")</f>
        <v>0</v>
      </c>
      <c r="D14" s="79">
        <f>IFERROR(VLOOKUP($G14,基本資料!$A:$J,6,0),"無")</f>
        <v>-5</v>
      </c>
      <c r="E14" s="79">
        <f>IFERROR(VLOOKUP($G14,基本資料!$A:$J,7,0),"無")</f>
        <v>24</v>
      </c>
      <c r="F14" s="6">
        <f>IFERROR(VLOOKUP($G14,基本資料!$A:$J,8,0),"無")</f>
        <v>0</v>
      </c>
      <c r="G14" s="80">
        <v>2891</v>
      </c>
      <c r="H14" s="18" t="s">
        <v>4640</v>
      </c>
      <c r="I14" s="22" t="s">
        <v>4659</v>
      </c>
      <c r="J14" s="8">
        <f>IFERROR(VLOOKUP($G14,今日總結!$A:$AN,39,0),"")</f>
        <v>0</v>
      </c>
      <c r="K14" s="5">
        <f>IFERROR(VLOOKUP($G14,今日總結!$A:$AN,40,0),"")</f>
        <v>0</v>
      </c>
      <c r="L14" s="156">
        <f>IFERROR(VLOOKUP($G14,今日總結!$A:$AN,37,0),"")</f>
        <v>0</v>
      </c>
      <c r="M14" s="337">
        <f>IFERROR(VLOOKUP($G14,今日總結!$A:$AN,38,0),"")</f>
        <v>0</v>
      </c>
      <c r="N14" s="240">
        <f t="shared" si="2"/>
        <v>0</v>
      </c>
      <c r="O14" s="359">
        <f>IFERROR(VLOOKUP($G14,融外自投!$A:$J,7,0),"無")</f>
        <v>1377</v>
      </c>
      <c r="P14" s="79">
        <f>IFERROR(VLOOKUP($G14,融外自投!$A:$J,9,0),"無")</f>
        <v>596</v>
      </c>
      <c r="Q14" s="342">
        <f>IFERROR(VLOOKUP($G14,融外自投!$A:$J,8,0),"無")</f>
        <v>103</v>
      </c>
      <c r="R14" s="81">
        <f>IFERROR(VLOOKUP($G14,融外自投!$A:$J,10,0),"無")</f>
        <v>135</v>
      </c>
      <c r="S14" s="324">
        <f>IFERROR(VLOOKUP($G14,'321買'!$A:$E,4,0),"'沒有資料'")</f>
        <v>91</v>
      </c>
      <c r="T14" s="186">
        <f>IFERROR(VLOOKUP($G14,基本資料!$A:$J,9,0),"無")</f>
        <v>1.25</v>
      </c>
      <c r="U14" s="307">
        <f t="shared" si="4"/>
        <v>4.8638132295719845E-2</v>
      </c>
      <c r="V14" s="94">
        <f>IFERROR(VLOOKUP($G14,基本資料!$A:$J,10,0),"無")</f>
        <v>2.73</v>
      </c>
      <c r="W14" s="36">
        <f>RTD("money.excel",,"2891","Price")</f>
        <v>25.7</v>
      </c>
      <c r="X14" s="66">
        <v>29.25</v>
      </c>
      <c r="Y14" s="15">
        <f t="shared" si="0"/>
        <v>-3.5500000000000007</v>
      </c>
      <c r="Z14" s="3">
        <f t="shared" si="1"/>
        <v>-0.12136752136752139</v>
      </c>
      <c r="AA14" s="340">
        <f>IFERROR(VLOOKUP($G14,基本資料!$A:$M,11,0),"無")</f>
        <v>-16.96</v>
      </c>
      <c r="AB14" s="389">
        <f>IFERROR(VLOOKUP($G14,基本資料!$A:$M,12,0),"無")</f>
        <v>31.11</v>
      </c>
      <c r="AC14" s="22" t="s">
        <v>4659</v>
      </c>
      <c r="AD14" s="84"/>
      <c r="AE14" s="83"/>
      <c r="AF14" s="33"/>
      <c r="AG14" s="117" t="s">
        <v>2619</v>
      </c>
      <c r="AH14" s="22" t="s">
        <v>4659</v>
      </c>
      <c r="AI14" s="66">
        <f t="shared" si="3"/>
        <v>1.002972180799095</v>
      </c>
      <c r="AJ14" s="283">
        <f>RTD("money.excel",,$G14,"PredictVolume")</f>
        <v>48762</v>
      </c>
      <c r="AK14" s="392">
        <f>IFERROR(VLOOKUP($G14,基本資料!$A:$M,13,0),"無")</f>
        <v>48617.5</v>
      </c>
      <c r="AL14" s="275">
        <f>RTD("money.excel",,"2891","VolumeStrength")</f>
        <v>-33</v>
      </c>
      <c r="AM14" s="40">
        <f>RTD("money.excel",,"2891","ChangePercent")</f>
        <v>-0.38759689922480622</v>
      </c>
      <c r="AR14" s="245" t="str">
        <f>INDEX(基本資料!N:N,MATCH($G14,基本資料!A:A,0))</f>
        <v>中</v>
      </c>
    </row>
    <row r="15" spans="1:44" s="245" customFormat="1">
      <c r="A15" s="343">
        <f>IFERROR(VLOOKUP($G15,基本資料!$A:$J,3,0),"無")</f>
        <v>1359</v>
      </c>
      <c r="B15" s="79">
        <f>IFERROR(VLOOKUP($G15,基本資料!$A:$J,4,0),"無")</f>
        <v>2</v>
      </c>
      <c r="C15" s="79">
        <f>IFERROR(VLOOKUP($G15,基本資料!$A:$J,5,0),"無")</f>
        <v>0</v>
      </c>
      <c r="D15" s="79">
        <f>IFERROR(VLOOKUP($G15,基本資料!$A:$J,6,0),"無")</f>
        <v>-21</v>
      </c>
      <c r="E15" s="79">
        <f>IFERROR(VLOOKUP($G15,基本資料!$A:$J,7,0),"無")</f>
        <v>-25</v>
      </c>
      <c r="F15" s="6">
        <f>IFERROR(VLOOKUP($G15,基本資料!$A:$J,8,0),"無")</f>
        <v>0</v>
      </c>
      <c r="G15" s="80">
        <v>2886</v>
      </c>
      <c r="H15" s="18" t="s">
        <v>4640</v>
      </c>
      <c r="I15" s="22" t="s">
        <v>11</v>
      </c>
      <c r="J15" s="8">
        <f>IFERROR(VLOOKUP($G15,今日總結!$A:$AN,39,0),"")</f>
        <v>0</v>
      </c>
      <c r="K15" s="5" t="str">
        <f>IFERROR(VLOOKUP($G15,今日總結!$A:$AN,40,0),"")</f>
        <v>融借</v>
      </c>
      <c r="L15" s="156">
        <f>IFERROR(VLOOKUP($G15,今日總結!$A:$AN,37,0),"")</f>
        <v>0</v>
      </c>
      <c r="M15" s="337">
        <f>IFERROR(VLOOKUP($G15,今日總結!$A:$AN,38,0),"")</f>
        <v>4</v>
      </c>
      <c r="N15" s="240">
        <f t="shared" si="2"/>
        <v>-4</v>
      </c>
      <c r="O15" s="359">
        <f>IFERROR(VLOOKUP($G15,融外自投!$A:$J,7,0),"無")</f>
        <v>1430</v>
      </c>
      <c r="P15" s="79">
        <f>IFERROR(VLOOKUP($G15,融外自投!$A:$J,9,0),"無")</f>
        <v>186</v>
      </c>
      <c r="Q15" s="342">
        <f>IFERROR(VLOOKUP($G15,融外自投!$A:$J,8,0),"無")</f>
        <v>246</v>
      </c>
      <c r="R15" s="81">
        <f>IFERROR(VLOOKUP($G15,融外自投!$A:$J,10,0),"無")</f>
        <v>104</v>
      </c>
      <c r="S15" s="324">
        <f>IFERROR(VLOOKUP($G15,'321買'!$A:$E,4,0),"'沒有資料'")</f>
        <v>150</v>
      </c>
      <c r="T15" s="186">
        <f>IFERROR(VLOOKUP($G15,基本資料!$A:$J,9,0),"無")</f>
        <v>1.65</v>
      </c>
      <c r="U15" s="307">
        <f t="shared" si="4"/>
        <v>4.4715447154471545E-2</v>
      </c>
      <c r="V15" s="94">
        <f>IFERROR(VLOOKUP($G15,基本資料!$A:$J,10,0),"無")</f>
        <v>1.89</v>
      </c>
      <c r="W15" s="36">
        <f>RTD("money.excel",,"2886","Price")</f>
        <v>36.9</v>
      </c>
      <c r="X15" s="66">
        <v>41.6</v>
      </c>
      <c r="Y15" s="15">
        <f t="shared" si="0"/>
        <v>-4.7000000000000028</v>
      </c>
      <c r="Z15" s="3">
        <f t="shared" si="1"/>
        <v>-0.1129807692307693</v>
      </c>
      <c r="AA15" s="340">
        <f>IFERROR(VLOOKUP($G15,基本資料!$A:$M,11,0),"無")</f>
        <v>-18.72</v>
      </c>
      <c r="AB15" s="389">
        <f>IFERROR(VLOOKUP($G15,基本資料!$A:$M,12,0),"無")</f>
        <v>27.93</v>
      </c>
      <c r="AC15" s="22" t="s">
        <v>11</v>
      </c>
      <c r="AD15" s="84"/>
      <c r="AE15" s="83"/>
      <c r="AF15" s="33"/>
      <c r="AG15" s="117" t="s">
        <v>2599</v>
      </c>
      <c r="AH15" s="22" t="s">
        <v>11</v>
      </c>
      <c r="AI15" s="66">
        <f t="shared" si="3"/>
        <v>0.93193892618471319</v>
      </c>
      <c r="AJ15" s="283">
        <f>RTD("money.excel",,$G15,"PredictVolume")</f>
        <v>24488</v>
      </c>
      <c r="AK15" s="392">
        <f>IFERROR(VLOOKUP($G15,基本資料!$A:$M,13,0),"無")</f>
        <v>26276.400000000001</v>
      </c>
      <c r="AL15" s="275">
        <f>RTD("money.excel",,"2886","VolumeStrength")</f>
        <v>-16</v>
      </c>
      <c r="AM15" s="40">
        <f>RTD("money.excel",,"2886","ChangePercent")</f>
        <v>-0.13531799729364005</v>
      </c>
      <c r="AR15" s="245" t="str">
        <f>INDEX(基本資料!N:N,MATCH($G15,基本資料!A:A,0))</f>
        <v>中</v>
      </c>
    </row>
    <row r="16" spans="1:44" s="245" customFormat="1">
      <c r="A16" s="343">
        <f>IFERROR(VLOOKUP($G16,基本資料!$A:$J,3,0),"無")</f>
        <v>1335</v>
      </c>
      <c r="B16" s="79">
        <f>IFERROR(VLOOKUP($G16,基本資料!$A:$J,4,0),"無")</f>
        <v>14</v>
      </c>
      <c r="C16" s="79">
        <f>IFERROR(VLOOKUP($G16,基本資料!$A:$J,5,0),"無")</f>
        <v>0</v>
      </c>
      <c r="D16" s="79">
        <f>IFERROR(VLOOKUP($G16,基本資料!$A:$J,6,0),"無")</f>
        <v>-15</v>
      </c>
      <c r="E16" s="79">
        <f>IFERROR(VLOOKUP($G16,基本資料!$A:$J,7,0),"無")</f>
        <v>-21</v>
      </c>
      <c r="F16" s="6">
        <f>IFERROR(VLOOKUP($G16,基本資料!$A:$J,8,0),"無")</f>
        <v>0</v>
      </c>
      <c r="G16" s="80">
        <v>2884</v>
      </c>
      <c r="H16" s="18" t="s">
        <v>4640</v>
      </c>
      <c r="I16" s="22" t="s">
        <v>269</v>
      </c>
      <c r="J16" s="8">
        <f>IFERROR(VLOOKUP($G16,今日總結!$A:$AN,39,0),"")</f>
        <v>0</v>
      </c>
      <c r="K16" s="5">
        <f>IFERROR(VLOOKUP($G16,今日總結!$A:$AN,40,0),"")</f>
        <v>0</v>
      </c>
      <c r="L16" s="156">
        <f>IFERROR(VLOOKUP($G16,今日總結!$A:$AN,37,0),"")</f>
        <v>0</v>
      </c>
      <c r="M16" s="337">
        <f>IFERROR(VLOOKUP($G16,今日總結!$A:$AN,38,0),"")</f>
        <v>0</v>
      </c>
      <c r="N16" s="240">
        <f t="shared" si="2"/>
        <v>0</v>
      </c>
      <c r="O16" s="359">
        <f>IFERROR(VLOOKUP($G16,融外自投!$A:$J,7,0),"無")</f>
        <v>1392</v>
      </c>
      <c r="P16" s="79">
        <f>IFERROR(VLOOKUP($G16,融外自投!$A:$J,9,0),"無")</f>
        <v>635</v>
      </c>
      <c r="Q16" s="342">
        <f>IFERROR(VLOOKUP($G16,融外自投!$A:$J,8,0),"無")</f>
        <v>128</v>
      </c>
      <c r="R16" s="81">
        <f>IFERROR(VLOOKUP($G16,融外自投!$A:$J,10,0),"無")</f>
        <v>168</v>
      </c>
      <c r="S16" s="324">
        <f>IFERROR(VLOOKUP($G16,'321買'!$A:$E,4,0),"'沒有資料'")</f>
        <v>108</v>
      </c>
      <c r="T16" s="186">
        <f>IFERROR(VLOOKUP($G16,基本資料!$A:$J,9,0),"無")</f>
        <v>1.34</v>
      </c>
      <c r="U16" s="307">
        <f t="shared" si="4"/>
        <v>4.6048109965635742E-2</v>
      </c>
      <c r="V16" s="94">
        <f>IFERROR(VLOOKUP($G16,基本資料!$A:$J,10,0),"無")</f>
        <v>1.54</v>
      </c>
      <c r="W16" s="36">
        <f>RTD("money.excel",,"2884","Price")</f>
        <v>29.1</v>
      </c>
      <c r="X16" s="66">
        <v>33.85</v>
      </c>
      <c r="Y16" s="15">
        <f t="shared" si="0"/>
        <v>-4.75</v>
      </c>
      <c r="Z16" s="3">
        <f t="shared" si="1"/>
        <v>-0.14032496307237813</v>
      </c>
      <c r="AA16" s="340">
        <f>IFERROR(VLOOKUP($G16,基本資料!$A:$M,11,0),"無")</f>
        <v>-18.489999999999998</v>
      </c>
      <c r="AB16" s="389">
        <f>IFERROR(VLOOKUP($G16,基本資料!$A:$M,12,0),"無")</f>
        <v>32.22</v>
      </c>
      <c r="AC16" s="22" t="s">
        <v>269</v>
      </c>
      <c r="AD16" s="84"/>
      <c r="AE16" s="83"/>
      <c r="AF16" s="5"/>
      <c r="AG16" s="117" t="s">
        <v>2015</v>
      </c>
      <c r="AH16" s="22" t="s">
        <v>269</v>
      </c>
      <c r="AI16" s="66">
        <f t="shared" si="3"/>
        <v>0.83761341335505168</v>
      </c>
      <c r="AJ16" s="283">
        <f>RTD("money.excel",,$G16,"PredictVolume")</f>
        <v>27871</v>
      </c>
      <c r="AK16" s="392">
        <f>IFERROR(VLOOKUP($G16,基本資料!$A:$M,13,0),"無")</f>
        <v>33274.300000000003</v>
      </c>
      <c r="AL16" s="275">
        <f>RTD("money.excel",,"2884","VolumeStrength")</f>
        <v>-41</v>
      </c>
      <c r="AM16" s="40">
        <f>RTD("money.excel",,"2884","ChangePercent")</f>
        <v>-1.1884550084889642</v>
      </c>
      <c r="AR16" s="245" t="str">
        <f>INDEX(基本資料!N:N,MATCH($G16,基本資料!A:A,0))</f>
        <v>低</v>
      </c>
    </row>
    <row r="17" spans="1:44" s="245" customFormat="1">
      <c r="A17" s="343">
        <f>IFERROR(VLOOKUP($G17,基本資料!$A:$J,3,0),"無")</f>
        <v>1360</v>
      </c>
      <c r="B17" s="79">
        <f>IFERROR(VLOOKUP($G17,基本資料!$A:$J,4,0),"無")</f>
        <v>23</v>
      </c>
      <c r="C17" s="79">
        <f>IFERROR(VLOOKUP($G17,基本資料!$A:$J,5,0),"無")</f>
        <v>0</v>
      </c>
      <c r="D17" s="79">
        <f>IFERROR(VLOOKUP($G17,基本資料!$A:$J,6,0),"無")</f>
        <v>-13</v>
      </c>
      <c r="E17" s="79">
        <f>IFERROR(VLOOKUP($G17,基本資料!$A:$J,7,0),"無")</f>
        <v>-25</v>
      </c>
      <c r="F17" s="6">
        <f>IFERROR(VLOOKUP($G17,基本資料!$A:$J,8,0),"無")</f>
        <v>0</v>
      </c>
      <c r="G17" s="80">
        <v>5880</v>
      </c>
      <c r="H17" s="18" t="s">
        <v>4640</v>
      </c>
      <c r="I17" s="22" t="s">
        <v>4662</v>
      </c>
      <c r="J17" s="8">
        <f>IFERROR(VLOOKUP($G17,今日總結!$A:$AN,39,0),"")</f>
        <v>0</v>
      </c>
      <c r="K17" s="5">
        <f>IFERROR(VLOOKUP($G17,今日總結!$A:$AN,40,0),"")</f>
        <v>0</v>
      </c>
      <c r="L17" s="156">
        <f>IFERROR(VLOOKUP($G17,今日總結!$A:$AN,37,0),"")</f>
        <v>0</v>
      </c>
      <c r="M17" s="337">
        <f>IFERROR(VLOOKUP($G17,今日總結!$A:$AN,38,0),"")</f>
        <v>0</v>
      </c>
      <c r="N17" s="240">
        <f t="shared" si="2"/>
        <v>0</v>
      </c>
      <c r="O17" s="359">
        <f>IFERROR(VLOOKUP($G17,融外自投!$A:$J,7,0),"無")</f>
        <v>1437</v>
      </c>
      <c r="P17" s="79">
        <f>IFERROR(VLOOKUP($G17,融外自投!$A:$J,9,0),"無")</f>
        <v>615</v>
      </c>
      <c r="Q17" s="342">
        <f>IFERROR(VLOOKUP($G17,融外自投!$A:$J,8,0),"無")</f>
        <v>303</v>
      </c>
      <c r="R17" s="81">
        <f>IFERROR(VLOOKUP($G17,融外自投!$A:$J,10,0),"無")</f>
        <v>212</v>
      </c>
      <c r="S17" s="324">
        <f>IFERROR(VLOOKUP($G17,'321買'!$A:$E,4,0),"'沒有資料'")</f>
        <v>178</v>
      </c>
      <c r="T17" s="186">
        <f>IFERROR(VLOOKUP($G17,基本資料!$A:$J,9,0),"無")</f>
        <v>1.3</v>
      </c>
      <c r="U17" s="307">
        <f t="shared" si="4"/>
        <v>5.0682261208577002E-2</v>
      </c>
      <c r="V17" s="94">
        <f>IFERROR(VLOOKUP($G17,基本資料!$A:$J,10,0),"無")</f>
        <v>1.51</v>
      </c>
      <c r="W17" s="36">
        <f>RTD("money.excel",,"5880","Price")</f>
        <v>25.65</v>
      </c>
      <c r="X17" s="66">
        <v>28.5</v>
      </c>
      <c r="Y17" s="15">
        <f t="shared" si="0"/>
        <v>-2.8500000000000014</v>
      </c>
      <c r="Z17" s="3">
        <f t="shared" si="1"/>
        <v>-0.10000000000000005</v>
      </c>
      <c r="AA17" s="340">
        <f>IFERROR(VLOOKUP($G17,基本資料!$A:$M,11,0),"無")</f>
        <v>-18.57</v>
      </c>
      <c r="AB17" s="389">
        <f>IFERROR(VLOOKUP($G17,基本資料!$A:$M,12,0),"無")</f>
        <v>27.4</v>
      </c>
      <c r="AC17" s="22" t="s">
        <v>4662</v>
      </c>
      <c r="AD17" s="84"/>
      <c r="AE17" s="83"/>
      <c r="AF17" s="5"/>
      <c r="AG17" s="117" t="s">
        <v>2602</v>
      </c>
      <c r="AH17" s="22" t="s">
        <v>4662</v>
      </c>
      <c r="AI17" s="66">
        <f t="shared" si="3"/>
        <v>0.81889300629374739</v>
      </c>
      <c r="AJ17" s="283">
        <f>RTD("money.excel",,$G17,"PredictVolume")</f>
        <v>13922</v>
      </c>
      <c r="AK17" s="392">
        <f>IFERROR(VLOOKUP($G17,基本資料!$A:$M,13,0),"無")</f>
        <v>17001</v>
      </c>
      <c r="AL17" s="275">
        <f>RTD("money.excel",,"5880","VolumeStrength")</f>
        <v>-26</v>
      </c>
      <c r="AM17" s="40">
        <f>RTD("money.excel",,"5880","ChangePercent")</f>
        <v>0.58823529411764708</v>
      </c>
      <c r="AR17" s="245" t="str">
        <f>INDEX(基本資料!N:N,MATCH($G17,基本資料!A:A,0))</f>
        <v>中</v>
      </c>
    </row>
    <row r="18" spans="1:44" s="245" customFormat="1">
      <c r="A18" s="343">
        <f>IFERROR(VLOOKUP($G18,基本資料!$A:$J,3,0),"無")</f>
        <v>1296</v>
      </c>
      <c r="B18" s="79">
        <f>IFERROR(VLOOKUP($G18,基本資料!$A:$J,4,0),"無")</f>
        <v>17</v>
      </c>
      <c r="C18" s="79">
        <f>IFERROR(VLOOKUP($G18,基本資料!$A:$J,5,0),"無")</f>
        <v>0</v>
      </c>
      <c r="D18" s="79">
        <f>IFERROR(VLOOKUP($G18,基本資料!$A:$J,6,0),"無")</f>
        <v>-8</v>
      </c>
      <c r="E18" s="79">
        <f>IFERROR(VLOOKUP($G18,基本資料!$A:$J,7,0),"無")</f>
        <v>1</v>
      </c>
      <c r="F18" s="6">
        <f>IFERROR(VLOOKUP($G18,基本資料!$A:$J,8,0),"無")</f>
        <v>0</v>
      </c>
      <c r="G18" s="80">
        <v>2892</v>
      </c>
      <c r="H18" s="18" t="s">
        <v>4640</v>
      </c>
      <c r="I18" s="22" t="s">
        <v>272</v>
      </c>
      <c r="J18" s="8" t="str">
        <f>IFERROR(VLOOKUP($G18,今日總結!$A:$AN,39,0),"")</f>
        <v>投</v>
      </c>
      <c r="K18" s="5">
        <f>IFERROR(VLOOKUP($G18,今日總結!$A:$AN,40,0),"")</f>
        <v>0</v>
      </c>
      <c r="L18" s="156">
        <f>IFERROR(VLOOKUP($G18,今日總結!$A:$AN,37,0),"")</f>
        <v>9</v>
      </c>
      <c r="M18" s="337">
        <f>IFERROR(VLOOKUP($G18,今日總結!$A:$AN,38,0),"")</f>
        <v>0</v>
      </c>
      <c r="N18" s="240">
        <f t="shared" si="2"/>
        <v>9</v>
      </c>
      <c r="O18" s="359">
        <f>IFERROR(VLOOKUP($G18,融外自投!$A:$J,7,0),"無")</f>
        <v>1434</v>
      </c>
      <c r="P18" s="79">
        <f>IFERROR(VLOOKUP($G18,融外自投!$A:$J,9,0),"無")</f>
        <v>649</v>
      </c>
      <c r="Q18" s="342">
        <f>IFERROR(VLOOKUP($G18,融外自投!$A:$J,8,0),"無")</f>
        <v>231</v>
      </c>
      <c r="R18" s="81">
        <f>IFERROR(VLOOKUP($G18,融外自投!$A:$J,10,0),"無")</f>
        <v>133</v>
      </c>
      <c r="S18" s="324">
        <f>IFERROR(VLOOKUP($G18,'321買'!$A:$E,4,0),"'沒有資料'")</f>
        <v>156</v>
      </c>
      <c r="T18" s="186">
        <f>IFERROR(VLOOKUP($G18,基本資料!$A:$J,9,0),"無")</f>
        <v>1.2</v>
      </c>
      <c r="U18" s="307">
        <f t="shared" si="4"/>
        <v>4.6692607003891051E-2</v>
      </c>
      <c r="V18" s="94">
        <f>IFERROR(VLOOKUP($G18,基本資料!$A:$J,10,0),"無")</f>
        <v>1.52</v>
      </c>
      <c r="W18" s="36">
        <f>RTD("money.excel",,"2892","Price")</f>
        <v>25.7</v>
      </c>
      <c r="X18" s="66">
        <v>27.8</v>
      </c>
      <c r="Y18" s="15">
        <f t="shared" si="0"/>
        <v>-2.1000000000000014</v>
      </c>
      <c r="Z18" s="3">
        <f t="shared" si="1"/>
        <v>-7.5539568345323785E-2</v>
      </c>
      <c r="AA18" s="340">
        <f>IFERROR(VLOOKUP($G18,基本資料!$A:$M,11,0),"無")</f>
        <v>-14.33</v>
      </c>
      <c r="AB18" s="389">
        <f>IFERROR(VLOOKUP($G18,基本資料!$A:$M,12,0),"無")</f>
        <v>30.2</v>
      </c>
      <c r="AC18" s="22" t="s">
        <v>272</v>
      </c>
      <c r="AD18" s="84"/>
      <c r="AE18" s="83"/>
      <c r="AF18" s="33"/>
      <c r="AG18" s="117" t="s">
        <v>1502</v>
      </c>
      <c r="AH18" s="22" t="s">
        <v>272</v>
      </c>
      <c r="AI18" s="66">
        <f t="shared" si="3"/>
        <v>1.0679091104580316</v>
      </c>
      <c r="AJ18" s="283">
        <f>RTD("money.excel",,$G18,"PredictVolume")</f>
        <v>18623</v>
      </c>
      <c r="AK18" s="392">
        <f>IFERROR(VLOOKUP($G18,基本資料!$A:$M,13,0),"無")</f>
        <v>17438.75</v>
      </c>
      <c r="AL18" s="275">
        <f>RTD("money.excel",,"2892","VolumeStrength")</f>
        <v>8</v>
      </c>
      <c r="AM18" s="40">
        <f>RTD("money.excel",,"2892","ChangePercent")</f>
        <v>0.390625</v>
      </c>
      <c r="AR18" s="245" t="str">
        <f>INDEX(基本資料!N:N,MATCH($G18,基本資料!A:A,0))</f>
        <v>中</v>
      </c>
    </row>
    <row r="19" spans="1:44" s="245" customFormat="1">
      <c r="A19" s="343">
        <f>IFERROR(VLOOKUP($G19,基本資料!$A:$J,3,0),"無")</f>
        <v>1213</v>
      </c>
      <c r="B19" s="79">
        <f>IFERROR(VLOOKUP($G19,基本資料!$A:$J,4,0),"無")</f>
        <v>43</v>
      </c>
      <c r="C19" s="79">
        <f>IFERROR(VLOOKUP($G19,基本資料!$A:$J,5,0),"無")</f>
        <v>0</v>
      </c>
      <c r="D19" s="79">
        <f>IFERROR(VLOOKUP($G19,基本資料!$A:$J,6,0),"無")</f>
        <v>-12</v>
      </c>
      <c r="E19" s="79">
        <f>IFERROR(VLOOKUP($G19,基本資料!$A:$J,7,0),"無")</f>
        <v>-31</v>
      </c>
      <c r="F19" s="6">
        <f>IFERROR(VLOOKUP($G19,基本資料!$A:$J,8,0),"無")</f>
        <v>0</v>
      </c>
      <c r="G19" s="80">
        <v>2885</v>
      </c>
      <c r="H19" s="18" t="s">
        <v>4640</v>
      </c>
      <c r="I19" s="22" t="s">
        <v>4656</v>
      </c>
      <c r="J19" s="8" t="str">
        <f>IFERROR(VLOOKUP($G19,今日總結!$A:$AN,39,0),"")</f>
        <v>投</v>
      </c>
      <c r="K19" s="5" t="str">
        <f>IFERROR(VLOOKUP($G19,今日總結!$A:$AN,40,0),"")</f>
        <v>主外</v>
      </c>
      <c r="L19" s="156">
        <f>IFERROR(VLOOKUP($G19,今日總結!$A:$AN,37,0),"")</f>
        <v>22</v>
      </c>
      <c r="M19" s="337">
        <f>IFERROR(VLOOKUP($G19,今日總結!$A:$AN,38,0),"")</f>
        <v>25</v>
      </c>
      <c r="N19" s="240">
        <f t="shared" si="2"/>
        <v>-3</v>
      </c>
      <c r="O19" s="359">
        <f>IFERROR(VLOOKUP($G19,融外自投!$A:$J,7,0),"無")</f>
        <v>1398</v>
      </c>
      <c r="P19" s="79">
        <f>IFERROR(VLOOKUP($G19,融外自投!$A:$J,9,0),"無")</f>
        <v>392</v>
      </c>
      <c r="Q19" s="342">
        <f>IFERROR(VLOOKUP($G19,融外自投!$A:$J,8,0),"無")</f>
        <v>192</v>
      </c>
      <c r="R19" s="81">
        <f>IFERROR(VLOOKUP($G19,融外自投!$A:$J,10,0),"無")</f>
        <v>120</v>
      </c>
      <c r="S19" s="324">
        <f>IFERROR(VLOOKUP($G19,'321買'!$A:$E,4,0),"'沒有資料'")</f>
        <v>497</v>
      </c>
      <c r="T19" s="186">
        <f>IFERROR(VLOOKUP($G19,基本資料!$A:$J,9,0),"無")</f>
        <v>1.8</v>
      </c>
      <c r="U19" s="307">
        <f t="shared" si="4"/>
        <v>7.4999999999999997E-2</v>
      </c>
      <c r="V19" s="94">
        <f>IFERROR(VLOOKUP($G19,基本資料!$A:$J,10,0),"無")</f>
        <v>2.87</v>
      </c>
      <c r="W19" s="36">
        <f>RTD("money.excel",,"2885","Price")</f>
        <v>24</v>
      </c>
      <c r="X19" s="66">
        <v>26.15</v>
      </c>
      <c r="Y19" s="15">
        <f t="shared" si="0"/>
        <v>-2.1499999999999986</v>
      </c>
      <c r="Z19" s="3">
        <f t="shared" si="1"/>
        <v>-8.2217973231357502E-2</v>
      </c>
      <c r="AA19" s="340">
        <f>IFERROR(VLOOKUP($G19,基本資料!$A:$M,11,0),"無")</f>
        <v>-13.67</v>
      </c>
      <c r="AB19" s="389">
        <f>IFERROR(VLOOKUP($G19,基本資料!$A:$M,12,0),"無")</f>
        <v>36.14</v>
      </c>
      <c r="AC19" s="22" t="s">
        <v>4656</v>
      </c>
      <c r="AD19" s="84"/>
      <c r="AE19" s="83"/>
      <c r="AF19" s="5"/>
      <c r="AG19" s="117" t="s">
        <v>1433</v>
      </c>
      <c r="AH19" s="22" t="s">
        <v>4656</v>
      </c>
      <c r="AI19" s="66">
        <f t="shared" si="3"/>
        <v>1.050046118723367</v>
      </c>
      <c r="AJ19" s="283">
        <f>RTD("money.excel",,$G19,"PredictVolume")</f>
        <v>25159</v>
      </c>
      <c r="AK19" s="392">
        <f>IFERROR(VLOOKUP($G19,基本資料!$A:$M,13,0),"無")</f>
        <v>23959.9</v>
      </c>
      <c r="AL19" s="275">
        <f>RTD("money.excel",,"2885","VolumeStrength")</f>
        <v>3</v>
      </c>
      <c r="AM19" s="40">
        <f>RTD("money.excel",,"2885","ChangePercent")</f>
        <v>0.62893081761006286</v>
      </c>
      <c r="AR19" s="245" t="str">
        <f>INDEX(基本資料!N:N,MATCH($G19,基本資料!A:A,0))</f>
        <v>低</v>
      </c>
    </row>
    <row r="20" spans="1:44" s="245" customFormat="1">
      <c r="A20" s="343">
        <f>IFERROR(VLOOKUP($G20,基本資料!$A:$J,3,0),"無")</f>
        <v>1319</v>
      </c>
      <c r="B20" s="79">
        <f>IFERROR(VLOOKUP($G20,基本資料!$A:$J,4,0),"無")</f>
        <v>98</v>
      </c>
      <c r="C20" s="79">
        <f>IFERROR(VLOOKUP($G20,基本資料!$A:$J,5,0),"無")</f>
        <v>0</v>
      </c>
      <c r="D20" s="79">
        <f>IFERROR(VLOOKUP($G20,基本資料!$A:$J,6,0),"無")</f>
        <v>-7</v>
      </c>
      <c r="E20" s="79">
        <f>IFERROR(VLOOKUP($G20,基本資料!$A:$J,7,0),"無")</f>
        <v>9</v>
      </c>
      <c r="F20" s="6">
        <f>IFERROR(VLOOKUP($G20,基本資料!$A:$J,8,0),"無")</f>
        <v>0</v>
      </c>
      <c r="G20" s="80">
        <v>2880</v>
      </c>
      <c r="H20" s="18" t="s">
        <v>4640</v>
      </c>
      <c r="I20" s="22" t="s">
        <v>4654</v>
      </c>
      <c r="J20" s="8">
        <f>IFERROR(VLOOKUP($G20,今日總結!$A:$AN,39,0),"")</f>
        <v>0</v>
      </c>
      <c r="K20" s="5">
        <f>IFERROR(VLOOKUP($G20,今日總結!$A:$AN,40,0),"")</f>
        <v>0</v>
      </c>
      <c r="L20" s="156">
        <f>IFERROR(VLOOKUP($G20,今日總結!$A:$AN,37,0),"")</f>
        <v>0</v>
      </c>
      <c r="M20" s="337">
        <f>IFERROR(VLOOKUP($G20,今日總結!$A:$AN,38,0),"")</f>
        <v>0</v>
      </c>
      <c r="N20" s="240">
        <f t="shared" si="2"/>
        <v>0</v>
      </c>
      <c r="O20" s="359">
        <f>IFERROR(VLOOKUP($G20,融外自投!$A:$J,7,0),"無")</f>
        <v>1416</v>
      </c>
      <c r="P20" s="79">
        <f>IFERROR(VLOOKUP($G20,融外自投!$A:$J,9,0),"無")</f>
        <v>649</v>
      </c>
      <c r="Q20" s="342">
        <f>IFERROR(VLOOKUP($G20,融外自投!$A:$J,8,0),"無")</f>
        <v>321</v>
      </c>
      <c r="R20" s="81">
        <f>IFERROR(VLOOKUP($G20,融外自投!$A:$J,10,0),"無")</f>
        <v>211</v>
      </c>
      <c r="S20" s="324">
        <f>IFERROR(VLOOKUP($G20,'321買'!$A:$E,4,0),"'沒有資料'")</f>
        <v>156</v>
      </c>
      <c r="T20" s="186">
        <f>IFERROR(VLOOKUP($G20,基本資料!$A:$J,9,0),"無")</f>
        <v>1.1200000000000001</v>
      </c>
      <c r="U20" s="307">
        <f t="shared" si="4"/>
        <v>5.1141552511415535E-2</v>
      </c>
      <c r="V20" s="94">
        <f>IFERROR(VLOOKUP($G20,基本資料!$A:$J,10,0),"無")</f>
        <v>1.3</v>
      </c>
      <c r="W20" s="36">
        <f>RTD("money.excel",,"2880","Price")</f>
        <v>21.9</v>
      </c>
      <c r="X20" s="66">
        <v>23.75</v>
      </c>
      <c r="Y20" s="15">
        <f t="shared" si="0"/>
        <v>-1.8500000000000014</v>
      </c>
      <c r="Z20" s="3">
        <f t="shared" si="1"/>
        <v>-7.7894736842105322E-2</v>
      </c>
      <c r="AA20" s="340">
        <f>IFERROR(VLOOKUP($G20,基本資料!$A:$M,11,0),"無")</f>
        <v>-14.79</v>
      </c>
      <c r="AB20" s="389">
        <f>IFERROR(VLOOKUP($G20,基本資料!$A:$M,12,0),"無")</f>
        <v>27.38</v>
      </c>
      <c r="AC20" s="22" t="s">
        <v>4654</v>
      </c>
      <c r="AD20" s="84"/>
      <c r="AE20" s="83"/>
      <c r="AF20" s="5"/>
      <c r="AG20" s="117" t="s">
        <v>1502</v>
      </c>
      <c r="AH20" s="22" t="s">
        <v>4654</v>
      </c>
      <c r="AI20" s="66">
        <f t="shared" si="3"/>
        <v>0.73034303776880494</v>
      </c>
      <c r="AJ20" s="283">
        <f>RTD("money.excel",,$G20,"PredictVolume")</f>
        <v>10328</v>
      </c>
      <c r="AK20" s="392">
        <f>IFERROR(VLOOKUP($G20,基本資料!$A:$M,13,0),"無")</f>
        <v>14141.3</v>
      </c>
      <c r="AL20" s="275">
        <f>RTD("money.excel",,"2880","VolumeStrength")</f>
        <v>-25</v>
      </c>
      <c r="AM20" s="40">
        <f>RTD("money.excel",,"2880","ChangePercent")</f>
        <v>0</v>
      </c>
      <c r="AR20" s="245" t="str">
        <f>INDEX(基本資料!N:N,MATCH($G20,基本資料!A:A,0))</f>
        <v>中</v>
      </c>
    </row>
    <row r="21" spans="1:44" s="245" customFormat="1">
      <c r="A21" s="343">
        <f>IFERROR(VLOOKUP($G21,基本資料!$A:$J,3,0),"無")</f>
        <v>145</v>
      </c>
      <c r="B21" s="79">
        <f>IFERROR(VLOOKUP($G21,基本資料!$A:$J,4,0),"無")</f>
        <v>29</v>
      </c>
      <c r="C21" s="79">
        <f>IFERROR(VLOOKUP($G21,基本資料!$A:$J,5,0),"無")</f>
        <v>41</v>
      </c>
      <c r="D21" s="79">
        <f>IFERROR(VLOOKUP($G21,基本資料!$A:$J,6,0),"無")</f>
        <v>-5</v>
      </c>
      <c r="E21" s="79">
        <f>IFERROR(VLOOKUP($G21,基本資料!$A:$J,7,0),"無")</f>
        <v>19</v>
      </c>
      <c r="F21" s="6">
        <f>IFERROR(VLOOKUP($G21,基本資料!$A:$J,8,0),"無")</f>
        <v>46.4</v>
      </c>
      <c r="G21" s="80">
        <v>5871</v>
      </c>
      <c r="H21" s="5" t="s">
        <v>1959</v>
      </c>
      <c r="I21" s="22" t="s">
        <v>255</v>
      </c>
      <c r="J21" s="8">
        <f>IFERROR(VLOOKUP($G21,今日總結!$A:$AN,39,0),"")</f>
        <v>0</v>
      </c>
      <c r="K21" s="5" t="str">
        <f>IFERROR(VLOOKUP($G21,今日總結!$A:$AN,40,0),"")</f>
        <v>主</v>
      </c>
      <c r="L21" s="156">
        <f>IFERROR(VLOOKUP($G21,今日總結!$A:$AN,37,0),"")</f>
        <v>0</v>
      </c>
      <c r="M21" s="337">
        <f>IFERROR(VLOOKUP($G21,今日總結!$A:$AN,38,0),"")</f>
        <v>4</v>
      </c>
      <c r="N21" s="240">
        <f t="shared" si="2"/>
        <v>-4</v>
      </c>
      <c r="O21" s="359">
        <f>IFERROR(VLOOKUP($G21,融外自投!$A:$J,7,0),"無")</f>
        <v>1306</v>
      </c>
      <c r="P21" s="79">
        <f>IFERROR(VLOOKUP($G21,融外自投!$A:$J,9,0),"無")</f>
        <v>635</v>
      </c>
      <c r="Q21" s="342">
        <f>IFERROR(VLOOKUP($G21,融外自投!$A:$J,8,0),"無")</f>
        <v>14</v>
      </c>
      <c r="R21" s="81">
        <f>IFERROR(VLOOKUP($G21,融外自投!$A:$J,10,0),"無")</f>
        <v>181</v>
      </c>
      <c r="S21" s="324">
        <f>IFERROR(VLOOKUP($G21,'321買'!$A:$E,4,0),"'沒有資料'")</f>
        <v>565</v>
      </c>
      <c r="T21" s="186">
        <f>IFERROR(VLOOKUP($G21,基本資料!$A:$J,9,0),"無")</f>
        <v>6.5</v>
      </c>
      <c r="U21" s="307">
        <f t="shared" si="4"/>
        <v>3.367875647668394E-2</v>
      </c>
      <c r="V21" s="94">
        <f>IFERROR(VLOOKUP($G21,基本資料!$A:$J,10,0),"無")</f>
        <v>14.8</v>
      </c>
      <c r="W21" s="36">
        <f>RTD("money.excel",,"5871","Price")</f>
        <v>193</v>
      </c>
      <c r="X21" s="66">
        <v>236.5</v>
      </c>
      <c r="Y21" s="15">
        <f t="shared" si="0"/>
        <v>-43.5</v>
      </c>
      <c r="Z21" s="3">
        <f t="shared" si="1"/>
        <v>-0.1839323467230444</v>
      </c>
      <c r="AA21" s="340">
        <f>IFERROR(VLOOKUP($G21,基本資料!$A:$M,11,0),"無")</f>
        <v>-31.92</v>
      </c>
      <c r="AB21" s="389">
        <f>IFERROR(VLOOKUP($G21,基本資料!$A:$M,12,0),"無")</f>
        <v>19.34</v>
      </c>
      <c r="AC21" s="22" t="s">
        <v>255</v>
      </c>
      <c r="AD21" s="84"/>
      <c r="AE21" s="83"/>
      <c r="AF21" s="33"/>
      <c r="AG21" s="117" t="s">
        <v>2820</v>
      </c>
      <c r="AH21" s="22" t="s">
        <v>255</v>
      </c>
      <c r="AI21" s="66">
        <f t="shared" si="3"/>
        <v>1.2867787949755163</v>
      </c>
      <c r="AJ21" s="283">
        <f>RTD("money.excel",,$G21,"PredictVolume")</f>
        <v>6044</v>
      </c>
      <c r="AK21" s="392">
        <f>IFERROR(VLOOKUP($G21,基本資料!$A:$M,13,0),"無")</f>
        <v>4697</v>
      </c>
      <c r="AL21" s="275">
        <f>RTD("money.excel",,"5871","VolumeStrength")</f>
        <v>-35</v>
      </c>
      <c r="AM21" s="40">
        <f>RTD("money.excel",,"5871","ChangePercent")</f>
        <v>0.25974025974025972</v>
      </c>
      <c r="AR21" s="245" t="str">
        <f>INDEX(基本資料!N:N,MATCH($G21,基本資料!A:A,0))</f>
        <v>低</v>
      </c>
    </row>
    <row r="22" spans="1:44" s="245" customFormat="1">
      <c r="A22" s="343">
        <f>IFERROR(VLOOKUP($G22,基本資料!$A:$J,3,0),"無")</f>
        <v>529</v>
      </c>
      <c r="B22" s="79">
        <f>IFERROR(VLOOKUP($G22,基本資料!$A:$J,4,0),"無")</f>
        <v>814</v>
      </c>
      <c r="C22" s="79">
        <f>IFERROR(VLOOKUP($G22,基本資料!$A:$J,5,0),"無")</f>
        <v>721</v>
      </c>
      <c r="D22" s="79">
        <f>IFERROR(VLOOKUP($G22,基本資料!$A:$J,6,0),"無")</f>
        <v>-4</v>
      </c>
      <c r="E22" s="79">
        <f>IFERROR(VLOOKUP($G22,基本資料!$A:$J,7,0),"無")</f>
        <v>102</v>
      </c>
      <c r="F22" s="6">
        <f>IFERROR(VLOOKUP($G22,基本資料!$A:$J,8,0),"無")</f>
        <v>58.21</v>
      </c>
      <c r="G22" s="80">
        <v>2603</v>
      </c>
      <c r="H22" s="5" t="s">
        <v>302</v>
      </c>
      <c r="I22" s="22" t="s">
        <v>264</v>
      </c>
      <c r="J22" s="8">
        <f>IFERROR(VLOOKUP($G22,今日總結!$A:$AN,39,0),"")</f>
        <v>0</v>
      </c>
      <c r="K22" s="5" t="str">
        <f>IFERROR(VLOOKUP($G22,今日總結!$A:$AN,40,0),"")</f>
        <v>同</v>
      </c>
      <c r="L22" s="156">
        <f>IFERROR(VLOOKUP($G22,今日總結!$A:$AN,37,0),"")</f>
        <v>0</v>
      </c>
      <c r="M22" s="337">
        <f>IFERROR(VLOOKUP($G22,今日總結!$A:$AN,38,0),"")</f>
        <v>1</v>
      </c>
      <c r="N22" s="240">
        <f t="shared" si="2"/>
        <v>-1</v>
      </c>
      <c r="O22" s="359">
        <f>IFERROR(VLOOKUP($G22,融外自投!$A:$J,7,0),"無")</f>
        <v>312</v>
      </c>
      <c r="P22" s="79">
        <f>IFERROR(VLOOKUP($G22,融外自投!$A:$J,9,0),"無")</f>
        <v>113</v>
      </c>
      <c r="Q22" s="342">
        <f>IFERROR(VLOOKUP($G22,融外自投!$A:$J,8,0),"無")</f>
        <v>203</v>
      </c>
      <c r="R22" s="81">
        <f>IFERROR(VLOOKUP($G22,融外自投!$A:$J,10,0),"無")</f>
        <v>98</v>
      </c>
      <c r="S22" s="324">
        <f>IFERROR(VLOOKUP($G22,'321買'!$A:$E,4,0),"'沒有資料'")</f>
        <v>123</v>
      </c>
      <c r="T22" s="186">
        <f>IFERROR(VLOOKUP($G22,基本資料!$A:$J,9,0),"無")</f>
        <v>18</v>
      </c>
      <c r="U22" s="307">
        <f t="shared" si="4"/>
        <v>0.13090909090909092</v>
      </c>
      <c r="V22" s="94">
        <f>IFERROR(VLOOKUP($G22,基本資料!$A:$J,10,0),"無")</f>
        <v>45.57</v>
      </c>
      <c r="W22" s="36">
        <f>RTD("money.excel",,"2603","Price")</f>
        <v>137.5</v>
      </c>
      <c r="X22" s="66">
        <v>145</v>
      </c>
      <c r="Y22" s="15">
        <f t="shared" si="0"/>
        <v>-7.5</v>
      </c>
      <c r="Z22" s="3">
        <f t="shared" si="1"/>
        <v>-5.1724137931034482E-2</v>
      </c>
      <c r="AA22" s="340">
        <f>IFERROR(VLOOKUP($G22,基本資料!$A:$M,11,0),"無")</f>
        <v>-40.99</v>
      </c>
      <c r="AB22" s="389">
        <f>IFERROR(VLOOKUP($G22,基本資料!$A:$M,12,0),"無")</f>
        <v>44.21</v>
      </c>
      <c r="AC22" s="22" t="s">
        <v>264</v>
      </c>
      <c r="AD22" s="84"/>
      <c r="AE22" s="83"/>
      <c r="AF22" s="33"/>
      <c r="AG22" s="117" t="s">
        <v>3265</v>
      </c>
      <c r="AH22" s="22" t="s">
        <v>264</v>
      </c>
      <c r="AI22" s="66">
        <f t="shared" si="3"/>
        <v>1.322212236677542</v>
      </c>
      <c r="AJ22" s="283">
        <f>RTD("money.excel",,$G22,"PredictVolume")</f>
        <v>126969</v>
      </c>
      <c r="AK22" s="392">
        <f>IFERROR(VLOOKUP($G22,基本資料!$A:$M,13,0),"無")</f>
        <v>96027.7</v>
      </c>
      <c r="AL22" s="275">
        <f>RTD("money.excel",,"2603","VolumeStrength")</f>
        <v>96</v>
      </c>
      <c r="AM22" s="40">
        <f>RTD("money.excel",,"2603","ChangePercent")</f>
        <v>-4.1811846689895473</v>
      </c>
      <c r="AR22" s="245" t="str">
        <f>INDEX(基本資料!N:N,MATCH($G22,基本資料!A:A,0))</f>
        <v>中</v>
      </c>
    </row>
    <row r="23" spans="1:44" s="245" customFormat="1">
      <c r="A23" s="343">
        <f>IFERROR(VLOOKUP($G23,基本資料!$A:$J,3,0),"無")</f>
        <v>244</v>
      </c>
      <c r="B23" s="79">
        <f>IFERROR(VLOOKUP($G23,基本資料!$A:$J,4,0),"無")</f>
        <v>810</v>
      </c>
      <c r="C23" s="79">
        <f>IFERROR(VLOOKUP($G23,基本資料!$A:$J,5,0),"無")</f>
        <v>898</v>
      </c>
      <c r="D23" s="79">
        <f>IFERROR(VLOOKUP($G23,基本資料!$A:$J,6,0),"無")</f>
        <v>1</v>
      </c>
      <c r="E23" s="79">
        <f>IFERROR(VLOOKUP($G23,基本資料!$A:$J,7,0),"無")</f>
        <v>65</v>
      </c>
      <c r="F23" s="6">
        <f>IFERROR(VLOOKUP($G23,基本資料!$A:$J,8,0),"無")</f>
        <v>56</v>
      </c>
      <c r="G23" s="80">
        <v>2615</v>
      </c>
      <c r="H23" s="5" t="s">
        <v>302</v>
      </c>
      <c r="I23" s="22" t="s">
        <v>132</v>
      </c>
      <c r="J23" s="8">
        <f>IFERROR(VLOOKUP($G23,今日總結!$A:$AN,39,0),"")</f>
        <v>0</v>
      </c>
      <c r="K23" s="5" t="str">
        <f>IFERROR(VLOOKUP($G23,今日總結!$A:$AN,40,0),"")</f>
        <v>券</v>
      </c>
      <c r="L23" s="156">
        <f>IFERROR(VLOOKUP($G23,今日總結!$A:$AN,37,0),"")</f>
        <v>0</v>
      </c>
      <c r="M23" s="337">
        <f>IFERROR(VLOOKUP($G23,今日總結!$A:$AN,38,0),"")</f>
        <v>2</v>
      </c>
      <c r="N23" s="240">
        <f t="shared" si="2"/>
        <v>-2</v>
      </c>
      <c r="O23" s="359">
        <f>IFERROR(VLOOKUP($G23,融外自投!$A:$J,7,0),"無")</f>
        <v>743</v>
      </c>
      <c r="P23" s="79">
        <f>IFERROR(VLOOKUP($G23,融外自投!$A:$J,9,0),"無")</f>
        <v>550</v>
      </c>
      <c r="Q23" s="342">
        <f>IFERROR(VLOOKUP($G23,融外自投!$A:$J,8,0),"無")</f>
        <v>102</v>
      </c>
      <c r="R23" s="81">
        <f>IFERROR(VLOOKUP($G23,融外自投!$A:$J,10,0),"無")</f>
        <v>260</v>
      </c>
      <c r="S23" s="324">
        <f>IFERROR(VLOOKUP($G23,'321買'!$A:$E,4,0),"'沒有資料'")</f>
        <v>231</v>
      </c>
      <c r="T23" s="186">
        <f>IFERROR(VLOOKUP($G23,基本資料!$A:$J,9,0),"無")</f>
        <v>12</v>
      </c>
      <c r="U23" s="307">
        <f t="shared" si="4"/>
        <v>8.1081081081081086E-2</v>
      </c>
      <c r="V23" s="94">
        <f>IFERROR(VLOOKUP($G23,基本資料!$A:$J,10,0),"無")</f>
        <v>42.35</v>
      </c>
      <c r="W23" s="36">
        <f>RTD("money.excel",,"2615","Price")</f>
        <v>148</v>
      </c>
      <c r="X23" s="66">
        <v>146</v>
      </c>
      <c r="Y23" s="15">
        <f t="shared" si="0"/>
        <v>2</v>
      </c>
      <c r="Z23" s="3">
        <f t="shared" si="1"/>
        <v>1.3698630136986301E-2</v>
      </c>
      <c r="AA23" s="340">
        <f>IFERROR(VLOOKUP($G23,基本資料!$A:$M,11,0),"無")</f>
        <v>-58.07</v>
      </c>
      <c r="AB23" s="389">
        <f>IFERROR(VLOOKUP($G23,基本資料!$A:$M,12,0),"無")</f>
        <v>26.18</v>
      </c>
      <c r="AC23" s="22" t="s">
        <v>132</v>
      </c>
      <c r="AD23" s="84"/>
      <c r="AE23" s="83"/>
      <c r="AF23" s="33"/>
      <c r="AG23" s="117" t="s">
        <v>2060</v>
      </c>
      <c r="AH23" s="22" t="s">
        <v>132</v>
      </c>
      <c r="AI23" s="66">
        <f t="shared" si="3"/>
        <v>0.94659404974800843</v>
      </c>
      <c r="AJ23" s="283">
        <f>RTD("money.excel",,$G23,"PredictVolume")</f>
        <v>13974</v>
      </c>
      <c r="AK23" s="392">
        <f>IFERROR(VLOOKUP($G23,基本資料!$A:$M,13,0),"無")</f>
        <v>14762.4</v>
      </c>
      <c r="AL23" s="275">
        <f>RTD("money.excel",,"2615","VolumeStrength")</f>
        <v>46</v>
      </c>
      <c r="AM23" s="40">
        <f>RTD("money.excel",,"2615","ChangePercent")</f>
        <v>-3.5830618892508141</v>
      </c>
      <c r="AR23" s="245" t="str">
        <f>INDEX(基本資料!N:N,MATCH($G23,基本資料!A:A,0))</f>
        <v>低</v>
      </c>
    </row>
    <row r="24" spans="1:44" s="245" customFormat="1">
      <c r="A24" s="343">
        <f>IFERROR(VLOOKUP($G24,基本資料!$A:$J,3,0),"無")</f>
        <v>349</v>
      </c>
      <c r="B24" s="79">
        <f>IFERROR(VLOOKUP($G24,基本資料!$A:$J,4,0),"無")</f>
        <v>1258</v>
      </c>
      <c r="C24" s="79">
        <f>IFERROR(VLOOKUP($G24,基本資料!$A:$J,5,0),"無")</f>
        <v>945</v>
      </c>
      <c r="D24" s="79">
        <f>IFERROR(VLOOKUP($G24,基本資料!$A:$J,6,0),"無")</f>
        <v>-2</v>
      </c>
      <c r="E24" s="79">
        <f>IFERROR(VLOOKUP($G24,基本資料!$A:$J,7,0),"無")</f>
        <v>69</v>
      </c>
      <c r="F24" s="6">
        <f>IFERROR(VLOOKUP($G24,基本資料!$A:$J,8,0),"無")</f>
        <v>60.95</v>
      </c>
      <c r="G24" s="80">
        <v>2609</v>
      </c>
      <c r="H24" s="5" t="s">
        <v>302</v>
      </c>
      <c r="I24" s="22" t="s">
        <v>865</v>
      </c>
      <c r="J24" s="8">
        <f>IFERROR(VLOOKUP($G24,今日總結!$A:$AN,39,0),"")</f>
        <v>0</v>
      </c>
      <c r="K24" s="5" t="str">
        <f>IFERROR(VLOOKUP($G24,今日總結!$A:$AN,40,0),"")</f>
        <v>同</v>
      </c>
      <c r="L24" s="156">
        <f>IFERROR(VLOOKUP($G24,今日總結!$A:$AN,37,0),"")</f>
        <v>0</v>
      </c>
      <c r="M24" s="337">
        <f>IFERROR(VLOOKUP($G24,今日總結!$A:$AN,38,0),"")</f>
        <v>1</v>
      </c>
      <c r="N24" s="240">
        <f t="shared" si="2"/>
        <v>-1</v>
      </c>
      <c r="O24" s="359">
        <f>IFERROR(VLOOKUP($G24,融外自投!$A:$J,7,0),"無")</f>
        <v>291</v>
      </c>
      <c r="P24" s="79">
        <f>IFERROR(VLOOKUP($G24,融外自投!$A:$J,9,0),"無")</f>
        <v>649</v>
      </c>
      <c r="Q24" s="342">
        <f>IFERROR(VLOOKUP($G24,融外自投!$A:$J,8,0),"無")</f>
        <v>348</v>
      </c>
      <c r="R24" s="81">
        <f>IFERROR(VLOOKUP($G24,融外自投!$A:$J,10,0),"無")</f>
        <v>208</v>
      </c>
      <c r="S24" s="324">
        <f>IFERROR(VLOOKUP($G24,'321買'!$A:$E,4,0),"'沒有資料'")</f>
        <v>178</v>
      </c>
      <c r="T24" s="186">
        <f>IFERROR(VLOOKUP($G24,基本資料!$A:$J,9,0),"無")</f>
        <v>20</v>
      </c>
      <c r="U24" s="307">
        <f t="shared" si="4"/>
        <v>0.16806722689075632</v>
      </c>
      <c r="V24" s="94">
        <f>IFERROR(VLOOKUP($G24,基本資料!$A:$J,10,0),"無")</f>
        <v>48.73</v>
      </c>
      <c r="W24" s="36">
        <f>RTD("money.excel",,"2609","Price")</f>
        <v>119</v>
      </c>
      <c r="X24" s="66">
        <v>126</v>
      </c>
      <c r="Y24" s="15">
        <f t="shared" si="0"/>
        <v>-7</v>
      </c>
      <c r="Z24" s="3">
        <f t="shared" si="1"/>
        <v>-5.5555555555555552E-2</v>
      </c>
      <c r="AA24" s="340">
        <f>IFERROR(VLOOKUP($G24,基本資料!$A:$M,11,0),"無")</f>
        <v>-49.25</v>
      </c>
      <c r="AB24" s="389">
        <f>IFERROR(VLOOKUP($G24,基本資料!$A:$M,12,0),"無")</f>
        <v>39.04</v>
      </c>
      <c r="AC24" s="22" t="s">
        <v>865</v>
      </c>
      <c r="AD24" s="84"/>
      <c r="AE24" s="83"/>
      <c r="AF24" s="33"/>
      <c r="AG24" s="43" t="s">
        <v>3265</v>
      </c>
      <c r="AH24" s="22" t="s">
        <v>865</v>
      </c>
      <c r="AI24" s="66">
        <f t="shared" si="3"/>
        <v>1.4191223036207126</v>
      </c>
      <c r="AJ24" s="283">
        <f>RTD("money.excel",,$G24,"PredictVolume")</f>
        <v>72604</v>
      </c>
      <c r="AK24" s="392">
        <f>IFERROR(VLOOKUP($G24,基本資料!$A:$M,13,0),"無")</f>
        <v>51161.2</v>
      </c>
      <c r="AL24" s="275">
        <f>RTD("money.excel",,"2609","VolumeStrength")</f>
        <v>163</v>
      </c>
      <c r="AM24" s="40">
        <f>RTD("money.excel",,"2609","ChangePercent")</f>
        <v>-3.6437246963562755</v>
      </c>
      <c r="AR24" s="245" t="str">
        <f>INDEX(基本資料!N:N,MATCH($G24,基本資料!A:A,0))</f>
        <v>中</v>
      </c>
    </row>
    <row r="25" spans="1:44" s="245" customFormat="1">
      <c r="A25" s="343">
        <f>IFERROR(VLOOKUP($G25,基本資料!$A:$J,3,0),"無")</f>
        <v>775</v>
      </c>
      <c r="B25" s="79">
        <f>IFERROR(VLOOKUP($G25,基本資料!$A:$J,4,0),"無")</f>
        <v>7</v>
      </c>
      <c r="C25" s="79">
        <f>IFERROR(VLOOKUP($G25,基本資料!$A:$J,5,0),"無")</f>
        <v>6</v>
      </c>
      <c r="D25" s="79">
        <f>IFERROR(VLOOKUP($G25,基本資料!$A:$J,6,0),"無")</f>
        <v>1</v>
      </c>
      <c r="E25" s="79">
        <f>IFERROR(VLOOKUP($G25,基本資料!$A:$J,7,0),"無")</f>
        <v>7</v>
      </c>
      <c r="F25" s="6">
        <f>IFERROR(VLOOKUP($G25,基本資料!$A:$J,8,0),"無")</f>
        <v>21.35</v>
      </c>
      <c r="G25" s="80">
        <v>2412</v>
      </c>
      <c r="H25" s="18" t="s">
        <v>4314</v>
      </c>
      <c r="I25" s="22" t="s">
        <v>4323</v>
      </c>
      <c r="J25" s="8" t="str">
        <f>IFERROR(VLOOKUP($G25,今日總結!$A:$AN,39,0),"")</f>
        <v>外</v>
      </c>
      <c r="K25" s="5">
        <f>IFERROR(VLOOKUP($G25,今日總結!$A:$AN,40,0),"")</f>
        <v>0</v>
      </c>
      <c r="L25" s="156">
        <f>IFERROR(VLOOKUP($G25,今日總結!$A:$AN,37,0),"")</f>
        <v>2</v>
      </c>
      <c r="M25" s="337">
        <f>IFERROR(VLOOKUP($G25,今日總結!$A:$AN,38,0),"")</f>
        <v>0</v>
      </c>
      <c r="N25" s="240">
        <f t="shared" si="2"/>
        <v>2</v>
      </c>
      <c r="O25" s="359">
        <f>IFERROR(VLOOKUP($G25,融外自投!$A:$J,7,0),"無")</f>
        <v>1365</v>
      </c>
      <c r="P25" s="79">
        <f>IFERROR(VLOOKUP($G25,融外自投!$A:$J,9,0),"無")</f>
        <v>240</v>
      </c>
      <c r="Q25" s="342">
        <f>IFERROR(VLOOKUP($G25,融外自投!$A:$J,8,0),"無")</f>
        <v>322</v>
      </c>
      <c r="R25" s="81">
        <f>IFERROR(VLOOKUP($G25,融外自投!$A:$J,10,0),"無")</f>
        <v>199</v>
      </c>
      <c r="S25" s="324">
        <f>IFERROR(VLOOKUP($G25,'321買'!$A:$E,4,0),"'沒有資料'")</f>
        <v>178</v>
      </c>
      <c r="T25" s="186">
        <f>IFERROR(VLOOKUP($G25,基本資料!$A:$J,9,0),"無")</f>
        <v>4.6100000000000003</v>
      </c>
      <c r="U25" s="307">
        <f t="shared" si="4"/>
        <v>3.717741935483871E-2</v>
      </c>
      <c r="V25" s="94">
        <f>IFERROR(VLOOKUP($G25,基本資料!$A:$J,10,0),"無")</f>
        <v>4.6100000000000003</v>
      </c>
      <c r="W25" s="36">
        <f>RTD("money.excel",,"2412","Price")</f>
        <v>124</v>
      </c>
      <c r="X25" s="65">
        <v>131</v>
      </c>
      <c r="Y25" s="15">
        <f t="shared" si="0"/>
        <v>-7</v>
      </c>
      <c r="Z25" s="3">
        <f t="shared" si="1"/>
        <v>-5.3435114503816793E-2</v>
      </c>
      <c r="AA25" s="340">
        <f>IFERROR(VLOOKUP($G25,基本資料!$A:$M,11,0),"無")</f>
        <v>-6.42</v>
      </c>
      <c r="AB25" s="389">
        <f>IFERROR(VLOOKUP($G25,基本資料!$A:$M,12,0),"無")</f>
        <v>41.45</v>
      </c>
      <c r="AC25" s="22" t="s">
        <v>4323</v>
      </c>
      <c r="AD25" s="84"/>
      <c r="AE25" s="83"/>
      <c r="AF25" s="33"/>
      <c r="AG25" s="117" t="s">
        <v>4324</v>
      </c>
      <c r="AH25" s="22" t="s">
        <v>4323</v>
      </c>
      <c r="AI25" s="66">
        <f t="shared" si="3"/>
        <v>0.7415827265115571</v>
      </c>
      <c r="AJ25" s="283">
        <f>RTD("money.excel",,$G25,"PredictVolume")</f>
        <v>7307</v>
      </c>
      <c r="AK25" s="392">
        <f>IFERROR(VLOOKUP($G25,基本資料!$A:$M,13,0),"無")</f>
        <v>9853.25</v>
      </c>
      <c r="AL25" s="275">
        <f>RTD("money.excel",,"2412","VolumeStrength")</f>
        <v>-7</v>
      </c>
      <c r="AM25" s="40">
        <f>RTD("money.excel",,"2412","ChangePercent")</f>
        <v>0</v>
      </c>
      <c r="AR25" s="245" t="str">
        <f>INDEX(基本資料!N:N,MATCH($G25,基本資料!A:A,0))</f>
        <v>中</v>
      </c>
    </row>
    <row r="26" spans="1:44" s="245" customFormat="1">
      <c r="A26" s="343">
        <f>IFERROR(VLOOKUP($G26,基本資料!$A:$J,3,0),"無")</f>
        <v>351</v>
      </c>
      <c r="B26" s="79">
        <f>IFERROR(VLOOKUP($G26,基本資料!$A:$J,4,0),"無")</f>
        <v>3</v>
      </c>
      <c r="C26" s="79">
        <f>IFERROR(VLOOKUP($G26,基本資料!$A:$J,5,0),"無")</f>
        <v>0</v>
      </c>
      <c r="D26" s="79">
        <f>IFERROR(VLOOKUP($G26,基本資料!$A:$J,6,0),"無")</f>
        <v>-3</v>
      </c>
      <c r="E26" s="79">
        <f>IFERROR(VLOOKUP($G26,基本資料!$A:$J,7,0),"無")</f>
        <v>15</v>
      </c>
      <c r="F26" s="6">
        <f>IFERROR(VLOOKUP($G26,基本資料!$A:$J,8,0),"無")</f>
        <v>10.28</v>
      </c>
      <c r="G26" s="80">
        <v>3045</v>
      </c>
      <c r="H26" s="5" t="s">
        <v>4314</v>
      </c>
      <c r="I26" s="22" t="s">
        <v>4340</v>
      </c>
      <c r="J26" s="8" t="str">
        <f>IFERROR(VLOOKUP($G26,今日總結!$A:$AN,39,0),"")</f>
        <v>主投</v>
      </c>
      <c r="K26" s="5">
        <f>IFERROR(VLOOKUP($G26,今日總結!$A:$AN,40,0),"")</f>
        <v>0</v>
      </c>
      <c r="L26" s="156">
        <f>IFERROR(VLOOKUP($G26,今日總結!$A:$AN,37,0),"")</f>
        <v>20</v>
      </c>
      <c r="M26" s="337">
        <f>IFERROR(VLOOKUP($G26,今日總結!$A:$AN,38,0),"")</f>
        <v>0</v>
      </c>
      <c r="N26" s="240">
        <f t="shared" si="2"/>
        <v>20</v>
      </c>
      <c r="O26" s="359">
        <f>IFERROR(VLOOKUP($G26,融外自投!$A:$J,7,0),"無")</f>
        <v>1446</v>
      </c>
      <c r="P26" s="79">
        <f>IFERROR(VLOOKUP($G26,融外自投!$A:$J,9,0),"無")</f>
        <v>269</v>
      </c>
      <c r="Q26" s="342">
        <f>IFERROR(VLOOKUP($G26,融外自投!$A:$J,8,0),"無")</f>
        <v>344</v>
      </c>
      <c r="R26" s="81">
        <f>IFERROR(VLOOKUP($G26,融外自投!$A:$J,10,0),"無")</f>
        <v>140</v>
      </c>
      <c r="S26" s="324">
        <f>IFERROR(VLOOKUP($G26,'321買'!$A:$E,4,0),"'沒有資料'")</f>
        <v>286</v>
      </c>
      <c r="T26" s="186">
        <f>IFERROR(VLOOKUP($G26,基本資料!$A:$J,9,0),"無")</f>
        <v>4.3</v>
      </c>
      <c r="U26" s="307">
        <f t="shared" si="4"/>
        <v>4.0375586854460091E-2</v>
      </c>
      <c r="V26" s="94">
        <f>IFERROR(VLOOKUP($G26,基本資料!$A:$J,10,0),"無")</f>
        <v>3.9</v>
      </c>
      <c r="W26" s="36">
        <f>RTD("money.excel",,"3045","Price")</f>
        <v>106.5</v>
      </c>
      <c r="X26" s="66">
        <v>108.5</v>
      </c>
      <c r="Y26" s="15">
        <f t="shared" si="0"/>
        <v>-2</v>
      </c>
      <c r="Z26" s="3">
        <f t="shared" si="1"/>
        <v>-1.8433179723502304E-2</v>
      </c>
      <c r="AA26" s="340">
        <f>IFERROR(VLOOKUP($G26,基本資料!$A:$M,11,0),"無")</f>
        <v>-2.74</v>
      </c>
      <c r="AB26" s="389">
        <f>IFERROR(VLOOKUP($G26,基本資料!$A:$M,12,0),"無")</f>
        <v>58.78</v>
      </c>
      <c r="AC26" s="22" t="s">
        <v>4340</v>
      </c>
      <c r="AD26" s="84"/>
      <c r="AE26" s="83"/>
      <c r="AF26" s="33"/>
      <c r="AG26" s="117" t="s">
        <v>4341</v>
      </c>
      <c r="AH26" s="22" t="s">
        <v>4340</v>
      </c>
      <c r="AI26" s="66">
        <f t="shared" si="3"/>
        <v>0.52547527461082333</v>
      </c>
      <c r="AJ26" s="283">
        <f>RTD("money.excel",,$G26,"PredictVolume")</f>
        <v>1892</v>
      </c>
      <c r="AK26" s="392">
        <f>IFERROR(VLOOKUP($G26,基本資料!$A:$M,13,0),"無")</f>
        <v>3600.55</v>
      </c>
      <c r="AL26" s="275">
        <f>RTD("money.excel",,"3045","VolumeStrength")</f>
        <v>-25</v>
      </c>
      <c r="AM26" s="40">
        <f>RTD("money.excel",,"3045","ChangePercent")</f>
        <v>0</v>
      </c>
      <c r="AR26" s="245" t="str">
        <f>INDEX(基本資料!N:N,MATCH($G26,基本資料!A:A,0))</f>
        <v>高</v>
      </c>
    </row>
    <row r="27" spans="1:44" s="245" customFormat="1">
      <c r="A27" s="343">
        <f>IFERROR(VLOOKUP($G27,基本資料!$A:$J,3,0),"無")</f>
        <v>1573</v>
      </c>
      <c r="B27" s="79">
        <f>IFERROR(VLOOKUP($G27,基本資料!$A:$J,4,0),"無")</f>
        <v>2951</v>
      </c>
      <c r="C27" s="79">
        <f>IFERROR(VLOOKUP($G27,基本資料!$A:$J,5,0),"無")</f>
        <v>3373</v>
      </c>
      <c r="D27" s="79">
        <f>IFERROR(VLOOKUP($G27,基本資料!$A:$J,6,0),"無")</f>
        <v>8</v>
      </c>
      <c r="E27" s="79">
        <f>IFERROR(VLOOKUP($G27,基本資料!$A:$J,7,0),"無")</f>
        <v>23</v>
      </c>
      <c r="F27" s="6">
        <f>IFERROR(VLOOKUP($G27,基本資料!$A:$J,8,0),"無")</f>
        <v>17.03</v>
      </c>
      <c r="G27" s="80">
        <v>2002</v>
      </c>
      <c r="H27" s="5" t="s">
        <v>3090</v>
      </c>
      <c r="I27" s="22" t="s">
        <v>3912</v>
      </c>
      <c r="J27" s="8">
        <f>IFERROR(VLOOKUP($G27,今日總結!$A:$AN,39,0),"")</f>
        <v>0</v>
      </c>
      <c r="K27" s="5" t="str">
        <f>IFERROR(VLOOKUP($G27,今日總結!$A:$AN,40,0),"")</f>
        <v>主外投</v>
      </c>
      <c r="L27" s="156">
        <f>IFERROR(VLOOKUP($G27,今日總結!$A:$AN,37,0),"")</f>
        <v>0</v>
      </c>
      <c r="M27" s="337">
        <f>IFERROR(VLOOKUP($G27,今日總結!$A:$AN,38,0),"")</f>
        <v>20</v>
      </c>
      <c r="N27" s="240">
        <f t="shared" si="2"/>
        <v>-20</v>
      </c>
      <c r="O27" s="359">
        <f>IFERROR(VLOOKUP($G27,融外自投!$A:$J,7,0),"無")</f>
        <v>1206</v>
      </c>
      <c r="P27" s="79">
        <f>IFERROR(VLOOKUP($G27,融外自投!$A:$J,9,0),"無")</f>
        <v>221</v>
      </c>
      <c r="Q27" s="342">
        <f>IFERROR(VLOOKUP($G27,融外自投!$A:$J,8,0),"無")</f>
        <v>282</v>
      </c>
      <c r="R27" s="81">
        <f>IFERROR(VLOOKUP($G27,融外自投!$A:$J,10,0),"無")</f>
        <v>117</v>
      </c>
      <c r="S27" s="324">
        <f>IFERROR(VLOOKUP($G27,'321買'!$A:$E,4,0),"'沒有資料'")</f>
        <v>253</v>
      </c>
      <c r="T27" s="186">
        <f>IFERROR(VLOOKUP($G27,基本資料!$A:$J,9,0),"無")</f>
        <v>3.1</v>
      </c>
      <c r="U27" s="307">
        <f t="shared" si="4"/>
        <v>9.337349397590361E-2</v>
      </c>
      <c r="V27" s="94">
        <f>IFERROR(VLOOKUP($G27,基本資料!$A:$J,10,0),"無")</f>
        <v>4.0199999999999996</v>
      </c>
      <c r="W27" s="36">
        <f>RTD("money.excel",,"2002","Price")</f>
        <v>33.200000000000003</v>
      </c>
      <c r="X27" s="66">
        <v>36.1</v>
      </c>
      <c r="Y27" s="15">
        <f t="shared" si="0"/>
        <v>-2.8999999999999986</v>
      </c>
      <c r="Z27" s="3">
        <f t="shared" si="1"/>
        <v>-8.0332409972299124E-2</v>
      </c>
      <c r="AA27" s="340">
        <f>IFERROR(VLOOKUP($G27,基本資料!$A:$M,11,0),"無")</f>
        <v>-19.71</v>
      </c>
      <c r="AB27" s="389">
        <f>IFERROR(VLOOKUP($G27,基本資料!$A:$M,12,0),"無")</f>
        <v>18.63</v>
      </c>
      <c r="AC27" s="22" t="s">
        <v>3912</v>
      </c>
      <c r="AD27" s="84"/>
      <c r="AE27" s="83"/>
      <c r="AF27" s="33"/>
      <c r="AG27" s="117" t="s">
        <v>299</v>
      </c>
      <c r="AH27" s="22" t="s">
        <v>3912</v>
      </c>
      <c r="AI27" s="66">
        <f t="shared" si="3"/>
        <v>0.71032847242635155</v>
      </c>
      <c r="AJ27" s="283">
        <f>RTD("money.excel",,$G27,"PredictVolume")</f>
        <v>28515</v>
      </c>
      <c r="AK27" s="392">
        <f>IFERROR(VLOOKUP($G27,基本資料!$A:$M,13,0),"無")</f>
        <v>40143.4</v>
      </c>
      <c r="AL27" s="275">
        <f>RTD("money.excel",,"2002","VolumeStrength")</f>
        <v>-10</v>
      </c>
      <c r="AM27" s="40">
        <f>RTD("money.excel",,"2002","ChangePercent")</f>
        <v>-0.4497751124437781</v>
      </c>
      <c r="AR27" s="245" t="str">
        <f>INDEX(基本資料!N:N,MATCH($G27,基本資料!A:A,0))</f>
        <v>低</v>
      </c>
    </row>
    <row r="28" spans="1:44" s="245" customFormat="1">
      <c r="A28" s="343">
        <f>IFERROR(VLOOKUP($G28,基本資料!$A:$J,3,0),"無")</f>
        <v>568</v>
      </c>
      <c r="B28" s="79">
        <f>IFERROR(VLOOKUP($G28,基本資料!$A:$J,4,0),"無")</f>
        <v>-6</v>
      </c>
      <c r="C28" s="79">
        <f>IFERROR(VLOOKUP($G28,基本資料!$A:$J,5,0),"無")</f>
        <v>-4</v>
      </c>
      <c r="D28" s="79">
        <f>IFERROR(VLOOKUP($G28,基本資料!$A:$J,6,0),"無")</f>
        <v>2</v>
      </c>
      <c r="E28" s="79">
        <f>IFERROR(VLOOKUP($G28,基本資料!$A:$J,7,0),"無")</f>
        <v>12</v>
      </c>
      <c r="F28" s="6">
        <f>IFERROR(VLOOKUP($G28,基本資料!$A:$J,8,0),"無")</f>
        <v>6</v>
      </c>
      <c r="G28" s="80">
        <v>1216</v>
      </c>
      <c r="H28" s="5" t="s">
        <v>292</v>
      </c>
      <c r="I28" s="153" t="s">
        <v>10</v>
      </c>
      <c r="J28" s="8" t="str">
        <f>IFERROR(VLOOKUP($G28,今日總結!$A:$AN,39,0),"")</f>
        <v>投</v>
      </c>
      <c r="K28" s="5" t="str">
        <f>IFERROR(VLOOKUP($G28,今日總結!$A:$AN,40,0),"")</f>
        <v>外</v>
      </c>
      <c r="L28" s="156">
        <f>IFERROR(VLOOKUP($G28,今日總結!$A:$AN,37,0),"")</f>
        <v>17</v>
      </c>
      <c r="M28" s="337">
        <f>IFERROR(VLOOKUP($G28,今日總結!$A:$AN,38,0),"")</f>
        <v>3</v>
      </c>
      <c r="N28" s="240">
        <f t="shared" si="2"/>
        <v>14</v>
      </c>
      <c r="O28" s="359">
        <f>IFERROR(VLOOKUP($G28,融外自投!$A:$J,7,0),"無")</f>
        <v>1430</v>
      </c>
      <c r="P28" s="79">
        <f>IFERROR(VLOOKUP($G28,融外自投!$A:$J,9,0),"無")</f>
        <v>383</v>
      </c>
      <c r="Q28" s="342">
        <f>IFERROR(VLOOKUP($G28,融外自投!$A:$J,8,0),"無")</f>
        <v>115</v>
      </c>
      <c r="R28" s="81">
        <f>IFERROR(VLOOKUP($G28,融外自投!$A:$J,10,0),"無")</f>
        <v>147</v>
      </c>
      <c r="S28" s="324">
        <f>IFERROR(VLOOKUP($G28,'321買'!$A:$E,4,0),"'沒有資料'")</f>
        <v>606</v>
      </c>
      <c r="T28" s="186">
        <f>IFERROR(VLOOKUP($G28,基本資料!$A:$J,9,0),"無")</f>
        <v>2.7</v>
      </c>
      <c r="U28" s="307">
        <f t="shared" si="4"/>
        <v>4.1860465116279069E-2</v>
      </c>
      <c r="V28" s="94">
        <f>IFERROR(VLOOKUP($G28,基本資料!$A:$J,10,0),"無")</f>
        <v>3.5</v>
      </c>
      <c r="W28" s="36">
        <f>RTD("money.excel",,$G28,"Price")</f>
        <v>64.5</v>
      </c>
      <c r="X28" s="66">
        <v>68.400000000000006</v>
      </c>
      <c r="Y28" s="15">
        <f t="shared" si="0"/>
        <v>-3.9000000000000057</v>
      </c>
      <c r="Z28" s="3">
        <f t="shared" si="1"/>
        <v>-5.7017543859649203E-2</v>
      </c>
      <c r="AA28" s="340">
        <f>IFERROR(VLOOKUP($G28,基本資料!$A:$M,11,0),"無")</f>
        <v>-15.13</v>
      </c>
      <c r="AB28" s="389">
        <f>IFERROR(VLOOKUP($G28,基本資料!$A:$M,12,0),"無")</f>
        <v>35.950000000000003</v>
      </c>
      <c r="AC28" s="153" t="s">
        <v>10</v>
      </c>
      <c r="AD28" s="84"/>
      <c r="AE28" s="83"/>
      <c r="AF28" s="33"/>
      <c r="AG28" s="117" t="s">
        <v>292</v>
      </c>
      <c r="AH28" s="153" t="s">
        <v>10</v>
      </c>
      <c r="AI28" s="66">
        <f t="shared" si="3"/>
        <v>1.5501907892251312</v>
      </c>
      <c r="AJ28" s="283">
        <f>RTD("money.excel",,$G28,"PredictVolume")</f>
        <v>10258</v>
      </c>
      <c r="AK28" s="392">
        <f>IFERROR(VLOOKUP($G28,基本資料!$A:$M,13,0),"無")</f>
        <v>6617.25</v>
      </c>
      <c r="AL28" s="275">
        <f>RTD("money.excel",,"1216","VolumeStrength")</f>
        <v>61</v>
      </c>
      <c r="AM28" s="40">
        <f>RTD("money.excel",,"1216","ChangePercent")</f>
        <v>-1.0736196319018405</v>
      </c>
      <c r="AR28" s="245" t="str">
        <f>INDEX(基本資料!N:N,MATCH($G28,基本資料!A:A,0))</f>
        <v>低</v>
      </c>
    </row>
    <row r="29" spans="1:44" s="245" customFormat="1">
      <c r="A29" s="343">
        <f>IFERROR(VLOOKUP($G29,基本資料!$A:$J,3,0),"無")</f>
        <v>54.61</v>
      </c>
      <c r="B29" s="79">
        <f>IFERROR(VLOOKUP($G29,基本資料!$A:$J,4,0),"無")</f>
        <v>18</v>
      </c>
      <c r="C29" s="79">
        <f>IFERROR(VLOOKUP($G29,基本資料!$A:$J,5,0),"無")</f>
        <v>15</v>
      </c>
      <c r="D29" s="79">
        <f>IFERROR(VLOOKUP($G29,基本資料!$A:$J,6,0),"無")</f>
        <v>-13</v>
      </c>
      <c r="E29" s="79">
        <f>IFERROR(VLOOKUP($G29,基本資料!$A:$J,7,0),"無")</f>
        <v>-12</v>
      </c>
      <c r="F29" s="6">
        <f>IFERROR(VLOOKUP($G29,基本資料!$A:$J,8,0),"無")</f>
        <v>10.81</v>
      </c>
      <c r="G29" s="80">
        <v>2207</v>
      </c>
      <c r="H29" s="5" t="s">
        <v>1851</v>
      </c>
      <c r="I29" s="22" t="s">
        <v>14</v>
      </c>
      <c r="J29" s="8" t="str">
        <f>IFERROR(VLOOKUP($G29,今日總結!$A:$AN,39,0),"")</f>
        <v>借</v>
      </c>
      <c r="K29" s="5">
        <f>IFERROR(VLOOKUP($G29,今日總結!$A:$AN,40,0),"")</f>
        <v>0</v>
      </c>
      <c r="L29" s="156">
        <f>IFERROR(VLOOKUP($G29,今日總結!$A:$AN,37,0),"")</f>
        <v>1</v>
      </c>
      <c r="M29" s="337">
        <f>IFERROR(VLOOKUP($G29,今日總結!$A:$AN,38,0),"")</f>
        <v>0</v>
      </c>
      <c r="N29" s="240">
        <f t="shared" si="2"/>
        <v>1</v>
      </c>
      <c r="O29" s="359">
        <f>IFERROR(VLOOKUP($G29,融外自投!$A:$J,7,0),"無")</f>
        <v>1450</v>
      </c>
      <c r="P29" s="79">
        <f>IFERROR(VLOOKUP($G29,融外自投!$A:$J,9,0),"無")</f>
        <v>741</v>
      </c>
      <c r="Q29" s="342">
        <f>IFERROR(VLOOKUP($G29,融外自投!$A:$J,8,0),"無")</f>
        <v>229</v>
      </c>
      <c r="R29" s="81">
        <f>IFERROR(VLOOKUP($G29,融外自投!$A:$J,10,0),"無")</f>
        <v>249</v>
      </c>
      <c r="S29" s="324">
        <f>IFERROR(VLOOKUP($G29,'321買'!$A:$E,4,0),"'沒有資料'")</f>
        <v>743</v>
      </c>
      <c r="T29" s="186">
        <f>IFERROR(VLOOKUP($G29,基本資料!$A:$J,9,0),"無")</f>
        <v>20</v>
      </c>
      <c r="U29" s="307">
        <f t="shared" si="4"/>
        <v>3.5778175313059032E-2</v>
      </c>
      <c r="V29" s="94">
        <f>IFERROR(VLOOKUP($G29,基本資料!$A:$J,10,0),"無")</f>
        <v>29.68</v>
      </c>
      <c r="W29" s="36">
        <f>RTD("money.excel",,"2207","Price")</f>
        <v>559</v>
      </c>
      <c r="X29" s="66">
        <v>580</v>
      </c>
      <c r="Y29" s="15">
        <f t="shared" si="0"/>
        <v>-21</v>
      </c>
      <c r="Z29" s="3">
        <f t="shared" si="1"/>
        <v>-3.6206896551724141E-2</v>
      </c>
      <c r="AA29" s="340">
        <f>IFERROR(VLOOKUP($G29,基本資料!$A:$M,11,0),"無")</f>
        <v>-16.440000000000001</v>
      </c>
      <c r="AB29" s="389">
        <f>IFERROR(VLOOKUP($G29,基本資料!$A:$M,12,0),"無")</f>
        <v>22.76</v>
      </c>
      <c r="AC29" s="22" t="s">
        <v>14</v>
      </c>
      <c r="AD29" s="84"/>
      <c r="AE29" s="83"/>
      <c r="AF29" s="33"/>
      <c r="AG29" s="117" t="s">
        <v>2620</v>
      </c>
      <c r="AH29" s="22" t="s">
        <v>14</v>
      </c>
      <c r="AI29" s="66">
        <f t="shared" si="3"/>
        <v>0.77526534379326262</v>
      </c>
      <c r="AJ29" s="283">
        <f>RTD("money.excel",,$G29,"PredictVolume")</f>
        <v>168</v>
      </c>
      <c r="AK29" s="392">
        <f>IFERROR(VLOOKUP($G29,基本資料!$A:$M,13,0),"無")</f>
        <v>216.7</v>
      </c>
      <c r="AL29" s="275">
        <f>RTD("money.excel",,"2207","VolumeStrength")</f>
        <v>-17</v>
      </c>
      <c r="AM29" s="40">
        <f>RTD("money.excel",,"2207","ChangePercent")</f>
        <v>0.35906642728904847</v>
      </c>
      <c r="AR29" s="245" t="str">
        <f>INDEX(基本資料!N:N,MATCH($G29,基本資料!A:A,0))</f>
        <v>低</v>
      </c>
    </row>
    <row r="30" spans="1:44" s="245" customFormat="1">
      <c r="A30" s="343">
        <f>IFERROR(VLOOKUP($G30,基本資料!$A:$J,3,0),"無")</f>
        <v>147</v>
      </c>
      <c r="B30" s="79">
        <f>IFERROR(VLOOKUP($G30,基本資料!$A:$J,4,0),"無")</f>
        <v>154</v>
      </c>
      <c r="C30" s="79">
        <f>IFERROR(VLOOKUP($G30,基本資料!$A:$J,5,0),"無")</f>
        <v>227</v>
      </c>
      <c r="D30" s="79">
        <f>IFERROR(VLOOKUP($G30,基本資料!$A:$J,6,0),"無")</f>
        <v>4</v>
      </c>
      <c r="E30" s="79">
        <f>IFERROR(VLOOKUP($G30,基本資料!$A:$J,7,0),"無")</f>
        <v>41</v>
      </c>
      <c r="F30" s="6">
        <f>IFERROR(VLOOKUP($G30,基本資料!$A:$J,8,0),"無")</f>
        <v>12.6</v>
      </c>
      <c r="G30" s="80">
        <v>3037</v>
      </c>
      <c r="H30" s="5" t="s">
        <v>3388</v>
      </c>
      <c r="I30" s="22" t="s">
        <v>2916</v>
      </c>
      <c r="J30" s="8" t="str">
        <f>IFERROR(VLOOKUP($G30,今日總結!$A:$AN,39,0),"")</f>
        <v>同</v>
      </c>
      <c r="K30" s="5">
        <f>IFERROR(VLOOKUP($G30,今日總結!$A:$AN,40,0),"")</f>
        <v>0</v>
      </c>
      <c r="L30" s="156">
        <f>IFERROR(VLOOKUP($G30,今日總結!$A:$AN,37,0),"")</f>
        <v>1</v>
      </c>
      <c r="M30" s="337">
        <f>IFERROR(VLOOKUP($G30,今日總結!$A:$AN,38,0),"")</f>
        <v>0</v>
      </c>
      <c r="N30" s="240">
        <f t="shared" si="2"/>
        <v>1</v>
      </c>
      <c r="O30" s="359">
        <f>IFERROR(VLOOKUP($G30,融外自投!$A:$J,7,0),"無")</f>
        <v>637</v>
      </c>
      <c r="P30" s="79">
        <f>IFERROR(VLOOKUP($G30,融外自投!$A:$J,9,0),"無")</f>
        <v>161</v>
      </c>
      <c r="Q30" s="342">
        <f>IFERROR(VLOOKUP($G30,融外自投!$A:$J,8,0),"無")</f>
        <v>118</v>
      </c>
      <c r="R30" s="81">
        <f>IFERROR(VLOOKUP($G30,融外自投!$A:$J,10,0),"無")</f>
        <v>23</v>
      </c>
      <c r="S30" s="324">
        <f>IFERROR(VLOOKUP($G30,'321買'!$A:$E,4,0),"'沒有資料'")</f>
        <v>140</v>
      </c>
      <c r="T30" s="186">
        <f>IFERROR(VLOOKUP($G30,基本資料!$A:$J,9,0),"無")</f>
        <v>3.4</v>
      </c>
      <c r="U30" s="307">
        <f t="shared" si="4"/>
        <v>1.5850815850815849E-2</v>
      </c>
      <c r="V30" s="94">
        <f>IFERROR(VLOOKUP($G30,基本資料!$A:$J,10,0),"無")</f>
        <v>8.98</v>
      </c>
      <c r="W30" s="36">
        <f>RTD("money.excel",,"3037","Price")</f>
        <v>214.5</v>
      </c>
      <c r="X30" s="66">
        <v>213</v>
      </c>
      <c r="Y30" s="15">
        <f t="shared" si="0"/>
        <v>1.5</v>
      </c>
      <c r="Z30" s="3">
        <f t="shared" si="1"/>
        <v>7.0422535211267607E-3</v>
      </c>
      <c r="AA30" s="340">
        <f>IFERROR(VLOOKUP($G30,基本資料!$A:$M,11,0),"無")</f>
        <v>-17.82</v>
      </c>
      <c r="AB30" s="389">
        <f>IFERROR(VLOOKUP($G30,基本資料!$A:$M,12,0),"無")</f>
        <v>34.75</v>
      </c>
      <c r="AC30" s="22" t="s">
        <v>2916</v>
      </c>
      <c r="AD30" s="84"/>
      <c r="AE30" s="83"/>
      <c r="AF30" s="33"/>
      <c r="AG30" s="117" t="s">
        <v>4531</v>
      </c>
      <c r="AH30" s="22" t="s">
        <v>2916</v>
      </c>
      <c r="AI30" s="66">
        <f t="shared" si="3"/>
        <v>0.8688322540593385</v>
      </c>
      <c r="AJ30" s="283">
        <f>RTD("money.excel",,$G30,"PredictVolume")</f>
        <v>23862</v>
      </c>
      <c r="AK30" s="392">
        <f>IFERROR(VLOOKUP($G30,基本資料!$A:$M,13,0),"無")</f>
        <v>27464.45</v>
      </c>
      <c r="AL30" s="275">
        <f>RTD("money.excel",,"3037","VolumeStrength")</f>
        <v>27</v>
      </c>
      <c r="AM30" s="40">
        <f>RTD("money.excel",,"3037","ChangePercent")</f>
        <v>-0.23255813953488372</v>
      </c>
      <c r="AR30" s="245" t="str">
        <f>INDEX(基本資料!N:N,MATCH($G30,基本資料!A:A,0))</f>
        <v>高</v>
      </c>
    </row>
    <row r="31" spans="1:44" s="245" customFormat="1">
      <c r="A31" s="343">
        <f>IFERROR(VLOOKUP($G31,基本資料!$A:$J,3,0),"無")</f>
        <v>43.72</v>
      </c>
      <c r="B31" s="79">
        <f>IFERROR(VLOOKUP($G31,基本資料!$A:$J,4,0),"無")</f>
        <v>-9</v>
      </c>
      <c r="C31" s="79">
        <f>IFERROR(VLOOKUP($G31,基本資料!$A:$J,5,0),"無")</f>
        <v>15</v>
      </c>
      <c r="D31" s="79">
        <f>IFERROR(VLOOKUP($G31,基本資料!$A:$J,6,0),"無")</f>
        <v>-8</v>
      </c>
      <c r="E31" s="79">
        <f>IFERROR(VLOOKUP($G31,基本資料!$A:$J,7,0),"無")</f>
        <v>5</v>
      </c>
      <c r="F31" s="6">
        <f>IFERROR(VLOOKUP($G31,基本資料!$A:$J,8,0),"無")</f>
        <v>28.94</v>
      </c>
      <c r="G31" s="80">
        <v>6488</v>
      </c>
      <c r="H31" s="193" t="s">
        <v>3038</v>
      </c>
      <c r="I31" s="16" t="s">
        <v>34</v>
      </c>
      <c r="J31" s="8">
        <f>IFERROR(VLOOKUP($G31,今日總結!$A:$AN,39,0),"")</f>
        <v>0</v>
      </c>
      <c r="K31" s="5">
        <f>IFERROR(VLOOKUP($G31,今日總結!$A:$AN,40,0),"")</f>
        <v>0</v>
      </c>
      <c r="L31" s="156">
        <f>IFERROR(VLOOKUP($G31,今日總結!$A:$AN,37,0),"")</f>
        <v>0</v>
      </c>
      <c r="M31" s="337">
        <f>IFERROR(VLOOKUP($G31,今日總結!$A:$AN,38,0),"")</f>
        <v>0</v>
      </c>
      <c r="N31" s="240">
        <f t="shared" si="2"/>
        <v>0</v>
      </c>
      <c r="O31" s="359">
        <f>IFERROR(VLOOKUP($G31,融外自投!$A:$J,7,0),"無")</f>
        <v>923</v>
      </c>
      <c r="P31" s="79">
        <f>IFERROR(VLOOKUP($G31,融外自投!$A:$J,9,0),"無")</f>
        <v>294</v>
      </c>
      <c r="Q31" s="342">
        <f>IFERROR(VLOOKUP($G31,融外自投!$A:$J,8,0),"無")</f>
        <v>199</v>
      </c>
      <c r="R31" s="81">
        <f>IFERROR(VLOOKUP($G31,融外自投!$A:$J,10,0),"無")</f>
        <v>137</v>
      </c>
      <c r="S31" s="324">
        <f>IFERROR(VLOOKUP($G31,'321買'!$A:$E,4,0),"'沒有資料'")</f>
        <v>606</v>
      </c>
      <c r="T31" s="186">
        <f>IFERROR(VLOOKUP($G31,基本資料!$A:$J,9,0),"無")</f>
        <v>16</v>
      </c>
      <c r="U31" s="307">
        <f t="shared" si="4"/>
        <v>2.8520499108734401E-2</v>
      </c>
      <c r="V31" s="94">
        <f>IFERROR(VLOOKUP($G31,基本資料!$A:$J,10,0),"無")</f>
        <v>27.27</v>
      </c>
      <c r="W31" s="36">
        <f>RTD("money.excel",,"6488","Price")</f>
        <v>561</v>
      </c>
      <c r="X31" s="66">
        <v>520</v>
      </c>
      <c r="Y31" s="15">
        <f t="shared" si="0"/>
        <v>41</v>
      </c>
      <c r="Z31" s="3">
        <f t="shared" si="1"/>
        <v>7.8846153846153844E-2</v>
      </c>
      <c r="AA31" s="340">
        <f>IFERROR(VLOOKUP($G31,基本資料!$A:$M,11,0),"無")</f>
        <v>-42.28</v>
      </c>
      <c r="AB31" s="389">
        <f>IFERROR(VLOOKUP($G31,基本資料!$A:$M,12,0),"無")</f>
        <v>27.17</v>
      </c>
      <c r="AC31" s="16" t="s">
        <v>34</v>
      </c>
      <c r="AD31" s="84"/>
      <c r="AE31" s="83"/>
      <c r="AF31" s="33"/>
      <c r="AG31" s="118" t="s">
        <v>2167</v>
      </c>
      <c r="AH31" s="16" t="s">
        <v>34</v>
      </c>
      <c r="AI31" s="66">
        <f t="shared" si="3"/>
        <v>1.4810731944557023</v>
      </c>
      <c r="AJ31" s="283">
        <f>RTD("money.excel",,$G31,"PredictVolume")</f>
        <v>4568</v>
      </c>
      <c r="AK31" s="392">
        <f>IFERROR(VLOOKUP($G31,基本資料!$A:$M,13,0),"無")</f>
        <v>3084.25</v>
      </c>
      <c r="AL31" s="275">
        <f>RTD("money.excel",,"6488","VolumeStrength")</f>
        <v>-20</v>
      </c>
      <c r="AM31" s="40">
        <f>RTD("money.excel",,"6488","ChangePercent")</f>
        <v>0.89928057553956831</v>
      </c>
      <c r="AR31" s="245" t="str">
        <f>INDEX(基本資料!N:N,MATCH($G31,基本資料!A:A,0))</f>
        <v>低</v>
      </c>
    </row>
    <row r="32" spans="1:44" s="245" customFormat="1">
      <c r="A32" s="343">
        <f>IFERROR(VLOOKUP($G32,基本資料!$A:$J,3,0),"無")</f>
        <v>114</v>
      </c>
      <c r="B32" s="79">
        <f>IFERROR(VLOOKUP($G32,基本資料!$A:$J,4,0),"無")</f>
        <v>41</v>
      </c>
      <c r="C32" s="79">
        <f>IFERROR(VLOOKUP($G32,基本資料!$A:$J,5,0),"無")</f>
        <v>63</v>
      </c>
      <c r="D32" s="79">
        <f>IFERROR(VLOOKUP($G32,基本資料!$A:$J,6,0),"無")</f>
        <v>1</v>
      </c>
      <c r="E32" s="79">
        <f>IFERROR(VLOOKUP($G32,基本資料!$A:$J,7,0),"無")</f>
        <v>66</v>
      </c>
      <c r="F32" s="6">
        <f>IFERROR(VLOOKUP($G32,基本資料!$A:$J,8,0),"無")</f>
        <v>15.39</v>
      </c>
      <c r="G32" s="80">
        <v>8069</v>
      </c>
      <c r="H32" s="183" t="s">
        <v>1877</v>
      </c>
      <c r="I32" s="16" t="s">
        <v>4301</v>
      </c>
      <c r="J32" s="8">
        <f>IFERROR(VLOOKUP($G32,今日總結!$A:$AN,39,0),"")</f>
        <v>24</v>
      </c>
      <c r="K32" s="5">
        <f>IFERROR(VLOOKUP($G32,今日總結!$A:$AN,40,0),"")</f>
        <v>0</v>
      </c>
      <c r="L32" s="156">
        <f>IFERROR(VLOOKUP($G32,今日總結!$A:$AN,37,0),"")</f>
        <v>2</v>
      </c>
      <c r="M32" s="337">
        <f>IFERROR(VLOOKUP($G32,今日總結!$A:$AN,38,0),"")</f>
        <v>0</v>
      </c>
      <c r="N32" s="240">
        <f t="shared" si="2"/>
        <v>2</v>
      </c>
      <c r="O32" s="359">
        <f>IFERROR(VLOOKUP($G32,融外自投!$A:$J,7,0),"無")</f>
        <v>827</v>
      </c>
      <c r="P32" s="79">
        <f>IFERROR(VLOOKUP($G32,融外自投!$A:$J,9,0),"無")</f>
        <v>142</v>
      </c>
      <c r="Q32" s="342">
        <f>IFERROR(VLOOKUP($G32,融外自投!$A:$J,8,0),"無")</f>
        <v>134</v>
      </c>
      <c r="R32" s="81">
        <f>IFERROR(VLOOKUP($G32,融外自投!$A:$J,10,0),"無")</f>
        <v>58</v>
      </c>
      <c r="S32" s="324">
        <f>IFERROR(VLOOKUP($G32,'321買'!$A:$E,4,0),"'沒有資料'")</f>
        <v>117</v>
      </c>
      <c r="T32" s="186">
        <f>IFERROR(VLOOKUP($G32,基本資料!$A:$J,9,0),"無")</f>
        <v>3.2</v>
      </c>
      <c r="U32" s="307">
        <f t="shared" si="4"/>
        <v>1.7927170868347341E-2</v>
      </c>
      <c r="V32" s="94">
        <f>IFERROR(VLOOKUP($G32,基本資料!$A:$J,10,0),"無")</f>
        <v>4.53</v>
      </c>
      <c r="W32" s="36">
        <f>RTD("money.excel",,"8069","Price")</f>
        <v>178.5</v>
      </c>
      <c r="X32" s="66">
        <v>174</v>
      </c>
      <c r="Y32" s="15">
        <f t="shared" si="0"/>
        <v>4.5</v>
      </c>
      <c r="Z32" s="3">
        <f t="shared" ref="Z32:Z38" si="5">Y32/X32</f>
        <v>2.5862068965517241E-2</v>
      </c>
      <c r="AA32" s="340">
        <f>IFERROR(VLOOKUP($G32,基本資料!$A:$M,11,0),"無")</f>
        <v>-8.93</v>
      </c>
      <c r="AB32" s="389">
        <f>IFERROR(VLOOKUP($G32,基本資料!$A:$M,12,0),"無")</f>
        <v>66.13</v>
      </c>
      <c r="AC32" s="16" t="s">
        <v>4301</v>
      </c>
      <c r="AD32" s="84"/>
      <c r="AE32" s="83"/>
      <c r="AF32" s="33"/>
      <c r="AG32" s="117" t="s">
        <v>4302</v>
      </c>
      <c r="AH32" s="16" t="s">
        <v>4301</v>
      </c>
      <c r="AI32" s="66">
        <f t="shared" si="3"/>
        <v>1.5687483937291185</v>
      </c>
      <c r="AJ32" s="283">
        <f>RTD("money.excel",,$G32,"PredictVolume")</f>
        <v>36624</v>
      </c>
      <c r="AK32" s="392">
        <f>IFERROR(VLOOKUP($G32,基本資料!$A:$M,13,0),"無")</f>
        <v>23346</v>
      </c>
      <c r="AL32" s="275">
        <f>RTD("money.excel",,"8069","VolumeStrength")</f>
        <v>15</v>
      </c>
      <c r="AM32" s="40">
        <f>RTD("money.excel",,"8069","ChangePercent")</f>
        <v>5.6213017751479288</v>
      </c>
      <c r="AR32" s="245" t="str">
        <f>INDEX(基本資料!N:N,MATCH($G32,基本資料!A:A,0))</f>
        <v>高</v>
      </c>
    </row>
    <row r="33" spans="1:44" s="245" customFormat="1">
      <c r="A33" s="343">
        <f>IFERROR(VLOOKUP($G33,基本資料!$A:$J,3,0),"無")</f>
        <v>163</v>
      </c>
      <c r="B33" s="79">
        <f>IFERROR(VLOOKUP($G33,基本資料!$A:$J,4,0),"無")</f>
        <v>87</v>
      </c>
      <c r="C33" s="79">
        <f>IFERROR(VLOOKUP($G33,基本資料!$A:$J,5,0),"無")</f>
        <v>90</v>
      </c>
      <c r="D33" s="79">
        <f>IFERROR(VLOOKUP($G33,基本資料!$A:$J,6,0),"無")</f>
        <v>-11</v>
      </c>
      <c r="E33" s="79">
        <f>IFERROR(VLOOKUP($G33,基本資料!$A:$J,7,0),"無")</f>
        <v>41</v>
      </c>
      <c r="F33" s="6">
        <f>IFERROR(VLOOKUP($G33,基本資料!$A:$J,8,0),"無")</f>
        <v>32.090000000000003</v>
      </c>
      <c r="G33" s="80">
        <v>5347</v>
      </c>
      <c r="H33" s="183" t="s">
        <v>3038</v>
      </c>
      <c r="I33" s="16" t="s">
        <v>33</v>
      </c>
      <c r="J33" s="8" t="str">
        <f>IFERROR(VLOOKUP($G33,今日總結!$A:$AN,39,0),"")</f>
        <v>投</v>
      </c>
      <c r="K33" s="5">
        <f>IFERROR(VLOOKUP($G33,今日總結!$A:$AN,40,0),"")</f>
        <v>0</v>
      </c>
      <c r="L33" s="156">
        <f>IFERROR(VLOOKUP($G33,今日總結!$A:$AN,37,0),"")</f>
        <v>1</v>
      </c>
      <c r="M33" s="337">
        <f>IFERROR(VLOOKUP($G33,今日總結!$A:$AN,38,0),"")</f>
        <v>0</v>
      </c>
      <c r="N33" s="240">
        <f t="shared" si="2"/>
        <v>1</v>
      </c>
      <c r="O33" s="359">
        <f>IFERROR(VLOOKUP($G33,融外自投!$A:$J,7,0),"無")</f>
        <v>1194</v>
      </c>
      <c r="P33" s="79">
        <f>IFERROR(VLOOKUP($G33,融外自投!$A:$J,9,0),"無")</f>
        <v>403</v>
      </c>
      <c r="Q33" s="342">
        <f>IFERROR(VLOOKUP($G33,融外自投!$A:$J,8,0),"無")</f>
        <v>172</v>
      </c>
      <c r="R33" s="81">
        <f>IFERROR(VLOOKUP($G33,融外自投!$A:$J,10,0),"無")</f>
        <v>141</v>
      </c>
      <c r="S33" s="324">
        <f>IFERROR(VLOOKUP($G33,'321買'!$A:$E,4,0),"'沒有資料'")</f>
        <v>743</v>
      </c>
      <c r="T33" s="186">
        <f>IFERROR(VLOOKUP($G33,基本資料!$A:$J,9,0),"無")</f>
        <v>4.5</v>
      </c>
      <c r="U33" s="307">
        <f t="shared" si="4"/>
        <v>4.3062200956937802E-2</v>
      </c>
      <c r="V33" s="94">
        <f>IFERROR(VLOOKUP($G33,基本資料!$A:$J,10,0),"無")</f>
        <v>7.21</v>
      </c>
      <c r="W33" s="36">
        <f>RTD("money.excel",,"5347","Price")</f>
        <v>104.5</v>
      </c>
      <c r="X33" s="66">
        <v>105.5</v>
      </c>
      <c r="Y33" s="15">
        <f t="shared" si="0"/>
        <v>-1</v>
      </c>
      <c r="Z33" s="3">
        <f t="shared" si="5"/>
        <v>-9.4786729857819912E-3</v>
      </c>
      <c r="AA33" s="340">
        <f>IFERROR(VLOOKUP($G33,基本資料!$A:$M,11,0),"無")</f>
        <v>-40.96</v>
      </c>
      <c r="AB33" s="389">
        <f>IFERROR(VLOOKUP($G33,基本資料!$A:$M,12,0),"無")</f>
        <v>25.69</v>
      </c>
      <c r="AC33" s="16" t="s">
        <v>33</v>
      </c>
      <c r="AD33" s="84"/>
      <c r="AE33" s="83"/>
      <c r="AF33" s="33"/>
      <c r="AG33" s="117" t="s">
        <v>1452</v>
      </c>
      <c r="AH33" s="16" t="s">
        <v>33</v>
      </c>
      <c r="AI33" s="66">
        <f t="shared" si="3"/>
        <v>0.57342614455245167</v>
      </c>
      <c r="AJ33" s="283">
        <f>RTD("money.excel",,$G33,"PredictVolume")</f>
        <v>2805</v>
      </c>
      <c r="AK33" s="392">
        <f>IFERROR(VLOOKUP($G33,基本資料!$A:$M,13,0),"無")</f>
        <v>4891.6499999999996</v>
      </c>
      <c r="AL33" s="275">
        <f>RTD("money.excel",,"5347","VolumeStrength")</f>
        <v>-14</v>
      </c>
      <c r="AM33" s="40">
        <f>RTD("money.excel",,"5347","ChangePercent")</f>
        <v>0.48076923076923078</v>
      </c>
      <c r="AR33" s="245" t="str">
        <f>INDEX(基本資料!N:N,MATCH($G33,基本資料!A:A,0))</f>
        <v>低</v>
      </c>
    </row>
    <row r="34" spans="1:44" s="245" customFormat="1">
      <c r="A34" s="343">
        <f>IFERROR(VLOOKUP($G34,基本資料!$A:$J,3,0),"無")</f>
        <v>7.61</v>
      </c>
      <c r="B34" s="79">
        <f>IFERROR(VLOOKUP($G34,基本資料!$A:$J,4,0),"無")</f>
        <v>54</v>
      </c>
      <c r="C34" s="79">
        <f>IFERROR(VLOOKUP($G34,基本資料!$A:$J,5,0),"無")</f>
        <v>54</v>
      </c>
      <c r="D34" s="79">
        <f>IFERROR(VLOOKUP($G34,基本資料!$A:$J,6,0),"無")</f>
        <v>729</v>
      </c>
      <c r="E34" s="79">
        <f>IFERROR(VLOOKUP($G34,基本資料!$A:$J,7,0),"無")</f>
        <v>45</v>
      </c>
      <c r="F34" s="6">
        <f>IFERROR(VLOOKUP($G34,基本資料!$A:$J,8,0),"無")</f>
        <v>53.68</v>
      </c>
      <c r="G34" s="80">
        <v>3529</v>
      </c>
      <c r="H34" s="183" t="s">
        <v>3038</v>
      </c>
      <c r="I34" s="16" t="s">
        <v>36</v>
      </c>
      <c r="J34" s="8">
        <f>IFERROR(VLOOKUP($G34,今日總結!$A:$AN,39,0),"")</f>
        <v>0</v>
      </c>
      <c r="K34" s="5">
        <f>IFERROR(VLOOKUP($G34,今日總結!$A:$AN,40,0),"")</f>
        <v>0</v>
      </c>
      <c r="L34" s="156">
        <f>IFERROR(VLOOKUP($G34,今日總結!$A:$AN,37,0),"")</f>
        <v>0</v>
      </c>
      <c r="M34" s="337">
        <f>IFERROR(VLOOKUP($G34,今日總結!$A:$AN,38,0),"")</f>
        <v>0</v>
      </c>
      <c r="N34" s="240">
        <f t="shared" si="2"/>
        <v>0</v>
      </c>
      <c r="O34" s="359">
        <f>IFERROR(VLOOKUP($G34,融外自投!$A:$J,7,0),"無")</f>
        <v>859</v>
      </c>
      <c r="P34" s="79">
        <f>IFERROR(VLOOKUP($G34,融外自投!$A:$J,9,0),"無")</f>
        <v>14</v>
      </c>
      <c r="Q34" s="342">
        <f>IFERROR(VLOOKUP($G34,融外自投!$A:$J,8,0),"無")</f>
        <v>53</v>
      </c>
      <c r="R34" s="81">
        <f>IFERROR(VLOOKUP($G34,融外自投!$A:$J,10,0),"無")</f>
        <v>13</v>
      </c>
      <c r="S34" s="324">
        <f>IFERROR(VLOOKUP($G34,'321買'!$A:$E,4,0),"'沒有資料'")</f>
        <v>497</v>
      </c>
      <c r="T34" s="186">
        <f>IFERROR(VLOOKUP($G34,基本資料!$A:$J,9,0),"無")</f>
        <v>14</v>
      </c>
      <c r="U34" s="307">
        <f t="shared" si="4"/>
        <v>1.064638783269962E-2</v>
      </c>
      <c r="V34" s="94">
        <f>IFERROR(VLOOKUP($G34,基本資料!$A:$J,10,0),"無")</f>
        <v>14.78</v>
      </c>
      <c r="W34" s="366">
        <f>RTD("money.excel",,"3529","Price")</f>
        <v>1315</v>
      </c>
      <c r="X34" s="390">
        <v>1285</v>
      </c>
      <c r="Y34" s="15">
        <f t="shared" si="0"/>
        <v>30</v>
      </c>
      <c r="Z34" s="3">
        <f t="shared" si="5"/>
        <v>2.3346303501945526E-2</v>
      </c>
      <c r="AA34" s="340">
        <f>IFERROR(VLOOKUP($G34,基本資料!$A:$M,11,0),"無")</f>
        <v>-47.82</v>
      </c>
      <c r="AB34" s="389">
        <f>IFERROR(VLOOKUP($G34,基本資料!$A:$M,12,0),"無")</f>
        <v>28.8</v>
      </c>
      <c r="AC34" s="16" t="s">
        <v>36</v>
      </c>
      <c r="AD34" s="84"/>
      <c r="AE34" s="83"/>
      <c r="AF34" s="33"/>
      <c r="AG34" s="117" t="s">
        <v>2923</v>
      </c>
      <c r="AH34" s="16" t="s">
        <v>36</v>
      </c>
      <c r="AI34" s="66">
        <f t="shared" si="3"/>
        <v>1.2441262027299171</v>
      </c>
      <c r="AJ34" s="283">
        <f>RTD("money.excel",,$G34,"PredictVolume")</f>
        <v>1668</v>
      </c>
      <c r="AK34" s="392">
        <f>IFERROR(VLOOKUP($G34,基本資料!$A:$M,13,0),"無")</f>
        <v>1340.7</v>
      </c>
      <c r="AL34" s="275">
        <f>RTD("money.excel",,"3529","VolumeStrength")</f>
        <v>-7</v>
      </c>
      <c r="AM34" s="40">
        <f>RTD("money.excel",,"3529","ChangePercent")</f>
        <v>-2.5925925925925926</v>
      </c>
      <c r="AR34" s="245" t="str">
        <f>INDEX(基本資料!N:N,MATCH($G34,基本資料!A:A,0))</f>
        <v>低</v>
      </c>
    </row>
    <row r="35" spans="1:44" s="245" customFormat="1">
      <c r="A35" s="343">
        <f>IFERROR(VLOOKUP($G35,基本資料!$A:$J,3,0),"無")</f>
        <v>3.43</v>
      </c>
      <c r="B35" s="79">
        <f>IFERROR(VLOOKUP($G35,基本資料!$A:$J,4,0),"無")</f>
        <v>30</v>
      </c>
      <c r="C35" s="79">
        <f>IFERROR(VLOOKUP($G35,基本資料!$A:$J,5,0),"無")</f>
        <v>30</v>
      </c>
      <c r="D35" s="79">
        <f>IFERROR(VLOOKUP($G35,基本資料!$A:$J,6,0),"無")</f>
        <v>4</v>
      </c>
      <c r="E35" s="79">
        <f>IFERROR(VLOOKUP($G35,基本資料!$A:$J,7,0),"無")</f>
        <v>60</v>
      </c>
      <c r="F35" s="6">
        <f>IFERROR(VLOOKUP($G35,基本資料!$A:$J,8,0),"無")</f>
        <v>45.42</v>
      </c>
      <c r="G35" s="80">
        <v>5274</v>
      </c>
      <c r="H35" s="183" t="s">
        <v>3038</v>
      </c>
      <c r="I35" s="16" t="s">
        <v>217</v>
      </c>
      <c r="J35" s="8">
        <f>IFERROR(VLOOKUP($G35,今日總結!$A:$AN,39,0),"")</f>
        <v>0</v>
      </c>
      <c r="K35" s="5">
        <f>IFERROR(VLOOKUP($G35,今日總結!$A:$AN,40,0),"")</f>
        <v>0</v>
      </c>
      <c r="L35" s="156">
        <f>IFERROR(VLOOKUP($G35,今日總結!$A:$AN,37,0),"")</f>
        <v>0</v>
      </c>
      <c r="M35" s="337">
        <f>IFERROR(VLOOKUP($G35,今日總結!$A:$AN,38,0),"")</f>
        <v>0</v>
      </c>
      <c r="N35" s="240">
        <f t="shared" si="2"/>
        <v>0</v>
      </c>
      <c r="O35" s="359">
        <f>IFERROR(VLOOKUP($G35,融外自投!$A:$J,7,0),"無")</f>
        <v>1134</v>
      </c>
      <c r="P35" s="79">
        <f>IFERROR(VLOOKUP($G35,融外自投!$A:$J,9,0),"無")</f>
        <v>487</v>
      </c>
      <c r="Q35" s="342">
        <f>IFERROR(VLOOKUP($G35,融外自投!$A:$J,8,0),"無")</f>
        <v>48</v>
      </c>
      <c r="R35" s="81">
        <f>IFERROR(VLOOKUP($G35,融外自投!$A:$J,10,0),"無")</f>
        <v>24</v>
      </c>
      <c r="S35" s="324">
        <f>IFERROR(VLOOKUP($G35,'321買'!$A:$E,4,0),"'沒有資料'")</f>
        <v>606</v>
      </c>
      <c r="T35" s="186">
        <f>IFERROR(VLOOKUP($G35,基本資料!$A:$J,9,0),"無")</f>
        <v>36</v>
      </c>
      <c r="U35" s="307">
        <f t="shared" si="4"/>
        <v>1.4145383104125737E-2</v>
      </c>
      <c r="V35" s="94">
        <f>IFERROR(VLOOKUP($G35,基本資料!$A:$J,10,0),"無")</f>
        <v>38.299999999999997</v>
      </c>
      <c r="W35" s="366">
        <f>RTD("money.excel",,"5274","Price")</f>
        <v>2545</v>
      </c>
      <c r="X35" s="390">
        <v>2650</v>
      </c>
      <c r="Y35" s="137">
        <f t="shared" si="0"/>
        <v>-105</v>
      </c>
      <c r="Z35" s="3">
        <f t="shared" si="5"/>
        <v>-3.962264150943396E-2</v>
      </c>
      <c r="AA35" s="340">
        <f>IFERROR(VLOOKUP($G35,基本資料!$A:$M,11,0),"無")</f>
        <v>-30.75</v>
      </c>
      <c r="AB35" s="389">
        <f>IFERROR(VLOOKUP($G35,基本資料!$A:$M,12,0),"無")</f>
        <v>31.51</v>
      </c>
      <c r="AC35" s="16" t="s">
        <v>217</v>
      </c>
      <c r="AD35" s="84"/>
      <c r="AE35" s="83"/>
      <c r="AF35" s="33"/>
      <c r="AG35" s="117" t="s">
        <v>2357</v>
      </c>
      <c r="AH35" s="16" t="s">
        <v>217</v>
      </c>
      <c r="AI35" s="66">
        <f t="shared" si="3"/>
        <v>0.9930508854516924</v>
      </c>
      <c r="AJ35" s="283">
        <f>RTD("money.excel",,$G35,"PredictVolume")</f>
        <v>443</v>
      </c>
      <c r="AK35" s="392">
        <f>IFERROR(VLOOKUP($G35,基本資料!$A:$M,13,0),"無")</f>
        <v>446.1</v>
      </c>
      <c r="AL35" s="275">
        <f>RTD("money.excel",,"5274","VolumeStrength")</f>
        <v>20</v>
      </c>
      <c r="AM35" s="40">
        <f>RTD("money.excel",,"5274","ChangePercent")</f>
        <v>0.79207920792079212</v>
      </c>
      <c r="AR35" s="245" t="str">
        <f>INDEX(基本資料!N:N,MATCH($G35,基本資料!A:A,0))</f>
        <v>中</v>
      </c>
    </row>
    <row r="36" spans="1:44" s="245" customFormat="1">
      <c r="A36" s="343">
        <f>IFERROR(VLOOKUP($G36,基本資料!$A:$J,3,0),"無")</f>
        <v>42.39</v>
      </c>
      <c r="B36" s="79">
        <f>IFERROR(VLOOKUP($G36,基本資料!$A:$J,4,0),"無")</f>
        <v>-19</v>
      </c>
      <c r="C36" s="79">
        <f>IFERROR(VLOOKUP($G36,基本資料!$A:$J,5,0),"無")</f>
        <v>-17</v>
      </c>
      <c r="D36" s="79">
        <f>IFERROR(VLOOKUP($G36,基本資料!$A:$J,6,0),"無")</f>
        <v>-2</v>
      </c>
      <c r="E36" s="79">
        <f>IFERROR(VLOOKUP($G36,基本資料!$A:$J,7,0),"無")</f>
        <v>-11</v>
      </c>
      <c r="F36" s="6">
        <f>IFERROR(VLOOKUP($G36,基本資料!$A:$J,8,0),"無")</f>
        <v>24.53</v>
      </c>
      <c r="G36" s="80">
        <v>3105</v>
      </c>
      <c r="H36" s="183" t="s">
        <v>3038</v>
      </c>
      <c r="I36" s="16" t="s">
        <v>258</v>
      </c>
      <c r="J36" s="8">
        <f>IFERROR(VLOOKUP($G36,今日總結!$A:$AN,39,0),"")</f>
        <v>0</v>
      </c>
      <c r="K36" s="5">
        <f>IFERROR(VLOOKUP($G36,今日總結!$A:$AN,40,0),"")</f>
        <v>0</v>
      </c>
      <c r="L36" s="156">
        <f>IFERROR(VLOOKUP($G36,今日總結!$A:$AN,37,0),"")</f>
        <v>0</v>
      </c>
      <c r="M36" s="337">
        <f>IFERROR(VLOOKUP($G36,今日總結!$A:$AN,38,0),"")</f>
        <v>0</v>
      </c>
      <c r="N36" s="240">
        <f t="shared" si="2"/>
        <v>0</v>
      </c>
      <c r="O36" s="359">
        <f>IFERROR(VLOOKUP($G36,融外自投!$A:$J,7,0),"無")</f>
        <v>853</v>
      </c>
      <c r="P36" s="79">
        <f>IFERROR(VLOOKUP($G36,融外自投!$A:$J,9,0),"無")</f>
        <v>104</v>
      </c>
      <c r="Q36" s="342">
        <f>IFERROR(VLOOKUP($G36,融外自投!$A:$J,8,0),"無")</f>
        <v>98</v>
      </c>
      <c r="R36" s="81">
        <f>IFERROR(VLOOKUP($G36,融外自投!$A:$J,10,0),"無")</f>
        <v>163</v>
      </c>
      <c r="S36" s="324">
        <f>IFERROR(VLOOKUP($G36,'321買'!$A:$E,4,0),"'沒有資料'")</f>
        <v>440</v>
      </c>
      <c r="T36" s="186">
        <f>IFERROR(VLOOKUP($G36,基本資料!$A:$J,9,0),"無")</f>
        <v>8</v>
      </c>
      <c r="U36" s="307">
        <f t="shared" si="4"/>
        <v>4.0712468193384227E-2</v>
      </c>
      <c r="V36" s="94">
        <f>IFERROR(VLOOKUP($G36,基本資料!$A:$J,10,0),"無")</f>
        <v>12.9</v>
      </c>
      <c r="W36" s="36">
        <f>RTD("money.excel",,"3105","Price")</f>
        <v>196.5</v>
      </c>
      <c r="X36" s="66">
        <v>195.5</v>
      </c>
      <c r="Y36" s="15">
        <f t="shared" si="0"/>
        <v>1</v>
      </c>
      <c r="Z36" s="3">
        <f t="shared" si="5"/>
        <v>5.1150895140664966E-3</v>
      </c>
      <c r="AA36" s="340">
        <f>IFERROR(VLOOKUP($G36,基本資料!$A:$M,11,0),"無")</f>
        <v>-51.12</v>
      </c>
      <c r="AB36" s="389">
        <f>IFERROR(VLOOKUP($G36,基本資料!$A:$M,12,0),"無")</f>
        <v>6.45</v>
      </c>
      <c r="AC36" s="16" t="s">
        <v>258</v>
      </c>
      <c r="AD36" s="84"/>
      <c r="AE36" s="83"/>
      <c r="AF36" s="33"/>
      <c r="AG36" s="117" t="s">
        <v>2324</v>
      </c>
      <c r="AH36" s="16" t="s">
        <v>258</v>
      </c>
      <c r="AI36" s="66">
        <f t="shared" si="3"/>
        <v>0.66564073866815887</v>
      </c>
      <c r="AJ36" s="283">
        <f>RTD("money.excel",,$G36,"PredictVolume")</f>
        <v>2379</v>
      </c>
      <c r="AK36" s="392">
        <f>IFERROR(VLOOKUP($G36,基本資料!$A:$M,13,0),"無")</f>
        <v>3574</v>
      </c>
      <c r="AL36" s="275">
        <f>RTD("money.excel",,"3105","VolumeStrength")</f>
        <v>-16</v>
      </c>
      <c r="AM36" s="40">
        <f>RTD("money.excel",,"3105","ChangePercent")</f>
        <v>-0.75757575757575757</v>
      </c>
      <c r="AR36" s="245" t="str">
        <f>INDEX(基本資料!N:N,MATCH($G36,基本資料!A:A,0))</f>
        <v>低</v>
      </c>
    </row>
    <row r="37" spans="1:44" s="245" customFormat="1">
      <c r="A37" s="343">
        <f>IFERROR(VLOOKUP($G37,基本資料!$A:$J,3,0),"無")</f>
        <v>58.62</v>
      </c>
      <c r="B37" s="79">
        <f>IFERROR(VLOOKUP($G37,基本資料!$A:$J,4,0),"無")</f>
        <v>0</v>
      </c>
      <c r="C37" s="79">
        <f>IFERROR(VLOOKUP($G37,基本資料!$A:$J,5,0),"無")</f>
        <v>21</v>
      </c>
      <c r="D37" s="79">
        <f>IFERROR(VLOOKUP($G37,基本資料!$A:$J,6,0),"無")</f>
        <v>-8</v>
      </c>
      <c r="E37" s="79">
        <f>IFERROR(VLOOKUP($G37,基本資料!$A:$J,7,0),"無")</f>
        <v>9</v>
      </c>
      <c r="F37" s="6">
        <f>IFERROR(VLOOKUP($G37,基本資料!$A:$J,8,0),"無")</f>
        <v>26.26</v>
      </c>
      <c r="G37" s="80">
        <v>5483</v>
      </c>
      <c r="H37" s="183" t="s">
        <v>3038</v>
      </c>
      <c r="I37" s="16" t="s">
        <v>145</v>
      </c>
      <c r="J37" s="8">
        <f>IFERROR(VLOOKUP($G37,今日總結!$A:$AN,39,0),"")</f>
        <v>0</v>
      </c>
      <c r="K37" s="5">
        <f>IFERROR(VLOOKUP($G37,今日總結!$A:$AN,40,0),"")</f>
        <v>0</v>
      </c>
      <c r="L37" s="156">
        <f>IFERROR(VLOOKUP($G37,今日總結!$A:$AN,37,0),"")</f>
        <v>0</v>
      </c>
      <c r="M37" s="337">
        <f>IFERROR(VLOOKUP($G37,今日總結!$A:$AN,38,0),"")</f>
        <v>0</v>
      </c>
      <c r="N37" s="240">
        <f t="shared" si="2"/>
        <v>0</v>
      </c>
      <c r="O37" s="359">
        <f>IFERROR(VLOOKUP($G37,融外自投!$A:$J,7,0),"無")</f>
        <v>622</v>
      </c>
      <c r="P37" s="79">
        <f>IFERROR(VLOOKUP($G37,融外自投!$A:$J,9,0),"無")</f>
        <v>240</v>
      </c>
      <c r="Q37" s="342">
        <f>IFERROR(VLOOKUP($G37,融外自投!$A:$J,8,0),"無")</f>
        <v>253</v>
      </c>
      <c r="R37" s="81">
        <f>IFERROR(VLOOKUP($G37,融外自投!$A:$J,10,0),"無")</f>
        <v>47</v>
      </c>
      <c r="S37" s="324">
        <f>IFERROR(VLOOKUP($G37,'321買'!$A:$E,4,0),"'沒有資料'")</f>
        <v>300</v>
      </c>
      <c r="T37" s="186">
        <f>IFERROR(VLOOKUP($G37,基本資料!$A:$J,9,0),"無")</f>
        <v>8</v>
      </c>
      <c r="U37" s="307">
        <f t="shared" si="4"/>
        <v>5.0473186119873815E-2</v>
      </c>
      <c r="V37" s="94">
        <f>IFERROR(VLOOKUP($G37,基本資料!$A:$J,10,0),"無")</f>
        <v>11.62</v>
      </c>
      <c r="W37" s="36">
        <f>RTD("money.excel",,"5483","Price")</f>
        <v>158.5</v>
      </c>
      <c r="X37" s="66">
        <v>149</v>
      </c>
      <c r="Y37" s="15">
        <f t="shared" si="0"/>
        <v>9.5</v>
      </c>
      <c r="Z37" s="3">
        <f t="shared" si="5"/>
        <v>6.3758389261744972E-2</v>
      </c>
      <c r="AA37" s="340">
        <f>IFERROR(VLOOKUP($G37,基本資料!$A:$M,11,0),"無")</f>
        <v>-36.35</v>
      </c>
      <c r="AB37" s="389">
        <f>IFERROR(VLOOKUP($G37,基本資料!$A:$M,12,0),"無")</f>
        <v>34.409999999999997</v>
      </c>
      <c r="AC37" s="16" t="s">
        <v>145</v>
      </c>
      <c r="AD37" s="84"/>
      <c r="AE37" s="83"/>
      <c r="AF37" s="33"/>
      <c r="AG37" s="117" t="s">
        <v>2350</v>
      </c>
      <c r="AH37" s="16" t="s">
        <v>145</v>
      </c>
      <c r="AI37" s="66">
        <f t="shared" si="3"/>
        <v>1.6583755936569267</v>
      </c>
      <c r="AJ37" s="283">
        <f>RTD("money.excel",,$G37,"PredictVolume")</f>
        <v>10301</v>
      </c>
      <c r="AK37" s="392">
        <f>IFERROR(VLOOKUP($G37,基本資料!$A:$M,13,0),"無")</f>
        <v>6211.5</v>
      </c>
      <c r="AL37" s="275">
        <f>RTD("money.excel",,"5483","VolumeStrength")</f>
        <v>-24</v>
      </c>
      <c r="AM37" s="40">
        <f>RTD("money.excel",,"5483","ChangePercent")</f>
        <v>-1.2461059190031152</v>
      </c>
      <c r="AR37" s="245" t="str">
        <f>INDEX(基本資料!N:N,MATCH($G37,基本資料!A:A,0))</f>
        <v>低</v>
      </c>
    </row>
    <row r="38" spans="1:44" s="245" customFormat="1">
      <c r="A38" s="343">
        <f>IFERROR(VLOOKUP($G38,基本資料!$A:$J,3,0),"無")</f>
        <v>28.49</v>
      </c>
      <c r="B38" s="79">
        <f>IFERROR(VLOOKUP($G38,基本資料!$A:$J,4,0),"無")</f>
        <v>-44</v>
      </c>
      <c r="C38" s="79">
        <f>IFERROR(VLOOKUP($G38,基本資料!$A:$J,5,0),"無")</f>
        <v>-64</v>
      </c>
      <c r="D38" s="79">
        <f>IFERROR(VLOOKUP($G38,基本資料!$A:$J,6,0),"無")</f>
        <v>167</v>
      </c>
      <c r="E38" s="79">
        <f>IFERROR(VLOOKUP($G38,基本資料!$A:$J,7,0),"無")</f>
        <v>1078</v>
      </c>
      <c r="F38" s="6">
        <f>IFERROR(VLOOKUP($G38,基本資料!$A:$J,8,0),"無")</f>
        <v>-429.91</v>
      </c>
      <c r="G38" s="80">
        <v>6446</v>
      </c>
      <c r="H38" s="5" t="s">
        <v>309</v>
      </c>
      <c r="I38" s="16" t="s">
        <v>618</v>
      </c>
      <c r="J38" s="8" t="str">
        <f>IFERROR(VLOOKUP($G38,今日總結!$A:$AN,39,0),"")</f>
        <v/>
      </c>
      <c r="K38" s="5" t="str">
        <f>IFERROR(VLOOKUP($G38,今日總結!$A:$AN,40,0),"")</f>
        <v/>
      </c>
      <c r="L38" s="156" t="str">
        <f>IFERROR(VLOOKUP($G38,今日總結!$A:$AN,37,0),"")</f>
        <v/>
      </c>
      <c r="M38" s="337" t="str">
        <f>IFERROR(VLOOKUP($G38,今日總結!$A:$AN,38,0),"")</f>
        <v/>
      </c>
      <c r="N38" s="240" t="str">
        <f t="shared" si="2"/>
        <v/>
      </c>
      <c r="O38" s="359" t="str">
        <f>IFERROR(VLOOKUP($G38,融外自投!$A:$J,7,0),"無")</f>
        <v>無</v>
      </c>
      <c r="P38" s="79" t="str">
        <f>IFERROR(VLOOKUP($G38,融外自投!$A:$J,9,0),"無")</f>
        <v>無</v>
      </c>
      <c r="Q38" s="342" t="str">
        <f>IFERROR(VLOOKUP($G38,融外自投!$A:$J,8,0),"無")</f>
        <v>無</v>
      </c>
      <c r="R38" s="81" t="str">
        <f>IFERROR(VLOOKUP($G38,融外自投!$A:$J,10,0),"無")</f>
        <v>無</v>
      </c>
      <c r="S38" s="324" t="str">
        <f>IFERROR(VLOOKUP($G38,'321買'!$A:$E,4,0),"'沒有資料'")</f>
        <v>'沒有資料'</v>
      </c>
      <c r="T38" s="186">
        <f>IFERROR(VLOOKUP($G38,基本資料!$A:$J,9,0),"無")</f>
        <v>0</v>
      </c>
      <c r="U38" s="307">
        <f t="shared" si="4"/>
        <v>0</v>
      </c>
      <c r="V38" s="94">
        <f>IFERROR(VLOOKUP($G38,基本資料!$A:$J,10,0),"無")</f>
        <v>-10.8</v>
      </c>
      <c r="W38" s="36">
        <f>RTD("money.excel",,"6446","Price")</f>
        <v>380.5</v>
      </c>
      <c r="X38" s="66">
        <v>310</v>
      </c>
      <c r="Y38" s="15">
        <f t="shared" si="0"/>
        <v>70.5</v>
      </c>
      <c r="Z38" s="3">
        <f t="shared" si="5"/>
        <v>0.22741935483870968</v>
      </c>
      <c r="AA38" s="340">
        <f>IFERROR(VLOOKUP($G38,基本資料!$A:$M,11,0),"無")</f>
        <v>-9.83</v>
      </c>
      <c r="AB38" s="389">
        <f>IFERROR(VLOOKUP($G38,基本資料!$A:$M,12,0),"無")</f>
        <v>83.46</v>
      </c>
      <c r="AC38" s="16" t="s">
        <v>618</v>
      </c>
      <c r="AD38" s="84"/>
      <c r="AE38" s="83"/>
      <c r="AF38" s="33"/>
      <c r="AG38" s="43" t="s">
        <v>3821</v>
      </c>
      <c r="AH38" s="16" t="s">
        <v>618</v>
      </c>
      <c r="AI38" s="66">
        <f t="shared" si="3"/>
        <v>1.3323244552058111</v>
      </c>
      <c r="AJ38" s="283">
        <f>RTD("money.excel",,$G38,"PredictVolume")</f>
        <v>2201</v>
      </c>
      <c r="AK38" s="392">
        <f>IFERROR(VLOOKUP($G38,基本資料!$A:$M,13,0),"無")</f>
        <v>1652</v>
      </c>
      <c r="AL38" s="275">
        <f>RTD("money.excel",,"6446","VolumeStrength")</f>
        <v>24</v>
      </c>
      <c r="AM38" s="40">
        <f>RTD("money.excel",,"6446","ChangePercent")</f>
        <v>-2.6854219948849103</v>
      </c>
      <c r="AR38" s="245" t="str">
        <f>INDEX(基本資料!N:N,MATCH($G38,基本資料!A:A,0))</f>
        <v>高</v>
      </c>
    </row>
    <row r="39" spans="1:44" s="245" customFormat="1">
      <c r="A39" s="343">
        <f>IFERROR(VLOOKUP($G39,基本資料!$A:$J,3,0),"無")</f>
        <v>19.7</v>
      </c>
      <c r="B39" s="79">
        <f>IFERROR(VLOOKUP($G39,基本資料!$A:$J,4,0),"無")</f>
        <v>-6</v>
      </c>
      <c r="C39" s="79">
        <f>IFERROR(VLOOKUP($G39,基本資料!$A:$J,5,0),"無")</f>
        <v>133</v>
      </c>
      <c r="D39" s="79">
        <f>IFERROR(VLOOKUP($G39,基本資料!$A:$J,6,0),"無")</f>
        <v>-7</v>
      </c>
      <c r="E39" s="79">
        <f>IFERROR(VLOOKUP($G39,基本資料!$A:$J,7,0),"無")</f>
        <v>15</v>
      </c>
      <c r="F39" s="6">
        <f>IFERROR(VLOOKUP($G39,基本資料!$A:$J,8,0),"無")</f>
        <v>14.52</v>
      </c>
      <c r="G39" s="80">
        <v>8299</v>
      </c>
      <c r="H39" s="193" t="s">
        <v>3038</v>
      </c>
      <c r="I39" s="16" t="s">
        <v>4072</v>
      </c>
      <c r="J39" s="8" t="str">
        <f>IFERROR(VLOOKUP($G39,今日總結!$A:$AN,39,0),"")</f>
        <v>融</v>
      </c>
      <c r="K39" s="5">
        <f>IFERROR(VLOOKUP($G39,今日總結!$A:$AN,40,0),"")</f>
        <v>0</v>
      </c>
      <c r="L39" s="156">
        <f>IFERROR(VLOOKUP($G39,今日總結!$A:$AN,37,0),"")</f>
        <v>3</v>
      </c>
      <c r="M39" s="337">
        <f>IFERROR(VLOOKUP($G39,今日總結!$A:$AN,38,0),"")</f>
        <v>0</v>
      </c>
      <c r="N39" s="240">
        <f t="shared" si="2"/>
        <v>3</v>
      </c>
      <c r="O39" s="359">
        <f>IFERROR(VLOOKUP($G39,融外自投!$A:$J,7,0),"無")</f>
        <v>358</v>
      </c>
      <c r="P39" s="79">
        <f>IFERROR(VLOOKUP($G39,融外自投!$A:$J,9,0),"無")</f>
        <v>103</v>
      </c>
      <c r="Q39" s="342">
        <f>IFERROR(VLOOKUP($G39,融外自投!$A:$J,8,0),"無")</f>
        <v>133</v>
      </c>
      <c r="R39" s="81">
        <f>IFERROR(VLOOKUP($G39,融外自投!$A:$J,10,0),"無")</f>
        <v>83</v>
      </c>
      <c r="S39" s="324">
        <f>IFERROR(VLOOKUP($G39,'321買'!$A:$E,4,0),"'沒有資料'")</f>
        <v>192</v>
      </c>
      <c r="T39" s="186">
        <f>IFERROR(VLOOKUP($G39,基本資料!$A:$J,9,0),"無")</f>
        <v>23</v>
      </c>
      <c r="U39" s="307">
        <f t="shared" si="4"/>
        <v>6.1251664447403459E-2</v>
      </c>
      <c r="V39" s="94">
        <f>IFERROR(VLOOKUP($G39,基本資料!$A:$J,10,0),"無")</f>
        <v>41.34</v>
      </c>
      <c r="W39" s="36">
        <f>RTD("money.excel",,"8299","Price")</f>
        <v>375.5</v>
      </c>
      <c r="X39" s="66">
        <v>387.5</v>
      </c>
      <c r="Y39" s="15">
        <f>W39-X39</f>
        <v>-12</v>
      </c>
      <c r="Z39" s="3">
        <f>Y39/X39</f>
        <v>-3.0967741935483871E-2</v>
      </c>
      <c r="AA39" s="340">
        <f>IFERROR(VLOOKUP($G39,基本資料!$A:$M,11,0),"無")</f>
        <v>-31.1</v>
      </c>
      <c r="AB39" s="389">
        <f>IFERROR(VLOOKUP($G39,基本資料!$A:$M,12,0),"無")</f>
        <v>10.93</v>
      </c>
      <c r="AC39" s="16" t="s">
        <v>4072</v>
      </c>
      <c r="AD39" s="84"/>
      <c r="AE39" s="83"/>
      <c r="AF39" s="33"/>
      <c r="AG39" s="117" t="s">
        <v>2128</v>
      </c>
      <c r="AH39" s="16" t="s">
        <v>4072</v>
      </c>
      <c r="AI39" s="66">
        <f t="shared" si="3"/>
        <v>0.91726618705035978</v>
      </c>
      <c r="AJ39" s="283">
        <f>RTD("money.excel",,$G39,"PredictVolume")</f>
        <v>1836</v>
      </c>
      <c r="AK39" s="392">
        <f>IFERROR(VLOOKUP($G39,基本資料!$A:$M,13,0),"無")</f>
        <v>2001.6</v>
      </c>
      <c r="AL39" s="275">
        <f>RTD("money.excel",,"8299","VolumeStrength")</f>
        <v>27</v>
      </c>
      <c r="AM39" s="40">
        <f>RTD("money.excel",,"8299","ChangePercent")</f>
        <v>-0.79260237780713338</v>
      </c>
      <c r="AR39" s="245" t="str">
        <f>INDEX(基本資料!N:N,MATCH($G39,基本資料!A:A,0))</f>
        <v>低</v>
      </c>
    </row>
    <row r="40" spans="1:44" s="245" customFormat="1">
      <c r="A40" s="343">
        <f>IFERROR(VLOOKUP($G40,基本資料!$A:$J,3,0),"無")</f>
        <v>38.81</v>
      </c>
      <c r="B40" s="79">
        <f>IFERROR(VLOOKUP($G40,基本資料!$A:$J,4,0),"無")</f>
        <v>-64</v>
      </c>
      <c r="C40" s="79">
        <f>IFERROR(VLOOKUP($G40,基本資料!$A:$J,5,0),"無")</f>
        <v>-30</v>
      </c>
      <c r="D40" s="79">
        <f>IFERROR(VLOOKUP($G40,基本資料!$A:$J,6,0),"無")</f>
        <v>-20</v>
      </c>
      <c r="E40" s="79">
        <f>IFERROR(VLOOKUP($G40,基本資料!$A:$J,7,0),"無")</f>
        <v>308</v>
      </c>
      <c r="F40" s="6">
        <f>IFERROR(VLOOKUP($G40,基本資料!$A:$J,8,0),"無")</f>
        <v>-1335.27</v>
      </c>
      <c r="G40" s="80">
        <v>4743</v>
      </c>
      <c r="H40" s="5" t="s">
        <v>309</v>
      </c>
      <c r="I40" s="16" t="s">
        <v>286</v>
      </c>
      <c r="J40" s="8" t="str">
        <f>IFERROR(VLOOKUP($G40,今日總結!$A:$AN,39,0),"")</f>
        <v/>
      </c>
      <c r="K40" s="5" t="str">
        <f>IFERROR(VLOOKUP($G40,今日總結!$A:$AN,40,0),"")</f>
        <v/>
      </c>
      <c r="L40" s="156" t="str">
        <f>IFERROR(VLOOKUP($G40,今日總結!$A:$AN,37,0),"")</f>
        <v/>
      </c>
      <c r="M40" s="337" t="str">
        <f>IFERROR(VLOOKUP($G40,今日總結!$A:$AN,38,0),"")</f>
        <v/>
      </c>
      <c r="N40" s="240" t="str">
        <f t="shared" si="2"/>
        <v/>
      </c>
      <c r="O40" s="359" t="str">
        <f>IFERROR(VLOOKUP($G40,融外自投!$A:$J,7,0),"無")</f>
        <v>無</v>
      </c>
      <c r="P40" s="79" t="str">
        <f>IFERROR(VLOOKUP($G40,融外自投!$A:$J,9,0),"無")</f>
        <v>無</v>
      </c>
      <c r="Q40" s="342" t="str">
        <f>IFERROR(VLOOKUP($G40,融外自投!$A:$J,8,0),"無")</f>
        <v>無</v>
      </c>
      <c r="R40" s="81" t="str">
        <f>IFERROR(VLOOKUP($G40,融外自投!$A:$J,10,0),"無")</f>
        <v>無</v>
      </c>
      <c r="S40" s="324" t="str">
        <f>IFERROR(VLOOKUP($G40,'321買'!$A:$E,4,0),"'沒有資料'")</f>
        <v>'沒有資料'</v>
      </c>
      <c r="T40" s="186">
        <f>IFERROR(VLOOKUP($G40,基本資料!$A:$J,9,0),"無")</f>
        <v>0</v>
      </c>
      <c r="U40" s="307">
        <f t="shared" si="4"/>
        <v>0</v>
      </c>
      <c r="V40" s="94">
        <f>IFERROR(VLOOKUP($G40,基本資料!$A:$J,10,0),"無")</f>
        <v>-1.06</v>
      </c>
      <c r="W40" s="36">
        <f>RTD("money.excel",,"4743","Price")</f>
        <v>184.5</v>
      </c>
      <c r="X40" s="66">
        <v>194.5</v>
      </c>
      <c r="Y40" s="15">
        <f t="shared" ref="Y40" si="6">W40-X40</f>
        <v>-10</v>
      </c>
      <c r="Z40" s="3">
        <f t="shared" ref="Z40" si="7">Y40/X40</f>
        <v>-5.1413881748071981E-2</v>
      </c>
      <c r="AA40" s="340">
        <f>IFERROR(VLOOKUP($G40,基本資料!$A:$M,11,0),"無")</f>
        <v>-45.41</v>
      </c>
      <c r="AB40" s="389">
        <f>IFERROR(VLOOKUP($G40,基本資料!$A:$M,12,0),"無")</f>
        <v>7.66</v>
      </c>
      <c r="AC40" s="16" t="s">
        <v>286</v>
      </c>
      <c r="AD40" s="84"/>
      <c r="AE40" s="83"/>
      <c r="AF40" s="33"/>
      <c r="AG40" s="43" t="s">
        <v>3806</v>
      </c>
      <c r="AH40" s="16" t="s">
        <v>286</v>
      </c>
      <c r="AI40" s="66">
        <f t="shared" si="3"/>
        <v>0.69331222793826675</v>
      </c>
      <c r="AJ40" s="283">
        <f>RTD("money.excel",,$G40,"PredictVolume")</f>
        <v>1752</v>
      </c>
      <c r="AK40" s="392">
        <f>IFERROR(VLOOKUP($G40,基本資料!$A:$M,13,0),"無")</f>
        <v>2527</v>
      </c>
      <c r="AL40" s="275">
        <f>RTD("money.excel",,"4743","VolumeStrength")</f>
        <v>-37</v>
      </c>
      <c r="AM40" s="40">
        <f>RTD("money.excel",,"4743","ChangePercent")</f>
        <v>-0.27027027027027029</v>
      </c>
      <c r="AR40" s="245" t="str">
        <f>INDEX(基本資料!N:N,MATCH($G40,基本資料!A:A,0))</f>
        <v>低</v>
      </c>
    </row>
    <row r="41" spans="1:44">
      <c r="A41" s="127" t="s">
        <v>1672</v>
      </c>
      <c r="B41" s="90" t="s">
        <v>1571</v>
      </c>
      <c r="C41" s="90" t="s">
        <v>1572</v>
      </c>
      <c r="D41" s="90" t="s">
        <v>1573</v>
      </c>
      <c r="E41" s="90" t="s">
        <v>1574</v>
      </c>
      <c r="F41" s="8" t="s">
        <v>1059</v>
      </c>
      <c r="G41" s="26" t="s">
        <v>3441</v>
      </c>
      <c r="H41" s="55" t="s">
        <v>320</v>
      </c>
      <c r="I41" s="8" t="s">
        <v>6828</v>
      </c>
      <c r="J41" s="8" t="s">
        <v>6211</v>
      </c>
      <c r="K41" s="5" t="s">
        <v>6212</v>
      </c>
      <c r="L41" s="334" t="s">
        <v>6197</v>
      </c>
      <c r="M41" s="335" t="s">
        <v>6198</v>
      </c>
      <c r="N41" s="336" t="s">
        <v>6199</v>
      </c>
      <c r="O41" s="89" t="s">
        <v>4718</v>
      </c>
      <c r="P41" s="292" t="s">
        <v>3543</v>
      </c>
      <c r="Q41" s="350" t="s">
        <v>3542</v>
      </c>
      <c r="R41" s="26" t="s">
        <v>3544</v>
      </c>
      <c r="S41" s="323" t="s">
        <v>4715</v>
      </c>
      <c r="T41" s="10" t="s">
        <v>66</v>
      </c>
      <c r="U41" s="305" t="s">
        <v>4728</v>
      </c>
      <c r="V41" s="68" t="s">
        <v>3272</v>
      </c>
      <c r="W41" s="28" t="s">
        <v>2</v>
      </c>
      <c r="X41" s="17" t="s">
        <v>1398</v>
      </c>
      <c r="Y41" s="14" t="s">
        <v>5</v>
      </c>
      <c r="Z41" s="21" t="s">
        <v>3</v>
      </c>
      <c r="AA41" s="51" t="s">
        <v>6166</v>
      </c>
      <c r="AB41" s="102" t="s">
        <v>6404</v>
      </c>
      <c r="AC41" s="8" t="s">
        <v>6828</v>
      </c>
      <c r="AD41" s="71" t="s">
        <v>1399</v>
      </c>
      <c r="AE41" s="72" t="s">
        <v>1156</v>
      </c>
      <c r="AF41" s="4"/>
      <c r="AG41" s="25" t="s">
        <v>6200</v>
      </c>
      <c r="AH41" s="8" t="s">
        <v>6828</v>
      </c>
      <c r="AI41" s="8" t="s">
        <v>6696</v>
      </c>
      <c r="AJ41" s="50" t="s">
        <v>3360</v>
      </c>
      <c r="AK41" s="22" t="s">
        <v>6695</v>
      </c>
      <c r="AL41" s="50" t="s">
        <v>6371</v>
      </c>
      <c r="AM41" s="26" t="s">
        <v>6267</v>
      </c>
    </row>
    <row r="42" spans="1:44">
      <c r="B42" s="80"/>
      <c r="C42" s="80"/>
      <c r="D42" s="80"/>
      <c r="E42" s="79"/>
      <c r="F42" s="6"/>
      <c r="G42" s="80"/>
      <c r="H42" s="8"/>
      <c r="I42" s="22"/>
      <c r="L42" s="123"/>
      <c r="R42" s="81"/>
      <c r="T42" s="34"/>
      <c r="U42" s="307"/>
      <c r="V42" s="94"/>
      <c r="W42" s="36"/>
      <c r="X42" s="66"/>
      <c r="Y42" s="15"/>
      <c r="Z42" s="3"/>
      <c r="AA42" s="168"/>
      <c r="AC42" s="22"/>
      <c r="AF42" s="33"/>
      <c r="AG42" s="117"/>
      <c r="AH42" s="22"/>
      <c r="AI42" s="63"/>
      <c r="AJ42" s="283"/>
      <c r="AK42" s="392"/>
    </row>
    <row r="43" spans="1:44">
      <c r="B43" s="79"/>
      <c r="C43" s="79"/>
      <c r="D43" s="80"/>
      <c r="E43" s="79"/>
      <c r="F43" s="6"/>
      <c r="G43" s="79"/>
      <c r="H43" s="8"/>
      <c r="I43" s="16"/>
      <c r="L43" s="123"/>
      <c r="R43" s="81"/>
      <c r="T43" s="34"/>
      <c r="U43" s="307"/>
      <c r="V43" s="94"/>
      <c r="W43" s="36"/>
      <c r="X43" s="66"/>
      <c r="Y43" s="15"/>
      <c r="Z43" s="3"/>
      <c r="AA43" s="168"/>
      <c r="AC43" s="16"/>
      <c r="AF43" s="33"/>
      <c r="AG43" s="43"/>
      <c r="AH43" s="16"/>
      <c r="AI43" s="63"/>
      <c r="AJ43" s="283"/>
    </row>
    <row r="44" spans="1:44">
      <c r="B44" s="79"/>
      <c r="C44" s="79"/>
      <c r="D44" s="80"/>
      <c r="E44" s="79"/>
      <c r="F44" s="6"/>
      <c r="G44" s="79"/>
      <c r="H44" s="8"/>
      <c r="I44" s="16"/>
      <c r="L44" s="123"/>
      <c r="R44" s="81"/>
      <c r="T44" s="34"/>
      <c r="U44" s="307"/>
      <c r="V44" s="94"/>
      <c r="W44" s="36"/>
      <c r="X44" s="66"/>
      <c r="Y44" s="15"/>
      <c r="Z44" s="3"/>
      <c r="AA44" s="168"/>
      <c r="AC44" s="16"/>
      <c r="AF44" s="33"/>
      <c r="AG44" s="43"/>
      <c r="AH44" s="16"/>
      <c r="AI44" s="63"/>
      <c r="AJ44" s="283"/>
      <c r="AK44" s="392"/>
    </row>
    <row r="45" spans="1:44">
      <c r="B45" s="79"/>
      <c r="C45" s="79"/>
      <c r="D45" s="79"/>
      <c r="E45" s="79"/>
      <c r="F45" s="6"/>
      <c r="G45" s="79"/>
      <c r="H45" s="8"/>
      <c r="I45" s="22"/>
      <c r="L45" s="123"/>
      <c r="R45" s="81"/>
      <c r="T45" s="34"/>
      <c r="U45" s="307"/>
      <c r="V45" s="94"/>
      <c r="W45" s="36"/>
      <c r="X45" s="66"/>
      <c r="Y45" s="15"/>
      <c r="Z45" s="3"/>
      <c r="AA45" s="168"/>
      <c r="AC45" s="22"/>
      <c r="AF45" s="33"/>
      <c r="AG45" s="117"/>
      <c r="AH45" s="22"/>
      <c r="AI45" s="63"/>
      <c r="AJ45" s="283"/>
      <c r="AK45" s="392"/>
    </row>
    <row r="46" spans="1:44">
      <c r="B46" s="79"/>
      <c r="C46" s="79"/>
      <c r="D46" s="80"/>
      <c r="E46" s="79"/>
      <c r="F46" s="6"/>
      <c r="G46" s="79"/>
      <c r="H46" s="8"/>
      <c r="I46" s="22"/>
      <c r="L46" s="123"/>
      <c r="R46" s="81"/>
      <c r="T46" s="34"/>
      <c r="U46" s="307"/>
      <c r="V46" s="94"/>
      <c r="W46" s="13"/>
      <c r="X46" s="66"/>
      <c r="Y46" s="15"/>
      <c r="Z46" s="3"/>
      <c r="AA46" s="168"/>
      <c r="AC46" s="22"/>
      <c r="AF46" s="33"/>
      <c r="AG46" s="117"/>
      <c r="AH46" s="22"/>
      <c r="AI46" s="63"/>
      <c r="AJ46" s="283"/>
      <c r="AK46" s="392"/>
    </row>
    <row r="47" spans="1:44">
      <c r="B47" s="80"/>
      <c r="C47" s="80"/>
      <c r="D47" s="80"/>
      <c r="E47" s="79"/>
      <c r="F47" s="6"/>
      <c r="G47" s="79"/>
      <c r="H47" s="8"/>
      <c r="I47" s="16"/>
      <c r="L47" s="123"/>
      <c r="R47" s="81"/>
      <c r="T47" s="34"/>
      <c r="U47" s="307"/>
      <c r="V47" s="94"/>
      <c r="W47" s="36"/>
      <c r="X47" s="66"/>
      <c r="Y47" s="15"/>
      <c r="Z47" s="3"/>
      <c r="AA47" s="168"/>
      <c r="AC47" s="16"/>
      <c r="AF47" s="33"/>
      <c r="AG47" s="117"/>
      <c r="AH47" s="16"/>
      <c r="AI47" s="63"/>
      <c r="AJ47" s="283"/>
      <c r="AK47" s="392"/>
    </row>
    <row r="48" spans="1:44">
      <c r="B48" s="79"/>
      <c r="C48" s="79"/>
      <c r="D48" s="79"/>
      <c r="E48" s="79"/>
      <c r="F48" s="6"/>
      <c r="G48" s="79"/>
      <c r="H48" s="8"/>
      <c r="I48" s="22"/>
      <c r="L48" s="123"/>
      <c r="P48" s="292"/>
      <c r="R48" s="81"/>
      <c r="T48" s="34"/>
      <c r="U48" s="307"/>
      <c r="V48" s="94"/>
      <c r="W48" s="36"/>
      <c r="X48" s="66"/>
      <c r="Y48" s="15"/>
      <c r="Z48" s="3"/>
      <c r="AA48" s="168"/>
      <c r="AC48" s="22"/>
      <c r="AF48" s="33"/>
      <c r="AG48" s="117"/>
      <c r="AH48" s="22"/>
      <c r="AI48" s="63"/>
      <c r="AJ48" s="283"/>
      <c r="AK48" s="392"/>
    </row>
    <row r="49" spans="1:38">
      <c r="B49" s="79"/>
      <c r="C49" s="79"/>
      <c r="D49" s="80"/>
      <c r="E49" s="79"/>
      <c r="F49" s="6"/>
      <c r="G49" s="79"/>
      <c r="H49" s="8"/>
      <c r="I49" s="22"/>
      <c r="L49" s="123"/>
      <c r="P49" s="292"/>
      <c r="R49" s="81"/>
      <c r="T49" s="34"/>
      <c r="U49" s="307"/>
      <c r="V49" s="94"/>
      <c r="W49" s="36"/>
      <c r="X49" s="66"/>
      <c r="Y49" s="15"/>
      <c r="Z49" s="3"/>
      <c r="AA49" s="168"/>
      <c r="AC49" s="22"/>
      <c r="AF49" s="33"/>
      <c r="AG49" s="117"/>
      <c r="AH49" s="22"/>
      <c r="AI49" s="63"/>
      <c r="AJ49" s="283"/>
      <c r="AK49" s="392"/>
    </row>
    <row r="50" spans="1:38">
      <c r="B50" s="80"/>
      <c r="C50" s="80"/>
      <c r="D50" s="80"/>
      <c r="E50" s="79"/>
      <c r="F50" s="6"/>
      <c r="G50" s="79"/>
      <c r="H50" s="8"/>
      <c r="I50" s="22"/>
      <c r="L50" s="123"/>
      <c r="O50" s="359"/>
      <c r="P50" s="47"/>
      <c r="Q50" s="342"/>
      <c r="R50" s="81"/>
      <c r="T50" s="34"/>
      <c r="U50" s="307"/>
      <c r="V50" s="94"/>
      <c r="W50" s="36"/>
      <c r="X50" s="66"/>
      <c r="Y50" s="15"/>
      <c r="Z50" s="3"/>
      <c r="AA50" s="168"/>
      <c r="AC50" s="22"/>
      <c r="AF50" s="33"/>
      <c r="AG50" s="43"/>
      <c r="AH50" s="22"/>
      <c r="AI50" s="63"/>
      <c r="AJ50" s="283"/>
      <c r="AK50" s="392"/>
    </row>
    <row r="51" spans="1:38">
      <c r="B51" s="79"/>
      <c r="C51" s="79"/>
      <c r="D51" s="79"/>
      <c r="E51" s="79"/>
      <c r="F51" s="6"/>
      <c r="G51" s="80"/>
      <c r="H51" s="145"/>
      <c r="I51" s="16"/>
      <c r="L51" s="123"/>
      <c r="P51" s="134"/>
      <c r="R51" s="81"/>
      <c r="T51" s="34"/>
      <c r="U51" s="307"/>
      <c r="V51" s="94"/>
      <c r="W51" s="36"/>
      <c r="X51" s="66"/>
      <c r="Y51" s="15"/>
      <c r="Z51" s="3"/>
      <c r="AA51" s="168"/>
      <c r="AC51" s="16"/>
      <c r="AF51" s="33"/>
      <c r="AG51" s="43"/>
      <c r="AH51" s="16"/>
      <c r="AI51" s="63"/>
      <c r="AJ51" s="283"/>
      <c r="AK51" s="392"/>
    </row>
    <row r="52" spans="1:38">
      <c r="B52" s="79"/>
      <c r="C52" s="79"/>
      <c r="D52" s="79"/>
      <c r="E52" s="79"/>
      <c r="F52" s="6"/>
      <c r="G52" s="79"/>
      <c r="H52" s="183"/>
      <c r="I52" s="16"/>
      <c r="L52" s="123"/>
      <c r="P52" s="292"/>
      <c r="R52" s="81"/>
      <c r="T52" s="34"/>
      <c r="U52" s="307"/>
      <c r="V52" s="94"/>
      <c r="W52" s="36"/>
      <c r="X52" s="66"/>
      <c r="Y52" s="15"/>
      <c r="Z52" s="3"/>
      <c r="AA52" s="168"/>
      <c r="AC52" s="16"/>
      <c r="AF52" s="33"/>
      <c r="AG52" s="117"/>
      <c r="AH52" s="16"/>
      <c r="AI52" s="63"/>
      <c r="AJ52" s="283"/>
      <c r="AK52" s="392"/>
    </row>
    <row r="53" spans="1:38">
      <c r="B53" s="79"/>
      <c r="C53" s="79"/>
      <c r="D53" s="79"/>
      <c r="E53" s="79"/>
      <c r="F53" s="6"/>
      <c r="G53" s="79"/>
      <c r="H53" s="8"/>
      <c r="I53" s="22"/>
      <c r="L53" s="123"/>
      <c r="O53" s="359"/>
      <c r="P53" s="47"/>
      <c r="Q53" s="342"/>
      <c r="R53" s="81"/>
      <c r="T53" s="34"/>
      <c r="U53" s="307"/>
      <c r="V53" s="94"/>
      <c r="W53" s="13"/>
      <c r="X53" s="66"/>
      <c r="Y53" s="15"/>
      <c r="Z53" s="3"/>
      <c r="AA53" s="168"/>
      <c r="AC53" s="22"/>
      <c r="AF53" s="33"/>
      <c r="AG53" s="117"/>
      <c r="AH53" s="22"/>
      <c r="AI53" s="63"/>
      <c r="AJ53" s="283"/>
      <c r="AK53" s="392"/>
    </row>
    <row r="54" spans="1:38">
      <c r="B54" s="79"/>
      <c r="C54" s="79"/>
      <c r="D54" s="79"/>
      <c r="E54" s="79"/>
      <c r="F54" s="6"/>
      <c r="G54" s="79"/>
      <c r="H54" s="8"/>
      <c r="I54" s="22"/>
      <c r="L54" s="123"/>
      <c r="O54" s="359"/>
      <c r="P54" s="47"/>
      <c r="Q54" s="342"/>
      <c r="R54" s="81"/>
      <c r="T54" s="34"/>
      <c r="U54" s="307"/>
      <c r="V54" s="94"/>
      <c r="W54" s="36"/>
      <c r="X54" s="66"/>
      <c r="Y54" s="15"/>
      <c r="Z54" s="3"/>
      <c r="AA54" s="168"/>
      <c r="AC54" s="22"/>
      <c r="AF54" s="33"/>
      <c r="AG54" s="117"/>
      <c r="AH54" s="22"/>
      <c r="AI54" s="63"/>
      <c r="AJ54" s="283"/>
      <c r="AK54" s="392"/>
    </row>
    <row r="55" spans="1:38">
      <c r="B55" s="79"/>
      <c r="C55" s="79"/>
      <c r="D55" s="79"/>
      <c r="E55" s="79"/>
      <c r="F55" s="6"/>
      <c r="G55" s="79"/>
      <c r="H55" s="145"/>
      <c r="I55" s="16"/>
      <c r="L55" s="123"/>
      <c r="O55" s="359"/>
      <c r="P55" s="47"/>
      <c r="Q55" s="342"/>
      <c r="R55" s="81"/>
      <c r="T55" s="34"/>
      <c r="U55" s="307"/>
      <c r="V55" s="94"/>
      <c r="W55" s="36"/>
      <c r="X55" s="66"/>
      <c r="Y55" s="15"/>
      <c r="Z55" s="3"/>
      <c r="AA55" s="168"/>
      <c r="AC55" s="16"/>
      <c r="AF55" s="33"/>
      <c r="AG55" s="117"/>
      <c r="AH55" s="16"/>
      <c r="AI55" s="63"/>
      <c r="AJ55" s="283"/>
      <c r="AK55" s="392"/>
    </row>
    <row r="56" spans="1:38">
      <c r="B56" s="79"/>
      <c r="C56" s="79"/>
      <c r="D56" s="79"/>
      <c r="E56" s="79"/>
      <c r="F56" s="6"/>
      <c r="G56" s="80"/>
      <c r="H56" s="145"/>
      <c r="I56" s="16"/>
      <c r="L56" s="123"/>
      <c r="O56" s="359"/>
      <c r="P56" s="47"/>
      <c r="Q56" s="342"/>
      <c r="R56" s="81"/>
      <c r="T56" s="34"/>
      <c r="U56" s="307"/>
      <c r="V56" s="94"/>
      <c r="W56" s="36"/>
      <c r="X56" s="66"/>
      <c r="Y56" s="15"/>
      <c r="Z56" s="3"/>
      <c r="AA56" s="168"/>
      <c r="AC56" s="16"/>
      <c r="AF56" s="33"/>
      <c r="AG56" s="43"/>
      <c r="AH56" s="16"/>
      <c r="AI56" s="63"/>
      <c r="AJ56" s="283"/>
      <c r="AK56" s="392"/>
    </row>
    <row r="57" spans="1:38">
      <c r="B57" s="79"/>
      <c r="C57" s="79"/>
      <c r="D57" s="79"/>
      <c r="E57" s="79"/>
      <c r="F57" s="6"/>
      <c r="G57" s="79"/>
      <c r="H57" s="8"/>
      <c r="I57" s="22"/>
      <c r="L57" s="123"/>
      <c r="O57" s="359"/>
      <c r="P57" s="47"/>
      <c r="Q57" s="342"/>
      <c r="R57" s="81"/>
      <c r="T57" s="34"/>
      <c r="U57" s="307"/>
      <c r="V57" s="94"/>
      <c r="W57" s="36"/>
      <c r="X57" s="66"/>
      <c r="Y57" s="15"/>
      <c r="Z57" s="35"/>
      <c r="AA57" s="168"/>
      <c r="AC57" s="22"/>
      <c r="AF57" s="33"/>
      <c r="AG57" s="119"/>
      <c r="AH57" s="22"/>
      <c r="AI57" s="63"/>
      <c r="AJ57" s="283"/>
      <c r="AK57" s="392"/>
    </row>
    <row r="58" spans="1:38">
      <c r="B58" s="79"/>
      <c r="C58" s="79"/>
      <c r="D58" s="80"/>
      <c r="E58" s="79"/>
      <c r="F58" s="6"/>
      <c r="G58" s="79"/>
      <c r="H58" s="5"/>
      <c r="I58" s="22"/>
      <c r="L58" s="123"/>
      <c r="O58" s="359"/>
      <c r="P58" s="47"/>
      <c r="Q58" s="342"/>
      <c r="R58" s="81"/>
      <c r="T58" s="34"/>
      <c r="U58" s="307"/>
      <c r="V58" s="57"/>
      <c r="W58" s="36"/>
      <c r="X58" s="66"/>
      <c r="Y58" s="15"/>
      <c r="Z58" s="3"/>
      <c r="AA58" s="168"/>
      <c r="AC58" s="22"/>
      <c r="AF58" s="33"/>
      <c r="AG58" s="43"/>
      <c r="AH58" s="22"/>
      <c r="AI58" s="63"/>
      <c r="AJ58" s="283"/>
      <c r="AK58" s="392"/>
    </row>
    <row r="59" spans="1:38">
      <c r="B59" s="80"/>
      <c r="C59" s="80"/>
      <c r="D59" s="79"/>
      <c r="E59" s="79"/>
      <c r="F59" s="6"/>
      <c r="G59" s="80"/>
      <c r="H59" s="18"/>
      <c r="I59" s="22"/>
      <c r="L59" s="123"/>
      <c r="O59" s="359"/>
      <c r="P59" s="47"/>
      <c r="Q59" s="342"/>
      <c r="R59" s="81"/>
      <c r="T59" s="34"/>
      <c r="U59" s="307"/>
      <c r="V59" s="57"/>
      <c r="W59" s="36"/>
      <c r="X59" s="66"/>
      <c r="Y59" s="15"/>
      <c r="Z59" s="3"/>
      <c r="AA59" s="168"/>
      <c r="AC59" s="22"/>
      <c r="AF59" s="33"/>
      <c r="AG59" s="43"/>
      <c r="AH59" s="22"/>
      <c r="AI59" s="63"/>
      <c r="AJ59" s="283"/>
      <c r="AK59" s="393"/>
    </row>
    <row r="60" spans="1:38">
      <c r="B60" s="79"/>
      <c r="C60" s="79"/>
      <c r="D60" s="80"/>
      <c r="E60" s="79"/>
      <c r="F60" s="6"/>
      <c r="G60" s="79"/>
      <c r="H60" s="8"/>
      <c r="I60" s="16"/>
      <c r="L60" s="123"/>
      <c r="O60" s="359"/>
      <c r="P60" s="47"/>
      <c r="Q60" s="342"/>
      <c r="R60" s="81"/>
      <c r="T60" s="34"/>
      <c r="U60" s="307"/>
      <c r="V60" s="94"/>
      <c r="W60" s="36"/>
      <c r="X60" s="66"/>
      <c r="Y60" s="15"/>
      <c r="Z60" s="3"/>
      <c r="AA60" s="168"/>
      <c r="AC60" s="16"/>
      <c r="AF60" s="33"/>
      <c r="AG60" s="43"/>
      <c r="AH60" s="16"/>
      <c r="AI60" s="63"/>
      <c r="AJ60" s="283"/>
      <c r="AK60" s="392"/>
    </row>
    <row r="61" spans="1:38">
      <c r="A61" s="141"/>
      <c r="B61" s="79"/>
      <c r="C61" s="79"/>
      <c r="D61" s="79"/>
      <c r="E61" s="79"/>
      <c r="F61" s="6"/>
      <c r="G61" s="41"/>
      <c r="H61" s="8"/>
      <c r="I61" s="153"/>
      <c r="L61" s="163"/>
      <c r="M61" s="248"/>
      <c r="N61" s="248"/>
      <c r="O61" s="359"/>
      <c r="P61" s="47"/>
      <c r="Q61" s="342"/>
      <c r="R61" s="282"/>
      <c r="T61" s="185"/>
      <c r="U61" s="307"/>
      <c r="V61" s="94"/>
      <c r="W61" s="304"/>
      <c r="X61" s="295"/>
      <c r="Y61" s="226"/>
      <c r="Z61" s="158"/>
      <c r="AA61" s="327"/>
      <c r="AC61" s="227"/>
      <c r="AD61" s="6"/>
      <c r="AF61" s="33"/>
      <c r="AG61" s="46"/>
      <c r="AH61" s="227"/>
      <c r="AI61" s="248"/>
      <c r="AJ61" s="171"/>
      <c r="AK61" s="248"/>
      <c r="AL61" s="248"/>
    </row>
    <row r="62" spans="1:38">
      <c r="B62" s="80"/>
      <c r="C62" s="80"/>
      <c r="D62" s="79"/>
      <c r="E62" s="79"/>
      <c r="F62" s="6"/>
      <c r="G62" s="79"/>
      <c r="H62" s="17"/>
      <c r="I62" s="22"/>
      <c r="L62" s="123"/>
      <c r="O62" s="359"/>
      <c r="P62" s="47"/>
      <c r="Q62" s="342"/>
      <c r="T62" s="34"/>
      <c r="U62" s="307"/>
      <c r="V62" s="57"/>
      <c r="W62" s="36"/>
      <c r="X62" s="66"/>
      <c r="Y62" s="15"/>
      <c r="Z62" s="3"/>
      <c r="AA62" s="168"/>
      <c r="AC62" s="22"/>
      <c r="AF62" s="33"/>
      <c r="AG62" s="43"/>
      <c r="AH62" s="22"/>
      <c r="AI62" s="63"/>
      <c r="AJ62" s="283"/>
      <c r="AK62" s="239"/>
    </row>
    <row r="63" spans="1:38">
      <c r="B63" s="303"/>
      <c r="C63" s="172"/>
      <c r="D63" s="172"/>
      <c r="E63" s="172"/>
      <c r="F63" s="173"/>
      <c r="G63" s="310"/>
      <c r="H63" s="174"/>
      <c r="I63" s="233"/>
      <c r="L63" s="123"/>
      <c r="O63" s="359"/>
      <c r="P63" s="292"/>
      <c r="Q63" s="342"/>
      <c r="S63" s="323"/>
      <c r="T63" s="383"/>
      <c r="U63" s="305"/>
      <c r="V63" s="4"/>
      <c r="W63" s="4"/>
      <c r="X63" s="10"/>
      <c r="Y63" s="175"/>
      <c r="AA63" s="328"/>
      <c r="AC63" s="233"/>
      <c r="AE63" s="368"/>
      <c r="AF63" s="176"/>
      <c r="AG63" s="317"/>
      <c r="AH63" s="233"/>
      <c r="AI63" s="233"/>
      <c r="AJ63" s="233"/>
    </row>
    <row r="64" spans="1:38">
      <c r="B64" s="90"/>
      <c r="C64" s="90"/>
      <c r="D64" s="90"/>
      <c r="E64" s="90"/>
      <c r="F64" s="8"/>
      <c r="G64" s="26"/>
      <c r="H64" s="55"/>
      <c r="I64" s="50"/>
      <c r="L64" s="123"/>
      <c r="S64" s="323"/>
      <c r="T64" s="382"/>
      <c r="U64" s="305"/>
      <c r="V64" s="68"/>
      <c r="W64" s="28"/>
      <c r="X64" s="17"/>
      <c r="Y64" s="14"/>
      <c r="Z64" s="21"/>
      <c r="AA64" s="51"/>
      <c r="AC64" s="50"/>
      <c r="AD64" s="71"/>
      <c r="AE64" s="72"/>
      <c r="AF64" s="32"/>
      <c r="AG64" s="232"/>
      <c r="AH64" s="50"/>
      <c r="AI64" s="8"/>
      <c r="AJ64" s="50"/>
    </row>
    <row r="65" spans="1:38">
      <c r="B65" s="90"/>
      <c r="C65" s="90"/>
      <c r="D65" s="90"/>
      <c r="E65" s="90"/>
      <c r="F65" s="8"/>
      <c r="G65" s="26"/>
      <c r="H65" s="55"/>
      <c r="I65" s="50"/>
      <c r="L65" s="123"/>
      <c r="P65" s="292"/>
      <c r="S65" s="323"/>
      <c r="T65" s="382"/>
      <c r="U65" s="305"/>
      <c r="V65" s="68"/>
      <c r="W65" s="28"/>
      <c r="X65" s="17"/>
      <c r="Y65" s="14"/>
      <c r="Z65" s="21"/>
      <c r="AA65" s="51"/>
      <c r="AC65" s="50"/>
      <c r="AD65" s="71"/>
      <c r="AE65" s="72"/>
      <c r="AF65" s="32"/>
      <c r="AG65" s="232"/>
      <c r="AH65" s="50"/>
      <c r="AI65" s="8"/>
      <c r="AJ65" s="50"/>
    </row>
    <row r="66" spans="1:38">
      <c r="B66" s="80"/>
      <c r="C66" s="80"/>
      <c r="D66" s="79"/>
      <c r="E66" s="79"/>
      <c r="F66" s="6"/>
      <c r="G66" s="80"/>
      <c r="H66" s="8"/>
      <c r="I66" s="22"/>
      <c r="L66" s="123"/>
      <c r="O66" s="359"/>
      <c r="P66" s="47"/>
      <c r="Q66" s="342"/>
      <c r="R66" s="81"/>
      <c r="T66" s="34"/>
      <c r="U66" s="307"/>
      <c r="V66" s="94"/>
      <c r="W66" s="13"/>
      <c r="X66" s="66"/>
      <c r="Y66" s="15"/>
      <c r="Z66" s="3"/>
      <c r="AA66" s="168"/>
      <c r="AC66" s="22"/>
      <c r="AF66" s="33"/>
      <c r="AG66" s="43"/>
      <c r="AH66" s="22"/>
      <c r="AI66" s="63"/>
      <c r="AJ66" s="283"/>
      <c r="AK66" s="392"/>
    </row>
    <row r="67" spans="1:38">
      <c r="A67" s="141"/>
      <c r="B67" s="79"/>
      <c r="C67" s="79"/>
      <c r="D67" s="79"/>
      <c r="E67" s="79"/>
      <c r="F67" s="6"/>
      <c r="G67" s="41"/>
      <c r="H67" s="8"/>
      <c r="I67" s="153"/>
      <c r="L67" s="163"/>
      <c r="M67" s="248"/>
      <c r="N67" s="248"/>
      <c r="O67" s="359"/>
      <c r="P67" s="47"/>
      <c r="Q67" s="342"/>
      <c r="R67" s="282"/>
      <c r="S67" s="319"/>
      <c r="T67" s="185"/>
      <c r="U67" s="305"/>
      <c r="V67" s="94"/>
      <c r="W67" s="304"/>
      <c r="X67" s="295"/>
      <c r="Y67" s="162"/>
      <c r="Z67" s="158"/>
      <c r="AA67" s="327"/>
      <c r="AC67" s="227"/>
      <c r="AD67" s="6"/>
      <c r="AF67" s="33"/>
      <c r="AG67" s="46"/>
      <c r="AH67" s="227"/>
      <c r="AI67" s="248"/>
      <c r="AJ67" s="171"/>
      <c r="AK67" s="248"/>
      <c r="AL67" s="248"/>
    </row>
    <row r="68" spans="1:38">
      <c r="B68" s="90"/>
      <c r="C68" s="90"/>
      <c r="D68" s="90"/>
      <c r="E68" s="90"/>
      <c r="F68" s="8"/>
      <c r="G68" s="26"/>
      <c r="H68" s="55"/>
      <c r="I68" s="50"/>
      <c r="L68" s="123"/>
      <c r="O68" s="359"/>
      <c r="P68" s="47"/>
      <c r="Q68" s="342"/>
      <c r="S68" s="323"/>
      <c r="T68" s="382"/>
      <c r="U68" s="305"/>
      <c r="V68" s="68"/>
      <c r="W68" s="28"/>
      <c r="X68" s="17"/>
      <c r="Y68" s="14"/>
      <c r="Z68" s="21"/>
      <c r="AA68" s="51"/>
      <c r="AC68" s="50"/>
      <c r="AD68" s="71"/>
      <c r="AE68" s="72"/>
      <c r="AF68" s="32"/>
      <c r="AG68" s="232"/>
      <c r="AH68" s="50"/>
      <c r="AI68" s="8"/>
      <c r="AJ68" s="50"/>
    </row>
    <row r="69" spans="1:38">
      <c r="B69" s="79"/>
      <c r="C69" s="79"/>
      <c r="D69" s="80"/>
      <c r="E69" s="79"/>
      <c r="F69" s="6"/>
      <c r="G69" s="79"/>
      <c r="H69" s="145"/>
      <c r="I69" s="16"/>
      <c r="L69" s="123"/>
      <c r="O69" s="359"/>
      <c r="P69" s="47"/>
      <c r="Q69" s="342"/>
      <c r="R69" s="81"/>
      <c r="T69" s="34"/>
      <c r="U69" s="307"/>
      <c r="V69" s="57"/>
      <c r="W69" s="13"/>
      <c r="X69" s="66"/>
      <c r="Y69" s="15"/>
      <c r="Z69" s="63"/>
      <c r="AA69" s="168"/>
      <c r="AC69" s="16"/>
      <c r="AF69" s="33"/>
      <c r="AG69" s="43"/>
      <c r="AH69" s="16"/>
      <c r="AI69" s="63"/>
      <c r="AJ69" s="283"/>
      <c r="AK69" s="392"/>
    </row>
    <row r="70" spans="1:38">
      <c r="B70" s="79"/>
      <c r="C70" s="79"/>
      <c r="D70" s="79"/>
      <c r="E70" s="79"/>
      <c r="F70" s="6"/>
      <c r="G70" s="79"/>
      <c r="H70" s="8"/>
      <c r="I70" s="22"/>
      <c r="L70" s="123"/>
      <c r="O70" s="359"/>
      <c r="P70" s="47"/>
      <c r="Q70" s="342"/>
      <c r="R70" s="81"/>
      <c r="T70" s="34"/>
      <c r="U70" s="307"/>
      <c r="V70" s="94"/>
      <c r="W70" s="36"/>
      <c r="X70" s="66"/>
      <c r="Y70" s="15"/>
      <c r="Z70" s="63"/>
      <c r="AA70" s="168"/>
      <c r="AC70" s="22"/>
      <c r="AF70" s="33"/>
      <c r="AG70" s="43"/>
      <c r="AH70" s="22"/>
      <c r="AI70" s="63"/>
      <c r="AJ70" s="283"/>
      <c r="AK70" s="392"/>
    </row>
    <row r="71" spans="1:38">
      <c r="B71" s="79"/>
      <c r="C71" s="79"/>
      <c r="D71" s="80"/>
      <c r="E71" s="79"/>
      <c r="F71" s="6"/>
      <c r="G71" s="79"/>
      <c r="H71" s="8"/>
      <c r="I71" s="22"/>
      <c r="L71" s="123"/>
      <c r="O71" s="359"/>
      <c r="P71" s="47"/>
      <c r="Q71" s="342"/>
      <c r="R71" s="81"/>
      <c r="T71" s="34"/>
      <c r="U71" s="307"/>
      <c r="V71" s="94"/>
      <c r="W71" s="36"/>
      <c r="X71" s="66"/>
      <c r="Y71" s="15"/>
      <c r="Z71" s="63"/>
      <c r="AA71" s="168"/>
      <c r="AC71" s="22"/>
      <c r="AF71" s="33"/>
      <c r="AG71" s="43"/>
      <c r="AH71" s="22"/>
      <c r="AI71" s="63"/>
      <c r="AJ71" s="283"/>
      <c r="AK71" s="392"/>
    </row>
    <row r="72" spans="1:38">
      <c r="B72" s="79"/>
      <c r="C72" s="79"/>
      <c r="D72" s="80"/>
      <c r="E72" s="79"/>
      <c r="F72" s="6"/>
      <c r="G72" s="79"/>
      <c r="H72" s="8"/>
      <c r="I72" s="16"/>
      <c r="L72" s="123"/>
      <c r="O72" s="359"/>
      <c r="P72" s="47"/>
      <c r="Q72" s="342"/>
      <c r="R72" s="81"/>
      <c r="T72" s="34"/>
      <c r="U72" s="307"/>
      <c r="V72" s="94"/>
      <c r="W72" s="36"/>
      <c r="X72" s="66"/>
      <c r="Y72" s="15"/>
      <c r="Z72" s="63"/>
      <c r="AA72" s="168"/>
      <c r="AC72" s="16"/>
      <c r="AF72" s="33"/>
      <c r="AG72" s="117"/>
      <c r="AH72" s="16"/>
      <c r="AI72" s="63"/>
      <c r="AJ72" s="283"/>
      <c r="AK72" s="392"/>
    </row>
    <row r="73" spans="1:38">
      <c r="B73" s="79"/>
      <c r="C73" s="79"/>
      <c r="D73" s="80"/>
      <c r="E73" s="79"/>
      <c r="F73" s="6"/>
      <c r="G73" s="79"/>
      <c r="H73" s="195"/>
      <c r="I73" s="16"/>
      <c r="L73" s="123"/>
      <c r="O73" s="359"/>
      <c r="P73" s="47"/>
      <c r="Q73" s="342"/>
      <c r="R73" s="81"/>
      <c r="T73" s="34"/>
      <c r="U73" s="309"/>
      <c r="V73" s="94"/>
      <c r="W73" s="36"/>
      <c r="X73" s="66"/>
      <c r="Y73" s="15"/>
      <c r="Z73" s="63"/>
      <c r="AA73" s="168"/>
      <c r="AC73" s="16"/>
      <c r="AF73" s="33"/>
      <c r="AG73" s="117"/>
      <c r="AH73" s="16"/>
      <c r="AI73" s="63"/>
      <c r="AJ73" s="283"/>
      <c r="AK73" s="392"/>
    </row>
    <row r="74" spans="1:38">
      <c r="B74" s="79"/>
      <c r="C74" s="79"/>
      <c r="D74" s="80"/>
      <c r="E74" s="79"/>
      <c r="F74" s="6"/>
      <c r="G74" s="80"/>
      <c r="H74" s="17"/>
      <c r="I74" s="22"/>
      <c r="L74" s="123"/>
      <c r="O74" s="359"/>
      <c r="P74" s="47"/>
      <c r="Q74" s="342"/>
      <c r="R74" s="81"/>
      <c r="T74" s="34"/>
      <c r="U74" s="307"/>
      <c r="V74" s="94"/>
      <c r="W74" s="36"/>
      <c r="X74" s="66"/>
      <c r="Y74" s="15"/>
      <c r="Z74" s="63"/>
      <c r="AA74" s="168"/>
      <c r="AC74" s="22"/>
      <c r="AF74" s="33"/>
      <c r="AG74" s="43"/>
      <c r="AH74" s="22"/>
      <c r="AI74" s="63"/>
      <c r="AJ74" s="283"/>
      <c r="AK74" s="392"/>
    </row>
    <row r="75" spans="1:38">
      <c r="B75" s="79"/>
      <c r="C75" s="79"/>
      <c r="D75" s="80"/>
      <c r="E75" s="79"/>
      <c r="F75" s="6"/>
      <c r="G75" s="80"/>
      <c r="H75" s="8"/>
      <c r="I75" s="16"/>
      <c r="L75" s="123"/>
      <c r="O75" s="359"/>
      <c r="P75" s="47"/>
      <c r="Q75" s="342"/>
      <c r="R75" s="81"/>
      <c r="T75" s="34"/>
      <c r="U75" s="307"/>
      <c r="V75" s="94"/>
      <c r="W75" s="36"/>
      <c r="X75" s="66"/>
      <c r="Y75" s="15"/>
      <c r="Z75" s="63"/>
      <c r="AA75" s="168"/>
      <c r="AC75" s="16"/>
      <c r="AF75" s="33"/>
      <c r="AG75" s="117"/>
      <c r="AH75" s="16"/>
      <c r="AI75" s="63"/>
      <c r="AJ75" s="283"/>
      <c r="AK75" s="392"/>
    </row>
    <row r="76" spans="1:38">
      <c r="B76" s="80"/>
      <c r="C76" s="80"/>
      <c r="D76" s="80"/>
      <c r="E76" s="79"/>
      <c r="F76" s="6"/>
      <c r="G76" s="79"/>
      <c r="H76" s="8"/>
      <c r="I76" s="16"/>
      <c r="L76" s="123"/>
      <c r="O76" s="359"/>
      <c r="P76" s="47"/>
      <c r="Q76" s="342"/>
      <c r="R76" s="81"/>
      <c r="T76" s="34"/>
      <c r="U76" s="307"/>
      <c r="V76" s="94"/>
      <c r="W76" s="36"/>
      <c r="X76" s="66"/>
      <c r="Y76" s="15"/>
      <c r="Z76" s="63"/>
      <c r="AA76" s="168"/>
      <c r="AC76" s="16"/>
      <c r="AF76" s="33"/>
      <c r="AG76" s="117"/>
      <c r="AH76" s="16"/>
      <c r="AI76" s="63"/>
      <c r="AJ76" s="283"/>
      <c r="AK76" s="392"/>
    </row>
    <row r="77" spans="1:38">
      <c r="B77" s="79"/>
      <c r="C77" s="79"/>
      <c r="D77" s="80"/>
      <c r="E77" s="79"/>
      <c r="F77" s="6"/>
      <c r="G77" s="79"/>
      <c r="H77" s="8"/>
      <c r="I77" s="16"/>
      <c r="L77" s="123"/>
      <c r="O77" s="359"/>
      <c r="P77" s="47"/>
      <c r="Q77" s="342"/>
      <c r="R77" s="81"/>
      <c r="T77" s="34"/>
      <c r="U77" s="307"/>
      <c r="V77" s="57"/>
      <c r="W77" s="13"/>
      <c r="X77" s="66"/>
      <c r="Y77" s="15"/>
      <c r="Z77" s="63"/>
      <c r="AA77" s="168"/>
      <c r="AC77" s="16"/>
      <c r="AF77" s="33"/>
      <c r="AG77" s="43"/>
      <c r="AH77" s="16"/>
      <c r="AI77" s="63"/>
      <c r="AJ77" s="283"/>
      <c r="AK77" s="392"/>
    </row>
    <row r="78" spans="1:38">
      <c r="B78" s="92"/>
      <c r="C78" s="92"/>
      <c r="D78" s="80"/>
      <c r="E78" s="79"/>
      <c r="F78" s="6"/>
      <c r="G78" s="79"/>
      <c r="H78" s="17"/>
      <c r="I78" s="16"/>
      <c r="L78" s="123"/>
      <c r="O78" s="359"/>
      <c r="P78" s="47"/>
      <c r="Q78" s="342"/>
      <c r="R78" s="81"/>
      <c r="T78" s="34"/>
      <c r="U78" s="307"/>
      <c r="V78" s="94"/>
      <c r="W78" s="36"/>
      <c r="X78" s="66"/>
      <c r="Y78" s="15"/>
      <c r="Z78" s="63"/>
      <c r="AA78" s="168"/>
      <c r="AC78" s="16"/>
      <c r="AF78" s="33"/>
      <c r="AG78" s="43"/>
      <c r="AH78" s="16"/>
      <c r="AI78" s="63"/>
      <c r="AJ78" s="283"/>
      <c r="AK78" s="392"/>
    </row>
    <row r="79" spans="1:38">
      <c r="B79" s="79"/>
      <c r="C79" s="79"/>
      <c r="D79" s="79"/>
      <c r="E79" s="79"/>
      <c r="F79" s="6"/>
      <c r="G79" s="80"/>
      <c r="H79" s="5"/>
      <c r="I79" s="22"/>
      <c r="L79" s="123"/>
      <c r="O79" s="359"/>
      <c r="P79" s="47"/>
      <c r="Q79" s="342"/>
      <c r="R79" s="81"/>
      <c r="T79" s="34"/>
      <c r="U79" s="307"/>
      <c r="V79" s="94"/>
      <c r="W79" s="150"/>
      <c r="X79" s="66"/>
      <c r="Y79" s="137"/>
      <c r="Z79" s="63"/>
      <c r="AA79" s="168"/>
      <c r="AC79" s="22"/>
      <c r="AF79" s="33"/>
      <c r="AG79" s="43"/>
      <c r="AH79" s="22"/>
      <c r="AI79" s="63"/>
      <c r="AJ79" s="283"/>
      <c r="AK79" s="392"/>
    </row>
    <row r="80" spans="1:38">
      <c r="B80" s="79"/>
      <c r="C80" s="79"/>
      <c r="D80" s="79"/>
      <c r="E80" s="79"/>
      <c r="F80" s="6"/>
      <c r="G80" s="79"/>
      <c r="H80" s="8"/>
      <c r="I80" s="22"/>
      <c r="L80" s="123"/>
      <c r="O80" s="359"/>
      <c r="P80" s="47"/>
      <c r="Q80" s="342"/>
      <c r="R80" s="81"/>
      <c r="T80" s="34"/>
      <c r="U80" s="307"/>
      <c r="V80" s="94"/>
      <c r="W80" s="36"/>
      <c r="X80" s="66"/>
      <c r="Y80" s="15"/>
      <c r="Z80" s="63"/>
      <c r="AA80" s="168"/>
      <c r="AC80" s="22"/>
      <c r="AF80" s="33"/>
      <c r="AG80" s="117"/>
      <c r="AH80" s="22"/>
      <c r="AI80" s="63"/>
      <c r="AJ80" s="283"/>
      <c r="AK80" s="392"/>
    </row>
    <row r="81" spans="2:37">
      <c r="B81" s="79"/>
      <c r="C81" s="79"/>
      <c r="D81" s="79"/>
      <c r="E81" s="79"/>
      <c r="F81" s="6"/>
      <c r="G81" s="79"/>
      <c r="H81" s="8"/>
      <c r="I81" s="16"/>
      <c r="L81" s="123"/>
      <c r="O81" s="359"/>
      <c r="P81" s="47"/>
      <c r="Q81" s="342"/>
      <c r="R81" s="81"/>
      <c r="T81" s="34"/>
      <c r="U81" s="307"/>
      <c r="V81" s="94"/>
      <c r="W81" s="36"/>
      <c r="X81" s="66"/>
      <c r="Y81" s="15"/>
      <c r="Z81" s="63"/>
      <c r="AA81" s="168"/>
      <c r="AC81" s="16"/>
      <c r="AF81" s="33"/>
      <c r="AG81" s="43"/>
      <c r="AH81" s="16"/>
      <c r="AI81" s="63"/>
      <c r="AJ81" s="283"/>
      <c r="AK81" s="392"/>
    </row>
    <row r="82" spans="2:37">
      <c r="B82" s="79"/>
      <c r="C82" s="79"/>
      <c r="D82" s="80"/>
      <c r="E82" s="79"/>
      <c r="F82" s="6"/>
      <c r="G82" s="79"/>
      <c r="H82" s="183"/>
      <c r="I82" s="16"/>
      <c r="L82" s="123"/>
      <c r="O82" s="359"/>
      <c r="P82" s="47"/>
      <c r="Q82" s="342"/>
      <c r="R82" s="81"/>
      <c r="T82" s="34"/>
      <c r="U82" s="307"/>
      <c r="V82" s="57"/>
      <c r="W82" s="13"/>
      <c r="X82" s="66"/>
      <c r="Y82" s="15"/>
      <c r="Z82" s="63"/>
      <c r="AA82" s="168"/>
      <c r="AC82" s="16"/>
      <c r="AF82" s="33"/>
      <c r="AG82" s="43"/>
      <c r="AH82" s="16"/>
      <c r="AI82" s="63"/>
      <c r="AJ82" s="283"/>
      <c r="AK82" s="392"/>
    </row>
    <row r="83" spans="2:37">
      <c r="B83" s="79"/>
      <c r="C83" s="79"/>
      <c r="D83" s="79"/>
      <c r="E83" s="79"/>
      <c r="F83" s="6"/>
      <c r="G83" s="79"/>
      <c r="H83" s="5"/>
      <c r="I83" s="16"/>
      <c r="L83" s="123"/>
      <c r="O83" s="359"/>
      <c r="P83" s="47"/>
      <c r="Q83" s="342"/>
      <c r="R83" s="81"/>
      <c r="T83" s="34"/>
      <c r="U83" s="307"/>
      <c r="V83" s="94"/>
      <c r="W83" s="36"/>
      <c r="X83" s="66"/>
      <c r="Y83" s="15"/>
      <c r="Z83" s="63"/>
      <c r="AA83" s="168"/>
      <c r="AC83" s="16"/>
      <c r="AF83" s="33"/>
      <c r="AG83" s="43"/>
      <c r="AH83" s="16"/>
      <c r="AI83" s="63"/>
      <c r="AJ83" s="283"/>
      <c r="AK83" s="392"/>
    </row>
    <row r="84" spans="2:37">
      <c r="B84" s="79"/>
      <c r="C84" s="80"/>
      <c r="D84" s="80"/>
      <c r="E84" s="79"/>
      <c r="F84" s="6"/>
      <c r="G84" s="79"/>
      <c r="H84" s="145"/>
      <c r="I84" s="16"/>
      <c r="L84" s="123"/>
      <c r="O84" s="359"/>
      <c r="P84" s="47"/>
      <c r="Q84" s="342"/>
      <c r="R84" s="81"/>
      <c r="T84" s="34"/>
      <c r="U84" s="307"/>
      <c r="V84" s="94"/>
      <c r="W84" s="36"/>
      <c r="X84" s="66"/>
      <c r="Y84" s="15"/>
      <c r="Z84" s="63"/>
      <c r="AA84" s="168"/>
      <c r="AC84" s="16"/>
      <c r="AF84" s="33"/>
      <c r="AG84" s="117"/>
      <c r="AH84" s="16"/>
      <c r="AI84" s="63"/>
      <c r="AJ84" s="283"/>
      <c r="AK84" s="392"/>
    </row>
    <row r="85" spans="2:37">
      <c r="B85" s="79"/>
      <c r="C85" s="79"/>
      <c r="D85" s="80"/>
      <c r="E85" s="79"/>
      <c r="F85" s="6"/>
      <c r="G85" s="79"/>
      <c r="H85" s="8"/>
      <c r="I85" s="16"/>
      <c r="L85" s="123"/>
      <c r="O85" s="359"/>
      <c r="P85" s="47"/>
      <c r="Q85" s="342"/>
      <c r="R85" s="81"/>
      <c r="T85" s="34"/>
      <c r="U85" s="307"/>
      <c r="V85" s="94"/>
      <c r="W85" s="36"/>
      <c r="X85" s="66"/>
      <c r="Y85" s="15"/>
      <c r="Z85" s="63"/>
      <c r="AA85" s="168"/>
      <c r="AC85" s="16"/>
      <c r="AF85" s="33"/>
      <c r="AG85" s="117"/>
      <c r="AH85" s="16"/>
      <c r="AI85" s="63"/>
      <c r="AJ85" s="283"/>
      <c r="AK85" s="392"/>
    </row>
    <row r="86" spans="2:37">
      <c r="B86" s="79"/>
      <c r="C86" s="79"/>
      <c r="D86" s="80"/>
      <c r="E86" s="79"/>
      <c r="F86" s="6"/>
      <c r="G86" s="79"/>
      <c r="H86" s="8"/>
      <c r="I86" s="22"/>
      <c r="L86" s="123"/>
      <c r="O86" s="359"/>
      <c r="P86" s="47"/>
      <c r="Q86" s="342"/>
      <c r="R86" s="81"/>
      <c r="T86" s="34"/>
      <c r="U86" s="307"/>
      <c r="V86" s="94"/>
      <c r="W86" s="36"/>
      <c r="X86" s="66"/>
      <c r="Y86" s="15"/>
      <c r="Z86" s="63"/>
      <c r="AA86" s="168"/>
      <c r="AC86" s="22"/>
      <c r="AF86" s="33"/>
      <c r="AG86" s="117"/>
      <c r="AH86" s="22"/>
      <c r="AI86" s="63"/>
      <c r="AJ86" s="283"/>
      <c r="AK86" s="392"/>
    </row>
    <row r="87" spans="2:37">
      <c r="B87" s="79"/>
      <c r="C87" s="79"/>
      <c r="D87" s="80"/>
      <c r="E87" s="79"/>
      <c r="F87" s="6"/>
      <c r="G87" s="79"/>
      <c r="H87" s="8"/>
      <c r="I87" s="22"/>
      <c r="L87" s="123"/>
      <c r="O87" s="359"/>
      <c r="P87" s="47"/>
      <c r="Q87" s="342"/>
      <c r="R87" s="81"/>
      <c r="T87" s="34"/>
      <c r="U87" s="307"/>
      <c r="V87" s="94"/>
      <c r="W87" s="36"/>
      <c r="X87" s="66"/>
      <c r="Y87" s="15"/>
      <c r="Z87" s="63"/>
      <c r="AA87" s="168"/>
      <c r="AC87" s="22"/>
      <c r="AF87" s="33"/>
      <c r="AG87" s="43"/>
      <c r="AH87" s="22"/>
      <c r="AI87" s="63"/>
      <c r="AJ87" s="283"/>
      <c r="AK87" s="392"/>
    </row>
    <row r="88" spans="2:37">
      <c r="B88" s="79"/>
      <c r="C88" s="79"/>
      <c r="D88" s="80"/>
      <c r="E88" s="79"/>
      <c r="F88" s="6"/>
      <c r="G88" s="79"/>
      <c r="H88" s="8"/>
      <c r="I88" s="16"/>
      <c r="L88" s="123"/>
      <c r="O88" s="359"/>
      <c r="P88" s="47"/>
      <c r="Q88" s="342"/>
      <c r="R88" s="81"/>
      <c r="T88" s="34"/>
      <c r="U88" s="307"/>
      <c r="V88" s="94"/>
      <c r="W88" s="36"/>
      <c r="X88" s="66"/>
      <c r="Y88" s="15"/>
      <c r="Z88" s="63"/>
      <c r="AA88" s="168"/>
      <c r="AC88" s="16"/>
      <c r="AF88" s="33"/>
      <c r="AG88" s="117"/>
      <c r="AH88" s="16"/>
      <c r="AI88" s="63"/>
      <c r="AJ88" s="283"/>
      <c r="AK88" s="392"/>
    </row>
    <row r="89" spans="2:37">
      <c r="B89" s="79"/>
      <c r="C89" s="79"/>
      <c r="D89" s="80"/>
      <c r="E89" s="79"/>
      <c r="F89" s="6"/>
      <c r="G89" s="79"/>
      <c r="H89" s="8"/>
      <c r="I89" s="22"/>
      <c r="L89" s="245"/>
      <c r="O89" s="359"/>
      <c r="P89" s="47"/>
      <c r="Q89" s="342"/>
      <c r="R89" s="81"/>
      <c r="T89" s="34"/>
      <c r="U89" s="307"/>
      <c r="V89" s="94"/>
      <c r="W89" s="36"/>
      <c r="X89" s="66"/>
      <c r="Y89" s="15"/>
      <c r="Z89" s="63"/>
      <c r="AA89" s="168"/>
      <c r="AC89" s="22"/>
      <c r="AF89" s="33"/>
      <c r="AG89" s="43"/>
      <c r="AH89" s="22"/>
      <c r="AI89" s="63"/>
      <c r="AJ89" s="283"/>
      <c r="AK89" s="392"/>
    </row>
    <row r="90" spans="2:37">
      <c r="B90" s="80"/>
      <c r="C90" s="80"/>
      <c r="D90" s="79"/>
      <c r="E90" s="79"/>
      <c r="F90" s="6"/>
      <c r="G90" s="79"/>
      <c r="H90" s="8"/>
      <c r="I90" s="22"/>
      <c r="L90" s="123"/>
      <c r="O90" s="359"/>
      <c r="P90" s="47"/>
      <c r="Q90" s="342"/>
      <c r="R90" s="81"/>
      <c r="T90" s="34"/>
      <c r="U90" s="307"/>
      <c r="V90" s="94"/>
      <c r="W90" s="36"/>
      <c r="X90" s="66"/>
      <c r="Y90" s="15"/>
      <c r="Z90" s="63"/>
      <c r="AA90" s="168"/>
      <c r="AC90" s="22"/>
      <c r="AF90" s="33"/>
      <c r="AG90" s="117"/>
      <c r="AH90" s="22"/>
      <c r="AI90" s="63"/>
      <c r="AJ90" s="283"/>
      <c r="AK90" s="392"/>
    </row>
    <row r="91" spans="2:37">
      <c r="B91" s="79"/>
      <c r="C91" s="79"/>
      <c r="D91" s="80"/>
      <c r="E91" s="79"/>
      <c r="F91" s="6"/>
      <c r="G91" s="79"/>
      <c r="H91" s="8"/>
      <c r="I91" s="22"/>
      <c r="L91" s="245"/>
      <c r="O91" s="359"/>
      <c r="P91" s="47"/>
      <c r="Q91" s="342"/>
      <c r="R91" s="81"/>
      <c r="T91" s="34"/>
      <c r="U91" s="307"/>
      <c r="V91" s="94"/>
      <c r="W91" s="36"/>
      <c r="X91" s="66"/>
      <c r="Y91" s="15"/>
      <c r="Z91" s="63"/>
      <c r="AA91" s="168"/>
      <c r="AC91" s="22"/>
      <c r="AF91" s="33"/>
      <c r="AG91" s="43"/>
      <c r="AH91" s="22"/>
      <c r="AI91" s="63"/>
      <c r="AJ91" s="283"/>
      <c r="AK91" s="392"/>
    </row>
    <row r="92" spans="2:37">
      <c r="B92" s="79"/>
      <c r="C92" s="79"/>
      <c r="D92" s="80"/>
      <c r="E92" s="79"/>
      <c r="F92" s="6"/>
      <c r="G92" s="79"/>
      <c r="H92" s="8"/>
      <c r="I92" s="16"/>
      <c r="L92" s="123"/>
      <c r="O92" s="359"/>
      <c r="P92" s="47"/>
      <c r="Q92" s="342"/>
      <c r="R92" s="81"/>
      <c r="T92" s="34"/>
      <c r="U92" s="307"/>
      <c r="V92" s="57"/>
      <c r="W92" s="13"/>
      <c r="X92" s="66"/>
      <c r="Y92" s="15"/>
      <c r="Z92" s="63"/>
      <c r="AA92" s="168"/>
      <c r="AC92" s="16"/>
      <c r="AF92" s="33"/>
      <c r="AG92" s="43"/>
      <c r="AH92" s="16"/>
      <c r="AI92" s="63"/>
      <c r="AJ92" s="283"/>
      <c r="AK92" s="392"/>
    </row>
    <row r="93" spans="2:37">
      <c r="B93" s="79"/>
      <c r="C93" s="79"/>
      <c r="D93" s="80"/>
      <c r="E93" s="79"/>
      <c r="F93" s="6"/>
      <c r="G93" s="80"/>
      <c r="H93" s="5"/>
      <c r="I93" s="16"/>
      <c r="L93" s="123"/>
      <c r="O93" s="359"/>
      <c r="P93" s="47"/>
      <c r="Q93" s="342"/>
      <c r="R93" s="81"/>
      <c r="T93" s="34"/>
      <c r="U93" s="307"/>
      <c r="V93" s="94"/>
      <c r="W93" s="36"/>
      <c r="X93" s="66"/>
      <c r="Y93" s="15"/>
      <c r="Z93" s="63"/>
      <c r="AA93" s="168"/>
      <c r="AC93" s="16"/>
      <c r="AF93" s="33"/>
      <c r="AG93" s="117"/>
      <c r="AH93" s="16"/>
      <c r="AI93" s="63"/>
      <c r="AJ93" s="283"/>
      <c r="AK93" s="392"/>
    </row>
    <row r="94" spans="2:37">
      <c r="B94" s="79"/>
      <c r="C94" s="79"/>
      <c r="D94" s="80"/>
      <c r="E94" s="79"/>
      <c r="F94" s="6"/>
      <c r="G94" s="79"/>
      <c r="H94" s="5"/>
      <c r="I94" s="22"/>
      <c r="L94" s="123"/>
      <c r="O94" s="359"/>
      <c r="P94" s="47"/>
      <c r="Q94" s="342"/>
      <c r="R94" s="81"/>
      <c r="T94" s="34"/>
      <c r="U94" s="307"/>
      <c r="V94" s="94"/>
      <c r="W94" s="13"/>
      <c r="X94" s="66"/>
      <c r="Y94" s="15"/>
      <c r="Z94" s="63"/>
      <c r="AA94" s="168"/>
      <c r="AC94" s="22"/>
      <c r="AF94" s="33"/>
      <c r="AG94" s="117"/>
      <c r="AH94" s="22"/>
      <c r="AI94" s="63"/>
      <c r="AJ94" s="283"/>
      <c r="AK94" s="392"/>
    </row>
    <row r="95" spans="2:37">
      <c r="B95" s="79"/>
      <c r="C95" s="79"/>
      <c r="D95" s="80"/>
      <c r="E95" s="79"/>
      <c r="F95" s="6"/>
      <c r="G95" s="79"/>
      <c r="H95" s="145"/>
      <c r="I95" s="16"/>
      <c r="L95" s="123"/>
      <c r="O95" s="359"/>
      <c r="P95" s="47"/>
      <c r="Q95" s="342"/>
      <c r="R95" s="81"/>
      <c r="T95" s="34"/>
      <c r="U95" s="307"/>
      <c r="V95" s="94"/>
      <c r="W95" s="36"/>
      <c r="X95" s="66"/>
      <c r="Y95" s="15"/>
      <c r="Z95" s="63"/>
      <c r="AA95" s="168"/>
      <c r="AC95" s="16"/>
      <c r="AF95" s="33"/>
      <c r="AG95" s="43"/>
      <c r="AH95" s="16"/>
      <c r="AI95" s="63"/>
      <c r="AJ95" s="283"/>
      <c r="AK95" s="288"/>
    </row>
    <row r="96" spans="2:37">
      <c r="B96" s="79"/>
      <c r="C96" s="79"/>
      <c r="D96" s="80"/>
      <c r="E96" s="79"/>
      <c r="F96" s="6"/>
      <c r="G96" s="80"/>
      <c r="H96" s="5"/>
      <c r="I96" s="16"/>
      <c r="L96" s="123"/>
      <c r="O96" s="359"/>
      <c r="P96" s="47"/>
      <c r="Q96" s="342"/>
      <c r="R96" s="81"/>
      <c r="T96" s="34"/>
      <c r="U96" s="307"/>
      <c r="V96" s="57"/>
      <c r="W96" s="13"/>
      <c r="X96" s="66"/>
      <c r="Y96" s="15"/>
      <c r="Z96" s="63"/>
      <c r="AA96" s="168"/>
      <c r="AC96" s="16"/>
      <c r="AF96" s="33"/>
      <c r="AG96" s="43"/>
      <c r="AH96" s="16"/>
      <c r="AI96" s="63"/>
      <c r="AJ96" s="283"/>
      <c r="AK96" s="392"/>
    </row>
    <row r="97" spans="2:37">
      <c r="B97" s="79"/>
      <c r="C97" s="80"/>
      <c r="D97" s="80"/>
      <c r="E97" s="79"/>
      <c r="F97" s="6"/>
      <c r="G97" s="79"/>
      <c r="H97" s="145"/>
      <c r="I97" s="16"/>
      <c r="L97" s="123"/>
      <c r="O97" s="359"/>
      <c r="P97" s="47"/>
      <c r="Q97" s="342"/>
      <c r="R97" s="81"/>
      <c r="T97" s="34"/>
      <c r="U97" s="307"/>
      <c r="V97" s="94"/>
      <c r="W97" s="36"/>
      <c r="X97" s="66"/>
      <c r="Y97" s="15"/>
      <c r="Z97" s="63"/>
      <c r="AA97" s="168"/>
      <c r="AC97" s="16"/>
      <c r="AF97" s="33"/>
      <c r="AG97" s="117"/>
      <c r="AH97" s="16"/>
      <c r="AI97" s="63"/>
      <c r="AJ97" s="283"/>
      <c r="AK97" s="392"/>
    </row>
    <row r="98" spans="2:37">
      <c r="B98" s="79"/>
      <c r="C98" s="79"/>
      <c r="D98" s="80"/>
      <c r="E98" s="79"/>
      <c r="F98" s="6"/>
      <c r="G98" s="79"/>
      <c r="H98" s="8"/>
      <c r="I98" s="22"/>
      <c r="L98" s="123"/>
      <c r="O98" s="359"/>
      <c r="P98" s="47"/>
      <c r="Q98" s="342"/>
      <c r="R98" s="81"/>
      <c r="T98" s="34"/>
      <c r="U98" s="307"/>
      <c r="V98" s="94"/>
      <c r="W98" s="36"/>
      <c r="X98" s="66"/>
      <c r="Y98" s="15"/>
      <c r="Z98" s="63"/>
      <c r="AA98" s="168"/>
      <c r="AC98" s="22"/>
      <c r="AF98" s="33"/>
      <c r="AG98" s="117"/>
      <c r="AH98" s="22"/>
      <c r="AI98" s="63"/>
      <c r="AJ98" s="283"/>
      <c r="AK98" s="392"/>
    </row>
    <row r="99" spans="2:37">
      <c r="B99" s="79"/>
      <c r="C99" s="79"/>
      <c r="D99" s="80"/>
      <c r="E99" s="79"/>
      <c r="F99" s="6"/>
      <c r="G99" s="79"/>
      <c r="H99" s="8"/>
      <c r="I99" s="22"/>
      <c r="L99" s="123"/>
      <c r="O99" s="359"/>
      <c r="P99" s="47"/>
      <c r="Q99" s="342"/>
      <c r="R99" s="81"/>
      <c r="T99" s="34"/>
      <c r="U99" s="307"/>
      <c r="V99" s="94"/>
      <c r="W99" s="36"/>
      <c r="X99" s="66"/>
      <c r="Y99" s="15"/>
      <c r="Z99" s="63"/>
      <c r="AA99" s="168"/>
      <c r="AC99" s="22"/>
      <c r="AF99" s="33"/>
      <c r="AG99" s="117"/>
      <c r="AH99" s="22"/>
      <c r="AI99" s="63"/>
      <c r="AJ99" s="283"/>
      <c r="AK99" s="392"/>
    </row>
    <row r="100" spans="2:37">
      <c r="B100" s="79"/>
      <c r="C100" s="79"/>
      <c r="D100" s="79"/>
      <c r="E100" s="79"/>
      <c r="F100" s="6"/>
      <c r="G100" s="79"/>
      <c r="H100" s="5"/>
      <c r="I100" s="16"/>
      <c r="L100" s="123"/>
      <c r="O100" s="359"/>
      <c r="P100" s="47"/>
      <c r="Q100" s="342"/>
      <c r="R100" s="81"/>
      <c r="T100" s="34"/>
      <c r="U100" s="307"/>
      <c r="V100" s="94"/>
      <c r="W100" s="36"/>
      <c r="X100" s="66"/>
      <c r="Y100" s="15"/>
      <c r="Z100" s="63"/>
      <c r="AA100" s="168"/>
      <c r="AC100" s="16"/>
      <c r="AF100" s="33"/>
      <c r="AG100" s="43"/>
      <c r="AH100" s="16"/>
      <c r="AI100" s="63"/>
      <c r="AJ100" s="283"/>
      <c r="AK100" s="392"/>
    </row>
    <row r="101" spans="2:37">
      <c r="B101" s="79"/>
      <c r="C101" s="79"/>
      <c r="D101" s="80"/>
      <c r="E101" s="79"/>
      <c r="F101" s="6"/>
      <c r="G101" s="79"/>
      <c r="H101" s="5"/>
      <c r="I101" s="22"/>
      <c r="L101" s="245"/>
      <c r="O101" s="359"/>
      <c r="P101" s="47"/>
      <c r="Q101" s="342"/>
      <c r="R101" s="81"/>
      <c r="T101" s="34"/>
      <c r="U101" s="307"/>
      <c r="V101" s="94"/>
      <c r="W101" s="36"/>
      <c r="X101" s="66"/>
      <c r="Y101" s="15"/>
      <c r="Z101" s="63"/>
      <c r="AA101" s="168"/>
      <c r="AC101" s="22"/>
      <c r="AF101" s="33"/>
      <c r="AG101" s="43"/>
      <c r="AH101" s="22"/>
      <c r="AI101" s="63"/>
      <c r="AJ101" s="283"/>
      <c r="AK101" s="392"/>
    </row>
    <row r="102" spans="2:37">
      <c r="B102" s="79"/>
      <c r="C102" s="79"/>
      <c r="D102" s="79"/>
      <c r="E102" s="79"/>
      <c r="F102" s="6"/>
      <c r="G102" s="79"/>
      <c r="H102" s="145"/>
      <c r="I102" s="16"/>
      <c r="L102" s="123"/>
      <c r="O102" s="359"/>
      <c r="P102" s="47"/>
      <c r="Q102" s="342"/>
      <c r="R102" s="81"/>
      <c r="T102" s="34"/>
      <c r="U102" s="307"/>
      <c r="V102" s="94"/>
      <c r="W102" s="36"/>
      <c r="X102" s="66"/>
      <c r="Y102" s="15"/>
      <c r="Z102" s="63"/>
      <c r="AA102" s="168"/>
      <c r="AC102" s="16"/>
      <c r="AF102" s="33"/>
      <c r="AG102" s="43"/>
      <c r="AH102" s="16"/>
      <c r="AI102" s="63"/>
      <c r="AJ102" s="283"/>
      <c r="AK102" s="288"/>
    </row>
    <row r="103" spans="2:37">
      <c r="B103" s="80"/>
      <c r="C103" s="80"/>
      <c r="D103" s="80"/>
      <c r="E103" s="79"/>
      <c r="F103" s="6"/>
      <c r="G103" s="79"/>
      <c r="H103" s="5"/>
      <c r="I103" s="16"/>
      <c r="L103" s="123"/>
      <c r="O103" s="359"/>
      <c r="P103" s="47"/>
      <c r="Q103" s="342"/>
      <c r="R103" s="81"/>
      <c r="T103" s="34"/>
      <c r="U103" s="307"/>
      <c r="V103" s="94"/>
      <c r="W103" s="36"/>
      <c r="X103" s="66"/>
      <c r="Y103" s="15"/>
      <c r="Z103" s="63"/>
      <c r="AA103" s="168"/>
      <c r="AC103" s="16"/>
      <c r="AF103" s="33"/>
      <c r="AG103" s="117"/>
      <c r="AH103" s="16"/>
      <c r="AI103" s="63"/>
      <c r="AJ103" s="283"/>
      <c r="AK103" s="392"/>
    </row>
    <row r="104" spans="2:37">
      <c r="B104" s="79"/>
      <c r="C104" s="79"/>
      <c r="D104" s="79"/>
      <c r="E104" s="79"/>
      <c r="F104" s="6"/>
      <c r="G104" s="79"/>
      <c r="H104" s="8"/>
      <c r="I104" s="22"/>
      <c r="L104" s="123"/>
      <c r="O104" s="359"/>
      <c r="P104" s="47"/>
      <c r="Q104" s="342"/>
      <c r="R104" s="81"/>
      <c r="T104" s="34"/>
      <c r="U104" s="307"/>
      <c r="V104" s="94"/>
      <c r="W104" s="36"/>
      <c r="X104" s="66"/>
      <c r="Y104" s="15"/>
      <c r="Z104" s="63"/>
      <c r="AA104" s="168"/>
      <c r="AC104" s="22"/>
      <c r="AF104" s="33"/>
      <c r="AG104" s="117"/>
      <c r="AH104" s="22"/>
      <c r="AI104" s="63"/>
      <c r="AJ104" s="283"/>
      <c r="AK104" s="392"/>
    </row>
    <row r="105" spans="2:37">
      <c r="B105" s="79"/>
      <c r="C105" s="79"/>
      <c r="D105" s="80"/>
      <c r="E105" s="79"/>
      <c r="F105" s="6"/>
      <c r="G105" s="79"/>
      <c r="H105" s="145"/>
      <c r="I105" s="16"/>
      <c r="L105" s="123"/>
      <c r="O105" s="359"/>
      <c r="P105" s="47"/>
      <c r="Q105" s="342"/>
      <c r="R105" s="81"/>
      <c r="T105" s="34"/>
      <c r="U105" s="307"/>
      <c r="V105" s="57"/>
      <c r="W105" s="13"/>
      <c r="X105" s="66"/>
      <c r="Y105" s="15"/>
      <c r="Z105" s="63"/>
      <c r="AA105" s="168"/>
      <c r="AC105" s="16"/>
      <c r="AF105" s="33"/>
      <c r="AG105" s="43"/>
      <c r="AH105" s="16"/>
      <c r="AI105" s="63"/>
      <c r="AJ105" s="283"/>
      <c r="AK105" s="392"/>
    </row>
    <row r="106" spans="2:37">
      <c r="B106" s="80"/>
      <c r="C106" s="80"/>
      <c r="D106" s="79"/>
      <c r="E106" s="79"/>
      <c r="F106" s="6"/>
      <c r="G106" s="80"/>
      <c r="H106" s="5"/>
      <c r="I106" s="16"/>
      <c r="L106" s="123"/>
      <c r="O106" s="359"/>
      <c r="P106" s="47"/>
      <c r="Q106" s="342"/>
      <c r="R106" s="81"/>
      <c r="T106" s="34"/>
      <c r="U106" s="307"/>
      <c r="V106" s="94"/>
      <c r="W106" s="36"/>
      <c r="X106" s="66"/>
      <c r="Y106" s="15"/>
      <c r="Z106" s="63"/>
      <c r="AA106" s="168"/>
      <c r="AC106" s="16"/>
      <c r="AF106" s="33"/>
      <c r="AG106" s="117"/>
      <c r="AH106" s="16"/>
      <c r="AI106" s="63"/>
      <c r="AJ106" s="283"/>
      <c r="AK106" s="392"/>
    </row>
    <row r="107" spans="2:37">
      <c r="B107" s="79"/>
      <c r="C107" s="79"/>
      <c r="D107" s="80"/>
      <c r="E107" s="79"/>
      <c r="F107" s="6"/>
      <c r="G107" s="79"/>
      <c r="H107" s="5"/>
      <c r="I107" s="22"/>
      <c r="L107" s="123"/>
      <c r="O107" s="359"/>
      <c r="P107" s="47"/>
      <c r="Q107" s="342"/>
      <c r="R107" s="81"/>
      <c r="T107" s="34"/>
      <c r="U107" s="307"/>
      <c r="V107" s="94"/>
      <c r="W107" s="36"/>
      <c r="X107" s="66"/>
      <c r="Y107" s="15"/>
      <c r="Z107" s="63"/>
      <c r="AA107" s="168"/>
      <c r="AC107" s="22"/>
      <c r="AF107" s="33"/>
      <c r="AG107" s="117"/>
      <c r="AH107" s="22"/>
      <c r="AI107" s="63"/>
      <c r="AJ107" s="283"/>
      <c r="AK107" s="392"/>
    </row>
    <row r="108" spans="2:37">
      <c r="B108" s="79"/>
      <c r="C108" s="79"/>
      <c r="D108" s="79"/>
      <c r="E108" s="79"/>
      <c r="F108" s="6"/>
      <c r="G108" s="79"/>
      <c r="H108" s="8"/>
      <c r="I108" s="22"/>
      <c r="L108" s="123"/>
      <c r="O108" s="359"/>
      <c r="P108" s="47"/>
      <c r="Q108" s="342"/>
      <c r="R108" s="81"/>
      <c r="T108" s="34"/>
      <c r="U108" s="307"/>
      <c r="V108" s="94"/>
      <c r="W108" s="36"/>
      <c r="X108" s="66"/>
      <c r="Y108" s="15"/>
      <c r="Z108" s="63"/>
      <c r="AA108" s="168"/>
      <c r="AC108" s="22"/>
      <c r="AF108" s="33"/>
      <c r="AG108" s="117"/>
      <c r="AH108" s="22"/>
      <c r="AI108" s="63"/>
      <c r="AJ108" s="283"/>
      <c r="AK108" s="392"/>
    </row>
    <row r="109" spans="2:37">
      <c r="B109" s="79"/>
      <c r="C109" s="79"/>
      <c r="D109" s="80"/>
      <c r="E109" s="79"/>
      <c r="F109" s="6"/>
      <c r="G109" s="79"/>
      <c r="H109" s="8"/>
      <c r="I109" s="22"/>
      <c r="L109" s="123"/>
      <c r="O109" s="359"/>
      <c r="P109" s="47"/>
      <c r="Q109" s="342"/>
      <c r="R109" s="81"/>
      <c r="T109" s="34"/>
      <c r="U109" s="307"/>
      <c r="V109" s="94"/>
      <c r="W109" s="36"/>
      <c r="X109" s="66"/>
      <c r="Y109" s="15"/>
      <c r="Z109" s="63"/>
      <c r="AA109" s="168"/>
      <c r="AC109" s="22"/>
      <c r="AF109" s="33"/>
      <c r="AG109" s="117"/>
      <c r="AH109" s="22"/>
      <c r="AI109" s="63"/>
      <c r="AJ109" s="283"/>
      <c r="AK109" s="392"/>
    </row>
    <row r="110" spans="2:37">
      <c r="B110" s="79"/>
      <c r="C110" s="79"/>
      <c r="D110" s="79"/>
      <c r="E110" s="79"/>
      <c r="F110" s="6"/>
      <c r="G110" s="79"/>
      <c r="H110" s="5"/>
      <c r="I110" s="22"/>
      <c r="L110" s="245"/>
      <c r="O110" s="359"/>
      <c r="P110" s="47"/>
      <c r="Q110" s="342"/>
      <c r="R110" s="81"/>
      <c r="T110" s="34"/>
      <c r="U110" s="307"/>
      <c r="V110" s="94"/>
      <c r="W110" s="36"/>
      <c r="X110" s="66"/>
      <c r="Y110" s="15"/>
      <c r="Z110" s="63"/>
      <c r="AA110" s="168"/>
      <c r="AC110" s="22"/>
      <c r="AF110" s="33"/>
      <c r="AG110" s="43"/>
      <c r="AH110" s="22"/>
      <c r="AI110" s="63"/>
      <c r="AJ110" s="283"/>
      <c r="AK110" s="392"/>
    </row>
    <row r="111" spans="2:37">
      <c r="B111" s="79"/>
      <c r="C111" s="79"/>
      <c r="D111" s="79"/>
      <c r="E111" s="79"/>
      <c r="F111" s="6"/>
      <c r="G111" s="80"/>
      <c r="H111" s="183"/>
      <c r="I111" s="16"/>
      <c r="L111" s="123"/>
      <c r="O111" s="359"/>
      <c r="P111" s="47"/>
      <c r="Q111" s="342"/>
      <c r="R111" s="81"/>
      <c r="T111" s="34"/>
      <c r="U111" s="307"/>
      <c r="V111" s="94"/>
      <c r="W111" s="36"/>
      <c r="X111" s="66"/>
      <c r="Y111" s="15"/>
      <c r="Z111" s="63"/>
      <c r="AA111" s="168"/>
      <c r="AC111" s="16"/>
      <c r="AF111" s="33"/>
      <c r="AG111" s="43"/>
      <c r="AH111" s="16"/>
      <c r="AI111" s="63"/>
      <c r="AJ111" s="283"/>
      <c r="AK111" s="392"/>
    </row>
    <row r="112" spans="2:37">
      <c r="B112" s="79"/>
      <c r="C112" s="79"/>
      <c r="D112" s="79"/>
      <c r="E112" s="79"/>
      <c r="F112" s="6"/>
      <c r="G112" s="80"/>
      <c r="H112" s="145"/>
      <c r="I112" s="16"/>
      <c r="L112" s="123"/>
      <c r="O112" s="359"/>
      <c r="P112" s="47"/>
      <c r="Q112" s="342"/>
      <c r="R112" s="81"/>
      <c r="T112" s="34"/>
      <c r="U112" s="307"/>
      <c r="V112" s="94"/>
      <c r="W112" s="36"/>
      <c r="X112" s="66"/>
      <c r="Y112" s="15"/>
      <c r="Z112" s="63"/>
      <c r="AA112" s="168"/>
      <c r="AC112" s="16"/>
      <c r="AF112" s="33"/>
      <c r="AG112" s="43"/>
      <c r="AH112" s="16"/>
      <c r="AI112" s="63"/>
      <c r="AJ112" s="283"/>
      <c r="AK112" s="392"/>
    </row>
    <row r="113" spans="1:38">
      <c r="B113" s="80"/>
      <c r="C113" s="80"/>
      <c r="D113" s="79"/>
      <c r="E113" s="79"/>
      <c r="F113" s="6"/>
      <c r="G113" s="79"/>
      <c r="H113" s="5"/>
      <c r="I113" s="16"/>
      <c r="L113" s="123"/>
      <c r="O113" s="359"/>
      <c r="P113" s="47"/>
      <c r="Q113" s="342"/>
      <c r="R113" s="81"/>
      <c r="T113" s="34"/>
      <c r="U113" s="307"/>
      <c r="V113" s="94"/>
      <c r="W113" s="36"/>
      <c r="X113" s="66"/>
      <c r="Y113" s="15"/>
      <c r="Z113" s="63"/>
      <c r="AA113" s="168"/>
      <c r="AC113" s="16"/>
      <c r="AF113" s="33"/>
      <c r="AG113" s="117"/>
      <c r="AH113" s="16"/>
      <c r="AI113" s="63"/>
      <c r="AJ113" s="283"/>
      <c r="AK113" s="392"/>
    </row>
    <row r="114" spans="1:38">
      <c r="B114" s="80"/>
      <c r="C114" s="80"/>
      <c r="D114" s="79"/>
      <c r="E114" s="79"/>
      <c r="F114" s="6"/>
      <c r="G114" s="79"/>
      <c r="H114" s="8"/>
      <c r="I114" s="16"/>
      <c r="L114" s="123"/>
      <c r="O114" s="359"/>
      <c r="P114" s="47"/>
      <c r="Q114" s="342"/>
      <c r="R114" s="81"/>
      <c r="T114" s="34"/>
      <c r="U114" s="307"/>
      <c r="V114" s="94"/>
      <c r="W114" s="36"/>
      <c r="X114" s="66"/>
      <c r="Y114" s="15"/>
      <c r="Z114" s="63"/>
      <c r="AA114" s="168"/>
      <c r="AC114" s="16"/>
      <c r="AF114" s="33"/>
      <c r="AG114" s="117"/>
      <c r="AH114" s="16"/>
      <c r="AI114" s="63"/>
      <c r="AJ114" s="283"/>
      <c r="AK114" s="392"/>
    </row>
    <row r="115" spans="1:38">
      <c r="B115" s="79"/>
      <c r="C115" s="79"/>
      <c r="D115" s="79"/>
      <c r="E115" s="79"/>
      <c r="F115" s="6"/>
      <c r="G115" s="79"/>
      <c r="H115" s="145"/>
      <c r="I115" s="16"/>
      <c r="L115" s="123"/>
      <c r="O115" s="359"/>
      <c r="P115" s="47"/>
      <c r="Q115" s="342"/>
      <c r="R115" s="81"/>
      <c r="T115" s="34"/>
      <c r="U115" s="307"/>
      <c r="V115" s="94"/>
      <c r="W115" s="36"/>
      <c r="X115" s="66"/>
      <c r="Y115" s="15"/>
      <c r="Z115" s="63"/>
      <c r="AA115" s="168"/>
      <c r="AC115" s="16"/>
      <c r="AF115" s="33"/>
      <c r="AG115" s="43"/>
      <c r="AH115" s="16"/>
      <c r="AI115" s="63"/>
      <c r="AJ115" s="283"/>
      <c r="AK115" s="288"/>
    </row>
    <row r="116" spans="1:38">
      <c r="B116" s="79"/>
      <c r="C116" s="79"/>
      <c r="D116" s="79"/>
      <c r="E116" s="79"/>
      <c r="F116" s="6"/>
      <c r="G116" s="79"/>
      <c r="H116" s="145"/>
      <c r="I116" s="16"/>
      <c r="L116" s="123"/>
      <c r="O116" s="359"/>
      <c r="P116" s="47"/>
      <c r="Q116" s="342"/>
      <c r="R116" s="81"/>
      <c r="T116" s="34"/>
      <c r="U116" s="307"/>
      <c r="V116" s="94"/>
      <c r="W116" s="36"/>
      <c r="X116" s="66"/>
      <c r="Y116" s="15"/>
      <c r="Z116" s="76"/>
      <c r="AA116" s="168"/>
      <c r="AC116" s="16"/>
      <c r="AF116" s="33"/>
      <c r="AG116" s="43"/>
      <c r="AH116" s="16"/>
      <c r="AI116" s="63"/>
      <c r="AJ116" s="283"/>
      <c r="AK116" s="288"/>
    </row>
    <row r="117" spans="1:38">
      <c r="B117" s="79"/>
      <c r="C117" s="79"/>
      <c r="D117" s="79"/>
      <c r="E117" s="79"/>
      <c r="F117" s="6"/>
      <c r="G117" s="79"/>
      <c r="H117" s="8"/>
      <c r="I117" s="16"/>
      <c r="L117" s="123"/>
      <c r="O117" s="359"/>
      <c r="P117" s="47"/>
      <c r="Q117" s="342"/>
      <c r="R117" s="81"/>
      <c r="T117" s="34"/>
      <c r="U117" s="307"/>
      <c r="V117" s="94"/>
      <c r="W117" s="36"/>
      <c r="X117" s="66"/>
      <c r="Y117" s="15"/>
      <c r="Z117" s="63"/>
      <c r="AA117" s="168"/>
      <c r="AC117" s="16"/>
      <c r="AF117" s="33"/>
      <c r="AG117" s="43"/>
      <c r="AH117" s="16"/>
      <c r="AI117" s="63"/>
      <c r="AJ117" s="283"/>
      <c r="AK117" s="392"/>
    </row>
    <row r="118" spans="1:38">
      <c r="A118" s="141"/>
      <c r="B118" s="79"/>
      <c r="C118" s="79"/>
      <c r="D118" s="79"/>
      <c r="E118" s="79"/>
      <c r="F118" s="6"/>
      <c r="G118" s="41"/>
      <c r="H118" s="8"/>
      <c r="I118" s="153"/>
      <c r="L118" s="163"/>
      <c r="M118" s="248"/>
      <c r="N118" s="248"/>
      <c r="O118" s="359"/>
      <c r="P118" s="47"/>
      <c r="Q118" s="342"/>
      <c r="R118" s="282"/>
      <c r="T118" s="185"/>
      <c r="U118" s="305"/>
      <c r="V118" s="94"/>
      <c r="W118" s="304"/>
      <c r="X118" s="295"/>
      <c r="Y118" s="162"/>
      <c r="Z118" s="158"/>
      <c r="AA118" s="327"/>
      <c r="AC118" s="227"/>
      <c r="AD118" s="6"/>
      <c r="AF118" s="33"/>
      <c r="AG118" s="46"/>
      <c r="AH118" s="227"/>
      <c r="AI118" s="248"/>
      <c r="AJ118" s="171"/>
      <c r="AK118" s="248"/>
      <c r="AL118" s="248"/>
    </row>
    <row r="119" spans="1:38">
      <c r="B119" s="79"/>
      <c r="C119" s="79"/>
      <c r="D119" s="79"/>
      <c r="E119" s="79"/>
      <c r="F119" s="6"/>
      <c r="G119" s="79"/>
      <c r="H119" s="8"/>
      <c r="I119" s="16"/>
      <c r="L119" s="123"/>
      <c r="O119" s="359"/>
      <c r="P119" s="47"/>
      <c r="Q119" s="342"/>
      <c r="T119" s="34"/>
      <c r="U119" s="307"/>
      <c r="V119" s="94"/>
      <c r="W119" s="36"/>
      <c r="X119" s="66"/>
      <c r="Y119" s="15"/>
      <c r="Z119" s="63"/>
      <c r="AA119" s="168"/>
      <c r="AC119" s="16"/>
      <c r="AF119" s="33"/>
      <c r="AG119" s="43"/>
      <c r="AH119" s="16"/>
      <c r="AI119" s="63"/>
      <c r="AJ119" s="283"/>
      <c r="AK119" s="392"/>
    </row>
    <row r="120" spans="1:38">
      <c r="B120" s="79"/>
      <c r="C120" s="79"/>
      <c r="D120" s="79"/>
      <c r="E120" s="79"/>
      <c r="F120" s="6"/>
      <c r="G120" s="79"/>
      <c r="H120" s="8"/>
      <c r="I120" s="22"/>
      <c r="L120" s="123"/>
      <c r="O120" s="359"/>
      <c r="P120" s="47"/>
      <c r="Q120" s="342"/>
      <c r="R120" s="81"/>
      <c r="T120" s="34"/>
      <c r="U120" s="307"/>
      <c r="V120" s="94"/>
      <c r="W120" s="13"/>
      <c r="X120" s="66"/>
      <c r="Y120" s="15"/>
      <c r="Z120" s="63"/>
      <c r="AA120" s="168"/>
      <c r="AC120" s="22"/>
      <c r="AF120" s="33"/>
      <c r="AG120" s="117"/>
      <c r="AH120" s="22"/>
      <c r="AI120" s="63"/>
      <c r="AJ120" s="283"/>
      <c r="AK120" s="392"/>
    </row>
    <row r="121" spans="1:38">
      <c r="B121" s="79"/>
      <c r="C121" s="79"/>
      <c r="D121" s="80"/>
      <c r="E121" s="79"/>
      <c r="F121" s="6"/>
      <c r="G121" s="79"/>
      <c r="H121" s="8"/>
      <c r="I121" s="16"/>
      <c r="L121" s="123"/>
      <c r="O121" s="359"/>
      <c r="P121" s="47"/>
      <c r="Q121" s="342"/>
      <c r="R121" s="81"/>
      <c r="T121" s="34"/>
      <c r="U121" s="307"/>
      <c r="V121" s="94"/>
      <c r="W121" s="36"/>
      <c r="X121" s="66"/>
      <c r="Y121" s="15"/>
      <c r="Z121" s="63"/>
      <c r="AA121" s="168"/>
      <c r="AC121" s="16"/>
      <c r="AF121" s="33"/>
      <c r="AG121" s="117"/>
      <c r="AH121" s="16"/>
      <c r="AI121" s="63"/>
      <c r="AJ121" s="283"/>
      <c r="AK121" s="392"/>
    </row>
    <row r="122" spans="1:38">
      <c r="B122" s="79"/>
      <c r="C122" s="79"/>
      <c r="D122" s="79"/>
      <c r="E122" s="79"/>
      <c r="F122" s="6"/>
      <c r="G122" s="79"/>
      <c r="H122" s="192"/>
      <c r="I122" s="16"/>
      <c r="L122" s="123"/>
      <c r="O122" s="359"/>
      <c r="P122" s="47"/>
      <c r="Q122" s="342"/>
      <c r="R122" s="81"/>
      <c r="T122" s="34"/>
      <c r="U122" s="307"/>
      <c r="V122" s="94"/>
      <c r="W122" s="13"/>
      <c r="X122" s="66"/>
      <c r="Y122" s="15"/>
      <c r="Z122" s="63"/>
      <c r="AA122" s="168"/>
      <c r="AC122" s="16"/>
      <c r="AF122" s="33"/>
      <c r="AG122" s="117"/>
      <c r="AH122" s="16"/>
      <c r="AI122" s="63"/>
      <c r="AJ122" s="283"/>
      <c r="AK122" s="392"/>
    </row>
    <row r="123" spans="1:38">
      <c r="B123" s="92"/>
      <c r="C123" s="218"/>
      <c r="D123" s="79"/>
      <c r="E123" s="79"/>
      <c r="F123" s="6"/>
      <c r="G123" s="79"/>
      <c r="H123" s="8"/>
      <c r="I123" s="16"/>
      <c r="L123" s="123"/>
      <c r="O123" s="359"/>
      <c r="P123" s="47"/>
      <c r="Q123" s="342"/>
      <c r="R123" s="81"/>
      <c r="T123" s="34"/>
      <c r="U123" s="307"/>
      <c r="V123" s="94"/>
      <c r="W123" s="36"/>
      <c r="X123" s="66"/>
      <c r="Y123" s="15"/>
      <c r="Z123" s="63"/>
      <c r="AA123" s="168"/>
      <c r="AC123" s="16"/>
      <c r="AF123" s="33"/>
      <c r="AG123" s="43"/>
      <c r="AH123" s="16"/>
      <c r="AI123" s="63"/>
      <c r="AJ123" s="283"/>
      <c r="AK123" s="392"/>
    </row>
    <row r="124" spans="1:38">
      <c r="B124" s="80"/>
      <c r="C124" s="80"/>
      <c r="D124" s="80"/>
      <c r="E124" s="79"/>
      <c r="F124" s="6"/>
      <c r="G124" s="79"/>
      <c r="H124" s="8"/>
      <c r="I124" s="16"/>
      <c r="L124" s="123"/>
      <c r="O124" s="359"/>
      <c r="P124" s="47"/>
      <c r="Q124" s="342"/>
      <c r="R124" s="81"/>
      <c r="T124" s="34"/>
      <c r="U124" s="307"/>
      <c r="V124" s="94"/>
      <c r="W124" s="36"/>
      <c r="X124" s="66"/>
      <c r="Y124" s="15"/>
      <c r="Z124" s="63"/>
      <c r="AA124" s="168"/>
      <c r="AC124" s="16"/>
      <c r="AF124" s="33"/>
      <c r="AG124" s="43"/>
      <c r="AH124" s="16"/>
      <c r="AI124" s="63"/>
      <c r="AJ124" s="283"/>
      <c r="AK124" s="392"/>
    </row>
    <row r="125" spans="1:38">
      <c r="B125" s="79"/>
      <c r="C125" s="79"/>
      <c r="D125" s="79"/>
      <c r="E125" s="79"/>
      <c r="F125" s="6"/>
      <c r="G125" s="79"/>
      <c r="H125" s="145"/>
      <c r="I125" s="16"/>
      <c r="L125" s="123"/>
      <c r="O125" s="359"/>
      <c r="P125" s="47"/>
      <c r="Q125" s="342"/>
      <c r="R125" s="81"/>
      <c r="T125" s="34"/>
      <c r="U125" s="307"/>
      <c r="V125" s="57"/>
      <c r="W125" s="13"/>
      <c r="X125" s="66"/>
      <c r="Y125" s="15"/>
      <c r="Z125" s="63"/>
      <c r="AA125" s="168"/>
      <c r="AC125" s="16"/>
      <c r="AF125" s="33"/>
      <c r="AG125" s="43"/>
      <c r="AH125" s="16"/>
      <c r="AI125" s="63"/>
      <c r="AJ125" s="283"/>
      <c r="AK125" s="392"/>
    </row>
    <row r="126" spans="1:38">
      <c r="B126" s="79"/>
      <c r="C126" s="79"/>
      <c r="D126" s="79"/>
      <c r="E126" s="79"/>
      <c r="F126" s="6"/>
      <c r="G126" s="79"/>
      <c r="H126" s="192"/>
      <c r="I126" s="16"/>
      <c r="L126" s="123"/>
      <c r="O126" s="359"/>
      <c r="P126" s="47"/>
      <c r="Q126" s="342"/>
      <c r="R126" s="81"/>
      <c r="T126" s="34"/>
      <c r="U126" s="307"/>
      <c r="V126" s="94"/>
      <c r="W126" s="13"/>
      <c r="X126" s="66"/>
      <c r="Y126" s="15"/>
      <c r="Z126" s="63"/>
      <c r="AA126" s="168"/>
      <c r="AC126" s="16"/>
      <c r="AF126" s="33"/>
      <c r="AG126" s="117"/>
      <c r="AH126" s="16"/>
      <c r="AI126" s="63"/>
      <c r="AJ126" s="283"/>
      <c r="AK126" s="392"/>
    </row>
    <row r="127" spans="1:38">
      <c r="B127" s="79"/>
      <c r="C127" s="79"/>
      <c r="D127" s="79"/>
      <c r="E127" s="79"/>
      <c r="F127" s="6"/>
      <c r="G127" s="79"/>
      <c r="H127" s="192"/>
      <c r="I127" s="16"/>
      <c r="L127" s="123"/>
      <c r="O127" s="359"/>
      <c r="P127" s="47"/>
      <c r="Q127" s="342"/>
      <c r="R127" s="81"/>
      <c r="T127" s="34"/>
      <c r="U127" s="307"/>
      <c r="V127" s="94"/>
      <c r="W127" s="13"/>
      <c r="X127" s="66"/>
      <c r="Y127" s="15"/>
      <c r="Z127" s="63"/>
      <c r="AA127" s="168"/>
      <c r="AC127" s="16"/>
      <c r="AF127" s="33"/>
      <c r="AG127" s="117"/>
      <c r="AH127" s="16"/>
      <c r="AI127" s="63"/>
      <c r="AJ127" s="283"/>
      <c r="AK127" s="392"/>
    </row>
    <row r="128" spans="1:38">
      <c r="B128" s="79"/>
      <c r="C128" s="79"/>
      <c r="D128" s="79"/>
      <c r="E128" s="79"/>
      <c r="F128" s="6"/>
      <c r="G128" s="79"/>
      <c r="H128" s="145"/>
      <c r="I128" s="16"/>
      <c r="L128" s="123"/>
      <c r="O128" s="359"/>
      <c r="P128" s="47"/>
      <c r="Q128" s="342"/>
      <c r="R128" s="81"/>
      <c r="T128" s="34"/>
      <c r="U128" s="307"/>
      <c r="V128" s="94"/>
      <c r="W128" s="36"/>
      <c r="X128" s="66"/>
      <c r="Y128" s="15"/>
      <c r="Z128" s="63"/>
      <c r="AA128" s="168"/>
      <c r="AC128" s="16"/>
      <c r="AF128" s="33"/>
      <c r="AG128" s="117"/>
      <c r="AH128" s="16"/>
      <c r="AI128" s="63"/>
      <c r="AJ128" s="283"/>
      <c r="AK128" s="392"/>
    </row>
    <row r="129" spans="2:37">
      <c r="B129" s="92"/>
      <c r="C129" s="218"/>
      <c r="D129" s="80"/>
      <c r="E129" s="79"/>
      <c r="F129" s="6"/>
      <c r="G129" s="80"/>
      <c r="H129" s="8"/>
      <c r="I129" s="16"/>
      <c r="L129" s="123"/>
      <c r="O129" s="359"/>
      <c r="P129" s="47"/>
      <c r="Q129" s="342"/>
      <c r="R129" s="81"/>
      <c r="T129" s="34"/>
      <c r="U129" s="307"/>
      <c r="V129" s="94"/>
      <c r="W129" s="36"/>
      <c r="X129" s="66"/>
      <c r="Y129" s="15"/>
      <c r="Z129" s="63"/>
      <c r="AA129" s="168"/>
      <c r="AC129" s="16"/>
      <c r="AF129" s="33"/>
      <c r="AG129" s="43"/>
      <c r="AH129" s="16"/>
      <c r="AI129" s="63"/>
      <c r="AJ129" s="283"/>
      <c r="AK129" s="392"/>
    </row>
    <row r="130" spans="2:37">
      <c r="B130" s="79"/>
      <c r="C130" s="79"/>
      <c r="D130" s="79"/>
      <c r="E130" s="79"/>
      <c r="F130" s="6"/>
      <c r="G130" s="79"/>
      <c r="H130" s="8"/>
      <c r="I130" s="22"/>
      <c r="L130" s="123"/>
      <c r="O130" s="359"/>
      <c r="P130" s="47"/>
      <c r="Q130" s="342"/>
      <c r="R130" s="81"/>
      <c r="T130" s="34"/>
      <c r="U130" s="307"/>
      <c r="V130" s="94"/>
      <c r="W130" s="36"/>
      <c r="X130" s="66"/>
      <c r="Y130" s="15"/>
      <c r="Z130" s="63"/>
      <c r="AA130" s="168"/>
      <c r="AC130" s="22"/>
      <c r="AF130" s="33"/>
      <c r="AG130" s="117"/>
      <c r="AH130" s="22"/>
      <c r="AI130" s="63"/>
      <c r="AJ130" s="283"/>
      <c r="AK130" s="392"/>
    </row>
    <row r="131" spans="2:37">
      <c r="B131" s="79"/>
      <c r="C131" s="79"/>
      <c r="D131" s="79"/>
      <c r="E131" s="79"/>
      <c r="F131" s="6"/>
      <c r="G131" s="79"/>
      <c r="H131" s="145"/>
      <c r="I131" s="16"/>
      <c r="L131" s="123"/>
      <c r="O131" s="359"/>
      <c r="P131" s="47"/>
      <c r="Q131" s="342"/>
      <c r="R131" s="81"/>
      <c r="T131" s="34"/>
      <c r="U131" s="307"/>
      <c r="V131" s="94"/>
      <c r="W131" s="36"/>
      <c r="X131" s="66"/>
      <c r="Y131" s="15"/>
      <c r="Z131" s="63"/>
      <c r="AA131" s="168"/>
      <c r="AC131" s="16"/>
      <c r="AF131" s="33"/>
      <c r="AG131" s="43"/>
      <c r="AH131" s="16"/>
      <c r="AI131" s="63"/>
      <c r="AJ131" s="283"/>
      <c r="AK131" s="392"/>
    </row>
    <row r="132" spans="2:37">
      <c r="B132" s="79"/>
      <c r="C132" s="79"/>
      <c r="D132" s="79"/>
      <c r="E132" s="79"/>
      <c r="F132" s="6"/>
      <c r="G132" s="79"/>
      <c r="H132" s="145"/>
      <c r="I132" s="16"/>
      <c r="L132" s="123"/>
      <c r="O132" s="359"/>
      <c r="P132" s="47"/>
      <c r="Q132" s="342"/>
      <c r="R132" s="81"/>
      <c r="T132" s="34"/>
      <c r="U132" s="307"/>
      <c r="V132" s="94"/>
      <c r="W132" s="36"/>
      <c r="X132" s="66"/>
      <c r="Y132" s="15"/>
      <c r="Z132" s="63"/>
      <c r="AA132" s="168"/>
      <c r="AC132" s="16"/>
      <c r="AF132" s="33"/>
      <c r="AG132" s="43"/>
      <c r="AH132" s="16"/>
      <c r="AI132" s="63"/>
      <c r="AJ132" s="283"/>
      <c r="AK132" s="288"/>
    </row>
    <row r="133" spans="2:37">
      <c r="B133" s="79"/>
      <c r="C133" s="79"/>
      <c r="D133" s="79"/>
      <c r="E133" s="79"/>
      <c r="F133" s="6"/>
      <c r="G133" s="79"/>
      <c r="H133" s="145"/>
      <c r="I133" s="16"/>
      <c r="L133" s="123"/>
      <c r="O133" s="359"/>
      <c r="P133" s="47"/>
      <c r="Q133" s="342"/>
      <c r="R133" s="81"/>
      <c r="T133" s="34"/>
      <c r="U133" s="307"/>
      <c r="V133" s="94"/>
      <c r="W133" s="36"/>
      <c r="X133" s="66"/>
      <c r="Y133" s="15"/>
      <c r="Z133" s="76"/>
      <c r="AA133" s="168"/>
      <c r="AC133" s="16"/>
      <c r="AF133" s="33"/>
      <c r="AG133" s="43"/>
      <c r="AH133" s="16"/>
      <c r="AI133" s="63"/>
      <c r="AJ133" s="283"/>
      <c r="AK133" s="288"/>
    </row>
    <row r="134" spans="2:37">
      <c r="B134" s="79"/>
      <c r="C134" s="79"/>
      <c r="D134" s="79"/>
      <c r="E134" s="79"/>
      <c r="F134" s="6"/>
      <c r="G134" s="79"/>
      <c r="H134" s="8"/>
      <c r="I134" s="16"/>
      <c r="L134" s="123"/>
      <c r="O134" s="359"/>
      <c r="P134" s="47"/>
      <c r="Q134" s="342"/>
      <c r="R134" s="81"/>
      <c r="T134" s="34"/>
      <c r="U134" s="307"/>
      <c r="V134" s="94"/>
      <c r="W134" s="36"/>
      <c r="X134" s="66"/>
      <c r="Y134" s="15"/>
      <c r="Z134" s="63"/>
      <c r="AA134" s="168"/>
      <c r="AC134" s="16"/>
      <c r="AF134" s="33"/>
      <c r="AG134" s="117"/>
      <c r="AH134" s="16"/>
      <c r="AI134" s="63"/>
      <c r="AJ134" s="283"/>
      <c r="AK134" s="392"/>
    </row>
    <row r="135" spans="2:37">
      <c r="B135" s="79"/>
      <c r="C135" s="79"/>
      <c r="D135" s="79"/>
      <c r="E135" s="79"/>
      <c r="F135" s="6"/>
      <c r="G135" s="79"/>
      <c r="H135" s="5"/>
      <c r="I135" s="22"/>
      <c r="L135" s="123"/>
      <c r="O135" s="359"/>
      <c r="P135" s="47"/>
      <c r="Q135" s="342"/>
      <c r="R135" s="81"/>
      <c r="T135" s="34"/>
      <c r="U135" s="307"/>
      <c r="V135" s="94"/>
      <c r="W135" s="36"/>
      <c r="X135" s="66"/>
      <c r="Y135" s="15"/>
      <c r="Z135" s="63"/>
      <c r="AA135" s="168"/>
      <c r="AC135" s="22"/>
      <c r="AF135" s="33"/>
      <c r="AG135" s="119"/>
      <c r="AH135" s="22"/>
      <c r="AI135" s="63"/>
      <c r="AJ135" s="283"/>
      <c r="AK135" s="392"/>
    </row>
    <row r="136" spans="2:37">
      <c r="B136" s="79"/>
      <c r="C136" s="79"/>
      <c r="D136" s="79"/>
      <c r="E136" s="79"/>
      <c r="F136" s="6"/>
      <c r="G136" s="79"/>
      <c r="H136" s="5"/>
      <c r="I136" s="16"/>
      <c r="L136" s="123"/>
      <c r="O136" s="359"/>
      <c r="P136" s="47"/>
      <c r="Q136" s="342"/>
      <c r="R136" s="81"/>
      <c r="T136" s="34"/>
      <c r="U136" s="307"/>
      <c r="V136" s="94"/>
      <c r="W136" s="36"/>
      <c r="X136" s="66"/>
      <c r="Y136" s="15"/>
      <c r="Z136" s="63"/>
      <c r="AA136" s="168"/>
      <c r="AC136" s="16"/>
      <c r="AF136" s="33"/>
      <c r="AG136" s="43"/>
      <c r="AH136" s="16"/>
      <c r="AI136" s="63"/>
      <c r="AJ136" s="283"/>
    </row>
    <row r="137" spans="2:37">
      <c r="B137" s="80"/>
      <c r="C137" s="80"/>
      <c r="D137" s="79"/>
      <c r="E137" s="79"/>
      <c r="F137" s="6"/>
      <c r="G137" s="79"/>
      <c r="H137" s="8"/>
      <c r="I137" s="16"/>
      <c r="L137" s="123"/>
      <c r="O137" s="359"/>
      <c r="P137" s="47"/>
      <c r="Q137" s="342"/>
      <c r="R137" s="81"/>
      <c r="T137" s="34"/>
      <c r="U137" s="307"/>
      <c r="V137" s="94"/>
      <c r="W137" s="36"/>
      <c r="X137" s="66"/>
      <c r="Y137" s="15"/>
      <c r="Z137" s="63"/>
      <c r="AA137" s="168"/>
      <c r="AC137" s="16"/>
      <c r="AF137" s="33"/>
      <c r="AG137" s="117"/>
      <c r="AH137" s="16"/>
      <c r="AI137" s="63"/>
      <c r="AJ137" s="283"/>
      <c r="AK137" s="392"/>
    </row>
    <row r="138" spans="2:37">
      <c r="B138" s="79"/>
      <c r="C138" s="79"/>
      <c r="D138" s="79"/>
      <c r="E138" s="79"/>
      <c r="F138" s="6"/>
      <c r="G138" s="79"/>
      <c r="H138" s="8"/>
      <c r="I138" s="16"/>
      <c r="L138" s="123"/>
      <c r="O138" s="359"/>
      <c r="P138" s="47"/>
      <c r="Q138" s="342"/>
      <c r="R138" s="81"/>
      <c r="T138" s="34"/>
      <c r="U138" s="307"/>
      <c r="V138" s="57"/>
      <c r="W138" s="36"/>
      <c r="X138" s="66"/>
      <c r="Y138" s="15"/>
      <c r="Z138" s="63"/>
      <c r="AA138" s="168"/>
      <c r="AC138" s="16"/>
      <c r="AF138" s="33"/>
      <c r="AG138" s="43"/>
      <c r="AH138" s="16"/>
      <c r="AI138" s="63"/>
      <c r="AJ138" s="283"/>
      <c r="AK138" s="392"/>
    </row>
    <row r="139" spans="2:37">
      <c r="B139" s="79"/>
      <c r="C139" s="79"/>
      <c r="D139" s="80"/>
      <c r="E139" s="79"/>
      <c r="F139" s="6"/>
      <c r="G139" s="79"/>
      <c r="H139" s="8"/>
      <c r="I139" s="16"/>
      <c r="O139" s="359"/>
      <c r="P139" s="47"/>
      <c r="Q139" s="342"/>
      <c r="R139" s="81"/>
      <c r="T139" s="34"/>
      <c r="U139" s="307"/>
      <c r="V139" s="94"/>
      <c r="W139" s="36"/>
      <c r="X139" s="66"/>
      <c r="Y139" s="15"/>
      <c r="Z139" s="63"/>
      <c r="AA139" s="168"/>
      <c r="AC139" s="16"/>
      <c r="AF139" s="33"/>
      <c r="AG139" s="117"/>
      <c r="AH139" s="16"/>
      <c r="AI139" s="63"/>
      <c r="AJ139" s="283"/>
      <c r="AK139" s="394"/>
    </row>
    <row r="140" spans="2:37">
      <c r="B140" s="79"/>
      <c r="C140" s="79"/>
      <c r="D140" s="79"/>
      <c r="E140" s="79"/>
      <c r="F140" s="6"/>
      <c r="G140" s="79"/>
      <c r="H140" s="5"/>
      <c r="I140" s="22"/>
      <c r="L140" s="123"/>
      <c r="O140" s="359"/>
      <c r="P140" s="47"/>
      <c r="Q140" s="342"/>
      <c r="R140" s="81"/>
      <c r="T140" s="34"/>
      <c r="U140" s="307"/>
      <c r="V140" s="94"/>
      <c r="W140" s="36"/>
      <c r="X140" s="66"/>
      <c r="Y140" s="15"/>
      <c r="Z140" s="63"/>
      <c r="AA140" s="168"/>
      <c r="AC140" s="22"/>
      <c r="AF140" s="33"/>
      <c r="AG140" s="119"/>
      <c r="AH140" s="22"/>
      <c r="AI140" s="63"/>
      <c r="AJ140" s="283"/>
      <c r="AK140" s="392"/>
    </row>
    <row r="141" spans="2:37">
      <c r="B141" s="79"/>
      <c r="C141" s="79"/>
      <c r="D141" s="79"/>
      <c r="E141" s="79"/>
      <c r="F141" s="6"/>
      <c r="G141" s="79"/>
      <c r="H141" s="145"/>
      <c r="I141" s="16"/>
      <c r="L141" s="123"/>
      <c r="O141" s="359"/>
      <c r="P141" s="47"/>
      <c r="Q141" s="342"/>
      <c r="R141" s="81"/>
      <c r="T141" s="34"/>
      <c r="U141" s="307"/>
      <c r="V141" s="94"/>
      <c r="W141" s="36"/>
      <c r="X141" s="66"/>
      <c r="Y141" s="15"/>
      <c r="Z141" s="63"/>
      <c r="AA141" s="168"/>
      <c r="AC141" s="16"/>
      <c r="AF141" s="33"/>
      <c r="AG141" s="43"/>
      <c r="AH141" s="16"/>
      <c r="AI141" s="63"/>
      <c r="AJ141" s="283"/>
      <c r="AK141" s="288"/>
    </row>
    <row r="142" spans="2:37">
      <c r="B142" s="80"/>
      <c r="C142" s="80"/>
      <c r="D142" s="79"/>
      <c r="E142" s="79"/>
      <c r="F142" s="6"/>
      <c r="G142" s="79"/>
      <c r="H142" s="5"/>
      <c r="I142" s="16"/>
      <c r="L142" s="123"/>
      <c r="O142" s="359"/>
      <c r="P142" s="47"/>
      <c r="Q142" s="342"/>
      <c r="R142" s="81"/>
      <c r="T142" s="34"/>
      <c r="U142" s="307"/>
      <c r="V142" s="94"/>
      <c r="W142" s="36"/>
      <c r="X142" s="66"/>
      <c r="Y142" s="15"/>
      <c r="Z142" s="63"/>
      <c r="AA142" s="168"/>
      <c r="AC142" s="16"/>
      <c r="AF142" s="33"/>
      <c r="AG142" s="117"/>
      <c r="AH142" s="16"/>
      <c r="AI142" s="63"/>
      <c r="AJ142" s="283"/>
      <c r="AK142" s="392"/>
    </row>
    <row r="143" spans="2:37">
      <c r="B143" s="79"/>
      <c r="C143" s="79"/>
      <c r="D143" s="79"/>
      <c r="E143" s="79"/>
      <c r="F143" s="6"/>
      <c r="G143" s="80"/>
      <c r="H143" s="192"/>
      <c r="I143" s="16"/>
      <c r="L143" s="123"/>
      <c r="O143" s="359"/>
      <c r="P143" s="47"/>
      <c r="Q143" s="342"/>
      <c r="R143" s="81"/>
      <c r="T143" s="34"/>
      <c r="U143" s="307"/>
      <c r="V143" s="57"/>
      <c r="W143" s="36"/>
      <c r="X143" s="66"/>
      <c r="Y143" s="15"/>
      <c r="Z143" s="63"/>
      <c r="AA143" s="168"/>
      <c r="AC143" s="16"/>
      <c r="AF143" s="33"/>
      <c r="AG143" s="117"/>
      <c r="AH143" s="16"/>
      <c r="AI143" s="63"/>
      <c r="AJ143" s="283"/>
      <c r="AK143" s="392"/>
    </row>
    <row r="144" spans="2:37">
      <c r="B144" s="79"/>
      <c r="C144" s="79"/>
      <c r="D144" s="80"/>
      <c r="E144" s="79"/>
      <c r="F144" s="6"/>
      <c r="G144" s="79"/>
      <c r="H144" s="8"/>
      <c r="I144" s="16"/>
      <c r="O144" s="359"/>
      <c r="P144" s="47"/>
      <c r="Q144" s="342"/>
      <c r="R144" s="81"/>
      <c r="T144" s="34"/>
      <c r="U144" s="307"/>
      <c r="V144" s="94"/>
      <c r="W144" s="36"/>
      <c r="X144" s="66"/>
      <c r="Y144" s="15"/>
      <c r="Z144" s="63"/>
      <c r="AA144" s="168"/>
      <c r="AC144" s="16"/>
      <c r="AF144" s="33"/>
      <c r="AG144" s="117"/>
      <c r="AH144" s="16"/>
      <c r="AI144" s="63"/>
      <c r="AJ144" s="283"/>
      <c r="AK144" s="394"/>
    </row>
    <row r="145" spans="1:38">
      <c r="B145" s="80"/>
      <c r="C145" s="80"/>
      <c r="D145" s="79"/>
      <c r="E145" s="79"/>
      <c r="F145" s="6"/>
      <c r="G145" s="79"/>
      <c r="H145" s="8"/>
      <c r="I145" s="16"/>
      <c r="L145" s="123"/>
      <c r="O145" s="359"/>
      <c r="P145" s="47"/>
      <c r="Q145" s="342"/>
      <c r="R145" s="81"/>
      <c r="T145" s="34"/>
      <c r="U145" s="307"/>
      <c r="V145" s="94"/>
      <c r="W145" s="36"/>
      <c r="X145" s="66"/>
      <c r="Y145" s="15"/>
      <c r="Z145" s="63"/>
      <c r="AA145" s="168"/>
      <c r="AC145" s="16"/>
      <c r="AF145" s="33"/>
      <c r="AG145" s="117"/>
      <c r="AH145" s="16"/>
      <c r="AI145" s="63"/>
      <c r="AJ145" s="283"/>
      <c r="AK145" s="392"/>
    </row>
    <row r="146" spans="1:38">
      <c r="B146" s="80"/>
      <c r="C146" s="80"/>
      <c r="D146" s="79"/>
      <c r="E146" s="79"/>
      <c r="F146" s="6"/>
      <c r="G146" s="79"/>
      <c r="H146" s="5"/>
      <c r="I146" s="16"/>
      <c r="L146" s="123"/>
      <c r="O146" s="359"/>
      <c r="P146" s="47"/>
      <c r="Q146" s="342"/>
      <c r="R146" s="81"/>
      <c r="T146" s="34"/>
      <c r="U146" s="307"/>
      <c r="V146" s="94"/>
      <c r="W146" s="36"/>
      <c r="X146" s="66"/>
      <c r="Y146" s="15"/>
      <c r="Z146" s="63"/>
      <c r="AA146" s="168"/>
      <c r="AC146" s="16"/>
      <c r="AF146" s="33"/>
      <c r="AG146" s="43"/>
      <c r="AH146" s="16"/>
      <c r="AI146" s="63"/>
      <c r="AJ146" s="283"/>
      <c r="AK146" s="392"/>
    </row>
    <row r="147" spans="1:38">
      <c r="B147" s="79"/>
      <c r="C147" s="79"/>
      <c r="D147" s="79"/>
      <c r="E147" s="79"/>
      <c r="F147" s="6"/>
      <c r="G147" s="79"/>
      <c r="H147" s="192"/>
      <c r="I147" s="22"/>
      <c r="L147" s="123"/>
      <c r="O147" s="359"/>
      <c r="P147" s="47"/>
      <c r="Q147" s="342"/>
      <c r="R147" s="81"/>
      <c r="T147" s="34"/>
      <c r="U147" s="307"/>
      <c r="V147" s="57"/>
      <c r="W147" s="13"/>
      <c r="X147" s="66"/>
      <c r="Y147" s="15"/>
      <c r="Z147" s="63"/>
      <c r="AA147" s="168"/>
      <c r="AC147" s="22"/>
      <c r="AF147" s="33"/>
      <c r="AG147" s="117"/>
      <c r="AH147" s="22"/>
      <c r="AI147" s="63"/>
      <c r="AJ147" s="283"/>
      <c r="AK147" s="392"/>
    </row>
    <row r="148" spans="1:38">
      <c r="A148" s="141"/>
      <c r="B148" s="79"/>
      <c r="C148" s="79"/>
      <c r="D148" s="79"/>
      <c r="E148" s="79"/>
      <c r="F148" s="6"/>
      <c r="G148" s="41"/>
      <c r="H148" s="8"/>
      <c r="I148" s="153"/>
      <c r="L148" s="163"/>
      <c r="M148" s="248"/>
      <c r="N148" s="248"/>
      <c r="O148" s="359"/>
      <c r="P148" s="47"/>
      <c r="Q148" s="342"/>
      <c r="R148" s="282"/>
      <c r="T148" s="185"/>
      <c r="U148" s="307"/>
      <c r="V148" s="94"/>
      <c r="W148" s="304"/>
      <c r="X148" s="295"/>
      <c r="Y148" s="162"/>
      <c r="Z148" s="158"/>
      <c r="AA148" s="327"/>
      <c r="AC148" s="227"/>
      <c r="AD148" s="6"/>
      <c r="AF148" s="33"/>
      <c r="AG148" s="46"/>
      <c r="AH148" s="227"/>
      <c r="AI148" s="248"/>
      <c r="AJ148" s="171"/>
      <c r="AK148" s="248"/>
      <c r="AL148" s="248"/>
    </row>
    <row r="149" spans="1:38">
      <c r="B149" s="90"/>
      <c r="C149" s="90"/>
      <c r="D149" s="90"/>
      <c r="E149" s="90"/>
      <c r="F149" s="8"/>
      <c r="G149" s="26"/>
      <c r="H149" s="55"/>
      <c r="I149" s="50"/>
      <c r="L149" s="123"/>
      <c r="O149" s="359"/>
      <c r="P149" s="47"/>
      <c r="Q149" s="342"/>
      <c r="T149" s="382"/>
      <c r="U149" s="305"/>
      <c r="V149" s="68"/>
      <c r="W149" s="28"/>
      <c r="X149" s="17"/>
      <c r="Y149" s="14"/>
      <c r="Z149" s="21"/>
      <c r="AA149" s="327"/>
      <c r="AC149" s="50"/>
      <c r="AD149" s="71"/>
      <c r="AE149" s="72"/>
      <c r="AF149" s="32"/>
      <c r="AG149" s="232"/>
      <c r="AH149" s="50"/>
      <c r="AI149" s="8"/>
      <c r="AJ149" s="50"/>
    </row>
    <row r="150" spans="1:38">
      <c r="B150" s="79"/>
      <c r="C150" s="79"/>
      <c r="D150" s="79"/>
      <c r="E150" s="79"/>
      <c r="F150" s="6"/>
      <c r="G150" s="79"/>
      <c r="H150" s="192"/>
      <c r="I150" s="22"/>
      <c r="L150" s="123"/>
      <c r="O150" s="359"/>
      <c r="P150" s="47"/>
      <c r="Q150" s="342"/>
      <c r="R150" s="81"/>
      <c r="T150" s="34"/>
      <c r="U150" s="307"/>
      <c r="V150" s="57"/>
      <c r="W150" s="13"/>
      <c r="X150" s="66"/>
      <c r="Y150" s="15"/>
      <c r="Z150" s="63"/>
      <c r="AA150" s="168"/>
      <c r="AC150" s="22"/>
      <c r="AF150" s="33"/>
      <c r="AG150" s="117"/>
      <c r="AH150" s="22"/>
      <c r="AI150" s="63"/>
      <c r="AJ150" s="283"/>
      <c r="AK150" s="392"/>
    </row>
    <row r="151" spans="1:38">
      <c r="B151" s="79"/>
      <c r="C151" s="79"/>
      <c r="D151" s="79"/>
      <c r="E151" s="79"/>
      <c r="F151" s="6"/>
      <c r="G151" s="80"/>
      <c r="H151" s="236"/>
      <c r="I151" s="16"/>
      <c r="L151" s="245"/>
      <c r="O151" s="359"/>
      <c r="P151" s="47"/>
      <c r="Q151" s="342"/>
      <c r="R151" s="81"/>
      <c r="T151" s="34"/>
      <c r="U151" s="307"/>
      <c r="V151" s="94"/>
      <c r="W151" s="36"/>
      <c r="X151" s="66"/>
      <c r="Y151" s="15"/>
      <c r="Z151" s="63"/>
      <c r="AA151" s="168"/>
      <c r="AC151" s="16"/>
      <c r="AF151" s="33"/>
      <c r="AG151" s="117"/>
      <c r="AH151" s="16"/>
      <c r="AI151" s="63"/>
      <c r="AJ151" s="283"/>
      <c r="AK151" s="392"/>
    </row>
    <row r="152" spans="1:38">
      <c r="A152" s="141"/>
      <c r="B152" s="79"/>
      <c r="C152" s="79"/>
      <c r="D152" s="79"/>
      <c r="E152" s="79"/>
      <c r="F152" s="6"/>
      <c r="G152" s="41"/>
      <c r="H152" s="8"/>
      <c r="I152" s="153"/>
      <c r="L152" s="163"/>
      <c r="M152" s="248"/>
      <c r="N152" s="248"/>
      <c r="O152" s="359"/>
      <c r="P152" s="47"/>
      <c r="Q152" s="342"/>
      <c r="R152" s="282"/>
      <c r="T152" s="185"/>
      <c r="U152" s="307"/>
      <c r="V152" s="94"/>
      <c r="W152" s="304"/>
      <c r="X152" s="295"/>
      <c r="Y152" s="162"/>
      <c r="Z152" s="158"/>
      <c r="AA152" s="327"/>
      <c r="AC152" s="227"/>
      <c r="AD152" s="6"/>
      <c r="AF152" s="33"/>
      <c r="AG152" s="46"/>
      <c r="AH152" s="227"/>
      <c r="AI152" s="248"/>
      <c r="AJ152" s="171"/>
      <c r="AK152" s="248"/>
      <c r="AL152" s="248"/>
    </row>
    <row r="153" spans="1:38">
      <c r="A153" s="141"/>
      <c r="B153" s="79"/>
      <c r="C153" s="79"/>
      <c r="D153" s="79"/>
      <c r="E153" s="79"/>
      <c r="F153" s="6"/>
      <c r="G153" s="41"/>
      <c r="H153" s="8"/>
      <c r="I153" s="153"/>
      <c r="L153" s="163"/>
      <c r="M153" s="248"/>
      <c r="N153" s="248"/>
      <c r="O153" s="359"/>
      <c r="P153" s="47"/>
      <c r="Q153" s="342"/>
      <c r="R153" s="282"/>
      <c r="T153" s="185"/>
      <c r="U153" s="307"/>
      <c r="V153" s="94"/>
      <c r="W153" s="304"/>
      <c r="X153" s="295"/>
      <c r="Y153" s="162"/>
      <c r="Z153" s="158"/>
      <c r="AA153" s="327"/>
      <c r="AC153" s="227"/>
      <c r="AD153" s="6"/>
      <c r="AF153" s="33"/>
      <c r="AG153" s="199"/>
      <c r="AH153" s="227"/>
      <c r="AI153" s="248"/>
      <c r="AJ153" s="171"/>
      <c r="AK153" s="248"/>
      <c r="AL153" s="248"/>
    </row>
    <row r="154" spans="1:38">
      <c r="L154" s="123"/>
      <c r="O154" s="359"/>
      <c r="P154" s="47"/>
      <c r="Q154" s="342"/>
      <c r="U154" s="309"/>
    </row>
    <row r="155" spans="1:38">
      <c r="L155" s="245"/>
      <c r="O155" s="359"/>
      <c r="P155" s="47"/>
      <c r="Q155" s="342"/>
      <c r="U155" s="305"/>
    </row>
    <row r="156" spans="1:38">
      <c r="L156" s="123"/>
      <c r="O156" s="359"/>
      <c r="P156" s="47"/>
      <c r="Q156" s="342"/>
      <c r="U156" s="305"/>
    </row>
    <row r="157" spans="1:38">
      <c r="L157" s="123"/>
      <c r="O157" s="359"/>
      <c r="P157" s="47"/>
      <c r="Q157" s="342"/>
      <c r="U157" s="305"/>
    </row>
    <row r="158" spans="1:38">
      <c r="L158" s="123"/>
      <c r="O158" s="359"/>
      <c r="P158" s="47"/>
      <c r="Q158" s="342"/>
      <c r="U158" s="305"/>
    </row>
    <row r="159" spans="1:38">
      <c r="L159" s="123"/>
      <c r="O159" s="359"/>
      <c r="P159" s="47"/>
      <c r="Q159" s="342"/>
      <c r="U159" s="307"/>
    </row>
    <row r="160" spans="1:38">
      <c r="L160" s="245"/>
      <c r="O160" s="359"/>
      <c r="P160" s="47"/>
      <c r="Q160" s="342"/>
      <c r="U160" s="307"/>
    </row>
    <row r="161" spans="12:38">
      <c r="L161" s="123"/>
      <c r="O161" s="359"/>
      <c r="P161" s="47"/>
      <c r="Q161" s="342"/>
      <c r="U161" s="307"/>
    </row>
    <row r="162" spans="12:38">
      <c r="L162" s="123"/>
      <c r="O162" s="359"/>
      <c r="P162" s="47"/>
      <c r="Q162" s="342"/>
      <c r="U162" s="307"/>
    </row>
    <row r="163" spans="12:38">
      <c r="L163" s="123"/>
      <c r="O163" s="359"/>
      <c r="P163" s="47"/>
      <c r="Q163" s="342"/>
      <c r="U163" s="307"/>
    </row>
    <row r="164" spans="12:38">
      <c r="L164" s="245"/>
      <c r="O164" s="359"/>
      <c r="P164" s="47"/>
      <c r="Q164" s="342"/>
      <c r="U164" s="307"/>
    </row>
    <row r="165" spans="12:38">
      <c r="L165" s="123"/>
      <c r="O165" s="359"/>
      <c r="P165" s="47"/>
      <c r="Q165" s="342"/>
      <c r="U165" s="307"/>
    </row>
    <row r="166" spans="12:38">
      <c r="L166" s="123"/>
      <c r="O166" s="359"/>
      <c r="P166" s="47"/>
      <c r="Q166" s="342"/>
      <c r="U166" s="307"/>
      <c r="AL166" s="279"/>
    </row>
    <row r="167" spans="12:38">
      <c r="L167" s="123"/>
      <c r="O167" s="359"/>
      <c r="P167" s="47"/>
      <c r="Q167" s="342"/>
      <c r="U167" s="307"/>
      <c r="AL167" s="245"/>
    </row>
    <row r="168" spans="12:38">
      <c r="L168" s="123"/>
      <c r="O168" s="359"/>
      <c r="P168" s="47"/>
      <c r="Q168" s="342"/>
      <c r="U168" s="307"/>
      <c r="AL168" s="245"/>
    </row>
    <row r="169" spans="12:38">
      <c r="L169" s="123"/>
      <c r="O169" s="359"/>
      <c r="P169" s="47"/>
      <c r="Q169" s="342"/>
      <c r="U169" s="307"/>
      <c r="AL169" s="245"/>
    </row>
    <row r="170" spans="12:38">
      <c r="L170" s="245"/>
      <c r="O170" s="359"/>
      <c r="P170" s="47"/>
      <c r="Q170" s="342"/>
      <c r="U170" s="307"/>
      <c r="AL170" s="245"/>
    </row>
    <row r="171" spans="12:38">
      <c r="L171" s="245"/>
      <c r="O171" s="359"/>
      <c r="P171" s="47"/>
      <c r="Q171" s="342"/>
      <c r="U171" s="307"/>
      <c r="AK171" s="395"/>
      <c r="AL171" s="245"/>
    </row>
    <row r="172" spans="12:38">
      <c r="L172" s="123"/>
      <c r="O172" s="359"/>
      <c r="P172" s="47"/>
      <c r="Q172" s="342"/>
      <c r="U172" s="307"/>
      <c r="AL172" s="245"/>
    </row>
    <row r="173" spans="12:38">
      <c r="L173" s="123"/>
      <c r="O173" s="359"/>
      <c r="P173" s="47"/>
      <c r="Q173" s="342"/>
      <c r="U173" s="307"/>
      <c r="AL173" s="245"/>
    </row>
    <row r="174" spans="12:38">
      <c r="L174" s="123"/>
      <c r="O174" s="359"/>
      <c r="P174" s="47"/>
      <c r="Q174" s="342"/>
      <c r="AL174" s="245"/>
    </row>
    <row r="175" spans="12:38">
      <c r="L175" s="123"/>
      <c r="O175" s="359"/>
      <c r="P175" s="47"/>
      <c r="Q175" s="342"/>
      <c r="AL175" s="245"/>
    </row>
    <row r="176" spans="12:38">
      <c r="L176" s="123"/>
      <c r="O176" s="359"/>
      <c r="P176" s="47"/>
      <c r="Q176" s="342"/>
      <c r="AL176" s="245"/>
    </row>
    <row r="177" spans="12:38">
      <c r="L177" s="123"/>
      <c r="O177" s="359"/>
      <c r="P177" s="47"/>
      <c r="Q177" s="342"/>
      <c r="AL177" s="245"/>
    </row>
    <row r="178" spans="12:38">
      <c r="L178" s="123"/>
      <c r="O178" s="359"/>
      <c r="P178" s="47"/>
      <c r="Q178" s="342"/>
      <c r="AL178" s="245"/>
    </row>
    <row r="179" spans="12:38">
      <c r="L179" s="123"/>
      <c r="O179" s="359"/>
      <c r="P179" s="47"/>
      <c r="Q179" s="342"/>
      <c r="AL179" s="245"/>
    </row>
    <row r="180" spans="12:38">
      <c r="L180" s="123"/>
      <c r="O180" s="359"/>
      <c r="P180" s="47"/>
      <c r="Q180" s="342"/>
      <c r="AL180" s="245"/>
    </row>
    <row r="181" spans="12:38">
      <c r="O181" s="359"/>
      <c r="P181" s="47"/>
      <c r="Q181" s="342"/>
      <c r="AL181" s="245"/>
    </row>
    <row r="182" spans="12:38">
      <c r="L182" s="123"/>
      <c r="O182" s="359"/>
      <c r="P182" s="47"/>
      <c r="Q182" s="342"/>
      <c r="U182" s="305"/>
      <c r="AL182" s="245"/>
    </row>
    <row r="183" spans="12:38">
      <c r="L183" s="123"/>
      <c r="O183" s="359"/>
      <c r="P183" s="47"/>
      <c r="Q183" s="342"/>
      <c r="U183" s="307"/>
      <c r="AL183" s="245"/>
    </row>
    <row r="184" spans="12:38">
      <c r="L184" s="123"/>
      <c r="O184" s="359"/>
      <c r="P184" s="47"/>
      <c r="Q184" s="342"/>
      <c r="U184" s="307"/>
    </row>
    <row r="185" spans="12:38">
      <c r="L185" s="245"/>
      <c r="O185" s="359"/>
      <c r="P185" s="47"/>
      <c r="Q185" s="342"/>
      <c r="U185" s="307"/>
    </row>
    <row r="186" spans="12:38">
      <c r="L186" s="123"/>
      <c r="O186" s="359"/>
      <c r="P186" s="47"/>
      <c r="Q186" s="342"/>
      <c r="U186" s="307"/>
    </row>
    <row r="187" spans="12:38">
      <c r="L187" s="245"/>
      <c r="O187" s="359"/>
      <c r="P187" s="47"/>
      <c r="Q187" s="342"/>
      <c r="U187" s="307"/>
    </row>
    <row r="188" spans="12:38">
      <c r="L188" s="123"/>
      <c r="O188" s="359"/>
      <c r="P188" s="47"/>
      <c r="Q188" s="342"/>
      <c r="U188" s="307"/>
    </row>
    <row r="189" spans="12:38">
      <c r="L189" s="245"/>
      <c r="O189" s="359"/>
      <c r="P189" s="47"/>
      <c r="Q189" s="342"/>
      <c r="U189" s="307"/>
    </row>
    <row r="190" spans="12:38">
      <c r="L190" s="123"/>
      <c r="O190" s="359"/>
      <c r="P190" s="47"/>
      <c r="Q190" s="342"/>
      <c r="U190" s="307"/>
    </row>
    <row r="191" spans="12:38">
      <c r="L191" s="123"/>
      <c r="O191" s="359"/>
      <c r="P191" s="47"/>
      <c r="Q191" s="342"/>
      <c r="U191" s="307"/>
    </row>
    <row r="192" spans="12:38">
      <c r="L192" s="123"/>
      <c r="O192" s="359"/>
      <c r="P192" s="47"/>
      <c r="Q192" s="342"/>
      <c r="AL192" s="279"/>
    </row>
    <row r="193" spans="12:38">
      <c r="L193" s="123"/>
      <c r="O193" s="359"/>
      <c r="P193" s="47"/>
      <c r="Q193" s="342"/>
      <c r="AL193" s="245"/>
    </row>
    <row r="194" spans="12:38">
      <c r="L194" s="123"/>
      <c r="O194" s="359"/>
      <c r="P194" s="47"/>
      <c r="Q194" s="342"/>
      <c r="U194" s="305"/>
      <c r="AL194" s="245"/>
    </row>
    <row r="195" spans="12:38">
      <c r="L195" s="123"/>
      <c r="O195" s="359"/>
      <c r="P195" s="47"/>
      <c r="Q195" s="342"/>
      <c r="U195" s="307"/>
      <c r="AL195" s="245"/>
    </row>
    <row r="196" spans="12:38">
      <c r="L196" s="123"/>
      <c r="O196" s="359"/>
      <c r="P196" s="47"/>
      <c r="Q196" s="342"/>
      <c r="U196" s="307"/>
      <c r="AL196" s="245"/>
    </row>
    <row r="197" spans="12:38">
      <c r="L197" s="123"/>
      <c r="O197" s="359"/>
      <c r="P197" s="47"/>
      <c r="Q197" s="342"/>
      <c r="U197" s="307"/>
      <c r="AL197" s="245"/>
    </row>
    <row r="198" spans="12:38">
      <c r="L198" s="123"/>
      <c r="O198" s="359"/>
      <c r="P198" s="47"/>
      <c r="Q198" s="342"/>
      <c r="U198" s="307"/>
      <c r="AL198" s="245"/>
    </row>
    <row r="199" spans="12:38">
      <c r="L199" s="245"/>
      <c r="O199" s="359"/>
      <c r="P199" s="47"/>
      <c r="Q199" s="342"/>
      <c r="U199" s="307"/>
    </row>
    <row r="200" spans="12:38">
      <c r="L200" s="123"/>
      <c r="O200" s="359"/>
      <c r="P200" s="47"/>
      <c r="Q200" s="342"/>
      <c r="U200" s="307"/>
    </row>
    <row r="201" spans="12:38">
      <c r="L201" s="123"/>
      <c r="O201" s="359"/>
      <c r="P201" s="47"/>
      <c r="Q201" s="342"/>
    </row>
    <row r="202" spans="12:38">
      <c r="L202" s="123"/>
      <c r="O202" s="359"/>
      <c r="P202" s="47"/>
      <c r="Q202" s="342"/>
      <c r="AL202" s="279"/>
    </row>
    <row r="203" spans="12:38">
      <c r="L203" s="123"/>
      <c r="O203" s="359"/>
      <c r="P203" s="47"/>
      <c r="Q203" s="342"/>
    </row>
    <row r="204" spans="12:38">
      <c r="L204" s="123"/>
      <c r="O204" s="359"/>
      <c r="P204" s="47"/>
      <c r="Q204" s="342"/>
    </row>
    <row r="205" spans="12:38">
      <c r="L205" s="245"/>
      <c r="O205" s="359"/>
      <c r="P205" s="47"/>
      <c r="Q205" s="342"/>
    </row>
    <row r="206" spans="12:38">
      <c r="L206" s="123"/>
      <c r="O206" s="359"/>
      <c r="P206" s="47"/>
      <c r="Q206" s="342"/>
    </row>
    <row r="207" spans="12:38">
      <c r="L207" s="123"/>
      <c r="O207" s="359"/>
      <c r="P207" s="47"/>
      <c r="Q207" s="342"/>
    </row>
    <row r="208" spans="12:38">
      <c r="L208" s="245"/>
      <c r="O208" s="359"/>
      <c r="P208" s="47"/>
      <c r="Q208" s="342"/>
      <c r="AL208" s="279"/>
    </row>
    <row r="209" spans="12:37">
      <c r="L209" s="123"/>
      <c r="O209" s="359"/>
      <c r="P209" s="47"/>
      <c r="Q209" s="342"/>
    </row>
    <row r="210" spans="12:37">
      <c r="L210" s="123"/>
      <c r="O210" s="359"/>
      <c r="P210" s="47"/>
      <c r="Q210" s="342"/>
    </row>
    <row r="211" spans="12:37">
      <c r="L211" s="123"/>
      <c r="O211" s="359"/>
      <c r="P211" s="47"/>
      <c r="Q211" s="342"/>
    </row>
    <row r="212" spans="12:37">
      <c r="L212" s="123"/>
      <c r="O212" s="359"/>
      <c r="P212" s="47"/>
      <c r="Q212" s="342"/>
      <c r="AK212" s="396"/>
    </row>
    <row r="213" spans="12:37">
      <c r="L213" s="123"/>
      <c r="O213" s="359"/>
      <c r="P213" s="47"/>
      <c r="Q213" s="342"/>
    </row>
    <row r="214" spans="12:37">
      <c r="L214" s="123"/>
      <c r="O214" s="359"/>
      <c r="P214" s="47"/>
      <c r="Q214" s="342"/>
    </row>
    <row r="215" spans="12:37">
      <c r="L215" s="123"/>
      <c r="O215" s="359"/>
      <c r="P215" s="47"/>
      <c r="Q215" s="342"/>
    </row>
    <row r="216" spans="12:37">
      <c r="L216" s="123"/>
      <c r="O216" s="359"/>
      <c r="P216" s="47"/>
      <c r="Q216" s="342"/>
    </row>
    <row r="217" spans="12:37">
      <c r="L217" s="123"/>
      <c r="O217" s="359"/>
      <c r="P217" s="47"/>
      <c r="Q217" s="342"/>
    </row>
    <row r="218" spans="12:37">
      <c r="L218" s="123"/>
      <c r="O218" s="359"/>
      <c r="P218" s="47"/>
      <c r="Q218" s="342"/>
    </row>
    <row r="219" spans="12:37">
      <c r="L219" s="123"/>
      <c r="O219" s="359"/>
      <c r="P219" s="47"/>
      <c r="Q219" s="342"/>
    </row>
    <row r="220" spans="12:37">
      <c r="L220" s="123"/>
      <c r="O220" s="359"/>
      <c r="P220" s="47"/>
      <c r="Q220" s="342"/>
    </row>
    <row r="221" spans="12:37">
      <c r="L221" s="123"/>
      <c r="O221" s="359"/>
      <c r="P221" s="47"/>
      <c r="Q221" s="342"/>
    </row>
    <row r="222" spans="12:37">
      <c r="L222" s="123"/>
      <c r="O222" s="359"/>
      <c r="P222" s="47"/>
      <c r="Q222" s="342"/>
    </row>
    <row r="223" spans="12:37">
      <c r="L223" s="123"/>
      <c r="O223" s="359"/>
      <c r="P223" s="47"/>
      <c r="Q223" s="342"/>
    </row>
    <row r="224" spans="12:37">
      <c r="L224" s="123"/>
      <c r="O224" s="359"/>
      <c r="P224" s="47"/>
      <c r="Q224" s="342"/>
    </row>
    <row r="225" spans="12:17">
      <c r="L225" s="123"/>
      <c r="O225" s="359"/>
      <c r="P225" s="47"/>
      <c r="Q225" s="342"/>
    </row>
    <row r="226" spans="12:17">
      <c r="L226" s="123"/>
      <c r="O226" s="359"/>
      <c r="P226" s="47"/>
      <c r="Q226" s="342"/>
    </row>
    <row r="227" spans="12:17">
      <c r="L227" s="123"/>
      <c r="O227" s="359"/>
      <c r="P227" s="47"/>
      <c r="Q227" s="342"/>
    </row>
    <row r="228" spans="12:17">
      <c r="L228" s="123"/>
      <c r="O228" s="359"/>
      <c r="P228" s="47"/>
      <c r="Q228" s="342"/>
    </row>
    <row r="229" spans="12:17">
      <c r="L229" s="123"/>
      <c r="O229" s="359"/>
      <c r="P229" s="47"/>
      <c r="Q229" s="342"/>
    </row>
    <row r="230" spans="12:17">
      <c r="L230" s="123"/>
      <c r="O230" s="359"/>
      <c r="P230" s="47"/>
      <c r="Q230" s="342"/>
    </row>
    <row r="231" spans="12:17">
      <c r="L231" s="123"/>
      <c r="O231" s="359"/>
      <c r="P231" s="47"/>
      <c r="Q231" s="342"/>
    </row>
    <row r="232" spans="12:17">
      <c r="L232" s="123"/>
      <c r="O232" s="359"/>
      <c r="P232" s="47"/>
      <c r="Q232" s="342"/>
    </row>
    <row r="233" spans="12:17">
      <c r="L233" s="123"/>
      <c r="O233" s="359"/>
      <c r="P233" s="47"/>
      <c r="Q233" s="342"/>
    </row>
    <row r="234" spans="12:17">
      <c r="L234" s="123"/>
      <c r="O234" s="359"/>
      <c r="P234" s="47"/>
      <c r="Q234" s="342"/>
    </row>
    <row r="235" spans="12:17">
      <c r="L235" s="123"/>
      <c r="O235" s="359"/>
      <c r="P235" s="47"/>
      <c r="Q235" s="342"/>
    </row>
    <row r="236" spans="12:17">
      <c r="L236" s="123"/>
      <c r="O236" s="359"/>
      <c r="P236" s="47"/>
      <c r="Q236" s="342"/>
    </row>
    <row r="237" spans="12:17">
      <c r="L237" s="123"/>
      <c r="O237" s="359"/>
      <c r="P237" s="47"/>
      <c r="Q237" s="342"/>
    </row>
    <row r="238" spans="12:17">
      <c r="L238" s="123"/>
      <c r="O238" s="359"/>
      <c r="P238" s="47"/>
      <c r="Q238" s="342"/>
    </row>
    <row r="239" spans="12:17">
      <c r="L239" s="123"/>
      <c r="O239" s="359"/>
      <c r="P239" s="47"/>
      <c r="Q239" s="342"/>
    </row>
    <row r="240" spans="12:17">
      <c r="L240" s="123"/>
      <c r="O240" s="359"/>
      <c r="P240" s="47"/>
      <c r="Q240" s="342"/>
    </row>
    <row r="241" spans="12:17">
      <c r="L241" s="123"/>
      <c r="O241" s="359"/>
      <c r="P241" s="47"/>
      <c r="Q241" s="342"/>
    </row>
    <row r="242" spans="12:17">
      <c r="L242" s="123"/>
      <c r="O242" s="359"/>
      <c r="P242" s="47"/>
      <c r="Q242" s="342"/>
    </row>
    <row r="243" spans="12:17">
      <c r="L243" s="123"/>
      <c r="O243" s="359"/>
      <c r="P243" s="47"/>
      <c r="Q243" s="342"/>
    </row>
    <row r="244" spans="12:17">
      <c r="L244" s="123"/>
      <c r="O244" s="359"/>
      <c r="P244" s="47"/>
      <c r="Q244" s="342"/>
    </row>
    <row r="245" spans="12:17">
      <c r="L245" s="245"/>
      <c r="O245" s="359"/>
      <c r="P245" s="47"/>
      <c r="Q245" s="342"/>
    </row>
    <row r="246" spans="12:17">
      <c r="L246" s="123"/>
      <c r="O246" s="359"/>
      <c r="P246" s="47"/>
      <c r="Q246" s="342"/>
    </row>
    <row r="247" spans="12:17">
      <c r="L247" s="123"/>
      <c r="O247" s="359"/>
      <c r="P247" s="47"/>
      <c r="Q247" s="342"/>
    </row>
    <row r="248" spans="12:17">
      <c r="L248" s="123"/>
      <c r="O248" s="359"/>
      <c r="P248" s="47"/>
      <c r="Q248" s="342"/>
    </row>
    <row r="249" spans="12:17">
      <c r="L249" s="123"/>
      <c r="O249" s="359"/>
      <c r="P249" s="47"/>
      <c r="Q249" s="342"/>
    </row>
    <row r="250" spans="12:17">
      <c r="L250" s="123"/>
      <c r="O250" s="359"/>
      <c r="P250" s="47"/>
      <c r="Q250" s="342"/>
    </row>
    <row r="251" spans="12:17">
      <c r="L251" s="123"/>
      <c r="O251" s="359"/>
      <c r="P251" s="47"/>
      <c r="Q251" s="342"/>
    </row>
    <row r="252" spans="12:17">
      <c r="L252" s="123"/>
      <c r="O252" s="359"/>
      <c r="P252" s="47"/>
      <c r="Q252" s="342"/>
    </row>
    <row r="253" spans="12:17">
      <c r="L253" s="123"/>
      <c r="O253" s="359"/>
      <c r="P253" s="47"/>
      <c r="Q253" s="342"/>
    </row>
    <row r="254" spans="12:17">
      <c r="L254" s="123"/>
      <c r="O254" s="359"/>
      <c r="P254" s="47"/>
      <c r="Q254" s="342"/>
    </row>
    <row r="255" spans="12:17">
      <c r="L255" s="123"/>
      <c r="O255" s="359"/>
      <c r="P255" s="47"/>
      <c r="Q255" s="342"/>
    </row>
    <row r="256" spans="12:17">
      <c r="L256" s="123"/>
      <c r="O256" s="359"/>
      <c r="P256" s="47"/>
      <c r="Q256" s="342"/>
    </row>
    <row r="257" spans="12:17">
      <c r="L257" s="123"/>
      <c r="O257" s="359"/>
      <c r="P257" s="47"/>
      <c r="Q257" s="342"/>
    </row>
    <row r="258" spans="12:17">
      <c r="L258" s="123"/>
      <c r="O258" s="359"/>
      <c r="P258" s="47"/>
      <c r="Q258" s="342"/>
    </row>
    <row r="259" spans="12:17">
      <c r="L259" s="123"/>
      <c r="O259" s="359"/>
      <c r="P259" s="47"/>
      <c r="Q259" s="342"/>
    </row>
    <row r="260" spans="12:17">
      <c r="L260" s="123"/>
      <c r="O260" s="359"/>
      <c r="P260" s="47"/>
      <c r="Q260" s="342"/>
    </row>
    <row r="261" spans="12:17">
      <c r="L261" s="123"/>
      <c r="O261" s="359"/>
      <c r="P261" s="47"/>
      <c r="Q261" s="342"/>
    </row>
    <row r="262" spans="12:17">
      <c r="L262" s="123"/>
      <c r="O262" s="359"/>
      <c r="P262" s="47"/>
      <c r="Q262" s="342"/>
    </row>
    <row r="263" spans="12:17">
      <c r="L263" s="123"/>
      <c r="O263" s="359"/>
      <c r="P263" s="47"/>
      <c r="Q263" s="342"/>
    </row>
    <row r="264" spans="12:17">
      <c r="L264" s="123"/>
      <c r="O264" s="359"/>
      <c r="P264" s="47"/>
      <c r="Q264" s="342"/>
    </row>
    <row r="265" spans="12:17">
      <c r="L265" s="123"/>
      <c r="O265" s="359"/>
      <c r="P265" s="47"/>
      <c r="Q265" s="342"/>
    </row>
    <row r="266" spans="12:17">
      <c r="L266" s="123"/>
      <c r="O266" s="359"/>
      <c r="P266" s="47"/>
      <c r="Q266" s="342"/>
    </row>
    <row r="267" spans="12:17">
      <c r="L267" s="123"/>
      <c r="O267" s="359"/>
      <c r="P267" s="47"/>
      <c r="Q267" s="342"/>
    </row>
    <row r="268" spans="12:17">
      <c r="L268" s="123"/>
      <c r="O268" s="359"/>
      <c r="P268" s="47"/>
      <c r="Q268" s="342"/>
    </row>
    <row r="269" spans="12:17">
      <c r="L269" s="123"/>
      <c r="O269" s="359"/>
      <c r="P269" s="47"/>
      <c r="Q269" s="342"/>
    </row>
    <row r="270" spans="12:17">
      <c r="L270" s="123"/>
      <c r="O270" s="359"/>
      <c r="P270" s="47"/>
      <c r="Q270" s="342"/>
    </row>
    <row r="271" spans="12:17">
      <c r="L271" s="123"/>
      <c r="O271" s="359"/>
      <c r="P271" s="47"/>
      <c r="Q271" s="342"/>
    </row>
    <row r="272" spans="12:17">
      <c r="L272" s="123"/>
      <c r="O272" s="359"/>
      <c r="P272" s="47"/>
      <c r="Q272" s="342"/>
    </row>
    <row r="273" spans="12:17">
      <c r="L273" s="123"/>
      <c r="O273" s="359"/>
      <c r="P273" s="47"/>
      <c r="Q273" s="342"/>
    </row>
    <row r="274" spans="12:17">
      <c r="O274" s="359"/>
      <c r="P274" s="47"/>
      <c r="Q274" s="342"/>
    </row>
    <row r="275" spans="12:17">
      <c r="L275" s="123"/>
      <c r="O275" s="359"/>
      <c r="P275" s="47"/>
      <c r="Q275" s="342"/>
    </row>
    <row r="276" spans="12:17">
      <c r="L276" s="123"/>
      <c r="O276" s="359"/>
      <c r="P276" s="47"/>
      <c r="Q276" s="342"/>
    </row>
    <row r="277" spans="12:17">
      <c r="L277" s="123"/>
      <c r="O277" s="359"/>
      <c r="P277" s="47"/>
      <c r="Q277" s="342"/>
    </row>
    <row r="278" spans="12:17">
      <c r="L278" s="123"/>
      <c r="O278" s="359"/>
      <c r="P278" s="47"/>
      <c r="Q278" s="342"/>
    </row>
    <row r="279" spans="12:17">
      <c r="L279" s="123"/>
      <c r="O279" s="359"/>
      <c r="P279" s="47"/>
      <c r="Q279" s="342"/>
    </row>
    <row r="280" spans="12:17">
      <c r="O280" s="359"/>
      <c r="P280" s="47"/>
      <c r="Q280" s="342"/>
    </row>
    <row r="281" spans="12:17">
      <c r="L281" s="123"/>
      <c r="O281" s="359"/>
      <c r="P281" s="47"/>
      <c r="Q281" s="342"/>
    </row>
    <row r="282" spans="12:17">
      <c r="L282" s="123"/>
      <c r="O282" s="359"/>
      <c r="P282" s="47"/>
      <c r="Q282" s="342"/>
    </row>
    <row r="283" spans="12:17">
      <c r="L283" s="123"/>
      <c r="O283" s="359"/>
      <c r="P283" s="47"/>
      <c r="Q283" s="342"/>
    </row>
    <row r="284" spans="12:17">
      <c r="L284" s="123"/>
      <c r="O284" s="359"/>
      <c r="P284" s="47"/>
      <c r="Q284" s="342"/>
    </row>
    <row r="285" spans="12:17">
      <c r="L285" s="123"/>
      <c r="O285" s="359"/>
      <c r="P285" s="47"/>
      <c r="Q285" s="342"/>
    </row>
    <row r="286" spans="12:17">
      <c r="L286" s="123"/>
      <c r="O286" s="359"/>
      <c r="P286" s="47"/>
      <c r="Q286" s="342"/>
    </row>
    <row r="287" spans="12:17">
      <c r="L287" s="123"/>
      <c r="O287" s="359"/>
      <c r="P287" s="47"/>
      <c r="Q287" s="342"/>
    </row>
    <row r="288" spans="12:17">
      <c r="L288" s="123"/>
      <c r="O288" s="359"/>
      <c r="P288" s="47"/>
      <c r="Q288" s="342"/>
    </row>
    <row r="289" spans="12:17">
      <c r="L289" s="123"/>
      <c r="O289" s="359"/>
      <c r="P289" s="47"/>
      <c r="Q289" s="342"/>
    </row>
    <row r="290" spans="12:17">
      <c r="L290" s="123"/>
      <c r="O290" s="359"/>
      <c r="P290" s="47"/>
      <c r="Q290" s="342"/>
    </row>
    <row r="291" spans="12:17">
      <c r="L291" s="123"/>
      <c r="O291" s="359"/>
      <c r="P291" s="47"/>
      <c r="Q291" s="342"/>
    </row>
    <row r="292" spans="12:17">
      <c r="L292" s="245"/>
      <c r="O292" s="359"/>
      <c r="P292" s="47"/>
      <c r="Q292" s="342"/>
    </row>
    <row r="293" spans="12:17">
      <c r="L293" s="123"/>
      <c r="O293" s="359"/>
      <c r="P293" s="47"/>
      <c r="Q293" s="342"/>
    </row>
    <row r="294" spans="12:17">
      <c r="O294" s="359"/>
      <c r="P294" s="47"/>
      <c r="Q294" s="342"/>
    </row>
    <row r="295" spans="12:17">
      <c r="L295" s="123"/>
      <c r="O295" s="359"/>
      <c r="P295" s="47"/>
      <c r="Q295" s="342"/>
    </row>
    <row r="296" spans="12:17">
      <c r="L296" s="123"/>
      <c r="O296" s="359"/>
      <c r="P296" s="47"/>
      <c r="Q296" s="342"/>
    </row>
    <row r="297" spans="12:17">
      <c r="L297" s="123"/>
      <c r="O297" s="359"/>
      <c r="P297" s="47"/>
      <c r="Q297" s="342"/>
    </row>
    <row r="298" spans="12:17">
      <c r="L298" s="123"/>
      <c r="O298" s="359"/>
      <c r="P298" s="47"/>
      <c r="Q298" s="342"/>
    </row>
    <row r="299" spans="12:17">
      <c r="L299" s="123"/>
      <c r="O299" s="359"/>
      <c r="P299" s="47"/>
      <c r="Q299" s="342"/>
    </row>
    <row r="300" spans="12:17">
      <c r="L300" s="123"/>
      <c r="O300" s="359"/>
      <c r="P300" s="47"/>
      <c r="Q300" s="342"/>
    </row>
    <row r="301" spans="12:17">
      <c r="L301" s="123"/>
      <c r="O301" s="359"/>
      <c r="P301" s="47"/>
      <c r="Q301" s="342"/>
    </row>
    <row r="302" spans="12:17">
      <c r="L302" s="123"/>
      <c r="O302" s="359"/>
      <c r="P302" s="47"/>
      <c r="Q302" s="342"/>
    </row>
    <row r="303" spans="12:17">
      <c r="L303" s="123"/>
      <c r="O303" s="359"/>
      <c r="P303" s="47"/>
      <c r="Q303" s="342"/>
    </row>
    <row r="304" spans="12:17">
      <c r="L304" s="123"/>
      <c r="O304" s="359"/>
      <c r="P304" s="47"/>
      <c r="Q304" s="342"/>
    </row>
    <row r="305" spans="12:17">
      <c r="L305" s="123"/>
      <c r="O305" s="359"/>
      <c r="P305" s="47"/>
      <c r="Q305" s="342"/>
    </row>
    <row r="306" spans="12:17">
      <c r="O306" s="359"/>
      <c r="P306" s="47"/>
      <c r="Q306" s="342"/>
    </row>
    <row r="307" spans="12:17">
      <c r="L307" s="123"/>
      <c r="O307" s="359"/>
      <c r="P307" s="47"/>
      <c r="Q307" s="342"/>
    </row>
    <row r="308" spans="12:17">
      <c r="L308" s="123"/>
      <c r="O308" s="359"/>
      <c r="P308" s="47"/>
      <c r="Q308" s="342"/>
    </row>
    <row r="309" spans="12:17">
      <c r="L309" s="123"/>
      <c r="O309" s="359"/>
      <c r="P309" s="47"/>
      <c r="Q309" s="342"/>
    </row>
    <row r="310" spans="12:17">
      <c r="L310" s="123"/>
      <c r="O310" s="359"/>
      <c r="P310" s="47"/>
      <c r="Q310" s="342"/>
    </row>
    <row r="311" spans="12:17">
      <c r="L311" s="123"/>
      <c r="O311" s="359"/>
      <c r="P311" s="47"/>
      <c r="Q311" s="342"/>
    </row>
    <row r="312" spans="12:17">
      <c r="L312" s="123"/>
      <c r="O312" s="359"/>
      <c r="P312" s="47"/>
      <c r="Q312" s="342"/>
    </row>
    <row r="313" spans="12:17">
      <c r="L313" s="123"/>
      <c r="O313" s="359"/>
      <c r="P313" s="47"/>
      <c r="Q313" s="342"/>
    </row>
    <row r="314" spans="12:17">
      <c r="L314" s="123"/>
      <c r="O314" s="359"/>
      <c r="P314" s="47"/>
      <c r="Q314" s="342"/>
    </row>
    <row r="315" spans="12:17">
      <c r="L315" s="123"/>
      <c r="O315" s="359"/>
      <c r="P315" s="47"/>
      <c r="Q315" s="342"/>
    </row>
    <row r="316" spans="12:17">
      <c r="L316" s="123"/>
      <c r="O316" s="359"/>
      <c r="P316" s="47"/>
      <c r="Q316" s="342"/>
    </row>
    <row r="317" spans="12:17">
      <c r="L317" s="123"/>
      <c r="O317" s="359"/>
      <c r="P317" s="47"/>
      <c r="Q317" s="342"/>
    </row>
    <row r="318" spans="12:17">
      <c r="L318" s="123"/>
      <c r="O318" s="359"/>
      <c r="P318" s="47"/>
      <c r="Q318" s="342"/>
    </row>
    <row r="319" spans="12:17">
      <c r="L319" s="123"/>
      <c r="O319" s="359"/>
      <c r="P319" s="47"/>
      <c r="Q319" s="342"/>
    </row>
    <row r="320" spans="12:17">
      <c r="L320" s="123"/>
      <c r="O320" s="359"/>
      <c r="P320" s="47"/>
      <c r="Q320" s="342"/>
    </row>
    <row r="321" spans="12:37">
      <c r="L321" s="123"/>
      <c r="O321" s="359"/>
      <c r="P321" s="47"/>
      <c r="Q321" s="342"/>
    </row>
    <row r="322" spans="12:37">
      <c r="L322" s="123"/>
      <c r="O322" s="359"/>
      <c r="P322" s="47"/>
      <c r="Q322" s="342"/>
      <c r="AK322" s="396"/>
    </row>
    <row r="323" spans="12:37">
      <c r="L323" s="123"/>
      <c r="O323" s="359"/>
      <c r="P323" s="47"/>
      <c r="Q323" s="342"/>
      <c r="AK323" s="396"/>
    </row>
    <row r="324" spans="12:37">
      <c r="L324" s="123"/>
      <c r="O324" s="359"/>
      <c r="P324" s="47"/>
      <c r="Q324" s="342"/>
    </row>
    <row r="325" spans="12:37">
      <c r="L325" s="123"/>
      <c r="O325" s="359"/>
      <c r="P325" s="47"/>
      <c r="Q325" s="342"/>
    </row>
    <row r="326" spans="12:37">
      <c r="L326" s="123"/>
      <c r="O326" s="359"/>
      <c r="P326" s="47"/>
      <c r="Q326" s="342"/>
    </row>
    <row r="327" spans="12:37">
      <c r="L327" s="123"/>
      <c r="O327" s="359"/>
      <c r="P327" s="47"/>
      <c r="Q327" s="342"/>
    </row>
    <row r="328" spans="12:37">
      <c r="L328" s="123"/>
      <c r="O328" s="359"/>
      <c r="P328" s="47"/>
      <c r="Q328" s="342"/>
    </row>
    <row r="329" spans="12:37">
      <c r="L329" s="123"/>
      <c r="O329" s="359"/>
      <c r="P329" s="47"/>
      <c r="Q329" s="342"/>
      <c r="AK329" s="396"/>
    </row>
    <row r="330" spans="12:37">
      <c r="L330" s="123"/>
      <c r="O330" s="359"/>
      <c r="P330" s="47"/>
      <c r="Q330" s="342"/>
    </row>
    <row r="331" spans="12:37">
      <c r="L331" s="123"/>
      <c r="O331" s="359"/>
      <c r="P331" s="47"/>
      <c r="Q331" s="342"/>
    </row>
    <row r="332" spans="12:37">
      <c r="L332" s="123"/>
      <c r="O332" s="359"/>
      <c r="P332" s="47"/>
      <c r="Q332" s="342"/>
    </row>
    <row r="333" spans="12:37">
      <c r="L333" s="123"/>
      <c r="O333" s="359"/>
      <c r="P333" s="47"/>
      <c r="Q333" s="342"/>
      <c r="AK333" s="397"/>
    </row>
    <row r="334" spans="12:37">
      <c r="L334" s="123"/>
      <c r="O334" s="359"/>
      <c r="P334" s="47"/>
      <c r="Q334" s="342"/>
      <c r="AK334" s="397"/>
    </row>
    <row r="335" spans="12:37">
      <c r="L335" s="123"/>
      <c r="O335" s="359"/>
      <c r="P335" s="47"/>
      <c r="Q335" s="342"/>
    </row>
    <row r="336" spans="12:37">
      <c r="L336" s="123"/>
      <c r="O336" s="359"/>
      <c r="P336" s="47"/>
      <c r="Q336" s="342"/>
    </row>
    <row r="337" spans="12:17">
      <c r="L337" s="123"/>
      <c r="O337" s="359"/>
      <c r="P337" s="47"/>
      <c r="Q337" s="342"/>
    </row>
    <row r="338" spans="12:17">
      <c r="L338" s="123"/>
    </row>
    <row r="339" spans="12:17">
      <c r="L339" s="123"/>
    </row>
    <row r="340" spans="12:17">
      <c r="L340" s="123"/>
    </row>
    <row r="341" spans="12:17">
      <c r="L341" s="123"/>
    </row>
    <row r="342" spans="12:17">
      <c r="L342" s="123"/>
    </row>
    <row r="343" spans="12:17">
      <c r="L343" s="123"/>
    </row>
    <row r="344" spans="12:17">
      <c r="L344" s="123"/>
    </row>
    <row r="345" spans="12:17">
      <c r="L345" s="123"/>
    </row>
    <row r="346" spans="12:17">
      <c r="L346" s="123"/>
    </row>
    <row r="347" spans="12:17">
      <c r="L347" s="123"/>
    </row>
    <row r="348" spans="12:17">
      <c r="L348" s="123"/>
    </row>
    <row r="349" spans="12:17">
      <c r="L349" s="123"/>
    </row>
    <row r="350" spans="12:17">
      <c r="L350" s="123"/>
    </row>
    <row r="351" spans="12:17">
      <c r="L351" s="123"/>
    </row>
    <row r="352" spans="12:17">
      <c r="L352" s="123"/>
    </row>
    <row r="353" spans="12:12">
      <c r="L353" s="123"/>
    </row>
    <row r="354" spans="12:12">
      <c r="L354" s="123"/>
    </row>
    <row r="355" spans="12:12">
      <c r="L355" s="123"/>
    </row>
    <row r="356" spans="12:12">
      <c r="L356" s="123"/>
    </row>
    <row r="357" spans="12:12">
      <c r="L357" s="123"/>
    </row>
    <row r="358" spans="12:12">
      <c r="L358" s="123"/>
    </row>
    <row r="359" spans="12:12">
      <c r="L359" s="123"/>
    </row>
    <row r="360" spans="12:12">
      <c r="L360" s="123"/>
    </row>
    <row r="361" spans="12:12">
      <c r="L361" s="123"/>
    </row>
    <row r="362" spans="12:12">
      <c r="L362" s="123"/>
    </row>
    <row r="363" spans="12:12">
      <c r="L363" s="123"/>
    </row>
    <row r="364" spans="12:12">
      <c r="L364" s="123"/>
    </row>
    <row r="365" spans="12:12">
      <c r="L365" s="123"/>
    </row>
    <row r="366" spans="12:12">
      <c r="L366" s="123"/>
    </row>
    <row r="367" spans="12:12">
      <c r="L367" s="123"/>
    </row>
    <row r="368" spans="12:12">
      <c r="L368" s="245"/>
    </row>
    <row r="369" spans="12:37">
      <c r="L369" s="123"/>
    </row>
    <row r="370" spans="12:37">
      <c r="L370" s="123"/>
      <c r="AK370" s="396"/>
    </row>
    <row r="371" spans="12:37">
      <c r="L371" s="123"/>
      <c r="AK371" s="396"/>
    </row>
    <row r="372" spans="12:37">
      <c r="L372" s="123"/>
    </row>
    <row r="373" spans="12:37">
      <c r="L373" s="123"/>
    </row>
    <row r="374" spans="12:37">
      <c r="L374" s="123"/>
    </row>
    <row r="375" spans="12:37">
      <c r="L375" s="123"/>
    </row>
    <row r="376" spans="12:37">
      <c r="L376" s="51"/>
    </row>
    <row r="377" spans="12:37">
      <c r="L377" s="123"/>
    </row>
    <row r="378" spans="12:37">
      <c r="L378" s="123"/>
    </row>
    <row r="379" spans="12:37">
      <c r="L379" s="123"/>
    </row>
    <row r="380" spans="12:37">
      <c r="L380" s="123"/>
    </row>
    <row r="381" spans="12:37">
      <c r="L381" s="123"/>
    </row>
    <row r="382" spans="12:37">
      <c r="L382" s="123"/>
    </row>
    <row r="383" spans="12:37">
      <c r="L383" s="123"/>
    </row>
    <row r="384" spans="12:37">
      <c r="L384" s="123"/>
    </row>
    <row r="385" spans="12:12">
      <c r="L385" s="123"/>
    </row>
    <row r="386" spans="12:12">
      <c r="L386" s="123"/>
    </row>
    <row r="387" spans="12:12">
      <c r="L387" s="123"/>
    </row>
    <row r="388" spans="12:12">
      <c r="L388" s="123"/>
    </row>
    <row r="389" spans="12:12">
      <c r="L389" s="123"/>
    </row>
    <row r="390" spans="12:12">
      <c r="L390" s="123"/>
    </row>
    <row r="391" spans="12:12">
      <c r="L391" s="123"/>
    </row>
    <row r="392" spans="12:12">
      <c r="L392" s="123"/>
    </row>
    <row r="393" spans="12:12">
      <c r="L393" s="123"/>
    </row>
    <row r="394" spans="12:12">
      <c r="L394" s="123"/>
    </row>
    <row r="395" spans="12:12">
      <c r="L395" s="123"/>
    </row>
    <row r="396" spans="12:12">
      <c r="L396" s="123"/>
    </row>
    <row r="397" spans="12:12">
      <c r="L397" s="123"/>
    </row>
    <row r="398" spans="12:12">
      <c r="L398" s="123"/>
    </row>
    <row r="399" spans="12:12">
      <c r="L399" s="123"/>
    </row>
    <row r="400" spans="12:12">
      <c r="L400" s="123"/>
    </row>
    <row r="401" spans="12:12">
      <c r="L401" s="123"/>
    </row>
    <row r="402" spans="12:12">
      <c r="L402" s="123"/>
    </row>
    <row r="403" spans="12:12">
      <c r="L403" s="123"/>
    </row>
    <row r="404" spans="12:12">
      <c r="L404" s="123"/>
    </row>
    <row r="405" spans="12:12">
      <c r="L405" s="123"/>
    </row>
    <row r="406" spans="12:12">
      <c r="L406" s="245"/>
    </row>
    <row r="407" spans="12:12">
      <c r="L407" s="123"/>
    </row>
    <row r="409" spans="12:12">
      <c r="L409" s="123"/>
    </row>
    <row r="410" spans="12:12">
      <c r="L410" s="123"/>
    </row>
    <row r="411" spans="12:12">
      <c r="L411" s="123"/>
    </row>
    <row r="412" spans="12:12">
      <c r="L412" s="123"/>
    </row>
    <row r="413" spans="12:12">
      <c r="L413" s="123"/>
    </row>
    <row r="414" spans="12:12">
      <c r="L414" s="123"/>
    </row>
    <row r="415" spans="12:12">
      <c r="L415" s="123"/>
    </row>
    <row r="416" spans="12:12">
      <c r="L416" s="123"/>
    </row>
    <row r="417" spans="12:12">
      <c r="L417" s="123"/>
    </row>
    <row r="418" spans="12:12">
      <c r="L418" s="123"/>
    </row>
    <row r="419" spans="12:12">
      <c r="L419" s="123"/>
    </row>
    <row r="420" spans="12:12">
      <c r="L420" s="123"/>
    </row>
    <row r="421" spans="12:12">
      <c r="L421" s="123"/>
    </row>
    <row r="422" spans="12:12">
      <c r="L422" s="123"/>
    </row>
    <row r="423" spans="12:12">
      <c r="L423" s="123"/>
    </row>
    <row r="424" spans="12:12">
      <c r="L424" s="245"/>
    </row>
    <row r="425" spans="12:12">
      <c r="L425" s="123"/>
    </row>
    <row r="426" spans="12:12">
      <c r="L426" s="123"/>
    </row>
    <row r="427" spans="12:12">
      <c r="L427" s="123"/>
    </row>
    <row r="428" spans="12:12">
      <c r="L428" s="123"/>
    </row>
    <row r="429" spans="12:12">
      <c r="L429" s="123"/>
    </row>
    <row r="430" spans="12:12">
      <c r="L430" s="123"/>
    </row>
    <row r="431" spans="12:12">
      <c r="L431" s="123"/>
    </row>
    <row r="432" spans="12:12">
      <c r="L432" s="123"/>
    </row>
    <row r="433" spans="12:12">
      <c r="L433" s="123"/>
    </row>
    <row r="434" spans="12:12">
      <c r="L434" s="123"/>
    </row>
    <row r="435" spans="12:12">
      <c r="L435" s="123"/>
    </row>
    <row r="436" spans="12:12">
      <c r="L436" s="123"/>
    </row>
    <row r="437" spans="12:12">
      <c r="L437" s="123"/>
    </row>
    <row r="438" spans="12:12">
      <c r="L438" s="123"/>
    </row>
    <row r="439" spans="12:12">
      <c r="L439" s="123"/>
    </row>
    <row r="440" spans="12:12">
      <c r="L440" s="123"/>
    </row>
    <row r="441" spans="12:12">
      <c r="L441" s="123"/>
    </row>
    <row r="442" spans="12:12">
      <c r="L442" s="123"/>
    </row>
    <row r="443" spans="12:12">
      <c r="L443" s="123"/>
    </row>
    <row r="444" spans="12:12">
      <c r="L444" s="123"/>
    </row>
    <row r="445" spans="12:12">
      <c r="L445" s="123"/>
    </row>
    <row r="446" spans="12:12">
      <c r="L446" s="123"/>
    </row>
    <row r="447" spans="12:12">
      <c r="L447" s="123"/>
    </row>
    <row r="448" spans="12:12">
      <c r="L448" s="123"/>
    </row>
    <row r="449" spans="12:12">
      <c r="L449" s="123"/>
    </row>
    <row r="450" spans="12:12">
      <c r="L450" s="123"/>
    </row>
    <row r="451" spans="12:12">
      <c r="L451" s="123"/>
    </row>
    <row r="452" spans="12:12">
      <c r="L452" s="245"/>
    </row>
    <row r="453" spans="12:12">
      <c r="L453" s="123"/>
    </row>
    <row r="454" spans="12:12">
      <c r="L454" s="123"/>
    </row>
    <row r="455" spans="12:12">
      <c r="L455" s="123"/>
    </row>
    <row r="456" spans="12:12">
      <c r="L456" s="123"/>
    </row>
    <row r="457" spans="12:12">
      <c r="L457" s="123"/>
    </row>
    <row r="458" spans="12:12">
      <c r="L458" s="123"/>
    </row>
    <row r="459" spans="12:12">
      <c r="L459" s="123"/>
    </row>
    <row r="460" spans="12:12">
      <c r="L460" s="123"/>
    </row>
    <row r="461" spans="12:12">
      <c r="L461" s="123"/>
    </row>
    <row r="462" spans="12:12">
      <c r="L462" s="123"/>
    </row>
    <row r="463" spans="12:12">
      <c r="L463" s="123"/>
    </row>
    <row r="464" spans="12:12">
      <c r="L464" s="123"/>
    </row>
    <row r="465" spans="12:12">
      <c r="L465" s="123"/>
    </row>
    <row r="466" spans="12:12">
      <c r="L466" s="123"/>
    </row>
    <row r="467" spans="12:12">
      <c r="L467" s="123"/>
    </row>
    <row r="468" spans="12:12">
      <c r="L468" s="123"/>
    </row>
    <row r="469" spans="12:12">
      <c r="L469" s="123"/>
    </row>
    <row r="470" spans="12:12">
      <c r="L470" s="245"/>
    </row>
    <row r="471" spans="12:12">
      <c r="L471" s="123"/>
    </row>
    <row r="472" spans="12:12">
      <c r="L472" s="245"/>
    </row>
    <row r="473" spans="12:12">
      <c r="L473" s="123"/>
    </row>
    <row r="474" spans="12:12">
      <c r="L474" s="123"/>
    </row>
    <row r="475" spans="12:12">
      <c r="L475" s="123"/>
    </row>
    <row r="476" spans="12:12">
      <c r="L476" s="123"/>
    </row>
    <row r="477" spans="12:12">
      <c r="L477" s="123"/>
    </row>
    <row r="478" spans="12:12">
      <c r="L478" s="123"/>
    </row>
    <row r="479" spans="12:12">
      <c r="L479" s="123"/>
    </row>
    <row r="480" spans="12:12">
      <c r="L480" s="123"/>
    </row>
    <row r="481" spans="12:12">
      <c r="L481" s="123"/>
    </row>
    <row r="482" spans="12:12">
      <c r="L482" s="123"/>
    </row>
    <row r="483" spans="12:12">
      <c r="L483" s="123"/>
    </row>
    <row r="484" spans="12:12">
      <c r="L484" s="123"/>
    </row>
    <row r="485" spans="12:12">
      <c r="L485" s="123"/>
    </row>
    <row r="486" spans="12:12">
      <c r="L486" s="123"/>
    </row>
    <row r="487" spans="12:12">
      <c r="L487" s="123"/>
    </row>
    <row r="488" spans="12:12">
      <c r="L488" s="123"/>
    </row>
    <row r="489" spans="12:12">
      <c r="L489" s="123"/>
    </row>
    <row r="490" spans="12:12">
      <c r="L490" s="123"/>
    </row>
    <row r="491" spans="12:12">
      <c r="L491" s="123"/>
    </row>
    <row r="492" spans="12:12">
      <c r="L492" s="123"/>
    </row>
    <row r="493" spans="12:12">
      <c r="L493" s="123"/>
    </row>
    <row r="494" spans="12:12">
      <c r="L494" s="123"/>
    </row>
    <row r="495" spans="12:12">
      <c r="L495" s="123"/>
    </row>
    <row r="496" spans="12:12">
      <c r="L496" s="123"/>
    </row>
    <row r="497" spans="12:12">
      <c r="L497" s="123"/>
    </row>
    <row r="498" spans="12:12">
      <c r="L498" s="123"/>
    </row>
    <row r="499" spans="12:12">
      <c r="L499" s="123"/>
    </row>
    <row r="500" spans="12:12">
      <c r="L500" s="123"/>
    </row>
    <row r="501" spans="12:12">
      <c r="L501" s="123"/>
    </row>
    <row r="502" spans="12:12">
      <c r="L502" s="123"/>
    </row>
    <row r="503" spans="12:12">
      <c r="L503" s="123"/>
    </row>
    <row r="504" spans="12:12">
      <c r="L504" s="123"/>
    </row>
    <row r="505" spans="12:12">
      <c r="L505" s="123"/>
    </row>
    <row r="506" spans="12:12">
      <c r="L506" s="123"/>
    </row>
    <row r="507" spans="12:12">
      <c r="L507" s="245"/>
    </row>
    <row r="508" spans="12:12">
      <c r="L508" s="123"/>
    </row>
    <row r="509" spans="12:12">
      <c r="L509" s="123"/>
    </row>
    <row r="510" spans="12:12">
      <c r="L510" s="123"/>
    </row>
    <row r="511" spans="12:12">
      <c r="L511" s="123"/>
    </row>
    <row r="512" spans="12:12">
      <c r="L512" s="123"/>
    </row>
    <row r="513" spans="12:12">
      <c r="L513" s="123"/>
    </row>
    <row r="514" spans="12:12">
      <c r="L514" s="123"/>
    </row>
    <row r="515" spans="12:12">
      <c r="L515" s="123"/>
    </row>
    <row r="516" spans="12:12">
      <c r="L516" s="123"/>
    </row>
    <row r="517" spans="12:12">
      <c r="L517" s="123"/>
    </row>
    <row r="518" spans="12:12">
      <c r="L518" s="123"/>
    </row>
    <row r="519" spans="12:12">
      <c r="L519" s="123"/>
    </row>
    <row r="520" spans="12:12">
      <c r="L520" s="123"/>
    </row>
    <row r="521" spans="12:12">
      <c r="L521" s="123"/>
    </row>
    <row r="522" spans="12:12">
      <c r="L522" s="123"/>
    </row>
    <row r="523" spans="12:12">
      <c r="L523" s="123"/>
    </row>
    <row r="524" spans="12:12">
      <c r="L524" s="123"/>
    </row>
    <row r="525" spans="12:12">
      <c r="L525" s="123"/>
    </row>
    <row r="526" spans="12:12">
      <c r="L526" s="123"/>
    </row>
    <row r="527" spans="12:12">
      <c r="L527" s="123"/>
    </row>
    <row r="528" spans="12:12">
      <c r="L528" s="123"/>
    </row>
    <row r="529" spans="12:12">
      <c r="L529" s="123"/>
    </row>
    <row r="530" spans="12:12">
      <c r="L530" s="123"/>
    </row>
    <row r="531" spans="12:12">
      <c r="L531" s="123"/>
    </row>
    <row r="532" spans="12:12">
      <c r="L532" s="123"/>
    </row>
    <row r="533" spans="12:12">
      <c r="L533" s="123"/>
    </row>
    <row r="534" spans="12:12">
      <c r="L534" s="123"/>
    </row>
    <row r="535" spans="12:12">
      <c r="L535" s="123"/>
    </row>
    <row r="536" spans="12:12">
      <c r="L536" s="123"/>
    </row>
    <row r="537" spans="12:12">
      <c r="L537" s="123"/>
    </row>
    <row r="538" spans="12:12">
      <c r="L538" s="123"/>
    </row>
    <row r="539" spans="12:12">
      <c r="L539" s="123"/>
    </row>
    <row r="540" spans="12:12">
      <c r="L540" s="123"/>
    </row>
    <row r="541" spans="12:12">
      <c r="L541" s="123"/>
    </row>
    <row r="542" spans="12:12">
      <c r="L542" s="123"/>
    </row>
    <row r="543" spans="12:12">
      <c r="L543" s="123"/>
    </row>
    <row r="544" spans="12:12">
      <c r="L544" s="123"/>
    </row>
    <row r="545" spans="12:12">
      <c r="L545" s="123"/>
    </row>
    <row r="546" spans="12:12">
      <c r="L546" s="123"/>
    </row>
    <row r="547" spans="12:12">
      <c r="L547" s="123"/>
    </row>
    <row r="548" spans="12:12">
      <c r="L548" s="123"/>
    </row>
    <row r="549" spans="12:12">
      <c r="L549" s="123"/>
    </row>
    <row r="550" spans="12:12">
      <c r="L550" s="123"/>
    </row>
    <row r="551" spans="12:12">
      <c r="L551" s="123"/>
    </row>
    <row r="552" spans="12:12">
      <c r="L552" s="247"/>
    </row>
    <row r="553" spans="12:12">
      <c r="L553" s="123"/>
    </row>
    <row r="554" spans="12:12">
      <c r="L554" s="123"/>
    </row>
    <row r="555" spans="12:12">
      <c r="L555" s="123"/>
    </row>
    <row r="556" spans="12:12">
      <c r="L556" s="123"/>
    </row>
    <row r="557" spans="12:12">
      <c r="L557" s="123"/>
    </row>
    <row r="558" spans="12:12">
      <c r="L558" s="123"/>
    </row>
    <row r="559" spans="12:12">
      <c r="L559" s="123"/>
    </row>
    <row r="560" spans="12:12">
      <c r="L560" s="123"/>
    </row>
    <row r="561" spans="12:12">
      <c r="L561" s="123"/>
    </row>
    <row r="562" spans="12:12">
      <c r="L562" s="123"/>
    </row>
    <row r="563" spans="12:12">
      <c r="L563" s="123"/>
    </row>
    <row r="564" spans="12:12">
      <c r="L564" s="123"/>
    </row>
    <row r="565" spans="12:12">
      <c r="L565" s="123"/>
    </row>
    <row r="566" spans="12:12">
      <c r="L566" s="123"/>
    </row>
    <row r="567" spans="12:12">
      <c r="L567" s="123"/>
    </row>
    <row r="568" spans="12:12">
      <c r="L568" s="123"/>
    </row>
    <row r="569" spans="12:12">
      <c r="L569" s="123"/>
    </row>
    <row r="570" spans="12:12">
      <c r="L570" s="123"/>
    </row>
    <row r="571" spans="12:12">
      <c r="L571" s="123"/>
    </row>
    <row r="572" spans="12:12">
      <c r="L572" s="123"/>
    </row>
    <row r="573" spans="12:12">
      <c r="L573" s="123"/>
    </row>
    <row r="574" spans="12:12">
      <c r="L574" s="123"/>
    </row>
    <row r="575" spans="12:12">
      <c r="L575" s="123"/>
    </row>
    <row r="576" spans="12:12">
      <c r="L576" s="123"/>
    </row>
    <row r="577" spans="12:12">
      <c r="L577" s="123"/>
    </row>
    <row r="578" spans="12:12">
      <c r="L578" s="123"/>
    </row>
    <row r="579" spans="12:12">
      <c r="L579" s="123"/>
    </row>
    <row r="580" spans="12:12">
      <c r="L580" s="123"/>
    </row>
    <row r="581" spans="12:12">
      <c r="L581" s="123"/>
    </row>
    <row r="582" spans="12:12">
      <c r="L582" s="123"/>
    </row>
    <row r="583" spans="12:12">
      <c r="L583" s="123"/>
    </row>
    <row r="584" spans="12:12">
      <c r="L584" s="123"/>
    </row>
    <row r="585" spans="12:12">
      <c r="L585" s="123"/>
    </row>
    <row r="586" spans="12:12">
      <c r="L586" s="123"/>
    </row>
    <row r="587" spans="12:12">
      <c r="L587" s="123"/>
    </row>
    <row r="588" spans="12:12">
      <c r="L588" s="123"/>
    </row>
    <row r="589" spans="12:12">
      <c r="L589" s="123"/>
    </row>
    <row r="590" spans="12:12">
      <c r="L590" s="123"/>
    </row>
    <row r="591" spans="12:12">
      <c r="L591" s="123"/>
    </row>
    <row r="592" spans="12:12">
      <c r="L592" s="123"/>
    </row>
    <row r="593" spans="12:12">
      <c r="L593" s="33"/>
    </row>
    <row r="594" spans="12:12">
      <c r="L594" s="123"/>
    </row>
    <row r="595" spans="12:12">
      <c r="L595" s="123"/>
    </row>
    <row r="596" spans="12:12">
      <c r="L596" s="245"/>
    </row>
    <row r="597" spans="12:12">
      <c r="L597" s="123"/>
    </row>
    <row r="598" spans="12:12">
      <c r="L598" s="123"/>
    </row>
    <row r="599" spans="12:12">
      <c r="L599" s="123"/>
    </row>
    <row r="600" spans="12:12">
      <c r="L600" s="123"/>
    </row>
    <row r="601" spans="12:12">
      <c r="L601" s="123"/>
    </row>
    <row r="602" spans="12:12">
      <c r="L602" s="245"/>
    </row>
    <row r="603" spans="12:12">
      <c r="L603" s="123"/>
    </row>
    <row r="604" spans="12:12">
      <c r="L604" s="123"/>
    </row>
    <row r="605" spans="12:12">
      <c r="L605" s="123"/>
    </row>
    <row r="606" spans="12:12">
      <c r="L606" s="123"/>
    </row>
    <row r="607" spans="12:12">
      <c r="L607" s="123"/>
    </row>
    <row r="608" spans="12:12">
      <c r="L608" s="123"/>
    </row>
    <row r="609" spans="12:12">
      <c r="L609" s="123"/>
    </row>
    <row r="610" spans="12:12">
      <c r="L610" s="123"/>
    </row>
    <row r="611" spans="12:12">
      <c r="L611" s="123"/>
    </row>
    <row r="612" spans="12:12">
      <c r="L612" s="123"/>
    </row>
    <row r="613" spans="12:12">
      <c r="L613" s="245"/>
    </row>
    <row r="614" spans="12:12">
      <c r="L614" s="123"/>
    </row>
    <row r="615" spans="12:12">
      <c r="L615" s="123"/>
    </row>
    <row r="616" spans="12:12">
      <c r="L616" s="123"/>
    </row>
    <row r="617" spans="12:12">
      <c r="L617" s="123"/>
    </row>
    <row r="618" spans="12:12">
      <c r="L618" s="123"/>
    </row>
    <row r="619" spans="12:12">
      <c r="L619" s="123"/>
    </row>
    <row r="620" spans="12:12">
      <c r="L620" s="123"/>
    </row>
    <row r="621" spans="12:12">
      <c r="L621" s="123"/>
    </row>
    <row r="622" spans="12:12">
      <c r="L622" s="123"/>
    </row>
    <row r="623" spans="12:12">
      <c r="L623" s="245"/>
    </row>
    <row r="624" spans="12:12">
      <c r="L624" s="123"/>
    </row>
    <row r="625" spans="12:12">
      <c r="L625" s="123"/>
    </row>
    <row r="626" spans="12:12">
      <c r="L626" s="123"/>
    </row>
    <row r="627" spans="12:12">
      <c r="L627" s="123"/>
    </row>
    <row r="628" spans="12:12">
      <c r="L628" s="123"/>
    </row>
    <row r="629" spans="12:12">
      <c r="L629" s="123"/>
    </row>
    <row r="630" spans="12:12">
      <c r="L630" s="123"/>
    </row>
    <row r="631" spans="12:12">
      <c r="L631" s="245"/>
    </row>
    <row r="632" spans="12:12">
      <c r="L632" s="123"/>
    </row>
    <row r="633" spans="12:12">
      <c r="L633" s="123"/>
    </row>
    <row r="634" spans="12:12">
      <c r="L634" s="123"/>
    </row>
    <row r="635" spans="12:12">
      <c r="L635" s="123"/>
    </row>
    <row r="636" spans="12:12">
      <c r="L636" s="123"/>
    </row>
    <row r="637" spans="12:12">
      <c r="L637" s="123"/>
    </row>
    <row r="638" spans="12:12">
      <c r="L638" s="123"/>
    </row>
    <row r="639" spans="12:12">
      <c r="L639" s="123"/>
    </row>
    <row r="640" spans="12:12">
      <c r="L640" s="123"/>
    </row>
    <row r="641" spans="12:12">
      <c r="L641" s="245"/>
    </row>
    <row r="642" spans="12:12">
      <c r="L642" s="123"/>
    </row>
    <row r="643" spans="12:12">
      <c r="L643" s="123"/>
    </row>
    <row r="644" spans="12:12">
      <c r="L644" s="123"/>
    </row>
    <row r="645" spans="12:12">
      <c r="L645" s="123"/>
    </row>
    <row r="646" spans="12:12">
      <c r="L646" s="123"/>
    </row>
    <row r="647" spans="12:12">
      <c r="L647" s="123"/>
    </row>
    <row r="648" spans="12:12">
      <c r="L648" s="123"/>
    </row>
    <row r="649" spans="12:12">
      <c r="L649" s="123"/>
    </row>
    <row r="650" spans="12:12">
      <c r="L650" s="123"/>
    </row>
    <row r="651" spans="12:12">
      <c r="L651" s="123"/>
    </row>
    <row r="652" spans="12:12">
      <c r="L652" s="123"/>
    </row>
    <row r="653" spans="12:12">
      <c r="L653" s="123"/>
    </row>
    <row r="654" spans="12:12">
      <c r="L654" s="123"/>
    </row>
    <row r="655" spans="12:12">
      <c r="L655" s="123"/>
    </row>
    <row r="656" spans="12:12">
      <c r="L656" s="123"/>
    </row>
    <row r="657" spans="12:12">
      <c r="L657" s="123"/>
    </row>
    <row r="658" spans="12:12">
      <c r="L658" s="123"/>
    </row>
    <row r="659" spans="12:12">
      <c r="L659" s="123"/>
    </row>
    <row r="660" spans="12:12">
      <c r="L660" s="123"/>
    </row>
    <row r="661" spans="12:12">
      <c r="L661" s="123"/>
    </row>
    <row r="662" spans="12:12">
      <c r="L662" s="245"/>
    </row>
    <row r="663" spans="12:12">
      <c r="L663" s="123"/>
    </row>
    <row r="664" spans="12:12">
      <c r="L664" s="123"/>
    </row>
    <row r="665" spans="12:12">
      <c r="L665" s="123"/>
    </row>
    <row r="667" spans="12:12">
      <c r="L667" s="123"/>
    </row>
    <row r="668" spans="12:12">
      <c r="L668" s="123"/>
    </row>
    <row r="669" spans="12:12">
      <c r="L669" s="123"/>
    </row>
    <row r="670" spans="12:12">
      <c r="L670" s="123"/>
    </row>
    <row r="671" spans="12:12">
      <c r="L671" s="123"/>
    </row>
    <row r="672" spans="12:12">
      <c r="L672" s="123"/>
    </row>
    <row r="673" spans="12:12">
      <c r="L673" s="123"/>
    </row>
    <row r="674" spans="12:12">
      <c r="L674" s="123"/>
    </row>
    <row r="675" spans="12:12">
      <c r="L675" s="245"/>
    </row>
    <row r="676" spans="12:12">
      <c r="L676" s="123"/>
    </row>
    <row r="677" spans="12:12">
      <c r="L677" s="123"/>
    </row>
    <row r="678" spans="12:12">
      <c r="L678" s="123"/>
    </row>
    <row r="679" spans="12:12">
      <c r="L679" s="245"/>
    </row>
    <row r="680" spans="12:12">
      <c r="L680" s="123"/>
    </row>
    <row r="681" spans="12:12">
      <c r="L681" s="123"/>
    </row>
    <row r="682" spans="12:12">
      <c r="L682" s="123"/>
    </row>
    <row r="683" spans="12:12">
      <c r="L683" s="123"/>
    </row>
    <row r="684" spans="12:12">
      <c r="L684" s="123"/>
    </row>
    <row r="685" spans="12:12">
      <c r="L685" s="123"/>
    </row>
    <row r="686" spans="12:12">
      <c r="L686" s="123"/>
    </row>
    <row r="687" spans="12:12">
      <c r="L687" s="123"/>
    </row>
    <row r="688" spans="12:12">
      <c r="L688" s="123"/>
    </row>
    <row r="689" spans="12:12">
      <c r="L689" s="123"/>
    </row>
    <row r="690" spans="12:12">
      <c r="L690" s="123"/>
    </row>
    <row r="691" spans="12:12">
      <c r="L691" s="123"/>
    </row>
    <row r="692" spans="12:12">
      <c r="L692" s="123"/>
    </row>
    <row r="693" spans="12:12">
      <c r="L693" s="123"/>
    </row>
    <row r="694" spans="12:12">
      <c r="L694" s="123"/>
    </row>
    <row r="695" spans="12:12">
      <c r="L695" s="123"/>
    </row>
    <row r="696" spans="12:12">
      <c r="L696" s="123"/>
    </row>
    <row r="697" spans="12:12">
      <c r="L697" s="123"/>
    </row>
    <row r="698" spans="12:12">
      <c r="L698" s="123"/>
    </row>
    <row r="699" spans="12:12">
      <c r="L699" s="123"/>
    </row>
    <row r="700" spans="12:12">
      <c r="L700" s="123"/>
    </row>
    <row r="701" spans="12:12">
      <c r="L701" s="123"/>
    </row>
    <row r="702" spans="12:12">
      <c r="L702" s="123"/>
    </row>
    <row r="703" spans="12:12">
      <c r="L703" s="123"/>
    </row>
    <row r="704" spans="12:12">
      <c r="L704" s="123"/>
    </row>
    <row r="705" spans="12:28">
      <c r="L705" s="123"/>
    </row>
    <row r="706" spans="12:28">
      <c r="L706" s="123"/>
    </row>
    <row r="707" spans="12:28">
      <c r="L707" s="123"/>
    </row>
    <row r="708" spans="12:28">
      <c r="L708" s="123"/>
    </row>
    <row r="709" spans="12:28">
      <c r="L709" s="123"/>
    </row>
    <row r="710" spans="12:28">
      <c r="L710" s="123"/>
    </row>
    <row r="711" spans="12:28">
      <c r="L711" s="123"/>
    </row>
    <row r="712" spans="12:28">
      <c r="L712" s="123"/>
    </row>
    <row r="713" spans="12:28">
      <c r="L713" s="123"/>
    </row>
    <row r="714" spans="12:28">
      <c r="L714" s="123"/>
    </row>
    <row r="715" spans="12:28">
      <c r="L715" s="123"/>
    </row>
    <row r="716" spans="12:28">
      <c r="L716" s="123"/>
    </row>
    <row r="717" spans="12:28">
      <c r="L717" s="123"/>
    </row>
    <row r="718" spans="12:28">
      <c r="L718" s="123"/>
    </row>
    <row r="719" spans="12:28">
      <c r="L719" s="123"/>
      <c r="AB719" s="377"/>
    </row>
    <row r="720" spans="12:28">
      <c r="L720" s="123"/>
    </row>
    <row r="721" spans="12:12">
      <c r="L721" s="123"/>
    </row>
    <row r="722" spans="12:12">
      <c r="L722" s="123"/>
    </row>
    <row r="723" spans="12:12">
      <c r="L723" s="123"/>
    </row>
    <row r="724" spans="12:12">
      <c r="L724" s="27"/>
    </row>
    <row r="725" spans="12:12">
      <c r="L725" s="123"/>
    </row>
    <row r="726" spans="12:12">
      <c r="L726" s="123"/>
    </row>
    <row r="727" spans="12:12">
      <c r="L727" s="123"/>
    </row>
    <row r="728" spans="12:12">
      <c r="L728" s="123"/>
    </row>
    <row r="729" spans="12:12">
      <c r="L729" s="123"/>
    </row>
    <row r="730" spans="12:12">
      <c r="L730" s="123"/>
    </row>
    <row r="731" spans="12:12">
      <c r="L731" s="123"/>
    </row>
    <row r="732" spans="12:12">
      <c r="L732" s="123"/>
    </row>
    <row r="733" spans="12:12">
      <c r="L733" s="123"/>
    </row>
    <row r="734" spans="12:12">
      <c r="L734" s="123"/>
    </row>
    <row r="735" spans="12:12">
      <c r="L735" s="123"/>
    </row>
    <row r="736" spans="12:12">
      <c r="L736" s="123"/>
    </row>
    <row r="737" spans="12:28">
      <c r="L737" s="123"/>
    </row>
    <row r="738" spans="12:28">
      <c r="L738" s="123"/>
    </row>
    <row r="739" spans="12:28">
      <c r="L739" s="123"/>
    </row>
    <row r="740" spans="12:28">
      <c r="L740" s="123"/>
    </row>
    <row r="741" spans="12:28">
      <c r="L741" s="123"/>
    </row>
    <row r="742" spans="12:28">
      <c r="L742" s="123"/>
    </row>
    <row r="743" spans="12:28">
      <c r="L743" s="123"/>
    </row>
    <row r="744" spans="12:28">
      <c r="L744" s="123"/>
    </row>
    <row r="745" spans="12:28">
      <c r="L745" s="123"/>
    </row>
    <row r="746" spans="12:28">
      <c r="L746" s="123"/>
    </row>
    <row r="747" spans="12:28">
      <c r="L747" s="123"/>
    </row>
    <row r="748" spans="12:28">
      <c r="L748" s="123"/>
    </row>
    <row r="749" spans="12:28">
      <c r="L749" s="123"/>
      <c r="AB749" s="377"/>
    </row>
    <row r="750" spans="12:28">
      <c r="L750" s="123"/>
    </row>
    <row r="751" spans="12:28">
      <c r="L751" s="123"/>
    </row>
    <row r="752" spans="12:28">
      <c r="L752" s="123"/>
    </row>
    <row r="753" spans="12:12">
      <c r="L753" s="123"/>
    </row>
    <row r="754" spans="12:12">
      <c r="L754" s="123"/>
    </row>
    <row r="755" spans="12:12">
      <c r="L755" s="123"/>
    </row>
    <row r="756" spans="12:12">
      <c r="L756" s="123"/>
    </row>
    <row r="757" spans="12:12">
      <c r="L757" s="245"/>
    </row>
    <row r="758" spans="12:12">
      <c r="L758" s="245"/>
    </row>
    <row r="759" spans="12:12">
      <c r="L759" s="123"/>
    </row>
    <row r="760" spans="12:12">
      <c r="L760" s="123"/>
    </row>
    <row r="761" spans="12:12">
      <c r="L761" s="123"/>
    </row>
    <row r="762" spans="12:12">
      <c r="L762" s="123"/>
    </row>
    <row r="763" spans="12:12">
      <c r="L763" s="123"/>
    </row>
    <row r="764" spans="12:12">
      <c r="L764" s="123"/>
    </row>
    <row r="765" spans="12:12">
      <c r="L765" s="123"/>
    </row>
    <row r="766" spans="12:12">
      <c r="L766" s="123"/>
    </row>
    <row r="767" spans="12:12">
      <c r="L767" s="123"/>
    </row>
    <row r="768" spans="12:12">
      <c r="L768" s="123"/>
    </row>
    <row r="769" spans="12:12">
      <c r="L769" s="123"/>
    </row>
    <row r="770" spans="12:12">
      <c r="L770" s="123"/>
    </row>
    <row r="771" spans="12:12">
      <c r="L771" s="123"/>
    </row>
    <row r="772" spans="12:12">
      <c r="L772" s="123"/>
    </row>
    <row r="773" spans="12:12">
      <c r="L773" s="123"/>
    </row>
    <row r="774" spans="12:12">
      <c r="L774" s="123"/>
    </row>
    <row r="775" spans="12:12">
      <c r="L775" s="123"/>
    </row>
    <row r="776" spans="12:12">
      <c r="L776" s="123"/>
    </row>
    <row r="777" spans="12:12">
      <c r="L777" s="123"/>
    </row>
    <row r="778" spans="12:12">
      <c r="L778" s="123"/>
    </row>
    <row r="779" spans="12:12">
      <c r="L779" s="123"/>
    </row>
    <row r="780" spans="12:12">
      <c r="L780" s="123"/>
    </row>
    <row r="781" spans="12:12">
      <c r="L781" s="123"/>
    </row>
    <row r="782" spans="12:12">
      <c r="L782" s="123"/>
    </row>
    <row r="783" spans="12:12">
      <c r="L783" s="123"/>
    </row>
    <row r="784" spans="12:12">
      <c r="L784" s="123"/>
    </row>
    <row r="785" spans="12:12">
      <c r="L785" s="123"/>
    </row>
    <row r="786" spans="12:12">
      <c r="L786" s="123"/>
    </row>
    <row r="787" spans="12:12">
      <c r="L787" s="123"/>
    </row>
    <row r="788" spans="12:12">
      <c r="L788" s="123"/>
    </row>
    <row r="789" spans="12:12">
      <c r="L789" s="123"/>
    </row>
    <row r="790" spans="12:12">
      <c r="L790" s="123"/>
    </row>
    <row r="791" spans="12:12">
      <c r="L791" s="123"/>
    </row>
    <row r="792" spans="12:12">
      <c r="L792" s="123"/>
    </row>
    <row r="793" spans="12:12">
      <c r="L793" s="123"/>
    </row>
    <row r="794" spans="12:12">
      <c r="L794" s="123"/>
    </row>
    <row r="795" spans="12:12">
      <c r="L795" s="123"/>
    </row>
    <row r="796" spans="12:12">
      <c r="L796" s="123"/>
    </row>
    <row r="797" spans="12:12">
      <c r="L797" s="245"/>
    </row>
    <row r="798" spans="12:12">
      <c r="L798" s="123"/>
    </row>
    <row r="799" spans="12:12">
      <c r="L799" s="123"/>
    </row>
    <row r="800" spans="12:12">
      <c r="L800" s="123"/>
    </row>
    <row r="801" spans="12:12">
      <c r="L801" s="123"/>
    </row>
    <row r="802" spans="12:12">
      <c r="L802" s="123"/>
    </row>
    <row r="803" spans="12:12">
      <c r="L803" s="123"/>
    </row>
    <row r="804" spans="12:12">
      <c r="L804" s="123"/>
    </row>
    <row r="805" spans="12:12">
      <c r="L805" s="123"/>
    </row>
    <row r="806" spans="12:12">
      <c r="L806" s="123"/>
    </row>
    <row r="807" spans="12:12">
      <c r="L807" s="123"/>
    </row>
    <row r="808" spans="12:12">
      <c r="L808" s="123"/>
    </row>
    <row r="809" spans="12:12">
      <c r="L809" s="123"/>
    </row>
    <row r="810" spans="12:12">
      <c r="L810" s="123"/>
    </row>
    <row r="811" spans="12:12">
      <c r="L811" s="123"/>
    </row>
    <row r="812" spans="12:12">
      <c r="L812" s="123"/>
    </row>
    <row r="813" spans="12:12">
      <c r="L813" s="123"/>
    </row>
    <row r="814" spans="12:12">
      <c r="L814" s="123"/>
    </row>
    <row r="815" spans="12:12">
      <c r="L815" s="123"/>
    </row>
    <row r="816" spans="12:12">
      <c r="L816" s="123"/>
    </row>
    <row r="817" spans="12:12">
      <c r="L817" s="123"/>
    </row>
    <row r="818" spans="12:12">
      <c r="L818" s="123"/>
    </row>
    <row r="819" spans="12:12">
      <c r="L819" s="123"/>
    </row>
    <row r="820" spans="12:12">
      <c r="L820" s="123"/>
    </row>
    <row r="821" spans="12:12">
      <c r="L821" s="123"/>
    </row>
    <row r="822" spans="12:12">
      <c r="L822" s="123"/>
    </row>
    <row r="823" spans="12:12">
      <c r="L823" s="123"/>
    </row>
    <row r="824" spans="12:12">
      <c r="L824" s="123"/>
    </row>
    <row r="825" spans="12:12">
      <c r="L825" s="123"/>
    </row>
    <row r="826" spans="12:12">
      <c r="L826" s="123"/>
    </row>
    <row r="827" spans="12:12">
      <c r="L827" s="123"/>
    </row>
    <row r="828" spans="12:12">
      <c r="L828" s="123"/>
    </row>
    <row r="829" spans="12:12">
      <c r="L829" s="123"/>
    </row>
    <row r="830" spans="12:12">
      <c r="L830" s="123"/>
    </row>
    <row r="831" spans="12:12">
      <c r="L831" s="123"/>
    </row>
    <row r="832" spans="12:12">
      <c r="L832" s="123"/>
    </row>
    <row r="833" spans="12:12">
      <c r="L833" s="123"/>
    </row>
    <row r="834" spans="12:12">
      <c r="L834" s="123"/>
    </row>
    <row r="835" spans="12:12">
      <c r="L835" s="123"/>
    </row>
    <row r="836" spans="12:12">
      <c r="L836" s="123"/>
    </row>
    <row r="837" spans="12:12">
      <c r="L837" s="123"/>
    </row>
    <row r="838" spans="12:12">
      <c r="L838" s="123"/>
    </row>
    <row r="839" spans="12:12">
      <c r="L839" s="123"/>
    </row>
    <row r="840" spans="12:12">
      <c r="L840" s="123"/>
    </row>
    <row r="841" spans="12:12">
      <c r="L841" s="123"/>
    </row>
    <row r="842" spans="12:12">
      <c r="L842" s="123"/>
    </row>
    <row r="843" spans="12:12">
      <c r="L843" s="123"/>
    </row>
    <row r="844" spans="12:12">
      <c r="L844" s="123"/>
    </row>
    <row r="845" spans="12:12">
      <c r="L845" s="123"/>
    </row>
    <row r="846" spans="12:12">
      <c r="L846" s="123"/>
    </row>
    <row r="847" spans="12:12">
      <c r="L847" s="123"/>
    </row>
    <row r="848" spans="12:12">
      <c r="L848" s="123"/>
    </row>
    <row r="849" spans="12:12">
      <c r="L849" s="123"/>
    </row>
    <row r="850" spans="12:12">
      <c r="L850" s="123"/>
    </row>
    <row r="851" spans="12:12">
      <c r="L851" s="123"/>
    </row>
    <row r="852" spans="12:12">
      <c r="L852" s="123"/>
    </row>
    <row r="853" spans="12:12">
      <c r="L853" s="123"/>
    </row>
    <row r="854" spans="12:12">
      <c r="L854" s="123"/>
    </row>
    <row r="855" spans="12:12">
      <c r="L855" s="245"/>
    </row>
    <row r="856" spans="12:12">
      <c r="L856" s="123"/>
    </row>
    <row r="857" spans="12:12">
      <c r="L857" s="123"/>
    </row>
    <row r="858" spans="12:12">
      <c r="L858" s="123"/>
    </row>
    <row r="859" spans="12:12">
      <c r="L859" s="123"/>
    </row>
    <row r="860" spans="12:12">
      <c r="L860" s="123"/>
    </row>
    <row r="861" spans="12:12">
      <c r="L861" s="123"/>
    </row>
    <row r="862" spans="12:12">
      <c r="L862" s="123"/>
    </row>
    <row r="863" spans="12:12">
      <c r="L863" s="123"/>
    </row>
    <row r="864" spans="12:12">
      <c r="L864" s="123"/>
    </row>
    <row r="865" spans="12:12">
      <c r="L865" s="123"/>
    </row>
    <row r="866" spans="12:12">
      <c r="L866" s="123"/>
    </row>
    <row r="867" spans="12:12">
      <c r="L867" s="123"/>
    </row>
    <row r="868" spans="12:12">
      <c r="L868" s="123"/>
    </row>
    <row r="869" spans="12:12">
      <c r="L869" s="123"/>
    </row>
    <row r="870" spans="12:12">
      <c r="L870" s="123"/>
    </row>
    <row r="871" spans="12:12">
      <c r="L871" s="123"/>
    </row>
    <row r="872" spans="12:12">
      <c r="L872" s="123"/>
    </row>
    <row r="873" spans="12:12">
      <c r="L873" s="123"/>
    </row>
    <row r="874" spans="12:12">
      <c r="L874" s="123"/>
    </row>
    <row r="875" spans="12:12">
      <c r="L875" s="123"/>
    </row>
    <row r="876" spans="12:12">
      <c r="L876" s="123"/>
    </row>
    <row r="877" spans="12:12">
      <c r="L877" s="123"/>
    </row>
    <row r="878" spans="12:12">
      <c r="L878" s="123"/>
    </row>
    <row r="879" spans="12:12">
      <c r="L879" s="123"/>
    </row>
    <row r="880" spans="12:12">
      <c r="L880" s="123"/>
    </row>
    <row r="881" spans="12:12">
      <c r="L881" s="123"/>
    </row>
    <row r="882" spans="12:12">
      <c r="L882" s="123"/>
    </row>
    <row r="883" spans="12:12">
      <c r="L883" s="123"/>
    </row>
    <row r="884" spans="12:12">
      <c r="L884" s="123"/>
    </row>
    <row r="885" spans="12:12">
      <c r="L885" s="123"/>
    </row>
    <row r="886" spans="12:12">
      <c r="L886" s="123"/>
    </row>
    <row r="887" spans="12:12">
      <c r="L887" s="123"/>
    </row>
    <row r="888" spans="12:12">
      <c r="L888" s="123"/>
    </row>
    <row r="889" spans="12:12">
      <c r="L889" s="123"/>
    </row>
    <row r="890" spans="12:12">
      <c r="L890" s="123"/>
    </row>
    <row r="891" spans="12:12">
      <c r="L891" s="123"/>
    </row>
    <row r="892" spans="12:12">
      <c r="L892" s="123"/>
    </row>
    <row r="893" spans="12:12">
      <c r="L893" s="123"/>
    </row>
    <row r="894" spans="12:12">
      <c r="L894" s="123"/>
    </row>
    <row r="895" spans="12:12">
      <c r="L895" s="123"/>
    </row>
    <row r="896" spans="12:12">
      <c r="L896" s="123"/>
    </row>
    <row r="897" spans="12:12">
      <c r="L897" s="123"/>
    </row>
    <row r="898" spans="12:12">
      <c r="L898" s="123"/>
    </row>
    <row r="899" spans="12:12">
      <c r="L899" s="123"/>
    </row>
    <row r="900" spans="12:12">
      <c r="L900" s="123"/>
    </row>
    <row r="901" spans="12:12">
      <c r="L901" s="123"/>
    </row>
    <row r="902" spans="12:12">
      <c r="L902" s="123"/>
    </row>
    <row r="903" spans="12:12">
      <c r="L903" s="123"/>
    </row>
    <row r="904" spans="12:12">
      <c r="L904" s="123"/>
    </row>
    <row r="905" spans="12:12">
      <c r="L905" s="123"/>
    </row>
    <row r="906" spans="12:12">
      <c r="L906" s="123"/>
    </row>
    <row r="907" spans="12:12">
      <c r="L907" s="123"/>
    </row>
    <row r="908" spans="12:12">
      <c r="L908" s="123"/>
    </row>
    <row r="909" spans="12:12">
      <c r="L909" s="123"/>
    </row>
    <row r="910" spans="12:12">
      <c r="L910" s="123"/>
    </row>
    <row r="911" spans="12:12">
      <c r="L911" s="123"/>
    </row>
    <row r="912" spans="12:12">
      <c r="L912" s="245"/>
    </row>
    <row r="913" spans="12:12">
      <c r="L913" s="123"/>
    </row>
    <row r="914" spans="12:12">
      <c r="L914" s="123"/>
    </row>
    <row r="915" spans="12:12">
      <c r="L915" s="123"/>
    </row>
    <row r="916" spans="12:12">
      <c r="L916" s="123"/>
    </row>
    <row r="917" spans="12:12">
      <c r="L917" s="123"/>
    </row>
    <row r="918" spans="12:12">
      <c r="L918" s="123"/>
    </row>
    <row r="919" spans="12:12">
      <c r="L919" s="123"/>
    </row>
    <row r="920" spans="12:12">
      <c r="L920" s="123"/>
    </row>
    <row r="921" spans="12:12">
      <c r="L921" s="123"/>
    </row>
    <row r="922" spans="12:12">
      <c r="L922" s="123"/>
    </row>
    <row r="923" spans="12:12">
      <c r="L923" s="123"/>
    </row>
    <row r="924" spans="12:12">
      <c r="L924" s="123"/>
    </row>
    <row r="925" spans="12:12">
      <c r="L925" s="123"/>
    </row>
    <row r="926" spans="12:12">
      <c r="L926" s="123"/>
    </row>
    <row r="927" spans="12:12">
      <c r="L927" s="123"/>
    </row>
    <row r="928" spans="12:12">
      <c r="L928" s="123"/>
    </row>
    <row r="929" spans="12:12">
      <c r="L929" s="123"/>
    </row>
    <row r="930" spans="12:12">
      <c r="L930" s="123"/>
    </row>
    <row r="931" spans="12:12">
      <c r="L931" s="123"/>
    </row>
    <row r="932" spans="12:12">
      <c r="L932" s="123"/>
    </row>
    <row r="933" spans="12:12">
      <c r="L933" s="123"/>
    </row>
    <row r="934" spans="12:12">
      <c r="L934" s="123"/>
    </row>
    <row r="935" spans="12:12">
      <c r="L935" s="123"/>
    </row>
    <row r="936" spans="12:12">
      <c r="L936" s="123"/>
    </row>
    <row r="937" spans="12:12">
      <c r="L937" s="123"/>
    </row>
    <row r="938" spans="12:12">
      <c r="L938" s="123"/>
    </row>
    <row r="939" spans="12:12">
      <c r="L939" s="123"/>
    </row>
    <row r="940" spans="12:12">
      <c r="L940" s="225"/>
    </row>
    <row r="941" spans="12:12">
      <c r="L941" s="123"/>
    </row>
    <row r="942" spans="12:12">
      <c r="L942" s="123"/>
    </row>
    <row r="943" spans="12:12">
      <c r="L943" s="123"/>
    </row>
    <row r="944" spans="12:12">
      <c r="L944" s="123"/>
    </row>
    <row r="945" spans="12:12">
      <c r="L945" s="123"/>
    </row>
    <row r="946" spans="12:12">
      <c r="L946" s="123"/>
    </row>
    <row r="947" spans="12:12">
      <c r="L947" s="123"/>
    </row>
    <row r="948" spans="12:12">
      <c r="L948" s="123"/>
    </row>
    <row r="949" spans="12:12">
      <c r="L949" s="123"/>
    </row>
    <row r="950" spans="12:12">
      <c r="L950" s="123"/>
    </row>
    <row r="951" spans="12:12">
      <c r="L951" s="123"/>
    </row>
    <row r="952" spans="12:12">
      <c r="L952" s="123"/>
    </row>
    <row r="953" spans="12:12">
      <c r="L953" s="123"/>
    </row>
    <row r="954" spans="12:12">
      <c r="L954" s="245"/>
    </row>
    <row r="955" spans="12:12">
      <c r="L955" s="123"/>
    </row>
    <row r="956" spans="12:12">
      <c r="L956" s="123"/>
    </row>
    <row r="957" spans="12:12">
      <c r="L957" s="123"/>
    </row>
    <row r="958" spans="12:12">
      <c r="L958" s="123"/>
    </row>
    <row r="959" spans="12:12">
      <c r="L959" s="123"/>
    </row>
    <row r="960" spans="12:12">
      <c r="L960" s="123"/>
    </row>
    <row r="961" spans="12:12">
      <c r="L961" s="123"/>
    </row>
    <row r="962" spans="12:12">
      <c r="L962" s="123"/>
    </row>
    <row r="964" spans="12:12">
      <c r="L964" s="123"/>
    </row>
    <row r="965" spans="12:12">
      <c r="L965" s="123"/>
    </row>
    <row r="966" spans="12:12">
      <c r="L966" s="245"/>
    </row>
    <row r="967" spans="12:12">
      <c r="L967" s="123"/>
    </row>
    <row r="968" spans="12:12">
      <c r="L968" s="245"/>
    </row>
    <row r="969" spans="12:12">
      <c r="L969" s="123"/>
    </row>
    <row r="970" spans="12:12">
      <c r="L970" s="123"/>
    </row>
    <row r="971" spans="12:12">
      <c r="L971" s="123"/>
    </row>
    <row r="972" spans="12:12">
      <c r="L972" s="245"/>
    </row>
    <row r="973" spans="12:12">
      <c r="L973" s="120"/>
    </row>
    <row r="975" spans="12:12">
      <c r="L975" s="123"/>
    </row>
    <row r="976" spans="12:12">
      <c r="L976" s="245"/>
    </row>
    <row r="977" spans="12:12">
      <c r="L977" s="123"/>
    </row>
    <row r="978" spans="12:12">
      <c r="L978" s="123"/>
    </row>
    <row r="979" spans="12:12">
      <c r="L979" s="245"/>
    </row>
    <row r="980" spans="12:12">
      <c r="L980" s="123"/>
    </row>
    <row r="981" spans="12:12">
      <c r="L981" s="123"/>
    </row>
    <row r="982" spans="12:12">
      <c r="L982" s="123"/>
    </row>
    <row r="983" spans="12:12">
      <c r="L983" s="123"/>
    </row>
    <row r="984" spans="12:12">
      <c r="L984" s="123"/>
    </row>
    <row r="985" spans="12:12">
      <c r="L985" s="245"/>
    </row>
    <row r="986" spans="12:12">
      <c r="L986" s="123"/>
    </row>
    <row r="987" spans="12:12">
      <c r="L987" s="123"/>
    </row>
    <row r="988" spans="12:12">
      <c r="L988" s="123"/>
    </row>
    <row r="989" spans="12:12">
      <c r="L989" s="123"/>
    </row>
    <row r="991" spans="12:12">
      <c r="L991" s="245"/>
    </row>
    <row r="992" spans="12:12">
      <c r="L992" s="123"/>
    </row>
    <row r="993" spans="12:12">
      <c r="L993" s="123"/>
    </row>
    <row r="994" spans="12:12">
      <c r="L994" s="123"/>
    </row>
    <row r="995" spans="12:12">
      <c r="L995" s="123"/>
    </row>
    <row r="996" spans="12:12">
      <c r="L996" s="123"/>
    </row>
    <row r="997" spans="12:12">
      <c r="L997" s="123"/>
    </row>
    <row r="998" spans="12:12">
      <c r="L998" s="123"/>
    </row>
    <row r="999" spans="12:12">
      <c r="L999" s="123"/>
    </row>
    <row r="1000" spans="12:12">
      <c r="L1000" s="26"/>
    </row>
    <row r="1001" spans="12:12">
      <c r="L1001" s="123"/>
    </row>
    <row r="1002" spans="12:12">
      <c r="L1002" s="123"/>
    </row>
    <row r="1003" spans="12:12">
      <c r="L1003" s="123"/>
    </row>
    <row r="1004" spans="12:12">
      <c r="L1004" s="123"/>
    </row>
    <row r="1005" spans="12:12">
      <c r="L1005" s="123"/>
    </row>
    <row r="1006" spans="12:12">
      <c r="L1006" s="123"/>
    </row>
    <row r="1007" spans="12:12">
      <c r="L1007" s="123"/>
    </row>
    <row r="1008" spans="12:12">
      <c r="L1008" s="245"/>
    </row>
    <row r="1009" spans="12:12">
      <c r="L1009" s="123"/>
    </row>
    <row r="1010" spans="12:12">
      <c r="L1010" s="123"/>
    </row>
    <row r="1011" spans="12:12">
      <c r="L1011" s="123"/>
    </row>
    <row r="1012" spans="12:12">
      <c r="L1012" s="123"/>
    </row>
    <row r="1013" spans="12:12">
      <c r="L1013" s="123"/>
    </row>
    <row r="1014" spans="12:12">
      <c r="L1014" s="123"/>
    </row>
    <row r="1015" spans="12:12">
      <c r="L1015" s="245"/>
    </row>
    <row r="1016" spans="12:12">
      <c r="L1016" s="123"/>
    </row>
    <row r="1017" spans="12:12">
      <c r="L1017" s="123"/>
    </row>
    <row r="1018" spans="12:12">
      <c r="L1018" s="123"/>
    </row>
    <row r="1019" spans="12:12">
      <c r="L1019" s="123"/>
    </row>
    <row r="1020" spans="12:12">
      <c r="L1020" s="123"/>
    </row>
    <row r="1021" spans="12:12">
      <c r="L1021" s="123"/>
    </row>
    <row r="1022" spans="12:12">
      <c r="L1022" s="123"/>
    </row>
    <row r="1023" spans="12:12">
      <c r="L1023" s="245"/>
    </row>
    <row r="1024" spans="12:12">
      <c r="L1024" s="123"/>
    </row>
    <row r="1025" spans="12:12">
      <c r="L1025" s="123"/>
    </row>
    <row r="1026" spans="12:12">
      <c r="L1026" s="123"/>
    </row>
    <row r="1027" spans="12:12">
      <c r="L1027" s="123"/>
    </row>
    <row r="1028" spans="12:12">
      <c r="L1028" s="123"/>
    </row>
    <row r="1029" spans="12:12">
      <c r="L1029" s="123"/>
    </row>
    <row r="1030" spans="12:12">
      <c r="L1030" s="123"/>
    </row>
    <row r="1031" spans="12:12">
      <c r="L1031" s="123"/>
    </row>
    <row r="1032" spans="12:12">
      <c r="L1032" s="123"/>
    </row>
    <row r="1033" spans="12:12">
      <c r="L1033" s="120"/>
    </row>
    <row r="1034" spans="12:12">
      <c r="L1034" s="120"/>
    </row>
    <row r="1035" spans="12:12">
      <c r="L1035" s="123"/>
    </row>
    <row r="1036" spans="12:12">
      <c r="L1036" s="123"/>
    </row>
    <row r="1037" spans="12:12">
      <c r="L1037" s="123"/>
    </row>
    <row r="1038" spans="12:12">
      <c r="L1038" s="123"/>
    </row>
    <row r="1039" spans="12:12">
      <c r="L1039" s="123"/>
    </row>
    <row r="1040" spans="12:12">
      <c r="L1040" s="123"/>
    </row>
    <row r="1041" spans="12:12">
      <c r="L1041" s="123"/>
    </row>
    <row r="1042" spans="12:12">
      <c r="L1042" s="123"/>
    </row>
    <row r="1043" spans="12:12">
      <c r="L1043" s="123"/>
    </row>
    <row r="1044" spans="12:12">
      <c r="L1044" s="123"/>
    </row>
    <row r="1045" spans="12:12">
      <c r="L1045" s="123"/>
    </row>
    <row r="1046" spans="12:12">
      <c r="L1046" s="245"/>
    </row>
    <row r="1047" spans="12:12">
      <c r="L1047" s="123"/>
    </row>
    <row r="1048" spans="12:12">
      <c r="L1048" s="123"/>
    </row>
    <row r="1049" spans="12:12">
      <c r="L1049" s="245"/>
    </row>
    <row r="1050" spans="12:12">
      <c r="L1050" s="123"/>
    </row>
    <row r="1051" spans="12:12">
      <c r="L1051" s="123"/>
    </row>
    <row r="1052" spans="12:12">
      <c r="L1052" s="123"/>
    </row>
    <row r="1053" spans="12:12">
      <c r="L1053" s="43"/>
    </row>
    <row r="1055" spans="12:12">
      <c r="L1055" s="123"/>
    </row>
    <row r="1056" spans="12:12">
      <c r="L1056" s="123"/>
    </row>
    <row r="1057" spans="12:12">
      <c r="L1057" s="123"/>
    </row>
    <row r="1058" spans="12:12">
      <c r="L1058" s="123"/>
    </row>
    <row r="1059" spans="12:12">
      <c r="L1059" s="123"/>
    </row>
    <row r="1060" spans="12:12">
      <c r="L1060" s="123"/>
    </row>
    <row r="1061" spans="12:12">
      <c r="L1061" s="123"/>
    </row>
    <row r="1062" spans="12:12">
      <c r="L1062" s="123"/>
    </row>
    <row r="1063" spans="12:12">
      <c r="L1063" s="120"/>
    </row>
    <row r="1064" spans="12:12">
      <c r="L1064" s="123"/>
    </row>
    <row r="1065" spans="12:12">
      <c r="L1065" s="123"/>
    </row>
    <row r="1066" spans="12:12">
      <c r="L1066" s="123"/>
    </row>
    <row r="1067" spans="12:12">
      <c r="L1067" s="123"/>
    </row>
    <row r="1068" spans="12:12">
      <c r="L1068" s="123"/>
    </row>
    <row r="1069" spans="12:12">
      <c r="L1069" s="123"/>
    </row>
    <row r="1070" spans="12:12">
      <c r="L1070" s="123"/>
    </row>
    <row r="1071" spans="12:12">
      <c r="L1071" s="123"/>
    </row>
    <row r="1073" spans="12:12">
      <c r="L1073" s="123"/>
    </row>
    <row r="1074" spans="12:12">
      <c r="L1074" s="123"/>
    </row>
    <row r="1075" spans="12:12">
      <c r="L1075" s="123"/>
    </row>
    <row r="1076" spans="12:12">
      <c r="L1076" s="123"/>
    </row>
    <row r="1077" spans="12:12">
      <c r="L1077" s="245"/>
    </row>
    <row r="1078" spans="12:12">
      <c r="L1078" s="123"/>
    </row>
    <row r="1079" spans="12:12">
      <c r="L1079" s="123"/>
    </row>
    <row r="1080" spans="12:12">
      <c r="L1080" s="123"/>
    </row>
    <row r="1081" spans="12:12">
      <c r="L1081" s="123"/>
    </row>
    <row r="1082" spans="12:12">
      <c r="L1082" s="123"/>
    </row>
    <row r="1083" spans="12:12">
      <c r="L1083" s="123"/>
    </row>
    <row r="1084" spans="12:12">
      <c r="L1084" s="120"/>
    </row>
    <row r="1085" spans="12:12">
      <c r="L1085" s="123"/>
    </row>
    <row r="1086" spans="12:12">
      <c r="L1086" s="245"/>
    </row>
    <row r="1087" spans="12:12">
      <c r="L1087" s="123"/>
    </row>
    <row r="1088" spans="12:12">
      <c r="L1088" s="123"/>
    </row>
    <row r="1089" spans="12:12">
      <c r="L1089" s="123"/>
    </row>
    <row r="1090" spans="12:12">
      <c r="L1090" s="123"/>
    </row>
    <row r="1091" spans="12:12">
      <c r="L1091" s="123"/>
    </row>
    <row r="1092" spans="12:12">
      <c r="L1092" s="123"/>
    </row>
    <row r="1093" spans="12:12">
      <c r="L1093" s="123"/>
    </row>
    <row r="1094" spans="12:12">
      <c r="L1094" s="123"/>
    </row>
    <row r="1095" spans="12:12">
      <c r="L1095" s="123"/>
    </row>
    <row r="1096" spans="12:12">
      <c r="L1096" s="123"/>
    </row>
    <row r="1097" spans="12:12">
      <c r="L1097" s="123"/>
    </row>
    <row r="1098" spans="12:12">
      <c r="L1098" s="123"/>
    </row>
    <row r="1099" spans="12:12">
      <c r="L1099" s="123"/>
    </row>
    <row r="1100" spans="12:12">
      <c r="L1100" s="123"/>
    </row>
    <row r="1101" spans="12:12">
      <c r="L1101" s="123"/>
    </row>
    <row r="1102" spans="12:12">
      <c r="L1102" s="123"/>
    </row>
    <row r="1103" spans="12:12">
      <c r="L1103" s="123"/>
    </row>
    <row r="1104" spans="12:12">
      <c r="L1104" s="123"/>
    </row>
    <row r="1105" spans="12:12">
      <c r="L1105" s="120"/>
    </row>
    <row r="1106" spans="12:12">
      <c r="L1106" s="123"/>
    </row>
    <row r="1107" spans="12:12">
      <c r="L1107" s="123"/>
    </row>
    <row r="1108" spans="12:12">
      <c r="L1108" s="123"/>
    </row>
    <row r="1109" spans="12:12">
      <c r="L1109" s="123"/>
    </row>
    <row r="1110" spans="12:12">
      <c r="L1110" s="123"/>
    </row>
    <row r="1111" spans="12:12">
      <c r="L1111" s="27"/>
    </row>
    <row r="1112" spans="12:12">
      <c r="L1112" s="120"/>
    </row>
    <row r="1113" spans="12:12">
      <c r="L1113" s="245"/>
    </row>
    <row r="1114" spans="12:12">
      <c r="L1114" s="245"/>
    </row>
    <row r="1115" spans="12:12">
      <c r="L1115" s="123"/>
    </row>
    <row r="1116" spans="12:12">
      <c r="L1116" s="120"/>
    </row>
    <row r="1117" spans="12:12">
      <c r="L1117" s="123"/>
    </row>
    <row r="1118" spans="12:12">
      <c r="L1118" s="123"/>
    </row>
    <row r="1119" spans="12:12">
      <c r="L1119" s="123"/>
    </row>
    <row r="1120" spans="12:12">
      <c r="L1120" s="43"/>
    </row>
    <row r="1121" spans="12:28">
      <c r="L1121" s="123"/>
    </row>
    <row r="1123" spans="12:28">
      <c r="L1123" s="123"/>
    </row>
    <row r="1124" spans="12:28">
      <c r="L1124" s="120"/>
    </row>
    <row r="1125" spans="12:28">
      <c r="L1125" s="123"/>
    </row>
    <row r="1126" spans="12:28">
      <c r="L1126" s="123"/>
    </row>
    <row r="1127" spans="12:28">
      <c r="L1127" s="120"/>
    </row>
    <row r="1128" spans="12:28">
      <c r="L1128" s="123"/>
    </row>
    <row r="1129" spans="12:28">
      <c r="L1129" s="123"/>
      <c r="AB1129" s="377"/>
    </row>
    <row r="1130" spans="12:28">
      <c r="L1130" s="123"/>
    </row>
    <row r="1131" spans="12:28">
      <c r="L1131" s="123"/>
    </row>
    <row r="1132" spans="12:28">
      <c r="L1132" s="123"/>
    </row>
    <row r="1133" spans="12:28">
      <c r="L1133" s="123"/>
    </row>
    <row r="1134" spans="12:28">
      <c r="L1134" s="123"/>
    </row>
    <row r="1135" spans="12:28">
      <c r="L1135" s="123"/>
    </row>
    <row r="1136" spans="12:28">
      <c r="L1136" s="123"/>
    </row>
    <row r="1137" spans="12:14">
      <c r="L1137" s="123"/>
    </row>
    <row r="1138" spans="12:14">
      <c r="L1138" s="245"/>
    </row>
    <row r="1139" spans="12:14">
      <c r="L1139" s="123"/>
    </row>
    <row r="1140" spans="12:14">
      <c r="L1140" s="123"/>
    </row>
    <row r="1141" spans="12:14">
      <c r="L1141" s="123"/>
    </row>
    <row r="1142" spans="12:14">
      <c r="L1142" s="123"/>
    </row>
    <row r="1143" spans="12:14">
      <c r="L1143" s="123"/>
      <c r="M1143" s="234" t="s">
        <v>3322</v>
      </c>
      <c r="N1143" s="234" t="s">
        <v>3322</v>
      </c>
    </row>
    <row r="1144" spans="12:14">
      <c r="L1144" s="123"/>
    </row>
    <row r="1145" spans="12:14">
      <c r="L1145" s="120"/>
    </row>
    <row r="1146" spans="12:14">
      <c r="L1146" s="123"/>
    </row>
    <row r="1147" spans="12:14">
      <c r="L1147" s="123"/>
    </row>
    <row r="1148" spans="12:14">
      <c r="L1148" s="123"/>
    </row>
    <row r="1149" spans="12:14">
      <c r="L1149" s="123"/>
    </row>
    <row r="1150" spans="12:14">
      <c r="L1150" s="245"/>
    </row>
    <row r="1152" spans="12:14">
      <c r="L1152" s="123"/>
    </row>
    <row r="1153" spans="12:12">
      <c r="L1153" s="123"/>
    </row>
    <row r="1154" spans="12:12">
      <c r="L1154" s="123"/>
    </row>
    <row r="1155" spans="12:12">
      <c r="L1155" s="27"/>
    </row>
    <row r="1156" spans="12:12">
      <c r="L1156" s="123"/>
    </row>
    <row r="1157" spans="12:12">
      <c r="L1157" s="245"/>
    </row>
    <row r="1158" spans="12:12">
      <c r="L1158" s="120"/>
    </row>
    <row r="1159" spans="12:12">
      <c r="L1159" s="123"/>
    </row>
    <row r="1160" spans="12:12">
      <c r="L1160" s="123"/>
    </row>
    <row r="1161" spans="12:12">
      <c r="L1161" s="123"/>
    </row>
    <row r="1162" spans="12:12">
      <c r="L1162" s="123"/>
    </row>
    <row r="1163" spans="12:12">
      <c r="L1163" s="123"/>
    </row>
    <row r="1164" spans="12:12">
      <c r="L1164" s="123"/>
    </row>
    <row r="1165" spans="12:12">
      <c r="L1165" s="123"/>
    </row>
    <row r="1166" spans="12:12">
      <c r="L1166" s="123"/>
    </row>
    <row r="1167" spans="12:12">
      <c r="L1167" s="123"/>
    </row>
    <row r="1168" spans="12:12">
      <c r="L1168" s="123"/>
    </row>
    <row r="1169" spans="12:12">
      <c r="L1169" s="123"/>
    </row>
    <row r="1170" spans="12:12">
      <c r="L1170" s="123"/>
    </row>
    <row r="1171" spans="12:12">
      <c r="L1171" s="123"/>
    </row>
    <row r="1172" spans="12:12">
      <c r="L1172" s="245"/>
    </row>
    <row r="1174" spans="12:12">
      <c r="L1174" s="123"/>
    </row>
    <row r="1175" spans="12:12">
      <c r="L1175" s="123"/>
    </row>
    <row r="1176" spans="12:12">
      <c r="L1176" s="123"/>
    </row>
    <row r="1177" spans="12:12">
      <c r="L1177" s="123"/>
    </row>
    <row r="1178" spans="12:12">
      <c r="L1178" s="123"/>
    </row>
    <row r="1179" spans="12:12">
      <c r="L1179" s="123"/>
    </row>
    <row r="1180" spans="12:12">
      <c r="L1180" s="123"/>
    </row>
    <row r="1181" spans="12:12">
      <c r="L1181" s="123"/>
    </row>
    <row r="1182" spans="12:12">
      <c r="L1182" s="123"/>
    </row>
    <row r="1183" spans="12:12">
      <c r="L1183" s="123"/>
    </row>
    <row r="1184" spans="12:12">
      <c r="L1184" s="123"/>
    </row>
    <row r="1185" spans="12:12">
      <c r="L1185" s="123"/>
    </row>
    <row r="1186" spans="12:12">
      <c r="L1186" s="123"/>
    </row>
    <row r="1187" spans="12:12">
      <c r="L1187" s="123"/>
    </row>
    <row r="1189" spans="12:12">
      <c r="L1189" s="123"/>
    </row>
    <row r="1190" spans="12:12">
      <c r="L1190" s="120"/>
    </row>
    <row r="1191" spans="12:12">
      <c r="L1191" s="123"/>
    </row>
    <row r="1192" spans="12:12">
      <c r="L1192" s="123"/>
    </row>
    <row r="1193" spans="12:12">
      <c r="L1193" s="123"/>
    </row>
    <row r="1194" spans="12:12">
      <c r="L1194" s="123"/>
    </row>
    <row r="1195" spans="12:12">
      <c r="L1195" s="123"/>
    </row>
    <row r="1196" spans="12:12">
      <c r="L1196" s="123"/>
    </row>
    <row r="1198" spans="12:12">
      <c r="L1198" s="123"/>
    </row>
    <row r="1199" spans="12:12">
      <c r="L1199" s="123"/>
    </row>
    <row r="1200" spans="12:12">
      <c r="L1200" s="123"/>
    </row>
    <row r="1201" spans="12:12">
      <c r="L1201" s="123"/>
    </row>
    <row r="1202" spans="12:12">
      <c r="L1202" s="123"/>
    </row>
    <row r="1203" spans="12:12">
      <c r="L1203" s="123"/>
    </row>
    <row r="1204" spans="12:12">
      <c r="L1204" s="123"/>
    </row>
    <row r="1205" spans="12:12">
      <c r="L1205" s="123"/>
    </row>
    <row r="1206" spans="12:12">
      <c r="L1206" s="123"/>
    </row>
    <row r="1207" spans="12:12">
      <c r="L1207" s="120"/>
    </row>
    <row r="1208" spans="12:12">
      <c r="L1208" s="123"/>
    </row>
    <row r="1209" spans="12:12">
      <c r="L1209" s="123"/>
    </row>
    <row r="1210" spans="12:12">
      <c r="L1210" s="123"/>
    </row>
    <row r="1212" spans="12:12">
      <c r="L1212" s="123"/>
    </row>
    <row r="1213" spans="12:12">
      <c r="L1213" s="123"/>
    </row>
    <row r="1214" spans="12:12">
      <c r="L1214" s="245"/>
    </row>
    <row r="1215" spans="12:12">
      <c r="L1215" s="123"/>
    </row>
    <row r="1216" spans="12:12">
      <c r="L1216" s="245"/>
    </row>
    <row r="1217" spans="12:12">
      <c r="L1217" s="123"/>
    </row>
    <row r="1218" spans="12:12">
      <c r="L1218" s="123"/>
    </row>
    <row r="1219" spans="12:12">
      <c r="L1219" s="123"/>
    </row>
    <row r="1220" spans="12:12">
      <c r="L1220" s="245"/>
    </row>
    <row r="1221" spans="12:12">
      <c r="L1221" s="245"/>
    </row>
    <row r="1222" spans="12:12">
      <c r="L1222" s="123"/>
    </row>
    <row r="1223" spans="12:12">
      <c r="L1223" s="123"/>
    </row>
    <row r="1224" spans="12:12">
      <c r="L1224" s="123"/>
    </row>
    <row r="1225" spans="12:12">
      <c r="L1225" s="123"/>
    </row>
    <row r="1226" spans="12:12">
      <c r="L1226" s="245"/>
    </row>
    <row r="1227" spans="12:12">
      <c r="L1227" s="123"/>
    </row>
    <row r="1228" spans="12:12">
      <c r="L1228" s="245"/>
    </row>
    <row r="1229" spans="12:12">
      <c r="L1229" s="123"/>
    </row>
    <row r="1230" spans="12:12">
      <c r="L1230" s="245"/>
    </row>
    <row r="1231" spans="12:12">
      <c r="L1231" s="123"/>
    </row>
    <row r="1232" spans="12:12">
      <c r="L1232" s="123"/>
    </row>
    <row r="1233" spans="12:12">
      <c r="L1233" s="123"/>
    </row>
    <row r="1234" spans="12:12">
      <c r="L1234" s="123"/>
    </row>
    <row r="1235" spans="12:12">
      <c r="L1235" s="123"/>
    </row>
    <row r="1236" spans="12:12">
      <c r="L1236" s="123"/>
    </row>
    <row r="1237" spans="12:12">
      <c r="L1237" s="123"/>
    </row>
    <row r="1238" spans="12:12">
      <c r="L1238" s="123"/>
    </row>
    <row r="1239" spans="12:12">
      <c r="L1239" s="123"/>
    </row>
    <row r="1240" spans="12:12">
      <c r="L1240" s="123"/>
    </row>
    <row r="1241" spans="12:12">
      <c r="L1241" s="123"/>
    </row>
    <row r="1242" spans="12:12">
      <c r="L1242" s="123"/>
    </row>
    <row r="1243" spans="12:12">
      <c r="L1243" s="123"/>
    </row>
    <row r="1244" spans="12:12">
      <c r="L1244" s="123"/>
    </row>
    <row r="1245" spans="12:12">
      <c r="L1245" s="123"/>
    </row>
    <row r="1246" spans="12:12">
      <c r="L1246" s="123"/>
    </row>
    <row r="1247" spans="12:12">
      <c r="L1247" s="245"/>
    </row>
    <row r="1248" spans="12:12">
      <c r="L1248" s="123"/>
    </row>
    <row r="1249" spans="12:12">
      <c r="L1249" s="123"/>
    </row>
    <row r="1250" spans="12:12">
      <c r="L1250" s="123"/>
    </row>
    <row r="1251" spans="12:12">
      <c r="L1251" s="123"/>
    </row>
    <row r="1252" spans="12:12">
      <c r="L1252" s="123"/>
    </row>
    <row r="1253" spans="12:12">
      <c r="L1253" s="123"/>
    </row>
    <row r="1254" spans="12:12">
      <c r="L1254" s="123"/>
    </row>
    <row r="1255" spans="12:12">
      <c r="L1255" s="245"/>
    </row>
    <row r="1256" spans="12:12">
      <c r="L1256" s="123"/>
    </row>
    <row r="1257" spans="12:12">
      <c r="L1257" s="123"/>
    </row>
    <row r="1258" spans="12:12">
      <c r="L1258" s="123"/>
    </row>
    <row r="1259" spans="12:12">
      <c r="L1259" s="123"/>
    </row>
    <row r="1260" spans="12:12">
      <c r="L1260" s="123"/>
    </row>
    <row r="1261" spans="12:12">
      <c r="L1261" s="123"/>
    </row>
    <row r="1262" spans="12:12">
      <c r="L1262" s="123"/>
    </row>
    <row r="1263" spans="12:12">
      <c r="L1263" s="123"/>
    </row>
    <row r="1264" spans="12:12">
      <c r="L1264" s="123"/>
    </row>
    <row r="1265" spans="12:12">
      <c r="L1265" s="123"/>
    </row>
    <row r="1266" spans="12:12">
      <c r="L1266" s="120"/>
    </row>
    <row r="1267" spans="12:12">
      <c r="L1267" s="123"/>
    </row>
    <row r="1268" spans="12:12">
      <c r="L1268" s="123"/>
    </row>
    <row r="1269" spans="12:12">
      <c r="L1269" s="245"/>
    </row>
    <row r="1270" spans="12:12">
      <c r="L1270" s="123"/>
    </row>
    <row r="1271" spans="12:12">
      <c r="L1271" s="123"/>
    </row>
    <row r="1272" spans="12:12">
      <c r="L1272" s="123"/>
    </row>
    <row r="1273" spans="12:12">
      <c r="L1273" s="123"/>
    </row>
    <row r="1274" spans="12:12">
      <c r="L1274" s="123"/>
    </row>
    <row r="1275" spans="12:12">
      <c r="L1275" s="123"/>
    </row>
    <row r="1276" spans="12:12">
      <c r="L1276" s="123"/>
    </row>
    <row r="1277" spans="12:12">
      <c r="L1277" s="245"/>
    </row>
    <row r="1278" spans="12:12">
      <c r="L1278" s="245"/>
    </row>
    <row r="1279" spans="12:12">
      <c r="L1279" s="123"/>
    </row>
    <row r="1280" spans="12:12">
      <c r="L1280" s="245"/>
    </row>
    <row r="1281" spans="12:12">
      <c r="L1281" s="123"/>
    </row>
    <row r="1282" spans="12:12">
      <c r="L1282" s="123"/>
    </row>
    <row r="1283" spans="12:12">
      <c r="L1283" s="123"/>
    </row>
    <row r="1284" spans="12:12">
      <c r="L1284" s="123"/>
    </row>
    <row r="1285" spans="12:12">
      <c r="L1285" s="123"/>
    </row>
    <row r="1286" spans="12:12">
      <c r="L1286" s="123"/>
    </row>
    <row r="1287" spans="12:12">
      <c r="L1287" s="123"/>
    </row>
    <row r="1288" spans="12:12">
      <c r="L1288" s="245"/>
    </row>
    <row r="1289" spans="12:12">
      <c r="L1289" s="123"/>
    </row>
    <row r="1290" spans="12:12">
      <c r="L1290" s="123"/>
    </row>
    <row r="1291" spans="12:12">
      <c r="L1291" s="123"/>
    </row>
    <row r="1292" spans="12:12">
      <c r="L1292" s="123"/>
    </row>
    <row r="1293" spans="12:12">
      <c r="L1293" s="123"/>
    </row>
    <row r="1294" spans="12:12">
      <c r="L1294" s="123"/>
    </row>
    <row r="1295" spans="12:12">
      <c r="L1295" s="123"/>
    </row>
    <row r="1296" spans="12:12">
      <c r="L1296" s="123"/>
    </row>
    <row r="1297" spans="12:17">
      <c r="L1297" s="123"/>
    </row>
    <row r="1298" spans="12:17">
      <c r="L1298" s="123"/>
    </row>
    <row r="1299" spans="12:17">
      <c r="L1299" s="123"/>
    </row>
    <row r="1300" spans="12:17">
      <c r="L1300" s="124"/>
    </row>
    <row r="1301" spans="12:17">
      <c r="L1301" s="123"/>
    </row>
    <row r="1302" spans="12:17">
      <c r="L1302" s="123"/>
    </row>
    <row r="1303" spans="12:17">
      <c r="L1303" s="123"/>
      <c r="O1303" s="360"/>
      <c r="Q1303" s="351"/>
    </row>
    <row r="1304" spans="12:17">
      <c r="L1304" s="123"/>
    </row>
    <row r="1305" spans="12:17">
      <c r="L1305" s="123"/>
    </row>
    <row r="1306" spans="12:17">
      <c r="L1306" s="123"/>
    </row>
    <row r="1307" spans="12:17">
      <c r="L1307" s="123"/>
    </row>
    <row r="1308" spans="12:17">
      <c r="L1308" s="245"/>
    </row>
    <row r="1309" spans="12:17">
      <c r="L1309" s="123"/>
    </row>
    <row r="1310" spans="12:17">
      <c r="L1310" s="123"/>
    </row>
    <row r="1311" spans="12:17">
      <c r="L1311" s="123"/>
    </row>
    <row r="1312" spans="12:17">
      <c r="L1312" s="123"/>
    </row>
    <row r="1313" spans="12:17">
      <c r="L1313" s="123"/>
      <c r="O1313" s="360"/>
      <c r="Q1313" s="351"/>
    </row>
    <row r="1314" spans="12:17">
      <c r="L1314" s="123"/>
    </row>
    <row r="1315" spans="12:17">
      <c r="L1315" s="123"/>
    </row>
    <row r="1316" spans="12:17">
      <c r="L1316" s="123"/>
    </row>
    <row r="1317" spans="12:17">
      <c r="L1317" s="123"/>
      <c r="O1317" s="360"/>
      <c r="Q1317" s="351"/>
    </row>
    <row r="1318" spans="12:17">
      <c r="L1318" s="123"/>
    </row>
    <row r="1319" spans="12:17">
      <c r="L1319" s="123"/>
    </row>
    <row r="1320" spans="12:17">
      <c r="L1320" s="123"/>
    </row>
    <row r="1321" spans="12:17">
      <c r="L1321" s="123"/>
    </row>
    <row r="1322" spans="12:17">
      <c r="L1322" s="123"/>
      <c r="O1322" s="360"/>
      <c r="Q1322" s="351"/>
    </row>
    <row r="1323" spans="12:17">
      <c r="L1323" s="245"/>
      <c r="O1323" s="360"/>
      <c r="Q1323" s="351"/>
    </row>
    <row r="1324" spans="12:17">
      <c r="L1324" s="245"/>
      <c r="O1324" s="360"/>
      <c r="Q1324" s="351"/>
    </row>
    <row r="1325" spans="12:17">
      <c r="L1325" s="123"/>
    </row>
    <row r="1326" spans="12:17">
      <c r="L1326" s="123"/>
      <c r="O1326" s="360"/>
      <c r="Q1326" s="351"/>
    </row>
    <row r="1327" spans="12:17">
      <c r="L1327" s="123"/>
      <c r="O1327" s="360"/>
      <c r="Q1327" s="351"/>
    </row>
    <row r="1328" spans="12:17">
      <c r="L1328" s="123"/>
    </row>
    <row r="1329" spans="12:17">
      <c r="L1329" s="123"/>
      <c r="O1329" s="360"/>
      <c r="Q1329" s="351"/>
    </row>
    <row r="1330" spans="12:17">
      <c r="L1330" s="123"/>
    </row>
    <row r="1331" spans="12:17">
      <c r="L1331" s="123"/>
      <c r="O1331" s="360"/>
      <c r="Q1331" s="351"/>
    </row>
    <row r="1332" spans="12:17">
      <c r="L1332" s="123"/>
      <c r="O1332" s="360"/>
      <c r="Q1332" s="351"/>
    </row>
    <row r="1333" spans="12:17">
      <c r="L1333" s="123"/>
      <c r="O1333" s="360"/>
      <c r="Q1333" s="351"/>
    </row>
    <row r="1334" spans="12:17">
      <c r="L1334" s="245"/>
      <c r="O1334" s="360"/>
      <c r="Q1334" s="351"/>
    </row>
    <row r="1335" spans="12:17">
      <c r="L1335" s="123"/>
      <c r="O1335" s="360"/>
      <c r="Q1335" s="351"/>
    </row>
    <row r="1336" spans="12:17">
      <c r="L1336" s="123"/>
      <c r="O1336" s="360"/>
      <c r="Q1336" s="351"/>
    </row>
    <row r="1337" spans="12:17">
      <c r="L1337" s="123"/>
      <c r="O1337" s="360"/>
      <c r="Q1337" s="351"/>
    </row>
    <row r="1338" spans="12:17">
      <c r="L1338" s="123"/>
      <c r="O1338" s="360"/>
      <c r="Q1338" s="351"/>
    </row>
    <row r="1339" spans="12:17">
      <c r="L1339" s="123"/>
    </row>
    <row r="1340" spans="12:17">
      <c r="L1340" s="123"/>
    </row>
    <row r="1341" spans="12:17">
      <c r="L1341" s="120"/>
    </row>
    <row r="1342" spans="12:17">
      <c r="L1342" s="123"/>
    </row>
    <row r="1344" spans="12:17">
      <c r="L1344" s="123"/>
    </row>
    <row r="1345" spans="12:17">
      <c r="L1345" s="245"/>
    </row>
    <row r="1346" spans="12:17">
      <c r="L1346" s="123"/>
    </row>
    <row r="1347" spans="12:17">
      <c r="L1347" s="123"/>
      <c r="O1347" s="360"/>
      <c r="Q1347" s="351"/>
    </row>
    <row r="1348" spans="12:17">
      <c r="L1348" s="123"/>
      <c r="O1348" s="360"/>
      <c r="Q1348" s="351"/>
    </row>
    <row r="1349" spans="12:17">
      <c r="L1349" s="123"/>
      <c r="O1349" s="360"/>
      <c r="Q1349" s="351"/>
    </row>
    <row r="1350" spans="12:17">
      <c r="L1350" s="123"/>
    </row>
    <row r="1351" spans="12:17">
      <c r="L1351" s="123"/>
      <c r="O1351" s="360"/>
      <c r="Q1351" s="351"/>
    </row>
    <row r="1352" spans="12:17">
      <c r="L1352" s="123"/>
      <c r="O1352" s="360"/>
      <c r="Q1352" s="351"/>
    </row>
    <row r="1353" spans="12:17">
      <c r="L1353" s="123"/>
      <c r="O1353" s="360"/>
      <c r="Q1353" s="351"/>
    </row>
    <row r="1354" spans="12:17">
      <c r="L1354" s="123"/>
      <c r="O1354" s="360"/>
      <c r="Q1354" s="351"/>
    </row>
    <row r="1355" spans="12:17">
      <c r="L1355" s="123"/>
    </row>
    <row r="1356" spans="12:17">
      <c r="L1356" s="123"/>
    </row>
    <row r="1357" spans="12:17">
      <c r="L1357" s="123"/>
    </row>
    <row r="1358" spans="12:17">
      <c r="L1358" s="123"/>
    </row>
    <row r="1359" spans="12:17">
      <c r="L1359" s="123"/>
    </row>
    <row r="1360" spans="12:17">
      <c r="L1360" s="123"/>
    </row>
    <row r="1361" spans="12:28">
      <c r="L1361" s="123"/>
    </row>
    <row r="1362" spans="12:28">
      <c r="L1362" s="123"/>
    </row>
    <row r="1363" spans="12:28">
      <c r="L1363" s="123"/>
    </row>
    <row r="1364" spans="12:28">
      <c r="L1364" s="123"/>
    </row>
    <row r="1365" spans="12:28">
      <c r="L1365" s="123"/>
    </row>
    <row r="1366" spans="12:28">
      <c r="L1366" s="123"/>
      <c r="AB1366" s="377"/>
    </row>
    <row r="1367" spans="12:28">
      <c r="L1367" s="123"/>
    </row>
    <row r="1368" spans="12:28">
      <c r="L1368" s="123"/>
    </row>
    <row r="1370" spans="12:28">
      <c r="L1370" s="123"/>
    </row>
    <row r="1371" spans="12:28">
      <c r="L1371" s="123"/>
    </row>
    <row r="1372" spans="12:28">
      <c r="L1372" s="123"/>
    </row>
    <row r="1373" spans="12:28">
      <c r="L1373" s="123"/>
    </row>
    <row r="1374" spans="12:28">
      <c r="L1374" s="123"/>
    </row>
    <row r="1375" spans="12:28">
      <c r="L1375" s="123"/>
    </row>
    <row r="1376" spans="12:28">
      <c r="L1376" s="123"/>
    </row>
    <row r="1377" spans="1:34">
      <c r="L1377" s="123"/>
    </row>
    <row r="1378" spans="1:34">
      <c r="L1378" s="51"/>
    </row>
    <row r="1379" spans="1:34">
      <c r="L1379" s="123"/>
    </row>
    <row r="1380" spans="1:34">
      <c r="L1380" s="123"/>
    </row>
    <row r="1381" spans="1:34">
      <c r="L1381" s="123"/>
    </row>
    <row r="1382" spans="1:34">
      <c r="L1382" s="123"/>
    </row>
    <row r="1383" spans="1:34">
      <c r="L1383" s="123"/>
    </row>
    <row r="1384" spans="1:34">
      <c r="L1384" s="123"/>
    </row>
    <row r="1385" spans="1:34">
      <c r="L1385" s="123"/>
    </row>
    <row r="1386" spans="1:34">
      <c r="L1386" s="123"/>
    </row>
    <row r="1387" spans="1:34">
      <c r="L1387" s="123"/>
    </row>
    <row r="1388" spans="1:34" ht="26.25">
      <c r="A1388" s="245"/>
      <c r="B1388" s="245"/>
      <c r="C1388" s="245"/>
      <c r="D1388" s="245"/>
      <c r="E1388" s="245"/>
      <c r="F1388" s="279"/>
      <c r="H1388" s="245"/>
      <c r="I1388" s="245"/>
      <c r="L1388" s="123"/>
      <c r="S1388" s="325"/>
      <c r="T1388" s="85" ph="1"/>
      <c r="V1388" s="216"/>
      <c r="Y1388" s="245"/>
      <c r="Z1388" s="245"/>
      <c r="AA1388" s="329"/>
      <c r="AC1388" s="245"/>
      <c r="AD1388" s="187"/>
      <c r="AE1388" s="361"/>
      <c r="AF1388" s="7"/>
      <c r="AH1388" s="245"/>
    </row>
    <row r="1389" spans="1:34">
      <c r="A1389" s="245"/>
      <c r="L1389" s="245"/>
      <c r="W1389" s="245"/>
      <c r="X1389" s="187"/>
    </row>
    <row r="1390" spans="1:34">
      <c r="L1390" s="26"/>
    </row>
    <row r="1391" spans="1:34">
      <c r="L1391" s="245"/>
    </row>
    <row r="1392" spans="1:34">
      <c r="L1392" s="123"/>
    </row>
    <row r="1393" spans="1:34">
      <c r="L1393" s="123"/>
    </row>
    <row r="1394" spans="1:34">
      <c r="L1394" s="123"/>
    </row>
    <row r="1395" spans="1:34">
      <c r="A1395" s="245"/>
      <c r="G1395" s="245"/>
      <c r="L1395" s="123"/>
    </row>
    <row r="1396" spans="1:34">
      <c r="L1396" s="123"/>
    </row>
    <row r="1397" spans="1:34">
      <c r="L1397" s="123"/>
    </row>
    <row r="1398" spans="1:34" ht="26.25">
      <c r="A1398" s="245"/>
      <c r="B1398" s="245"/>
      <c r="C1398" s="245"/>
      <c r="D1398" s="245"/>
      <c r="E1398" s="245"/>
      <c r="F1398" s="279"/>
      <c r="H1398" s="245"/>
      <c r="I1398" s="245"/>
      <c r="L1398" s="123"/>
      <c r="S1398" s="325"/>
      <c r="T1398" s="85" ph="1"/>
      <c r="V1398" s="216"/>
      <c r="Y1398" s="245"/>
      <c r="Z1398" s="245"/>
      <c r="AA1398" s="329"/>
      <c r="AC1398" s="245"/>
      <c r="AD1398" s="187"/>
      <c r="AE1398" s="361"/>
      <c r="AF1398" s="7"/>
      <c r="AH1398" s="245"/>
    </row>
    <row r="1399" spans="1:34">
      <c r="A1399" s="245"/>
      <c r="L1399" s="123"/>
      <c r="W1399" s="245"/>
      <c r="X1399" s="187"/>
    </row>
    <row r="1400" spans="1:34">
      <c r="L1400" s="123"/>
      <c r="R1400" s="363"/>
    </row>
    <row r="1401" spans="1:34">
      <c r="L1401" s="123"/>
    </row>
    <row r="1402" spans="1:34" ht="26.25">
      <c r="A1402" s="245"/>
      <c r="B1402" s="245"/>
      <c r="C1402" s="245"/>
      <c r="D1402" s="245"/>
      <c r="E1402" s="245"/>
      <c r="F1402" s="279"/>
      <c r="H1402" s="245"/>
      <c r="I1402" s="245"/>
      <c r="L1402" s="123"/>
      <c r="S1402" s="325"/>
      <c r="T1402" s="85" ph="1"/>
      <c r="V1402" s="216"/>
      <c r="Y1402" s="245"/>
      <c r="Z1402" s="245"/>
      <c r="AA1402" s="329"/>
      <c r="AC1402" s="245"/>
      <c r="AD1402" s="187"/>
      <c r="AE1402" s="361"/>
      <c r="AF1402" s="7"/>
      <c r="AH1402" s="245"/>
    </row>
    <row r="1403" spans="1:34">
      <c r="A1403" s="245"/>
      <c r="L1403" s="123"/>
      <c r="W1403" s="245"/>
      <c r="X1403" s="187"/>
    </row>
    <row r="1404" spans="1:34">
      <c r="L1404" s="123"/>
    </row>
    <row r="1405" spans="1:34">
      <c r="A1405" s="245"/>
      <c r="G1405" s="245"/>
      <c r="L1405" s="123"/>
    </row>
    <row r="1406" spans="1:34">
      <c r="L1406" s="123"/>
    </row>
    <row r="1407" spans="1:34" ht="26.25">
      <c r="A1407" s="245"/>
      <c r="B1407" s="245"/>
      <c r="C1407" s="245"/>
      <c r="D1407" s="245"/>
      <c r="E1407" s="245"/>
      <c r="F1407" s="279"/>
      <c r="H1407" s="245"/>
      <c r="I1407" s="245"/>
      <c r="L1407" s="123"/>
      <c r="S1407" s="325"/>
      <c r="T1407" s="85" ph="1"/>
      <c r="V1407" s="216"/>
      <c r="Y1407" s="245"/>
      <c r="Z1407" s="245"/>
      <c r="AA1407" s="329"/>
      <c r="AC1407" s="245"/>
      <c r="AD1407" s="187"/>
      <c r="AE1407" s="361"/>
      <c r="AF1407" s="7"/>
      <c r="AH1407" s="245"/>
    </row>
    <row r="1408" spans="1:34" ht="26.25">
      <c r="A1408" s="245"/>
      <c r="B1408" s="245"/>
      <c r="C1408" s="245"/>
      <c r="D1408" s="245"/>
      <c r="E1408" s="245"/>
      <c r="F1408" s="279"/>
      <c r="H1408" s="245"/>
      <c r="I1408" s="245"/>
      <c r="L1408" s="123"/>
      <c r="S1408" s="325"/>
      <c r="T1408" s="85" ph="1"/>
      <c r="V1408" s="216"/>
      <c r="W1408" s="245"/>
      <c r="X1408" s="187"/>
      <c r="Y1408" s="245"/>
      <c r="Z1408" s="245"/>
      <c r="AA1408" s="329"/>
      <c r="AC1408" s="245"/>
      <c r="AD1408" s="187"/>
      <c r="AE1408" s="361"/>
      <c r="AF1408" s="7"/>
      <c r="AH1408" s="245"/>
    </row>
    <row r="1409" spans="1:34" ht="26.25">
      <c r="A1409" s="245"/>
      <c r="B1409" s="245"/>
      <c r="C1409" s="245"/>
      <c r="D1409" s="245"/>
      <c r="E1409" s="245"/>
      <c r="F1409" s="279"/>
      <c r="G1409" s="245"/>
      <c r="H1409" s="245"/>
      <c r="I1409" s="245"/>
      <c r="L1409" s="123"/>
      <c r="S1409" s="325"/>
      <c r="T1409" s="85" ph="1"/>
      <c r="V1409" s="216"/>
      <c r="W1409" s="245"/>
      <c r="X1409" s="187"/>
      <c r="Y1409" s="245"/>
      <c r="Z1409" s="245"/>
      <c r="AA1409" s="329"/>
      <c r="AC1409" s="245"/>
      <c r="AD1409" s="187"/>
      <c r="AE1409" s="361"/>
      <c r="AF1409" s="7"/>
      <c r="AH1409" s="245"/>
    </row>
    <row r="1410" spans="1:34">
      <c r="A1410" s="245"/>
      <c r="L1410" s="123"/>
      <c r="R1410" s="363"/>
      <c r="W1410" s="245"/>
      <c r="X1410" s="187"/>
    </row>
    <row r="1411" spans="1:34" ht="26.25">
      <c r="A1411" s="245"/>
      <c r="B1411" s="245"/>
      <c r="C1411" s="245"/>
      <c r="D1411" s="245"/>
      <c r="E1411" s="245"/>
      <c r="F1411" s="279"/>
      <c r="H1411" s="245"/>
      <c r="I1411" s="245"/>
      <c r="L1411" s="123"/>
      <c r="S1411" s="325"/>
      <c r="T1411" s="85" ph="1"/>
      <c r="V1411" s="216"/>
      <c r="Y1411" s="245"/>
      <c r="Z1411" s="245"/>
      <c r="AA1411" s="329"/>
      <c r="AC1411" s="245"/>
      <c r="AD1411" s="187"/>
      <c r="AE1411" s="361"/>
      <c r="AF1411" s="7"/>
      <c r="AH1411" s="245"/>
    </row>
    <row r="1412" spans="1:34" ht="26.25">
      <c r="A1412" s="245"/>
      <c r="B1412" s="245"/>
      <c r="C1412" s="245"/>
      <c r="D1412" s="245"/>
      <c r="E1412" s="245"/>
      <c r="F1412" s="279"/>
      <c r="H1412" s="245"/>
      <c r="I1412" s="245"/>
      <c r="L1412" s="123"/>
      <c r="S1412" s="325"/>
      <c r="T1412" s="85" ph="1"/>
      <c r="V1412" s="216"/>
      <c r="W1412" s="245"/>
      <c r="X1412" s="187"/>
      <c r="Y1412" s="245"/>
      <c r="Z1412" s="245"/>
      <c r="AA1412" s="329"/>
      <c r="AC1412" s="245"/>
      <c r="AD1412" s="187"/>
      <c r="AE1412" s="361"/>
      <c r="AF1412" s="7"/>
      <c r="AH1412" s="245"/>
    </row>
    <row r="1413" spans="1:34">
      <c r="A1413" s="245"/>
      <c r="L1413" s="245"/>
      <c r="W1413" s="245"/>
      <c r="X1413" s="187"/>
    </row>
    <row r="1414" spans="1:34" ht="26.25">
      <c r="A1414" s="245"/>
      <c r="B1414" s="245"/>
      <c r="C1414" s="245"/>
      <c r="D1414" s="245"/>
      <c r="E1414" s="245"/>
      <c r="F1414" s="279"/>
      <c r="G1414" s="245"/>
      <c r="H1414" s="245"/>
      <c r="I1414" s="245"/>
      <c r="L1414" s="245"/>
      <c r="R1414" s="363"/>
      <c r="S1414" s="325"/>
      <c r="T1414" s="85" ph="1"/>
      <c r="V1414" s="216"/>
      <c r="Y1414" s="245"/>
      <c r="Z1414" s="245"/>
      <c r="AA1414" s="329"/>
      <c r="AC1414" s="245"/>
      <c r="AD1414" s="187"/>
      <c r="AE1414" s="361"/>
      <c r="AF1414" s="7"/>
      <c r="AH1414" s="245"/>
    </row>
    <row r="1415" spans="1:34">
      <c r="A1415" s="245"/>
      <c r="G1415" s="245"/>
      <c r="L1415" s="27"/>
      <c r="W1415" s="245"/>
      <c r="X1415" s="187"/>
    </row>
    <row r="1416" spans="1:34" ht="26.25">
      <c r="A1416" s="245"/>
      <c r="B1416" s="245"/>
      <c r="C1416" s="245"/>
      <c r="D1416" s="245"/>
      <c r="E1416" s="245"/>
      <c r="F1416" s="279"/>
      <c r="G1416" s="245"/>
      <c r="H1416" s="245"/>
      <c r="I1416" s="245"/>
      <c r="L1416" s="123"/>
      <c r="S1416" s="325"/>
      <c r="T1416" s="85" ph="1"/>
      <c r="V1416" s="216"/>
      <c r="Y1416" s="245"/>
      <c r="Z1416" s="245"/>
      <c r="AA1416" s="329"/>
      <c r="AC1416" s="245"/>
      <c r="AD1416" s="187"/>
      <c r="AE1416" s="361"/>
      <c r="AF1416" s="7"/>
      <c r="AH1416" s="245"/>
    </row>
    <row r="1417" spans="1:34" ht="26.25">
      <c r="A1417" s="245"/>
      <c r="B1417" s="245"/>
      <c r="C1417" s="245"/>
      <c r="D1417" s="245"/>
      <c r="E1417" s="245"/>
      <c r="F1417" s="279"/>
      <c r="H1417" s="245"/>
      <c r="I1417" s="245"/>
      <c r="L1417" s="123"/>
      <c r="S1417" s="325"/>
      <c r="T1417" s="85" ph="1"/>
      <c r="V1417" s="216"/>
      <c r="W1417" s="245"/>
      <c r="X1417" s="187"/>
      <c r="Y1417" s="245"/>
      <c r="Z1417" s="245"/>
      <c r="AA1417" s="329"/>
      <c r="AC1417" s="245"/>
      <c r="AD1417" s="187"/>
      <c r="AE1417" s="361"/>
      <c r="AF1417" s="7"/>
      <c r="AH1417" s="245"/>
    </row>
    <row r="1418" spans="1:34" ht="26.25">
      <c r="A1418" s="245"/>
      <c r="B1418" s="245"/>
      <c r="C1418" s="245"/>
      <c r="D1418" s="245"/>
      <c r="E1418" s="245"/>
      <c r="F1418" s="279"/>
      <c r="G1418" s="245"/>
      <c r="H1418" s="245"/>
      <c r="I1418" s="245"/>
      <c r="L1418" s="123"/>
      <c r="S1418" s="325"/>
      <c r="T1418" s="85" ph="1"/>
      <c r="V1418" s="216"/>
      <c r="W1418" s="245"/>
      <c r="X1418" s="187"/>
      <c r="Y1418" s="245"/>
      <c r="Z1418" s="245"/>
      <c r="AA1418" s="329"/>
      <c r="AC1418" s="245"/>
      <c r="AD1418" s="187"/>
      <c r="AE1418" s="361"/>
      <c r="AF1418" s="7"/>
      <c r="AH1418" s="245"/>
    </row>
    <row r="1419" spans="1:34" ht="26.25">
      <c r="A1419" s="245"/>
      <c r="B1419" s="245"/>
      <c r="C1419" s="245"/>
      <c r="D1419" s="245"/>
      <c r="E1419" s="245"/>
      <c r="F1419" s="279"/>
      <c r="G1419" s="245"/>
      <c r="H1419" s="245"/>
      <c r="I1419" s="245"/>
      <c r="L1419" s="123"/>
      <c r="R1419" s="363"/>
      <c r="S1419" s="325"/>
      <c r="T1419" s="85" ph="1"/>
      <c r="V1419" s="216"/>
      <c r="W1419" s="245"/>
      <c r="X1419" s="187"/>
      <c r="Y1419" s="245"/>
      <c r="Z1419" s="245"/>
      <c r="AA1419" s="329"/>
      <c r="AC1419" s="245"/>
      <c r="AD1419" s="187"/>
      <c r="AE1419" s="361"/>
      <c r="AF1419" s="7"/>
      <c r="AH1419" s="245"/>
    </row>
    <row r="1420" spans="1:34" ht="26.25">
      <c r="A1420" s="245"/>
      <c r="B1420" s="245"/>
      <c r="C1420" s="245"/>
      <c r="D1420" s="245"/>
      <c r="E1420" s="245"/>
      <c r="F1420" s="279"/>
      <c r="H1420" s="245"/>
      <c r="I1420" s="245"/>
      <c r="L1420" s="123"/>
      <c r="R1420" s="363"/>
      <c r="S1420" s="325"/>
      <c r="T1420" s="85" ph="1"/>
      <c r="V1420" s="216"/>
      <c r="W1420" s="245"/>
      <c r="X1420" s="187"/>
      <c r="Y1420" s="245"/>
      <c r="Z1420" s="245"/>
      <c r="AA1420" s="329"/>
      <c r="AC1420" s="245"/>
      <c r="AD1420" s="187"/>
      <c r="AE1420" s="361"/>
      <c r="AF1420" s="7"/>
      <c r="AH1420" s="245"/>
    </row>
    <row r="1421" spans="1:34" ht="26.25">
      <c r="A1421" s="245"/>
      <c r="B1421" s="245"/>
      <c r="C1421" s="245"/>
      <c r="D1421" s="245"/>
      <c r="E1421" s="245"/>
      <c r="F1421" s="279"/>
      <c r="G1421" s="245"/>
      <c r="H1421" s="245"/>
      <c r="I1421" s="245"/>
      <c r="L1421" s="123"/>
      <c r="R1421" s="363"/>
      <c r="S1421" s="325"/>
      <c r="T1421" s="85" ph="1"/>
      <c r="V1421" s="216"/>
      <c r="W1421" s="245"/>
      <c r="X1421" s="187"/>
      <c r="Y1421" s="245"/>
      <c r="Z1421" s="245"/>
      <c r="AA1421" s="329"/>
      <c r="AC1421" s="245"/>
      <c r="AD1421" s="187"/>
      <c r="AE1421" s="361"/>
      <c r="AF1421" s="7"/>
      <c r="AH1421" s="245"/>
    </row>
    <row r="1422" spans="1:34" ht="26.25">
      <c r="A1422" s="245"/>
      <c r="B1422" s="245"/>
      <c r="C1422" s="245"/>
      <c r="D1422" s="245"/>
      <c r="E1422" s="245"/>
      <c r="F1422" s="279"/>
      <c r="H1422" s="245"/>
      <c r="I1422" s="245"/>
      <c r="L1422" s="123"/>
      <c r="S1422" s="325"/>
      <c r="T1422" s="85" ph="1"/>
      <c r="V1422" s="216"/>
      <c r="W1422" s="245"/>
      <c r="X1422" s="187"/>
      <c r="Y1422" s="245"/>
      <c r="Z1422" s="245"/>
      <c r="AA1422" s="329"/>
      <c r="AC1422" s="245"/>
      <c r="AD1422" s="187"/>
      <c r="AE1422" s="361"/>
      <c r="AF1422" s="7"/>
      <c r="AH1422" s="245"/>
    </row>
    <row r="1423" spans="1:34" ht="26.25">
      <c r="A1423" s="245"/>
      <c r="B1423" s="245"/>
      <c r="C1423" s="245"/>
      <c r="D1423" s="245"/>
      <c r="E1423" s="245"/>
      <c r="F1423" s="279"/>
      <c r="G1423" s="245"/>
      <c r="H1423" s="245"/>
      <c r="I1423" s="245"/>
      <c r="L1423" s="123"/>
      <c r="R1423" s="363"/>
      <c r="S1423" s="325"/>
      <c r="T1423" s="85" ph="1"/>
      <c r="V1423" s="216"/>
      <c r="W1423" s="245"/>
      <c r="X1423" s="187"/>
      <c r="Y1423" s="245"/>
      <c r="Z1423" s="245"/>
      <c r="AA1423" s="329"/>
      <c r="AC1423" s="245"/>
      <c r="AD1423" s="187"/>
      <c r="AE1423" s="361"/>
      <c r="AF1423" s="7"/>
      <c r="AH1423" s="245"/>
    </row>
    <row r="1424" spans="1:34" ht="26.25">
      <c r="A1424" s="245"/>
      <c r="G1424" s="245"/>
      <c r="L1424" s="123"/>
      <c r="R1424" s="363"/>
      <c r="T1424" s="85" ph="1"/>
      <c r="W1424" s="245"/>
      <c r="X1424" s="187"/>
    </row>
    <row r="1425" spans="1:34" ht="26.25">
      <c r="A1425" s="245"/>
      <c r="G1425" s="245"/>
      <c r="L1425" s="123"/>
      <c r="T1425" s="85" ph="1"/>
    </row>
    <row r="1426" spans="1:34">
      <c r="A1426" s="245"/>
      <c r="G1426" s="245"/>
      <c r="L1426" s="123"/>
      <c r="R1426" s="363"/>
    </row>
    <row r="1427" spans="1:34" ht="26.25">
      <c r="A1427" s="245"/>
      <c r="G1427" s="245"/>
      <c r="L1427" s="123"/>
      <c r="T1427" s="85" ph="1"/>
    </row>
    <row r="1428" spans="1:34" ht="26.25">
      <c r="A1428" s="245"/>
      <c r="G1428" s="245"/>
      <c r="L1428" s="123"/>
      <c r="R1428" s="363"/>
      <c r="T1428" s="85" ph="1"/>
    </row>
    <row r="1429" spans="1:34" ht="26.25">
      <c r="A1429" s="245"/>
      <c r="G1429" s="245"/>
      <c r="L1429" s="245"/>
      <c r="R1429" s="363"/>
      <c r="T1429" s="85" ph="1"/>
    </row>
    <row r="1430" spans="1:34" ht="26.25">
      <c r="A1430" s="245"/>
      <c r="G1430" s="245"/>
      <c r="L1430" s="123"/>
      <c r="R1430" s="363"/>
      <c r="T1430" s="85" ph="1"/>
    </row>
    <row r="1431" spans="1:34" ht="26.25">
      <c r="A1431" s="245"/>
      <c r="L1431" s="123"/>
      <c r="R1431" s="363"/>
      <c r="T1431" s="85" ph="1"/>
    </row>
    <row r="1432" spans="1:34" ht="26.25">
      <c r="A1432" s="245"/>
      <c r="B1432" s="245"/>
      <c r="C1432" s="245"/>
      <c r="D1432" s="245"/>
      <c r="E1432" s="245"/>
      <c r="F1432" s="279"/>
      <c r="G1432" s="245"/>
      <c r="H1432" s="245"/>
      <c r="I1432" s="245"/>
      <c r="L1432" s="123"/>
      <c r="R1432" s="363"/>
      <c r="S1432" s="325"/>
      <c r="T1432" s="85" ph="1"/>
      <c r="V1432" s="216"/>
      <c r="W1432" s="245"/>
      <c r="X1432" s="187"/>
      <c r="Y1432" s="245"/>
      <c r="Z1432" s="245"/>
      <c r="AA1432" s="329"/>
      <c r="AC1432" s="245"/>
      <c r="AD1432" s="187"/>
      <c r="AE1432" s="361"/>
      <c r="AF1432" s="245"/>
      <c r="AH1432" s="245"/>
    </row>
    <row r="1433" spans="1:34" ht="26.25">
      <c r="A1433" s="245"/>
      <c r="B1433" s="245"/>
      <c r="C1433" s="245"/>
      <c r="D1433" s="245"/>
      <c r="E1433" s="245"/>
      <c r="F1433" s="279"/>
      <c r="G1433" s="245"/>
      <c r="H1433" s="245"/>
      <c r="I1433" s="245"/>
      <c r="L1433" s="123"/>
      <c r="R1433" s="363"/>
      <c r="S1433" s="325"/>
      <c r="T1433" s="85" ph="1"/>
      <c r="V1433" s="216"/>
      <c r="W1433" s="245"/>
      <c r="X1433" s="187"/>
      <c r="Y1433" s="245"/>
      <c r="Z1433" s="245"/>
      <c r="AA1433" s="329"/>
      <c r="AC1433" s="245"/>
      <c r="AD1433" s="187"/>
      <c r="AE1433" s="361"/>
      <c r="AF1433" s="245"/>
      <c r="AH1433" s="245"/>
    </row>
    <row r="1434" spans="1:34" ht="26.25">
      <c r="A1434" s="245"/>
      <c r="B1434" s="245"/>
      <c r="C1434" s="245"/>
      <c r="D1434" s="245"/>
      <c r="E1434" s="245"/>
      <c r="F1434" s="279"/>
      <c r="G1434" s="245"/>
      <c r="H1434" s="245"/>
      <c r="I1434" s="245"/>
      <c r="L1434" s="123"/>
      <c r="R1434" s="363"/>
      <c r="S1434" s="325"/>
      <c r="T1434" s="85" ph="1"/>
      <c r="V1434" s="216"/>
      <c r="W1434" s="245"/>
      <c r="X1434" s="187"/>
      <c r="Y1434" s="245"/>
      <c r="Z1434" s="245"/>
      <c r="AA1434" s="329"/>
      <c r="AC1434" s="245"/>
      <c r="AD1434" s="187"/>
      <c r="AE1434" s="361"/>
      <c r="AF1434" s="245"/>
      <c r="AH1434" s="245"/>
    </row>
    <row r="1435" spans="1:34">
      <c r="L1435" s="123"/>
      <c r="R1435" s="363"/>
    </row>
    <row r="1436" spans="1:34" ht="26.25">
      <c r="A1436" s="245"/>
      <c r="B1436" s="245"/>
      <c r="C1436" s="245"/>
      <c r="D1436" s="245"/>
      <c r="E1436" s="245"/>
      <c r="F1436" s="279"/>
      <c r="G1436" s="245"/>
      <c r="H1436" s="245"/>
      <c r="I1436" s="245"/>
      <c r="L1436" s="123"/>
      <c r="S1436" s="325"/>
      <c r="T1436" s="85" ph="1"/>
      <c r="V1436" s="216"/>
      <c r="W1436" s="245"/>
      <c r="X1436" s="187"/>
      <c r="Y1436" s="245"/>
      <c r="Z1436" s="245"/>
      <c r="AA1436" s="329"/>
      <c r="AC1436" s="245"/>
      <c r="AD1436" s="187"/>
      <c r="AE1436" s="361"/>
      <c r="AF1436" s="245"/>
      <c r="AH1436" s="245"/>
    </row>
    <row r="1437" spans="1:34" ht="26.25">
      <c r="A1437" s="245"/>
      <c r="B1437" s="245"/>
      <c r="C1437" s="245"/>
      <c r="D1437" s="245"/>
      <c r="E1437" s="245"/>
      <c r="F1437" s="279"/>
      <c r="G1437" s="245"/>
      <c r="H1437" s="245"/>
      <c r="I1437" s="245"/>
      <c r="L1437" s="123"/>
      <c r="S1437" s="325"/>
      <c r="T1437" s="85" ph="1"/>
      <c r="V1437" s="216"/>
      <c r="W1437" s="245"/>
      <c r="X1437" s="187"/>
      <c r="Y1437" s="245"/>
      <c r="Z1437" s="245"/>
      <c r="AA1437" s="329"/>
      <c r="AC1437" s="245"/>
      <c r="AD1437" s="187"/>
      <c r="AE1437" s="361"/>
      <c r="AF1437" s="245"/>
      <c r="AH1437" s="245"/>
    </row>
    <row r="1438" spans="1:34" ht="26.25">
      <c r="A1438" s="245"/>
      <c r="B1438" s="245"/>
      <c r="C1438" s="245"/>
      <c r="D1438" s="245"/>
      <c r="E1438" s="245"/>
      <c r="F1438" s="279"/>
      <c r="G1438" s="245"/>
      <c r="H1438" s="245"/>
      <c r="I1438" s="245"/>
      <c r="L1438" s="123"/>
      <c r="S1438" s="325"/>
      <c r="T1438" s="85" ph="1"/>
      <c r="V1438" s="216"/>
      <c r="W1438" s="245"/>
      <c r="X1438" s="187"/>
      <c r="Y1438" s="245"/>
      <c r="Z1438" s="245"/>
      <c r="AA1438" s="329"/>
      <c r="AC1438" s="245"/>
      <c r="AD1438" s="187"/>
      <c r="AE1438" s="361"/>
      <c r="AF1438" s="245"/>
      <c r="AH1438" s="245"/>
    </row>
    <row r="1439" spans="1:34" ht="26.25">
      <c r="A1439" s="245"/>
      <c r="B1439" s="245"/>
      <c r="C1439" s="245"/>
      <c r="D1439" s="245"/>
      <c r="E1439" s="245"/>
      <c r="F1439" s="279"/>
      <c r="G1439" s="245"/>
      <c r="H1439" s="245"/>
      <c r="I1439" s="245"/>
      <c r="L1439" s="123"/>
      <c r="S1439" s="325"/>
      <c r="T1439" s="85" ph="1"/>
      <c r="V1439" s="216"/>
      <c r="W1439" s="245"/>
      <c r="X1439" s="187"/>
      <c r="Y1439" s="245"/>
      <c r="Z1439" s="245"/>
      <c r="AA1439" s="329"/>
      <c r="AC1439" s="245"/>
      <c r="AD1439" s="187"/>
      <c r="AE1439" s="361"/>
      <c r="AF1439" s="245"/>
      <c r="AH1439" s="245"/>
    </row>
    <row r="1440" spans="1:34">
      <c r="L1440" s="123"/>
    </row>
    <row r="1441" spans="12:18">
      <c r="L1441" s="27"/>
    </row>
    <row r="1442" spans="12:18">
      <c r="L1442" s="123"/>
    </row>
    <row r="1443" spans="12:18">
      <c r="L1443" s="123"/>
    </row>
    <row r="1444" spans="12:18">
      <c r="L1444" s="123"/>
      <c r="R1444" s="363"/>
    </row>
    <row r="1445" spans="12:18">
      <c r="L1445" s="123"/>
      <c r="R1445" s="363"/>
    </row>
    <row r="1446" spans="12:18">
      <c r="L1446" s="123"/>
      <c r="R1446" s="363"/>
    </row>
    <row r="1447" spans="12:18">
      <c r="L1447" s="123"/>
    </row>
    <row r="1448" spans="12:18">
      <c r="L1448" s="120"/>
      <c r="R1448" s="363"/>
    </row>
    <row r="1449" spans="12:18">
      <c r="L1449" s="123"/>
      <c r="R1449" s="363"/>
    </row>
    <row r="1450" spans="12:18">
      <c r="L1450" s="123"/>
      <c r="R1450" s="363"/>
    </row>
    <row r="1451" spans="12:18">
      <c r="L1451" s="123"/>
      <c r="R1451" s="363"/>
    </row>
    <row r="1452" spans="12:18">
      <c r="L1452" s="123"/>
    </row>
    <row r="1453" spans="12:18">
      <c r="L1453" s="123"/>
    </row>
    <row r="1454" spans="12:18">
      <c r="L1454" s="123"/>
    </row>
    <row r="1455" spans="12:18">
      <c r="L1455" s="123"/>
    </row>
    <row r="1456" spans="12:18">
      <c r="L1456" s="123"/>
    </row>
    <row r="1457" spans="12:12">
      <c r="L1457" s="123"/>
    </row>
    <row r="1458" spans="12:12">
      <c r="L1458" s="123"/>
    </row>
    <row r="1459" spans="12:12">
      <c r="L1459" s="123"/>
    </row>
    <row r="1460" spans="12:12">
      <c r="L1460" s="123"/>
    </row>
    <row r="1461" spans="12:12">
      <c r="L1461" s="123"/>
    </row>
    <row r="1462" spans="12:12">
      <c r="L1462" s="123"/>
    </row>
    <row r="1463" spans="12:12">
      <c r="L1463" s="123"/>
    </row>
    <row r="1464" spans="12:12">
      <c r="L1464" s="123"/>
    </row>
    <row r="1465" spans="12:12">
      <c r="L1465" s="123"/>
    </row>
    <row r="1466" spans="12:12">
      <c r="L1466" s="123"/>
    </row>
    <row r="1467" spans="12:12">
      <c r="L1467" s="123"/>
    </row>
    <row r="1468" spans="12:12">
      <c r="L1468" s="123"/>
    </row>
    <row r="1469" spans="12:12">
      <c r="L1469" s="123"/>
    </row>
    <row r="1470" spans="12:12">
      <c r="L1470" s="123"/>
    </row>
    <row r="1471" spans="12:12">
      <c r="L1471" s="123"/>
    </row>
    <row r="1472" spans="12:12">
      <c r="L1472" s="123"/>
    </row>
    <row r="1473" spans="12:17">
      <c r="L1473" s="123"/>
    </row>
    <row r="1474" spans="12:17">
      <c r="L1474" s="123"/>
    </row>
    <row r="1475" spans="12:17">
      <c r="L1475" s="123"/>
    </row>
    <row r="1476" spans="12:17">
      <c r="L1476" s="123"/>
    </row>
    <row r="1477" spans="12:17">
      <c r="L1477" s="123"/>
    </row>
    <row r="1478" spans="12:17">
      <c r="L1478" s="123"/>
    </row>
    <row r="1479" spans="12:17">
      <c r="L1479" s="123"/>
    </row>
    <row r="1480" spans="12:17">
      <c r="L1480" s="123"/>
      <c r="O1480" s="360"/>
      <c r="Q1480" s="351"/>
    </row>
    <row r="1481" spans="12:17">
      <c r="L1481" s="123"/>
    </row>
    <row r="1482" spans="12:17">
      <c r="L1482" s="123"/>
    </row>
    <row r="1483" spans="12:17">
      <c r="L1483" s="123"/>
    </row>
    <row r="1484" spans="12:17">
      <c r="L1484" s="123"/>
    </row>
    <row r="1485" spans="12:17">
      <c r="L1485" s="123"/>
    </row>
    <row r="1486" spans="12:17">
      <c r="L1486" s="123"/>
    </row>
    <row r="1487" spans="12:17">
      <c r="L1487" s="123"/>
    </row>
    <row r="1488" spans="12:17">
      <c r="L1488" s="245"/>
    </row>
    <row r="1489" spans="12:17">
      <c r="L1489" s="123"/>
    </row>
    <row r="1490" spans="12:17">
      <c r="L1490" s="123"/>
      <c r="O1490" s="360"/>
      <c r="Q1490" s="351"/>
    </row>
    <row r="1491" spans="12:17">
      <c r="L1491" s="123"/>
    </row>
    <row r="1492" spans="12:17">
      <c r="L1492" s="123"/>
    </row>
    <row r="1493" spans="12:17">
      <c r="L1493" s="247"/>
    </row>
    <row r="1494" spans="12:17">
      <c r="L1494" s="123"/>
      <c r="O1494" s="360"/>
      <c r="Q1494" s="351"/>
    </row>
    <row r="1495" spans="12:17">
      <c r="L1495" s="123"/>
    </row>
    <row r="1496" spans="12:17">
      <c r="L1496" s="123"/>
    </row>
    <row r="1497" spans="12:17">
      <c r="L1497" s="123"/>
    </row>
    <row r="1498" spans="12:17">
      <c r="L1498" s="123"/>
    </row>
    <row r="1499" spans="12:17">
      <c r="L1499" s="123"/>
      <c r="O1499" s="360"/>
      <c r="Q1499" s="351"/>
    </row>
    <row r="1500" spans="12:17">
      <c r="L1500" s="211"/>
      <c r="O1500" s="360"/>
      <c r="Q1500" s="351"/>
    </row>
    <row r="1501" spans="12:17">
      <c r="L1501" s="123"/>
      <c r="O1501" s="360"/>
      <c r="Q1501" s="351"/>
    </row>
    <row r="1502" spans="12:17">
      <c r="L1502" s="123"/>
    </row>
    <row r="1503" spans="12:17">
      <c r="L1503" s="123"/>
      <c r="O1503" s="360"/>
      <c r="Q1503" s="351"/>
    </row>
    <row r="1504" spans="12:17">
      <c r="L1504" s="123"/>
      <c r="O1504" s="360"/>
      <c r="Q1504" s="351"/>
    </row>
    <row r="1505" spans="12:17">
      <c r="L1505" s="123"/>
    </row>
    <row r="1506" spans="12:17">
      <c r="L1506" s="123"/>
      <c r="O1506" s="360"/>
      <c r="Q1506" s="351"/>
    </row>
    <row r="1507" spans="12:17">
      <c r="L1507" s="123"/>
    </row>
    <row r="1508" spans="12:17">
      <c r="L1508" s="123"/>
      <c r="O1508" s="360"/>
      <c r="Q1508" s="351"/>
    </row>
    <row r="1509" spans="12:17">
      <c r="L1509" s="123"/>
      <c r="O1509" s="360"/>
      <c r="Q1509" s="351"/>
    </row>
    <row r="1510" spans="12:17">
      <c r="L1510" s="123"/>
      <c r="O1510" s="360"/>
      <c r="Q1510" s="351"/>
    </row>
    <row r="1511" spans="12:17">
      <c r="L1511" s="245"/>
      <c r="O1511" s="360"/>
      <c r="Q1511" s="351"/>
    </row>
    <row r="1512" spans="12:17">
      <c r="L1512" s="123"/>
      <c r="O1512" s="360"/>
      <c r="Q1512" s="351"/>
    </row>
    <row r="1513" spans="12:17">
      <c r="L1513" s="123"/>
      <c r="O1513" s="360"/>
      <c r="Q1513" s="351"/>
    </row>
    <row r="1514" spans="12:17">
      <c r="L1514" s="123"/>
      <c r="O1514" s="360"/>
      <c r="Q1514" s="351"/>
    </row>
    <row r="1515" spans="12:17">
      <c r="L1515" s="123"/>
      <c r="O1515" s="360"/>
      <c r="Q1515" s="351"/>
    </row>
    <row r="1516" spans="12:17">
      <c r="L1516" s="123"/>
      <c r="O1516" s="360"/>
      <c r="Q1516" s="351"/>
    </row>
    <row r="1517" spans="12:17">
      <c r="L1517" s="123"/>
      <c r="O1517" s="360"/>
      <c r="Q1517" s="351"/>
    </row>
    <row r="1518" spans="12:17">
      <c r="L1518" s="123"/>
    </row>
    <row r="1519" spans="12:17">
      <c r="L1519" s="123"/>
      <c r="O1519" s="360"/>
      <c r="Q1519" s="351"/>
    </row>
    <row r="1520" spans="12:17">
      <c r="L1520" s="123"/>
      <c r="O1520" s="360"/>
      <c r="Q1520" s="351"/>
    </row>
    <row r="1521" spans="12:17">
      <c r="L1521" s="123"/>
      <c r="O1521" s="360"/>
      <c r="Q1521" s="351"/>
    </row>
    <row r="1522" spans="12:17">
      <c r="L1522" s="123"/>
      <c r="O1522" s="360"/>
      <c r="Q1522" s="351"/>
    </row>
    <row r="1523" spans="12:17">
      <c r="L1523" s="245"/>
      <c r="O1523" s="360"/>
      <c r="Q1523" s="351"/>
    </row>
    <row r="1524" spans="12:17">
      <c r="L1524" s="123"/>
      <c r="O1524" s="360"/>
      <c r="Q1524" s="351"/>
    </row>
    <row r="1525" spans="12:17">
      <c r="L1525" s="27"/>
      <c r="O1525" s="360"/>
      <c r="Q1525" s="351"/>
    </row>
    <row r="1526" spans="12:17">
      <c r="L1526" s="245"/>
      <c r="O1526" s="360"/>
      <c r="Q1526" s="351"/>
    </row>
    <row r="1527" spans="12:17">
      <c r="L1527" s="123"/>
    </row>
    <row r="1528" spans="12:17">
      <c r="L1528" s="123"/>
      <c r="O1528" s="360"/>
      <c r="Q1528" s="351"/>
    </row>
    <row r="1529" spans="12:17">
      <c r="L1529" s="123"/>
      <c r="O1529" s="360"/>
      <c r="Q1529" s="351"/>
    </row>
    <row r="1530" spans="12:17">
      <c r="L1530" s="123"/>
      <c r="O1530" s="360"/>
      <c r="Q1530" s="351"/>
    </row>
    <row r="1531" spans="12:17">
      <c r="L1531" s="245"/>
      <c r="O1531" s="360"/>
      <c r="Q1531" s="351"/>
    </row>
    <row r="1532" spans="12:17">
      <c r="L1532" s="123"/>
      <c r="O1532" s="360"/>
      <c r="Q1532" s="351"/>
    </row>
    <row r="1533" spans="12:17">
      <c r="L1533" s="123"/>
      <c r="O1533" s="360"/>
      <c r="Q1533" s="351"/>
    </row>
    <row r="1534" spans="12:17">
      <c r="L1534" s="123"/>
      <c r="O1534" s="360"/>
      <c r="Q1534" s="351"/>
    </row>
    <row r="1535" spans="12:17">
      <c r="L1535" s="123"/>
      <c r="O1535" s="360"/>
      <c r="Q1535" s="351"/>
    </row>
    <row r="1536" spans="12:17">
      <c r="L1536" s="123"/>
      <c r="O1536" s="360"/>
      <c r="Q1536" s="351"/>
    </row>
    <row r="1537" spans="12:17">
      <c r="L1537" s="123"/>
      <c r="O1537" s="360"/>
      <c r="Q1537" s="351"/>
    </row>
    <row r="1538" spans="12:17">
      <c r="L1538" s="123"/>
      <c r="O1538" s="360"/>
      <c r="Q1538" s="351"/>
    </row>
    <row r="1539" spans="12:17">
      <c r="L1539" s="123"/>
    </row>
    <row r="1540" spans="12:17">
      <c r="L1540" s="123"/>
      <c r="O1540" s="360"/>
      <c r="Q1540" s="351"/>
    </row>
    <row r="1541" spans="12:17">
      <c r="L1541" s="123"/>
      <c r="O1541" s="360"/>
      <c r="Q1541" s="351"/>
    </row>
    <row r="1542" spans="12:17">
      <c r="L1542" s="123"/>
      <c r="O1542" s="360"/>
      <c r="Q1542" s="351"/>
    </row>
    <row r="1543" spans="12:17">
      <c r="L1543" s="123"/>
      <c r="O1543" s="360"/>
      <c r="Q1543" s="351"/>
    </row>
    <row r="1544" spans="12:17">
      <c r="L1544" s="123"/>
      <c r="O1544" s="360"/>
      <c r="Q1544" s="351"/>
    </row>
    <row r="1545" spans="12:17">
      <c r="L1545" s="123"/>
      <c r="O1545" s="360"/>
      <c r="Q1545" s="351"/>
    </row>
    <row r="1546" spans="12:17">
      <c r="L1546" s="123"/>
      <c r="O1546" s="360"/>
      <c r="Q1546" s="351"/>
    </row>
    <row r="1547" spans="12:17">
      <c r="L1547" s="123"/>
      <c r="O1547" s="360"/>
      <c r="Q1547" s="351"/>
    </row>
    <row r="1548" spans="12:17">
      <c r="L1548" s="123"/>
    </row>
    <row r="1549" spans="12:17">
      <c r="L1549" s="123"/>
      <c r="O1549" s="360"/>
      <c r="Q1549" s="351"/>
    </row>
    <row r="1550" spans="12:17">
      <c r="L1550" s="123"/>
      <c r="O1550" s="360"/>
      <c r="Q1550" s="351"/>
    </row>
    <row r="1551" spans="12:17">
      <c r="L1551" s="245"/>
      <c r="O1551" s="360"/>
      <c r="Q1551" s="351"/>
    </row>
    <row r="1552" spans="12:17">
      <c r="L1552" s="123"/>
      <c r="O1552" s="360"/>
      <c r="Q1552" s="351"/>
    </row>
    <row r="1553" spans="1:34">
      <c r="L1553" s="123"/>
      <c r="O1553" s="360"/>
      <c r="Q1553" s="351"/>
    </row>
    <row r="1554" spans="1:34">
      <c r="L1554" s="123"/>
      <c r="O1554" s="360"/>
      <c r="Q1554" s="351"/>
    </row>
    <row r="1555" spans="1:34">
      <c r="L1555" s="123"/>
      <c r="O1555" s="360"/>
      <c r="Q1555" s="351"/>
    </row>
    <row r="1556" spans="1:34">
      <c r="L1556" s="123"/>
      <c r="O1556" s="360"/>
      <c r="Q1556" s="351"/>
    </row>
    <row r="1557" spans="1:34">
      <c r="L1557" s="123"/>
      <c r="O1557" s="360"/>
      <c r="Q1557" s="351"/>
    </row>
    <row r="1558" spans="1:34">
      <c r="L1558" s="123"/>
      <c r="O1558" s="360"/>
      <c r="Q1558" s="351"/>
    </row>
    <row r="1559" spans="1:34">
      <c r="L1559" s="123"/>
      <c r="O1559" s="360"/>
      <c r="Q1559" s="351"/>
    </row>
    <row r="1560" spans="1:34">
      <c r="L1560" s="123"/>
      <c r="O1560" s="360"/>
      <c r="Q1560" s="351"/>
    </row>
    <row r="1561" spans="1:34">
      <c r="L1561" s="123"/>
      <c r="O1561" s="360"/>
      <c r="Q1561" s="351"/>
    </row>
    <row r="1562" spans="1:34">
      <c r="L1562" s="123"/>
      <c r="O1562" s="360"/>
      <c r="Q1562" s="351"/>
    </row>
    <row r="1563" spans="1:34">
      <c r="L1563" s="123"/>
      <c r="O1563" s="360"/>
      <c r="Q1563" s="351"/>
    </row>
    <row r="1564" spans="1:34">
      <c r="L1564" s="123"/>
      <c r="O1564" s="360"/>
      <c r="Q1564" s="351"/>
    </row>
    <row r="1565" spans="1:34" ht="26.25">
      <c r="A1565" s="245"/>
      <c r="B1565" s="245"/>
      <c r="C1565" s="245"/>
      <c r="D1565" s="245"/>
      <c r="E1565" s="245"/>
      <c r="F1565" s="279"/>
      <c r="G1565" s="245"/>
      <c r="H1565" s="245"/>
      <c r="I1565" s="245"/>
      <c r="L1565" s="123"/>
      <c r="O1565" s="360"/>
      <c r="Q1565" s="351"/>
      <c r="S1565" s="325"/>
      <c r="T1565" s="85" ph="1"/>
      <c r="V1565" s="216"/>
      <c r="W1565" s="245"/>
      <c r="X1565" s="187"/>
      <c r="Y1565" s="245"/>
      <c r="Z1565" s="245"/>
      <c r="AA1565" s="329"/>
      <c r="AC1565" s="245"/>
      <c r="AD1565" s="187"/>
      <c r="AE1565" s="361"/>
      <c r="AF1565" s="245"/>
      <c r="AH1565" s="245"/>
    </row>
    <row r="1566" spans="1:34">
      <c r="L1566" s="123"/>
      <c r="O1566" s="360"/>
      <c r="Q1566" s="351"/>
    </row>
    <row r="1567" spans="1:34">
      <c r="L1567" s="123"/>
      <c r="O1567" s="360"/>
      <c r="Q1567" s="351"/>
    </row>
    <row r="1568" spans="1:34">
      <c r="L1568" s="123"/>
      <c r="O1568" s="360"/>
      <c r="Q1568" s="351"/>
    </row>
    <row r="1569" spans="1:34">
      <c r="L1569" s="123"/>
      <c r="O1569" s="360"/>
      <c r="Q1569" s="351"/>
    </row>
    <row r="1570" spans="1:34">
      <c r="L1570" s="123"/>
      <c r="O1570" s="360"/>
      <c r="Q1570" s="351"/>
    </row>
    <row r="1571" spans="1:34">
      <c r="L1571" s="123"/>
      <c r="O1571" s="360"/>
      <c r="Q1571" s="351"/>
    </row>
    <row r="1572" spans="1:34">
      <c r="L1572" s="123"/>
      <c r="O1572" s="360"/>
      <c r="Q1572" s="351"/>
    </row>
    <row r="1573" spans="1:34">
      <c r="L1573" s="123"/>
      <c r="O1573" s="360"/>
      <c r="Q1573" s="351"/>
    </row>
    <row r="1574" spans="1:34">
      <c r="L1574" s="123"/>
      <c r="O1574" s="360"/>
      <c r="Q1574" s="351"/>
    </row>
    <row r="1575" spans="1:34" ht="26.25">
      <c r="A1575" s="245"/>
      <c r="B1575" s="245"/>
      <c r="C1575" s="245"/>
      <c r="D1575" s="245"/>
      <c r="E1575" s="245"/>
      <c r="F1575" s="279"/>
      <c r="G1575" s="245"/>
      <c r="H1575" s="245"/>
      <c r="I1575" s="245"/>
      <c r="L1575" s="123"/>
      <c r="O1575" s="360"/>
      <c r="Q1575" s="351"/>
      <c r="S1575" s="325"/>
      <c r="T1575" s="85" ph="1"/>
      <c r="V1575" s="216"/>
      <c r="W1575" s="245"/>
      <c r="X1575" s="187"/>
      <c r="Y1575" s="245"/>
      <c r="Z1575" s="245"/>
      <c r="AA1575" s="329"/>
      <c r="AC1575" s="245"/>
      <c r="AD1575" s="187"/>
      <c r="AE1575" s="361"/>
      <c r="AF1575" s="245"/>
      <c r="AH1575" s="245"/>
    </row>
    <row r="1576" spans="1:34">
      <c r="L1576" s="123"/>
      <c r="O1576" s="360"/>
      <c r="Q1576" s="351"/>
    </row>
    <row r="1577" spans="1:34">
      <c r="L1577" s="123"/>
      <c r="O1577" s="360"/>
      <c r="Q1577" s="351"/>
      <c r="R1577" s="363"/>
    </row>
    <row r="1578" spans="1:34">
      <c r="L1578" s="123"/>
      <c r="O1578" s="360"/>
      <c r="Q1578" s="351"/>
    </row>
    <row r="1579" spans="1:34" ht="26.25">
      <c r="A1579" s="245"/>
      <c r="B1579" s="245"/>
      <c r="C1579" s="245"/>
      <c r="D1579" s="245"/>
      <c r="E1579" s="245"/>
      <c r="F1579" s="279"/>
      <c r="G1579" s="245"/>
      <c r="H1579" s="245"/>
      <c r="I1579" s="245"/>
      <c r="L1579" s="123"/>
      <c r="O1579" s="360"/>
      <c r="Q1579" s="351"/>
      <c r="S1579" s="325"/>
      <c r="T1579" s="85" ph="1"/>
      <c r="V1579" s="216"/>
      <c r="W1579" s="245"/>
      <c r="X1579" s="187"/>
      <c r="Y1579" s="245"/>
      <c r="Z1579" s="245"/>
      <c r="AA1579" s="329"/>
      <c r="AC1579" s="245"/>
      <c r="AD1579" s="187"/>
      <c r="AE1579" s="361"/>
      <c r="AF1579" s="245"/>
      <c r="AH1579" s="245"/>
    </row>
    <row r="1580" spans="1:34">
      <c r="L1580" s="123"/>
      <c r="O1580" s="360"/>
      <c r="Q1580" s="351"/>
    </row>
    <row r="1581" spans="1:34">
      <c r="L1581" s="123"/>
      <c r="O1581" s="360"/>
      <c r="Q1581" s="351"/>
    </row>
    <row r="1582" spans="1:34">
      <c r="L1582" s="123"/>
      <c r="O1582" s="360"/>
      <c r="Q1582" s="351"/>
    </row>
    <row r="1583" spans="1:34">
      <c r="L1583" s="123"/>
      <c r="O1583" s="360"/>
      <c r="Q1583" s="351"/>
    </row>
    <row r="1584" spans="1:34" ht="26.25">
      <c r="A1584" s="245"/>
      <c r="B1584" s="245"/>
      <c r="C1584" s="245"/>
      <c r="D1584" s="245"/>
      <c r="E1584" s="245"/>
      <c r="F1584" s="279"/>
      <c r="G1584" s="245"/>
      <c r="H1584" s="245"/>
      <c r="I1584" s="245"/>
      <c r="L1584" s="123"/>
      <c r="O1584" s="360"/>
      <c r="Q1584" s="351"/>
      <c r="S1584" s="325"/>
      <c r="T1584" s="85" ph="1"/>
      <c r="V1584" s="216"/>
      <c r="W1584" s="245"/>
      <c r="X1584" s="187"/>
      <c r="Y1584" s="245"/>
      <c r="Z1584" s="245"/>
      <c r="AA1584" s="329"/>
      <c r="AC1584" s="245"/>
      <c r="AD1584" s="187"/>
      <c r="AE1584" s="361"/>
      <c r="AF1584" s="245"/>
      <c r="AH1584" s="245"/>
    </row>
    <row r="1585" spans="1:34" ht="26.25">
      <c r="A1585" s="245"/>
      <c r="B1585" s="245"/>
      <c r="C1585" s="245"/>
      <c r="D1585" s="245"/>
      <c r="E1585" s="245"/>
      <c r="F1585" s="279"/>
      <c r="G1585" s="245"/>
      <c r="H1585" s="245"/>
      <c r="I1585" s="245"/>
      <c r="L1585" s="123"/>
      <c r="O1585" s="360"/>
      <c r="Q1585" s="351"/>
      <c r="S1585" s="325"/>
      <c r="T1585" s="85" ph="1"/>
      <c r="V1585" s="216"/>
      <c r="W1585" s="245"/>
      <c r="X1585" s="187"/>
      <c r="Y1585" s="245"/>
      <c r="Z1585" s="245"/>
      <c r="AA1585" s="329"/>
      <c r="AC1585" s="245"/>
      <c r="AD1585" s="187"/>
      <c r="AE1585" s="361"/>
      <c r="AF1585" s="245"/>
      <c r="AH1585" s="245"/>
    </row>
    <row r="1586" spans="1:34" ht="26.25">
      <c r="A1586" s="245"/>
      <c r="B1586" s="245"/>
      <c r="C1586" s="245"/>
      <c r="D1586" s="245"/>
      <c r="E1586" s="245"/>
      <c r="F1586" s="279"/>
      <c r="G1586" s="245"/>
      <c r="H1586" s="245"/>
      <c r="I1586" s="245"/>
      <c r="L1586" s="123"/>
      <c r="O1586" s="360"/>
      <c r="Q1586" s="351"/>
      <c r="S1586" s="325"/>
      <c r="T1586" s="85" ph="1"/>
      <c r="V1586" s="216"/>
      <c r="W1586" s="245"/>
      <c r="X1586" s="187"/>
      <c r="Y1586" s="245"/>
      <c r="Z1586" s="245"/>
      <c r="AA1586" s="329"/>
      <c r="AC1586" s="245"/>
      <c r="AD1586" s="187"/>
      <c r="AE1586" s="361"/>
      <c r="AF1586" s="245"/>
      <c r="AH1586" s="245"/>
    </row>
    <row r="1587" spans="1:34">
      <c r="L1587" s="123"/>
      <c r="O1587" s="360"/>
      <c r="Q1587" s="351"/>
      <c r="R1587" s="363"/>
    </row>
    <row r="1588" spans="1:34" ht="26.25">
      <c r="A1588" s="245"/>
      <c r="B1588" s="245"/>
      <c r="C1588" s="245"/>
      <c r="D1588" s="245"/>
      <c r="E1588" s="245"/>
      <c r="F1588" s="279"/>
      <c r="G1588" s="245"/>
      <c r="H1588" s="245"/>
      <c r="I1588" s="245"/>
      <c r="L1588" s="123"/>
      <c r="O1588" s="360"/>
      <c r="Q1588" s="351"/>
      <c r="S1588" s="325"/>
      <c r="T1588" s="85" ph="1"/>
      <c r="V1588" s="216"/>
      <c r="W1588" s="245"/>
      <c r="X1588" s="187"/>
      <c r="Y1588" s="245"/>
      <c r="Z1588" s="245"/>
      <c r="AA1588" s="329"/>
      <c r="AC1588" s="245"/>
      <c r="AD1588" s="187"/>
      <c r="AE1588" s="361"/>
      <c r="AF1588" s="245"/>
      <c r="AH1588" s="245"/>
    </row>
    <row r="1589" spans="1:34" ht="26.25">
      <c r="A1589" s="245"/>
      <c r="B1589" s="245"/>
      <c r="C1589" s="245"/>
      <c r="D1589" s="245"/>
      <c r="E1589" s="245"/>
      <c r="F1589" s="279"/>
      <c r="G1589" s="245"/>
      <c r="H1589" s="245"/>
      <c r="I1589" s="245"/>
      <c r="L1589" s="123"/>
      <c r="O1589" s="360"/>
      <c r="Q1589" s="351"/>
      <c r="S1589" s="325"/>
      <c r="T1589" s="85" ph="1"/>
      <c r="V1589" s="216"/>
      <c r="W1589" s="245"/>
      <c r="X1589" s="187"/>
      <c r="Y1589" s="245"/>
      <c r="Z1589" s="245"/>
      <c r="AA1589" s="329"/>
      <c r="AC1589" s="245"/>
      <c r="AD1589" s="187"/>
      <c r="AE1589" s="361"/>
      <c r="AF1589" s="245"/>
      <c r="AH1589" s="245"/>
    </row>
    <row r="1590" spans="1:34">
      <c r="L1590" s="245"/>
      <c r="O1590" s="360"/>
      <c r="Q1590" s="351"/>
    </row>
    <row r="1591" spans="1:34" ht="26.25">
      <c r="A1591" s="245"/>
      <c r="B1591" s="245"/>
      <c r="C1591" s="245"/>
      <c r="D1591" s="245"/>
      <c r="E1591" s="245"/>
      <c r="F1591" s="279"/>
      <c r="G1591" s="245"/>
      <c r="H1591" s="245"/>
      <c r="I1591" s="245"/>
      <c r="L1591" s="123"/>
      <c r="O1591" s="360"/>
      <c r="Q1591" s="351"/>
      <c r="R1591" s="363"/>
      <c r="S1591" s="325"/>
      <c r="T1591" s="85" ph="1"/>
      <c r="V1591" s="216"/>
      <c r="W1591" s="245"/>
      <c r="X1591" s="187"/>
      <c r="Y1591" s="245"/>
      <c r="Z1591" s="245"/>
      <c r="AA1591" s="329"/>
      <c r="AC1591" s="245"/>
      <c r="AD1591" s="187"/>
      <c r="AE1591" s="361"/>
      <c r="AF1591" s="245"/>
      <c r="AH1591" s="245"/>
    </row>
    <row r="1592" spans="1:34">
      <c r="L1592" s="123"/>
      <c r="O1592" s="360"/>
      <c r="Q1592" s="351"/>
    </row>
    <row r="1593" spans="1:34" ht="26.25">
      <c r="A1593" s="245"/>
      <c r="B1593" s="245"/>
      <c r="C1593" s="245"/>
      <c r="D1593" s="245"/>
      <c r="E1593" s="245"/>
      <c r="F1593" s="279"/>
      <c r="G1593" s="245"/>
      <c r="H1593" s="245"/>
      <c r="I1593" s="245"/>
      <c r="L1593" s="123"/>
      <c r="O1593" s="360"/>
      <c r="Q1593" s="351"/>
      <c r="S1593" s="325"/>
      <c r="T1593" s="85" ph="1"/>
      <c r="V1593" s="216"/>
      <c r="W1593" s="245"/>
      <c r="X1593" s="187"/>
      <c r="Y1593" s="245"/>
      <c r="Z1593" s="245"/>
      <c r="AA1593" s="329"/>
      <c r="AC1593" s="245"/>
      <c r="AD1593" s="187"/>
      <c r="AE1593" s="361"/>
      <c r="AF1593" s="245"/>
      <c r="AH1593" s="245"/>
    </row>
    <row r="1594" spans="1:34" ht="26.25">
      <c r="A1594" s="245"/>
      <c r="B1594" s="245"/>
      <c r="C1594" s="245"/>
      <c r="D1594" s="245"/>
      <c r="E1594" s="245"/>
      <c r="F1594" s="279"/>
      <c r="G1594" s="245"/>
      <c r="H1594" s="245"/>
      <c r="I1594" s="245"/>
      <c r="L1594" s="123"/>
      <c r="O1594" s="360"/>
      <c r="Q1594" s="351"/>
      <c r="S1594" s="325"/>
      <c r="T1594" s="85" ph="1"/>
      <c r="V1594" s="216"/>
      <c r="W1594" s="245"/>
      <c r="X1594" s="187"/>
      <c r="Y1594" s="245"/>
      <c r="Z1594" s="245"/>
      <c r="AA1594" s="329"/>
      <c r="AC1594" s="245"/>
      <c r="AD1594" s="187"/>
      <c r="AE1594" s="361"/>
      <c r="AF1594" s="245"/>
      <c r="AH1594" s="245"/>
    </row>
    <row r="1595" spans="1:34" ht="26.25">
      <c r="A1595" s="245"/>
      <c r="B1595" s="245"/>
      <c r="C1595" s="245"/>
      <c r="D1595" s="245"/>
      <c r="E1595" s="245"/>
      <c r="F1595" s="279"/>
      <c r="G1595" s="245"/>
      <c r="H1595" s="245"/>
      <c r="I1595" s="245"/>
      <c r="L1595" s="123"/>
      <c r="O1595" s="360"/>
      <c r="Q1595" s="351"/>
      <c r="S1595" s="325"/>
      <c r="T1595" s="85" ph="1"/>
      <c r="V1595" s="216"/>
      <c r="W1595" s="245"/>
      <c r="X1595" s="187"/>
      <c r="Y1595" s="245"/>
      <c r="Z1595" s="245"/>
      <c r="AA1595" s="329"/>
      <c r="AC1595" s="245"/>
      <c r="AD1595" s="187"/>
      <c r="AE1595" s="361"/>
      <c r="AF1595" s="245"/>
      <c r="AH1595" s="245"/>
    </row>
    <row r="1596" spans="1:34" ht="26.25">
      <c r="A1596" s="245"/>
      <c r="B1596" s="245"/>
      <c r="C1596" s="245"/>
      <c r="D1596" s="245"/>
      <c r="E1596" s="245"/>
      <c r="F1596" s="279"/>
      <c r="G1596" s="245"/>
      <c r="H1596" s="245"/>
      <c r="I1596" s="245"/>
      <c r="L1596" s="123"/>
      <c r="O1596" s="360"/>
      <c r="Q1596" s="351"/>
      <c r="R1596" s="363"/>
      <c r="S1596" s="325"/>
      <c r="T1596" s="85" ph="1"/>
      <c r="V1596" s="216"/>
      <c r="W1596" s="245"/>
      <c r="X1596" s="187"/>
      <c r="Y1596" s="245"/>
      <c r="Z1596" s="245"/>
      <c r="AA1596" s="329"/>
      <c r="AC1596" s="245"/>
      <c r="AD1596" s="187"/>
      <c r="AE1596" s="361"/>
      <c r="AF1596" s="245"/>
      <c r="AH1596" s="245"/>
    </row>
    <row r="1597" spans="1:34" ht="26.25">
      <c r="A1597" s="245"/>
      <c r="B1597" s="245"/>
      <c r="C1597" s="245"/>
      <c r="D1597" s="245"/>
      <c r="E1597" s="245"/>
      <c r="F1597" s="279"/>
      <c r="G1597" s="245"/>
      <c r="H1597" s="245"/>
      <c r="I1597" s="245"/>
      <c r="L1597" s="123"/>
      <c r="O1597" s="360"/>
      <c r="Q1597" s="351"/>
      <c r="R1597" s="363"/>
      <c r="S1597" s="325"/>
      <c r="T1597" s="85" ph="1"/>
      <c r="V1597" s="216"/>
      <c r="W1597" s="245"/>
      <c r="X1597" s="187"/>
      <c r="Y1597" s="245"/>
      <c r="Z1597" s="245"/>
      <c r="AA1597" s="329"/>
      <c r="AC1597" s="245"/>
      <c r="AD1597" s="187"/>
      <c r="AE1597" s="361"/>
      <c r="AF1597" s="245"/>
      <c r="AH1597" s="245"/>
    </row>
    <row r="1598" spans="1:34" ht="26.25">
      <c r="A1598" s="245"/>
      <c r="B1598" s="245"/>
      <c r="C1598" s="245"/>
      <c r="D1598" s="245"/>
      <c r="E1598" s="245"/>
      <c r="F1598" s="279"/>
      <c r="G1598" s="245"/>
      <c r="H1598" s="245"/>
      <c r="I1598" s="245"/>
      <c r="L1598" s="123"/>
      <c r="O1598" s="360"/>
      <c r="Q1598" s="351"/>
      <c r="R1598" s="363"/>
      <c r="S1598" s="325"/>
      <c r="T1598" s="85" ph="1"/>
      <c r="V1598" s="216"/>
      <c r="W1598" s="245"/>
      <c r="X1598" s="187"/>
      <c r="Y1598" s="245"/>
      <c r="Z1598" s="245"/>
      <c r="AA1598" s="329"/>
      <c r="AC1598" s="245"/>
      <c r="AD1598" s="187"/>
      <c r="AE1598" s="361"/>
      <c r="AF1598" s="245"/>
      <c r="AH1598" s="245"/>
    </row>
    <row r="1599" spans="1:34" ht="26.25">
      <c r="A1599" s="245"/>
      <c r="B1599" s="245"/>
      <c r="C1599" s="245"/>
      <c r="D1599" s="245"/>
      <c r="E1599" s="245"/>
      <c r="F1599" s="279"/>
      <c r="G1599" s="245"/>
      <c r="H1599" s="245"/>
      <c r="I1599" s="245"/>
      <c r="L1599" s="123"/>
      <c r="O1599" s="360"/>
      <c r="Q1599" s="351"/>
      <c r="S1599" s="325"/>
      <c r="T1599" s="85" ph="1"/>
      <c r="V1599" s="216"/>
      <c r="W1599" s="245"/>
      <c r="X1599" s="187"/>
      <c r="Y1599" s="245"/>
      <c r="Z1599" s="245"/>
      <c r="AA1599" s="329"/>
      <c r="AC1599" s="245"/>
      <c r="AD1599" s="187"/>
      <c r="AE1599" s="361"/>
      <c r="AF1599" s="245"/>
      <c r="AH1599" s="245"/>
    </row>
    <row r="1600" spans="1:34" ht="26.25">
      <c r="A1600" s="245"/>
      <c r="B1600" s="245"/>
      <c r="C1600" s="245"/>
      <c r="D1600" s="245"/>
      <c r="E1600" s="245"/>
      <c r="F1600" s="279"/>
      <c r="G1600" s="245"/>
      <c r="H1600" s="245"/>
      <c r="I1600" s="245"/>
      <c r="L1600" s="123"/>
      <c r="O1600" s="360"/>
      <c r="Q1600" s="351"/>
      <c r="R1600" s="363"/>
      <c r="S1600" s="325"/>
      <c r="T1600" s="85" ph="1"/>
      <c r="V1600" s="216"/>
      <c r="W1600" s="245"/>
      <c r="X1600" s="187"/>
      <c r="Y1600" s="245"/>
      <c r="Z1600" s="245"/>
      <c r="AA1600" s="329"/>
      <c r="AC1600" s="245"/>
      <c r="AD1600" s="187"/>
      <c r="AE1600" s="361"/>
      <c r="AF1600" s="245"/>
      <c r="AH1600" s="245"/>
    </row>
    <row r="1601" spans="1:34" ht="26.25">
      <c r="A1601" s="245"/>
      <c r="B1601" s="245"/>
      <c r="C1601" s="245"/>
      <c r="D1601" s="245"/>
      <c r="E1601" s="245"/>
      <c r="F1601" s="279"/>
      <c r="G1601" s="245"/>
      <c r="H1601" s="245"/>
      <c r="I1601" s="245"/>
      <c r="L1601" s="123"/>
      <c r="O1601" s="360"/>
      <c r="Q1601" s="351"/>
      <c r="R1601" s="363"/>
      <c r="S1601" s="325"/>
      <c r="T1601" s="85" ph="1"/>
      <c r="V1601" s="216"/>
      <c r="W1601" s="245"/>
      <c r="X1601" s="187"/>
      <c r="Y1601" s="245"/>
      <c r="Z1601" s="245"/>
      <c r="AA1601" s="329"/>
      <c r="AC1601" s="245"/>
      <c r="AD1601" s="187"/>
      <c r="AE1601" s="361"/>
      <c r="AF1601" s="245"/>
      <c r="AH1601" s="245"/>
    </row>
    <row r="1602" spans="1:34" ht="26.25">
      <c r="A1602" s="245"/>
      <c r="B1602" s="245"/>
      <c r="C1602" s="245"/>
      <c r="D1602" s="245"/>
      <c r="E1602" s="245"/>
      <c r="F1602" s="279"/>
      <c r="G1602" s="245"/>
      <c r="H1602" s="245"/>
      <c r="I1602" s="245"/>
      <c r="L1602" s="123"/>
      <c r="O1602" s="360"/>
      <c r="Q1602" s="351"/>
      <c r="S1602" s="325"/>
      <c r="T1602" s="85" ph="1"/>
      <c r="V1602" s="216"/>
      <c r="W1602" s="245"/>
      <c r="X1602" s="187"/>
      <c r="Y1602" s="245"/>
      <c r="Z1602" s="245"/>
      <c r="AA1602" s="329"/>
      <c r="AC1602" s="245"/>
      <c r="AD1602" s="187"/>
      <c r="AE1602" s="361"/>
      <c r="AF1602" s="245"/>
      <c r="AH1602" s="245"/>
    </row>
    <row r="1603" spans="1:34">
      <c r="L1603" s="123"/>
      <c r="O1603" s="360"/>
      <c r="Q1603" s="351"/>
      <c r="R1603" s="363"/>
    </row>
    <row r="1604" spans="1:34" ht="26.25">
      <c r="A1604" s="245"/>
      <c r="B1604" s="245"/>
      <c r="C1604" s="245"/>
      <c r="D1604" s="245"/>
      <c r="E1604" s="245"/>
      <c r="F1604" s="279"/>
      <c r="G1604" s="245"/>
      <c r="H1604" s="245"/>
      <c r="I1604" s="245"/>
      <c r="L1604" s="123"/>
      <c r="O1604" s="360"/>
      <c r="Q1604" s="351"/>
      <c r="S1604" s="325"/>
      <c r="T1604" s="85" ph="1"/>
      <c r="V1604" s="216"/>
      <c r="W1604" s="245"/>
      <c r="X1604" s="187"/>
      <c r="Y1604" s="245"/>
      <c r="Z1604" s="245"/>
      <c r="AA1604" s="329"/>
      <c r="AC1604" s="245"/>
      <c r="AD1604" s="187"/>
      <c r="AE1604" s="361"/>
      <c r="AF1604" s="245"/>
      <c r="AH1604" s="245"/>
    </row>
    <row r="1605" spans="1:34" ht="26.25">
      <c r="A1605" s="245"/>
      <c r="B1605" s="245"/>
      <c r="C1605" s="245"/>
      <c r="D1605" s="245"/>
      <c r="E1605" s="245"/>
      <c r="F1605" s="279"/>
      <c r="G1605" s="245"/>
      <c r="H1605" s="245"/>
      <c r="I1605" s="245"/>
      <c r="L1605" s="123"/>
      <c r="O1605" s="360"/>
      <c r="Q1605" s="351"/>
      <c r="R1605" s="363"/>
      <c r="S1605" s="325"/>
      <c r="T1605" s="85" ph="1"/>
      <c r="V1605" s="216"/>
      <c r="W1605" s="245"/>
      <c r="X1605" s="187"/>
      <c r="Y1605" s="245"/>
      <c r="Z1605" s="245"/>
      <c r="AA1605" s="329"/>
      <c r="AC1605" s="245"/>
      <c r="AD1605" s="187"/>
      <c r="AE1605" s="361"/>
      <c r="AF1605" s="245"/>
      <c r="AH1605" s="245"/>
    </row>
    <row r="1606" spans="1:34" ht="26.25">
      <c r="A1606" s="245"/>
      <c r="B1606" s="245"/>
      <c r="C1606" s="245"/>
      <c r="D1606" s="245"/>
      <c r="E1606" s="245"/>
      <c r="F1606" s="279"/>
      <c r="G1606" s="245"/>
      <c r="H1606" s="245"/>
      <c r="I1606" s="245"/>
      <c r="L1606" s="123"/>
      <c r="O1606" s="360"/>
      <c r="Q1606" s="351"/>
      <c r="R1606" s="363"/>
      <c r="S1606" s="325"/>
      <c r="T1606" s="85" ph="1"/>
      <c r="V1606" s="216"/>
      <c r="W1606" s="245"/>
      <c r="X1606" s="187"/>
      <c r="Y1606" s="245"/>
      <c r="Z1606" s="245"/>
      <c r="AA1606" s="329"/>
      <c r="AC1606" s="245"/>
      <c r="AD1606" s="187"/>
      <c r="AE1606" s="361"/>
      <c r="AF1606" s="245"/>
      <c r="AH1606" s="245"/>
    </row>
    <row r="1607" spans="1:34" ht="26.25">
      <c r="A1607" s="245"/>
      <c r="B1607" s="245"/>
      <c r="C1607" s="245"/>
      <c r="D1607" s="245"/>
      <c r="E1607" s="245"/>
      <c r="F1607" s="279"/>
      <c r="G1607" s="245"/>
      <c r="H1607" s="245"/>
      <c r="I1607" s="245"/>
      <c r="L1607" s="123"/>
      <c r="O1607" s="360"/>
      <c r="Q1607" s="351"/>
      <c r="R1607" s="363"/>
      <c r="S1607" s="325"/>
      <c r="T1607" s="85" ph="1"/>
      <c r="V1607" s="216"/>
      <c r="W1607" s="245"/>
      <c r="X1607" s="187"/>
      <c r="Y1607" s="245"/>
      <c r="Z1607" s="245"/>
      <c r="AA1607" s="329"/>
      <c r="AC1607" s="245"/>
      <c r="AD1607" s="187"/>
      <c r="AE1607" s="361"/>
      <c r="AF1607" s="245"/>
      <c r="AH1607" s="245"/>
    </row>
    <row r="1608" spans="1:34" ht="26.25">
      <c r="A1608" s="245"/>
      <c r="B1608" s="245"/>
      <c r="C1608" s="245"/>
      <c r="D1608" s="245"/>
      <c r="E1608" s="245"/>
      <c r="F1608" s="279"/>
      <c r="G1608" s="245"/>
      <c r="H1608" s="245"/>
      <c r="I1608" s="245"/>
      <c r="L1608" s="123"/>
      <c r="O1608" s="360"/>
      <c r="Q1608" s="351"/>
      <c r="R1608" s="363"/>
      <c r="S1608" s="325"/>
      <c r="T1608" s="85" ph="1"/>
      <c r="V1608" s="216"/>
      <c r="W1608" s="245"/>
      <c r="X1608" s="187"/>
      <c r="Y1608" s="245"/>
      <c r="Z1608" s="245"/>
      <c r="AA1608" s="329"/>
      <c r="AC1608" s="245"/>
      <c r="AD1608" s="187"/>
      <c r="AE1608" s="361"/>
      <c r="AF1608" s="245"/>
      <c r="AH1608" s="245"/>
    </row>
    <row r="1609" spans="1:34" ht="26.25">
      <c r="A1609" s="245"/>
      <c r="B1609" s="245"/>
      <c r="C1609" s="245"/>
      <c r="D1609" s="245"/>
      <c r="E1609" s="245"/>
      <c r="F1609" s="279"/>
      <c r="G1609" s="245"/>
      <c r="H1609" s="245"/>
      <c r="I1609" s="245"/>
      <c r="L1609" s="123"/>
      <c r="O1609" s="360"/>
      <c r="Q1609" s="351"/>
      <c r="R1609" s="363"/>
      <c r="S1609" s="325"/>
      <c r="T1609" s="85" ph="1"/>
      <c r="V1609" s="216"/>
      <c r="W1609" s="245"/>
      <c r="X1609" s="187"/>
      <c r="Y1609" s="245"/>
      <c r="Z1609" s="245"/>
      <c r="AA1609" s="329"/>
      <c r="AC1609" s="245"/>
      <c r="AD1609" s="187"/>
      <c r="AE1609" s="361"/>
      <c r="AF1609" s="245"/>
      <c r="AH1609" s="245"/>
    </row>
    <row r="1610" spans="1:34" ht="26.25">
      <c r="A1610" s="245"/>
      <c r="B1610" s="245"/>
      <c r="C1610" s="245"/>
      <c r="D1610" s="245"/>
      <c r="E1610" s="245"/>
      <c r="F1610" s="279"/>
      <c r="G1610" s="245"/>
      <c r="H1610" s="245"/>
      <c r="I1610" s="245"/>
      <c r="L1610" s="123"/>
      <c r="O1610" s="360"/>
      <c r="Q1610" s="351"/>
      <c r="R1610" s="363"/>
      <c r="S1610" s="325"/>
      <c r="T1610" s="85" ph="1"/>
      <c r="V1610" s="216"/>
      <c r="W1610" s="245"/>
      <c r="X1610" s="187"/>
      <c r="Y1610" s="245"/>
      <c r="Z1610" s="245"/>
      <c r="AA1610" s="329"/>
      <c r="AC1610" s="245"/>
      <c r="AD1610" s="187"/>
      <c r="AE1610" s="361"/>
      <c r="AF1610" s="245"/>
      <c r="AH1610" s="245"/>
    </row>
    <row r="1611" spans="1:34" ht="26.25">
      <c r="A1611" s="245"/>
      <c r="B1611" s="245"/>
      <c r="C1611" s="245"/>
      <c r="D1611" s="245"/>
      <c r="E1611" s="245"/>
      <c r="F1611" s="279"/>
      <c r="G1611" s="245"/>
      <c r="H1611" s="245"/>
      <c r="I1611" s="245"/>
      <c r="L1611" s="123"/>
      <c r="O1611" s="360"/>
      <c r="Q1611" s="351"/>
      <c r="R1611" s="363"/>
      <c r="S1611" s="325"/>
      <c r="T1611" s="85" ph="1"/>
      <c r="V1611" s="216"/>
      <c r="W1611" s="245"/>
      <c r="X1611" s="187"/>
      <c r="Y1611" s="245"/>
      <c r="Z1611" s="245"/>
      <c r="AA1611" s="329"/>
      <c r="AC1611" s="245"/>
      <c r="AD1611" s="187"/>
      <c r="AE1611" s="361"/>
      <c r="AF1611" s="245"/>
      <c r="AH1611" s="245"/>
    </row>
    <row r="1612" spans="1:34">
      <c r="L1612" s="123"/>
      <c r="O1612" s="360"/>
      <c r="Q1612" s="351"/>
      <c r="R1612" s="363"/>
    </row>
    <row r="1613" spans="1:34" ht="26.25">
      <c r="A1613" s="245"/>
      <c r="B1613" s="245"/>
      <c r="C1613" s="245"/>
      <c r="D1613" s="245"/>
      <c r="E1613" s="245"/>
      <c r="F1613" s="279"/>
      <c r="G1613" s="245"/>
      <c r="H1613" s="245"/>
      <c r="I1613" s="245"/>
      <c r="L1613" s="123"/>
      <c r="O1613" s="360"/>
      <c r="Q1613" s="351"/>
      <c r="R1613" s="363"/>
      <c r="S1613" s="325"/>
      <c r="T1613" s="85" ph="1"/>
      <c r="V1613" s="216"/>
      <c r="W1613" s="245"/>
      <c r="X1613" s="187"/>
      <c r="Y1613" s="245"/>
      <c r="Z1613" s="245"/>
      <c r="AA1613" s="329"/>
      <c r="AC1613" s="245"/>
      <c r="AD1613" s="187"/>
      <c r="AE1613" s="361"/>
      <c r="AF1613" s="245"/>
      <c r="AH1613" s="245"/>
    </row>
    <row r="1614" spans="1:34" ht="26.25">
      <c r="A1614" s="245"/>
      <c r="B1614" s="245"/>
      <c r="C1614" s="245"/>
      <c r="D1614" s="245"/>
      <c r="E1614" s="245"/>
      <c r="F1614" s="279"/>
      <c r="G1614" s="245"/>
      <c r="H1614" s="245"/>
      <c r="I1614" s="245"/>
      <c r="L1614" s="123"/>
      <c r="O1614" s="360"/>
      <c r="Q1614" s="351"/>
      <c r="R1614" s="363"/>
      <c r="S1614" s="325"/>
      <c r="T1614" s="85" ph="1"/>
      <c r="V1614" s="216"/>
      <c r="W1614" s="245"/>
      <c r="X1614" s="187"/>
      <c r="Y1614" s="245"/>
      <c r="Z1614" s="245"/>
      <c r="AA1614" s="329"/>
      <c r="AC1614" s="245"/>
      <c r="AD1614" s="187"/>
      <c r="AE1614" s="361"/>
      <c r="AF1614" s="245"/>
      <c r="AH1614" s="245"/>
    </row>
    <row r="1615" spans="1:34" ht="26.25">
      <c r="A1615" s="245"/>
      <c r="B1615" s="245"/>
      <c r="C1615" s="245"/>
      <c r="D1615" s="245"/>
      <c r="E1615" s="245"/>
      <c r="F1615" s="279"/>
      <c r="G1615" s="245"/>
      <c r="H1615" s="245"/>
      <c r="I1615" s="245"/>
      <c r="L1615" s="123"/>
      <c r="O1615" s="360"/>
      <c r="Q1615" s="351"/>
      <c r="S1615" s="325"/>
      <c r="T1615" s="85" ph="1"/>
      <c r="V1615" s="216"/>
      <c r="W1615" s="245"/>
      <c r="X1615" s="187"/>
      <c r="Y1615" s="245"/>
      <c r="Z1615" s="245"/>
      <c r="AA1615" s="329"/>
      <c r="AC1615" s="245"/>
      <c r="AD1615" s="187"/>
      <c r="AE1615" s="361"/>
      <c r="AF1615" s="245"/>
      <c r="AH1615" s="245"/>
    </row>
    <row r="1616" spans="1:34" ht="26.25">
      <c r="A1616" s="245"/>
      <c r="B1616" s="245"/>
      <c r="C1616" s="245"/>
      <c r="D1616" s="245"/>
      <c r="E1616" s="245"/>
      <c r="F1616" s="279"/>
      <c r="G1616" s="245"/>
      <c r="H1616" s="245"/>
      <c r="I1616" s="245"/>
      <c r="L1616" s="123"/>
      <c r="O1616" s="360"/>
      <c r="Q1616" s="351"/>
      <c r="R1616" s="363"/>
      <c r="S1616" s="325"/>
      <c r="T1616" s="85" ph="1"/>
      <c r="V1616" s="216"/>
      <c r="W1616" s="245"/>
      <c r="X1616" s="187"/>
      <c r="Y1616" s="245"/>
      <c r="Z1616" s="245"/>
      <c r="AA1616" s="329"/>
      <c r="AC1616" s="245"/>
      <c r="AD1616" s="187"/>
      <c r="AE1616" s="361"/>
      <c r="AF1616" s="245"/>
      <c r="AH1616" s="245"/>
    </row>
    <row r="1617" spans="1:34" ht="26.25">
      <c r="A1617" s="245"/>
      <c r="B1617" s="245"/>
      <c r="C1617" s="245"/>
      <c r="D1617" s="245"/>
      <c r="E1617" s="245"/>
      <c r="F1617" s="279"/>
      <c r="G1617" s="245"/>
      <c r="H1617" s="245"/>
      <c r="I1617" s="245"/>
      <c r="L1617" s="123"/>
      <c r="O1617" s="360"/>
      <c r="Q1617" s="351"/>
      <c r="R1617" s="363"/>
      <c r="S1617" s="325"/>
      <c r="T1617" s="85" ph="1"/>
      <c r="V1617" s="216"/>
      <c r="W1617" s="245"/>
      <c r="X1617" s="187"/>
      <c r="Y1617" s="245"/>
      <c r="Z1617" s="245"/>
      <c r="AA1617" s="329"/>
      <c r="AC1617" s="245"/>
      <c r="AD1617" s="187"/>
      <c r="AE1617" s="361"/>
      <c r="AF1617" s="245"/>
      <c r="AH1617" s="245"/>
    </row>
    <row r="1618" spans="1:34" ht="26.25">
      <c r="A1618" s="245"/>
      <c r="B1618" s="245"/>
      <c r="C1618" s="245"/>
      <c r="D1618" s="245"/>
      <c r="E1618" s="245"/>
      <c r="F1618" s="279"/>
      <c r="G1618" s="245"/>
      <c r="H1618" s="245"/>
      <c r="I1618" s="245"/>
      <c r="L1618" s="123"/>
      <c r="O1618" s="360"/>
      <c r="Q1618" s="351"/>
      <c r="R1618" s="363"/>
      <c r="S1618" s="325"/>
      <c r="T1618" s="85" ph="1"/>
      <c r="V1618" s="216"/>
      <c r="W1618" s="245"/>
      <c r="X1618" s="187"/>
      <c r="Y1618" s="245"/>
      <c r="Z1618" s="245"/>
      <c r="AA1618" s="329"/>
      <c r="AC1618" s="245"/>
      <c r="AD1618" s="187"/>
      <c r="AE1618" s="361"/>
      <c r="AF1618" s="245"/>
      <c r="AH1618" s="245"/>
    </row>
    <row r="1619" spans="1:34" ht="26.25">
      <c r="A1619" s="245"/>
      <c r="B1619" s="245"/>
      <c r="C1619" s="245"/>
      <c r="D1619" s="245"/>
      <c r="E1619" s="245"/>
      <c r="F1619" s="279"/>
      <c r="G1619" s="245"/>
      <c r="H1619" s="245"/>
      <c r="I1619" s="245"/>
      <c r="L1619" s="123"/>
      <c r="O1619" s="360"/>
      <c r="Q1619" s="351"/>
      <c r="R1619" s="363"/>
      <c r="S1619" s="325"/>
      <c r="T1619" s="85" ph="1"/>
      <c r="V1619" s="216"/>
      <c r="W1619" s="245"/>
      <c r="X1619" s="187"/>
      <c r="Y1619" s="245"/>
      <c r="Z1619" s="245"/>
      <c r="AA1619" s="329"/>
      <c r="AC1619" s="245"/>
      <c r="AD1619" s="187"/>
      <c r="AE1619" s="361"/>
      <c r="AF1619" s="245"/>
      <c r="AH1619" s="245"/>
    </row>
    <row r="1620" spans="1:34" ht="26.25">
      <c r="A1620" s="245"/>
      <c r="B1620" s="245"/>
      <c r="C1620" s="245"/>
      <c r="D1620" s="245"/>
      <c r="E1620" s="245"/>
      <c r="F1620" s="279"/>
      <c r="G1620" s="245"/>
      <c r="H1620" s="245"/>
      <c r="I1620" s="245"/>
      <c r="L1620" s="123"/>
      <c r="O1620" s="360"/>
      <c r="Q1620" s="351"/>
      <c r="R1620" s="363"/>
      <c r="S1620" s="325"/>
      <c r="T1620" s="85" ph="1"/>
      <c r="V1620" s="216"/>
      <c r="W1620" s="245"/>
      <c r="X1620" s="187"/>
      <c r="Y1620" s="245"/>
      <c r="Z1620" s="245"/>
      <c r="AA1620" s="329"/>
      <c r="AC1620" s="245"/>
      <c r="AD1620" s="187"/>
      <c r="AE1620" s="361"/>
      <c r="AF1620" s="245"/>
      <c r="AH1620" s="245"/>
    </row>
    <row r="1621" spans="1:34" ht="26.25">
      <c r="A1621" s="245"/>
      <c r="B1621" s="245"/>
      <c r="C1621" s="245"/>
      <c r="D1621" s="245"/>
      <c r="E1621" s="245"/>
      <c r="F1621" s="279"/>
      <c r="G1621" s="245"/>
      <c r="H1621" s="245"/>
      <c r="I1621" s="245"/>
      <c r="L1621" s="123"/>
      <c r="O1621" s="360"/>
      <c r="Q1621" s="351"/>
      <c r="R1621" s="363"/>
      <c r="S1621" s="325"/>
      <c r="T1621" s="85" ph="1"/>
      <c r="V1621" s="216"/>
      <c r="W1621" s="245"/>
      <c r="X1621" s="187"/>
      <c r="Y1621" s="245"/>
      <c r="Z1621" s="245"/>
      <c r="AA1621" s="329"/>
      <c r="AC1621" s="245"/>
      <c r="AD1621" s="187"/>
      <c r="AE1621" s="361"/>
      <c r="AF1621" s="245"/>
      <c r="AH1621" s="245"/>
    </row>
    <row r="1622" spans="1:34" ht="26.25">
      <c r="A1622" s="245"/>
      <c r="B1622" s="245"/>
      <c r="C1622" s="245"/>
      <c r="D1622" s="245"/>
      <c r="E1622" s="245"/>
      <c r="F1622" s="279"/>
      <c r="G1622" s="245"/>
      <c r="H1622" s="245"/>
      <c r="I1622" s="245"/>
      <c r="L1622" s="123"/>
      <c r="O1622" s="360"/>
      <c r="Q1622" s="351"/>
      <c r="R1622" s="363"/>
      <c r="S1622" s="325"/>
      <c r="T1622" s="85" ph="1"/>
      <c r="V1622" s="216"/>
      <c r="W1622" s="245"/>
      <c r="X1622" s="187"/>
      <c r="Y1622" s="245"/>
      <c r="Z1622" s="245"/>
      <c r="AA1622" s="329"/>
      <c r="AC1622" s="245"/>
      <c r="AD1622" s="187"/>
      <c r="AE1622" s="361"/>
      <c r="AF1622" s="245"/>
      <c r="AH1622" s="245"/>
    </row>
    <row r="1623" spans="1:34" ht="26.25">
      <c r="A1623" s="245"/>
      <c r="B1623" s="245"/>
      <c r="C1623" s="245"/>
      <c r="D1623" s="245"/>
      <c r="E1623" s="245"/>
      <c r="F1623" s="279"/>
      <c r="G1623" s="245"/>
      <c r="H1623" s="245"/>
      <c r="I1623" s="245"/>
      <c r="L1623" s="120"/>
      <c r="O1623" s="360"/>
      <c r="Q1623" s="351"/>
      <c r="R1623" s="363"/>
      <c r="S1623" s="325"/>
      <c r="T1623" s="85" ph="1"/>
      <c r="V1623" s="216"/>
      <c r="W1623" s="245"/>
      <c r="X1623" s="187"/>
      <c r="Y1623" s="245"/>
      <c r="Z1623" s="245"/>
      <c r="AA1623" s="329"/>
      <c r="AC1623" s="245"/>
      <c r="AD1623" s="187"/>
      <c r="AE1623" s="361"/>
      <c r="AF1623" s="245"/>
      <c r="AH1623" s="245"/>
    </row>
    <row r="1624" spans="1:34">
      <c r="L1624" s="123"/>
      <c r="O1624" s="360"/>
      <c r="Q1624" s="351"/>
    </row>
    <row r="1625" spans="1:34" ht="26.25">
      <c r="A1625" s="245"/>
      <c r="B1625" s="245"/>
      <c r="C1625" s="245"/>
      <c r="D1625" s="245"/>
      <c r="E1625" s="245"/>
      <c r="F1625" s="279"/>
      <c r="G1625" s="245"/>
      <c r="H1625" s="245"/>
      <c r="I1625" s="245"/>
      <c r="L1625" s="123"/>
      <c r="O1625" s="360"/>
      <c r="Q1625" s="351"/>
      <c r="R1625" s="363"/>
      <c r="S1625" s="325"/>
      <c r="T1625" s="85" ph="1"/>
      <c r="V1625" s="216"/>
      <c r="W1625" s="245"/>
      <c r="X1625" s="187"/>
      <c r="Y1625" s="245"/>
      <c r="Z1625" s="245"/>
      <c r="AA1625" s="329"/>
      <c r="AC1625" s="245"/>
      <c r="AD1625" s="187"/>
      <c r="AE1625" s="361"/>
      <c r="AF1625" s="245"/>
      <c r="AH1625" s="245"/>
    </row>
    <row r="1626" spans="1:34" ht="26.25">
      <c r="A1626" s="245"/>
      <c r="B1626" s="245"/>
      <c r="C1626" s="245"/>
      <c r="D1626" s="245"/>
      <c r="E1626" s="245"/>
      <c r="F1626" s="279"/>
      <c r="G1626" s="245"/>
      <c r="H1626" s="245"/>
      <c r="I1626" s="245"/>
      <c r="L1626" s="123"/>
      <c r="O1626" s="360"/>
      <c r="Q1626" s="351"/>
      <c r="R1626" s="363"/>
      <c r="S1626" s="325"/>
      <c r="T1626" s="85" ph="1"/>
      <c r="V1626" s="216"/>
      <c r="W1626" s="245"/>
      <c r="X1626" s="187"/>
      <c r="Y1626" s="245"/>
      <c r="Z1626" s="245"/>
      <c r="AA1626" s="329"/>
      <c r="AC1626" s="245"/>
      <c r="AD1626" s="187"/>
      <c r="AE1626" s="361"/>
      <c r="AF1626" s="245"/>
      <c r="AH1626" s="245"/>
    </row>
    <row r="1627" spans="1:34" ht="26.25">
      <c r="A1627" s="245"/>
      <c r="B1627" s="245"/>
      <c r="C1627" s="245"/>
      <c r="D1627" s="245"/>
      <c r="E1627" s="245"/>
      <c r="F1627" s="279"/>
      <c r="G1627" s="245"/>
      <c r="H1627" s="245"/>
      <c r="I1627" s="245"/>
      <c r="L1627" s="123"/>
      <c r="O1627" s="360"/>
      <c r="Q1627" s="351"/>
      <c r="R1627" s="363"/>
      <c r="S1627" s="325"/>
      <c r="T1627" s="85" ph="1"/>
      <c r="V1627" s="216"/>
      <c r="W1627" s="245"/>
      <c r="X1627" s="187"/>
      <c r="Y1627" s="245"/>
      <c r="Z1627" s="245"/>
      <c r="AA1627" s="329"/>
      <c r="AC1627" s="245"/>
      <c r="AD1627" s="187"/>
      <c r="AE1627" s="361"/>
      <c r="AF1627" s="245"/>
      <c r="AH1627" s="245"/>
    </row>
    <row r="1628" spans="1:34" ht="26.25">
      <c r="A1628" s="245"/>
      <c r="B1628" s="245"/>
      <c r="C1628" s="245"/>
      <c r="D1628" s="245"/>
      <c r="E1628" s="245"/>
      <c r="F1628" s="279"/>
      <c r="G1628" s="245"/>
      <c r="H1628" s="245"/>
      <c r="I1628" s="245"/>
      <c r="L1628" s="123"/>
      <c r="O1628" s="360"/>
      <c r="Q1628" s="351"/>
      <c r="R1628" s="363"/>
      <c r="S1628" s="325"/>
      <c r="T1628" s="85" ph="1"/>
      <c r="V1628" s="216"/>
      <c r="W1628" s="245"/>
      <c r="X1628" s="187"/>
      <c r="Y1628" s="245"/>
      <c r="Z1628" s="245"/>
      <c r="AA1628" s="329"/>
      <c r="AC1628" s="245"/>
      <c r="AD1628" s="187"/>
      <c r="AE1628" s="361"/>
      <c r="AF1628" s="245"/>
      <c r="AH1628" s="245"/>
    </row>
    <row r="1629" spans="1:34" ht="26.25">
      <c r="A1629" s="245"/>
      <c r="B1629" s="245"/>
      <c r="C1629" s="245"/>
      <c r="D1629" s="245"/>
      <c r="E1629" s="245"/>
      <c r="F1629" s="279"/>
      <c r="G1629" s="245"/>
      <c r="H1629" s="245"/>
      <c r="I1629" s="245"/>
      <c r="L1629" s="123"/>
      <c r="O1629" s="360"/>
      <c r="Q1629" s="351"/>
      <c r="R1629" s="363"/>
      <c r="S1629" s="325"/>
      <c r="T1629" s="85" ph="1"/>
      <c r="V1629" s="216"/>
      <c r="W1629" s="245"/>
      <c r="X1629" s="187"/>
      <c r="Y1629" s="245"/>
      <c r="Z1629" s="245"/>
      <c r="AA1629" s="329"/>
      <c r="AC1629" s="245"/>
      <c r="AD1629" s="187"/>
      <c r="AE1629" s="361"/>
      <c r="AF1629" s="245"/>
      <c r="AH1629" s="245"/>
    </row>
    <row r="1630" spans="1:34" ht="26.25">
      <c r="A1630" s="245"/>
      <c r="B1630" s="245"/>
      <c r="C1630" s="245"/>
      <c r="D1630" s="245"/>
      <c r="E1630" s="245"/>
      <c r="F1630" s="279"/>
      <c r="G1630" s="245"/>
      <c r="H1630" s="245"/>
      <c r="I1630" s="245"/>
      <c r="L1630" s="123"/>
      <c r="O1630" s="360"/>
      <c r="Q1630" s="351"/>
      <c r="R1630" s="363"/>
      <c r="S1630" s="325"/>
      <c r="T1630" s="85" ph="1"/>
      <c r="V1630" s="216"/>
      <c r="W1630" s="245"/>
      <c r="X1630" s="187"/>
      <c r="Y1630" s="245"/>
      <c r="Z1630" s="245"/>
      <c r="AA1630" s="329"/>
      <c r="AC1630" s="245"/>
      <c r="AD1630" s="187"/>
      <c r="AE1630" s="361"/>
      <c r="AF1630" s="245"/>
      <c r="AH1630" s="245"/>
    </row>
    <row r="1631" spans="1:34" ht="26.25">
      <c r="A1631" s="245"/>
      <c r="B1631" s="245"/>
      <c r="C1631" s="245"/>
      <c r="D1631" s="245"/>
      <c r="E1631" s="245"/>
      <c r="F1631" s="279"/>
      <c r="G1631" s="245"/>
      <c r="H1631" s="245"/>
      <c r="I1631" s="245"/>
      <c r="L1631" s="123"/>
      <c r="O1631" s="360"/>
      <c r="Q1631" s="351"/>
      <c r="R1631" s="363"/>
      <c r="S1631" s="325"/>
      <c r="T1631" s="85" ph="1"/>
      <c r="V1631" s="216"/>
      <c r="W1631" s="245"/>
      <c r="X1631" s="187"/>
      <c r="Y1631" s="245"/>
      <c r="Z1631" s="245"/>
      <c r="AA1631" s="329"/>
      <c r="AC1631" s="245"/>
      <c r="AD1631" s="187"/>
      <c r="AE1631" s="361"/>
      <c r="AF1631" s="245"/>
      <c r="AH1631" s="245"/>
    </row>
    <row r="1632" spans="1:34" ht="26.25">
      <c r="A1632" s="245"/>
      <c r="B1632" s="245"/>
      <c r="C1632" s="245"/>
      <c r="D1632" s="245"/>
      <c r="E1632" s="245"/>
      <c r="F1632" s="279"/>
      <c r="G1632" s="245"/>
      <c r="H1632" s="245"/>
      <c r="I1632" s="245"/>
      <c r="L1632" s="123"/>
      <c r="O1632" s="360"/>
      <c r="Q1632" s="351"/>
      <c r="R1632" s="363"/>
      <c r="S1632" s="325"/>
      <c r="T1632" s="85" ph="1"/>
      <c r="V1632" s="216"/>
      <c r="W1632" s="245"/>
      <c r="X1632" s="187"/>
      <c r="Y1632" s="245"/>
      <c r="Z1632" s="245"/>
      <c r="AA1632" s="329"/>
      <c r="AC1632" s="245"/>
      <c r="AD1632" s="187"/>
      <c r="AE1632" s="361"/>
      <c r="AF1632" s="245"/>
      <c r="AH1632" s="245"/>
    </row>
    <row r="1633" spans="1:34">
      <c r="L1633" s="123"/>
      <c r="O1633" s="360"/>
      <c r="Q1633" s="351"/>
      <c r="R1633" s="363"/>
    </row>
    <row r="1634" spans="1:34" ht="26.25">
      <c r="A1634" s="245"/>
      <c r="B1634" s="245"/>
      <c r="C1634" s="245"/>
      <c r="D1634" s="245"/>
      <c r="E1634" s="245"/>
      <c r="F1634" s="279"/>
      <c r="G1634" s="245"/>
      <c r="H1634" s="245"/>
      <c r="I1634" s="245"/>
      <c r="L1634" s="123"/>
      <c r="O1634" s="360"/>
      <c r="Q1634" s="351"/>
      <c r="R1634" s="363"/>
      <c r="S1634" s="325"/>
      <c r="T1634" s="85" ph="1"/>
      <c r="V1634" s="216"/>
      <c r="W1634" s="245"/>
      <c r="X1634" s="187"/>
      <c r="Y1634" s="245"/>
      <c r="Z1634" s="245"/>
      <c r="AA1634" s="329"/>
      <c r="AC1634" s="245"/>
      <c r="AD1634" s="187"/>
      <c r="AE1634" s="361"/>
      <c r="AF1634" s="245"/>
      <c r="AH1634" s="245"/>
    </row>
    <row r="1635" spans="1:34" ht="26.25">
      <c r="A1635" s="245"/>
      <c r="B1635" s="245"/>
      <c r="C1635" s="245"/>
      <c r="D1635" s="245"/>
      <c r="E1635" s="245"/>
      <c r="F1635" s="279"/>
      <c r="G1635" s="245"/>
      <c r="H1635" s="245"/>
      <c r="I1635" s="245"/>
      <c r="L1635" s="123"/>
      <c r="O1635" s="360"/>
      <c r="Q1635" s="351"/>
      <c r="R1635" s="363"/>
      <c r="S1635" s="325"/>
      <c r="T1635" s="85" ph="1"/>
      <c r="V1635" s="216"/>
      <c r="W1635" s="245"/>
      <c r="X1635" s="187"/>
      <c r="Y1635" s="245"/>
      <c r="Z1635" s="245"/>
      <c r="AA1635" s="329"/>
      <c r="AC1635" s="245"/>
      <c r="AD1635" s="187"/>
      <c r="AE1635" s="361"/>
      <c r="AF1635" s="245"/>
      <c r="AH1635" s="245"/>
    </row>
    <row r="1636" spans="1:34" ht="26.25">
      <c r="A1636" s="245"/>
      <c r="B1636" s="245"/>
      <c r="C1636" s="245"/>
      <c r="D1636" s="245"/>
      <c r="E1636" s="245"/>
      <c r="F1636" s="279"/>
      <c r="G1636" s="245"/>
      <c r="H1636" s="245"/>
      <c r="I1636" s="245"/>
      <c r="L1636" s="123"/>
      <c r="O1636" s="360"/>
      <c r="Q1636" s="351"/>
      <c r="S1636" s="325"/>
      <c r="T1636" s="85" ph="1"/>
      <c r="V1636" s="216"/>
      <c r="W1636" s="245"/>
      <c r="X1636" s="187"/>
      <c r="Y1636" s="245"/>
      <c r="Z1636" s="245"/>
      <c r="AA1636" s="329"/>
      <c r="AC1636" s="245"/>
      <c r="AD1636" s="187"/>
      <c r="AE1636" s="361"/>
      <c r="AF1636" s="245"/>
      <c r="AH1636" s="245"/>
    </row>
    <row r="1637" spans="1:34" ht="26.25">
      <c r="A1637" s="245"/>
      <c r="B1637" s="245"/>
      <c r="C1637" s="245"/>
      <c r="D1637" s="245"/>
      <c r="E1637" s="245"/>
      <c r="F1637" s="279"/>
      <c r="G1637" s="245"/>
      <c r="H1637" s="245"/>
      <c r="I1637" s="245"/>
      <c r="L1637" s="245"/>
      <c r="O1637" s="360"/>
      <c r="Q1637" s="351"/>
      <c r="R1637" s="363"/>
      <c r="S1637" s="325"/>
      <c r="T1637" s="85" ph="1"/>
      <c r="V1637" s="216"/>
      <c r="W1637" s="245"/>
      <c r="X1637" s="187"/>
      <c r="Y1637" s="245"/>
      <c r="Z1637" s="245"/>
      <c r="AA1637" s="329"/>
      <c r="AC1637" s="245"/>
      <c r="AD1637" s="187"/>
      <c r="AE1637" s="361"/>
      <c r="AF1637" s="245"/>
      <c r="AH1637" s="245"/>
    </row>
    <row r="1638" spans="1:34" ht="26.25">
      <c r="A1638" s="245"/>
      <c r="B1638" s="245"/>
      <c r="C1638" s="245"/>
      <c r="D1638" s="245"/>
      <c r="E1638" s="245"/>
      <c r="F1638" s="279"/>
      <c r="G1638" s="245"/>
      <c r="H1638" s="245"/>
      <c r="I1638" s="245"/>
      <c r="L1638" s="123"/>
      <c r="O1638" s="360"/>
      <c r="Q1638" s="351"/>
      <c r="R1638" s="363"/>
      <c r="S1638" s="325"/>
      <c r="T1638" s="85" ph="1"/>
      <c r="V1638" s="216"/>
      <c r="W1638" s="245"/>
      <c r="X1638" s="187"/>
      <c r="Y1638" s="245"/>
      <c r="Z1638" s="245"/>
      <c r="AA1638" s="329"/>
      <c r="AC1638" s="245"/>
      <c r="AD1638" s="187"/>
      <c r="AE1638" s="361"/>
      <c r="AF1638" s="245"/>
      <c r="AH1638" s="245"/>
    </row>
    <row r="1639" spans="1:34" ht="26.25">
      <c r="A1639" s="245"/>
      <c r="B1639" s="245"/>
      <c r="C1639" s="245"/>
      <c r="D1639" s="245"/>
      <c r="E1639" s="245"/>
      <c r="F1639" s="279"/>
      <c r="G1639" s="245"/>
      <c r="H1639" s="245"/>
      <c r="I1639" s="245"/>
      <c r="L1639" s="123"/>
      <c r="O1639" s="360"/>
      <c r="Q1639" s="351"/>
      <c r="R1639" s="363"/>
      <c r="S1639" s="325"/>
      <c r="T1639" s="85" ph="1"/>
      <c r="V1639" s="216"/>
      <c r="W1639" s="245"/>
      <c r="X1639" s="187"/>
      <c r="Y1639" s="245"/>
      <c r="Z1639" s="245"/>
      <c r="AA1639" s="329"/>
      <c r="AC1639" s="245"/>
      <c r="AD1639" s="187"/>
      <c r="AE1639" s="361"/>
      <c r="AF1639" s="245"/>
      <c r="AH1639" s="245"/>
    </row>
    <row r="1640" spans="1:34" ht="26.25">
      <c r="A1640" s="245"/>
      <c r="B1640" s="245"/>
      <c r="C1640" s="245"/>
      <c r="D1640" s="245"/>
      <c r="E1640" s="245"/>
      <c r="F1640" s="279"/>
      <c r="G1640" s="245"/>
      <c r="H1640" s="245"/>
      <c r="I1640" s="245"/>
      <c r="L1640" s="123"/>
      <c r="O1640" s="360"/>
      <c r="Q1640" s="351"/>
      <c r="R1640" s="363"/>
      <c r="S1640" s="325"/>
      <c r="T1640" s="85" ph="1"/>
      <c r="V1640" s="216"/>
      <c r="W1640" s="245"/>
      <c r="X1640" s="187"/>
      <c r="Y1640" s="245"/>
      <c r="Z1640" s="245"/>
      <c r="AA1640" s="329"/>
      <c r="AC1640" s="245"/>
      <c r="AD1640" s="187"/>
      <c r="AE1640" s="361"/>
      <c r="AF1640" s="245"/>
      <c r="AH1640" s="245"/>
    </row>
    <row r="1641" spans="1:34" ht="26.25">
      <c r="A1641" s="245"/>
      <c r="B1641" s="245"/>
      <c r="C1641" s="245"/>
      <c r="D1641" s="245"/>
      <c r="E1641" s="245"/>
      <c r="F1641" s="279"/>
      <c r="G1641" s="245"/>
      <c r="H1641" s="245"/>
      <c r="I1641" s="245"/>
      <c r="L1641" s="123"/>
      <c r="O1641" s="360"/>
      <c r="Q1641" s="351"/>
      <c r="R1641" s="363"/>
      <c r="S1641" s="325"/>
      <c r="T1641" s="85" ph="1"/>
      <c r="V1641" s="216"/>
      <c r="W1641" s="245"/>
      <c r="X1641" s="187"/>
      <c r="Y1641" s="245"/>
      <c r="Z1641" s="245"/>
      <c r="AA1641" s="329"/>
      <c r="AC1641" s="245"/>
      <c r="AD1641" s="187"/>
      <c r="AE1641" s="361"/>
      <c r="AF1641" s="245"/>
      <c r="AH1641" s="245"/>
    </row>
    <row r="1642" spans="1:34" ht="26.25">
      <c r="A1642" s="245"/>
      <c r="B1642" s="245"/>
      <c r="C1642" s="245"/>
      <c r="D1642" s="245"/>
      <c r="E1642" s="245"/>
      <c r="F1642" s="279"/>
      <c r="G1642" s="245"/>
      <c r="H1642" s="245"/>
      <c r="I1642" s="245"/>
      <c r="L1642" s="123"/>
      <c r="O1642" s="360"/>
      <c r="Q1642" s="351"/>
      <c r="R1642" s="363"/>
      <c r="S1642" s="325"/>
      <c r="T1642" s="85" ph="1"/>
      <c r="V1642" s="216"/>
      <c r="W1642" s="245"/>
      <c r="X1642" s="187"/>
      <c r="Y1642" s="245"/>
      <c r="Z1642" s="245"/>
      <c r="AA1642" s="329"/>
      <c r="AC1642" s="245"/>
      <c r="AD1642" s="187"/>
      <c r="AE1642" s="361"/>
      <c r="AF1642" s="245"/>
      <c r="AH1642" s="245"/>
    </row>
    <row r="1643" spans="1:34" ht="26.25">
      <c r="A1643" s="245"/>
      <c r="B1643" s="245"/>
      <c r="C1643" s="245"/>
      <c r="D1643" s="245"/>
      <c r="E1643" s="245"/>
      <c r="F1643" s="279"/>
      <c r="G1643" s="245"/>
      <c r="H1643" s="245"/>
      <c r="I1643" s="245"/>
      <c r="L1643" s="123"/>
      <c r="O1643" s="360"/>
      <c r="Q1643" s="351"/>
      <c r="R1643" s="363"/>
      <c r="S1643" s="325"/>
      <c r="T1643" s="85" ph="1"/>
      <c r="V1643" s="216"/>
      <c r="W1643" s="245"/>
      <c r="X1643" s="187"/>
      <c r="Y1643" s="245"/>
      <c r="Z1643" s="245"/>
      <c r="AA1643" s="329"/>
      <c r="AC1643" s="245"/>
      <c r="AD1643" s="187"/>
      <c r="AE1643" s="361"/>
      <c r="AF1643" s="245"/>
      <c r="AH1643" s="245"/>
    </row>
    <row r="1644" spans="1:34" ht="26.25">
      <c r="A1644" s="245"/>
      <c r="B1644" s="245"/>
      <c r="C1644" s="245"/>
      <c r="D1644" s="245"/>
      <c r="E1644" s="245"/>
      <c r="F1644" s="279"/>
      <c r="G1644" s="245"/>
      <c r="H1644" s="245"/>
      <c r="I1644" s="245"/>
      <c r="L1644" s="123"/>
      <c r="O1644" s="360"/>
      <c r="Q1644" s="351"/>
      <c r="R1644" s="363"/>
      <c r="S1644" s="325"/>
      <c r="T1644" s="85" ph="1"/>
      <c r="V1644" s="216"/>
      <c r="W1644" s="245"/>
      <c r="X1644" s="187"/>
      <c r="Y1644" s="245"/>
      <c r="Z1644" s="245"/>
      <c r="AA1644" s="329"/>
      <c r="AC1644" s="245"/>
      <c r="AD1644" s="187"/>
      <c r="AE1644" s="361"/>
      <c r="AF1644" s="245"/>
      <c r="AH1644" s="245"/>
    </row>
    <row r="1645" spans="1:34" ht="26.25">
      <c r="A1645" s="245"/>
      <c r="B1645" s="245"/>
      <c r="C1645" s="245"/>
      <c r="D1645" s="245"/>
      <c r="E1645" s="245"/>
      <c r="F1645" s="279"/>
      <c r="G1645" s="245"/>
      <c r="H1645" s="245"/>
      <c r="I1645" s="245"/>
      <c r="L1645" s="123"/>
      <c r="O1645" s="360"/>
      <c r="Q1645" s="351"/>
      <c r="S1645" s="325"/>
      <c r="T1645" s="85" ph="1"/>
      <c r="V1645" s="216"/>
      <c r="W1645" s="245"/>
      <c r="X1645" s="187"/>
      <c r="Y1645" s="245"/>
      <c r="Z1645" s="245"/>
      <c r="AA1645" s="329"/>
      <c r="AC1645" s="245"/>
      <c r="AD1645" s="187"/>
      <c r="AE1645" s="361"/>
      <c r="AF1645" s="245"/>
      <c r="AH1645" s="245"/>
    </row>
    <row r="1646" spans="1:34" ht="26.25">
      <c r="A1646" s="245"/>
      <c r="B1646" s="245"/>
      <c r="C1646" s="245"/>
      <c r="D1646" s="245"/>
      <c r="E1646" s="245"/>
      <c r="F1646" s="279"/>
      <c r="G1646" s="245"/>
      <c r="H1646" s="245"/>
      <c r="I1646" s="245"/>
      <c r="L1646" s="123"/>
      <c r="O1646" s="360"/>
      <c r="Q1646" s="351"/>
      <c r="R1646" s="363"/>
      <c r="S1646" s="325"/>
      <c r="T1646" s="85" ph="1"/>
      <c r="V1646" s="216"/>
      <c r="W1646" s="245"/>
      <c r="X1646" s="187"/>
      <c r="Y1646" s="245"/>
      <c r="Z1646" s="245"/>
      <c r="AA1646" s="329"/>
      <c r="AC1646" s="245"/>
      <c r="AD1646" s="187"/>
      <c r="AE1646" s="361"/>
      <c r="AF1646" s="245"/>
      <c r="AH1646" s="245"/>
    </row>
    <row r="1647" spans="1:34" ht="26.25">
      <c r="A1647" s="245"/>
      <c r="B1647" s="245"/>
      <c r="C1647" s="245"/>
      <c r="D1647" s="245"/>
      <c r="E1647" s="245"/>
      <c r="F1647" s="279"/>
      <c r="G1647" s="245"/>
      <c r="H1647" s="245"/>
      <c r="I1647" s="245"/>
      <c r="L1647" s="123"/>
      <c r="O1647" s="360"/>
      <c r="Q1647" s="351"/>
      <c r="R1647" s="363"/>
      <c r="S1647" s="325"/>
      <c r="T1647" s="85" ph="1"/>
      <c r="V1647" s="216"/>
      <c r="W1647" s="245"/>
      <c r="X1647" s="187"/>
      <c r="Y1647" s="245"/>
      <c r="Z1647" s="245"/>
      <c r="AA1647" s="329"/>
      <c r="AC1647" s="245"/>
      <c r="AD1647" s="187"/>
      <c r="AE1647" s="361"/>
      <c r="AF1647" s="245"/>
      <c r="AH1647" s="245"/>
    </row>
    <row r="1648" spans="1:34" ht="26.25">
      <c r="A1648" s="245"/>
      <c r="B1648" s="245"/>
      <c r="C1648" s="245"/>
      <c r="D1648" s="245"/>
      <c r="E1648" s="245"/>
      <c r="F1648" s="279"/>
      <c r="G1648" s="245"/>
      <c r="H1648" s="245"/>
      <c r="I1648" s="245"/>
      <c r="L1648" s="123"/>
      <c r="O1648" s="360"/>
      <c r="Q1648" s="351"/>
      <c r="R1648" s="363"/>
      <c r="S1648" s="325"/>
      <c r="T1648" s="85" ph="1"/>
      <c r="V1648" s="216"/>
      <c r="W1648" s="245"/>
      <c r="X1648" s="187"/>
      <c r="Y1648" s="245"/>
      <c r="Z1648" s="245"/>
      <c r="AA1648" s="329"/>
      <c r="AC1648" s="245"/>
      <c r="AD1648" s="187"/>
      <c r="AE1648" s="361"/>
      <c r="AF1648" s="245"/>
      <c r="AH1648" s="245"/>
    </row>
    <row r="1649" spans="1:34" ht="26.25">
      <c r="A1649" s="245"/>
      <c r="B1649" s="245"/>
      <c r="C1649" s="245"/>
      <c r="D1649" s="245"/>
      <c r="E1649" s="245"/>
      <c r="F1649" s="279"/>
      <c r="G1649" s="245"/>
      <c r="H1649" s="245"/>
      <c r="I1649" s="245"/>
      <c r="L1649" s="123"/>
      <c r="O1649" s="360"/>
      <c r="Q1649" s="351"/>
      <c r="R1649" s="363"/>
      <c r="S1649" s="325"/>
      <c r="T1649" s="85" ph="1"/>
      <c r="V1649" s="216"/>
      <c r="W1649" s="245"/>
      <c r="X1649" s="187"/>
      <c r="Y1649" s="245"/>
      <c r="Z1649" s="245"/>
      <c r="AA1649" s="329"/>
      <c r="AC1649" s="245"/>
      <c r="AD1649" s="187"/>
      <c r="AE1649" s="361"/>
      <c r="AF1649" s="245"/>
      <c r="AH1649" s="245"/>
    </row>
    <row r="1650" spans="1:34" ht="26.25">
      <c r="A1650" s="245"/>
      <c r="B1650" s="245"/>
      <c r="C1650" s="245"/>
      <c r="D1650" s="245"/>
      <c r="E1650" s="245"/>
      <c r="F1650" s="279"/>
      <c r="G1650" s="245"/>
      <c r="H1650" s="245"/>
      <c r="I1650" s="245"/>
      <c r="L1650" s="123"/>
      <c r="O1650" s="360"/>
      <c r="Q1650" s="351"/>
      <c r="R1650" s="363"/>
      <c r="S1650" s="325"/>
      <c r="T1650" s="85" ph="1"/>
      <c r="V1650" s="216"/>
      <c r="W1650" s="245"/>
      <c r="X1650" s="187"/>
      <c r="Y1650" s="245"/>
      <c r="Z1650" s="245"/>
      <c r="AA1650" s="329"/>
      <c r="AC1650" s="245"/>
      <c r="AD1650" s="187"/>
      <c r="AE1650" s="361"/>
      <c r="AF1650" s="245"/>
      <c r="AH1650" s="245"/>
    </row>
    <row r="1651" spans="1:34" ht="26.25">
      <c r="A1651" s="245"/>
      <c r="B1651" s="245"/>
      <c r="C1651" s="245"/>
      <c r="D1651" s="245"/>
      <c r="E1651" s="245"/>
      <c r="F1651" s="279"/>
      <c r="G1651" s="245"/>
      <c r="H1651" s="245"/>
      <c r="I1651" s="245"/>
      <c r="L1651" s="123"/>
      <c r="O1651" s="360"/>
      <c r="Q1651" s="351"/>
      <c r="R1651" s="363"/>
      <c r="S1651" s="325"/>
      <c r="T1651" s="85" ph="1"/>
      <c r="V1651" s="216"/>
      <c r="W1651" s="245"/>
      <c r="X1651" s="187"/>
      <c r="Y1651" s="245"/>
      <c r="Z1651" s="245"/>
      <c r="AA1651" s="329"/>
      <c r="AC1651" s="245"/>
      <c r="AD1651" s="187"/>
      <c r="AE1651" s="361"/>
      <c r="AF1651" s="245"/>
      <c r="AH1651" s="245"/>
    </row>
    <row r="1652" spans="1:34" ht="26.25">
      <c r="A1652" s="245"/>
      <c r="B1652" s="245"/>
      <c r="C1652" s="245"/>
      <c r="D1652" s="245"/>
      <c r="E1652" s="245"/>
      <c r="F1652" s="279"/>
      <c r="G1652" s="245"/>
      <c r="H1652" s="245"/>
      <c r="I1652" s="245"/>
      <c r="L1652" s="27"/>
      <c r="O1652" s="360"/>
      <c r="Q1652" s="351"/>
      <c r="R1652" s="363"/>
      <c r="S1652" s="325"/>
      <c r="T1652" s="85" ph="1"/>
      <c r="V1652" s="216"/>
      <c r="W1652" s="245"/>
      <c r="X1652" s="187"/>
      <c r="Y1652" s="245"/>
      <c r="Z1652" s="245"/>
      <c r="AA1652" s="329"/>
      <c r="AC1652" s="245"/>
      <c r="AD1652" s="187"/>
      <c r="AE1652" s="361"/>
      <c r="AF1652" s="245"/>
      <c r="AH1652" s="245"/>
    </row>
    <row r="1653" spans="1:34" ht="26.25">
      <c r="A1653" s="245"/>
      <c r="B1653" s="245"/>
      <c r="C1653" s="245"/>
      <c r="D1653" s="245"/>
      <c r="E1653" s="245"/>
      <c r="F1653" s="279"/>
      <c r="G1653" s="245"/>
      <c r="H1653" s="245"/>
      <c r="I1653" s="245"/>
      <c r="L1653" s="123"/>
      <c r="O1653" s="360"/>
      <c r="Q1653" s="351"/>
      <c r="R1653" s="363"/>
      <c r="S1653" s="325"/>
      <c r="T1653" s="85" ph="1"/>
      <c r="V1653" s="216"/>
      <c r="W1653" s="245"/>
      <c r="X1653" s="187"/>
      <c r="Y1653" s="245"/>
      <c r="Z1653" s="245"/>
      <c r="AA1653" s="329"/>
      <c r="AC1653" s="245"/>
      <c r="AD1653" s="187"/>
      <c r="AE1653" s="361"/>
      <c r="AF1653" s="245"/>
      <c r="AH1653" s="245"/>
    </row>
    <row r="1654" spans="1:34" ht="26.25">
      <c r="A1654" s="245"/>
      <c r="B1654" s="245"/>
      <c r="C1654" s="245"/>
      <c r="D1654" s="245"/>
      <c r="E1654" s="245"/>
      <c r="F1654" s="279"/>
      <c r="G1654" s="245"/>
      <c r="H1654" s="245"/>
      <c r="I1654" s="245"/>
      <c r="L1654" s="123"/>
      <c r="O1654" s="360"/>
      <c r="Q1654" s="351"/>
      <c r="R1654" s="363"/>
      <c r="S1654" s="325"/>
      <c r="T1654" s="85" ph="1"/>
      <c r="V1654" s="216"/>
      <c r="W1654" s="245"/>
      <c r="X1654" s="187"/>
      <c r="Y1654" s="245"/>
      <c r="Z1654" s="245"/>
      <c r="AA1654" s="329"/>
      <c r="AC1654" s="245"/>
      <c r="AD1654" s="187"/>
      <c r="AE1654" s="361"/>
      <c r="AF1654" s="245"/>
      <c r="AH1654" s="245"/>
    </row>
    <row r="1655" spans="1:34" ht="26.25">
      <c r="A1655" s="245"/>
      <c r="B1655" s="245"/>
      <c r="C1655" s="245"/>
      <c r="D1655" s="245"/>
      <c r="E1655" s="245"/>
      <c r="F1655" s="279"/>
      <c r="G1655" s="245"/>
      <c r="H1655" s="245"/>
      <c r="I1655" s="245"/>
      <c r="L1655" s="123"/>
      <c r="O1655" s="360"/>
      <c r="Q1655" s="351"/>
      <c r="R1655" s="363"/>
      <c r="S1655" s="325"/>
      <c r="T1655" s="85" ph="1"/>
      <c r="V1655" s="216"/>
      <c r="W1655" s="245"/>
      <c r="X1655" s="187"/>
      <c r="Y1655" s="245"/>
      <c r="Z1655" s="245"/>
      <c r="AA1655" s="329"/>
      <c r="AC1655" s="245"/>
      <c r="AD1655" s="187"/>
      <c r="AE1655" s="361"/>
      <c r="AF1655" s="245"/>
      <c r="AH1655" s="245"/>
    </row>
    <row r="1656" spans="1:34" ht="26.25">
      <c r="A1656" s="245"/>
      <c r="B1656" s="245"/>
      <c r="C1656" s="245"/>
      <c r="D1656" s="245"/>
      <c r="E1656" s="245"/>
      <c r="F1656" s="279"/>
      <c r="G1656" s="245"/>
      <c r="H1656" s="245"/>
      <c r="I1656" s="245"/>
      <c r="L1656" s="123"/>
      <c r="O1656" s="360"/>
      <c r="Q1656" s="351"/>
      <c r="R1656" s="363"/>
      <c r="S1656" s="325"/>
      <c r="T1656" s="85" ph="1"/>
      <c r="V1656" s="216"/>
      <c r="W1656" s="245"/>
      <c r="X1656" s="187"/>
      <c r="Y1656" s="245"/>
      <c r="Z1656" s="245"/>
      <c r="AA1656" s="329"/>
      <c r="AC1656" s="245"/>
      <c r="AD1656" s="187"/>
      <c r="AE1656" s="361"/>
      <c r="AF1656" s="245"/>
      <c r="AH1656" s="245"/>
    </row>
    <row r="1657" spans="1:34" ht="26.25">
      <c r="A1657" s="245"/>
      <c r="B1657" s="245"/>
      <c r="C1657" s="245"/>
      <c r="D1657" s="245"/>
      <c r="E1657" s="245"/>
      <c r="F1657" s="279"/>
      <c r="G1657" s="245"/>
      <c r="H1657" s="245"/>
      <c r="I1657" s="245"/>
      <c r="L1657" s="123"/>
      <c r="O1657" s="360"/>
      <c r="Q1657" s="351"/>
      <c r="R1657" s="363"/>
      <c r="S1657" s="325"/>
      <c r="T1657" s="85" ph="1"/>
      <c r="V1657" s="216"/>
      <c r="W1657" s="245"/>
      <c r="X1657" s="187"/>
      <c r="Y1657" s="245"/>
      <c r="Z1657" s="245"/>
      <c r="AA1657" s="329"/>
      <c r="AC1657" s="245"/>
      <c r="AD1657" s="187"/>
      <c r="AE1657" s="361"/>
      <c r="AF1657" s="245"/>
      <c r="AH1657" s="245"/>
    </row>
    <row r="1658" spans="1:34" ht="26.25">
      <c r="A1658" s="245"/>
      <c r="B1658" s="245"/>
      <c r="C1658" s="245"/>
      <c r="D1658" s="245"/>
      <c r="E1658" s="245"/>
      <c r="F1658" s="279"/>
      <c r="G1658" s="245"/>
      <c r="H1658" s="245"/>
      <c r="I1658" s="245"/>
      <c r="L1658" s="123"/>
      <c r="O1658" s="360"/>
      <c r="Q1658" s="351"/>
      <c r="R1658" s="363"/>
      <c r="S1658" s="325"/>
      <c r="T1658" s="85" ph="1"/>
      <c r="V1658" s="216"/>
      <c r="W1658" s="245"/>
      <c r="X1658" s="187"/>
      <c r="Y1658" s="245"/>
      <c r="Z1658" s="245"/>
      <c r="AA1658" s="329"/>
      <c r="AC1658" s="245"/>
      <c r="AD1658" s="187"/>
      <c r="AE1658" s="361"/>
      <c r="AF1658" s="245"/>
      <c r="AH1658" s="245"/>
    </row>
    <row r="1659" spans="1:34" ht="26.25">
      <c r="A1659" s="245"/>
      <c r="B1659" s="245"/>
      <c r="C1659" s="245"/>
      <c r="D1659" s="245"/>
      <c r="E1659" s="245"/>
      <c r="F1659" s="279"/>
      <c r="G1659" s="245"/>
      <c r="H1659" s="245"/>
      <c r="I1659" s="245"/>
      <c r="L1659" s="123"/>
      <c r="O1659" s="360"/>
      <c r="Q1659" s="351"/>
      <c r="R1659" s="363"/>
      <c r="S1659" s="325"/>
      <c r="T1659" s="85" ph="1"/>
      <c r="V1659" s="216"/>
      <c r="W1659" s="245"/>
      <c r="X1659" s="187"/>
      <c r="Y1659" s="245"/>
      <c r="Z1659" s="245"/>
      <c r="AA1659" s="329"/>
      <c r="AC1659" s="245"/>
      <c r="AD1659" s="187"/>
      <c r="AE1659" s="361"/>
      <c r="AF1659" s="245"/>
      <c r="AH1659" s="245"/>
    </row>
    <row r="1660" spans="1:34" ht="26.25">
      <c r="A1660" s="245"/>
      <c r="B1660" s="245"/>
      <c r="C1660" s="245"/>
      <c r="D1660" s="245"/>
      <c r="E1660" s="245"/>
      <c r="F1660" s="279"/>
      <c r="G1660" s="245"/>
      <c r="H1660" s="245"/>
      <c r="I1660" s="245"/>
      <c r="L1660" s="123"/>
      <c r="O1660" s="360"/>
      <c r="Q1660" s="351"/>
      <c r="R1660" s="363"/>
      <c r="S1660" s="325"/>
      <c r="T1660" s="85" ph="1"/>
      <c r="V1660" s="216"/>
      <c r="W1660" s="245"/>
      <c r="X1660" s="187"/>
      <c r="Y1660" s="245"/>
      <c r="Z1660" s="245"/>
      <c r="AA1660" s="329"/>
      <c r="AC1660" s="245"/>
      <c r="AD1660" s="187"/>
      <c r="AE1660" s="361"/>
      <c r="AF1660" s="245"/>
      <c r="AH1660" s="245"/>
    </row>
    <row r="1661" spans="1:34" ht="26.25">
      <c r="A1661" s="245"/>
      <c r="B1661" s="245"/>
      <c r="C1661" s="245"/>
      <c r="D1661" s="245"/>
      <c r="E1661" s="245"/>
      <c r="F1661" s="279"/>
      <c r="G1661" s="245"/>
      <c r="H1661" s="245"/>
      <c r="I1661" s="245"/>
      <c r="L1661" s="123"/>
      <c r="O1661" s="360"/>
      <c r="Q1661" s="351"/>
      <c r="R1661" s="363"/>
      <c r="S1661" s="325"/>
      <c r="T1661" s="85" ph="1"/>
      <c r="V1661" s="216"/>
      <c r="W1661" s="245"/>
      <c r="X1661" s="187"/>
      <c r="Y1661" s="245"/>
      <c r="Z1661" s="245"/>
      <c r="AA1661" s="329"/>
      <c r="AC1661" s="245"/>
      <c r="AD1661" s="187"/>
      <c r="AE1661" s="361"/>
      <c r="AF1661" s="245"/>
      <c r="AH1661" s="245"/>
    </row>
    <row r="1662" spans="1:34" ht="26.25">
      <c r="A1662" s="245"/>
      <c r="B1662" s="245"/>
      <c r="C1662" s="245"/>
      <c r="D1662" s="245"/>
      <c r="E1662" s="245"/>
      <c r="F1662" s="279"/>
      <c r="G1662" s="245"/>
      <c r="H1662" s="245"/>
      <c r="I1662" s="245"/>
      <c r="L1662" s="123"/>
      <c r="O1662" s="360"/>
      <c r="Q1662" s="351"/>
      <c r="R1662" s="363"/>
      <c r="S1662" s="325"/>
      <c r="T1662" s="85" ph="1"/>
      <c r="V1662" s="216"/>
      <c r="W1662" s="245"/>
      <c r="X1662" s="187"/>
      <c r="Y1662" s="245"/>
      <c r="Z1662" s="245"/>
      <c r="AA1662" s="329"/>
      <c r="AC1662" s="245"/>
      <c r="AD1662" s="187"/>
      <c r="AE1662" s="361"/>
      <c r="AF1662" s="245"/>
      <c r="AH1662" s="245"/>
    </row>
    <row r="1663" spans="1:34" ht="26.25">
      <c r="A1663" s="245"/>
      <c r="B1663" s="245"/>
      <c r="C1663" s="245"/>
      <c r="D1663" s="245"/>
      <c r="E1663" s="245"/>
      <c r="F1663" s="279"/>
      <c r="G1663" s="245"/>
      <c r="H1663" s="245"/>
      <c r="I1663" s="245"/>
      <c r="L1663" s="123"/>
      <c r="O1663" s="360"/>
      <c r="Q1663" s="351"/>
      <c r="R1663" s="363"/>
      <c r="S1663" s="325"/>
      <c r="T1663" s="85" ph="1"/>
      <c r="V1663" s="216"/>
      <c r="W1663" s="245"/>
      <c r="X1663" s="187"/>
      <c r="Y1663" s="245"/>
      <c r="Z1663" s="245"/>
      <c r="AA1663" s="329"/>
      <c r="AC1663" s="245"/>
      <c r="AD1663" s="187"/>
      <c r="AE1663" s="361"/>
      <c r="AF1663" s="245"/>
      <c r="AH1663" s="245"/>
    </row>
    <row r="1664" spans="1:34" ht="26.25">
      <c r="A1664" s="245"/>
      <c r="B1664" s="245"/>
      <c r="C1664" s="245"/>
      <c r="D1664" s="245"/>
      <c r="E1664" s="245"/>
      <c r="F1664" s="279"/>
      <c r="G1664" s="245"/>
      <c r="H1664" s="245"/>
      <c r="I1664" s="245"/>
      <c r="L1664" s="123"/>
      <c r="O1664" s="360"/>
      <c r="Q1664" s="351"/>
      <c r="R1664" s="363"/>
      <c r="S1664" s="325"/>
      <c r="T1664" s="85" ph="1"/>
      <c r="V1664" s="216"/>
      <c r="W1664" s="245"/>
      <c r="X1664" s="187"/>
      <c r="Y1664" s="245"/>
      <c r="Z1664" s="245"/>
      <c r="AA1664" s="329"/>
      <c r="AC1664" s="245"/>
      <c r="AD1664" s="187"/>
      <c r="AE1664" s="361"/>
      <c r="AF1664" s="245"/>
      <c r="AH1664" s="245"/>
    </row>
    <row r="1665" spans="1:34" ht="26.25">
      <c r="A1665" s="245"/>
      <c r="B1665" s="245"/>
      <c r="C1665" s="245"/>
      <c r="D1665" s="245"/>
      <c r="E1665" s="245"/>
      <c r="F1665" s="279"/>
      <c r="G1665" s="245"/>
      <c r="H1665" s="245"/>
      <c r="I1665" s="245"/>
      <c r="L1665" s="123"/>
      <c r="O1665" s="360"/>
      <c r="Q1665" s="351"/>
      <c r="R1665" s="363"/>
      <c r="S1665" s="325"/>
      <c r="T1665" s="85" ph="1"/>
      <c r="V1665" s="216"/>
      <c r="W1665" s="245"/>
      <c r="X1665" s="187"/>
      <c r="Y1665" s="245"/>
      <c r="Z1665" s="245"/>
      <c r="AA1665" s="329"/>
      <c r="AC1665" s="245"/>
      <c r="AD1665" s="187"/>
      <c r="AE1665" s="361"/>
      <c r="AF1665" s="245"/>
      <c r="AH1665" s="245"/>
    </row>
    <row r="1666" spans="1:34" ht="26.25">
      <c r="A1666" s="245"/>
      <c r="B1666" s="245"/>
      <c r="C1666" s="245"/>
      <c r="D1666" s="245"/>
      <c r="E1666" s="245"/>
      <c r="F1666" s="279"/>
      <c r="G1666" s="245"/>
      <c r="H1666" s="245"/>
      <c r="I1666" s="245"/>
      <c r="L1666" s="245"/>
      <c r="O1666" s="360"/>
      <c r="Q1666" s="351"/>
      <c r="R1666" s="363"/>
      <c r="S1666" s="325"/>
      <c r="T1666" s="85" ph="1"/>
      <c r="V1666" s="216"/>
      <c r="W1666" s="245"/>
      <c r="X1666" s="187"/>
      <c r="Y1666" s="245"/>
      <c r="Z1666" s="245"/>
      <c r="AA1666" s="329"/>
      <c r="AC1666" s="245"/>
      <c r="AD1666" s="187"/>
      <c r="AE1666" s="361"/>
      <c r="AF1666" s="245"/>
      <c r="AH1666" s="245"/>
    </row>
    <row r="1667" spans="1:34" ht="26.25">
      <c r="A1667" s="245"/>
      <c r="B1667" s="245"/>
      <c r="C1667" s="245"/>
      <c r="D1667" s="245"/>
      <c r="E1667" s="245"/>
      <c r="F1667" s="279"/>
      <c r="G1667" s="245"/>
      <c r="H1667" s="245"/>
      <c r="I1667" s="245"/>
      <c r="L1667" s="123"/>
      <c r="O1667" s="360"/>
      <c r="Q1667" s="351"/>
      <c r="R1667" s="363"/>
      <c r="S1667" s="325"/>
      <c r="T1667" s="85" ph="1"/>
      <c r="V1667" s="216"/>
      <c r="W1667" s="245"/>
      <c r="X1667" s="187"/>
      <c r="Y1667" s="245"/>
      <c r="Z1667" s="245"/>
      <c r="AA1667" s="329"/>
      <c r="AC1667" s="245"/>
      <c r="AD1667" s="187"/>
      <c r="AE1667" s="361"/>
      <c r="AF1667" s="245"/>
      <c r="AH1667" s="245"/>
    </row>
    <row r="1668" spans="1:34" ht="26.25">
      <c r="A1668" s="245"/>
      <c r="B1668" s="245"/>
      <c r="C1668" s="245"/>
      <c r="D1668" s="245"/>
      <c r="E1668" s="245"/>
      <c r="F1668" s="279"/>
      <c r="G1668" s="245"/>
      <c r="H1668" s="245"/>
      <c r="I1668" s="245"/>
      <c r="L1668" s="123"/>
      <c r="O1668" s="360"/>
      <c r="Q1668" s="351"/>
      <c r="R1668" s="363"/>
      <c r="S1668" s="325"/>
      <c r="T1668" s="85" ph="1"/>
      <c r="V1668" s="216"/>
      <c r="W1668" s="245"/>
      <c r="X1668" s="187"/>
      <c r="Y1668" s="245"/>
      <c r="Z1668" s="245"/>
      <c r="AA1668" s="329"/>
      <c r="AC1668" s="245"/>
      <c r="AD1668" s="187"/>
      <c r="AE1668" s="361"/>
      <c r="AF1668" s="245"/>
      <c r="AH1668" s="245"/>
    </row>
    <row r="1669" spans="1:34" ht="26.25">
      <c r="A1669" s="245"/>
      <c r="B1669" s="245"/>
      <c r="C1669" s="245"/>
      <c r="D1669" s="245"/>
      <c r="E1669" s="245"/>
      <c r="F1669" s="279"/>
      <c r="G1669" s="245"/>
      <c r="H1669" s="245"/>
      <c r="I1669" s="245"/>
      <c r="L1669" s="123"/>
      <c r="O1669" s="360"/>
      <c r="Q1669" s="351"/>
      <c r="R1669" s="363"/>
      <c r="S1669" s="325"/>
      <c r="T1669" s="85" ph="1"/>
      <c r="V1669" s="216"/>
      <c r="W1669" s="245"/>
      <c r="X1669" s="187"/>
      <c r="Y1669" s="245"/>
      <c r="Z1669" s="245"/>
      <c r="AA1669" s="329"/>
      <c r="AC1669" s="245"/>
      <c r="AD1669" s="187"/>
      <c r="AE1669" s="361"/>
      <c r="AF1669" s="245"/>
      <c r="AH1669" s="245"/>
    </row>
    <row r="1670" spans="1:34" ht="26.25">
      <c r="A1670" s="245"/>
      <c r="B1670" s="245"/>
      <c r="C1670" s="245"/>
      <c r="D1670" s="245"/>
      <c r="E1670" s="245"/>
      <c r="F1670" s="279"/>
      <c r="G1670" s="245"/>
      <c r="H1670" s="245"/>
      <c r="I1670" s="245"/>
      <c r="L1670" s="123"/>
      <c r="O1670" s="360"/>
      <c r="Q1670" s="351"/>
      <c r="R1670" s="363"/>
      <c r="S1670" s="325"/>
      <c r="T1670" s="85" ph="1"/>
      <c r="V1670" s="216"/>
      <c r="W1670" s="245"/>
      <c r="X1670" s="187"/>
      <c r="Y1670" s="245"/>
      <c r="Z1670" s="245"/>
      <c r="AA1670" s="329"/>
      <c r="AC1670" s="245"/>
      <c r="AD1670" s="187"/>
      <c r="AE1670" s="361"/>
      <c r="AF1670" s="245"/>
      <c r="AH1670" s="245"/>
    </row>
    <row r="1671" spans="1:34" ht="26.25">
      <c r="A1671" s="245"/>
      <c r="B1671" s="245"/>
      <c r="C1671" s="245"/>
      <c r="D1671" s="245"/>
      <c r="E1671" s="245"/>
      <c r="F1671" s="279"/>
      <c r="G1671" s="245"/>
      <c r="H1671" s="245"/>
      <c r="I1671" s="245"/>
      <c r="L1671" s="123"/>
      <c r="O1671" s="360"/>
      <c r="Q1671" s="351"/>
      <c r="R1671" s="363"/>
      <c r="S1671" s="325"/>
      <c r="T1671" s="85" ph="1"/>
      <c r="V1671" s="216"/>
      <c r="W1671" s="245"/>
      <c r="X1671" s="187"/>
      <c r="Y1671" s="245"/>
      <c r="Z1671" s="245"/>
      <c r="AA1671" s="329"/>
      <c r="AC1671" s="245"/>
      <c r="AD1671" s="187"/>
      <c r="AE1671" s="361"/>
      <c r="AF1671" s="245"/>
      <c r="AH1671" s="245"/>
    </row>
    <row r="1672" spans="1:34" ht="26.25">
      <c r="A1672" s="245"/>
      <c r="B1672" s="245"/>
      <c r="C1672" s="245"/>
      <c r="D1672" s="245"/>
      <c r="E1672" s="245"/>
      <c r="F1672" s="279"/>
      <c r="G1672" s="245"/>
      <c r="H1672" s="245"/>
      <c r="I1672" s="245"/>
      <c r="L1672" s="123"/>
      <c r="O1672" s="360"/>
      <c r="Q1672" s="351"/>
      <c r="R1672" s="363"/>
      <c r="S1672" s="325"/>
      <c r="T1672" s="85" ph="1"/>
      <c r="V1672" s="216"/>
      <c r="W1672" s="245"/>
      <c r="X1672" s="187"/>
      <c r="Y1672" s="245"/>
      <c r="Z1672" s="245"/>
      <c r="AA1672" s="329"/>
      <c r="AC1672" s="245"/>
      <c r="AD1672" s="187"/>
      <c r="AE1672" s="361"/>
      <c r="AF1672" s="245"/>
      <c r="AH1672" s="245"/>
    </row>
    <row r="1673" spans="1:34" ht="26.25">
      <c r="A1673" s="245"/>
      <c r="B1673" s="245"/>
      <c r="C1673" s="245"/>
      <c r="D1673" s="245"/>
      <c r="E1673" s="245"/>
      <c r="F1673" s="279"/>
      <c r="G1673" s="245"/>
      <c r="H1673" s="245"/>
      <c r="I1673" s="245"/>
      <c r="L1673" s="123"/>
      <c r="O1673" s="360"/>
      <c r="Q1673" s="351"/>
      <c r="R1673" s="363"/>
      <c r="S1673" s="325"/>
      <c r="T1673" s="85" ph="1"/>
      <c r="V1673" s="216"/>
      <c r="W1673" s="245"/>
      <c r="X1673" s="187"/>
      <c r="Y1673" s="245"/>
      <c r="Z1673" s="245"/>
      <c r="AA1673" s="329"/>
      <c r="AC1673" s="245"/>
      <c r="AD1673" s="187"/>
      <c r="AE1673" s="361"/>
      <c r="AF1673" s="245"/>
      <c r="AH1673" s="245"/>
    </row>
    <row r="1674" spans="1:34" ht="26.25">
      <c r="A1674" s="245"/>
      <c r="B1674" s="245"/>
      <c r="C1674" s="245"/>
      <c r="D1674" s="245"/>
      <c r="E1674" s="245"/>
      <c r="F1674" s="279"/>
      <c r="G1674" s="245"/>
      <c r="H1674" s="245"/>
      <c r="I1674" s="245"/>
      <c r="L1674" s="123"/>
      <c r="O1674" s="360"/>
      <c r="Q1674" s="351"/>
      <c r="R1674" s="363"/>
      <c r="S1674" s="325"/>
      <c r="T1674" s="85" ph="1"/>
      <c r="V1674" s="216"/>
      <c r="W1674" s="245"/>
      <c r="X1674" s="187"/>
      <c r="Y1674" s="245"/>
      <c r="Z1674" s="245"/>
      <c r="AA1674" s="329"/>
      <c r="AC1674" s="245"/>
      <c r="AD1674" s="187"/>
      <c r="AE1674" s="361"/>
      <c r="AF1674" s="245"/>
      <c r="AH1674" s="245"/>
    </row>
    <row r="1675" spans="1:34" ht="26.25">
      <c r="A1675" s="245"/>
      <c r="B1675" s="245"/>
      <c r="C1675" s="245"/>
      <c r="D1675" s="245"/>
      <c r="E1675" s="245"/>
      <c r="F1675" s="279"/>
      <c r="G1675" s="245"/>
      <c r="H1675" s="245"/>
      <c r="I1675" s="245"/>
      <c r="L1675" s="123"/>
      <c r="O1675" s="360"/>
      <c r="Q1675" s="351"/>
      <c r="R1675" s="363"/>
      <c r="S1675" s="325"/>
      <c r="T1675" s="85" ph="1"/>
      <c r="V1675" s="216"/>
      <c r="W1675" s="245"/>
      <c r="X1675" s="187"/>
      <c r="Y1675" s="245"/>
      <c r="Z1675" s="245"/>
      <c r="AA1675" s="329"/>
      <c r="AC1675" s="245"/>
      <c r="AD1675" s="187"/>
      <c r="AE1675" s="361"/>
      <c r="AF1675" s="245"/>
      <c r="AH1675" s="245"/>
    </row>
    <row r="1676" spans="1:34" ht="26.25">
      <c r="A1676" s="245"/>
      <c r="B1676" s="245"/>
      <c r="C1676" s="245"/>
      <c r="D1676" s="245"/>
      <c r="E1676" s="245"/>
      <c r="F1676" s="279"/>
      <c r="G1676" s="245"/>
      <c r="H1676" s="245"/>
      <c r="I1676" s="245"/>
      <c r="L1676" s="123"/>
      <c r="O1676" s="360"/>
      <c r="Q1676" s="351"/>
      <c r="R1676" s="363"/>
      <c r="S1676" s="325"/>
      <c r="T1676" s="85" ph="1"/>
      <c r="V1676" s="216"/>
      <c r="W1676" s="245"/>
      <c r="X1676" s="187"/>
      <c r="Y1676" s="245"/>
      <c r="Z1676" s="245"/>
      <c r="AA1676" s="329"/>
      <c r="AC1676" s="245"/>
      <c r="AD1676" s="187"/>
      <c r="AE1676" s="361"/>
      <c r="AF1676" s="245"/>
      <c r="AH1676" s="245"/>
    </row>
    <row r="1677" spans="1:34" ht="26.25">
      <c r="A1677" s="245"/>
      <c r="B1677" s="245"/>
      <c r="C1677" s="245"/>
      <c r="D1677" s="245"/>
      <c r="E1677" s="245"/>
      <c r="F1677" s="279"/>
      <c r="G1677" s="245"/>
      <c r="H1677" s="245"/>
      <c r="I1677" s="245"/>
      <c r="L1677" s="245"/>
      <c r="O1677" s="360"/>
      <c r="Q1677" s="351"/>
      <c r="R1677" s="363"/>
      <c r="S1677" s="325"/>
      <c r="T1677" s="85" ph="1"/>
      <c r="V1677" s="216"/>
      <c r="W1677" s="245"/>
      <c r="X1677" s="187"/>
      <c r="Y1677" s="245"/>
      <c r="Z1677" s="245"/>
      <c r="AA1677" s="329"/>
      <c r="AC1677" s="245"/>
      <c r="AD1677" s="187"/>
      <c r="AE1677" s="361"/>
      <c r="AF1677" s="245"/>
      <c r="AH1677" s="245"/>
    </row>
    <row r="1678" spans="1:34" ht="26.25">
      <c r="A1678" s="245"/>
      <c r="B1678" s="245"/>
      <c r="C1678" s="245"/>
      <c r="D1678" s="245"/>
      <c r="E1678" s="245"/>
      <c r="F1678" s="279"/>
      <c r="G1678" s="245"/>
      <c r="H1678" s="245"/>
      <c r="I1678" s="245"/>
      <c r="L1678" s="123"/>
      <c r="O1678" s="360"/>
      <c r="Q1678" s="351"/>
      <c r="R1678" s="363"/>
      <c r="S1678" s="325"/>
      <c r="T1678" s="85" ph="1"/>
      <c r="V1678" s="216"/>
      <c r="W1678" s="245"/>
      <c r="X1678" s="187"/>
      <c r="Y1678" s="245"/>
      <c r="Z1678" s="245"/>
      <c r="AA1678" s="329"/>
      <c r="AC1678" s="245"/>
      <c r="AD1678" s="187"/>
      <c r="AE1678" s="361"/>
      <c r="AF1678" s="245"/>
      <c r="AH1678" s="245"/>
    </row>
    <row r="1679" spans="1:34" ht="26.25">
      <c r="A1679" s="245"/>
      <c r="B1679" s="245"/>
      <c r="C1679" s="245"/>
      <c r="D1679" s="245"/>
      <c r="E1679" s="245"/>
      <c r="F1679" s="279"/>
      <c r="G1679" s="245"/>
      <c r="H1679" s="245"/>
      <c r="I1679" s="245"/>
      <c r="L1679" s="123"/>
      <c r="O1679" s="360"/>
      <c r="Q1679" s="351"/>
      <c r="R1679" s="363"/>
      <c r="S1679" s="325"/>
      <c r="T1679" s="85" ph="1"/>
      <c r="V1679" s="216"/>
      <c r="W1679" s="245"/>
      <c r="X1679" s="187"/>
      <c r="Y1679" s="245"/>
      <c r="Z1679" s="245"/>
      <c r="AA1679" s="329"/>
      <c r="AC1679" s="245"/>
      <c r="AD1679" s="187"/>
      <c r="AE1679" s="361"/>
      <c r="AF1679" s="245"/>
      <c r="AH1679" s="245"/>
    </row>
    <row r="1680" spans="1:34" ht="26.25">
      <c r="A1680" s="245"/>
      <c r="B1680" s="245"/>
      <c r="C1680" s="245"/>
      <c r="D1680" s="245"/>
      <c r="E1680" s="245"/>
      <c r="F1680" s="279"/>
      <c r="G1680" s="245"/>
      <c r="H1680" s="245"/>
      <c r="I1680" s="245"/>
      <c r="L1680" s="245"/>
      <c r="O1680" s="360"/>
      <c r="Q1680" s="351"/>
      <c r="R1680" s="363"/>
      <c r="S1680" s="325"/>
      <c r="T1680" s="85" ph="1"/>
      <c r="V1680" s="216"/>
      <c r="W1680" s="245"/>
      <c r="X1680" s="187"/>
      <c r="Y1680" s="245"/>
      <c r="Z1680" s="245"/>
      <c r="AA1680" s="329"/>
      <c r="AC1680" s="245"/>
      <c r="AD1680" s="187"/>
      <c r="AE1680" s="361"/>
      <c r="AF1680" s="245"/>
      <c r="AH1680" s="245"/>
    </row>
    <row r="1681" spans="1:34" ht="26.25">
      <c r="A1681" s="245"/>
      <c r="B1681" s="245"/>
      <c r="C1681" s="245"/>
      <c r="D1681" s="245"/>
      <c r="E1681" s="245"/>
      <c r="F1681" s="279"/>
      <c r="G1681" s="245"/>
      <c r="H1681" s="245"/>
      <c r="I1681" s="245"/>
      <c r="L1681" s="123"/>
      <c r="O1681" s="360"/>
      <c r="Q1681" s="351"/>
      <c r="R1681" s="363"/>
      <c r="S1681" s="325"/>
      <c r="T1681" s="85" ph="1"/>
      <c r="V1681" s="216"/>
      <c r="W1681" s="245"/>
      <c r="X1681" s="187"/>
      <c r="Y1681" s="245"/>
      <c r="Z1681" s="245"/>
      <c r="AA1681" s="329"/>
      <c r="AC1681" s="245"/>
      <c r="AD1681" s="187"/>
      <c r="AE1681" s="361"/>
      <c r="AF1681" s="245"/>
      <c r="AH1681" s="245"/>
    </row>
    <row r="1682" spans="1:34" ht="26.25">
      <c r="A1682" s="245"/>
      <c r="B1682" s="245"/>
      <c r="C1682" s="245"/>
      <c r="D1682" s="245"/>
      <c r="E1682" s="245"/>
      <c r="F1682" s="279"/>
      <c r="G1682" s="245"/>
      <c r="H1682" s="245"/>
      <c r="I1682" s="245"/>
      <c r="L1682" s="123"/>
      <c r="O1682" s="360"/>
      <c r="Q1682" s="351"/>
      <c r="R1682" s="363"/>
      <c r="S1682" s="325"/>
      <c r="T1682" s="85" ph="1"/>
      <c r="V1682" s="216"/>
      <c r="W1682" s="245"/>
      <c r="X1682" s="187"/>
      <c r="Y1682" s="245"/>
      <c r="Z1682" s="245"/>
      <c r="AA1682" s="329"/>
      <c r="AC1682" s="245"/>
      <c r="AD1682" s="187"/>
      <c r="AE1682" s="361"/>
      <c r="AF1682" s="245"/>
      <c r="AH1682" s="245"/>
    </row>
    <row r="1683" spans="1:34" ht="26.25">
      <c r="A1683" s="245"/>
      <c r="B1683" s="245"/>
      <c r="C1683" s="245"/>
      <c r="D1683" s="245"/>
      <c r="E1683" s="245"/>
      <c r="F1683" s="279"/>
      <c r="G1683" s="245"/>
      <c r="H1683" s="245"/>
      <c r="I1683" s="245"/>
      <c r="L1683" s="123"/>
      <c r="O1683" s="360"/>
      <c r="Q1683" s="351"/>
      <c r="R1683" s="363"/>
      <c r="S1683" s="325"/>
      <c r="T1683" s="85" ph="1"/>
      <c r="V1683" s="216"/>
      <c r="W1683" s="245"/>
      <c r="X1683" s="187"/>
      <c r="Y1683" s="245"/>
      <c r="Z1683" s="245"/>
      <c r="AA1683" s="329"/>
      <c r="AC1683" s="245"/>
      <c r="AD1683" s="187"/>
      <c r="AE1683" s="361"/>
      <c r="AF1683" s="245"/>
      <c r="AH1683" s="245"/>
    </row>
    <row r="1684" spans="1:34" ht="26.25">
      <c r="A1684" s="245"/>
      <c r="B1684" s="245"/>
      <c r="C1684" s="245"/>
      <c r="D1684" s="245"/>
      <c r="E1684" s="245"/>
      <c r="F1684" s="279"/>
      <c r="G1684" s="245"/>
      <c r="H1684" s="245"/>
      <c r="I1684" s="245"/>
      <c r="L1684" s="123"/>
      <c r="O1684" s="360"/>
      <c r="Q1684" s="351"/>
      <c r="R1684" s="363"/>
      <c r="S1684" s="325"/>
      <c r="T1684" s="85" ph="1"/>
      <c r="V1684" s="216"/>
      <c r="W1684" s="245"/>
      <c r="X1684" s="187"/>
      <c r="Y1684" s="245"/>
      <c r="Z1684" s="245"/>
      <c r="AA1684" s="329"/>
      <c r="AC1684" s="245"/>
      <c r="AD1684" s="187"/>
      <c r="AE1684" s="361"/>
      <c r="AF1684" s="245"/>
      <c r="AH1684" s="245"/>
    </row>
    <row r="1685" spans="1:34" ht="26.25">
      <c r="A1685" s="245"/>
      <c r="B1685" s="245"/>
      <c r="C1685" s="245"/>
      <c r="D1685" s="245"/>
      <c r="E1685" s="245"/>
      <c r="F1685" s="279"/>
      <c r="G1685" s="245"/>
      <c r="H1685" s="245"/>
      <c r="I1685" s="245"/>
      <c r="L1685" s="123"/>
      <c r="O1685" s="360"/>
      <c r="Q1685" s="351"/>
      <c r="R1685" s="363"/>
      <c r="S1685" s="325"/>
      <c r="T1685" s="85" ph="1"/>
      <c r="V1685" s="216"/>
      <c r="W1685" s="245"/>
      <c r="X1685" s="187"/>
      <c r="Y1685" s="245"/>
      <c r="Z1685" s="245"/>
      <c r="AA1685" s="329"/>
      <c r="AC1685" s="245"/>
      <c r="AD1685" s="187"/>
      <c r="AE1685" s="361"/>
      <c r="AF1685" s="245"/>
      <c r="AH1685" s="245"/>
    </row>
    <row r="1686" spans="1:34" ht="26.25">
      <c r="A1686" s="245"/>
      <c r="B1686" s="245"/>
      <c r="C1686" s="245"/>
      <c r="D1686" s="245"/>
      <c r="E1686" s="245"/>
      <c r="F1686" s="279"/>
      <c r="G1686" s="245"/>
      <c r="H1686" s="245"/>
      <c r="I1686" s="245"/>
      <c r="L1686" s="123"/>
      <c r="O1686" s="360"/>
      <c r="Q1686" s="351"/>
      <c r="R1686" s="363"/>
      <c r="S1686" s="325"/>
      <c r="T1686" s="85" ph="1"/>
      <c r="V1686" s="216"/>
      <c r="W1686" s="245"/>
      <c r="X1686" s="187"/>
      <c r="Y1686" s="245"/>
      <c r="Z1686" s="245"/>
      <c r="AA1686" s="329"/>
      <c r="AC1686" s="245"/>
      <c r="AD1686" s="187"/>
      <c r="AE1686" s="361"/>
      <c r="AF1686" s="245"/>
      <c r="AH1686" s="245"/>
    </row>
    <row r="1687" spans="1:34" ht="26.25">
      <c r="A1687" s="245"/>
      <c r="B1687" s="245"/>
      <c r="C1687" s="245"/>
      <c r="D1687" s="245"/>
      <c r="E1687" s="245"/>
      <c r="F1687" s="279"/>
      <c r="G1687" s="245"/>
      <c r="H1687" s="245"/>
      <c r="I1687" s="245"/>
      <c r="L1687" s="123"/>
      <c r="O1687" s="360"/>
      <c r="Q1687" s="351"/>
      <c r="R1687" s="363"/>
      <c r="S1687" s="325"/>
      <c r="T1687" s="85" ph="1"/>
      <c r="V1687" s="216"/>
      <c r="W1687" s="245"/>
      <c r="X1687" s="187"/>
      <c r="Y1687" s="245"/>
      <c r="Z1687" s="245"/>
      <c r="AA1687" s="329"/>
      <c r="AC1687" s="245"/>
      <c r="AD1687" s="187"/>
      <c r="AE1687" s="361"/>
      <c r="AF1687" s="245"/>
      <c r="AH1687" s="245"/>
    </row>
    <row r="1688" spans="1:34" ht="26.25">
      <c r="A1688" s="245"/>
      <c r="B1688" s="245"/>
      <c r="C1688" s="245"/>
      <c r="D1688" s="245"/>
      <c r="E1688" s="245"/>
      <c r="F1688" s="279"/>
      <c r="G1688" s="245"/>
      <c r="H1688" s="245"/>
      <c r="I1688" s="245"/>
      <c r="L1688" s="123"/>
      <c r="O1688" s="360"/>
      <c r="Q1688" s="351"/>
      <c r="R1688" s="363"/>
      <c r="S1688" s="325"/>
      <c r="T1688" s="85" ph="1"/>
      <c r="V1688" s="216"/>
      <c r="W1688" s="245"/>
      <c r="X1688" s="187"/>
      <c r="Y1688" s="245"/>
      <c r="Z1688" s="245"/>
      <c r="AA1688" s="329"/>
      <c r="AC1688" s="245"/>
      <c r="AD1688" s="187"/>
      <c r="AE1688" s="361"/>
      <c r="AF1688" s="245"/>
      <c r="AH1688" s="245"/>
    </row>
    <row r="1689" spans="1:34" ht="26.25">
      <c r="A1689" s="245"/>
      <c r="B1689" s="245"/>
      <c r="C1689" s="245"/>
      <c r="D1689" s="245"/>
      <c r="E1689" s="245"/>
      <c r="F1689" s="279"/>
      <c r="G1689" s="245"/>
      <c r="H1689" s="245"/>
      <c r="I1689" s="245"/>
      <c r="L1689" s="123"/>
      <c r="O1689" s="360"/>
      <c r="Q1689" s="351"/>
      <c r="R1689" s="363"/>
      <c r="S1689" s="325"/>
      <c r="T1689" s="85" ph="1"/>
      <c r="V1689" s="216"/>
      <c r="W1689" s="245"/>
      <c r="X1689" s="187"/>
      <c r="Y1689" s="245"/>
      <c r="Z1689" s="245"/>
      <c r="AA1689" s="329"/>
      <c r="AC1689" s="245"/>
      <c r="AD1689" s="187"/>
      <c r="AE1689" s="361"/>
      <c r="AF1689" s="245"/>
      <c r="AH1689" s="245"/>
    </row>
    <row r="1690" spans="1:34" ht="26.25">
      <c r="A1690" s="245"/>
      <c r="B1690" s="245"/>
      <c r="C1690" s="245"/>
      <c r="D1690" s="245"/>
      <c r="E1690" s="245"/>
      <c r="F1690" s="279"/>
      <c r="G1690" s="245"/>
      <c r="H1690" s="245"/>
      <c r="I1690" s="245"/>
      <c r="L1690" s="123"/>
      <c r="O1690" s="360"/>
      <c r="Q1690" s="351"/>
      <c r="R1690" s="363"/>
      <c r="S1690" s="325"/>
      <c r="T1690" s="85" ph="1"/>
      <c r="V1690" s="216"/>
      <c r="W1690" s="245"/>
      <c r="X1690" s="187"/>
      <c r="Y1690" s="245"/>
      <c r="Z1690" s="245"/>
      <c r="AA1690" s="329"/>
      <c r="AC1690" s="245"/>
      <c r="AD1690" s="187"/>
      <c r="AE1690" s="361"/>
      <c r="AF1690" s="245"/>
      <c r="AH1690" s="245"/>
    </row>
    <row r="1691" spans="1:34" ht="26.25">
      <c r="A1691" s="245"/>
      <c r="B1691" s="245"/>
      <c r="C1691" s="245"/>
      <c r="D1691" s="245"/>
      <c r="E1691" s="245"/>
      <c r="F1691" s="279"/>
      <c r="G1691" s="245"/>
      <c r="H1691" s="245"/>
      <c r="I1691" s="245"/>
      <c r="L1691" s="123"/>
      <c r="O1691" s="360"/>
      <c r="Q1691" s="351"/>
      <c r="R1691" s="363"/>
      <c r="S1691" s="325"/>
      <c r="T1691" s="85" ph="1"/>
      <c r="V1691" s="216"/>
      <c r="W1691" s="245"/>
      <c r="X1691" s="187"/>
      <c r="Y1691" s="245"/>
      <c r="Z1691" s="245"/>
      <c r="AA1691" s="329"/>
      <c r="AC1691" s="245"/>
      <c r="AD1691" s="187"/>
      <c r="AE1691" s="361"/>
      <c r="AF1691" s="245"/>
      <c r="AH1691" s="245"/>
    </row>
    <row r="1692" spans="1:34" ht="26.25">
      <c r="A1692" s="245"/>
      <c r="B1692" s="245"/>
      <c r="C1692" s="245"/>
      <c r="D1692" s="245"/>
      <c r="E1692" s="245"/>
      <c r="F1692" s="279"/>
      <c r="G1692" s="245"/>
      <c r="H1692" s="245"/>
      <c r="I1692" s="245"/>
      <c r="L1692" s="123"/>
      <c r="O1692" s="360"/>
      <c r="Q1692" s="351"/>
      <c r="R1692" s="363"/>
      <c r="S1692" s="325"/>
      <c r="T1692" s="85" ph="1"/>
      <c r="V1692" s="216"/>
      <c r="W1692" s="245"/>
      <c r="X1692" s="187"/>
      <c r="Y1692" s="245"/>
      <c r="Z1692" s="245"/>
      <c r="AA1692" s="329"/>
      <c r="AC1692" s="245"/>
      <c r="AD1692" s="187"/>
      <c r="AE1692" s="361"/>
      <c r="AF1692" s="245"/>
      <c r="AH1692" s="245"/>
    </row>
    <row r="1693" spans="1:34" ht="26.25">
      <c r="A1693" s="245"/>
      <c r="B1693" s="245"/>
      <c r="C1693" s="245"/>
      <c r="D1693" s="245"/>
      <c r="E1693" s="245"/>
      <c r="F1693" s="279"/>
      <c r="G1693" s="245"/>
      <c r="H1693" s="245"/>
      <c r="I1693" s="245"/>
      <c r="L1693" s="123"/>
      <c r="O1693" s="360"/>
      <c r="Q1693" s="351"/>
      <c r="R1693" s="363"/>
      <c r="S1693" s="325"/>
      <c r="T1693" s="85" ph="1"/>
      <c r="V1693" s="216"/>
      <c r="W1693" s="245"/>
      <c r="X1693" s="187"/>
      <c r="Y1693" s="245"/>
      <c r="Z1693" s="245"/>
      <c r="AA1693" s="329"/>
      <c r="AC1693" s="245"/>
      <c r="AD1693" s="187"/>
      <c r="AE1693" s="361"/>
      <c r="AF1693" s="245"/>
      <c r="AH1693" s="245"/>
    </row>
    <row r="1694" spans="1:34" ht="26.25">
      <c r="A1694" s="245"/>
      <c r="B1694" s="245"/>
      <c r="C1694" s="245"/>
      <c r="D1694" s="245"/>
      <c r="E1694" s="245"/>
      <c r="F1694" s="279"/>
      <c r="G1694" s="245"/>
      <c r="H1694" s="245"/>
      <c r="I1694" s="245"/>
      <c r="L1694" s="123"/>
      <c r="O1694" s="360"/>
      <c r="Q1694" s="351"/>
      <c r="R1694" s="363"/>
      <c r="S1694" s="325"/>
      <c r="T1694" s="85" ph="1"/>
      <c r="V1694" s="216"/>
      <c r="W1694" s="245"/>
      <c r="X1694" s="187"/>
      <c r="Y1694" s="245"/>
      <c r="Z1694" s="245"/>
      <c r="AA1694" s="329"/>
      <c r="AC1694" s="245"/>
      <c r="AD1694" s="187"/>
      <c r="AE1694" s="361"/>
      <c r="AF1694" s="245"/>
      <c r="AH1694" s="245"/>
    </row>
    <row r="1695" spans="1:34" ht="26.25">
      <c r="A1695" s="245"/>
      <c r="B1695" s="245"/>
      <c r="C1695" s="245"/>
      <c r="D1695" s="245"/>
      <c r="E1695" s="245"/>
      <c r="F1695" s="279"/>
      <c r="G1695" s="245"/>
      <c r="H1695" s="245"/>
      <c r="I1695" s="245"/>
      <c r="L1695" s="123"/>
      <c r="O1695" s="360"/>
      <c r="Q1695" s="351"/>
      <c r="R1695" s="363"/>
      <c r="S1695" s="325"/>
      <c r="T1695" s="85" ph="1"/>
      <c r="V1695" s="216"/>
      <c r="W1695" s="245"/>
      <c r="X1695" s="187"/>
      <c r="Y1695" s="245"/>
      <c r="Z1695" s="245"/>
      <c r="AA1695" s="329"/>
      <c r="AC1695" s="245"/>
      <c r="AD1695" s="187"/>
      <c r="AE1695" s="361"/>
      <c r="AF1695" s="245"/>
      <c r="AH1695" s="245"/>
    </row>
    <row r="1696" spans="1:34" ht="26.25">
      <c r="A1696" s="245"/>
      <c r="B1696" s="245"/>
      <c r="C1696" s="245"/>
      <c r="D1696" s="245"/>
      <c r="E1696" s="245"/>
      <c r="F1696" s="279"/>
      <c r="G1696" s="245"/>
      <c r="H1696" s="245"/>
      <c r="I1696" s="245"/>
      <c r="L1696" s="123"/>
      <c r="O1696" s="360"/>
      <c r="Q1696" s="351"/>
      <c r="R1696" s="363"/>
      <c r="S1696" s="325"/>
      <c r="T1696" s="85" ph="1"/>
      <c r="V1696" s="216"/>
      <c r="W1696" s="245"/>
      <c r="X1696" s="187"/>
      <c r="Y1696" s="245"/>
      <c r="Z1696" s="245"/>
      <c r="AA1696" s="329"/>
      <c r="AC1696" s="245"/>
      <c r="AD1696" s="187"/>
      <c r="AE1696" s="361"/>
      <c r="AF1696" s="245"/>
      <c r="AH1696" s="245"/>
    </row>
    <row r="1697" spans="1:34" ht="26.25">
      <c r="A1697" s="245"/>
      <c r="B1697" s="245"/>
      <c r="C1697" s="245"/>
      <c r="D1697" s="245"/>
      <c r="E1697" s="245"/>
      <c r="F1697" s="279"/>
      <c r="G1697" s="245"/>
      <c r="H1697" s="245"/>
      <c r="I1697" s="245"/>
      <c r="L1697" s="123"/>
      <c r="O1697" s="360"/>
      <c r="Q1697" s="351"/>
      <c r="R1697" s="363"/>
      <c r="S1697" s="325"/>
      <c r="T1697" s="85" ph="1"/>
      <c r="V1697" s="216"/>
      <c r="W1697" s="245"/>
      <c r="X1697" s="187"/>
      <c r="Y1697" s="245"/>
      <c r="Z1697" s="245"/>
      <c r="AA1697" s="329"/>
      <c r="AC1697" s="245"/>
      <c r="AD1697" s="187"/>
      <c r="AE1697" s="361"/>
      <c r="AF1697" s="245"/>
      <c r="AH1697" s="245"/>
    </row>
    <row r="1698" spans="1:34" ht="26.25">
      <c r="A1698" s="245"/>
      <c r="B1698" s="245"/>
      <c r="C1698" s="245"/>
      <c r="D1698" s="245"/>
      <c r="E1698" s="245"/>
      <c r="F1698" s="279"/>
      <c r="G1698" s="245"/>
      <c r="H1698" s="245"/>
      <c r="I1698" s="245"/>
      <c r="L1698" s="123"/>
      <c r="O1698" s="360"/>
      <c r="Q1698" s="351"/>
      <c r="R1698" s="363"/>
      <c r="S1698" s="325"/>
      <c r="T1698" s="85" ph="1"/>
      <c r="V1698" s="216"/>
      <c r="W1698" s="245"/>
      <c r="X1698" s="187"/>
      <c r="Y1698" s="245"/>
      <c r="Z1698" s="245"/>
      <c r="AA1698" s="329"/>
      <c r="AC1698" s="245"/>
      <c r="AD1698" s="187"/>
      <c r="AE1698" s="361"/>
      <c r="AF1698" s="245"/>
      <c r="AH1698" s="245"/>
    </row>
    <row r="1699" spans="1:34" ht="26.25">
      <c r="A1699" s="245"/>
      <c r="B1699" s="245"/>
      <c r="C1699" s="245"/>
      <c r="D1699" s="245"/>
      <c r="E1699" s="245"/>
      <c r="F1699" s="279"/>
      <c r="G1699" s="245"/>
      <c r="H1699" s="245"/>
      <c r="I1699" s="245"/>
      <c r="L1699" s="123"/>
      <c r="O1699" s="360"/>
      <c r="Q1699" s="351"/>
      <c r="R1699" s="363"/>
      <c r="S1699" s="325"/>
      <c r="T1699" s="85" ph="1"/>
      <c r="V1699" s="216"/>
      <c r="W1699" s="245"/>
      <c r="X1699" s="187"/>
      <c r="Y1699" s="245"/>
      <c r="Z1699" s="245"/>
      <c r="AA1699" s="329"/>
      <c r="AC1699" s="245"/>
      <c r="AD1699" s="187"/>
      <c r="AE1699" s="361"/>
      <c r="AF1699" s="245"/>
      <c r="AH1699" s="245"/>
    </row>
    <row r="1700" spans="1:34" ht="26.25">
      <c r="A1700" s="245"/>
      <c r="B1700" s="245"/>
      <c r="C1700" s="245"/>
      <c r="D1700" s="245"/>
      <c r="E1700" s="245"/>
      <c r="F1700" s="279"/>
      <c r="G1700" s="245"/>
      <c r="H1700" s="245"/>
      <c r="I1700" s="245"/>
      <c r="L1700" s="123"/>
      <c r="O1700" s="360"/>
      <c r="Q1700" s="351"/>
      <c r="R1700" s="363"/>
      <c r="S1700" s="325"/>
      <c r="T1700" s="85" ph="1"/>
      <c r="V1700" s="216"/>
      <c r="W1700" s="245"/>
      <c r="X1700" s="187"/>
      <c r="Y1700" s="245"/>
      <c r="Z1700" s="245"/>
      <c r="AA1700" s="329"/>
      <c r="AC1700" s="245"/>
      <c r="AD1700" s="187"/>
      <c r="AE1700" s="361"/>
      <c r="AF1700" s="245"/>
      <c r="AH1700" s="245"/>
    </row>
    <row r="1701" spans="1:34" ht="26.25">
      <c r="A1701" s="245"/>
      <c r="B1701" s="245"/>
      <c r="C1701" s="245"/>
      <c r="D1701" s="245"/>
      <c r="E1701" s="245"/>
      <c r="F1701" s="279"/>
      <c r="G1701" s="245"/>
      <c r="H1701" s="245"/>
      <c r="I1701" s="245"/>
      <c r="L1701" s="123"/>
      <c r="O1701" s="360"/>
      <c r="Q1701" s="351"/>
      <c r="R1701" s="363"/>
      <c r="S1701" s="325"/>
      <c r="T1701" s="85" ph="1"/>
      <c r="V1701" s="216"/>
      <c r="W1701" s="245"/>
      <c r="X1701" s="187"/>
      <c r="Y1701" s="245"/>
      <c r="Z1701" s="245"/>
      <c r="AA1701" s="329"/>
      <c r="AC1701" s="245"/>
      <c r="AD1701" s="187"/>
      <c r="AE1701" s="361"/>
      <c r="AF1701" s="245"/>
      <c r="AH1701" s="245"/>
    </row>
    <row r="1702" spans="1:34" ht="26.25">
      <c r="A1702" s="245"/>
      <c r="B1702" s="245"/>
      <c r="C1702" s="245"/>
      <c r="D1702" s="245"/>
      <c r="E1702" s="245"/>
      <c r="F1702" s="279"/>
      <c r="G1702" s="245"/>
      <c r="H1702" s="245"/>
      <c r="I1702" s="245"/>
      <c r="L1702" s="123"/>
      <c r="O1702" s="360"/>
      <c r="Q1702" s="351"/>
      <c r="R1702" s="363"/>
      <c r="S1702" s="325"/>
      <c r="T1702" s="85" ph="1"/>
      <c r="V1702" s="216"/>
      <c r="W1702" s="245"/>
      <c r="X1702" s="187"/>
      <c r="Y1702" s="245"/>
      <c r="Z1702" s="245"/>
      <c r="AA1702" s="329"/>
      <c r="AC1702" s="245"/>
      <c r="AD1702" s="187"/>
      <c r="AE1702" s="361"/>
      <c r="AF1702" s="245"/>
      <c r="AH1702" s="245"/>
    </row>
    <row r="1703" spans="1:34" ht="26.25">
      <c r="A1703" s="245"/>
      <c r="B1703" s="245"/>
      <c r="C1703" s="245"/>
      <c r="D1703" s="245"/>
      <c r="E1703" s="245"/>
      <c r="F1703" s="279"/>
      <c r="G1703" s="245"/>
      <c r="H1703" s="245"/>
      <c r="I1703" s="245"/>
      <c r="L1703" s="245"/>
      <c r="O1703" s="360"/>
      <c r="Q1703" s="351"/>
      <c r="R1703" s="363"/>
      <c r="S1703" s="325"/>
      <c r="T1703" s="85" ph="1"/>
      <c r="V1703" s="216"/>
      <c r="W1703" s="245"/>
      <c r="X1703" s="187"/>
      <c r="Y1703" s="245"/>
      <c r="Z1703" s="245"/>
      <c r="AA1703" s="329"/>
      <c r="AC1703" s="245"/>
      <c r="AD1703" s="187"/>
      <c r="AE1703" s="361"/>
      <c r="AF1703" s="245"/>
      <c r="AH1703" s="245"/>
    </row>
    <row r="1704" spans="1:34" ht="26.25">
      <c r="A1704" s="245"/>
      <c r="B1704" s="245"/>
      <c r="C1704" s="245"/>
      <c r="D1704" s="245"/>
      <c r="E1704" s="245"/>
      <c r="F1704" s="279"/>
      <c r="G1704" s="245"/>
      <c r="H1704" s="245"/>
      <c r="I1704" s="245"/>
      <c r="L1704" s="123"/>
      <c r="O1704" s="360"/>
      <c r="Q1704" s="351"/>
      <c r="R1704" s="363"/>
      <c r="S1704" s="325"/>
      <c r="T1704" s="85" ph="1"/>
      <c r="V1704" s="216"/>
      <c r="W1704" s="245"/>
      <c r="X1704" s="187"/>
      <c r="Y1704" s="245"/>
      <c r="Z1704" s="245"/>
      <c r="AA1704" s="329"/>
      <c r="AC1704" s="245"/>
      <c r="AD1704" s="187"/>
      <c r="AE1704" s="361"/>
      <c r="AF1704" s="245"/>
      <c r="AH1704" s="245"/>
    </row>
    <row r="1705" spans="1:34" ht="26.25">
      <c r="A1705" s="245"/>
      <c r="B1705" s="245"/>
      <c r="C1705" s="245"/>
      <c r="D1705" s="245"/>
      <c r="E1705" s="245"/>
      <c r="F1705" s="279"/>
      <c r="G1705" s="245"/>
      <c r="H1705" s="245"/>
      <c r="I1705" s="245"/>
      <c r="L1705" s="123"/>
      <c r="O1705" s="360"/>
      <c r="Q1705" s="351"/>
      <c r="R1705" s="363"/>
      <c r="S1705" s="325"/>
      <c r="T1705" s="85" ph="1"/>
      <c r="V1705" s="216"/>
      <c r="W1705" s="245"/>
      <c r="X1705" s="187"/>
      <c r="Y1705" s="245"/>
      <c r="Z1705" s="245"/>
      <c r="AA1705" s="329"/>
      <c r="AC1705" s="245"/>
      <c r="AD1705" s="187"/>
      <c r="AE1705" s="361"/>
      <c r="AF1705" s="245"/>
      <c r="AH1705" s="245"/>
    </row>
    <row r="1706" spans="1:34" ht="26.25">
      <c r="A1706" s="245"/>
      <c r="B1706" s="245"/>
      <c r="C1706" s="245"/>
      <c r="D1706" s="245"/>
      <c r="E1706" s="245"/>
      <c r="F1706" s="279"/>
      <c r="G1706" s="245"/>
      <c r="H1706" s="245"/>
      <c r="I1706" s="245"/>
      <c r="L1706" s="123"/>
      <c r="O1706" s="360"/>
      <c r="Q1706" s="351"/>
      <c r="R1706" s="363"/>
      <c r="S1706" s="325"/>
      <c r="T1706" s="85" ph="1"/>
      <c r="V1706" s="216"/>
      <c r="W1706" s="245"/>
      <c r="X1706" s="187"/>
      <c r="Y1706" s="245"/>
      <c r="Z1706" s="245"/>
      <c r="AA1706" s="329"/>
      <c r="AC1706" s="245"/>
      <c r="AD1706" s="187"/>
      <c r="AE1706" s="361"/>
      <c r="AF1706" s="245"/>
      <c r="AH1706" s="245"/>
    </row>
    <row r="1707" spans="1:34" ht="26.25">
      <c r="A1707" s="245"/>
      <c r="B1707" s="245"/>
      <c r="C1707" s="245"/>
      <c r="D1707" s="245"/>
      <c r="E1707" s="245"/>
      <c r="F1707" s="279"/>
      <c r="G1707" s="245"/>
      <c r="H1707" s="245"/>
      <c r="I1707" s="245"/>
      <c r="L1707" s="123"/>
      <c r="O1707" s="360"/>
      <c r="Q1707" s="351"/>
      <c r="R1707" s="363"/>
      <c r="S1707" s="325"/>
      <c r="T1707" s="85" ph="1"/>
      <c r="V1707" s="216"/>
      <c r="W1707" s="245"/>
      <c r="X1707" s="187"/>
      <c r="Y1707" s="245"/>
      <c r="Z1707" s="245"/>
      <c r="AA1707" s="329"/>
      <c r="AC1707" s="245"/>
      <c r="AD1707" s="187"/>
      <c r="AE1707" s="361"/>
      <c r="AF1707" s="245"/>
      <c r="AH1707" s="245"/>
    </row>
    <row r="1708" spans="1:34" ht="26.25">
      <c r="A1708" s="245"/>
      <c r="B1708" s="245"/>
      <c r="C1708" s="245"/>
      <c r="D1708" s="245"/>
      <c r="E1708" s="245"/>
      <c r="F1708" s="279"/>
      <c r="G1708" s="245"/>
      <c r="H1708" s="245"/>
      <c r="I1708" s="245"/>
      <c r="L1708" s="123"/>
      <c r="O1708" s="360"/>
      <c r="Q1708" s="351"/>
      <c r="R1708" s="363"/>
      <c r="S1708" s="325"/>
      <c r="T1708" s="85" ph="1"/>
      <c r="V1708" s="216"/>
      <c r="W1708" s="245"/>
      <c r="X1708" s="187"/>
      <c r="Y1708" s="245"/>
      <c r="Z1708" s="245"/>
      <c r="AA1708" s="329"/>
      <c r="AC1708" s="245"/>
      <c r="AD1708" s="187"/>
      <c r="AE1708" s="361"/>
      <c r="AF1708" s="245"/>
      <c r="AH1708" s="245"/>
    </row>
    <row r="1709" spans="1:34" ht="26.25">
      <c r="A1709" s="245"/>
      <c r="B1709" s="245"/>
      <c r="C1709" s="245"/>
      <c r="D1709" s="245"/>
      <c r="E1709" s="245"/>
      <c r="F1709" s="279"/>
      <c r="G1709" s="245"/>
      <c r="H1709" s="245"/>
      <c r="I1709" s="245"/>
      <c r="L1709" s="123"/>
      <c r="O1709" s="360"/>
      <c r="Q1709" s="351"/>
      <c r="R1709" s="363"/>
      <c r="S1709" s="325"/>
      <c r="T1709" s="85" ph="1"/>
      <c r="V1709" s="216"/>
      <c r="W1709" s="245"/>
      <c r="X1709" s="187"/>
      <c r="Y1709" s="245"/>
      <c r="Z1709" s="245"/>
      <c r="AA1709" s="329"/>
      <c r="AC1709" s="245"/>
      <c r="AD1709" s="187"/>
      <c r="AE1709" s="361"/>
      <c r="AF1709" s="245"/>
      <c r="AH1709" s="245"/>
    </row>
    <row r="1710" spans="1:34" ht="26.25">
      <c r="A1710" s="245"/>
      <c r="B1710" s="245"/>
      <c r="C1710" s="245"/>
      <c r="D1710" s="245"/>
      <c r="E1710" s="245"/>
      <c r="F1710" s="279"/>
      <c r="G1710" s="245"/>
      <c r="H1710" s="245"/>
      <c r="I1710" s="245"/>
      <c r="L1710" s="123"/>
      <c r="O1710" s="360"/>
      <c r="Q1710" s="351"/>
      <c r="R1710" s="363"/>
      <c r="S1710" s="325"/>
      <c r="T1710" s="85" ph="1"/>
      <c r="V1710" s="216"/>
      <c r="W1710" s="245"/>
      <c r="X1710" s="187"/>
      <c r="Y1710" s="245"/>
      <c r="Z1710" s="245"/>
      <c r="AA1710" s="329"/>
      <c r="AC1710" s="245"/>
      <c r="AD1710" s="187"/>
      <c r="AE1710" s="361"/>
      <c r="AF1710" s="245"/>
      <c r="AH1710" s="245"/>
    </row>
    <row r="1711" spans="1:34" ht="26.25">
      <c r="A1711" s="245"/>
      <c r="B1711" s="245"/>
      <c r="C1711" s="245"/>
      <c r="D1711" s="245"/>
      <c r="E1711" s="245"/>
      <c r="F1711" s="279"/>
      <c r="G1711" s="245"/>
      <c r="H1711" s="245"/>
      <c r="I1711" s="245"/>
      <c r="L1711" s="123"/>
      <c r="O1711" s="360"/>
      <c r="Q1711" s="351"/>
      <c r="R1711" s="363"/>
      <c r="S1711" s="325"/>
      <c r="T1711" s="85" ph="1"/>
      <c r="V1711" s="216"/>
      <c r="W1711" s="245"/>
      <c r="X1711" s="187"/>
      <c r="Y1711" s="245"/>
      <c r="Z1711" s="245"/>
      <c r="AA1711" s="329"/>
      <c r="AC1711" s="245"/>
      <c r="AD1711" s="187"/>
      <c r="AE1711" s="361"/>
      <c r="AF1711" s="245"/>
      <c r="AH1711" s="245"/>
    </row>
    <row r="1712" spans="1:34" ht="26.25">
      <c r="A1712" s="245"/>
      <c r="B1712" s="245"/>
      <c r="C1712" s="245"/>
      <c r="D1712" s="245"/>
      <c r="E1712" s="245"/>
      <c r="F1712" s="279"/>
      <c r="G1712" s="245"/>
      <c r="H1712" s="245"/>
      <c r="I1712" s="245"/>
      <c r="L1712" s="123"/>
      <c r="O1712" s="360"/>
      <c r="Q1712" s="351"/>
      <c r="R1712" s="363"/>
      <c r="S1712" s="325"/>
      <c r="T1712" s="85" ph="1"/>
      <c r="V1712" s="216"/>
      <c r="W1712" s="245"/>
      <c r="X1712" s="187"/>
      <c r="Y1712" s="245"/>
      <c r="Z1712" s="245"/>
      <c r="AA1712" s="329"/>
      <c r="AC1712" s="245"/>
      <c r="AD1712" s="187"/>
      <c r="AE1712" s="361"/>
      <c r="AF1712" s="245"/>
      <c r="AH1712" s="245"/>
    </row>
    <row r="1713" spans="1:34" ht="26.25">
      <c r="A1713" s="245"/>
      <c r="B1713" s="245"/>
      <c r="C1713" s="245"/>
      <c r="D1713" s="245"/>
      <c r="E1713" s="245"/>
      <c r="F1713" s="279"/>
      <c r="G1713" s="245"/>
      <c r="H1713" s="245"/>
      <c r="I1713" s="245"/>
      <c r="L1713" s="123"/>
      <c r="O1713" s="360"/>
      <c r="Q1713" s="351"/>
      <c r="R1713" s="363"/>
      <c r="S1713" s="325"/>
      <c r="T1713" s="85" ph="1"/>
      <c r="V1713" s="216"/>
      <c r="W1713" s="245"/>
      <c r="X1713" s="187"/>
      <c r="Y1713" s="245"/>
      <c r="Z1713" s="245"/>
      <c r="AA1713" s="329"/>
      <c r="AC1713" s="245"/>
      <c r="AD1713" s="187"/>
      <c r="AE1713" s="361"/>
      <c r="AF1713" s="245"/>
      <c r="AH1713" s="245"/>
    </row>
    <row r="1714" spans="1:34" ht="26.25">
      <c r="A1714" s="245"/>
      <c r="B1714" s="245"/>
      <c r="C1714" s="245"/>
      <c r="D1714" s="245"/>
      <c r="E1714" s="245"/>
      <c r="F1714" s="279"/>
      <c r="G1714" s="245"/>
      <c r="H1714" s="245"/>
      <c r="I1714" s="245"/>
      <c r="L1714" s="123"/>
      <c r="O1714" s="360"/>
      <c r="Q1714" s="351"/>
      <c r="R1714" s="363"/>
      <c r="S1714" s="325"/>
      <c r="T1714" s="85" ph="1"/>
      <c r="V1714" s="216"/>
      <c r="W1714" s="245"/>
      <c r="X1714" s="187"/>
      <c r="Y1714" s="245"/>
      <c r="Z1714" s="245"/>
      <c r="AA1714" s="329"/>
      <c r="AC1714" s="245"/>
      <c r="AD1714" s="187"/>
      <c r="AE1714" s="361"/>
      <c r="AF1714" s="245"/>
      <c r="AH1714" s="245"/>
    </row>
    <row r="1715" spans="1:34" ht="26.25">
      <c r="A1715" s="245"/>
      <c r="B1715" s="245"/>
      <c r="C1715" s="245"/>
      <c r="D1715" s="245"/>
      <c r="E1715" s="245"/>
      <c r="F1715" s="279"/>
      <c r="G1715" s="245"/>
      <c r="H1715" s="245"/>
      <c r="I1715" s="245"/>
      <c r="L1715" s="123"/>
      <c r="O1715" s="360"/>
      <c r="Q1715" s="351"/>
      <c r="R1715" s="363"/>
      <c r="S1715" s="325"/>
      <c r="T1715" s="85" ph="1"/>
      <c r="V1715" s="216"/>
      <c r="W1715" s="245"/>
      <c r="X1715" s="187"/>
      <c r="Y1715" s="245"/>
      <c r="Z1715" s="245"/>
      <c r="AA1715" s="329"/>
      <c r="AC1715" s="245"/>
      <c r="AD1715" s="187"/>
      <c r="AE1715" s="361"/>
      <c r="AF1715" s="245"/>
      <c r="AH1715" s="245"/>
    </row>
    <row r="1716" spans="1:34" ht="26.25">
      <c r="A1716" s="245"/>
      <c r="B1716" s="245"/>
      <c r="C1716" s="245"/>
      <c r="D1716" s="245"/>
      <c r="E1716" s="245"/>
      <c r="F1716" s="279"/>
      <c r="G1716" s="245"/>
      <c r="H1716" s="245"/>
      <c r="I1716" s="245"/>
      <c r="L1716" s="123"/>
      <c r="O1716" s="360"/>
      <c r="Q1716" s="351"/>
      <c r="R1716" s="363"/>
      <c r="S1716" s="325"/>
      <c r="T1716" s="85" ph="1"/>
      <c r="V1716" s="216"/>
      <c r="W1716" s="245"/>
      <c r="X1716" s="187"/>
      <c r="Y1716" s="245"/>
      <c r="Z1716" s="245"/>
      <c r="AA1716" s="329"/>
      <c r="AC1716" s="245"/>
      <c r="AD1716" s="187"/>
      <c r="AE1716" s="361"/>
      <c r="AF1716" s="245"/>
      <c r="AH1716" s="245"/>
    </row>
    <row r="1717" spans="1:34" ht="26.25">
      <c r="A1717" s="245"/>
      <c r="B1717" s="245"/>
      <c r="C1717" s="245"/>
      <c r="D1717" s="245"/>
      <c r="E1717" s="245"/>
      <c r="F1717" s="279"/>
      <c r="G1717" s="245"/>
      <c r="H1717" s="245"/>
      <c r="I1717" s="245"/>
      <c r="L1717" s="123"/>
      <c r="O1717" s="360"/>
      <c r="Q1717" s="351"/>
      <c r="R1717" s="363"/>
      <c r="S1717" s="325"/>
      <c r="T1717" s="85" ph="1"/>
      <c r="V1717" s="216"/>
      <c r="W1717" s="245"/>
      <c r="X1717" s="187"/>
      <c r="Y1717" s="245"/>
      <c r="Z1717" s="245"/>
      <c r="AA1717" s="329"/>
      <c r="AC1717" s="245"/>
      <c r="AD1717" s="187"/>
      <c r="AE1717" s="361"/>
      <c r="AF1717" s="245"/>
      <c r="AH1717" s="245"/>
    </row>
    <row r="1718" spans="1:34" ht="26.25">
      <c r="A1718" s="245"/>
      <c r="B1718" s="245"/>
      <c r="C1718" s="245"/>
      <c r="D1718" s="245"/>
      <c r="E1718" s="245"/>
      <c r="F1718" s="279"/>
      <c r="G1718" s="245"/>
      <c r="H1718" s="245"/>
      <c r="I1718" s="245"/>
      <c r="L1718" s="123"/>
      <c r="O1718" s="360"/>
      <c r="Q1718" s="351"/>
      <c r="R1718" s="363"/>
      <c r="S1718" s="325"/>
      <c r="T1718" s="85" ph="1"/>
      <c r="V1718" s="216"/>
      <c r="W1718" s="245"/>
      <c r="X1718" s="187"/>
      <c r="Y1718" s="245"/>
      <c r="Z1718" s="245"/>
      <c r="AA1718" s="329"/>
      <c r="AC1718" s="245"/>
      <c r="AD1718" s="187"/>
      <c r="AE1718" s="361"/>
      <c r="AF1718" s="245"/>
      <c r="AH1718" s="245"/>
    </row>
    <row r="1719" spans="1:34" ht="26.25">
      <c r="A1719" s="245"/>
      <c r="B1719" s="245"/>
      <c r="C1719" s="245"/>
      <c r="D1719" s="245"/>
      <c r="E1719" s="245"/>
      <c r="F1719" s="279"/>
      <c r="G1719" s="245"/>
      <c r="H1719" s="245"/>
      <c r="I1719" s="245"/>
      <c r="L1719" s="123"/>
      <c r="O1719" s="360"/>
      <c r="Q1719" s="351"/>
      <c r="R1719" s="363"/>
      <c r="S1719" s="325"/>
      <c r="T1719" s="85" ph="1"/>
      <c r="V1719" s="216"/>
      <c r="W1719" s="245"/>
      <c r="X1719" s="187"/>
      <c r="Y1719" s="245"/>
      <c r="Z1719" s="245"/>
      <c r="AA1719" s="329"/>
      <c r="AC1719" s="245"/>
      <c r="AD1719" s="187"/>
      <c r="AE1719" s="361"/>
      <c r="AF1719" s="245"/>
      <c r="AH1719" s="245"/>
    </row>
    <row r="1720" spans="1:34" ht="26.25">
      <c r="A1720" s="245"/>
      <c r="B1720" s="245"/>
      <c r="C1720" s="245"/>
      <c r="D1720" s="245"/>
      <c r="E1720" s="245"/>
      <c r="F1720" s="279"/>
      <c r="G1720" s="245"/>
      <c r="H1720" s="245"/>
      <c r="I1720" s="245"/>
      <c r="L1720" s="123"/>
      <c r="O1720" s="360"/>
      <c r="Q1720" s="351"/>
      <c r="R1720" s="363"/>
      <c r="S1720" s="325"/>
      <c r="T1720" s="85" ph="1"/>
      <c r="V1720" s="216"/>
      <c r="W1720" s="245"/>
      <c r="X1720" s="187"/>
      <c r="Y1720" s="245"/>
      <c r="Z1720" s="245"/>
      <c r="AA1720" s="329"/>
      <c r="AC1720" s="245"/>
      <c r="AD1720" s="187"/>
      <c r="AE1720" s="361"/>
      <c r="AF1720" s="245"/>
      <c r="AH1720" s="245"/>
    </row>
    <row r="1721" spans="1:34" ht="26.25">
      <c r="A1721" s="245"/>
      <c r="B1721" s="245"/>
      <c r="C1721" s="245"/>
      <c r="D1721" s="245"/>
      <c r="E1721" s="245"/>
      <c r="F1721" s="279"/>
      <c r="G1721" s="245"/>
      <c r="H1721" s="245"/>
      <c r="I1721" s="245"/>
      <c r="L1721" s="123"/>
      <c r="O1721" s="360"/>
      <c r="Q1721" s="351"/>
      <c r="R1721" s="363"/>
      <c r="S1721" s="325"/>
      <c r="T1721" s="85" ph="1"/>
      <c r="V1721" s="216"/>
      <c r="W1721" s="245"/>
      <c r="X1721" s="187"/>
      <c r="Y1721" s="245"/>
      <c r="Z1721" s="245"/>
      <c r="AA1721" s="329"/>
      <c r="AC1721" s="245"/>
      <c r="AD1721" s="187"/>
      <c r="AE1721" s="361"/>
      <c r="AF1721" s="245"/>
      <c r="AH1721" s="245"/>
    </row>
    <row r="1722" spans="1:34" ht="26.25">
      <c r="A1722" s="245"/>
      <c r="B1722" s="245"/>
      <c r="C1722" s="245"/>
      <c r="D1722" s="245"/>
      <c r="E1722" s="245"/>
      <c r="F1722" s="279"/>
      <c r="G1722" s="245"/>
      <c r="H1722" s="245"/>
      <c r="I1722" s="245"/>
      <c r="L1722" s="123"/>
      <c r="O1722" s="360"/>
      <c r="Q1722" s="351"/>
      <c r="R1722" s="363"/>
      <c r="S1722" s="325"/>
      <c r="T1722" s="85" ph="1"/>
      <c r="V1722" s="216"/>
      <c r="W1722" s="245"/>
      <c r="X1722" s="187"/>
      <c r="Y1722" s="245"/>
      <c r="Z1722" s="245"/>
      <c r="AA1722" s="329"/>
      <c r="AC1722" s="245"/>
      <c r="AD1722" s="187"/>
      <c r="AE1722" s="361"/>
      <c r="AF1722" s="245"/>
      <c r="AH1722" s="245"/>
    </row>
    <row r="1723" spans="1:34" ht="26.25">
      <c r="A1723" s="245"/>
      <c r="B1723" s="245"/>
      <c r="C1723" s="245"/>
      <c r="D1723" s="245"/>
      <c r="E1723" s="245"/>
      <c r="F1723" s="279"/>
      <c r="G1723" s="245"/>
      <c r="H1723" s="245"/>
      <c r="I1723" s="245"/>
      <c r="L1723" s="123"/>
      <c r="O1723" s="360"/>
      <c r="Q1723" s="351"/>
      <c r="R1723" s="363"/>
      <c r="S1723" s="325"/>
      <c r="T1723" s="85" ph="1"/>
      <c r="V1723" s="216"/>
      <c r="W1723" s="245"/>
      <c r="X1723" s="187"/>
      <c r="Y1723" s="245"/>
      <c r="Z1723" s="245"/>
      <c r="AA1723" s="329"/>
      <c r="AC1723" s="245"/>
      <c r="AD1723" s="187"/>
      <c r="AE1723" s="361"/>
      <c r="AF1723" s="245"/>
      <c r="AH1723" s="245"/>
    </row>
    <row r="1724" spans="1:34" ht="26.25">
      <c r="A1724" s="245"/>
      <c r="B1724" s="245"/>
      <c r="C1724" s="245"/>
      <c r="D1724" s="245"/>
      <c r="E1724" s="245"/>
      <c r="F1724" s="279"/>
      <c r="G1724" s="245"/>
      <c r="H1724" s="245"/>
      <c r="I1724" s="245"/>
      <c r="L1724" s="123"/>
      <c r="O1724" s="360"/>
      <c r="Q1724" s="351"/>
      <c r="R1724" s="363"/>
      <c r="S1724" s="325"/>
      <c r="T1724" s="85" ph="1"/>
      <c r="V1724" s="216"/>
      <c r="W1724" s="245"/>
      <c r="X1724" s="187"/>
      <c r="Y1724" s="245"/>
      <c r="Z1724" s="245"/>
      <c r="AA1724" s="329"/>
      <c r="AC1724" s="245"/>
      <c r="AD1724" s="187"/>
      <c r="AE1724" s="361"/>
      <c r="AF1724" s="245"/>
      <c r="AH1724" s="245"/>
    </row>
    <row r="1725" spans="1:34" ht="26.25">
      <c r="A1725" s="245"/>
      <c r="B1725" s="245"/>
      <c r="C1725" s="245"/>
      <c r="D1725" s="245"/>
      <c r="E1725" s="245"/>
      <c r="F1725" s="279"/>
      <c r="G1725" s="245"/>
      <c r="H1725" s="245"/>
      <c r="I1725" s="245"/>
      <c r="L1725" s="123"/>
      <c r="O1725" s="360"/>
      <c r="Q1725" s="351"/>
      <c r="R1725" s="363"/>
      <c r="S1725" s="325"/>
      <c r="T1725" s="85" ph="1"/>
      <c r="V1725" s="216"/>
      <c r="W1725" s="245"/>
      <c r="X1725" s="187"/>
      <c r="Y1725" s="245"/>
      <c r="Z1725" s="245"/>
      <c r="AA1725" s="329"/>
      <c r="AC1725" s="245"/>
      <c r="AD1725" s="187"/>
      <c r="AE1725" s="361"/>
      <c r="AF1725" s="245"/>
      <c r="AH1725" s="245"/>
    </row>
    <row r="1726" spans="1:34" ht="26.25">
      <c r="A1726" s="245"/>
      <c r="B1726" s="245"/>
      <c r="C1726" s="245"/>
      <c r="D1726" s="245"/>
      <c r="E1726" s="245"/>
      <c r="F1726" s="279"/>
      <c r="G1726" s="245"/>
      <c r="H1726" s="245"/>
      <c r="I1726" s="245"/>
      <c r="L1726" s="123"/>
      <c r="O1726" s="360"/>
      <c r="Q1726" s="351"/>
      <c r="R1726" s="363"/>
      <c r="S1726" s="325"/>
      <c r="T1726" s="85" ph="1"/>
      <c r="V1726" s="216"/>
      <c r="W1726" s="245"/>
      <c r="X1726" s="187"/>
      <c r="Y1726" s="245"/>
      <c r="Z1726" s="245"/>
      <c r="AA1726" s="329"/>
      <c r="AC1726" s="245"/>
      <c r="AD1726" s="187"/>
      <c r="AE1726" s="361"/>
      <c r="AF1726" s="245"/>
      <c r="AH1726" s="245"/>
    </row>
    <row r="1727" spans="1:34" ht="26.25">
      <c r="A1727" s="245"/>
      <c r="B1727" s="245"/>
      <c r="C1727" s="245"/>
      <c r="D1727" s="245"/>
      <c r="E1727" s="245"/>
      <c r="F1727" s="279"/>
      <c r="G1727" s="245"/>
      <c r="H1727" s="245"/>
      <c r="I1727" s="245"/>
      <c r="L1727" s="123"/>
      <c r="O1727" s="360"/>
      <c r="Q1727" s="351"/>
      <c r="R1727" s="363"/>
      <c r="S1727" s="325"/>
      <c r="T1727" s="85" ph="1"/>
      <c r="V1727" s="216"/>
      <c r="W1727" s="245"/>
      <c r="X1727" s="187"/>
      <c r="Y1727" s="245"/>
      <c r="Z1727" s="245"/>
      <c r="AA1727" s="329"/>
      <c r="AC1727" s="245"/>
      <c r="AD1727" s="187"/>
      <c r="AE1727" s="361"/>
      <c r="AF1727" s="245"/>
      <c r="AH1727" s="245"/>
    </row>
    <row r="1728" spans="1:34" ht="26.25">
      <c r="A1728" s="245"/>
      <c r="B1728" s="245"/>
      <c r="C1728" s="245"/>
      <c r="D1728" s="245"/>
      <c r="E1728" s="245"/>
      <c r="F1728" s="279"/>
      <c r="G1728" s="245"/>
      <c r="H1728" s="245"/>
      <c r="I1728" s="245"/>
      <c r="L1728" s="123"/>
      <c r="O1728" s="360"/>
      <c r="Q1728" s="351"/>
      <c r="R1728" s="363"/>
      <c r="S1728" s="325"/>
      <c r="T1728" s="85" ph="1"/>
      <c r="V1728" s="216"/>
      <c r="W1728" s="245"/>
      <c r="X1728" s="187"/>
      <c r="Y1728" s="245"/>
      <c r="Z1728" s="245"/>
      <c r="AA1728" s="329"/>
      <c r="AC1728" s="245"/>
      <c r="AD1728" s="187"/>
      <c r="AE1728" s="361"/>
      <c r="AF1728" s="245"/>
      <c r="AH1728" s="245"/>
    </row>
    <row r="1729" spans="1:34" ht="26.25">
      <c r="A1729" s="245"/>
      <c r="B1729" s="245"/>
      <c r="C1729" s="245"/>
      <c r="D1729" s="245"/>
      <c r="E1729" s="245"/>
      <c r="F1729" s="279"/>
      <c r="G1729" s="245"/>
      <c r="H1729" s="245"/>
      <c r="I1729" s="245"/>
      <c r="L1729" s="123"/>
      <c r="O1729" s="360"/>
      <c r="Q1729" s="351"/>
      <c r="R1729" s="363"/>
      <c r="S1729" s="325"/>
      <c r="T1729" s="85" ph="1"/>
      <c r="V1729" s="216"/>
      <c r="W1729" s="245"/>
      <c r="X1729" s="187"/>
      <c r="Y1729" s="245"/>
      <c r="Z1729" s="245"/>
      <c r="AA1729" s="329"/>
      <c r="AC1729" s="245"/>
      <c r="AD1729" s="187"/>
      <c r="AE1729" s="361"/>
      <c r="AF1729" s="245"/>
      <c r="AH1729" s="245"/>
    </row>
    <row r="1730" spans="1:34" ht="26.25">
      <c r="A1730" s="245"/>
      <c r="B1730" s="245"/>
      <c r="C1730" s="245"/>
      <c r="D1730" s="245"/>
      <c r="E1730" s="245"/>
      <c r="F1730" s="279"/>
      <c r="G1730" s="245"/>
      <c r="H1730" s="245"/>
      <c r="I1730" s="245"/>
      <c r="L1730" s="123"/>
      <c r="O1730" s="360"/>
      <c r="Q1730" s="351"/>
      <c r="R1730" s="363"/>
      <c r="S1730" s="325"/>
      <c r="T1730" s="85" ph="1"/>
      <c r="V1730" s="216"/>
      <c r="W1730" s="245"/>
      <c r="X1730" s="187"/>
      <c r="Y1730" s="245"/>
      <c r="Z1730" s="245"/>
      <c r="AA1730" s="329"/>
      <c r="AC1730" s="245"/>
      <c r="AD1730" s="187"/>
      <c r="AE1730" s="361"/>
      <c r="AF1730" s="245"/>
      <c r="AH1730" s="245"/>
    </row>
    <row r="1731" spans="1:34" ht="26.25">
      <c r="A1731" s="245"/>
      <c r="B1731" s="245"/>
      <c r="C1731" s="245"/>
      <c r="D1731" s="245"/>
      <c r="E1731" s="245"/>
      <c r="F1731" s="279"/>
      <c r="G1731" s="245"/>
      <c r="H1731" s="245"/>
      <c r="I1731" s="245"/>
      <c r="L1731" s="123"/>
      <c r="O1731" s="360"/>
      <c r="Q1731" s="351"/>
      <c r="R1731" s="363"/>
      <c r="S1731" s="325"/>
      <c r="T1731" s="85" ph="1"/>
      <c r="V1731" s="216"/>
      <c r="W1731" s="245"/>
      <c r="X1731" s="187"/>
      <c r="Y1731" s="245"/>
      <c r="Z1731" s="245"/>
      <c r="AA1731" s="329"/>
      <c r="AC1731" s="245"/>
      <c r="AD1731" s="187"/>
      <c r="AE1731" s="361"/>
      <c r="AF1731" s="245"/>
      <c r="AH1731" s="245"/>
    </row>
    <row r="1732" spans="1:34" ht="26.25">
      <c r="A1732" s="245"/>
      <c r="B1732" s="245"/>
      <c r="C1732" s="245"/>
      <c r="D1732" s="245"/>
      <c r="E1732" s="245"/>
      <c r="F1732" s="279"/>
      <c r="G1732" s="245"/>
      <c r="H1732" s="245"/>
      <c r="I1732" s="245"/>
      <c r="L1732" s="123"/>
      <c r="O1732" s="360"/>
      <c r="Q1732" s="351"/>
      <c r="R1732" s="363"/>
      <c r="S1732" s="325"/>
      <c r="T1732" s="85" ph="1"/>
      <c r="V1732" s="216"/>
      <c r="W1732" s="245"/>
      <c r="X1732" s="187"/>
      <c r="Y1732" s="245"/>
      <c r="Z1732" s="245"/>
      <c r="AA1732" s="329"/>
      <c r="AC1732" s="245"/>
      <c r="AD1732" s="187"/>
      <c r="AE1732" s="361"/>
      <c r="AF1732" s="245"/>
      <c r="AH1732" s="245"/>
    </row>
    <row r="1733" spans="1:34" ht="26.25">
      <c r="A1733" s="245"/>
      <c r="B1733" s="245"/>
      <c r="C1733" s="245"/>
      <c r="D1733" s="245"/>
      <c r="E1733" s="245"/>
      <c r="F1733" s="279"/>
      <c r="G1733" s="245"/>
      <c r="H1733" s="245"/>
      <c r="I1733" s="245"/>
      <c r="L1733" s="123"/>
      <c r="O1733" s="360"/>
      <c r="Q1733" s="351"/>
      <c r="R1733" s="363"/>
      <c r="S1733" s="325"/>
      <c r="T1733" s="85" ph="1"/>
      <c r="V1733" s="216"/>
      <c r="W1733" s="245"/>
      <c r="X1733" s="187"/>
      <c r="Y1733" s="245"/>
      <c r="Z1733" s="245"/>
      <c r="AA1733" s="329"/>
      <c r="AC1733" s="245"/>
      <c r="AD1733" s="187"/>
      <c r="AE1733" s="361"/>
      <c r="AF1733" s="245"/>
      <c r="AH1733" s="245"/>
    </row>
    <row r="1734" spans="1:34" ht="26.25">
      <c r="A1734" s="245"/>
      <c r="B1734" s="245"/>
      <c r="C1734" s="245"/>
      <c r="D1734" s="245"/>
      <c r="E1734" s="245"/>
      <c r="F1734" s="279"/>
      <c r="G1734" s="245"/>
      <c r="H1734" s="245"/>
      <c r="I1734" s="245"/>
      <c r="L1734" s="123"/>
      <c r="O1734" s="360"/>
      <c r="Q1734" s="351"/>
      <c r="R1734" s="363"/>
      <c r="S1734" s="325"/>
      <c r="T1734" s="85" ph="1"/>
      <c r="V1734" s="216"/>
      <c r="W1734" s="245"/>
      <c r="X1734" s="187"/>
      <c r="Y1734" s="245"/>
      <c r="Z1734" s="245"/>
      <c r="AA1734" s="329"/>
      <c r="AC1734" s="245"/>
      <c r="AD1734" s="187"/>
      <c r="AE1734" s="361"/>
      <c r="AF1734" s="245"/>
      <c r="AH1734" s="245"/>
    </row>
    <row r="1735" spans="1:34" ht="26.25">
      <c r="A1735" s="245"/>
      <c r="B1735" s="245"/>
      <c r="C1735" s="245"/>
      <c r="D1735" s="245"/>
      <c r="E1735" s="245"/>
      <c r="F1735" s="279"/>
      <c r="G1735" s="245"/>
      <c r="H1735" s="245"/>
      <c r="I1735" s="245"/>
      <c r="L1735" s="123"/>
      <c r="O1735" s="360"/>
      <c r="Q1735" s="351"/>
      <c r="R1735" s="363"/>
      <c r="S1735" s="325"/>
      <c r="T1735" s="85" ph="1"/>
      <c r="V1735" s="216"/>
      <c r="W1735" s="245"/>
      <c r="X1735" s="187"/>
      <c r="Y1735" s="245"/>
      <c r="Z1735" s="245"/>
      <c r="AA1735" s="329"/>
      <c r="AC1735" s="245"/>
      <c r="AD1735" s="187"/>
      <c r="AE1735" s="361"/>
      <c r="AF1735" s="245"/>
      <c r="AH1735" s="245"/>
    </row>
    <row r="1736" spans="1:34" ht="26.25">
      <c r="A1736" s="245"/>
      <c r="B1736" s="245"/>
      <c r="C1736" s="245"/>
      <c r="D1736" s="245"/>
      <c r="E1736" s="245"/>
      <c r="F1736" s="279"/>
      <c r="G1736" s="245"/>
      <c r="H1736" s="245"/>
      <c r="I1736" s="245"/>
      <c r="L1736" s="245"/>
      <c r="O1736" s="360"/>
      <c r="Q1736" s="351"/>
      <c r="R1736" s="363"/>
      <c r="S1736" s="325"/>
      <c r="T1736" s="85" ph="1"/>
      <c r="V1736" s="216"/>
      <c r="W1736" s="245"/>
      <c r="X1736" s="187"/>
      <c r="Y1736" s="245"/>
      <c r="Z1736" s="245"/>
      <c r="AA1736" s="329"/>
      <c r="AC1736" s="245"/>
      <c r="AD1736" s="187"/>
      <c r="AE1736" s="361"/>
      <c r="AF1736" s="245"/>
      <c r="AH1736" s="245"/>
    </row>
    <row r="1737" spans="1:34" ht="26.25">
      <c r="A1737" s="245"/>
      <c r="B1737" s="245"/>
      <c r="C1737" s="245"/>
      <c r="D1737" s="245"/>
      <c r="E1737" s="245"/>
      <c r="F1737" s="279"/>
      <c r="G1737" s="245"/>
      <c r="H1737" s="245"/>
      <c r="I1737" s="245"/>
      <c r="L1737" s="245"/>
      <c r="O1737" s="360"/>
      <c r="Q1737" s="351"/>
      <c r="R1737" s="363"/>
      <c r="S1737" s="325"/>
      <c r="T1737" s="85" ph="1"/>
      <c r="V1737" s="216"/>
      <c r="W1737" s="245"/>
      <c r="X1737" s="187"/>
      <c r="Y1737" s="245"/>
      <c r="Z1737" s="245"/>
      <c r="AA1737" s="329"/>
      <c r="AC1737" s="245"/>
      <c r="AD1737" s="187"/>
      <c r="AE1737" s="361"/>
      <c r="AF1737" s="245"/>
      <c r="AH1737" s="245"/>
    </row>
    <row r="1738" spans="1:34" ht="26.25">
      <c r="A1738" s="245"/>
      <c r="B1738" s="245"/>
      <c r="C1738" s="245"/>
      <c r="D1738" s="245"/>
      <c r="E1738" s="245"/>
      <c r="F1738" s="279"/>
      <c r="G1738" s="245"/>
      <c r="H1738" s="245"/>
      <c r="I1738" s="245"/>
      <c r="L1738" s="123"/>
      <c r="O1738" s="360"/>
      <c r="Q1738" s="351"/>
      <c r="R1738" s="363"/>
      <c r="S1738" s="325"/>
      <c r="T1738" s="85" ph="1"/>
      <c r="V1738" s="216"/>
      <c r="W1738" s="245"/>
      <c r="X1738" s="187"/>
      <c r="Y1738" s="245"/>
      <c r="Z1738" s="245"/>
      <c r="AA1738" s="329"/>
      <c r="AC1738" s="245"/>
      <c r="AD1738" s="187"/>
      <c r="AE1738" s="361"/>
      <c r="AF1738" s="245"/>
      <c r="AH1738" s="245"/>
    </row>
    <row r="1739" spans="1:34" ht="26.25">
      <c r="A1739" s="245"/>
      <c r="B1739" s="245"/>
      <c r="C1739" s="245"/>
      <c r="D1739" s="245"/>
      <c r="E1739" s="245"/>
      <c r="F1739" s="279"/>
      <c r="G1739" s="245"/>
      <c r="H1739" s="245"/>
      <c r="I1739" s="245"/>
      <c r="L1739" s="123"/>
      <c r="O1739" s="360"/>
      <c r="Q1739" s="351"/>
      <c r="R1739" s="363"/>
      <c r="S1739" s="325"/>
      <c r="T1739" s="85" ph="1"/>
      <c r="V1739" s="216"/>
      <c r="W1739" s="245"/>
      <c r="X1739" s="187"/>
      <c r="Y1739" s="245"/>
      <c r="Z1739" s="245"/>
      <c r="AA1739" s="329"/>
      <c r="AC1739" s="245"/>
      <c r="AD1739" s="187"/>
      <c r="AE1739" s="361"/>
      <c r="AF1739" s="245"/>
      <c r="AH1739" s="245"/>
    </row>
    <row r="1740" spans="1:34" ht="26.25">
      <c r="A1740" s="245"/>
      <c r="B1740" s="245"/>
      <c r="C1740" s="245"/>
      <c r="D1740" s="245"/>
      <c r="E1740" s="245"/>
      <c r="F1740" s="279"/>
      <c r="G1740" s="245"/>
      <c r="H1740" s="245"/>
      <c r="I1740" s="245"/>
      <c r="L1740" s="123"/>
      <c r="O1740" s="360"/>
      <c r="Q1740" s="351"/>
      <c r="R1740" s="363"/>
      <c r="S1740" s="325"/>
      <c r="T1740" s="85" ph="1"/>
      <c r="V1740" s="216"/>
      <c r="W1740" s="245"/>
      <c r="X1740" s="187"/>
      <c r="Y1740" s="245"/>
      <c r="Z1740" s="245"/>
      <c r="AA1740" s="329"/>
      <c r="AC1740" s="245"/>
      <c r="AD1740" s="187"/>
      <c r="AE1740" s="361"/>
      <c r="AF1740" s="245"/>
      <c r="AH1740" s="245"/>
    </row>
    <row r="1741" spans="1:34" ht="26.25">
      <c r="A1741" s="245"/>
      <c r="B1741" s="245"/>
      <c r="C1741" s="245"/>
      <c r="D1741" s="245"/>
      <c r="E1741" s="245"/>
      <c r="F1741" s="279"/>
      <c r="G1741" s="245"/>
      <c r="H1741" s="245"/>
      <c r="I1741" s="245"/>
      <c r="L1741" s="123"/>
      <c r="O1741" s="360"/>
      <c r="Q1741" s="351"/>
      <c r="R1741" s="363"/>
      <c r="S1741" s="325"/>
      <c r="T1741" s="85" ph="1"/>
      <c r="V1741" s="216"/>
      <c r="W1741" s="245"/>
      <c r="X1741" s="187"/>
      <c r="Y1741" s="245"/>
      <c r="Z1741" s="245"/>
      <c r="AA1741" s="329"/>
      <c r="AC1741" s="245"/>
      <c r="AD1741" s="187"/>
      <c r="AE1741" s="361"/>
      <c r="AF1741" s="245"/>
      <c r="AH1741" s="245"/>
    </row>
    <row r="1742" spans="1:34" ht="26.25">
      <c r="A1742" s="245"/>
      <c r="B1742" s="245"/>
      <c r="C1742" s="245"/>
      <c r="D1742" s="245"/>
      <c r="E1742" s="245"/>
      <c r="F1742" s="279"/>
      <c r="G1742" s="245"/>
      <c r="H1742" s="245"/>
      <c r="I1742" s="245"/>
      <c r="L1742" s="123"/>
      <c r="O1742" s="360"/>
      <c r="Q1742" s="351"/>
      <c r="R1742" s="363"/>
      <c r="S1742" s="325"/>
      <c r="T1742" s="85" ph="1"/>
      <c r="V1742" s="216"/>
      <c r="W1742" s="245"/>
      <c r="X1742" s="187"/>
      <c r="Y1742" s="245"/>
      <c r="Z1742" s="245"/>
      <c r="AA1742" s="329"/>
      <c r="AC1742" s="245"/>
      <c r="AD1742" s="187"/>
      <c r="AE1742" s="361"/>
      <c r="AF1742" s="245"/>
      <c r="AH1742" s="245"/>
    </row>
    <row r="1743" spans="1:34" ht="26.25">
      <c r="A1743" s="245"/>
      <c r="B1743" s="245"/>
      <c r="C1743" s="245"/>
      <c r="D1743" s="245"/>
      <c r="E1743" s="245"/>
      <c r="F1743" s="279"/>
      <c r="G1743" s="245"/>
      <c r="H1743" s="245"/>
      <c r="I1743" s="245"/>
      <c r="L1743" s="123"/>
      <c r="O1743" s="360"/>
      <c r="Q1743" s="351"/>
      <c r="R1743" s="363"/>
      <c r="S1743" s="325"/>
      <c r="T1743" s="85" ph="1"/>
      <c r="V1743" s="216"/>
      <c r="W1743" s="245"/>
      <c r="X1743" s="187"/>
      <c r="Y1743" s="245"/>
      <c r="Z1743" s="245"/>
      <c r="AA1743" s="329"/>
      <c r="AC1743" s="245"/>
      <c r="AD1743" s="187"/>
      <c r="AE1743" s="361"/>
      <c r="AF1743" s="245"/>
      <c r="AH1743" s="245"/>
    </row>
    <row r="1744" spans="1:34" ht="26.25">
      <c r="A1744" s="245"/>
      <c r="B1744" s="245"/>
      <c r="C1744" s="245"/>
      <c r="D1744" s="245"/>
      <c r="E1744" s="245"/>
      <c r="F1744" s="279"/>
      <c r="G1744" s="245"/>
      <c r="H1744" s="245"/>
      <c r="I1744" s="245"/>
      <c r="L1744" s="123"/>
      <c r="O1744" s="360"/>
      <c r="Q1744" s="351"/>
      <c r="R1744" s="363"/>
      <c r="S1744" s="325"/>
      <c r="T1744" s="85" ph="1"/>
      <c r="V1744" s="216"/>
      <c r="W1744" s="245"/>
      <c r="X1744" s="187"/>
      <c r="Y1744" s="245"/>
      <c r="Z1744" s="245"/>
      <c r="AA1744" s="329"/>
      <c r="AC1744" s="245"/>
      <c r="AD1744" s="187"/>
      <c r="AE1744" s="361"/>
      <c r="AF1744" s="245"/>
      <c r="AH1744" s="245"/>
    </row>
    <row r="1745" spans="1:34" ht="26.25">
      <c r="A1745" s="245"/>
      <c r="B1745" s="245"/>
      <c r="C1745" s="245"/>
      <c r="D1745" s="245"/>
      <c r="E1745" s="245"/>
      <c r="F1745" s="279"/>
      <c r="G1745" s="245"/>
      <c r="H1745" s="245"/>
      <c r="I1745" s="245"/>
      <c r="L1745" s="123"/>
      <c r="O1745" s="360"/>
      <c r="Q1745" s="351"/>
      <c r="R1745" s="363"/>
      <c r="S1745" s="325"/>
      <c r="T1745" s="85" ph="1"/>
      <c r="V1745" s="216"/>
      <c r="W1745" s="245"/>
      <c r="X1745" s="187"/>
      <c r="Y1745" s="245"/>
      <c r="Z1745" s="245"/>
      <c r="AA1745" s="329"/>
      <c r="AC1745" s="245"/>
      <c r="AD1745" s="187"/>
      <c r="AE1745" s="361"/>
      <c r="AF1745" s="245"/>
      <c r="AH1745" s="245"/>
    </row>
    <row r="1746" spans="1:34" ht="26.25">
      <c r="A1746" s="245"/>
      <c r="B1746" s="245"/>
      <c r="C1746" s="245"/>
      <c r="D1746" s="245"/>
      <c r="E1746" s="245"/>
      <c r="F1746" s="279"/>
      <c r="G1746" s="245"/>
      <c r="H1746" s="245"/>
      <c r="I1746" s="245"/>
      <c r="L1746" s="245"/>
      <c r="O1746" s="360"/>
      <c r="Q1746" s="351"/>
      <c r="R1746" s="363"/>
      <c r="S1746" s="325"/>
      <c r="T1746" s="85" ph="1"/>
      <c r="V1746" s="216"/>
      <c r="W1746" s="245"/>
      <c r="X1746" s="187"/>
      <c r="Y1746" s="245"/>
      <c r="Z1746" s="245"/>
      <c r="AA1746" s="329"/>
      <c r="AC1746" s="245"/>
      <c r="AD1746" s="187"/>
      <c r="AE1746" s="361"/>
      <c r="AF1746" s="245"/>
      <c r="AH1746" s="245"/>
    </row>
    <row r="1747" spans="1:34" ht="26.25">
      <c r="A1747" s="245"/>
      <c r="B1747" s="245"/>
      <c r="C1747" s="245"/>
      <c r="D1747" s="245"/>
      <c r="E1747" s="245"/>
      <c r="F1747" s="279"/>
      <c r="G1747" s="245"/>
      <c r="H1747" s="245"/>
      <c r="I1747" s="245"/>
      <c r="L1747" s="123"/>
      <c r="O1747" s="360"/>
      <c r="Q1747" s="351"/>
      <c r="R1747" s="363"/>
      <c r="S1747" s="325"/>
      <c r="T1747" s="85" ph="1"/>
      <c r="V1747" s="216"/>
      <c r="W1747" s="245"/>
      <c r="X1747" s="187"/>
      <c r="Y1747" s="245"/>
      <c r="Z1747" s="245"/>
      <c r="AA1747" s="329"/>
      <c r="AC1747" s="245"/>
      <c r="AD1747" s="187"/>
      <c r="AE1747" s="361"/>
      <c r="AF1747" s="245"/>
      <c r="AH1747" s="245"/>
    </row>
    <row r="1748" spans="1:34" ht="26.25">
      <c r="A1748" s="245"/>
      <c r="B1748" s="245"/>
      <c r="C1748" s="245"/>
      <c r="D1748" s="245"/>
      <c r="E1748" s="245"/>
      <c r="F1748" s="279"/>
      <c r="G1748" s="245"/>
      <c r="H1748" s="245"/>
      <c r="I1748" s="245"/>
      <c r="L1748" s="123"/>
      <c r="O1748" s="360"/>
      <c r="Q1748" s="351"/>
      <c r="R1748" s="363"/>
      <c r="S1748" s="325"/>
      <c r="T1748" s="85" ph="1"/>
      <c r="V1748" s="216"/>
      <c r="W1748" s="245"/>
      <c r="X1748" s="187"/>
      <c r="Y1748" s="245"/>
      <c r="Z1748" s="245"/>
      <c r="AA1748" s="329"/>
      <c r="AC1748" s="245"/>
      <c r="AD1748" s="187"/>
      <c r="AE1748" s="361"/>
      <c r="AF1748" s="245"/>
      <c r="AH1748" s="245"/>
    </row>
    <row r="1749" spans="1:34" ht="26.25">
      <c r="A1749" s="245"/>
      <c r="B1749" s="245"/>
      <c r="C1749" s="245"/>
      <c r="D1749" s="245"/>
      <c r="E1749" s="245"/>
      <c r="F1749" s="279"/>
      <c r="G1749" s="245"/>
      <c r="H1749" s="245"/>
      <c r="I1749" s="245"/>
      <c r="L1749" s="123"/>
      <c r="O1749" s="360"/>
      <c r="Q1749" s="351"/>
      <c r="R1749" s="363"/>
      <c r="S1749" s="325"/>
      <c r="T1749" s="85" ph="1"/>
      <c r="V1749" s="216"/>
      <c r="W1749" s="245"/>
      <c r="X1749" s="187"/>
      <c r="Y1749" s="245"/>
      <c r="Z1749" s="245"/>
      <c r="AA1749" s="329"/>
      <c r="AC1749" s="245"/>
      <c r="AD1749" s="187"/>
      <c r="AE1749" s="361"/>
      <c r="AF1749" s="245"/>
      <c r="AH1749" s="245"/>
    </row>
    <row r="1750" spans="1:34" ht="26.25">
      <c r="A1750" s="245"/>
      <c r="B1750" s="245"/>
      <c r="C1750" s="245"/>
      <c r="D1750" s="245"/>
      <c r="E1750" s="245"/>
      <c r="F1750" s="279"/>
      <c r="G1750" s="245"/>
      <c r="H1750" s="245"/>
      <c r="I1750" s="245"/>
      <c r="L1750" s="123"/>
      <c r="O1750" s="360"/>
      <c r="Q1750" s="351"/>
      <c r="R1750" s="363"/>
      <c r="S1750" s="325"/>
      <c r="T1750" s="85" ph="1"/>
      <c r="V1750" s="216"/>
      <c r="W1750" s="245"/>
      <c r="X1750" s="187"/>
      <c r="Y1750" s="245"/>
      <c r="Z1750" s="245"/>
      <c r="AA1750" s="329"/>
      <c r="AC1750" s="245"/>
      <c r="AD1750" s="187"/>
      <c r="AE1750" s="361"/>
      <c r="AF1750" s="245"/>
      <c r="AH1750" s="245"/>
    </row>
    <row r="1751" spans="1:34" ht="26.25">
      <c r="A1751" s="245"/>
      <c r="B1751" s="245"/>
      <c r="C1751" s="245"/>
      <c r="D1751" s="245"/>
      <c r="E1751" s="245"/>
      <c r="F1751" s="279"/>
      <c r="G1751" s="245"/>
      <c r="H1751" s="245"/>
      <c r="I1751" s="245"/>
      <c r="L1751" s="123"/>
      <c r="O1751" s="360"/>
      <c r="Q1751" s="351"/>
      <c r="R1751" s="363"/>
      <c r="S1751" s="325"/>
      <c r="T1751" s="85" ph="1"/>
      <c r="V1751" s="216"/>
      <c r="W1751" s="245"/>
      <c r="X1751" s="187"/>
      <c r="Y1751" s="245"/>
      <c r="Z1751" s="245"/>
      <c r="AA1751" s="329"/>
      <c r="AC1751" s="245"/>
      <c r="AD1751" s="187"/>
      <c r="AE1751" s="361"/>
      <c r="AF1751" s="245"/>
      <c r="AH1751" s="245"/>
    </row>
    <row r="1752" spans="1:34" ht="26.25">
      <c r="A1752" s="245"/>
      <c r="B1752" s="245"/>
      <c r="C1752" s="245"/>
      <c r="D1752" s="245"/>
      <c r="E1752" s="245"/>
      <c r="F1752" s="279"/>
      <c r="G1752" s="245"/>
      <c r="H1752" s="245"/>
      <c r="I1752" s="245"/>
      <c r="L1752" s="123"/>
      <c r="O1752" s="360"/>
      <c r="Q1752" s="351"/>
      <c r="R1752" s="363"/>
      <c r="S1752" s="325"/>
      <c r="T1752" s="85" ph="1"/>
      <c r="V1752" s="216"/>
      <c r="W1752" s="245"/>
      <c r="X1752" s="187"/>
      <c r="Y1752" s="245"/>
      <c r="Z1752" s="245"/>
      <c r="AA1752" s="329"/>
      <c r="AC1752" s="245"/>
      <c r="AD1752" s="187"/>
      <c r="AE1752" s="361"/>
      <c r="AF1752" s="245"/>
      <c r="AH1752" s="245"/>
    </row>
    <row r="1753" spans="1:34" ht="26.25">
      <c r="A1753" s="245"/>
      <c r="B1753" s="245"/>
      <c r="C1753" s="245"/>
      <c r="D1753" s="245"/>
      <c r="E1753" s="245"/>
      <c r="F1753" s="279"/>
      <c r="G1753" s="245"/>
      <c r="H1753" s="245"/>
      <c r="I1753" s="245"/>
      <c r="L1753" s="123"/>
      <c r="O1753" s="360"/>
      <c r="Q1753" s="351"/>
      <c r="R1753" s="363"/>
      <c r="S1753" s="325"/>
      <c r="T1753" s="85" ph="1"/>
      <c r="V1753" s="216"/>
      <c r="W1753" s="245"/>
      <c r="X1753" s="187"/>
      <c r="Y1753" s="245"/>
      <c r="Z1753" s="245"/>
      <c r="AA1753" s="329"/>
      <c r="AC1753" s="245"/>
      <c r="AD1753" s="187"/>
      <c r="AE1753" s="361"/>
      <c r="AF1753" s="245"/>
      <c r="AH1753" s="245"/>
    </row>
    <row r="1754" spans="1:34" ht="26.25">
      <c r="A1754" s="245"/>
      <c r="B1754" s="245"/>
      <c r="C1754" s="245"/>
      <c r="D1754" s="245"/>
      <c r="E1754" s="245"/>
      <c r="F1754" s="279"/>
      <c r="G1754" s="245"/>
      <c r="H1754" s="245"/>
      <c r="I1754" s="245"/>
      <c r="L1754" s="123"/>
      <c r="O1754" s="360"/>
      <c r="Q1754" s="351"/>
      <c r="R1754" s="363"/>
      <c r="S1754" s="325"/>
      <c r="T1754" s="85" ph="1"/>
      <c r="V1754" s="216"/>
      <c r="W1754" s="245"/>
      <c r="X1754" s="187"/>
      <c r="Y1754" s="245"/>
      <c r="Z1754" s="245"/>
      <c r="AA1754" s="329"/>
      <c r="AC1754" s="245"/>
      <c r="AD1754" s="187"/>
      <c r="AE1754" s="361"/>
      <c r="AF1754" s="245"/>
      <c r="AH1754" s="245"/>
    </row>
    <row r="1755" spans="1:34" ht="26.25">
      <c r="A1755" s="245"/>
      <c r="B1755" s="245"/>
      <c r="C1755" s="245"/>
      <c r="D1755" s="245"/>
      <c r="E1755" s="245"/>
      <c r="F1755" s="279"/>
      <c r="G1755" s="245"/>
      <c r="H1755" s="245"/>
      <c r="I1755" s="245"/>
      <c r="L1755" s="123"/>
      <c r="O1755" s="360"/>
      <c r="Q1755" s="351"/>
      <c r="R1755" s="363"/>
      <c r="S1755" s="325"/>
      <c r="T1755" s="85" ph="1"/>
      <c r="V1755" s="216"/>
      <c r="W1755" s="245"/>
      <c r="X1755" s="187"/>
      <c r="Y1755" s="245"/>
      <c r="Z1755" s="245"/>
      <c r="AA1755" s="329"/>
      <c r="AC1755" s="245"/>
      <c r="AD1755" s="187"/>
      <c r="AE1755" s="361"/>
      <c r="AF1755" s="245"/>
      <c r="AH1755" s="245"/>
    </row>
    <row r="1756" spans="1:34" ht="26.25">
      <c r="A1756" s="245"/>
      <c r="B1756" s="245"/>
      <c r="C1756" s="245"/>
      <c r="D1756" s="245"/>
      <c r="E1756" s="245"/>
      <c r="F1756" s="279"/>
      <c r="G1756" s="245"/>
      <c r="H1756" s="245"/>
      <c r="I1756" s="245"/>
      <c r="L1756" s="245"/>
      <c r="O1756" s="360"/>
      <c r="Q1756" s="351"/>
      <c r="R1756" s="363"/>
      <c r="S1756" s="325"/>
      <c r="T1756" s="85" ph="1"/>
      <c r="V1756" s="216"/>
      <c r="W1756" s="245"/>
      <c r="X1756" s="187"/>
      <c r="Y1756" s="245"/>
      <c r="Z1756" s="245"/>
      <c r="AA1756" s="329"/>
      <c r="AC1756" s="245"/>
      <c r="AD1756" s="187"/>
      <c r="AE1756" s="361"/>
      <c r="AF1756" s="245"/>
      <c r="AH1756" s="245"/>
    </row>
    <row r="1757" spans="1:34" ht="26.25">
      <c r="A1757" s="245"/>
      <c r="B1757" s="245"/>
      <c r="C1757" s="245"/>
      <c r="D1757" s="245"/>
      <c r="E1757" s="245"/>
      <c r="F1757" s="279"/>
      <c r="G1757" s="245"/>
      <c r="H1757" s="245"/>
      <c r="I1757" s="245"/>
      <c r="L1757" s="123"/>
      <c r="O1757" s="360"/>
      <c r="Q1757" s="351"/>
      <c r="R1757" s="363"/>
      <c r="S1757" s="325"/>
      <c r="T1757" s="85" ph="1"/>
      <c r="V1757" s="216"/>
      <c r="W1757" s="245"/>
      <c r="X1757" s="187"/>
      <c r="Y1757" s="245"/>
      <c r="Z1757" s="245"/>
      <c r="AA1757" s="329"/>
      <c r="AC1757" s="245"/>
      <c r="AD1757" s="187"/>
      <c r="AE1757" s="361"/>
      <c r="AF1757" s="245"/>
      <c r="AH1757" s="245"/>
    </row>
    <row r="1758" spans="1:34" ht="26.25">
      <c r="A1758" s="245"/>
      <c r="B1758" s="245"/>
      <c r="C1758" s="245"/>
      <c r="D1758" s="245"/>
      <c r="E1758" s="245"/>
      <c r="F1758" s="279"/>
      <c r="G1758" s="245"/>
      <c r="H1758" s="245"/>
      <c r="I1758" s="245"/>
      <c r="L1758" s="123"/>
      <c r="O1758" s="360"/>
      <c r="Q1758" s="351"/>
      <c r="R1758" s="363"/>
      <c r="S1758" s="325"/>
      <c r="T1758" s="85" ph="1"/>
      <c r="V1758" s="216"/>
      <c r="W1758" s="245"/>
      <c r="X1758" s="187"/>
      <c r="Y1758" s="245"/>
      <c r="Z1758" s="245"/>
      <c r="AA1758" s="329"/>
      <c r="AC1758" s="245"/>
      <c r="AD1758" s="187"/>
      <c r="AE1758" s="361"/>
      <c r="AF1758" s="245"/>
      <c r="AH1758" s="245"/>
    </row>
    <row r="1759" spans="1:34" ht="26.25">
      <c r="A1759" s="245"/>
      <c r="B1759" s="245"/>
      <c r="C1759" s="245"/>
      <c r="D1759" s="245"/>
      <c r="E1759" s="245"/>
      <c r="F1759" s="279"/>
      <c r="G1759" s="245"/>
      <c r="H1759" s="245"/>
      <c r="I1759" s="245"/>
      <c r="L1759" s="123"/>
      <c r="O1759" s="360"/>
      <c r="Q1759" s="351"/>
      <c r="R1759" s="363"/>
      <c r="S1759" s="325"/>
      <c r="T1759" s="85" ph="1"/>
      <c r="V1759" s="216"/>
      <c r="W1759" s="245"/>
      <c r="X1759" s="187"/>
      <c r="Y1759" s="245"/>
      <c r="Z1759" s="245"/>
      <c r="AA1759" s="329"/>
      <c r="AC1759" s="245"/>
      <c r="AD1759" s="187"/>
      <c r="AE1759" s="361"/>
      <c r="AF1759" s="245"/>
      <c r="AH1759" s="245"/>
    </row>
    <row r="1760" spans="1:34" ht="26.25">
      <c r="A1760" s="245"/>
      <c r="B1760" s="245"/>
      <c r="C1760" s="245"/>
      <c r="D1760" s="245"/>
      <c r="E1760" s="245"/>
      <c r="F1760" s="279"/>
      <c r="G1760" s="245"/>
      <c r="H1760" s="245"/>
      <c r="I1760" s="245"/>
      <c r="L1760" s="245"/>
      <c r="O1760" s="360"/>
      <c r="Q1760" s="351"/>
      <c r="R1760" s="363"/>
      <c r="S1760" s="325"/>
      <c r="T1760" s="85" ph="1"/>
      <c r="V1760" s="216"/>
      <c r="W1760" s="245"/>
      <c r="X1760" s="187"/>
      <c r="Y1760" s="245"/>
      <c r="Z1760" s="245"/>
      <c r="AA1760" s="329"/>
      <c r="AC1760" s="245"/>
      <c r="AD1760" s="187"/>
      <c r="AE1760" s="361"/>
      <c r="AF1760" s="245"/>
      <c r="AH1760" s="245"/>
    </row>
    <row r="1761" spans="1:34" ht="26.25">
      <c r="A1761" s="245"/>
      <c r="B1761" s="245"/>
      <c r="C1761" s="245"/>
      <c r="D1761" s="245"/>
      <c r="E1761" s="245"/>
      <c r="F1761" s="279"/>
      <c r="G1761" s="245"/>
      <c r="H1761" s="245"/>
      <c r="I1761" s="245"/>
      <c r="L1761" s="123"/>
      <c r="O1761" s="360"/>
      <c r="Q1761" s="351"/>
      <c r="R1761" s="363"/>
      <c r="S1761" s="325"/>
      <c r="T1761" s="85" ph="1"/>
      <c r="V1761" s="216"/>
      <c r="W1761" s="245"/>
      <c r="X1761" s="187"/>
      <c r="Y1761" s="245"/>
      <c r="Z1761" s="245"/>
      <c r="AA1761" s="329"/>
      <c r="AC1761" s="245"/>
      <c r="AD1761" s="187"/>
      <c r="AE1761" s="361"/>
      <c r="AF1761" s="245"/>
      <c r="AH1761" s="245"/>
    </row>
    <row r="1762" spans="1:34" ht="26.25">
      <c r="A1762" s="245"/>
      <c r="B1762" s="245"/>
      <c r="C1762" s="245"/>
      <c r="D1762" s="245"/>
      <c r="E1762" s="245"/>
      <c r="F1762" s="279"/>
      <c r="G1762" s="245"/>
      <c r="H1762" s="245"/>
      <c r="I1762" s="245"/>
      <c r="L1762" s="123"/>
      <c r="O1762" s="360"/>
      <c r="Q1762" s="351"/>
      <c r="R1762" s="363"/>
      <c r="S1762" s="325"/>
      <c r="T1762" s="85" ph="1"/>
      <c r="V1762" s="216"/>
      <c r="W1762" s="245"/>
      <c r="X1762" s="187"/>
      <c r="Y1762" s="245"/>
      <c r="Z1762" s="245"/>
      <c r="AA1762" s="329"/>
      <c r="AC1762" s="245"/>
      <c r="AD1762" s="187"/>
      <c r="AE1762" s="361"/>
      <c r="AF1762" s="245"/>
      <c r="AH1762" s="245"/>
    </row>
    <row r="1763" spans="1:34" ht="26.25">
      <c r="A1763" s="245"/>
      <c r="B1763" s="245"/>
      <c r="C1763" s="245"/>
      <c r="D1763" s="245"/>
      <c r="E1763" s="245"/>
      <c r="F1763" s="279"/>
      <c r="G1763" s="245"/>
      <c r="H1763" s="245"/>
      <c r="I1763" s="245"/>
      <c r="L1763" s="123"/>
      <c r="O1763" s="360"/>
      <c r="Q1763" s="351"/>
      <c r="R1763" s="363"/>
      <c r="S1763" s="325"/>
      <c r="T1763" s="85" ph="1"/>
      <c r="V1763" s="216"/>
      <c r="W1763" s="245"/>
      <c r="X1763" s="187"/>
      <c r="Y1763" s="245"/>
      <c r="Z1763" s="245"/>
      <c r="AA1763" s="329"/>
      <c r="AC1763" s="245"/>
      <c r="AD1763" s="187"/>
      <c r="AE1763" s="361"/>
      <c r="AF1763" s="245"/>
      <c r="AH1763" s="245"/>
    </row>
    <row r="1764" spans="1:34" ht="26.25">
      <c r="A1764" s="245"/>
      <c r="B1764" s="245"/>
      <c r="C1764" s="245"/>
      <c r="D1764" s="245"/>
      <c r="E1764" s="245"/>
      <c r="F1764" s="279"/>
      <c r="G1764" s="245"/>
      <c r="H1764" s="245"/>
      <c r="I1764" s="245"/>
      <c r="L1764" s="123"/>
      <c r="O1764" s="360"/>
      <c r="Q1764" s="351"/>
      <c r="R1764" s="363"/>
      <c r="S1764" s="325"/>
      <c r="T1764" s="85" ph="1"/>
      <c r="V1764" s="216"/>
      <c r="W1764" s="245"/>
      <c r="X1764" s="187"/>
      <c r="Y1764" s="245"/>
      <c r="Z1764" s="245"/>
      <c r="AA1764" s="329"/>
      <c r="AC1764" s="245"/>
      <c r="AD1764" s="187"/>
      <c r="AE1764" s="361"/>
      <c r="AF1764" s="245"/>
      <c r="AH1764" s="245"/>
    </row>
    <row r="1765" spans="1:34" ht="26.25">
      <c r="A1765" s="245"/>
      <c r="B1765" s="245"/>
      <c r="C1765" s="245"/>
      <c r="D1765" s="245"/>
      <c r="E1765" s="245"/>
      <c r="F1765" s="279"/>
      <c r="G1765" s="245"/>
      <c r="H1765" s="245"/>
      <c r="I1765" s="245"/>
      <c r="L1765" s="123"/>
      <c r="O1765" s="360"/>
      <c r="Q1765" s="351"/>
      <c r="R1765" s="363"/>
      <c r="S1765" s="325"/>
      <c r="T1765" s="85" ph="1"/>
      <c r="V1765" s="216"/>
      <c r="W1765" s="245"/>
      <c r="X1765" s="187"/>
      <c r="Y1765" s="245"/>
      <c r="Z1765" s="245"/>
      <c r="AA1765" s="329"/>
      <c r="AC1765" s="245"/>
      <c r="AD1765" s="187"/>
      <c r="AE1765" s="361"/>
      <c r="AF1765" s="245"/>
      <c r="AH1765" s="245"/>
    </row>
    <row r="1766" spans="1:34" ht="26.25">
      <c r="A1766" s="245"/>
      <c r="B1766" s="245"/>
      <c r="C1766" s="245"/>
      <c r="D1766" s="245"/>
      <c r="E1766" s="245"/>
      <c r="F1766" s="279"/>
      <c r="G1766" s="245"/>
      <c r="H1766" s="245"/>
      <c r="I1766" s="245"/>
      <c r="L1766" s="123"/>
      <c r="O1766" s="360"/>
      <c r="Q1766" s="351"/>
      <c r="R1766" s="363"/>
      <c r="S1766" s="325"/>
      <c r="T1766" s="85" ph="1"/>
      <c r="V1766" s="216"/>
      <c r="W1766" s="245"/>
      <c r="X1766" s="187"/>
      <c r="Y1766" s="245"/>
      <c r="Z1766" s="245"/>
      <c r="AA1766" s="329"/>
      <c r="AC1766" s="245"/>
      <c r="AD1766" s="187"/>
      <c r="AE1766" s="361"/>
      <c r="AF1766" s="245"/>
      <c r="AH1766" s="245"/>
    </row>
    <row r="1767" spans="1:34" ht="26.25">
      <c r="A1767" s="245"/>
      <c r="B1767" s="245"/>
      <c r="C1767" s="245"/>
      <c r="D1767" s="245"/>
      <c r="E1767" s="245"/>
      <c r="F1767" s="279"/>
      <c r="G1767" s="245"/>
      <c r="H1767" s="245"/>
      <c r="I1767" s="245"/>
      <c r="L1767" s="123"/>
      <c r="O1767" s="360"/>
      <c r="Q1767" s="351"/>
      <c r="R1767" s="363"/>
      <c r="S1767" s="325"/>
      <c r="T1767" s="85" ph="1"/>
      <c r="V1767" s="216"/>
      <c r="W1767" s="245"/>
      <c r="X1767" s="187"/>
      <c r="Y1767" s="245"/>
      <c r="Z1767" s="245"/>
      <c r="AA1767" s="329"/>
      <c r="AC1767" s="245"/>
      <c r="AD1767" s="187"/>
      <c r="AE1767" s="361"/>
      <c r="AF1767" s="245"/>
      <c r="AH1767" s="245"/>
    </row>
    <row r="1768" spans="1:34" ht="26.25">
      <c r="A1768" s="245"/>
      <c r="B1768" s="245"/>
      <c r="C1768" s="245"/>
      <c r="D1768" s="245"/>
      <c r="E1768" s="245"/>
      <c r="F1768" s="279"/>
      <c r="G1768" s="245"/>
      <c r="H1768" s="245"/>
      <c r="I1768" s="245"/>
      <c r="L1768" s="123"/>
      <c r="O1768" s="360"/>
      <c r="Q1768" s="351"/>
      <c r="R1768" s="363"/>
      <c r="S1768" s="325"/>
      <c r="T1768" s="85" ph="1"/>
      <c r="V1768" s="216"/>
      <c r="W1768" s="245"/>
      <c r="X1768" s="187"/>
      <c r="Y1768" s="245"/>
      <c r="Z1768" s="245"/>
      <c r="AA1768" s="329"/>
      <c r="AC1768" s="245"/>
      <c r="AD1768" s="187"/>
      <c r="AE1768" s="361"/>
      <c r="AF1768" s="245"/>
      <c r="AH1768" s="245"/>
    </row>
    <row r="1769" spans="1:34" ht="26.25">
      <c r="A1769" s="245"/>
      <c r="B1769" s="245"/>
      <c r="C1769" s="245"/>
      <c r="D1769" s="245"/>
      <c r="E1769" s="245"/>
      <c r="F1769" s="279"/>
      <c r="G1769" s="245"/>
      <c r="H1769" s="245"/>
      <c r="I1769" s="245"/>
      <c r="L1769" s="123"/>
      <c r="O1769" s="360"/>
      <c r="Q1769" s="351"/>
      <c r="R1769" s="363"/>
      <c r="S1769" s="325"/>
      <c r="T1769" s="85" ph="1"/>
      <c r="V1769" s="216"/>
      <c r="W1769" s="245"/>
      <c r="X1769" s="187"/>
      <c r="Y1769" s="245"/>
      <c r="Z1769" s="245"/>
      <c r="AA1769" s="329"/>
      <c r="AC1769" s="245"/>
      <c r="AD1769" s="187"/>
      <c r="AE1769" s="361"/>
      <c r="AF1769" s="245"/>
      <c r="AH1769" s="245"/>
    </row>
    <row r="1770" spans="1:34" ht="26.25">
      <c r="A1770" s="245"/>
      <c r="B1770" s="245"/>
      <c r="C1770" s="245"/>
      <c r="D1770" s="245"/>
      <c r="E1770" s="245"/>
      <c r="F1770" s="279"/>
      <c r="G1770" s="245"/>
      <c r="H1770" s="245"/>
      <c r="I1770" s="245"/>
      <c r="L1770" s="123"/>
      <c r="O1770" s="360"/>
      <c r="Q1770" s="351"/>
      <c r="R1770" s="363"/>
      <c r="S1770" s="325"/>
      <c r="T1770" s="85" ph="1"/>
      <c r="V1770" s="216"/>
      <c r="W1770" s="245"/>
      <c r="X1770" s="187"/>
      <c r="Y1770" s="245"/>
      <c r="Z1770" s="245"/>
      <c r="AA1770" s="329"/>
      <c r="AC1770" s="245"/>
      <c r="AD1770" s="187"/>
      <c r="AE1770" s="361"/>
      <c r="AF1770" s="245"/>
      <c r="AH1770" s="245"/>
    </row>
    <row r="1771" spans="1:34" ht="26.25">
      <c r="A1771" s="245"/>
      <c r="B1771" s="245"/>
      <c r="C1771" s="245"/>
      <c r="D1771" s="245"/>
      <c r="E1771" s="245"/>
      <c r="F1771" s="279"/>
      <c r="G1771" s="245"/>
      <c r="H1771" s="245"/>
      <c r="I1771" s="245"/>
      <c r="L1771" s="123"/>
      <c r="O1771" s="360"/>
      <c r="Q1771" s="351"/>
      <c r="R1771" s="363"/>
      <c r="S1771" s="325"/>
      <c r="T1771" s="85" ph="1"/>
      <c r="V1771" s="216"/>
      <c r="W1771" s="245"/>
      <c r="X1771" s="187"/>
      <c r="Y1771" s="245"/>
      <c r="Z1771" s="245"/>
      <c r="AA1771" s="329"/>
      <c r="AC1771" s="245"/>
      <c r="AD1771" s="187"/>
      <c r="AE1771" s="361"/>
      <c r="AF1771" s="245"/>
      <c r="AH1771" s="245"/>
    </row>
    <row r="1772" spans="1:34" ht="26.25">
      <c r="A1772" s="245"/>
      <c r="B1772" s="245"/>
      <c r="C1772" s="245"/>
      <c r="D1772" s="245"/>
      <c r="E1772" s="245"/>
      <c r="F1772" s="279"/>
      <c r="G1772" s="245"/>
      <c r="H1772" s="245"/>
      <c r="I1772" s="245"/>
      <c r="L1772" s="123"/>
      <c r="O1772" s="360"/>
      <c r="Q1772" s="351"/>
      <c r="R1772" s="363"/>
      <c r="S1772" s="325"/>
      <c r="T1772" s="85" ph="1"/>
      <c r="V1772" s="216"/>
      <c r="W1772" s="245"/>
      <c r="X1772" s="187"/>
      <c r="Y1772" s="245"/>
      <c r="Z1772" s="245"/>
      <c r="AA1772" s="329"/>
      <c r="AC1772" s="245"/>
      <c r="AD1772" s="187"/>
      <c r="AE1772" s="361"/>
      <c r="AF1772" s="245"/>
      <c r="AH1772" s="245"/>
    </row>
    <row r="1773" spans="1:34" ht="26.25">
      <c r="A1773" s="245"/>
      <c r="B1773" s="245"/>
      <c r="C1773" s="245"/>
      <c r="D1773" s="245"/>
      <c r="E1773" s="245"/>
      <c r="F1773" s="279"/>
      <c r="G1773" s="245"/>
      <c r="H1773" s="245"/>
      <c r="I1773" s="245"/>
      <c r="L1773" s="123"/>
      <c r="O1773" s="360"/>
      <c r="Q1773" s="351"/>
      <c r="R1773" s="363"/>
      <c r="S1773" s="325"/>
      <c r="T1773" s="85" ph="1"/>
      <c r="V1773" s="216"/>
      <c r="W1773" s="245"/>
      <c r="X1773" s="187"/>
      <c r="Y1773" s="245"/>
      <c r="Z1773" s="245"/>
      <c r="AA1773" s="329"/>
      <c r="AC1773" s="245"/>
      <c r="AD1773" s="187"/>
      <c r="AE1773" s="361"/>
      <c r="AF1773" s="245"/>
      <c r="AH1773" s="245"/>
    </row>
    <row r="1774" spans="1:34" ht="26.25">
      <c r="A1774" s="245"/>
      <c r="B1774" s="245"/>
      <c r="C1774" s="245"/>
      <c r="D1774" s="245"/>
      <c r="E1774" s="245"/>
      <c r="F1774" s="279"/>
      <c r="G1774" s="245"/>
      <c r="H1774" s="245"/>
      <c r="I1774" s="245"/>
      <c r="L1774" s="123"/>
      <c r="O1774" s="360"/>
      <c r="Q1774" s="351"/>
      <c r="R1774" s="363"/>
      <c r="S1774" s="325"/>
      <c r="T1774" s="85" ph="1"/>
      <c r="V1774" s="216"/>
      <c r="W1774" s="245"/>
      <c r="X1774" s="187"/>
      <c r="Y1774" s="245"/>
      <c r="Z1774" s="245"/>
      <c r="AA1774" s="329"/>
      <c r="AC1774" s="245"/>
      <c r="AD1774" s="187"/>
      <c r="AE1774" s="361"/>
      <c r="AF1774" s="245"/>
      <c r="AH1774" s="245"/>
    </row>
    <row r="1775" spans="1:34" ht="26.25">
      <c r="A1775" s="245"/>
      <c r="B1775" s="245"/>
      <c r="C1775" s="245"/>
      <c r="D1775" s="245"/>
      <c r="E1775" s="245"/>
      <c r="F1775" s="279"/>
      <c r="G1775" s="245"/>
      <c r="H1775" s="245"/>
      <c r="I1775" s="245"/>
      <c r="L1775" s="123"/>
      <c r="O1775" s="360"/>
      <c r="Q1775" s="351"/>
      <c r="R1775" s="363"/>
      <c r="S1775" s="325"/>
      <c r="T1775" s="85" ph="1"/>
      <c r="V1775" s="216"/>
      <c r="W1775" s="245"/>
      <c r="X1775" s="187"/>
      <c r="Y1775" s="245"/>
      <c r="Z1775" s="245"/>
      <c r="AA1775" s="329"/>
      <c r="AC1775" s="245"/>
      <c r="AD1775" s="187"/>
      <c r="AE1775" s="361"/>
      <c r="AF1775" s="245"/>
      <c r="AH1775" s="245"/>
    </row>
    <row r="1776" spans="1:34" ht="26.25">
      <c r="A1776" s="245"/>
      <c r="B1776" s="245"/>
      <c r="C1776" s="245"/>
      <c r="D1776" s="245"/>
      <c r="E1776" s="245"/>
      <c r="F1776" s="279"/>
      <c r="G1776" s="245"/>
      <c r="H1776" s="245"/>
      <c r="I1776" s="245"/>
      <c r="L1776" s="123"/>
      <c r="O1776" s="360"/>
      <c r="Q1776" s="351"/>
      <c r="R1776" s="363"/>
      <c r="S1776" s="325"/>
      <c r="T1776" s="85" ph="1"/>
      <c r="V1776" s="216"/>
      <c r="W1776" s="245"/>
      <c r="X1776" s="187"/>
      <c r="Y1776" s="245"/>
      <c r="Z1776" s="245"/>
      <c r="AA1776" s="329"/>
      <c r="AC1776" s="245"/>
      <c r="AD1776" s="187"/>
      <c r="AE1776" s="361"/>
      <c r="AF1776" s="245"/>
      <c r="AH1776" s="245"/>
    </row>
    <row r="1777" spans="1:34" ht="26.25">
      <c r="A1777" s="245"/>
      <c r="B1777" s="245"/>
      <c r="C1777" s="245"/>
      <c r="D1777" s="245"/>
      <c r="E1777" s="245"/>
      <c r="F1777" s="279"/>
      <c r="G1777" s="245"/>
      <c r="H1777" s="245"/>
      <c r="I1777" s="245"/>
      <c r="L1777" s="123"/>
      <c r="O1777" s="360"/>
      <c r="Q1777" s="351"/>
      <c r="R1777" s="363"/>
      <c r="S1777" s="325"/>
      <c r="T1777" s="85" ph="1"/>
      <c r="V1777" s="216"/>
      <c r="W1777" s="245"/>
      <c r="X1777" s="187"/>
      <c r="Y1777" s="245"/>
      <c r="Z1777" s="245"/>
      <c r="AA1777" s="329"/>
      <c r="AC1777" s="245"/>
      <c r="AD1777" s="187"/>
      <c r="AE1777" s="361"/>
      <c r="AF1777" s="245"/>
      <c r="AH1777" s="245"/>
    </row>
    <row r="1778" spans="1:34" ht="26.25">
      <c r="A1778" s="245"/>
      <c r="B1778" s="245"/>
      <c r="C1778" s="245"/>
      <c r="D1778" s="245"/>
      <c r="E1778" s="245"/>
      <c r="F1778" s="279"/>
      <c r="G1778" s="245"/>
      <c r="H1778" s="245"/>
      <c r="I1778" s="245"/>
      <c r="L1778" s="123"/>
      <c r="O1778" s="360"/>
      <c r="Q1778" s="351"/>
      <c r="R1778" s="363"/>
      <c r="S1778" s="325"/>
      <c r="T1778" s="85" ph="1"/>
      <c r="V1778" s="216"/>
      <c r="W1778" s="245"/>
      <c r="X1778" s="187"/>
      <c r="Y1778" s="245"/>
      <c r="Z1778" s="245"/>
      <c r="AA1778" s="329"/>
      <c r="AC1778" s="245"/>
      <c r="AD1778" s="187"/>
      <c r="AE1778" s="361"/>
      <c r="AF1778" s="245"/>
      <c r="AH1778" s="245"/>
    </row>
    <row r="1779" spans="1:34" ht="26.25">
      <c r="A1779" s="245"/>
      <c r="B1779" s="245"/>
      <c r="C1779" s="245"/>
      <c r="D1779" s="245"/>
      <c r="E1779" s="245"/>
      <c r="F1779" s="279"/>
      <c r="G1779" s="245"/>
      <c r="H1779" s="245"/>
      <c r="I1779" s="245"/>
      <c r="L1779" s="123"/>
      <c r="O1779" s="360"/>
      <c r="Q1779" s="351"/>
      <c r="R1779" s="363"/>
      <c r="S1779" s="325"/>
      <c r="T1779" s="85" ph="1"/>
      <c r="V1779" s="216"/>
      <c r="W1779" s="245"/>
      <c r="X1779" s="187"/>
      <c r="Y1779" s="245"/>
      <c r="Z1779" s="245"/>
      <c r="AA1779" s="329"/>
      <c r="AC1779" s="245"/>
      <c r="AD1779" s="187"/>
      <c r="AE1779" s="361"/>
      <c r="AF1779" s="245"/>
      <c r="AH1779" s="245"/>
    </row>
    <row r="1780" spans="1:34" ht="26.25">
      <c r="A1780" s="245"/>
      <c r="B1780" s="245"/>
      <c r="C1780" s="245"/>
      <c r="D1780" s="245"/>
      <c r="E1780" s="245"/>
      <c r="F1780" s="279"/>
      <c r="G1780" s="245"/>
      <c r="H1780" s="245"/>
      <c r="I1780" s="245"/>
      <c r="L1780" s="123"/>
      <c r="O1780" s="360"/>
      <c r="Q1780" s="351"/>
      <c r="R1780" s="363"/>
      <c r="S1780" s="325"/>
      <c r="T1780" s="85" ph="1"/>
      <c r="V1780" s="216"/>
      <c r="W1780" s="245"/>
      <c r="X1780" s="187"/>
      <c r="Y1780" s="245"/>
      <c r="Z1780" s="245"/>
      <c r="AA1780" s="329"/>
      <c r="AC1780" s="245"/>
      <c r="AD1780" s="187"/>
      <c r="AE1780" s="361"/>
      <c r="AF1780" s="245"/>
      <c r="AH1780" s="245"/>
    </row>
    <row r="1781" spans="1:34" ht="26.25">
      <c r="A1781" s="245"/>
      <c r="B1781" s="245"/>
      <c r="C1781" s="245"/>
      <c r="D1781" s="245"/>
      <c r="E1781" s="245"/>
      <c r="F1781" s="279"/>
      <c r="G1781" s="245"/>
      <c r="H1781" s="245"/>
      <c r="I1781" s="245"/>
      <c r="L1781" s="123"/>
      <c r="O1781" s="360"/>
      <c r="Q1781" s="351"/>
      <c r="R1781" s="363"/>
      <c r="S1781" s="325"/>
      <c r="T1781" s="85" ph="1"/>
      <c r="V1781" s="216"/>
      <c r="W1781" s="245"/>
      <c r="X1781" s="187"/>
      <c r="Y1781" s="245"/>
      <c r="Z1781" s="245"/>
      <c r="AA1781" s="329"/>
      <c r="AC1781" s="245"/>
      <c r="AD1781" s="187"/>
      <c r="AE1781" s="361"/>
      <c r="AF1781" s="245"/>
      <c r="AH1781" s="245"/>
    </row>
    <row r="1782" spans="1:34" ht="26.25">
      <c r="A1782" s="245"/>
      <c r="B1782" s="245"/>
      <c r="C1782" s="245"/>
      <c r="D1782" s="245"/>
      <c r="E1782" s="245"/>
      <c r="F1782" s="279"/>
      <c r="G1782" s="245"/>
      <c r="H1782" s="245"/>
      <c r="I1782" s="245"/>
      <c r="O1782" s="360"/>
      <c r="Q1782" s="351"/>
      <c r="R1782" s="363"/>
      <c r="S1782" s="325"/>
      <c r="T1782" s="85" ph="1"/>
      <c r="V1782" s="216"/>
      <c r="W1782" s="245"/>
      <c r="X1782" s="187"/>
      <c r="Y1782" s="245"/>
      <c r="Z1782" s="245"/>
      <c r="AA1782" s="329"/>
      <c r="AC1782" s="245"/>
      <c r="AD1782" s="187"/>
      <c r="AE1782" s="361"/>
      <c r="AF1782" s="245"/>
      <c r="AH1782" s="245"/>
    </row>
    <row r="1783" spans="1:34" ht="26.25">
      <c r="A1783" s="245"/>
      <c r="B1783" s="245"/>
      <c r="C1783" s="245"/>
      <c r="D1783" s="245"/>
      <c r="E1783" s="245"/>
      <c r="F1783" s="279"/>
      <c r="G1783" s="245"/>
      <c r="H1783" s="245"/>
      <c r="I1783" s="245"/>
      <c r="L1783" s="123"/>
      <c r="O1783" s="360"/>
      <c r="Q1783" s="351"/>
      <c r="R1783" s="363"/>
      <c r="S1783" s="325"/>
      <c r="T1783" s="85" ph="1"/>
      <c r="V1783" s="216"/>
      <c r="W1783" s="245"/>
      <c r="X1783" s="187"/>
      <c r="Y1783" s="245"/>
      <c r="Z1783" s="245"/>
      <c r="AA1783" s="329"/>
      <c r="AC1783" s="245"/>
      <c r="AD1783" s="187"/>
      <c r="AE1783" s="361"/>
      <c r="AF1783" s="245"/>
      <c r="AH1783" s="245"/>
    </row>
    <row r="1784" spans="1:34" ht="26.25">
      <c r="A1784" s="245"/>
      <c r="B1784" s="245"/>
      <c r="C1784" s="245"/>
      <c r="D1784" s="245"/>
      <c r="E1784" s="245"/>
      <c r="F1784" s="279"/>
      <c r="G1784" s="245"/>
      <c r="H1784" s="245"/>
      <c r="I1784" s="245"/>
      <c r="L1784" s="123"/>
      <c r="O1784" s="360"/>
      <c r="Q1784" s="351"/>
      <c r="R1784" s="363"/>
      <c r="S1784" s="325"/>
      <c r="T1784" s="85" ph="1"/>
      <c r="V1784" s="216"/>
      <c r="W1784" s="245"/>
      <c r="X1784" s="187"/>
      <c r="Y1784" s="245"/>
      <c r="Z1784" s="245"/>
      <c r="AA1784" s="329"/>
      <c r="AC1784" s="245"/>
      <c r="AD1784" s="187"/>
      <c r="AE1784" s="361"/>
      <c r="AF1784" s="245"/>
      <c r="AH1784" s="245"/>
    </row>
    <row r="1785" spans="1:34" ht="26.25">
      <c r="A1785" s="245"/>
      <c r="B1785" s="245"/>
      <c r="C1785" s="245"/>
      <c r="D1785" s="245"/>
      <c r="E1785" s="245"/>
      <c r="F1785" s="279"/>
      <c r="G1785" s="245"/>
      <c r="H1785" s="245"/>
      <c r="I1785" s="245"/>
      <c r="L1785" s="123"/>
      <c r="O1785" s="360"/>
      <c r="Q1785" s="351"/>
      <c r="R1785" s="363"/>
      <c r="S1785" s="325"/>
      <c r="T1785" s="85" ph="1"/>
      <c r="V1785" s="216"/>
      <c r="W1785" s="245"/>
      <c r="X1785" s="187"/>
      <c r="Y1785" s="245"/>
      <c r="Z1785" s="245"/>
      <c r="AA1785" s="329"/>
      <c r="AC1785" s="245"/>
      <c r="AD1785" s="187"/>
      <c r="AE1785" s="361"/>
      <c r="AF1785" s="245"/>
      <c r="AH1785" s="245"/>
    </row>
    <row r="1786" spans="1:34" ht="26.25">
      <c r="A1786" s="245"/>
      <c r="B1786" s="245"/>
      <c r="C1786" s="245"/>
      <c r="D1786" s="245"/>
      <c r="E1786" s="245"/>
      <c r="F1786" s="279"/>
      <c r="G1786" s="245"/>
      <c r="H1786" s="245"/>
      <c r="I1786" s="245"/>
      <c r="L1786" s="123"/>
      <c r="O1786" s="360"/>
      <c r="Q1786" s="351"/>
      <c r="R1786" s="363"/>
      <c r="S1786" s="325"/>
      <c r="T1786" s="85" ph="1"/>
      <c r="V1786" s="216"/>
      <c r="W1786" s="245"/>
      <c r="X1786" s="187"/>
      <c r="Y1786" s="245"/>
      <c r="Z1786" s="245"/>
      <c r="AA1786" s="329"/>
      <c r="AC1786" s="245"/>
      <c r="AD1786" s="187"/>
      <c r="AE1786" s="361"/>
      <c r="AF1786" s="245"/>
      <c r="AH1786" s="245"/>
    </row>
    <row r="1787" spans="1:34" ht="26.25">
      <c r="A1787" s="245"/>
      <c r="B1787" s="245"/>
      <c r="C1787" s="245"/>
      <c r="D1787" s="245"/>
      <c r="E1787" s="245"/>
      <c r="F1787" s="279"/>
      <c r="G1787" s="245"/>
      <c r="H1787" s="245"/>
      <c r="I1787" s="245"/>
      <c r="L1787" s="123"/>
      <c r="O1787" s="360"/>
      <c r="Q1787" s="351"/>
      <c r="R1787" s="363"/>
      <c r="S1787" s="325"/>
      <c r="T1787" s="85" ph="1"/>
      <c r="V1787" s="216"/>
      <c r="W1787" s="245"/>
      <c r="X1787" s="187"/>
      <c r="Y1787" s="245"/>
      <c r="Z1787" s="245"/>
      <c r="AA1787" s="329"/>
      <c r="AC1787" s="245"/>
      <c r="AD1787" s="187"/>
      <c r="AE1787" s="361"/>
      <c r="AF1787" s="245"/>
      <c r="AH1787" s="245"/>
    </row>
    <row r="1788" spans="1:34" ht="26.25">
      <c r="A1788" s="245"/>
      <c r="B1788" s="245"/>
      <c r="C1788" s="245"/>
      <c r="D1788" s="245"/>
      <c r="E1788" s="245"/>
      <c r="F1788" s="279"/>
      <c r="G1788" s="245"/>
      <c r="H1788" s="245"/>
      <c r="I1788" s="245"/>
      <c r="L1788" s="123"/>
      <c r="O1788" s="360"/>
      <c r="Q1788" s="351"/>
      <c r="R1788" s="363"/>
      <c r="S1788" s="325"/>
      <c r="T1788" s="85" ph="1"/>
      <c r="V1788" s="216"/>
      <c r="W1788" s="245"/>
      <c r="X1788" s="187"/>
      <c r="Y1788" s="245"/>
      <c r="Z1788" s="245"/>
      <c r="AA1788" s="329"/>
      <c r="AC1788" s="245"/>
      <c r="AD1788" s="187"/>
      <c r="AE1788" s="361"/>
      <c r="AF1788" s="245"/>
      <c r="AH1788" s="245"/>
    </row>
    <row r="1789" spans="1:34" ht="26.25">
      <c r="A1789" s="245"/>
      <c r="B1789" s="245"/>
      <c r="C1789" s="245"/>
      <c r="D1789" s="245"/>
      <c r="E1789" s="245"/>
      <c r="F1789" s="279"/>
      <c r="G1789" s="245"/>
      <c r="H1789" s="245"/>
      <c r="I1789" s="245"/>
      <c r="L1789" s="123"/>
      <c r="O1789" s="360"/>
      <c r="Q1789" s="351"/>
      <c r="R1789" s="363"/>
      <c r="S1789" s="325"/>
      <c r="T1789" s="85" ph="1"/>
      <c r="V1789" s="216"/>
      <c r="W1789" s="245"/>
      <c r="X1789" s="187"/>
      <c r="Y1789" s="245"/>
      <c r="Z1789" s="245"/>
      <c r="AA1789" s="329"/>
      <c r="AC1789" s="245"/>
      <c r="AD1789" s="187"/>
      <c r="AE1789" s="361"/>
      <c r="AF1789" s="245"/>
      <c r="AH1789" s="245"/>
    </row>
    <row r="1790" spans="1:34" ht="26.25">
      <c r="A1790" s="245"/>
      <c r="B1790" s="245"/>
      <c r="C1790" s="245"/>
      <c r="D1790" s="245"/>
      <c r="E1790" s="245"/>
      <c r="F1790" s="279"/>
      <c r="G1790" s="245"/>
      <c r="H1790" s="245"/>
      <c r="I1790" s="245"/>
      <c r="L1790" s="123"/>
      <c r="O1790" s="360"/>
      <c r="Q1790" s="351"/>
      <c r="R1790" s="363"/>
      <c r="S1790" s="325"/>
      <c r="T1790" s="85" ph="1"/>
      <c r="V1790" s="216"/>
      <c r="W1790" s="245"/>
      <c r="X1790" s="187"/>
      <c r="Y1790" s="245"/>
      <c r="Z1790" s="245"/>
      <c r="AA1790" s="329"/>
      <c r="AC1790" s="245"/>
      <c r="AD1790" s="187"/>
      <c r="AE1790" s="361"/>
      <c r="AF1790" s="245"/>
      <c r="AH1790" s="245"/>
    </row>
    <row r="1791" spans="1:34" ht="26.25">
      <c r="A1791" s="245"/>
      <c r="B1791" s="245"/>
      <c r="C1791" s="245"/>
      <c r="D1791" s="245"/>
      <c r="E1791" s="245"/>
      <c r="F1791" s="279"/>
      <c r="G1791" s="245"/>
      <c r="H1791" s="245"/>
      <c r="I1791" s="245"/>
      <c r="L1791" s="123"/>
      <c r="O1791" s="360"/>
      <c r="Q1791" s="351"/>
      <c r="R1791" s="363"/>
      <c r="S1791" s="325"/>
      <c r="T1791" s="85" ph="1"/>
      <c r="V1791" s="216"/>
      <c r="W1791" s="245"/>
      <c r="X1791" s="187"/>
      <c r="Y1791" s="245"/>
      <c r="Z1791" s="245"/>
      <c r="AA1791" s="329"/>
      <c r="AC1791" s="245"/>
      <c r="AD1791" s="187"/>
      <c r="AE1791" s="361"/>
      <c r="AF1791" s="245"/>
      <c r="AH1791" s="245"/>
    </row>
    <row r="1792" spans="1:34" ht="26.25">
      <c r="A1792" s="245"/>
      <c r="B1792" s="245"/>
      <c r="C1792" s="245"/>
      <c r="D1792" s="245"/>
      <c r="E1792" s="245"/>
      <c r="F1792" s="279"/>
      <c r="G1792" s="245"/>
      <c r="H1792" s="245"/>
      <c r="I1792" s="245"/>
      <c r="L1792" s="123"/>
      <c r="O1792" s="360"/>
      <c r="Q1792" s="351"/>
      <c r="R1792" s="363"/>
      <c r="S1792" s="325"/>
      <c r="T1792" s="85" ph="1"/>
      <c r="V1792" s="216"/>
      <c r="W1792" s="245"/>
      <c r="X1792" s="187"/>
      <c r="Y1792" s="245"/>
      <c r="Z1792" s="245"/>
      <c r="AA1792" s="329"/>
      <c r="AC1792" s="245"/>
      <c r="AD1792" s="187"/>
      <c r="AE1792" s="361"/>
      <c r="AF1792" s="245"/>
      <c r="AH1792" s="245"/>
    </row>
    <row r="1793" spans="1:34" ht="26.25">
      <c r="A1793" s="245"/>
      <c r="B1793" s="245"/>
      <c r="C1793" s="245"/>
      <c r="D1793" s="245"/>
      <c r="E1793" s="245"/>
      <c r="F1793" s="279"/>
      <c r="G1793" s="245"/>
      <c r="H1793" s="245"/>
      <c r="I1793" s="245"/>
      <c r="L1793" s="123"/>
      <c r="O1793" s="360"/>
      <c r="Q1793" s="351"/>
      <c r="R1793" s="363"/>
      <c r="S1793" s="325"/>
      <c r="T1793" s="85" ph="1"/>
      <c r="V1793" s="216"/>
      <c r="W1793" s="245"/>
      <c r="X1793" s="187"/>
      <c r="Y1793" s="245"/>
      <c r="Z1793" s="245"/>
      <c r="AA1793" s="329"/>
      <c r="AC1793" s="245"/>
      <c r="AD1793" s="187"/>
      <c r="AE1793" s="361"/>
      <c r="AF1793" s="245"/>
      <c r="AH1793" s="245"/>
    </row>
    <row r="1794" spans="1:34" ht="26.25">
      <c r="A1794" s="245"/>
      <c r="B1794" s="245"/>
      <c r="C1794" s="245"/>
      <c r="D1794" s="245"/>
      <c r="E1794" s="245"/>
      <c r="F1794" s="279"/>
      <c r="G1794" s="245"/>
      <c r="H1794" s="245"/>
      <c r="I1794" s="245"/>
      <c r="L1794" s="123"/>
      <c r="O1794" s="360"/>
      <c r="Q1794" s="351"/>
      <c r="R1794" s="363"/>
      <c r="S1794" s="325"/>
      <c r="T1794" s="85" ph="1"/>
      <c r="V1794" s="216"/>
      <c r="W1794" s="245"/>
      <c r="X1794" s="187"/>
      <c r="Y1794" s="245"/>
      <c r="Z1794" s="245"/>
      <c r="AA1794" s="329"/>
      <c r="AC1794" s="245"/>
      <c r="AD1794" s="187"/>
      <c r="AE1794" s="361"/>
      <c r="AF1794" s="245"/>
      <c r="AH1794" s="245"/>
    </row>
    <row r="1795" spans="1:34" ht="26.25">
      <c r="A1795" s="245"/>
      <c r="B1795" s="245"/>
      <c r="C1795" s="245"/>
      <c r="D1795" s="245"/>
      <c r="E1795" s="245"/>
      <c r="F1795" s="279"/>
      <c r="G1795" s="245"/>
      <c r="H1795" s="245"/>
      <c r="I1795" s="245"/>
      <c r="L1795" s="123"/>
      <c r="O1795" s="360"/>
      <c r="Q1795" s="351"/>
      <c r="R1795" s="363"/>
      <c r="S1795" s="325"/>
      <c r="T1795" s="85" ph="1"/>
      <c r="V1795" s="216"/>
      <c r="W1795" s="245"/>
      <c r="X1795" s="187"/>
      <c r="Y1795" s="245"/>
      <c r="Z1795" s="245"/>
      <c r="AA1795" s="329"/>
      <c r="AC1795" s="245"/>
      <c r="AD1795" s="187"/>
      <c r="AE1795" s="361"/>
      <c r="AF1795" s="245"/>
      <c r="AH1795" s="245"/>
    </row>
    <row r="1796" spans="1:34" ht="26.25">
      <c r="A1796" s="245"/>
      <c r="B1796" s="245"/>
      <c r="C1796" s="245"/>
      <c r="D1796" s="245"/>
      <c r="E1796" s="245"/>
      <c r="F1796" s="279"/>
      <c r="G1796" s="245"/>
      <c r="H1796" s="245"/>
      <c r="I1796" s="245"/>
      <c r="L1796" s="123"/>
      <c r="O1796" s="360"/>
      <c r="Q1796" s="351"/>
      <c r="R1796" s="363"/>
      <c r="S1796" s="325"/>
      <c r="T1796" s="85" ph="1"/>
      <c r="V1796" s="216"/>
      <c r="W1796" s="245"/>
      <c r="X1796" s="187"/>
      <c r="Y1796" s="245"/>
      <c r="Z1796" s="245"/>
      <c r="AA1796" s="329"/>
      <c r="AC1796" s="245"/>
      <c r="AD1796" s="187"/>
      <c r="AE1796" s="361"/>
      <c r="AF1796" s="245"/>
      <c r="AH1796" s="245"/>
    </row>
    <row r="1797" spans="1:34" ht="26.25">
      <c r="A1797" s="245"/>
      <c r="B1797" s="245"/>
      <c r="C1797" s="245"/>
      <c r="D1797" s="245"/>
      <c r="E1797" s="245"/>
      <c r="F1797" s="279"/>
      <c r="G1797" s="245"/>
      <c r="H1797" s="245"/>
      <c r="I1797" s="245"/>
      <c r="L1797" s="123"/>
      <c r="O1797" s="360"/>
      <c r="Q1797" s="351"/>
      <c r="R1797" s="363"/>
      <c r="S1797" s="325"/>
      <c r="T1797" s="85" ph="1"/>
      <c r="V1797" s="216"/>
      <c r="W1797" s="245"/>
      <c r="X1797" s="187"/>
      <c r="Y1797" s="245"/>
      <c r="Z1797" s="245"/>
      <c r="AA1797" s="329"/>
      <c r="AC1797" s="245"/>
      <c r="AD1797" s="187"/>
      <c r="AE1797" s="361"/>
      <c r="AF1797" s="245"/>
      <c r="AH1797" s="245"/>
    </row>
    <row r="1798" spans="1:34" ht="26.25">
      <c r="A1798" s="245"/>
      <c r="B1798" s="245"/>
      <c r="C1798" s="245"/>
      <c r="D1798" s="245"/>
      <c r="E1798" s="245"/>
      <c r="F1798" s="279"/>
      <c r="G1798" s="245"/>
      <c r="H1798" s="245"/>
      <c r="I1798" s="245"/>
      <c r="L1798" s="123"/>
      <c r="O1798" s="360"/>
      <c r="Q1798" s="351"/>
      <c r="R1798" s="363"/>
      <c r="S1798" s="325"/>
      <c r="T1798" s="85" ph="1"/>
      <c r="V1798" s="216"/>
      <c r="W1798" s="245"/>
      <c r="X1798" s="187"/>
      <c r="Y1798" s="245"/>
      <c r="Z1798" s="245"/>
      <c r="AA1798" s="329"/>
      <c r="AC1798" s="245"/>
      <c r="AD1798" s="187"/>
      <c r="AE1798" s="361"/>
      <c r="AF1798" s="245"/>
      <c r="AH1798" s="245"/>
    </row>
    <row r="1799" spans="1:34" ht="26.25">
      <c r="A1799" s="245"/>
      <c r="B1799" s="245"/>
      <c r="C1799" s="245"/>
      <c r="D1799" s="245"/>
      <c r="E1799" s="245"/>
      <c r="F1799" s="279"/>
      <c r="G1799" s="245"/>
      <c r="H1799" s="245"/>
      <c r="I1799" s="245"/>
      <c r="L1799" s="123"/>
      <c r="O1799" s="360"/>
      <c r="Q1799" s="351"/>
      <c r="R1799" s="363"/>
      <c r="S1799" s="325"/>
      <c r="T1799" s="85" ph="1"/>
      <c r="V1799" s="216"/>
      <c r="W1799" s="245"/>
      <c r="X1799" s="187"/>
      <c r="Y1799" s="245"/>
      <c r="Z1799" s="245"/>
      <c r="AA1799" s="329"/>
      <c r="AC1799" s="245"/>
      <c r="AD1799" s="187"/>
      <c r="AE1799" s="361"/>
      <c r="AF1799" s="245"/>
      <c r="AH1799" s="245"/>
    </row>
    <row r="1800" spans="1:34" ht="26.25">
      <c r="A1800" s="245"/>
      <c r="B1800" s="245"/>
      <c r="C1800" s="245"/>
      <c r="D1800" s="245"/>
      <c r="E1800" s="245"/>
      <c r="F1800" s="279"/>
      <c r="G1800" s="245"/>
      <c r="H1800" s="245"/>
      <c r="I1800" s="245"/>
      <c r="L1800" s="123"/>
      <c r="O1800" s="360"/>
      <c r="Q1800" s="351"/>
      <c r="R1800" s="363"/>
      <c r="S1800" s="325"/>
      <c r="T1800" s="85" ph="1"/>
      <c r="V1800" s="216"/>
      <c r="W1800" s="245"/>
      <c r="X1800" s="187"/>
      <c r="Y1800" s="245"/>
      <c r="Z1800" s="245"/>
      <c r="AA1800" s="329"/>
      <c r="AC1800" s="245"/>
      <c r="AD1800" s="187"/>
      <c r="AE1800" s="361"/>
      <c r="AF1800" s="245"/>
      <c r="AH1800" s="245"/>
    </row>
    <row r="1801" spans="1:34" ht="26.25">
      <c r="A1801" s="245"/>
      <c r="B1801" s="245"/>
      <c r="C1801" s="245"/>
      <c r="D1801" s="245"/>
      <c r="E1801" s="245"/>
      <c r="F1801" s="279"/>
      <c r="G1801" s="245"/>
      <c r="H1801" s="245"/>
      <c r="I1801" s="245"/>
      <c r="L1801" s="123"/>
      <c r="O1801" s="360"/>
      <c r="Q1801" s="351"/>
      <c r="R1801" s="363"/>
      <c r="S1801" s="325"/>
      <c r="T1801" s="85" ph="1"/>
      <c r="V1801" s="216"/>
      <c r="W1801" s="245"/>
      <c r="X1801" s="187"/>
      <c r="Y1801" s="245"/>
      <c r="Z1801" s="245"/>
      <c r="AA1801" s="329"/>
      <c r="AC1801" s="245"/>
      <c r="AD1801" s="187"/>
      <c r="AE1801" s="361"/>
      <c r="AF1801" s="245"/>
      <c r="AH1801" s="245"/>
    </row>
    <row r="1802" spans="1:34" ht="26.25">
      <c r="A1802" s="245"/>
      <c r="B1802" s="245"/>
      <c r="C1802" s="245"/>
      <c r="D1802" s="245"/>
      <c r="E1802" s="245"/>
      <c r="F1802" s="279"/>
      <c r="G1802" s="245"/>
      <c r="H1802" s="245"/>
      <c r="I1802" s="245"/>
      <c r="L1802" s="123"/>
      <c r="O1802" s="360"/>
      <c r="Q1802" s="351"/>
      <c r="R1802" s="363"/>
      <c r="S1802" s="325"/>
      <c r="T1802" s="85" ph="1"/>
      <c r="V1802" s="216"/>
      <c r="W1802" s="245"/>
      <c r="X1802" s="187"/>
      <c r="Y1802" s="245"/>
      <c r="Z1802" s="245"/>
      <c r="AA1802" s="329"/>
      <c r="AC1802" s="245"/>
      <c r="AD1802" s="187"/>
      <c r="AE1802" s="361"/>
      <c r="AF1802" s="245"/>
      <c r="AH1802" s="245"/>
    </row>
    <row r="1803" spans="1:34" ht="26.25">
      <c r="A1803" s="245"/>
      <c r="B1803" s="245"/>
      <c r="C1803" s="245"/>
      <c r="D1803" s="245"/>
      <c r="E1803" s="245"/>
      <c r="F1803" s="279"/>
      <c r="G1803" s="245"/>
      <c r="H1803" s="245"/>
      <c r="I1803" s="245"/>
      <c r="L1803" s="123"/>
      <c r="O1803" s="360"/>
      <c r="Q1803" s="351"/>
      <c r="R1803" s="363"/>
      <c r="S1803" s="325"/>
      <c r="T1803" s="85" ph="1"/>
      <c r="V1803" s="216"/>
      <c r="W1803" s="245"/>
      <c r="X1803" s="187"/>
      <c r="Y1803" s="245"/>
      <c r="Z1803" s="245"/>
      <c r="AA1803" s="329"/>
      <c r="AC1803" s="245"/>
      <c r="AD1803" s="187"/>
      <c r="AE1803" s="361"/>
      <c r="AF1803" s="245"/>
      <c r="AH1803" s="245"/>
    </row>
    <row r="1804" spans="1:34" ht="26.25">
      <c r="A1804" s="245"/>
      <c r="B1804" s="245"/>
      <c r="C1804" s="245"/>
      <c r="D1804" s="245"/>
      <c r="E1804" s="245"/>
      <c r="F1804" s="279"/>
      <c r="G1804" s="245"/>
      <c r="H1804" s="245"/>
      <c r="I1804" s="245"/>
      <c r="L1804" s="123"/>
      <c r="O1804" s="360"/>
      <c r="Q1804" s="351"/>
      <c r="R1804" s="363"/>
      <c r="S1804" s="325"/>
      <c r="T1804" s="85" ph="1"/>
      <c r="V1804" s="216"/>
      <c r="W1804" s="245"/>
      <c r="X1804" s="187"/>
      <c r="Y1804" s="245"/>
      <c r="Z1804" s="245"/>
      <c r="AA1804" s="329"/>
      <c r="AC1804" s="245"/>
      <c r="AD1804" s="187"/>
      <c r="AE1804" s="361"/>
      <c r="AF1804" s="245"/>
      <c r="AH1804" s="245"/>
    </row>
    <row r="1805" spans="1:34" ht="26.25">
      <c r="A1805" s="245"/>
      <c r="B1805" s="245"/>
      <c r="C1805" s="245"/>
      <c r="D1805" s="245"/>
      <c r="E1805" s="245"/>
      <c r="F1805" s="279"/>
      <c r="G1805" s="245"/>
      <c r="H1805" s="245"/>
      <c r="I1805" s="245"/>
      <c r="L1805" s="123"/>
      <c r="O1805" s="360"/>
      <c r="Q1805" s="351"/>
      <c r="R1805" s="363"/>
      <c r="S1805" s="325"/>
      <c r="T1805" s="85" ph="1"/>
      <c r="V1805" s="216"/>
      <c r="W1805" s="245"/>
      <c r="X1805" s="187"/>
      <c r="Y1805" s="245"/>
      <c r="Z1805" s="245"/>
      <c r="AA1805" s="329"/>
      <c r="AC1805" s="245"/>
      <c r="AD1805" s="187"/>
      <c r="AE1805" s="361"/>
      <c r="AF1805" s="245"/>
      <c r="AH1805" s="245"/>
    </row>
    <row r="1806" spans="1:34" ht="26.25">
      <c r="A1806" s="245"/>
      <c r="B1806" s="245"/>
      <c r="C1806" s="245"/>
      <c r="D1806" s="245"/>
      <c r="E1806" s="245"/>
      <c r="F1806" s="279"/>
      <c r="G1806" s="245"/>
      <c r="H1806" s="245"/>
      <c r="I1806" s="245"/>
      <c r="L1806" s="123"/>
      <c r="O1806" s="360"/>
      <c r="Q1806" s="351"/>
      <c r="R1806" s="363"/>
      <c r="S1806" s="325"/>
      <c r="T1806" s="85" ph="1"/>
      <c r="V1806" s="216"/>
      <c r="W1806" s="245"/>
      <c r="X1806" s="187"/>
      <c r="Y1806" s="245"/>
      <c r="Z1806" s="245"/>
      <c r="AA1806" s="329"/>
      <c r="AC1806" s="245"/>
      <c r="AD1806" s="187"/>
      <c r="AE1806" s="361"/>
      <c r="AF1806" s="245"/>
      <c r="AH1806" s="245"/>
    </row>
    <row r="1807" spans="1:34" ht="26.25">
      <c r="A1807" s="245"/>
      <c r="B1807" s="245"/>
      <c r="C1807" s="245"/>
      <c r="D1807" s="245"/>
      <c r="E1807" s="245"/>
      <c r="F1807" s="279"/>
      <c r="G1807" s="245"/>
      <c r="H1807" s="245"/>
      <c r="I1807" s="245"/>
      <c r="L1807" s="123"/>
      <c r="O1807" s="360"/>
      <c r="Q1807" s="351"/>
      <c r="R1807" s="363"/>
      <c r="S1807" s="325"/>
      <c r="T1807" s="85" ph="1"/>
      <c r="V1807" s="216"/>
      <c r="W1807" s="245"/>
      <c r="X1807" s="187"/>
      <c r="Y1807" s="245"/>
      <c r="Z1807" s="245"/>
      <c r="AA1807" s="329"/>
      <c r="AC1807" s="245"/>
      <c r="AD1807" s="187"/>
      <c r="AE1807" s="361"/>
      <c r="AF1807" s="245"/>
      <c r="AH1807" s="245"/>
    </row>
    <row r="1808" spans="1:34" ht="26.25">
      <c r="A1808" s="245"/>
      <c r="B1808" s="245"/>
      <c r="C1808" s="245"/>
      <c r="D1808" s="245"/>
      <c r="E1808" s="245"/>
      <c r="F1808" s="279"/>
      <c r="G1808" s="245"/>
      <c r="H1808" s="245"/>
      <c r="I1808" s="245"/>
      <c r="L1808" s="123"/>
      <c r="O1808" s="360"/>
      <c r="Q1808" s="351"/>
      <c r="R1808" s="363"/>
      <c r="S1808" s="325"/>
      <c r="T1808" s="85" ph="1"/>
      <c r="V1808" s="216"/>
      <c r="W1808" s="245"/>
      <c r="X1808" s="187"/>
      <c r="Y1808" s="245"/>
      <c r="Z1808" s="245"/>
      <c r="AA1808" s="329"/>
      <c r="AC1808" s="245"/>
      <c r="AD1808" s="187"/>
      <c r="AE1808" s="361"/>
      <c r="AF1808" s="245"/>
      <c r="AH1808" s="245"/>
    </row>
    <row r="1809" spans="1:34" ht="26.25">
      <c r="A1809" s="245"/>
      <c r="B1809" s="245"/>
      <c r="C1809" s="245"/>
      <c r="D1809" s="245"/>
      <c r="E1809" s="245"/>
      <c r="F1809" s="279"/>
      <c r="G1809" s="245"/>
      <c r="H1809" s="245"/>
      <c r="I1809" s="245"/>
      <c r="L1809" s="123"/>
      <c r="O1809" s="360"/>
      <c r="Q1809" s="351"/>
      <c r="R1809" s="363"/>
      <c r="S1809" s="325"/>
      <c r="T1809" s="85" ph="1"/>
      <c r="V1809" s="216"/>
      <c r="W1809" s="245"/>
      <c r="X1809" s="187"/>
      <c r="Y1809" s="245"/>
      <c r="Z1809" s="245"/>
      <c r="AA1809" s="329"/>
      <c r="AC1809" s="245"/>
      <c r="AD1809" s="187"/>
      <c r="AE1809" s="361"/>
      <c r="AF1809" s="245"/>
      <c r="AH1809" s="245"/>
    </row>
    <row r="1810" spans="1:34" ht="26.25">
      <c r="A1810" s="245"/>
      <c r="B1810" s="245"/>
      <c r="C1810" s="245"/>
      <c r="D1810" s="245"/>
      <c r="E1810" s="245"/>
      <c r="F1810" s="279"/>
      <c r="G1810" s="245"/>
      <c r="H1810" s="245"/>
      <c r="I1810" s="245"/>
      <c r="L1810" s="123"/>
      <c r="O1810" s="360"/>
      <c r="Q1810" s="351"/>
      <c r="R1810" s="363"/>
      <c r="S1810" s="325"/>
      <c r="T1810" s="85" ph="1"/>
      <c r="V1810" s="216"/>
      <c r="W1810" s="245"/>
      <c r="X1810" s="187"/>
      <c r="Y1810" s="245"/>
      <c r="Z1810" s="245"/>
      <c r="AA1810" s="329"/>
      <c r="AC1810" s="245"/>
      <c r="AD1810" s="187"/>
      <c r="AE1810" s="361"/>
      <c r="AF1810" s="245"/>
      <c r="AH1810" s="245"/>
    </row>
    <row r="1811" spans="1:34" ht="26.25">
      <c r="A1811" s="245"/>
      <c r="B1811" s="245"/>
      <c r="C1811" s="245"/>
      <c r="D1811" s="245"/>
      <c r="E1811" s="245"/>
      <c r="F1811" s="279"/>
      <c r="G1811" s="245"/>
      <c r="H1811" s="245"/>
      <c r="I1811" s="245"/>
      <c r="L1811" s="123"/>
      <c r="O1811" s="360"/>
      <c r="Q1811" s="351"/>
      <c r="R1811" s="363"/>
      <c r="S1811" s="325"/>
      <c r="T1811" s="85" ph="1"/>
      <c r="V1811" s="216"/>
      <c r="W1811" s="245"/>
      <c r="X1811" s="187"/>
      <c r="Y1811" s="245"/>
      <c r="Z1811" s="245"/>
      <c r="AA1811" s="329"/>
      <c r="AC1811" s="245"/>
      <c r="AD1811" s="187"/>
      <c r="AE1811" s="361"/>
      <c r="AF1811" s="245"/>
      <c r="AH1811" s="245"/>
    </row>
    <row r="1812" spans="1:34" ht="26.25">
      <c r="A1812" s="245"/>
      <c r="B1812" s="245"/>
      <c r="C1812" s="245"/>
      <c r="D1812" s="245"/>
      <c r="E1812" s="245"/>
      <c r="F1812" s="279"/>
      <c r="G1812" s="245"/>
      <c r="H1812" s="245"/>
      <c r="I1812" s="245"/>
      <c r="L1812" s="123"/>
      <c r="O1812" s="360"/>
      <c r="Q1812" s="351"/>
      <c r="R1812" s="363"/>
      <c r="S1812" s="325"/>
      <c r="T1812" s="85" ph="1"/>
      <c r="V1812" s="216"/>
      <c r="W1812" s="245"/>
      <c r="X1812" s="187"/>
      <c r="Y1812" s="245"/>
      <c r="Z1812" s="245"/>
      <c r="AA1812" s="329"/>
      <c r="AC1812" s="245"/>
      <c r="AD1812" s="187"/>
      <c r="AE1812" s="361"/>
      <c r="AF1812" s="245"/>
      <c r="AH1812" s="245"/>
    </row>
    <row r="1813" spans="1:34" ht="26.25">
      <c r="A1813" s="245"/>
      <c r="B1813" s="245"/>
      <c r="C1813" s="245"/>
      <c r="D1813" s="245"/>
      <c r="E1813" s="245"/>
      <c r="F1813" s="279"/>
      <c r="G1813" s="245"/>
      <c r="H1813" s="245"/>
      <c r="I1813" s="245"/>
      <c r="L1813" s="123"/>
      <c r="O1813" s="360"/>
      <c r="Q1813" s="351"/>
      <c r="R1813" s="363"/>
      <c r="S1813" s="325"/>
      <c r="T1813" s="85" ph="1"/>
      <c r="V1813" s="216"/>
      <c r="W1813" s="245"/>
      <c r="X1813" s="187"/>
      <c r="Y1813" s="245"/>
      <c r="Z1813" s="245"/>
      <c r="AA1813" s="329"/>
      <c r="AC1813" s="245"/>
      <c r="AD1813" s="187"/>
      <c r="AE1813" s="361"/>
      <c r="AF1813" s="245"/>
      <c r="AH1813" s="245"/>
    </row>
    <row r="1814" spans="1:34" ht="26.25">
      <c r="A1814" s="245"/>
      <c r="B1814" s="245"/>
      <c r="C1814" s="245"/>
      <c r="D1814" s="245"/>
      <c r="E1814" s="245"/>
      <c r="F1814" s="279"/>
      <c r="G1814" s="245"/>
      <c r="H1814" s="245"/>
      <c r="I1814" s="245"/>
      <c r="L1814" s="123"/>
      <c r="O1814" s="360"/>
      <c r="Q1814" s="351"/>
      <c r="R1814" s="363"/>
      <c r="S1814" s="325"/>
      <c r="T1814" s="85" ph="1"/>
      <c r="V1814" s="216"/>
      <c r="W1814" s="245"/>
      <c r="X1814" s="187"/>
      <c r="Y1814" s="245"/>
      <c r="Z1814" s="245"/>
      <c r="AA1814" s="329"/>
      <c r="AC1814" s="245"/>
      <c r="AD1814" s="187"/>
      <c r="AE1814" s="361"/>
      <c r="AF1814" s="245"/>
      <c r="AH1814" s="245"/>
    </row>
    <row r="1815" spans="1:34" ht="26.25">
      <c r="A1815" s="245"/>
      <c r="B1815" s="245"/>
      <c r="C1815" s="245"/>
      <c r="D1815" s="245"/>
      <c r="E1815" s="245"/>
      <c r="F1815" s="279"/>
      <c r="G1815" s="245"/>
      <c r="H1815" s="245"/>
      <c r="I1815" s="245"/>
      <c r="L1815" s="123"/>
      <c r="O1815" s="360"/>
      <c r="Q1815" s="351"/>
      <c r="R1815" s="363"/>
      <c r="S1815" s="325"/>
      <c r="T1815" s="85" ph="1"/>
      <c r="V1815" s="216"/>
      <c r="W1815" s="245"/>
      <c r="X1815" s="187"/>
      <c r="Y1815" s="245"/>
      <c r="Z1815" s="245"/>
      <c r="AA1815" s="329"/>
      <c r="AC1815" s="245"/>
      <c r="AD1815" s="187"/>
      <c r="AE1815" s="361"/>
      <c r="AF1815" s="245"/>
      <c r="AH1815" s="245"/>
    </row>
    <row r="1816" spans="1:34" ht="26.25">
      <c r="A1816" s="245"/>
      <c r="B1816" s="245"/>
      <c r="C1816" s="245"/>
      <c r="D1816" s="245"/>
      <c r="E1816" s="245"/>
      <c r="F1816" s="279"/>
      <c r="G1816" s="245"/>
      <c r="H1816" s="245"/>
      <c r="I1816" s="245"/>
      <c r="L1816" s="123"/>
      <c r="O1816" s="360"/>
      <c r="Q1816" s="351"/>
      <c r="R1816" s="363"/>
      <c r="S1816" s="325"/>
      <c r="T1816" s="85" ph="1"/>
      <c r="V1816" s="216"/>
      <c r="W1816" s="245"/>
      <c r="X1816" s="187"/>
      <c r="Y1816" s="245"/>
      <c r="Z1816" s="245"/>
      <c r="AA1816" s="329"/>
      <c r="AC1816" s="245"/>
      <c r="AD1816" s="187"/>
      <c r="AE1816" s="361"/>
      <c r="AF1816" s="245"/>
      <c r="AH1816" s="245"/>
    </row>
    <row r="1817" spans="1:34" ht="26.25">
      <c r="A1817" s="245"/>
      <c r="B1817" s="245"/>
      <c r="C1817" s="245"/>
      <c r="D1817" s="245"/>
      <c r="E1817" s="245"/>
      <c r="F1817" s="279"/>
      <c r="G1817" s="245"/>
      <c r="H1817" s="245"/>
      <c r="I1817" s="245"/>
      <c r="L1817" s="123"/>
      <c r="O1817" s="360"/>
      <c r="Q1817" s="351"/>
      <c r="R1817" s="363"/>
      <c r="S1817" s="325"/>
      <c r="T1817" s="85" ph="1"/>
      <c r="V1817" s="216"/>
      <c r="W1817" s="245"/>
      <c r="X1817" s="187"/>
      <c r="Y1817" s="245"/>
      <c r="Z1817" s="245"/>
      <c r="AA1817" s="329"/>
      <c r="AC1817" s="245"/>
      <c r="AD1817" s="187"/>
      <c r="AE1817" s="361"/>
      <c r="AF1817" s="245"/>
      <c r="AH1817" s="245"/>
    </row>
    <row r="1818" spans="1:34" ht="26.25">
      <c r="A1818" s="245"/>
      <c r="B1818" s="245"/>
      <c r="C1818" s="245"/>
      <c r="D1818" s="245"/>
      <c r="E1818" s="245"/>
      <c r="F1818" s="279"/>
      <c r="G1818" s="245"/>
      <c r="H1818" s="245"/>
      <c r="I1818" s="245"/>
      <c r="L1818" s="123"/>
      <c r="O1818" s="360"/>
      <c r="Q1818" s="351"/>
      <c r="R1818" s="363"/>
      <c r="S1818" s="325"/>
      <c r="T1818" s="85" ph="1"/>
      <c r="V1818" s="216"/>
      <c r="W1818" s="245"/>
      <c r="X1818" s="187"/>
      <c r="Y1818" s="245"/>
      <c r="Z1818" s="245"/>
      <c r="AA1818" s="329"/>
      <c r="AC1818" s="245"/>
      <c r="AD1818" s="187"/>
      <c r="AE1818" s="361"/>
      <c r="AF1818" s="245"/>
      <c r="AH1818" s="245"/>
    </row>
    <row r="1819" spans="1:34" ht="26.25">
      <c r="A1819" s="245"/>
      <c r="B1819" s="245"/>
      <c r="C1819" s="245"/>
      <c r="D1819" s="245"/>
      <c r="E1819" s="245"/>
      <c r="F1819" s="279"/>
      <c r="G1819" s="245"/>
      <c r="H1819" s="245"/>
      <c r="I1819" s="245"/>
      <c r="L1819" s="123"/>
      <c r="O1819" s="360"/>
      <c r="Q1819" s="351"/>
      <c r="R1819" s="363"/>
      <c r="S1819" s="325"/>
      <c r="T1819" s="85" ph="1"/>
      <c r="V1819" s="216"/>
      <c r="W1819" s="245"/>
      <c r="X1819" s="187"/>
      <c r="Y1819" s="245"/>
      <c r="Z1819" s="245"/>
      <c r="AA1819" s="329"/>
      <c r="AC1819" s="245"/>
      <c r="AD1819" s="187"/>
      <c r="AE1819" s="361"/>
      <c r="AF1819" s="245"/>
      <c r="AH1819" s="245"/>
    </row>
    <row r="1820" spans="1:34" ht="26.25">
      <c r="A1820" s="245"/>
      <c r="B1820" s="245"/>
      <c r="C1820" s="245"/>
      <c r="D1820" s="245"/>
      <c r="E1820" s="245"/>
      <c r="F1820" s="279"/>
      <c r="G1820" s="245"/>
      <c r="H1820" s="245"/>
      <c r="I1820" s="245"/>
      <c r="L1820" s="123"/>
      <c r="O1820" s="360"/>
      <c r="Q1820" s="351"/>
      <c r="R1820" s="363"/>
      <c r="S1820" s="325"/>
      <c r="T1820" s="85" ph="1"/>
      <c r="V1820" s="216"/>
      <c r="W1820" s="245"/>
      <c r="X1820" s="187"/>
      <c r="Y1820" s="245"/>
      <c r="Z1820" s="245"/>
      <c r="AA1820" s="329"/>
      <c r="AC1820" s="245"/>
      <c r="AD1820" s="187"/>
      <c r="AE1820" s="361"/>
      <c r="AF1820" s="245"/>
      <c r="AH1820" s="245"/>
    </row>
    <row r="1821" spans="1:34" ht="26.25">
      <c r="A1821" s="245"/>
      <c r="B1821" s="245"/>
      <c r="C1821" s="245"/>
      <c r="D1821" s="245"/>
      <c r="E1821" s="245"/>
      <c r="F1821" s="279"/>
      <c r="G1821" s="245"/>
      <c r="H1821" s="245"/>
      <c r="I1821" s="245"/>
      <c r="L1821" s="123"/>
      <c r="O1821" s="360"/>
      <c r="Q1821" s="351"/>
      <c r="R1821" s="363"/>
      <c r="S1821" s="325"/>
      <c r="T1821" s="85" ph="1"/>
      <c r="V1821" s="216"/>
      <c r="W1821" s="245"/>
      <c r="X1821" s="187"/>
      <c r="Y1821" s="245"/>
      <c r="Z1821" s="245"/>
      <c r="AA1821" s="329"/>
      <c r="AC1821" s="245"/>
      <c r="AD1821" s="187"/>
      <c r="AE1821" s="361"/>
      <c r="AF1821" s="245"/>
      <c r="AH1821" s="245"/>
    </row>
    <row r="1822" spans="1:34" ht="26.25">
      <c r="A1822" s="245"/>
      <c r="B1822" s="245"/>
      <c r="C1822" s="245"/>
      <c r="D1822" s="245"/>
      <c r="E1822" s="245"/>
      <c r="F1822" s="279"/>
      <c r="G1822" s="245"/>
      <c r="H1822" s="245"/>
      <c r="I1822" s="245"/>
      <c r="L1822" s="123"/>
      <c r="O1822" s="360"/>
      <c r="Q1822" s="351"/>
      <c r="R1822" s="363"/>
      <c r="S1822" s="325"/>
      <c r="T1822" s="85" ph="1"/>
      <c r="V1822" s="216"/>
      <c r="W1822" s="245"/>
      <c r="X1822" s="187"/>
      <c r="Y1822" s="245"/>
      <c r="Z1822" s="245"/>
      <c r="AA1822" s="329"/>
      <c r="AC1822" s="245"/>
      <c r="AD1822" s="187"/>
      <c r="AE1822" s="361"/>
      <c r="AF1822" s="245"/>
      <c r="AH1822" s="245"/>
    </row>
    <row r="1823" spans="1:34" ht="26.25">
      <c r="A1823" s="245"/>
      <c r="B1823" s="245"/>
      <c r="C1823" s="245"/>
      <c r="D1823" s="245"/>
      <c r="E1823" s="245"/>
      <c r="F1823" s="279"/>
      <c r="G1823" s="245"/>
      <c r="H1823" s="245"/>
      <c r="I1823" s="245"/>
      <c r="L1823" s="123"/>
      <c r="O1823" s="360"/>
      <c r="Q1823" s="351"/>
      <c r="R1823" s="363"/>
      <c r="S1823" s="325"/>
      <c r="T1823" s="85" ph="1"/>
      <c r="V1823" s="216"/>
      <c r="W1823" s="245"/>
      <c r="X1823" s="187"/>
      <c r="Y1823" s="245"/>
      <c r="Z1823" s="245"/>
      <c r="AA1823" s="329"/>
      <c r="AC1823" s="245"/>
      <c r="AD1823" s="187"/>
      <c r="AE1823" s="361"/>
      <c r="AF1823" s="245"/>
      <c r="AH1823" s="245"/>
    </row>
    <row r="1824" spans="1:34" ht="26.25">
      <c r="A1824" s="245"/>
      <c r="B1824" s="245"/>
      <c r="C1824" s="245"/>
      <c r="D1824" s="245"/>
      <c r="E1824" s="245"/>
      <c r="F1824" s="279"/>
      <c r="G1824" s="245"/>
      <c r="H1824" s="245"/>
      <c r="I1824" s="245"/>
      <c r="L1824" s="123"/>
      <c r="O1824" s="360"/>
      <c r="Q1824" s="351"/>
      <c r="R1824" s="363"/>
      <c r="S1824" s="325"/>
      <c r="T1824" s="85" ph="1"/>
      <c r="V1824" s="216"/>
      <c r="W1824" s="245"/>
      <c r="X1824" s="187"/>
      <c r="Y1824" s="245"/>
      <c r="Z1824" s="245"/>
      <c r="AA1824" s="329"/>
      <c r="AC1824" s="245"/>
      <c r="AD1824" s="187"/>
      <c r="AE1824" s="361"/>
      <c r="AF1824" s="245"/>
      <c r="AH1824" s="245"/>
    </row>
    <row r="1825" spans="1:34" ht="26.25">
      <c r="A1825" s="245"/>
      <c r="B1825" s="245"/>
      <c r="C1825" s="245"/>
      <c r="D1825" s="245"/>
      <c r="E1825" s="245"/>
      <c r="F1825" s="279"/>
      <c r="G1825" s="245"/>
      <c r="H1825" s="245"/>
      <c r="I1825" s="245"/>
      <c r="L1825" s="123"/>
      <c r="O1825" s="360"/>
      <c r="Q1825" s="351"/>
      <c r="R1825" s="363"/>
      <c r="S1825" s="325"/>
      <c r="T1825" s="85" ph="1"/>
      <c r="V1825" s="216"/>
      <c r="W1825" s="245"/>
      <c r="X1825" s="187"/>
      <c r="Y1825" s="245"/>
      <c r="Z1825" s="245"/>
      <c r="AA1825" s="329"/>
      <c r="AC1825" s="245"/>
      <c r="AD1825" s="187"/>
      <c r="AE1825" s="361"/>
      <c r="AF1825" s="245"/>
      <c r="AH1825" s="245"/>
    </row>
    <row r="1826" spans="1:34" ht="26.25">
      <c r="A1826" s="245"/>
      <c r="B1826" s="245"/>
      <c r="C1826" s="245"/>
      <c r="D1826" s="245"/>
      <c r="E1826" s="245"/>
      <c r="F1826" s="279"/>
      <c r="G1826" s="245"/>
      <c r="H1826" s="245"/>
      <c r="I1826" s="245"/>
      <c r="L1826" s="123"/>
      <c r="O1826" s="360"/>
      <c r="Q1826" s="351"/>
      <c r="R1826" s="363"/>
      <c r="S1826" s="325"/>
      <c r="T1826" s="85" ph="1"/>
      <c r="V1826" s="216"/>
      <c r="W1826" s="245"/>
      <c r="X1826" s="187"/>
      <c r="Y1826" s="245"/>
      <c r="Z1826" s="245"/>
      <c r="AA1826" s="329"/>
      <c r="AC1826" s="245"/>
      <c r="AD1826" s="187"/>
      <c r="AE1826" s="361"/>
      <c r="AF1826" s="245"/>
      <c r="AH1826" s="245"/>
    </row>
    <row r="1827" spans="1:34" ht="26.25">
      <c r="A1827" s="245"/>
      <c r="B1827" s="245"/>
      <c r="C1827" s="245"/>
      <c r="D1827" s="245"/>
      <c r="E1827" s="245"/>
      <c r="F1827" s="279"/>
      <c r="G1827" s="245"/>
      <c r="H1827" s="245"/>
      <c r="I1827" s="245"/>
      <c r="L1827" s="245"/>
      <c r="O1827" s="360"/>
      <c r="Q1827" s="351"/>
      <c r="R1827" s="363"/>
      <c r="S1827" s="325"/>
      <c r="T1827" s="85" ph="1"/>
      <c r="V1827" s="216"/>
      <c r="W1827" s="245"/>
      <c r="X1827" s="187"/>
      <c r="Y1827" s="245"/>
      <c r="Z1827" s="245"/>
      <c r="AA1827" s="329"/>
      <c r="AC1827" s="245"/>
      <c r="AD1827" s="187"/>
      <c r="AE1827" s="361"/>
      <c r="AF1827" s="245"/>
      <c r="AH1827" s="245"/>
    </row>
    <row r="1828" spans="1:34" ht="26.25">
      <c r="A1828" s="245"/>
      <c r="B1828" s="245"/>
      <c r="C1828" s="245"/>
      <c r="D1828" s="245"/>
      <c r="E1828" s="245"/>
      <c r="F1828" s="279"/>
      <c r="G1828" s="245"/>
      <c r="H1828" s="245"/>
      <c r="I1828" s="245"/>
      <c r="L1828" s="123"/>
      <c r="O1828" s="360"/>
      <c r="Q1828" s="351"/>
      <c r="R1828" s="363"/>
      <c r="S1828" s="325"/>
      <c r="T1828" s="85" ph="1"/>
      <c r="V1828" s="216"/>
      <c r="W1828" s="245"/>
      <c r="X1828" s="187"/>
      <c r="Y1828" s="245"/>
      <c r="Z1828" s="245"/>
      <c r="AA1828" s="329"/>
      <c r="AC1828" s="245"/>
      <c r="AD1828" s="187"/>
      <c r="AE1828" s="361"/>
      <c r="AF1828" s="245"/>
      <c r="AH1828" s="245"/>
    </row>
    <row r="1829" spans="1:34" ht="26.25">
      <c r="A1829" s="245"/>
      <c r="B1829" s="245"/>
      <c r="C1829" s="245"/>
      <c r="D1829" s="245"/>
      <c r="E1829" s="245"/>
      <c r="F1829" s="279"/>
      <c r="G1829" s="245"/>
      <c r="H1829" s="245"/>
      <c r="I1829" s="245"/>
      <c r="L1829" s="123"/>
      <c r="O1829" s="360"/>
      <c r="Q1829" s="351"/>
      <c r="R1829" s="363"/>
      <c r="S1829" s="325"/>
      <c r="T1829" s="85" ph="1"/>
      <c r="V1829" s="216"/>
      <c r="W1829" s="245"/>
      <c r="X1829" s="187"/>
      <c r="Y1829" s="245"/>
      <c r="Z1829" s="245"/>
      <c r="AA1829" s="329"/>
      <c r="AC1829" s="245"/>
      <c r="AD1829" s="187"/>
      <c r="AE1829" s="361"/>
      <c r="AF1829" s="245"/>
      <c r="AH1829" s="245"/>
    </row>
    <row r="1830" spans="1:34" ht="26.25">
      <c r="A1830" s="245"/>
      <c r="B1830" s="245"/>
      <c r="C1830" s="245"/>
      <c r="D1830" s="245"/>
      <c r="E1830" s="245"/>
      <c r="F1830" s="279"/>
      <c r="G1830" s="245"/>
      <c r="H1830" s="245"/>
      <c r="I1830" s="245"/>
      <c r="L1830" s="123"/>
      <c r="O1830" s="360"/>
      <c r="Q1830" s="351"/>
      <c r="R1830" s="363"/>
      <c r="S1830" s="325"/>
      <c r="T1830" s="85" ph="1"/>
      <c r="V1830" s="216"/>
      <c r="W1830" s="245"/>
      <c r="X1830" s="187"/>
      <c r="Y1830" s="245"/>
      <c r="Z1830" s="245"/>
      <c r="AA1830" s="329"/>
      <c r="AC1830" s="245"/>
      <c r="AD1830" s="187"/>
      <c r="AE1830" s="361"/>
      <c r="AF1830" s="245"/>
      <c r="AH1830" s="245"/>
    </row>
    <row r="1831" spans="1:34" ht="26.25">
      <c r="A1831" s="245"/>
      <c r="B1831" s="245"/>
      <c r="C1831" s="245"/>
      <c r="D1831" s="245"/>
      <c r="E1831" s="245"/>
      <c r="F1831" s="279"/>
      <c r="G1831" s="245"/>
      <c r="H1831" s="245"/>
      <c r="I1831" s="245"/>
      <c r="L1831" s="123"/>
      <c r="O1831" s="360"/>
      <c r="Q1831" s="351"/>
      <c r="R1831" s="363"/>
      <c r="S1831" s="325"/>
      <c r="T1831" s="85" ph="1"/>
      <c r="V1831" s="216"/>
      <c r="W1831" s="245"/>
      <c r="X1831" s="187"/>
      <c r="Y1831" s="245"/>
      <c r="Z1831" s="245"/>
      <c r="AA1831" s="329"/>
      <c r="AC1831" s="245"/>
      <c r="AD1831" s="187"/>
      <c r="AE1831" s="361"/>
      <c r="AF1831" s="245"/>
      <c r="AH1831" s="245"/>
    </row>
    <row r="1832" spans="1:34" ht="26.25">
      <c r="A1832" s="245"/>
      <c r="B1832" s="245"/>
      <c r="C1832" s="245"/>
      <c r="D1832" s="245"/>
      <c r="E1832" s="245"/>
      <c r="F1832" s="279"/>
      <c r="G1832" s="245"/>
      <c r="H1832" s="245"/>
      <c r="I1832" s="245"/>
      <c r="L1832" s="123"/>
      <c r="O1832" s="360"/>
      <c r="Q1832" s="351"/>
      <c r="R1832" s="363"/>
      <c r="S1832" s="325"/>
      <c r="T1832" s="85" ph="1"/>
      <c r="V1832" s="216"/>
      <c r="W1832" s="245"/>
      <c r="X1832" s="187"/>
      <c r="Y1832" s="245"/>
      <c r="Z1832" s="245"/>
      <c r="AA1832" s="329"/>
      <c r="AC1832" s="245"/>
      <c r="AD1832" s="187"/>
      <c r="AE1832" s="361"/>
      <c r="AF1832" s="245"/>
      <c r="AH1832" s="245"/>
    </row>
    <row r="1833" spans="1:34" ht="26.25">
      <c r="A1833" s="245"/>
      <c r="B1833" s="245"/>
      <c r="C1833" s="245"/>
      <c r="D1833" s="245"/>
      <c r="E1833" s="245"/>
      <c r="F1833" s="279"/>
      <c r="G1833" s="245"/>
      <c r="H1833" s="245"/>
      <c r="I1833" s="245"/>
      <c r="L1833" s="123"/>
      <c r="O1833" s="360"/>
      <c r="Q1833" s="351"/>
      <c r="R1833" s="363"/>
      <c r="S1833" s="325"/>
      <c r="T1833" s="85" ph="1"/>
      <c r="V1833" s="216"/>
      <c r="W1833" s="245"/>
      <c r="X1833" s="187"/>
      <c r="Y1833" s="245"/>
      <c r="Z1833" s="245"/>
      <c r="AA1833" s="329"/>
      <c r="AC1833" s="245"/>
      <c r="AD1833" s="187"/>
      <c r="AE1833" s="361"/>
      <c r="AF1833" s="245"/>
      <c r="AH1833" s="245"/>
    </row>
    <row r="1834" spans="1:34" ht="26.25">
      <c r="A1834" s="245"/>
      <c r="B1834" s="245"/>
      <c r="C1834" s="245"/>
      <c r="D1834" s="245"/>
      <c r="E1834" s="245"/>
      <c r="F1834" s="279"/>
      <c r="G1834" s="245"/>
      <c r="H1834" s="245"/>
      <c r="I1834" s="245"/>
      <c r="L1834" s="123"/>
      <c r="O1834" s="360"/>
      <c r="Q1834" s="351"/>
      <c r="R1834" s="363"/>
      <c r="S1834" s="325"/>
      <c r="T1834" s="85" ph="1"/>
      <c r="V1834" s="216"/>
      <c r="W1834" s="245"/>
      <c r="X1834" s="187"/>
      <c r="Y1834" s="245"/>
      <c r="Z1834" s="245"/>
      <c r="AA1834" s="329"/>
      <c r="AC1834" s="245"/>
      <c r="AD1834" s="187"/>
      <c r="AE1834" s="361"/>
      <c r="AF1834" s="245"/>
      <c r="AH1834" s="245"/>
    </row>
    <row r="1835" spans="1:34" ht="26.25">
      <c r="A1835" s="245"/>
      <c r="B1835" s="245"/>
      <c r="C1835" s="245"/>
      <c r="D1835" s="245"/>
      <c r="E1835" s="245"/>
      <c r="F1835" s="279"/>
      <c r="G1835" s="245"/>
      <c r="H1835" s="245"/>
      <c r="I1835" s="245"/>
      <c r="L1835" s="123"/>
      <c r="O1835" s="360"/>
      <c r="Q1835" s="351"/>
      <c r="R1835" s="363"/>
      <c r="S1835" s="325"/>
      <c r="T1835" s="85" ph="1"/>
      <c r="V1835" s="216"/>
      <c r="W1835" s="245"/>
      <c r="X1835" s="187"/>
      <c r="Y1835" s="245"/>
      <c r="Z1835" s="245"/>
      <c r="AA1835" s="329"/>
      <c r="AC1835" s="245"/>
      <c r="AD1835" s="187"/>
      <c r="AE1835" s="361"/>
      <c r="AF1835" s="245"/>
      <c r="AH1835" s="245"/>
    </row>
    <row r="1836" spans="1:34" ht="26.25">
      <c r="A1836" s="245"/>
      <c r="B1836" s="245"/>
      <c r="C1836" s="245"/>
      <c r="D1836" s="245"/>
      <c r="E1836" s="245"/>
      <c r="F1836" s="279"/>
      <c r="G1836" s="245"/>
      <c r="H1836" s="245"/>
      <c r="I1836" s="245"/>
      <c r="L1836" s="123"/>
      <c r="O1836" s="360"/>
      <c r="Q1836" s="351"/>
      <c r="R1836" s="363"/>
      <c r="S1836" s="325"/>
      <c r="T1836" s="85" ph="1"/>
      <c r="V1836" s="216"/>
      <c r="W1836" s="245"/>
      <c r="X1836" s="187"/>
      <c r="Y1836" s="245"/>
      <c r="Z1836" s="245"/>
      <c r="AA1836" s="329"/>
      <c r="AC1836" s="245"/>
      <c r="AD1836" s="187"/>
      <c r="AE1836" s="361"/>
      <c r="AF1836" s="245"/>
      <c r="AH1836" s="245"/>
    </row>
    <row r="1837" spans="1:34" ht="26.25">
      <c r="A1837" s="245"/>
      <c r="B1837" s="245"/>
      <c r="C1837" s="245"/>
      <c r="D1837" s="245"/>
      <c r="E1837" s="245"/>
      <c r="F1837" s="279"/>
      <c r="G1837" s="245"/>
      <c r="H1837" s="245"/>
      <c r="I1837" s="245"/>
      <c r="L1837" s="123"/>
      <c r="O1837" s="360"/>
      <c r="Q1837" s="351"/>
      <c r="R1837" s="363"/>
      <c r="S1837" s="325"/>
      <c r="T1837" s="85" ph="1"/>
      <c r="V1837" s="216"/>
      <c r="W1837" s="245"/>
      <c r="X1837" s="187"/>
      <c r="Y1837" s="245"/>
      <c r="Z1837" s="245"/>
      <c r="AA1837" s="329"/>
      <c r="AC1837" s="245"/>
      <c r="AD1837" s="187"/>
      <c r="AE1837" s="361"/>
      <c r="AF1837" s="245"/>
      <c r="AH1837" s="245"/>
    </row>
    <row r="1838" spans="1:34" ht="26.25">
      <c r="A1838" s="245"/>
      <c r="B1838" s="245"/>
      <c r="C1838" s="245"/>
      <c r="D1838" s="245"/>
      <c r="E1838" s="245"/>
      <c r="F1838" s="279"/>
      <c r="G1838" s="245"/>
      <c r="H1838" s="245"/>
      <c r="I1838" s="245"/>
      <c r="L1838" s="123"/>
      <c r="O1838" s="360"/>
      <c r="Q1838" s="351"/>
      <c r="R1838" s="363"/>
      <c r="S1838" s="325"/>
      <c r="T1838" s="85" ph="1"/>
      <c r="V1838" s="216"/>
      <c r="W1838" s="245"/>
      <c r="X1838" s="187"/>
      <c r="Y1838" s="245"/>
      <c r="Z1838" s="245"/>
      <c r="AA1838" s="329"/>
      <c r="AC1838" s="245"/>
      <c r="AD1838" s="187"/>
      <c r="AE1838" s="361"/>
      <c r="AF1838" s="245"/>
      <c r="AH1838" s="245"/>
    </row>
    <row r="1839" spans="1:34" ht="26.25">
      <c r="A1839" s="245"/>
      <c r="B1839" s="245"/>
      <c r="C1839" s="245"/>
      <c r="D1839" s="245"/>
      <c r="E1839" s="245"/>
      <c r="F1839" s="279"/>
      <c r="G1839" s="245"/>
      <c r="H1839" s="245"/>
      <c r="I1839" s="245"/>
      <c r="L1839" s="123"/>
      <c r="O1839" s="360"/>
      <c r="Q1839" s="351"/>
      <c r="R1839" s="363"/>
      <c r="S1839" s="325"/>
      <c r="T1839" s="85" ph="1"/>
      <c r="V1839" s="216"/>
      <c r="W1839" s="245"/>
      <c r="X1839" s="187"/>
      <c r="Y1839" s="245"/>
      <c r="Z1839" s="245"/>
      <c r="AA1839" s="329"/>
      <c r="AC1839" s="245"/>
      <c r="AD1839" s="187"/>
      <c r="AE1839" s="361"/>
      <c r="AF1839" s="245"/>
      <c r="AH1839" s="245"/>
    </row>
    <row r="1840" spans="1:34" ht="26.25">
      <c r="A1840" s="245"/>
      <c r="B1840" s="245"/>
      <c r="C1840" s="245"/>
      <c r="D1840" s="245"/>
      <c r="E1840" s="245"/>
      <c r="F1840" s="279"/>
      <c r="G1840" s="245"/>
      <c r="H1840" s="245"/>
      <c r="I1840" s="245"/>
      <c r="L1840" s="123"/>
      <c r="O1840" s="360"/>
      <c r="Q1840" s="351"/>
      <c r="R1840" s="363"/>
      <c r="S1840" s="325"/>
      <c r="T1840" s="85" ph="1"/>
      <c r="V1840" s="216"/>
      <c r="W1840" s="245"/>
      <c r="X1840" s="187"/>
      <c r="Y1840" s="245"/>
      <c r="Z1840" s="245"/>
      <c r="AA1840" s="329"/>
      <c r="AC1840" s="245"/>
      <c r="AD1840" s="187"/>
      <c r="AE1840" s="361"/>
      <c r="AF1840" s="245"/>
      <c r="AH1840" s="245"/>
    </row>
    <row r="1841" spans="1:34" ht="26.25">
      <c r="A1841" s="245"/>
      <c r="B1841" s="245"/>
      <c r="C1841" s="245"/>
      <c r="D1841" s="245"/>
      <c r="E1841" s="245"/>
      <c r="F1841" s="279"/>
      <c r="G1841" s="245"/>
      <c r="H1841" s="245"/>
      <c r="I1841" s="245"/>
      <c r="L1841" s="123"/>
      <c r="O1841" s="360"/>
      <c r="Q1841" s="351"/>
      <c r="R1841" s="363"/>
      <c r="S1841" s="325"/>
      <c r="T1841" s="85" ph="1"/>
      <c r="V1841" s="216"/>
      <c r="W1841" s="245"/>
      <c r="X1841" s="187"/>
      <c r="Y1841" s="245"/>
      <c r="Z1841" s="245"/>
      <c r="AA1841" s="329"/>
      <c r="AC1841" s="245"/>
      <c r="AD1841" s="187"/>
      <c r="AE1841" s="361"/>
      <c r="AF1841" s="245"/>
      <c r="AH1841" s="245"/>
    </row>
    <row r="1842" spans="1:34" ht="26.25">
      <c r="A1842" s="245"/>
      <c r="B1842" s="245"/>
      <c r="C1842" s="245"/>
      <c r="D1842" s="245"/>
      <c r="E1842" s="245"/>
      <c r="F1842" s="279"/>
      <c r="G1842" s="245"/>
      <c r="H1842" s="245"/>
      <c r="I1842" s="245"/>
      <c r="L1842" s="123"/>
      <c r="O1842" s="360"/>
      <c r="Q1842" s="351"/>
      <c r="R1842" s="363"/>
      <c r="S1842" s="325"/>
      <c r="T1842" s="85" ph="1"/>
      <c r="V1842" s="216"/>
      <c r="W1842" s="245"/>
      <c r="X1842" s="187"/>
      <c r="Y1842" s="245"/>
      <c r="Z1842" s="245"/>
      <c r="AA1842" s="329"/>
      <c r="AC1842" s="245"/>
      <c r="AD1842" s="187"/>
      <c r="AE1842" s="361"/>
      <c r="AF1842" s="245"/>
      <c r="AH1842" s="245"/>
    </row>
    <row r="1843" spans="1:34" ht="26.25">
      <c r="A1843" s="245"/>
      <c r="B1843" s="245"/>
      <c r="C1843" s="245"/>
      <c r="D1843" s="245"/>
      <c r="E1843" s="245"/>
      <c r="F1843" s="279"/>
      <c r="G1843" s="245"/>
      <c r="H1843" s="245"/>
      <c r="I1843" s="245"/>
      <c r="L1843" s="123"/>
      <c r="O1843" s="360"/>
      <c r="Q1843" s="351"/>
      <c r="R1843" s="363"/>
      <c r="S1843" s="325"/>
      <c r="T1843" s="85" ph="1"/>
      <c r="V1843" s="216"/>
      <c r="W1843" s="245"/>
      <c r="X1843" s="187"/>
      <c r="Y1843" s="245"/>
      <c r="Z1843" s="245"/>
      <c r="AA1843" s="329"/>
      <c r="AC1843" s="245"/>
      <c r="AD1843" s="187"/>
      <c r="AE1843" s="361"/>
      <c r="AF1843" s="245"/>
      <c r="AH1843" s="245"/>
    </row>
    <row r="1844" spans="1:34" ht="26.25">
      <c r="A1844" s="245"/>
      <c r="B1844" s="245"/>
      <c r="C1844" s="245"/>
      <c r="D1844" s="245"/>
      <c r="E1844" s="245"/>
      <c r="F1844" s="279"/>
      <c r="G1844" s="245"/>
      <c r="H1844" s="245"/>
      <c r="I1844" s="245"/>
      <c r="L1844" s="123"/>
      <c r="O1844" s="360"/>
      <c r="Q1844" s="351"/>
      <c r="R1844" s="363"/>
      <c r="S1844" s="325"/>
      <c r="T1844" s="85" ph="1"/>
      <c r="V1844" s="216"/>
      <c r="W1844" s="245"/>
      <c r="X1844" s="187"/>
      <c r="Y1844" s="245"/>
      <c r="Z1844" s="245"/>
      <c r="AA1844" s="329"/>
      <c r="AC1844" s="245"/>
      <c r="AD1844" s="187"/>
      <c r="AE1844" s="361"/>
      <c r="AF1844" s="245"/>
      <c r="AH1844" s="245"/>
    </row>
    <row r="1845" spans="1:34" ht="26.25">
      <c r="A1845" s="245"/>
      <c r="B1845" s="245"/>
      <c r="C1845" s="245"/>
      <c r="D1845" s="245"/>
      <c r="E1845" s="245"/>
      <c r="F1845" s="279"/>
      <c r="G1845" s="245"/>
      <c r="H1845" s="245"/>
      <c r="I1845" s="245"/>
      <c r="L1845" s="123"/>
      <c r="O1845" s="360"/>
      <c r="Q1845" s="351"/>
      <c r="R1845" s="363"/>
      <c r="S1845" s="325"/>
      <c r="T1845" s="85" ph="1"/>
      <c r="V1845" s="216"/>
      <c r="W1845" s="245"/>
      <c r="X1845" s="187"/>
      <c r="Y1845" s="245"/>
      <c r="Z1845" s="245"/>
      <c r="AA1845" s="329"/>
      <c r="AC1845" s="245"/>
      <c r="AD1845" s="187"/>
      <c r="AE1845" s="361"/>
      <c r="AF1845" s="245"/>
      <c r="AH1845" s="245"/>
    </row>
    <row r="1846" spans="1:34" ht="26.25">
      <c r="A1846" s="245"/>
      <c r="B1846" s="245"/>
      <c r="C1846" s="245"/>
      <c r="D1846" s="245"/>
      <c r="E1846" s="245"/>
      <c r="F1846" s="279"/>
      <c r="G1846" s="245"/>
      <c r="H1846" s="245"/>
      <c r="I1846" s="245"/>
      <c r="L1846" s="123"/>
      <c r="O1846" s="360"/>
      <c r="Q1846" s="351"/>
      <c r="R1846" s="363"/>
      <c r="S1846" s="325"/>
      <c r="T1846" s="85" ph="1"/>
      <c r="V1846" s="216"/>
      <c r="W1846" s="245"/>
      <c r="X1846" s="187"/>
      <c r="Y1846" s="245"/>
      <c r="Z1846" s="245"/>
      <c r="AA1846" s="329"/>
      <c r="AC1846" s="245"/>
      <c r="AD1846" s="187"/>
      <c r="AE1846" s="361"/>
      <c r="AF1846" s="245"/>
      <c r="AH1846" s="245"/>
    </row>
    <row r="1847" spans="1:34" ht="26.25">
      <c r="A1847" s="245"/>
      <c r="B1847" s="245"/>
      <c r="C1847" s="245"/>
      <c r="D1847" s="245"/>
      <c r="E1847" s="245"/>
      <c r="F1847" s="279"/>
      <c r="G1847" s="245"/>
      <c r="H1847" s="245"/>
      <c r="I1847" s="245"/>
      <c r="L1847" s="123"/>
      <c r="O1847" s="360"/>
      <c r="Q1847" s="351"/>
      <c r="R1847" s="363"/>
      <c r="S1847" s="325"/>
      <c r="T1847" s="85" ph="1"/>
      <c r="V1847" s="216"/>
      <c r="W1847" s="245"/>
      <c r="X1847" s="187"/>
      <c r="Y1847" s="245"/>
      <c r="Z1847" s="245"/>
      <c r="AA1847" s="329"/>
      <c r="AC1847" s="245"/>
      <c r="AD1847" s="187"/>
      <c r="AE1847" s="361"/>
      <c r="AF1847" s="245"/>
      <c r="AH1847" s="245"/>
    </row>
    <row r="1848" spans="1:34" ht="26.25">
      <c r="A1848" s="245"/>
      <c r="B1848" s="245"/>
      <c r="C1848" s="245"/>
      <c r="D1848" s="245"/>
      <c r="E1848" s="245"/>
      <c r="F1848" s="279"/>
      <c r="G1848" s="245"/>
      <c r="H1848" s="245"/>
      <c r="I1848" s="245"/>
      <c r="L1848" s="123"/>
      <c r="O1848" s="360"/>
      <c r="Q1848" s="351"/>
      <c r="R1848" s="363"/>
      <c r="S1848" s="325"/>
      <c r="T1848" s="85" ph="1"/>
      <c r="V1848" s="216"/>
      <c r="W1848" s="245"/>
      <c r="X1848" s="187"/>
      <c r="Y1848" s="245"/>
      <c r="Z1848" s="245"/>
      <c r="AA1848" s="329"/>
      <c r="AC1848" s="245"/>
      <c r="AD1848" s="187"/>
      <c r="AE1848" s="361"/>
      <c r="AF1848" s="245"/>
      <c r="AH1848" s="245"/>
    </row>
    <row r="1849" spans="1:34" ht="26.25">
      <c r="A1849" s="245"/>
      <c r="B1849" s="245"/>
      <c r="C1849" s="245"/>
      <c r="D1849" s="245"/>
      <c r="E1849" s="245"/>
      <c r="F1849" s="279"/>
      <c r="G1849" s="245"/>
      <c r="H1849" s="245"/>
      <c r="I1849" s="245"/>
      <c r="L1849" s="123"/>
      <c r="O1849" s="360"/>
      <c r="Q1849" s="351"/>
      <c r="R1849" s="363"/>
      <c r="S1849" s="325"/>
      <c r="T1849" s="85" ph="1"/>
      <c r="V1849" s="216"/>
      <c r="W1849" s="245"/>
      <c r="X1849" s="187"/>
      <c r="Y1849" s="245"/>
      <c r="Z1849" s="245"/>
      <c r="AA1849" s="329"/>
      <c r="AC1849" s="245"/>
      <c r="AD1849" s="187"/>
      <c r="AE1849" s="361"/>
      <c r="AF1849" s="245"/>
      <c r="AH1849" s="245"/>
    </row>
    <row r="1850" spans="1:34" ht="26.25">
      <c r="A1850" s="245"/>
      <c r="B1850" s="245"/>
      <c r="C1850" s="245"/>
      <c r="D1850" s="245"/>
      <c r="E1850" s="245"/>
      <c r="F1850" s="279"/>
      <c r="G1850" s="245"/>
      <c r="H1850" s="245"/>
      <c r="I1850" s="245"/>
      <c r="L1850" s="123"/>
      <c r="O1850" s="360"/>
      <c r="Q1850" s="351"/>
      <c r="R1850" s="363"/>
      <c r="S1850" s="325"/>
      <c r="T1850" s="85" ph="1"/>
      <c r="V1850" s="216"/>
      <c r="W1850" s="245"/>
      <c r="X1850" s="187"/>
      <c r="Y1850" s="245"/>
      <c r="Z1850" s="245"/>
      <c r="AA1850" s="329"/>
      <c r="AC1850" s="245"/>
      <c r="AD1850" s="187"/>
      <c r="AE1850" s="361"/>
      <c r="AF1850" s="245"/>
      <c r="AH1850" s="245"/>
    </row>
    <row r="1851" spans="1:34" ht="26.25">
      <c r="A1851" s="245"/>
      <c r="B1851" s="245"/>
      <c r="C1851" s="245"/>
      <c r="D1851" s="245"/>
      <c r="E1851" s="245"/>
      <c r="F1851" s="279"/>
      <c r="G1851" s="245"/>
      <c r="H1851" s="245"/>
      <c r="I1851" s="245"/>
      <c r="L1851" s="123"/>
      <c r="O1851" s="360"/>
      <c r="Q1851" s="351"/>
      <c r="R1851" s="363"/>
      <c r="S1851" s="325"/>
      <c r="T1851" s="85" ph="1"/>
      <c r="V1851" s="216"/>
      <c r="W1851" s="245"/>
      <c r="X1851" s="187"/>
      <c r="Y1851" s="245"/>
      <c r="Z1851" s="245"/>
      <c r="AA1851" s="329"/>
      <c r="AC1851" s="245"/>
      <c r="AD1851" s="187"/>
      <c r="AE1851" s="361"/>
      <c r="AF1851" s="245"/>
      <c r="AH1851" s="245"/>
    </row>
    <row r="1852" spans="1:34" ht="26.25">
      <c r="A1852" s="245"/>
      <c r="B1852" s="245"/>
      <c r="C1852" s="245"/>
      <c r="D1852" s="245"/>
      <c r="E1852" s="245"/>
      <c r="F1852" s="279"/>
      <c r="G1852" s="245"/>
      <c r="H1852" s="245"/>
      <c r="I1852" s="245"/>
      <c r="L1852" s="123"/>
      <c r="O1852" s="360"/>
      <c r="Q1852" s="351"/>
      <c r="R1852" s="363"/>
      <c r="S1852" s="325"/>
      <c r="T1852" s="85" ph="1"/>
      <c r="V1852" s="216"/>
      <c r="W1852" s="245"/>
      <c r="X1852" s="187"/>
      <c r="Y1852" s="245"/>
      <c r="Z1852" s="245"/>
      <c r="AA1852" s="329"/>
      <c r="AC1852" s="245"/>
      <c r="AD1852" s="187"/>
      <c r="AE1852" s="361"/>
      <c r="AF1852" s="245"/>
      <c r="AH1852" s="245"/>
    </row>
    <row r="1853" spans="1:34" ht="26.25">
      <c r="A1853" s="245"/>
      <c r="B1853" s="245"/>
      <c r="C1853" s="245"/>
      <c r="D1853" s="245"/>
      <c r="E1853" s="245"/>
      <c r="F1853" s="279"/>
      <c r="G1853" s="245"/>
      <c r="H1853" s="245"/>
      <c r="I1853" s="245"/>
      <c r="L1853" s="123"/>
      <c r="O1853" s="360"/>
      <c r="Q1853" s="351"/>
      <c r="R1853" s="363"/>
      <c r="S1853" s="325"/>
      <c r="T1853" s="85" ph="1"/>
      <c r="V1853" s="216"/>
      <c r="W1853" s="245"/>
      <c r="X1853" s="187"/>
      <c r="Y1853" s="245"/>
      <c r="Z1853" s="245"/>
      <c r="AA1853" s="329"/>
      <c r="AC1853" s="245"/>
      <c r="AD1853" s="187"/>
      <c r="AE1853" s="361"/>
      <c r="AF1853" s="245"/>
      <c r="AH1853" s="245"/>
    </row>
    <row r="1854" spans="1:34" ht="26.25">
      <c r="A1854" s="245"/>
      <c r="B1854" s="245"/>
      <c r="C1854" s="245"/>
      <c r="D1854" s="245"/>
      <c r="E1854" s="245"/>
      <c r="F1854" s="279"/>
      <c r="G1854" s="245"/>
      <c r="H1854" s="245"/>
      <c r="I1854" s="245"/>
      <c r="L1854" s="123"/>
      <c r="O1854" s="360"/>
      <c r="Q1854" s="351"/>
      <c r="R1854" s="363"/>
      <c r="S1854" s="325"/>
      <c r="T1854" s="85" ph="1"/>
      <c r="V1854" s="216"/>
      <c r="W1854" s="245"/>
      <c r="X1854" s="187"/>
      <c r="Y1854" s="245"/>
      <c r="Z1854" s="245"/>
      <c r="AA1854" s="329"/>
      <c r="AC1854" s="245"/>
      <c r="AD1854" s="187"/>
      <c r="AE1854" s="361"/>
      <c r="AF1854" s="245"/>
      <c r="AH1854" s="245"/>
    </row>
    <row r="1855" spans="1:34" ht="26.25">
      <c r="A1855" s="245"/>
      <c r="B1855" s="245"/>
      <c r="C1855" s="245"/>
      <c r="D1855" s="245"/>
      <c r="E1855" s="245"/>
      <c r="F1855" s="279"/>
      <c r="G1855" s="245"/>
      <c r="H1855" s="245"/>
      <c r="I1855" s="245"/>
      <c r="L1855" s="123"/>
      <c r="O1855" s="360"/>
      <c r="Q1855" s="351"/>
      <c r="R1855" s="363"/>
      <c r="S1855" s="325"/>
      <c r="T1855" s="85" ph="1"/>
      <c r="V1855" s="216"/>
      <c r="W1855" s="245"/>
      <c r="X1855" s="187"/>
      <c r="Y1855" s="245"/>
      <c r="Z1855" s="245"/>
      <c r="AA1855" s="329"/>
      <c r="AC1855" s="245"/>
      <c r="AD1855" s="187"/>
      <c r="AE1855" s="361"/>
      <c r="AF1855" s="245"/>
      <c r="AH1855" s="245"/>
    </row>
    <row r="1856" spans="1:34" ht="26.25">
      <c r="A1856" s="245"/>
      <c r="B1856" s="245"/>
      <c r="C1856" s="245"/>
      <c r="D1856" s="245"/>
      <c r="E1856" s="245"/>
      <c r="F1856" s="279"/>
      <c r="G1856" s="245"/>
      <c r="H1856" s="245"/>
      <c r="I1856" s="245"/>
      <c r="L1856" s="123"/>
      <c r="O1856" s="360"/>
      <c r="Q1856" s="351"/>
      <c r="R1856" s="363"/>
      <c r="S1856" s="325"/>
      <c r="T1856" s="85" ph="1"/>
      <c r="V1856" s="216"/>
      <c r="W1856" s="245"/>
      <c r="X1856" s="187"/>
      <c r="Y1856" s="245"/>
      <c r="Z1856" s="245"/>
      <c r="AA1856" s="329"/>
      <c r="AC1856" s="245"/>
      <c r="AD1856" s="187"/>
      <c r="AE1856" s="361"/>
      <c r="AF1856" s="245"/>
      <c r="AH1856" s="245"/>
    </row>
    <row r="1857" spans="1:34" ht="26.25">
      <c r="A1857" s="245"/>
      <c r="B1857" s="245"/>
      <c r="C1857" s="245"/>
      <c r="D1857" s="245"/>
      <c r="E1857" s="245"/>
      <c r="F1857" s="279"/>
      <c r="G1857" s="245"/>
      <c r="H1857" s="245"/>
      <c r="I1857" s="245"/>
      <c r="L1857" s="123"/>
      <c r="O1857" s="360"/>
      <c r="Q1857" s="351"/>
      <c r="R1857" s="363"/>
      <c r="S1857" s="325"/>
      <c r="T1857" s="85" ph="1"/>
      <c r="V1857" s="216"/>
      <c r="W1857" s="245"/>
      <c r="X1857" s="187"/>
      <c r="Y1857" s="245"/>
      <c r="Z1857" s="245"/>
      <c r="AA1857" s="329"/>
      <c r="AC1857" s="245"/>
      <c r="AD1857" s="187"/>
      <c r="AE1857" s="361"/>
      <c r="AF1857" s="245"/>
      <c r="AH1857" s="245"/>
    </row>
    <row r="1858" spans="1:34" ht="26.25">
      <c r="A1858" s="245"/>
      <c r="B1858" s="245"/>
      <c r="C1858" s="245"/>
      <c r="D1858" s="245"/>
      <c r="E1858" s="245"/>
      <c r="F1858" s="279"/>
      <c r="G1858" s="245"/>
      <c r="H1858" s="245"/>
      <c r="I1858" s="245"/>
      <c r="L1858" s="123"/>
      <c r="O1858" s="360"/>
      <c r="Q1858" s="351"/>
      <c r="R1858" s="363"/>
      <c r="S1858" s="325"/>
      <c r="T1858" s="85" ph="1"/>
      <c r="V1858" s="216"/>
      <c r="W1858" s="245"/>
      <c r="X1858" s="187"/>
      <c r="Y1858" s="245"/>
      <c r="Z1858" s="245"/>
      <c r="AA1858" s="329"/>
      <c r="AC1858" s="245"/>
      <c r="AD1858" s="187"/>
      <c r="AE1858" s="361"/>
      <c r="AF1858" s="245"/>
      <c r="AH1858" s="245"/>
    </row>
    <row r="1859" spans="1:34" ht="26.25">
      <c r="A1859" s="245"/>
      <c r="B1859" s="245"/>
      <c r="C1859" s="245"/>
      <c r="D1859" s="245"/>
      <c r="E1859" s="245"/>
      <c r="F1859" s="279"/>
      <c r="G1859" s="245"/>
      <c r="H1859" s="245"/>
      <c r="I1859" s="245"/>
      <c r="L1859" s="123"/>
      <c r="O1859" s="360"/>
      <c r="Q1859" s="351"/>
      <c r="R1859" s="363"/>
      <c r="S1859" s="325"/>
      <c r="T1859" s="85" ph="1"/>
      <c r="V1859" s="216"/>
      <c r="W1859" s="245"/>
      <c r="X1859" s="187"/>
      <c r="Y1859" s="245"/>
      <c r="Z1859" s="245"/>
      <c r="AA1859" s="329"/>
      <c r="AC1859" s="245"/>
      <c r="AD1859" s="187"/>
      <c r="AE1859" s="361"/>
      <c r="AF1859" s="245"/>
      <c r="AH1859" s="245"/>
    </row>
    <row r="1860" spans="1:34" ht="26.25">
      <c r="A1860" s="245"/>
      <c r="B1860" s="245"/>
      <c r="C1860" s="245"/>
      <c r="D1860" s="245"/>
      <c r="E1860" s="245"/>
      <c r="F1860" s="279"/>
      <c r="G1860" s="245"/>
      <c r="H1860" s="245"/>
      <c r="I1860" s="245"/>
      <c r="L1860" s="123"/>
      <c r="O1860" s="360"/>
      <c r="Q1860" s="351"/>
      <c r="R1860" s="363"/>
      <c r="S1860" s="325"/>
      <c r="T1860" s="85" ph="1"/>
      <c r="V1860" s="216"/>
      <c r="W1860" s="245"/>
      <c r="X1860" s="187"/>
      <c r="Y1860" s="245"/>
      <c r="Z1860" s="245"/>
      <c r="AA1860" s="329"/>
      <c r="AC1860" s="245"/>
      <c r="AD1860" s="187"/>
      <c r="AE1860" s="361"/>
      <c r="AF1860" s="245"/>
      <c r="AH1860" s="245"/>
    </row>
    <row r="1861" spans="1:34" ht="26.25">
      <c r="A1861" s="245"/>
      <c r="B1861" s="245"/>
      <c r="C1861" s="245"/>
      <c r="D1861" s="245"/>
      <c r="E1861" s="245"/>
      <c r="F1861" s="279"/>
      <c r="G1861" s="245"/>
      <c r="H1861" s="245"/>
      <c r="I1861" s="245"/>
      <c r="L1861" s="123"/>
      <c r="O1861" s="360"/>
      <c r="Q1861" s="351"/>
      <c r="R1861" s="363"/>
      <c r="S1861" s="325"/>
      <c r="T1861" s="85" ph="1"/>
      <c r="V1861" s="216"/>
      <c r="W1861" s="245"/>
      <c r="X1861" s="187"/>
      <c r="Y1861" s="245"/>
      <c r="Z1861" s="245"/>
      <c r="AA1861" s="329"/>
      <c r="AC1861" s="245"/>
      <c r="AD1861" s="187"/>
      <c r="AE1861" s="361"/>
      <c r="AF1861" s="245"/>
      <c r="AH1861" s="245"/>
    </row>
    <row r="1862" spans="1:34" ht="26.25">
      <c r="A1862" s="245"/>
      <c r="B1862" s="245"/>
      <c r="C1862" s="245"/>
      <c r="D1862" s="245"/>
      <c r="E1862" s="245"/>
      <c r="F1862" s="279"/>
      <c r="G1862" s="245"/>
      <c r="H1862" s="245"/>
      <c r="I1862" s="245"/>
      <c r="L1862" s="123"/>
      <c r="O1862" s="360"/>
      <c r="Q1862" s="351"/>
      <c r="R1862" s="363"/>
      <c r="S1862" s="325"/>
      <c r="T1862" s="85" ph="1"/>
      <c r="V1862" s="216"/>
      <c r="W1862" s="245"/>
      <c r="X1862" s="187"/>
      <c r="Y1862" s="245"/>
      <c r="Z1862" s="245"/>
      <c r="AA1862" s="329"/>
      <c r="AC1862" s="245"/>
      <c r="AD1862" s="187"/>
      <c r="AE1862" s="361"/>
      <c r="AF1862" s="245"/>
      <c r="AH1862" s="245"/>
    </row>
    <row r="1863" spans="1:34" ht="26.25">
      <c r="A1863" s="245"/>
      <c r="B1863" s="245"/>
      <c r="C1863" s="245"/>
      <c r="D1863" s="245"/>
      <c r="E1863" s="245"/>
      <c r="F1863" s="279"/>
      <c r="G1863" s="245"/>
      <c r="H1863" s="245"/>
      <c r="I1863" s="245"/>
      <c r="L1863" s="123"/>
      <c r="O1863" s="360"/>
      <c r="Q1863" s="351"/>
      <c r="R1863" s="363"/>
      <c r="S1863" s="325"/>
      <c r="T1863" s="85" ph="1"/>
      <c r="V1863" s="216"/>
      <c r="W1863" s="245"/>
      <c r="X1863" s="187"/>
      <c r="Y1863" s="245"/>
      <c r="Z1863" s="245"/>
      <c r="AA1863" s="329"/>
      <c r="AC1863" s="245"/>
      <c r="AD1863" s="187"/>
      <c r="AE1863" s="361"/>
      <c r="AF1863" s="245"/>
      <c r="AH1863" s="245"/>
    </row>
    <row r="1864" spans="1:34" ht="26.25">
      <c r="A1864" s="245"/>
      <c r="B1864" s="245"/>
      <c r="C1864" s="245"/>
      <c r="D1864" s="245"/>
      <c r="E1864" s="245"/>
      <c r="F1864" s="279"/>
      <c r="G1864" s="245"/>
      <c r="H1864" s="245"/>
      <c r="I1864" s="245"/>
      <c r="L1864" s="123"/>
      <c r="O1864" s="360"/>
      <c r="Q1864" s="351"/>
      <c r="R1864" s="363"/>
      <c r="S1864" s="325"/>
      <c r="T1864" s="85" ph="1"/>
      <c r="V1864" s="216"/>
      <c r="W1864" s="245"/>
      <c r="X1864" s="187"/>
      <c r="Y1864" s="245"/>
      <c r="Z1864" s="245"/>
      <c r="AA1864" s="329"/>
      <c r="AC1864" s="245"/>
      <c r="AD1864" s="187"/>
      <c r="AE1864" s="361"/>
      <c r="AF1864" s="245"/>
      <c r="AH1864" s="245"/>
    </row>
    <row r="1865" spans="1:34" ht="26.25">
      <c r="A1865" s="245"/>
      <c r="B1865" s="245"/>
      <c r="C1865" s="245"/>
      <c r="D1865" s="245"/>
      <c r="E1865" s="245"/>
      <c r="F1865" s="279"/>
      <c r="G1865" s="245"/>
      <c r="H1865" s="245"/>
      <c r="I1865" s="245"/>
      <c r="L1865" s="123"/>
      <c r="O1865" s="360"/>
      <c r="Q1865" s="351"/>
      <c r="R1865" s="363"/>
      <c r="S1865" s="325"/>
      <c r="T1865" s="85" ph="1"/>
      <c r="V1865" s="216"/>
      <c r="W1865" s="245"/>
      <c r="X1865" s="187"/>
      <c r="Y1865" s="245"/>
      <c r="Z1865" s="245"/>
      <c r="AA1865" s="329"/>
      <c r="AC1865" s="245"/>
      <c r="AD1865" s="187"/>
      <c r="AE1865" s="361"/>
      <c r="AF1865" s="245"/>
      <c r="AH1865" s="245"/>
    </row>
    <row r="1866" spans="1:34" ht="26.25">
      <c r="A1866" s="245"/>
      <c r="B1866" s="245"/>
      <c r="C1866" s="245"/>
      <c r="D1866" s="245"/>
      <c r="E1866" s="245"/>
      <c r="F1866" s="279"/>
      <c r="G1866" s="245"/>
      <c r="H1866" s="245"/>
      <c r="I1866" s="245"/>
      <c r="L1866" s="123"/>
      <c r="O1866" s="360"/>
      <c r="Q1866" s="351"/>
      <c r="R1866" s="363"/>
      <c r="S1866" s="325"/>
      <c r="T1866" s="85" ph="1"/>
      <c r="V1866" s="216"/>
      <c r="W1866" s="245"/>
      <c r="X1866" s="187"/>
      <c r="Y1866" s="245"/>
      <c r="Z1866" s="245"/>
      <c r="AA1866" s="329"/>
      <c r="AC1866" s="245"/>
      <c r="AD1866" s="187"/>
      <c r="AE1866" s="361"/>
      <c r="AF1866" s="245"/>
      <c r="AH1866" s="245"/>
    </row>
    <row r="1867" spans="1:34" ht="26.25">
      <c r="A1867" s="245"/>
      <c r="B1867" s="245"/>
      <c r="C1867" s="245"/>
      <c r="D1867" s="245"/>
      <c r="E1867" s="245"/>
      <c r="F1867" s="279"/>
      <c r="G1867" s="245"/>
      <c r="H1867" s="245"/>
      <c r="I1867" s="245"/>
      <c r="L1867" s="123"/>
      <c r="O1867" s="360"/>
      <c r="Q1867" s="351"/>
      <c r="R1867" s="363"/>
      <c r="S1867" s="325"/>
      <c r="T1867" s="85" ph="1"/>
      <c r="V1867" s="216"/>
      <c r="W1867" s="245"/>
      <c r="X1867" s="187"/>
      <c r="Y1867" s="245"/>
      <c r="Z1867" s="245"/>
      <c r="AA1867" s="329"/>
      <c r="AC1867" s="245"/>
      <c r="AD1867" s="187"/>
      <c r="AE1867" s="361"/>
      <c r="AF1867" s="245"/>
      <c r="AH1867" s="245"/>
    </row>
    <row r="1868" spans="1:34" ht="26.25">
      <c r="A1868" s="245"/>
      <c r="B1868" s="245"/>
      <c r="C1868" s="245"/>
      <c r="D1868" s="245"/>
      <c r="E1868" s="245"/>
      <c r="F1868" s="279"/>
      <c r="G1868" s="245"/>
      <c r="H1868" s="245"/>
      <c r="I1868" s="245"/>
      <c r="L1868" s="123"/>
      <c r="O1868" s="360"/>
      <c r="Q1868" s="351"/>
      <c r="R1868" s="363"/>
      <c r="S1868" s="325"/>
      <c r="T1868" s="85" ph="1"/>
      <c r="V1868" s="216"/>
      <c r="W1868" s="245"/>
      <c r="X1868" s="187"/>
      <c r="Y1868" s="245"/>
      <c r="Z1868" s="245"/>
      <c r="AA1868" s="329"/>
      <c r="AC1868" s="245"/>
      <c r="AD1868" s="187"/>
      <c r="AE1868" s="361"/>
      <c r="AF1868" s="245"/>
      <c r="AH1868" s="245"/>
    </row>
    <row r="1869" spans="1:34" ht="26.25">
      <c r="A1869" s="245"/>
      <c r="B1869" s="245"/>
      <c r="C1869" s="245"/>
      <c r="D1869" s="245"/>
      <c r="E1869" s="245"/>
      <c r="F1869" s="279"/>
      <c r="G1869" s="245"/>
      <c r="H1869" s="245"/>
      <c r="I1869" s="245"/>
      <c r="L1869" s="123"/>
      <c r="O1869" s="360"/>
      <c r="Q1869" s="351"/>
      <c r="R1869" s="363"/>
      <c r="S1869" s="325"/>
      <c r="T1869" s="85" ph="1"/>
      <c r="V1869" s="216"/>
      <c r="W1869" s="245"/>
      <c r="X1869" s="187"/>
      <c r="Y1869" s="245"/>
      <c r="Z1869" s="245"/>
      <c r="AA1869" s="329"/>
      <c r="AC1869" s="245"/>
      <c r="AD1869" s="187"/>
      <c r="AE1869" s="361"/>
      <c r="AF1869" s="245"/>
      <c r="AH1869" s="245"/>
    </row>
    <row r="1870" spans="1:34" ht="26.25">
      <c r="A1870" s="245"/>
      <c r="B1870" s="245"/>
      <c r="C1870" s="245"/>
      <c r="D1870" s="245"/>
      <c r="E1870" s="245"/>
      <c r="F1870" s="279"/>
      <c r="G1870" s="245"/>
      <c r="H1870" s="245"/>
      <c r="I1870" s="245"/>
      <c r="L1870" s="245"/>
      <c r="O1870" s="360"/>
      <c r="Q1870" s="351"/>
      <c r="R1870" s="363"/>
      <c r="S1870" s="325"/>
      <c r="T1870" s="85" ph="1"/>
      <c r="V1870" s="216"/>
      <c r="W1870" s="245"/>
      <c r="X1870" s="187"/>
      <c r="Y1870" s="245"/>
      <c r="Z1870" s="245"/>
      <c r="AA1870" s="329"/>
      <c r="AC1870" s="245"/>
      <c r="AD1870" s="187"/>
      <c r="AE1870" s="361"/>
      <c r="AF1870" s="245"/>
      <c r="AH1870" s="245"/>
    </row>
    <row r="1871" spans="1:34" ht="26.25">
      <c r="A1871" s="245"/>
      <c r="B1871" s="245"/>
      <c r="C1871" s="245"/>
      <c r="D1871" s="245"/>
      <c r="E1871" s="245"/>
      <c r="F1871" s="279"/>
      <c r="G1871" s="245"/>
      <c r="H1871" s="245"/>
      <c r="I1871" s="245"/>
      <c r="L1871" s="245"/>
      <c r="O1871" s="360"/>
      <c r="Q1871" s="351"/>
      <c r="R1871" s="363"/>
      <c r="S1871" s="325"/>
      <c r="T1871" s="85" ph="1"/>
      <c r="V1871" s="216"/>
      <c r="W1871" s="245"/>
      <c r="X1871" s="187"/>
      <c r="Y1871" s="245"/>
      <c r="Z1871" s="245"/>
      <c r="AA1871" s="329"/>
      <c r="AC1871" s="245"/>
      <c r="AD1871" s="187"/>
      <c r="AE1871" s="361"/>
      <c r="AF1871" s="245"/>
      <c r="AH1871" s="245"/>
    </row>
    <row r="1872" spans="1:34" ht="26.25">
      <c r="A1872" s="245"/>
      <c r="B1872" s="245"/>
      <c r="C1872" s="245"/>
      <c r="D1872" s="245"/>
      <c r="E1872" s="245"/>
      <c r="F1872" s="279"/>
      <c r="G1872" s="245"/>
      <c r="H1872" s="245"/>
      <c r="I1872" s="245"/>
      <c r="L1872" s="123"/>
      <c r="O1872" s="360"/>
      <c r="Q1872" s="351"/>
      <c r="R1872" s="363"/>
      <c r="S1872" s="325"/>
      <c r="T1872" s="85" ph="1"/>
      <c r="V1872" s="216"/>
      <c r="W1872" s="245"/>
      <c r="X1872" s="187"/>
      <c r="Y1872" s="245"/>
      <c r="Z1872" s="245"/>
      <c r="AA1872" s="329"/>
      <c r="AC1872" s="245"/>
      <c r="AD1872" s="187"/>
      <c r="AE1872" s="361"/>
      <c r="AF1872" s="245"/>
      <c r="AH1872" s="245"/>
    </row>
    <row r="1873" spans="1:34" ht="26.25">
      <c r="A1873" s="245"/>
      <c r="B1873" s="245"/>
      <c r="C1873" s="245"/>
      <c r="D1873" s="245"/>
      <c r="E1873" s="245"/>
      <c r="F1873" s="279"/>
      <c r="G1873" s="245"/>
      <c r="H1873" s="245"/>
      <c r="I1873" s="245"/>
      <c r="L1873" s="123"/>
      <c r="O1873" s="360"/>
      <c r="Q1873" s="351"/>
      <c r="R1873" s="363"/>
      <c r="S1873" s="325"/>
      <c r="T1873" s="85" ph="1"/>
      <c r="V1873" s="216"/>
      <c r="W1873" s="245"/>
      <c r="X1873" s="187"/>
      <c r="Y1873" s="245"/>
      <c r="Z1873" s="245"/>
      <c r="AA1873" s="329"/>
      <c r="AC1873" s="245"/>
      <c r="AD1873" s="187"/>
      <c r="AE1873" s="361"/>
      <c r="AF1873" s="245"/>
      <c r="AH1873" s="245"/>
    </row>
    <row r="1874" spans="1:34" ht="26.25">
      <c r="A1874" s="245"/>
      <c r="B1874" s="245"/>
      <c r="C1874" s="245"/>
      <c r="D1874" s="245"/>
      <c r="E1874" s="245"/>
      <c r="F1874" s="279"/>
      <c r="G1874" s="245"/>
      <c r="H1874" s="245"/>
      <c r="I1874" s="245"/>
      <c r="L1874" s="123"/>
      <c r="O1874" s="360"/>
      <c r="Q1874" s="351"/>
      <c r="R1874" s="363"/>
      <c r="S1874" s="325"/>
      <c r="T1874" s="85" ph="1"/>
      <c r="V1874" s="216"/>
      <c r="W1874" s="245"/>
      <c r="X1874" s="187"/>
      <c r="Y1874" s="245"/>
      <c r="Z1874" s="245"/>
      <c r="AA1874" s="329"/>
      <c r="AC1874" s="245"/>
      <c r="AD1874" s="187"/>
      <c r="AE1874" s="361"/>
      <c r="AF1874" s="245"/>
      <c r="AH1874" s="245"/>
    </row>
    <row r="1875" spans="1:34" ht="26.25">
      <c r="A1875" s="245"/>
      <c r="B1875" s="245"/>
      <c r="C1875" s="245"/>
      <c r="D1875" s="245"/>
      <c r="E1875" s="245"/>
      <c r="F1875" s="279"/>
      <c r="G1875" s="245"/>
      <c r="H1875" s="245"/>
      <c r="I1875" s="245"/>
      <c r="L1875" s="123"/>
      <c r="O1875" s="360"/>
      <c r="Q1875" s="351"/>
      <c r="R1875" s="363"/>
      <c r="S1875" s="325"/>
      <c r="T1875" s="85" ph="1"/>
      <c r="V1875" s="216"/>
      <c r="W1875" s="245"/>
      <c r="X1875" s="187"/>
      <c r="Y1875" s="245"/>
      <c r="Z1875" s="245"/>
      <c r="AA1875" s="329"/>
      <c r="AC1875" s="245"/>
      <c r="AD1875" s="187"/>
      <c r="AE1875" s="361"/>
      <c r="AF1875" s="245"/>
      <c r="AH1875" s="245"/>
    </row>
    <row r="1876" spans="1:34" ht="26.25">
      <c r="A1876" s="245"/>
      <c r="B1876" s="245"/>
      <c r="C1876" s="245"/>
      <c r="D1876" s="245"/>
      <c r="E1876" s="245"/>
      <c r="F1876" s="279"/>
      <c r="G1876" s="245"/>
      <c r="H1876" s="245"/>
      <c r="I1876" s="245"/>
      <c r="L1876" s="123"/>
      <c r="O1876" s="360"/>
      <c r="Q1876" s="351"/>
      <c r="R1876" s="363"/>
      <c r="S1876" s="325"/>
      <c r="T1876" s="85" ph="1"/>
      <c r="V1876" s="216"/>
      <c r="W1876" s="245"/>
      <c r="X1876" s="187"/>
      <c r="Y1876" s="245"/>
      <c r="Z1876" s="245"/>
      <c r="AA1876" s="329"/>
      <c r="AC1876" s="245"/>
      <c r="AD1876" s="187"/>
      <c r="AE1876" s="361"/>
      <c r="AF1876" s="245"/>
      <c r="AH1876" s="245"/>
    </row>
    <row r="1877" spans="1:34" ht="26.25">
      <c r="A1877" s="245"/>
      <c r="B1877" s="245"/>
      <c r="C1877" s="245"/>
      <c r="D1877" s="245"/>
      <c r="E1877" s="245"/>
      <c r="F1877" s="279"/>
      <c r="G1877" s="245"/>
      <c r="H1877" s="245"/>
      <c r="I1877" s="245"/>
      <c r="L1877" s="123"/>
      <c r="O1877" s="360"/>
      <c r="Q1877" s="351"/>
      <c r="R1877" s="363"/>
      <c r="S1877" s="325"/>
      <c r="T1877" s="85" ph="1"/>
      <c r="V1877" s="216"/>
      <c r="W1877" s="245"/>
      <c r="X1877" s="187"/>
      <c r="Y1877" s="245"/>
      <c r="Z1877" s="245"/>
      <c r="AA1877" s="329"/>
      <c r="AC1877" s="245"/>
      <c r="AD1877" s="187"/>
      <c r="AE1877" s="361"/>
      <c r="AF1877" s="245"/>
      <c r="AH1877" s="245"/>
    </row>
    <row r="1878" spans="1:34" ht="26.25">
      <c r="A1878" s="245"/>
      <c r="B1878" s="245"/>
      <c r="C1878" s="245"/>
      <c r="D1878" s="245"/>
      <c r="E1878" s="245"/>
      <c r="F1878" s="279"/>
      <c r="G1878" s="245"/>
      <c r="H1878" s="245"/>
      <c r="I1878" s="245"/>
      <c r="L1878" s="123"/>
      <c r="O1878" s="360"/>
      <c r="Q1878" s="351"/>
      <c r="R1878" s="363"/>
      <c r="S1878" s="325"/>
      <c r="T1878" s="85" ph="1"/>
      <c r="V1878" s="216"/>
      <c r="W1878" s="245"/>
      <c r="X1878" s="187"/>
      <c r="Y1878" s="245"/>
      <c r="Z1878" s="245"/>
      <c r="AA1878" s="329"/>
      <c r="AC1878" s="245"/>
      <c r="AD1878" s="187"/>
      <c r="AE1878" s="361"/>
      <c r="AF1878" s="245"/>
      <c r="AH1878" s="245"/>
    </row>
    <row r="1879" spans="1:34" ht="26.25">
      <c r="A1879" s="245"/>
      <c r="B1879" s="245"/>
      <c r="C1879" s="245"/>
      <c r="D1879" s="245"/>
      <c r="E1879" s="245"/>
      <c r="F1879" s="279"/>
      <c r="G1879" s="245"/>
      <c r="H1879" s="245"/>
      <c r="I1879" s="245"/>
      <c r="L1879" s="123"/>
      <c r="O1879" s="360"/>
      <c r="Q1879" s="351"/>
      <c r="R1879" s="363"/>
      <c r="S1879" s="325"/>
      <c r="T1879" s="85" ph="1"/>
      <c r="V1879" s="216"/>
      <c r="W1879" s="245"/>
      <c r="X1879" s="187"/>
      <c r="Y1879" s="245"/>
      <c r="Z1879" s="245"/>
      <c r="AA1879" s="329"/>
      <c r="AC1879" s="245"/>
      <c r="AD1879" s="187"/>
      <c r="AE1879" s="361"/>
      <c r="AF1879" s="245"/>
      <c r="AH1879" s="245"/>
    </row>
    <row r="1880" spans="1:34" ht="26.25">
      <c r="A1880" s="245"/>
      <c r="B1880" s="245"/>
      <c r="C1880" s="245"/>
      <c r="D1880" s="245"/>
      <c r="E1880" s="245"/>
      <c r="F1880" s="279"/>
      <c r="G1880" s="245"/>
      <c r="H1880" s="245"/>
      <c r="I1880" s="245"/>
      <c r="L1880" s="123"/>
      <c r="O1880" s="360"/>
      <c r="Q1880" s="351"/>
      <c r="R1880" s="363"/>
      <c r="S1880" s="325"/>
      <c r="T1880" s="85" ph="1"/>
      <c r="V1880" s="216"/>
      <c r="W1880" s="245"/>
      <c r="X1880" s="187"/>
      <c r="Y1880" s="245"/>
      <c r="Z1880" s="245"/>
      <c r="AA1880" s="329"/>
      <c r="AC1880" s="245"/>
      <c r="AD1880" s="187"/>
      <c r="AE1880" s="361"/>
      <c r="AF1880" s="245"/>
      <c r="AH1880" s="245"/>
    </row>
    <row r="1881" spans="1:34" ht="26.25">
      <c r="A1881" s="245"/>
      <c r="B1881" s="245"/>
      <c r="C1881" s="245"/>
      <c r="D1881" s="245"/>
      <c r="E1881" s="245"/>
      <c r="F1881" s="279"/>
      <c r="G1881" s="245"/>
      <c r="H1881" s="245"/>
      <c r="I1881" s="245"/>
      <c r="L1881" s="123"/>
      <c r="O1881" s="360"/>
      <c r="Q1881" s="351"/>
      <c r="R1881" s="363"/>
      <c r="S1881" s="325"/>
      <c r="T1881" s="85" ph="1"/>
      <c r="V1881" s="216"/>
      <c r="W1881" s="245"/>
      <c r="X1881" s="187"/>
      <c r="Y1881" s="245"/>
      <c r="Z1881" s="245"/>
      <c r="AA1881" s="329"/>
      <c r="AC1881" s="245"/>
      <c r="AD1881" s="187"/>
      <c r="AE1881" s="361"/>
      <c r="AF1881" s="245"/>
      <c r="AH1881" s="245"/>
    </row>
    <row r="1882" spans="1:34" ht="26.25">
      <c r="A1882" s="245"/>
      <c r="B1882" s="245"/>
      <c r="C1882" s="245"/>
      <c r="D1882" s="245"/>
      <c r="E1882" s="245"/>
      <c r="F1882" s="279"/>
      <c r="G1882" s="245"/>
      <c r="H1882" s="245"/>
      <c r="I1882" s="245"/>
      <c r="L1882" s="123"/>
      <c r="O1882" s="360"/>
      <c r="Q1882" s="351"/>
      <c r="R1882" s="363"/>
      <c r="S1882" s="325"/>
      <c r="T1882" s="85" ph="1"/>
      <c r="V1882" s="216"/>
      <c r="W1882" s="245"/>
      <c r="X1882" s="187"/>
      <c r="Y1882" s="245"/>
      <c r="Z1882" s="245"/>
      <c r="AA1882" s="329"/>
      <c r="AC1882" s="245"/>
      <c r="AD1882" s="187"/>
      <c r="AE1882" s="361"/>
      <c r="AF1882" s="245"/>
      <c r="AH1882" s="245"/>
    </row>
    <row r="1883" spans="1:34" ht="26.25">
      <c r="A1883" s="245"/>
      <c r="B1883" s="245"/>
      <c r="C1883" s="245"/>
      <c r="D1883" s="245"/>
      <c r="E1883" s="245"/>
      <c r="F1883" s="279"/>
      <c r="G1883" s="245"/>
      <c r="H1883" s="245"/>
      <c r="I1883" s="245"/>
      <c r="L1883" s="123"/>
      <c r="O1883" s="360"/>
      <c r="Q1883" s="351"/>
      <c r="R1883" s="363"/>
      <c r="S1883" s="325"/>
      <c r="T1883" s="85" ph="1"/>
      <c r="V1883" s="216"/>
      <c r="W1883" s="245"/>
      <c r="X1883" s="187"/>
      <c r="Y1883" s="245"/>
      <c r="Z1883" s="245"/>
      <c r="AA1883" s="329"/>
      <c r="AC1883" s="245"/>
      <c r="AD1883" s="187"/>
      <c r="AE1883" s="361"/>
      <c r="AF1883" s="245"/>
      <c r="AH1883" s="245"/>
    </row>
    <row r="1884" spans="1:34" ht="26.25">
      <c r="A1884" s="245"/>
      <c r="B1884" s="245"/>
      <c r="C1884" s="245"/>
      <c r="D1884" s="245"/>
      <c r="E1884" s="245"/>
      <c r="F1884" s="279"/>
      <c r="G1884" s="245"/>
      <c r="H1884" s="245"/>
      <c r="I1884" s="245"/>
      <c r="L1884" s="245"/>
      <c r="O1884" s="360"/>
      <c r="Q1884" s="351"/>
      <c r="R1884" s="363"/>
      <c r="S1884" s="325"/>
      <c r="T1884" s="85" ph="1"/>
      <c r="V1884" s="216"/>
      <c r="W1884" s="245"/>
      <c r="X1884" s="187"/>
      <c r="Y1884" s="245"/>
      <c r="Z1884" s="245"/>
      <c r="AA1884" s="329"/>
      <c r="AC1884" s="245"/>
      <c r="AD1884" s="187"/>
      <c r="AE1884" s="361"/>
      <c r="AF1884" s="245"/>
      <c r="AH1884" s="245"/>
    </row>
    <row r="1885" spans="1:34" ht="26.25">
      <c r="A1885" s="245"/>
      <c r="B1885" s="245"/>
      <c r="C1885" s="245"/>
      <c r="D1885" s="245"/>
      <c r="E1885" s="245"/>
      <c r="F1885" s="279"/>
      <c r="G1885" s="245"/>
      <c r="H1885" s="245"/>
      <c r="I1885" s="245"/>
      <c r="L1885" s="123"/>
      <c r="O1885" s="360"/>
      <c r="Q1885" s="351"/>
      <c r="R1885" s="363"/>
      <c r="S1885" s="325"/>
      <c r="T1885" s="85" ph="1"/>
      <c r="V1885" s="216"/>
      <c r="W1885" s="245"/>
      <c r="X1885" s="187"/>
      <c r="Y1885" s="245"/>
      <c r="Z1885" s="245"/>
      <c r="AA1885" s="329"/>
      <c r="AC1885" s="245"/>
      <c r="AD1885" s="187"/>
      <c r="AE1885" s="361"/>
      <c r="AF1885" s="245"/>
      <c r="AH1885" s="245"/>
    </row>
    <row r="1886" spans="1:34" ht="26.25">
      <c r="A1886" s="245"/>
      <c r="B1886" s="245"/>
      <c r="C1886" s="245"/>
      <c r="D1886" s="245"/>
      <c r="E1886" s="245"/>
      <c r="F1886" s="279"/>
      <c r="G1886" s="245"/>
      <c r="H1886" s="245"/>
      <c r="I1886" s="245"/>
      <c r="L1886" s="123"/>
      <c r="O1886" s="360"/>
      <c r="Q1886" s="351"/>
      <c r="R1886" s="363"/>
      <c r="S1886" s="325"/>
      <c r="T1886" s="85" ph="1"/>
      <c r="V1886" s="216"/>
      <c r="W1886" s="245"/>
      <c r="X1886" s="187"/>
      <c r="Y1886" s="245"/>
      <c r="Z1886" s="245"/>
      <c r="AA1886" s="329"/>
      <c r="AC1886" s="245"/>
      <c r="AD1886" s="187"/>
      <c r="AE1886" s="361"/>
      <c r="AF1886" s="245"/>
      <c r="AH1886" s="245"/>
    </row>
    <row r="1887" spans="1:34" ht="26.25">
      <c r="A1887" s="245"/>
      <c r="B1887" s="245"/>
      <c r="C1887" s="245"/>
      <c r="D1887" s="245"/>
      <c r="E1887" s="245"/>
      <c r="F1887" s="279"/>
      <c r="G1887" s="245"/>
      <c r="H1887" s="245"/>
      <c r="I1887" s="245"/>
      <c r="L1887" s="123"/>
      <c r="O1887" s="360"/>
      <c r="Q1887" s="351"/>
      <c r="R1887" s="363"/>
      <c r="S1887" s="325"/>
      <c r="T1887" s="85" ph="1"/>
      <c r="V1887" s="216"/>
      <c r="W1887" s="245"/>
      <c r="X1887" s="187"/>
      <c r="Y1887" s="245"/>
      <c r="Z1887" s="245"/>
      <c r="AA1887" s="329"/>
      <c r="AC1887" s="245"/>
      <c r="AD1887" s="187"/>
      <c r="AE1887" s="361"/>
      <c r="AF1887" s="245"/>
      <c r="AH1887" s="245"/>
    </row>
    <row r="1888" spans="1:34" ht="26.25">
      <c r="A1888" s="245"/>
      <c r="B1888" s="245"/>
      <c r="C1888" s="245"/>
      <c r="D1888" s="245"/>
      <c r="E1888" s="245"/>
      <c r="F1888" s="279"/>
      <c r="G1888" s="245"/>
      <c r="H1888" s="245"/>
      <c r="I1888" s="245"/>
      <c r="L1888" s="123"/>
      <c r="O1888" s="360"/>
      <c r="Q1888" s="351"/>
      <c r="R1888" s="363"/>
      <c r="S1888" s="325"/>
      <c r="T1888" s="85" ph="1"/>
      <c r="V1888" s="216"/>
      <c r="W1888" s="245"/>
      <c r="X1888" s="187"/>
      <c r="Y1888" s="245"/>
      <c r="Z1888" s="245"/>
      <c r="AA1888" s="329"/>
      <c r="AC1888" s="245"/>
      <c r="AD1888" s="187"/>
      <c r="AE1888" s="361"/>
      <c r="AF1888" s="245"/>
      <c r="AH1888" s="245"/>
    </row>
    <row r="1889" spans="1:34" ht="26.25">
      <c r="A1889" s="245"/>
      <c r="B1889" s="245"/>
      <c r="C1889" s="245"/>
      <c r="D1889" s="245"/>
      <c r="E1889" s="245"/>
      <c r="F1889" s="279"/>
      <c r="G1889" s="245"/>
      <c r="H1889" s="245"/>
      <c r="I1889" s="245"/>
      <c r="L1889" s="123"/>
      <c r="O1889" s="360"/>
      <c r="Q1889" s="351"/>
      <c r="R1889" s="363"/>
      <c r="S1889" s="325"/>
      <c r="T1889" s="85" ph="1"/>
      <c r="V1889" s="216"/>
      <c r="W1889" s="245"/>
      <c r="X1889" s="187"/>
      <c r="Y1889" s="245"/>
      <c r="Z1889" s="245"/>
      <c r="AA1889" s="329"/>
      <c r="AC1889" s="245"/>
      <c r="AD1889" s="187"/>
      <c r="AE1889" s="361"/>
      <c r="AF1889" s="245"/>
      <c r="AH1889" s="245"/>
    </row>
    <row r="1890" spans="1:34" ht="26.25">
      <c r="A1890" s="245"/>
      <c r="B1890" s="245"/>
      <c r="C1890" s="245"/>
      <c r="D1890" s="245"/>
      <c r="E1890" s="245"/>
      <c r="F1890" s="279"/>
      <c r="G1890" s="245"/>
      <c r="H1890" s="245"/>
      <c r="I1890" s="245"/>
      <c r="L1890" s="123"/>
      <c r="O1890" s="360"/>
      <c r="Q1890" s="351"/>
      <c r="R1890" s="363"/>
      <c r="S1890" s="325"/>
      <c r="T1890" s="85" ph="1"/>
      <c r="V1890" s="216"/>
      <c r="W1890" s="245"/>
      <c r="X1890" s="187"/>
      <c r="Y1890" s="245"/>
      <c r="Z1890" s="245"/>
      <c r="AA1890" s="329"/>
      <c r="AC1890" s="245"/>
      <c r="AD1890" s="187"/>
      <c r="AE1890" s="361"/>
      <c r="AF1890" s="245"/>
      <c r="AH1890" s="245"/>
    </row>
    <row r="1891" spans="1:34" ht="26.25">
      <c r="A1891" s="245"/>
      <c r="B1891" s="245"/>
      <c r="C1891" s="245"/>
      <c r="D1891" s="245"/>
      <c r="E1891" s="245"/>
      <c r="F1891" s="279"/>
      <c r="G1891" s="245"/>
      <c r="H1891" s="245"/>
      <c r="I1891" s="245"/>
      <c r="L1891" s="51"/>
      <c r="O1891" s="360"/>
      <c r="Q1891" s="351"/>
      <c r="R1891" s="363"/>
      <c r="S1891" s="325"/>
      <c r="T1891" s="85" ph="1"/>
      <c r="V1891" s="216"/>
      <c r="W1891" s="245"/>
      <c r="X1891" s="187"/>
      <c r="Y1891" s="245"/>
      <c r="Z1891" s="245"/>
      <c r="AA1891" s="329"/>
      <c r="AC1891" s="245"/>
      <c r="AD1891" s="187"/>
      <c r="AE1891" s="361"/>
      <c r="AF1891" s="245"/>
      <c r="AH1891" s="245"/>
    </row>
    <row r="1892" spans="1:34" ht="26.25">
      <c r="A1892" s="245"/>
      <c r="B1892" s="245"/>
      <c r="C1892" s="245"/>
      <c r="D1892" s="245"/>
      <c r="E1892" s="245"/>
      <c r="F1892" s="279"/>
      <c r="G1892" s="245"/>
      <c r="H1892" s="245"/>
      <c r="I1892" s="245"/>
      <c r="L1892" s="123"/>
      <c r="O1892" s="360"/>
      <c r="Q1892" s="351"/>
      <c r="R1892" s="363"/>
      <c r="S1892" s="325"/>
      <c r="T1892" s="85" ph="1"/>
      <c r="V1892" s="216"/>
      <c r="W1892" s="245"/>
      <c r="X1892" s="187"/>
      <c r="Y1892" s="245"/>
      <c r="Z1892" s="245"/>
      <c r="AA1892" s="329"/>
      <c r="AC1892" s="245"/>
      <c r="AD1892" s="187"/>
      <c r="AE1892" s="361"/>
      <c r="AF1892" s="245"/>
      <c r="AH1892" s="245"/>
    </row>
    <row r="1893" spans="1:34" ht="26.25">
      <c r="A1893" s="245"/>
      <c r="B1893" s="245"/>
      <c r="C1893" s="245"/>
      <c r="D1893" s="245"/>
      <c r="E1893" s="245"/>
      <c r="F1893" s="279"/>
      <c r="G1893" s="245"/>
      <c r="H1893" s="245"/>
      <c r="I1893" s="245"/>
      <c r="L1893" s="123"/>
      <c r="O1893" s="360"/>
      <c r="Q1893" s="351"/>
      <c r="R1893" s="363"/>
      <c r="S1893" s="325"/>
      <c r="T1893" s="85" ph="1"/>
      <c r="V1893" s="216"/>
      <c r="W1893" s="245"/>
      <c r="X1893" s="187"/>
      <c r="Y1893" s="245"/>
      <c r="Z1893" s="245"/>
      <c r="AA1893" s="329"/>
      <c r="AC1893" s="245"/>
      <c r="AD1893" s="187"/>
      <c r="AE1893" s="361"/>
      <c r="AF1893" s="245"/>
      <c r="AH1893" s="245"/>
    </row>
    <row r="1894" spans="1:34" ht="26.25">
      <c r="A1894" s="245"/>
      <c r="B1894" s="245"/>
      <c r="C1894" s="245"/>
      <c r="D1894" s="245"/>
      <c r="E1894" s="245"/>
      <c r="F1894" s="279"/>
      <c r="G1894" s="245"/>
      <c r="H1894" s="245"/>
      <c r="I1894" s="245"/>
      <c r="L1894" s="123"/>
      <c r="O1894" s="360"/>
      <c r="Q1894" s="351"/>
      <c r="R1894" s="363"/>
      <c r="S1894" s="325"/>
      <c r="T1894" s="85" ph="1"/>
      <c r="V1894" s="216"/>
      <c r="W1894" s="245"/>
      <c r="X1894" s="187"/>
      <c r="Y1894" s="245"/>
      <c r="Z1894" s="245"/>
      <c r="AA1894" s="329"/>
      <c r="AC1894" s="245"/>
      <c r="AD1894" s="187"/>
      <c r="AE1894" s="361"/>
      <c r="AF1894" s="245"/>
      <c r="AH1894" s="245"/>
    </row>
    <row r="1895" spans="1:34" ht="26.25">
      <c r="A1895" s="245"/>
      <c r="B1895" s="245"/>
      <c r="C1895" s="245"/>
      <c r="D1895" s="245"/>
      <c r="E1895" s="245"/>
      <c r="F1895" s="279"/>
      <c r="G1895" s="245"/>
      <c r="H1895" s="245"/>
      <c r="I1895" s="245"/>
      <c r="L1895" s="123"/>
      <c r="O1895" s="360"/>
      <c r="Q1895" s="351"/>
      <c r="R1895" s="363"/>
      <c r="S1895" s="325"/>
      <c r="T1895" s="85" ph="1"/>
      <c r="V1895" s="216"/>
      <c r="W1895" s="245"/>
      <c r="X1895" s="187"/>
      <c r="Y1895" s="245"/>
      <c r="Z1895" s="245"/>
      <c r="AA1895" s="329"/>
      <c r="AC1895" s="245"/>
      <c r="AD1895" s="187"/>
      <c r="AE1895" s="361"/>
      <c r="AF1895" s="245"/>
      <c r="AH1895" s="245"/>
    </row>
    <row r="1896" spans="1:34" ht="26.25">
      <c r="A1896" s="245"/>
      <c r="B1896" s="245"/>
      <c r="C1896" s="245"/>
      <c r="D1896" s="245"/>
      <c r="E1896" s="245"/>
      <c r="F1896" s="279"/>
      <c r="G1896" s="245"/>
      <c r="H1896" s="245"/>
      <c r="I1896" s="245"/>
      <c r="L1896" s="123"/>
      <c r="O1896" s="360"/>
      <c r="Q1896" s="351"/>
      <c r="R1896" s="363"/>
      <c r="S1896" s="325"/>
      <c r="T1896" s="85" ph="1"/>
      <c r="V1896" s="216"/>
      <c r="W1896" s="245"/>
      <c r="X1896" s="187"/>
      <c r="Y1896" s="245"/>
      <c r="Z1896" s="245"/>
      <c r="AA1896" s="329"/>
      <c r="AC1896" s="245"/>
      <c r="AD1896" s="187"/>
      <c r="AE1896" s="361"/>
      <c r="AF1896" s="245"/>
      <c r="AH1896" s="245"/>
    </row>
    <row r="1897" spans="1:34" ht="26.25">
      <c r="A1897" s="245"/>
      <c r="B1897" s="245"/>
      <c r="C1897" s="245"/>
      <c r="D1897" s="245"/>
      <c r="E1897" s="245"/>
      <c r="F1897" s="279"/>
      <c r="G1897" s="245"/>
      <c r="H1897" s="245"/>
      <c r="I1897" s="245"/>
      <c r="L1897" s="123"/>
      <c r="O1897" s="360"/>
      <c r="Q1897" s="351"/>
      <c r="R1897" s="363"/>
      <c r="S1897" s="325"/>
      <c r="T1897" s="85" ph="1"/>
      <c r="V1897" s="216"/>
      <c r="W1897" s="245"/>
      <c r="X1897" s="187"/>
      <c r="Y1897" s="245"/>
      <c r="Z1897" s="245"/>
      <c r="AA1897" s="329"/>
      <c r="AC1897" s="245"/>
      <c r="AD1897" s="187"/>
      <c r="AE1897" s="361"/>
      <c r="AF1897" s="245"/>
      <c r="AH1897" s="245"/>
    </row>
    <row r="1898" spans="1:34" ht="26.25">
      <c r="A1898" s="245"/>
      <c r="B1898" s="245"/>
      <c r="C1898" s="245"/>
      <c r="D1898" s="245"/>
      <c r="E1898" s="245"/>
      <c r="F1898" s="279"/>
      <c r="G1898" s="245"/>
      <c r="H1898" s="245"/>
      <c r="I1898" s="245"/>
      <c r="L1898" s="123"/>
      <c r="O1898" s="360"/>
      <c r="Q1898" s="351"/>
      <c r="R1898" s="363"/>
      <c r="S1898" s="325"/>
      <c r="T1898" s="85" ph="1"/>
      <c r="V1898" s="216"/>
      <c r="W1898" s="245"/>
      <c r="X1898" s="187"/>
      <c r="Y1898" s="245"/>
      <c r="Z1898" s="245"/>
      <c r="AA1898" s="329"/>
      <c r="AC1898" s="245"/>
      <c r="AD1898" s="187"/>
      <c r="AE1898" s="361"/>
      <c r="AF1898" s="245"/>
      <c r="AH1898" s="245"/>
    </row>
    <row r="1899" spans="1:34" ht="26.25">
      <c r="A1899" s="245"/>
      <c r="B1899" s="245"/>
      <c r="C1899" s="245"/>
      <c r="D1899" s="245"/>
      <c r="E1899" s="245"/>
      <c r="F1899" s="279"/>
      <c r="G1899" s="245"/>
      <c r="H1899" s="245"/>
      <c r="I1899" s="245"/>
      <c r="L1899" s="123"/>
      <c r="O1899" s="360"/>
      <c r="Q1899" s="351"/>
      <c r="R1899" s="363"/>
      <c r="S1899" s="325"/>
      <c r="T1899" s="85" ph="1"/>
      <c r="V1899" s="216"/>
      <c r="W1899" s="245"/>
      <c r="X1899" s="187"/>
      <c r="Y1899" s="245"/>
      <c r="Z1899" s="245"/>
      <c r="AA1899" s="329"/>
      <c r="AC1899" s="245"/>
      <c r="AD1899" s="187"/>
      <c r="AE1899" s="361"/>
      <c r="AF1899" s="245"/>
      <c r="AH1899" s="245"/>
    </row>
    <row r="1900" spans="1:34" ht="26.25">
      <c r="A1900" s="245"/>
      <c r="B1900" s="245"/>
      <c r="C1900" s="245"/>
      <c r="D1900" s="245"/>
      <c r="E1900" s="245"/>
      <c r="F1900" s="279"/>
      <c r="G1900" s="245"/>
      <c r="H1900" s="245"/>
      <c r="I1900" s="245"/>
      <c r="L1900" s="123"/>
      <c r="O1900" s="360"/>
      <c r="Q1900" s="351"/>
      <c r="R1900" s="363"/>
      <c r="S1900" s="325"/>
      <c r="T1900" s="85" ph="1"/>
      <c r="V1900" s="216"/>
      <c r="W1900" s="245"/>
      <c r="X1900" s="187"/>
      <c r="Y1900" s="245"/>
      <c r="Z1900" s="245"/>
      <c r="AA1900" s="329"/>
      <c r="AC1900" s="245"/>
      <c r="AD1900" s="187"/>
      <c r="AE1900" s="361"/>
      <c r="AF1900" s="245"/>
      <c r="AH1900" s="245"/>
    </row>
    <row r="1901" spans="1:34" ht="26.25">
      <c r="A1901" s="245"/>
      <c r="B1901" s="245"/>
      <c r="C1901" s="245"/>
      <c r="D1901" s="245"/>
      <c r="E1901" s="245"/>
      <c r="F1901" s="279"/>
      <c r="G1901" s="245"/>
      <c r="H1901" s="245"/>
      <c r="I1901" s="245"/>
      <c r="L1901" s="123"/>
      <c r="O1901" s="360"/>
      <c r="Q1901" s="351"/>
      <c r="R1901" s="363"/>
      <c r="S1901" s="325"/>
      <c r="T1901" s="85" ph="1"/>
      <c r="V1901" s="216"/>
      <c r="W1901" s="245"/>
      <c r="X1901" s="187"/>
      <c r="Y1901" s="245"/>
      <c r="Z1901" s="245"/>
      <c r="AA1901" s="329"/>
      <c r="AC1901" s="245"/>
      <c r="AD1901" s="187"/>
      <c r="AE1901" s="361"/>
      <c r="AF1901" s="245"/>
      <c r="AH1901" s="245"/>
    </row>
    <row r="1902" spans="1:34" ht="26.25">
      <c r="A1902" s="245"/>
      <c r="B1902" s="245"/>
      <c r="C1902" s="245"/>
      <c r="D1902" s="245"/>
      <c r="E1902" s="245"/>
      <c r="F1902" s="279"/>
      <c r="G1902" s="245"/>
      <c r="H1902" s="245"/>
      <c r="I1902" s="245"/>
      <c r="L1902" s="123"/>
      <c r="O1902" s="360"/>
      <c r="Q1902" s="351"/>
      <c r="R1902" s="363"/>
      <c r="S1902" s="325"/>
      <c r="T1902" s="85" ph="1"/>
      <c r="V1902" s="216"/>
      <c r="W1902" s="245"/>
      <c r="X1902" s="187"/>
      <c r="Y1902" s="245"/>
      <c r="Z1902" s="245"/>
      <c r="AA1902" s="329"/>
      <c r="AC1902" s="245"/>
      <c r="AD1902" s="187"/>
      <c r="AE1902" s="361"/>
      <c r="AF1902" s="245"/>
      <c r="AH1902" s="245"/>
    </row>
    <row r="1903" spans="1:34" ht="26.25">
      <c r="A1903" s="245"/>
      <c r="B1903" s="245"/>
      <c r="C1903" s="245"/>
      <c r="D1903" s="245"/>
      <c r="E1903" s="245"/>
      <c r="F1903" s="279"/>
      <c r="G1903" s="245"/>
      <c r="H1903" s="245"/>
      <c r="I1903" s="245"/>
      <c r="L1903" s="123"/>
      <c r="O1903" s="360"/>
      <c r="Q1903" s="351"/>
      <c r="R1903" s="363"/>
      <c r="S1903" s="325"/>
      <c r="T1903" s="85" ph="1"/>
      <c r="V1903" s="216"/>
      <c r="W1903" s="245"/>
      <c r="X1903" s="187"/>
      <c r="Y1903" s="245"/>
      <c r="Z1903" s="245"/>
      <c r="AA1903" s="329"/>
      <c r="AC1903" s="245"/>
      <c r="AD1903" s="187"/>
      <c r="AE1903" s="361"/>
      <c r="AF1903" s="245"/>
      <c r="AH1903" s="245"/>
    </row>
    <row r="1904" spans="1:34" ht="26.25">
      <c r="A1904" s="245"/>
      <c r="B1904" s="245"/>
      <c r="C1904" s="245"/>
      <c r="D1904" s="245"/>
      <c r="E1904" s="245"/>
      <c r="F1904" s="279"/>
      <c r="G1904" s="245"/>
      <c r="H1904" s="245"/>
      <c r="I1904" s="245"/>
      <c r="L1904" s="123"/>
      <c r="O1904" s="360"/>
      <c r="Q1904" s="351"/>
      <c r="R1904" s="363"/>
      <c r="S1904" s="325"/>
      <c r="T1904" s="85" ph="1"/>
      <c r="V1904" s="216"/>
      <c r="W1904" s="245"/>
      <c r="X1904" s="187"/>
      <c r="Y1904" s="245"/>
      <c r="Z1904" s="245"/>
      <c r="AA1904" s="329"/>
      <c r="AC1904" s="245"/>
      <c r="AD1904" s="187"/>
      <c r="AE1904" s="361"/>
      <c r="AF1904" s="245"/>
      <c r="AH1904" s="245"/>
    </row>
    <row r="1905" spans="1:34" ht="26.25">
      <c r="A1905" s="245"/>
      <c r="B1905" s="245"/>
      <c r="C1905" s="245"/>
      <c r="D1905" s="245"/>
      <c r="E1905" s="245"/>
      <c r="F1905" s="279"/>
      <c r="G1905" s="245"/>
      <c r="H1905" s="245"/>
      <c r="I1905" s="245"/>
      <c r="L1905" s="123"/>
      <c r="O1905" s="360"/>
      <c r="Q1905" s="351"/>
      <c r="R1905" s="363"/>
      <c r="S1905" s="325"/>
      <c r="T1905" s="85" ph="1"/>
      <c r="V1905" s="216"/>
      <c r="W1905" s="245"/>
      <c r="X1905" s="187"/>
      <c r="Y1905" s="245"/>
      <c r="Z1905" s="245"/>
      <c r="AA1905" s="329"/>
      <c r="AC1905" s="245"/>
      <c r="AD1905" s="187"/>
      <c r="AE1905" s="361"/>
      <c r="AF1905" s="245"/>
      <c r="AH1905" s="245"/>
    </row>
    <row r="1906" spans="1:34" ht="26.25">
      <c r="A1906" s="245"/>
      <c r="B1906" s="245"/>
      <c r="C1906" s="245"/>
      <c r="D1906" s="245"/>
      <c r="E1906" s="245"/>
      <c r="F1906" s="279"/>
      <c r="G1906" s="245"/>
      <c r="H1906" s="245"/>
      <c r="I1906" s="245"/>
      <c r="L1906" s="123"/>
      <c r="O1906" s="360"/>
      <c r="Q1906" s="351"/>
      <c r="R1906" s="363"/>
      <c r="S1906" s="325"/>
      <c r="T1906" s="85" ph="1"/>
      <c r="V1906" s="216"/>
      <c r="W1906" s="245"/>
      <c r="X1906" s="187"/>
      <c r="Y1906" s="245"/>
      <c r="Z1906" s="245"/>
      <c r="AA1906" s="329"/>
      <c r="AC1906" s="245"/>
      <c r="AD1906" s="187"/>
      <c r="AE1906" s="361"/>
      <c r="AF1906" s="245"/>
      <c r="AH1906" s="245"/>
    </row>
    <row r="1907" spans="1:34" ht="26.25">
      <c r="A1907" s="245"/>
      <c r="B1907" s="245"/>
      <c r="C1907" s="245"/>
      <c r="D1907" s="245"/>
      <c r="E1907" s="245"/>
      <c r="F1907" s="279"/>
      <c r="G1907" s="245"/>
      <c r="H1907" s="245"/>
      <c r="I1907" s="245"/>
      <c r="L1907" s="123"/>
      <c r="O1907" s="360"/>
      <c r="Q1907" s="351"/>
      <c r="R1907" s="363"/>
      <c r="S1907" s="325"/>
      <c r="T1907" s="85" ph="1"/>
      <c r="V1907" s="216"/>
      <c r="W1907" s="245"/>
      <c r="X1907" s="187"/>
      <c r="Y1907" s="245"/>
      <c r="Z1907" s="245"/>
      <c r="AA1907" s="329"/>
      <c r="AC1907" s="245"/>
      <c r="AD1907" s="187"/>
      <c r="AE1907" s="361"/>
      <c r="AF1907" s="245"/>
      <c r="AH1907" s="245"/>
    </row>
    <row r="1908" spans="1:34" ht="26.25">
      <c r="A1908" s="245"/>
      <c r="B1908" s="245"/>
      <c r="C1908" s="245"/>
      <c r="D1908" s="245"/>
      <c r="E1908" s="245"/>
      <c r="F1908" s="279"/>
      <c r="G1908" s="245"/>
      <c r="H1908" s="245"/>
      <c r="I1908" s="245"/>
      <c r="L1908" s="123"/>
      <c r="O1908" s="360"/>
      <c r="Q1908" s="351"/>
      <c r="R1908" s="363"/>
      <c r="S1908" s="325"/>
      <c r="T1908" s="85" ph="1"/>
      <c r="V1908" s="216"/>
      <c r="W1908" s="245"/>
      <c r="X1908" s="187"/>
      <c r="Y1908" s="245"/>
      <c r="Z1908" s="245"/>
      <c r="AA1908" s="329"/>
      <c r="AC1908" s="245"/>
      <c r="AD1908" s="187"/>
      <c r="AE1908" s="361"/>
      <c r="AF1908" s="245"/>
      <c r="AH1908" s="245"/>
    </row>
    <row r="1909" spans="1:34" ht="26.25">
      <c r="A1909" s="245"/>
      <c r="B1909" s="245"/>
      <c r="C1909" s="245"/>
      <c r="D1909" s="245"/>
      <c r="E1909" s="245"/>
      <c r="F1909" s="279"/>
      <c r="G1909" s="245"/>
      <c r="H1909" s="245"/>
      <c r="I1909" s="245"/>
      <c r="L1909" s="123"/>
      <c r="O1909" s="360"/>
      <c r="Q1909" s="351"/>
      <c r="R1909" s="363"/>
      <c r="S1909" s="325"/>
      <c r="T1909" s="85" ph="1"/>
      <c r="V1909" s="216"/>
      <c r="W1909" s="245"/>
      <c r="X1909" s="187"/>
      <c r="Y1909" s="245"/>
      <c r="Z1909" s="245"/>
      <c r="AA1909" s="329"/>
      <c r="AC1909" s="245"/>
      <c r="AD1909" s="187"/>
      <c r="AE1909" s="361"/>
      <c r="AF1909" s="245"/>
      <c r="AH1909" s="245"/>
    </row>
    <row r="1910" spans="1:34" ht="26.25">
      <c r="A1910" s="245"/>
      <c r="B1910" s="245"/>
      <c r="C1910" s="245"/>
      <c r="D1910" s="245"/>
      <c r="E1910" s="245"/>
      <c r="F1910" s="279"/>
      <c r="G1910" s="245"/>
      <c r="H1910" s="245"/>
      <c r="I1910" s="245"/>
      <c r="L1910" s="123"/>
      <c r="O1910" s="360"/>
      <c r="Q1910" s="351"/>
      <c r="R1910" s="363"/>
      <c r="S1910" s="325"/>
      <c r="T1910" s="85" ph="1"/>
      <c r="V1910" s="216"/>
      <c r="W1910" s="245"/>
      <c r="X1910" s="187"/>
      <c r="Y1910" s="245"/>
      <c r="Z1910" s="245"/>
      <c r="AA1910" s="329"/>
      <c r="AC1910" s="245"/>
      <c r="AD1910" s="187"/>
      <c r="AE1910" s="361"/>
      <c r="AF1910" s="245"/>
      <c r="AH1910" s="245"/>
    </row>
    <row r="1911" spans="1:34" ht="26.25">
      <c r="A1911" s="245"/>
      <c r="B1911" s="245"/>
      <c r="C1911" s="245"/>
      <c r="D1911" s="245"/>
      <c r="E1911" s="245"/>
      <c r="F1911" s="279"/>
      <c r="G1911" s="245"/>
      <c r="H1911" s="245"/>
      <c r="I1911" s="245"/>
      <c r="L1911" s="123"/>
      <c r="O1911" s="360"/>
      <c r="Q1911" s="351"/>
      <c r="R1911" s="363"/>
      <c r="S1911" s="325"/>
      <c r="T1911" s="85" ph="1"/>
      <c r="V1911" s="216"/>
      <c r="W1911" s="245"/>
      <c r="X1911" s="187"/>
      <c r="Y1911" s="245"/>
      <c r="Z1911" s="245"/>
      <c r="AA1911" s="329"/>
      <c r="AC1911" s="245"/>
      <c r="AD1911" s="187"/>
      <c r="AE1911" s="361"/>
      <c r="AF1911" s="245"/>
      <c r="AH1911" s="245"/>
    </row>
    <row r="1912" spans="1:34" ht="26.25">
      <c r="A1912" s="245"/>
      <c r="B1912" s="245"/>
      <c r="C1912" s="245"/>
      <c r="D1912" s="245"/>
      <c r="E1912" s="245"/>
      <c r="F1912" s="279"/>
      <c r="G1912" s="245"/>
      <c r="H1912" s="245"/>
      <c r="I1912" s="245"/>
      <c r="L1912" s="123"/>
      <c r="O1912" s="360"/>
      <c r="Q1912" s="351"/>
      <c r="R1912" s="363"/>
      <c r="S1912" s="325"/>
      <c r="T1912" s="85" ph="1"/>
      <c r="V1912" s="216"/>
      <c r="W1912" s="245"/>
      <c r="X1912" s="187"/>
      <c r="Y1912" s="245"/>
      <c r="Z1912" s="245"/>
      <c r="AA1912" s="329"/>
      <c r="AC1912" s="245"/>
      <c r="AD1912" s="187"/>
      <c r="AE1912" s="361"/>
      <c r="AF1912" s="245"/>
      <c r="AH1912" s="245"/>
    </row>
    <row r="1913" spans="1:34" ht="26.25">
      <c r="A1913" s="245"/>
      <c r="B1913" s="245"/>
      <c r="C1913" s="245"/>
      <c r="D1913" s="245"/>
      <c r="E1913" s="245"/>
      <c r="F1913" s="279"/>
      <c r="G1913" s="245"/>
      <c r="H1913" s="245"/>
      <c r="I1913" s="245"/>
      <c r="L1913" s="123"/>
      <c r="O1913" s="360"/>
      <c r="Q1913" s="351"/>
      <c r="R1913" s="363"/>
      <c r="S1913" s="325"/>
      <c r="T1913" s="85" ph="1"/>
      <c r="V1913" s="216"/>
      <c r="W1913" s="245"/>
      <c r="X1913" s="187"/>
      <c r="Y1913" s="245"/>
      <c r="Z1913" s="245"/>
      <c r="AA1913" s="329"/>
      <c r="AC1913" s="245"/>
      <c r="AD1913" s="187"/>
      <c r="AE1913" s="361"/>
      <c r="AF1913" s="245"/>
      <c r="AH1913" s="245"/>
    </row>
    <row r="1914" spans="1:34" ht="26.25">
      <c r="A1914" s="245"/>
      <c r="B1914" s="245"/>
      <c r="C1914" s="245"/>
      <c r="D1914" s="245"/>
      <c r="E1914" s="245"/>
      <c r="F1914" s="279"/>
      <c r="G1914" s="245"/>
      <c r="H1914" s="245"/>
      <c r="I1914" s="245"/>
      <c r="L1914" s="123"/>
      <c r="O1914" s="360"/>
      <c r="Q1914" s="351"/>
      <c r="R1914" s="363"/>
      <c r="S1914" s="325"/>
      <c r="T1914" s="85" ph="1"/>
      <c r="V1914" s="216"/>
      <c r="W1914" s="245"/>
      <c r="X1914" s="187"/>
      <c r="Y1914" s="245"/>
      <c r="Z1914" s="245"/>
      <c r="AA1914" s="329"/>
      <c r="AC1914" s="245"/>
      <c r="AD1914" s="187"/>
      <c r="AE1914" s="361"/>
      <c r="AF1914" s="245"/>
      <c r="AH1914" s="245"/>
    </row>
    <row r="1915" spans="1:34" ht="26.25">
      <c r="A1915" s="245"/>
      <c r="B1915" s="245"/>
      <c r="C1915" s="245"/>
      <c r="D1915" s="245"/>
      <c r="E1915" s="245"/>
      <c r="F1915" s="279"/>
      <c r="G1915" s="245"/>
      <c r="H1915" s="245"/>
      <c r="I1915" s="245"/>
      <c r="L1915" s="123"/>
      <c r="O1915" s="360"/>
      <c r="Q1915" s="351"/>
      <c r="R1915" s="363"/>
      <c r="S1915" s="325"/>
      <c r="T1915" s="85" ph="1"/>
      <c r="V1915" s="216"/>
      <c r="W1915" s="245"/>
      <c r="X1915" s="187"/>
      <c r="Y1915" s="245"/>
      <c r="Z1915" s="245"/>
      <c r="AA1915" s="329"/>
      <c r="AC1915" s="245"/>
      <c r="AD1915" s="187"/>
      <c r="AE1915" s="361"/>
      <c r="AF1915" s="245"/>
      <c r="AH1915" s="245"/>
    </row>
    <row r="1916" spans="1:34" ht="26.25">
      <c r="A1916" s="245"/>
      <c r="B1916" s="245"/>
      <c r="C1916" s="245"/>
      <c r="D1916" s="245"/>
      <c r="E1916" s="245"/>
      <c r="F1916" s="279"/>
      <c r="G1916" s="245"/>
      <c r="H1916" s="245"/>
      <c r="I1916" s="245"/>
      <c r="L1916" s="123"/>
      <c r="O1916" s="360"/>
      <c r="Q1916" s="351"/>
      <c r="R1916" s="363"/>
      <c r="S1916" s="325"/>
      <c r="T1916" s="85" ph="1"/>
      <c r="V1916" s="216"/>
      <c r="W1916" s="245"/>
      <c r="X1916" s="187"/>
      <c r="Y1916" s="245"/>
      <c r="Z1916" s="245"/>
      <c r="AA1916" s="329"/>
      <c r="AC1916" s="245"/>
      <c r="AD1916" s="187"/>
      <c r="AE1916" s="361"/>
      <c r="AF1916" s="245"/>
      <c r="AH1916" s="245"/>
    </row>
    <row r="1917" spans="1:34" ht="26.25">
      <c r="A1917" s="245"/>
      <c r="B1917" s="245"/>
      <c r="C1917" s="245"/>
      <c r="D1917" s="245"/>
      <c r="E1917" s="245"/>
      <c r="F1917" s="279"/>
      <c r="G1917" s="245"/>
      <c r="H1917" s="245"/>
      <c r="I1917" s="245"/>
      <c r="L1917" s="123"/>
      <c r="O1917" s="360"/>
      <c r="Q1917" s="351"/>
      <c r="R1917" s="363"/>
      <c r="S1917" s="325"/>
      <c r="T1917" s="85" ph="1"/>
      <c r="V1917" s="216"/>
      <c r="W1917" s="245"/>
      <c r="X1917" s="187"/>
      <c r="Y1917" s="245"/>
      <c r="Z1917" s="245"/>
      <c r="AA1917" s="329"/>
      <c r="AC1917" s="245"/>
      <c r="AD1917" s="187"/>
      <c r="AE1917" s="361"/>
      <c r="AF1917" s="245"/>
      <c r="AH1917" s="245"/>
    </row>
    <row r="1918" spans="1:34" ht="26.25">
      <c r="A1918" s="245"/>
      <c r="B1918" s="245"/>
      <c r="C1918" s="245"/>
      <c r="D1918" s="245"/>
      <c r="E1918" s="245"/>
      <c r="F1918" s="279"/>
      <c r="G1918" s="245"/>
      <c r="H1918" s="245"/>
      <c r="I1918" s="245"/>
      <c r="L1918" s="123"/>
      <c r="O1918" s="360"/>
      <c r="Q1918" s="351"/>
      <c r="R1918" s="363"/>
      <c r="S1918" s="325"/>
      <c r="T1918" s="85" ph="1"/>
      <c r="V1918" s="216"/>
      <c r="W1918" s="245"/>
      <c r="X1918" s="187"/>
      <c r="Y1918" s="245"/>
      <c r="Z1918" s="245"/>
      <c r="AA1918" s="329"/>
      <c r="AC1918" s="245"/>
      <c r="AD1918" s="187"/>
      <c r="AE1918" s="361"/>
      <c r="AF1918" s="245"/>
      <c r="AH1918" s="245"/>
    </row>
    <row r="1919" spans="1:34" ht="26.25">
      <c r="A1919" s="245"/>
      <c r="B1919" s="245"/>
      <c r="C1919" s="245"/>
      <c r="D1919" s="245"/>
      <c r="E1919" s="245"/>
      <c r="F1919" s="279"/>
      <c r="G1919" s="245"/>
      <c r="H1919" s="245"/>
      <c r="I1919" s="245"/>
      <c r="L1919" s="123"/>
      <c r="O1919" s="360"/>
      <c r="Q1919" s="351"/>
      <c r="R1919" s="363"/>
      <c r="S1919" s="325"/>
      <c r="T1919" s="85" ph="1"/>
      <c r="V1919" s="216"/>
      <c r="W1919" s="245"/>
      <c r="X1919" s="187"/>
      <c r="Y1919" s="245"/>
      <c r="Z1919" s="245"/>
      <c r="AA1919" s="329"/>
      <c r="AC1919" s="245"/>
      <c r="AD1919" s="187"/>
      <c r="AE1919" s="361"/>
      <c r="AF1919" s="245"/>
      <c r="AH1919" s="245"/>
    </row>
    <row r="1920" spans="1:34" ht="26.25">
      <c r="A1920" s="245"/>
      <c r="B1920" s="245"/>
      <c r="C1920" s="245"/>
      <c r="D1920" s="245"/>
      <c r="E1920" s="245"/>
      <c r="F1920" s="279"/>
      <c r="G1920" s="245"/>
      <c r="H1920" s="245"/>
      <c r="I1920" s="245"/>
      <c r="L1920" s="123"/>
      <c r="O1920" s="360"/>
      <c r="Q1920" s="351"/>
      <c r="R1920" s="363"/>
      <c r="S1920" s="325"/>
      <c r="T1920" s="85" ph="1"/>
      <c r="V1920" s="216"/>
      <c r="W1920" s="245"/>
      <c r="X1920" s="187"/>
      <c r="Y1920" s="245"/>
      <c r="Z1920" s="245"/>
      <c r="AA1920" s="329"/>
      <c r="AC1920" s="245"/>
      <c r="AD1920" s="187"/>
      <c r="AE1920" s="361"/>
      <c r="AF1920" s="245"/>
      <c r="AH1920" s="245"/>
    </row>
    <row r="1921" spans="1:34" ht="26.25">
      <c r="A1921" s="245"/>
      <c r="B1921" s="245"/>
      <c r="C1921" s="245"/>
      <c r="D1921" s="245"/>
      <c r="E1921" s="245"/>
      <c r="F1921" s="279"/>
      <c r="G1921" s="245"/>
      <c r="H1921" s="245"/>
      <c r="I1921" s="245"/>
      <c r="L1921" s="123"/>
      <c r="O1921" s="360"/>
      <c r="Q1921" s="351"/>
      <c r="R1921" s="363"/>
      <c r="S1921" s="325"/>
      <c r="T1921" s="85" ph="1"/>
      <c r="V1921" s="216"/>
      <c r="W1921" s="245"/>
      <c r="X1921" s="187"/>
      <c r="Y1921" s="245"/>
      <c r="Z1921" s="245"/>
      <c r="AA1921" s="329"/>
      <c r="AC1921" s="245"/>
      <c r="AD1921" s="187"/>
      <c r="AE1921" s="361"/>
      <c r="AF1921" s="245"/>
      <c r="AH1921" s="245"/>
    </row>
    <row r="1922" spans="1:34" ht="26.25">
      <c r="A1922" s="245"/>
      <c r="B1922" s="245"/>
      <c r="C1922" s="245"/>
      <c r="D1922" s="245"/>
      <c r="E1922" s="245"/>
      <c r="F1922" s="279"/>
      <c r="G1922" s="245"/>
      <c r="H1922" s="245"/>
      <c r="I1922" s="245"/>
      <c r="L1922" s="123"/>
      <c r="O1922" s="360"/>
      <c r="Q1922" s="351"/>
      <c r="R1922" s="363"/>
      <c r="S1922" s="325"/>
      <c r="T1922" s="85" ph="1"/>
      <c r="V1922" s="216"/>
      <c r="W1922" s="245"/>
      <c r="X1922" s="187"/>
      <c r="Y1922" s="245"/>
      <c r="Z1922" s="245"/>
      <c r="AA1922" s="329"/>
      <c r="AC1922" s="245"/>
      <c r="AD1922" s="187"/>
      <c r="AE1922" s="361"/>
      <c r="AF1922" s="245"/>
      <c r="AH1922" s="245"/>
    </row>
    <row r="1923" spans="1:34" ht="26.25">
      <c r="A1923" s="245"/>
      <c r="B1923" s="245"/>
      <c r="C1923" s="245"/>
      <c r="D1923" s="245"/>
      <c r="E1923" s="245"/>
      <c r="F1923" s="279"/>
      <c r="G1923" s="245"/>
      <c r="H1923" s="245"/>
      <c r="I1923" s="245"/>
      <c r="L1923" s="123"/>
      <c r="O1923" s="360"/>
      <c r="Q1923" s="351"/>
      <c r="R1923" s="363"/>
      <c r="S1923" s="325"/>
      <c r="T1923" s="85" ph="1"/>
      <c r="V1923" s="216"/>
      <c r="W1923" s="245"/>
      <c r="X1923" s="187"/>
      <c r="Y1923" s="245"/>
      <c r="Z1923" s="245"/>
      <c r="AA1923" s="329"/>
      <c r="AC1923" s="245"/>
      <c r="AD1923" s="187"/>
      <c r="AE1923" s="361"/>
      <c r="AF1923" s="245"/>
      <c r="AH1923" s="245"/>
    </row>
    <row r="1924" spans="1:34" ht="26.25">
      <c r="A1924" s="245"/>
      <c r="B1924" s="245"/>
      <c r="C1924" s="245"/>
      <c r="D1924" s="245"/>
      <c r="E1924" s="245"/>
      <c r="F1924" s="279"/>
      <c r="G1924" s="245"/>
      <c r="H1924" s="245"/>
      <c r="I1924" s="245"/>
      <c r="L1924" s="120"/>
      <c r="O1924" s="360"/>
      <c r="Q1924" s="351"/>
      <c r="R1924" s="363"/>
      <c r="S1924" s="325"/>
      <c r="T1924" s="85" ph="1"/>
      <c r="V1924" s="216"/>
      <c r="W1924" s="245"/>
      <c r="X1924" s="187"/>
      <c r="Y1924" s="245"/>
      <c r="Z1924" s="245"/>
      <c r="AA1924" s="329"/>
      <c r="AC1924" s="245"/>
      <c r="AD1924" s="187"/>
      <c r="AE1924" s="361"/>
      <c r="AF1924" s="245"/>
      <c r="AH1924" s="245"/>
    </row>
    <row r="1925" spans="1:34" ht="26.25">
      <c r="A1925" s="245"/>
      <c r="B1925" s="245"/>
      <c r="C1925" s="245"/>
      <c r="D1925" s="245"/>
      <c r="E1925" s="245"/>
      <c r="F1925" s="279"/>
      <c r="G1925" s="245"/>
      <c r="H1925" s="245"/>
      <c r="I1925" s="245"/>
      <c r="L1925" s="123"/>
      <c r="O1925" s="360"/>
      <c r="Q1925" s="351"/>
      <c r="R1925" s="363"/>
      <c r="S1925" s="325"/>
      <c r="T1925" s="85" ph="1"/>
      <c r="V1925" s="216"/>
      <c r="W1925" s="245"/>
      <c r="X1925" s="187"/>
      <c r="Y1925" s="245"/>
      <c r="Z1925" s="245"/>
      <c r="AA1925" s="329"/>
      <c r="AC1925" s="245"/>
      <c r="AD1925" s="187"/>
      <c r="AE1925" s="361"/>
      <c r="AF1925" s="245"/>
      <c r="AH1925" s="245"/>
    </row>
    <row r="1926" spans="1:34" ht="26.25">
      <c r="A1926" s="245"/>
      <c r="B1926" s="245"/>
      <c r="C1926" s="245"/>
      <c r="D1926" s="245"/>
      <c r="E1926" s="245"/>
      <c r="F1926" s="279"/>
      <c r="G1926" s="245"/>
      <c r="H1926" s="245"/>
      <c r="I1926" s="245"/>
      <c r="L1926" s="123"/>
      <c r="O1926" s="360"/>
      <c r="Q1926" s="351"/>
      <c r="R1926" s="363"/>
      <c r="S1926" s="325"/>
      <c r="T1926" s="85" ph="1"/>
      <c r="V1926" s="216"/>
      <c r="W1926" s="245"/>
      <c r="X1926" s="187"/>
      <c r="Y1926" s="245"/>
      <c r="Z1926" s="245"/>
      <c r="AA1926" s="329"/>
      <c r="AC1926" s="245"/>
      <c r="AD1926" s="187"/>
      <c r="AE1926" s="361"/>
      <c r="AF1926" s="245"/>
      <c r="AH1926" s="245"/>
    </row>
    <row r="1927" spans="1:34" ht="26.25">
      <c r="A1927" s="245"/>
      <c r="B1927" s="245"/>
      <c r="C1927" s="245"/>
      <c r="D1927" s="245"/>
      <c r="E1927" s="245"/>
      <c r="F1927" s="279"/>
      <c r="G1927" s="245"/>
      <c r="H1927" s="245"/>
      <c r="I1927" s="245"/>
      <c r="L1927" s="123"/>
      <c r="O1927" s="360"/>
      <c r="Q1927" s="351"/>
      <c r="R1927" s="363"/>
      <c r="S1927" s="325"/>
      <c r="T1927" s="85" ph="1"/>
      <c r="V1927" s="216"/>
      <c r="W1927" s="245"/>
      <c r="X1927" s="187"/>
      <c r="Y1927" s="245"/>
      <c r="Z1927" s="245"/>
      <c r="AA1927" s="329"/>
      <c r="AC1927" s="245"/>
      <c r="AD1927" s="187"/>
      <c r="AE1927" s="361"/>
      <c r="AF1927" s="245"/>
      <c r="AH1927" s="245"/>
    </row>
    <row r="1928" spans="1:34" ht="26.25">
      <c r="A1928" s="245"/>
      <c r="B1928" s="245"/>
      <c r="C1928" s="245"/>
      <c r="D1928" s="245"/>
      <c r="E1928" s="245"/>
      <c r="F1928" s="279"/>
      <c r="G1928" s="245"/>
      <c r="H1928" s="245"/>
      <c r="I1928" s="245"/>
      <c r="L1928" s="123"/>
      <c r="O1928" s="360"/>
      <c r="Q1928" s="351"/>
      <c r="R1928" s="363"/>
      <c r="S1928" s="325"/>
      <c r="T1928" s="85" ph="1"/>
      <c r="V1928" s="216"/>
      <c r="W1928" s="245"/>
      <c r="X1928" s="187"/>
      <c r="Y1928" s="245"/>
      <c r="Z1928" s="245"/>
      <c r="AA1928" s="329"/>
      <c r="AC1928" s="245"/>
      <c r="AD1928" s="187"/>
      <c r="AE1928" s="361"/>
      <c r="AF1928" s="245"/>
      <c r="AH1928" s="245"/>
    </row>
    <row r="1929" spans="1:34" ht="26.25">
      <c r="A1929" s="245"/>
      <c r="B1929" s="245"/>
      <c r="C1929" s="245"/>
      <c r="D1929" s="245"/>
      <c r="E1929" s="245"/>
      <c r="F1929" s="279"/>
      <c r="G1929" s="245"/>
      <c r="H1929" s="245"/>
      <c r="I1929" s="245"/>
      <c r="L1929" s="123"/>
      <c r="O1929" s="360"/>
      <c r="Q1929" s="351"/>
      <c r="R1929" s="363"/>
      <c r="S1929" s="325"/>
      <c r="T1929" s="85" ph="1"/>
      <c r="V1929" s="216"/>
      <c r="W1929" s="245"/>
      <c r="X1929" s="187"/>
      <c r="Y1929" s="245"/>
      <c r="Z1929" s="245"/>
      <c r="AA1929" s="329"/>
      <c r="AC1929" s="245"/>
      <c r="AD1929" s="187"/>
      <c r="AE1929" s="361"/>
      <c r="AF1929" s="245"/>
      <c r="AH1929" s="245"/>
    </row>
    <row r="1930" spans="1:34" ht="26.25">
      <c r="A1930" s="245"/>
      <c r="B1930" s="245"/>
      <c r="C1930" s="245"/>
      <c r="D1930" s="245"/>
      <c r="E1930" s="245"/>
      <c r="F1930" s="279"/>
      <c r="G1930" s="245"/>
      <c r="H1930" s="245"/>
      <c r="I1930" s="245"/>
      <c r="L1930" s="123"/>
      <c r="O1930" s="360"/>
      <c r="Q1930" s="351"/>
      <c r="R1930" s="363"/>
      <c r="S1930" s="325"/>
      <c r="T1930" s="85" ph="1"/>
      <c r="V1930" s="216"/>
      <c r="W1930" s="245"/>
      <c r="X1930" s="187"/>
      <c r="Y1930" s="245"/>
      <c r="Z1930" s="245"/>
      <c r="AA1930" s="329"/>
      <c r="AC1930" s="245"/>
      <c r="AD1930" s="187"/>
      <c r="AE1930" s="361"/>
      <c r="AF1930" s="245"/>
      <c r="AH1930" s="245"/>
    </row>
    <row r="1931" spans="1:34" ht="26.25">
      <c r="A1931" s="245"/>
      <c r="B1931" s="245"/>
      <c r="C1931" s="245"/>
      <c r="D1931" s="245"/>
      <c r="E1931" s="245"/>
      <c r="F1931" s="279"/>
      <c r="G1931" s="245"/>
      <c r="H1931" s="245"/>
      <c r="I1931" s="245"/>
      <c r="L1931" s="123"/>
      <c r="O1931" s="360"/>
      <c r="Q1931" s="351"/>
      <c r="R1931" s="363"/>
      <c r="S1931" s="325"/>
      <c r="T1931" s="85" ph="1"/>
      <c r="V1931" s="216"/>
      <c r="W1931" s="245"/>
      <c r="X1931" s="187"/>
      <c r="Y1931" s="245"/>
      <c r="Z1931" s="245"/>
      <c r="AA1931" s="329"/>
      <c r="AC1931" s="245"/>
      <c r="AD1931" s="187"/>
      <c r="AE1931" s="361"/>
      <c r="AF1931" s="245"/>
      <c r="AH1931" s="245"/>
    </row>
    <row r="1932" spans="1:34" ht="26.25">
      <c r="A1932" s="245"/>
      <c r="B1932" s="245"/>
      <c r="C1932" s="245"/>
      <c r="D1932" s="245"/>
      <c r="E1932" s="245"/>
      <c r="F1932" s="279"/>
      <c r="G1932" s="245"/>
      <c r="H1932" s="245"/>
      <c r="I1932" s="245"/>
      <c r="L1932" s="123"/>
      <c r="O1932" s="360"/>
      <c r="Q1932" s="351"/>
      <c r="R1932" s="363"/>
      <c r="S1932" s="325"/>
      <c r="T1932" s="85" ph="1"/>
      <c r="V1932" s="216"/>
      <c r="W1932" s="245"/>
      <c r="X1932" s="187"/>
      <c r="Y1932" s="245"/>
      <c r="Z1932" s="245"/>
      <c r="AA1932" s="329"/>
      <c r="AC1932" s="245"/>
      <c r="AD1932" s="187"/>
      <c r="AE1932" s="361"/>
      <c r="AF1932" s="245"/>
      <c r="AH1932" s="245"/>
    </row>
    <row r="1933" spans="1:34" ht="26.25">
      <c r="A1933" s="245"/>
      <c r="B1933" s="245"/>
      <c r="C1933" s="245"/>
      <c r="D1933" s="245"/>
      <c r="E1933" s="245"/>
      <c r="F1933" s="279"/>
      <c r="G1933" s="245"/>
      <c r="H1933" s="245"/>
      <c r="I1933" s="245"/>
      <c r="L1933" s="123"/>
      <c r="O1933" s="360"/>
      <c r="Q1933" s="351"/>
      <c r="R1933" s="363"/>
      <c r="S1933" s="325"/>
      <c r="T1933" s="85" ph="1"/>
      <c r="V1933" s="216"/>
      <c r="W1933" s="245"/>
      <c r="X1933" s="187"/>
      <c r="Y1933" s="245"/>
      <c r="Z1933" s="245"/>
      <c r="AA1933" s="329"/>
      <c r="AC1933" s="245"/>
      <c r="AD1933" s="187"/>
      <c r="AE1933" s="361"/>
      <c r="AF1933" s="245"/>
      <c r="AH1933" s="245"/>
    </row>
    <row r="1934" spans="1:34" ht="26.25">
      <c r="A1934" s="245"/>
      <c r="B1934" s="245"/>
      <c r="C1934" s="245"/>
      <c r="D1934" s="245"/>
      <c r="E1934" s="245"/>
      <c r="F1934" s="279"/>
      <c r="G1934" s="245"/>
      <c r="H1934" s="245"/>
      <c r="I1934" s="245"/>
      <c r="L1934" s="123"/>
      <c r="O1934" s="360"/>
      <c r="Q1934" s="351"/>
      <c r="R1934" s="363"/>
      <c r="S1934" s="325"/>
      <c r="T1934" s="85" ph="1"/>
      <c r="V1934" s="216"/>
      <c r="W1934" s="245"/>
      <c r="X1934" s="187"/>
      <c r="Y1934" s="245"/>
      <c r="Z1934" s="245"/>
      <c r="AA1934" s="329"/>
      <c r="AC1934" s="245"/>
      <c r="AD1934" s="187"/>
      <c r="AE1934" s="361"/>
      <c r="AF1934" s="245"/>
      <c r="AH1934" s="245"/>
    </row>
    <row r="1935" spans="1:34" ht="26.25">
      <c r="A1935" s="245"/>
      <c r="B1935" s="245"/>
      <c r="C1935" s="245"/>
      <c r="D1935" s="245"/>
      <c r="E1935" s="245"/>
      <c r="F1935" s="279"/>
      <c r="G1935" s="245"/>
      <c r="H1935" s="245"/>
      <c r="I1935" s="245"/>
      <c r="L1935" s="123"/>
      <c r="O1935" s="360"/>
      <c r="Q1935" s="351"/>
      <c r="R1935" s="363"/>
      <c r="S1935" s="325"/>
      <c r="T1935" s="85" ph="1"/>
      <c r="V1935" s="216"/>
      <c r="W1935" s="245"/>
      <c r="X1935" s="187"/>
      <c r="Y1935" s="245"/>
      <c r="Z1935" s="245"/>
      <c r="AA1935" s="329"/>
      <c r="AC1935" s="245"/>
      <c r="AD1935" s="187"/>
      <c r="AE1935" s="361"/>
      <c r="AF1935" s="245"/>
      <c r="AH1935" s="245"/>
    </row>
    <row r="1936" spans="1:34" ht="26.25">
      <c r="A1936" s="245"/>
      <c r="B1936" s="245"/>
      <c r="C1936" s="245"/>
      <c r="D1936" s="245"/>
      <c r="E1936" s="245"/>
      <c r="F1936" s="279"/>
      <c r="G1936" s="245"/>
      <c r="H1936" s="245"/>
      <c r="I1936" s="245"/>
      <c r="L1936" s="123"/>
      <c r="O1936" s="360"/>
      <c r="Q1936" s="351"/>
      <c r="R1936" s="363"/>
      <c r="S1936" s="325"/>
      <c r="T1936" s="85" ph="1"/>
      <c r="V1936" s="216"/>
      <c r="W1936" s="245"/>
      <c r="X1936" s="187"/>
      <c r="Y1936" s="245"/>
      <c r="Z1936" s="245"/>
      <c r="AA1936" s="329"/>
      <c r="AC1936" s="245"/>
      <c r="AD1936" s="187"/>
      <c r="AE1936" s="361"/>
      <c r="AF1936" s="245"/>
      <c r="AH1936" s="245"/>
    </row>
    <row r="1937" spans="1:34" ht="26.25">
      <c r="A1937" s="245"/>
      <c r="B1937" s="245"/>
      <c r="C1937" s="245"/>
      <c r="D1937" s="245"/>
      <c r="E1937" s="245"/>
      <c r="F1937" s="279"/>
      <c r="G1937" s="245"/>
      <c r="H1937" s="245"/>
      <c r="I1937" s="245"/>
      <c r="L1937" s="123"/>
      <c r="O1937" s="360"/>
      <c r="Q1937" s="351"/>
      <c r="R1937" s="363"/>
      <c r="S1937" s="325"/>
      <c r="T1937" s="85" ph="1"/>
      <c r="V1937" s="216"/>
      <c r="W1937" s="245"/>
      <c r="X1937" s="187"/>
      <c r="Y1937" s="245"/>
      <c r="Z1937" s="245"/>
      <c r="AA1937" s="329"/>
      <c r="AC1937" s="245"/>
      <c r="AD1937" s="187"/>
      <c r="AE1937" s="361"/>
      <c r="AF1937" s="245"/>
      <c r="AH1937" s="245"/>
    </row>
    <row r="1938" spans="1:34" ht="26.25">
      <c r="A1938" s="245"/>
      <c r="B1938" s="245"/>
      <c r="C1938" s="245"/>
      <c r="D1938" s="245"/>
      <c r="E1938" s="245"/>
      <c r="F1938" s="279"/>
      <c r="G1938" s="245"/>
      <c r="H1938" s="245"/>
      <c r="I1938" s="245"/>
      <c r="L1938" s="123"/>
      <c r="O1938" s="360"/>
      <c r="Q1938" s="351"/>
      <c r="R1938" s="363"/>
      <c r="S1938" s="325"/>
      <c r="T1938" s="85" ph="1"/>
      <c r="V1938" s="216"/>
      <c r="W1938" s="245"/>
      <c r="X1938" s="187"/>
      <c r="Y1938" s="245"/>
      <c r="Z1938" s="245"/>
      <c r="AA1938" s="329"/>
      <c r="AC1938" s="245"/>
      <c r="AD1938" s="187"/>
      <c r="AE1938" s="361"/>
      <c r="AF1938" s="245"/>
      <c r="AH1938" s="245"/>
    </row>
    <row r="1939" spans="1:34" ht="26.25">
      <c r="A1939" s="245"/>
      <c r="B1939" s="245"/>
      <c r="C1939" s="245"/>
      <c r="D1939" s="245"/>
      <c r="E1939" s="245"/>
      <c r="F1939" s="279"/>
      <c r="G1939" s="245"/>
      <c r="H1939" s="245"/>
      <c r="I1939" s="245"/>
      <c r="L1939" s="123"/>
      <c r="O1939" s="360"/>
      <c r="Q1939" s="351"/>
      <c r="R1939" s="363"/>
      <c r="S1939" s="325"/>
      <c r="T1939" s="85" ph="1"/>
      <c r="V1939" s="216"/>
      <c r="W1939" s="245"/>
      <c r="X1939" s="187"/>
      <c r="Y1939" s="245"/>
      <c r="Z1939" s="245"/>
      <c r="AA1939" s="329"/>
      <c r="AC1939" s="245"/>
      <c r="AD1939" s="187"/>
      <c r="AE1939" s="361"/>
      <c r="AF1939" s="245"/>
      <c r="AH1939" s="245"/>
    </row>
    <row r="1940" spans="1:34" ht="26.25">
      <c r="A1940" s="245"/>
      <c r="B1940" s="245"/>
      <c r="C1940" s="245"/>
      <c r="D1940" s="245"/>
      <c r="E1940" s="245"/>
      <c r="F1940" s="279"/>
      <c r="G1940" s="245"/>
      <c r="H1940" s="245"/>
      <c r="I1940" s="245"/>
      <c r="L1940" s="123"/>
      <c r="O1940" s="360"/>
      <c r="Q1940" s="351"/>
      <c r="R1940" s="363"/>
      <c r="S1940" s="325"/>
      <c r="T1940" s="85" ph="1"/>
      <c r="V1940" s="216"/>
      <c r="W1940" s="245"/>
      <c r="X1940" s="187"/>
      <c r="Y1940" s="245"/>
      <c r="Z1940" s="245"/>
      <c r="AA1940" s="329"/>
      <c r="AC1940" s="245"/>
      <c r="AD1940" s="187"/>
      <c r="AE1940" s="361"/>
      <c r="AF1940" s="245"/>
      <c r="AH1940" s="245"/>
    </row>
    <row r="1941" spans="1:34" ht="26.25">
      <c r="A1941" s="245"/>
      <c r="B1941" s="245"/>
      <c r="C1941" s="245"/>
      <c r="D1941" s="245"/>
      <c r="E1941" s="245"/>
      <c r="F1941" s="279"/>
      <c r="G1941" s="245"/>
      <c r="H1941" s="245"/>
      <c r="I1941" s="245"/>
      <c r="L1941" s="123"/>
      <c r="O1941" s="360"/>
      <c r="Q1941" s="351"/>
      <c r="R1941" s="363"/>
      <c r="S1941" s="325"/>
      <c r="T1941" s="85" ph="1"/>
      <c r="V1941" s="216"/>
      <c r="W1941" s="245"/>
      <c r="X1941" s="187"/>
      <c r="Y1941" s="245"/>
      <c r="Z1941" s="245"/>
      <c r="AA1941" s="329"/>
      <c r="AC1941" s="245"/>
      <c r="AD1941" s="187"/>
      <c r="AE1941" s="361"/>
      <c r="AF1941" s="245"/>
      <c r="AH1941" s="245"/>
    </row>
    <row r="1942" spans="1:34" ht="26.25">
      <c r="A1942" s="245"/>
      <c r="B1942" s="245"/>
      <c r="C1942" s="245"/>
      <c r="D1942" s="245"/>
      <c r="E1942" s="245"/>
      <c r="F1942" s="279"/>
      <c r="G1942" s="245"/>
      <c r="H1942" s="245"/>
      <c r="I1942" s="245"/>
      <c r="L1942" s="123"/>
      <c r="O1942" s="360"/>
      <c r="Q1942" s="351"/>
      <c r="R1942" s="363"/>
      <c r="S1942" s="325"/>
      <c r="T1942" s="85" ph="1"/>
      <c r="V1942" s="216"/>
      <c r="W1942" s="245"/>
      <c r="X1942" s="187"/>
      <c r="Y1942" s="245"/>
      <c r="Z1942" s="245"/>
      <c r="AA1942" s="329"/>
      <c r="AC1942" s="245"/>
      <c r="AD1942" s="187"/>
      <c r="AE1942" s="361"/>
      <c r="AF1942" s="245"/>
      <c r="AH1942" s="245"/>
    </row>
    <row r="1943" spans="1:34" ht="26.25">
      <c r="A1943" s="245"/>
      <c r="B1943" s="245"/>
      <c r="C1943" s="245"/>
      <c r="D1943" s="245"/>
      <c r="E1943" s="245"/>
      <c r="F1943" s="279"/>
      <c r="G1943" s="245"/>
      <c r="H1943" s="245"/>
      <c r="I1943" s="245"/>
      <c r="L1943" s="123"/>
      <c r="O1943" s="360"/>
      <c r="Q1943" s="351"/>
      <c r="R1943" s="363"/>
      <c r="S1943" s="325"/>
      <c r="T1943" s="85" ph="1"/>
      <c r="V1943" s="216"/>
      <c r="W1943" s="245"/>
      <c r="X1943" s="187"/>
      <c r="Y1943" s="245"/>
      <c r="Z1943" s="245"/>
      <c r="AA1943" s="329"/>
      <c r="AC1943" s="245"/>
      <c r="AD1943" s="187"/>
      <c r="AE1943" s="361"/>
      <c r="AF1943" s="245"/>
      <c r="AH1943" s="245"/>
    </row>
    <row r="1944" spans="1:34" ht="26.25">
      <c r="A1944" s="245"/>
      <c r="B1944" s="245"/>
      <c r="C1944" s="245"/>
      <c r="D1944" s="245"/>
      <c r="E1944" s="245"/>
      <c r="F1944" s="279"/>
      <c r="G1944" s="245"/>
      <c r="H1944" s="245"/>
      <c r="I1944" s="245"/>
      <c r="L1944" s="123"/>
      <c r="O1944" s="360"/>
      <c r="Q1944" s="351"/>
      <c r="R1944" s="363"/>
      <c r="S1944" s="325"/>
      <c r="T1944" s="85" ph="1"/>
      <c r="V1944" s="216"/>
      <c r="W1944" s="245"/>
      <c r="X1944" s="187"/>
      <c r="Y1944" s="245"/>
      <c r="Z1944" s="245"/>
      <c r="AA1944" s="329"/>
      <c r="AC1944" s="245"/>
      <c r="AD1944" s="187"/>
      <c r="AE1944" s="361"/>
      <c r="AF1944" s="245"/>
      <c r="AH1944" s="245"/>
    </row>
    <row r="1945" spans="1:34" ht="26.25">
      <c r="A1945" s="245"/>
      <c r="B1945" s="245"/>
      <c r="C1945" s="245"/>
      <c r="D1945" s="245"/>
      <c r="E1945" s="245"/>
      <c r="F1945" s="279"/>
      <c r="G1945" s="245"/>
      <c r="H1945" s="245"/>
      <c r="I1945" s="245"/>
      <c r="L1945" s="123"/>
      <c r="O1945" s="360"/>
      <c r="Q1945" s="351"/>
      <c r="R1945" s="363"/>
      <c r="S1945" s="325"/>
      <c r="T1945" s="85" ph="1"/>
      <c r="V1945" s="216"/>
      <c r="W1945" s="245"/>
      <c r="X1945" s="187"/>
      <c r="Y1945" s="245"/>
      <c r="Z1945" s="245"/>
      <c r="AA1945" s="329"/>
      <c r="AC1945" s="245"/>
      <c r="AD1945" s="187"/>
      <c r="AE1945" s="361"/>
      <c r="AF1945" s="245"/>
      <c r="AH1945" s="245"/>
    </row>
    <row r="1946" spans="1:34" ht="26.25">
      <c r="A1946" s="245"/>
      <c r="B1946" s="245"/>
      <c r="C1946" s="245"/>
      <c r="D1946" s="245"/>
      <c r="E1946" s="245"/>
      <c r="F1946" s="279"/>
      <c r="G1946" s="245"/>
      <c r="H1946" s="245"/>
      <c r="I1946" s="245"/>
      <c r="L1946" s="123"/>
      <c r="O1946" s="360"/>
      <c r="Q1946" s="351"/>
      <c r="R1946" s="363"/>
      <c r="S1946" s="325"/>
      <c r="T1946" s="85" ph="1"/>
      <c r="V1946" s="216"/>
      <c r="W1946" s="245"/>
      <c r="X1946" s="187"/>
      <c r="Y1946" s="245"/>
      <c r="Z1946" s="245"/>
      <c r="AA1946" s="329"/>
      <c r="AC1946" s="245"/>
      <c r="AD1946" s="187"/>
      <c r="AE1946" s="361"/>
      <c r="AF1946" s="245"/>
      <c r="AH1946" s="245"/>
    </row>
    <row r="1947" spans="1:34" ht="26.25">
      <c r="A1947" s="245"/>
      <c r="B1947" s="245"/>
      <c r="C1947" s="245"/>
      <c r="D1947" s="245"/>
      <c r="E1947" s="245"/>
      <c r="F1947" s="279"/>
      <c r="G1947" s="245"/>
      <c r="H1947" s="245"/>
      <c r="I1947" s="245"/>
      <c r="L1947" s="123"/>
      <c r="O1947" s="360"/>
      <c r="Q1947" s="351"/>
      <c r="R1947" s="363"/>
      <c r="S1947" s="325"/>
      <c r="T1947" s="85" ph="1"/>
      <c r="V1947" s="216"/>
      <c r="W1947" s="245"/>
      <c r="X1947" s="187"/>
      <c r="Y1947" s="245"/>
      <c r="Z1947" s="245"/>
      <c r="AA1947" s="329"/>
      <c r="AC1947" s="245"/>
      <c r="AD1947" s="187"/>
      <c r="AE1947" s="361"/>
      <c r="AF1947" s="245"/>
      <c r="AH1947" s="245"/>
    </row>
    <row r="1948" spans="1:34" ht="26.25">
      <c r="A1948" s="245"/>
      <c r="B1948" s="245"/>
      <c r="C1948" s="245"/>
      <c r="D1948" s="245"/>
      <c r="E1948" s="245"/>
      <c r="F1948" s="279"/>
      <c r="G1948" s="245"/>
      <c r="H1948" s="245"/>
      <c r="I1948" s="245"/>
      <c r="L1948" s="245"/>
      <c r="O1948" s="360"/>
      <c r="Q1948" s="351"/>
      <c r="R1948" s="363"/>
      <c r="S1948" s="325"/>
      <c r="T1948" s="85" ph="1"/>
      <c r="V1948" s="216"/>
      <c r="W1948" s="245"/>
      <c r="X1948" s="187"/>
      <c r="Y1948" s="245"/>
      <c r="Z1948" s="245"/>
      <c r="AA1948" s="329"/>
      <c r="AC1948" s="245"/>
      <c r="AD1948" s="187"/>
      <c r="AE1948" s="361"/>
      <c r="AF1948" s="245"/>
      <c r="AH1948" s="245"/>
    </row>
    <row r="1949" spans="1:34" ht="26.25">
      <c r="A1949" s="245"/>
      <c r="B1949" s="245"/>
      <c r="C1949" s="245"/>
      <c r="D1949" s="245"/>
      <c r="E1949" s="245"/>
      <c r="F1949" s="279"/>
      <c r="G1949" s="245"/>
      <c r="H1949" s="245"/>
      <c r="I1949" s="245"/>
      <c r="L1949" s="123"/>
      <c r="O1949" s="360"/>
      <c r="Q1949" s="351"/>
      <c r="R1949" s="363"/>
      <c r="S1949" s="325"/>
      <c r="T1949" s="85" ph="1"/>
      <c r="V1949" s="216"/>
      <c r="W1949" s="245"/>
      <c r="X1949" s="187"/>
      <c r="Y1949" s="245"/>
      <c r="Z1949" s="245"/>
      <c r="AA1949" s="329"/>
      <c r="AC1949" s="245"/>
      <c r="AD1949" s="187"/>
      <c r="AE1949" s="361"/>
      <c r="AF1949" s="245"/>
      <c r="AH1949" s="245"/>
    </row>
    <row r="1950" spans="1:34" ht="26.25">
      <c r="A1950" s="245"/>
      <c r="B1950" s="245"/>
      <c r="C1950" s="245"/>
      <c r="D1950" s="245"/>
      <c r="E1950" s="245"/>
      <c r="F1950" s="279"/>
      <c r="G1950" s="245"/>
      <c r="H1950" s="245"/>
      <c r="I1950" s="245"/>
      <c r="L1950" s="123"/>
      <c r="O1950" s="360"/>
      <c r="Q1950" s="351"/>
      <c r="R1950" s="363"/>
      <c r="S1950" s="325"/>
      <c r="T1950" s="85" ph="1"/>
      <c r="V1950" s="216"/>
      <c r="W1950" s="245"/>
      <c r="X1950" s="187"/>
      <c r="Y1950" s="245"/>
      <c r="Z1950" s="245"/>
      <c r="AA1950" s="329"/>
      <c r="AC1950" s="245"/>
      <c r="AD1950" s="187"/>
      <c r="AE1950" s="361"/>
      <c r="AF1950" s="245"/>
      <c r="AH1950" s="245"/>
    </row>
    <row r="1951" spans="1:34" ht="26.25">
      <c r="A1951" s="245"/>
      <c r="B1951" s="245"/>
      <c r="C1951" s="245"/>
      <c r="D1951" s="245"/>
      <c r="E1951" s="245"/>
      <c r="F1951" s="279"/>
      <c r="G1951" s="245"/>
      <c r="H1951" s="245"/>
      <c r="I1951" s="245"/>
      <c r="L1951" s="123"/>
      <c r="O1951" s="360"/>
      <c r="Q1951" s="351"/>
      <c r="R1951" s="363"/>
      <c r="S1951" s="325"/>
      <c r="T1951" s="85" ph="1"/>
      <c r="V1951" s="216"/>
      <c r="W1951" s="245"/>
      <c r="X1951" s="187"/>
      <c r="Y1951" s="245"/>
      <c r="Z1951" s="245"/>
      <c r="AA1951" s="329"/>
      <c r="AC1951" s="245"/>
      <c r="AD1951" s="187"/>
      <c r="AE1951" s="361"/>
      <c r="AF1951" s="245"/>
      <c r="AH1951" s="245"/>
    </row>
    <row r="1952" spans="1:34" ht="26.25">
      <c r="A1952" s="245"/>
      <c r="B1952" s="245"/>
      <c r="C1952" s="245"/>
      <c r="D1952" s="245"/>
      <c r="E1952" s="245"/>
      <c r="F1952" s="279"/>
      <c r="G1952" s="245"/>
      <c r="H1952" s="245"/>
      <c r="I1952" s="245"/>
      <c r="L1952" s="123"/>
      <c r="O1952" s="360"/>
      <c r="Q1952" s="351"/>
      <c r="R1952" s="363"/>
      <c r="S1952" s="325"/>
      <c r="T1952" s="85" ph="1"/>
      <c r="V1952" s="216"/>
      <c r="W1952" s="245"/>
      <c r="X1952" s="187"/>
      <c r="Y1952" s="245"/>
      <c r="Z1952" s="245"/>
      <c r="AA1952" s="329"/>
      <c r="AC1952" s="245"/>
      <c r="AD1952" s="187"/>
      <c r="AE1952" s="361"/>
      <c r="AF1952" s="245"/>
      <c r="AH1952" s="245"/>
    </row>
    <row r="1953" spans="1:34" ht="26.25">
      <c r="A1953" s="245"/>
      <c r="B1953" s="245"/>
      <c r="C1953" s="245"/>
      <c r="D1953" s="245"/>
      <c r="E1953" s="245"/>
      <c r="F1953" s="279"/>
      <c r="G1953" s="245"/>
      <c r="H1953" s="245"/>
      <c r="I1953" s="245"/>
      <c r="L1953" s="245"/>
      <c r="O1953" s="360"/>
      <c r="Q1953" s="351"/>
      <c r="R1953" s="363"/>
      <c r="S1953" s="325"/>
      <c r="T1953" s="85" ph="1"/>
      <c r="V1953" s="216"/>
      <c r="W1953" s="245"/>
      <c r="X1953" s="187"/>
      <c r="Y1953" s="245"/>
      <c r="Z1953" s="245"/>
      <c r="AA1953" s="329"/>
      <c r="AC1953" s="245"/>
      <c r="AD1953" s="187"/>
      <c r="AE1953" s="361"/>
      <c r="AF1953" s="245"/>
      <c r="AH1953" s="245"/>
    </row>
    <row r="1954" spans="1:34" ht="26.25">
      <c r="A1954" s="245"/>
      <c r="B1954" s="245"/>
      <c r="C1954" s="245"/>
      <c r="D1954" s="245"/>
      <c r="E1954" s="245"/>
      <c r="F1954" s="279"/>
      <c r="G1954" s="245"/>
      <c r="H1954" s="245"/>
      <c r="I1954" s="245"/>
      <c r="L1954" s="123"/>
      <c r="O1954" s="360"/>
      <c r="Q1954" s="351"/>
      <c r="R1954" s="363"/>
      <c r="S1954" s="325"/>
      <c r="T1954" s="85" ph="1"/>
      <c r="V1954" s="216"/>
      <c r="W1954" s="245"/>
      <c r="X1954" s="187"/>
      <c r="Y1954" s="245"/>
      <c r="Z1954" s="245"/>
      <c r="AA1954" s="329"/>
      <c r="AC1954" s="245"/>
      <c r="AD1954" s="187"/>
      <c r="AE1954" s="361"/>
      <c r="AF1954" s="245"/>
      <c r="AH1954" s="245"/>
    </row>
    <row r="1955" spans="1:34" ht="26.25">
      <c r="A1955" s="245"/>
      <c r="B1955" s="245"/>
      <c r="C1955" s="245"/>
      <c r="D1955" s="245"/>
      <c r="E1955" s="245"/>
      <c r="F1955" s="279"/>
      <c r="G1955" s="245"/>
      <c r="H1955" s="245"/>
      <c r="I1955" s="245"/>
      <c r="L1955" s="123"/>
      <c r="O1955" s="360"/>
      <c r="Q1955" s="351"/>
      <c r="R1955" s="363"/>
      <c r="S1955" s="325"/>
      <c r="T1955" s="85" ph="1"/>
      <c r="V1955" s="216"/>
      <c r="W1955" s="245"/>
      <c r="X1955" s="187"/>
      <c r="Y1955" s="245"/>
      <c r="Z1955" s="245"/>
      <c r="AA1955" s="329"/>
      <c r="AC1955" s="245"/>
      <c r="AD1955" s="187"/>
      <c r="AE1955" s="361"/>
      <c r="AF1955" s="245"/>
      <c r="AH1955" s="245"/>
    </row>
    <row r="1956" spans="1:34" ht="26.25">
      <c r="A1956" s="245"/>
      <c r="B1956" s="245"/>
      <c r="C1956" s="245"/>
      <c r="D1956" s="245"/>
      <c r="E1956" s="245"/>
      <c r="F1956" s="279"/>
      <c r="G1956" s="245"/>
      <c r="H1956" s="245"/>
      <c r="I1956" s="245"/>
      <c r="L1956" s="123"/>
      <c r="O1956" s="360"/>
      <c r="Q1956" s="351"/>
      <c r="R1956" s="363"/>
      <c r="S1956" s="325"/>
      <c r="T1956" s="85" ph="1"/>
      <c r="V1956" s="216"/>
      <c r="W1956" s="245"/>
      <c r="X1956" s="187"/>
      <c r="Y1956" s="245"/>
      <c r="Z1956" s="245"/>
      <c r="AA1956" s="329"/>
      <c r="AC1956" s="245"/>
      <c r="AD1956" s="187"/>
      <c r="AE1956" s="361"/>
      <c r="AF1956" s="245"/>
      <c r="AH1956" s="245"/>
    </row>
    <row r="1957" spans="1:34" ht="26.25">
      <c r="A1957" s="245"/>
      <c r="B1957" s="245"/>
      <c r="C1957" s="245"/>
      <c r="D1957" s="245"/>
      <c r="E1957" s="245"/>
      <c r="F1957" s="279"/>
      <c r="G1957" s="245"/>
      <c r="H1957" s="245"/>
      <c r="I1957" s="245"/>
      <c r="L1957" s="123"/>
      <c r="O1957" s="360"/>
      <c r="Q1957" s="351"/>
      <c r="R1957" s="363"/>
      <c r="S1957" s="325"/>
      <c r="T1957" s="85" ph="1"/>
      <c r="V1957" s="216"/>
      <c r="W1957" s="245"/>
      <c r="X1957" s="187"/>
      <c r="Y1957" s="245"/>
      <c r="Z1957" s="245"/>
      <c r="AA1957" s="329"/>
      <c r="AC1957" s="245"/>
      <c r="AD1957" s="187"/>
      <c r="AE1957" s="361"/>
      <c r="AF1957" s="245"/>
      <c r="AH1957" s="245"/>
    </row>
    <row r="1958" spans="1:34" ht="26.25">
      <c r="A1958" s="245"/>
      <c r="B1958" s="245"/>
      <c r="C1958" s="245"/>
      <c r="D1958" s="245"/>
      <c r="E1958" s="245"/>
      <c r="F1958" s="279"/>
      <c r="G1958" s="245"/>
      <c r="H1958" s="245"/>
      <c r="I1958" s="245"/>
      <c r="L1958" s="123"/>
      <c r="O1958" s="360"/>
      <c r="Q1958" s="351"/>
      <c r="R1958" s="363"/>
      <c r="S1958" s="325"/>
      <c r="T1958" s="85" ph="1"/>
      <c r="V1958" s="216"/>
      <c r="W1958" s="245"/>
      <c r="X1958" s="187"/>
      <c r="Y1958" s="245"/>
      <c r="Z1958" s="245"/>
      <c r="AA1958" s="329"/>
      <c r="AC1958" s="245"/>
      <c r="AD1958" s="187"/>
      <c r="AE1958" s="361"/>
      <c r="AF1958" s="245"/>
      <c r="AH1958" s="245"/>
    </row>
    <row r="1959" spans="1:34" ht="26.25">
      <c r="A1959" s="245"/>
      <c r="B1959" s="245"/>
      <c r="C1959" s="245"/>
      <c r="D1959" s="245"/>
      <c r="E1959" s="245"/>
      <c r="F1959" s="279"/>
      <c r="G1959" s="245"/>
      <c r="H1959" s="245"/>
      <c r="I1959" s="245"/>
      <c r="L1959" s="123"/>
      <c r="O1959" s="360"/>
      <c r="Q1959" s="351"/>
      <c r="R1959" s="363"/>
      <c r="S1959" s="325"/>
      <c r="T1959" s="85" ph="1"/>
      <c r="V1959" s="216"/>
      <c r="W1959" s="245"/>
      <c r="X1959" s="187"/>
      <c r="Y1959" s="245"/>
      <c r="Z1959" s="245"/>
      <c r="AA1959" s="329"/>
      <c r="AC1959" s="245"/>
      <c r="AD1959" s="187"/>
      <c r="AE1959" s="361"/>
      <c r="AF1959" s="245"/>
      <c r="AH1959" s="245"/>
    </row>
    <row r="1960" spans="1:34" ht="26.25">
      <c r="A1960" s="245"/>
      <c r="B1960" s="245"/>
      <c r="C1960" s="245"/>
      <c r="D1960" s="245"/>
      <c r="E1960" s="245"/>
      <c r="F1960" s="279"/>
      <c r="G1960" s="245"/>
      <c r="H1960" s="245"/>
      <c r="I1960" s="245"/>
      <c r="L1960" s="123"/>
      <c r="O1960" s="360"/>
      <c r="Q1960" s="351"/>
      <c r="R1960" s="363"/>
      <c r="S1960" s="325"/>
      <c r="T1960" s="85" ph="1"/>
      <c r="V1960" s="216"/>
      <c r="W1960" s="245"/>
      <c r="X1960" s="187"/>
      <c r="Y1960" s="245"/>
      <c r="Z1960" s="245"/>
      <c r="AA1960" s="329"/>
      <c r="AC1960" s="245"/>
      <c r="AD1960" s="187"/>
      <c r="AE1960" s="361"/>
      <c r="AF1960" s="245"/>
      <c r="AH1960" s="245"/>
    </row>
    <row r="1961" spans="1:34" ht="26.25">
      <c r="A1961" s="245"/>
      <c r="B1961" s="245"/>
      <c r="C1961" s="245"/>
      <c r="D1961" s="245"/>
      <c r="E1961" s="245"/>
      <c r="F1961" s="279"/>
      <c r="G1961" s="245"/>
      <c r="H1961" s="245"/>
      <c r="I1961" s="245"/>
      <c r="L1961" s="123"/>
      <c r="O1961" s="360"/>
      <c r="Q1961" s="351"/>
      <c r="R1961" s="363"/>
      <c r="S1961" s="325"/>
      <c r="T1961" s="85" ph="1"/>
      <c r="V1961" s="216"/>
      <c r="W1961" s="245"/>
      <c r="X1961" s="187"/>
      <c r="Y1961" s="245"/>
      <c r="Z1961" s="245"/>
      <c r="AA1961" s="329"/>
      <c r="AC1961" s="245"/>
      <c r="AD1961" s="187"/>
      <c r="AE1961" s="361"/>
      <c r="AF1961" s="245"/>
      <c r="AH1961" s="245"/>
    </row>
    <row r="1962" spans="1:34" ht="26.25">
      <c r="A1962" s="245"/>
      <c r="B1962" s="245"/>
      <c r="C1962" s="245"/>
      <c r="D1962" s="245"/>
      <c r="E1962" s="245"/>
      <c r="F1962" s="279"/>
      <c r="G1962" s="245"/>
      <c r="H1962" s="245"/>
      <c r="I1962" s="245"/>
      <c r="L1962" s="123"/>
      <c r="O1962" s="360"/>
      <c r="Q1962" s="351"/>
      <c r="R1962" s="363"/>
      <c r="S1962" s="325"/>
      <c r="T1962" s="85" ph="1"/>
      <c r="V1962" s="216"/>
      <c r="W1962" s="245"/>
      <c r="X1962" s="187"/>
      <c r="Y1962" s="245"/>
      <c r="Z1962" s="245"/>
      <c r="AA1962" s="329"/>
      <c r="AC1962" s="245"/>
      <c r="AD1962" s="187"/>
      <c r="AE1962" s="361"/>
      <c r="AF1962" s="245"/>
      <c r="AH1962" s="245"/>
    </row>
    <row r="1963" spans="1:34" ht="26.25">
      <c r="A1963" s="245"/>
      <c r="B1963" s="245"/>
      <c r="C1963" s="245"/>
      <c r="D1963" s="245"/>
      <c r="E1963" s="245"/>
      <c r="F1963" s="279"/>
      <c r="G1963" s="245"/>
      <c r="H1963" s="245"/>
      <c r="I1963" s="245"/>
      <c r="L1963" s="123"/>
      <c r="O1963" s="360"/>
      <c r="Q1963" s="351"/>
      <c r="R1963" s="363"/>
      <c r="S1963" s="325"/>
      <c r="T1963" s="85" ph="1"/>
      <c r="V1963" s="216"/>
      <c r="W1963" s="245"/>
      <c r="X1963" s="187"/>
      <c r="Y1963" s="245"/>
      <c r="Z1963" s="245"/>
      <c r="AA1963" s="329"/>
      <c r="AC1963" s="245"/>
      <c r="AD1963" s="187"/>
      <c r="AE1963" s="361"/>
      <c r="AF1963" s="245"/>
      <c r="AH1963" s="245"/>
    </row>
    <row r="1964" spans="1:34" ht="26.25">
      <c r="A1964" s="245"/>
      <c r="B1964" s="245"/>
      <c r="C1964" s="245"/>
      <c r="D1964" s="245"/>
      <c r="E1964" s="245"/>
      <c r="F1964" s="279"/>
      <c r="G1964" s="245"/>
      <c r="H1964" s="245"/>
      <c r="I1964" s="245"/>
      <c r="L1964" s="123"/>
      <c r="O1964" s="360"/>
      <c r="Q1964" s="351"/>
      <c r="R1964" s="363"/>
      <c r="S1964" s="325"/>
      <c r="T1964" s="85" ph="1"/>
      <c r="V1964" s="216"/>
      <c r="W1964" s="245"/>
      <c r="X1964" s="187"/>
      <c r="Y1964" s="245"/>
      <c r="Z1964" s="245"/>
      <c r="AA1964" s="329"/>
      <c r="AC1964" s="245"/>
      <c r="AD1964" s="187"/>
      <c r="AE1964" s="361"/>
      <c r="AF1964" s="245"/>
      <c r="AH1964" s="245"/>
    </row>
    <row r="1965" spans="1:34" ht="26.25">
      <c r="A1965" s="245"/>
      <c r="B1965" s="245"/>
      <c r="C1965" s="245"/>
      <c r="D1965" s="245"/>
      <c r="E1965" s="245"/>
      <c r="F1965" s="279"/>
      <c r="G1965" s="245"/>
      <c r="H1965" s="245"/>
      <c r="I1965" s="245"/>
      <c r="L1965" s="245"/>
      <c r="O1965" s="360"/>
      <c r="Q1965" s="351"/>
      <c r="R1965" s="363"/>
      <c r="S1965" s="325"/>
      <c r="T1965" s="85" ph="1"/>
      <c r="V1965" s="216"/>
      <c r="W1965" s="245"/>
      <c r="X1965" s="187"/>
      <c r="Y1965" s="245"/>
      <c r="Z1965" s="245"/>
      <c r="AA1965" s="329"/>
      <c r="AC1965" s="245"/>
      <c r="AD1965" s="187"/>
      <c r="AE1965" s="361"/>
      <c r="AF1965" s="245"/>
      <c r="AH1965" s="245"/>
    </row>
    <row r="1966" spans="1:34" ht="26.25">
      <c r="A1966" s="245"/>
      <c r="B1966" s="245"/>
      <c r="C1966" s="245"/>
      <c r="D1966" s="245"/>
      <c r="E1966" s="245"/>
      <c r="F1966" s="279"/>
      <c r="G1966" s="245"/>
      <c r="H1966" s="245"/>
      <c r="I1966" s="245"/>
      <c r="L1966" s="245"/>
      <c r="O1966" s="360"/>
      <c r="Q1966" s="351"/>
      <c r="R1966" s="363"/>
      <c r="S1966" s="325"/>
      <c r="T1966" s="85" ph="1"/>
      <c r="V1966" s="216"/>
      <c r="W1966" s="245"/>
      <c r="X1966" s="187"/>
      <c r="Y1966" s="245"/>
      <c r="Z1966" s="245"/>
      <c r="AA1966" s="329"/>
      <c r="AC1966" s="245"/>
      <c r="AD1966" s="187"/>
      <c r="AE1966" s="361"/>
      <c r="AF1966" s="245"/>
      <c r="AH1966" s="245"/>
    </row>
    <row r="1967" spans="1:34" ht="26.25">
      <c r="A1967" s="245"/>
      <c r="B1967" s="245"/>
      <c r="C1967" s="245"/>
      <c r="D1967" s="245"/>
      <c r="E1967" s="245"/>
      <c r="F1967" s="279"/>
      <c r="G1967" s="245"/>
      <c r="H1967" s="245"/>
      <c r="I1967" s="245"/>
      <c r="L1967" s="245"/>
      <c r="O1967" s="360"/>
      <c r="Q1967" s="351"/>
      <c r="R1967" s="363"/>
      <c r="S1967" s="325"/>
      <c r="T1967" s="85" ph="1"/>
      <c r="V1967" s="216"/>
      <c r="W1967" s="245"/>
      <c r="X1967" s="187"/>
      <c r="Y1967" s="245"/>
      <c r="Z1967" s="245"/>
      <c r="AA1967" s="329"/>
      <c r="AC1967" s="245"/>
      <c r="AD1967" s="187"/>
      <c r="AE1967" s="361"/>
      <c r="AF1967" s="245"/>
      <c r="AH1967" s="245"/>
    </row>
    <row r="1968" spans="1:34" ht="26.25">
      <c r="A1968" s="245"/>
      <c r="B1968" s="245"/>
      <c r="C1968" s="245"/>
      <c r="D1968" s="245"/>
      <c r="E1968" s="245"/>
      <c r="F1968" s="279"/>
      <c r="G1968" s="245"/>
      <c r="H1968" s="245"/>
      <c r="I1968" s="245"/>
      <c r="L1968" s="245"/>
      <c r="O1968" s="360"/>
      <c r="Q1968" s="351"/>
      <c r="R1968" s="363"/>
      <c r="S1968" s="325"/>
      <c r="T1968" s="85" ph="1"/>
      <c r="V1968" s="216"/>
      <c r="W1968" s="245"/>
      <c r="X1968" s="187"/>
      <c r="Y1968" s="245"/>
      <c r="Z1968" s="245"/>
      <c r="AA1968" s="329"/>
      <c r="AC1968" s="245"/>
      <c r="AD1968" s="187"/>
      <c r="AE1968" s="361"/>
      <c r="AF1968" s="245"/>
      <c r="AH1968" s="245"/>
    </row>
    <row r="1969" spans="1:34" ht="26.25">
      <c r="A1969" s="245"/>
      <c r="B1969" s="245"/>
      <c r="C1969" s="245"/>
      <c r="D1969" s="245"/>
      <c r="E1969" s="245"/>
      <c r="F1969" s="279"/>
      <c r="G1969" s="245"/>
      <c r="H1969" s="245"/>
      <c r="I1969" s="245"/>
      <c r="L1969" s="245"/>
      <c r="O1969" s="360"/>
      <c r="Q1969" s="351"/>
      <c r="R1969" s="363"/>
      <c r="S1969" s="325"/>
      <c r="T1969" s="85" ph="1"/>
      <c r="V1969" s="216"/>
      <c r="W1969" s="245"/>
      <c r="X1969" s="187"/>
      <c r="Y1969" s="245"/>
      <c r="Z1969" s="245"/>
      <c r="AA1969" s="329"/>
      <c r="AC1969" s="245"/>
      <c r="AD1969" s="187"/>
      <c r="AE1969" s="361"/>
      <c r="AF1969" s="245"/>
      <c r="AH1969" s="245"/>
    </row>
    <row r="1970" spans="1:34" ht="26.25">
      <c r="A1970" s="245"/>
      <c r="B1970" s="245"/>
      <c r="C1970" s="245"/>
      <c r="D1970" s="245"/>
      <c r="E1970" s="245"/>
      <c r="F1970" s="279"/>
      <c r="G1970" s="245"/>
      <c r="H1970" s="245"/>
      <c r="I1970" s="245"/>
      <c r="L1970" s="245"/>
      <c r="O1970" s="360"/>
      <c r="Q1970" s="351"/>
      <c r="R1970" s="363"/>
      <c r="S1970" s="325"/>
      <c r="T1970" s="85" ph="1"/>
      <c r="V1970" s="216"/>
      <c r="W1970" s="245"/>
      <c r="X1970" s="187"/>
      <c r="Y1970" s="245"/>
      <c r="Z1970" s="245"/>
      <c r="AA1970" s="329"/>
      <c r="AC1970" s="245"/>
      <c r="AD1970" s="187"/>
      <c r="AE1970" s="361"/>
      <c r="AF1970" s="245"/>
      <c r="AH1970" s="245"/>
    </row>
    <row r="1971" spans="1:34" ht="26.25">
      <c r="A1971" s="245"/>
      <c r="B1971" s="245"/>
      <c r="C1971" s="245"/>
      <c r="D1971" s="245"/>
      <c r="E1971" s="245"/>
      <c r="F1971" s="279"/>
      <c r="G1971" s="245"/>
      <c r="H1971" s="245"/>
      <c r="I1971" s="245"/>
      <c r="L1971" s="245"/>
      <c r="O1971" s="360"/>
      <c r="Q1971" s="351"/>
      <c r="R1971" s="363"/>
      <c r="S1971" s="325"/>
      <c r="T1971" s="85" ph="1"/>
      <c r="V1971" s="216"/>
      <c r="W1971" s="245"/>
      <c r="X1971" s="187"/>
      <c r="Y1971" s="245"/>
      <c r="Z1971" s="245"/>
      <c r="AA1971" s="329"/>
      <c r="AC1971" s="245"/>
      <c r="AD1971" s="187"/>
      <c r="AE1971" s="361"/>
      <c r="AF1971" s="245"/>
      <c r="AH1971" s="245"/>
    </row>
    <row r="1972" spans="1:34" ht="26.25">
      <c r="A1972" s="245"/>
      <c r="B1972" s="245"/>
      <c r="C1972" s="245"/>
      <c r="D1972" s="245"/>
      <c r="E1972" s="245"/>
      <c r="F1972" s="279"/>
      <c r="G1972" s="245"/>
      <c r="H1972" s="245"/>
      <c r="I1972" s="245"/>
      <c r="L1972" s="245"/>
      <c r="O1972" s="360"/>
      <c r="Q1972" s="351"/>
      <c r="R1972" s="363"/>
      <c r="S1972" s="325"/>
      <c r="T1972" s="85" ph="1"/>
      <c r="V1972" s="216"/>
      <c r="W1972" s="245"/>
      <c r="X1972" s="187"/>
      <c r="Y1972" s="245"/>
      <c r="Z1972" s="245"/>
      <c r="AA1972" s="329"/>
      <c r="AC1972" s="245"/>
      <c r="AD1972" s="187"/>
      <c r="AE1972" s="361"/>
      <c r="AF1972" s="245"/>
      <c r="AH1972" s="245"/>
    </row>
    <row r="1973" spans="1:34" ht="26.25">
      <c r="A1973" s="245"/>
      <c r="B1973" s="245"/>
      <c r="C1973" s="245"/>
      <c r="D1973" s="245"/>
      <c r="E1973" s="245"/>
      <c r="F1973" s="279"/>
      <c r="G1973" s="245"/>
      <c r="H1973" s="245"/>
      <c r="I1973" s="245"/>
      <c r="L1973" s="245"/>
      <c r="O1973" s="360"/>
      <c r="Q1973" s="351"/>
      <c r="R1973" s="363"/>
      <c r="S1973" s="325"/>
      <c r="T1973" s="85" ph="1"/>
      <c r="V1973" s="216"/>
      <c r="W1973" s="245"/>
      <c r="X1973" s="187"/>
      <c r="Y1973" s="245"/>
      <c r="Z1973" s="245"/>
      <c r="AA1973" s="329"/>
      <c r="AC1973" s="245"/>
      <c r="AD1973" s="187"/>
      <c r="AE1973" s="361"/>
      <c r="AF1973" s="245"/>
      <c r="AH1973" s="245"/>
    </row>
    <row r="1974" spans="1:34" ht="26.25">
      <c r="A1974" s="245"/>
      <c r="B1974" s="245"/>
      <c r="C1974" s="245"/>
      <c r="D1974" s="245"/>
      <c r="E1974" s="245"/>
      <c r="F1974" s="279"/>
      <c r="G1974" s="245"/>
      <c r="H1974" s="245"/>
      <c r="I1974" s="245"/>
      <c r="L1974" s="123"/>
      <c r="O1974" s="360"/>
      <c r="Q1974" s="351"/>
      <c r="R1974" s="363"/>
      <c r="S1974" s="325"/>
      <c r="T1974" s="85" ph="1"/>
      <c r="V1974" s="216"/>
      <c r="W1974" s="245"/>
      <c r="X1974" s="187"/>
      <c r="Y1974" s="245"/>
      <c r="Z1974" s="245"/>
      <c r="AA1974" s="329"/>
      <c r="AC1974" s="245"/>
      <c r="AD1974" s="187"/>
      <c r="AE1974" s="361"/>
      <c r="AF1974" s="245"/>
      <c r="AH1974" s="245"/>
    </row>
    <row r="1975" spans="1:34" ht="26.25">
      <c r="A1975" s="245"/>
      <c r="B1975" s="245"/>
      <c r="C1975" s="245"/>
      <c r="D1975" s="245"/>
      <c r="E1975" s="245"/>
      <c r="F1975" s="279"/>
      <c r="G1975" s="245"/>
      <c r="H1975" s="245"/>
      <c r="I1975" s="245"/>
      <c r="L1975" s="245"/>
      <c r="O1975" s="360"/>
      <c r="Q1975" s="351"/>
      <c r="R1975" s="363"/>
      <c r="S1975" s="325"/>
      <c r="T1975" s="85" ph="1"/>
      <c r="V1975" s="216"/>
      <c r="W1975" s="245"/>
      <c r="X1975" s="187"/>
      <c r="Y1975" s="245"/>
      <c r="Z1975" s="245"/>
      <c r="AA1975" s="329"/>
      <c r="AC1975" s="245"/>
      <c r="AD1975" s="187"/>
      <c r="AE1975" s="361"/>
      <c r="AF1975" s="245"/>
      <c r="AH1975" s="245"/>
    </row>
    <row r="1976" spans="1:34" ht="26.25">
      <c r="A1976" s="245"/>
      <c r="B1976" s="245"/>
      <c r="C1976" s="245"/>
      <c r="D1976" s="245"/>
      <c r="E1976" s="245"/>
      <c r="F1976" s="279"/>
      <c r="G1976" s="245"/>
      <c r="H1976" s="245"/>
      <c r="I1976" s="245"/>
      <c r="L1976" s="245"/>
      <c r="O1976" s="360"/>
      <c r="Q1976" s="351"/>
      <c r="R1976" s="363"/>
      <c r="S1976" s="325"/>
      <c r="T1976" s="85" ph="1"/>
      <c r="V1976" s="216"/>
      <c r="W1976" s="245"/>
      <c r="X1976" s="187"/>
      <c r="Y1976" s="245"/>
      <c r="Z1976" s="245"/>
      <c r="AA1976" s="329"/>
      <c r="AC1976" s="245"/>
      <c r="AD1976" s="187"/>
      <c r="AE1976" s="361"/>
      <c r="AF1976" s="245"/>
      <c r="AH1976" s="245"/>
    </row>
    <row r="1977" spans="1:34" ht="26.25">
      <c r="A1977" s="245"/>
      <c r="B1977" s="245"/>
      <c r="C1977" s="245"/>
      <c r="D1977" s="245"/>
      <c r="E1977" s="245"/>
      <c r="F1977" s="279"/>
      <c r="G1977" s="245"/>
      <c r="H1977" s="245"/>
      <c r="I1977" s="245"/>
      <c r="L1977" s="245"/>
      <c r="O1977" s="360"/>
      <c r="Q1977" s="351"/>
      <c r="R1977" s="363"/>
      <c r="S1977" s="325"/>
      <c r="T1977" s="85" ph="1"/>
      <c r="V1977" s="216"/>
      <c r="W1977" s="245"/>
      <c r="X1977" s="187"/>
      <c r="Y1977" s="245"/>
      <c r="Z1977" s="245"/>
      <c r="AA1977" s="329"/>
      <c r="AC1977" s="245"/>
      <c r="AD1977" s="187"/>
      <c r="AE1977" s="361"/>
      <c r="AF1977" s="245"/>
      <c r="AH1977" s="245"/>
    </row>
    <row r="1978" spans="1:34" ht="26.25">
      <c r="A1978" s="245"/>
      <c r="B1978" s="245"/>
      <c r="C1978" s="245"/>
      <c r="D1978" s="245"/>
      <c r="E1978" s="245"/>
      <c r="F1978" s="279"/>
      <c r="G1978" s="245"/>
      <c r="H1978" s="245"/>
      <c r="I1978" s="245"/>
      <c r="L1978" s="123"/>
      <c r="O1978" s="360"/>
      <c r="Q1978" s="351"/>
      <c r="R1978" s="363"/>
      <c r="S1978" s="325"/>
      <c r="T1978" s="85" ph="1"/>
      <c r="V1978" s="216"/>
      <c r="W1978" s="245"/>
      <c r="X1978" s="187"/>
      <c r="Y1978" s="245"/>
      <c r="Z1978" s="245"/>
      <c r="AA1978" s="329"/>
      <c r="AC1978" s="245"/>
      <c r="AD1978" s="187"/>
      <c r="AE1978" s="361"/>
      <c r="AF1978" s="245"/>
      <c r="AH1978" s="245"/>
    </row>
    <row r="1979" spans="1:34" ht="26.25">
      <c r="A1979" s="245"/>
      <c r="B1979" s="245"/>
      <c r="C1979" s="245"/>
      <c r="D1979" s="245"/>
      <c r="E1979" s="245"/>
      <c r="F1979" s="279"/>
      <c r="G1979" s="245"/>
      <c r="H1979" s="245"/>
      <c r="I1979" s="245"/>
      <c r="L1979" s="245"/>
      <c r="O1979" s="360"/>
      <c r="Q1979" s="351"/>
      <c r="R1979" s="363"/>
      <c r="S1979" s="325"/>
      <c r="T1979" s="85" ph="1"/>
      <c r="V1979" s="216"/>
      <c r="W1979" s="245"/>
      <c r="X1979" s="187"/>
      <c r="Y1979" s="245"/>
      <c r="Z1979" s="245"/>
      <c r="AA1979" s="329"/>
      <c r="AC1979" s="245"/>
      <c r="AD1979" s="187"/>
      <c r="AE1979" s="361"/>
      <c r="AF1979" s="245"/>
      <c r="AH1979" s="245"/>
    </row>
    <row r="1980" spans="1:34" ht="26.25">
      <c r="A1980" s="245"/>
      <c r="B1980" s="245"/>
      <c r="C1980" s="245"/>
      <c r="D1980" s="245"/>
      <c r="E1980" s="245"/>
      <c r="F1980" s="279"/>
      <c r="G1980" s="245"/>
      <c r="H1980" s="245"/>
      <c r="I1980" s="245"/>
      <c r="L1980" s="245"/>
      <c r="O1980" s="360"/>
      <c r="Q1980" s="351"/>
      <c r="R1980" s="363"/>
      <c r="S1980" s="325"/>
      <c r="T1980" s="85" ph="1"/>
      <c r="V1980" s="216"/>
      <c r="W1980" s="245"/>
      <c r="X1980" s="187"/>
      <c r="Y1980" s="245"/>
      <c r="Z1980" s="245"/>
      <c r="AA1980" s="329"/>
      <c r="AC1980" s="245"/>
      <c r="AD1980" s="187"/>
      <c r="AE1980" s="361"/>
      <c r="AF1980" s="245"/>
      <c r="AH1980" s="245"/>
    </row>
    <row r="1981" spans="1:34" ht="26.25">
      <c r="A1981" s="245"/>
      <c r="B1981" s="245"/>
      <c r="C1981" s="245"/>
      <c r="D1981" s="245"/>
      <c r="E1981" s="245"/>
      <c r="F1981" s="279"/>
      <c r="G1981" s="245"/>
      <c r="H1981" s="245"/>
      <c r="I1981" s="245"/>
      <c r="L1981" s="123"/>
      <c r="O1981" s="360"/>
      <c r="Q1981" s="351"/>
      <c r="R1981" s="363"/>
      <c r="S1981" s="325"/>
      <c r="T1981" s="85" ph="1"/>
      <c r="V1981" s="216"/>
      <c r="W1981" s="245"/>
      <c r="X1981" s="187"/>
      <c r="Y1981" s="245"/>
      <c r="Z1981" s="245"/>
      <c r="AA1981" s="329"/>
      <c r="AC1981" s="245"/>
      <c r="AD1981" s="187"/>
      <c r="AE1981" s="361"/>
      <c r="AF1981" s="245"/>
      <c r="AH1981" s="245"/>
    </row>
    <row r="1982" spans="1:34" ht="26.25">
      <c r="A1982" s="245"/>
      <c r="B1982" s="245"/>
      <c r="C1982" s="245"/>
      <c r="D1982" s="245"/>
      <c r="E1982" s="245"/>
      <c r="F1982" s="279"/>
      <c r="G1982" s="245"/>
      <c r="H1982" s="245"/>
      <c r="I1982" s="245"/>
      <c r="L1982" s="123"/>
      <c r="O1982" s="360"/>
      <c r="Q1982" s="351"/>
      <c r="R1982" s="363"/>
      <c r="S1982" s="325"/>
      <c r="T1982" s="85" ph="1"/>
      <c r="V1982" s="216"/>
      <c r="W1982" s="245"/>
      <c r="X1982" s="187"/>
      <c r="Y1982" s="245"/>
      <c r="Z1982" s="245"/>
      <c r="AA1982" s="329"/>
      <c r="AC1982" s="245"/>
      <c r="AD1982" s="187"/>
      <c r="AE1982" s="361"/>
      <c r="AF1982" s="245"/>
      <c r="AH1982" s="245"/>
    </row>
    <row r="1983" spans="1:34" ht="26.25">
      <c r="A1983" s="245"/>
      <c r="B1983" s="245"/>
      <c r="C1983" s="245"/>
      <c r="D1983" s="245"/>
      <c r="E1983" s="245"/>
      <c r="F1983" s="279"/>
      <c r="G1983" s="245"/>
      <c r="H1983" s="245"/>
      <c r="I1983" s="245"/>
      <c r="O1983" s="360"/>
      <c r="Q1983" s="351"/>
      <c r="R1983" s="363"/>
      <c r="S1983" s="325"/>
      <c r="T1983" s="85" ph="1"/>
      <c r="V1983" s="216"/>
      <c r="W1983" s="245"/>
      <c r="X1983" s="187"/>
      <c r="Y1983" s="245"/>
      <c r="Z1983" s="245"/>
      <c r="AA1983" s="329"/>
      <c r="AC1983" s="245"/>
      <c r="AD1983" s="187"/>
      <c r="AE1983" s="361"/>
      <c r="AF1983" s="245"/>
      <c r="AH1983" s="245"/>
    </row>
    <row r="1984" spans="1:34" ht="26.25">
      <c r="A1984" s="245"/>
      <c r="B1984" s="245"/>
      <c r="C1984" s="245"/>
      <c r="D1984" s="245"/>
      <c r="E1984" s="245"/>
      <c r="F1984" s="279"/>
      <c r="G1984" s="245"/>
      <c r="H1984" s="245"/>
      <c r="I1984" s="245"/>
      <c r="O1984" s="360"/>
      <c r="Q1984" s="351"/>
      <c r="R1984" s="363"/>
      <c r="S1984" s="325"/>
      <c r="T1984" s="85" ph="1"/>
      <c r="V1984" s="216"/>
      <c r="W1984" s="245"/>
      <c r="X1984" s="187"/>
      <c r="Y1984" s="245"/>
      <c r="Z1984" s="245"/>
      <c r="AA1984" s="329"/>
      <c r="AC1984" s="245"/>
      <c r="AD1984" s="187"/>
      <c r="AE1984" s="361"/>
      <c r="AF1984" s="245"/>
      <c r="AH1984" s="245"/>
    </row>
    <row r="1985" spans="1:34" ht="26.25">
      <c r="A1985" s="245"/>
      <c r="B1985" s="245"/>
      <c r="C1985" s="245"/>
      <c r="D1985" s="245"/>
      <c r="E1985" s="245"/>
      <c r="F1985" s="279"/>
      <c r="G1985" s="245"/>
      <c r="H1985" s="245"/>
      <c r="I1985" s="245"/>
      <c r="O1985" s="360"/>
      <c r="Q1985" s="351"/>
      <c r="R1985" s="363"/>
      <c r="S1985" s="325"/>
      <c r="T1985" s="85" ph="1"/>
      <c r="V1985" s="216"/>
      <c r="W1985" s="245"/>
      <c r="X1985" s="187"/>
      <c r="Y1985" s="245"/>
      <c r="Z1985" s="245"/>
      <c r="AA1985" s="329"/>
      <c r="AC1985" s="245"/>
      <c r="AD1985" s="187"/>
      <c r="AE1985" s="361"/>
      <c r="AF1985" s="245"/>
      <c r="AH1985" s="245"/>
    </row>
    <row r="1986" spans="1:34" ht="26.25">
      <c r="A1986" s="245"/>
      <c r="B1986" s="245"/>
      <c r="C1986" s="245"/>
      <c r="D1986" s="245"/>
      <c r="E1986" s="245"/>
      <c r="F1986" s="279"/>
      <c r="G1986" s="245"/>
      <c r="H1986" s="245"/>
      <c r="I1986" s="245"/>
      <c r="O1986" s="360"/>
      <c r="Q1986" s="351"/>
      <c r="R1986" s="363"/>
      <c r="S1986" s="325"/>
      <c r="T1986" s="85" ph="1"/>
      <c r="V1986" s="216"/>
      <c r="W1986" s="245"/>
      <c r="X1986" s="187"/>
      <c r="Y1986" s="245"/>
      <c r="Z1986" s="245"/>
      <c r="AA1986" s="329"/>
      <c r="AC1986" s="245"/>
      <c r="AD1986" s="187"/>
      <c r="AE1986" s="361"/>
      <c r="AF1986" s="245"/>
      <c r="AH1986" s="245"/>
    </row>
    <row r="1987" spans="1:34" ht="26.25">
      <c r="A1987" s="245"/>
      <c r="B1987" s="245"/>
      <c r="C1987" s="245"/>
      <c r="D1987" s="245"/>
      <c r="E1987" s="245"/>
      <c r="F1987" s="279"/>
      <c r="G1987" s="245"/>
      <c r="H1987" s="245"/>
      <c r="I1987" s="245"/>
      <c r="O1987" s="360"/>
      <c r="Q1987" s="351"/>
      <c r="R1987" s="363"/>
      <c r="S1987" s="325"/>
      <c r="T1987" s="85" ph="1"/>
      <c r="V1987" s="216"/>
      <c r="W1987" s="245"/>
      <c r="X1987" s="187"/>
      <c r="Y1987" s="245"/>
      <c r="Z1987" s="245"/>
      <c r="AA1987" s="329"/>
      <c r="AC1987" s="245"/>
      <c r="AD1987" s="187"/>
      <c r="AE1987" s="361"/>
      <c r="AF1987" s="245"/>
      <c r="AH1987" s="245"/>
    </row>
    <row r="1988" spans="1:34" ht="26.25">
      <c r="A1988" s="245"/>
      <c r="B1988" s="245"/>
      <c r="C1988" s="245"/>
      <c r="D1988" s="245"/>
      <c r="E1988" s="245"/>
      <c r="F1988" s="279"/>
      <c r="G1988" s="245"/>
      <c r="H1988" s="245"/>
      <c r="I1988" s="245"/>
      <c r="O1988" s="360"/>
      <c r="Q1988" s="351"/>
      <c r="R1988" s="363"/>
      <c r="S1988" s="325"/>
      <c r="T1988" s="85" ph="1"/>
      <c r="V1988" s="216"/>
      <c r="W1988" s="245"/>
      <c r="X1988" s="187"/>
      <c r="Y1988" s="245"/>
      <c r="Z1988" s="245"/>
      <c r="AA1988" s="329"/>
      <c r="AC1988" s="245"/>
      <c r="AD1988" s="187"/>
      <c r="AE1988" s="361"/>
      <c r="AF1988" s="245"/>
      <c r="AH1988" s="245"/>
    </row>
    <row r="1989" spans="1:34" ht="26.25">
      <c r="A1989" s="245"/>
      <c r="B1989" s="245"/>
      <c r="C1989" s="245"/>
      <c r="D1989" s="245"/>
      <c r="E1989" s="245"/>
      <c r="F1989" s="279"/>
      <c r="G1989" s="245"/>
      <c r="H1989" s="245"/>
      <c r="I1989" s="245"/>
      <c r="O1989" s="360"/>
      <c r="Q1989" s="351"/>
      <c r="R1989" s="363"/>
      <c r="S1989" s="325"/>
      <c r="T1989" s="85" ph="1"/>
      <c r="V1989" s="216"/>
      <c r="W1989" s="245"/>
      <c r="X1989" s="187"/>
      <c r="Y1989" s="245"/>
      <c r="Z1989" s="245"/>
      <c r="AA1989" s="329"/>
      <c r="AC1989" s="245"/>
      <c r="AD1989" s="187"/>
      <c r="AE1989" s="361"/>
      <c r="AF1989" s="245"/>
      <c r="AH1989" s="245"/>
    </row>
    <row r="1990" spans="1:34" ht="26.25">
      <c r="A1990" s="245"/>
      <c r="B1990" s="245"/>
      <c r="C1990" s="245"/>
      <c r="D1990" s="245"/>
      <c r="E1990" s="245"/>
      <c r="F1990" s="279"/>
      <c r="G1990" s="245"/>
      <c r="H1990" s="245"/>
      <c r="I1990" s="245"/>
      <c r="O1990" s="360"/>
      <c r="Q1990" s="351"/>
      <c r="R1990" s="363"/>
      <c r="S1990" s="325"/>
      <c r="T1990" s="85" ph="1"/>
      <c r="V1990" s="216"/>
      <c r="W1990" s="245"/>
      <c r="X1990" s="187"/>
      <c r="Y1990" s="245"/>
      <c r="Z1990" s="245"/>
      <c r="AA1990" s="329"/>
      <c r="AC1990" s="245"/>
      <c r="AD1990" s="187"/>
      <c r="AE1990" s="361"/>
      <c r="AF1990" s="245"/>
      <c r="AH1990" s="245"/>
    </row>
    <row r="1991" spans="1:34" ht="26.25">
      <c r="A1991" s="245"/>
      <c r="B1991" s="245"/>
      <c r="C1991" s="245"/>
      <c r="D1991" s="245"/>
      <c r="E1991" s="245"/>
      <c r="F1991" s="279"/>
      <c r="G1991" s="245"/>
      <c r="H1991" s="245"/>
      <c r="I1991" s="245"/>
      <c r="O1991" s="360"/>
      <c r="Q1991" s="351"/>
      <c r="R1991" s="363"/>
      <c r="S1991" s="325"/>
      <c r="T1991" s="85" ph="1"/>
      <c r="V1991" s="216"/>
      <c r="W1991" s="245"/>
      <c r="X1991" s="187"/>
      <c r="Y1991" s="245"/>
      <c r="Z1991" s="245"/>
      <c r="AA1991" s="329"/>
      <c r="AC1991" s="245"/>
      <c r="AD1991" s="187"/>
      <c r="AE1991" s="361"/>
      <c r="AF1991" s="245"/>
      <c r="AH1991" s="245"/>
    </row>
    <row r="1992" spans="1:34" ht="26.25">
      <c r="A1992" s="245"/>
      <c r="B1992" s="245"/>
      <c r="C1992" s="245"/>
      <c r="D1992" s="245"/>
      <c r="E1992" s="245"/>
      <c r="F1992" s="279"/>
      <c r="G1992" s="245"/>
      <c r="H1992" s="245"/>
      <c r="I1992" s="245"/>
      <c r="O1992" s="360"/>
      <c r="Q1992" s="351"/>
      <c r="R1992" s="363"/>
      <c r="S1992" s="325"/>
      <c r="T1992" s="85" ph="1"/>
      <c r="V1992" s="216"/>
      <c r="W1992" s="245"/>
      <c r="X1992" s="187"/>
      <c r="Y1992" s="245"/>
      <c r="Z1992" s="245"/>
      <c r="AA1992" s="329"/>
      <c r="AC1992" s="245"/>
      <c r="AD1992" s="187"/>
      <c r="AE1992" s="361"/>
      <c r="AF1992" s="245"/>
      <c r="AH1992" s="245"/>
    </row>
    <row r="1993" spans="1:34" ht="26.25">
      <c r="A1993" s="245"/>
      <c r="B1993" s="245"/>
      <c r="C1993" s="245"/>
      <c r="D1993" s="245"/>
      <c r="E1993" s="245"/>
      <c r="F1993" s="279"/>
      <c r="G1993" s="245"/>
      <c r="H1993" s="245"/>
      <c r="I1993" s="245"/>
      <c r="O1993" s="360"/>
      <c r="Q1993" s="351"/>
      <c r="R1993" s="363"/>
      <c r="S1993" s="325"/>
      <c r="T1993" s="85" ph="1"/>
      <c r="V1993" s="216"/>
      <c r="W1993" s="245"/>
      <c r="X1993" s="187"/>
      <c r="Y1993" s="245"/>
      <c r="Z1993" s="245"/>
      <c r="AA1993" s="329"/>
      <c r="AC1993" s="245"/>
      <c r="AD1993" s="187"/>
      <c r="AE1993" s="361"/>
      <c r="AF1993" s="245"/>
      <c r="AH1993" s="245"/>
    </row>
    <row r="1994" spans="1:34" ht="26.25">
      <c r="A1994" s="245"/>
      <c r="B1994" s="245"/>
      <c r="C1994" s="245"/>
      <c r="D1994" s="245"/>
      <c r="E1994" s="245"/>
      <c r="F1994" s="279"/>
      <c r="G1994" s="245"/>
      <c r="H1994" s="245"/>
      <c r="I1994" s="245"/>
      <c r="O1994" s="360"/>
      <c r="Q1994" s="351"/>
      <c r="R1994" s="363"/>
      <c r="S1994" s="325"/>
      <c r="T1994" s="85" ph="1"/>
      <c r="V1994" s="216"/>
      <c r="W1994" s="245"/>
      <c r="X1994" s="187"/>
      <c r="Y1994" s="245"/>
      <c r="Z1994" s="245"/>
      <c r="AA1994" s="329"/>
      <c r="AC1994" s="245"/>
      <c r="AD1994" s="187"/>
      <c r="AE1994" s="361"/>
      <c r="AF1994" s="245"/>
      <c r="AH1994" s="245"/>
    </row>
    <row r="1995" spans="1:34" ht="26.25">
      <c r="A1995" s="245"/>
      <c r="B1995" s="245"/>
      <c r="C1995" s="245"/>
      <c r="D1995" s="245"/>
      <c r="E1995" s="245"/>
      <c r="F1995" s="279"/>
      <c r="G1995" s="245"/>
      <c r="H1995" s="245"/>
      <c r="I1995" s="245"/>
      <c r="O1995" s="360"/>
      <c r="Q1995" s="351"/>
      <c r="R1995" s="363"/>
      <c r="S1995" s="325"/>
      <c r="T1995" s="85" ph="1"/>
      <c r="V1995" s="216"/>
      <c r="W1995" s="245"/>
      <c r="X1995" s="187"/>
      <c r="Y1995" s="245"/>
      <c r="Z1995" s="245"/>
      <c r="AA1995" s="329"/>
      <c r="AC1995" s="245"/>
      <c r="AD1995" s="187"/>
      <c r="AE1995" s="361"/>
      <c r="AF1995" s="245"/>
      <c r="AH1995" s="245"/>
    </row>
    <row r="1996" spans="1:34" ht="26.25">
      <c r="A1996" s="245"/>
      <c r="B1996" s="245"/>
      <c r="C1996" s="245"/>
      <c r="D1996" s="245"/>
      <c r="E1996" s="245"/>
      <c r="F1996" s="279"/>
      <c r="G1996" s="245"/>
      <c r="H1996" s="245"/>
      <c r="I1996" s="245"/>
      <c r="O1996" s="360"/>
      <c r="Q1996" s="351"/>
      <c r="R1996" s="363"/>
      <c r="S1996" s="325"/>
      <c r="T1996" s="85" ph="1"/>
      <c r="V1996" s="216"/>
      <c r="W1996" s="245"/>
      <c r="X1996" s="187"/>
      <c r="Y1996" s="245"/>
      <c r="Z1996" s="245"/>
      <c r="AA1996" s="329"/>
      <c r="AC1996" s="245"/>
      <c r="AD1996" s="187"/>
      <c r="AE1996" s="361"/>
      <c r="AF1996" s="245"/>
      <c r="AH1996" s="245"/>
    </row>
    <row r="1997" spans="1:34" ht="26.25">
      <c r="A1997" s="245"/>
      <c r="B1997" s="245"/>
      <c r="C1997" s="245"/>
      <c r="D1997" s="245"/>
      <c r="E1997" s="245"/>
      <c r="F1997" s="279"/>
      <c r="G1997" s="245"/>
      <c r="H1997" s="245"/>
      <c r="I1997" s="245"/>
      <c r="O1997" s="360"/>
      <c r="Q1997" s="351"/>
      <c r="R1997" s="363"/>
      <c r="S1997" s="325"/>
      <c r="T1997" s="85" ph="1"/>
      <c r="V1997" s="216"/>
      <c r="W1997" s="245"/>
      <c r="X1997" s="187"/>
      <c r="Y1997" s="245"/>
      <c r="Z1997" s="245"/>
      <c r="AA1997" s="329"/>
      <c r="AC1997" s="245"/>
      <c r="AD1997" s="187"/>
      <c r="AE1997" s="361"/>
      <c r="AF1997" s="245"/>
      <c r="AH1997" s="245"/>
    </row>
    <row r="1998" spans="1:34" ht="26.25">
      <c r="A1998" s="245"/>
      <c r="B1998" s="245"/>
      <c r="C1998" s="245"/>
      <c r="D1998" s="245"/>
      <c r="E1998" s="245"/>
      <c r="F1998" s="279"/>
      <c r="G1998" s="245"/>
      <c r="H1998" s="245"/>
      <c r="I1998" s="245"/>
      <c r="O1998" s="360"/>
      <c r="Q1998" s="351"/>
      <c r="R1998" s="363"/>
      <c r="S1998" s="325"/>
      <c r="T1998" s="85" ph="1"/>
      <c r="V1998" s="216"/>
      <c r="W1998" s="245"/>
      <c r="X1998" s="187"/>
      <c r="Y1998" s="245"/>
      <c r="Z1998" s="245"/>
      <c r="AA1998" s="329"/>
      <c r="AC1998" s="245"/>
      <c r="AD1998" s="187"/>
      <c r="AE1998" s="361"/>
      <c r="AF1998" s="245"/>
      <c r="AH1998" s="245"/>
    </row>
    <row r="1999" spans="1:34" ht="26.25">
      <c r="A1999" s="245"/>
      <c r="B1999" s="245"/>
      <c r="C1999" s="245"/>
      <c r="D1999" s="245"/>
      <c r="E1999" s="245"/>
      <c r="F1999" s="279"/>
      <c r="G1999" s="245"/>
      <c r="H1999" s="245"/>
      <c r="I1999" s="245"/>
      <c r="O1999" s="360"/>
      <c r="Q1999" s="351"/>
      <c r="R1999" s="363"/>
      <c r="S1999" s="325"/>
      <c r="T1999" s="85" ph="1"/>
      <c r="V1999" s="216"/>
      <c r="W1999" s="245"/>
      <c r="X1999" s="187"/>
      <c r="Y1999" s="245"/>
      <c r="Z1999" s="245"/>
      <c r="AA1999" s="329"/>
      <c r="AC1999" s="245"/>
      <c r="AD1999" s="187"/>
      <c r="AE1999" s="361"/>
      <c r="AF1999" s="245"/>
      <c r="AH1999" s="245"/>
    </row>
    <row r="2000" spans="1:34" ht="26.25">
      <c r="A2000" s="245"/>
      <c r="B2000" s="245"/>
      <c r="C2000" s="245"/>
      <c r="D2000" s="245"/>
      <c r="E2000" s="245"/>
      <c r="F2000" s="279"/>
      <c r="G2000" s="245"/>
      <c r="H2000" s="245"/>
      <c r="I2000" s="245"/>
      <c r="O2000" s="360"/>
      <c r="Q2000" s="351"/>
      <c r="R2000" s="363"/>
      <c r="S2000" s="325"/>
      <c r="T2000" s="85" ph="1"/>
      <c r="V2000" s="216"/>
      <c r="W2000" s="245"/>
      <c r="X2000" s="187"/>
      <c r="Y2000" s="245"/>
      <c r="Z2000" s="245"/>
      <c r="AA2000" s="329"/>
      <c r="AC2000" s="245"/>
      <c r="AD2000" s="187"/>
      <c r="AE2000" s="361"/>
      <c r="AF2000" s="245"/>
      <c r="AH2000" s="245"/>
    </row>
    <row r="2001" spans="1:34" ht="26.25">
      <c r="A2001" s="245"/>
      <c r="B2001" s="245"/>
      <c r="C2001" s="245"/>
      <c r="D2001" s="245"/>
      <c r="E2001" s="245"/>
      <c r="F2001" s="279"/>
      <c r="G2001" s="245"/>
      <c r="H2001" s="245"/>
      <c r="I2001" s="245"/>
      <c r="O2001" s="360"/>
      <c r="Q2001" s="351"/>
      <c r="R2001" s="363"/>
      <c r="S2001" s="325"/>
      <c r="T2001" s="85" ph="1"/>
      <c r="V2001" s="216"/>
      <c r="W2001" s="245"/>
      <c r="X2001" s="187"/>
      <c r="Y2001" s="245"/>
      <c r="Z2001" s="245"/>
      <c r="AA2001" s="329"/>
      <c r="AC2001" s="245"/>
      <c r="AD2001" s="187"/>
      <c r="AE2001" s="361"/>
      <c r="AF2001" s="245"/>
      <c r="AH2001" s="245"/>
    </row>
    <row r="2002" spans="1:34" ht="26.25">
      <c r="A2002" s="245"/>
      <c r="B2002" s="245"/>
      <c r="C2002" s="245"/>
      <c r="D2002" s="245"/>
      <c r="E2002" s="245"/>
      <c r="F2002" s="279"/>
      <c r="G2002" s="245"/>
      <c r="H2002" s="245"/>
      <c r="I2002" s="245"/>
      <c r="O2002" s="360"/>
      <c r="Q2002" s="351"/>
      <c r="R2002" s="363"/>
      <c r="S2002" s="325"/>
      <c r="T2002" s="85" ph="1"/>
      <c r="V2002" s="216"/>
      <c r="W2002" s="245"/>
      <c r="X2002" s="187"/>
      <c r="Y2002" s="245"/>
      <c r="Z2002" s="245"/>
      <c r="AA2002" s="329"/>
      <c r="AC2002" s="245"/>
      <c r="AD2002" s="187"/>
      <c r="AE2002" s="361"/>
      <c r="AF2002" s="245"/>
      <c r="AH2002" s="245"/>
    </row>
    <row r="2003" spans="1:34" ht="26.25">
      <c r="A2003" s="245"/>
      <c r="B2003" s="245"/>
      <c r="C2003" s="245"/>
      <c r="D2003" s="245"/>
      <c r="E2003" s="245"/>
      <c r="F2003" s="279"/>
      <c r="G2003" s="245"/>
      <c r="H2003" s="245"/>
      <c r="I2003" s="245"/>
      <c r="O2003" s="360"/>
      <c r="Q2003" s="351"/>
      <c r="R2003" s="363"/>
      <c r="S2003" s="325"/>
      <c r="T2003" s="85" ph="1"/>
      <c r="V2003" s="216"/>
      <c r="W2003" s="245"/>
      <c r="X2003" s="187"/>
      <c r="Y2003" s="245"/>
      <c r="Z2003" s="245"/>
      <c r="AA2003" s="329"/>
      <c r="AC2003" s="245"/>
      <c r="AD2003" s="187"/>
      <c r="AE2003" s="361"/>
      <c r="AF2003" s="245"/>
      <c r="AH2003" s="245"/>
    </row>
    <row r="2004" spans="1:34" ht="26.25">
      <c r="A2004" s="245"/>
      <c r="B2004" s="245"/>
      <c r="C2004" s="245"/>
      <c r="D2004" s="245"/>
      <c r="E2004" s="245"/>
      <c r="F2004" s="279"/>
      <c r="G2004" s="245"/>
      <c r="H2004" s="245"/>
      <c r="I2004" s="245"/>
      <c r="O2004" s="360"/>
      <c r="Q2004" s="351"/>
      <c r="R2004" s="363"/>
      <c r="S2004" s="325"/>
      <c r="T2004" s="85" ph="1"/>
      <c r="V2004" s="216"/>
      <c r="W2004" s="245"/>
      <c r="X2004" s="187"/>
      <c r="Y2004" s="245"/>
      <c r="Z2004" s="245"/>
      <c r="AA2004" s="329"/>
      <c r="AC2004" s="245"/>
      <c r="AD2004" s="187"/>
      <c r="AE2004" s="361"/>
      <c r="AF2004" s="245"/>
      <c r="AH2004" s="245"/>
    </row>
    <row r="2005" spans="1:34" ht="26.25">
      <c r="A2005" s="245"/>
      <c r="B2005" s="245"/>
      <c r="C2005" s="245"/>
      <c r="D2005" s="245"/>
      <c r="E2005" s="245"/>
      <c r="F2005" s="279"/>
      <c r="G2005" s="245"/>
      <c r="H2005" s="245"/>
      <c r="I2005" s="245"/>
      <c r="O2005" s="360"/>
      <c r="Q2005" s="351"/>
      <c r="R2005" s="363"/>
      <c r="S2005" s="325"/>
      <c r="T2005" s="85" ph="1"/>
      <c r="V2005" s="216"/>
      <c r="W2005" s="245"/>
      <c r="X2005" s="187"/>
      <c r="Y2005" s="245"/>
      <c r="Z2005" s="245"/>
      <c r="AA2005" s="329"/>
      <c r="AC2005" s="245"/>
      <c r="AD2005" s="187"/>
      <c r="AE2005" s="361"/>
      <c r="AF2005" s="245"/>
      <c r="AH2005" s="245"/>
    </row>
    <row r="2006" spans="1:34" ht="26.25">
      <c r="A2006" s="245"/>
      <c r="B2006" s="245"/>
      <c r="C2006" s="245"/>
      <c r="D2006" s="245"/>
      <c r="E2006" s="245"/>
      <c r="F2006" s="279"/>
      <c r="G2006" s="245"/>
      <c r="H2006" s="245"/>
      <c r="I2006" s="245"/>
      <c r="O2006" s="360"/>
      <c r="Q2006" s="351"/>
      <c r="R2006" s="363"/>
      <c r="S2006" s="325"/>
      <c r="T2006" s="85" ph="1"/>
      <c r="V2006" s="216"/>
      <c r="W2006" s="245"/>
      <c r="X2006" s="187"/>
      <c r="Y2006" s="245"/>
      <c r="Z2006" s="245"/>
      <c r="AA2006" s="329"/>
      <c r="AC2006" s="245"/>
      <c r="AD2006" s="187"/>
      <c r="AE2006" s="361"/>
      <c r="AF2006" s="245"/>
      <c r="AH2006" s="245"/>
    </row>
    <row r="2007" spans="1:34" ht="26.25">
      <c r="A2007" s="245"/>
      <c r="B2007" s="245"/>
      <c r="C2007" s="245"/>
      <c r="D2007" s="245"/>
      <c r="E2007" s="245"/>
      <c r="F2007" s="279"/>
      <c r="G2007" s="245"/>
      <c r="H2007" s="245"/>
      <c r="I2007" s="245"/>
      <c r="O2007" s="360"/>
      <c r="Q2007" s="351"/>
      <c r="R2007" s="363"/>
      <c r="S2007" s="325"/>
      <c r="T2007" s="85" ph="1"/>
      <c r="V2007" s="216"/>
      <c r="W2007" s="245"/>
      <c r="X2007" s="187"/>
      <c r="Y2007" s="245"/>
      <c r="Z2007" s="245"/>
      <c r="AA2007" s="329"/>
      <c r="AC2007" s="245"/>
      <c r="AD2007" s="187"/>
      <c r="AE2007" s="361"/>
      <c r="AF2007" s="245"/>
      <c r="AH2007" s="245"/>
    </row>
    <row r="2008" spans="1:34" ht="26.25">
      <c r="A2008" s="245"/>
      <c r="B2008" s="245"/>
      <c r="C2008" s="245"/>
      <c r="D2008" s="245"/>
      <c r="E2008" s="245"/>
      <c r="F2008" s="279"/>
      <c r="G2008" s="245"/>
      <c r="H2008" s="245"/>
      <c r="I2008" s="245"/>
      <c r="O2008" s="360"/>
      <c r="Q2008" s="351"/>
      <c r="R2008" s="363"/>
      <c r="S2008" s="325"/>
      <c r="T2008" s="85" ph="1"/>
      <c r="V2008" s="216"/>
      <c r="W2008" s="245"/>
      <c r="X2008" s="187"/>
      <c r="Y2008" s="245"/>
      <c r="Z2008" s="245"/>
      <c r="AA2008" s="329"/>
      <c r="AC2008" s="245"/>
      <c r="AD2008" s="187"/>
      <c r="AE2008" s="361"/>
      <c r="AF2008" s="245"/>
      <c r="AH2008" s="245"/>
    </row>
    <row r="2009" spans="1:34" ht="26.25">
      <c r="A2009" s="245"/>
      <c r="B2009" s="245"/>
      <c r="C2009" s="245"/>
      <c r="D2009" s="245"/>
      <c r="E2009" s="245"/>
      <c r="F2009" s="279"/>
      <c r="G2009" s="245"/>
      <c r="H2009" s="245"/>
      <c r="I2009" s="245"/>
      <c r="O2009" s="360"/>
      <c r="Q2009" s="351"/>
      <c r="R2009" s="363"/>
      <c r="S2009" s="325"/>
      <c r="T2009" s="85" ph="1"/>
      <c r="V2009" s="216"/>
      <c r="W2009" s="245"/>
      <c r="X2009" s="187"/>
      <c r="Y2009" s="245"/>
      <c r="Z2009" s="245"/>
      <c r="AA2009" s="329"/>
      <c r="AC2009" s="245"/>
      <c r="AD2009" s="187"/>
      <c r="AE2009" s="361"/>
      <c r="AF2009" s="245"/>
      <c r="AH2009" s="245"/>
    </row>
    <row r="2010" spans="1:34" ht="26.25">
      <c r="A2010" s="245"/>
      <c r="B2010" s="245"/>
      <c r="C2010" s="245"/>
      <c r="D2010" s="245"/>
      <c r="E2010" s="245"/>
      <c r="F2010" s="279"/>
      <c r="G2010" s="245"/>
      <c r="H2010" s="245"/>
      <c r="I2010" s="245"/>
      <c r="O2010" s="360"/>
      <c r="Q2010" s="351"/>
      <c r="R2010" s="363"/>
      <c r="S2010" s="325"/>
      <c r="T2010" s="85" ph="1"/>
      <c r="V2010" s="216"/>
      <c r="W2010" s="245"/>
      <c r="X2010" s="187"/>
      <c r="Y2010" s="245"/>
      <c r="Z2010" s="245"/>
      <c r="AA2010" s="329"/>
      <c r="AC2010" s="245"/>
      <c r="AD2010" s="187"/>
      <c r="AE2010" s="361"/>
      <c r="AF2010" s="245"/>
      <c r="AH2010" s="245"/>
    </row>
    <row r="2011" spans="1:34" ht="26.25">
      <c r="A2011" s="245"/>
      <c r="B2011" s="245"/>
      <c r="C2011" s="245"/>
      <c r="D2011" s="245"/>
      <c r="E2011" s="245"/>
      <c r="F2011" s="279"/>
      <c r="G2011" s="245"/>
      <c r="H2011" s="245"/>
      <c r="I2011" s="245"/>
      <c r="O2011" s="360"/>
      <c r="Q2011" s="351"/>
      <c r="R2011" s="363"/>
      <c r="S2011" s="325"/>
      <c r="T2011" s="85" ph="1"/>
      <c r="V2011" s="216"/>
      <c r="W2011" s="245"/>
      <c r="X2011" s="187"/>
      <c r="Y2011" s="245"/>
      <c r="Z2011" s="245"/>
      <c r="AA2011" s="329"/>
      <c r="AC2011" s="245"/>
      <c r="AD2011" s="187"/>
      <c r="AE2011" s="361"/>
      <c r="AF2011" s="245"/>
      <c r="AH2011" s="245"/>
    </row>
    <row r="2012" spans="1:34" ht="26.25">
      <c r="A2012" s="245"/>
      <c r="B2012" s="245"/>
      <c r="C2012" s="245"/>
      <c r="D2012" s="245"/>
      <c r="E2012" s="245"/>
      <c r="F2012" s="279"/>
      <c r="G2012" s="245"/>
      <c r="H2012" s="245"/>
      <c r="I2012" s="245"/>
      <c r="O2012" s="360"/>
      <c r="Q2012" s="351"/>
      <c r="R2012" s="363"/>
      <c r="S2012" s="325"/>
      <c r="T2012" s="85" ph="1"/>
      <c r="V2012" s="216"/>
      <c r="W2012" s="245"/>
      <c r="X2012" s="187"/>
      <c r="Y2012" s="245"/>
      <c r="Z2012" s="245"/>
      <c r="AA2012" s="329"/>
      <c r="AC2012" s="245"/>
      <c r="AD2012" s="187"/>
      <c r="AE2012" s="361"/>
      <c r="AF2012" s="245"/>
      <c r="AH2012" s="245"/>
    </row>
    <row r="2013" spans="1:34" ht="26.25">
      <c r="A2013" s="245"/>
      <c r="B2013" s="245"/>
      <c r="C2013" s="245"/>
      <c r="D2013" s="245"/>
      <c r="E2013" s="245"/>
      <c r="F2013" s="279"/>
      <c r="G2013" s="245"/>
      <c r="H2013" s="245"/>
      <c r="I2013" s="245"/>
      <c r="O2013" s="360"/>
      <c r="Q2013" s="351"/>
      <c r="R2013" s="363"/>
      <c r="S2013" s="325"/>
      <c r="T2013" s="85" ph="1"/>
      <c r="V2013" s="216"/>
      <c r="W2013" s="245"/>
      <c r="X2013" s="187"/>
      <c r="Y2013" s="245"/>
      <c r="Z2013" s="245"/>
      <c r="AA2013" s="329"/>
      <c r="AC2013" s="245"/>
      <c r="AD2013" s="187"/>
      <c r="AE2013" s="361"/>
      <c r="AF2013" s="245"/>
      <c r="AH2013" s="245"/>
    </row>
    <row r="2014" spans="1:34" ht="26.25">
      <c r="A2014" s="245"/>
      <c r="B2014" s="245"/>
      <c r="C2014" s="245"/>
      <c r="D2014" s="245"/>
      <c r="E2014" s="245"/>
      <c r="F2014" s="279"/>
      <c r="G2014" s="245"/>
      <c r="H2014" s="245"/>
      <c r="I2014" s="245"/>
      <c r="O2014" s="360"/>
      <c r="Q2014" s="351"/>
      <c r="R2014" s="363"/>
      <c r="S2014" s="325"/>
      <c r="T2014" s="85" ph="1"/>
      <c r="V2014" s="216"/>
      <c r="W2014" s="245"/>
      <c r="X2014" s="187"/>
      <c r="Y2014" s="245"/>
      <c r="Z2014" s="245"/>
      <c r="AA2014" s="329"/>
      <c r="AC2014" s="245"/>
      <c r="AD2014" s="187"/>
      <c r="AE2014" s="361"/>
      <c r="AF2014" s="245"/>
      <c r="AH2014" s="245"/>
    </row>
    <row r="2015" spans="1:34" ht="26.25">
      <c r="A2015" s="245"/>
      <c r="B2015" s="245"/>
      <c r="C2015" s="245"/>
      <c r="D2015" s="245"/>
      <c r="E2015" s="245"/>
      <c r="F2015" s="279"/>
      <c r="G2015" s="245"/>
      <c r="H2015" s="245"/>
      <c r="I2015" s="245"/>
      <c r="O2015" s="360"/>
      <c r="Q2015" s="351"/>
      <c r="R2015" s="363"/>
      <c r="S2015" s="325"/>
      <c r="T2015" s="85" ph="1"/>
      <c r="V2015" s="216"/>
      <c r="W2015" s="245"/>
      <c r="X2015" s="187"/>
      <c r="Y2015" s="245"/>
      <c r="Z2015" s="245"/>
      <c r="AA2015" s="329"/>
      <c r="AC2015" s="245"/>
      <c r="AD2015" s="187"/>
      <c r="AE2015" s="361"/>
      <c r="AF2015" s="245"/>
      <c r="AH2015" s="245"/>
    </row>
    <row r="2016" spans="1:34" ht="26.25">
      <c r="A2016" s="245"/>
      <c r="B2016" s="245"/>
      <c r="C2016" s="245"/>
      <c r="D2016" s="245"/>
      <c r="E2016" s="245"/>
      <c r="F2016" s="279"/>
      <c r="G2016" s="245"/>
      <c r="H2016" s="245"/>
      <c r="I2016" s="245"/>
      <c r="O2016" s="360"/>
      <c r="Q2016" s="351"/>
      <c r="R2016" s="363"/>
      <c r="S2016" s="325"/>
      <c r="T2016" s="85" ph="1"/>
      <c r="V2016" s="216"/>
      <c r="W2016" s="245"/>
      <c r="X2016" s="187"/>
      <c r="Y2016" s="245"/>
      <c r="Z2016" s="245"/>
      <c r="AA2016" s="329"/>
      <c r="AC2016" s="245"/>
      <c r="AD2016" s="187"/>
      <c r="AE2016" s="361"/>
      <c r="AF2016" s="245"/>
      <c r="AH2016" s="245"/>
    </row>
    <row r="2017" spans="1:34" ht="26.25">
      <c r="A2017" s="245"/>
      <c r="B2017" s="245"/>
      <c r="C2017" s="245"/>
      <c r="D2017" s="245"/>
      <c r="E2017" s="245"/>
      <c r="F2017" s="279"/>
      <c r="G2017" s="245"/>
      <c r="H2017" s="245"/>
      <c r="I2017" s="245"/>
      <c r="O2017" s="360"/>
      <c r="Q2017" s="351"/>
      <c r="R2017" s="363"/>
      <c r="S2017" s="325"/>
      <c r="T2017" s="85" ph="1"/>
      <c r="V2017" s="216"/>
      <c r="W2017" s="245"/>
      <c r="X2017" s="187"/>
      <c r="Y2017" s="245"/>
      <c r="Z2017" s="245"/>
      <c r="AA2017" s="329"/>
      <c r="AC2017" s="245"/>
      <c r="AD2017" s="187"/>
      <c r="AE2017" s="361"/>
      <c r="AF2017" s="245"/>
      <c r="AH2017" s="245"/>
    </row>
    <row r="2018" spans="1:34" ht="26.25">
      <c r="A2018" s="245"/>
      <c r="B2018" s="245"/>
      <c r="C2018" s="245"/>
      <c r="D2018" s="245"/>
      <c r="E2018" s="245"/>
      <c r="F2018" s="279"/>
      <c r="G2018" s="245"/>
      <c r="H2018" s="245"/>
      <c r="I2018" s="245"/>
      <c r="O2018" s="360"/>
      <c r="Q2018" s="351"/>
      <c r="R2018" s="363"/>
      <c r="S2018" s="325"/>
      <c r="T2018" s="85" ph="1"/>
      <c r="V2018" s="216"/>
      <c r="W2018" s="245"/>
      <c r="X2018" s="187"/>
      <c r="Y2018" s="245"/>
      <c r="Z2018" s="245"/>
      <c r="AA2018" s="329"/>
      <c r="AC2018" s="245"/>
      <c r="AD2018" s="187"/>
      <c r="AE2018" s="361"/>
      <c r="AF2018" s="245"/>
      <c r="AH2018" s="245"/>
    </row>
    <row r="2019" spans="1:34" ht="26.25">
      <c r="A2019" s="245"/>
      <c r="B2019" s="245"/>
      <c r="C2019" s="245"/>
      <c r="D2019" s="245"/>
      <c r="E2019" s="245"/>
      <c r="F2019" s="279"/>
      <c r="G2019" s="245"/>
      <c r="H2019" s="245"/>
      <c r="I2019" s="245"/>
      <c r="O2019" s="360"/>
      <c r="Q2019" s="351"/>
      <c r="R2019" s="363"/>
      <c r="S2019" s="325"/>
      <c r="T2019" s="85" ph="1"/>
      <c r="V2019" s="216"/>
      <c r="W2019" s="245"/>
      <c r="X2019" s="187"/>
      <c r="Y2019" s="245"/>
      <c r="Z2019" s="245"/>
      <c r="AA2019" s="329"/>
      <c r="AC2019" s="245"/>
      <c r="AD2019" s="187"/>
      <c r="AE2019" s="361"/>
      <c r="AF2019" s="245"/>
      <c r="AH2019" s="245"/>
    </row>
    <row r="2020" spans="1:34" ht="26.25">
      <c r="A2020" s="245"/>
      <c r="B2020" s="245"/>
      <c r="C2020" s="245"/>
      <c r="D2020" s="245"/>
      <c r="E2020" s="245"/>
      <c r="F2020" s="279"/>
      <c r="G2020" s="245"/>
      <c r="H2020" s="245"/>
      <c r="I2020" s="245"/>
      <c r="O2020" s="360"/>
      <c r="Q2020" s="351"/>
      <c r="R2020" s="363"/>
      <c r="S2020" s="325"/>
      <c r="T2020" s="85" ph="1"/>
      <c r="V2020" s="216"/>
      <c r="W2020" s="245"/>
      <c r="X2020" s="187"/>
      <c r="Y2020" s="245"/>
      <c r="Z2020" s="245"/>
      <c r="AA2020" s="329"/>
      <c r="AC2020" s="245"/>
      <c r="AD2020" s="187"/>
      <c r="AE2020" s="361"/>
      <c r="AF2020" s="245"/>
      <c r="AH2020" s="245"/>
    </row>
    <row r="2021" spans="1:34" ht="26.25">
      <c r="A2021" s="245"/>
      <c r="B2021" s="245"/>
      <c r="C2021" s="245"/>
      <c r="D2021" s="245"/>
      <c r="E2021" s="245"/>
      <c r="F2021" s="279"/>
      <c r="G2021" s="245"/>
      <c r="H2021" s="245"/>
      <c r="I2021" s="245"/>
      <c r="O2021" s="360"/>
      <c r="Q2021" s="351"/>
      <c r="R2021" s="363"/>
      <c r="S2021" s="325"/>
      <c r="T2021" s="85" ph="1"/>
      <c r="V2021" s="216"/>
      <c r="W2021" s="245"/>
      <c r="X2021" s="187"/>
      <c r="Y2021" s="245"/>
      <c r="Z2021" s="245"/>
      <c r="AA2021" s="329"/>
      <c r="AC2021" s="245"/>
      <c r="AD2021" s="187"/>
      <c r="AE2021" s="361"/>
      <c r="AF2021" s="245"/>
      <c r="AH2021" s="245"/>
    </row>
    <row r="2022" spans="1:34" ht="26.25">
      <c r="A2022" s="245"/>
      <c r="B2022" s="245"/>
      <c r="C2022" s="245"/>
      <c r="D2022" s="245"/>
      <c r="E2022" s="245"/>
      <c r="F2022" s="279"/>
      <c r="G2022" s="245"/>
      <c r="H2022" s="245"/>
      <c r="I2022" s="245"/>
      <c r="O2022" s="360"/>
      <c r="Q2022" s="351"/>
      <c r="R2022" s="363"/>
      <c r="S2022" s="325"/>
      <c r="T2022" s="85" ph="1"/>
      <c r="V2022" s="216"/>
      <c r="W2022" s="245"/>
      <c r="X2022" s="187"/>
      <c r="Y2022" s="245"/>
      <c r="Z2022" s="245"/>
      <c r="AA2022" s="329"/>
      <c r="AC2022" s="245"/>
      <c r="AD2022" s="187"/>
      <c r="AE2022" s="361"/>
      <c r="AF2022" s="245"/>
      <c r="AH2022" s="245"/>
    </row>
    <row r="2023" spans="1:34" ht="26.25">
      <c r="A2023" s="245"/>
      <c r="B2023" s="245"/>
      <c r="C2023" s="245"/>
      <c r="D2023" s="245"/>
      <c r="E2023" s="245"/>
      <c r="F2023" s="279"/>
      <c r="G2023" s="245"/>
      <c r="H2023" s="245"/>
      <c r="I2023" s="245"/>
      <c r="O2023" s="360"/>
      <c r="Q2023" s="351"/>
      <c r="R2023" s="363"/>
      <c r="S2023" s="325"/>
      <c r="T2023" s="85" ph="1"/>
      <c r="V2023" s="216"/>
      <c r="W2023" s="245"/>
      <c r="X2023" s="187"/>
      <c r="Y2023" s="245"/>
      <c r="Z2023" s="245"/>
      <c r="AA2023" s="329"/>
      <c r="AC2023" s="245"/>
      <c r="AD2023" s="187"/>
      <c r="AE2023" s="361"/>
      <c r="AF2023" s="245"/>
      <c r="AH2023" s="245"/>
    </row>
    <row r="2024" spans="1:34" ht="26.25">
      <c r="A2024" s="245"/>
      <c r="B2024" s="245"/>
      <c r="C2024" s="245"/>
      <c r="D2024" s="245"/>
      <c r="E2024" s="245"/>
      <c r="F2024" s="279"/>
      <c r="G2024" s="245"/>
      <c r="H2024" s="245"/>
      <c r="I2024" s="245"/>
      <c r="O2024" s="360"/>
      <c r="Q2024" s="351"/>
      <c r="R2024" s="363"/>
      <c r="S2024" s="325"/>
      <c r="T2024" s="85" ph="1"/>
      <c r="V2024" s="216"/>
      <c r="W2024" s="245"/>
      <c r="X2024" s="187"/>
      <c r="Y2024" s="245"/>
      <c r="Z2024" s="245"/>
      <c r="AA2024" s="329"/>
      <c r="AC2024" s="245"/>
      <c r="AD2024" s="187"/>
      <c r="AE2024" s="361"/>
      <c r="AF2024" s="245"/>
      <c r="AH2024" s="245"/>
    </row>
    <row r="2025" spans="1:34" ht="26.25">
      <c r="A2025" s="245"/>
      <c r="B2025" s="245"/>
      <c r="C2025" s="245"/>
      <c r="D2025" s="245"/>
      <c r="E2025" s="245"/>
      <c r="F2025" s="279"/>
      <c r="G2025" s="245"/>
      <c r="H2025" s="245"/>
      <c r="I2025" s="245"/>
      <c r="O2025" s="360"/>
      <c r="Q2025" s="351"/>
      <c r="R2025" s="363"/>
      <c r="S2025" s="325"/>
      <c r="T2025" s="85" ph="1"/>
      <c r="V2025" s="216"/>
      <c r="W2025" s="245"/>
      <c r="X2025" s="187"/>
      <c r="Y2025" s="245"/>
      <c r="Z2025" s="245"/>
      <c r="AA2025" s="329"/>
      <c r="AC2025" s="245"/>
      <c r="AD2025" s="187"/>
      <c r="AE2025" s="361"/>
      <c r="AF2025" s="245"/>
      <c r="AH2025" s="245"/>
    </row>
    <row r="2026" spans="1:34" ht="26.25">
      <c r="A2026" s="245"/>
      <c r="B2026" s="245"/>
      <c r="C2026" s="245"/>
      <c r="D2026" s="245"/>
      <c r="E2026" s="245"/>
      <c r="F2026" s="279"/>
      <c r="G2026" s="245"/>
      <c r="H2026" s="245"/>
      <c r="I2026" s="245"/>
      <c r="O2026" s="360"/>
      <c r="Q2026" s="351"/>
      <c r="R2026" s="363"/>
      <c r="S2026" s="325"/>
      <c r="T2026" s="85" ph="1"/>
      <c r="V2026" s="216"/>
      <c r="W2026" s="245"/>
      <c r="X2026" s="187"/>
      <c r="Y2026" s="245"/>
      <c r="Z2026" s="245"/>
      <c r="AA2026" s="329"/>
      <c r="AC2026" s="245"/>
      <c r="AD2026" s="187"/>
      <c r="AE2026" s="361"/>
      <c r="AF2026" s="245"/>
      <c r="AH2026" s="245"/>
    </row>
    <row r="2027" spans="1:34" ht="26.25">
      <c r="A2027" s="245"/>
      <c r="B2027" s="245"/>
      <c r="C2027" s="245"/>
      <c r="D2027" s="245"/>
      <c r="E2027" s="245"/>
      <c r="F2027" s="279"/>
      <c r="G2027" s="245"/>
      <c r="H2027" s="245"/>
      <c r="I2027" s="245"/>
      <c r="O2027" s="360"/>
      <c r="Q2027" s="351"/>
      <c r="R2027" s="363"/>
      <c r="S2027" s="325"/>
      <c r="T2027" s="85" ph="1"/>
      <c r="V2027" s="216"/>
      <c r="W2027" s="245"/>
      <c r="X2027" s="187"/>
      <c r="Y2027" s="245"/>
      <c r="Z2027" s="245"/>
      <c r="AA2027" s="329"/>
      <c r="AC2027" s="245"/>
      <c r="AD2027" s="187"/>
      <c r="AE2027" s="361"/>
      <c r="AF2027" s="245"/>
      <c r="AH2027" s="245"/>
    </row>
    <row r="2028" spans="1:34" ht="26.25">
      <c r="A2028" s="245"/>
      <c r="B2028" s="245"/>
      <c r="C2028" s="245"/>
      <c r="D2028" s="245"/>
      <c r="E2028" s="245"/>
      <c r="F2028" s="279"/>
      <c r="G2028" s="245"/>
      <c r="H2028" s="245"/>
      <c r="I2028" s="245"/>
      <c r="O2028" s="360"/>
      <c r="Q2028" s="351"/>
      <c r="R2028" s="363"/>
      <c r="S2028" s="325"/>
      <c r="T2028" s="85" ph="1"/>
      <c r="V2028" s="216"/>
      <c r="W2028" s="245"/>
      <c r="X2028" s="187"/>
      <c r="Y2028" s="245"/>
      <c r="Z2028" s="245"/>
      <c r="AA2028" s="329"/>
      <c r="AC2028" s="245"/>
      <c r="AD2028" s="187"/>
      <c r="AE2028" s="361"/>
      <c r="AF2028" s="245"/>
      <c r="AH2028" s="245"/>
    </row>
    <row r="2029" spans="1:34" ht="26.25">
      <c r="A2029" s="245"/>
      <c r="B2029" s="245"/>
      <c r="C2029" s="245"/>
      <c r="D2029" s="245"/>
      <c r="E2029" s="245"/>
      <c r="F2029" s="279"/>
      <c r="G2029" s="245"/>
      <c r="H2029" s="245"/>
      <c r="I2029" s="245"/>
      <c r="O2029" s="360"/>
      <c r="Q2029" s="351"/>
      <c r="R2029" s="363"/>
      <c r="S2029" s="325"/>
      <c r="T2029" s="85" ph="1"/>
      <c r="V2029" s="216"/>
      <c r="W2029" s="245"/>
      <c r="X2029" s="187"/>
      <c r="Y2029" s="245"/>
      <c r="Z2029" s="245"/>
      <c r="AA2029" s="329"/>
      <c r="AC2029" s="245"/>
      <c r="AD2029" s="187"/>
      <c r="AE2029" s="361"/>
      <c r="AF2029" s="245"/>
      <c r="AH2029" s="245"/>
    </row>
    <row r="2030" spans="1:34" ht="26.25">
      <c r="A2030" s="245"/>
      <c r="B2030" s="245"/>
      <c r="C2030" s="245"/>
      <c r="D2030" s="245"/>
      <c r="E2030" s="245"/>
      <c r="F2030" s="279"/>
      <c r="G2030" s="245"/>
      <c r="H2030" s="245"/>
      <c r="I2030" s="245"/>
      <c r="O2030" s="360"/>
      <c r="Q2030" s="351"/>
      <c r="R2030" s="363"/>
      <c r="S2030" s="325"/>
      <c r="T2030" s="85" ph="1"/>
      <c r="V2030" s="216"/>
      <c r="W2030" s="245"/>
      <c r="X2030" s="187"/>
      <c r="Y2030" s="245"/>
      <c r="Z2030" s="245"/>
      <c r="AA2030" s="329"/>
      <c r="AC2030" s="245"/>
      <c r="AD2030" s="187"/>
      <c r="AE2030" s="361"/>
      <c r="AF2030" s="245"/>
      <c r="AH2030" s="245"/>
    </row>
    <row r="2031" spans="1:34" ht="26.25">
      <c r="A2031" s="245"/>
      <c r="B2031" s="245"/>
      <c r="C2031" s="245"/>
      <c r="D2031" s="245"/>
      <c r="E2031" s="245"/>
      <c r="F2031" s="279"/>
      <c r="G2031" s="245"/>
      <c r="H2031" s="245"/>
      <c r="I2031" s="245"/>
      <c r="O2031" s="360"/>
      <c r="Q2031" s="351"/>
      <c r="R2031" s="363"/>
      <c r="S2031" s="325"/>
      <c r="T2031" s="85" ph="1"/>
      <c r="V2031" s="216"/>
      <c r="W2031" s="245"/>
      <c r="X2031" s="187"/>
      <c r="Y2031" s="245"/>
      <c r="Z2031" s="245"/>
      <c r="AA2031" s="329"/>
      <c r="AC2031" s="245"/>
      <c r="AD2031" s="187"/>
      <c r="AE2031" s="361"/>
      <c r="AF2031" s="245"/>
      <c r="AH2031" s="245"/>
    </row>
    <row r="2032" spans="1:34" ht="26.25">
      <c r="A2032" s="245"/>
      <c r="B2032" s="245"/>
      <c r="C2032" s="245"/>
      <c r="D2032" s="245"/>
      <c r="E2032" s="245"/>
      <c r="F2032" s="279"/>
      <c r="G2032" s="245"/>
      <c r="H2032" s="245"/>
      <c r="I2032" s="245"/>
      <c r="O2032" s="360"/>
      <c r="Q2032" s="351"/>
      <c r="R2032" s="363"/>
      <c r="S2032" s="325"/>
      <c r="T2032" s="85" ph="1"/>
      <c r="V2032" s="216"/>
      <c r="W2032" s="245"/>
      <c r="X2032" s="187"/>
      <c r="Y2032" s="245"/>
      <c r="Z2032" s="245"/>
      <c r="AA2032" s="329"/>
      <c r="AC2032" s="245"/>
      <c r="AD2032" s="187"/>
      <c r="AE2032" s="361"/>
      <c r="AF2032" s="245"/>
      <c r="AH2032" s="245"/>
    </row>
    <row r="2033" spans="1:34" ht="26.25">
      <c r="A2033" s="245"/>
      <c r="B2033" s="245"/>
      <c r="C2033" s="245"/>
      <c r="D2033" s="245"/>
      <c r="E2033" s="245"/>
      <c r="F2033" s="279"/>
      <c r="G2033" s="245"/>
      <c r="H2033" s="245"/>
      <c r="I2033" s="245"/>
      <c r="O2033" s="360"/>
      <c r="Q2033" s="351"/>
      <c r="R2033" s="363"/>
      <c r="S2033" s="325"/>
      <c r="T2033" s="85" ph="1"/>
      <c r="V2033" s="216"/>
      <c r="W2033" s="245"/>
      <c r="X2033" s="187"/>
      <c r="Y2033" s="245"/>
      <c r="Z2033" s="245"/>
      <c r="AA2033" s="329"/>
      <c r="AC2033" s="245"/>
      <c r="AD2033" s="187"/>
      <c r="AE2033" s="361"/>
      <c r="AF2033" s="245"/>
      <c r="AH2033" s="245"/>
    </row>
    <row r="2034" spans="1:34" ht="26.25">
      <c r="A2034" s="245"/>
      <c r="B2034" s="245"/>
      <c r="C2034" s="245"/>
      <c r="D2034" s="245"/>
      <c r="E2034" s="245"/>
      <c r="F2034" s="279"/>
      <c r="G2034" s="245"/>
      <c r="H2034" s="245"/>
      <c r="I2034" s="245"/>
      <c r="O2034" s="360"/>
      <c r="Q2034" s="351"/>
      <c r="R2034" s="363"/>
      <c r="S2034" s="325"/>
      <c r="T2034" s="85" ph="1"/>
      <c r="V2034" s="216"/>
      <c r="W2034" s="245"/>
      <c r="X2034" s="187"/>
      <c r="Y2034" s="245"/>
      <c r="Z2034" s="245"/>
      <c r="AA2034" s="329"/>
      <c r="AC2034" s="245"/>
      <c r="AD2034" s="187"/>
      <c r="AE2034" s="361"/>
      <c r="AF2034" s="245"/>
      <c r="AH2034" s="245"/>
    </row>
    <row r="2035" spans="1:34" ht="26.25">
      <c r="A2035" s="245"/>
      <c r="B2035" s="245"/>
      <c r="C2035" s="245"/>
      <c r="D2035" s="245"/>
      <c r="E2035" s="245"/>
      <c r="F2035" s="279"/>
      <c r="G2035" s="245"/>
      <c r="H2035" s="245"/>
      <c r="I2035" s="245"/>
      <c r="O2035" s="360"/>
      <c r="Q2035" s="351"/>
      <c r="R2035" s="363"/>
      <c r="S2035" s="325"/>
      <c r="T2035" s="85" ph="1"/>
      <c r="V2035" s="216"/>
      <c r="W2035" s="245"/>
      <c r="X2035" s="187"/>
      <c r="Y2035" s="245"/>
      <c r="Z2035" s="245"/>
      <c r="AA2035" s="329"/>
      <c r="AC2035" s="245"/>
      <c r="AD2035" s="187"/>
      <c r="AE2035" s="361"/>
      <c r="AF2035" s="245"/>
      <c r="AH2035" s="245"/>
    </row>
    <row r="2036" spans="1:34" ht="26.25">
      <c r="A2036" s="245"/>
      <c r="B2036" s="245"/>
      <c r="C2036" s="245"/>
      <c r="D2036" s="245"/>
      <c r="E2036" s="245"/>
      <c r="F2036" s="279"/>
      <c r="G2036" s="245"/>
      <c r="H2036" s="245"/>
      <c r="I2036" s="245"/>
      <c r="O2036" s="360"/>
      <c r="Q2036" s="351"/>
      <c r="R2036" s="363"/>
      <c r="S2036" s="325"/>
      <c r="T2036" s="85" ph="1"/>
      <c r="V2036" s="216"/>
      <c r="W2036" s="245"/>
      <c r="X2036" s="187"/>
      <c r="Y2036" s="245"/>
      <c r="Z2036" s="245"/>
      <c r="AA2036" s="329"/>
      <c r="AC2036" s="245"/>
      <c r="AD2036" s="187"/>
      <c r="AE2036" s="361"/>
      <c r="AF2036" s="245"/>
      <c r="AH2036" s="245"/>
    </row>
    <row r="2037" spans="1:34" ht="26.25">
      <c r="A2037" s="245"/>
      <c r="B2037" s="245"/>
      <c r="C2037" s="245"/>
      <c r="D2037" s="245"/>
      <c r="E2037" s="245"/>
      <c r="F2037" s="279"/>
      <c r="G2037" s="245"/>
      <c r="H2037" s="245"/>
      <c r="I2037" s="245"/>
      <c r="O2037" s="360"/>
      <c r="Q2037" s="351"/>
      <c r="R2037" s="363"/>
      <c r="S2037" s="325"/>
      <c r="T2037" s="85" ph="1"/>
      <c r="V2037" s="216"/>
      <c r="W2037" s="245"/>
      <c r="X2037" s="187"/>
      <c r="Y2037" s="245"/>
      <c r="Z2037" s="245"/>
      <c r="AA2037" s="329"/>
      <c r="AC2037" s="245"/>
      <c r="AD2037" s="187"/>
      <c r="AE2037" s="361"/>
      <c r="AF2037" s="245"/>
      <c r="AH2037" s="245"/>
    </row>
    <row r="2038" spans="1:34" ht="26.25">
      <c r="A2038" s="245"/>
      <c r="B2038" s="245"/>
      <c r="C2038" s="245"/>
      <c r="D2038" s="245"/>
      <c r="E2038" s="245"/>
      <c r="F2038" s="279"/>
      <c r="G2038" s="245"/>
      <c r="H2038" s="245"/>
      <c r="I2038" s="245"/>
      <c r="O2038" s="360"/>
      <c r="Q2038" s="351"/>
      <c r="R2038" s="363"/>
      <c r="S2038" s="325"/>
      <c r="T2038" s="85" ph="1"/>
      <c r="V2038" s="216"/>
      <c r="W2038" s="245"/>
      <c r="X2038" s="187"/>
      <c r="Y2038" s="245"/>
      <c r="Z2038" s="245"/>
      <c r="AA2038" s="329"/>
      <c r="AC2038" s="245"/>
      <c r="AD2038" s="187"/>
      <c r="AE2038" s="361"/>
      <c r="AF2038" s="245"/>
      <c r="AH2038" s="245"/>
    </row>
    <row r="2039" spans="1:34" ht="26.25">
      <c r="A2039" s="245"/>
      <c r="B2039" s="245"/>
      <c r="C2039" s="245"/>
      <c r="D2039" s="245"/>
      <c r="E2039" s="245"/>
      <c r="F2039" s="279"/>
      <c r="G2039" s="245"/>
      <c r="H2039" s="245"/>
      <c r="I2039" s="245"/>
      <c r="O2039" s="360"/>
      <c r="Q2039" s="351"/>
      <c r="R2039" s="363"/>
      <c r="S2039" s="325"/>
      <c r="T2039" s="85" ph="1"/>
      <c r="V2039" s="216"/>
      <c r="W2039" s="245"/>
      <c r="X2039" s="187"/>
      <c r="Y2039" s="245"/>
      <c r="Z2039" s="245"/>
      <c r="AA2039" s="329"/>
      <c r="AC2039" s="245"/>
      <c r="AD2039" s="187"/>
      <c r="AE2039" s="361"/>
      <c r="AF2039" s="245"/>
      <c r="AH2039" s="245"/>
    </row>
    <row r="2040" spans="1:34" ht="26.25">
      <c r="A2040" s="245"/>
      <c r="B2040" s="245"/>
      <c r="C2040" s="245"/>
      <c r="D2040" s="245"/>
      <c r="E2040" s="245"/>
      <c r="F2040" s="279"/>
      <c r="G2040" s="245"/>
      <c r="H2040" s="245"/>
      <c r="I2040" s="245"/>
      <c r="O2040" s="360"/>
      <c r="Q2040" s="351"/>
      <c r="R2040" s="363"/>
      <c r="S2040" s="325"/>
      <c r="T2040" s="85" ph="1"/>
      <c r="V2040" s="216"/>
      <c r="W2040" s="245"/>
      <c r="X2040" s="187"/>
      <c r="Y2040" s="245"/>
      <c r="Z2040" s="245"/>
      <c r="AA2040" s="329"/>
      <c r="AC2040" s="245"/>
      <c r="AD2040" s="187"/>
      <c r="AE2040" s="361"/>
      <c r="AF2040" s="245"/>
      <c r="AH2040" s="245"/>
    </row>
    <row r="2041" spans="1:34" ht="26.25">
      <c r="A2041" s="245"/>
      <c r="B2041" s="245"/>
      <c r="C2041" s="245"/>
      <c r="D2041" s="245"/>
      <c r="E2041" s="245"/>
      <c r="F2041" s="279"/>
      <c r="G2041" s="245"/>
      <c r="H2041" s="245"/>
      <c r="I2041" s="245"/>
      <c r="O2041" s="360"/>
      <c r="Q2041" s="351"/>
      <c r="R2041" s="363"/>
      <c r="S2041" s="325"/>
      <c r="T2041" s="85" ph="1"/>
      <c r="V2041" s="216"/>
      <c r="W2041" s="245"/>
      <c r="X2041" s="187"/>
      <c r="Y2041" s="245"/>
      <c r="Z2041" s="245"/>
      <c r="AA2041" s="329"/>
      <c r="AC2041" s="245"/>
      <c r="AD2041" s="187"/>
      <c r="AE2041" s="361"/>
      <c r="AF2041" s="245"/>
      <c r="AH2041" s="245"/>
    </row>
    <row r="2042" spans="1:34" ht="26.25">
      <c r="A2042" s="245"/>
      <c r="B2042" s="245"/>
      <c r="C2042" s="245"/>
      <c r="D2042" s="245"/>
      <c r="E2042" s="245"/>
      <c r="F2042" s="279"/>
      <c r="G2042" s="245"/>
      <c r="H2042" s="245"/>
      <c r="I2042" s="245"/>
      <c r="O2042" s="360"/>
      <c r="Q2042" s="351"/>
      <c r="R2042" s="363"/>
      <c r="S2042" s="325"/>
      <c r="T2042" s="85" ph="1"/>
      <c r="V2042" s="216"/>
      <c r="W2042" s="245"/>
      <c r="X2042" s="187"/>
      <c r="Y2042" s="245"/>
      <c r="Z2042" s="245"/>
      <c r="AA2042" s="329"/>
      <c r="AC2042" s="245"/>
      <c r="AD2042" s="187"/>
      <c r="AE2042" s="361"/>
      <c r="AF2042" s="245"/>
      <c r="AH2042" s="245"/>
    </row>
    <row r="2043" spans="1:34" ht="26.25">
      <c r="A2043" s="245"/>
      <c r="B2043" s="245"/>
      <c r="C2043" s="245"/>
      <c r="D2043" s="245"/>
      <c r="E2043" s="245"/>
      <c r="F2043" s="279"/>
      <c r="G2043" s="245"/>
      <c r="H2043" s="245"/>
      <c r="I2043" s="245"/>
      <c r="O2043" s="360"/>
      <c r="Q2043" s="351"/>
      <c r="R2043" s="363"/>
      <c r="S2043" s="325"/>
      <c r="T2043" s="85" ph="1"/>
      <c r="V2043" s="216"/>
      <c r="W2043" s="245"/>
      <c r="X2043" s="187"/>
      <c r="Y2043" s="245"/>
      <c r="Z2043" s="245"/>
      <c r="AA2043" s="329"/>
      <c r="AC2043" s="245"/>
      <c r="AD2043" s="187"/>
      <c r="AE2043" s="361"/>
      <c r="AF2043" s="245"/>
      <c r="AH2043" s="245"/>
    </row>
    <row r="2044" spans="1:34" ht="26.25">
      <c r="A2044" s="245"/>
      <c r="B2044" s="245"/>
      <c r="C2044" s="245"/>
      <c r="D2044" s="245"/>
      <c r="E2044" s="245"/>
      <c r="F2044" s="279"/>
      <c r="G2044" s="245"/>
      <c r="H2044" s="245"/>
      <c r="I2044" s="245"/>
      <c r="O2044" s="360"/>
      <c r="Q2044" s="351"/>
      <c r="R2044" s="363"/>
      <c r="S2044" s="325"/>
      <c r="T2044" s="85" ph="1"/>
      <c r="V2044" s="216"/>
      <c r="W2044" s="245"/>
      <c r="X2044" s="187"/>
      <c r="Y2044" s="245"/>
      <c r="Z2044" s="245"/>
      <c r="AA2044" s="329"/>
      <c r="AC2044" s="245"/>
      <c r="AD2044" s="187"/>
      <c r="AE2044" s="361"/>
      <c r="AF2044" s="245"/>
      <c r="AH2044" s="245"/>
    </row>
    <row r="2045" spans="1:34" ht="26.25">
      <c r="A2045" s="245"/>
      <c r="B2045" s="245"/>
      <c r="C2045" s="245"/>
      <c r="D2045" s="245"/>
      <c r="E2045" s="245"/>
      <c r="F2045" s="279"/>
      <c r="G2045" s="245"/>
      <c r="H2045" s="245"/>
      <c r="I2045" s="245"/>
      <c r="O2045" s="360"/>
      <c r="Q2045" s="351"/>
      <c r="R2045" s="363"/>
      <c r="S2045" s="325"/>
      <c r="T2045" s="85" ph="1"/>
      <c r="V2045" s="216"/>
      <c r="W2045" s="245"/>
      <c r="X2045" s="187"/>
      <c r="Y2045" s="245"/>
      <c r="Z2045" s="245"/>
      <c r="AA2045" s="329"/>
      <c r="AC2045" s="245"/>
      <c r="AD2045" s="187"/>
      <c r="AE2045" s="361"/>
      <c r="AF2045" s="245"/>
      <c r="AH2045" s="245"/>
    </row>
    <row r="2046" spans="1:34" ht="26.25">
      <c r="A2046" s="245"/>
      <c r="B2046" s="245"/>
      <c r="C2046" s="245"/>
      <c r="D2046" s="245"/>
      <c r="E2046" s="245"/>
      <c r="F2046" s="279"/>
      <c r="G2046" s="245"/>
      <c r="H2046" s="245"/>
      <c r="I2046" s="245"/>
      <c r="O2046" s="360"/>
      <c r="Q2046" s="351"/>
      <c r="R2046" s="363"/>
      <c r="S2046" s="325"/>
      <c r="T2046" s="85" ph="1"/>
      <c r="V2046" s="216"/>
      <c r="W2046" s="245"/>
      <c r="X2046" s="187"/>
      <c r="Y2046" s="245"/>
      <c r="Z2046" s="245"/>
      <c r="AA2046" s="329"/>
      <c r="AC2046" s="245"/>
      <c r="AD2046" s="187"/>
      <c r="AE2046" s="361"/>
      <c r="AF2046" s="245"/>
      <c r="AH2046" s="245"/>
    </row>
    <row r="2047" spans="1:34" ht="26.25">
      <c r="A2047" s="245"/>
      <c r="B2047" s="245"/>
      <c r="C2047" s="245"/>
      <c r="D2047" s="245"/>
      <c r="E2047" s="245"/>
      <c r="F2047" s="279"/>
      <c r="G2047" s="245"/>
      <c r="H2047" s="245"/>
      <c r="I2047" s="245"/>
      <c r="O2047" s="360"/>
      <c r="Q2047" s="351"/>
      <c r="R2047" s="363"/>
      <c r="S2047" s="325"/>
      <c r="T2047" s="85" ph="1"/>
      <c r="V2047" s="216"/>
      <c r="W2047" s="245"/>
      <c r="X2047" s="187"/>
      <c r="Y2047" s="245"/>
      <c r="Z2047" s="245"/>
      <c r="AA2047" s="329"/>
      <c r="AC2047" s="245"/>
      <c r="AD2047" s="187"/>
      <c r="AE2047" s="361"/>
      <c r="AF2047" s="245"/>
      <c r="AH2047" s="245"/>
    </row>
    <row r="2048" spans="1:34" ht="26.25">
      <c r="A2048" s="245"/>
      <c r="B2048" s="245"/>
      <c r="C2048" s="245"/>
      <c r="D2048" s="245"/>
      <c r="E2048" s="245"/>
      <c r="F2048" s="279"/>
      <c r="G2048" s="245"/>
      <c r="H2048" s="245"/>
      <c r="I2048" s="245"/>
      <c r="O2048" s="360"/>
      <c r="Q2048" s="351"/>
      <c r="R2048" s="363"/>
      <c r="S2048" s="325"/>
      <c r="T2048" s="85" ph="1"/>
      <c r="V2048" s="216"/>
      <c r="W2048" s="245"/>
      <c r="X2048" s="187"/>
      <c r="Y2048" s="245"/>
      <c r="Z2048" s="245"/>
      <c r="AA2048" s="329"/>
      <c r="AC2048" s="245"/>
      <c r="AD2048" s="187"/>
      <c r="AE2048" s="361"/>
      <c r="AF2048" s="245"/>
      <c r="AH2048" s="245"/>
    </row>
    <row r="2049" spans="1:34" ht="26.25">
      <c r="A2049" s="245"/>
      <c r="B2049" s="245"/>
      <c r="C2049" s="245"/>
      <c r="D2049" s="245"/>
      <c r="E2049" s="245"/>
      <c r="F2049" s="279"/>
      <c r="G2049" s="245"/>
      <c r="H2049" s="245"/>
      <c r="I2049" s="245"/>
      <c r="O2049" s="360"/>
      <c r="Q2049" s="351"/>
      <c r="R2049" s="363"/>
      <c r="S2049" s="325"/>
      <c r="T2049" s="85" ph="1"/>
      <c r="V2049" s="216"/>
      <c r="W2049" s="245"/>
      <c r="X2049" s="187"/>
      <c r="Y2049" s="245"/>
      <c r="Z2049" s="245"/>
      <c r="AA2049" s="329"/>
      <c r="AC2049" s="245"/>
      <c r="AD2049" s="187"/>
      <c r="AE2049" s="361"/>
      <c r="AF2049" s="245"/>
      <c r="AH2049" s="245"/>
    </row>
    <row r="2050" spans="1:34" ht="26.25">
      <c r="A2050" s="245"/>
      <c r="B2050" s="245"/>
      <c r="C2050" s="245"/>
      <c r="D2050" s="245"/>
      <c r="E2050" s="245"/>
      <c r="F2050" s="279"/>
      <c r="G2050" s="245"/>
      <c r="H2050" s="245"/>
      <c r="I2050" s="245"/>
      <c r="O2050" s="360"/>
      <c r="Q2050" s="351"/>
      <c r="R2050" s="363"/>
      <c r="S2050" s="325"/>
      <c r="T2050" s="85" ph="1"/>
      <c r="V2050" s="216"/>
      <c r="W2050" s="245"/>
      <c r="X2050" s="187"/>
      <c r="Y2050" s="245"/>
      <c r="Z2050" s="245"/>
      <c r="AA2050" s="329"/>
      <c r="AC2050" s="245"/>
      <c r="AD2050" s="187"/>
      <c r="AE2050" s="361"/>
      <c r="AF2050" s="245"/>
      <c r="AH2050" s="245"/>
    </row>
    <row r="2051" spans="1:34" ht="26.25">
      <c r="A2051" s="245"/>
      <c r="B2051" s="245"/>
      <c r="C2051" s="245"/>
      <c r="D2051" s="245"/>
      <c r="E2051" s="245"/>
      <c r="F2051" s="279"/>
      <c r="G2051" s="245"/>
      <c r="H2051" s="245"/>
      <c r="I2051" s="245"/>
      <c r="O2051" s="360"/>
      <c r="Q2051" s="351"/>
      <c r="R2051" s="363"/>
      <c r="S2051" s="325"/>
      <c r="T2051" s="85" ph="1"/>
      <c r="V2051" s="216"/>
      <c r="W2051" s="245"/>
      <c r="X2051" s="187"/>
      <c r="Y2051" s="245"/>
      <c r="Z2051" s="245"/>
      <c r="AA2051" s="329"/>
      <c r="AC2051" s="245"/>
      <c r="AD2051" s="187"/>
      <c r="AE2051" s="361"/>
      <c r="AF2051" s="245"/>
      <c r="AH2051" s="245"/>
    </row>
    <row r="2052" spans="1:34" ht="26.25">
      <c r="A2052" s="245"/>
      <c r="B2052" s="245"/>
      <c r="C2052" s="245"/>
      <c r="D2052" s="245"/>
      <c r="E2052" s="245"/>
      <c r="F2052" s="279"/>
      <c r="G2052" s="245"/>
      <c r="H2052" s="245"/>
      <c r="I2052" s="245"/>
      <c r="O2052" s="360"/>
      <c r="Q2052" s="351"/>
      <c r="R2052" s="363"/>
      <c r="S2052" s="325"/>
      <c r="T2052" s="85" ph="1"/>
      <c r="V2052" s="216"/>
      <c r="W2052" s="245"/>
      <c r="X2052" s="187"/>
      <c r="Y2052" s="245"/>
      <c r="Z2052" s="245"/>
      <c r="AA2052" s="329"/>
      <c r="AC2052" s="245"/>
      <c r="AD2052" s="187"/>
      <c r="AE2052" s="361"/>
      <c r="AF2052" s="245"/>
      <c r="AH2052" s="245"/>
    </row>
    <row r="2053" spans="1:34" ht="26.25">
      <c r="A2053" s="245"/>
      <c r="B2053" s="245"/>
      <c r="C2053" s="245"/>
      <c r="D2053" s="245"/>
      <c r="E2053" s="245"/>
      <c r="F2053" s="279"/>
      <c r="G2053" s="245"/>
      <c r="H2053" s="245"/>
      <c r="I2053" s="245"/>
      <c r="O2053" s="360"/>
      <c r="Q2053" s="351"/>
      <c r="R2053" s="363"/>
      <c r="S2053" s="325"/>
      <c r="T2053" s="85" ph="1"/>
      <c r="V2053" s="216"/>
      <c r="W2053" s="245"/>
      <c r="X2053" s="187"/>
      <c r="Y2053" s="245"/>
      <c r="Z2053" s="245"/>
      <c r="AA2053" s="329"/>
      <c r="AC2053" s="245"/>
      <c r="AD2053" s="187"/>
      <c r="AE2053" s="361"/>
      <c r="AF2053" s="245"/>
      <c r="AH2053" s="245"/>
    </row>
    <row r="2054" spans="1:34" ht="26.25">
      <c r="A2054" s="245"/>
      <c r="B2054" s="245"/>
      <c r="C2054" s="245"/>
      <c r="D2054" s="245"/>
      <c r="E2054" s="245"/>
      <c r="F2054" s="279"/>
      <c r="G2054" s="245"/>
      <c r="H2054" s="245"/>
      <c r="I2054" s="245"/>
      <c r="O2054" s="360"/>
      <c r="Q2054" s="351"/>
      <c r="R2054" s="363"/>
      <c r="S2054" s="325"/>
      <c r="T2054" s="85" ph="1"/>
      <c r="V2054" s="216"/>
      <c r="W2054" s="245"/>
      <c r="X2054" s="187"/>
      <c r="Y2054" s="245"/>
      <c r="Z2054" s="245"/>
      <c r="AA2054" s="329"/>
      <c r="AC2054" s="245"/>
      <c r="AD2054" s="187"/>
      <c r="AE2054" s="361"/>
      <c r="AF2054" s="245"/>
      <c r="AH2054" s="245"/>
    </row>
    <row r="2055" spans="1:34" ht="26.25">
      <c r="A2055" s="245"/>
      <c r="B2055" s="245"/>
      <c r="C2055" s="245"/>
      <c r="D2055" s="245"/>
      <c r="E2055" s="245"/>
      <c r="F2055" s="279"/>
      <c r="G2055" s="245"/>
      <c r="H2055" s="245"/>
      <c r="I2055" s="245"/>
      <c r="O2055" s="360"/>
      <c r="Q2055" s="351"/>
      <c r="R2055" s="363"/>
      <c r="S2055" s="325"/>
      <c r="T2055" s="85" ph="1"/>
      <c r="V2055" s="216"/>
      <c r="W2055" s="245"/>
      <c r="X2055" s="187"/>
      <c r="Y2055" s="245"/>
      <c r="Z2055" s="245"/>
      <c r="AA2055" s="329"/>
      <c r="AC2055" s="245"/>
      <c r="AD2055" s="187"/>
      <c r="AE2055" s="361"/>
      <c r="AF2055" s="245"/>
      <c r="AH2055" s="245"/>
    </row>
    <row r="2056" spans="1:34" ht="26.25">
      <c r="A2056" s="245"/>
      <c r="B2056" s="245"/>
      <c r="C2056" s="245"/>
      <c r="D2056" s="245"/>
      <c r="E2056" s="245"/>
      <c r="F2056" s="279"/>
      <c r="G2056" s="245"/>
      <c r="H2056" s="245"/>
      <c r="I2056" s="245"/>
      <c r="O2056" s="360"/>
      <c r="Q2056" s="351"/>
      <c r="R2056" s="363"/>
      <c r="S2056" s="325"/>
      <c r="T2056" s="85" ph="1"/>
      <c r="V2056" s="216"/>
      <c r="W2056" s="245"/>
      <c r="X2056" s="187"/>
      <c r="Y2056" s="245"/>
      <c r="Z2056" s="245"/>
      <c r="AA2056" s="329"/>
      <c r="AC2056" s="245"/>
      <c r="AD2056" s="187"/>
      <c r="AE2056" s="361"/>
      <c r="AF2056" s="245"/>
      <c r="AH2056" s="245"/>
    </row>
    <row r="2057" spans="1:34" ht="26.25">
      <c r="A2057" s="245"/>
      <c r="B2057" s="245"/>
      <c r="C2057" s="245"/>
      <c r="D2057" s="245"/>
      <c r="E2057" s="245"/>
      <c r="F2057" s="279"/>
      <c r="G2057" s="245"/>
      <c r="H2057" s="245"/>
      <c r="I2057" s="245"/>
      <c r="O2057" s="360"/>
      <c r="Q2057" s="351"/>
      <c r="R2057" s="363"/>
      <c r="S2057" s="325"/>
      <c r="T2057" s="85" ph="1"/>
      <c r="V2057" s="216"/>
      <c r="W2057" s="245"/>
      <c r="X2057" s="187"/>
      <c r="Y2057" s="245"/>
      <c r="Z2057" s="245"/>
      <c r="AA2057" s="329"/>
      <c r="AC2057" s="245"/>
      <c r="AD2057" s="187"/>
      <c r="AE2057" s="361"/>
      <c r="AF2057" s="245"/>
      <c r="AH2057" s="245"/>
    </row>
    <row r="2058" spans="1:34" ht="26.25">
      <c r="A2058" s="245"/>
      <c r="B2058" s="245"/>
      <c r="C2058" s="245"/>
      <c r="D2058" s="245"/>
      <c r="E2058" s="245"/>
      <c r="F2058" s="279"/>
      <c r="G2058" s="245"/>
      <c r="H2058" s="245"/>
      <c r="I2058" s="245"/>
      <c r="O2058" s="360"/>
      <c r="Q2058" s="351"/>
      <c r="R2058" s="363"/>
      <c r="S2058" s="325"/>
      <c r="T2058" s="85" ph="1"/>
      <c r="V2058" s="216"/>
      <c r="W2058" s="245"/>
      <c r="X2058" s="187"/>
      <c r="Y2058" s="245"/>
      <c r="Z2058" s="245"/>
      <c r="AA2058" s="329"/>
      <c r="AC2058" s="245"/>
      <c r="AD2058" s="187"/>
      <c r="AE2058" s="361"/>
      <c r="AF2058" s="245"/>
      <c r="AH2058" s="245"/>
    </row>
    <row r="2059" spans="1:34" ht="26.25">
      <c r="A2059" s="245"/>
      <c r="B2059" s="245"/>
      <c r="C2059" s="245"/>
      <c r="D2059" s="245"/>
      <c r="E2059" s="245"/>
      <c r="F2059" s="279"/>
      <c r="G2059" s="245"/>
      <c r="H2059" s="245"/>
      <c r="I2059" s="245"/>
      <c r="O2059" s="360"/>
      <c r="Q2059" s="351"/>
      <c r="R2059" s="363"/>
      <c r="S2059" s="325"/>
      <c r="T2059" s="85" ph="1"/>
      <c r="V2059" s="216"/>
      <c r="W2059" s="245"/>
      <c r="X2059" s="187"/>
      <c r="Y2059" s="245"/>
      <c r="Z2059" s="245"/>
      <c r="AA2059" s="329"/>
      <c r="AC2059" s="245"/>
      <c r="AD2059" s="187"/>
      <c r="AE2059" s="361"/>
      <c r="AF2059" s="245"/>
      <c r="AH2059" s="245"/>
    </row>
    <row r="2060" spans="1:34" ht="26.25">
      <c r="A2060" s="245"/>
      <c r="B2060" s="245"/>
      <c r="C2060" s="245"/>
      <c r="D2060" s="245"/>
      <c r="E2060" s="245"/>
      <c r="F2060" s="279"/>
      <c r="G2060" s="245"/>
      <c r="H2060" s="245"/>
      <c r="I2060" s="245"/>
      <c r="O2060" s="360"/>
      <c r="Q2060" s="351"/>
      <c r="R2060" s="363"/>
      <c r="S2060" s="325"/>
      <c r="T2060" s="85" ph="1"/>
      <c r="V2060" s="216"/>
      <c r="W2060" s="245"/>
      <c r="X2060" s="187"/>
      <c r="Y2060" s="245"/>
      <c r="Z2060" s="245"/>
      <c r="AA2060" s="329"/>
      <c r="AC2060" s="245"/>
      <c r="AD2060" s="187"/>
      <c r="AE2060" s="361"/>
      <c r="AF2060" s="245"/>
      <c r="AH2060" s="245"/>
    </row>
    <row r="2061" spans="1:34" ht="26.25">
      <c r="A2061" s="245"/>
      <c r="B2061" s="245"/>
      <c r="C2061" s="245"/>
      <c r="D2061" s="245"/>
      <c r="E2061" s="245"/>
      <c r="F2061" s="279"/>
      <c r="G2061" s="245"/>
      <c r="H2061" s="245"/>
      <c r="I2061" s="245"/>
      <c r="O2061" s="360"/>
      <c r="Q2061" s="351"/>
      <c r="R2061" s="363"/>
      <c r="S2061" s="325"/>
      <c r="T2061" s="85" ph="1"/>
      <c r="V2061" s="216"/>
      <c r="W2061" s="245"/>
      <c r="X2061" s="187"/>
      <c r="Y2061" s="245"/>
      <c r="Z2061" s="245"/>
      <c r="AA2061" s="329"/>
      <c r="AC2061" s="245"/>
      <c r="AD2061" s="187"/>
      <c r="AE2061" s="361"/>
      <c r="AF2061" s="245"/>
      <c r="AH2061" s="245"/>
    </row>
    <row r="2062" spans="1:34" ht="26.25">
      <c r="A2062" s="245"/>
      <c r="B2062" s="245"/>
      <c r="C2062" s="245"/>
      <c r="D2062" s="245"/>
      <c r="E2062" s="245"/>
      <c r="F2062" s="279"/>
      <c r="G2062" s="245"/>
      <c r="H2062" s="245"/>
      <c r="I2062" s="245"/>
      <c r="O2062" s="360"/>
      <c r="Q2062" s="351"/>
      <c r="R2062" s="363"/>
      <c r="S2062" s="325"/>
      <c r="T2062" s="85" ph="1"/>
      <c r="V2062" s="216"/>
      <c r="W2062" s="245"/>
      <c r="X2062" s="187"/>
      <c r="Y2062" s="245"/>
      <c r="Z2062" s="245"/>
      <c r="AA2062" s="329"/>
      <c r="AC2062" s="245"/>
      <c r="AD2062" s="187"/>
      <c r="AE2062" s="361"/>
      <c r="AF2062" s="245"/>
      <c r="AH2062" s="245"/>
    </row>
    <row r="2063" spans="1:34" ht="26.25">
      <c r="A2063" s="245"/>
      <c r="B2063" s="245"/>
      <c r="C2063" s="245"/>
      <c r="D2063" s="245"/>
      <c r="E2063" s="245"/>
      <c r="F2063" s="279"/>
      <c r="G2063" s="245"/>
      <c r="H2063" s="245"/>
      <c r="I2063" s="245"/>
      <c r="O2063" s="360"/>
      <c r="Q2063" s="351"/>
      <c r="R2063" s="363"/>
      <c r="S2063" s="325"/>
      <c r="T2063" s="85" ph="1"/>
      <c r="V2063" s="216"/>
      <c r="W2063" s="245"/>
      <c r="X2063" s="187"/>
      <c r="Y2063" s="245"/>
      <c r="Z2063" s="245"/>
      <c r="AA2063" s="329"/>
      <c r="AC2063" s="245"/>
      <c r="AD2063" s="187"/>
      <c r="AE2063" s="361"/>
      <c r="AF2063" s="245"/>
      <c r="AH2063" s="245"/>
    </row>
    <row r="2064" spans="1:34" ht="26.25">
      <c r="A2064" s="245"/>
      <c r="B2064" s="245"/>
      <c r="C2064" s="245"/>
      <c r="D2064" s="245"/>
      <c r="E2064" s="245"/>
      <c r="F2064" s="279"/>
      <c r="G2064" s="245"/>
      <c r="H2064" s="245"/>
      <c r="I2064" s="245"/>
      <c r="O2064" s="360"/>
      <c r="Q2064" s="351"/>
      <c r="R2064" s="363"/>
      <c r="S2064" s="325"/>
      <c r="T2064" s="85" ph="1"/>
      <c r="V2064" s="216"/>
      <c r="W2064" s="245"/>
      <c r="X2064" s="187"/>
      <c r="Y2064" s="245"/>
      <c r="Z2064" s="245"/>
      <c r="AA2064" s="329"/>
      <c r="AC2064" s="245"/>
      <c r="AD2064" s="187"/>
      <c r="AE2064" s="361"/>
      <c r="AF2064" s="245"/>
      <c r="AH2064" s="245"/>
    </row>
    <row r="2065" spans="1:34" ht="26.25">
      <c r="A2065" s="245"/>
      <c r="B2065" s="245"/>
      <c r="C2065" s="245"/>
      <c r="D2065" s="245"/>
      <c r="E2065" s="245"/>
      <c r="F2065" s="279"/>
      <c r="G2065" s="245"/>
      <c r="H2065" s="245"/>
      <c r="I2065" s="245"/>
      <c r="O2065" s="360"/>
      <c r="Q2065" s="351"/>
      <c r="R2065" s="363"/>
      <c r="S2065" s="325"/>
      <c r="T2065" s="85" ph="1"/>
      <c r="V2065" s="216"/>
      <c r="W2065" s="245"/>
      <c r="X2065" s="187"/>
      <c r="Y2065" s="245"/>
      <c r="Z2065" s="245"/>
      <c r="AA2065" s="329"/>
      <c r="AC2065" s="245"/>
      <c r="AD2065" s="187"/>
      <c r="AE2065" s="361"/>
      <c r="AF2065" s="245"/>
      <c r="AH2065" s="245"/>
    </row>
    <row r="2066" spans="1:34" ht="26.25">
      <c r="A2066" s="245"/>
      <c r="B2066" s="245"/>
      <c r="C2066" s="245"/>
      <c r="D2066" s="245"/>
      <c r="E2066" s="245"/>
      <c r="F2066" s="279"/>
      <c r="G2066" s="245"/>
      <c r="H2066" s="245"/>
      <c r="I2066" s="245"/>
      <c r="O2066" s="360"/>
      <c r="Q2066" s="351"/>
      <c r="R2066" s="363"/>
      <c r="S2066" s="325"/>
      <c r="T2066" s="85" ph="1"/>
      <c r="V2066" s="216"/>
      <c r="W2066" s="245"/>
      <c r="X2066" s="187"/>
      <c r="Y2066" s="245"/>
      <c r="Z2066" s="245"/>
      <c r="AA2066" s="329"/>
      <c r="AC2066" s="245"/>
      <c r="AD2066" s="187"/>
      <c r="AE2066" s="361"/>
      <c r="AF2066" s="245"/>
      <c r="AH2066" s="245"/>
    </row>
    <row r="2067" spans="1:34" ht="26.25">
      <c r="A2067" s="245"/>
      <c r="B2067" s="245"/>
      <c r="C2067" s="245"/>
      <c r="D2067" s="245"/>
      <c r="E2067" s="245"/>
      <c r="F2067" s="279"/>
      <c r="G2067" s="245"/>
      <c r="H2067" s="245"/>
      <c r="I2067" s="245"/>
      <c r="O2067" s="360"/>
      <c r="Q2067" s="351"/>
      <c r="R2067" s="363"/>
      <c r="S2067" s="325"/>
      <c r="T2067" s="85" ph="1"/>
      <c r="V2067" s="216"/>
      <c r="W2067" s="245"/>
      <c r="X2067" s="187"/>
      <c r="Y2067" s="245"/>
      <c r="Z2067" s="245"/>
      <c r="AA2067" s="329"/>
      <c r="AC2067" s="245"/>
      <c r="AD2067" s="187"/>
      <c r="AE2067" s="361"/>
      <c r="AF2067" s="245"/>
      <c r="AH2067" s="245"/>
    </row>
    <row r="2068" spans="1:34" ht="26.25">
      <c r="A2068" s="245"/>
      <c r="B2068" s="245"/>
      <c r="C2068" s="245"/>
      <c r="D2068" s="245"/>
      <c r="E2068" s="245"/>
      <c r="F2068" s="279"/>
      <c r="G2068" s="245"/>
      <c r="H2068" s="245"/>
      <c r="I2068" s="245"/>
      <c r="O2068" s="360"/>
      <c r="Q2068" s="351"/>
      <c r="R2068" s="363"/>
      <c r="S2068" s="325"/>
      <c r="T2068" s="85" ph="1"/>
      <c r="V2068" s="216"/>
      <c r="W2068" s="245"/>
      <c r="X2068" s="187"/>
      <c r="Y2068" s="245"/>
      <c r="Z2068" s="245"/>
      <c r="AA2068" s="329"/>
      <c r="AC2068" s="245"/>
      <c r="AD2068" s="187"/>
      <c r="AE2068" s="361"/>
      <c r="AF2068" s="245"/>
      <c r="AH2068" s="245"/>
    </row>
    <row r="2069" spans="1:34" ht="26.25">
      <c r="A2069" s="245"/>
      <c r="B2069" s="245"/>
      <c r="C2069" s="245"/>
      <c r="D2069" s="245"/>
      <c r="E2069" s="245"/>
      <c r="F2069" s="279"/>
      <c r="G2069" s="245"/>
      <c r="H2069" s="245"/>
      <c r="I2069" s="245"/>
      <c r="O2069" s="360"/>
      <c r="Q2069" s="351"/>
      <c r="R2069" s="363"/>
      <c r="S2069" s="325"/>
      <c r="T2069" s="85" ph="1"/>
      <c r="V2069" s="216"/>
      <c r="W2069" s="245"/>
      <c r="X2069" s="187"/>
      <c r="Y2069" s="245"/>
      <c r="Z2069" s="245"/>
      <c r="AA2069" s="329"/>
      <c r="AC2069" s="245"/>
      <c r="AD2069" s="187"/>
      <c r="AE2069" s="361"/>
      <c r="AF2069" s="245"/>
      <c r="AH2069" s="245"/>
    </row>
    <row r="2070" spans="1:34" ht="26.25">
      <c r="A2070" s="245"/>
      <c r="B2070" s="245"/>
      <c r="C2070" s="245"/>
      <c r="D2070" s="245"/>
      <c r="E2070" s="245"/>
      <c r="F2070" s="279"/>
      <c r="G2070" s="245"/>
      <c r="H2070" s="245"/>
      <c r="I2070" s="245"/>
      <c r="O2070" s="360"/>
      <c r="Q2070" s="351"/>
      <c r="R2070" s="363"/>
      <c r="S2070" s="325"/>
      <c r="T2070" s="85" ph="1"/>
      <c r="V2070" s="216"/>
      <c r="W2070" s="245"/>
      <c r="X2070" s="187"/>
      <c r="Y2070" s="245"/>
      <c r="Z2070" s="245"/>
      <c r="AA2070" s="329"/>
      <c r="AC2070" s="245"/>
      <c r="AD2070" s="187"/>
      <c r="AE2070" s="361"/>
      <c r="AF2070" s="245"/>
      <c r="AH2070" s="245"/>
    </row>
    <row r="2071" spans="1:34" ht="26.25">
      <c r="A2071" s="245"/>
      <c r="B2071" s="245"/>
      <c r="C2071" s="245"/>
      <c r="D2071" s="245"/>
      <c r="E2071" s="245"/>
      <c r="F2071" s="279"/>
      <c r="G2071" s="245"/>
      <c r="H2071" s="245"/>
      <c r="I2071" s="245"/>
      <c r="O2071" s="360"/>
      <c r="Q2071" s="351"/>
      <c r="R2071" s="363"/>
      <c r="S2071" s="325"/>
      <c r="T2071" s="85" ph="1"/>
      <c r="V2071" s="216"/>
      <c r="W2071" s="245"/>
      <c r="X2071" s="187"/>
      <c r="Y2071" s="245"/>
      <c r="Z2071" s="245"/>
      <c r="AA2071" s="329"/>
      <c r="AC2071" s="245"/>
      <c r="AD2071" s="187"/>
      <c r="AE2071" s="361"/>
      <c r="AF2071" s="245"/>
      <c r="AH2071" s="245"/>
    </row>
    <row r="2072" spans="1:34" ht="26.25">
      <c r="A2072" s="245"/>
      <c r="B2072" s="245"/>
      <c r="C2072" s="245"/>
      <c r="D2072" s="245"/>
      <c r="E2072" s="245"/>
      <c r="F2072" s="279"/>
      <c r="G2072" s="245"/>
      <c r="H2072" s="245"/>
      <c r="I2072" s="245"/>
      <c r="O2072" s="360"/>
      <c r="Q2072" s="351"/>
      <c r="R2072" s="363"/>
      <c r="S2072" s="325"/>
      <c r="T2072" s="85" ph="1"/>
      <c r="V2072" s="216"/>
      <c r="W2072" s="245"/>
      <c r="X2072" s="187"/>
      <c r="Y2072" s="245"/>
      <c r="Z2072" s="245"/>
      <c r="AA2072" s="329"/>
      <c r="AC2072" s="245"/>
      <c r="AD2072" s="187"/>
      <c r="AE2072" s="361"/>
      <c r="AF2072" s="245"/>
      <c r="AH2072" s="245"/>
    </row>
    <row r="2073" spans="1:34" ht="26.25">
      <c r="A2073" s="245"/>
      <c r="B2073" s="245"/>
      <c r="C2073" s="245"/>
      <c r="D2073" s="245"/>
      <c r="E2073" s="245"/>
      <c r="F2073" s="279"/>
      <c r="G2073" s="245"/>
      <c r="H2073" s="245"/>
      <c r="I2073" s="245"/>
      <c r="O2073" s="360"/>
      <c r="Q2073" s="351"/>
      <c r="R2073" s="363"/>
      <c r="S2073" s="325"/>
      <c r="T2073" s="85" ph="1"/>
      <c r="V2073" s="216"/>
      <c r="W2073" s="245"/>
      <c r="X2073" s="187"/>
      <c r="Y2073" s="245"/>
      <c r="Z2073" s="245"/>
      <c r="AA2073" s="329"/>
      <c r="AC2073" s="245"/>
      <c r="AD2073" s="187"/>
      <c r="AE2073" s="361"/>
      <c r="AF2073" s="245"/>
      <c r="AH2073" s="245"/>
    </row>
    <row r="2074" spans="1:34" ht="26.25">
      <c r="A2074" s="245"/>
      <c r="B2074" s="245"/>
      <c r="C2074" s="245"/>
      <c r="D2074" s="245"/>
      <c r="E2074" s="245"/>
      <c r="F2074" s="279"/>
      <c r="G2074" s="245"/>
      <c r="H2074" s="245"/>
      <c r="I2074" s="245"/>
      <c r="O2074" s="360"/>
      <c r="Q2074" s="351"/>
      <c r="R2074" s="363"/>
      <c r="S2074" s="325"/>
      <c r="T2074" s="85" ph="1"/>
      <c r="V2074" s="216"/>
      <c r="W2074" s="245"/>
      <c r="X2074" s="187"/>
      <c r="Y2074" s="245"/>
      <c r="Z2074" s="245"/>
      <c r="AA2074" s="329"/>
      <c r="AC2074" s="245"/>
      <c r="AD2074" s="187"/>
      <c r="AE2074" s="361"/>
      <c r="AF2074" s="245"/>
      <c r="AH2074" s="245"/>
    </row>
    <row r="2075" spans="1:34" ht="26.25">
      <c r="A2075" s="245"/>
      <c r="B2075" s="245"/>
      <c r="C2075" s="245"/>
      <c r="D2075" s="245"/>
      <c r="E2075" s="245"/>
      <c r="F2075" s="279"/>
      <c r="G2075" s="245"/>
      <c r="H2075" s="245"/>
      <c r="I2075" s="245"/>
      <c r="O2075" s="360"/>
      <c r="Q2075" s="351"/>
      <c r="R2075" s="363"/>
      <c r="S2075" s="325"/>
      <c r="T2075" s="85" ph="1"/>
      <c r="V2075" s="216"/>
      <c r="W2075" s="245"/>
      <c r="X2075" s="187"/>
      <c r="Y2075" s="245"/>
      <c r="Z2075" s="245"/>
      <c r="AA2075" s="329"/>
      <c r="AC2075" s="245"/>
      <c r="AD2075" s="187"/>
      <c r="AE2075" s="361"/>
      <c r="AF2075" s="245"/>
      <c r="AH2075" s="245"/>
    </row>
    <row r="2076" spans="1:34" ht="26.25">
      <c r="A2076" s="245"/>
      <c r="B2076" s="245"/>
      <c r="C2076" s="245"/>
      <c r="D2076" s="245"/>
      <c r="E2076" s="245"/>
      <c r="F2076" s="279"/>
      <c r="G2076" s="245"/>
      <c r="H2076" s="245"/>
      <c r="I2076" s="245"/>
      <c r="O2076" s="360"/>
      <c r="Q2076" s="351"/>
      <c r="R2076" s="363"/>
      <c r="S2076" s="325"/>
      <c r="T2076" s="85" ph="1"/>
      <c r="V2076" s="216"/>
      <c r="W2076" s="245"/>
      <c r="X2076" s="187"/>
      <c r="Y2076" s="245"/>
      <c r="Z2076" s="245"/>
      <c r="AA2076" s="329"/>
      <c r="AC2076" s="245"/>
      <c r="AD2076" s="187"/>
      <c r="AE2076" s="361"/>
      <c r="AF2076" s="245"/>
      <c r="AH2076" s="245"/>
    </row>
    <row r="2077" spans="1:34" ht="26.25">
      <c r="A2077" s="245"/>
      <c r="B2077" s="245"/>
      <c r="C2077" s="245"/>
      <c r="D2077" s="245"/>
      <c r="E2077" s="245"/>
      <c r="F2077" s="279"/>
      <c r="G2077" s="245"/>
      <c r="H2077" s="245"/>
      <c r="I2077" s="245"/>
      <c r="O2077" s="360"/>
      <c r="Q2077" s="351"/>
      <c r="R2077" s="363"/>
      <c r="S2077" s="325"/>
      <c r="T2077" s="85" ph="1"/>
      <c r="V2077" s="216"/>
      <c r="W2077" s="245"/>
      <c r="X2077" s="187"/>
      <c r="Y2077" s="245"/>
      <c r="Z2077" s="245"/>
      <c r="AA2077" s="329"/>
      <c r="AC2077" s="245"/>
      <c r="AD2077" s="187"/>
      <c r="AE2077" s="361"/>
      <c r="AF2077" s="245"/>
      <c r="AH2077" s="245"/>
    </row>
    <row r="2078" spans="1:34" ht="26.25">
      <c r="A2078" s="245"/>
      <c r="B2078" s="245"/>
      <c r="C2078" s="245"/>
      <c r="D2078" s="245"/>
      <c r="E2078" s="245"/>
      <c r="F2078" s="279"/>
      <c r="G2078" s="245"/>
      <c r="H2078" s="245"/>
      <c r="I2078" s="245"/>
      <c r="O2078" s="360"/>
      <c r="Q2078" s="351"/>
      <c r="R2078" s="363"/>
      <c r="S2078" s="325"/>
      <c r="T2078" s="85" ph="1"/>
      <c r="V2078" s="216"/>
      <c r="W2078" s="245"/>
      <c r="X2078" s="187"/>
      <c r="Y2078" s="245"/>
      <c r="Z2078" s="245"/>
      <c r="AA2078" s="329"/>
      <c r="AC2078" s="245"/>
      <c r="AD2078" s="187"/>
      <c r="AE2078" s="361"/>
      <c r="AF2078" s="245"/>
      <c r="AH2078" s="245"/>
    </row>
    <row r="2079" spans="1:34" ht="26.25">
      <c r="A2079" s="245"/>
      <c r="B2079" s="245"/>
      <c r="C2079" s="245"/>
      <c r="D2079" s="245"/>
      <c r="E2079" s="245"/>
      <c r="F2079" s="279"/>
      <c r="G2079" s="245"/>
      <c r="H2079" s="245"/>
      <c r="I2079" s="245"/>
      <c r="O2079" s="360"/>
      <c r="Q2079" s="351"/>
      <c r="R2079" s="363"/>
      <c r="S2079" s="325"/>
      <c r="T2079" s="85" ph="1"/>
      <c r="V2079" s="216"/>
      <c r="W2079" s="245"/>
      <c r="X2079" s="187"/>
      <c r="Y2079" s="245"/>
      <c r="Z2079" s="245"/>
      <c r="AA2079" s="329"/>
      <c r="AC2079" s="245"/>
      <c r="AD2079" s="187"/>
      <c r="AE2079" s="361"/>
      <c r="AF2079" s="245"/>
      <c r="AH2079" s="245"/>
    </row>
    <row r="2080" spans="1:34" ht="26.25">
      <c r="A2080" s="245"/>
      <c r="B2080" s="245"/>
      <c r="C2080" s="245"/>
      <c r="D2080" s="245"/>
      <c r="E2080" s="245"/>
      <c r="F2080" s="279"/>
      <c r="G2080" s="245"/>
      <c r="H2080" s="245"/>
      <c r="I2080" s="245"/>
      <c r="O2080" s="360"/>
      <c r="Q2080" s="351"/>
      <c r="R2080" s="363"/>
      <c r="S2080" s="325"/>
      <c r="T2080" s="85" ph="1"/>
      <c r="V2080" s="216"/>
      <c r="W2080" s="245"/>
      <c r="X2080" s="187"/>
      <c r="Y2080" s="245"/>
      <c r="Z2080" s="245"/>
      <c r="AA2080" s="329"/>
      <c r="AC2080" s="245"/>
      <c r="AD2080" s="187"/>
      <c r="AE2080" s="361"/>
      <c r="AF2080" s="245"/>
      <c r="AH2080" s="245"/>
    </row>
    <row r="2081" spans="1:34" ht="26.25">
      <c r="A2081" s="245"/>
      <c r="B2081" s="245"/>
      <c r="C2081" s="245"/>
      <c r="D2081" s="245"/>
      <c r="E2081" s="245"/>
      <c r="F2081" s="279"/>
      <c r="G2081" s="245"/>
      <c r="H2081" s="245"/>
      <c r="I2081" s="245"/>
      <c r="O2081" s="360"/>
      <c r="Q2081" s="351"/>
      <c r="R2081" s="363"/>
      <c r="S2081" s="325"/>
      <c r="T2081" s="85" ph="1"/>
      <c r="V2081" s="216"/>
      <c r="W2081" s="245"/>
      <c r="X2081" s="187"/>
      <c r="Y2081" s="245"/>
      <c r="Z2081" s="245"/>
      <c r="AA2081" s="329"/>
      <c r="AC2081" s="245"/>
      <c r="AD2081" s="187"/>
      <c r="AE2081" s="361"/>
      <c r="AF2081" s="245"/>
      <c r="AH2081" s="245"/>
    </row>
    <row r="2082" spans="1:34" ht="26.25">
      <c r="A2082" s="245"/>
      <c r="B2082" s="245"/>
      <c r="C2082" s="245"/>
      <c r="D2082" s="245"/>
      <c r="E2082" s="245"/>
      <c r="F2082" s="279"/>
      <c r="G2082" s="245"/>
      <c r="H2082" s="245"/>
      <c r="I2082" s="245"/>
      <c r="O2082" s="360"/>
      <c r="Q2082" s="351"/>
      <c r="R2082" s="363"/>
      <c r="S2082" s="325"/>
      <c r="T2082" s="85" ph="1"/>
      <c r="V2082" s="216"/>
      <c r="W2082" s="245"/>
      <c r="X2082" s="187"/>
      <c r="Y2082" s="245"/>
      <c r="Z2082" s="245"/>
      <c r="AA2082" s="329"/>
      <c r="AC2082" s="245"/>
      <c r="AD2082" s="187"/>
      <c r="AE2082" s="361"/>
      <c r="AF2082" s="245"/>
      <c r="AH2082" s="245"/>
    </row>
    <row r="2083" spans="1:34" ht="26.25">
      <c r="A2083" s="245"/>
      <c r="B2083" s="245"/>
      <c r="C2083" s="245"/>
      <c r="D2083" s="245"/>
      <c r="E2083" s="245"/>
      <c r="F2083" s="279"/>
      <c r="G2083" s="245"/>
      <c r="H2083" s="245"/>
      <c r="I2083" s="245"/>
      <c r="O2083" s="360"/>
      <c r="Q2083" s="351"/>
      <c r="R2083" s="363"/>
      <c r="S2083" s="325"/>
      <c r="T2083" s="85" ph="1"/>
      <c r="V2083" s="216"/>
      <c r="W2083" s="245"/>
      <c r="X2083" s="187"/>
      <c r="Y2083" s="245"/>
      <c r="Z2083" s="245"/>
      <c r="AA2083" s="329"/>
      <c r="AC2083" s="245"/>
      <c r="AD2083" s="187"/>
      <c r="AE2083" s="361"/>
      <c r="AF2083" s="245"/>
      <c r="AH2083" s="245"/>
    </row>
    <row r="2084" spans="1:34" ht="26.25">
      <c r="A2084" s="245"/>
      <c r="B2084" s="245"/>
      <c r="C2084" s="245"/>
      <c r="D2084" s="245"/>
      <c r="E2084" s="245"/>
      <c r="F2084" s="279"/>
      <c r="G2084" s="245"/>
      <c r="H2084" s="245"/>
      <c r="I2084" s="245"/>
      <c r="O2084" s="360"/>
      <c r="Q2084" s="351"/>
      <c r="R2084" s="363"/>
      <c r="S2084" s="325"/>
      <c r="T2084" s="85" ph="1"/>
      <c r="V2084" s="216"/>
      <c r="W2084" s="245"/>
      <c r="X2084" s="187"/>
      <c r="Y2084" s="245"/>
      <c r="Z2084" s="245"/>
      <c r="AA2084" s="329"/>
      <c r="AC2084" s="245"/>
      <c r="AD2084" s="187"/>
      <c r="AE2084" s="361"/>
      <c r="AF2084" s="245"/>
      <c r="AH2084" s="245"/>
    </row>
    <row r="2085" spans="1:34" ht="26.25">
      <c r="A2085" s="245"/>
      <c r="B2085" s="245"/>
      <c r="C2085" s="245"/>
      <c r="D2085" s="245"/>
      <c r="E2085" s="245"/>
      <c r="F2085" s="279"/>
      <c r="G2085" s="245"/>
      <c r="H2085" s="245"/>
      <c r="I2085" s="245"/>
      <c r="O2085" s="360"/>
      <c r="Q2085" s="351"/>
      <c r="R2085" s="363"/>
      <c r="S2085" s="325"/>
      <c r="T2085" s="85" ph="1"/>
      <c r="V2085" s="216"/>
      <c r="W2085" s="245"/>
      <c r="X2085" s="187"/>
      <c r="Y2085" s="245"/>
      <c r="Z2085" s="245"/>
      <c r="AA2085" s="329"/>
      <c r="AC2085" s="245"/>
      <c r="AD2085" s="187"/>
      <c r="AE2085" s="361"/>
      <c r="AF2085" s="245"/>
      <c r="AH2085" s="245"/>
    </row>
    <row r="2086" spans="1:34" ht="26.25">
      <c r="A2086" s="245"/>
      <c r="B2086" s="245"/>
      <c r="C2086" s="245"/>
      <c r="D2086" s="245"/>
      <c r="E2086" s="245"/>
      <c r="F2086" s="279"/>
      <c r="G2086" s="245"/>
      <c r="H2086" s="245"/>
      <c r="I2086" s="245"/>
      <c r="O2086" s="360"/>
      <c r="Q2086" s="351"/>
      <c r="R2086" s="363"/>
      <c r="S2086" s="325"/>
      <c r="T2086" s="85" ph="1"/>
      <c r="V2086" s="216"/>
      <c r="W2086" s="245"/>
      <c r="X2086" s="187"/>
      <c r="Y2086" s="245"/>
      <c r="Z2086" s="245"/>
      <c r="AA2086" s="329"/>
      <c r="AC2086" s="245"/>
      <c r="AD2086" s="187"/>
      <c r="AE2086" s="361"/>
      <c r="AF2086" s="245"/>
      <c r="AH2086" s="245"/>
    </row>
    <row r="2087" spans="1:34" ht="26.25">
      <c r="A2087" s="245"/>
      <c r="B2087" s="245"/>
      <c r="C2087" s="245"/>
      <c r="D2087" s="245"/>
      <c r="E2087" s="245"/>
      <c r="F2087" s="279"/>
      <c r="G2087" s="245"/>
      <c r="H2087" s="245"/>
      <c r="I2087" s="245"/>
      <c r="O2087" s="360"/>
      <c r="Q2087" s="351"/>
      <c r="R2087" s="363"/>
      <c r="S2087" s="325"/>
      <c r="T2087" s="85" ph="1"/>
      <c r="V2087" s="216"/>
      <c r="W2087" s="245"/>
      <c r="X2087" s="187"/>
      <c r="Y2087" s="245"/>
      <c r="Z2087" s="245"/>
      <c r="AA2087" s="329"/>
      <c r="AC2087" s="245"/>
      <c r="AD2087" s="187"/>
      <c r="AE2087" s="361"/>
      <c r="AF2087" s="245"/>
      <c r="AH2087" s="245"/>
    </row>
    <row r="2088" spans="1:34" ht="26.25">
      <c r="A2088" s="245"/>
      <c r="B2088" s="245"/>
      <c r="C2088" s="245"/>
      <c r="D2088" s="245"/>
      <c r="E2088" s="245"/>
      <c r="F2088" s="279"/>
      <c r="G2088" s="245"/>
      <c r="H2088" s="245"/>
      <c r="I2088" s="245"/>
      <c r="O2088" s="360"/>
      <c r="Q2088" s="351"/>
      <c r="R2088" s="363"/>
      <c r="S2088" s="325"/>
      <c r="T2088" s="85" ph="1"/>
      <c r="V2088" s="216"/>
      <c r="W2088" s="245"/>
      <c r="X2088" s="187"/>
      <c r="Y2088" s="245"/>
      <c r="Z2088" s="245"/>
      <c r="AA2088" s="329"/>
      <c r="AC2088" s="245"/>
      <c r="AD2088" s="187"/>
      <c r="AE2088" s="361"/>
      <c r="AF2088" s="245"/>
      <c r="AH2088" s="245"/>
    </row>
    <row r="2089" spans="1:34" ht="26.25">
      <c r="A2089" s="245"/>
      <c r="B2089" s="245"/>
      <c r="C2089" s="245"/>
      <c r="D2089" s="245"/>
      <c r="E2089" s="245"/>
      <c r="F2089" s="279"/>
      <c r="G2089" s="245"/>
      <c r="H2089" s="245"/>
      <c r="I2089" s="245"/>
      <c r="O2089" s="360"/>
      <c r="Q2089" s="351"/>
      <c r="R2089" s="363"/>
      <c r="S2089" s="325"/>
      <c r="T2089" s="85" ph="1"/>
      <c r="V2089" s="216"/>
      <c r="W2089" s="245"/>
      <c r="X2089" s="187"/>
      <c r="Y2089" s="245"/>
      <c r="Z2089" s="245"/>
      <c r="AA2089" s="329"/>
      <c r="AC2089" s="245"/>
      <c r="AD2089" s="187"/>
      <c r="AE2089" s="361"/>
      <c r="AF2089" s="245"/>
      <c r="AH2089" s="245"/>
    </row>
    <row r="2090" spans="1:34" ht="26.25">
      <c r="A2090" s="245"/>
      <c r="B2090" s="245"/>
      <c r="C2090" s="245"/>
      <c r="D2090" s="245"/>
      <c r="E2090" s="245"/>
      <c r="F2090" s="279"/>
      <c r="G2090" s="245"/>
      <c r="H2090" s="245"/>
      <c r="I2090" s="245"/>
      <c r="O2090" s="360"/>
      <c r="Q2090" s="351"/>
      <c r="R2090" s="363"/>
      <c r="S2090" s="325"/>
      <c r="T2090" s="85" ph="1"/>
      <c r="V2090" s="216"/>
      <c r="W2090" s="245"/>
      <c r="X2090" s="187"/>
      <c r="Y2090" s="245"/>
      <c r="Z2090" s="245"/>
      <c r="AA2090" s="329"/>
      <c r="AC2090" s="245"/>
      <c r="AD2090" s="187"/>
      <c r="AE2090" s="361"/>
      <c r="AF2090" s="245"/>
      <c r="AH2090" s="245"/>
    </row>
    <row r="2091" spans="1:34" ht="26.25">
      <c r="A2091" s="245"/>
      <c r="B2091" s="245"/>
      <c r="C2091" s="245"/>
      <c r="D2091" s="245"/>
      <c r="E2091" s="245"/>
      <c r="F2091" s="279"/>
      <c r="G2091" s="245"/>
      <c r="H2091" s="245"/>
      <c r="I2091" s="245"/>
      <c r="O2091" s="360"/>
      <c r="Q2091" s="351"/>
      <c r="R2091" s="363"/>
      <c r="S2091" s="325"/>
      <c r="T2091" s="85" ph="1"/>
      <c r="V2091" s="216"/>
      <c r="W2091" s="245"/>
      <c r="X2091" s="187"/>
      <c r="Y2091" s="245"/>
      <c r="Z2091" s="245"/>
      <c r="AA2091" s="329"/>
      <c r="AC2091" s="245"/>
      <c r="AD2091" s="187"/>
      <c r="AE2091" s="361"/>
      <c r="AF2091" s="245"/>
      <c r="AH2091" s="245"/>
    </row>
    <row r="2092" spans="1:34" ht="26.25">
      <c r="A2092" s="245"/>
      <c r="B2092" s="245"/>
      <c r="C2092" s="245"/>
      <c r="D2092" s="245"/>
      <c r="E2092" s="245"/>
      <c r="F2092" s="279"/>
      <c r="G2092" s="245"/>
      <c r="H2092" s="245"/>
      <c r="I2092" s="245"/>
      <c r="O2092" s="360"/>
      <c r="Q2092" s="351"/>
      <c r="R2092" s="363"/>
      <c r="S2092" s="325"/>
      <c r="T2092" s="85" ph="1"/>
      <c r="V2092" s="216"/>
      <c r="W2092" s="245"/>
      <c r="X2092" s="187"/>
      <c r="Y2092" s="245"/>
      <c r="Z2092" s="245"/>
      <c r="AA2092" s="329"/>
      <c r="AC2092" s="245"/>
      <c r="AD2092" s="187"/>
      <c r="AE2092" s="361"/>
      <c r="AF2092" s="245"/>
      <c r="AH2092" s="245"/>
    </row>
    <row r="2093" spans="1:34" ht="26.25">
      <c r="A2093" s="245"/>
      <c r="B2093" s="245"/>
      <c r="C2093" s="245"/>
      <c r="D2093" s="245"/>
      <c r="E2093" s="245"/>
      <c r="F2093" s="279"/>
      <c r="G2093" s="245"/>
      <c r="H2093" s="245"/>
      <c r="I2093" s="245"/>
      <c r="O2093" s="360"/>
      <c r="Q2093" s="351"/>
      <c r="R2093" s="363"/>
      <c r="S2093" s="325"/>
      <c r="T2093" s="85" ph="1"/>
      <c r="V2093" s="216"/>
      <c r="W2093" s="245"/>
      <c r="X2093" s="187"/>
      <c r="Y2093" s="245"/>
      <c r="Z2093" s="245"/>
      <c r="AA2093" s="329"/>
      <c r="AC2093" s="245"/>
      <c r="AD2093" s="187"/>
      <c r="AE2093" s="361"/>
      <c r="AF2093" s="245"/>
      <c r="AH2093" s="245"/>
    </row>
    <row r="2094" spans="1:34" ht="26.25">
      <c r="A2094" s="245"/>
      <c r="B2094" s="245"/>
      <c r="C2094" s="245"/>
      <c r="D2094" s="245"/>
      <c r="E2094" s="245"/>
      <c r="F2094" s="279"/>
      <c r="G2094" s="245"/>
      <c r="H2094" s="245"/>
      <c r="I2094" s="245"/>
      <c r="O2094" s="360"/>
      <c r="Q2094" s="351"/>
      <c r="R2094" s="363"/>
      <c r="S2094" s="325"/>
      <c r="T2094" s="85" ph="1"/>
      <c r="V2094" s="216"/>
      <c r="W2094" s="245"/>
      <c r="X2094" s="187"/>
      <c r="Y2094" s="245"/>
      <c r="Z2094" s="245"/>
      <c r="AA2094" s="329"/>
      <c r="AC2094" s="245"/>
      <c r="AD2094" s="187"/>
      <c r="AE2094" s="361"/>
      <c r="AF2094" s="245"/>
      <c r="AH2094" s="245"/>
    </row>
    <row r="2095" spans="1:34" ht="26.25">
      <c r="A2095" s="245"/>
      <c r="B2095" s="245"/>
      <c r="C2095" s="245"/>
      <c r="D2095" s="245"/>
      <c r="E2095" s="245"/>
      <c r="F2095" s="279"/>
      <c r="G2095" s="245"/>
      <c r="H2095" s="245"/>
      <c r="I2095" s="245"/>
      <c r="O2095" s="360"/>
      <c r="Q2095" s="351"/>
      <c r="R2095" s="363"/>
      <c r="S2095" s="325"/>
      <c r="T2095" s="85" ph="1"/>
      <c r="V2095" s="216"/>
      <c r="W2095" s="245"/>
      <c r="X2095" s="187"/>
      <c r="Y2095" s="245"/>
      <c r="Z2095" s="245"/>
      <c r="AA2095" s="329"/>
      <c r="AC2095" s="245"/>
      <c r="AD2095" s="187"/>
      <c r="AE2095" s="361"/>
      <c r="AF2095" s="245"/>
      <c r="AH2095" s="245"/>
    </row>
    <row r="2096" spans="1:34" ht="26.25">
      <c r="A2096" s="245"/>
      <c r="B2096" s="245"/>
      <c r="C2096" s="245"/>
      <c r="D2096" s="245"/>
      <c r="E2096" s="245"/>
      <c r="F2096" s="279"/>
      <c r="G2096" s="245"/>
      <c r="H2096" s="245"/>
      <c r="I2096" s="245"/>
      <c r="O2096" s="360"/>
      <c r="Q2096" s="351"/>
      <c r="R2096" s="363"/>
      <c r="S2096" s="325"/>
      <c r="T2096" s="85" ph="1"/>
      <c r="V2096" s="216"/>
      <c r="W2096" s="245"/>
      <c r="X2096" s="187"/>
      <c r="Y2096" s="245"/>
      <c r="Z2096" s="245"/>
      <c r="AA2096" s="329"/>
      <c r="AC2096" s="245"/>
      <c r="AD2096" s="187"/>
      <c r="AE2096" s="361"/>
      <c r="AF2096" s="245"/>
      <c r="AH2096" s="245"/>
    </row>
    <row r="2097" spans="1:34" ht="26.25">
      <c r="A2097" s="245"/>
      <c r="B2097" s="245"/>
      <c r="C2097" s="245"/>
      <c r="D2097" s="245"/>
      <c r="E2097" s="245"/>
      <c r="F2097" s="279"/>
      <c r="G2097" s="245"/>
      <c r="H2097" s="245"/>
      <c r="I2097" s="245"/>
      <c r="O2097" s="360"/>
      <c r="Q2097" s="351"/>
      <c r="R2097" s="363"/>
      <c r="S2097" s="325"/>
      <c r="T2097" s="85" ph="1"/>
      <c r="V2097" s="216"/>
      <c r="W2097" s="245"/>
      <c r="X2097" s="187"/>
      <c r="Y2097" s="245"/>
      <c r="Z2097" s="245"/>
      <c r="AA2097" s="329"/>
      <c r="AC2097" s="245"/>
      <c r="AD2097" s="187"/>
      <c r="AE2097" s="361"/>
      <c r="AF2097" s="245"/>
      <c r="AH2097" s="245"/>
    </row>
    <row r="2098" spans="1:34" ht="26.25">
      <c r="A2098" s="245"/>
      <c r="B2098" s="245"/>
      <c r="C2098" s="245"/>
      <c r="D2098" s="245"/>
      <c r="E2098" s="245"/>
      <c r="F2098" s="279"/>
      <c r="G2098" s="245"/>
      <c r="H2098" s="245"/>
      <c r="I2098" s="245"/>
      <c r="O2098" s="360"/>
      <c r="Q2098" s="351"/>
      <c r="R2098" s="363"/>
      <c r="S2098" s="325"/>
      <c r="T2098" s="85" ph="1"/>
      <c r="V2098" s="216"/>
      <c r="W2098" s="245"/>
      <c r="X2098" s="187"/>
      <c r="Y2098" s="245"/>
      <c r="Z2098" s="245"/>
      <c r="AA2098" s="329"/>
      <c r="AC2098" s="245"/>
      <c r="AD2098" s="187"/>
      <c r="AE2098" s="361"/>
      <c r="AF2098" s="245"/>
      <c r="AH2098" s="245"/>
    </row>
    <row r="2099" spans="1:34" ht="26.25">
      <c r="A2099" s="245"/>
      <c r="B2099" s="245"/>
      <c r="C2099" s="245"/>
      <c r="D2099" s="245"/>
      <c r="E2099" s="245"/>
      <c r="F2099" s="279"/>
      <c r="G2099" s="245"/>
      <c r="H2099" s="245"/>
      <c r="I2099" s="245"/>
      <c r="O2099" s="360"/>
      <c r="Q2099" s="351"/>
      <c r="R2099" s="363"/>
      <c r="S2099" s="325"/>
      <c r="T2099" s="85" ph="1"/>
      <c r="V2099" s="216"/>
      <c r="W2099" s="245"/>
      <c r="X2099" s="187"/>
      <c r="Y2099" s="245"/>
      <c r="Z2099" s="245"/>
      <c r="AA2099" s="329"/>
      <c r="AC2099" s="245"/>
      <c r="AD2099" s="187"/>
      <c r="AE2099" s="361"/>
      <c r="AF2099" s="245"/>
      <c r="AH2099" s="245"/>
    </row>
    <row r="2100" spans="1:34" ht="26.25">
      <c r="A2100" s="245"/>
      <c r="B2100" s="245"/>
      <c r="C2100" s="245"/>
      <c r="D2100" s="245"/>
      <c r="E2100" s="245"/>
      <c r="F2100" s="279"/>
      <c r="G2100" s="245"/>
      <c r="H2100" s="245"/>
      <c r="I2100" s="245"/>
      <c r="O2100" s="360"/>
      <c r="Q2100" s="351"/>
      <c r="R2100" s="363"/>
      <c r="S2100" s="325"/>
      <c r="T2100" s="85" ph="1"/>
      <c r="V2100" s="216"/>
      <c r="W2100" s="245"/>
      <c r="X2100" s="187"/>
      <c r="Y2100" s="245"/>
      <c r="Z2100" s="245"/>
      <c r="AA2100" s="329"/>
      <c r="AC2100" s="245"/>
      <c r="AD2100" s="187"/>
      <c r="AE2100" s="361"/>
      <c r="AF2100" s="245"/>
      <c r="AH2100" s="245"/>
    </row>
    <row r="2101" spans="1:34" ht="26.25">
      <c r="A2101" s="245"/>
      <c r="B2101" s="245"/>
      <c r="C2101" s="245"/>
      <c r="D2101" s="245"/>
      <c r="E2101" s="245"/>
      <c r="F2101" s="279"/>
      <c r="G2101" s="245"/>
      <c r="H2101" s="245"/>
      <c r="I2101" s="245"/>
      <c r="O2101" s="360"/>
      <c r="Q2101" s="351"/>
      <c r="R2101" s="363"/>
      <c r="S2101" s="325"/>
      <c r="T2101" s="85" ph="1"/>
      <c r="V2101" s="216"/>
      <c r="W2101" s="245"/>
      <c r="X2101" s="187"/>
      <c r="Y2101" s="245"/>
      <c r="Z2101" s="245"/>
      <c r="AA2101" s="329"/>
      <c r="AC2101" s="245"/>
      <c r="AD2101" s="187"/>
      <c r="AE2101" s="361"/>
      <c r="AF2101" s="245"/>
      <c r="AH2101" s="245"/>
    </row>
    <row r="2102" spans="1:34" ht="26.25">
      <c r="A2102" s="245"/>
      <c r="B2102" s="245"/>
      <c r="C2102" s="245"/>
      <c r="D2102" s="245"/>
      <c r="E2102" s="245"/>
      <c r="F2102" s="279"/>
      <c r="G2102" s="245"/>
      <c r="H2102" s="245"/>
      <c r="I2102" s="245"/>
      <c r="O2102" s="360"/>
      <c r="Q2102" s="351"/>
      <c r="R2102" s="363"/>
      <c r="S2102" s="325"/>
      <c r="T2102" s="85" ph="1"/>
      <c r="V2102" s="216"/>
      <c r="W2102" s="245"/>
      <c r="X2102" s="187"/>
      <c r="Y2102" s="245"/>
      <c r="Z2102" s="245"/>
      <c r="AA2102" s="329"/>
      <c r="AC2102" s="245"/>
      <c r="AD2102" s="187"/>
      <c r="AE2102" s="361"/>
      <c r="AF2102" s="245"/>
      <c r="AH2102" s="245"/>
    </row>
    <row r="2103" spans="1:34" ht="26.25">
      <c r="A2103" s="245"/>
      <c r="B2103" s="245"/>
      <c r="C2103" s="245"/>
      <c r="D2103" s="245"/>
      <c r="E2103" s="245"/>
      <c r="F2103" s="279"/>
      <c r="G2103" s="245"/>
      <c r="H2103" s="245"/>
      <c r="I2103" s="245"/>
      <c r="O2103" s="360"/>
      <c r="Q2103" s="351"/>
      <c r="R2103" s="363"/>
      <c r="S2103" s="325"/>
      <c r="T2103" s="85" ph="1"/>
      <c r="V2103" s="216"/>
      <c r="W2103" s="245"/>
      <c r="X2103" s="187"/>
      <c r="Y2103" s="245"/>
      <c r="Z2103" s="245"/>
      <c r="AA2103" s="329"/>
      <c r="AC2103" s="245"/>
      <c r="AD2103" s="187"/>
      <c r="AE2103" s="361"/>
      <c r="AF2103" s="245"/>
      <c r="AH2103" s="245"/>
    </row>
    <row r="2104" spans="1:34" ht="26.25">
      <c r="A2104" s="245"/>
      <c r="B2104" s="245"/>
      <c r="C2104" s="245"/>
      <c r="D2104" s="245"/>
      <c r="E2104" s="245"/>
      <c r="F2104" s="279"/>
      <c r="G2104" s="245"/>
      <c r="H2104" s="245"/>
      <c r="I2104" s="245"/>
      <c r="O2104" s="360"/>
      <c r="Q2104" s="351"/>
      <c r="R2104" s="363"/>
      <c r="S2104" s="325"/>
      <c r="T2104" s="85" ph="1"/>
      <c r="V2104" s="216"/>
      <c r="W2104" s="245"/>
      <c r="X2104" s="187"/>
      <c r="Y2104" s="245"/>
      <c r="Z2104" s="245"/>
      <c r="AA2104" s="329"/>
      <c r="AC2104" s="245"/>
      <c r="AD2104" s="187"/>
      <c r="AE2104" s="361"/>
      <c r="AF2104" s="245"/>
      <c r="AH2104" s="245"/>
    </row>
    <row r="2105" spans="1:34" ht="26.25">
      <c r="A2105" s="245"/>
      <c r="B2105" s="245"/>
      <c r="C2105" s="245"/>
      <c r="D2105" s="245"/>
      <c r="E2105" s="245"/>
      <c r="F2105" s="279"/>
      <c r="G2105" s="245"/>
      <c r="H2105" s="245"/>
      <c r="I2105" s="245"/>
      <c r="O2105" s="360"/>
      <c r="Q2105" s="351"/>
      <c r="R2105" s="363"/>
      <c r="S2105" s="325"/>
      <c r="T2105" s="85" ph="1"/>
      <c r="V2105" s="216"/>
      <c r="W2105" s="245"/>
      <c r="X2105" s="187"/>
      <c r="Y2105" s="245"/>
      <c r="Z2105" s="245"/>
      <c r="AA2105" s="329"/>
      <c r="AC2105" s="245"/>
      <c r="AD2105" s="187"/>
      <c r="AE2105" s="361"/>
      <c r="AF2105" s="245"/>
      <c r="AH2105" s="245"/>
    </row>
    <row r="2106" spans="1:34" ht="26.25">
      <c r="A2106" s="245"/>
      <c r="B2106" s="245"/>
      <c r="C2106" s="245"/>
      <c r="D2106" s="245"/>
      <c r="E2106" s="245"/>
      <c r="F2106" s="279"/>
      <c r="G2106" s="245"/>
      <c r="H2106" s="245"/>
      <c r="I2106" s="245"/>
      <c r="O2106" s="360"/>
      <c r="Q2106" s="351"/>
      <c r="R2106" s="363"/>
      <c r="S2106" s="325"/>
      <c r="T2106" s="85" ph="1"/>
      <c r="V2106" s="216"/>
      <c r="W2106" s="245"/>
      <c r="X2106" s="187"/>
      <c r="Y2106" s="245"/>
      <c r="Z2106" s="245"/>
      <c r="AA2106" s="329"/>
      <c r="AC2106" s="245"/>
      <c r="AD2106" s="187"/>
      <c r="AE2106" s="361"/>
      <c r="AF2106" s="245"/>
      <c r="AH2106" s="245"/>
    </row>
    <row r="2107" spans="1:34" ht="26.25">
      <c r="A2107" s="245"/>
      <c r="B2107" s="245"/>
      <c r="C2107" s="245"/>
      <c r="D2107" s="245"/>
      <c r="E2107" s="245"/>
      <c r="F2107" s="279"/>
      <c r="G2107" s="245"/>
      <c r="H2107" s="245"/>
      <c r="I2107" s="245"/>
      <c r="O2107" s="360"/>
      <c r="Q2107" s="351"/>
      <c r="R2107" s="363"/>
      <c r="S2107" s="325"/>
      <c r="T2107" s="85" ph="1"/>
      <c r="V2107" s="216"/>
      <c r="W2107" s="245"/>
      <c r="X2107" s="187"/>
      <c r="Y2107" s="245"/>
      <c r="Z2107" s="245"/>
      <c r="AA2107" s="329"/>
      <c r="AC2107" s="245"/>
      <c r="AD2107" s="187"/>
      <c r="AE2107" s="361"/>
      <c r="AF2107" s="245"/>
      <c r="AH2107" s="245"/>
    </row>
    <row r="2108" spans="1:34" ht="26.25">
      <c r="A2108" s="245"/>
      <c r="B2108" s="245"/>
      <c r="C2108" s="245"/>
      <c r="D2108" s="245"/>
      <c r="E2108" s="245"/>
      <c r="F2108" s="279"/>
      <c r="G2108" s="245"/>
      <c r="H2108" s="245"/>
      <c r="I2108" s="245"/>
      <c r="O2108" s="360"/>
      <c r="Q2108" s="351"/>
      <c r="R2108" s="363"/>
      <c r="S2108" s="325"/>
      <c r="T2108" s="85" ph="1"/>
      <c r="V2108" s="216"/>
      <c r="W2108" s="245"/>
      <c r="X2108" s="187"/>
      <c r="Y2108" s="245"/>
      <c r="Z2108" s="245"/>
      <c r="AA2108" s="329"/>
      <c r="AC2108" s="245"/>
      <c r="AD2108" s="187"/>
      <c r="AE2108" s="361"/>
      <c r="AF2108" s="245"/>
      <c r="AH2108" s="245"/>
    </row>
    <row r="2109" spans="1:34" ht="26.25">
      <c r="A2109" s="245"/>
      <c r="B2109" s="245"/>
      <c r="C2109" s="245"/>
      <c r="D2109" s="245"/>
      <c r="E2109" s="245"/>
      <c r="F2109" s="279"/>
      <c r="G2109" s="245"/>
      <c r="H2109" s="245"/>
      <c r="I2109" s="245"/>
      <c r="O2109" s="360"/>
      <c r="Q2109" s="351"/>
      <c r="R2109" s="363"/>
      <c r="S2109" s="325"/>
      <c r="T2109" s="85" ph="1"/>
      <c r="V2109" s="216"/>
      <c r="W2109" s="245"/>
      <c r="X2109" s="187"/>
      <c r="Y2109" s="245"/>
      <c r="Z2109" s="245"/>
      <c r="AA2109" s="329"/>
      <c r="AC2109" s="245"/>
      <c r="AD2109" s="187"/>
      <c r="AE2109" s="361"/>
      <c r="AF2109" s="245"/>
      <c r="AH2109" s="245"/>
    </row>
    <row r="2110" spans="1:34" ht="26.25">
      <c r="A2110" s="245"/>
      <c r="B2110" s="245"/>
      <c r="C2110" s="245"/>
      <c r="D2110" s="245"/>
      <c r="E2110" s="245"/>
      <c r="F2110" s="279"/>
      <c r="G2110" s="245"/>
      <c r="H2110" s="245"/>
      <c r="I2110" s="245"/>
      <c r="O2110" s="360"/>
      <c r="Q2110" s="351"/>
      <c r="R2110" s="363"/>
      <c r="S2110" s="325"/>
      <c r="T2110" s="85" ph="1"/>
      <c r="V2110" s="216"/>
      <c r="W2110" s="245"/>
      <c r="X2110" s="187"/>
      <c r="Y2110" s="245"/>
      <c r="Z2110" s="245"/>
      <c r="AA2110" s="329"/>
      <c r="AC2110" s="245"/>
      <c r="AD2110" s="187"/>
      <c r="AE2110" s="361"/>
      <c r="AF2110" s="245"/>
      <c r="AH2110" s="245"/>
    </row>
    <row r="2111" spans="1:34" ht="26.25">
      <c r="A2111" s="245"/>
      <c r="B2111" s="245"/>
      <c r="C2111" s="245"/>
      <c r="D2111" s="245"/>
      <c r="E2111" s="245"/>
      <c r="F2111" s="279"/>
      <c r="G2111" s="245"/>
      <c r="H2111" s="245"/>
      <c r="I2111" s="245"/>
      <c r="O2111" s="360"/>
      <c r="Q2111" s="351"/>
      <c r="R2111" s="363"/>
      <c r="S2111" s="325"/>
      <c r="T2111" s="85" ph="1"/>
      <c r="V2111" s="216"/>
      <c r="W2111" s="245"/>
      <c r="X2111" s="187"/>
      <c r="Y2111" s="245"/>
      <c r="Z2111" s="245"/>
      <c r="AA2111" s="329"/>
      <c r="AC2111" s="245"/>
      <c r="AD2111" s="187"/>
      <c r="AE2111" s="361"/>
      <c r="AF2111" s="245"/>
      <c r="AH2111" s="245"/>
    </row>
    <row r="2112" spans="1:34" ht="26.25">
      <c r="A2112" s="245"/>
      <c r="B2112" s="245"/>
      <c r="C2112" s="245"/>
      <c r="D2112" s="245"/>
      <c r="E2112" s="245"/>
      <c r="F2112" s="279"/>
      <c r="G2112" s="245"/>
      <c r="H2112" s="245"/>
      <c r="I2112" s="245"/>
      <c r="O2112" s="360"/>
      <c r="Q2112" s="351"/>
      <c r="R2112" s="363"/>
      <c r="S2112" s="325"/>
      <c r="T2112" s="85" ph="1"/>
      <c r="V2112" s="216"/>
      <c r="W2112" s="245"/>
      <c r="X2112" s="187"/>
      <c r="Y2112" s="245"/>
      <c r="Z2112" s="245"/>
      <c r="AA2112" s="329"/>
      <c r="AC2112" s="245"/>
      <c r="AD2112" s="187"/>
      <c r="AE2112" s="361"/>
      <c r="AF2112" s="245"/>
      <c r="AH2112" s="245"/>
    </row>
    <row r="2113" spans="1:34" ht="26.25">
      <c r="A2113" s="245"/>
      <c r="B2113" s="245"/>
      <c r="C2113" s="245"/>
      <c r="D2113" s="245"/>
      <c r="E2113" s="245"/>
      <c r="F2113" s="279"/>
      <c r="G2113" s="245"/>
      <c r="H2113" s="245"/>
      <c r="I2113" s="245"/>
      <c r="O2113" s="360"/>
      <c r="Q2113" s="351"/>
      <c r="R2113" s="363"/>
      <c r="S2113" s="325"/>
      <c r="T2113" s="85" ph="1"/>
      <c r="V2113" s="216"/>
      <c r="W2113" s="245"/>
      <c r="X2113" s="187"/>
      <c r="Y2113" s="245"/>
      <c r="Z2113" s="245"/>
      <c r="AA2113" s="329"/>
      <c r="AC2113" s="245"/>
      <c r="AD2113" s="187"/>
      <c r="AE2113" s="361"/>
      <c r="AF2113" s="245"/>
      <c r="AH2113" s="245"/>
    </row>
    <row r="2114" spans="1:34" ht="26.25">
      <c r="A2114" s="245"/>
      <c r="B2114" s="245"/>
      <c r="C2114" s="245"/>
      <c r="D2114" s="245"/>
      <c r="E2114" s="245"/>
      <c r="F2114" s="279"/>
      <c r="G2114" s="245"/>
      <c r="H2114" s="245"/>
      <c r="I2114" s="245"/>
      <c r="O2114" s="360"/>
      <c r="Q2114" s="351"/>
      <c r="R2114" s="363"/>
      <c r="S2114" s="325"/>
      <c r="T2114" s="85" ph="1"/>
      <c r="V2114" s="216"/>
      <c r="W2114" s="245"/>
      <c r="X2114" s="187"/>
      <c r="Y2114" s="245"/>
      <c r="Z2114" s="245"/>
      <c r="AA2114" s="329"/>
      <c r="AC2114" s="245"/>
      <c r="AD2114" s="187"/>
      <c r="AE2114" s="361"/>
      <c r="AF2114" s="245"/>
      <c r="AH2114" s="245"/>
    </row>
    <row r="2115" spans="1:34" ht="26.25">
      <c r="A2115" s="245"/>
      <c r="B2115" s="245"/>
      <c r="C2115" s="245"/>
      <c r="D2115" s="245"/>
      <c r="E2115" s="245"/>
      <c r="F2115" s="279"/>
      <c r="G2115" s="245"/>
      <c r="H2115" s="245"/>
      <c r="I2115" s="245"/>
      <c r="O2115" s="360"/>
      <c r="Q2115" s="351"/>
      <c r="R2115" s="363"/>
      <c r="S2115" s="325"/>
      <c r="T2115" s="85" ph="1"/>
      <c r="V2115" s="216"/>
      <c r="W2115" s="245"/>
      <c r="X2115" s="187"/>
      <c r="Y2115" s="245"/>
      <c r="Z2115" s="245"/>
      <c r="AA2115" s="329"/>
      <c r="AC2115" s="245"/>
      <c r="AD2115" s="187"/>
      <c r="AE2115" s="361"/>
      <c r="AF2115" s="245"/>
      <c r="AH2115" s="245"/>
    </row>
    <row r="2116" spans="1:34" ht="26.25">
      <c r="A2116" s="245"/>
      <c r="B2116" s="245"/>
      <c r="C2116" s="245"/>
      <c r="D2116" s="245"/>
      <c r="E2116" s="245"/>
      <c r="F2116" s="279"/>
      <c r="G2116" s="245"/>
      <c r="H2116" s="245"/>
      <c r="I2116" s="245"/>
      <c r="O2116" s="360"/>
      <c r="Q2116" s="351"/>
      <c r="R2116" s="363"/>
      <c r="S2116" s="325"/>
      <c r="T2116" s="85" ph="1"/>
      <c r="V2116" s="216"/>
      <c r="W2116" s="245"/>
      <c r="X2116" s="187"/>
      <c r="Y2116" s="245"/>
      <c r="Z2116" s="245"/>
      <c r="AA2116" s="329"/>
      <c r="AC2116" s="245"/>
      <c r="AD2116" s="187"/>
      <c r="AE2116" s="361"/>
      <c r="AF2116" s="245"/>
      <c r="AH2116" s="245"/>
    </row>
    <row r="2117" spans="1:34" ht="26.25">
      <c r="A2117" s="245"/>
      <c r="B2117" s="245"/>
      <c r="C2117" s="245"/>
      <c r="D2117" s="245"/>
      <c r="E2117" s="245"/>
      <c r="F2117" s="279"/>
      <c r="G2117" s="245"/>
      <c r="H2117" s="245"/>
      <c r="I2117" s="245"/>
      <c r="O2117" s="360"/>
      <c r="Q2117" s="351"/>
      <c r="R2117" s="363"/>
      <c r="S2117" s="325"/>
      <c r="T2117" s="85" ph="1"/>
      <c r="V2117" s="216"/>
      <c r="W2117" s="245"/>
      <c r="X2117" s="187"/>
      <c r="Y2117" s="245"/>
      <c r="Z2117" s="245"/>
      <c r="AA2117" s="329"/>
      <c r="AC2117" s="245"/>
      <c r="AD2117" s="187"/>
      <c r="AE2117" s="361"/>
      <c r="AF2117" s="245"/>
      <c r="AH2117" s="245"/>
    </row>
    <row r="2118" spans="1:34" ht="26.25">
      <c r="A2118" s="245"/>
      <c r="B2118" s="245"/>
      <c r="C2118" s="245"/>
      <c r="D2118" s="245"/>
      <c r="E2118" s="245"/>
      <c r="F2118" s="279"/>
      <c r="G2118" s="245"/>
      <c r="H2118" s="245"/>
      <c r="I2118" s="245"/>
      <c r="O2118" s="360"/>
      <c r="Q2118" s="351"/>
      <c r="R2118" s="363"/>
      <c r="S2118" s="325"/>
      <c r="T2118" s="85" ph="1"/>
      <c r="V2118" s="216"/>
      <c r="W2118" s="245"/>
      <c r="X2118" s="187"/>
      <c r="Y2118" s="245"/>
      <c r="Z2118" s="245"/>
      <c r="AA2118" s="329"/>
      <c r="AC2118" s="245"/>
      <c r="AD2118" s="187"/>
      <c r="AE2118" s="361"/>
      <c r="AF2118" s="245"/>
      <c r="AH2118" s="245"/>
    </row>
    <row r="2119" spans="1:34" ht="26.25">
      <c r="A2119" s="245"/>
      <c r="B2119" s="245"/>
      <c r="C2119" s="245"/>
      <c r="D2119" s="245"/>
      <c r="E2119" s="245"/>
      <c r="F2119" s="279"/>
      <c r="G2119" s="245"/>
      <c r="H2119" s="245"/>
      <c r="I2119" s="245"/>
      <c r="O2119" s="360"/>
      <c r="Q2119" s="351"/>
      <c r="R2119" s="363"/>
      <c r="S2119" s="325"/>
      <c r="T2119" s="85" ph="1"/>
      <c r="V2119" s="216"/>
      <c r="W2119" s="245"/>
      <c r="X2119" s="187"/>
      <c r="Y2119" s="245"/>
      <c r="Z2119" s="245"/>
      <c r="AA2119" s="329"/>
      <c r="AC2119" s="245"/>
      <c r="AD2119" s="187"/>
      <c r="AE2119" s="361"/>
      <c r="AF2119" s="245"/>
      <c r="AH2119" s="245"/>
    </row>
    <row r="2120" spans="1:34" ht="26.25">
      <c r="A2120" s="245"/>
      <c r="B2120" s="245"/>
      <c r="C2120" s="245"/>
      <c r="D2120" s="245"/>
      <c r="E2120" s="245"/>
      <c r="F2120" s="279"/>
      <c r="G2120" s="245"/>
      <c r="H2120" s="245"/>
      <c r="I2120" s="245"/>
      <c r="O2120" s="360"/>
      <c r="Q2120" s="351"/>
      <c r="R2120" s="363"/>
      <c r="S2120" s="325"/>
      <c r="T2120" s="85" ph="1"/>
      <c r="V2120" s="216"/>
      <c r="W2120" s="245"/>
      <c r="X2120" s="187"/>
      <c r="Y2120" s="245"/>
      <c r="Z2120" s="245"/>
      <c r="AA2120" s="329"/>
      <c r="AC2120" s="245"/>
      <c r="AD2120" s="187"/>
      <c r="AE2120" s="361"/>
      <c r="AF2120" s="245"/>
      <c r="AH2120" s="245"/>
    </row>
    <row r="2121" spans="1:34" ht="26.25">
      <c r="A2121" s="245"/>
      <c r="B2121" s="245"/>
      <c r="C2121" s="245"/>
      <c r="D2121" s="245"/>
      <c r="E2121" s="245"/>
      <c r="F2121" s="279"/>
      <c r="G2121" s="245"/>
      <c r="H2121" s="245"/>
      <c r="I2121" s="245"/>
      <c r="O2121" s="360"/>
      <c r="Q2121" s="351"/>
      <c r="R2121" s="363"/>
      <c r="S2121" s="325"/>
      <c r="T2121" s="85" ph="1"/>
      <c r="V2121" s="216"/>
      <c r="W2121" s="245"/>
      <c r="X2121" s="187"/>
      <c r="Y2121" s="245"/>
      <c r="Z2121" s="245"/>
      <c r="AA2121" s="329"/>
      <c r="AC2121" s="245"/>
      <c r="AD2121" s="187"/>
      <c r="AE2121" s="361"/>
      <c r="AF2121" s="245"/>
      <c r="AH2121" s="245"/>
    </row>
    <row r="2122" spans="1:34" ht="26.25">
      <c r="A2122" s="245"/>
      <c r="B2122" s="245"/>
      <c r="C2122" s="245"/>
      <c r="D2122" s="245"/>
      <c r="E2122" s="245"/>
      <c r="F2122" s="279"/>
      <c r="G2122" s="245"/>
      <c r="H2122" s="245"/>
      <c r="I2122" s="245"/>
      <c r="O2122" s="360"/>
      <c r="Q2122" s="351"/>
      <c r="R2122" s="363"/>
      <c r="S2122" s="325"/>
      <c r="T2122" s="85" ph="1"/>
      <c r="V2122" s="216"/>
      <c r="W2122" s="245"/>
      <c r="X2122" s="187"/>
      <c r="Y2122" s="245"/>
      <c r="Z2122" s="245"/>
      <c r="AA2122" s="329"/>
      <c r="AC2122" s="245"/>
      <c r="AD2122" s="187"/>
      <c r="AE2122" s="361"/>
      <c r="AF2122" s="245"/>
      <c r="AH2122" s="245"/>
    </row>
    <row r="2123" spans="1:34" ht="26.25">
      <c r="A2123" s="245"/>
      <c r="B2123" s="245"/>
      <c r="C2123" s="245"/>
      <c r="D2123" s="245"/>
      <c r="E2123" s="245"/>
      <c r="F2123" s="279"/>
      <c r="G2123" s="245"/>
      <c r="H2123" s="245"/>
      <c r="I2123" s="245"/>
      <c r="O2123" s="360"/>
      <c r="Q2123" s="351"/>
      <c r="R2123" s="363"/>
      <c r="S2123" s="325"/>
      <c r="T2123" s="85" ph="1"/>
      <c r="V2123" s="216"/>
      <c r="W2123" s="245"/>
      <c r="X2123" s="187"/>
      <c r="Y2123" s="245"/>
      <c r="Z2123" s="245"/>
      <c r="AA2123" s="329"/>
      <c r="AC2123" s="245"/>
      <c r="AD2123" s="187"/>
      <c r="AE2123" s="361"/>
      <c r="AF2123" s="245"/>
      <c r="AH2123" s="245"/>
    </row>
    <row r="2124" spans="1:34" ht="26.25">
      <c r="A2124" s="245"/>
      <c r="B2124" s="245"/>
      <c r="C2124" s="245"/>
      <c r="D2124" s="245"/>
      <c r="E2124" s="245"/>
      <c r="F2124" s="279"/>
      <c r="G2124" s="245"/>
      <c r="H2124" s="245"/>
      <c r="I2124" s="245"/>
      <c r="O2124" s="360"/>
      <c r="Q2124" s="351"/>
      <c r="R2124" s="363"/>
      <c r="S2124" s="325"/>
      <c r="T2124" s="85" ph="1"/>
      <c r="V2124" s="216"/>
      <c r="W2124" s="245"/>
      <c r="X2124" s="187"/>
      <c r="Y2124" s="245"/>
      <c r="Z2124" s="245"/>
      <c r="AA2124" s="329"/>
      <c r="AC2124" s="245"/>
      <c r="AD2124" s="187"/>
      <c r="AE2124" s="361"/>
      <c r="AF2124" s="245"/>
      <c r="AH2124" s="245"/>
    </row>
    <row r="2125" spans="1:34" ht="26.25">
      <c r="A2125" s="245"/>
      <c r="B2125" s="245"/>
      <c r="C2125" s="245"/>
      <c r="D2125" s="245"/>
      <c r="E2125" s="245"/>
      <c r="F2125" s="279"/>
      <c r="G2125" s="245"/>
      <c r="H2125" s="245"/>
      <c r="I2125" s="245"/>
      <c r="O2125" s="360"/>
      <c r="Q2125" s="351"/>
      <c r="R2125" s="363"/>
      <c r="S2125" s="325"/>
      <c r="T2125" s="85" ph="1"/>
      <c r="V2125" s="216"/>
      <c r="W2125" s="245"/>
      <c r="X2125" s="187"/>
      <c r="Y2125" s="245"/>
      <c r="Z2125" s="245"/>
      <c r="AA2125" s="329"/>
      <c r="AC2125" s="245"/>
      <c r="AD2125" s="187"/>
      <c r="AE2125" s="361"/>
      <c r="AF2125" s="245"/>
      <c r="AH2125" s="245"/>
    </row>
    <row r="2126" spans="1:34" ht="26.25">
      <c r="A2126" s="245"/>
      <c r="B2126" s="245"/>
      <c r="C2126" s="245"/>
      <c r="D2126" s="245"/>
      <c r="E2126" s="245"/>
      <c r="F2126" s="279"/>
      <c r="G2126" s="245"/>
      <c r="H2126" s="245"/>
      <c r="I2126" s="245"/>
      <c r="O2126" s="360"/>
      <c r="Q2126" s="351"/>
      <c r="R2126" s="363"/>
      <c r="S2126" s="325"/>
      <c r="T2126" s="85" ph="1"/>
      <c r="V2126" s="216"/>
      <c r="W2126" s="245"/>
      <c r="X2126" s="187"/>
      <c r="Y2126" s="245"/>
      <c r="Z2126" s="245"/>
      <c r="AA2126" s="329"/>
      <c r="AC2126" s="245"/>
      <c r="AD2126" s="187"/>
      <c r="AE2126" s="361"/>
      <c r="AF2126" s="245"/>
      <c r="AH2126" s="245"/>
    </row>
    <row r="2127" spans="1:34" ht="26.25">
      <c r="A2127" s="245"/>
      <c r="B2127" s="245"/>
      <c r="C2127" s="245"/>
      <c r="D2127" s="245"/>
      <c r="E2127" s="245"/>
      <c r="F2127" s="279"/>
      <c r="G2127" s="245"/>
      <c r="H2127" s="245"/>
      <c r="I2127" s="245"/>
      <c r="O2127" s="360"/>
      <c r="Q2127" s="351"/>
      <c r="R2127" s="363"/>
      <c r="S2127" s="325"/>
      <c r="T2127" s="85" ph="1"/>
      <c r="V2127" s="216"/>
      <c r="W2127" s="245"/>
      <c r="X2127" s="187"/>
      <c r="Y2127" s="245"/>
      <c r="Z2127" s="245"/>
      <c r="AA2127" s="329"/>
      <c r="AC2127" s="245"/>
      <c r="AD2127" s="187"/>
      <c r="AE2127" s="361"/>
      <c r="AF2127" s="245"/>
      <c r="AH2127" s="245"/>
    </row>
    <row r="2128" spans="1:34" ht="26.25">
      <c r="A2128" s="245"/>
      <c r="B2128" s="245"/>
      <c r="C2128" s="245"/>
      <c r="D2128" s="245"/>
      <c r="E2128" s="245"/>
      <c r="F2128" s="279"/>
      <c r="G2128" s="245"/>
      <c r="H2128" s="245"/>
      <c r="I2128" s="245"/>
      <c r="O2128" s="360"/>
      <c r="Q2128" s="351"/>
      <c r="R2128" s="363"/>
      <c r="S2128" s="325"/>
      <c r="T2128" s="85" ph="1"/>
      <c r="V2128" s="216"/>
      <c r="W2128" s="245"/>
      <c r="X2128" s="187"/>
      <c r="Y2128" s="245"/>
      <c r="Z2128" s="245"/>
      <c r="AA2128" s="329"/>
      <c r="AC2128" s="245"/>
      <c r="AD2128" s="187"/>
      <c r="AE2128" s="361"/>
      <c r="AF2128" s="245"/>
      <c r="AH2128" s="245"/>
    </row>
    <row r="2129" spans="1:34" ht="26.25">
      <c r="A2129" s="245"/>
      <c r="B2129" s="245"/>
      <c r="C2129" s="245"/>
      <c r="D2129" s="245"/>
      <c r="E2129" s="245"/>
      <c r="F2129" s="279"/>
      <c r="G2129" s="245"/>
      <c r="H2129" s="245"/>
      <c r="I2129" s="245"/>
      <c r="O2129" s="360"/>
      <c r="Q2129" s="351"/>
      <c r="R2129" s="363"/>
      <c r="S2129" s="325"/>
      <c r="T2129" s="85" ph="1"/>
      <c r="V2129" s="216"/>
      <c r="W2129" s="245"/>
      <c r="X2129" s="187"/>
      <c r="Y2129" s="245"/>
      <c r="Z2129" s="245"/>
      <c r="AA2129" s="329"/>
      <c r="AC2129" s="245"/>
      <c r="AD2129" s="187"/>
      <c r="AE2129" s="361"/>
      <c r="AF2129" s="245"/>
      <c r="AH2129" s="245"/>
    </row>
    <row r="2130" spans="1:34" ht="26.25">
      <c r="A2130" s="245"/>
      <c r="B2130" s="245"/>
      <c r="C2130" s="245"/>
      <c r="D2130" s="245"/>
      <c r="E2130" s="245"/>
      <c r="F2130" s="279"/>
      <c r="G2130" s="245"/>
      <c r="H2130" s="245"/>
      <c r="I2130" s="245"/>
      <c r="O2130" s="360"/>
      <c r="Q2130" s="351"/>
      <c r="R2130" s="363"/>
      <c r="S2130" s="325"/>
      <c r="T2130" s="85" ph="1"/>
      <c r="V2130" s="216"/>
      <c r="W2130" s="245"/>
      <c r="X2130" s="187"/>
      <c r="Y2130" s="245"/>
      <c r="Z2130" s="245"/>
      <c r="AA2130" s="329"/>
      <c r="AC2130" s="245"/>
      <c r="AD2130" s="187"/>
      <c r="AE2130" s="361"/>
      <c r="AF2130" s="245"/>
      <c r="AH2130" s="245"/>
    </row>
    <row r="2131" spans="1:34" ht="26.25">
      <c r="A2131" s="245"/>
      <c r="B2131" s="245"/>
      <c r="C2131" s="245"/>
      <c r="D2131" s="245"/>
      <c r="E2131" s="245"/>
      <c r="F2131" s="279"/>
      <c r="G2131" s="245"/>
      <c r="H2131" s="245"/>
      <c r="I2131" s="245"/>
      <c r="O2131" s="360"/>
      <c r="Q2131" s="351"/>
      <c r="R2131" s="363"/>
      <c r="S2131" s="325"/>
      <c r="T2131" s="85" ph="1"/>
      <c r="V2131" s="216"/>
      <c r="W2131" s="245"/>
      <c r="X2131" s="187"/>
      <c r="Y2131" s="245"/>
      <c r="Z2131" s="245"/>
      <c r="AA2131" s="329"/>
      <c r="AC2131" s="245"/>
      <c r="AD2131" s="187"/>
      <c r="AE2131" s="361"/>
      <c r="AF2131" s="245"/>
      <c r="AH2131" s="245"/>
    </row>
    <row r="2132" spans="1:34" ht="26.25">
      <c r="A2132" s="245"/>
      <c r="B2132" s="245"/>
      <c r="C2132" s="245"/>
      <c r="D2132" s="245"/>
      <c r="E2132" s="245"/>
      <c r="F2132" s="279"/>
      <c r="G2132" s="245"/>
      <c r="H2132" s="245"/>
      <c r="I2132" s="245"/>
      <c r="O2132" s="360"/>
      <c r="Q2132" s="351"/>
      <c r="R2132" s="363"/>
      <c r="S2132" s="325"/>
      <c r="T2132" s="85" ph="1"/>
      <c r="V2132" s="216"/>
      <c r="W2132" s="245"/>
      <c r="X2132" s="187"/>
      <c r="Y2132" s="245"/>
      <c r="Z2132" s="245"/>
      <c r="AA2132" s="329"/>
      <c r="AC2132" s="245"/>
      <c r="AD2132" s="187"/>
      <c r="AE2132" s="361"/>
      <c r="AF2132" s="245"/>
      <c r="AH2132" s="245"/>
    </row>
    <row r="2133" spans="1:34" ht="26.25">
      <c r="A2133" s="245"/>
      <c r="B2133" s="245"/>
      <c r="C2133" s="245"/>
      <c r="D2133" s="245"/>
      <c r="E2133" s="245"/>
      <c r="F2133" s="279"/>
      <c r="G2133" s="245"/>
      <c r="H2133" s="245"/>
      <c r="I2133" s="245"/>
      <c r="O2133" s="360"/>
      <c r="Q2133" s="351"/>
      <c r="R2133" s="363"/>
      <c r="S2133" s="325"/>
      <c r="T2133" s="85" ph="1"/>
      <c r="V2133" s="216"/>
      <c r="W2133" s="245"/>
      <c r="X2133" s="187"/>
      <c r="Y2133" s="245"/>
      <c r="Z2133" s="245"/>
      <c r="AA2133" s="329"/>
      <c r="AC2133" s="245"/>
      <c r="AD2133" s="187"/>
      <c r="AE2133" s="361"/>
      <c r="AF2133" s="245"/>
      <c r="AH2133" s="245"/>
    </row>
    <row r="2134" spans="1:34" ht="26.25">
      <c r="A2134" s="245"/>
      <c r="B2134" s="245"/>
      <c r="C2134" s="245"/>
      <c r="D2134" s="245"/>
      <c r="E2134" s="245"/>
      <c r="F2134" s="279"/>
      <c r="G2134" s="245"/>
      <c r="H2134" s="245"/>
      <c r="I2134" s="245"/>
      <c r="O2134" s="360"/>
      <c r="Q2134" s="351"/>
      <c r="R2134" s="363"/>
      <c r="S2134" s="325"/>
      <c r="T2134" s="85" ph="1"/>
      <c r="V2134" s="216"/>
      <c r="W2134" s="245"/>
      <c r="X2134" s="187"/>
      <c r="Y2134" s="245"/>
      <c r="Z2134" s="245"/>
      <c r="AA2134" s="329"/>
      <c r="AC2134" s="245"/>
      <c r="AD2134" s="187"/>
      <c r="AE2134" s="361"/>
      <c r="AF2134" s="245"/>
      <c r="AH2134" s="245"/>
    </row>
    <row r="2135" spans="1:34" ht="26.25">
      <c r="A2135" s="245"/>
      <c r="B2135" s="245"/>
      <c r="C2135" s="245"/>
      <c r="D2135" s="245"/>
      <c r="E2135" s="245"/>
      <c r="F2135" s="279"/>
      <c r="G2135" s="245"/>
      <c r="H2135" s="245"/>
      <c r="I2135" s="245"/>
      <c r="O2135" s="360"/>
      <c r="Q2135" s="351"/>
      <c r="R2135" s="363"/>
      <c r="S2135" s="325"/>
      <c r="T2135" s="85" ph="1"/>
      <c r="V2135" s="216"/>
      <c r="W2135" s="245"/>
      <c r="X2135" s="187"/>
      <c r="Y2135" s="245"/>
      <c r="Z2135" s="245"/>
      <c r="AA2135" s="329"/>
      <c r="AC2135" s="245"/>
      <c r="AD2135" s="187"/>
      <c r="AE2135" s="361"/>
      <c r="AF2135" s="245"/>
      <c r="AH2135" s="245"/>
    </row>
    <row r="2136" spans="1:34" ht="26.25">
      <c r="A2136" s="245"/>
      <c r="B2136" s="245"/>
      <c r="C2136" s="245"/>
      <c r="D2136" s="245"/>
      <c r="E2136" s="245"/>
      <c r="F2136" s="279"/>
      <c r="G2136" s="245"/>
      <c r="H2136" s="245"/>
      <c r="I2136" s="245"/>
      <c r="O2136" s="360"/>
      <c r="Q2136" s="351"/>
      <c r="R2136" s="363"/>
      <c r="S2136" s="325"/>
      <c r="T2136" s="85" ph="1"/>
      <c r="V2136" s="216"/>
      <c r="W2136" s="245"/>
      <c r="X2136" s="187"/>
      <c r="Y2136" s="245"/>
      <c r="Z2136" s="245"/>
      <c r="AA2136" s="329"/>
      <c r="AC2136" s="245"/>
      <c r="AD2136" s="187"/>
      <c r="AE2136" s="361"/>
      <c r="AF2136" s="245"/>
      <c r="AH2136" s="245"/>
    </row>
    <row r="2137" spans="1:34" ht="26.25">
      <c r="A2137" s="245"/>
      <c r="B2137" s="245"/>
      <c r="C2137" s="245"/>
      <c r="D2137" s="245"/>
      <c r="E2137" s="245"/>
      <c r="F2137" s="279"/>
      <c r="G2137" s="245"/>
      <c r="H2137" s="245"/>
      <c r="I2137" s="245"/>
      <c r="O2137" s="360"/>
      <c r="Q2137" s="351"/>
      <c r="R2137" s="363"/>
      <c r="S2137" s="325"/>
      <c r="T2137" s="85" ph="1"/>
      <c r="V2137" s="216"/>
      <c r="W2137" s="245"/>
      <c r="X2137" s="187"/>
      <c r="Y2137" s="245"/>
      <c r="Z2137" s="245"/>
      <c r="AA2137" s="329"/>
      <c r="AC2137" s="245"/>
      <c r="AD2137" s="187"/>
      <c r="AE2137" s="361"/>
      <c r="AF2137" s="245"/>
      <c r="AH2137" s="245"/>
    </row>
    <row r="2138" spans="1:34" ht="26.25">
      <c r="A2138" s="245"/>
      <c r="B2138" s="245"/>
      <c r="C2138" s="245"/>
      <c r="D2138" s="245"/>
      <c r="E2138" s="245"/>
      <c r="F2138" s="279"/>
      <c r="G2138" s="245"/>
      <c r="H2138" s="245"/>
      <c r="I2138" s="245"/>
      <c r="O2138" s="360"/>
      <c r="Q2138" s="351"/>
      <c r="R2138" s="363"/>
      <c r="S2138" s="325"/>
      <c r="T2138" s="85" ph="1"/>
      <c r="V2138" s="216"/>
      <c r="W2138" s="245"/>
      <c r="X2138" s="187"/>
      <c r="Y2138" s="245"/>
      <c r="Z2138" s="245"/>
      <c r="AA2138" s="329"/>
      <c r="AC2138" s="245"/>
      <c r="AD2138" s="187"/>
      <c r="AE2138" s="361"/>
      <c r="AF2138" s="245"/>
      <c r="AH2138" s="245"/>
    </row>
    <row r="2139" spans="1:34" ht="26.25">
      <c r="A2139" s="245"/>
      <c r="B2139" s="245"/>
      <c r="C2139" s="245"/>
      <c r="D2139" s="245"/>
      <c r="E2139" s="245"/>
      <c r="F2139" s="279"/>
      <c r="G2139" s="245"/>
      <c r="H2139" s="245"/>
      <c r="I2139" s="245"/>
      <c r="O2139" s="360"/>
      <c r="Q2139" s="351"/>
      <c r="R2139" s="363"/>
      <c r="S2139" s="325"/>
      <c r="T2139" s="85" ph="1"/>
      <c r="V2139" s="216"/>
      <c r="W2139" s="245"/>
      <c r="X2139" s="187"/>
      <c r="Y2139" s="245"/>
      <c r="Z2139" s="245"/>
      <c r="AA2139" s="329"/>
      <c r="AC2139" s="245"/>
      <c r="AD2139" s="187"/>
      <c r="AE2139" s="361"/>
      <c r="AF2139" s="245"/>
      <c r="AH2139" s="245"/>
    </row>
    <row r="2140" spans="1:34" ht="26.25">
      <c r="A2140" s="245"/>
      <c r="B2140" s="245"/>
      <c r="C2140" s="245"/>
      <c r="D2140" s="245"/>
      <c r="E2140" s="245"/>
      <c r="F2140" s="279"/>
      <c r="G2140" s="245"/>
      <c r="H2140" s="245"/>
      <c r="I2140" s="245"/>
      <c r="O2140" s="360"/>
      <c r="Q2140" s="351"/>
      <c r="R2140" s="363"/>
      <c r="S2140" s="325"/>
      <c r="T2140" s="85" ph="1"/>
      <c r="V2140" s="216"/>
      <c r="W2140" s="245"/>
      <c r="X2140" s="187"/>
      <c r="Y2140" s="245"/>
      <c r="Z2140" s="245"/>
      <c r="AA2140" s="329"/>
      <c r="AC2140" s="245"/>
      <c r="AD2140" s="187"/>
      <c r="AE2140" s="361"/>
      <c r="AF2140" s="245"/>
      <c r="AH2140" s="245"/>
    </row>
    <row r="2141" spans="1:34" ht="26.25">
      <c r="A2141" s="245"/>
      <c r="B2141" s="245"/>
      <c r="C2141" s="245"/>
      <c r="D2141" s="245"/>
      <c r="E2141" s="245"/>
      <c r="F2141" s="279"/>
      <c r="G2141" s="245"/>
      <c r="H2141" s="245"/>
      <c r="I2141" s="245"/>
      <c r="O2141" s="360"/>
      <c r="Q2141" s="351"/>
      <c r="R2141" s="363"/>
      <c r="S2141" s="325"/>
      <c r="T2141" s="85" ph="1"/>
      <c r="V2141" s="216"/>
      <c r="W2141" s="245"/>
      <c r="X2141" s="187"/>
      <c r="Y2141" s="245"/>
      <c r="Z2141" s="245"/>
      <c r="AA2141" s="329"/>
      <c r="AC2141" s="245"/>
      <c r="AD2141" s="187"/>
      <c r="AE2141" s="361"/>
      <c r="AF2141" s="245"/>
      <c r="AH2141" s="245"/>
    </row>
    <row r="2142" spans="1:34" ht="26.25">
      <c r="A2142" s="245"/>
      <c r="B2142" s="245"/>
      <c r="C2142" s="245"/>
      <c r="D2142" s="245"/>
      <c r="E2142" s="245"/>
      <c r="F2142" s="279"/>
      <c r="G2142" s="245"/>
      <c r="H2142" s="245"/>
      <c r="I2142" s="245"/>
      <c r="O2142" s="360"/>
      <c r="Q2142" s="351"/>
      <c r="R2142" s="363"/>
      <c r="S2142" s="325"/>
      <c r="T2142" s="85" ph="1"/>
      <c r="V2142" s="216"/>
      <c r="W2142" s="245"/>
      <c r="X2142" s="187"/>
      <c r="Y2142" s="245"/>
      <c r="Z2142" s="245"/>
      <c r="AA2142" s="329"/>
      <c r="AC2142" s="245"/>
      <c r="AD2142" s="187"/>
      <c r="AE2142" s="361"/>
      <c r="AF2142" s="245"/>
      <c r="AH2142" s="245"/>
    </row>
    <row r="2143" spans="1:34" ht="26.25">
      <c r="A2143" s="245"/>
      <c r="B2143" s="245"/>
      <c r="C2143" s="245"/>
      <c r="D2143" s="245"/>
      <c r="E2143" s="245"/>
      <c r="F2143" s="279"/>
      <c r="G2143" s="245"/>
      <c r="H2143" s="245"/>
      <c r="I2143" s="245"/>
      <c r="O2143" s="360"/>
      <c r="Q2143" s="351"/>
      <c r="R2143" s="363"/>
      <c r="S2143" s="325"/>
      <c r="T2143" s="85" ph="1"/>
      <c r="V2143" s="216"/>
      <c r="W2143" s="245"/>
      <c r="X2143" s="187"/>
      <c r="Y2143" s="245"/>
      <c r="Z2143" s="245"/>
      <c r="AA2143" s="329"/>
      <c r="AC2143" s="245"/>
      <c r="AD2143" s="187"/>
      <c r="AE2143" s="361"/>
      <c r="AF2143" s="245"/>
      <c r="AH2143" s="245"/>
    </row>
    <row r="2144" spans="1:34" ht="26.25">
      <c r="A2144" s="245"/>
      <c r="B2144" s="245"/>
      <c r="C2144" s="245"/>
      <c r="D2144" s="245"/>
      <c r="E2144" s="245"/>
      <c r="F2144" s="279"/>
      <c r="G2144" s="245"/>
      <c r="H2144" s="245"/>
      <c r="I2144" s="245"/>
      <c r="O2144" s="360"/>
      <c r="Q2144" s="351"/>
      <c r="R2144" s="363"/>
      <c r="S2144" s="325"/>
      <c r="T2144" s="85" ph="1"/>
      <c r="V2144" s="216"/>
      <c r="W2144" s="245"/>
      <c r="X2144" s="187"/>
      <c r="Y2144" s="245"/>
      <c r="Z2144" s="245"/>
      <c r="AA2144" s="329"/>
      <c r="AC2144" s="245"/>
      <c r="AD2144" s="187"/>
      <c r="AE2144" s="361"/>
      <c r="AF2144" s="245"/>
      <c r="AH2144" s="245"/>
    </row>
    <row r="2145" spans="1:34" ht="26.25">
      <c r="A2145" s="245"/>
      <c r="B2145" s="245"/>
      <c r="C2145" s="245"/>
      <c r="D2145" s="245"/>
      <c r="E2145" s="245"/>
      <c r="F2145" s="279"/>
      <c r="G2145" s="245"/>
      <c r="H2145" s="245"/>
      <c r="I2145" s="245"/>
      <c r="O2145" s="360"/>
      <c r="Q2145" s="351"/>
      <c r="R2145" s="363"/>
      <c r="S2145" s="325"/>
      <c r="T2145" s="85" ph="1"/>
      <c r="V2145" s="216"/>
      <c r="W2145" s="245"/>
      <c r="X2145" s="187"/>
      <c r="Y2145" s="245"/>
      <c r="Z2145" s="245"/>
      <c r="AA2145" s="329"/>
      <c r="AC2145" s="245"/>
      <c r="AD2145" s="187"/>
      <c r="AE2145" s="361"/>
      <c r="AF2145" s="245"/>
      <c r="AH2145" s="245"/>
    </row>
    <row r="2146" spans="1:34" ht="26.25">
      <c r="A2146" s="245"/>
      <c r="B2146" s="245"/>
      <c r="C2146" s="245"/>
      <c r="D2146" s="245"/>
      <c r="E2146" s="245"/>
      <c r="F2146" s="279"/>
      <c r="G2146" s="245"/>
      <c r="H2146" s="245"/>
      <c r="I2146" s="245"/>
      <c r="O2146" s="360"/>
      <c r="Q2146" s="351"/>
      <c r="R2146" s="363"/>
      <c r="S2146" s="325"/>
      <c r="T2146" s="85" ph="1"/>
      <c r="V2146" s="216"/>
      <c r="W2146" s="245"/>
      <c r="X2146" s="187"/>
      <c r="Y2146" s="245"/>
      <c r="Z2146" s="245"/>
      <c r="AA2146" s="329"/>
      <c r="AC2146" s="245"/>
      <c r="AD2146" s="187"/>
      <c r="AE2146" s="361"/>
      <c r="AF2146" s="245"/>
      <c r="AH2146" s="245"/>
    </row>
    <row r="2147" spans="1:34" ht="26.25">
      <c r="A2147" s="245"/>
      <c r="B2147" s="245"/>
      <c r="C2147" s="245"/>
      <c r="D2147" s="245"/>
      <c r="E2147" s="245"/>
      <c r="F2147" s="279"/>
      <c r="G2147" s="245"/>
      <c r="H2147" s="245"/>
      <c r="I2147" s="245"/>
      <c r="O2147" s="360"/>
      <c r="Q2147" s="351"/>
      <c r="R2147" s="363"/>
      <c r="S2147" s="325"/>
      <c r="T2147" s="85" ph="1"/>
      <c r="V2147" s="216"/>
      <c r="W2147" s="245"/>
      <c r="X2147" s="187"/>
      <c r="Y2147" s="245"/>
      <c r="Z2147" s="245"/>
      <c r="AA2147" s="329"/>
      <c r="AC2147" s="245"/>
      <c r="AD2147" s="187"/>
      <c r="AE2147" s="361"/>
      <c r="AF2147" s="245"/>
      <c r="AH2147" s="245"/>
    </row>
    <row r="2148" spans="1:34" ht="26.25">
      <c r="A2148" s="245"/>
      <c r="B2148" s="245"/>
      <c r="C2148" s="245"/>
      <c r="D2148" s="245"/>
      <c r="E2148" s="245"/>
      <c r="F2148" s="279"/>
      <c r="G2148" s="245"/>
      <c r="H2148" s="245"/>
      <c r="I2148" s="245"/>
      <c r="O2148" s="360"/>
      <c r="Q2148" s="351"/>
      <c r="R2148" s="363"/>
      <c r="S2148" s="325"/>
      <c r="T2148" s="85" ph="1"/>
      <c r="V2148" s="216"/>
      <c r="W2148" s="245"/>
      <c r="X2148" s="187"/>
      <c r="Y2148" s="245"/>
      <c r="Z2148" s="245"/>
      <c r="AA2148" s="329"/>
      <c r="AC2148" s="245"/>
      <c r="AD2148" s="187"/>
      <c r="AE2148" s="361"/>
      <c r="AF2148" s="245"/>
      <c r="AH2148" s="245"/>
    </row>
    <row r="2149" spans="1:34" ht="26.25">
      <c r="A2149" s="245"/>
      <c r="B2149" s="245"/>
      <c r="C2149" s="245"/>
      <c r="D2149" s="245"/>
      <c r="E2149" s="245"/>
      <c r="F2149" s="279"/>
      <c r="G2149" s="245"/>
      <c r="H2149" s="245"/>
      <c r="I2149" s="245"/>
      <c r="O2149" s="360"/>
      <c r="Q2149" s="351"/>
      <c r="R2149" s="363"/>
      <c r="S2149" s="325"/>
      <c r="T2149" s="85" ph="1"/>
      <c r="V2149" s="216"/>
      <c r="W2149" s="245"/>
      <c r="X2149" s="187"/>
      <c r="Y2149" s="245"/>
      <c r="Z2149" s="245"/>
      <c r="AA2149" s="329"/>
      <c r="AC2149" s="245"/>
      <c r="AD2149" s="187"/>
      <c r="AE2149" s="361"/>
      <c r="AF2149" s="245"/>
      <c r="AH2149" s="245"/>
    </row>
    <row r="2150" spans="1:34" ht="26.25">
      <c r="A2150" s="245"/>
      <c r="B2150" s="245"/>
      <c r="C2150" s="245"/>
      <c r="D2150" s="245"/>
      <c r="E2150" s="245"/>
      <c r="F2150" s="279"/>
      <c r="G2150" s="245"/>
      <c r="H2150" s="245"/>
      <c r="I2150" s="245"/>
      <c r="O2150" s="360"/>
      <c r="Q2150" s="351"/>
      <c r="R2150" s="363"/>
      <c r="S2150" s="325"/>
      <c r="T2150" s="85" ph="1"/>
      <c r="V2150" s="216"/>
      <c r="W2150" s="245"/>
      <c r="X2150" s="187"/>
      <c r="Y2150" s="245"/>
      <c r="Z2150" s="245"/>
      <c r="AA2150" s="329"/>
      <c r="AC2150" s="245"/>
      <c r="AD2150" s="187"/>
      <c r="AE2150" s="361"/>
      <c r="AF2150" s="245"/>
      <c r="AH2150" s="245"/>
    </row>
    <row r="2151" spans="1:34" ht="26.25">
      <c r="A2151" s="245"/>
      <c r="B2151" s="245"/>
      <c r="C2151" s="245"/>
      <c r="D2151" s="245"/>
      <c r="E2151" s="245"/>
      <c r="F2151" s="279"/>
      <c r="G2151" s="245"/>
      <c r="H2151" s="245"/>
      <c r="I2151" s="245"/>
      <c r="O2151" s="360"/>
      <c r="Q2151" s="351"/>
      <c r="R2151" s="363"/>
      <c r="S2151" s="325"/>
      <c r="T2151" s="85" ph="1"/>
      <c r="V2151" s="216"/>
      <c r="W2151" s="245"/>
      <c r="X2151" s="187"/>
      <c r="Y2151" s="245"/>
      <c r="Z2151" s="245"/>
      <c r="AA2151" s="329"/>
      <c r="AC2151" s="245"/>
      <c r="AD2151" s="187"/>
      <c r="AE2151" s="361"/>
      <c r="AF2151" s="245"/>
      <c r="AH2151" s="245"/>
    </row>
    <row r="2152" spans="1:34" ht="26.25">
      <c r="A2152" s="245"/>
      <c r="B2152" s="245"/>
      <c r="C2152" s="245"/>
      <c r="D2152" s="245"/>
      <c r="E2152" s="245"/>
      <c r="F2152" s="279"/>
      <c r="G2152" s="245"/>
      <c r="H2152" s="245"/>
      <c r="I2152" s="245"/>
      <c r="O2152" s="360"/>
      <c r="Q2152" s="351"/>
      <c r="R2152" s="363"/>
      <c r="S2152" s="325"/>
      <c r="T2152" s="85" ph="1"/>
      <c r="V2152" s="216"/>
      <c r="W2152" s="245"/>
      <c r="X2152" s="187"/>
      <c r="Y2152" s="245"/>
      <c r="Z2152" s="245"/>
      <c r="AA2152" s="329"/>
      <c r="AC2152" s="245"/>
      <c r="AD2152" s="187"/>
      <c r="AE2152" s="361"/>
      <c r="AF2152" s="245"/>
      <c r="AH2152" s="245"/>
    </row>
    <row r="2153" spans="1:34" ht="26.25">
      <c r="A2153" s="245"/>
      <c r="B2153" s="245"/>
      <c r="C2153" s="245"/>
      <c r="D2153" s="245"/>
      <c r="E2153" s="245"/>
      <c r="F2153" s="279"/>
      <c r="G2153" s="245"/>
      <c r="H2153" s="245"/>
      <c r="I2153" s="245"/>
      <c r="O2153" s="360"/>
      <c r="Q2153" s="351"/>
      <c r="R2153" s="363"/>
      <c r="S2153" s="325"/>
      <c r="T2153" s="85" ph="1"/>
      <c r="V2153" s="216"/>
      <c r="W2153" s="245"/>
      <c r="X2153" s="187"/>
      <c r="Y2153" s="245"/>
      <c r="Z2153" s="245"/>
      <c r="AA2153" s="329"/>
      <c r="AC2153" s="245"/>
      <c r="AD2153" s="187"/>
      <c r="AE2153" s="361"/>
      <c r="AF2153" s="245"/>
      <c r="AH2153" s="245"/>
    </row>
    <row r="2154" spans="1:34" ht="26.25">
      <c r="A2154" s="245"/>
      <c r="B2154" s="245"/>
      <c r="C2154" s="245"/>
      <c r="D2154" s="245"/>
      <c r="E2154" s="245"/>
      <c r="F2154" s="279"/>
      <c r="G2154" s="245"/>
      <c r="H2154" s="245"/>
      <c r="I2154" s="245"/>
      <c r="O2154" s="360"/>
      <c r="Q2154" s="351"/>
      <c r="R2154" s="363"/>
      <c r="S2154" s="325"/>
      <c r="T2154" s="85" ph="1"/>
      <c r="V2154" s="216"/>
      <c r="W2154" s="245"/>
      <c r="X2154" s="187"/>
      <c r="Y2154" s="245"/>
      <c r="Z2154" s="245"/>
      <c r="AA2154" s="329"/>
      <c r="AC2154" s="245"/>
      <c r="AD2154" s="187"/>
      <c r="AE2154" s="361"/>
      <c r="AF2154" s="245"/>
      <c r="AH2154" s="245"/>
    </row>
    <row r="2155" spans="1:34" ht="26.25">
      <c r="A2155" s="245"/>
      <c r="B2155" s="245"/>
      <c r="C2155" s="245"/>
      <c r="D2155" s="245"/>
      <c r="E2155" s="245"/>
      <c r="F2155" s="279"/>
      <c r="G2155" s="245"/>
      <c r="H2155" s="245"/>
      <c r="I2155" s="245"/>
      <c r="O2155" s="360"/>
      <c r="Q2155" s="351"/>
      <c r="R2155" s="363"/>
      <c r="S2155" s="325"/>
      <c r="T2155" s="85" ph="1"/>
      <c r="V2155" s="216"/>
      <c r="W2155" s="245"/>
      <c r="X2155" s="187"/>
      <c r="Y2155" s="245"/>
      <c r="Z2155" s="245"/>
      <c r="AA2155" s="329"/>
      <c r="AC2155" s="245"/>
      <c r="AD2155" s="187"/>
      <c r="AE2155" s="361"/>
      <c r="AF2155" s="245"/>
      <c r="AH2155" s="245"/>
    </row>
    <row r="2156" spans="1:34" ht="26.25">
      <c r="A2156" s="245"/>
      <c r="B2156" s="245"/>
      <c r="C2156" s="245"/>
      <c r="D2156" s="245"/>
      <c r="E2156" s="245"/>
      <c r="F2156" s="279"/>
      <c r="G2156" s="245"/>
      <c r="H2156" s="245"/>
      <c r="I2156" s="245"/>
      <c r="O2156" s="360"/>
      <c r="Q2156" s="351"/>
      <c r="R2156" s="363"/>
      <c r="S2156" s="325"/>
      <c r="T2156" s="85" ph="1"/>
      <c r="V2156" s="216"/>
      <c r="W2156" s="245"/>
      <c r="X2156" s="187"/>
      <c r="Y2156" s="245"/>
      <c r="Z2156" s="245"/>
      <c r="AA2156" s="329"/>
      <c r="AC2156" s="245"/>
      <c r="AD2156" s="187"/>
      <c r="AE2156" s="361"/>
      <c r="AF2156" s="245"/>
      <c r="AH2156" s="245"/>
    </row>
    <row r="2157" spans="1:34" ht="26.25">
      <c r="A2157" s="245"/>
      <c r="B2157" s="245"/>
      <c r="C2157" s="245"/>
      <c r="D2157" s="245"/>
      <c r="E2157" s="245"/>
      <c r="F2157" s="279"/>
      <c r="G2157" s="245"/>
      <c r="H2157" s="245"/>
      <c r="I2157" s="245"/>
      <c r="O2157" s="360"/>
      <c r="Q2157" s="351"/>
      <c r="R2157" s="363"/>
      <c r="S2157" s="325"/>
      <c r="T2157" s="85" ph="1"/>
      <c r="V2157" s="216"/>
      <c r="W2157" s="245"/>
      <c r="X2157" s="187"/>
      <c r="Y2157" s="245"/>
      <c r="Z2157" s="245"/>
      <c r="AA2157" s="329"/>
      <c r="AC2157" s="245"/>
      <c r="AD2157" s="187"/>
      <c r="AE2157" s="361"/>
      <c r="AF2157" s="245"/>
      <c r="AH2157" s="245"/>
    </row>
    <row r="2158" spans="1:34" ht="26.25">
      <c r="A2158" s="245"/>
      <c r="B2158" s="245"/>
      <c r="C2158" s="245"/>
      <c r="D2158" s="245"/>
      <c r="E2158" s="245"/>
      <c r="F2158" s="279"/>
      <c r="G2158" s="245"/>
      <c r="H2158" s="245"/>
      <c r="I2158" s="245"/>
      <c r="O2158" s="360"/>
      <c r="Q2158" s="351"/>
      <c r="R2158" s="363"/>
      <c r="S2158" s="325"/>
      <c r="T2158" s="85" ph="1"/>
      <c r="V2158" s="216"/>
      <c r="W2158" s="245"/>
      <c r="X2158" s="187"/>
      <c r="Y2158" s="245"/>
      <c r="Z2158" s="245"/>
      <c r="AA2158" s="329"/>
      <c r="AC2158" s="245"/>
      <c r="AD2158" s="187"/>
      <c r="AE2158" s="361"/>
      <c r="AF2158" s="245"/>
      <c r="AH2158" s="245"/>
    </row>
    <row r="2159" spans="1:34" ht="26.25">
      <c r="A2159" s="245"/>
      <c r="B2159" s="245"/>
      <c r="C2159" s="245"/>
      <c r="D2159" s="245"/>
      <c r="E2159" s="245"/>
      <c r="F2159" s="279"/>
      <c r="G2159" s="245"/>
      <c r="H2159" s="245"/>
      <c r="I2159" s="245"/>
      <c r="O2159" s="360"/>
      <c r="Q2159" s="351"/>
      <c r="R2159" s="363"/>
      <c r="S2159" s="325"/>
      <c r="T2159" s="85" ph="1"/>
      <c r="V2159" s="216"/>
      <c r="W2159" s="245"/>
      <c r="X2159" s="187"/>
      <c r="Y2159" s="245"/>
      <c r="Z2159" s="245"/>
      <c r="AA2159" s="329"/>
      <c r="AC2159" s="245"/>
      <c r="AD2159" s="187"/>
      <c r="AE2159" s="361"/>
      <c r="AF2159" s="245"/>
      <c r="AH2159" s="245"/>
    </row>
    <row r="2160" spans="1:34" ht="26.25">
      <c r="A2160" s="245"/>
      <c r="B2160" s="245"/>
      <c r="C2160" s="245"/>
      <c r="D2160" s="245"/>
      <c r="E2160" s="245"/>
      <c r="F2160" s="279"/>
      <c r="G2160" s="245"/>
      <c r="H2160" s="245"/>
      <c r="I2160" s="245"/>
      <c r="O2160" s="360"/>
      <c r="Q2160" s="351"/>
      <c r="R2160" s="363"/>
      <c r="S2160" s="325"/>
      <c r="T2160" s="85" ph="1"/>
      <c r="V2160" s="216"/>
      <c r="W2160" s="245"/>
      <c r="X2160" s="187"/>
      <c r="Y2160" s="245"/>
      <c r="Z2160" s="245"/>
      <c r="AA2160" s="329"/>
      <c r="AC2160" s="245"/>
      <c r="AD2160" s="187"/>
      <c r="AE2160" s="361"/>
      <c r="AF2160" s="245"/>
      <c r="AH2160" s="245"/>
    </row>
    <row r="2161" spans="1:34" ht="26.25">
      <c r="A2161" s="245"/>
      <c r="B2161" s="245"/>
      <c r="C2161" s="245"/>
      <c r="D2161" s="245"/>
      <c r="E2161" s="245"/>
      <c r="F2161" s="279"/>
      <c r="G2161" s="245"/>
      <c r="H2161" s="245"/>
      <c r="I2161" s="245"/>
      <c r="O2161" s="360"/>
      <c r="Q2161" s="351"/>
      <c r="R2161" s="363"/>
      <c r="S2161" s="325"/>
      <c r="T2161" s="85" ph="1"/>
      <c r="V2161" s="216"/>
      <c r="W2161" s="245"/>
      <c r="X2161" s="187"/>
      <c r="Y2161" s="245"/>
      <c r="Z2161" s="245"/>
      <c r="AA2161" s="329"/>
      <c r="AC2161" s="245"/>
      <c r="AD2161" s="187"/>
      <c r="AE2161" s="361"/>
      <c r="AF2161" s="245"/>
      <c r="AH2161" s="245"/>
    </row>
    <row r="2162" spans="1:34" ht="26.25">
      <c r="A2162" s="245"/>
      <c r="B2162" s="245"/>
      <c r="C2162" s="245"/>
      <c r="D2162" s="245"/>
      <c r="E2162" s="245"/>
      <c r="F2162" s="279"/>
      <c r="G2162" s="245"/>
      <c r="H2162" s="245"/>
      <c r="I2162" s="245"/>
      <c r="O2162" s="360"/>
      <c r="Q2162" s="351"/>
      <c r="R2162" s="363"/>
      <c r="S2162" s="325"/>
      <c r="T2162" s="85" ph="1"/>
      <c r="V2162" s="216"/>
      <c r="W2162" s="245"/>
      <c r="X2162" s="187"/>
      <c r="Y2162" s="245"/>
      <c r="Z2162" s="245"/>
      <c r="AA2162" s="329"/>
      <c r="AC2162" s="245"/>
      <c r="AD2162" s="187"/>
      <c r="AE2162" s="361"/>
      <c r="AF2162" s="245"/>
      <c r="AH2162" s="245"/>
    </row>
    <row r="2163" spans="1:34" ht="26.25">
      <c r="A2163" s="245"/>
      <c r="B2163" s="245"/>
      <c r="C2163" s="245"/>
      <c r="D2163" s="245"/>
      <c r="E2163" s="245"/>
      <c r="F2163" s="279"/>
      <c r="G2163" s="245"/>
      <c r="H2163" s="245"/>
      <c r="I2163" s="245"/>
      <c r="O2163" s="360"/>
      <c r="Q2163" s="351"/>
      <c r="R2163" s="363"/>
      <c r="S2163" s="325"/>
      <c r="T2163" s="85" ph="1"/>
      <c r="V2163" s="216"/>
      <c r="W2163" s="245"/>
      <c r="X2163" s="187"/>
      <c r="Y2163" s="245"/>
      <c r="Z2163" s="245"/>
      <c r="AA2163" s="329"/>
      <c r="AC2163" s="245"/>
      <c r="AD2163" s="187"/>
      <c r="AE2163" s="361"/>
      <c r="AF2163" s="245"/>
      <c r="AH2163" s="245"/>
    </row>
    <row r="2164" spans="1:34" ht="26.25">
      <c r="A2164" s="245"/>
      <c r="B2164" s="245"/>
      <c r="C2164" s="245"/>
      <c r="D2164" s="245"/>
      <c r="E2164" s="245"/>
      <c r="F2164" s="279"/>
      <c r="G2164" s="245"/>
      <c r="H2164" s="245"/>
      <c r="I2164" s="245"/>
      <c r="O2164" s="360"/>
      <c r="Q2164" s="351"/>
      <c r="R2164" s="363"/>
      <c r="S2164" s="325"/>
      <c r="T2164" s="85" ph="1"/>
      <c r="V2164" s="216"/>
      <c r="W2164" s="245"/>
      <c r="X2164" s="187"/>
      <c r="Y2164" s="245"/>
      <c r="Z2164" s="245"/>
      <c r="AA2164" s="329"/>
      <c r="AC2164" s="245"/>
      <c r="AD2164" s="187"/>
      <c r="AE2164" s="361"/>
      <c r="AF2164" s="245"/>
      <c r="AH2164" s="245"/>
    </row>
    <row r="2165" spans="1:34" ht="26.25">
      <c r="A2165" s="245"/>
      <c r="B2165" s="245"/>
      <c r="C2165" s="245"/>
      <c r="D2165" s="245"/>
      <c r="E2165" s="245"/>
      <c r="F2165" s="279"/>
      <c r="G2165" s="245"/>
      <c r="H2165" s="245"/>
      <c r="I2165" s="245"/>
      <c r="O2165" s="360"/>
      <c r="Q2165" s="351"/>
      <c r="R2165" s="363"/>
      <c r="S2165" s="325"/>
      <c r="T2165" s="85" ph="1"/>
      <c r="V2165" s="216"/>
      <c r="W2165" s="245"/>
      <c r="X2165" s="187"/>
      <c r="Y2165" s="245"/>
      <c r="Z2165" s="245"/>
      <c r="AA2165" s="329"/>
      <c r="AC2165" s="245"/>
      <c r="AD2165" s="187"/>
      <c r="AE2165" s="361"/>
      <c r="AF2165" s="245"/>
      <c r="AH2165" s="245"/>
    </row>
    <row r="2166" spans="1:34" ht="26.25">
      <c r="A2166" s="245"/>
      <c r="B2166" s="245"/>
      <c r="C2166" s="245"/>
      <c r="D2166" s="245"/>
      <c r="E2166" s="245"/>
      <c r="F2166" s="279"/>
      <c r="G2166" s="245"/>
      <c r="H2166" s="245"/>
      <c r="I2166" s="245"/>
      <c r="O2166" s="360"/>
      <c r="Q2166" s="351"/>
      <c r="R2166" s="363"/>
      <c r="S2166" s="325"/>
      <c r="T2166" s="85" ph="1"/>
      <c r="V2166" s="216"/>
      <c r="W2166" s="245"/>
      <c r="X2166" s="187"/>
      <c r="Y2166" s="245"/>
      <c r="Z2166" s="245"/>
      <c r="AA2166" s="329"/>
      <c r="AC2166" s="245"/>
      <c r="AD2166" s="187"/>
      <c r="AE2166" s="361"/>
      <c r="AF2166" s="245"/>
      <c r="AH2166" s="245"/>
    </row>
    <row r="2167" spans="1:34" ht="26.25">
      <c r="A2167" s="245"/>
      <c r="B2167" s="245"/>
      <c r="C2167" s="245"/>
      <c r="D2167" s="245"/>
      <c r="E2167" s="245"/>
      <c r="F2167" s="279"/>
      <c r="G2167" s="245"/>
      <c r="H2167" s="245"/>
      <c r="I2167" s="245"/>
      <c r="O2167" s="360"/>
      <c r="Q2167" s="351"/>
      <c r="R2167" s="363"/>
      <c r="S2167" s="325"/>
      <c r="T2167" s="85" ph="1"/>
      <c r="V2167" s="216"/>
      <c r="W2167" s="245"/>
      <c r="X2167" s="187"/>
      <c r="Y2167" s="245"/>
      <c r="Z2167" s="245"/>
      <c r="AA2167" s="329"/>
      <c r="AC2167" s="245"/>
      <c r="AD2167" s="187"/>
      <c r="AE2167" s="361"/>
      <c r="AF2167" s="245"/>
      <c r="AH2167" s="245"/>
    </row>
    <row r="2168" spans="1:34" ht="26.25">
      <c r="A2168" s="245"/>
      <c r="B2168" s="245"/>
      <c r="C2168" s="245"/>
      <c r="D2168" s="245"/>
      <c r="E2168" s="245"/>
      <c r="F2168" s="279"/>
      <c r="G2168" s="245"/>
      <c r="H2168" s="245"/>
      <c r="I2168" s="245"/>
      <c r="O2168" s="360"/>
      <c r="Q2168" s="351"/>
      <c r="R2168" s="363"/>
      <c r="S2168" s="325"/>
      <c r="T2168" s="85" ph="1"/>
      <c r="V2168" s="216"/>
      <c r="W2168" s="245"/>
      <c r="X2168" s="187"/>
      <c r="Y2168" s="245"/>
      <c r="Z2168" s="245"/>
      <c r="AA2168" s="329"/>
      <c r="AC2168" s="245"/>
      <c r="AD2168" s="187"/>
      <c r="AE2168" s="361"/>
      <c r="AF2168" s="245"/>
      <c r="AH2168" s="245"/>
    </row>
    <row r="2169" spans="1:34" ht="26.25">
      <c r="A2169" s="245"/>
      <c r="B2169" s="245"/>
      <c r="C2169" s="245"/>
      <c r="D2169" s="245"/>
      <c r="E2169" s="245"/>
      <c r="F2169" s="279"/>
      <c r="G2169" s="245"/>
      <c r="H2169" s="245"/>
      <c r="I2169" s="245"/>
      <c r="O2169" s="360"/>
      <c r="Q2169" s="351"/>
      <c r="R2169" s="363"/>
      <c r="S2169" s="325"/>
      <c r="T2169" s="85" ph="1"/>
      <c r="V2169" s="216"/>
      <c r="W2169" s="245"/>
      <c r="X2169" s="187"/>
      <c r="Y2169" s="245"/>
      <c r="Z2169" s="245"/>
      <c r="AA2169" s="329"/>
      <c r="AC2169" s="245"/>
      <c r="AD2169" s="187"/>
      <c r="AE2169" s="361"/>
      <c r="AF2169" s="245"/>
      <c r="AH2169" s="245"/>
    </row>
    <row r="2170" spans="1:34" ht="26.25">
      <c r="A2170" s="245"/>
      <c r="B2170" s="245"/>
      <c r="C2170" s="245"/>
      <c r="D2170" s="245"/>
      <c r="E2170" s="245"/>
      <c r="F2170" s="279"/>
      <c r="G2170" s="245"/>
      <c r="H2170" s="245"/>
      <c r="I2170" s="245"/>
      <c r="O2170" s="360"/>
      <c r="Q2170" s="351"/>
      <c r="R2170" s="363"/>
      <c r="S2170" s="325"/>
      <c r="T2170" s="85" ph="1"/>
      <c r="V2170" s="216"/>
      <c r="W2170" s="245"/>
      <c r="X2170" s="187"/>
      <c r="Y2170" s="245"/>
      <c r="Z2170" s="245"/>
      <c r="AA2170" s="329"/>
      <c r="AC2170" s="245"/>
      <c r="AD2170" s="187"/>
      <c r="AE2170" s="361"/>
      <c r="AF2170" s="245"/>
      <c r="AH2170" s="245"/>
    </row>
    <row r="2171" spans="1:34" ht="26.25">
      <c r="A2171" s="245"/>
      <c r="B2171" s="245"/>
      <c r="C2171" s="245"/>
      <c r="D2171" s="245"/>
      <c r="E2171" s="245"/>
      <c r="F2171" s="279"/>
      <c r="G2171" s="245"/>
      <c r="H2171" s="245"/>
      <c r="I2171" s="245"/>
      <c r="O2171" s="360"/>
      <c r="Q2171" s="351"/>
      <c r="R2171" s="363"/>
      <c r="S2171" s="325"/>
      <c r="T2171" s="85" ph="1"/>
      <c r="V2171" s="216"/>
      <c r="W2171" s="245"/>
      <c r="X2171" s="187"/>
      <c r="Y2171" s="245"/>
      <c r="Z2171" s="245"/>
      <c r="AA2171" s="329"/>
      <c r="AC2171" s="245"/>
      <c r="AD2171" s="187"/>
      <c r="AE2171" s="361"/>
      <c r="AF2171" s="245"/>
      <c r="AH2171" s="245"/>
    </row>
    <row r="2172" spans="1:34" ht="26.25">
      <c r="A2172" s="245"/>
      <c r="B2172" s="245"/>
      <c r="C2172" s="245"/>
      <c r="D2172" s="245"/>
      <c r="E2172" s="245"/>
      <c r="F2172" s="279"/>
      <c r="G2172" s="245"/>
      <c r="H2172" s="245"/>
      <c r="I2172" s="245"/>
      <c r="O2172" s="360"/>
      <c r="Q2172" s="351"/>
      <c r="R2172" s="363"/>
      <c r="S2172" s="325"/>
      <c r="T2172" s="85" ph="1"/>
      <c r="V2172" s="216"/>
      <c r="W2172" s="245"/>
      <c r="X2172" s="187"/>
      <c r="Y2172" s="245"/>
      <c r="Z2172" s="245"/>
      <c r="AA2172" s="329"/>
      <c r="AC2172" s="245"/>
      <c r="AD2172" s="187"/>
      <c r="AE2172" s="361"/>
      <c r="AF2172" s="245"/>
      <c r="AH2172" s="245"/>
    </row>
    <row r="2173" spans="1:34" ht="26.25">
      <c r="A2173" s="245"/>
      <c r="B2173" s="245"/>
      <c r="C2173" s="245"/>
      <c r="D2173" s="245"/>
      <c r="E2173" s="245"/>
      <c r="F2173" s="279"/>
      <c r="G2173" s="245"/>
      <c r="H2173" s="245"/>
      <c r="I2173" s="245"/>
      <c r="O2173" s="360"/>
      <c r="Q2173" s="351"/>
      <c r="R2173" s="363"/>
      <c r="S2173" s="325"/>
      <c r="T2173" s="85" ph="1"/>
      <c r="V2173" s="216"/>
      <c r="W2173" s="245"/>
      <c r="X2173" s="187"/>
      <c r="Y2173" s="245"/>
      <c r="Z2173" s="245"/>
      <c r="AA2173" s="329"/>
      <c r="AC2173" s="245"/>
      <c r="AD2173" s="187"/>
      <c r="AE2173" s="361"/>
      <c r="AF2173" s="245"/>
      <c r="AH2173" s="245"/>
    </row>
    <row r="2174" spans="1:34" ht="26.25">
      <c r="A2174" s="245"/>
      <c r="B2174" s="245"/>
      <c r="C2174" s="245"/>
      <c r="D2174" s="245"/>
      <c r="E2174" s="245"/>
      <c r="F2174" s="279"/>
      <c r="G2174" s="245"/>
      <c r="H2174" s="245"/>
      <c r="I2174" s="245"/>
      <c r="O2174" s="360"/>
      <c r="Q2174" s="351"/>
      <c r="R2174" s="363"/>
      <c r="S2174" s="325"/>
      <c r="T2174" s="85" ph="1"/>
      <c r="V2174" s="216"/>
      <c r="W2174" s="245"/>
      <c r="X2174" s="187"/>
      <c r="Y2174" s="245"/>
      <c r="Z2174" s="245"/>
      <c r="AA2174" s="329"/>
      <c r="AC2174" s="245"/>
      <c r="AD2174" s="187"/>
      <c r="AE2174" s="361"/>
      <c r="AF2174" s="245"/>
      <c r="AH2174" s="245"/>
    </row>
    <row r="2175" spans="1:34" ht="26.25">
      <c r="A2175" s="245"/>
      <c r="B2175" s="245"/>
      <c r="C2175" s="245"/>
      <c r="D2175" s="245"/>
      <c r="E2175" s="245"/>
      <c r="F2175" s="279"/>
      <c r="G2175" s="245"/>
      <c r="H2175" s="245"/>
      <c r="I2175" s="245"/>
      <c r="O2175" s="360"/>
      <c r="Q2175" s="351"/>
      <c r="R2175" s="363"/>
      <c r="S2175" s="325"/>
      <c r="T2175" s="85" ph="1"/>
      <c r="V2175" s="216"/>
      <c r="W2175" s="245"/>
      <c r="X2175" s="187"/>
      <c r="Y2175" s="245"/>
      <c r="Z2175" s="245"/>
      <c r="AA2175" s="329"/>
      <c r="AC2175" s="245"/>
      <c r="AD2175" s="187"/>
      <c r="AE2175" s="361"/>
      <c r="AF2175" s="245"/>
      <c r="AH2175" s="245"/>
    </row>
    <row r="2176" spans="1:34" ht="26.25">
      <c r="A2176" s="245"/>
      <c r="B2176" s="245"/>
      <c r="C2176" s="245"/>
      <c r="D2176" s="245"/>
      <c r="E2176" s="245"/>
      <c r="F2176" s="279"/>
      <c r="G2176" s="245"/>
      <c r="H2176" s="245"/>
      <c r="I2176" s="245"/>
      <c r="O2176" s="360"/>
      <c r="Q2176" s="351"/>
      <c r="R2176" s="363"/>
      <c r="S2176" s="325"/>
      <c r="T2176" s="85" ph="1"/>
      <c r="V2176" s="216"/>
      <c r="W2176" s="245"/>
      <c r="X2176" s="187"/>
      <c r="Y2176" s="245"/>
      <c r="Z2176" s="245"/>
      <c r="AA2176" s="329"/>
      <c r="AC2176" s="245"/>
      <c r="AD2176" s="187"/>
      <c r="AE2176" s="361"/>
      <c r="AF2176" s="245"/>
      <c r="AH2176" s="245"/>
    </row>
    <row r="2177" spans="1:34" ht="26.25">
      <c r="A2177" s="245"/>
      <c r="B2177" s="245"/>
      <c r="C2177" s="245"/>
      <c r="D2177" s="245"/>
      <c r="E2177" s="245"/>
      <c r="F2177" s="279"/>
      <c r="G2177" s="245"/>
      <c r="H2177" s="245"/>
      <c r="I2177" s="245"/>
      <c r="O2177" s="360"/>
      <c r="Q2177" s="351"/>
      <c r="R2177" s="363"/>
      <c r="S2177" s="325"/>
      <c r="T2177" s="85" ph="1"/>
      <c r="V2177" s="216"/>
      <c r="W2177" s="245"/>
      <c r="X2177" s="187"/>
      <c r="Y2177" s="245"/>
      <c r="Z2177" s="245"/>
      <c r="AA2177" s="329"/>
      <c r="AC2177" s="245"/>
      <c r="AD2177" s="187"/>
      <c r="AE2177" s="361"/>
      <c r="AF2177" s="245"/>
      <c r="AH2177" s="245"/>
    </row>
    <row r="2178" spans="1:34" ht="26.25">
      <c r="A2178" s="245"/>
      <c r="B2178" s="245"/>
      <c r="C2178" s="245"/>
      <c r="D2178" s="245"/>
      <c r="E2178" s="245"/>
      <c r="F2178" s="279"/>
      <c r="G2178" s="245"/>
      <c r="H2178" s="245"/>
      <c r="I2178" s="245"/>
      <c r="O2178" s="360"/>
      <c r="Q2178" s="351"/>
      <c r="R2178" s="363"/>
      <c r="S2178" s="325"/>
      <c r="T2178" s="85" ph="1"/>
      <c r="V2178" s="216"/>
      <c r="W2178" s="245"/>
      <c r="X2178" s="187"/>
      <c r="Y2178" s="245"/>
      <c r="Z2178" s="245"/>
      <c r="AA2178" s="329"/>
      <c r="AC2178" s="245"/>
      <c r="AD2178" s="187"/>
      <c r="AE2178" s="361"/>
      <c r="AF2178" s="245"/>
      <c r="AH2178" s="245"/>
    </row>
    <row r="2179" spans="1:34" ht="26.25">
      <c r="A2179" s="245"/>
      <c r="B2179" s="245"/>
      <c r="C2179" s="245"/>
      <c r="D2179" s="245"/>
      <c r="E2179" s="245"/>
      <c r="F2179" s="279"/>
      <c r="G2179" s="245"/>
      <c r="H2179" s="245"/>
      <c r="I2179" s="245"/>
      <c r="O2179" s="360"/>
      <c r="Q2179" s="351"/>
      <c r="R2179" s="363"/>
      <c r="S2179" s="325"/>
      <c r="T2179" s="85" ph="1"/>
      <c r="V2179" s="216"/>
      <c r="W2179" s="245"/>
      <c r="X2179" s="187"/>
      <c r="Y2179" s="245"/>
      <c r="Z2179" s="245"/>
      <c r="AA2179" s="329"/>
      <c r="AC2179" s="245"/>
      <c r="AD2179" s="187"/>
      <c r="AE2179" s="361"/>
      <c r="AF2179" s="245"/>
      <c r="AH2179" s="245"/>
    </row>
    <row r="2180" spans="1:34" ht="26.25">
      <c r="A2180" s="245"/>
      <c r="B2180" s="245"/>
      <c r="C2180" s="245"/>
      <c r="D2180" s="245"/>
      <c r="E2180" s="245"/>
      <c r="F2180" s="279"/>
      <c r="G2180" s="245"/>
      <c r="H2180" s="245"/>
      <c r="I2180" s="245"/>
      <c r="O2180" s="360"/>
      <c r="Q2180" s="351"/>
      <c r="R2180" s="363"/>
      <c r="S2180" s="325"/>
      <c r="T2180" s="85" ph="1"/>
      <c r="V2180" s="216"/>
      <c r="W2180" s="245"/>
      <c r="X2180" s="187"/>
      <c r="Y2180" s="245"/>
      <c r="Z2180" s="245"/>
      <c r="AA2180" s="329"/>
      <c r="AC2180" s="245"/>
      <c r="AD2180" s="187"/>
      <c r="AE2180" s="361"/>
      <c r="AF2180" s="245"/>
      <c r="AH2180" s="245"/>
    </row>
    <row r="2181" spans="1:34" ht="26.25">
      <c r="A2181" s="245"/>
      <c r="B2181" s="245"/>
      <c r="C2181" s="245"/>
      <c r="D2181" s="245"/>
      <c r="E2181" s="245"/>
      <c r="F2181" s="279"/>
      <c r="G2181" s="245"/>
      <c r="H2181" s="245"/>
      <c r="I2181" s="245"/>
      <c r="O2181" s="360"/>
      <c r="Q2181" s="351"/>
      <c r="R2181" s="363"/>
      <c r="S2181" s="325"/>
      <c r="T2181" s="85" ph="1"/>
      <c r="V2181" s="216"/>
      <c r="W2181" s="245"/>
      <c r="X2181" s="187"/>
      <c r="Y2181" s="245"/>
      <c r="Z2181" s="245"/>
      <c r="AA2181" s="329"/>
      <c r="AC2181" s="245"/>
      <c r="AD2181" s="187"/>
      <c r="AE2181" s="361"/>
      <c r="AF2181" s="245"/>
      <c r="AH2181" s="245"/>
    </row>
    <row r="2182" spans="1:34" ht="26.25">
      <c r="A2182" s="245"/>
      <c r="B2182" s="245"/>
      <c r="C2182" s="245"/>
      <c r="D2182" s="245"/>
      <c r="E2182" s="245"/>
      <c r="F2182" s="279"/>
      <c r="G2182" s="245"/>
      <c r="H2182" s="245"/>
      <c r="I2182" s="245"/>
      <c r="O2182" s="360"/>
      <c r="Q2182" s="351"/>
      <c r="R2182" s="363"/>
      <c r="S2182" s="325"/>
      <c r="T2182" s="85" ph="1"/>
      <c r="V2182" s="216"/>
      <c r="W2182" s="245"/>
      <c r="X2182" s="187"/>
      <c r="Y2182" s="245"/>
      <c r="Z2182" s="245"/>
      <c r="AA2182" s="329"/>
      <c r="AC2182" s="245"/>
      <c r="AD2182" s="187"/>
      <c r="AE2182" s="361"/>
      <c r="AF2182" s="245"/>
      <c r="AH2182" s="245"/>
    </row>
    <row r="2183" spans="1:34" ht="26.25">
      <c r="A2183" s="245"/>
      <c r="B2183" s="245"/>
      <c r="C2183" s="245"/>
      <c r="D2183" s="245"/>
      <c r="E2183" s="245"/>
      <c r="F2183" s="279"/>
      <c r="G2183" s="245"/>
      <c r="H2183" s="245"/>
      <c r="I2183" s="245"/>
      <c r="O2183" s="360"/>
      <c r="Q2183" s="351"/>
      <c r="R2183" s="363"/>
      <c r="S2183" s="325"/>
      <c r="T2183" s="85" ph="1"/>
      <c r="V2183" s="216"/>
      <c r="W2183" s="245"/>
      <c r="X2183" s="187"/>
      <c r="Y2183" s="245"/>
      <c r="Z2183" s="245"/>
      <c r="AA2183" s="329"/>
      <c r="AC2183" s="245"/>
      <c r="AD2183" s="187"/>
      <c r="AE2183" s="361"/>
      <c r="AF2183" s="245"/>
      <c r="AH2183" s="245"/>
    </row>
    <row r="2184" spans="1:34" ht="26.25">
      <c r="A2184" s="245"/>
      <c r="B2184" s="245"/>
      <c r="C2184" s="245"/>
      <c r="D2184" s="245"/>
      <c r="E2184" s="245"/>
      <c r="F2184" s="279"/>
      <c r="G2184" s="245"/>
      <c r="H2184" s="245"/>
      <c r="I2184" s="245"/>
      <c r="O2184" s="360"/>
      <c r="Q2184" s="351"/>
      <c r="R2184" s="363"/>
      <c r="S2184" s="325"/>
      <c r="T2184" s="85" ph="1"/>
      <c r="V2184" s="216"/>
      <c r="W2184" s="245"/>
      <c r="X2184" s="187"/>
      <c r="Y2184" s="245"/>
      <c r="Z2184" s="245"/>
      <c r="AA2184" s="329"/>
      <c r="AC2184" s="245"/>
      <c r="AD2184" s="187"/>
      <c r="AE2184" s="361"/>
      <c r="AF2184" s="245"/>
      <c r="AH2184" s="245"/>
    </row>
    <row r="2185" spans="1:34" ht="26.25">
      <c r="A2185" s="245"/>
      <c r="B2185" s="245"/>
      <c r="C2185" s="245"/>
      <c r="D2185" s="245"/>
      <c r="E2185" s="245"/>
      <c r="F2185" s="279"/>
      <c r="G2185" s="245"/>
      <c r="H2185" s="245"/>
      <c r="I2185" s="245"/>
      <c r="O2185" s="360"/>
      <c r="Q2185" s="351"/>
      <c r="R2185" s="363"/>
      <c r="S2185" s="325"/>
      <c r="T2185" s="85" ph="1"/>
      <c r="V2185" s="216"/>
      <c r="W2185" s="245"/>
      <c r="X2185" s="187"/>
      <c r="Y2185" s="245"/>
      <c r="Z2185" s="245"/>
      <c r="AA2185" s="329"/>
      <c r="AC2185" s="245"/>
      <c r="AD2185" s="187"/>
      <c r="AE2185" s="361"/>
      <c r="AF2185" s="245"/>
      <c r="AH2185" s="245"/>
    </row>
    <row r="2186" spans="1:34" ht="26.25">
      <c r="A2186" s="245"/>
      <c r="B2186" s="245"/>
      <c r="C2186" s="245"/>
      <c r="D2186" s="245"/>
      <c r="E2186" s="245"/>
      <c r="F2186" s="279"/>
      <c r="G2186" s="245"/>
      <c r="H2186" s="245"/>
      <c r="I2186" s="245"/>
      <c r="O2186" s="360"/>
      <c r="Q2186" s="351"/>
      <c r="R2186" s="363"/>
      <c r="S2186" s="325"/>
      <c r="T2186" s="85" ph="1"/>
      <c r="V2186" s="216"/>
      <c r="W2186" s="245"/>
      <c r="X2186" s="187"/>
      <c r="Y2186" s="245"/>
      <c r="Z2186" s="245"/>
      <c r="AA2186" s="329"/>
      <c r="AC2186" s="245"/>
      <c r="AD2186" s="187"/>
      <c r="AE2186" s="361"/>
      <c r="AF2186" s="245"/>
      <c r="AH2186" s="245"/>
    </row>
    <row r="2187" spans="1:34" ht="26.25">
      <c r="A2187" s="245"/>
      <c r="B2187" s="245"/>
      <c r="C2187" s="245"/>
      <c r="D2187" s="245"/>
      <c r="E2187" s="245"/>
      <c r="F2187" s="279"/>
      <c r="G2187" s="245"/>
      <c r="H2187" s="245"/>
      <c r="I2187" s="245"/>
      <c r="O2187" s="360"/>
      <c r="Q2187" s="351"/>
      <c r="R2187" s="363"/>
      <c r="S2187" s="325"/>
      <c r="T2187" s="85" ph="1"/>
      <c r="V2187" s="216"/>
      <c r="W2187" s="245"/>
      <c r="X2187" s="187"/>
      <c r="Y2187" s="245"/>
      <c r="Z2187" s="245"/>
      <c r="AA2187" s="329"/>
      <c r="AC2187" s="245"/>
      <c r="AD2187" s="187"/>
      <c r="AE2187" s="361"/>
      <c r="AF2187" s="245"/>
      <c r="AH2187" s="245"/>
    </row>
    <row r="2188" spans="1:34" ht="26.25">
      <c r="A2188" s="245"/>
      <c r="B2188" s="245"/>
      <c r="C2188" s="245"/>
      <c r="D2188" s="245"/>
      <c r="E2188" s="245"/>
      <c r="F2188" s="279"/>
      <c r="G2188" s="245"/>
      <c r="H2188" s="245"/>
      <c r="I2188" s="245"/>
      <c r="O2188" s="360"/>
      <c r="Q2188" s="351"/>
      <c r="R2188" s="363"/>
      <c r="S2188" s="325"/>
      <c r="T2188" s="85" ph="1"/>
      <c r="V2188" s="216"/>
      <c r="W2188" s="245"/>
      <c r="X2188" s="187"/>
      <c r="Y2188" s="245"/>
      <c r="Z2188" s="245"/>
      <c r="AA2188" s="329"/>
      <c r="AC2188" s="245"/>
      <c r="AD2188" s="187"/>
      <c r="AE2188" s="361"/>
      <c r="AF2188" s="245"/>
      <c r="AH2188" s="245"/>
    </row>
    <row r="2189" spans="1:34" ht="26.25">
      <c r="A2189" s="245"/>
      <c r="B2189" s="245"/>
      <c r="C2189" s="245"/>
      <c r="D2189" s="245"/>
      <c r="E2189" s="245"/>
      <c r="F2189" s="279"/>
      <c r="G2189" s="245"/>
      <c r="H2189" s="245"/>
      <c r="I2189" s="245"/>
      <c r="O2189" s="360"/>
      <c r="Q2189" s="351"/>
      <c r="R2189" s="363"/>
      <c r="S2189" s="325"/>
      <c r="T2189" s="85" ph="1"/>
      <c r="V2189" s="216"/>
      <c r="W2189" s="245"/>
      <c r="X2189" s="187"/>
      <c r="Y2189" s="245"/>
      <c r="Z2189" s="245"/>
      <c r="AA2189" s="329"/>
      <c r="AC2189" s="245"/>
      <c r="AD2189" s="187"/>
      <c r="AE2189" s="361"/>
      <c r="AF2189" s="245"/>
      <c r="AH2189" s="245"/>
    </row>
    <row r="2190" spans="1:34" ht="26.25">
      <c r="A2190" s="245"/>
      <c r="B2190" s="245"/>
      <c r="C2190" s="245"/>
      <c r="D2190" s="245"/>
      <c r="E2190" s="245"/>
      <c r="F2190" s="279"/>
      <c r="G2190" s="245"/>
      <c r="H2190" s="245"/>
      <c r="I2190" s="245"/>
      <c r="O2190" s="360"/>
      <c r="Q2190" s="351"/>
      <c r="R2190" s="363"/>
      <c r="S2190" s="325"/>
      <c r="T2190" s="85" ph="1"/>
      <c r="V2190" s="216"/>
      <c r="W2190" s="245"/>
      <c r="X2190" s="187"/>
      <c r="Y2190" s="245"/>
      <c r="Z2190" s="245"/>
      <c r="AA2190" s="329"/>
      <c r="AC2190" s="245"/>
      <c r="AD2190" s="187"/>
      <c r="AE2190" s="361"/>
      <c r="AF2190" s="245"/>
      <c r="AH2190" s="245"/>
    </row>
    <row r="2191" spans="1:34" ht="26.25">
      <c r="A2191" s="245"/>
      <c r="B2191" s="245"/>
      <c r="C2191" s="245"/>
      <c r="D2191" s="245"/>
      <c r="E2191" s="245"/>
      <c r="F2191" s="279"/>
      <c r="G2191" s="245"/>
      <c r="H2191" s="245"/>
      <c r="I2191" s="245"/>
      <c r="O2191" s="360"/>
      <c r="Q2191" s="351"/>
      <c r="R2191" s="363"/>
      <c r="S2191" s="325"/>
      <c r="T2191" s="85" ph="1"/>
      <c r="V2191" s="216"/>
      <c r="W2191" s="245"/>
      <c r="X2191" s="187"/>
      <c r="Y2191" s="245"/>
      <c r="Z2191" s="245"/>
      <c r="AA2191" s="329"/>
      <c r="AC2191" s="245"/>
      <c r="AD2191" s="187"/>
      <c r="AE2191" s="361"/>
      <c r="AF2191" s="245"/>
      <c r="AH2191" s="245"/>
    </row>
    <row r="2192" spans="1:34" ht="26.25">
      <c r="A2192" s="245"/>
      <c r="B2192" s="245"/>
      <c r="C2192" s="245"/>
      <c r="D2192" s="245"/>
      <c r="E2192" s="245"/>
      <c r="F2192" s="279"/>
      <c r="G2192" s="245"/>
      <c r="H2192" s="245"/>
      <c r="I2192" s="245"/>
      <c r="O2192" s="360"/>
      <c r="Q2192" s="351"/>
      <c r="R2192" s="363"/>
      <c r="S2192" s="325"/>
      <c r="T2192" s="85" ph="1"/>
      <c r="V2192" s="216"/>
      <c r="W2192" s="245"/>
      <c r="X2192" s="187"/>
      <c r="Y2192" s="245"/>
      <c r="Z2192" s="245"/>
      <c r="AA2192" s="329"/>
      <c r="AC2192" s="245"/>
      <c r="AD2192" s="187"/>
      <c r="AE2192" s="361"/>
      <c r="AF2192" s="245"/>
      <c r="AH2192" s="245"/>
    </row>
    <row r="2193" spans="1:34" ht="26.25">
      <c r="A2193" s="245"/>
      <c r="B2193" s="245"/>
      <c r="C2193" s="245"/>
      <c r="D2193" s="245"/>
      <c r="E2193" s="245"/>
      <c r="F2193" s="279"/>
      <c r="G2193" s="245"/>
      <c r="H2193" s="245"/>
      <c r="I2193" s="245"/>
      <c r="O2193" s="360"/>
      <c r="Q2193" s="351"/>
      <c r="R2193" s="363"/>
      <c r="S2193" s="325"/>
      <c r="T2193" s="85" ph="1"/>
      <c r="V2193" s="216"/>
      <c r="W2193" s="245"/>
      <c r="X2193" s="187"/>
      <c r="Y2193" s="245"/>
      <c r="Z2193" s="245"/>
      <c r="AA2193" s="329"/>
      <c r="AC2193" s="245"/>
      <c r="AD2193" s="187"/>
      <c r="AE2193" s="361"/>
      <c r="AF2193" s="245"/>
      <c r="AH2193" s="245"/>
    </row>
    <row r="2194" spans="1:34" ht="26.25">
      <c r="A2194" s="245"/>
      <c r="B2194" s="245"/>
      <c r="C2194" s="245"/>
      <c r="D2194" s="245"/>
      <c r="E2194" s="245"/>
      <c r="F2194" s="279"/>
      <c r="G2194" s="245"/>
      <c r="H2194" s="245"/>
      <c r="I2194" s="245"/>
      <c r="O2194" s="360"/>
      <c r="Q2194" s="351"/>
      <c r="R2194" s="363"/>
      <c r="S2194" s="325"/>
      <c r="T2194" s="85" ph="1"/>
      <c r="V2194" s="216"/>
      <c r="W2194" s="245"/>
      <c r="X2194" s="187"/>
      <c r="Y2194" s="245"/>
      <c r="Z2194" s="245"/>
      <c r="AA2194" s="329"/>
      <c r="AC2194" s="245"/>
      <c r="AD2194" s="187"/>
      <c r="AE2194" s="361"/>
      <c r="AF2194" s="245"/>
      <c r="AH2194" s="245"/>
    </row>
    <row r="2195" spans="1:34" ht="26.25">
      <c r="A2195" s="245"/>
      <c r="B2195" s="245"/>
      <c r="C2195" s="245"/>
      <c r="D2195" s="245"/>
      <c r="E2195" s="245"/>
      <c r="F2195" s="279"/>
      <c r="G2195" s="245"/>
      <c r="H2195" s="245"/>
      <c r="I2195" s="245"/>
      <c r="O2195" s="360"/>
      <c r="Q2195" s="351"/>
      <c r="R2195" s="363"/>
      <c r="S2195" s="325"/>
      <c r="T2195" s="85" ph="1"/>
      <c r="V2195" s="216"/>
      <c r="W2195" s="245"/>
      <c r="X2195" s="187"/>
      <c r="Y2195" s="245"/>
      <c r="Z2195" s="245"/>
      <c r="AA2195" s="329"/>
      <c r="AC2195" s="245"/>
      <c r="AD2195" s="187"/>
      <c r="AE2195" s="361"/>
      <c r="AF2195" s="245"/>
      <c r="AH2195" s="245"/>
    </row>
    <row r="2196" spans="1:34" ht="26.25">
      <c r="A2196" s="245"/>
      <c r="B2196" s="245"/>
      <c r="C2196" s="245"/>
      <c r="D2196" s="245"/>
      <c r="E2196" s="245"/>
      <c r="F2196" s="279"/>
      <c r="G2196" s="245"/>
      <c r="H2196" s="245"/>
      <c r="I2196" s="245"/>
      <c r="O2196" s="360"/>
      <c r="Q2196" s="351"/>
      <c r="R2196" s="363"/>
      <c r="S2196" s="325"/>
      <c r="T2196" s="85" ph="1"/>
      <c r="V2196" s="216"/>
      <c r="W2196" s="245"/>
      <c r="X2196" s="187"/>
      <c r="Y2196" s="245"/>
      <c r="Z2196" s="245"/>
      <c r="AA2196" s="329"/>
      <c r="AC2196" s="245"/>
      <c r="AD2196" s="187"/>
      <c r="AE2196" s="361"/>
      <c r="AF2196" s="245"/>
      <c r="AH2196" s="245"/>
    </row>
    <row r="2197" spans="1:34" ht="26.25">
      <c r="A2197" s="245"/>
      <c r="B2197" s="245"/>
      <c r="C2197" s="245"/>
      <c r="D2197" s="245"/>
      <c r="E2197" s="245"/>
      <c r="F2197" s="279"/>
      <c r="G2197" s="245"/>
      <c r="H2197" s="245"/>
      <c r="I2197" s="245"/>
      <c r="O2197" s="360"/>
      <c r="Q2197" s="351"/>
      <c r="R2197" s="363"/>
      <c r="S2197" s="325"/>
      <c r="T2197" s="85" ph="1"/>
      <c r="V2197" s="216"/>
      <c r="W2197" s="245"/>
      <c r="X2197" s="187"/>
      <c r="Y2197" s="245"/>
      <c r="Z2197" s="245"/>
      <c r="AA2197" s="329"/>
      <c r="AC2197" s="245"/>
      <c r="AD2197" s="187"/>
      <c r="AE2197" s="361"/>
      <c r="AF2197" s="245"/>
      <c r="AH2197" s="245"/>
    </row>
    <row r="2198" spans="1:34" ht="26.25">
      <c r="A2198" s="245"/>
      <c r="B2198" s="245"/>
      <c r="C2198" s="245"/>
      <c r="D2198" s="245"/>
      <c r="E2198" s="245"/>
      <c r="F2198" s="279"/>
      <c r="G2198" s="245"/>
      <c r="H2198" s="245"/>
      <c r="I2198" s="245"/>
      <c r="O2198" s="360"/>
      <c r="Q2198" s="351"/>
      <c r="R2198" s="363"/>
      <c r="S2198" s="325"/>
      <c r="T2198" s="85" ph="1"/>
      <c r="V2198" s="216"/>
      <c r="W2198" s="245"/>
      <c r="X2198" s="187"/>
      <c r="Y2198" s="245"/>
      <c r="Z2198" s="245"/>
      <c r="AA2198" s="329"/>
      <c r="AC2198" s="245"/>
      <c r="AD2198" s="187"/>
      <c r="AE2198" s="361"/>
      <c r="AF2198" s="245"/>
      <c r="AH2198" s="245"/>
    </row>
    <row r="2199" spans="1:34" ht="26.25">
      <c r="A2199" s="245"/>
      <c r="B2199" s="245"/>
      <c r="C2199" s="245"/>
      <c r="D2199" s="245"/>
      <c r="E2199" s="245"/>
      <c r="F2199" s="279"/>
      <c r="G2199" s="245"/>
      <c r="H2199" s="245"/>
      <c r="I2199" s="245"/>
      <c r="O2199" s="360"/>
      <c r="Q2199" s="351"/>
      <c r="R2199" s="363"/>
      <c r="S2199" s="325"/>
      <c r="T2199" s="85" ph="1"/>
      <c r="V2199" s="216"/>
      <c r="W2199" s="245"/>
      <c r="X2199" s="187"/>
      <c r="Y2199" s="245"/>
      <c r="Z2199" s="245"/>
      <c r="AA2199" s="329"/>
      <c r="AC2199" s="245"/>
      <c r="AD2199" s="187"/>
      <c r="AE2199" s="361"/>
      <c r="AF2199" s="245"/>
      <c r="AH2199" s="245"/>
    </row>
    <row r="2200" spans="1:34" ht="26.25">
      <c r="A2200" s="245"/>
      <c r="B2200" s="245"/>
      <c r="C2200" s="245"/>
      <c r="D2200" s="245"/>
      <c r="E2200" s="245"/>
      <c r="F2200" s="279"/>
      <c r="G2200" s="245"/>
      <c r="H2200" s="245"/>
      <c r="I2200" s="245"/>
      <c r="O2200" s="360"/>
      <c r="Q2200" s="351"/>
      <c r="R2200" s="363"/>
      <c r="S2200" s="325"/>
      <c r="T2200" s="85" ph="1"/>
      <c r="V2200" s="216"/>
      <c r="W2200" s="245"/>
      <c r="X2200" s="187"/>
      <c r="Y2200" s="245"/>
      <c r="Z2200" s="245"/>
      <c r="AA2200" s="329"/>
      <c r="AC2200" s="245"/>
      <c r="AD2200" s="187"/>
      <c r="AE2200" s="361"/>
      <c r="AF2200" s="245"/>
      <c r="AH2200" s="245"/>
    </row>
    <row r="2201" spans="1:34" ht="26.25">
      <c r="A2201" s="245"/>
      <c r="B2201" s="245"/>
      <c r="C2201" s="245"/>
      <c r="D2201" s="245"/>
      <c r="E2201" s="245"/>
      <c r="F2201" s="279"/>
      <c r="G2201" s="245"/>
      <c r="H2201" s="245"/>
      <c r="I2201" s="245"/>
      <c r="O2201" s="360"/>
      <c r="Q2201" s="351"/>
      <c r="R2201" s="363"/>
      <c r="S2201" s="325"/>
      <c r="T2201" s="85" ph="1"/>
      <c r="V2201" s="216"/>
      <c r="W2201" s="245"/>
      <c r="X2201" s="187"/>
      <c r="Y2201" s="245"/>
      <c r="Z2201" s="245"/>
      <c r="AA2201" s="329"/>
      <c r="AC2201" s="245"/>
      <c r="AD2201" s="187"/>
      <c r="AE2201" s="361"/>
      <c r="AF2201" s="245"/>
      <c r="AH2201" s="245"/>
    </row>
    <row r="2202" spans="1:34" ht="26.25">
      <c r="A2202" s="245"/>
      <c r="B2202" s="245"/>
      <c r="C2202" s="245"/>
      <c r="D2202" s="245"/>
      <c r="E2202" s="245"/>
      <c r="F2202" s="279"/>
      <c r="G2202" s="245"/>
      <c r="H2202" s="245"/>
      <c r="I2202" s="245"/>
      <c r="O2202" s="360"/>
      <c r="Q2202" s="351"/>
      <c r="R2202" s="363"/>
      <c r="S2202" s="325"/>
      <c r="T2202" s="85" ph="1"/>
      <c r="V2202" s="216"/>
      <c r="W2202" s="245"/>
      <c r="X2202" s="187"/>
      <c r="Y2202" s="245"/>
      <c r="Z2202" s="245"/>
      <c r="AA2202" s="329"/>
      <c r="AC2202" s="245"/>
      <c r="AD2202" s="187"/>
      <c r="AE2202" s="361"/>
      <c r="AF2202" s="245"/>
      <c r="AH2202" s="245"/>
    </row>
    <row r="2203" spans="1:34" ht="26.25">
      <c r="A2203" s="245"/>
      <c r="B2203" s="245"/>
      <c r="C2203" s="245"/>
      <c r="D2203" s="245"/>
      <c r="E2203" s="245"/>
      <c r="F2203" s="279"/>
      <c r="G2203" s="245"/>
      <c r="H2203" s="245"/>
      <c r="I2203" s="245"/>
      <c r="O2203" s="360"/>
      <c r="Q2203" s="351"/>
      <c r="R2203" s="363"/>
      <c r="S2203" s="325"/>
      <c r="T2203" s="85" ph="1"/>
      <c r="V2203" s="216"/>
      <c r="W2203" s="245"/>
      <c r="X2203" s="187"/>
      <c r="Y2203" s="245"/>
      <c r="Z2203" s="245"/>
      <c r="AA2203" s="329"/>
      <c r="AC2203" s="245"/>
      <c r="AD2203" s="187"/>
      <c r="AE2203" s="361"/>
      <c r="AF2203" s="245"/>
      <c r="AH2203" s="245"/>
    </row>
    <row r="2204" spans="1:34" ht="26.25">
      <c r="A2204" s="245"/>
      <c r="B2204" s="245"/>
      <c r="C2204" s="245"/>
      <c r="D2204" s="245"/>
      <c r="E2204" s="245"/>
      <c r="F2204" s="279"/>
      <c r="G2204" s="245"/>
      <c r="H2204" s="245"/>
      <c r="I2204" s="245"/>
      <c r="O2204" s="360"/>
      <c r="Q2204" s="351"/>
      <c r="R2204" s="363"/>
      <c r="S2204" s="325"/>
      <c r="T2204" s="85" ph="1"/>
      <c r="V2204" s="216"/>
      <c r="W2204" s="245"/>
      <c r="X2204" s="187"/>
      <c r="Y2204" s="245"/>
      <c r="Z2204" s="245"/>
      <c r="AA2204" s="329"/>
      <c r="AC2204" s="245"/>
      <c r="AD2204" s="187"/>
      <c r="AE2204" s="361"/>
      <c r="AF2204" s="245"/>
      <c r="AH2204" s="245"/>
    </row>
    <row r="2205" spans="1:34" ht="26.25">
      <c r="A2205" s="245"/>
      <c r="B2205" s="245"/>
      <c r="C2205" s="245"/>
      <c r="D2205" s="245"/>
      <c r="E2205" s="245"/>
      <c r="F2205" s="279"/>
      <c r="G2205" s="245"/>
      <c r="H2205" s="245"/>
      <c r="I2205" s="245"/>
      <c r="O2205" s="360"/>
      <c r="Q2205" s="351"/>
      <c r="R2205" s="363"/>
      <c r="S2205" s="325"/>
      <c r="T2205" s="85" ph="1"/>
      <c r="V2205" s="216"/>
      <c r="W2205" s="245"/>
      <c r="X2205" s="187"/>
      <c r="Y2205" s="245"/>
      <c r="Z2205" s="245"/>
      <c r="AA2205" s="329"/>
      <c r="AC2205" s="245"/>
      <c r="AD2205" s="187"/>
      <c r="AE2205" s="361"/>
      <c r="AF2205" s="245"/>
      <c r="AH2205" s="245"/>
    </row>
    <row r="2206" spans="1:34" ht="26.25">
      <c r="A2206" s="245"/>
      <c r="B2206" s="245"/>
      <c r="C2206" s="245"/>
      <c r="D2206" s="245"/>
      <c r="E2206" s="245"/>
      <c r="F2206" s="279"/>
      <c r="G2206" s="245"/>
      <c r="H2206" s="245"/>
      <c r="I2206" s="245"/>
      <c r="O2206" s="360"/>
      <c r="Q2206" s="351"/>
      <c r="R2206" s="363"/>
      <c r="S2206" s="325"/>
      <c r="T2206" s="85" ph="1"/>
      <c r="V2206" s="216"/>
      <c r="W2206" s="245"/>
      <c r="X2206" s="187"/>
      <c r="Y2206" s="245"/>
      <c r="Z2206" s="245"/>
      <c r="AA2206" s="329"/>
      <c r="AC2206" s="245"/>
      <c r="AD2206" s="187"/>
      <c r="AE2206" s="361"/>
      <c r="AF2206" s="245"/>
      <c r="AH2206" s="245"/>
    </row>
    <row r="2207" spans="1:34" ht="26.25">
      <c r="A2207" s="245"/>
      <c r="B2207" s="245"/>
      <c r="C2207" s="245"/>
      <c r="D2207" s="245"/>
      <c r="E2207" s="245"/>
      <c r="F2207" s="279"/>
      <c r="G2207" s="245"/>
      <c r="H2207" s="245"/>
      <c r="I2207" s="245"/>
      <c r="O2207" s="360"/>
      <c r="Q2207" s="351"/>
      <c r="R2207" s="363"/>
      <c r="S2207" s="325"/>
      <c r="T2207" s="85" ph="1"/>
      <c r="V2207" s="216"/>
      <c r="W2207" s="245"/>
      <c r="X2207" s="187"/>
      <c r="Y2207" s="245"/>
      <c r="Z2207" s="245"/>
      <c r="AA2207" s="329"/>
      <c r="AC2207" s="245"/>
      <c r="AD2207" s="187"/>
      <c r="AE2207" s="361"/>
      <c r="AF2207" s="245"/>
      <c r="AH2207" s="245"/>
    </row>
    <row r="2208" spans="1:34" ht="26.25">
      <c r="A2208" s="245"/>
      <c r="B2208" s="245"/>
      <c r="C2208" s="245"/>
      <c r="D2208" s="245"/>
      <c r="E2208" s="245"/>
      <c r="F2208" s="279"/>
      <c r="G2208" s="245"/>
      <c r="H2208" s="245"/>
      <c r="I2208" s="245"/>
      <c r="O2208" s="360"/>
      <c r="Q2208" s="351"/>
      <c r="R2208" s="363"/>
      <c r="S2208" s="325"/>
      <c r="T2208" s="85" ph="1"/>
      <c r="V2208" s="216"/>
      <c r="W2208" s="245"/>
      <c r="X2208" s="187"/>
      <c r="Y2208" s="245"/>
      <c r="Z2208" s="245"/>
      <c r="AA2208" s="329"/>
      <c r="AC2208" s="245"/>
      <c r="AD2208" s="187"/>
      <c r="AE2208" s="361"/>
      <c r="AF2208" s="245"/>
      <c r="AH2208" s="245"/>
    </row>
    <row r="2209" spans="1:34" ht="26.25">
      <c r="A2209" s="245"/>
      <c r="B2209" s="245"/>
      <c r="C2209" s="245"/>
      <c r="D2209" s="245"/>
      <c r="E2209" s="245"/>
      <c r="F2209" s="279"/>
      <c r="G2209" s="245"/>
      <c r="H2209" s="245"/>
      <c r="I2209" s="245"/>
      <c r="O2209" s="360"/>
      <c r="Q2209" s="351"/>
      <c r="R2209" s="363"/>
      <c r="S2209" s="325"/>
      <c r="T2209" s="85" ph="1"/>
      <c r="V2209" s="216"/>
      <c r="W2209" s="245"/>
      <c r="X2209" s="187"/>
      <c r="Y2209" s="245"/>
      <c r="Z2209" s="245"/>
      <c r="AA2209" s="329"/>
      <c r="AC2209" s="245"/>
      <c r="AD2209" s="187"/>
      <c r="AE2209" s="361"/>
      <c r="AF2209" s="245"/>
      <c r="AH2209" s="245"/>
    </row>
    <row r="2210" spans="1:34" ht="26.25">
      <c r="A2210" s="245"/>
      <c r="B2210" s="245"/>
      <c r="C2210" s="245"/>
      <c r="D2210" s="245"/>
      <c r="E2210" s="245"/>
      <c r="F2210" s="279"/>
      <c r="G2210" s="245"/>
      <c r="H2210" s="245"/>
      <c r="I2210" s="245"/>
      <c r="O2210" s="360"/>
      <c r="Q2210" s="351"/>
      <c r="R2210" s="363"/>
      <c r="S2210" s="325"/>
      <c r="T2210" s="85" ph="1"/>
      <c r="V2210" s="216"/>
      <c r="W2210" s="245"/>
      <c r="X2210" s="187"/>
      <c r="Y2210" s="245"/>
      <c r="Z2210" s="245"/>
      <c r="AA2210" s="329"/>
      <c r="AC2210" s="245"/>
      <c r="AD2210" s="187"/>
      <c r="AE2210" s="361"/>
      <c r="AF2210" s="245"/>
      <c r="AH2210" s="245"/>
    </row>
    <row r="2211" spans="1:34" ht="26.25">
      <c r="A2211" s="245"/>
      <c r="B2211" s="245"/>
      <c r="C2211" s="245"/>
      <c r="D2211" s="245"/>
      <c r="E2211" s="245"/>
      <c r="F2211" s="279"/>
      <c r="G2211" s="245"/>
      <c r="H2211" s="245"/>
      <c r="I2211" s="245"/>
      <c r="O2211" s="360"/>
      <c r="Q2211" s="351"/>
      <c r="R2211" s="363"/>
      <c r="S2211" s="325"/>
      <c r="T2211" s="85" ph="1"/>
      <c r="V2211" s="216"/>
      <c r="W2211" s="245"/>
      <c r="X2211" s="187"/>
      <c r="Y2211" s="245"/>
      <c r="Z2211" s="245"/>
      <c r="AA2211" s="329"/>
      <c r="AC2211" s="245"/>
      <c r="AD2211" s="187"/>
      <c r="AE2211" s="361"/>
      <c r="AF2211" s="245"/>
      <c r="AH2211" s="245"/>
    </row>
    <row r="2212" spans="1:34" ht="26.25">
      <c r="A2212" s="245"/>
      <c r="B2212" s="245"/>
      <c r="C2212" s="245"/>
      <c r="D2212" s="245"/>
      <c r="E2212" s="245"/>
      <c r="F2212" s="279"/>
      <c r="G2212" s="245"/>
      <c r="H2212" s="245"/>
      <c r="I2212" s="245"/>
      <c r="O2212" s="360"/>
      <c r="Q2212" s="351"/>
      <c r="R2212" s="363"/>
      <c r="S2212" s="325"/>
      <c r="T2212" s="85" ph="1"/>
      <c r="V2212" s="216"/>
      <c r="W2212" s="245"/>
      <c r="X2212" s="187"/>
      <c r="Y2212" s="245"/>
      <c r="Z2212" s="245"/>
      <c r="AA2212" s="329"/>
      <c r="AC2212" s="245"/>
      <c r="AD2212" s="187"/>
      <c r="AE2212" s="361"/>
      <c r="AF2212" s="245"/>
      <c r="AH2212" s="245"/>
    </row>
    <row r="2213" spans="1:34" ht="26.25">
      <c r="A2213" s="245"/>
      <c r="B2213" s="245"/>
      <c r="C2213" s="245"/>
      <c r="D2213" s="245"/>
      <c r="E2213" s="245"/>
      <c r="F2213" s="279"/>
      <c r="G2213" s="245"/>
      <c r="H2213" s="245"/>
      <c r="I2213" s="245"/>
      <c r="O2213" s="360"/>
      <c r="Q2213" s="351"/>
      <c r="R2213" s="363"/>
      <c r="S2213" s="325"/>
      <c r="T2213" s="85" ph="1"/>
      <c r="V2213" s="216"/>
      <c r="W2213" s="245"/>
      <c r="X2213" s="187"/>
      <c r="Y2213" s="245"/>
      <c r="Z2213" s="245"/>
      <c r="AA2213" s="329"/>
      <c r="AC2213" s="245"/>
      <c r="AD2213" s="187"/>
      <c r="AE2213" s="361"/>
      <c r="AF2213" s="245"/>
      <c r="AH2213" s="245"/>
    </row>
    <row r="2214" spans="1:34" ht="26.25">
      <c r="A2214" s="245"/>
      <c r="B2214" s="245"/>
      <c r="C2214" s="245"/>
      <c r="D2214" s="245"/>
      <c r="E2214" s="245"/>
      <c r="F2214" s="279"/>
      <c r="G2214" s="245"/>
      <c r="H2214" s="245"/>
      <c r="I2214" s="245"/>
      <c r="O2214" s="360"/>
      <c r="Q2214" s="351"/>
      <c r="R2214" s="363"/>
      <c r="S2214" s="325"/>
      <c r="T2214" s="85" ph="1"/>
      <c r="V2214" s="216"/>
      <c r="W2214" s="245"/>
      <c r="X2214" s="187"/>
      <c r="Y2214" s="245"/>
      <c r="Z2214" s="245"/>
      <c r="AA2214" s="329"/>
      <c r="AC2214" s="245"/>
      <c r="AD2214" s="187"/>
      <c r="AE2214" s="361"/>
      <c r="AF2214" s="245"/>
      <c r="AH2214" s="245"/>
    </row>
    <row r="2215" spans="1:34" ht="26.25">
      <c r="A2215" s="245"/>
      <c r="B2215" s="245"/>
      <c r="C2215" s="245"/>
      <c r="D2215" s="245"/>
      <c r="E2215" s="245"/>
      <c r="F2215" s="279"/>
      <c r="G2215" s="245"/>
      <c r="H2215" s="245"/>
      <c r="I2215" s="245"/>
      <c r="O2215" s="360"/>
      <c r="Q2215" s="351"/>
      <c r="R2215" s="363"/>
      <c r="S2215" s="325"/>
      <c r="T2215" s="85" ph="1"/>
      <c r="V2215" s="216"/>
      <c r="W2215" s="245"/>
      <c r="X2215" s="187"/>
      <c r="Y2215" s="245"/>
      <c r="Z2215" s="245"/>
      <c r="AA2215" s="329"/>
      <c r="AC2215" s="245"/>
      <c r="AD2215" s="187"/>
      <c r="AE2215" s="361"/>
      <c r="AF2215" s="245"/>
      <c r="AH2215" s="245"/>
    </row>
    <row r="2216" spans="1:34" ht="26.25">
      <c r="A2216" s="245"/>
      <c r="B2216" s="245"/>
      <c r="C2216" s="245"/>
      <c r="D2216" s="245"/>
      <c r="E2216" s="245"/>
      <c r="F2216" s="279"/>
      <c r="G2216" s="245"/>
      <c r="H2216" s="245"/>
      <c r="I2216" s="245"/>
      <c r="O2216" s="360"/>
      <c r="Q2216" s="351"/>
      <c r="R2216" s="363"/>
      <c r="S2216" s="325"/>
      <c r="T2216" s="85" ph="1"/>
      <c r="V2216" s="216"/>
      <c r="W2216" s="245"/>
      <c r="X2216" s="187"/>
      <c r="Y2216" s="245"/>
      <c r="Z2216" s="245"/>
      <c r="AA2216" s="329"/>
      <c r="AC2216" s="245"/>
      <c r="AD2216" s="187"/>
      <c r="AE2216" s="361"/>
      <c r="AF2216" s="245"/>
      <c r="AH2216" s="245"/>
    </row>
    <row r="2217" spans="1:34" ht="26.25">
      <c r="A2217" s="245"/>
      <c r="B2217" s="245"/>
      <c r="C2217" s="245"/>
      <c r="D2217" s="245"/>
      <c r="E2217" s="245"/>
      <c r="F2217" s="279"/>
      <c r="G2217" s="245"/>
      <c r="H2217" s="245"/>
      <c r="I2217" s="245"/>
      <c r="O2217" s="360"/>
      <c r="Q2217" s="351"/>
      <c r="R2217" s="363"/>
      <c r="S2217" s="325"/>
      <c r="T2217" s="85" ph="1"/>
      <c r="V2217" s="216"/>
      <c r="W2217" s="245"/>
      <c r="X2217" s="187"/>
      <c r="Y2217" s="245"/>
      <c r="Z2217" s="245"/>
      <c r="AA2217" s="329"/>
      <c r="AC2217" s="245"/>
      <c r="AD2217" s="187"/>
      <c r="AE2217" s="361"/>
      <c r="AF2217" s="245"/>
      <c r="AH2217" s="245"/>
    </row>
    <row r="2218" spans="1:34" ht="26.25">
      <c r="A2218" s="245"/>
      <c r="B2218" s="245"/>
      <c r="C2218" s="245"/>
      <c r="D2218" s="245"/>
      <c r="E2218" s="245"/>
      <c r="F2218" s="279"/>
      <c r="G2218" s="245"/>
      <c r="H2218" s="245"/>
      <c r="I2218" s="245"/>
      <c r="O2218" s="360"/>
      <c r="Q2218" s="351"/>
      <c r="R2218" s="363"/>
      <c r="S2218" s="325"/>
      <c r="T2218" s="85" ph="1"/>
      <c r="V2218" s="216"/>
      <c r="W2218" s="245"/>
      <c r="X2218" s="187"/>
      <c r="Y2218" s="245"/>
      <c r="Z2218" s="245"/>
      <c r="AA2218" s="329"/>
      <c r="AC2218" s="245"/>
      <c r="AD2218" s="187"/>
      <c r="AE2218" s="361"/>
      <c r="AF2218" s="245"/>
      <c r="AH2218" s="245"/>
    </row>
    <row r="2219" spans="1:34" ht="26.25">
      <c r="A2219" s="245"/>
      <c r="B2219" s="245"/>
      <c r="C2219" s="245"/>
      <c r="D2219" s="245"/>
      <c r="E2219" s="245"/>
      <c r="F2219" s="279"/>
      <c r="G2219" s="245"/>
      <c r="H2219" s="245"/>
      <c r="I2219" s="245"/>
      <c r="O2219" s="360"/>
      <c r="Q2219" s="351"/>
      <c r="R2219" s="363"/>
      <c r="S2219" s="325"/>
      <c r="T2219" s="85" ph="1"/>
      <c r="V2219" s="216"/>
      <c r="W2219" s="245"/>
      <c r="X2219" s="187"/>
      <c r="Y2219" s="245"/>
      <c r="Z2219" s="245"/>
      <c r="AA2219" s="329"/>
      <c r="AC2219" s="245"/>
      <c r="AD2219" s="187"/>
      <c r="AE2219" s="361"/>
      <c r="AF2219" s="245"/>
      <c r="AH2219" s="245"/>
    </row>
    <row r="2220" spans="1:34" ht="26.25">
      <c r="A2220" s="245"/>
      <c r="B2220" s="245"/>
      <c r="C2220" s="245"/>
      <c r="D2220" s="245"/>
      <c r="E2220" s="245"/>
      <c r="F2220" s="279"/>
      <c r="G2220" s="245"/>
      <c r="H2220" s="245"/>
      <c r="I2220" s="245"/>
      <c r="O2220" s="360"/>
      <c r="Q2220" s="351"/>
      <c r="R2220" s="363"/>
      <c r="S2220" s="325"/>
      <c r="T2220" s="85" ph="1"/>
      <c r="V2220" s="216"/>
      <c r="W2220" s="245"/>
      <c r="X2220" s="187"/>
      <c r="Y2220" s="245"/>
      <c r="Z2220" s="245"/>
      <c r="AA2220" s="329"/>
      <c r="AC2220" s="245"/>
      <c r="AD2220" s="187"/>
      <c r="AE2220" s="361"/>
      <c r="AF2220" s="245"/>
      <c r="AH2220" s="245"/>
    </row>
    <row r="2221" spans="1:34" ht="26.25">
      <c r="A2221" s="245"/>
      <c r="B2221" s="245"/>
      <c r="C2221" s="245"/>
      <c r="D2221" s="245"/>
      <c r="E2221" s="245"/>
      <c r="F2221" s="279"/>
      <c r="G2221" s="245"/>
      <c r="H2221" s="245"/>
      <c r="I2221" s="245"/>
      <c r="O2221" s="360"/>
      <c r="Q2221" s="351"/>
      <c r="R2221" s="363"/>
      <c r="S2221" s="325"/>
      <c r="T2221" s="85" ph="1"/>
      <c r="V2221" s="216"/>
      <c r="W2221" s="245"/>
      <c r="X2221" s="187"/>
      <c r="Y2221" s="245"/>
      <c r="Z2221" s="245"/>
      <c r="AA2221" s="329"/>
      <c r="AC2221" s="245"/>
      <c r="AD2221" s="187"/>
      <c r="AE2221" s="361"/>
      <c r="AF2221" s="245"/>
      <c r="AH2221" s="245"/>
    </row>
    <row r="2222" spans="1:34" ht="26.25">
      <c r="A2222" s="245"/>
      <c r="B2222" s="245"/>
      <c r="C2222" s="245"/>
      <c r="D2222" s="245"/>
      <c r="E2222" s="245"/>
      <c r="F2222" s="279"/>
      <c r="G2222" s="245"/>
      <c r="H2222" s="245"/>
      <c r="I2222" s="245"/>
      <c r="O2222" s="360"/>
      <c r="Q2222" s="351"/>
      <c r="R2222" s="363"/>
      <c r="S2222" s="325"/>
      <c r="T2222" s="85" ph="1"/>
      <c r="V2222" s="216"/>
      <c r="W2222" s="245"/>
      <c r="X2222" s="187"/>
      <c r="Y2222" s="245"/>
      <c r="Z2222" s="245"/>
      <c r="AA2222" s="329"/>
      <c r="AC2222" s="245"/>
      <c r="AD2222" s="187"/>
      <c r="AE2222" s="361"/>
      <c r="AF2222" s="245"/>
      <c r="AH2222" s="245"/>
    </row>
    <row r="2223" spans="1:34" ht="26.25">
      <c r="A2223" s="245"/>
      <c r="B2223" s="245"/>
      <c r="C2223" s="245"/>
      <c r="D2223" s="245"/>
      <c r="E2223" s="245"/>
      <c r="F2223" s="279"/>
      <c r="G2223" s="245"/>
      <c r="H2223" s="245"/>
      <c r="I2223" s="245"/>
      <c r="O2223" s="360"/>
      <c r="Q2223" s="351"/>
      <c r="R2223" s="363"/>
      <c r="S2223" s="325"/>
      <c r="T2223" s="85" ph="1"/>
      <c r="V2223" s="216"/>
      <c r="W2223" s="245"/>
      <c r="X2223" s="187"/>
      <c r="Y2223" s="245"/>
      <c r="Z2223" s="245"/>
      <c r="AA2223" s="329"/>
      <c r="AC2223" s="245"/>
      <c r="AD2223" s="187"/>
      <c r="AE2223" s="361"/>
      <c r="AF2223" s="245"/>
      <c r="AH2223" s="245"/>
    </row>
    <row r="2224" spans="1:34" ht="26.25">
      <c r="A2224" s="245"/>
      <c r="B2224" s="245"/>
      <c r="C2224" s="245"/>
      <c r="D2224" s="245"/>
      <c r="E2224" s="245"/>
      <c r="F2224" s="279"/>
      <c r="G2224" s="245"/>
      <c r="H2224" s="245"/>
      <c r="I2224" s="245"/>
      <c r="O2224" s="360"/>
      <c r="Q2224" s="351"/>
      <c r="R2224" s="363"/>
      <c r="S2224" s="325"/>
      <c r="T2224" s="85" ph="1"/>
      <c r="V2224" s="216"/>
      <c r="W2224" s="245"/>
      <c r="X2224" s="187"/>
      <c r="Y2224" s="245"/>
      <c r="Z2224" s="245"/>
      <c r="AA2224" s="329"/>
      <c r="AC2224" s="245"/>
      <c r="AD2224" s="187"/>
      <c r="AE2224" s="361"/>
      <c r="AF2224" s="245"/>
      <c r="AH2224" s="245"/>
    </row>
    <row r="2225" spans="1:34" ht="26.25">
      <c r="A2225" s="245"/>
      <c r="B2225" s="245"/>
      <c r="C2225" s="245"/>
      <c r="D2225" s="245"/>
      <c r="E2225" s="245"/>
      <c r="F2225" s="279"/>
      <c r="G2225" s="245"/>
      <c r="H2225" s="245"/>
      <c r="I2225" s="245"/>
      <c r="O2225" s="360"/>
      <c r="Q2225" s="351"/>
      <c r="R2225" s="363"/>
      <c r="S2225" s="325"/>
      <c r="T2225" s="85" ph="1"/>
      <c r="V2225" s="216"/>
      <c r="W2225" s="245"/>
      <c r="X2225" s="187"/>
      <c r="Y2225" s="245"/>
      <c r="Z2225" s="245"/>
      <c r="AA2225" s="329"/>
      <c r="AC2225" s="245"/>
      <c r="AD2225" s="187"/>
      <c r="AE2225" s="361"/>
      <c r="AF2225" s="245"/>
      <c r="AH2225" s="245"/>
    </row>
    <row r="2226" spans="1:34" ht="26.25">
      <c r="A2226" s="245"/>
      <c r="B2226" s="245"/>
      <c r="C2226" s="245"/>
      <c r="D2226" s="245"/>
      <c r="E2226" s="245"/>
      <c r="F2226" s="279"/>
      <c r="G2226" s="245"/>
      <c r="H2226" s="245"/>
      <c r="I2226" s="245"/>
      <c r="O2226" s="360"/>
      <c r="Q2226" s="351"/>
      <c r="R2226" s="363"/>
      <c r="S2226" s="325"/>
      <c r="T2226" s="85" ph="1"/>
      <c r="V2226" s="216"/>
      <c r="W2226" s="245"/>
      <c r="X2226" s="187"/>
      <c r="Y2226" s="245"/>
      <c r="Z2226" s="245"/>
      <c r="AA2226" s="329"/>
      <c r="AC2226" s="245"/>
      <c r="AD2226" s="187"/>
      <c r="AE2226" s="361"/>
      <c r="AF2226" s="245"/>
      <c r="AH2226" s="245"/>
    </row>
    <row r="2227" spans="1:34" ht="26.25">
      <c r="A2227" s="245"/>
      <c r="B2227" s="245"/>
      <c r="C2227" s="245"/>
      <c r="D2227" s="245"/>
      <c r="E2227" s="245"/>
      <c r="F2227" s="279"/>
      <c r="G2227" s="245"/>
      <c r="H2227" s="245"/>
      <c r="I2227" s="245"/>
      <c r="O2227" s="360"/>
      <c r="Q2227" s="351"/>
      <c r="R2227" s="363"/>
      <c r="S2227" s="325"/>
      <c r="T2227" s="85" ph="1"/>
      <c r="V2227" s="216"/>
      <c r="W2227" s="245"/>
      <c r="X2227" s="187"/>
      <c r="Y2227" s="245"/>
      <c r="Z2227" s="245"/>
      <c r="AA2227" s="329"/>
      <c r="AC2227" s="245"/>
      <c r="AD2227" s="187"/>
      <c r="AE2227" s="361"/>
      <c r="AF2227" s="245"/>
      <c r="AH2227" s="245"/>
    </row>
    <row r="2228" spans="1:34" ht="26.25">
      <c r="A2228" s="245"/>
      <c r="B2228" s="245"/>
      <c r="C2228" s="245"/>
      <c r="D2228" s="245"/>
      <c r="E2228" s="245"/>
      <c r="F2228" s="279"/>
      <c r="G2228" s="245"/>
      <c r="H2228" s="245"/>
      <c r="I2228" s="245"/>
      <c r="O2228" s="360"/>
      <c r="Q2228" s="351"/>
      <c r="R2228" s="363"/>
      <c r="S2228" s="325"/>
      <c r="T2228" s="85" ph="1"/>
      <c r="V2228" s="216"/>
      <c r="W2228" s="245"/>
      <c r="X2228" s="187"/>
      <c r="Y2228" s="245"/>
      <c r="Z2228" s="245"/>
      <c r="AA2228" s="329"/>
      <c r="AC2228" s="245"/>
      <c r="AD2228" s="187"/>
      <c r="AE2228" s="361"/>
      <c r="AF2228" s="245"/>
      <c r="AH2228" s="245"/>
    </row>
    <row r="2229" spans="1:34" ht="26.25">
      <c r="A2229" s="245"/>
      <c r="B2229" s="245"/>
      <c r="C2229" s="245"/>
      <c r="D2229" s="245"/>
      <c r="E2229" s="245"/>
      <c r="F2229" s="279"/>
      <c r="G2229" s="245"/>
      <c r="H2229" s="245"/>
      <c r="I2229" s="245"/>
      <c r="O2229" s="360"/>
      <c r="Q2229" s="351"/>
      <c r="R2229" s="363"/>
      <c r="S2229" s="325"/>
      <c r="T2229" s="85" ph="1"/>
      <c r="V2229" s="216"/>
      <c r="W2229" s="245"/>
      <c r="X2229" s="187"/>
      <c r="Y2229" s="245"/>
      <c r="Z2229" s="245"/>
      <c r="AA2229" s="329"/>
      <c r="AC2229" s="245"/>
      <c r="AD2229" s="187"/>
      <c r="AE2229" s="361"/>
      <c r="AF2229" s="245"/>
      <c r="AH2229" s="245"/>
    </row>
    <row r="2230" spans="1:34" ht="26.25">
      <c r="A2230" s="245"/>
      <c r="B2230" s="245"/>
      <c r="C2230" s="245"/>
      <c r="D2230" s="245"/>
      <c r="E2230" s="245"/>
      <c r="F2230" s="279"/>
      <c r="G2230" s="245"/>
      <c r="H2230" s="245"/>
      <c r="I2230" s="245"/>
      <c r="O2230" s="360"/>
      <c r="Q2230" s="351"/>
      <c r="R2230" s="363"/>
      <c r="S2230" s="325"/>
      <c r="T2230" s="85" ph="1"/>
      <c r="V2230" s="216"/>
      <c r="W2230" s="245"/>
      <c r="X2230" s="187"/>
      <c r="Y2230" s="245"/>
      <c r="Z2230" s="245"/>
      <c r="AA2230" s="329"/>
      <c r="AC2230" s="245"/>
      <c r="AD2230" s="187"/>
      <c r="AE2230" s="361"/>
      <c r="AF2230" s="245"/>
      <c r="AH2230" s="245"/>
    </row>
    <row r="2231" spans="1:34" ht="26.25">
      <c r="A2231" s="245"/>
      <c r="B2231" s="245"/>
      <c r="C2231" s="245"/>
      <c r="D2231" s="245"/>
      <c r="E2231" s="245"/>
      <c r="F2231" s="279"/>
      <c r="G2231" s="245"/>
      <c r="H2231" s="245"/>
      <c r="I2231" s="245"/>
      <c r="O2231" s="360"/>
      <c r="Q2231" s="351"/>
      <c r="R2231" s="363"/>
      <c r="S2231" s="325"/>
      <c r="T2231" s="85" ph="1"/>
      <c r="V2231" s="216"/>
      <c r="W2231" s="245"/>
      <c r="X2231" s="187"/>
      <c r="Y2231" s="245"/>
      <c r="Z2231" s="245"/>
      <c r="AA2231" s="329"/>
      <c r="AC2231" s="245"/>
      <c r="AD2231" s="187"/>
      <c r="AE2231" s="361"/>
      <c r="AF2231" s="245"/>
      <c r="AH2231" s="245"/>
    </row>
    <row r="2232" spans="1:34" ht="26.25">
      <c r="A2232" s="245"/>
      <c r="B2232" s="245"/>
      <c r="C2232" s="245"/>
      <c r="D2232" s="245"/>
      <c r="E2232" s="245"/>
      <c r="F2232" s="279"/>
      <c r="G2232" s="245"/>
      <c r="H2232" s="245"/>
      <c r="I2232" s="245"/>
      <c r="O2232" s="360"/>
      <c r="Q2232" s="351"/>
      <c r="R2232" s="363"/>
      <c r="S2232" s="325"/>
      <c r="T2232" s="85" ph="1"/>
      <c r="V2232" s="216"/>
      <c r="W2232" s="245"/>
      <c r="X2232" s="187"/>
      <c r="Y2232" s="245"/>
      <c r="Z2232" s="245"/>
      <c r="AA2232" s="329"/>
      <c r="AC2232" s="245"/>
      <c r="AD2232" s="187"/>
      <c r="AE2232" s="361"/>
      <c r="AF2232" s="245"/>
      <c r="AH2232" s="245"/>
    </row>
    <row r="2233" spans="1:34" ht="26.25">
      <c r="A2233" s="245"/>
      <c r="B2233" s="245"/>
      <c r="C2233" s="245"/>
      <c r="D2233" s="245"/>
      <c r="E2233" s="245"/>
      <c r="F2233" s="279"/>
      <c r="G2233" s="245"/>
      <c r="H2233" s="245"/>
      <c r="I2233" s="245"/>
      <c r="O2233" s="360"/>
      <c r="Q2233" s="351"/>
      <c r="R2233" s="363"/>
      <c r="S2233" s="325"/>
      <c r="T2233" s="85" ph="1"/>
      <c r="V2233" s="216"/>
      <c r="W2233" s="245"/>
      <c r="X2233" s="187"/>
      <c r="Y2233" s="245"/>
      <c r="Z2233" s="245"/>
      <c r="AA2233" s="329"/>
      <c r="AC2233" s="245"/>
      <c r="AD2233" s="187"/>
      <c r="AE2233" s="361"/>
      <c r="AF2233" s="245"/>
      <c r="AH2233" s="245"/>
    </row>
    <row r="2234" spans="1:34" ht="26.25">
      <c r="A2234" s="245"/>
      <c r="B2234" s="245"/>
      <c r="C2234" s="245"/>
      <c r="D2234" s="245"/>
      <c r="E2234" s="245"/>
      <c r="F2234" s="279"/>
      <c r="G2234" s="245"/>
      <c r="H2234" s="245"/>
      <c r="I2234" s="245"/>
      <c r="O2234" s="360"/>
      <c r="Q2234" s="351"/>
      <c r="R2234" s="363"/>
      <c r="S2234" s="325"/>
      <c r="T2234" s="85" ph="1"/>
      <c r="V2234" s="216"/>
      <c r="W2234" s="245"/>
      <c r="X2234" s="187"/>
      <c r="Y2234" s="245"/>
      <c r="Z2234" s="245"/>
      <c r="AA2234" s="329"/>
      <c r="AC2234" s="245"/>
      <c r="AD2234" s="187"/>
      <c r="AE2234" s="361"/>
      <c r="AF2234" s="245"/>
      <c r="AH2234" s="245"/>
    </row>
    <row r="2235" spans="1:34" ht="26.25">
      <c r="A2235" s="245"/>
      <c r="B2235" s="245"/>
      <c r="C2235" s="245"/>
      <c r="D2235" s="245"/>
      <c r="E2235" s="245"/>
      <c r="F2235" s="279"/>
      <c r="G2235" s="245"/>
      <c r="H2235" s="245"/>
      <c r="I2235" s="245"/>
      <c r="O2235" s="360"/>
      <c r="Q2235" s="351"/>
      <c r="R2235" s="363"/>
      <c r="S2235" s="325"/>
      <c r="T2235" s="85" ph="1"/>
      <c r="V2235" s="216"/>
      <c r="W2235" s="245"/>
      <c r="X2235" s="187"/>
      <c r="Y2235" s="245"/>
      <c r="Z2235" s="245"/>
      <c r="AA2235" s="329"/>
      <c r="AC2235" s="245"/>
      <c r="AD2235" s="187"/>
      <c r="AE2235" s="361"/>
      <c r="AF2235" s="245"/>
      <c r="AH2235" s="245"/>
    </row>
    <row r="2236" spans="1:34" ht="26.25">
      <c r="A2236" s="245"/>
      <c r="B2236" s="245"/>
      <c r="C2236" s="245"/>
      <c r="D2236" s="245"/>
      <c r="E2236" s="245"/>
      <c r="F2236" s="279"/>
      <c r="G2236" s="245"/>
      <c r="H2236" s="245"/>
      <c r="I2236" s="245"/>
      <c r="O2236" s="360"/>
      <c r="Q2236" s="351"/>
      <c r="R2236" s="363"/>
      <c r="S2236" s="325"/>
      <c r="T2236" s="85" ph="1"/>
      <c r="V2236" s="216"/>
      <c r="W2236" s="245"/>
      <c r="X2236" s="187"/>
      <c r="Y2236" s="245"/>
      <c r="Z2236" s="245"/>
      <c r="AA2236" s="329"/>
      <c r="AC2236" s="245"/>
      <c r="AD2236" s="187"/>
      <c r="AE2236" s="361"/>
      <c r="AF2236" s="245"/>
      <c r="AH2236" s="245"/>
    </row>
    <row r="2237" spans="1:34" ht="26.25">
      <c r="A2237" s="245"/>
      <c r="B2237" s="245"/>
      <c r="C2237" s="245"/>
      <c r="D2237" s="245"/>
      <c r="E2237" s="245"/>
      <c r="F2237" s="279"/>
      <c r="G2237" s="245"/>
      <c r="H2237" s="245"/>
      <c r="I2237" s="245"/>
      <c r="O2237" s="360"/>
      <c r="Q2237" s="351"/>
      <c r="R2237" s="363"/>
      <c r="S2237" s="325"/>
      <c r="T2237" s="85" ph="1"/>
      <c r="V2237" s="216"/>
      <c r="W2237" s="245"/>
      <c r="X2237" s="187"/>
      <c r="Y2237" s="245"/>
      <c r="Z2237" s="245"/>
      <c r="AA2237" s="329"/>
      <c r="AC2237" s="245"/>
      <c r="AD2237" s="187"/>
      <c r="AE2237" s="361"/>
      <c r="AF2237" s="245"/>
      <c r="AH2237" s="245"/>
    </row>
    <row r="2238" spans="1:34" ht="26.25">
      <c r="A2238" s="245"/>
      <c r="B2238" s="245"/>
      <c r="C2238" s="245"/>
      <c r="D2238" s="245"/>
      <c r="E2238" s="245"/>
      <c r="F2238" s="279"/>
      <c r="G2238" s="245"/>
      <c r="H2238" s="245"/>
      <c r="I2238" s="245"/>
      <c r="O2238" s="360"/>
      <c r="Q2238" s="351"/>
      <c r="R2238" s="363"/>
      <c r="S2238" s="325"/>
      <c r="T2238" s="85" ph="1"/>
      <c r="V2238" s="216"/>
      <c r="W2238" s="245"/>
      <c r="X2238" s="187"/>
      <c r="Y2238" s="245"/>
      <c r="Z2238" s="245"/>
      <c r="AA2238" s="329"/>
      <c r="AC2238" s="245"/>
      <c r="AD2238" s="187"/>
      <c r="AE2238" s="361"/>
      <c r="AF2238" s="245"/>
      <c r="AH2238" s="245"/>
    </row>
    <row r="2239" spans="1:34" ht="26.25">
      <c r="A2239" s="245"/>
      <c r="B2239" s="245"/>
      <c r="C2239" s="245"/>
      <c r="D2239" s="245"/>
      <c r="E2239" s="245"/>
      <c r="F2239" s="279"/>
      <c r="G2239" s="245"/>
      <c r="H2239" s="245"/>
      <c r="I2239" s="245"/>
      <c r="O2239" s="360"/>
      <c r="Q2239" s="351"/>
      <c r="R2239" s="363"/>
      <c r="S2239" s="325"/>
      <c r="T2239" s="85" ph="1"/>
      <c r="V2239" s="216"/>
      <c r="W2239" s="245"/>
      <c r="X2239" s="187"/>
      <c r="Y2239" s="245"/>
      <c r="Z2239" s="245"/>
      <c r="AA2239" s="329"/>
      <c r="AC2239" s="245"/>
      <c r="AD2239" s="187"/>
      <c r="AE2239" s="361"/>
      <c r="AF2239" s="245"/>
      <c r="AH2239" s="245"/>
    </row>
    <row r="2240" spans="1:34" ht="26.25">
      <c r="A2240" s="245"/>
      <c r="B2240" s="245"/>
      <c r="C2240" s="245"/>
      <c r="D2240" s="245"/>
      <c r="E2240" s="245"/>
      <c r="F2240" s="279"/>
      <c r="G2240" s="245"/>
      <c r="H2240" s="245"/>
      <c r="I2240" s="245"/>
      <c r="O2240" s="360"/>
      <c r="Q2240" s="351"/>
      <c r="R2240" s="363"/>
      <c r="S2240" s="325"/>
      <c r="T2240" s="85" ph="1"/>
      <c r="V2240" s="216"/>
      <c r="W2240" s="245"/>
      <c r="X2240" s="187"/>
      <c r="Y2240" s="245"/>
      <c r="Z2240" s="245"/>
      <c r="AA2240" s="329"/>
      <c r="AC2240" s="245"/>
      <c r="AD2240" s="187"/>
      <c r="AE2240" s="361"/>
      <c r="AF2240" s="245"/>
      <c r="AH2240" s="245"/>
    </row>
    <row r="2241" spans="1:34" ht="26.25">
      <c r="A2241" s="245"/>
      <c r="B2241" s="245"/>
      <c r="C2241" s="245"/>
      <c r="D2241" s="245"/>
      <c r="E2241" s="245"/>
      <c r="F2241" s="279"/>
      <c r="G2241" s="245"/>
      <c r="H2241" s="245"/>
      <c r="I2241" s="245"/>
      <c r="O2241" s="360"/>
      <c r="Q2241" s="351"/>
      <c r="R2241" s="363"/>
      <c r="S2241" s="325"/>
      <c r="T2241" s="85" ph="1"/>
      <c r="V2241" s="216"/>
      <c r="W2241" s="245"/>
      <c r="X2241" s="187"/>
      <c r="Y2241" s="245"/>
      <c r="Z2241" s="245"/>
      <c r="AA2241" s="329"/>
      <c r="AC2241" s="245"/>
      <c r="AD2241" s="187"/>
      <c r="AE2241" s="361"/>
      <c r="AF2241" s="245"/>
      <c r="AH2241" s="245"/>
    </row>
    <row r="2242" spans="1:34" ht="26.25">
      <c r="A2242" s="245"/>
      <c r="B2242" s="245"/>
      <c r="C2242" s="245"/>
      <c r="D2242" s="245"/>
      <c r="E2242" s="245"/>
      <c r="F2242" s="279"/>
      <c r="G2242" s="245"/>
      <c r="H2242" s="245"/>
      <c r="I2242" s="245"/>
      <c r="O2242" s="360"/>
      <c r="Q2242" s="351"/>
      <c r="R2242" s="363"/>
      <c r="S2242" s="325"/>
      <c r="T2242" s="85" ph="1"/>
      <c r="V2242" s="216"/>
      <c r="W2242" s="245"/>
      <c r="X2242" s="187"/>
      <c r="Y2242" s="245"/>
      <c r="Z2242" s="245"/>
      <c r="AA2242" s="329"/>
      <c r="AC2242" s="245"/>
      <c r="AD2242" s="187"/>
      <c r="AE2242" s="361"/>
      <c r="AF2242" s="245"/>
      <c r="AH2242" s="245"/>
    </row>
    <row r="2243" spans="1:34" ht="26.25">
      <c r="A2243" s="245"/>
      <c r="B2243" s="245"/>
      <c r="C2243" s="245"/>
      <c r="D2243" s="245"/>
      <c r="E2243" s="245"/>
      <c r="F2243" s="279"/>
      <c r="G2243" s="245"/>
      <c r="H2243" s="245"/>
      <c r="I2243" s="245"/>
      <c r="O2243" s="360"/>
      <c r="Q2243" s="351"/>
      <c r="R2243" s="363"/>
      <c r="S2243" s="325"/>
      <c r="T2243" s="85" ph="1"/>
      <c r="V2243" s="216"/>
      <c r="W2243" s="245"/>
      <c r="X2243" s="187"/>
      <c r="Y2243" s="245"/>
      <c r="Z2243" s="245"/>
      <c r="AA2243" s="329"/>
      <c r="AC2243" s="245"/>
      <c r="AD2243" s="187"/>
      <c r="AE2243" s="361"/>
      <c r="AF2243" s="245"/>
      <c r="AH2243" s="245"/>
    </row>
    <row r="2244" spans="1:34" ht="26.25">
      <c r="A2244" s="245"/>
      <c r="B2244" s="245"/>
      <c r="C2244" s="245"/>
      <c r="D2244" s="245"/>
      <c r="E2244" s="245"/>
      <c r="F2244" s="279"/>
      <c r="G2244" s="245"/>
      <c r="H2244" s="245"/>
      <c r="I2244" s="245"/>
      <c r="O2244" s="360"/>
      <c r="Q2244" s="351"/>
      <c r="R2244" s="363"/>
      <c r="S2244" s="325"/>
      <c r="T2244" s="85" ph="1"/>
      <c r="V2244" s="216"/>
      <c r="W2244" s="245"/>
      <c r="X2244" s="187"/>
      <c r="Y2244" s="245"/>
      <c r="Z2244" s="245"/>
      <c r="AA2244" s="329"/>
      <c r="AC2244" s="245"/>
      <c r="AD2244" s="187"/>
      <c r="AE2244" s="361"/>
      <c r="AF2244" s="245"/>
      <c r="AH2244" s="245"/>
    </row>
    <row r="2245" spans="1:34" ht="26.25">
      <c r="A2245" s="245"/>
      <c r="B2245" s="245"/>
      <c r="C2245" s="245"/>
      <c r="D2245" s="245"/>
      <c r="E2245" s="245"/>
      <c r="F2245" s="279"/>
      <c r="G2245" s="245"/>
      <c r="H2245" s="245"/>
      <c r="I2245" s="245"/>
      <c r="O2245" s="360"/>
      <c r="Q2245" s="351"/>
      <c r="R2245" s="363"/>
      <c r="S2245" s="325"/>
      <c r="T2245" s="85" ph="1"/>
      <c r="V2245" s="216"/>
      <c r="W2245" s="245"/>
      <c r="X2245" s="187"/>
      <c r="Y2245" s="245"/>
      <c r="Z2245" s="245"/>
      <c r="AA2245" s="329"/>
      <c r="AC2245" s="245"/>
      <c r="AD2245" s="187"/>
      <c r="AE2245" s="361"/>
      <c r="AF2245" s="245"/>
      <c r="AH2245" s="245"/>
    </row>
    <row r="2246" spans="1:34" ht="26.25">
      <c r="A2246" s="245"/>
      <c r="B2246" s="245"/>
      <c r="C2246" s="245"/>
      <c r="D2246" s="245"/>
      <c r="E2246" s="245"/>
      <c r="F2246" s="279"/>
      <c r="G2246" s="245"/>
      <c r="H2246" s="245"/>
      <c r="I2246" s="245"/>
      <c r="O2246" s="360"/>
      <c r="Q2246" s="351"/>
      <c r="R2246" s="363"/>
      <c r="S2246" s="325"/>
      <c r="T2246" s="85" ph="1"/>
      <c r="V2246" s="216"/>
      <c r="W2246" s="245"/>
      <c r="X2246" s="187"/>
      <c r="Y2246" s="245"/>
      <c r="Z2246" s="245"/>
      <c r="AA2246" s="329"/>
      <c r="AC2246" s="245"/>
      <c r="AD2246" s="187"/>
      <c r="AE2246" s="361"/>
      <c r="AF2246" s="245"/>
      <c r="AH2246" s="245"/>
    </row>
    <row r="2247" spans="1:34" ht="26.25">
      <c r="A2247" s="245"/>
      <c r="B2247" s="245"/>
      <c r="C2247" s="245"/>
      <c r="D2247" s="245"/>
      <c r="E2247" s="245"/>
      <c r="F2247" s="279"/>
      <c r="G2247" s="245"/>
      <c r="H2247" s="245"/>
      <c r="I2247" s="245"/>
      <c r="O2247" s="360"/>
      <c r="Q2247" s="351"/>
      <c r="R2247" s="363"/>
      <c r="S2247" s="325"/>
      <c r="T2247" s="85" ph="1"/>
      <c r="V2247" s="216"/>
      <c r="W2247" s="245"/>
      <c r="X2247" s="187"/>
      <c r="Y2247" s="245"/>
      <c r="Z2247" s="245"/>
      <c r="AA2247" s="329"/>
      <c r="AC2247" s="245"/>
      <c r="AD2247" s="187"/>
      <c r="AE2247" s="361"/>
      <c r="AF2247" s="245"/>
      <c r="AH2247" s="245"/>
    </row>
    <row r="2248" spans="1:34" ht="26.25">
      <c r="A2248" s="245"/>
      <c r="B2248" s="245"/>
      <c r="C2248" s="245"/>
      <c r="D2248" s="245"/>
      <c r="E2248" s="245"/>
      <c r="F2248" s="279"/>
      <c r="G2248" s="245"/>
      <c r="H2248" s="245"/>
      <c r="I2248" s="245"/>
      <c r="O2248" s="360"/>
      <c r="Q2248" s="351"/>
      <c r="R2248" s="363"/>
      <c r="S2248" s="325"/>
      <c r="T2248" s="85" ph="1"/>
      <c r="V2248" s="216"/>
      <c r="W2248" s="245"/>
      <c r="X2248" s="187"/>
      <c r="Y2248" s="245"/>
      <c r="Z2248" s="245"/>
      <c r="AA2248" s="329"/>
      <c r="AC2248" s="245"/>
      <c r="AD2248" s="187"/>
      <c r="AE2248" s="361"/>
      <c r="AF2248" s="245"/>
      <c r="AH2248" s="245"/>
    </row>
    <row r="2249" spans="1:34" ht="26.25">
      <c r="A2249" s="245"/>
      <c r="B2249" s="245"/>
      <c r="C2249" s="245"/>
      <c r="D2249" s="245"/>
      <c r="E2249" s="245"/>
      <c r="F2249" s="279"/>
      <c r="G2249" s="245"/>
      <c r="H2249" s="245"/>
      <c r="I2249" s="245"/>
      <c r="O2249" s="360"/>
      <c r="Q2249" s="351"/>
      <c r="R2249" s="363"/>
      <c r="S2249" s="325"/>
      <c r="T2249" s="85" ph="1"/>
      <c r="V2249" s="216"/>
      <c r="W2249" s="245"/>
      <c r="X2249" s="187"/>
      <c r="Y2249" s="245"/>
      <c r="Z2249" s="245"/>
      <c r="AA2249" s="329"/>
      <c r="AC2249" s="245"/>
      <c r="AD2249" s="187"/>
      <c r="AE2249" s="361"/>
      <c r="AF2249" s="245"/>
      <c r="AH2249" s="245"/>
    </row>
    <row r="2250" spans="1:34" ht="26.25">
      <c r="A2250" s="245"/>
      <c r="B2250" s="245"/>
      <c r="C2250" s="245"/>
      <c r="D2250" s="245"/>
      <c r="E2250" s="245"/>
      <c r="F2250" s="279"/>
      <c r="G2250" s="245"/>
      <c r="H2250" s="245"/>
      <c r="I2250" s="245"/>
      <c r="O2250" s="360"/>
      <c r="Q2250" s="351"/>
      <c r="R2250" s="363"/>
      <c r="S2250" s="325"/>
      <c r="T2250" s="85" ph="1"/>
      <c r="V2250" s="216"/>
      <c r="W2250" s="245"/>
      <c r="X2250" s="187"/>
      <c r="Y2250" s="245"/>
      <c r="Z2250" s="245"/>
      <c r="AA2250" s="329"/>
      <c r="AC2250" s="245"/>
      <c r="AD2250" s="187"/>
      <c r="AE2250" s="361"/>
      <c r="AF2250" s="245"/>
      <c r="AH2250" s="245"/>
    </row>
    <row r="2251" spans="1:34" ht="26.25">
      <c r="A2251" s="245"/>
      <c r="B2251" s="245"/>
      <c r="C2251" s="245"/>
      <c r="D2251" s="245"/>
      <c r="E2251" s="245"/>
      <c r="F2251" s="279"/>
      <c r="G2251" s="245"/>
      <c r="H2251" s="245"/>
      <c r="I2251" s="245"/>
      <c r="O2251" s="360"/>
      <c r="Q2251" s="351"/>
      <c r="R2251" s="363"/>
      <c r="S2251" s="325"/>
      <c r="T2251" s="85" ph="1"/>
      <c r="V2251" s="216"/>
      <c r="W2251" s="245"/>
      <c r="X2251" s="187"/>
      <c r="Y2251" s="245"/>
      <c r="Z2251" s="245"/>
      <c r="AA2251" s="329"/>
      <c r="AC2251" s="245"/>
      <c r="AD2251" s="187"/>
      <c r="AE2251" s="361"/>
      <c r="AF2251" s="245"/>
      <c r="AH2251" s="245"/>
    </row>
    <row r="2252" spans="1:34" ht="26.25">
      <c r="A2252" s="245"/>
      <c r="B2252" s="245"/>
      <c r="C2252" s="245"/>
      <c r="D2252" s="245"/>
      <c r="E2252" s="245"/>
      <c r="F2252" s="279"/>
      <c r="G2252" s="245"/>
      <c r="H2252" s="245"/>
      <c r="I2252" s="245"/>
      <c r="O2252" s="360"/>
      <c r="Q2252" s="351"/>
      <c r="R2252" s="363"/>
      <c r="S2252" s="325"/>
      <c r="T2252" s="85" ph="1"/>
      <c r="V2252" s="216"/>
      <c r="W2252" s="245"/>
      <c r="X2252" s="187"/>
      <c r="Y2252" s="245"/>
      <c r="Z2252" s="245"/>
      <c r="AA2252" s="329"/>
      <c r="AC2252" s="245"/>
      <c r="AD2252" s="187"/>
      <c r="AE2252" s="361"/>
      <c r="AF2252" s="245"/>
      <c r="AH2252" s="245"/>
    </row>
    <row r="2253" spans="1:34" ht="26.25">
      <c r="A2253" s="245"/>
      <c r="B2253" s="245"/>
      <c r="C2253" s="245"/>
      <c r="D2253" s="245"/>
      <c r="E2253" s="245"/>
      <c r="F2253" s="279"/>
      <c r="G2253" s="245"/>
      <c r="H2253" s="245"/>
      <c r="I2253" s="245"/>
      <c r="O2253" s="360"/>
      <c r="Q2253" s="351"/>
      <c r="R2253" s="363"/>
      <c r="S2253" s="325"/>
      <c r="T2253" s="85" ph="1"/>
      <c r="V2253" s="216"/>
      <c r="W2253" s="245"/>
      <c r="X2253" s="187"/>
      <c r="Y2253" s="245"/>
      <c r="Z2253" s="245"/>
      <c r="AA2253" s="329"/>
      <c r="AC2253" s="245"/>
      <c r="AD2253" s="187"/>
      <c r="AE2253" s="361"/>
      <c r="AF2253" s="245"/>
      <c r="AH2253" s="245"/>
    </row>
    <row r="2254" spans="1:34" ht="26.25">
      <c r="A2254" s="245"/>
      <c r="B2254" s="245"/>
      <c r="C2254" s="245"/>
      <c r="D2254" s="245"/>
      <c r="E2254" s="245"/>
      <c r="F2254" s="279"/>
      <c r="G2254" s="245"/>
      <c r="H2254" s="245"/>
      <c r="I2254" s="245"/>
      <c r="O2254" s="360"/>
      <c r="Q2254" s="351"/>
      <c r="R2254" s="363"/>
      <c r="S2254" s="325"/>
      <c r="T2254" s="85" ph="1"/>
      <c r="V2254" s="216"/>
      <c r="W2254" s="245"/>
      <c r="X2254" s="187"/>
      <c r="Y2254" s="245"/>
      <c r="Z2254" s="245"/>
      <c r="AA2254" s="329"/>
      <c r="AC2254" s="245"/>
      <c r="AD2254" s="187"/>
      <c r="AE2254" s="361"/>
      <c r="AF2254" s="245"/>
      <c r="AH2254" s="245"/>
    </row>
    <row r="2255" spans="1:34" ht="26.25">
      <c r="A2255" s="245"/>
      <c r="B2255" s="245"/>
      <c r="C2255" s="245"/>
      <c r="D2255" s="245"/>
      <c r="E2255" s="245"/>
      <c r="F2255" s="279"/>
      <c r="G2255" s="245"/>
      <c r="H2255" s="245"/>
      <c r="I2255" s="245"/>
      <c r="O2255" s="360"/>
      <c r="Q2255" s="351"/>
      <c r="R2255" s="363"/>
      <c r="S2255" s="325"/>
      <c r="T2255" s="85" ph="1"/>
      <c r="V2255" s="216"/>
      <c r="W2255" s="245"/>
      <c r="X2255" s="187"/>
      <c r="Y2255" s="245"/>
      <c r="Z2255" s="245"/>
      <c r="AA2255" s="329"/>
      <c r="AC2255" s="245"/>
      <c r="AD2255" s="187"/>
      <c r="AE2255" s="361"/>
      <c r="AF2255" s="245"/>
      <c r="AH2255" s="245"/>
    </row>
    <row r="2256" spans="1:34" ht="26.25">
      <c r="A2256" s="245"/>
      <c r="B2256" s="245"/>
      <c r="C2256" s="245"/>
      <c r="D2256" s="245"/>
      <c r="E2256" s="245"/>
      <c r="F2256" s="279"/>
      <c r="G2256" s="245"/>
      <c r="H2256" s="245"/>
      <c r="I2256" s="245"/>
      <c r="O2256" s="360"/>
      <c r="Q2256" s="351"/>
      <c r="R2256" s="363"/>
      <c r="S2256" s="325"/>
      <c r="T2256" s="85" ph="1"/>
      <c r="V2256" s="216"/>
      <c r="W2256" s="245"/>
      <c r="X2256" s="187"/>
      <c r="Y2256" s="245"/>
      <c r="Z2256" s="245"/>
      <c r="AA2256" s="329"/>
      <c r="AC2256" s="245"/>
      <c r="AD2256" s="187"/>
      <c r="AE2256" s="361"/>
      <c r="AF2256" s="245"/>
      <c r="AH2256" s="245"/>
    </row>
    <row r="2257" spans="1:34" ht="26.25">
      <c r="A2257" s="245"/>
      <c r="B2257" s="245"/>
      <c r="C2257" s="245"/>
      <c r="D2257" s="245"/>
      <c r="E2257" s="245"/>
      <c r="F2257" s="279"/>
      <c r="G2257" s="245"/>
      <c r="H2257" s="245"/>
      <c r="I2257" s="245"/>
      <c r="O2257" s="360"/>
      <c r="Q2257" s="351"/>
      <c r="R2257" s="363"/>
      <c r="S2257" s="325"/>
      <c r="T2257" s="85" ph="1"/>
      <c r="V2257" s="216"/>
      <c r="W2257" s="245"/>
      <c r="X2257" s="187"/>
      <c r="Y2257" s="245"/>
      <c r="Z2257" s="245"/>
      <c r="AA2257" s="329"/>
      <c r="AC2257" s="245"/>
      <c r="AD2257" s="187"/>
      <c r="AE2257" s="361"/>
      <c r="AF2257" s="245"/>
      <c r="AH2257" s="245"/>
    </row>
    <row r="2258" spans="1:34" ht="26.25">
      <c r="A2258" s="245"/>
      <c r="B2258" s="245"/>
      <c r="C2258" s="245"/>
      <c r="D2258" s="245"/>
      <c r="E2258" s="245"/>
      <c r="F2258" s="279"/>
      <c r="G2258" s="245"/>
      <c r="H2258" s="245"/>
      <c r="I2258" s="245"/>
      <c r="O2258" s="360"/>
      <c r="Q2258" s="351"/>
      <c r="R2258" s="363"/>
      <c r="S2258" s="325"/>
      <c r="T2258" s="85" ph="1"/>
      <c r="V2258" s="216"/>
      <c r="W2258" s="245"/>
      <c r="X2258" s="187"/>
      <c r="Y2258" s="245"/>
      <c r="Z2258" s="245"/>
      <c r="AA2258" s="329"/>
      <c r="AC2258" s="245"/>
      <c r="AD2258" s="187"/>
      <c r="AE2258" s="361"/>
      <c r="AF2258" s="245"/>
      <c r="AH2258" s="245"/>
    </row>
    <row r="2259" spans="1:34" ht="26.25">
      <c r="A2259" s="245"/>
      <c r="B2259" s="245"/>
      <c r="C2259" s="245"/>
      <c r="D2259" s="245"/>
      <c r="E2259" s="245"/>
      <c r="F2259" s="279"/>
      <c r="G2259" s="245"/>
      <c r="H2259" s="245"/>
      <c r="I2259" s="245"/>
      <c r="O2259" s="360"/>
      <c r="Q2259" s="351"/>
      <c r="R2259" s="363"/>
      <c r="S2259" s="325"/>
      <c r="T2259" s="85" ph="1"/>
      <c r="V2259" s="216"/>
      <c r="W2259" s="245"/>
      <c r="X2259" s="187"/>
      <c r="Y2259" s="245"/>
      <c r="Z2259" s="245"/>
      <c r="AA2259" s="329"/>
      <c r="AC2259" s="245"/>
      <c r="AD2259" s="187"/>
      <c r="AE2259" s="361"/>
      <c r="AF2259" s="245"/>
      <c r="AH2259" s="245"/>
    </row>
    <row r="2260" spans="1:34" ht="26.25">
      <c r="A2260" s="245"/>
      <c r="B2260" s="245"/>
      <c r="C2260" s="245"/>
      <c r="D2260" s="245"/>
      <c r="E2260" s="245"/>
      <c r="F2260" s="279"/>
      <c r="G2260" s="245"/>
      <c r="H2260" s="245"/>
      <c r="I2260" s="245"/>
      <c r="O2260" s="360"/>
      <c r="Q2260" s="351"/>
      <c r="R2260" s="363"/>
      <c r="S2260" s="325"/>
      <c r="T2260" s="85" ph="1"/>
      <c r="V2260" s="216"/>
      <c r="W2260" s="245"/>
      <c r="X2260" s="187"/>
      <c r="Y2260" s="245"/>
      <c r="Z2260" s="245"/>
      <c r="AA2260" s="329"/>
      <c r="AC2260" s="245"/>
      <c r="AD2260" s="187"/>
      <c r="AE2260" s="361"/>
      <c r="AF2260" s="245"/>
      <c r="AH2260" s="245"/>
    </row>
    <row r="2261" spans="1:34" ht="26.25">
      <c r="A2261" s="245"/>
      <c r="B2261" s="245"/>
      <c r="C2261" s="245"/>
      <c r="D2261" s="245"/>
      <c r="E2261" s="245"/>
      <c r="F2261" s="279"/>
      <c r="G2261" s="245"/>
      <c r="H2261" s="245"/>
      <c r="I2261" s="245"/>
      <c r="O2261" s="360"/>
      <c r="Q2261" s="351"/>
      <c r="R2261" s="363"/>
      <c r="S2261" s="325"/>
      <c r="T2261" s="85" ph="1"/>
      <c r="V2261" s="216"/>
      <c r="W2261" s="245"/>
      <c r="X2261" s="187"/>
      <c r="Y2261" s="245"/>
      <c r="Z2261" s="245"/>
      <c r="AA2261" s="329"/>
      <c r="AC2261" s="245"/>
      <c r="AD2261" s="187"/>
      <c r="AE2261" s="361"/>
      <c r="AF2261" s="245"/>
      <c r="AH2261" s="245"/>
    </row>
    <row r="2262" spans="1:34" ht="26.25">
      <c r="A2262" s="245"/>
      <c r="B2262" s="245"/>
      <c r="C2262" s="245"/>
      <c r="D2262" s="245"/>
      <c r="E2262" s="245"/>
      <c r="F2262" s="279"/>
      <c r="G2262" s="245"/>
      <c r="H2262" s="245"/>
      <c r="I2262" s="245"/>
      <c r="O2262" s="360"/>
      <c r="Q2262" s="351"/>
      <c r="R2262" s="363"/>
      <c r="S2262" s="325"/>
      <c r="T2262" s="85" ph="1"/>
      <c r="V2262" s="216"/>
      <c r="W2262" s="245"/>
      <c r="X2262" s="187"/>
      <c r="Y2262" s="245"/>
      <c r="Z2262" s="245"/>
      <c r="AA2262" s="329"/>
      <c r="AC2262" s="245"/>
      <c r="AD2262" s="187"/>
      <c r="AE2262" s="361"/>
      <c r="AF2262" s="245"/>
      <c r="AH2262" s="245"/>
    </row>
    <row r="2263" spans="1:34" ht="26.25">
      <c r="A2263" s="245"/>
      <c r="B2263" s="245"/>
      <c r="C2263" s="245"/>
      <c r="D2263" s="245"/>
      <c r="E2263" s="245"/>
      <c r="F2263" s="279"/>
      <c r="G2263" s="245"/>
      <c r="H2263" s="245"/>
      <c r="I2263" s="245"/>
      <c r="O2263" s="360"/>
      <c r="Q2263" s="351"/>
      <c r="R2263" s="363"/>
      <c r="S2263" s="325"/>
      <c r="T2263" s="85" ph="1"/>
      <c r="V2263" s="216"/>
      <c r="W2263" s="245"/>
      <c r="X2263" s="187"/>
      <c r="Y2263" s="245"/>
      <c r="Z2263" s="245"/>
      <c r="AA2263" s="329"/>
      <c r="AC2263" s="245"/>
      <c r="AD2263" s="187"/>
      <c r="AE2263" s="361"/>
      <c r="AF2263" s="245"/>
      <c r="AH2263" s="245"/>
    </row>
    <row r="2264" spans="1:34" ht="26.25">
      <c r="A2264" s="245"/>
      <c r="B2264" s="245"/>
      <c r="C2264" s="245"/>
      <c r="D2264" s="245"/>
      <c r="E2264" s="245"/>
      <c r="F2264" s="279"/>
      <c r="G2264" s="245"/>
      <c r="H2264" s="245"/>
      <c r="I2264" s="245"/>
      <c r="O2264" s="360"/>
      <c r="Q2264" s="351"/>
      <c r="R2264" s="363"/>
      <c r="S2264" s="325"/>
      <c r="T2264" s="85" ph="1"/>
      <c r="V2264" s="216"/>
      <c r="W2264" s="245"/>
      <c r="X2264" s="187"/>
      <c r="Y2264" s="245"/>
      <c r="Z2264" s="245"/>
      <c r="AA2264" s="329"/>
      <c r="AC2264" s="245"/>
      <c r="AD2264" s="187"/>
      <c r="AE2264" s="361"/>
      <c r="AF2264" s="245"/>
      <c r="AH2264" s="245"/>
    </row>
    <row r="2265" spans="1:34" ht="26.25">
      <c r="A2265" s="245"/>
      <c r="B2265" s="245"/>
      <c r="C2265" s="245"/>
      <c r="D2265" s="245"/>
      <c r="E2265" s="245"/>
      <c r="F2265" s="279"/>
      <c r="G2265" s="245"/>
      <c r="H2265" s="245"/>
      <c r="I2265" s="245"/>
      <c r="O2265" s="360"/>
      <c r="Q2265" s="351"/>
      <c r="R2265" s="363"/>
      <c r="S2265" s="325"/>
      <c r="T2265" s="85" ph="1"/>
      <c r="V2265" s="216"/>
      <c r="W2265" s="245"/>
      <c r="X2265" s="187"/>
      <c r="Y2265" s="245"/>
      <c r="Z2265" s="245"/>
      <c r="AA2265" s="329"/>
      <c r="AC2265" s="245"/>
      <c r="AD2265" s="187"/>
      <c r="AE2265" s="361"/>
      <c r="AF2265" s="245"/>
      <c r="AH2265" s="245"/>
    </row>
    <row r="2266" spans="1:34" ht="26.25">
      <c r="A2266" s="245"/>
      <c r="B2266" s="245"/>
      <c r="C2266" s="245"/>
      <c r="D2266" s="245"/>
      <c r="E2266" s="245"/>
      <c r="F2266" s="279"/>
      <c r="G2266" s="245"/>
      <c r="H2266" s="245"/>
      <c r="I2266" s="245"/>
      <c r="O2266" s="360"/>
      <c r="Q2266" s="351"/>
      <c r="R2266" s="363"/>
      <c r="S2266" s="325"/>
      <c r="T2266" s="85" ph="1"/>
      <c r="V2266" s="216"/>
      <c r="W2266" s="245"/>
      <c r="X2266" s="187"/>
      <c r="Y2266" s="245"/>
      <c r="Z2266" s="245"/>
      <c r="AA2266" s="329"/>
      <c r="AC2266" s="245"/>
      <c r="AD2266" s="187"/>
      <c r="AE2266" s="361"/>
      <c r="AF2266" s="245"/>
      <c r="AH2266" s="245"/>
    </row>
    <row r="2267" spans="1:34" ht="26.25">
      <c r="A2267" s="245"/>
      <c r="B2267" s="245"/>
      <c r="C2267" s="245"/>
      <c r="D2267" s="245"/>
      <c r="E2267" s="245"/>
      <c r="F2267" s="279"/>
      <c r="G2267" s="245"/>
      <c r="H2267" s="245"/>
      <c r="I2267" s="245"/>
      <c r="O2267" s="360"/>
      <c r="Q2267" s="351"/>
      <c r="R2267" s="363"/>
      <c r="S2267" s="325"/>
      <c r="T2267" s="85" ph="1"/>
      <c r="V2267" s="216"/>
      <c r="W2267" s="245"/>
      <c r="X2267" s="187"/>
      <c r="Y2267" s="245"/>
      <c r="Z2267" s="245"/>
      <c r="AA2267" s="329"/>
      <c r="AC2267" s="245"/>
      <c r="AD2267" s="187"/>
      <c r="AE2267" s="361"/>
      <c r="AF2267" s="245"/>
      <c r="AH2267" s="245"/>
    </row>
    <row r="2268" spans="1:34" ht="26.25">
      <c r="A2268" s="245"/>
      <c r="B2268" s="245"/>
      <c r="C2268" s="245"/>
      <c r="D2268" s="245"/>
      <c r="E2268" s="245"/>
      <c r="F2268" s="279"/>
      <c r="G2268" s="245"/>
      <c r="H2268" s="245"/>
      <c r="I2268" s="245"/>
      <c r="O2268" s="360"/>
      <c r="Q2268" s="351"/>
      <c r="R2268" s="363"/>
      <c r="S2268" s="325"/>
      <c r="T2268" s="85" ph="1"/>
      <c r="V2268" s="216"/>
      <c r="W2268" s="245"/>
      <c r="X2268" s="187"/>
      <c r="Y2268" s="245"/>
      <c r="Z2268" s="245"/>
      <c r="AA2268" s="329"/>
      <c r="AC2268" s="245"/>
      <c r="AD2268" s="187"/>
      <c r="AE2268" s="361"/>
      <c r="AF2268" s="245"/>
      <c r="AH2268" s="245"/>
    </row>
    <row r="2269" spans="1:34" ht="26.25">
      <c r="A2269" s="245"/>
      <c r="B2269" s="245"/>
      <c r="C2269" s="245"/>
      <c r="D2269" s="245"/>
      <c r="E2269" s="245"/>
      <c r="F2269" s="279"/>
      <c r="G2269" s="245"/>
      <c r="H2269" s="245"/>
      <c r="I2269" s="245"/>
      <c r="O2269" s="360"/>
      <c r="Q2269" s="351"/>
      <c r="R2269" s="363"/>
      <c r="S2269" s="325"/>
      <c r="T2269" s="85" ph="1"/>
      <c r="V2269" s="216"/>
      <c r="W2269" s="245"/>
      <c r="X2269" s="187"/>
      <c r="Y2269" s="245"/>
      <c r="Z2269" s="245"/>
      <c r="AA2269" s="329"/>
      <c r="AC2269" s="245"/>
      <c r="AD2269" s="187"/>
      <c r="AE2269" s="361"/>
      <c r="AF2269" s="245"/>
      <c r="AH2269" s="245"/>
    </row>
    <row r="2270" spans="1:34" ht="26.25">
      <c r="A2270" s="245"/>
      <c r="B2270" s="245"/>
      <c r="C2270" s="245"/>
      <c r="D2270" s="245"/>
      <c r="E2270" s="245"/>
      <c r="F2270" s="279"/>
      <c r="G2270" s="245"/>
      <c r="H2270" s="245"/>
      <c r="I2270" s="245"/>
      <c r="O2270" s="360"/>
      <c r="Q2270" s="351"/>
      <c r="R2270" s="363"/>
      <c r="S2270" s="325"/>
      <c r="T2270" s="85" ph="1"/>
      <c r="V2270" s="216"/>
      <c r="W2270" s="245"/>
      <c r="X2270" s="187"/>
      <c r="Y2270" s="245"/>
      <c r="Z2270" s="245"/>
      <c r="AA2270" s="329"/>
      <c r="AC2270" s="245"/>
      <c r="AD2270" s="187"/>
      <c r="AE2270" s="361"/>
      <c r="AF2270" s="245"/>
      <c r="AH2270" s="245"/>
    </row>
    <row r="2271" spans="1:34" ht="26.25">
      <c r="A2271" s="245"/>
      <c r="B2271" s="245"/>
      <c r="C2271" s="245"/>
      <c r="D2271" s="245"/>
      <c r="E2271" s="245"/>
      <c r="F2271" s="279"/>
      <c r="G2271" s="245"/>
      <c r="H2271" s="245"/>
      <c r="I2271" s="245"/>
      <c r="O2271" s="360"/>
      <c r="Q2271" s="351"/>
      <c r="R2271" s="363"/>
      <c r="S2271" s="325"/>
      <c r="T2271" s="85" ph="1"/>
      <c r="V2271" s="216"/>
      <c r="W2271" s="245"/>
      <c r="X2271" s="187"/>
      <c r="Y2271" s="245"/>
      <c r="Z2271" s="245"/>
      <c r="AA2271" s="329"/>
      <c r="AC2271" s="245"/>
      <c r="AD2271" s="187"/>
      <c r="AE2271" s="361"/>
      <c r="AF2271" s="245"/>
      <c r="AH2271" s="245"/>
    </row>
    <row r="2272" spans="1:34" ht="26.25">
      <c r="A2272" s="245"/>
      <c r="B2272" s="245"/>
      <c r="C2272" s="245"/>
      <c r="D2272" s="245"/>
      <c r="E2272" s="245"/>
      <c r="F2272" s="279"/>
      <c r="G2272" s="245"/>
      <c r="H2272" s="245"/>
      <c r="I2272" s="245"/>
      <c r="O2272" s="360"/>
      <c r="Q2272" s="351"/>
      <c r="R2272" s="363"/>
      <c r="S2272" s="325"/>
      <c r="T2272" s="85" ph="1"/>
      <c r="V2272" s="216"/>
      <c r="W2272" s="245"/>
      <c r="X2272" s="187"/>
      <c r="Y2272" s="245"/>
      <c r="Z2272" s="245"/>
      <c r="AA2272" s="329"/>
      <c r="AC2272" s="245"/>
      <c r="AD2272" s="187"/>
      <c r="AE2272" s="361"/>
      <c r="AF2272" s="245"/>
      <c r="AH2272" s="245"/>
    </row>
    <row r="2273" spans="1:34" ht="26.25">
      <c r="A2273" s="245"/>
      <c r="B2273" s="245"/>
      <c r="C2273" s="245"/>
      <c r="D2273" s="245"/>
      <c r="E2273" s="245"/>
      <c r="F2273" s="279"/>
      <c r="G2273" s="245"/>
      <c r="H2273" s="245"/>
      <c r="I2273" s="245"/>
      <c r="O2273" s="360"/>
      <c r="Q2273" s="351"/>
      <c r="R2273" s="363"/>
      <c r="S2273" s="325"/>
      <c r="T2273" s="85" ph="1"/>
      <c r="V2273" s="216"/>
      <c r="W2273" s="245"/>
      <c r="X2273" s="187"/>
      <c r="Y2273" s="245"/>
      <c r="Z2273" s="245"/>
      <c r="AA2273" s="329"/>
      <c r="AC2273" s="245"/>
      <c r="AD2273" s="187"/>
      <c r="AE2273" s="361"/>
      <c r="AF2273" s="245"/>
      <c r="AH2273" s="245"/>
    </row>
    <row r="2274" spans="1:34" ht="26.25">
      <c r="A2274" s="245"/>
      <c r="B2274" s="245"/>
      <c r="C2274" s="245"/>
      <c r="D2274" s="245"/>
      <c r="E2274" s="245"/>
      <c r="F2274" s="279"/>
      <c r="G2274" s="245"/>
      <c r="H2274" s="245"/>
      <c r="I2274" s="245"/>
      <c r="O2274" s="360"/>
      <c r="Q2274" s="351"/>
      <c r="R2274" s="363"/>
      <c r="S2274" s="325"/>
      <c r="T2274" s="85" ph="1"/>
      <c r="V2274" s="216"/>
      <c r="W2274" s="245"/>
      <c r="X2274" s="187"/>
      <c r="Y2274" s="245"/>
      <c r="Z2274" s="245"/>
      <c r="AA2274" s="329"/>
      <c r="AC2274" s="245"/>
      <c r="AD2274" s="187"/>
      <c r="AE2274" s="361"/>
      <c r="AF2274" s="245"/>
      <c r="AH2274" s="245"/>
    </row>
    <row r="2275" spans="1:34" ht="26.25">
      <c r="A2275" s="245"/>
      <c r="B2275" s="245"/>
      <c r="C2275" s="245"/>
      <c r="D2275" s="245"/>
      <c r="E2275" s="245"/>
      <c r="F2275" s="279"/>
      <c r="G2275" s="245"/>
      <c r="H2275" s="245"/>
      <c r="I2275" s="245"/>
      <c r="O2275" s="360"/>
      <c r="Q2275" s="351"/>
      <c r="R2275" s="363"/>
      <c r="S2275" s="325"/>
      <c r="T2275" s="85" ph="1"/>
      <c r="V2275" s="216"/>
      <c r="W2275" s="245"/>
      <c r="X2275" s="187"/>
      <c r="Y2275" s="245"/>
      <c r="Z2275" s="245"/>
      <c r="AA2275" s="329"/>
      <c r="AC2275" s="245"/>
      <c r="AD2275" s="187"/>
      <c r="AE2275" s="361"/>
      <c r="AF2275" s="245"/>
      <c r="AH2275" s="245"/>
    </row>
    <row r="2276" spans="1:34" ht="26.25">
      <c r="A2276" s="245"/>
      <c r="B2276" s="245"/>
      <c r="C2276" s="245"/>
      <c r="D2276" s="245"/>
      <c r="E2276" s="245"/>
      <c r="F2276" s="279"/>
      <c r="G2276" s="245"/>
      <c r="H2276" s="245"/>
      <c r="I2276" s="245"/>
      <c r="O2276" s="360"/>
      <c r="Q2276" s="351"/>
      <c r="R2276" s="363"/>
      <c r="S2276" s="325"/>
      <c r="T2276" s="85" ph="1"/>
      <c r="V2276" s="216"/>
      <c r="W2276" s="245"/>
      <c r="X2276" s="187"/>
      <c r="Y2276" s="245"/>
      <c r="Z2276" s="245"/>
      <c r="AA2276" s="329"/>
      <c r="AC2276" s="245"/>
      <c r="AD2276" s="187"/>
      <c r="AE2276" s="361"/>
      <c r="AF2276" s="245"/>
      <c r="AH2276" s="245"/>
    </row>
    <row r="2277" spans="1:34" ht="26.25">
      <c r="A2277" s="245"/>
      <c r="B2277" s="245"/>
      <c r="C2277" s="245"/>
      <c r="D2277" s="245"/>
      <c r="E2277" s="245"/>
      <c r="F2277" s="279"/>
      <c r="G2277" s="245"/>
      <c r="H2277" s="245"/>
      <c r="I2277" s="245"/>
      <c r="O2277" s="360"/>
      <c r="Q2277" s="351"/>
      <c r="R2277" s="363"/>
      <c r="S2277" s="325"/>
      <c r="T2277" s="85" ph="1"/>
      <c r="V2277" s="216"/>
      <c r="W2277" s="245"/>
      <c r="X2277" s="187"/>
      <c r="Y2277" s="245"/>
      <c r="Z2277" s="245"/>
      <c r="AA2277" s="329"/>
      <c r="AC2277" s="245"/>
      <c r="AD2277" s="187"/>
      <c r="AE2277" s="361"/>
      <c r="AF2277" s="245"/>
      <c r="AH2277" s="245"/>
    </row>
    <row r="2278" spans="1:34" ht="26.25">
      <c r="A2278" s="245"/>
      <c r="B2278" s="245"/>
      <c r="C2278" s="245"/>
      <c r="D2278" s="245"/>
      <c r="E2278" s="245"/>
      <c r="F2278" s="279"/>
      <c r="G2278" s="245"/>
      <c r="H2278" s="245"/>
      <c r="I2278" s="245"/>
      <c r="O2278" s="360"/>
      <c r="Q2278" s="351"/>
      <c r="R2278" s="363"/>
      <c r="S2278" s="325"/>
      <c r="T2278" s="85" ph="1"/>
      <c r="V2278" s="216"/>
      <c r="W2278" s="245"/>
      <c r="X2278" s="187"/>
      <c r="Y2278" s="245"/>
      <c r="Z2278" s="245"/>
      <c r="AA2278" s="329"/>
      <c r="AC2278" s="245"/>
      <c r="AD2278" s="187"/>
      <c r="AE2278" s="361"/>
      <c r="AF2278" s="245"/>
      <c r="AH2278" s="245"/>
    </row>
    <row r="2279" spans="1:34" ht="26.25">
      <c r="A2279" s="245"/>
      <c r="B2279" s="245"/>
      <c r="C2279" s="245"/>
      <c r="D2279" s="245"/>
      <c r="E2279" s="245"/>
      <c r="F2279" s="279"/>
      <c r="G2279" s="245"/>
      <c r="H2279" s="245"/>
      <c r="I2279" s="245"/>
      <c r="O2279" s="360"/>
      <c r="Q2279" s="351"/>
      <c r="R2279" s="363"/>
      <c r="S2279" s="325"/>
      <c r="T2279" s="85" ph="1"/>
      <c r="V2279" s="216"/>
      <c r="W2279" s="245"/>
      <c r="X2279" s="187"/>
      <c r="Y2279" s="245"/>
      <c r="Z2279" s="245"/>
      <c r="AA2279" s="329"/>
      <c r="AC2279" s="245"/>
      <c r="AD2279" s="187"/>
      <c r="AE2279" s="361"/>
      <c r="AF2279" s="245"/>
      <c r="AH2279" s="245"/>
    </row>
    <row r="2280" spans="1:34" ht="26.25">
      <c r="A2280" s="245"/>
      <c r="B2280" s="245"/>
      <c r="C2280" s="245"/>
      <c r="D2280" s="245"/>
      <c r="E2280" s="245"/>
      <c r="F2280" s="279"/>
      <c r="G2280" s="245"/>
      <c r="H2280" s="245"/>
      <c r="I2280" s="245"/>
      <c r="O2280" s="360"/>
      <c r="Q2280" s="351"/>
      <c r="R2280" s="363"/>
      <c r="S2280" s="325"/>
      <c r="T2280" s="85" ph="1"/>
      <c r="V2280" s="216"/>
      <c r="W2280" s="245"/>
      <c r="X2280" s="187"/>
      <c r="Y2280" s="245"/>
      <c r="Z2280" s="245"/>
      <c r="AA2280" s="329"/>
      <c r="AC2280" s="245"/>
      <c r="AD2280" s="187"/>
      <c r="AE2280" s="361"/>
      <c r="AF2280" s="245"/>
      <c r="AH2280" s="245"/>
    </row>
    <row r="2281" spans="1:34" ht="26.25">
      <c r="A2281" s="245"/>
      <c r="B2281" s="245"/>
      <c r="C2281" s="245"/>
      <c r="D2281" s="245"/>
      <c r="E2281" s="245"/>
      <c r="F2281" s="279"/>
      <c r="G2281" s="245"/>
      <c r="H2281" s="245"/>
      <c r="I2281" s="245"/>
      <c r="O2281" s="360"/>
      <c r="Q2281" s="351"/>
      <c r="R2281" s="363"/>
      <c r="S2281" s="325"/>
      <c r="T2281" s="85" ph="1"/>
      <c r="V2281" s="216"/>
      <c r="W2281" s="245"/>
      <c r="X2281" s="187"/>
      <c r="Y2281" s="245"/>
      <c r="Z2281" s="245"/>
      <c r="AA2281" s="329"/>
      <c r="AC2281" s="245"/>
      <c r="AD2281" s="187"/>
      <c r="AE2281" s="361"/>
      <c r="AF2281" s="245"/>
      <c r="AH2281" s="245"/>
    </row>
    <row r="2282" spans="1:34" ht="26.25">
      <c r="A2282" s="245"/>
      <c r="B2282" s="245"/>
      <c r="C2282" s="245"/>
      <c r="D2282" s="245"/>
      <c r="E2282" s="245"/>
      <c r="F2282" s="279"/>
      <c r="G2282" s="245"/>
      <c r="H2282" s="245"/>
      <c r="I2282" s="245"/>
      <c r="O2282" s="360"/>
      <c r="Q2282" s="351"/>
      <c r="R2282" s="363"/>
      <c r="S2282" s="325"/>
      <c r="T2282" s="85" ph="1"/>
      <c r="V2282" s="216"/>
      <c r="W2282" s="245"/>
      <c r="X2282" s="187"/>
      <c r="Y2282" s="245"/>
      <c r="Z2282" s="245"/>
      <c r="AA2282" s="329"/>
      <c r="AC2282" s="245"/>
      <c r="AD2282" s="187"/>
      <c r="AE2282" s="361"/>
      <c r="AF2282" s="245"/>
      <c r="AH2282" s="245"/>
    </row>
    <row r="2283" spans="1:34" ht="26.25">
      <c r="A2283" s="245"/>
      <c r="B2283" s="245"/>
      <c r="C2283" s="245"/>
      <c r="D2283" s="245"/>
      <c r="E2283" s="245"/>
      <c r="F2283" s="279"/>
      <c r="G2283" s="245"/>
      <c r="H2283" s="245"/>
      <c r="I2283" s="245"/>
      <c r="O2283" s="360"/>
      <c r="Q2283" s="351"/>
      <c r="R2283" s="363"/>
      <c r="S2283" s="325"/>
      <c r="T2283" s="85" ph="1"/>
      <c r="V2283" s="216"/>
      <c r="W2283" s="245"/>
      <c r="X2283" s="187"/>
      <c r="Y2283" s="245"/>
      <c r="Z2283" s="245"/>
      <c r="AA2283" s="329"/>
      <c r="AC2283" s="245"/>
      <c r="AD2283" s="187"/>
      <c r="AE2283" s="361"/>
      <c r="AF2283" s="245"/>
      <c r="AH2283" s="245"/>
    </row>
    <row r="2284" spans="1:34" ht="26.25">
      <c r="A2284" s="245"/>
      <c r="B2284" s="245"/>
      <c r="C2284" s="245"/>
      <c r="D2284" s="245"/>
      <c r="E2284" s="245"/>
      <c r="F2284" s="279"/>
      <c r="G2284" s="245"/>
      <c r="H2284" s="245"/>
      <c r="I2284" s="245"/>
      <c r="O2284" s="360"/>
      <c r="Q2284" s="351"/>
      <c r="R2284" s="363"/>
      <c r="S2284" s="325"/>
      <c r="T2284" s="85" ph="1"/>
      <c r="V2284" s="216"/>
      <c r="W2284" s="245"/>
      <c r="X2284" s="187"/>
      <c r="Y2284" s="245"/>
      <c r="Z2284" s="245"/>
      <c r="AA2284" s="329"/>
      <c r="AC2284" s="245"/>
      <c r="AD2284" s="187"/>
      <c r="AE2284" s="361"/>
      <c r="AF2284" s="245"/>
      <c r="AH2284" s="245"/>
    </row>
    <row r="2285" spans="1:34" ht="26.25">
      <c r="A2285" s="245"/>
      <c r="B2285" s="245"/>
      <c r="C2285" s="245"/>
      <c r="D2285" s="245"/>
      <c r="E2285" s="245"/>
      <c r="F2285" s="279"/>
      <c r="G2285" s="245"/>
      <c r="H2285" s="245"/>
      <c r="I2285" s="245"/>
      <c r="O2285" s="360"/>
      <c r="Q2285" s="351"/>
      <c r="R2285" s="363"/>
      <c r="S2285" s="325"/>
      <c r="T2285" s="85" ph="1"/>
      <c r="V2285" s="216"/>
      <c r="W2285" s="245"/>
      <c r="X2285" s="187"/>
      <c r="Y2285" s="245"/>
      <c r="Z2285" s="245"/>
      <c r="AA2285" s="329"/>
      <c r="AC2285" s="245"/>
      <c r="AD2285" s="187"/>
      <c r="AE2285" s="361"/>
      <c r="AF2285" s="245"/>
      <c r="AH2285" s="245"/>
    </row>
    <row r="2286" spans="1:34" ht="26.25">
      <c r="A2286" s="245"/>
      <c r="B2286" s="245"/>
      <c r="C2286" s="245"/>
      <c r="D2286" s="245"/>
      <c r="E2286" s="245"/>
      <c r="F2286" s="279"/>
      <c r="G2286" s="245"/>
      <c r="H2286" s="245"/>
      <c r="I2286" s="245"/>
      <c r="O2286" s="360"/>
      <c r="Q2286" s="351"/>
      <c r="R2286" s="363"/>
      <c r="S2286" s="325"/>
      <c r="T2286" s="85" ph="1"/>
      <c r="V2286" s="216"/>
      <c r="W2286" s="245"/>
      <c r="X2286" s="187"/>
      <c r="Y2286" s="245"/>
      <c r="Z2286" s="245"/>
      <c r="AA2286" s="329"/>
      <c r="AC2286" s="245"/>
      <c r="AD2286" s="187"/>
      <c r="AE2286" s="361"/>
      <c r="AF2286" s="245"/>
      <c r="AH2286" s="245"/>
    </row>
    <row r="2287" spans="1:34" ht="26.25">
      <c r="A2287" s="245"/>
      <c r="B2287" s="245"/>
      <c r="C2287" s="245"/>
      <c r="D2287" s="245"/>
      <c r="E2287" s="245"/>
      <c r="F2287" s="279"/>
      <c r="G2287" s="245"/>
      <c r="H2287" s="245"/>
      <c r="I2287" s="245"/>
      <c r="O2287" s="360"/>
      <c r="Q2287" s="351"/>
      <c r="R2287" s="363"/>
      <c r="S2287" s="325"/>
      <c r="T2287" s="85" ph="1"/>
      <c r="V2287" s="216"/>
      <c r="W2287" s="245"/>
      <c r="X2287" s="187"/>
      <c r="Y2287" s="245"/>
      <c r="Z2287" s="245"/>
      <c r="AA2287" s="329"/>
      <c r="AC2287" s="245"/>
      <c r="AD2287" s="187"/>
      <c r="AE2287" s="361"/>
      <c r="AF2287" s="245"/>
      <c r="AH2287" s="245"/>
    </row>
    <row r="2288" spans="1:34" ht="26.25">
      <c r="A2288" s="245"/>
      <c r="B2288" s="245"/>
      <c r="C2288" s="245"/>
      <c r="D2288" s="245"/>
      <c r="E2288" s="245"/>
      <c r="F2288" s="279"/>
      <c r="G2288" s="245"/>
      <c r="H2288" s="245"/>
      <c r="I2288" s="245"/>
      <c r="O2288" s="360"/>
      <c r="Q2288" s="351"/>
      <c r="R2288" s="363"/>
      <c r="S2288" s="325"/>
      <c r="T2288" s="85" ph="1"/>
      <c r="V2288" s="216"/>
      <c r="W2288" s="245"/>
      <c r="X2288" s="187"/>
      <c r="Y2288" s="245"/>
      <c r="Z2288" s="245"/>
      <c r="AA2288" s="329"/>
      <c r="AC2288" s="245"/>
      <c r="AD2288" s="187"/>
      <c r="AE2288" s="361"/>
      <c r="AF2288" s="245"/>
      <c r="AH2288" s="245"/>
    </row>
    <row r="2289" spans="1:34" ht="26.25">
      <c r="A2289" s="245"/>
      <c r="B2289" s="245"/>
      <c r="C2289" s="245"/>
      <c r="D2289" s="245"/>
      <c r="E2289" s="245"/>
      <c r="F2289" s="279"/>
      <c r="G2289" s="245"/>
      <c r="H2289" s="245"/>
      <c r="I2289" s="245"/>
      <c r="O2289" s="360"/>
      <c r="Q2289" s="351"/>
      <c r="R2289" s="363"/>
      <c r="S2289" s="325"/>
      <c r="T2289" s="85" ph="1"/>
      <c r="V2289" s="216"/>
      <c r="W2289" s="245"/>
      <c r="X2289" s="187"/>
      <c r="Y2289" s="245"/>
      <c r="Z2289" s="245"/>
      <c r="AA2289" s="329"/>
      <c r="AC2289" s="245"/>
      <c r="AD2289" s="187"/>
      <c r="AE2289" s="361"/>
      <c r="AF2289" s="245"/>
      <c r="AH2289" s="245"/>
    </row>
    <row r="2290" spans="1:34" ht="26.25">
      <c r="A2290" s="245"/>
      <c r="B2290" s="245"/>
      <c r="C2290" s="245"/>
      <c r="D2290" s="245"/>
      <c r="E2290" s="245"/>
      <c r="F2290" s="279"/>
      <c r="G2290" s="245"/>
      <c r="H2290" s="245"/>
      <c r="I2290" s="245"/>
      <c r="O2290" s="360"/>
      <c r="Q2290" s="351"/>
      <c r="R2290" s="363"/>
      <c r="S2290" s="325"/>
      <c r="T2290" s="85" ph="1"/>
      <c r="V2290" s="216"/>
      <c r="W2290" s="245"/>
      <c r="X2290" s="187"/>
      <c r="Y2290" s="245"/>
      <c r="Z2290" s="245"/>
      <c r="AA2290" s="329"/>
      <c r="AC2290" s="245"/>
      <c r="AD2290" s="187"/>
      <c r="AE2290" s="361"/>
      <c r="AF2290" s="245"/>
      <c r="AH2290" s="245"/>
    </row>
    <row r="2291" spans="1:34" ht="26.25">
      <c r="A2291" s="245"/>
      <c r="B2291" s="245"/>
      <c r="C2291" s="245"/>
      <c r="D2291" s="245"/>
      <c r="E2291" s="245"/>
      <c r="F2291" s="279"/>
      <c r="G2291" s="245"/>
      <c r="H2291" s="245"/>
      <c r="I2291" s="245"/>
      <c r="O2291" s="360"/>
      <c r="Q2291" s="351"/>
      <c r="R2291" s="363"/>
      <c r="S2291" s="325"/>
      <c r="T2291" s="85" ph="1"/>
      <c r="V2291" s="216"/>
      <c r="W2291" s="245"/>
      <c r="X2291" s="187"/>
      <c r="Y2291" s="245"/>
      <c r="Z2291" s="245"/>
      <c r="AA2291" s="329"/>
      <c r="AC2291" s="245"/>
      <c r="AD2291" s="187"/>
      <c r="AE2291" s="361"/>
      <c r="AF2291" s="245"/>
      <c r="AH2291" s="245"/>
    </row>
    <row r="2292" spans="1:34" ht="26.25">
      <c r="A2292" s="245"/>
      <c r="B2292" s="245"/>
      <c r="C2292" s="245"/>
      <c r="D2292" s="245"/>
      <c r="E2292" s="245"/>
      <c r="F2292" s="279"/>
      <c r="G2292" s="245"/>
      <c r="H2292" s="245"/>
      <c r="I2292" s="245"/>
      <c r="O2292" s="360"/>
      <c r="Q2292" s="351"/>
      <c r="R2292" s="363"/>
      <c r="S2292" s="325"/>
      <c r="T2292" s="85" ph="1"/>
      <c r="V2292" s="216"/>
      <c r="W2292" s="245"/>
      <c r="X2292" s="187"/>
      <c r="Y2292" s="245"/>
      <c r="Z2292" s="245"/>
      <c r="AA2292" s="329"/>
      <c r="AC2292" s="245"/>
      <c r="AD2292" s="187"/>
      <c r="AE2292" s="361"/>
      <c r="AF2292" s="245"/>
      <c r="AH2292" s="245"/>
    </row>
    <row r="2293" spans="1:34" ht="26.25">
      <c r="A2293" s="245"/>
      <c r="B2293" s="245"/>
      <c r="C2293" s="245"/>
      <c r="D2293" s="245"/>
      <c r="E2293" s="245"/>
      <c r="F2293" s="279"/>
      <c r="G2293" s="245"/>
      <c r="H2293" s="245"/>
      <c r="I2293" s="245"/>
      <c r="O2293" s="360"/>
      <c r="Q2293" s="351"/>
      <c r="R2293" s="363"/>
      <c r="S2293" s="325"/>
      <c r="T2293" s="85" ph="1"/>
      <c r="V2293" s="216"/>
      <c r="W2293" s="245"/>
      <c r="X2293" s="187"/>
      <c r="Y2293" s="245"/>
      <c r="Z2293" s="245"/>
      <c r="AA2293" s="329"/>
      <c r="AC2293" s="245"/>
      <c r="AD2293" s="187"/>
      <c r="AE2293" s="361"/>
      <c r="AF2293" s="245"/>
      <c r="AH2293" s="245"/>
    </row>
    <row r="2294" spans="1:34" ht="26.25">
      <c r="A2294" s="245"/>
      <c r="B2294" s="245"/>
      <c r="C2294" s="245"/>
      <c r="D2294" s="245"/>
      <c r="E2294" s="245"/>
      <c r="F2294" s="279"/>
      <c r="G2294" s="245"/>
      <c r="H2294" s="245"/>
      <c r="I2294" s="245"/>
      <c r="O2294" s="360"/>
      <c r="Q2294" s="351"/>
      <c r="R2294" s="363"/>
      <c r="S2294" s="325"/>
      <c r="T2294" s="85" ph="1"/>
      <c r="V2294" s="216"/>
      <c r="W2294" s="245"/>
      <c r="X2294" s="187"/>
      <c r="Y2294" s="245"/>
      <c r="Z2294" s="245"/>
      <c r="AA2294" s="329"/>
      <c r="AC2294" s="245"/>
      <c r="AD2294" s="187"/>
      <c r="AE2294" s="361"/>
      <c r="AF2294" s="245"/>
      <c r="AH2294" s="245"/>
    </row>
    <row r="2295" spans="1:34" ht="26.25">
      <c r="A2295" s="245"/>
      <c r="B2295" s="245"/>
      <c r="C2295" s="245"/>
      <c r="D2295" s="245"/>
      <c r="E2295" s="245"/>
      <c r="F2295" s="279"/>
      <c r="G2295" s="245"/>
      <c r="H2295" s="245"/>
      <c r="I2295" s="245"/>
      <c r="O2295" s="360"/>
      <c r="Q2295" s="351"/>
      <c r="R2295" s="363"/>
      <c r="S2295" s="325"/>
      <c r="T2295" s="85" ph="1"/>
      <c r="V2295" s="216"/>
      <c r="W2295" s="245"/>
      <c r="X2295" s="187"/>
      <c r="Y2295" s="245"/>
      <c r="Z2295" s="245"/>
      <c r="AA2295" s="329"/>
      <c r="AC2295" s="245"/>
      <c r="AD2295" s="187"/>
      <c r="AE2295" s="361"/>
      <c r="AF2295" s="245"/>
      <c r="AH2295" s="245"/>
    </row>
    <row r="2296" spans="1:34" ht="26.25">
      <c r="A2296" s="245"/>
      <c r="B2296" s="245"/>
      <c r="C2296" s="245"/>
      <c r="D2296" s="245"/>
      <c r="E2296" s="245"/>
      <c r="F2296" s="279"/>
      <c r="G2296" s="245"/>
      <c r="H2296" s="245"/>
      <c r="I2296" s="245"/>
      <c r="O2296" s="360"/>
      <c r="Q2296" s="351"/>
      <c r="R2296" s="363"/>
      <c r="S2296" s="325"/>
      <c r="T2296" s="85" ph="1"/>
      <c r="V2296" s="216"/>
      <c r="W2296" s="245"/>
      <c r="X2296" s="187"/>
      <c r="Y2296" s="245"/>
      <c r="Z2296" s="245"/>
      <c r="AA2296" s="329"/>
      <c r="AC2296" s="245"/>
      <c r="AD2296" s="187"/>
      <c r="AE2296" s="361"/>
      <c r="AF2296" s="245"/>
      <c r="AH2296" s="245"/>
    </row>
    <row r="2297" spans="1:34" ht="26.25">
      <c r="A2297" s="245"/>
      <c r="B2297" s="245"/>
      <c r="C2297" s="245"/>
      <c r="D2297" s="245"/>
      <c r="E2297" s="245"/>
      <c r="F2297" s="279"/>
      <c r="G2297" s="245"/>
      <c r="H2297" s="245"/>
      <c r="I2297" s="245"/>
      <c r="O2297" s="360"/>
      <c r="Q2297" s="351"/>
      <c r="R2297" s="363"/>
      <c r="S2297" s="325"/>
      <c r="T2297" s="85" ph="1"/>
      <c r="V2297" s="216"/>
      <c r="W2297" s="245"/>
      <c r="X2297" s="187"/>
      <c r="Y2297" s="245"/>
      <c r="Z2297" s="245"/>
      <c r="AA2297" s="329"/>
      <c r="AC2297" s="245"/>
      <c r="AD2297" s="187"/>
      <c r="AE2297" s="361"/>
      <c r="AF2297" s="245"/>
      <c r="AH2297" s="245"/>
    </row>
    <row r="2298" spans="1:34" ht="26.25">
      <c r="A2298" s="245"/>
      <c r="B2298" s="245"/>
      <c r="C2298" s="245"/>
      <c r="D2298" s="245"/>
      <c r="E2298" s="245"/>
      <c r="F2298" s="279"/>
      <c r="G2298" s="245"/>
      <c r="H2298" s="245"/>
      <c r="I2298" s="245"/>
      <c r="O2298" s="360"/>
      <c r="Q2298" s="351"/>
      <c r="R2298" s="363"/>
      <c r="S2298" s="325"/>
      <c r="T2298" s="85" ph="1"/>
      <c r="V2298" s="216"/>
      <c r="W2298" s="245"/>
      <c r="X2298" s="187"/>
      <c r="Y2298" s="245"/>
      <c r="Z2298" s="245"/>
      <c r="AA2298" s="329"/>
      <c r="AC2298" s="245"/>
      <c r="AD2298" s="187"/>
      <c r="AE2298" s="361"/>
      <c r="AF2298" s="245"/>
      <c r="AH2298" s="245"/>
    </row>
    <row r="2299" spans="1:34" ht="26.25">
      <c r="A2299" s="245"/>
      <c r="B2299" s="245"/>
      <c r="C2299" s="245"/>
      <c r="D2299" s="245"/>
      <c r="E2299" s="245"/>
      <c r="F2299" s="279"/>
      <c r="G2299" s="245"/>
      <c r="H2299" s="245"/>
      <c r="I2299" s="245"/>
      <c r="O2299" s="360"/>
      <c r="Q2299" s="351"/>
      <c r="R2299" s="363"/>
      <c r="S2299" s="325"/>
      <c r="T2299" s="85" ph="1"/>
      <c r="V2299" s="216"/>
      <c r="W2299" s="245"/>
      <c r="X2299" s="187"/>
      <c r="Y2299" s="245"/>
      <c r="Z2299" s="245"/>
      <c r="AA2299" s="329"/>
      <c r="AC2299" s="245"/>
      <c r="AD2299" s="187"/>
      <c r="AE2299" s="361"/>
      <c r="AF2299" s="245"/>
      <c r="AH2299" s="245"/>
    </row>
    <row r="2300" spans="1:34" ht="26.25">
      <c r="A2300" s="245"/>
      <c r="B2300" s="245"/>
      <c r="C2300" s="245"/>
      <c r="D2300" s="245"/>
      <c r="E2300" s="245"/>
      <c r="F2300" s="279"/>
      <c r="G2300" s="245"/>
      <c r="H2300" s="245"/>
      <c r="I2300" s="245"/>
      <c r="O2300" s="360"/>
      <c r="Q2300" s="351"/>
      <c r="R2300" s="363"/>
      <c r="S2300" s="325"/>
      <c r="T2300" s="85" ph="1"/>
      <c r="V2300" s="216"/>
      <c r="W2300" s="245"/>
      <c r="X2300" s="187"/>
      <c r="Y2300" s="245"/>
      <c r="Z2300" s="245"/>
      <c r="AA2300" s="329"/>
      <c r="AC2300" s="245"/>
      <c r="AD2300" s="187"/>
      <c r="AE2300" s="361"/>
      <c r="AF2300" s="245"/>
      <c r="AH2300" s="245"/>
    </row>
    <row r="2301" spans="1:34" ht="26.25">
      <c r="A2301" s="245"/>
      <c r="B2301" s="245"/>
      <c r="C2301" s="245"/>
      <c r="D2301" s="245"/>
      <c r="E2301" s="245"/>
      <c r="F2301" s="279"/>
      <c r="G2301" s="245"/>
      <c r="H2301" s="245"/>
      <c r="I2301" s="245"/>
      <c r="O2301" s="360"/>
      <c r="Q2301" s="351"/>
      <c r="R2301" s="363"/>
      <c r="S2301" s="325"/>
      <c r="T2301" s="85" ph="1"/>
      <c r="V2301" s="216"/>
      <c r="W2301" s="245"/>
      <c r="X2301" s="187"/>
      <c r="Y2301" s="245"/>
      <c r="Z2301" s="245"/>
      <c r="AA2301" s="329"/>
      <c r="AC2301" s="245"/>
      <c r="AD2301" s="187"/>
      <c r="AE2301" s="361"/>
      <c r="AF2301" s="245"/>
      <c r="AH2301" s="245"/>
    </row>
    <row r="2302" spans="1:34" ht="26.25">
      <c r="A2302" s="245"/>
      <c r="B2302" s="245"/>
      <c r="C2302" s="245"/>
      <c r="D2302" s="245"/>
      <c r="E2302" s="245"/>
      <c r="F2302" s="279"/>
      <c r="G2302" s="245"/>
      <c r="H2302" s="245"/>
      <c r="I2302" s="245"/>
      <c r="O2302" s="360"/>
      <c r="Q2302" s="351"/>
      <c r="R2302" s="363"/>
      <c r="S2302" s="325"/>
      <c r="T2302" s="85" ph="1"/>
      <c r="V2302" s="216"/>
      <c r="W2302" s="245"/>
      <c r="X2302" s="187"/>
      <c r="Y2302" s="245"/>
      <c r="Z2302" s="245"/>
      <c r="AA2302" s="329"/>
      <c r="AC2302" s="245"/>
      <c r="AD2302" s="187"/>
      <c r="AE2302" s="361"/>
      <c r="AF2302" s="245"/>
      <c r="AH2302" s="245"/>
    </row>
    <row r="2303" spans="1:34" ht="26.25">
      <c r="A2303" s="245"/>
      <c r="B2303" s="245"/>
      <c r="C2303" s="245"/>
      <c r="D2303" s="245"/>
      <c r="E2303" s="245"/>
      <c r="F2303" s="279"/>
      <c r="G2303" s="245"/>
      <c r="H2303" s="245"/>
      <c r="I2303" s="245"/>
      <c r="O2303" s="360"/>
      <c r="Q2303" s="351"/>
      <c r="R2303" s="363"/>
      <c r="S2303" s="325"/>
      <c r="T2303" s="85" ph="1"/>
      <c r="V2303" s="216"/>
      <c r="W2303" s="245"/>
      <c r="X2303" s="187"/>
      <c r="Y2303" s="245"/>
      <c r="Z2303" s="245"/>
      <c r="AA2303" s="329"/>
      <c r="AC2303" s="245"/>
      <c r="AD2303" s="187"/>
      <c r="AE2303" s="361"/>
      <c r="AF2303" s="245"/>
      <c r="AH2303" s="245"/>
    </row>
    <row r="2304" spans="1:34" ht="26.25">
      <c r="A2304" s="245"/>
      <c r="B2304" s="245"/>
      <c r="C2304" s="245"/>
      <c r="D2304" s="245"/>
      <c r="E2304" s="245"/>
      <c r="F2304" s="279"/>
      <c r="G2304" s="245"/>
      <c r="H2304" s="245"/>
      <c r="I2304" s="245"/>
      <c r="O2304" s="360"/>
      <c r="Q2304" s="351"/>
      <c r="R2304" s="363"/>
      <c r="S2304" s="325"/>
      <c r="T2304" s="85" ph="1"/>
      <c r="V2304" s="216"/>
      <c r="W2304" s="245"/>
      <c r="X2304" s="187"/>
      <c r="Y2304" s="245"/>
      <c r="Z2304" s="245"/>
      <c r="AA2304" s="329"/>
      <c r="AC2304" s="245"/>
      <c r="AD2304" s="187"/>
      <c r="AE2304" s="361"/>
      <c r="AF2304" s="245"/>
      <c r="AH2304" s="245"/>
    </row>
    <row r="2305" spans="1:34" ht="26.25">
      <c r="A2305" s="245"/>
      <c r="B2305" s="245"/>
      <c r="C2305" s="245"/>
      <c r="D2305" s="245"/>
      <c r="E2305" s="245"/>
      <c r="F2305" s="279"/>
      <c r="G2305" s="245"/>
      <c r="H2305" s="245"/>
      <c r="I2305" s="245"/>
      <c r="O2305" s="360"/>
      <c r="Q2305" s="351"/>
      <c r="R2305" s="363"/>
      <c r="S2305" s="325"/>
      <c r="T2305" s="85" ph="1"/>
      <c r="V2305" s="216"/>
      <c r="W2305" s="245"/>
      <c r="X2305" s="187"/>
      <c r="Y2305" s="245"/>
      <c r="Z2305" s="245"/>
      <c r="AA2305" s="329"/>
      <c r="AC2305" s="245"/>
      <c r="AD2305" s="187"/>
      <c r="AE2305" s="361"/>
      <c r="AF2305" s="245"/>
      <c r="AH2305" s="245"/>
    </row>
    <row r="2306" spans="1:34" ht="26.25">
      <c r="A2306" s="245"/>
      <c r="B2306" s="245"/>
      <c r="C2306" s="245"/>
      <c r="D2306" s="245"/>
      <c r="E2306" s="245"/>
      <c r="F2306" s="279"/>
      <c r="G2306" s="245"/>
      <c r="H2306" s="245"/>
      <c r="I2306" s="245"/>
      <c r="O2306" s="360"/>
      <c r="Q2306" s="351"/>
      <c r="R2306" s="363"/>
      <c r="S2306" s="325"/>
      <c r="T2306" s="85" ph="1"/>
      <c r="V2306" s="216"/>
      <c r="W2306" s="245"/>
      <c r="X2306" s="187"/>
      <c r="Y2306" s="245"/>
      <c r="Z2306" s="245"/>
      <c r="AA2306" s="329"/>
      <c r="AC2306" s="245"/>
      <c r="AD2306" s="187"/>
      <c r="AE2306" s="361"/>
      <c r="AF2306" s="245"/>
      <c r="AH2306" s="245"/>
    </row>
    <row r="2307" spans="1:34" ht="26.25">
      <c r="A2307" s="245"/>
      <c r="B2307" s="245"/>
      <c r="C2307" s="245"/>
      <c r="D2307" s="245"/>
      <c r="E2307" s="245"/>
      <c r="F2307" s="279"/>
      <c r="G2307" s="245"/>
      <c r="H2307" s="245"/>
      <c r="I2307" s="245"/>
      <c r="O2307" s="360"/>
      <c r="Q2307" s="351"/>
      <c r="R2307" s="363"/>
      <c r="S2307" s="325"/>
      <c r="T2307" s="85" ph="1"/>
      <c r="V2307" s="216"/>
      <c r="W2307" s="245"/>
      <c r="X2307" s="187"/>
      <c r="Y2307" s="245"/>
      <c r="Z2307" s="245"/>
      <c r="AA2307" s="329"/>
      <c r="AC2307" s="245"/>
      <c r="AD2307" s="187"/>
      <c r="AE2307" s="361"/>
      <c r="AF2307" s="245"/>
      <c r="AH2307" s="245"/>
    </row>
    <row r="2308" spans="1:34" ht="26.25">
      <c r="A2308" s="245"/>
      <c r="B2308" s="245"/>
      <c r="C2308" s="245"/>
      <c r="D2308" s="245"/>
      <c r="E2308" s="245"/>
      <c r="F2308" s="279"/>
      <c r="G2308" s="245"/>
      <c r="H2308" s="245"/>
      <c r="I2308" s="245"/>
      <c r="O2308" s="360"/>
      <c r="Q2308" s="351"/>
      <c r="R2308" s="363"/>
      <c r="S2308" s="325"/>
      <c r="T2308" s="85" ph="1"/>
      <c r="V2308" s="216"/>
      <c r="W2308" s="245"/>
      <c r="X2308" s="187"/>
      <c r="Y2308" s="245"/>
      <c r="Z2308" s="245"/>
      <c r="AA2308" s="329"/>
      <c r="AC2308" s="245"/>
      <c r="AD2308" s="187"/>
      <c r="AE2308" s="361"/>
      <c r="AF2308" s="245"/>
      <c r="AH2308" s="245"/>
    </row>
    <row r="2309" spans="1:34" ht="26.25">
      <c r="A2309" s="245"/>
      <c r="B2309" s="245"/>
      <c r="C2309" s="245"/>
      <c r="D2309" s="245"/>
      <c r="E2309" s="245"/>
      <c r="F2309" s="279"/>
      <c r="G2309" s="245"/>
      <c r="H2309" s="245"/>
      <c r="I2309" s="245"/>
      <c r="O2309" s="360"/>
      <c r="Q2309" s="351"/>
      <c r="R2309" s="363"/>
      <c r="S2309" s="325"/>
      <c r="T2309" s="85" ph="1"/>
      <c r="V2309" s="216"/>
      <c r="W2309" s="245"/>
      <c r="X2309" s="187"/>
      <c r="Y2309" s="245"/>
      <c r="Z2309" s="245"/>
      <c r="AA2309" s="329"/>
      <c r="AC2309" s="245"/>
      <c r="AD2309" s="187"/>
      <c r="AE2309" s="361"/>
      <c r="AF2309" s="245"/>
      <c r="AH2309" s="245"/>
    </row>
    <row r="2310" spans="1:34" ht="26.25">
      <c r="A2310" s="245"/>
      <c r="B2310" s="245"/>
      <c r="C2310" s="245"/>
      <c r="D2310" s="245"/>
      <c r="E2310" s="245"/>
      <c r="F2310" s="279"/>
      <c r="G2310" s="245"/>
      <c r="H2310" s="245"/>
      <c r="I2310" s="245"/>
      <c r="O2310" s="360"/>
      <c r="Q2310" s="351"/>
      <c r="R2310" s="363"/>
      <c r="S2310" s="325"/>
      <c r="T2310" s="85" ph="1"/>
      <c r="V2310" s="216"/>
      <c r="W2310" s="245"/>
      <c r="X2310" s="187"/>
      <c r="Y2310" s="245"/>
      <c r="Z2310" s="245"/>
      <c r="AA2310" s="329"/>
      <c r="AC2310" s="245"/>
      <c r="AD2310" s="187"/>
      <c r="AE2310" s="361"/>
      <c r="AF2310" s="245"/>
      <c r="AH2310" s="245"/>
    </row>
    <row r="2311" spans="1:34" ht="26.25">
      <c r="A2311" s="245"/>
      <c r="B2311" s="245"/>
      <c r="C2311" s="245"/>
      <c r="D2311" s="245"/>
      <c r="E2311" s="245"/>
      <c r="F2311" s="279"/>
      <c r="G2311" s="245"/>
      <c r="H2311" s="245"/>
      <c r="I2311" s="245"/>
      <c r="O2311" s="360"/>
      <c r="Q2311" s="351"/>
      <c r="R2311" s="363"/>
      <c r="S2311" s="325"/>
      <c r="T2311" s="85" ph="1"/>
      <c r="V2311" s="216"/>
      <c r="W2311" s="245"/>
      <c r="X2311" s="187"/>
      <c r="Y2311" s="245"/>
      <c r="Z2311" s="245"/>
      <c r="AA2311" s="329"/>
      <c r="AC2311" s="245"/>
      <c r="AD2311" s="187"/>
      <c r="AE2311" s="361"/>
      <c r="AF2311" s="245"/>
      <c r="AH2311" s="245"/>
    </row>
    <row r="2312" spans="1:34" ht="26.25">
      <c r="A2312" s="245"/>
      <c r="B2312" s="245"/>
      <c r="C2312" s="245"/>
      <c r="D2312" s="245"/>
      <c r="E2312" s="245"/>
      <c r="F2312" s="279"/>
      <c r="G2312" s="245"/>
      <c r="H2312" s="245"/>
      <c r="I2312" s="245"/>
      <c r="O2312" s="360"/>
      <c r="Q2312" s="351"/>
      <c r="R2312" s="363"/>
      <c r="S2312" s="325"/>
      <c r="T2312" s="85" ph="1"/>
      <c r="V2312" s="216"/>
      <c r="W2312" s="245"/>
      <c r="X2312" s="187"/>
      <c r="Y2312" s="245"/>
      <c r="Z2312" s="245"/>
      <c r="AA2312" s="329"/>
      <c r="AC2312" s="245"/>
      <c r="AD2312" s="187"/>
      <c r="AE2312" s="361"/>
      <c r="AF2312" s="245"/>
      <c r="AH2312" s="245"/>
    </row>
    <row r="2313" spans="1:34" ht="26.25">
      <c r="A2313" s="245"/>
      <c r="B2313" s="245"/>
      <c r="C2313" s="245"/>
      <c r="D2313" s="245"/>
      <c r="E2313" s="245"/>
      <c r="F2313" s="279"/>
      <c r="G2313" s="245"/>
      <c r="H2313" s="245"/>
      <c r="I2313" s="245"/>
      <c r="O2313" s="360"/>
      <c r="Q2313" s="351"/>
      <c r="R2313" s="363"/>
      <c r="S2313" s="325"/>
      <c r="T2313" s="85" ph="1"/>
      <c r="V2313" s="216"/>
      <c r="W2313" s="245"/>
      <c r="X2313" s="187"/>
      <c r="Y2313" s="245"/>
      <c r="Z2313" s="245"/>
      <c r="AA2313" s="329"/>
      <c r="AC2313" s="245"/>
      <c r="AD2313" s="187"/>
      <c r="AE2313" s="361"/>
      <c r="AF2313" s="245"/>
      <c r="AH2313" s="245"/>
    </row>
    <row r="2314" spans="1:34" ht="26.25">
      <c r="A2314" s="245"/>
      <c r="B2314" s="245"/>
      <c r="C2314" s="245"/>
      <c r="D2314" s="245"/>
      <c r="E2314" s="245"/>
      <c r="F2314" s="279"/>
      <c r="G2314" s="245"/>
      <c r="H2314" s="245"/>
      <c r="I2314" s="245"/>
      <c r="O2314" s="360"/>
      <c r="Q2314" s="351"/>
      <c r="R2314" s="363"/>
      <c r="S2314" s="325"/>
      <c r="T2314" s="85" ph="1"/>
      <c r="V2314" s="216"/>
      <c r="W2314" s="245"/>
      <c r="X2314" s="187"/>
      <c r="Y2314" s="245"/>
      <c r="Z2314" s="245"/>
      <c r="AA2314" s="329"/>
      <c r="AC2314" s="245"/>
      <c r="AD2314" s="187"/>
      <c r="AE2314" s="361"/>
      <c r="AF2314" s="245"/>
      <c r="AH2314" s="245"/>
    </row>
    <row r="2315" spans="1:34" ht="26.25">
      <c r="A2315" s="245"/>
      <c r="B2315" s="245"/>
      <c r="C2315" s="245"/>
      <c r="D2315" s="245"/>
      <c r="E2315" s="245"/>
      <c r="F2315" s="279"/>
      <c r="G2315" s="245"/>
      <c r="H2315" s="245"/>
      <c r="I2315" s="245"/>
      <c r="O2315" s="360"/>
      <c r="Q2315" s="351"/>
      <c r="R2315" s="363"/>
      <c r="S2315" s="325"/>
      <c r="T2315" s="85" ph="1"/>
      <c r="V2315" s="216"/>
      <c r="W2315" s="245"/>
      <c r="X2315" s="187"/>
      <c r="Y2315" s="245"/>
      <c r="Z2315" s="245"/>
      <c r="AA2315" s="329"/>
      <c r="AC2315" s="245"/>
      <c r="AD2315" s="187"/>
      <c r="AE2315" s="361"/>
      <c r="AF2315" s="245"/>
      <c r="AH2315" s="245"/>
    </row>
    <row r="2316" spans="1:34" ht="26.25">
      <c r="A2316" s="245"/>
      <c r="B2316" s="245"/>
      <c r="C2316" s="245"/>
      <c r="D2316" s="245"/>
      <c r="E2316" s="245"/>
      <c r="F2316" s="279"/>
      <c r="G2316" s="245"/>
      <c r="H2316" s="245"/>
      <c r="I2316" s="245"/>
      <c r="R2316" s="363"/>
      <c r="S2316" s="325"/>
      <c r="T2316" s="85" ph="1"/>
      <c r="V2316" s="216"/>
      <c r="W2316" s="245"/>
      <c r="X2316" s="187"/>
      <c r="Y2316" s="245"/>
      <c r="Z2316" s="245"/>
      <c r="AA2316" s="329"/>
      <c r="AC2316" s="245"/>
      <c r="AD2316" s="187"/>
      <c r="AE2316" s="361"/>
      <c r="AF2316" s="245"/>
      <c r="AH2316" s="245"/>
    </row>
    <row r="2317" spans="1:34" ht="26.25">
      <c r="A2317" s="245"/>
      <c r="B2317" s="245"/>
      <c r="C2317" s="245"/>
      <c r="D2317" s="245"/>
      <c r="E2317" s="245"/>
      <c r="F2317" s="279"/>
      <c r="G2317" s="245"/>
      <c r="H2317" s="245"/>
      <c r="I2317" s="245"/>
      <c r="R2317" s="363"/>
      <c r="S2317" s="325"/>
      <c r="T2317" s="85" ph="1"/>
      <c r="V2317" s="216"/>
      <c r="W2317" s="245"/>
      <c r="X2317" s="187"/>
      <c r="Y2317" s="245"/>
      <c r="Z2317" s="245"/>
      <c r="AA2317" s="329"/>
      <c r="AC2317" s="245"/>
      <c r="AD2317" s="187"/>
      <c r="AE2317" s="361"/>
      <c r="AF2317" s="245"/>
      <c r="AH2317" s="245"/>
    </row>
    <row r="2318" spans="1:34" ht="26.25">
      <c r="A2318" s="245"/>
      <c r="B2318" s="245"/>
      <c r="C2318" s="245"/>
      <c r="D2318" s="245"/>
      <c r="E2318" s="245"/>
      <c r="F2318" s="279"/>
      <c r="G2318" s="245"/>
      <c r="H2318" s="245"/>
      <c r="I2318" s="245"/>
      <c r="R2318" s="363"/>
      <c r="S2318" s="325"/>
      <c r="T2318" s="85" ph="1"/>
      <c r="V2318" s="216"/>
      <c r="W2318" s="245"/>
      <c r="X2318" s="187"/>
      <c r="Y2318" s="245"/>
      <c r="Z2318" s="245"/>
      <c r="AA2318" s="329"/>
      <c r="AC2318" s="245"/>
      <c r="AD2318" s="187"/>
      <c r="AE2318" s="361"/>
      <c r="AF2318" s="245"/>
      <c r="AH2318" s="245"/>
    </row>
    <row r="2319" spans="1:34" ht="26.25">
      <c r="A2319" s="245"/>
      <c r="B2319" s="245"/>
      <c r="C2319" s="245"/>
      <c r="D2319" s="245"/>
      <c r="E2319" s="245"/>
      <c r="F2319" s="279"/>
      <c r="G2319" s="245"/>
      <c r="H2319" s="245"/>
      <c r="I2319" s="245"/>
      <c r="R2319" s="363"/>
      <c r="S2319" s="325"/>
      <c r="T2319" s="85" ph="1"/>
      <c r="V2319" s="216"/>
      <c r="W2319" s="245"/>
      <c r="X2319" s="187"/>
      <c r="Y2319" s="245"/>
      <c r="Z2319" s="245"/>
      <c r="AA2319" s="329"/>
      <c r="AC2319" s="245"/>
      <c r="AD2319" s="187"/>
      <c r="AE2319" s="361"/>
      <c r="AF2319" s="245"/>
      <c r="AH2319" s="245"/>
    </row>
    <row r="2320" spans="1:34" ht="26.25">
      <c r="A2320" s="245"/>
      <c r="B2320" s="245"/>
      <c r="C2320" s="245"/>
      <c r="D2320" s="245"/>
      <c r="E2320" s="245"/>
      <c r="F2320" s="279"/>
      <c r="G2320" s="245"/>
      <c r="H2320" s="245"/>
      <c r="I2320" s="245"/>
      <c r="R2320" s="363"/>
      <c r="S2320" s="325"/>
      <c r="T2320" s="85" ph="1"/>
      <c r="V2320" s="216"/>
      <c r="W2320" s="245"/>
      <c r="X2320" s="187"/>
      <c r="Y2320" s="245"/>
      <c r="Z2320" s="245"/>
      <c r="AA2320" s="329"/>
      <c r="AC2320" s="245"/>
      <c r="AD2320" s="187"/>
      <c r="AE2320" s="361"/>
      <c r="AF2320" s="245"/>
      <c r="AH2320" s="245"/>
    </row>
    <row r="2321" spans="1:34" ht="26.25">
      <c r="A2321" s="245"/>
      <c r="B2321" s="245"/>
      <c r="C2321" s="245"/>
      <c r="D2321" s="245"/>
      <c r="E2321" s="245"/>
      <c r="F2321" s="279"/>
      <c r="G2321" s="245"/>
      <c r="H2321" s="245"/>
      <c r="I2321" s="245"/>
      <c r="R2321" s="363"/>
      <c r="S2321" s="325"/>
      <c r="T2321" s="85" ph="1"/>
      <c r="V2321" s="216"/>
      <c r="W2321" s="245"/>
      <c r="X2321" s="187"/>
      <c r="Y2321" s="245"/>
      <c r="Z2321" s="245"/>
      <c r="AA2321" s="329"/>
      <c r="AC2321" s="245"/>
      <c r="AD2321" s="187"/>
      <c r="AE2321" s="361"/>
      <c r="AF2321" s="245"/>
      <c r="AH2321" s="245"/>
    </row>
    <row r="2322" spans="1:34" ht="26.25">
      <c r="A2322" s="245"/>
      <c r="B2322" s="245"/>
      <c r="C2322" s="245"/>
      <c r="D2322" s="245"/>
      <c r="E2322" s="245"/>
      <c r="F2322" s="279"/>
      <c r="G2322" s="245"/>
      <c r="H2322" s="245"/>
      <c r="I2322" s="245"/>
      <c r="R2322" s="363"/>
      <c r="S2322" s="325"/>
      <c r="T2322" s="85" ph="1"/>
      <c r="V2322" s="216"/>
      <c r="W2322" s="245"/>
      <c r="X2322" s="187"/>
      <c r="Y2322" s="245"/>
      <c r="Z2322" s="245"/>
      <c r="AA2322" s="329"/>
      <c r="AC2322" s="245"/>
      <c r="AD2322" s="187"/>
      <c r="AE2322" s="361"/>
      <c r="AF2322" s="245"/>
      <c r="AH2322" s="245"/>
    </row>
    <row r="2323" spans="1:34" ht="26.25">
      <c r="A2323" s="245"/>
      <c r="B2323" s="245"/>
      <c r="C2323" s="245"/>
      <c r="D2323" s="245"/>
      <c r="E2323" s="245"/>
      <c r="F2323" s="279"/>
      <c r="G2323" s="245"/>
      <c r="H2323" s="245"/>
      <c r="I2323" s="245"/>
      <c r="R2323" s="363"/>
      <c r="S2323" s="325"/>
      <c r="T2323" s="85" ph="1"/>
      <c r="V2323" s="216"/>
      <c r="W2323" s="245"/>
      <c r="X2323" s="187"/>
      <c r="Y2323" s="245"/>
      <c r="Z2323" s="245"/>
      <c r="AA2323" s="329"/>
      <c r="AC2323" s="245"/>
      <c r="AD2323" s="187"/>
      <c r="AE2323" s="361"/>
      <c r="AF2323" s="245"/>
      <c r="AH2323" s="245"/>
    </row>
    <row r="2324" spans="1:34" ht="26.25">
      <c r="A2324" s="245"/>
      <c r="B2324" s="245"/>
      <c r="C2324" s="245"/>
      <c r="D2324" s="245"/>
      <c r="E2324" s="245"/>
      <c r="F2324" s="279"/>
      <c r="G2324" s="245"/>
      <c r="H2324" s="245"/>
      <c r="I2324" s="245"/>
      <c r="R2324" s="363"/>
      <c r="S2324" s="325"/>
      <c r="T2324" s="85" ph="1"/>
      <c r="V2324" s="216"/>
      <c r="W2324" s="245"/>
      <c r="X2324" s="187"/>
      <c r="Y2324" s="245"/>
      <c r="Z2324" s="245"/>
      <c r="AA2324" s="329"/>
      <c r="AC2324" s="245"/>
      <c r="AD2324" s="187"/>
      <c r="AE2324" s="361"/>
      <c r="AF2324" s="245"/>
      <c r="AH2324" s="245"/>
    </row>
    <row r="2325" spans="1:34" ht="26.25">
      <c r="A2325" s="245"/>
      <c r="B2325" s="245"/>
      <c r="C2325" s="245"/>
      <c r="D2325" s="245"/>
      <c r="E2325" s="245"/>
      <c r="F2325" s="279"/>
      <c r="G2325" s="245"/>
      <c r="H2325" s="245"/>
      <c r="I2325" s="245"/>
      <c r="R2325" s="363"/>
      <c r="S2325" s="325"/>
      <c r="T2325" s="85" ph="1"/>
      <c r="V2325" s="216"/>
      <c r="W2325" s="245"/>
      <c r="X2325" s="187"/>
      <c r="Y2325" s="245"/>
      <c r="Z2325" s="245"/>
      <c r="AA2325" s="329"/>
      <c r="AC2325" s="245"/>
      <c r="AD2325" s="187"/>
      <c r="AE2325" s="361"/>
      <c r="AF2325" s="245"/>
      <c r="AH2325" s="245"/>
    </row>
    <row r="2326" spans="1:34" ht="26.25">
      <c r="A2326" s="245"/>
      <c r="B2326" s="245"/>
      <c r="C2326" s="245"/>
      <c r="D2326" s="245"/>
      <c r="E2326" s="245"/>
      <c r="F2326" s="279"/>
      <c r="G2326" s="245"/>
      <c r="H2326" s="245"/>
      <c r="I2326" s="245"/>
      <c r="R2326" s="363"/>
      <c r="S2326" s="325"/>
      <c r="T2326" s="85" ph="1"/>
      <c r="V2326" s="216"/>
      <c r="W2326" s="245"/>
      <c r="X2326" s="187"/>
      <c r="Y2326" s="245"/>
      <c r="Z2326" s="245"/>
      <c r="AA2326" s="329"/>
      <c r="AC2326" s="245"/>
      <c r="AD2326" s="187"/>
      <c r="AE2326" s="361"/>
      <c r="AF2326" s="245"/>
      <c r="AH2326" s="245"/>
    </row>
    <row r="2327" spans="1:34" ht="26.25">
      <c r="A2327" s="245"/>
      <c r="B2327" s="245"/>
      <c r="C2327" s="245"/>
      <c r="D2327" s="245"/>
      <c r="E2327" s="245"/>
      <c r="F2327" s="279"/>
      <c r="G2327" s="245"/>
      <c r="H2327" s="245"/>
      <c r="I2327" s="245"/>
      <c r="R2327" s="363"/>
      <c r="S2327" s="325"/>
      <c r="T2327" s="85" ph="1"/>
      <c r="V2327" s="216"/>
      <c r="W2327" s="245"/>
      <c r="X2327" s="187"/>
      <c r="Y2327" s="245"/>
      <c r="Z2327" s="245"/>
      <c r="AA2327" s="329"/>
      <c r="AC2327" s="245"/>
      <c r="AD2327" s="187"/>
      <c r="AE2327" s="361"/>
      <c r="AF2327" s="245"/>
      <c r="AH2327" s="245"/>
    </row>
    <row r="2328" spans="1:34" ht="26.25">
      <c r="A2328" s="245"/>
      <c r="B2328" s="245"/>
      <c r="C2328" s="245"/>
      <c r="D2328" s="245"/>
      <c r="E2328" s="245"/>
      <c r="F2328" s="279"/>
      <c r="G2328" s="245"/>
      <c r="H2328" s="245"/>
      <c r="I2328" s="245"/>
      <c r="R2328" s="363"/>
      <c r="S2328" s="325"/>
      <c r="T2328" s="85" ph="1"/>
      <c r="V2328" s="216"/>
      <c r="W2328" s="245"/>
      <c r="X2328" s="187"/>
      <c r="Y2328" s="245"/>
      <c r="Z2328" s="245"/>
      <c r="AA2328" s="329"/>
      <c r="AC2328" s="245"/>
      <c r="AD2328" s="187"/>
      <c r="AE2328" s="361"/>
      <c r="AF2328" s="245"/>
      <c r="AH2328" s="245"/>
    </row>
    <row r="2329" spans="1:34" ht="26.25">
      <c r="A2329" s="245"/>
      <c r="B2329" s="245"/>
      <c r="C2329" s="245"/>
      <c r="D2329" s="245"/>
      <c r="E2329" s="245"/>
      <c r="F2329" s="279"/>
      <c r="G2329" s="245"/>
      <c r="H2329" s="245"/>
      <c r="I2329" s="245"/>
      <c r="R2329" s="363"/>
      <c r="S2329" s="325"/>
      <c r="T2329" s="85" ph="1"/>
      <c r="V2329" s="216"/>
      <c r="W2329" s="245"/>
      <c r="X2329" s="187"/>
      <c r="Y2329" s="245"/>
      <c r="Z2329" s="245"/>
      <c r="AA2329" s="329"/>
      <c r="AC2329" s="245"/>
      <c r="AD2329" s="187"/>
      <c r="AE2329" s="361"/>
      <c r="AF2329" s="245"/>
      <c r="AH2329" s="245"/>
    </row>
    <row r="2330" spans="1:34" ht="26.25">
      <c r="A2330" s="245"/>
      <c r="B2330" s="245"/>
      <c r="C2330" s="245"/>
      <c r="D2330" s="245"/>
      <c r="E2330" s="245"/>
      <c r="F2330" s="279"/>
      <c r="G2330" s="245"/>
      <c r="H2330" s="245"/>
      <c r="I2330" s="245"/>
      <c r="R2330" s="363"/>
      <c r="S2330" s="325"/>
      <c r="T2330" s="85" ph="1"/>
      <c r="V2330" s="216"/>
      <c r="W2330" s="245"/>
      <c r="X2330" s="187"/>
      <c r="Y2330" s="245"/>
      <c r="Z2330" s="245"/>
      <c r="AA2330" s="329"/>
      <c r="AC2330" s="245"/>
      <c r="AD2330" s="187"/>
      <c r="AE2330" s="361"/>
      <c r="AF2330" s="245"/>
      <c r="AH2330" s="245"/>
    </row>
    <row r="2331" spans="1:34" ht="26.25">
      <c r="A2331" s="245"/>
      <c r="B2331" s="245"/>
      <c r="C2331" s="245"/>
      <c r="D2331" s="245"/>
      <c r="E2331" s="245"/>
      <c r="F2331" s="279"/>
      <c r="G2331" s="245"/>
      <c r="H2331" s="245"/>
      <c r="I2331" s="245"/>
      <c r="R2331" s="363"/>
      <c r="S2331" s="325"/>
      <c r="T2331" s="85" ph="1"/>
      <c r="V2331" s="216"/>
      <c r="W2331" s="245"/>
      <c r="X2331" s="187"/>
      <c r="Y2331" s="245"/>
      <c r="Z2331" s="245"/>
      <c r="AA2331" s="329"/>
      <c r="AC2331" s="245"/>
      <c r="AD2331" s="187"/>
      <c r="AE2331" s="361"/>
      <c r="AF2331" s="245"/>
      <c r="AH2331" s="245"/>
    </row>
    <row r="2332" spans="1:34" ht="26.25">
      <c r="A2332" s="245"/>
      <c r="B2332" s="245"/>
      <c r="C2332" s="245"/>
      <c r="D2332" s="245"/>
      <c r="E2332" s="245"/>
      <c r="F2332" s="279"/>
      <c r="G2332" s="245"/>
      <c r="H2332" s="245"/>
      <c r="I2332" s="245"/>
      <c r="R2332" s="363"/>
      <c r="S2332" s="325"/>
      <c r="T2332" s="85" ph="1"/>
      <c r="V2332" s="216"/>
      <c r="W2332" s="245"/>
      <c r="X2332" s="187"/>
      <c r="Y2332" s="245"/>
      <c r="Z2332" s="245"/>
      <c r="AA2332" s="329"/>
      <c r="AC2332" s="245"/>
      <c r="AD2332" s="187"/>
      <c r="AE2332" s="361"/>
      <c r="AF2332" s="245"/>
      <c r="AH2332" s="245"/>
    </row>
    <row r="2333" spans="1:34" ht="26.25">
      <c r="A2333" s="245"/>
      <c r="B2333" s="245"/>
      <c r="C2333" s="245"/>
      <c r="D2333" s="245"/>
      <c r="E2333" s="245"/>
      <c r="F2333" s="279"/>
      <c r="G2333" s="245"/>
      <c r="H2333" s="245"/>
      <c r="I2333" s="245"/>
      <c r="R2333" s="363"/>
      <c r="S2333" s="325"/>
      <c r="T2333" s="85" ph="1"/>
      <c r="V2333" s="216"/>
      <c r="W2333" s="245"/>
      <c r="X2333" s="187"/>
      <c r="Y2333" s="245"/>
      <c r="Z2333" s="245"/>
      <c r="AA2333" s="329"/>
      <c r="AC2333" s="245"/>
      <c r="AD2333" s="187"/>
      <c r="AE2333" s="361"/>
      <c r="AF2333" s="245"/>
      <c r="AH2333" s="245"/>
    </row>
    <row r="2334" spans="1:34" ht="26.25">
      <c r="A2334" s="245"/>
      <c r="B2334" s="245"/>
      <c r="C2334" s="245"/>
      <c r="D2334" s="245"/>
      <c r="E2334" s="245"/>
      <c r="F2334" s="279"/>
      <c r="G2334" s="245"/>
      <c r="H2334" s="245"/>
      <c r="I2334" s="245"/>
      <c r="R2334" s="363"/>
      <c r="S2334" s="325"/>
      <c r="T2334" s="85" ph="1"/>
      <c r="V2334" s="216"/>
      <c r="W2334" s="245"/>
      <c r="X2334" s="187"/>
      <c r="Y2334" s="245"/>
      <c r="Z2334" s="245"/>
      <c r="AA2334" s="329"/>
      <c r="AC2334" s="245"/>
      <c r="AD2334" s="187"/>
      <c r="AE2334" s="361"/>
      <c r="AF2334" s="245"/>
      <c r="AH2334" s="245"/>
    </row>
    <row r="2335" spans="1:34" ht="26.25">
      <c r="A2335" s="245"/>
      <c r="B2335" s="245"/>
      <c r="C2335" s="245"/>
      <c r="D2335" s="245"/>
      <c r="E2335" s="245"/>
      <c r="F2335" s="279"/>
      <c r="G2335" s="245"/>
      <c r="H2335" s="245"/>
      <c r="I2335" s="245"/>
      <c r="R2335" s="363"/>
      <c r="S2335" s="325"/>
      <c r="T2335" s="85" ph="1"/>
      <c r="V2335" s="216"/>
      <c r="W2335" s="245"/>
      <c r="X2335" s="187"/>
      <c r="Y2335" s="245"/>
      <c r="Z2335" s="245"/>
      <c r="AA2335" s="329"/>
      <c r="AC2335" s="245"/>
      <c r="AD2335" s="187"/>
      <c r="AE2335" s="361"/>
      <c r="AF2335" s="245"/>
      <c r="AH2335" s="245"/>
    </row>
    <row r="2336" spans="1:34" ht="26.25">
      <c r="A2336" s="245"/>
      <c r="B2336" s="245"/>
      <c r="C2336" s="245"/>
      <c r="D2336" s="245"/>
      <c r="E2336" s="245"/>
      <c r="F2336" s="279"/>
      <c r="G2336" s="245"/>
      <c r="H2336" s="245"/>
      <c r="I2336" s="245"/>
      <c r="R2336" s="363"/>
      <c r="S2336" s="325"/>
      <c r="T2336" s="85" ph="1"/>
      <c r="V2336" s="216"/>
      <c r="W2336" s="245"/>
      <c r="X2336" s="187"/>
      <c r="Y2336" s="245"/>
      <c r="Z2336" s="245"/>
      <c r="AA2336" s="329"/>
      <c r="AC2336" s="245"/>
      <c r="AD2336" s="187"/>
      <c r="AE2336" s="361"/>
      <c r="AF2336" s="245"/>
      <c r="AH2336" s="245"/>
    </row>
    <row r="2337" spans="1:34" ht="26.25">
      <c r="A2337" s="245"/>
      <c r="B2337" s="245"/>
      <c r="C2337" s="245"/>
      <c r="D2337" s="245"/>
      <c r="E2337" s="245"/>
      <c r="F2337" s="279"/>
      <c r="G2337" s="245"/>
      <c r="H2337" s="245"/>
      <c r="I2337" s="245"/>
      <c r="R2337" s="363"/>
      <c r="S2337" s="325"/>
      <c r="T2337" s="85" ph="1"/>
      <c r="V2337" s="216"/>
      <c r="W2337" s="245"/>
      <c r="X2337" s="187"/>
      <c r="Y2337" s="245"/>
      <c r="Z2337" s="245"/>
      <c r="AA2337" s="329"/>
      <c r="AC2337" s="245"/>
      <c r="AD2337" s="187"/>
      <c r="AE2337" s="361"/>
      <c r="AF2337" s="245"/>
      <c r="AH2337" s="245"/>
    </row>
    <row r="2338" spans="1:34" ht="26.25">
      <c r="A2338" s="245"/>
      <c r="B2338" s="245"/>
      <c r="C2338" s="245"/>
      <c r="D2338" s="245"/>
      <c r="E2338" s="245"/>
      <c r="F2338" s="279"/>
      <c r="G2338" s="245"/>
      <c r="H2338" s="245"/>
      <c r="I2338" s="245"/>
      <c r="R2338" s="363"/>
      <c r="S2338" s="325"/>
      <c r="T2338" s="85" ph="1"/>
      <c r="V2338" s="216"/>
      <c r="W2338" s="245"/>
      <c r="X2338" s="187"/>
      <c r="Y2338" s="245"/>
      <c r="Z2338" s="245"/>
      <c r="AA2338" s="329"/>
      <c r="AC2338" s="245"/>
      <c r="AD2338" s="187"/>
      <c r="AE2338" s="361"/>
      <c r="AF2338" s="245"/>
      <c r="AH2338" s="245"/>
    </row>
    <row r="2339" spans="1:34" ht="26.25">
      <c r="A2339" s="245"/>
      <c r="B2339" s="245"/>
      <c r="C2339" s="245"/>
      <c r="D2339" s="245"/>
      <c r="E2339" s="245"/>
      <c r="F2339" s="279"/>
      <c r="G2339" s="245"/>
      <c r="H2339" s="245"/>
      <c r="I2339" s="245"/>
      <c r="R2339" s="363"/>
      <c r="S2339" s="325"/>
      <c r="T2339" s="85" ph="1"/>
      <c r="V2339" s="216"/>
      <c r="W2339" s="245"/>
      <c r="X2339" s="187"/>
      <c r="Y2339" s="245"/>
      <c r="Z2339" s="245"/>
      <c r="AA2339" s="329"/>
      <c r="AC2339" s="245"/>
      <c r="AD2339" s="187"/>
      <c r="AE2339" s="361"/>
      <c r="AF2339" s="245"/>
      <c r="AH2339" s="245"/>
    </row>
    <row r="2340" spans="1:34" ht="26.25">
      <c r="A2340" s="245"/>
      <c r="B2340" s="245"/>
      <c r="C2340" s="245"/>
      <c r="D2340" s="245"/>
      <c r="E2340" s="245"/>
      <c r="F2340" s="279"/>
      <c r="G2340" s="245"/>
      <c r="H2340" s="245"/>
      <c r="I2340" s="245"/>
      <c r="R2340" s="363"/>
      <c r="S2340" s="325"/>
      <c r="T2340" s="85" ph="1"/>
      <c r="V2340" s="216"/>
      <c r="W2340" s="245"/>
      <c r="X2340" s="187"/>
      <c r="Y2340" s="245"/>
      <c r="Z2340" s="245"/>
      <c r="AA2340" s="329"/>
      <c r="AC2340" s="245"/>
      <c r="AD2340" s="187"/>
      <c r="AE2340" s="361"/>
      <c r="AF2340" s="245"/>
      <c r="AH2340" s="245"/>
    </row>
    <row r="2341" spans="1:34" ht="26.25">
      <c r="A2341" s="245"/>
      <c r="B2341" s="245"/>
      <c r="C2341" s="245"/>
      <c r="D2341" s="245"/>
      <c r="E2341" s="245"/>
      <c r="F2341" s="279"/>
      <c r="G2341" s="245"/>
      <c r="H2341" s="245"/>
      <c r="I2341" s="245"/>
      <c r="R2341" s="363"/>
      <c r="S2341" s="325"/>
      <c r="T2341" s="85" ph="1"/>
      <c r="V2341" s="216"/>
      <c r="W2341" s="245"/>
      <c r="X2341" s="187"/>
      <c r="Y2341" s="245"/>
      <c r="Z2341" s="245"/>
      <c r="AA2341" s="329"/>
      <c r="AC2341" s="245"/>
      <c r="AD2341" s="187"/>
      <c r="AE2341" s="361"/>
      <c r="AF2341" s="245"/>
      <c r="AH2341" s="245"/>
    </row>
    <row r="2342" spans="1:34" ht="26.25">
      <c r="A2342" s="245"/>
      <c r="B2342" s="245"/>
      <c r="C2342" s="245"/>
      <c r="D2342" s="245"/>
      <c r="E2342" s="245"/>
      <c r="F2342" s="279"/>
      <c r="G2342" s="245"/>
      <c r="H2342" s="245"/>
      <c r="I2342" s="245"/>
      <c r="R2342" s="363"/>
      <c r="S2342" s="325"/>
      <c r="T2342" s="85" ph="1"/>
      <c r="V2342" s="216"/>
      <c r="W2342" s="245"/>
      <c r="X2342" s="187"/>
      <c r="Y2342" s="245"/>
      <c r="Z2342" s="245"/>
      <c r="AA2342" s="329"/>
      <c r="AC2342" s="245"/>
      <c r="AD2342" s="187"/>
      <c r="AE2342" s="361"/>
      <c r="AF2342" s="245"/>
      <c r="AH2342" s="245"/>
    </row>
    <row r="2343" spans="1:34" ht="26.25">
      <c r="A2343" s="245"/>
      <c r="B2343" s="245"/>
      <c r="C2343" s="245"/>
      <c r="D2343" s="245"/>
      <c r="E2343" s="245"/>
      <c r="F2343" s="279"/>
      <c r="G2343" s="245"/>
      <c r="H2343" s="245"/>
      <c r="I2343" s="245"/>
      <c r="R2343" s="363"/>
      <c r="S2343" s="325"/>
      <c r="T2343" s="85" ph="1"/>
      <c r="V2343" s="216"/>
      <c r="W2343" s="245"/>
      <c r="X2343" s="187"/>
      <c r="Y2343" s="245"/>
      <c r="Z2343" s="245"/>
      <c r="AA2343" s="329"/>
      <c r="AC2343" s="245"/>
      <c r="AD2343" s="187"/>
      <c r="AE2343" s="361"/>
      <c r="AF2343" s="245"/>
      <c r="AH2343" s="245"/>
    </row>
    <row r="2344" spans="1:34" ht="26.25">
      <c r="A2344" s="245"/>
      <c r="B2344" s="245"/>
      <c r="C2344" s="245"/>
      <c r="D2344" s="245"/>
      <c r="E2344" s="245"/>
      <c r="F2344" s="279"/>
      <c r="G2344" s="245"/>
      <c r="H2344" s="245"/>
      <c r="I2344" s="245"/>
      <c r="R2344" s="363"/>
      <c r="S2344" s="325"/>
      <c r="T2344" s="85" ph="1"/>
      <c r="V2344" s="216"/>
      <c r="W2344" s="245"/>
      <c r="X2344" s="187"/>
      <c r="Y2344" s="245"/>
      <c r="Z2344" s="245"/>
      <c r="AA2344" s="329"/>
      <c r="AC2344" s="245"/>
      <c r="AD2344" s="187"/>
      <c r="AE2344" s="361"/>
      <c r="AF2344" s="245"/>
      <c r="AH2344" s="245"/>
    </row>
    <row r="2345" spans="1:34" ht="26.25">
      <c r="A2345" s="245"/>
      <c r="B2345" s="245"/>
      <c r="C2345" s="245"/>
      <c r="D2345" s="245"/>
      <c r="E2345" s="245"/>
      <c r="F2345" s="279"/>
      <c r="G2345" s="245"/>
      <c r="H2345" s="245"/>
      <c r="I2345" s="245"/>
      <c r="R2345" s="363"/>
      <c r="S2345" s="325"/>
      <c r="T2345" s="85" ph="1"/>
      <c r="V2345" s="216"/>
      <c r="W2345" s="245"/>
      <c r="X2345" s="187"/>
      <c r="Y2345" s="245"/>
      <c r="Z2345" s="245"/>
      <c r="AA2345" s="329"/>
      <c r="AC2345" s="245"/>
      <c r="AD2345" s="187"/>
      <c r="AE2345" s="361"/>
      <c r="AF2345" s="245"/>
      <c r="AH2345" s="245"/>
    </row>
    <row r="2346" spans="1:34" ht="26.25">
      <c r="A2346" s="245"/>
      <c r="B2346" s="245"/>
      <c r="C2346" s="245"/>
      <c r="D2346" s="245"/>
      <c r="E2346" s="245"/>
      <c r="F2346" s="279"/>
      <c r="G2346" s="245"/>
      <c r="H2346" s="245"/>
      <c r="I2346" s="245"/>
      <c r="R2346" s="363"/>
      <c r="S2346" s="325"/>
      <c r="T2346" s="85" ph="1"/>
      <c r="V2346" s="216"/>
      <c r="W2346" s="245"/>
      <c r="X2346" s="187"/>
      <c r="Y2346" s="245"/>
      <c r="Z2346" s="245"/>
      <c r="AA2346" s="329"/>
      <c r="AC2346" s="245"/>
      <c r="AD2346" s="187"/>
      <c r="AE2346" s="361"/>
      <c r="AF2346" s="245"/>
      <c r="AH2346" s="245"/>
    </row>
    <row r="2347" spans="1:34" ht="26.25">
      <c r="A2347" s="245"/>
      <c r="B2347" s="245"/>
      <c r="C2347" s="245"/>
      <c r="D2347" s="245"/>
      <c r="E2347" s="245"/>
      <c r="F2347" s="279"/>
      <c r="G2347" s="245"/>
      <c r="H2347" s="245"/>
      <c r="I2347" s="245"/>
      <c r="R2347" s="363"/>
      <c r="S2347" s="325"/>
      <c r="T2347" s="85" ph="1"/>
      <c r="V2347" s="216"/>
      <c r="W2347" s="245"/>
      <c r="X2347" s="187"/>
      <c r="Y2347" s="245"/>
      <c r="Z2347" s="245"/>
      <c r="AA2347" s="329"/>
      <c r="AC2347" s="245"/>
      <c r="AD2347" s="187"/>
      <c r="AE2347" s="361"/>
      <c r="AF2347" s="245"/>
      <c r="AH2347" s="245"/>
    </row>
    <row r="2348" spans="1:34" ht="26.25">
      <c r="A2348" s="245"/>
      <c r="B2348" s="245"/>
      <c r="C2348" s="245"/>
      <c r="D2348" s="245"/>
      <c r="E2348" s="245"/>
      <c r="F2348" s="279"/>
      <c r="G2348" s="245"/>
      <c r="H2348" s="245"/>
      <c r="I2348" s="245"/>
      <c r="R2348" s="363"/>
      <c r="S2348" s="325"/>
      <c r="T2348" s="85" ph="1"/>
      <c r="V2348" s="216"/>
      <c r="W2348" s="245"/>
      <c r="X2348" s="187"/>
      <c r="Y2348" s="245"/>
      <c r="Z2348" s="245"/>
      <c r="AA2348" s="329"/>
      <c r="AC2348" s="245"/>
      <c r="AD2348" s="187"/>
      <c r="AE2348" s="361"/>
      <c r="AF2348" s="245"/>
      <c r="AH2348" s="245"/>
    </row>
    <row r="2349" spans="1:34" ht="26.25">
      <c r="A2349" s="245"/>
      <c r="B2349" s="245"/>
      <c r="C2349" s="245"/>
      <c r="D2349" s="245"/>
      <c r="E2349" s="245"/>
      <c r="F2349" s="279"/>
      <c r="G2349" s="245"/>
      <c r="H2349" s="245"/>
      <c r="I2349" s="245"/>
      <c r="R2349" s="363"/>
      <c r="S2349" s="325"/>
      <c r="T2349" s="85" ph="1"/>
      <c r="V2349" s="216"/>
      <c r="W2349" s="245"/>
      <c r="X2349" s="187"/>
      <c r="Y2349" s="245"/>
      <c r="Z2349" s="245"/>
      <c r="AA2349" s="329"/>
      <c r="AC2349" s="245"/>
      <c r="AD2349" s="187"/>
      <c r="AE2349" s="361"/>
      <c r="AF2349" s="245"/>
      <c r="AH2349" s="245"/>
    </row>
    <row r="2350" spans="1:34" ht="26.25">
      <c r="A2350" s="245"/>
      <c r="B2350" s="245"/>
      <c r="C2350" s="245"/>
      <c r="D2350" s="245"/>
      <c r="E2350" s="245"/>
      <c r="F2350" s="279"/>
      <c r="G2350" s="245"/>
      <c r="H2350" s="245"/>
      <c r="I2350" s="245"/>
      <c r="R2350" s="363"/>
      <c r="S2350" s="325"/>
      <c r="T2350" s="85" ph="1"/>
      <c r="V2350" s="216"/>
      <c r="W2350" s="245"/>
      <c r="X2350" s="187"/>
      <c r="Y2350" s="245"/>
      <c r="Z2350" s="245"/>
      <c r="AA2350" s="329"/>
      <c r="AC2350" s="245"/>
      <c r="AD2350" s="187"/>
      <c r="AE2350" s="361"/>
      <c r="AF2350" s="245"/>
      <c r="AH2350" s="245"/>
    </row>
    <row r="2351" spans="1:34" ht="26.25">
      <c r="A2351" s="245"/>
      <c r="B2351" s="245"/>
      <c r="C2351" s="245"/>
      <c r="D2351" s="245"/>
      <c r="E2351" s="245"/>
      <c r="F2351" s="279"/>
      <c r="G2351" s="245"/>
      <c r="H2351" s="245"/>
      <c r="I2351" s="245"/>
      <c r="R2351" s="363"/>
      <c r="S2351" s="325"/>
      <c r="T2351" s="85" ph="1"/>
      <c r="V2351" s="216"/>
      <c r="W2351" s="245"/>
      <c r="X2351" s="187"/>
      <c r="Y2351" s="245"/>
      <c r="Z2351" s="245"/>
      <c r="AA2351" s="329"/>
      <c r="AC2351" s="245"/>
      <c r="AD2351" s="187"/>
      <c r="AE2351" s="361"/>
      <c r="AF2351" s="245"/>
      <c r="AH2351" s="245"/>
    </row>
    <row r="2352" spans="1:34" ht="26.25">
      <c r="A2352" s="245"/>
      <c r="B2352" s="245"/>
      <c r="C2352" s="245"/>
      <c r="D2352" s="245"/>
      <c r="E2352" s="245"/>
      <c r="F2352" s="279"/>
      <c r="G2352" s="245"/>
      <c r="H2352" s="245"/>
      <c r="I2352" s="245"/>
      <c r="R2352" s="363"/>
      <c r="S2352" s="325"/>
      <c r="T2352" s="85" ph="1"/>
      <c r="V2352" s="216"/>
      <c r="W2352" s="245"/>
      <c r="X2352" s="187"/>
      <c r="Y2352" s="245"/>
      <c r="Z2352" s="245"/>
      <c r="AA2352" s="329"/>
      <c r="AC2352" s="245"/>
      <c r="AD2352" s="187"/>
      <c r="AE2352" s="361"/>
      <c r="AF2352" s="245"/>
      <c r="AH2352" s="245"/>
    </row>
    <row r="2353" spans="1:34" ht="26.25">
      <c r="A2353" s="245"/>
      <c r="B2353" s="245"/>
      <c r="C2353" s="245"/>
      <c r="D2353" s="245"/>
      <c r="E2353" s="245"/>
      <c r="F2353" s="279"/>
      <c r="G2353" s="245"/>
      <c r="H2353" s="245"/>
      <c r="I2353" s="245"/>
      <c r="R2353" s="363"/>
      <c r="S2353" s="325"/>
      <c r="T2353" s="85" ph="1"/>
      <c r="V2353" s="216"/>
      <c r="W2353" s="245"/>
      <c r="X2353" s="187"/>
      <c r="Y2353" s="245"/>
      <c r="Z2353" s="245"/>
      <c r="AA2353" s="329"/>
      <c r="AC2353" s="245"/>
      <c r="AD2353" s="187"/>
      <c r="AE2353" s="361"/>
      <c r="AF2353" s="245"/>
      <c r="AH2353" s="245"/>
    </row>
    <row r="2354" spans="1:34" ht="26.25">
      <c r="A2354" s="245"/>
      <c r="B2354" s="245"/>
      <c r="C2354" s="245"/>
      <c r="D2354" s="245"/>
      <c r="E2354" s="245"/>
      <c r="F2354" s="279"/>
      <c r="G2354" s="245"/>
      <c r="H2354" s="245"/>
      <c r="I2354" s="245"/>
      <c r="R2354" s="363"/>
      <c r="S2354" s="325"/>
      <c r="T2354" s="85" ph="1"/>
      <c r="V2354" s="216"/>
      <c r="W2354" s="245"/>
      <c r="X2354" s="187"/>
      <c r="Y2354" s="245"/>
      <c r="Z2354" s="245"/>
      <c r="AA2354" s="329"/>
      <c r="AC2354" s="245"/>
      <c r="AD2354" s="187"/>
      <c r="AE2354" s="361"/>
      <c r="AF2354" s="245"/>
      <c r="AH2354" s="245"/>
    </row>
    <row r="2355" spans="1:34" ht="26.25">
      <c r="A2355" s="245"/>
      <c r="B2355" s="245"/>
      <c r="C2355" s="245"/>
      <c r="D2355" s="245"/>
      <c r="E2355" s="245"/>
      <c r="F2355" s="279"/>
      <c r="G2355" s="245"/>
      <c r="H2355" s="245"/>
      <c r="I2355" s="245"/>
      <c r="R2355" s="363"/>
      <c r="S2355" s="325"/>
      <c r="T2355" s="85" ph="1"/>
      <c r="V2355" s="216"/>
      <c r="W2355" s="245"/>
      <c r="X2355" s="187"/>
      <c r="Y2355" s="245"/>
      <c r="Z2355" s="245"/>
      <c r="AA2355" s="329"/>
      <c r="AC2355" s="245"/>
      <c r="AD2355" s="187"/>
      <c r="AE2355" s="361"/>
      <c r="AF2355" s="245"/>
      <c r="AH2355" s="245"/>
    </row>
    <row r="2356" spans="1:34" ht="26.25">
      <c r="A2356" s="245"/>
      <c r="B2356" s="245"/>
      <c r="C2356" s="245"/>
      <c r="D2356" s="245"/>
      <c r="E2356" s="245"/>
      <c r="F2356" s="279"/>
      <c r="G2356" s="245"/>
      <c r="H2356" s="245"/>
      <c r="I2356" s="245"/>
      <c r="R2356" s="363"/>
      <c r="S2356" s="325"/>
      <c r="T2356" s="85" ph="1"/>
      <c r="V2356" s="216"/>
      <c r="W2356" s="245"/>
      <c r="X2356" s="187"/>
      <c r="Y2356" s="245"/>
      <c r="Z2356" s="245"/>
      <c r="AA2356" s="329"/>
      <c r="AC2356" s="245"/>
      <c r="AD2356" s="187"/>
      <c r="AE2356" s="361"/>
      <c r="AF2356" s="245"/>
      <c r="AH2356" s="245"/>
    </row>
    <row r="2357" spans="1:34" ht="26.25">
      <c r="A2357" s="245"/>
      <c r="B2357" s="245"/>
      <c r="C2357" s="245"/>
      <c r="D2357" s="245"/>
      <c r="E2357" s="245"/>
      <c r="F2357" s="279"/>
      <c r="G2357" s="245"/>
      <c r="H2357" s="245"/>
      <c r="I2357" s="245"/>
      <c r="R2357" s="363"/>
      <c r="S2357" s="325"/>
      <c r="T2357" s="85" ph="1"/>
      <c r="V2357" s="216"/>
      <c r="W2357" s="245"/>
      <c r="X2357" s="187"/>
      <c r="Y2357" s="245"/>
      <c r="Z2357" s="245"/>
      <c r="AA2357" s="329"/>
      <c r="AC2357" s="245"/>
      <c r="AD2357" s="187"/>
      <c r="AE2357" s="361"/>
      <c r="AF2357" s="245"/>
      <c r="AH2357" s="245"/>
    </row>
    <row r="2358" spans="1:34" ht="26.25">
      <c r="A2358" s="245"/>
      <c r="B2358" s="245"/>
      <c r="C2358" s="245"/>
      <c r="D2358" s="245"/>
      <c r="E2358" s="245"/>
      <c r="F2358" s="279"/>
      <c r="G2358" s="245"/>
      <c r="H2358" s="245"/>
      <c r="I2358" s="245"/>
      <c r="R2358" s="363"/>
      <c r="S2358" s="325"/>
      <c r="T2358" s="85" ph="1"/>
      <c r="V2358" s="216"/>
      <c r="W2358" s="245"/>
      <c r="X2358" s="187"/>
      <c r="Y2358" s="245"/>
      <c r="Z2358" s="245"/>
      <c r="AA2358" s="329"/>
      <c r="AC2358" s="245"/>
      <c r="AD2358" s="187"/>
      <c r="AE2358" s="361"/>
      <c r="AF2358" s="245"/>
      <c r="AH2358" s="245"/>
    </row>
    <row r="2359" spans="1:34" ht="26.25">
      <c r="A2359" s="245"/>
      <c r="B2359" s="245"/>
      <c r="C2359" s="245"/>
      <c r="D2359" s="245"/>
      <c r="E2359" s="245"/>
      <c r="F2359" s="279"/>
      <c r="G2359" s="245"/>
      <c r="H2359" s="245"/>
      <c r="I2359" s="245"/>
      <c r="R2359" s="363"/>
      <c r="S2359" s="325"/>
      <c r="T2359" s="85" ph="1"/>
      <c r="V2359" s="216"/>
      <c r="W2359" s="245"/>
      <c r="X2359" s="187"/>
      <c r="Y2359" s="245"/>
      <c r="Z2359" s="245"/>
      <c r="AA2359" s="329"/>
      <c r="AC2359" s="245"/>
      <c r="AD2359" s="187"/>
      <c r="AE2359" s="361"/>
      <c r="AF2359" s="245"/>
      <c r="AH2359" s="245"/>
    </row>
    <row r="2360" spans="1:34" ht="26.25">
      <c r="A2360" s="245"/>
      <c r="B2360" s="245"/>
      <c r="C2360" s="245"/>
      <c r="D2360" s="245"/>
      <c r="E2360" s="245"/>
      <c r="F2360" s="279"/>
      <c r="G2360" s="245"/>
      <c r="H2360" s="245"/>
      <c r="I2360" s="245"/>
      <c r="R2360" s="363"/>
      <c r="S2360" s="325"/>
      <c r="T2360" s="85" ph="1"/>
      <c r="V2360" s="216"/>
      <c r="W2360" s="245"/>
      <c r="X2360" s="187"/>
      <c r="Y2360" s="245"/>
      <c r="Z2360" s="245"/>
      <c r="AA2360" s="329"/>
      <c r="AC2360" s="245"/>
      <c r="AD2360" s="187"/>
      <c r="AE2360" s="361"/>
      <c r="AF2360" s="245"/>
      <c r="AH2360" s="245"/>
    </row>
    <row r="2361" spans="1:34" ht="26.25">
      <c r="A2361" s="245"/>
      <c r="B2361" s="245"/>
      <c r="C2361" s="245"/>
      <c r="D2361" s="245"/>
      <c r="E2361" s="245"/>
      <c r="F2361" s="279"/>
      <c r="G2361" s="245"/>
      <c r="H2361" s="245"/>
      <c r="I2361" s="245"/>
      <c r="R2361" s="363"/>
      <c r="S2361" s="325"/>
      <c r="T2361" s="85" ph="1"/>
      <c r="V2361" s="216"/>
      <c r="W2361" s="245"/>
      <c r="X2361" s="187"/>
      <c r="Y2361" s="245"/>
      <c r="Z2361" s="245"/>
      <c r="AA2361" s="329"/>
      <c r="AC2361" s="245"/>
      <c r="AD2361" s="187"/>
      <c r="AE2361" s="361"/>
      <c r="AF2361" s="245"/>
      <c r="AH2361" s="245"/>
    </row>
    <row r="2362" spans="1:34" ht="26.25">
      <c r="A2362" s="245"/>
      <c r="B2362" s="245"/>
      <c r="C2362" s="245"/>
      <c r="D2362" s="245"/>
      <c r="E2362" s="245"/>
      <c r="F2362" s="279"/>
      <c r="G2362" s="245"/>
      <c r="H2362" s="245"/>
      <c r="I2362" s="245"/>
      <c r="R2362" s="363"/>
      <c r="S2362" s="325"/>
      <c r="T2362" s="85" ph="1"/>
      <c r="V2362" s="216"/>
      <c r="W2362" s="245"/>
      <c r="X2362" s="187"/>
      <c r="Y2362" s="245"/>
      <c r="Z2362" s="245"/>
      <c r="AA2362" s="329"/>
      <c r="AC2362" s="245"/>
      <c r="AD2362" s="187"/>
      <c r="AE2362" s="361"/>
      <c r="AF2362" s="245"/>
      <c r="AH2362" s="245"/>
    </row>
    <row r="2363" spans="1:34" ht="26.25">
      <c r="A2363" s="245"/>
      <c r="B2363" s="245"/>
      <c r="C2363" s="245"/>
      <c r="D2363" s="245"/>
      <c r="E2363" s="245"/>
      <c r="F2363" s="279"/>
      <c r="G2363" s="245"/>
      <c r="H2363" s="245"/>
      <c r="I2363" s="245"/>
      <c r="R2363" s="363"/>
      <c r="S2363" s="325"/>
      <c r="T2363" s="85" ph="1"/>
      <c r="V2363" s="216"/>
      <c r="W2363" s="245"/>
      <c r="X2363" s="187"/>
      <c r="Y2363" s="245"/>
      <c r="Z2363" s="245"/>
      <c r="AA2363" s="329"/>
      <c r="AC2363" s="245"/>
      <c r="AD2363" s="187"/>
      <c r="AE2363" s="361"/>
      <c r="AF2363" s="245"/>
      <c r="AH2363" s="245"/>
    </row>
    <row r="2364" spans="1:34" ht="26.25">
      <c r="A2364" s="245"/>
      <c r="B2364" s="245"/>
      <c r="C2364" s="245"/>
      <c r="D2364" s="245"/>
      <c r="E2364" s="245"/>
      <c r="F2364" s="279"/>
      <c r="G2364" s="245"/>
      <c r="H2364" s="245"/>
      <c r="I2364" s="245"/>
      <c r="R2364" s="363"/>
      <c r="S2364" s="325"/>
      <c r="T2364" s="85" ph="1"/>
      <c r="V2364" s="216"/>
      <c r="W2364" s="245"/>
      <c r="X2364" s="187"/>
      <c r="Y2364" s="245"/>
      <c r="Z2364" s="245"/>
      <c r="AA2364" s="329"/>
      <c r="AC2364" s="245"/>
      <c r="AD2364" s="187"/>
      <c r="AE2364" s="361"/>
      <c r="AF2364" s="245"/>
      <c r="AH2364" s="245"/>
    </row>
    <row r="2365" spans="1:34" ht="26.25">
      <c r="A2365" s="245"/>
      <c r="B2365" s="245"/>
      <c r="C2365" s="245"/>
      <c r="D2365" s="245"/>
      <c r="E2365" s="245"/>
      <c r="F2365" s="279"/>
      <c r="G2365" s="245"/>
      <c r="H2365" s="245"/>
      <c r="I2365" s="245"/>
      <c r="R2365" s="363"/>
      <c r="S2365" s="325"/>
      <c r="T2365" s="85" ph="1"/>
      <c r="V2365" s="216"/>
      <c r="W2365" s="245"/>
      <c r="X2365" s="187"/>
      <c r="Y2365" s="245"/>
      <c r="Z2365" s="245"/>
      <c r="AA2365" s="329"/>
      <c r="AC2365" s="245"/>
      <c r="AD2365" s="187"/>
      <c r="AE2365" s="361"/>
      <c r="AF2365" s="245"/>
      <c r="AH2365" s="245"/>
    </row>
    <row r="2366" spans="1:34" ht="26.25">
      <c r="A2366" s="245"/>
      <c r="B2366" s="245"/>
      <c r="C2366" s="245"/>
      <c r="D2366" s="245"/>
      <c r="E2366" s="245"/>
      <c r="F2366" s="279"/>
      <c r="G2366" s="245"/>
      <c r="H2366" s="245"/>
      <c r="I2366" s="245"/>
      <c r="R2366" s="363"/>
      <c r="S2366" s="325"/>
      <c r="T2366" s="85" ph="1"/>
      <c r="V2366" s="216"/>
      <c r="W2366" s="245"/>
      <c r="X2366" s="187"/>
      <c r="Y2366" s="245"/>
      <c r="Z2366" s="245"/>
      <c r="AA2366" s="329"/>
      <c r="AC2366" s="245"/>
      <c r="AD2366" s="187"/>
      <c r="AE2366" s="361"/>
      <c r="AF2366" s="245"/>
      <c r="AH2366" s="245"/>
    </row>
    <row r="2367" spans="1:34" ht="26.25">
      <c r="A2367" s="245"/>
      <c r="B2367" s="245"/>
      <c r="C2367" s="245"/>
      <c r="D2367" s="245"/>
      <c r="E2367" s="245"/>
      <c r="F2367" s="279"/>
      <c r="G2367" s="245"/>
      <c r="H2367" s="245"/>
      <c r="I2367" s="245"/>
      <c r="R2367" s="363"/>
      <c r="S2367" s="325"/>
      <c r="T2367" s="85" ph="1"/>
      <c r="V2367" s="216"/>
      <c r="W2367" s="245"/>
      <c r="X2367" s="187"/>
      <c r="Y2367" s="245"/>
      <c r="Z2367" s="245"/>
      <c r="AA2367" s="329"/>
      <c r="AC2367" s="245"/>
      <c r="AD2367" s="187"/>
      <c r="AE2367" s="361"/>
      <c r="AF2367" s="245"/>
      <c r="AH2367" s="245"/>
    </row>
    <row r="2368" spans="1:34" ht="26.25">
      <c r="A2368" s="245"/>
      <c r="B2368" s="245"/>
      <c r="C2368" s="245"/>
      <c r="D2368" s="245"/>
      <c r="E2368" s="245"/>
      <c r="F2368" s="279"/>
      <c r="G2368" s="245"/>
      <c r="H2368" s="245"/>
      <c r="I2368" s="245"/>
      <c r="R2368" s="363"/>
      <c r="S2368" s="325"/>
      <c r="T2368" s="85" ph="1"/>
      <c r="V2368" s="216"/>
      <c r="W2368" s="245"/>
      <c r="X2368" s="187"/>
      <c r="Y2368" s="245"/>
      <c r="Z2368" s="245"/>
      <c r="AA2368" s="329"/>
      <c r="AC2368" s="245"/>
      <c r="AD2368" s="187"/>
      <c r="AE2368" s="361"/>
      <c r="AF2368" s="245"/>
      <c r="AH2368" s="245"/>
    </row>
    <row r="2369" spans="1:34" ht="26.25">
      <c r="A2369" s="245"/>
      <c r="B2369" s="245"/>
      <c r="C2369" s="245"/>
      <c r="D2369" s="245"/>
      <c r="E2369" s="245"/>
      <c r="F2369" s="279"/>
      <c r="G2369" s="245"/>
      <c r="H2369" s="245"/>
      <c r="I2369" s="245"/>
      <c r="R2369" s="363"/>
      <c r="S2369" s="325"/>
      <c r="T2369" s="85" ph="1"/>
      <c r="V2369" s="216"/>
      <c r="W2369" s="245"/>
      <c r="X2369" s="187"/>
      <c r="Y2369" s="245"/>
      <c r="Z2369" s="245"/>
      <c r="AA2369" s="329"/>
      <c r="AC2369" s="245"/>
      <c r="AD2369" s="187"/>
      <c r="AE2369" s="361"/>
      <c r="AF2369" s="245"/>
      <c r="AH2369" s="245"/>
    </row>
    <row r="2370" spans="1:34" ht="26.25">
      <c r="A2370" s="245"/>
      <c r="B2370" s="245"/>
      <c r="C2370" s="245"/>
      <c r="D2370" s="245"/>
      <c r="E2370" s="245"/>
      <c r="F2370" s="279"/>
      <c r="G2370" s="245"/>
      <c r="H2370" s="245"/>
      <c r="I2370" s="245"/>
      <c r="R2370" s="363"/>
      <c r="S2370" s="325"/>
      <c r="T2370" s="85" ph="1"/>
      <c r="V2370" s="216"/>
      <c r="W2370" s="245"/>
      <c r="X2370" s="187"/>
      <c r="Y2370" s="245"/>
      <c r="Z2370" s="245"/>
      <c r="AA2370" s="329"/>
      <c r="AC2370" s="245"/>
      <c r="AD2370" s="187"/>
      <c r="AE2370" s="361"/>
      <c r="AF2370" s="245"/>
      <c r="AH2370" s="245"/>
    </row>
    <row r="2371" spans="1:34" ht="26.25">
      <c r="A2371" s="245"/>
      <c r="B2371" s="245"/>
      <c r="C2371" s="245"/>
      <c r="D2371" s="245"/>
      <c r="E2371" s="245"/>
      <c r="F2371" s="279"/>
      <c r="G2371" s="245"/>
      <c r="H2371" s="245"/>
      <c r="I2371" s="245"/>
      <c r="R2371" s="363"/>
      <c r="S2371" s="325"/>
      <c r="T2371" s="85" ph="1"/>
      <c r="V2371" s="216"/>
      <c r="W2371" s="245"/>
      <c r="X2371" s="187"/>
      <c r="Y2371" s="245"/>
      <c r="Z2371" s="245"/>
      <c r="AA2371" s="329"/>
      <c r="AC2371" s="245"/>
      <c r="AD2371" s="187"/>
      <c r="AE2371" s="361"/>
      <c r="AF2371" s="245"/>
      <c r="AH2371" s="245"/>
    </row>
    <row r="2372" spans="1:34" ht="26.25">
      <c r="A2372" s="245"/>
      <c r="B2372" s="245"/>
      <c r="C2372" s="245"/>
      <c r="D2372" s="245"/>
      <c r="E2372" s="245"/>
      <c r="F2372" s="279"/>
      <c r="G2372" s="245"/>
      <c r="H2372" s="245"/>
      <c r="I2372" s="245"/>
      <c r="R2372" s="363"/>
      <c r="S2372" s="325"/>
      <c r="T2372" s="85" ph="1"/>
      <c r="V2372" s="216"/>
      <c r="W2372" s="245"/>
      <c r="X2372" s="187"/>
      <c r="Y2372" s="245"/>
      <c r="Z2372" s="245"/>
      <c r="AA2372" s="329"/>
      <c r="AC2372" s="245"/>
      <c r="AD2372" s="187"/>
      <c r="AE2372" s="361"/>
      <c r="AF2372" s="245"/>
      <c r="AH2372" s="245"/>
    </row>
    <row r="2373" spans="1:34" ht="26.25">
      <c r="A2373" s="245"/>
      <c r="B2373" s="245"/>
      <c r="C2373" s="245"/>
      <c r="D2373" s="245"/>
      <c r="E2373" s="245"/>
      <c r="F2373" s="279"/>
      <c r="G2373" s="245"/>
      <c r="H2373" s="245"/>
      <c r="I2373" s="245"/>
      <c r="R2373" s="363"/>
      <c r="S2373" s="325"/>
      <c r="T2373" s="85" ph="1"/>
      <c r="V2373" s="216"/>
      <c r="W2373" s="245"/>
      <c r="X2373" s="187"/>
      <c r="Y2373" s="245"/>
      <c r="Z2373" s="245"/>
      <c r="AA2373" s="329"/>
      <c r="AC2373" s="245"/>
      <c r="AD2373" s="187"/>
      <c r="AE2373" s="361"/>
      <c r="AF2373" s="245"/>
      <c r="AH2373" s="245"/>
    </row>
    <row r="2374" spans="1:34" ht="26.25">
      <c r="A2374" s="245"/>
      <c r="B2374" s="245"/>
      <c r="C2374" s="245"/>
      <c r="D2374" s="245"/>
      <c r="E2374" s="245"/>
      <c r="F2374" s="279"/>
      <c r="G2374" s="245"/>
      <c r="H2374" s="245"/>
      <c r="I2374" s="245"/>
      <c r="R2374" s="363"/>
      <c r="S2374" s="325"/>
      <c r="T2374" s="85" ph="1"/>
      <c r="V2374" s="216"/>
      <c r="W2374" s="245"/>
      <c r="X2374" s="187"/>
      <c r="Y2374" s="245"/>
      <c r="Z2374" s="245"/>
      <c r="AA2374" s="329"/>
      <c r="AC2374" s="245"/>
      <c r="AD2374" s="187"/>
      <c r="AE2374" s="361"/>
      <c r="AF2374" s="245"/>
      <c r="AH2374" s="245"/>
    </row>
    <row r="2375" spans="1:34" ht="26.25">
      <c r="A2375" s="245"/>
      <c r="B2375" s="245"/>
      <c r="C2375" s="245"/>
      <c r="D2375" s="245"/>
      <c r="E2375" s="245"/>
      <c r="F2375" s="279"/>
      <c r="G2375" s="245"/>
      <c r="H2375" s="245"/>
      <c r="I2375" s="245"/>
      <c r="R2375" s="363"/>
      <c r="S2375" s="325"/>
      <c r="T2375" s="85" ph="1"/>
      <c r="V2375" s="216"/>
      <c r="W2375" s="245"/>
      <c r="X2375" s="187"/>
      <c r="Y2375" s="245"/>
      <c r="Z2375" s="245"/>
      <c r="AA2375" s="329"/>
      <c r="AC2375" s="245"/>
      <c r="AD2375" s="187"/>
      <c r="AE2375" s="361"/>
      <c r="AF2375" s="245"/>
      <c r="AH2375" s="245"/>
    </row>
    <row r="2376" spans="1:34" ht="26.25">
      <c r="A2376" s="245"/>
      <c r="B2376" s="245"/>
      <c r="C2376" s="245"/>
      <c r="D2376" s="245"/>
      <c r="E2376" s="245"/>
      <c r="F2376" s="279"/>
      <c r="G2376" s="245"/>
      <c r="H2376" s="245"/>
      <c r="I2376" s="245"/>
      <c r="R2376" s="363"/>
      <c r="S2376" s="325"/>
      <c r="T2376" s="85" ph="1"/>
      <c r="V2376" s="216"/>
      <c r="W2376" s="245"/>
      <c r="X2376" s="187"/>
      <c r="Y2376" s="245"/>
      <c r="Z2376" s="245"/>
      <c r="AA2376" s="329"/>
      <c r="AC2376" s="245"/>
      <c r="AD2376" s="187"/>
      <c r="AE2376" s="361"/>
      <c r="AF2376" s="245"/>
      <c r="AH2376" s="245"/>
    </row>
    <row r="2377" spans="1:34" ht="26.25">
      <c r="A2377" s="245"/>
      <c r="B2377" s="245"/>
      <c r="C2377" s="245"/>
      <c r="D2377" s="245"/>
      <c r="E2377" s="245"/>
      <c r="F2377" s="279"/>
      <c r="G2377" s="245"/>
      <c r="H2377" s="245"/>
      <c r="I2377" s="245"/>
      <c r="R2377" s="363"/>
      <c r="S2377" s="325"/>
      <c r="T2377" s="85" ph="1"/>
      <c r="V2377" s="216"/>
      <c r="W2377" s="245"/>
      <c r="X2377" s="187"/>
      <c r="Y2377" s="245"/>
      <c r="Z2377" s="245"/>
      <c r="AA2377" s="329"/>
      <c r="AC2377" s="245"/>
      <c r="AD2377" s="187"/>
      <c r="AE2377" s="361"/>
      <c r="AF2377" s="245"/>
      <c r="AH2377" s="245"/>
    </row>
    <row r="2378" spans="1:34" ht="26.25">
      <c r="A2378" s="245"/>
      <c r="B2378" s="245"/>
      <c r="C2378" s="245"/>
      <c r="D2378" s="245"/>
      <c r="E2378" s="245"/>
      <c r="F2378" s="279"/>
      <c r="G2378" s="245"/>
      <c r="H2378" s="245"/>
      <c r="I2378" s="245"/>
      <c r="R2378" s="363"/>
      <c r="S2378" s="325"/>
      <c r="T2378" s="85" ph="1"/>
      <c r="V2378" s="216"/>
      <c r="W2378" s="245"/>
      <c r="X2378" s="187"/>
      <c r="Y2378" s="245"/>
      <c r="Z2378" s="245"/>
      <c r="AA2378" s="329"/>
      <c r="AC2378" s="245"/>
      <c r="AD2378" s="187"/>
      <c r="AE2378" s="361"/>
      <c r="AF2378" s="245"/>
      <c r="AH2378" s="245"/>
    </row>
    <row r="2379" spans="1:34" ht="26.25">
      <c r="A2379" s="245"/>
      <c r="B2379" s="245"/>
      <c r="C2379" s="245"/>
      <c r="D2379" s="245"/>
      <c r="E2379" s="245"/>
      <c r="F2379" s="279"/>
      <c r="G2379" s="245"/>
      <c r="H2379" s="245"/>
      <c r="I2379" s="245"/>
      <c r="R2379" s="363"/>
      <c r="S2379" s="325"/>
      <c r="T2379" s="85" ph="1"/>
      <c r="V2379" s="216"/>
      <c r="W2379" s="245"/>
      <c r="X2379" s="187"/>
      <c r="Y2379" s="245"/>
      <c r="Z2379" s="245"/>
      <c r="AA2379" s="329"/>
      <c r="AC2379" s="245"/>
      <c r="AD2379" s="187"/>
      <c r="AE2379" s="361"/>
      <c r="AF2379" s="245"/>
      <c r="AH2379" s="245"/>
    </row>
    <row r="2380" spans="1:34" ht="26.25">
      <c r="A2380" s="245"/>
      <c r="B2380" s="245"/>
      <c r="C2380" s="245"/>
      <c r="D2380" s="245"/>
      <c r="E2380" s="245"/>
      <c r="F2380" s="279"/>
      <c r="G2380" s="245"/>
      <c r="H2380" s="245"/>
      <c r="I2380" s="245"/>
      <c r="R2380" s="363"/>
      <c r="S2380" s="325"/>
      <c r="T2380" s="85" ph="1"/>
      <c r="V2380" s="216"/>
      <c r="W2380" s="245"/>
      <c r="X2380" s="187"/>
      <c r="Y2380" s="245"/>
      <c r="Z2380" s="245"/>
      <c r="AA2380" s="329"/>
      <c r="AC2380" s="245"/>
      <c r="AD2380" s="187"/>
      <c r="AE2380" s="361"/>
      <c r="AF2380" s="245"/>
      <c r="AH2380" s="245"/>
    </row>
    <row r="2381" spans="1:34" ht="26.25">
      <c r="A2381" s="245"/>
      <c r="B2381" s="245"/>
      <c r="C2381" s="245"/>
      <c r="D2381" s="245"/>
      <c r="E2381" s="245"/>
      <c r="F2381" s="279"/>
      <c r="G2381" s="245"/>
      <c r="H2381" s="245"/>
      <c r="I2381" s="245"/>
      <c r="R2381" s="363"/>
      <c r="S2381" s="325"/>
      <c r="T2381" s="85" ph="1"/>
      <c r="V2381" s="216"/>
      <c r="W2381" s="245"/>
      <c r="X2381" s="187"/>
      <c r="Y2381" s="245"/>
      <c r="Z2381" s="245"/>
      <c r="AA2381" s="329"/>
      <c r="AC2381" s="245"/>
      <c r="AD2381" s="187"/>
      <c r="AE2381" s="361"/>
      <c r="AF2381" s="245"/>
      <c r="AH2381" s="245"/>
    </row>
    <row r="2382" spans="1:34" ht="26.25">
      <c r="A2382" s="245"/>
      <c r="B2382" s="245"/>
      <c r="C2382" s="245"/>
      <c r="D2382" s="245"/>
      <c r="E2382" s="245"/>
      <c r="F2382" s="279"/>
      <c r="G2382" s="245"/>
      <c r="H2382" s="245"/>
      <c r="I2382" s="245"/>
      <c r="R2382" s="363"/>
      <c r="S2382" s="325"/>
      <c r="T2382" s="85" ph="1"/>
      <c r="V2382" s="216"/>
      <c r="W2382" s="245"/>
      <c r="X2382" s="187"/>
      <c r="Y2382" s="245"/>
      <c r="Z2382" s="245"/>
      <c r="AA2382" s="329"/>
      <c r="AC2382" s="245"/>
      <c r="AD2382" s="187"/>
      <c r="AE2382" s="361"/>
      <c r="AF2382" s="245"/>
      <c r="AH2382" s="245"/>
    </row>
    <row r="2383" spans="1:34" ht="26.25">
      <c r="A2383" s="245"/>
      <c r="B2383" s="245"/>
      <c r="C2383" s="245"/>
      <c r="D2383" s="245"/>
      <c r="E2383" s="245"/>
      <c r="F2383" s="279"/>
      <c r="G2383" s="245"/>
      <c r="H2383" s="245"/>
      <c r="I2383" s="245"/>
      <c r="R2383" s="363"/>
      <c r="S2383" s="325"/>
      <c r="T2383" s="85" ph="1"/>
      <c r="V2383" s="216"/>
      <c r="W2383" s="245"/>
      <c r="X2383" s="187"/>
      <c r="Y2383" s="245"/>
      <c r="Z2383" s="245"/>
      <c r="AA2383" s="329"/>
      <c r="AC2383" s="245"/>
      <c r="AD2383" s="187"/>
      <c r="AE2383" s="361"/>
      <c r="AF2383" s="245"/>
      <c r="AH2383" s="245"/>
    </row>
    <row r="2384" spans="1:34" ht="26.25">
      <c r="A2384" s="245"/>
      <c r="B2384" s="245"/>
      <c r="C2384" s="245"/>
      <c r="D2384" s="245"/>
      <c r="E2384" s="245"/>
      <c r="F2384" s="279"/>
      <c r="G2384" s="245"/>
      <c r="H2384" s="245"/>
      <c r="I2384" s="245"/>
      <c r="R2384" s="363"/>
      <c r="S2384" s="325"/>
      <c r="T2384" s="85" ph="1"/>
      <c r="V2384" s="216"/>
      <c r="W2384" s="245"/>
      <c r="X2384" s="187"/>
      <c r="Y2384" s="245"/>
      <c r="Z2384" s="245"/>
      <c r="AA2384" s="329"/>
      <c r="AC2384" s="245"/>
      <c r="AD2384" s="187"/>
      <c r="AE2384" s="361"/>
      <c r="AF2384" s="245"/>
      <c r="AH2384" s="245"/>
    </row>
    <row r="2385" spans="1:34" ht="26.25">
      <c r="A2385" s="245"/>
      <c r="B2385" s="245"/>
      <c r="C2385" s="245"/>
      <c r="D2385" s="245"/>
      <c r="E2385" s="245"/>
      <c r="F2385" s="279"/>
      <c r="G2385" s="245"/>
      <c r="H2385" s="245"/>
      <c r="I2385" s="245"/>
      <c r="R2385" s="363"/>
      <c r="S2385" s="325"/>
      <c r="T2385" s="85" ph="1"/>
      <c r="V2385" s="216"/>
      <c r="W2385" s="245"/>
      <c r="X2385" s="187"/>
      <c r="Y2385" s="245"/>
      <c r="Z2385" s="245"/>
      <c r="AA2385" s="329"/>
      <c r="AC2385" s="245"/>
      <c r="AD2385" s="187"/>
      <c r="AE2385" s="361"/>
      <c r="AF2385" s="245"/>
      <c r="AH2385" s="245"/>
    </row>
    <row r="2386" spans="1:34" ht="26.25">
      <c r="A2386" s="245"/>
      <c r="B2386" s="245"/>
      <c r="C2386" s="245"/>
      <c r="D2386" s="245"/>
      <c r="E2386" s="245"/>
      <c r="F2386" s="279"/>
      <c r="G2386" s="245"/>
      <c r="H2386" s="245"/>
      <c r="I2386" s="245"/>
      <c r="R2386" s="363"/>
      <c r="S2386" s="325"/>
      <c r="T2386" s="85" ph="1"/>
      <c r="V2386" s="216"/>
      <c r="W2386" s="245"/>
      <c r="X2386" s="187"/>
      <c r="Y2386" s="245"/>
      <c r="Z2386" s="245"/>
      <c r="AA2386" s="329"/>
      <c r="AC2386" s="245"/>
      <c r="AD2386" s="187"/>
      <c r="AE2386" s="361"/>
      <c r="AF2386" s="245"/>
      <c r="AH2386" s="245"/>
    </row>
    <row r="2387" spans="1:34" ht="26.25">
      <c r="A2387" s="245"/>
      <c r="B2387" s="245"/>
      <c r="C2387" s="245"/>
      <c r="D2387" s="245"/>
      <c r="E2387" s="245"/>
      <c r="F2387" s="279"/>
      <c r="G2387" s="245"/>
      <c r="H2387" s="245"/>
      <c r="I2387" s="245"/>
      <c r="R2387" s="363"/>
      <c r="S2387" s="325"/>
      <c r="T2387" s="85" ph="1"/>
      <c r="V2387" s="216"/>
      <c r="W2387" s="245"/>
      <c r="X2387" s="187"/>
      <c r="Y2387" s="245"/>
      <c r="Z2387" s="245"/>
      <c r="AA2387" s="329"/>
      <c r="AC2387" s="245"/>
      <c r="AD2387" s="187"/>
      <c r="AE2387" s="361"/>
      <c r="AF2387" s="245"/>
      <c r="AH2387" s="245"/>
    </row>
    <row r="2388" spans="1:34" ht="26.25">
      <c r="A2388" s="245"/>
      <c r="B2388" s="245"/>
      <c r="C2388" s="245"/>
      <c r="D2388" s="245"/>
      <c r="E2388" s="245"/>
      <c r="F2388" s="279"/>
      <c r="G2388" s="245"/>
      <c r="H2388" s="245"/>
      <c r="I2388" s="245"/>
      <c r="R2388" s="363"/>
      <c r="S2388" s="325"/>
      <c r="T2388" s="85" ph="1"/>
      <c r="V2388" s="216"/>
      <c r="W2388" s="245"/>
      <c r="X2388" s="187"/>
      <c r="Y2388" s="245"/>
      <c r="Z2388" s="245"/>
      <c r="AA2388" s="329"/>
      <c r="AC2388" s="245"/>
      <c r="AD2388" s="187"/>
      <c r="AE2388" s="361"/>
      <c r="AF2388" s="245"/>
      <c r="AH2388" s="245"/>
    </row>
    <row r="2389" spans="1:34" ht="26.25">
      <c r="A2389" s="245"/>
      <c r="B2389" s="245"/>
      <c r="C2389" s="245"/>
      <c r="D2389" s="245"/>
      <c r="E2389" s="245"/>
      <c r="F2389" s="279"/>
      <c r="G2389" s="245"/>
      <c r="H2389" s="245"/>
      <c r="I2389" s="245"/>
      <c r="R2389" s="363"/>
      <c r="S2389" s="325"/>
      <c r="T2389" s="85" ph="1"/>
      <c r="V2389" s="216"/>
      <c r="W2389" s="245"/>
      <c r="X2389" s="187"/>
      <c r="Y2389" s="245"/>
      <c r="Z2389" s="245"/>
      <c r="AA2389" s="329"/>
      <c r="AC2389" s="245"/>
      <c r="AD2389" s="187"/>
      <c r="AE2389" s="361"/>
      <c r="AF2389" s="245"/>
      <c r="AH2389" s="245"/>
    </row>
    <row r="2390" spans="1:34" ht="26.25">
      <c r="A2390" s="245"/>
      <c r="B2390" s="245"/>
      <c r="C2390" s="245"/>
      <c r="D2390" s="245"/>
      <c r="E2390" s="245"/>
      <c r="F2390" s="279"/>
      <c r="G2390" s="245"/>
      <c r="H2390" s="245"/>
      <c r="I2390" s="245"/>
      <c r="R2390" s="363"/>
      <c r="S2390" s="325"/>
      <c r="T2390" s="85" ph="1"/>
      <c r="V2390" s="216"/>
      <c r="W2390" s="245"/>
      <c r="X2390" s="187"/>
      <c r="Y2390" s="245"/>
      <c r="Z2390" s="245"/>
      <c r="AA2390" s="329"/>
      <c r="AC2390" s="245"/>
      <c r="AD2390" s="187"/>
      <c r="AE2390" s="361"/>
      <c r="AF2390" s="245"/>
      <c r="AH2390" s="245"/>
    </row>
    <row r="2391" spans="1:34" ht="26.25">
      <c r="A2391" s="245"/>
      <c r="B2391" s="245"/>
      <c r="C2391" s="245"/>
      <c r="D2391" s="245"/>
      <c r="E2391" s="245"/>
      <c r="F2391" s="279"/>
      <c r="G2391" s="245"/>
      <c r="H2391" s="245"/>
      <c r="I2391" s="245"/>
      <c r="R2391" s="363"/>
      <c r="S2391" s="325"/>
      <c r="T2391" s="85" ph="1"/>
      <c r="V2391" s="216"/>
      <c r="W2391" s="245"/>
      <c r="X2391" s="187"/>
      <c r="Y2391" s="245"/>
      <c r="Z2391" s="245"/>
      <c r="AA2391" s="329"/>
      <c r="AC2391" s="245"/>
      <c r="AD2391" s="187"/>
      <c r="AE2391" s="361"/>
      <c r="AF2391" s="245"/>
      <c r="AH2391" s="245"/>
    </row>
    <row r="2392" spans="1:34" ht="26.25">
      <c r="A2392" s="245"/>
      <c r="B2392" s="245"/>
      <c r="C2392" s="245"/>
      <c r="D2392" s="245"/>
      <c r="E2392" s="245"/>
      <c r="F2392" s="279"/>
      <c r="G2392" s="245"/>
      <c r="H2392" s="245"/>
      <c r="I2392" s="245"/>
      <c r="R2392" s="363"/>
      <c r="S2392" s="325"/>
      <c r="T2392" s="85" ph="1"/>
      <c r="V2392" s="216"/>
      <c r="W2392" s="245"/>
      <c r="X2392" s="187"/>
      <c r="Y2392" s="245"/>
      <c r="Z2392" s="245"/>
      <c r="AA2392" s="329"/>
      <c r="AC2392" s="245"/>
      <c r="AD2392" s="187"/>
      <c r="AE2392" s="361"/>
      <c r="AF2392" s="245"/>
      <c r="AH2392" s="245"/>
    </row>
    <row r="2393" spans="1:34" ht="26.25">
      <c r="A2393" s="245"/>
      <c r="B2393" s="245"/>
      <c r="C2393" s="245"/>
      <c r="D2393" s="245"/>
      <c r="E2393" s="245"/>
      <c r="F2393" s="279"/>
      <c r="G2393" s="245"/>
      <c r="H2393" s="245"/>
      <c r="I2393" s="245"/>
      <c r="R2393" s="363"/>
      <c r="S2393" s="325"/>
      <c r="T2393" s="85" ph="1"/>
      <c r="V2393" s="216"/>
      <c r="W2393" s="245"/>
      <c r="X2393" s="187"/>
      <c r="Y2393" s="245"/>
      <c r="Z2393" s="245"/>
      <c r="AA2393" s="329"/>
      <c r="AC2393" s="245"/>
      <c r="AD2393" s="187"/>
      <c r="AE2393" s="361"/>
      <c r="AF2393" s="245"/>
      <c r="AH2393" s="245"/>
    </row>
    <row r="2394" spans="1:34" ht="26.25">
      <c r="A2394" s="245"/>
      <c r="B2394" s="245"/>
      <c r="C2394" s="245"/>
      <c r="D2394" s="245"/>
      <c r="E2394" s="245"/>
      <c r="F2394" s="279"/>
      <c r="G2394" s="245"/>
      <c r="H2394" s="245"/>
      <c r="I2394" s="245"/>
      <c r="R2394" s="363"/>
      <c r="S2394" s="325"/>
      <c r="T2394" s="85" ph="1"/>
      <c r="V2394" s="216"/>
      <c r="W2394" s="245"/>
      <c r="X2394" s="187"/>
      <c r="Y2394" s="245"/>
      <c r="Z2394" s="245"/>
      <c r="AA2394" s="329"/>
      <c r="AC2394" s="245"/>
      <c r="AD2394" s="187"/>
      <c r="AE2394" s="361"/>
      <c r="AF2394" s="245"/>
      <c r="AH2394" s="245"/>
    </row>
    <row r="2395" spans="1:34" ht="26.25">
      <c r="A2395" s="245"/>
      <c r="B2395" s="245"/>
      <c r="C2395" s="245"/>
      <c r="D2395" s="245"/>
      <c r="E2395" s="245"/>
      <c r="F2395" s="279"/>
      <c r="G2395" s="245"/>
      <c r="H2395" s="245"/>
      <c r="I2395" s="245"/>
      <c r="R2395" s="363"/>
      <c r="S2395" s="325"/>
      <c r="T2395" s="85" ph="1"/>
      <c r="V2395" s="216"/>
      <c r="W2395" s="245"/>
      <c r="X2395" s="187"/>
      <c r="Y2395" s="245"/>
      <c r="Z2395" s="245"/>
      <c r="AA2395" s="329"/>
      <c r="AC2395" s="245"/>
      <c r="AD2395" s="187"/>
      <c r="AE2395" s="361"/>
      <c r="AF2395" s="245"/>
      <c r="AH2395" s="245"/>
    </row>
    <row r="2396" spans="1:34" ht="26.25">
      <c r="A2396" s="245"/>
      <c r="B2396" s="245"/>
      <c r="C2396" s="245"/>
      <c r="D2396" s="245"/>
      <c r="E2396" s="245"/>
      <c r="F2396" s="279"/>
      <c r="G2396" s="245"/>
      <c r="H2396" s="245"/>
      <c r="I2396" s="245"/>
      <c r="R2396" s="363"/>
      <c r="S2396" s="325"/>
      <c r="T2396" s="85" ph="1"/>
      <c r="V2396" s="216"/>
      <c r="W2396" s="245"/>
      <c r="X2396" s="187"/>
      <c r="Y2396" s="245"/>
      <c r="Z2396" s="245"/>
      <c r="AA2396" s="329"/>
      <c r="AC2396" s="245"/>
      <c r="AD2396" s="187"/>
      <c r="AE2396" s="361"/>
      <c r="AF2396" s="245"/>
      <c r="AH2396" s="245"/>
    </row>
    <row r="2397" spans="1:34" ht="26.25">
      <c r="A2397" s="245"/>
      <c r="B2397" s="245"/>
      <c r="C2397" s="245"/>
      <c r="D2397" s="245"/>
      <c r="E2397" s="245"/>
      <c r="F2397" s="279"/>
      <c r="G2397" s="245"/>
      <c r="H2397" s="245"/>
      <c r="I2397" s="245"/>
      <c r="R2397" s="363"/>
      <c r="S2397" s="325"/>
      <c r="T2397" s="85" ph="1"/>
      <c r="V2397" s="216"/>
      <c r="W2397" s="245"/>
      <c r="X2397" s="187"/>
      <c r="Y2397" s="245"/>
      <c r="Z2397" s="245"/>
      <c r="AA2397" s="329"/>
      <c r="AC2397" s="245"/>
      <c r="AD2397" s="187"/>
      <c r="AE2397" s="361"/>
      <c r="AF2397" s="245"/>
      <c r="AH2397" s="245"/>
    </row>
    <row r="2398" spans="1:34" ht="26.25">
      <c r="A2398" s="245"/>
      <c r="B2398" s="245"/>
      <c r="C2398" s="245"/>
      <c r="D2398" s="245"/>
      <c r="E2398" s="245"/>
      <c r="F2398" s="279"/>
      <c r="G2398" s="245"/>
      <c r="H2398" s="245"/>
      <c r="I2398" s="245"/>
      <c r="R2398" s="363"/>
      <c r="S2398" s="325"/>
      <c r="T2398" s="85" ph="1"/>
      <c r="V2398" s="216"/>
      <c r="W2398" s="245"/>
      <c r="X2398" s="187"/>
      <c r="Y2398" s="245"/>
      <c r="Z2398" s="245"/>
      <c r="AA2398" s="329"/>
      <c r="AC2398" s="245"/>
      <c r="AD2398" s="187"/>
      <c r="AE2398" s="361"/>
      <c r="AF2398" s="245"/>
      <c r="AH2398" s="245"/>
    </row>
    <row r="2399" spans="1:34" ht="26.25">
      <c r="A2399" s="245"/>
      <c r="B2399" s="245"/>
      <c r="C2399" s="245"/>
      <c r="D2399" s="245"/>
      <c r="E2399" s="245"/>
      <c r="F2399" s="279"/>
      <c r="G2399" s="245"/>
      <c r="H2399" s="245"/>
      <c r="I2399" s="245"/>
      <c r="R2399" s="363"/>
      <c r="S2399" s="325"/>
      <c r="T2399" s="85" ph="1"/>
      <c r="V2399" s="216"/>
      <c r="W2399" s="245"/>
      <c r="X2399" s="187"/>
      <c r="Y2399" s="245"/>
      <c r="Z2399" s="245"/>
      <c r="AA2399" s="329"/>
      <c r="AC2399" s="245"/>
      <c r="AD2399" s="187"/>
      <c r="AE2399" s="361"/>
      <c r="AF2399" s="245"/>
      <c r="AH2399" s="245"/>
    </row>
    <row r="2400" spans="1:34" ht="26.25">
      <c r="A2400" s="245"/>
      <c r="B2400" s="245"/>
      <c r="C2400" s="245"/>
      <c r="D2400" s="245"/>
      <c r="E2400" s="245"/>
      <c r="F2400" s="279"/>
      <c r="G2400" s="245"/>
      <c r="H2400" s="245"/>
      <c r="I2400" s="245"/>
      <c r="R2400" s="363"/>
      <c r="S2400" s="325"/>
      <c r="T2400" s="85" ph="1"/>
      <c r="V2400" s="216"/>
      <c r="W2400" s="245"/>
      <c r="X2400" s="187"/>
      <c r="Y2400" s="245"/>
      <c r="Z2400" s="245"/>
      <c r="AA2400" s="329"/>
      <c r="AC2400" s="245"/>
      <c r="AD2400" s="187"/>
      <c r="AE2400" s="361"/>
      <c r="AF2400" s="245"/>
      <c r="AH2400" s="245"/>
    </row>
    <row r="2401" spans="18:20" ht="26.25">
      <c r="R2401" s="363"/>
      <c r="T2401" s="85" ph="1"/>
    </row>
    <row r="2402" spans="18:20" ht="26.25">
      <c r="R2402" s="363"/>
      <c r="T2402" s="85" ph="1"/>
    </row>
    <row r="2403" spans="18:20" ht="26.25">
      <c r="R2403" s="363"/>
      <c r="T2403" s="85" ph="1"/>
    </row>
    <row r="2404" spans="18:20" ht="26.25">
      <c r="R2404" s="363"/>
      <c r="T2404" s="85" ph="1"/>
    </row>
    <row r="2405" spans="18:20" ht="26.25">
      <c r="R2405" s="363"/>
      <c r="T2405" s="85" ph="1"/>
    </row>
    <row r="2406" spans="18:20" ht="26.25">
      <c r="R2406" s="363"/>
      <c r="T2406" s="85" ph="1"/>
    </row>
    <row r="2407" spans="18:20" ht="26.25">
      <c r="R2407" s="363"/>
      <c r="T2407" s="85" ph="1"/>
    </row>
    <row r="2408" spans="18:20" ht="26.25">
      <c r="R2408" s="363"/>
      <c r="T2408" s="85" ph="1"/>
    </row>
    <row r="2409" spans="18:20" ht="26.25">
      <c r="R2409" s="363"/>
      <c r="T2409" s="85" ph="1"/>
    </row>
    <row r="2410" spans="18:20" ht="26.25">
      <c r="R2410" s="363"/>
      <c r="T2410" s="85" ph="1"/>
    </row>
    <row r="2411" spans="18:20" ht="26.25">
      <c r="R2411" s="363"/>
      <c r="T2411" s="85" ph="1"/>
    </row>
    <row r="2412" spans="18:20" ht="26.25">
      <c r="R2412" s="363"/>
      <c r="T2412" s="85" ph="1"/>
    </row>
    <row r="2413" spans="18:20" ht="26.25">
      <c r="T2413" s="85" ph="1"/>
    </row>
    <row r="2414" spans="18:20" ht="26.25">
      <c r="T2414" s="85" ph="1"/>
    </row>
    <row r="2415" spans="18:20" ht="26.25">
      <c r="T2415" s="85" ph="1"/>
    </row>
    <row r="2416" spans="18:20" ht="26.25">
      <c r="T2416" s="85" ph="1"/>
    </row>
    <row r="2417" spans="20:20" ht="26.25">
      <c r="T2417" s="85" ph="1"/>
    </row>
    <row r="2418" spans="20:20" ht="26.25">
      <c r="T2418" s="85" ph="1"/>
    </row>
    <row r="2419" spans="20:20" ht="26.25">
      <c r="T2419" s="85" ph="1"/>
    </row>
    <row r="2420" spans="20:20" ht="26.25">
      <c r="T2420" s="85" ph="1"/>
    </row>
    <row r="2421" spans="20:20" ht="26.25">
      <c r="T2421" s="85" ph="1"/>
    </row>
    <row r="2422" spans="20:20" ht="26.25">
      <c r="T2422" s="85" ph="1"/>
    </row>
    <row r="2423" spans="20:20" ht="26.25">
      <c r="T2423" s="85" ph="1"/>
    </row>
    <row r="2424" spans="20:20" ht="26.25">
      <c r="T2424" s="85" ph="1"/>
    </row>
    <row r="2425" spans="20:20" ht="26.25">
      <c r="T2425" s="85" ph="1"/>
    </row>
    <row r="2426" spans="20:20" ht="26.25">
      <c r="T2426" s="85" ph="1"/>
    </row>
    <row r="2427" spans="20:20" ht="26.25">
      <c r="T2427" s="85" ph="1"/>
    </row>
    <row r="2428" spans="20:20" ht="26.25">
      <c r="T2428" s="85" ph="1"/>
    </row>
    <row r="2429" spans="20:20" ht="26.25">
      <c r="T2429" s="85" ph="1"/>
    </row>
    <row r="2430" spans="20:20" ht="26.25">
      <c r="T2430" s="85" ph="1"/>
    </row>
    <row r="2431" spans="20:20" ht="26.25">
      <c r="T2431" s="85" ph="1"/>
    </row>
    <row r="2432" spans="20:20" ht="26.25">
      <c r="T2432" s="85" ph="1"/>
    </row>
    <row r="2433" spans="20:20" ht="26.25">
      <c r="T2433" s="85" ph="1"/>
    </row>
    <row r="2434" spans="20:20" ht="26.25">
      <c r="T2434" s="85" ph="1"/>
    </row>
    <row r="2435" spans="20:20" ht="26.25">
      <c r="T2435" s="85" ph="1"/>
    </row>
    <row r="2436" spans="20:20" ht="26.25">
      <c r="T2436" s="85" ph="1"/>
    </row>
    <row r="2437" spans="20:20" ht="26.25">
      <c r="T2437" s="85" ph="1"/>
    </row>
    <row r="2438" spans="20:20" ht="26.25">
      <c r="T2438" s="85" ph="1"/>
    </row>
    <row r="2439" spans="20:20" ht="26.25">
      <c r="T2439" s="85" ph="1"/>
    </row>
    <row r="2440" spans="20:20" ht="26.25">
      <c r="T2440" s="85" ph="1"/>
    </row>
    <row r="2441" spans="20:20" ht="26.25">
      <c r="T2441" s="85" ph="1"/>
    </row>
    <row r="2442" spans="20:20" ht="26.25">
      <c r="T2442" s="85" ph="1"/>
    </row>
    <row r="2443" spans="20:20" ht="26.25">
      <c r="T2443" s="85" ph="1"/>
    </row>
    <row r="2444" spans="20:20" ht="26.25">
      <c r="T2444" s="85" ph="1"/>
    </row>
    <row r="2445" spans="20:20" ht="26.25">
      <c r="T2445" s="85" ph="1"/>
    </row>
    <row r="2446" spans="20:20" ht="26.25">
      <c r="T2446" s="85" ph="1"/>
    </row>
    <row r="2447" spans="20:20" ht="26.25">
      <c r="T2447" s="85" ph="1"/>
    </row>
    <row r="2448" spans="20:20" ht="26.25">
      <c r="T2448" s="85" ph="1"/>
    </row>
    <row r="2449" spans="20:20" ht="26.25">
      <c r="T2449" s="85" ph="1"/>
    </row>
    <row r="2450" spans="20:20" ht="26.25">
      <c r="T2450" s="85" ph="1"/>
    </row>
    <row r="2451" spans="20:20" ht="26.25">
      <c r="T2451" s="85" ph="1"/>
    </row>
    <row r="2452" spans="20:20" ht="26.25">
      <c r="T2452" s="85" ph="1"/>
    </row>
    <row r="2453" spans="20:20" ht="26.25">
      <c r="T2453" s="85" ph="1"/>
    </row>
    <row r="2454" spans="20:20" ht="26.25">
      <c r="T2454" s="85" ph="1"/>
    </row>
    <row r="2455" spans="20:20" ht="26.25">
      <c r="T2455" s="85" ph="1"/>
    </row>
    <row r="2456" spans="20:20" ht="26.25">
      <c r="T2456" s="85" ph="1"/>
    </row>
    <row r="2457" spans="20:20" ht="26.25">
      <c r="T2457" s="85" ph="1"/>
    </row>
    <row r="2458" spans="20:20" ht="26.25">
      <c r="T2458" s="85" ph="1"/>
    </row>
    <row r="2459" spans="20:20" ht="26.25">
      <c r="T2459" s="85" ph="1"/>
    </row>
    <row r="2460" spans="20:20" ht="26.25">
      <c r="T2460" s="85" ph="1"/>
    </row>
    <row r="2461" spans="20:20" ht="26.25">
      <c r="T2461" s="85" ph="1"/>
    </row>
    <row r="2462" spans="20:20" ht="26.25">
      <c r="T2462" s="85" ph="1"/>
    </row>
    <row r="2463" spans="20:20" ht="26.25">
      <c r="T2463" s="85" ph="1"/>
    </row>
    <row r="2464" spans="20:20" ht="26.25">
      <c r="T2464" s="85" ph="1"/>
    </row>
    <row r="2465" spans="20:20" ht="26.25">
      <c r="T2465" s="85" ph="1"/>
    </row>
    <row r="2466" spans="20:20" ht="26.25">
      <c r="T2466" s="85" ph="1"/>
    </row>
    <row r="2467" spans="20:20" ht="26.25">
      <c r="T2467" s="85" ph="1"/>
    </row>
    <row r="2468" spans="20:20" ht="26.25">
      <c r="T2468" s="85" ph="1"/>
    </row>
    <row r="2469" spans="20:20" ht="26.25">
      <c r="T2469" s="85" ph="1"/>
    </row>
    <row r="2470" spans="20:20" ht="26.25">
      <c r="T2470" s="85" ph="1"/>
    </row>
    <row r="2471" spans="20:20" ht="26.25">
      <c r="T2471" s="85" ph="1"/>
    </row>
    <row r="2472" spans="20:20" ht="26.25">
      <c r="T2472" s="85" ph="1"/>
    </row>
    <row r="2473" spans="20:20" ht="26.25">
      <c r="T2473" s="85" ph="1"/>
    </row>
    <row r="2474" spans="20:20" ht="26.25">
      <c r="T2474" s="85" ph="1"/>
    </row>
    <row r="2475" spans="20:20" ht="26.25">
      <c r="T2475" s="85" ph="1"/>
    </row>
    <row r="2476" spans="20:20" ht="26.25">
      <c r="T2476" s="85" ph="1"/>
    </row>
    <row r="2477" spans="20:20" ht="26.25">
      <c r="T2477" s="85" ph="1"/>
    </row>
    <row r="2478" spans="20:20" ht="26.25">
      <c r="T2478" s="85" ph="1"/>
    </row>
    <row r="2479" spans="20:20" ht="26.25">
      <c r="T2479" s="85" ph="1"/>
    </row>
    <row r="2480" spans="20:20" ht="26.25">
      <c r="T2480" s="85" ph="1"/>
    </row>
    <row r="2481" spans="20:20" ht="26.25">
      <c r="T2481" s="85" ph="1"/>
    </row>
    <row r="2482" spans="20:20" ht="26.25">
      <c r="T2482" s="85" ph="1"/>
    </row>
    <row r="2483" spans="20:20" ht="26.25">
      <c r="T2483" s="85" ph="1"/>
    </row>
    <row r="2484" spans="20:20" ht="26.25">
      <c r="T2484" s="85" ph="1"/>
    </row>
    <row r="2485" spans="20:20" ht="26.25">
      <c r="T2485" s="85" ph="1"/>
    </row>
    <row r="2486" spans="20:20" ht="26.25">
      <c r="T2486" s="85" ph="1"/>
    </row>
    <row r="2487" spans="20:20" ht="26.25">
      <c r="T2487" s="85" ph="1"/>
    </row>
    <row r="2488" spans="20:20" ht="26.25">
      <c r="T2488" s="85" ph="1"/>
    </row>
    <row r="2489" spans="20:20" ht="26.25">
      <c r="T2489" s="85" ph="1"/>
    </row>
    <row r="2490" spans="20:20" ht="26.25">
      <c r="T2490" s="85" ph="1"/>
    </row>
    <row r="2491" spans="20:20" ht="26.25">
      <c r="T2491" s="85" ph="1"/>
    </row>
    <row r="2492" spans="20:20" ht="26.25">
      <c r="T2492" s="85" ph="1"/>
    </row>
    <row r="2493" spans="20:20" ht="26.25">
      <c r="T2493" s="85" ph="1"/>
    </row>
    <row r="2494" spans="20:20" ht="26.25">
      <c r="T2494" s="85" ph="1"/>
    </row>
    <row r="2495" spans="20:20" ht="26.25">
      <c r="T2495" s="85" ph="1"/>
    </row>
    <row r="2496" spans="20:20" ht="26.25">
      <c r="T2496" s="85" ph="1"/>
    </row>
    <row r="2497" spans="20:20" ht="26.25">
      <c r="T2497" s="85" ph="1"/>
    </row>
    <row r="2498" spans="20:20" ht="26.25">
      <c r="T2498" s="85" ph="1"/>
    </row>
    <row r="2499" spans="20:20" ht="26.25">
      <c r="T2499" s="85" ph="1"/>
    </row>
    <row r="2500" spans="20:20" ht="26.25">
      <c r="T2500" s="85" ph="1"/>
    </row>
    <row r="2501" spans="20:20" ht="26.25">
      <c r="T2501" s="85" ph="1"/>
    </row>
    <row r="2502" spans="20:20" ht="26.25">
      <c r="T2502" s="85" ph="1"/>
    </row>
    <row r="2503" spans="20:20" ht="26.25">
      <c r="T2503" s="85" ph="1"/>
    </row>
    <row r="2504" spans="20:20" ht="26.25">
      <c r="T2504" s="85" ph="1"/>
    </row>
    <row r="2505" spans="20:20" ht="26.25">
      <c r="T2505" s="85" ph="1"/>
    </row>
    <row r="2506" spans="20:20" ht="26.25">
      <c r="T2506" s="85" ph="1"/>
    </row>
    <row r="2507" spans="20:20" ht="26.25">
      <c r="T2507" s="85" ph="1"/>
    </row>
    <row r="2508" spans="20:20" ht="26.25">
      <c r="T2508" s="85" ph="1"/>
    </row>
    <row r="2509" spans="20:20" ht="26.25">
      <c r="T2509" s="85" ph="1"/>
    </row>
    <row r="2510" spans="20:20" ht="26.25">
      <c r="T2510" s="85" ph="1"/>
    </row>
    <row r="2511" spans="20:20" ht="26.25">
      <c r="T2511" s="85" ph="1"/>
    </row>
    <row r="2512" spans="20:20" ht="26.25">
      <c r="T2512" s="85" ph="1"/>
    </row>
    <row r="2513" spans="20:20" ht="26.25">
      <c r="T2513" s="85" ph="1"/>
    </row>
    <row r="2514" spans="20:20" ht="26.25">
      <c r="T2514" s="85" ph="1"/>
    </row>
    <row r="2515" spans="20:20" ht="26.25">
      <c r="T2515" s="85" ph="1"/>
    </row>
    <row r="2516" spans="20:20" ht="26.25">
      <c r="T2516" s="85" ph="1"/>
    </row>
    <row r="2517" spans="20:20" ht="26.25">
      <c r="T2517" s="85" ph="1"/>
    </row>
    <row r="2518" spans="20:20" ht="26.25">
      <c r="T2518" s="85" ph="1"/>
    </row>
    <row r="2519" spans="20:20" ht="26.25">
      <c r="T2519" s="85" ph="1"/>
    </row>
    <row r="2520" spans="20:20" ht="26.25">
      <c r="T2520" s="85" ph="1"/>
    </row>
    <row r="2521" spans="20:20" ht="26.25">
      <c r="T2521" s="85" ph="1"/>
    </row>
    <row r="2522" spans="20:20" ht="26.25">
      <c r="T2522" s="85" ph="1"/>
    </row>
    <row r="2523" spans="20:20" ht="26.25">
      <c r="T2523" s="85" ph="1"/>
    </row>
    <row r="2524" spans="20:20" ht="26.25">
      <c r="T2524" s="85" ph="1"/>
    </row>
    <row r="2525" spans="20:20" ht="26.25">
      <c r="T2525" s="85" ph="1"/>
    </row>
    <row r="2526" spans="20:20" ht="26.25">
      <c r="T2526" s="85" ph="1"/>
    </row>
    <row r="2527" spans="20:20" ht="26.25">
      <c r="T2527" s="85" ph="1"/>
    </row>
    <row r="2528" spans="20:20" ht="26.25">
      <c r="T2528" s="85" ph="1"/>
    </row>
    <row r="2529" spans="20:20" ht="26.25">
      <c r="T2529" s="85" ph="1"/>
    </row>
    <row r="2530" spans="20:20" ht="26.25">
      <c r="T2530" s="85" ph="1"/>
    </row>
    <row r="2531" spans="20:20" ht="26.25">
      <c r="T2531" s="85" ph="1"/>
    </row>
    <row r="2532" spans="20:20" ht="26.25">
      <c r="T2532" s="85" ph="1"/>
    </row>
    <row r="2533" spans="20:20" ht="26.25">
      <c r="T2533" s="85" ph="1"/>
    </row>
    <row r="2534" spans="20:20" ht="26.25">
      <c r="T2534" s="85" ph="1"/>
    </row>
    <row r="2535" spans="20:20" ht="26.25">
      <c r="T2535" s="85" ph="1"/>
    </row>
    <row r="2536" spans="20:20" ht="26.25">
      <c r="T2536" s="85" ph="1"/>
    </row>
    <row r="2537" spans="20:20" ht="26.25">
      <c r="T2537" s="85" ph="1"/>
    </row>
    <row r="2538" spans="20:20" ht="26.25">
      <c r="T2538" s="85" ph="1"/>
    </row>
    <row r="2539" spans="20:20" ht="26.25">
      <c r="T2539" s="85" ph="1"/>
    </row>
    <row r="2540" spans="20:20" ht="26.25">
      <c r="T2540" s="85" ph="1"/>
    </row>
    <row r="2541" spans="20:20" ht="26.25">
      <c r="T2541" s="85" ph="1"/>
    </row>
    <row r="2542" spans="20:20" ht="26.25">
      <c r="T2542" s="85" ph="1"/>
    </row>
    <row r="2543" spans="20:20" ht="26.25">
      <c r="T2543" s="85" ph="1"/>
    </row>
    <row r="2544" spans="20:20" ht="26.25">
      <c r="T2544" s="85" ph="1"/>
    </row>
    <row r="2545" spans="20:20" ht="26.25">
      <c r="T2545" s="85" ph="1"/>
    </row>
    <row r="2546" spans="20:20" ht="26.25">
      <c r="T2546" s="85" ph="1"/>
    </row>
    <row r="2547" spans="20:20" ht="26.25">
      <c r="T2547" s="85" ph="1"/>
    </row>
    <row r="2548" spans="20:20" ht="26.25">
      <c r="T2548" s="85" ph="1"/>
    </row>
    <row r="2549" spans="20:20" ht="26.25">
      <c r="T2549" s="85" ph="1"/>
    </row>
    <row r="2550" spans="20:20" ht="26.25">
      <c r="T2550" s="85" ph="1"/>
    </row>
    <row r="2551" spans="20:20" ht="26.25">
      <c r="T2551" s="85" ph="1"/>
    </row>
    <row r="2552" spans="20:20" ht="26.25">
      <c r="T2552" s="85" ph="1"/>
    </row>
    <row r="2553" spans="20:20" ht="26.25">
      <c r="T2553" s="85" ph="1"/>
    </row>
    <row r="2554" spans="20:20" ht="26.25">
      <c r="T2554" s="85" ph="1"/>
    </row>
    <row r="2555" spans="20:20" ht="26.25">
      <c r="T2555" s="85" ph="1"/>
    </row>
    <row r="2556" spans="20:20" ht="26.25">
      <c r="T2556" s="85" ph="1"/>
    </row>
    <row r="2557" spans="20:20" ht="26.25">
      <c r="T2557" s="85" ph="1"/>
    </row>
    <row r="2558" spans="20:20" ht="26.25">
      <c r="T2558" s="85" ph="1"/>
    </row>
    <row r="2559" spans="20:20" ht="26.25">
      <c r="T2559" s="85" ph="1"/>
    </row>
    <row r="2560" spans="20:20" ht="26.25">
      <c r="T2560" s="85" ph="1"/>
    </row>
    <row r="2561" spans="20:20" ht="26.25">
      <c r="T2561" s="85" ph="1"/>
    </row>
    <row r="2562" spans="20:20" ht="26.25">
      <c r="T2562" s="85" ph="1"/>
    </row>
    <row r="2563" spans="20:20" ht="26.25">
      <c r="T2563" s="85" ph="1"/>
    </row>
    <row r="2564" spans="20:20" ht="26.25">
      <c r="T2564" s="85" ph="1"/>
    </row>
    <row r="2565" spans="20:20" ht="26.25">
      <c r="T2565" s="85" ph="1"/>
    </row>
    <row r="2566" spans="20:20" ht="26.25">
      <c r="T2566" s="85" ph="1"/>
    </row>
    <row r="2567" spans="20:20" ht="26.25">
      <c r="T2567" s="85" ph="1"/>
    </row>
    <row r="2568" spans="20:20" ht="26.25">
      <c r="T2568" s="85" ph="1"/>
    </row>
    <row r="2569" spans="20:20" ht="26.25">
      <c r="T2569" s="85" ph="1"/>
    </row>
    <row r="2570" spans="20:20" ht="26.25">
      <c r="T2570" s="85" ph="1"/>
    </row>
    <row r="2571" spans="20:20" ht="26.25">
      <c r="T2571" s="85" ph="1"/>
    </row>
    <row r="2572" spans="20:20" ht="26.25">
      <c r="T2572" s="85" ph="1"/>
    </row>
    <row r="2573" spans="20:20" ht="26.25">
      <c r="T2573" s="85" ph="1"/>
    </row>
    <row r="2574" spans="20:20" ht="26.25">
      <c r="T2574" s="85" ph="1"/>
    </row>
    <row r="2575" spans="20:20" ht="26.25">
      <c r="T2575" s="85" ph="1"/>
    </row>
    <row r="2576" spans="20:20" ht="26.25">
      <c r="T2576" s="85" ph="1"/>
    </row>
    <row r="2577" spans="20:20" ht="26.25">
      <c r="T2577" s="85" ph="1"/>
    </row>
    <row r="2578" spans="20:20" ht="26.25">
      <c r="T2578" s="85" ph="1"/>
    </row>
    <row r="2579" spans="20:20" ht="26.25">
      <c r="T2579" s="85" ph="1"/>
    </row>
    <row r="2580" spans="20:20" ht="26.25">
      <c r="T2580" s="85" ph="1"/>
    </row>
    <row r="2581" spans="20:20" ht="26.25">
      <c r="T2581" s="85" ph="1"/>
    </row>
    <row r="2582" spans="20:20" ht="26.25">
      <c r="T2582" s="85" ph="1"/>
    </row>
    <row r="2583" spans="20:20" ht="26.25">
      <c r="T2583" s="85" ph="1"/>
    </row>
    <row r="2584" spans="20:20" ht="26.25">
      <c r="T2584" s="85" ph="1"/>
    </row>
    <row r="2585" spans="20:20" ht="26.25">
      <c r="T2585" s="85" ph="1"/>
    </row>
    <row r="2586" spans="20:20" ht="26.25">
      <c r="T2586" s="85" ph="1"/>
    </row>
    <row r="2587" spans="20:20" ht="26.25">
      <c r="T2587" s="85" ph="1"/>
    </row>
    <row r="2588" spans="20:20" ht="26.25">
      <c r="T2588" s="85" ph="1"/>
    </row>
    <row r="2589" spans="20:20" ht="26.25">
      <c r="T2589" s="85" ph="1"/>
    </row>
    <row r="2590" spans="20:20" ht="26.25">
      <c r="T2590" s="85" ph="1"/>
    </row>
    <row r="2591" spans="20:20" ht="26.25">
      <c r="T2591" s="85" ph="1"/>
    </row>
    <row r="2592" spans="20:20" ht="26.25">
      <c r="T2592" s="85" ph="1"/>
    </row>
    <row r="2593" spans="20:20" ht="26.25">
      <c r="T2593" s="85" ph="1"/>
    </row>
    <row r="2594" spans="20:20" ht="26.25">
      <c r="T2594" s="85" ph="1"/>
    </row>
    <row r="2595" spans="20:20" ht="26.25">
      <c r="T2595" s="85" ph="1"/>
    </row>
    <row r="2596" spans="20:20" ht="26.25">
      <c r="T2596" s="85" ph="1"/>
    </row>
    <row r="2597" spans="20:20" ht="26.25">
      <c r="T2597" s="85" ph="1"/>
    </row>
    <row r="2598" spans="20:20" ht="26.25">
      <c r="T2598" s="85" ph="1"/>
    </row>
    <row r="2599" spans="20:20" ht="26.25">
      <c r="T2599" s="85" ph="1"/>
    </row>
    <row r="2600" spans="20:20" ht="26.25">
      <c r="T2600" s="85" ph="1"/>
    </row>
    <row r="2601" spans="20:20" ht="26.25">
      <c r="T2601" s="85" ph="1"/>
    </row>
    <row r="2602" spans="20:20" ht="26.25">
      <c r="T2602" s="85" ph="1"/>
    </row>
    <row r="2603" spans="20:20" ht="26.25">
      <c r="T2603" s="85" ph="1"/>
    </row>
    <row r="2604" spans="20:20" ht="26.25">
      <c r="T2604" s="85" ph="1"/>
    </row>
    <row r="2605" spans="20:20" ht="26.25">
      <c r="T2605" s="85" ph="1"/>
    </row>
    <row r="2606" spans="20:20" ht="26.25">
      <c r="T2606" s="85" ph="1"/>
    </row>
    <row r="2607" spans="20:20" ht="26.25">
      <c r="T2607" s="85" ph="1"/>
    </row>
    <row r="2608" spans="20:20" ht="26.25">
      <c r="T2608" s="85" ph="1"/>
    </row>
    <row r="2609" spans="20:20" ht="26.25">
      <c r="T2609" s="85" ph="1"/>
    </row>
    <row r="2610" spans="20:20" ht="26.25">
      <c r="T2610" s="85" ph="1"/>
    </row>
    <row r="2611" spans="20:20" ht="26.25">
      <c r="T2611" s="85" ph="1"/>
    </row>
    <row r="2612" spans="20:20" ht="26.25">
      <c r="T2612" s="85" ph="1"/>
    </row>
    <row r="2613" spans="20:20" ht="26.25">
      <c r="T2613" s="85" ph="1"/>
    </row>
    <row r="2614" spans="20:20" ht="26.25">
      <c r="T2614" s="85" ph="1"/>
    </row>
    <row r="2615" spans="20:20" ht="26.25">
      <c r="T2615" s="85" ph="1"/>
    </row>
    <row r="2616" spans="20:20" ht="26.25">
      <c r="T2616" s="85" ph="1"/>
    </row>
    <row r="2617" spans="20:20" ht="26.25">
      <c r="T2617" s="85" ph="1"/>
    </row>
    <row r="2618" spans="20:20" ht="26.25">
      <c r="T2618" s="85" ph="1"/>
    </row>
    <row r="2619" spans="20:20" ht="26.25">
      <c r="T2619" s="85" ph="1"/>
    </row>
    <row r="2620" spans="20:20" ht="26.25">
      <c r="T2620" s="85" ph="1"/>
    </row>
    <row r="2621" spans="20:20" ht="26.25">
      <c r="T2621" s="85" ph="1"/>
    </row>
    <row r="2622" spans="20:20" ht="26.25">
      <c r="T2622" s="85" ph="1"/>
    </row>
    <row r="2623" spans="20:20" ht="26.25">
      <c r="T2623" s="85" ph="1"/>
    </row>
    <row r="2624" spans="20:20" ht="26.25">
      <c r="T2624" s="85" ph="1"/>
    </row>
    <row r="2625" spans="20:20" ht="26.25">
      <c r="T2625" s="85" ph="1"/>
    </row>
    <row r="2626" spans="20:20" ht="26.25">
      <c r="T2626" s="85" ph="1"/>
    </row>
    <row r="2627" spans="20:20" ht="26.25">
      <c r="T2627" s="85" ph="1"/>
    </row>
    <row r="2628" spans="20:20" ht="26.25">
      <c r="T2628" s="85" ph="1"/>
    </row>
    <row r="2629" spans="20:20" ht="26.25">
      <c r="T2629" s="85" ph="1"/>
    </row>
    <row r="2630" spans="20:20" ht="26.25">
      <c r="T2630" s="85" ph="1"/>
    </row>
    <row r="2631" spans="20:20" ht="26.25">
      <c r="T2631" s="85" ph="1"/>
    </row>
    <row r="2632" spans="20:20" ht="26.25">
      <c r="T2632" s="85" ph="1"/>
    </row>
    <row r="2633" spans="20:20" ht="26.25">
      <c r="T2633" s="85" ph="1"/>
    </row>
    <row r="2634" spans="20:20" ht="26.25">
      <c r="T2634" s="85" ph="1"/>
    </row>
    <row r="2635" spans="20:20" ht="26.25">
      <c r="T2635" s="85" ph="1"/>
    </row>
    <row r="2636" spans="20:20" ht="26.25">
      <c r="T2636" s="85" ph="1"/>
    </row>
    <row r="2637" spans="20:20" ht="26.25">
      <c r="T2637" s="85" ph="1"/>
    </row>
    <row r="2638" spans="20:20" ht="26.25">
      <c r="T2638" s="85" ph="1"/>
    </row>
    <row r="2639" spans="20:20" ht="26.25">
      <c r="T2639" s="85" ph="1"/>
    </row>
    <row r="2640" spans="20:20" ht="26.25">
      <c r="T2640" s="85" ph="1"/>
    </row>
    <row r="2641" spans="20:20" ht="26.25">
      <c r="T2641" s="85" ph="1"/>
    </row>
    <row r="2642" spans="20:20" ht="26.25">
      <c r="T2642" s="85" ph="1"/>
    </row>
    <row r="2643" spans="20:20" ht="26.25">
      <c r="T2643" s="85" ph="1"/>
    </row>
    <row r="2644" spans="20:20" ht="26.25">
      <c r="T2644" s="85" ph="1"/>
    </row>
    <row r="2645" spans="20:20" ht="26.25">
      <c r="T2645" s="85" ph="1"/>
    </row>
    <row r="2646" spans="20:20" ht="26.25">
      <c r="T2646" s="85" ph="1"/>
    </row>
    <row r="2647" spans="20:20" ht="26.25">
      <c r="T2647" s="85" ph="1"/>
    </row>
    <row r="2648" spans="20:20" ht="26.25">
      <c r="T2648" s="85" ph="1"/>
    </row>
    <row r="2649" spans="20:20" ht="26.25">
      <c r="T2649" s="85" ph="1"/>
    </row>
    <row r="2650" spans="20:20" ht="26.25">
      <c r="T2650" s="85" ph="1"/>
    </row>
    <row r="2651" spans="20:20" ht="26.25">
      <c r="T2651" s="85" ph="1"/>
    </row>
    <row r="2652" spans="20:20" ht="26.25">
      <c r="T2652" s="85" ph="1"/>
    </row>
    <row r="2653" spans="20:20" ht="26.25">
      <c r="T2653" s="85" ph="1"/>
    </row>
    <row r="2654" spans="20:20" ht="26.25">
      <c r="T2654" s="85" ph="1"/>
    </row>
    <row r="2655" spans="20:20" ht="26.25">
      <c r="T2655" s="85" ph="1"/>
    </row>
    <row r="2656" spans="20:20" ht="26.25">
      <c r="T2656" s="85" ph="1"/>
    </row>
    <row r="2657" spans="20:20" ht="26.25">
      <c r="T2657" s="85" ph="1"/>
    </row>
    <row r="2658" spans="20:20" ht="26.25">
      <c r="T2658" s="85" ph="1"/>
    </row>
    <row r="2659" spans="20:20" ht="26.25">
      <c r="T2659" s="85" ph="1"/>
    </row>
    <row r="2660" spans="20:20" ht="26.25">
      <c r="T2660" s="85" ph="1"/>
    </row>
    <row r="2661" spans="20:20" ht="26.25">
      <c r="T2661" s="85" ph="1"/>
    </row>
    <row r="2662" spans="20:20" ht="26.25">
      <c r="T2662" s="85" ph="1"/>
    </row>
    <row r="2663" spans="20:20" ht="26.25">
      <c r="T2663" s="85" ph="1"/>
    </row>
    <row r="2664" spans="20:20" ht="26.25">
      <c r="T2664" s="85" ph="1"/>
    </row>
    <row r="2665" spans="20:20" ht="26.25">
      <c r="T2665" s="85" ph="1"/>
    </row>
    <row r="2666" spans="20:20" ht="26.25">
      <c r="T2666" s="85" ph="1"/>
    </row>
    <row r="2667" spans="20:20" ht="26.25">
      <c r="T2667" s="85" ph="1"/>
    </row>
    <row r="2668" spans="20:20" ht="26.25">
      <c r="T2668" s="85" ph="1"/>
    </row>
    <row r="2669" spans="20:20" ht="26.25">
      <c r="T2669" s="85" ph="1"/>
    </row>
    <row r="2670" spans="20:20" ht="26.25">
      <c r="T2670" s="85" ph="1"/>
    </row>
    <row r="2671" spans="20:20" ht="26.25">
      <c r="T2671" s="85" ph="1"/>
    </row>
    <row r="2672" spans="20:20" ht="26.25">
      <c r="T2672" s="85" ph="1"/>
    </row>
    <row r="2673" spans="20:20" ht="26.25">
      <c r="T2673" s="85" ph="1"/>
    </row>
    <row r="2674" spans="20:20" ht="26.25">
      <c r="T2674" s="85" ph="1"/>
    </row>
    <row r="2675" spans="20:20" ht="26.25">
      <c r="T2675" s="85" ph="1"/>
    </row>
    <row r="2676" spans="20:20" ht="26.25">
      <c r="T2676" s="85" ph="1"/>
    </row>
    <row r="2677" spans="20:20" ht="26.25">
      <c r="T2677" s="85" ph="1"/>
    </row>
    <row r="2678" spans="20:20" ht="26.25">
      <c r="T2678" s="85" ph="1"/>
    </row>
    <row r="2679" spans="20:20" ht="26.25">
      <c r="T2679" s="85" ph="1"/>
    </row>
    <row r="2680" spans="20:20" ht="26.25">
      <c r="T2680" s="85" ph="1"/>
    </row>
    <row r="2681" spans="20:20" ht="26.25">
      <c r="T2681" s="85" ph="1"/>
    </row>
    <row r="2682" spans="20:20" ht="26.25">
      <c r="T2682" s="85" ph="1"/>
    </row>
    <row r="2683" spans="20:20" ht="26.25">
      <c r="T2683" s="85" ph="1"/>
    </row>
    <row r="2684" spans="20:20" ht="26.25">
      <c r="T2684" s="85" ph="1"/>
    </row>
    <row r="2685" spans="20:20" ht="26.25">
      <c r="T2685" s="85" ph="1"/>
    </row>
    <row r="2686" spans="20:20" ht="26.25">
      <c r="T2686" s="85" ph="1"/>
    </row>
    <row r="2687" spans="20:20" ht="26.25">
      <c r="T2687" s="85" ph="1"/>
    </row>
    <row r="2688" spans="20:20" ht="26.25">
      <c r="T2688" s="85" ph="1"/>
    </row>
    <row r="2689" spans="20:20" ht="26.25">
      <c r="T2689" s="85" ph="1"/>
    </row>
    <row r="2690" spans="20:20" ht="26.25">
      <c r="T2690" s="85" ph="1"/>
    </row>
    <row r="2691" spans="20:20" ht="26.25">
      <c r="T2691" s="85" ph="1"/>
    </row>
    <row r="2692" spans="20:20" ht="26.25">
      <c r="T2692" s="85" ph="1"/>
    </row>
    <row r="2693" spans="20:20" ht="26.25">
      <c r="T2693" s="85" ph="1"/>
    </row>
    <row r="2694" spans="20:20" ht="26.25">
      <c r="T2694" s="85" ph="1"/>
    </row>
    <row r="2695" spans="20:20" ht="26.25">
      <c r="T2695" s="85" ph="1"/>
    </row>
    <row r="2696" spans="20:20" ht="26.25">
      <c r="T2696" s="85" ph="1"/>
    </row>
    <row r="2697" spans="20:20" ht="26.25">
      <c r="T2697" s="85" ph="1"/>
    </row>
    <row r="2698" spans="20:20" ht="26.25">
      <c r="T2698" s="85" ph="1"/>
    </row>
    <row r="2699" spans="20:20" ht="26.25">
      <c r="T2699" s="85" ph="1"/>
    </row>
    <row r="2700" spans="20:20" ht="26.25">
      <c r="T2700" s="85" ph="1"/>
    </row>
    <row r="2701" spans="20:20" ht="26.25">
      <c r="T2701" s="85" ph="1"/>
    </row>
    <row r="2702" spans="20:20" ht="26.25">
      <c r="T2702" s="85" ph="1"/>
    </row>
    <row r="2703" spans="20:20" ht="26.25">
      <c r="T2703" s="85" ph="1"/>
    </row>
    <row r="2704" spans="20:20" ht="26.25">
      <c r="T2704" s="85" ph="1"/>
    </row>
    <row r="2705" spans="20:20" ht="26.25">
      <c r="T2705" s="85" ph="1"/>
    </row>
    <row r="2706" spans="20:20" ht="26.25">
      <c r="T2706" s="85" ph="1"/>
    </row>
    <row r="2707" spans="20:20" ht="26.25">
      <c r="T2707" s="85" ph="1"/>
    </row>
    <row r="2708" spans="20:20" ht="26.25">
      <c r="T2708" s="85" ph="1"/>
    </row>
    <row r="2709" spans="20:20" ht="26.25">
      <c r="T2709" s="85" ph="1"/>
    </row>
    <row r="2710" spans="20:20" ht="26.25">
      <c r="T2710" s="85" ph="1"/>
    </row>
    <row r="2711" spans="20:20" ht="26.25">
      <c r="T2711" s="85" ph="1"/>
    </row>
    <row r="2712" spans="20:20" ht="26.25">
      <c r="T2712" s="85" ph="1"/>
    </row>
    <row r="2713" spans="20:20" ht="26.25">
      <c r="T2713" s="85" ph="1"/>
    </row>
    <row r="2714" spans="20:20" ht="26.25">
      <c r="T2714" s="85" ph="1"/>
    </row>
    <row r="2715" spans="20:20" ht="26.25">
      <c r="T2715" s="85" ph="1"/>
    </row>
    <row r="2716" spans="20:20" ht="26.25">
      <c r="T2716" s="85" ph="1"/>
    </row>
    <row r="2717" spans="20:20" ht="26.25">
      <c r="T2717" s="85" ph="1"/>
    </row>
    <row r="2718" spans="20:20" ht="26.25">
      <c r="T2718" s="85" ph="1"/>
    </row>
    <row r="2719" spans="20:20" ht="26.25">
      <c r="T2719" s="85" ph="1"/>
    </row>
    <row r="2720" spans="20:20" ht="26.25">
      <c r="T2720" s="85" ph="1"/>
    </row>
    <row r="2721" spans="20:20" ht="26.25">
      <c r="T2721" s="85" ph="1"/>
    </row>
    <row r="2722" spans="20:20" ht="26.25">
      <c r="T2722" s="85" ph="1"/>
    </row>
    <row r="2723" spans="20:20" ht="26.25">
      <c r="T2723" s="85" ph="1"/>
    </row>
    <row r="2724" spans="20:20" ht="26.25">
      <c r="T2724" s="85" ph="1"/>
    </row>
    <row r="2725" spans="20:20" ht="26.25">
      <c r="T2725" s="85" ph="1"/>
    </row>
    <row r="2726" spans="20:20" ht="26.25">
      <c r="T2726" s="85" ph="1"/>
    </row>
    <row r="2727" spans="20:20" ht="26.25">
      <c r="T2727" s="85" ph="1"/>
    </row>
    <row r="2728" spans="20:20" ht="26.25">
      <c r="T2728" s="85" ph="1"/>
    </row>
    <row r="2729" spans="20:20" ht="26.25">
      <c r="T2729" s="85" ph="1"/>
    </row>
    <row r="2730" spans="20:20" ht="26.25">
      <c r="T2730" s="85" ph="1"/>
    </row>
    <row r="2731" spans="20:20" ht="26.25">
      <c r="T2731" s="85" ph="1"/>
    </row>
    <row r="2732" spans="20:20" ht="26.25">
      <c r="T2732" s="85" ph="1"/>
    </row>
    <row r="2733" spans="20:20" ht="26.25">
      <c r="T2733" s="85" ph="1"/>
    </row>
    <row r="2734" spans="20:20" ht="26.25">
      <c r="T2734" s="85" ph="1"/>
    </row>
    <row r="2735" spans="20:20" ht="26.25">
      <c r="T2735" s="85" ph="1"/>
    </row>
    <row r="2736" spans="20:20" ht="26.25">
      <c r="T2736" s="85" ph="1"/>
    </row>
    <row r="2737" spans="20:20" ht="26.25">
      <c r="T2737" s="85" ph="1"/>
    </row>
    <row r="2738" spans="20:20" ht="26.25">
      <c r="T2738" s="85" ph="1"/>
    </row>
    <row r="2739" spans="20:20" ht="26.25">
      <c r="T2739" s="85" ph="1"/>
    </row>
    <row r="2740" spans="20:20" ht="26.25">
      <c r="T2740" s="85" ph="1"/>
    </row>
    <row r="2741" spans="20:20" ht="26.25">
      <c r="T2741" s="85" ph="1"/>
    </row>
    <row r="2742" spans="20:20" ht="26.25">
      <c r="T2742" s="85" ph="1"/>
    </row>
    <row r="2743" spans="20:20" ht="26.25">
      <c r="T2743" s="85" ph="1"/>
    </row>
    <row r="2744" spans="20:20" ht="26.25">
      <c r="T2744" s="85" ph="1"/>
    </row>
    <row r="2745" spans="20:20" ht="26.25">
      <c r="T2745" s="85" ph="1"/>
    </row>
    <row r="2746" spans="20:20" ht="26.25">
      <c r="T2746" s="85" ph="1"/>
    </row>
    <row r="2747" spans="20:20" ht="26.25">
      <c r="T2747" s="85" ph="1"/>
    </row>
    <row r="2748" spans="20:20" ht="26.25">
      <c r="T2748" s="85" ph="1"/>
    </row>
    <row r="2749" spans="20:20" ht="26.25">
      <c r="T2749" s="85" ph="1"/>
    </row>
    <row r="2750" spans="20:20" ht="26.25">
      <c r="T2750" s="85" ph="1"/>
    </row>
    <row r="2751" spans="20:20" ht="26.25">
      <c r="T2751" s="85" ph="1"/>
    </row>
    <row r="2752" spans="20:20" ht="26.25">
      <c r="T2752" s="85" ph="1"/>
    </row>
    <row r="2753" spans="20:20" ht="26.25">
      <c r="T2753" s="85" ph="1"/>
    </row>
    <row r="2754" spans="20:20" ht="26.25">
      <c r="T2754" s="85" ph="1"/>
    </row>
    <row r="2755" spans="20:20" ht="26.25">
      <c r="T2755" s="85" ph="1"/>
    </row>
    <row r="2756" spans="20:20" ht="26.25">
      <c r="T2756" s="85" ph="1"/>
    </row>
    <row r="2757" spans="20:20" ht="26.25">
      <c r="T2757" s="85" ph="1"/>
    </row>
    <row r="2758" spans="20:20" ht="26.25">
      <c r="T2758" s="85" ph="1"/>
    </row>
    <row r="2759" spans="20:20" ht="26.25">
      <c r="T2759" s="85" ph="1"/>
    </row>
    <row r="2760" spans="20:20" ht="26.25">
      <c r="T2760" s="85" ph="1"/>
    </row>
    <row r="2761" spans="20:20" ht="26.25">
      <c r="T2761" s="85" ph="1"/>
    </row>
    <row r="2762" spans="20:20" ht="26.25">
      <c r="T2762" s="85" ph="1"/>
    </row>
    <row r="2763" spans="20:20" ht="26.25">
      <c r="T2763" s="85" ph="1"/>
    </row>
    <row r="2764" spans="20:20" ht="26.25">
      <c r="T2764" s="85" ph="1"/>
    </row>
    <row r="2765" spans="20:20" ht="26.25">
      <c r="T2765" s="85" ph="1"/>
    </row>
    <row r="2766" spans="20:20" ht="26.25">
      <c r="T2766" s="85" ph="1"/>
    </row>
    <row r="2767" spans="20:20" ht="26.25">
      <c r="T2767" s="85" ph="1"/>
    </row>
    <row r="2768" spans="20:20" ht="26.25">
      <c r="T2768" s="85" ph="1"/>
    </row>
    <row r="2769" spans="20:20" ht="26.25">
      <c r="T2769" s="85" ph="1"/>
    </row>
    <row r="2770" spans="20:20" ht="26.25">
      <c r="T2770" s="85" ph="1"/>
    </row>
    <row r="2771" spans="20:20" ht="26.25">
      <c r="T2771" s="85" ph="1"/>
    </row>
    <row r="2772" spans="20:20" ht="26.25">
      <c r="T2772" s="85" ph="1"/>
    </row>
    <row r="2773" spans="20:20" ht="26.25">
      <c r="T2773" s="85" ph="1"/>
    </row>
    <row r="2774" spans="20:20" ht="26.25">
      <c r="T2774" s="85" ph="1"/>
    </row>
    <row r="2775" spans="20:20" ht="26.25">
      <c r="T2775" s="85" ph="1"/>
    </row>
    <row r="2776" spans="20:20" ht="26.25">
      <c r="T2776" s="85" ph="1"/>
    </row>
    <row r="2777" spans="20:20" ht="26.25">
      <c r="T2777" s="85" ph="1"/>
    </row>
    <row r="2778" spans="20:20" ht="26.25">
      <c r="T2778" s="85" ph="1"/>
    </row>
    <row r="2779" spans="20:20" ht="26.25">
      <c r="T2779" s="85" ph="1"/>
    </row>
    <row r="2780" spans="20:20" ht="26.25">
      <c r="T2780" s="85" ph="1"/>
    </row>
    <row r="2781" spans="20:20" ht="26.25">
      <c r="T2781" s="85" ph="1"/>
    </row>
    <row r="2782" spans="20:20" ht="26.25">
      <c r="T2782" s="85" ph="1"/>
    </row>
    <row r="2783" spans="20:20" ht="26.25">
      <c r="T2783" s="85" ph="1"/>
    </row>
    <row r="2784" spans="20:20" ht="26.25">
      <c r="T2784" s="85" ph="1"/>
    </row>
    <row r="2785" spans="20:20" ht="26.25">
      <c r="T2785" s="85" ph="1"/>
    </row>
    <row r="2786" spans="20:20" ht="26.25">
      <c r="T2786" s="85" ph="1"/>
    </row>
    <row r="2787" spans="20:20" ht="26.25">
      <c r="T2787" s="85" ph="1"/>
    </row>
    <row r="2788" spans="20:20" ht="26.25">
      <c r="T2788" s="85" ph="1"/>
    </row>
    <row r="2789" spans="20:20" ht="26.25">
      <c r="T2789" s="85" ph="1"/>
    </row>
    <row r="2790" spans="20:20" ht="26.25">
      <c r="T2790" s="85" ph="1"/>
    </row>
    <row r="2791" spans="20:20" ht="26.25">
      <c r="T2791" s="85" ph="1"/>
    </row>
    <row r="2792" spans="20:20" ht="26.25">
      <c r="T2792" s="85" ph="1"/>
    </row>
    <row r="2793" spans="20:20" ht="26.25">
      <c r="T2793" s="85" ph="1"/>
    </row>
    <row r="2794" spans="20:20" ht="26.25">
      <c r="T2794" s="85" ph="1"/>
    </row>
    <row r="2795" spans="20:20" ht="26.25">
      <c r="T2795" s="85" ph="1"/>
    </row>
    <row r="2796" spans="20:20" ht="26.25">
      <c r="T2796" s="85" ph="1"/>
    </row>
    <row r="2797" spans="20:20" ht="26.25">
      <c r="T2797" s="85" ph="1"/>
    </row>
    <row r="2798" spans="20:20" ht="26.25">
      <c r="T2798" s="85" ph="1"/>
    </row>
    <row r="2799" spans="20:20" ht="26.25">
      <c r="T2799" s="85" ph="1"/>
    </row>
    <row r="2800" spans="20:20" ht="26.25">
      <c r="T2800" s="85" ph="1"/>
    </row>
    <row r="2801" spans="20:20" ht="26.25">
      <c r="T2801" s="85" ph="1"/>
    </row>
    <row r="2802" spans="20:20" ht="26.25">
      <c r="T2802" s="85" ph="1"/>
    </row>
    <row r="2803" spans="20:20" ht="26.25">
      <c r="T2803" s="85" ph="1"/>
    </row>
    <row r="2804" spans="20:20" ht="26.25">
      <c r="T2804" s="85" ph="1"/>
    </row>
    <row r="2805" spans="20:20" ht="26.25">
      <c r="T2805" s="85" ph="1"/>
    </row>
    <row r="2806" spans="20:20" ht="26.25">
      <c r="T2806" s="85" ph="1"/>
    </row>
    <row r="2807" spans="20:20" ht="26.25">
      <c r="T2807" s="85" ph="1"/>
    </row>
    <row r="2808" spans="20:20" ht="26.25">
      <c r="T2808" s="85" ph="1"/>
    </row>
    <row r="2809" spans="20:20" ht="26.25">
      <c r="T2809" s="85" ph="1"/>
    </row>
    <row r="2810" spans="20:20" ht="26.25">
      <c r="T2810" s="85" ph="1"/>
    </row>
    <row r="2811" spans="20:20" ht="26.25">
      <c r="T2811" s="85" ph="1"/>
    </row>
    <row r="2812" spans="20:20" ht="26.25">
      <c r="T2812" s="85" ph="1"/>
    </row>
    <row r="2813" spans="20:20" ht="26.25">
      <c r="T2813" s="85" ph="1"/>
    </row>
    <row r="2814" spans="20:20" ht="26.25">
      <c r="T2814" s="85" ph="1"/>
    </row>
    <row r="2815" spans="20:20" ht="26.25">
      <c r="T2815" s="85" ph="1"/>
    </row>
    <row r="2816" spans="20:20" ht="26.25">
      <c r="T2816" s="85" ph="1"/>
    </row>
    <row r="2817" spans="20:20" ht="26.25">
      <c r="T2817" s="85" ph="1"/>
    </row>
    <row r="2818" spans="20:20" ht="26.25">
      <c r="T2818" s="85" ph="1"/>
    </row>
    <row r="2819" spans="20:20" ht="26.25">
      <c r="T2819" s="85" ph="1"/>
    </row>
    <row r="2820" spans="20:20" ht="26.25">
      <c r="T2820" s="85" ph="1"/>
    </row>
    <row r="2821" spans="20:20" ht="26.25">
      <c r="T2821" s="85" ph="1"/>
    </row>
    <row r="2822" spans="20:20" ht="26.25">
      <c r="T2822" s="85" ph="1"/>
    </row>
    <row r="2823" spans="20:20" ht="26.25">
      <c r="T2823" s="85" ph="1"/>
    </row>
    <row r="2824" spans="20:20" ht="26.25">
      <c r="T2824" s="85" ph="1"/>
    </row>
    <row r="2825" spans="20:20" ht="26.25">
      <c r="T2825" s="85" ph="1"/>
    </row>
    <row r="2826" spans="20:20" ht="26.25">
      <c r="T2826" s="85" ph="1"/>
    </row>
    <row r="2827" spans="20:20" ht="26.25">
      <c r="T2827" s="85" ph="1"/>
    </row>
    <row r="2828" spans="20:20" ht="26.25">
      <c r="T2828" s="85" ph="1"/>
    </row>
    <row r="2829" spans="20:20" ht="26.25">
      <c r="T2829" s="85" ph="1"/>
    </row>
    <row r="2830" spans="20:20" ht="26.25">
      <c r="T2830" s="85" ph="1"/>
    </row>
    <row r="2831" spans="20:20" ht="26.25">
      <c r="T2831" s="85" ph="1"/>
    </row>
    <row r="2832" spans="20:20" ht="26.25">
      <c r="T2832" s="85" ph="1"/>
    </row>
    <row r="2833" spans="20:20" ht="26.25">
      <c r="T2833" s="85" ph="1"/>
    </row>
    <row r="2834" spans="20:20" ht="26.25">
      <c r="T2834" s="85" ph="1"/>
    </row>
    <row r="2835" spans="20:20" ht="26.25">
      <c r="T2835" s="85" ph="1"/>
    </row>
    <row r="2836" spans="20:20" ht="26.25">
      <c r="T2836" s="85" ph="1"/>
    </row>
    <row r="2837" spans="20:20" ht="26.25">
      <c r="T2837" s="85" ph="1"/>
    </row>
    <row r="2838" spans="20:20" ht="26.25">
      <c r="T2838" s="85" ph="1"/>
    </row>
    <row r="2839" spans="20:20" ht="26.25">
      <c r="T2839" s="85" ph="1"/>
    </row>
    <row r="2840" spans="20:20" ht="26.25">
      <c r="T2840" s="85" ph="1"/>
    </row>
    <row r="2841" spans="20:20" ht="26.25">
      <c r="T2841" s="85" ph="1"/>
    </row>
    <row r="2842" spans="20:20" ht="26.25">
      <c r="T2842" s="85" ph="1"/>
    </row>
    <row r="2843" spans="20:20" ht="26.25">
      <c r="T2843" s="85" ph="1"/>
    </row>
    <row r="2844" spans="20:20" ht="26.25">
      <c r="T2844" s="85" ph="1"/>
    </row>
    <row r="2845" spans="20:20" ht="26.25">
      <c r="T2845" s="85" ph="1"/>
    </row>
    <row r="2846" spans="20:20" ht="26.25">
      <c r="T2846" s="85" ph="1"/>
    </row>
    <row r="2847" spans="20:20" ht="26.25">
      <c r="T2847" s="85" ph="1"/>
    </row>
    <row r="2848" spans="20:20" ht="26.25">
      <c r="T2848" s="85" ph="1"/>
    </row>
    <row r="2849" spans="20:20" ht="26.25">
      <c r="T2849" s="85" ph="1"/>
    </row>
    <row r="2850" spans="20:20" ht="26.25">
      <c r="T2850" s="85" ph="1"/>
    </row>
    <row r="2851" spans="20:20" ht="26.25">
      <c r="T2851" s="85" ph="1"/>
    </row>
    <row r="2852" spans="20:20" ht="26.25">
      <c r="T2852" s="85" ph="1"/>
    </row>
    <row r="2853" spans="20:20" ht="26.25">
      <c r="T2853" s="85" ph="1"/>
    </row>
    <row r="2854" spans="20:20" ht="26.25">
      <c r="T2854" s="85" ph="1"/>
    </row>
    <row r="2855" spans="20:20" ht="26.25">
      <c r="T2855" s="85" ph="1"/>
    </row>
    <row r="2856" spans="20:20" ht="26.25">
      <c r="T2856" s="85" ph="1"/>
    </row>
    <row r="2857" spans="20:20" ht="26.25">
      <c r="T2857" s="85" ph="1"/>
    </row>
    <row r="2858" spans="20:20" ht="26.25">
      <c r="T2858" s="85" ph="1"/>
    </row>
    <row r="2859" spans="20:20" ht="26.25">
      <c r="T2859" s="85" ph="1"/>
    </row>
    <row r="2860" spans="20:20" ht="26.25">
      <c r="T2860" s="85" ph="1"/>
    </row>
    <row r="2861" spans="20:20" ht="26.25">
      <c r="T2861" s="85" ph="1"/>
    </row>
    <row r="2862" spans="20:20" ht="26.25">
      <c r="T2862" s="85" ph="1"/>
    </row>
    <row r="2863" spans="20:20" ht="26.25">
      <c r="T2863" s="85" ph="1"/>
    </row>
    <row r="2864" spans="20:20" ht="26.25">
      <c r="T2864" s="85" ph="1"/>
    </row>
    <row r="2865" spans="20:20" ht="26.25">
      <c r="T2865" s="85" ph="1"/>
    </row>
    <row r="2866" spans="20:20" ht="26.25">
      <c r="T2866" s="85" ph="1"/>
    </row>
    <row r="2867" spans="20:20" ht="26.25">
      <c r="T2867" s="85" ph="1"/>
    </row>
    <row r="2868" spans="20:20" ht="26.25">
      <c r="T2868" s="85" ph="1"/>
    </row>
    <row r="2869" spans="20:20" ht="26.25">
      <c r="T2869" s="85" ph="1"/>
    </row>
    <row r="2870" spans="20:20" ht="26.25">
      <c r="T2870" s="85" ph="1"/>
    </row>
    <row r="2871" spans="20:20" ht="26.25">
      <c r="T2871" s="85" ph="1"/>
    </row>
    <row r="2872" spans="20:20" ht="26.25">
      <c r="T2872" s="85" ph="1"/>
    </row>
    <row r="2873" spans="20:20" ht="26.25">
      <c r="T2873" s="85" ph="1"/>
    </row>
    <row r="2874" spans="20:20" ht="26.25">
      <c r="T2874" s="85" ph="1"/>
    </row>
    <row r="2875" spans="20:20" ht="26.25">
      <c r="T2875" s="85" ph="1"/>
    </row>
    <row r="2876" spans="20:20" ht="26.25">
      <c r="T2876" s="85" ph="1"/>
    </row>
    <row r="2877" spans="20:20" ht="26.25">
      <c r="T2877" s="85" ph="1"/>
    </row>
    <row r="2878" spans="20:20" ht="26.25">
      <c r="T2878" s="85" ph="1"/>
    </row>
    <row r="2879" spans="20:20" ht="26.25">
      <c r="T2879" s="85" ph="1"/>
    </row>
    <row r="2880" spans="20:20" ht="26.25">
      <c r="T2880" s="85" ph="1"/>
    </row>
    <row r="2881" spans="20:20" ht="26.25">
      <c r="T2881" s="85" ph="1"/>
    </row>
    <row r="2882" spans="20:20" ht="26.25">
      <c r="T2882" s="85" ph="1"/>
    </row>
    <row r="2883" spans="20:20" ht="26.25">
      <c r="T2883" s="85" ph="1"/>
    </row>
    <row r="2884" spans="20:20" ht="26.25">
      <c r="T2884" s="85" ph="1"/>
    </row>
    <row r="2885" spans="20:20" ht="26.25">
      <c r="T2885" s="85" ph="1"/>
    </row>
    <row r="2886" spans="20:20" ht="26.25">
      <c r="T2886" s="85" ph="1"/>
    </row>
    <row r="2887" spans="20:20" ht="26.25">
      <c r="T2887" s="85" ph="1"/>
    </row>
    <row r="2888" spans="20:20" ht="26.25">
      <c r="T2888" s="85" ph="1"/>
    </row>
    <row r="2889" spans="20:20" ht="26.25">
      <c r="T2889" s="85" ph="1"/>
    </row>
    <row r="2890" spans="20:20" ht="26.25">
      <c r="T2890" s="85" ph="1"/>
    </row>
    <row r="2891" spans="20:20" ht="26.25">
      <c r="T2891" s="85" ph="1"/>
    </row>
    <row r="2892" spans="20:20" ht="26.25">
      <c r="T2892" s="85" ph="1"/>
    </row>
    <row r="2893" spans="20:20" ht="26.25">
      <c r="T2893" s="85" ph="1"/>
    </row>
    <row r="2894" spans="20:20" ht="26.25">
      <c r="T2894" s="85" ph="1"/>
    </row>
    <row r="2895" spans="20:20" ht="26.25">
      <c r="T2895" s="85" ph="1"/>
    </row>
    <row r="2896" spans="20:20" ht="26.25">
      <c r="T2896" s="85" ph="1"/>
    </row>
    <row r="2897" spans="20:20" ht="26.25">
      <c r="T2897" s="85" ph="1"/>
    </row>
    <row r="2898" spans="20:20" ht="26.25">
      <c r="T2898" s="85" ph="1"/>
    </row>
    <row r="2899" spans="20:20" ht="26.25">
      <c r="T2899" s="85" ph="1"/>
    </row>
    <row r="2900" spans="20:20" ht="26.25">
      <c r="T2900" s="85" ph="1"/>
    </row>
    <row r="2901" spans="20:20" ht="26.25">
      <c r="T2901" s="85" ph="1"/>
    </row>
    <row r="2902" spans="20:20" ht="26.25">
      <c r="T2902" s="85" ph="1"/>
    </row>
    <row r="2903" spans="20:20" ht="26.25">
      <c r="T2903" s="85" ph="1"/>
    </row>
    <row r="2904" spans="20:20" ht="26.25">
      <c r="T2904" s="85" ph="1"/>
    </row>
    <row r="2905" spans="20:20" ht="26.25">
      <c r="T2905" s="85" ph="1"/>
    </row>
    <row r="2906" spans="20:20" ht="26.25">
      <c r="T2906" s="85" ph="1"/>
    </row>
    <row r="2907" spans="20:20" ht="26.25">
      <c r="T2907" s="85" ph="1"/>
    </row>
    <row r="2908" spans="20:20" ht="26.25">
      <c r="T2908" s="85" ph="1"/>
    </row>
    <row r="2909" spans="20:20" ht="26.25">
      <c r="T2909" s="85" ph="1"/>
    </row>
    <row r="2910" spans="20:20" ht="26.25">
      <c r="T2910" s="85" ph="1"/>
    </row>
    <row r="2911" spans="20:20" ht="26.25">
      <c r="T2911" s="85" ph="1"/>
    </row>
    <row r="2912" spans="20:20" ht="26.25">
      <c r="T2912" s="85" ph="1"/>
    </row>
    <row r="2913" spans="20:20" ht="26.25">
      <c r="T2913" s="85" ph="1"/>
    </row>
    <row r="2914" spans="20:20" ht="26.25">
      <c r="T2914" s="85" ph="1"/>
    </row>
    <row r="2915" spans="20:20" ht="26.25">
      <c r="T2915" s="85" ph="1"/>
    </row>
    <row r="2916" spans="20:20" ht="26.25">
      <c r="T2916" s="85" ph="1"/>
    </row>
    <row r="2917" spans="20:20" ht="26.25">
      <c r="T2917" s="85" ph="1"/>
    </row>
    <row r="2918" spans="20:20" ht="26.25">
      <c r="T2918" s="85" ph="1"/>
    </row>
    <row r="2919" spans="20:20" ht="26.25">
      <c r="T2919" s="85" ph="1"/>
    </row>
    <row r="2920" spans="20:20" ht="26.25">
      <c r="T2920" s="85" ph="1"/>
    </row>
    <row r="2921" spans="20:20" ht="26.25">
      <c r="T2921" s="85" ph="1"/>
    </row>
    <row r="2922" spans="20:20" ht="26.25">
      <c r="T2922" s="85" ph="1"/>
    </row>
    <row r="2923" spans="20:20" ht="26.25">
      <c r="T2923" s="85" ph="1"/>
    </row>
    <row r="2924" spans="20:20" ht="26.25">
      <c r="T2924" s="85" ph="1"/>
    </row>
    <row r="2925" spans="20:20" ht="26.25">
      <c r="T2925" s="85" ph="1"/>
    </row>
    <row r="2926" spans="20:20" ht="26.25">
      <c r="T2926" s="85" ph="1"/>
    </row>
    <row r="2927" spans="20:20" ht="26.25">
      <c r="T2927" s="85" ph="1"/>
    </row>
    <row r="2928" spans="20:20" ht="26.25">
      <c r="T2928" s="85" ph="1"/>
    </row>
    <row r="2929" spans="20:20" ht="26.25">
      <c r="T2929" s="85" ph="1"/>
    </row>
    <row r="2930" spans="20:20" ht="26.25">
      <c r="T2930" s="85" ph="1"/>
    </row>
    <row r="2931" spans="20:20" ht="26.25">
      <c r="T2931" s="85" ph="1"/>
    </row>
    <row r="2932" spans="20:20" ht="26.25">
      <c r="T2932" s="85" ph="1"/>
    </row>
    <row r="2933" spans="20:20" ht="26.25">
      <c r="T2933" s="85" ph="1"/>
    </row>
    <row r="2934" spans="20:20" ht="26.25">
      <c r="T2934" s="85" ph="1"/>
    </row>
    <row r="2935" spans="20:20" ht="26.25">
      <c r="T2935" s="85" ph="1"/>
    </row>
    <row r="2936" spans="20:20" ht="26.25">
      <c r="T2936" s="85" ph="1"/>
    </row>
    <row r="2937" spans="20:20" ht="26.25">
      <c r="T2937" s="85" ph="1"/>
    </row>
    <row r="2938" spans="20:20" ht="26.25">
      <c r="T2938" s="85" ph="1"/>
    </row>
    <row r="2939" spans="20:20" ht="26.25">
      <c r="T2939" s="85" ph="1"/>
    </row>
    <row r="2940" spans="20:20" ht="26.25">
      <c r="T2940" s="85" ph="1"/>
    </row>
    <row r="2941" spans="20:20" ht="26.25">
      <c r="T2941" s="85" ph="1"/>
    </row>
    <row r="2942" spans="20:20" ht="26.25">
      <c r="T2942" s="85" ph="1"/>
    </row>
    <row r="2943" spans="20:20" ht="26.25">
      <c r="T2943" s="85" ph="1"/>
    </row>
    <row r="2944" spans="20:20" ht="26.25">
      <c r="T2944" s="85" ph="1"/>
    </row>
    <row r="2945" spans="20:20" ht="26.25">
      <c r="T2945" s="85" ph="1"/>
    </row>
    <row r="2946" spans="20:20" ht="26.25">
      <c r="T2946" s="85" ph="1"/>
    </row>
    <row r="2947" spans="20:20" ht="26.25">
      <c r="T2947" s="85" ph="1"/>
    </row>
    <row r="2948" spans="20:20" ht="26.25">
      <c r="T2948" s="85" ph="1"/>
    </row>
    <row r="2949" spans="20:20" ht="26.25">
      <c r="T2949" s="85" ph="1"/>
    </row>
    <row r="2950" spans="20:20" ht="26.25">
      <c r="T2950" s="85" ph="1"/>
    </row>
    <row r="2951" spans="20:20" ht="26.25">
      <c r="T2951" s="85" ph="1"/>
    </row>
    <row r="2952" spans="20:20" ht="26.25">
      <c r="T2952" s="85" ph="1"/>
    </row>
    <row r="2953" spans="20:20" ht="26.25">
      <c r="T2953" s="85" ph="1"/>
    </row>
    <row r="2954" spans="20:20" ht="26.25">
      <c r="T2954" s="85" ph="1"/>
    </row>
    <row r="2955" spans="20:20" ht="26.25">
      <c r="T2955" s="85" ph="1"/>
    </row>
    <row r="2956" spans="20:20" ht="26.25">
      <c r="T2956" s="85" ph="1"/>
    </row>
    <row r="2957" spans="20:20" ht="26.25">
      <c r="T2957" s="85" ph="1"/>
    </row>
    <row r="2958" spans="20:20" ht="26.25">
      <c r="T2958" s="85" ph="1"/>
    </row>
    <row r="2959" spans="20:20" ht="26.25">
      <c r="T2959" s="85" ph="1"/>
    </row>
    <row r="2960" spans="20:20" ht="26.25">
      <c r="T2960" s="85" ph="1"/>
    </row>
    <row r="2961" spans="20:20" ht="26.25">
      <c r="T2961" s="85" ph="1"/>
    </row>
    <row r="2962" spans="20:20" ht="26.25">
      <c r="T2962" s="85" ph="1"/>
    </row>
    <row r="2963" spans="20:20" ht="26.25">
      <c r="T2963" s="85" ph="1"/>
    </row>
    <row r="2964" spans="20:20" ht="26.25">
      <c r="T2964" s="85" ph="1"/>
    </row>
    <row r="2965" spans="20:20" ht="26.25">
      <c r="T2965" s="85" ph="1"/>
    </row>
    <row r="2966" spans="20:20" ht="26.25">
      <c r="T2966" s="85" ph="1"/>
    </row>
    <row r="2967" spans="20:20" ht="26.25">
      <c r="T2967" s="85" ph="1"/>
    </row>
    <row r="2968" spans="20:20" ht="26.25">
      <c r="T2968" s="85" ph="1"/>
    </row>
    <row r="2969" spans="20:20" ht="26.25">
      <c r="T2969" s="85" ph="1"/>
    </row>
    <row r="2970" spans="20:20" ht="26.25">
      <c r="T2970" s="85" ph="1"/>
    </row>
    <row r="2971" spans="20:20" ht="26.25">
      <c r="T2971" s="85" ph="1"/>
    </row>
    <row r="2972" spans="20:20" ht="26.25">
      <c r="T2972" s="85" ph="1"/>
    </row>
    <row r="2973" spans="20:20" ht="26.25">
      <c r="T2973" s="85" ph="1"/>
    </row>
    <row r="2974" spans="20:20" ht="26.25">
      <c r="T2974" s="85" ph="1"/>
    </row>
    <row r="2975" spans="20:20" ht="26.25">
      <c r="T2975" s="85" ph="1"/>
    </row>
    <row r="2976" spans="20:20" ht="26.25">
      <c r="T2976" s="85" ph="1"/>
    </row>
    <row r="2977" spans="20:20" ht="26.25">
      <c r="T2977" s="85" ph="1"/>
    </row>
    <row r="2978" spans="20:20" ht="26.25">
      <c r="T2978" s="85" ph="1"/>
    </row>
    <row r="2979" spans="20:20" ht="26.25">
      <c r="T2979" s="85" ph="1"/>
    </row>
    <row r="2980" spans="20:20" ht="26.25">
      <c r="T2980" s="85" ph="1"/>
    </row>
    <row r="2981" spans="20:20" ht="26.25">
      <c r="T2981" s="85" ph="1"/>
    </row>
    <row r="2982" spans="20:20" ht="26.25">
      <c r="T2982" s="85" ph="1"/>
    </row>
    <row r="2983" spans="20:20" ht="26.25">
      <c r="T2983" s="85" ph="1"/>
    </row>
    <row r="2984" spans="20:20" ht="26.25">
      <c r="T2984" s="85" ph="1"/>
    </row>
    <row r="2985" spans="20:20" ht="26.25">
      <c r="T2985" s="85" ph="1"/>
    </row>
    <row r="2986" spans="20:20" ht="26.25">
      <c r="T2986" s="85" ph="1"/>
    </row>
    <row r="2987" spans="20:20" ht="26.25">
      <c r="T2987" s="85" ph="1"/>
    </row>
    <row r="2988" spans="20:20" ht="26.25">
      <c r="T2988" s="85" ph="1"/>
    </row>
    <row r="2989" spans="20:20" ht="26.25">
      <c r="T2989" s="85" ph="1"/>
    </row>
    <row r="2990" spans="20:20" ht="26.25">
      <c r="T2990" s="85" ph="1"/>
    </row>
    <row r="2991" spans="20:20" ht="26.25">
      <c r="T2991" s="85" ph="1"/>
    </row>
    <row r="2992" spans="20:20" ht="26.25">
      <c r="T2992" s="85" ph="1"/>
    </row>
    <row r="2993" spans="20:20" ht="26.25">
      <c r="T2993" s="85" ph="1"/>
    </row>
    <row r="2994" spans="20:20" ht="26.25">
      <c r="T2994" s="85" ph="1"/>
    </row>
    <row r="2995" spans="20:20" ht="26.25">
      <c r="T2995" s="85" ph="1"/>
    </row>
    <row r="2996" spans="20:20" ht="26.25">
      <c r="T2996" s="85" ph="1"/>
    </row>
    <row r="2997" spans="20:20" ht="26.25">
      <c r="T2997" s="85" ph="1"/>
    </row>
    <row r="2998" spans="20:20" ht="26.25">
      <c r="T2998" s="85" ph="1"/>
    </row>
    <row r="2999" spans="20:20" ht="26.25">
      <c r="T2999" s="85" ph="1"/>
    </row>
    <row r="3000" spans="20:20" ht="26.25">
      <c r="T3000" s="85" ph="1"/>
    </row>
    <row r="3001" spans="20:20" ht="26.25">
      <c r="T3001" s="85" ph="1"/>
    </row>
    <row r="3002" spans="20:20" ht="26.25">
      <c r="T3002" s="85" ph="1"/>
    </row>
    <row r="3003" spans="20:20" ht="26.25">
      <c r="T3003" s="85" ph="1"/>
    </row>
    <row r="3004" spans="20:20" ht="26.25">
      <c r="T3004" s="85" ph="1"/>
    </row>
    <row r="3005" spans="20:20" ht="26.25">
      <c r="T3005" s="85" ph="1"/>
    </row>
    <row r="3006" spans="20:20" ht="26.25">
      <c r="T3006" s="85" ph="1"/>
    </row>
    <row r="3007" spans="20:20" ht="26.25">
      <c r="T3007" s="85" ph="1"/>
    </row>
    <row r="3008" spans="20:20" ht="26.25">
      <c r="T3008" s="85" ph="1"/>
    </row>
    <row r="3009" spans="20:20" ht="26.25">
      <c r="T3009" s="85" ph="1"/>
    </row>
    <row r="3010" spans="20:20" ht="26.25">
      <c r="T3010" s="85" ph="1"/>
    </row>
    <row r="3011" spans="20:20" ht="26.25">
      <c r="T3011" s="85" ph="1"/>
    </row>
    <row r="3012" spans="20:20" ht="26.25">
      <c r="T3012" s="85" ph="1"/>
    </row>
    <row r="3013" spans="20:20" ht="26.25">
      <c r="T3013" s="85" ph="1"/>
    </row>
    <row r="3014" spans="20:20" ht="26.25">
      <c r="T3014" s="85" ph="1"/>
    </row>
    <row r="3015" spans="20:20" ht="26.25">
      <c r="T3015" s="85" ph="1"/>
    </row>
    <row r="3016" spans="20:20" ht="26.25">
      <c r="T3016" s="85" ph="1"/>
    </row>
    <row r="3017" spans="20:20" ht="26.25">
      <c r="T3017" s="85" ph="1"/>
    </row>
    <row r="3018" spans="20:20" ht="26.25">
      <c r="T3018" s="85" ph="1"/>
    </row>
    <row r="3019" spans="20:20" ht="26.25">
      <c r="T3019" s="85" ph="1"/>
    </row>
    <row r="3020" spans="20:20" ht="26.25">
      <c r="T3020" s="85" ph="1"/>
    </row>
    <row r="3021" spans="20:20" ht="26.25">
      <c r="T3021" s="85" ph="1"/>
    </row>
    <row r="3022" spans="20:20" ht="26.25">
      <c r="T3022" s="85" ph="1"/>
    </row>
    <row r="3023" spans="20:20" ht="26.25">
      <c r="T3023" s="85" ph="1"/>
    </row>
    <row r="3024" spans="20:20" ht="26.25">
      <c r="T3024" s="85" ph="1"/>
    </row>
    <row r="3025" spans="20:20" ht="26.25">
      <c r="T3025" s="85" ph="1"/>
    </row>
    <row r="3026" spans="20:20" ht="26.25">
      <c r="T3026" s="85" ph="1"/>
    </row>
    <row r="3027" spans="20:20" ht="26.25">
      <c r="T3027" s="85" ph="1"/>
    </row>
    <row r="3028" spans="20:20" ht="26.25">
      <c r="T3028" s="85" ph="1"/>
    </row>
    <row r="3029" spans="20:20" ht="26.25">
      <c r="T3029" s="85" ph="1"/>
    </row>
    <row r="3030" spans="20:20" ht="26.25">
      <c r="T3030" s="85" ph="1"/>
    </row>
    <row r="3031" spans="20:20" ht="26.25">
      <c r="T3031" s="85" ph="1"/>
    </row>
    <row r="3032" spans="20:20" ht="26.25">
      <c r="T3032" s="85" ph="1"/>
    </row>
    <row r="3033" spans="20:20" ht="26.25">
      <c r="T3033" s="85" ph="1"/>
    </row>
    <row r="3034" spans="20:20" ht="26.25">
      <c r="T3034" s="85" ph="1"/>
    </row>
    <row r="3035" spans="20:20" ht="26.25">
      <c r="T3035" s="85" ph="1"/>
    </row>
    <row r="3036" spans="20:20" ht="26.25">
      <c r="T3036" s="85" ph="1"/>
    </row>
    <row r="3037" spans="20:20" ht="26.25">
      <c r="T3037" s="85" ph="1"/>
    </row>
    <row r="3038" spans="20:20" ht="26.25">
      <c r="T3038" s="85" ph="1"/>
    </row>
    <row r="3039" spans="20:20" ht="26.25">
      <c r="T3039" s="85" ph="1"/>
    </row>
    <row r="3040" spans="20:20" ht="26.25">
      <c r="T3040" s="85" ph="1"/>
    </row>
    <row r="3041" spans="20:20" ht="26.25">
      <c r="T3041" s="85" ph="1"/>
    </row>
    <row r="3042" spans="20:20" ht="26.25">
      <c r="T3042" s="85" ph="1"/>
    </row>
    <row r="3043" spans="20:20" ht="26.25">
      <c r="T3043" s="85" ph="1"/>
    </row>
    <row r="3044" spans="20:20" ht="26.25">
      <c r="T3044" s="85" ph="1"/>
    </row>
    <row r="3045" spans="20:20" ht="26.25">
      <c r="T3045" s="85" ph="1"/>
    </row>
    <row r="3046" spans="20:20" ht="26.25">
      <c r="T3046" s="85" ph="1"/>
    </row>
    <row r="3047" spans="20:20" ht="26.25">
      <c r="T3047" s="85" ph="1"/>
    </row>
    <row r="3048" spans="20:20" ht="26.25">
      <c r="T3048" s="85" ph="1"/>
    </row>
    <row r="3049" spans="20:20" ht="26.25">
      <c r="T3049" s="85" ph="1"/>
    </row>
    <row r="3050" spans="20:20" ht="26.25">
      <c r="T3050" s="85" ph="1"/>
    </row>
    <row r="3051" spans="20:20" ht="26.25">
      <c r="T3051" s="85" ph="1"/>
    </row>
    <row r="3052" spans="20:20" ht="26.25">
      <c r="T3052" s="85" ph="1"/>
    </row>
    <row r="3053" spans="20:20" ht="26.25">
      <c r="T3053" s="85" ph="1"/>
    </row>
    <row r="3054" spans="20:20" ht="26.25">
      <c r="T3054" s="85" ph="1"/>
    </row>
    <row r="3055" spans="20:20" ht="26.25">
      <c r="T3055" s="85" ph="1"/>
    </row>
    <row r="3056" spans="20:20" ht="26.25">
      <c r="T3056" s="85" ph="1"/>
    </row>
    <row r="3057" spans="20:20" ht="26.25">
      <c r="T3057" s="85" ph="1"/>
    </row>
    <row r="3058" spans="20:20" ht="26.25">
      <c r="T3058" s="85" ph="1"/>
    </row>
    <row r="3059" spans="20:20" ht="26.25">
      <c r="T3059" s="85" ph="1"/>
    </row>
    <row r="3060" spans="20:20" ht="26.25">
      <c r="T3060" s="85" ph="1"/>
    </row>
    <row r="3061" spans="20:20" ht="26.25">
      <c r="T3061" s="85" ph="1"/>
    </row>
    <row r="3062" spans="20:20" ht="26.25">
      <c r="T3062" s="85" ph="1"/>
    </row>
    <row r="3063" spans="20:20" ht="26.25">
      <c r="T3063" s="85" ph="1"/>
    </row>
    <row r="3064" spans="20:20" ht="26.25">
      <c r="T3064" s="85" ph="1"/>
    </row>
    <row r="3065" spans="20:20" ht="26.25">
      <c r="T3065" s="85" ph="1"/>
    </row>
    <row r="3066" spans="20:20" ht="26.25">
      <c r="T3066" s="85" ph="1"/>
    </row>
    <row r="3067" spans="20:20" ht="26.25">
      <c r="T3067" s="85" ph="1"/>
    </row>
    <row r="3068" spans="20:20" ht="26.25">
      <c r="T3068" s="85" ph="1"/>
    </row>
    <row r="3069" spans="20:20" ht="26.25">
      <c r="T3069" s="85" ph="1"/>
    </row>
    <row r="3070" spans="20:20" ht="26.25">
      <c r="T3070" s="85" ph="1"/>
    </row>
    <row r="3071" spans="20:20" ht="26.25">
      <c r="T3071" s="85" ph="1"/>
    </row>
    <row r="3072" spans="20:20" ht="26.25">
      <c r="T3072" s="85" ph="1"/>
    </row>
    <row r="3073" spans="20:20" ht="26.25">
      <c r="T3073" s="85" ph="1"/>
    </row>
    <row r="3074" spans="20:20" ht="26.25">
      <c r="T3074" s="85" ph="1"/>
    </row>
    <row r="3075" spans="20:20" ht="26.25">
      <c r="T3075" s="85" ph="1"/>
    </row>
    <row r="3076" spans="20:20" ht="26.25">
      <c r="T3076" s="85" ph="1"/>
    </row>
    <row r="3077" spans="20:20" ht="26.25">
      <c r="T3077" s="85" ph="1"/>
    </row>
    <row r="3078" spans="20:20" ht="26.25">
      <c r="T3078" s="85" ph="1"/>
    </row>
    <row r="3079" spans="20:20" ht="26.25">
      <c r="T3079" s="85" ph="1"/>
    </row>
    <row r="3080" spans="20:20" ht="26.25">
      <c r="T3080" s="85" ph="1"/>
    </row>
    <row r="3081" spans="20:20" ht="26.25">
      <c r="T3081" s="85" ph="1"/>
    </row>
    <row r="3082" spans="20:20" ht="26.25">
      <c r="T3082" s="85" ph="1"/>
    </row>
    <row r="3083" spans="20:20" ht="26.25">
      <c r="T3083" s="85" ph="1"/>
    </row>
    <row r="3084" spans="20:20" ht="26.25">
      <c r="T3084" s="85" ph="1"/>
    </row>
    <row r="3085" spans="20:20" ht="26.25">
      <c r="T3085" s="85" ph="1"/>
    </row>
    <row r="3086" spans="20:20" ht="26.25">
      <c r="T3086" s="85" ph="1"/>
    </row>
    <row r="3087" spans="20:20" ht="26.25">
      <c r="T3087" s="85" ph="1"/>
    </row>
    <row r="3088" spans="20:20" ht="26.25">
      <c r="T3088" s="85" ph="1"/>
    </row>
    <row r="3089" spans="20:20" ht="26.25">
      <c r="T3089" s="85" ph="1"/>
    </row>
    <row r="3090" spans="20:20" ht="26.25">
      <c r="T3090" s="85" ph="1"/>
    </row>
    <row r="3091" spans="20:20" ht="26.25">
      <c r="T3091" s="85" ph="1"/>
    </row>
    <row r="3092" spans="20:20" ht="26.25">
      <c r="T3092" s="85" ph="1"/>
    </row>
    <row r="3093" spans="20:20" ht="26.25">
      <c r="T3093" s="85" ph="1"/>
    </row>
    <row r="3094" spans="20:20" ht="26.25">
      <c r="T3094" s="85" ph="1"/>
    </row>
    <row r="3095" spans="20:20" ht="26.25">
      <c r="T3095" s="85" ph="1"/>
    </row>
    <row r="3096" spans="20:20" ht="26.25">
      <c r="T3096" s="85" ph="1"/>
    </row>
    <row r="3097" spans="20:20" ht="26.25">
      <c r="T3097" s="85" ph="1"/>
    </row>
    <row r="3098" spans="20:20" ht="26.25">
      <c r="T3098" s="85" ph="1"/>
    </row>
    <row r="3099" spans="20:20" ht="26.25">
      <c r="T3099" s="85" ph="1"/>
    </row>
    <row r="3100" spans="20:20" ht="26.25">
      <c r="T3100" s="85" ph="1"/>
    </row>
    <row r="3101" spans="20:20" ht="26.25">
      <c r="T3101" s="85" ph="1"/>
    </row>
    <row r="3102" spans="20:20" ht="26.25">
      <c r="T3102" s="85" ph="1"/>
    </row>
    <row r="3103" spans="20:20" ht="26.25">
      <c r="T3103" s="85" ph="1"/>
    </row>
    <row r="3104" spans="20:20" ht="26.25">
      <c r="T3104" s="85" ph="1"/>
    </row>
    <row r="3105" spans="20:20" ht="26.25">
      <c r="T3105" s="85" ph="1"/>
    </row>
    <row r="3106" spans="20:20" ht="26.25">
      <c r="T3106" s="85" ph="1"/>
    </row>
    <row r="3107" spans="20:20" ht="26.25">
      <c r="T3107" s="85" ph="1"/>
    </row>
    <row r="3108" spans="20:20" ht="26.25">
      <c r="T3108" s="85" ph="1"/>
    </row>
    <row r="3109" spans="20:20" ht="26.25">
      <c r="T3109" s="85" ph="1"/>
    </row>
    <row r="3110" spans="20:20" ht="26.25">
      <c r="T3110" s="85" ph="1"/>
    </row>
    <row r="3111" spans="20:20" ht="26.25">
      <c r="T3111" s="85" ph="1"/>
    </row>
    <row r="3112" spans="20:20" ht="26.25">
      <c r="T3112" s="85" ph="1"/>
    </row>
    <row r="3113" spans="20:20" ht="26.25">
      <c r="T3113" s="85" ph="1"/>
    </row>
    <row r="3114" spans="20:20" ht="26.25">
      <c r="T3114" s="85" ph="1"/>
    </row>
    <row r="3115" spans="20:20" ht="26.25">
      <c r="T3115" s="85" ph="1"/>
    </row>
    <row r="3116" spans="20:20" ht="26.25">
      <c r="T3116" s="85" ph="1"/>
    </row>
    <row r="3117" spans="20:20" ht="26.25">
      <c r="T3117" s="85" ph="1"/>
    </row>
    <row r="3118" spans="20:20" ht="26.25">
      <c r="T3118" s="85" ph="1"/>
    </row>
    <row r="3119" spans="20:20" ht="26.25">
      <c r="T3119" s="85" ph="1"/>
    </row>
    <row r="3120" spans="20:20" ht="26.25">
      <c r="T3120" s="85" ph="1"/>
    </row>
    <row r="3121" spans="20:20" ht="26.25">
      <c r="T3121" s="85" ph="1"/>
    </row>
    <row r="3122" spans="20:20" ht="26.25">
      <c r="T3122" s="85" ph="1"/>
    </row>
    <row r="3123" spans="20:20" ht="26.25">
      <c r="T3123" s="85" ph="1"/>
    </row>
    <row r="3124" spans="20:20" ht="26.25">
      <c r="T3124" s="85" ph="1"/>
    </row>
    <row r="3125" spans="20:20" ht="26.25">
      <c r="T3125" s="85" ph="1"/>
    </row>
    <row r="3126" spans="20:20" ht="26.25">
      <c r="T3126" s="85" ph="1"/>
    </row>
    <row r="3127" spans="20:20" ht="26.25">
      <c r="T3127" s="85" ph="1"/>
    </row>
    <row r="3128" spans="20:20" ht="26.25">
      <c r="T3128" s="85" ph="1"/>
    </row>
    <row r="3129" spans="20:20" ht="26.25">
      <c r="T3129" s="85" ph="1"/>
    </row>
    <row r="3130" spans="20:20" ht="26.25">
      <c r="T3130" s="85" ph="1"/>
    </row>
    <row r="3131" spans="20:20" ht="26.25">
      <c r="T3131" s="85" ph="1"/>
    </row>
    <row r="3132" spans="20:20" ht="26.25">
      <c r="T3132" s="85" ph="1"/>
    </row>
    <row r="3133" spans="20:20" ht="26.25">
      <c r="T3133" s="85" ph="1"/>
    </row>
    <row r="3134" spans="20:20" ht="26.25">
      <c r="T3134" s="85" ph="1"/>
    </row>
    <row r="3135" spans="20:20" ht="26.25">
      <c r="T3135" s="85" ph="1"/>
    </row>
    <row r="3136" spans="20:20" ht="26.25">
      <c r="T3136" s="85" ph="1"/>
    </row>
    <row r="3137" spans="20:20" ht="26.25">
      <c r="T3137" s="85" ph="1"/>
    </row>
    <row r="3138" spans="20:20" ht="26.25">
      <c r="T3138" s="85" ph="1"/>
    </row>
    <row r="3139" spans="20:20" ht="26.25">
      <c r="T3139" s="85" ph="1"/>
    </row>
    <row r="3140" spans="20:20" ht="26.25">
      <c r="T3140" s="85" ph="1"/>
    </row>
    <row r="3141" spans="20:20" ht="26.25">
      <c r="T3141" s="85" ph="1"/>
    </row>
    <row r="3142" spans="20:20" ht="26.25">
      <c r="T3142" s="85" ph="1"/>
    </row>
    <row r="3143" spans="20:20" ht="26.25">
      <c r="T3143" s="85" ph="1"/>
    </row>
    <row r="3144" spans="20:20" ht="26.25">
      <c r="T3144" s="85" ph="1"/>
    </row>
    <row r="3145" spans="20:20" ht="26.25">
      <c r="T3145" s="85" ph="1"/>
    </row>
    <row r="3146" spans="20:20" ht="26.25">
      <c r="T3146" s="85" ph="1"/>
    </row>
    <row r="3147" spans="20:20" ht="26.25">
      <c r="T3147" s="85" ph="1"/>
    </row>
    <row r="3148" spans="20:20" ht="26.25">
      <c r="T3148" s="85" ph="1"/>
    </row>
    <row r="3149" spans="20:20" ht="26.25">
      <c r="T3149" s="85" ph="1"/>
    </row>
    <row r="3150" spans="20:20" ht="26.25">
      <c r="T3150" s="85" ph="1"/>
    </row>
    <row r="3151" spans="20:20" ht="26.25">
      <c r="T3151" s="85" ph="1"/>
    </row>
    <row r="3152" spans="20:20" ht="26.25">
      <c r="T3152" s="85" ph="1"/>
    </row>
    <row r="3153" spans="20:20" ht="26.25">
      <c r="T3153" s="85" ph="1"/>
    </row>
    <row r="3154" spans="20:20" ht="26.25">
      <c r="T3154" s="85" ph="1"/>
    </row>
    <row r="3155" spans="20:20" ht="26.25">
      <c r="T3155" s="85" ph="1"/>
    </row>
    <row r="3156" spans="20:20" ht="26.25">
      <c r="T3156" s="85" ph="1"/>
    </row>
    <row r="3157" spans="20:20" ht="26.25">
      <c r="T3157" s="85" ph="1"/>
    </row>
    <row r="3158" spans="20:20" ht="26.25">
      <c r="T3158" s="85" ph="1"/>
    </row>
    <row r="3159" spans="20:20" ht="26.25">
      <c r="T3159" s="85" ph="1"/>
    </row>
    <row r="3160" spans="20:20" ht="26.25">
      <c r="T3160" s="85" ph="1"/>
    </row>
    <row r="3161" spans="20:20" ht="26.25">
      <c r="T3161" s="85" ph="1"/>
    </row>
    <row r="3162" spans="20:20" ht="26.25">
      <c r="T3162" s="85" ph="1"/>
    </row>
    <row r="3163" spans="20:20" ht="26.25">
      <c r="T3163" s="85" ph="1"/>
    </row>
    <row r="3164" spans="20:20" ht="26.25">
      <c r="T3164" s="85" ph="1"/>
    </row>
    <row r="3165" spans="20:20" ht="26.25">
      <c r="T3165" s="85" ph="1"/>
    </row>
    <row r="3166" spans="20:20" ht="26.25">
      <c r="T3166" s="85" ph="1"/>
    </row>
    <row r="3167" spans="20:20" ht="26.25">
      <c r="T3167" s="85" ph="1"/>
    </row>
    <row r="3168" spans="20:20" ht="26.25">
      <c r="T3168" s="85" ph="1"/>
    </row>
    <row r="3169" spans="20:20" ht="26.25">
      <c r="T3169" s="85" ph="1"/>
    </row>
    <row r="3170" spans="20:20" ht="26.25">
      <c r="T3170" s="85" ph="1"/>
    </row>
    <row r="3171" spans="20:20" ht="26.25">
      <c r="T3171" s="85" ph="1"/>
    </row>
    <row r="3172" spans="20:20" ht="26.25">
      <c r="T3172" s="85" ph="1"/>
    </row>
    <row r="3173" spans="20:20" ht="26.25">
      <c r="T3173" s="85" ph="1"/>
    </row>
    <row r="3174" spans="20:20" ht="26.25">
      <c r="T3174" s="85" ph="1"/>
    </row>
    <row r="3175" spans="20:20" ht="26.25">
      <c r="T3175" s="85" ph="1"/>
    </row>
    <row r="3176" spans="20:20" ht="26.25">
      <c r="T3176" s="85" ph="1"/>
    </row>
    <row r="3177" spans="20:20" ht="26.25">
      <c r="T3177" s="85" ph="1"/>
    </row>
    <row r="3178" spans="20:20" ht="26.25">
      <c r="T3178" s="85" ph="1"/>
    </row>
    <row r="3179" spans="20:20" ht="26.25">
      <c r="T3179" s="85" ph="1"/>
    </row>
    <row r="3180" spans="20:20" ht="26.25">
      <c r="T3180" s="85" ph="1"/>
    </row>
    <row r="3181" spans="20:20" ht="26.25">
      <c r="T3181" s="85" ph="1"/>
    </row>
    <row r="3182" spans="20:20" ht="26.25">
      <c r="T3182" s="85" ph="1"/>
    </row>
    <row r="3183" spans="20:20" ht="26.25">
      <c r="T3183" s="85" ph="1"/>
    </row>
    <row r="3184" spans="20:20" ht="26.25">
      <c r="T3184" s="85" ph="1"/>
    </row>
    <row r="3185" spans="20:20" ht="26.25">
      <c r="T3185" s="85" ph="1"/>
    </row>
    <row r="3186" spans="20:20" ht="26.25">
      <c r="T3186" s="85" ph="1"/>
    </row>
    <row r="3187" spans="20:20" ht="26.25">
      <c r="T3187" s="85" ph="1"/>
    </row>
    <row r="3188" spans="20:20" ht="26.25">
      <c r="T3188" s="85" ph="1"/>
    </row>
    <row r="3189" spans="20:20" ht="26.25">
      <c r="T3189" s="85" ph="1"/>
    </row>
    <row r="3190" spans="20:20" ht="26.25">
      <c r="T3190" s="85" ph="1"/>
    </row>
    <row r="3191" spans="20:20" ht="26.25">
      <c r="T3191" s="85" ph="1"/>
    </row>
    <row r="3192" spans="20:20" ht="26.25">
      <c r="T3192" s="85" ph="1"/>
    </row>
    <row r="3193" spans="20:20" ht="26.25">
      <c r="T3193" s="85" ph="1"/>
    </row>
    <row r="3194" spans="20:20" ht="26.25">
      <c r="T3194" s="85" ph="1"/>
    </row>
    <row r="3195" spans="20:20" ht="26.25">
      <c r="T3195" s="85" ph="1"/>
    </row>
    <row r="3196" spans="20:20" ht="26.25">
      <c r="T3196" s="85" ph="1"/>
    </row>
    <row r="3197" spans="20:20" ht="26.25">
      <c r="T3197" s="85" ph="1"/>
    </row>
    <row r="3198" spans="20:20" ht="26.25">
      <c r="T3198" s="85" ph="1"/>
    </row>
    <row r="3199" spans="20:20" ht="26.25">
      <c r="T3199" s="85" ph="1"/>
    </row>
    <row r="3200" spans="20:20" ht="26.25">
      <c r="T3200" s="85" ph="1"/>
    </row>
    <row r="3201" spans="20:20" ht="26.25">
      <c r="T3201" s="85" ph="1"/>
    </row>
    <row r="3202" spans="20:20" ht="26.25">
      <c r="T3202" s="85" ph="1"/>
    </row>
    <row r="3203" spans="20:20" ht="26.25">
      <c r="T3203" s="85" ph="1"/>
    </row>
    <row r="3204" spans="20:20" ht="26.25">
      <c r="T3204" s="85" ph="1"/>
    </row>
    <row r="3205" spans="20:20" ht="26.25">
      <c r="T3205" s="85" ph="1"/>
    </row>
    <row r="3206" spans="20:20" ht="26.25">
      <c r="T3206" s="85" ph="1"/>
    </row>
    <row r="3207" spans="20:20" ht="26.25">
      <c r="T3207" s="85" ph="1"/>
    </row>
    <row r="3208" spans="20:20" ht="26.25">
      <c r="T3208" s="85" ph="1"/>
    </row>
    <row r="3209" spans="20:20" ht="26.25">
      <c r="T3209" s="85" ph="1"/>
    </row>
    <row r="3210" spans="20:20" ht="26.25">
      <c r="T3210" s="85" ph="1"/>
    </row>
    <row r="3211" spans="20:20" ht="26.25">
      <c r="T3211" s="85" ph="1"/>
    </row>
    <row r="3212" spans="20:20" ht="26.25">
      <c r="T3212" s="85" ph="1"/>
    </row>
    <row r="3213" spans="20:20" ht="26.25">
      <c r="T3213" s="85" ph="1"/>
    </row>
    <row r="3214" spans="20:20" ht="26.25">
      <c r="T3214" s="85" ph="1"/>
    </row>
    <row r="3215" spans="20:20" ht="26.25">
      <c r="T3215" s="85" ph="1"/>
    </row>
    <row r="3216" spans="20:20" ht="26.25">
      <c r="T3216" s="85" ph="1"/>
    </row>
    <row r="3217" spans="20:20" ht="26.25">
      <c r="T3217" s="85" ph="1"/>
    </row>
    <row r="3218" spans="20:20" ht="26.25">
      <c r="T3218" s="85" ph="1"/>
    </row>
    <row r="3219" spans="20:20" ht="26.25">
      <c r="T3219" s="85" ph="1"/>
    </row>
    <row r="3220" spans="20:20" ht="26.25">
      <c r="T3220" s="85" ph="1"/>
    </row>
    <row r="3221" spans="20:20" ht="26.25">
      <c r="T3221" s="85" ph="1"/>
    </row>
    <row r="3222" spans="20:20" ht="26.25">
      <c r="T3222" s="85" ph="1"/>
    </row>
    <row r="3223" spans="20:20" ht="26.25">
      <c r="T3223" s="85" ph="1"/>
    </row>
    <row r="3224" spans="20:20" ht="26.25">
      <c r="T3224" s="85" ph="1"/>
    </row>
    <row r="3225" spans="20:20" ht="26.25">
      <c r="T3225" s="85" ph="1"/>
    </row>
    <row r="3226" spans="20:20" ht="26.25">
      <c r="T3226" s="85" ph="1"/>
    </row>
    <row r="3227" spans="20:20" ht="26.25">
      <c r="T3227" s="85" ph="1"/>
    </row>
    <row r="3228" spans="20:20" ht="26.25">
      <c r="T3228" s="85" ph="1"/>
    </row>
    <row r="3229" spans="20:20" ht="26.25">
      <c r="T3229" s="85" ph="1"/>
    </row>
    <row r="3230" spans="20:20" ht="26.25">
      <c r="T3230" s="85" ph="1"/>
    </row>
    <row r="3231" spans="20:20" ht="26.25">
      <c r="T3231" s="85" ph="1"/>
    </row>
    <row r="3232" spans="20:20" ht="26.25">
      <c r="T3232" s="85" ph="1"/>
    </row>
    <row r="3233" spans="20:20" ht="26.25">
      <c r="T3233" s="85" ph="1"/>
    </row>
    <row r="3234" spans="20:20" ht="26.25">
      <c r="T3234" s="85" ph="1"/>
    </row>
    <row r="3235" spans="20:20" ht="26.25">
      <c r="T3235" s="85" ph="1"/>
    </row>
    <row r="3236" spans="20:20" ht="26.25">
      <c r="T3236" s="85" ph="1"/>
    </row>
    <row r="3237" spans="20:20" ht="26.25">
      <c r="T3237" s="85" ph="1"/>
    </row>
    <row r="3238" spans="20:20" ht="26.25">
      <c r="T3238" s="85" ph="1"/>
    </row>
    <row r="3239" spans="20:20" ht="26.25">
      <c r="T3239" s="85" ph="1"/>
    </row>
    <row r="3240" spans="20:20" ht="26.25">
      <c r="T3240" s="85" ph="1"/>
    </row>
    <row r="3241" spans="20:20" ht="26.25">
      <c r="T3241" s="85" ph="1"/>
    </row>
    <row r="3242" spans="20:20" ht="26.25">
      <c r="T3242" s="85" ph="1"/>
    </row>
    <row r="3243" spans="20:20" ht="26.25">
      <c r="T3243" s="85" ph="1"/>
    </row>
    <row r="3244" spans="20:20" ht="26.25">
      <c r="T3244" s="85" ph="1"/>
    </row>
    <row r="3245" spans="20:20" ht="26.25">
      <c r="T3245" s="85" ph="1"/>
    </row>
    <row r="3246" spans="20:20" ht="26.25">
      <c r="T3246" s="85" ph="1"/>
    </row>
    <row r="3247" spans="20:20" ht="26.25">
      <c r="T3247" s="85" ph="1"/>
    </row>
    <row r="3248" spans="20:20" ht="26.25">
      <c r="T3248" s="85" ph="1"/>
    </row>
    <row r="3249" spans="20:20" ht="26.25">
      <c r="T3249" s="85" ph="1"/>
    </row>
    <row r="3250" spans="20:20" ht="26.25">
      <c r="T3250" s="85" ph="1"/>
    </row>
    <row r="3251" spans="20:20" ht="26.25">
      <c r="T3251" s="85" ph="1"/>
    </row>
    <row r="3252" spans="20:20" ht="26.25">
      <c r="T3252" s="85" ph="1"/>
    </row>
    <row r="3253" spans="20:20" ht="26.25">
      <c r="T3253" s="85" ph="1"/>
    </row>
    <row r="3254" spans="20:20" ht="26.25">
      <c r="T3254" s="85" ph="1"/>
    </row>
    <row r="3255" spans="20:20" ht="26.25">
      <c r="T3255" s="85" ph="1"/>
    </row>
    <row r="3256" spans="20:20" ht="26.25">
      <c r="T3256" s="85" ph="1"/>
    </row>
    <row r="3257" spans="20:20" ht="26.25">
      <c r="T3257" s="85" ph="1"/>
    </row>
    <row r="3258" spans="20:20" ht="26.25">
      <c r="T3258" s="85" ph="1"/>
    </row>
    <row r="3259" spans="20:20" ht="26.25">
      <c r="T3259" s="85" ph="1"/>
    </row>
    <row r="3260" spans="20:20" ht="26.25">
      <c r="T3260" s="85" ph="1"/>
    </row>
    <row r="3261" spans="20:20" ht="26.25">
      <c r="T3261" s="85" ph="1"/>
    </row>
    <row r="3262" spans="20:20" ht="26.25">
      <c r="T3262" s="85" ph="1"/>
    </row>
    <row r="3263" spans="20:20" ht="26.25">
      <c r="T3263" s="85" ph="1"/>
    </row>
    <row r="3264" spans="20:20" ht="26.25">
      <c r="T3264" s="85" ph="1"/>
    </row>
    <row r="3265" spans="20:20" ht="26.25">
      <c r="T3265" s="85" ph="1"/>
    </row>
    <row r="3266" spans="20:20" ht="26.25">
      <c r="T3266" s="85" ph="1"/>
    </row>
    <row r="3267" spans="20:20" ht="26.25">
      <c r="T3267" s="85" ph="1"/>
    </row>
    <row r="3268" spans="20:20" ht="26.25">
      <c r="T3268" s="85" ph="1"/>
    </row>
    <row r="3269" spans="20:20" ht="26.25">
      <c r="T3269" s="85" ph="1"/>
    </row>
    <row r="3270" spans="20:20" ht="26.25">
      <c r="T3270" s="85" ph="1"/>
    </row>
    <row r="3271" spans="20:20" ht="26.25">
      <c r="T3271" s="85" ph="1"/>
    </row>
    <row r="3272" spans="20:20" ht="26.25">
      <c r="T3272" s="85" ph="1"/>
    </row>
    <row r="3273" spans="20:20" ht="26.25">
      <c r="T3273" s="85" ph="1"/>
    </row>
    <row r="3274" spans="20:20" ht="26.25">
      <c r="T3274" s="85" ph="1"/>
    </row>
    <row r="3275" spans="20:20" ht="26.25">
      <c r="T3275" s="85" ph="1"/>
    </row>
    <row r="3276" spans="20:20" ht="26.25">
      <c r="T3276" s="85" ph="1"/>
    </row>
    <row r="3277" spans="20:20" ht="26.25">
      <c r="T3277" s="85" ph="1"/>
    </row>
    <row r="3278" spans="20:20" ht="26.25">
      <c r="T3278" s="85" ph="1"/>
    </row>
    <row r="3279" spans="20:20" ht="26.25">
      <c r="T3279" s="85" ph="1"/>
    </row>
    <row r="3280" spans="20:20" ht="26.25">
      <c r="T3280" s="85" ph="1"/>
    </row>
    <row r="3281" spans="20:20" ht="26.25">
      <c r="T3281" s="85" ph="1"/>
    </row>
    <row r="3282" spans="20:20" ht="26.25">
      <c r="T3282" s="85" ph="1"/>
    </row>
    <row r="3283" spans="20:20" ht="26.25">
      <c r="T3283" s="85" ph="1"/>
    </row>
    <row r="3284" spans="20:20" ht="26.25">
      <c r="T3284" s="85" ph="1"/>
    </row>
    <row r="3285" spans="20:20" ht="26.25">
      <c r="T3285" s="85" ph="1"/>
    </row>
    <row r="3286" spans="20:20" ht="26.25">
      <c r="T3286" s="85" ph="1"/>
    </row>
    <row r="3287" spans="20:20" ht="26.25">
      <c r="T3287" s="85" ph="1"/>
    </row>
    <row r="3288" spans="20:20" ht="26.25">
      <c r="T3288" s="85" ph="1"/>
    </row>
    <row r="3289" spans="20:20" ht="26.25">
      <c r="T3289" s="85" ph="1"/>
    </row>
    <row r="3290" spans="20:20" ht="26.25">
      <c r="T3290" s="85" ph="1"/>
    </row>
    <row r="3291" spans="20:20" ht="26.25">
      <c r="T3291" s="85" ph="1"/>
    </row>
    <row r="3292" spans="20:20" ht="26.25">
      <c r="T3292" s="85" ph="1"/>
    </row>
    <row r="3293" spans="20:20" ht="26.25">
      <c r="T3293" s="85" ph="1"/>
    </row>
    <row r="3294" spans="20:20" ht="26.25">
      <c r="T3294" s="85" ph="1"/>
    </row>
    <row r="3295" spans="20:20" ht="26.25">
      <c r="T3295" s="85" ph="1"/>
    </row>
    <row r="3296" spans="20:20" ht="26.25">
      <c r="T3296" s="85" ph="1"/>
    </row>
    <row r="3297" spans="20:20" ht="26.25">
      <c r="T3297" s="85" ph="1"/>
    </row>
    <row r="3298" spans="20:20" ht="26.25">
      <c r="T3298" s="85" ph="1"/>
    </row>
    <row r="3299" spans="20:20" ht="26.25">
      <c r="T3299" s="85" ph="1"/>
    </row>
    <row r="3300" spans="20:20" ht="26.25">
      <c r="T3300" s="85" ph="1"/>
    </row>
    <row r="3301" spans="20:20" ht="26.25">
      <c r="T3301" s="85" ph="1"/>
    </row>
    <row r="3302" spans="20:20" ht="26.25">
      <c r="T3302" s="85" ph="1"/>
    </row>
    <row r="3303" spans="20:20" ht="26.25">
      <c r="T3303" s="85" ph="1"/>
    </row>
    <row r="3304" spans="20:20" ht="26.25">
      <c r="T3304" s="85" ph="1"/>
    </row>
    <row r="3305" spans="20:20" ht="26.25">
      <c r="T3305" s="85" ph="1"/>
    </row>
    <row r="3306" spans="20:20" ht="26.25">
      <c r="T3306" s="85" ph="1"/>
    </row>
    <row r="3307" spans="20:20" ht="26.25">
      <c r="T3307" s="85" ph="1"/>
    </row>
    <row r="3308" spans="20:20" ht="26.25">
      <c r="T3308" s="85" ph="1"/>
    </row>
    <row r="3309" spans="20:20" ht="26.25">
      <c r="T3309" s="85" ph="1"/>
    </row>
    <row r="3310" spans="20:20" ht="26.25">
      <c r="T3310" s="85" ph="1"/>
    </row>
    <row r="3311" spans="20:20" ht="26.25">
      <c r="T3311" s="85" ph="1"/>
    </row>
    <row r="3312" spans="20:20" ht="26.25">
      <c r="T3312" s="85" ph="1"/>
    </row>
    <row r="3313" spans="20:20" ht="26.25">
      <c r="T3313" s="85" ph="1"/>
    </row>
    <row r="3314" spans="20:20" ht="26.25">
      <c r="T3314" s="85" ph="1"/>
    </row>
    <row r="3315" spans="20:20" ht="26.25">
      <c r="T3315" s="85" ph="1"/>
    </row>
    <row r="3316" spans="20:20" ht="26.25">
      <c r="T3316" s="85" ph="1"/>
    </row>
    <row r="3317" spans="20:20" ht="26.25">
      <c r="T3317" s="85" ph="1"/>
    </row>
    <row r="3318" spans="20:20" ht="26.25">
      <c r="T3318" s="85" ph="1"/>
    </row>
    <row r="3319" spans="20:20" ht="26.25">
      <c r="T3319" s="85" ph="1"/>
    </row>
    <row r="3320" spans="20:20" ht="26.25">
      <c r="T3320" s="85" ph="1"/>
    </row>
    <row r="3321" spans="20:20" ht="26.25">
      <c r="T3321" s="85" ph="1"/>
    </row>
    <row r="3322" spans="20:20" ht="26.25">
      <c r="T3322" s="85" ph="1"/>
    </row>
    <row r="3323" spans="20:20" ht="26.25">
      <c r="T3323" s="85" ph="1"/>
    </row>
    <row r="3324" spans="20:20" ht="26.25">
      <c r="T3324" s="85" ph="1"/>
    </row>
    <row r="3325" spans="20:20" ht="26.25">
      <c r="T3325" s="85" ph="1"/>
    </row>
    <row r="3326" spans="20:20" ht="26.25">
      <c r="T3326" s="85" ph="1"/>
    </row>
    <row r="3327" spans="20:20" ht="26.25">
      <c r="T3327" s="85" ph="1"/>
    </row>
    <row r="3328" spans="20:20" ht="26.25">
      <c r="T3328" s="85" ph="1"/>
    </row>
    <row r="3329" spans="20:20" ht="26.25">
      <c r="T3329" s="85" ph="1"/>
    </row>
    <row r="3330" spans="20:20" ht="26.25">
      <c r="T3330" s="85" ph="1"/>
    </row>
    <row r="3331" spans="20:20" ht="26.25">
      <c r="T3331" s="85" ph="1"/>
    </row>
    <row r="3332" spans="20:20" ht="26.25">
      <c r="T3332" s="85" ph="1"/>
    </row>
    <row r="3333" spans="20:20" ht="26.25">
      <c r="T3333" s="85" ph="1"/>
    </row>
    <row r="3334" spans="20:20" ht="26.25">
      <c r="T3334" s="85" ph="1"/>
    </row>
    <row r="3335" spans="20:20" ht="26.25">
      <c r="T3335" s="85" ph="1"/>
    </row>
    <row r="3336" spans="20:20" ht="26.25">
      <c r="T3336" s="85" ph="1"/>
    </row>
    <row r="3337" spans="20:20" ht="26.25">
      <c r="T3337" s="85" ph="1"/>
    </row>
    <row r="3338" spans="20:20" ht="26.25">
      <c r="T3338" s="85" ph="1"/>
    </row>
    <row r="3339" spans="20:20" ht="26.25">
      <c r="T3339" s="85" ph="1"/>
    </row>
    <row r="3340" spans="20:20" ht="26.25">
      <c r="T3340" s="85" ph="1"/>
    </row>
    <row r="3341" spans="20:20" ht="26.25">
      <c r="T3341" s="85" ph="1"/>
    </row>
    <row r="3342" spans="20:20" ht="26.25">
      <c r="T3342" s="85" ph="1"/>
    </row>
    <row r="3343" spans="20:20" ht="26.25">
      <c r="T3343" s="85" ph="1"/>
    </row>
    <row r="3344" spans="20:20" ht="26.25">
      <c r="T3344" s="85" ph="1"/>
    </row>
    <row r="3345" spans="20:20" ht="26.25">
      <c r="T3345" s="85" ph="1"/>
    </row>
    <row r="3346" spans="20:20" ht="26.25">
      <c r="T3346" s="85" ph="1"/>
    </row>
    <row r="3347" spans="20:20" ht="26.25">
      <c r="T3347" s="85" ph="1"/>
    </row>
    <row r="3348" spans="20:20" ht="26.25">
      <c r="T3348" s="85" ph="1"/>
    </row>
    <row r="3349" spans="20:20" ht="26.25">
      <c r="T3349" s="85" ph="1"/>
    </row>
    <row r="3350" spans="20:20" ht="26.25">
      <c r="T3350" s="85" ph="1"/>
    </row>
    <row r="3351" spans="20:20" ht="26.25">
      <c r="T3351" s="85" ph="1"/>
    </row>
    <row r="3352" spans="20:20" ht="26.25">
      <c r="T3352" s="85" ph="1"/>
    </row>
    <row r="3353" spans="20:20" ht="26.25">
      <c r="T3353" s="85" ph="1"/>
    </row>
    <row r="3354" spans="20:20" ht="26.25">
      <c r="T3354" s="85" ph="1"/>
    </row>
    <row r="3355" spans="20:20" ht="26.25">
      <c r="T3355" s="85" ph="1"/>
    </row>
    <row r="3356" spans="20:20" ht="26.25">
      <c r="T3356" s="85" ph="1"/>
    </row>
    <row r="3357" spans="20:20" ht="26.25">
      <c r="T3357" s="85" ph="1"/>
    </row>
    <row r="3358" spans="20:20" ht="26.25">
      <c r="T3358" s="85" ph="1"/>
    </row>
    <row r="3359" spans="20:20" ht="26.25">
      <c r="T3359" s="85" ph="1"/>
    </row>
    <row r="3360" spans="20:20" ht="26.25">
      <c r="T3360" s="85" ph="1"/>
    </row>
    <row r="3361" spans="20:20" ht="26.25">
      <c r="T3361" s="85" ph="1"/>
    </row>
    <row r="3362" spans="20:20" ht="26.25">
      <c r="T3362" s="85" ph="1"/>
    </row>
    <row r="3363" spans="20:20" ht="26.25">
      <c r="T3363" s="85" ph="1"/>
    </row>
    <row r="3364" spans="20:20" ht="26.25">
      <c r="T3364" s="85" ph="1"/>
    </row>
    <row r="3365" spans="20:20" ht="26.25">
      <c r="T3365" s="85" ph="1"/>
    </row>
    <row r="3366" spans="20:20" ht="26.25">
      <c r="T3366" s="85" ph="1"/>
    </row>
    <row r="3367" spans="20:20" ht="26.25">
      <c r="T3367" s="85" ph="1"/>
    </row>
    <row r="3368" spans="20:20" ht="26.25">
      <c r="T3368" s="85" ph="1"/>
    </row>
    <row r="3369" spans="20:20" ht="26.25">
      <c r="T3369" s="85" ph="1"/>
    </row>
    <row r="3370" spans="20:20" ht="26.25">
      <c r="T3370" s="85" ph="1"/>
    </row>
    <row r="3371" spans="20:20" ht="26.25">
      <c r="T3371" s="85" ph="1"/>
    </row>
    <row r="3372" spans="20:20" ht="26.25">
      <c r="T3372" s="85" ph="1"/>
    </row>
    <row r="3373" spans="20:20" ht="26.25">
      <c r="T3373" s="85" ph="1"/>
    </row>
    <row r="3374" spans="20:20" ht="26.25">
      <c r="T3374" s="85" ph="1"/>
    </row>
    <row r="3375" spans="20:20" ht="26.25">
      <c r="T3375" s="85" ph="1"/>
    </row>
    <row r="3376" spans="20:20" ht="26.25">
      <c r="T3376" s="85" ph="1"/>
    </row>
    <row r="3377" spans="20:20" ht="26.25">
      <c r="T3377" s="85" ph="1"/>
    </row>
    <row r="3378" spans="20:20" ht="26.25">
      <c r="T3378" s="85" ph="1"/>
    </row>
    <row r="3379" spans="20:20" ht="26.25">
      <c r="T3379" s="85" ph="1"/>
    </row>
    <row r="3380" spans="20:20" ht="26.25">
      <c r="T3380" s="85" ph="1"/>
    </row>
    <row r="3381" spans="20:20" ht="26.25">
      <c r="T3381" s="85" ph="1"/>
    </row>
    <row r="3382" spans="20:20" ht="26.25">
      <c r="T3382" s="85" ph="1"/>
    </row>
    <row r="3383" spans="20:20" ht="26.25">
      <c r="T3383" s="85" ph="1"/>
    </row>
    <row r="3384" spans="20:20" ht="26.25">
      <c r="T3384" s="85" ph="1"/>
    </row>
    <row r="3385" spans="20:20" ht="26.25">
      <c r="T3385" s="85" ph="1"/>
    </row>
    <row r="3386" spans="20:20" ht="26.25">
      <c r="T3386" s="85" ph="1"/>
    </row>
    <row r="3387" spans="20:20" ht="26.25">
      <c r="T3387" s="85" ph="1"/>
    </row>
    <row r="3388" spans="20:20" ht="26.25">
      <c r="T3388" s="85" ph="1"/>
    </row>
    <row r="3389" spans="20:20" ht="26.25">
      <c r="T3389" s="85" ph="1"/>
    </row>
    <row r="3390" spans="20:20" ht="26.25">
      <c r="T3390" s="85" ph="1"/>
    </row>
    <row r="3391" spans="20:20" ht="26.25">
      <c r="T3391" s="85" ph="1"/>
    </row>
    <row r="3392" spans="20:20" ht="26.25">
      <c r="T3392" s="85" ph="1"/>
    </row>
    <row r="3393" spans="20:20" ht="26.25">
      <c r="T3393" s="85" ph="1"/>
    </row>
    <row r="3394" spans="20:20" ht="26.25">
      <c r="T3394" s="85" ph="1"/>
    </row>
    <row r="3395" spans="20:20" ht="26.25">
      <c r="T3395" s="85" ph="1"/>
    </row>
    <row r="3396" spans="20:20" ht="26.25">
      <c r="T3396" s="85" ph="1"/>
    </row>
    <row r="3397" spans="20:20" ht="26.25">
      <c r="T3397" s="85" ph="1"/>
    </row>
    <row r="3398" spans="20:20" ht="26.25">
      <c r="T3398" s="85" ph="1"/>
    </row>
    <row r="3399" spans="20:20" ht="26.25">
      <c r="T3399" s="85" ph="1"/>
    </row>
    <row r="3400" spans="20:20" ht="26.25">
      <c r="T3400" s="85" ph="1"/>
    </row>
    <row r="3401" spans="20:20" ht="26.25">
      <c r="T3401" s="85" ph="1"/>
    </row>
    <row r="3402" spans="20:20" ht="26.25">
      <c r="T3402" s="85" ph="1"/>
    </row>
    <row r="3403" spans="20:20" ht="26.25">
      <c r="T3403" s="85" ph="1"/>
    </row>
    <row r="3404" spans="20:20" ht="26.25">
      <c r="T3404" s="85" ph="1"/>
    </row>
    <row r="3405" spans="20:20" ht="26.25">
      <c r="T3405" s="85" ph="1"/>
    </row>
    <row r="3406" spans="20:20" ht="26.25">
      <c r="T3406" s="85" ph="1"/>
    </row>
    <row r="3407" spans="20:20" ht="26.25">
      <c r="T3407" s="85" ph="1"/>
    </row>
    <row r="3408" spans="20:20" ht="26.25">
      <c r="T3408" s="85" ph="1"/>
    </row>
    <row r="3409" spans="20:20" ht="26.25">
      <c r="T3409" s="85" ph="1"/>
    </row>
    <row r="3410" spans="20:20" ht="26.25">
      <c r="T3410" s="85" ph="1"/>
    </row>
    <row r="3411" spans="20:20" ht="26.25">
      <c r="T3411" s="85" ph="1"/>
    </row>
    <row r="3412" spans="20:20" ht="26.25">
      <c r="T3412" s="85" ph="1"/>
    </row>
    <row r="3413" spans="20:20" ht="26.25">
      <c r="T3413" s="85" ph="1"/>
    </row>
    <row r="3414" spans="20:20" ht="26.25">
      <c r="T3414" s="85" ph="1"/>
    </row>
    <row r="3415" spans="20:20" ht="26.25">
      <c r="T3415" s="85" ph="1"/>
    </row>
    <row r="3416" spans="20:20" ht="26.25">
      <c r="T3416" s="85" ph="1"/>
    </row>
    <row r="3417" spans="20:20" ht="26.25">
      <c r="T3417" s="85" ph="1"/>
    </row>
    <row r="3418" spans="20:20" ht="26.25">
      <c r="T3418" s="85" ph="1"/>
    </row>
    <row r="3419" spans="20:20" ht="26.25">
      <c r="T3419" s="85" ph="1"/>
    </row>
    <row r="3420" spans="20:20" ht="26.25">
      <c r="T3420" s="85" ph="1"/>
    </row>
    <row r="3421" spans="20:20" ht="26.25">
      <c r="T3421" s="85" ph="1"/>
    </row>
    <row r="3422" spans="20:20" ht="26.25">
      <c r="T3422" s="85" ph="1"/>
    </row>
    <row r="3423" spans="20:20" ht="26.25">
      <c r="T3423" s="85" ph="1"/>
    </row>
    <row r="3424" spans="20:20" ht="26.25">
      <c r="T3424" s="85" ph="1"/>
    </row>
    <row r="3425" spans="20:20" ht="26.25">
      <c r="T3425" s="85" ph="1"/>
    </row>
    <row r="3426" spans="20:20" ht="26.25">
      <c r="T3426" s="85" ph="1"/>
    </row>
    <row r="3427" spans="20:20" ht="26.25">
      <c r="T3427" s="85" ph="1"/>
    </row>
    <row r="3428" spans="20:20" ht="26.25">
      <c r="T3428" s="85" ph="1"/>
    </row>
    <row r="3429" spans="20:20" ht="26.25">
      <c r="T3429" s="85" ph="1"/>
    </row>
    <row r="3430" spans="20:20" ht="26.25">
      <c r="T3430" s="85" ph="1"/>
    </row>
    <row r="3431" spans="20:20" ht="26.25">
      <c r="T3431" s="85" ph="1"/>
    </row>
    <row r="3432" spans="20:20" ht="26.25">
      <c r="T3432" s="85" ph="1"/>
    </row>
    <row r="3433" spans="20:20" ht="26.25">
      <c r="T3433" s="85" ph="1"/>
    </row>
    <row r="3434" spans="20:20" ht="26.25">
      <c r="T3434" s="85" ph="1"/>
    </row>
    <row r="3435" spans="20:20" ht="26.25">
      <c r="T3435" s="85" ph="1"/>
    </row>
    <row r="3436" spans="20:20" ht="26.25">
      <c r="T3436" s="85" ph="1"/>
    </row>
    <row r="3437" spans="20:20" ht="26.25">
      <c r="T3437" s="85" ph="1"/>
    </row>
    <row r="3438" spans="20:20" ht="26.25">
      <c r="T3438" s="85" ph="1"/>
    </row>
    <row r="3439" spans="20:20" ht="26.25">
      <c r="T3439" s="85" ph="1"/>
    </row>
    <row r="3440" spans="20:20" ht="26.25">
      <c r="T3440" s="85" ph="1"/>
    </row>
    <row r="3441" spans="20:20" ht="26.25">
      <c r="T3441" s="85" ph="1"/>
    </row>
    <row r="3442" spans="20:20" ht="26.25">
      <c r="T3442" s="85" ph="1"/>
    </row>
    <row r="3443" spans="20:20" ht="26.25">
      <c r="T3443" s="85" ph="1"/>
    </row>
    <row r="3444" spans="20:20" ht="26.25">
      <c r="T3444" s="85" ph="1"/>
    </row>
    <row r="3445" spans="20:20" ht="26.25">
      <c r="T3445" s="85" ph="1"/>
    </row>
    <row r="3446" spans="20:20" ht="26.25">
      <c r="T3446" s="85" ph="1"/>
    </row>
    <row r="3447" spans="20:20" ht="26.25">
      <c r="T3447" s="85" ph="1"/>
    </row>
    <row r="3448" spans="20:20" ht="26.25">
      <c r="T3448" s="85" ph="1"/>
    </row>
    <row r="3449" spans="20:20" ht="26.25">
      <c r="T3449" s="85" ph="1"/>
    </row>
    <row r="3450" spans="20:20" ht="26.25">
      <c r="T3450" s="85" ph="1"/>
    </row>
    <row r="3451" spans="20:20" ht="26.25">
      <c r="T3451" s="85" ph="1"/>
    </row>
    <row r="3452" spans="20:20" ht="26.25">
      <c r="T3452" s="85" ph="1"/>
    </row>
    <row r="3453" spans="20:20" ht="26.25">
      <c r="T3453" s="85" ph="1"/>
    </row>
    <row r="3454" spans="20:20" ht="26.25">
      <c r="T3454" s="85" ph="1"/>
    </row>
    <row r="3455" spans="20:20" ht="26.25">
      <c r="T3455" s="85" ph="1"/>
    </row>
    <row r="3456" spans="20:20" ht="26.25">
      <c r="T3456" s="85" ph="1"/>
    </row>
    <row r="3457" spans="20:20" ht="26.25">
      <c r="T3457" s="85" ph="1"/>
    </row>
    <row r="3458" spans="20:20" ht="26.25">
      <c r="T3458" s="85" ph="1"/>
    </row>
    <row r="3459" spans="20:20" ht="26.25">
      <c r="T3459" s="85" ph="1"/>
    </row>
    <row r="3460" spans="20:20" ht="26.25">
      <c r="T3460" s="85" ph="1"/>
    </row>
    <row r="3461" spans="20:20" ht="26.25">
      <c r="T3461" s="85" ph="1"/>
    </row>
    <row r="3462" spans="20:20" ht="26.25">
      <c r="T3462" s="85" ph="1"/>
    </row>
    <row r="3463" spans="20:20" ht="26.25">
      <c r="T3463" s="85" ph="1"/>
    </row>
    <row r="3464" spans="20:20" ht="26.25">
      <c r="T3464" s="85" ph="1"/>
    </row>
    <row r="3465" spans="20:20" ht="26.25">
      <c r="T3465" s="85" ph="1"/>
    </row>
    <row r="3466" spans="20:20" ht="26.25">
      <c r="T3466" s="85" ph="1"/>
    </row>
    <row r="3467" spans="20:20" ht="26.25">
      <c r="T3467" s="85" ph="1"/>
    </row>
    <row r="3468" spans="20:20" ht="26.25">
      <c r="T3468" s="85" ph="1"/>
    </row>
    <row r="3469" spans="20:20" ht="26.25">
      <c r="T3469" s="85" ph="1"/>
    </row>
    <row r="3470" spans="20:20" ht="26.25">
      <c r="T3470" s="85" ph="1"/>
    </row>
    <row r="3471" spans="20:20" ht="26.25">
      <c r="T3471" s="85" ph="1"/>
    </row>
    <row r="3472" spans="20:20" ht="26.25">
      <c r="T3472" s="85" ph="1"/>
    </row>
    <row r="3473" spans="20:20" ht="26.25">
      <c r="T3473" s="85" ph="1"/>
    </row>
    <row r="3474" spans="20:20" ht="26.25">
      <c r="T3474" s="85" ph="1"/>
    </row>
    <row r="3475" spans="20:20" ht="26.25">
      <c r="T3475" s="85" ph="1"/>
    </row>
    <row r="3476" spans="20:20" ht="26.25">
      <c r="T3476" s="85" ph="1"/>
    </row>
    <row r="3477" spans="20:20" ht="26.25">
      <c r="T3477" s="85" ph="1"/>
    </row>
    <row r="3478" spans="20:20" ht="26.25">
      <c r="T3478" s="85" ph="1"/>
    </row>
    <row r="3479" spans="20:20" ht="26.25">
      <c r="T3479" s="85" ph="1"/>
    </row>
    <row r="3480" spans="20:20" ht="26.25">
      <c r="T3480" s="85" ph="1"/>
    </row>
    <row r="3481" spans="20:20" ht="26.25">
      <c r="T3481" s="85" ph="1"/>
    </row>
    <row r="3482" spans="20:20" ht="26.25">
      <c r="T3482" s="85" ph="1"/>
    </row>
    <row r="3483" spans="20:20" ht="26.25">
      <c r="T3483" s="85" ph="1"/>
    </row>
    <row r="3484" spans="20:20" ht="26.25">
      <c r="T3484" s="85" ph="1"/>
    </row>
    <row r="3485" spans="20:20" ht="26.25">
      <c r="T3485" s="85" ph="1"/>
    </row>
    <row r="3486" spans="20:20" ht="26.25">
      <c r="T3486" s="85" ph="1"/>
    </row>
    <row r="3487" spans="20:20" ht="26.25">
      <c r="T3487" s="85" ph="1"/>
    </row>
    <row r="3488" spans="20:20" ht="26.25">
      <c r="T3488" s="85" ph="1"/>
    </row>
    <row r="3489" spans="20:20" ht="26.25">
      <c r="T3489" s="85" ph="1"/>
    </row>
    <row r="3490" spans="20:20" ht="26.25">
      <c r="T3490" s="85" ph="1"/>
    </row>
    <row r="3491" spans="20:20" ht="26.25">
      <c r="T3491" s="85" ph="1"/>
    </row>
    <row r="3492" spans="20:20" ht="26.25">
      <c r="T3492" s="85" ph="1"/>
    </row>
    <row r="3493" spans="20:20" ht="26.25">
      <c r="T3493" s="85" ph="1"/>
    </row>
    <row r="3494" spans="20:20" ht="26.25">
      <c r="T3494" s="85" ph="1"/>
    </row>
    <row r="3495" spans="20:20" ht="26.25">
      <c r="T3495" s="85" ph="1"/>
    </row>
    <row r="3496" spans="20:20" ht="26.25">
      <c r="T3496" s="85" ph="1"/>
    </row>
    <row r="3497" spans="20:20" ht="26.25">
      <c r="T3497" s="85" ph="1"/>
    </row>
    <row r="3498" spans="20:20" ht="26.25">
      <c r="T3498" s="85" ph="1"/>
    </row>
    <row r="3499" spans="20:20" ht="26.25">
      <c r="T3499" s="85" ph="1"/>
    </row>
    <row r="3500" spans="20:20" ht="26.25">
      <c r="T3500" s="85" ph="1"/>
    </row>
    <row r="3501" spans="20:20" ht="26.25">
      <c r="T3501" s="85" ph="1"/>
    </row>
    <row r="3502" spans="20:20" ht="26.25">
      <c r="T3502" s="85" ph="1"/>
    </row>
    <row r="3503" spans="20:20" ht="26.25">
      <c r="T3503" s="85" ph="1"/>
    </row>
    <row r="3504" spans="20:20" ht="26.25">
      <c r="T3504" s="85" ph="1"/>
    </row>
    <row r="3505" spans="20:20" ht="26.25">
      <c r="T3505" s="85" ph="1"/>
    </row>
    <row r="3506" spans="20:20" ht="26.25">
      <c r="T3506" s="85" ph="1"/>
    </row>
    <row r="3507" spans="20:20" ht="26.25">
      <c r="T3507" s="85" ph="1"/>
    </row>
    <row r="3508" spans="20:20" ht="26.25">
      <c r="T3508" s="85" ph="1"/>
    </row>
    <row r="3509" spans="20:20" ht="26.25">
      <c r="T3509" s="85" ph="1"/>
    </row>
    <row r="3510" spans="20:20" ht="26.25">
      <c r="T3510" s="85" ph="1"/>
    </row>
    <row r="3511" spans="20:20" ht="26.25">
      <c r="T3511" s="85" ph="1"/>
    </row>
    <row r="3512" spans="20:20" ht="26.25">
      <c r="T3512" s="85" ph="1"/>
    </row>
    <row r="3513" spans="20:20" ht="26.25">
      <c r="T3513" s="85" ph="1"/>
    </row>
    <row r="3514" spans="20:20" ht="26.25">
      <c r="T3514" s="85" ph="1"/>
    </row>
    <row r="3515" spans="20:20" ht="26.25">
      <c r="T3515" s="85" ph="1"/>
    </row>
    <row r="3516" spans="20:20" ht="26.25">
      <c r="T3516" s="85" ph="1"/>
    </row>
    <row r="3517" spans="20:20" ht="26.25">
      <c r="T3517" s="85" ph="1"/>
    </row>
    <row r="3518" spans="20:20" ht="26.25">
      <c r="T3518" s="85" ph="1"/>
    </row>
    <row r="3519" spans="20:20" ht="26.25">
      <c r="T3519" s="85" ph="1"/>
    </row>
    <row r="3520" spans="20:20" ht="26.25">
      <c r="T3520" s="85" ph="1"/>
    </row>
    <row r="3521" spans="20:20" ht="26.25">
      <c r="T3521" s="85" ph="1"/>
    </row>
    <row r="3522" spans="20:20" ht="26.25">
      <c r="T3522" s="85" ph="1"/>
    </row>
    <row r="3523" spans="20:20" ht="26.25">
      <c r="T3523" s="85" ph="1"/>
    </row>
    <row r="3524" spans="20:20" ht="26.25">
      <c r="T3524" s="85" ph="1"/>
    </row>
    <row r="3525" spans="20:20" ht="26.25">
      <c r="T3525" s="85" ph="1"/>
    </row>
    <row r="3526" spans="20:20" ht="26.25">
      <c r="T3526" s="85" ph="1"/>
    </row>
    <row r="3527" spans="20:20" ht="26.25">
      <c r="T3527" s="85" ph="1"/>
    </row>
    <row r="3528" spans="20:20" ht="26.25">
      <c r="T3528" s="85" ph="1"/>
    </row>
    <row r="3529" spans="20:20" ht="26.25">
      <c r="T3529" s="85" ph="1"/>
    </row>
    <row r="3530" spans="20:20" ht="26.25">
      <c r="T3530" s="85" ph="1"/>
    </row>
    <row r="3531" spans="20:20" ht="26.25">
      <c r="T3531" s="85" ph="1"/>
    </row>
    <row r="3532" spans="20:20" ht="26.25">
      <c r="T3532" s="85" ph="1"/>
    </row>
    <row r="3533" spans="20:20" ht="26.25">
      <c r="T3533" s="85" ph="1"/>
    </row>
    <row r="3534" spans="20:20" ht="26.25">
      <c r="T3534" s="85" ph="1"/>
    </row>
    <row r="3535" spans="20:20" ht="26.25">
      <c r="T3535" s="85" ph="1"/>
    </row>
    <row r="3536" spans="20:20" ht="26.25">
      <c r="T3536" s="85" ph="1"/>
    </row>
    <row r="3537" spans="20:20" ht="26.25">
      <c r="T3537" s="85" ph="1"/>
    </row>
    <row r="3538" spans="20:20" ht="26.25">
      <c r="T3538" s="85" ph="1"/>
    </row>
    <row r="3539" spans="20:20" ht="26.25">
      <c r="T3539" s="85" ph="1"/>
    </row>
    <row r="3540" spans="20:20" ht="26.25">
      <c r="T3540" s="85" ph="1"/>
    </row>
    <row r="3541" spans="20:20" ht="26.25">
      <c r="T3541" s="85" ph="1"/>
    </row>
    <row r="3542" spans="20:20" ht="26.25">
      <c r="T3542" s="85" ph="1"/>
    </row>
    <row r="3543" spans="20:20" ht="26.25">
      <c r="T3543" s="85" ph="1"/>
    </row>
    <row r="3544" spans="20:20" ht="26.25">
      <c r="T3544" s="85" ph="1"/>
    </row>
    <row r="3545" spans="20:20" ht="26.25">
      <c r="T3545" s="85" ph="1"/>
    </row>
    <row r="3546" spans="20:20" ht="26.25">
      <c r="T3546" s="85" ph="1"/>
    </row>
    <row r="3547" spans="20:20" ht="26.25">
      <c r="T3547" s="85" ph="1"/>
    </row>
    <row r="3548" spans="20:20" ht="26.25">
      <c r="T3548" s="85" ph="1"/>
    </row>
    <row r="3549" spans="20:20" ht="26.25">
      <c r="T3549" s="85" ph="1"/>
    </row>
    <row r="3550" spans="20:20" ht="26.25">
      <c r="T3550" s="85" ph="1"/>
    </row>
    <row r="3551" spans="20:20" ht="26.25">
      <c r="T3551" s="85" ph="1"/>
    </row>
    <row r="3552" spans="20:20" ht="26.25">
      <c r="T3552" s="85" ph="1"/>
    </row>
    <row r="3553" spans="20:20" ht="26.25">
      <c r="T3553" s="85" ph="1"/>
    </row>
    <row r="3554" spans="20:20" ht="26.25">
      <c r="T3554" s="85" ph="1"/>
    </row>
    <row r="3555" spans="20:20" ht="26.25">
      <c r="T3555" s="85" ph="1"/>
    </row>
    <row r="3556" spans="20:20" ht="26.25">
      <c r="T3556" s="85" ph="1"/>
    </row>
    <row r="3557" spans="20:20" ht="26.25">
      <c r="T3557" s="85" ph="1"/>
    </row>
    <row r="3558" spans="20:20" ht="26.25">
      <c r="T3558" s="85" ph="1"/>
    </row>
    <row r="3559" spans="20:20" ht="26.25">
      <c r="T3559" s="85" ph="1"/>
    </row>
    <row r="3560" spans="20:20" ht="26.25">
      <c r="T3560" s="85" ph="1"/>
    </row>
    <row r="3561" spans="20:20" ht="26.25">
      <c r="T3561" s="85" ph="1"/>
    </row>
    <row r="3562" spans="20:20" ht="26.25">
      <c r="T3562" s="85" ph="1"/>
    </row>
    <row r="3563" spans="20:20" ht="26.25">
      <c r="T3563" s="85" ph="1"/>
    </row>
    <row r="3564" spans="20:20" ht="26.25">
      <c r="T3564" s="85" ph="1"/>
    </row>
    <row r="3565" spans="20:20" ht="26.25">
      <c r="T3565" s="85" ph="1"/>
    </row>
    <row r="3566" spans="20:20" ht="26.25">
      <c r="T3566" s="85" ph="1"/>
    </row>
    <row r="3567" spans="20:20" ht="26.25">
      <c r="T3567" s="85" ph="1"/>
    </row>
    <row r="3568" spans="20:20" ht="26.25">
      <c r="T3568" s="85" ph="1"/>
    </row>
    <row r="3569" spans="20:20" ht="26.25">
      <c r="T3569" s="85" ph="1"/>
    </row>
    <row r="3570" spans="20:20" ht="26.25">
      <c r="T3570" s="85" ph="1"/>
    </row>
    <row r="3571" spans="20:20" ht="26.25">
      <c r="T3571" s="85" ph="1"/>
    </row>
    <row r="3572" spans="20:20" ht="26.25">
      <c r="T3572" s="85" ph="1"/>
    </row>
    <row r="3573" spans="20:20" ht="26.25">
      <c r="T3573" s="85" ph="1"/>
    </row>
    <row r="3574" spans="20:20" ht="26.25">
      <c r="T3574" s="85" ph="1"/>
    </row>
    <row r="3575" spans="20:20" ht="26.25">
      <c r="T3575" s="85" ph="1"/>
    </row>
    <row r="3576" spans="20:20" ht="26.25">
      <c r="T3576" s="85" ph="1"/>
    </row>
    <row r="3577" spans="20:20" ht="26.25">
      <c r="T3577" s="85" ph="1"/>
    </row>
    <row r="3578" spans="20:20" ht="26.25">
      <c r="T3578" s="85" ph="1"/>
    </row>
    <row r="3579" spans="20:20" ht="26.25">
      <c r="T3579" s="85" ph="1"/>
    </row>
    <row r="3580" spans="20:20" ht="26.25">
      <c r="T3580" s="85" ph="1"/>
    </row>
    <row r="3581" spans="20:20" ht="26.25">
      <c r="T3581" s="85" ph="1"/>
    </row>
    <row r="3582" spans="20:20" ht="26.25">
      <c r="T3582" s="85" ph="1"/>
    </row>
    <row r="3583" spans="20:20" ht="26.25">
      <c r="T3583" s="85" ph="1"/>
    </row>
    <row r="3584" spans="20:20" ht="26.25">
      <c r="T3584" s="85" ph="1"/>
    </row>
    <row r="3585" spans="20:20" ht="26.25">
      <c r="T3585" s="85" ph="1"/>
    </row>
    <row r="3586" spans="20:20" ht="26.25">
      <c r="T3586" s="85" ph="1"/>
    </row>
    <row r="3587" spans="20:20" ht="26.25">
      <c r="T3587" s="85" ph="1"/>
    </row>
    <row r="3588" spans="20:20" ht="26.25">
      <c r="T3588" s="85" ph="1"/>
    </row>
    <row r="3589" spans="20:20" ht="26.25">
      <c r="T3589" s="85" ph="1"/>
    </row>
    <row r="3590" spans="20:20" ht="26.25">
      <c r="T3590" s="85" ph="1"/>
    </row>
    <row r="3591" spans="20:20" ht="26.25">
      <c r="T3591" s="85" ph="1"/>
    </row>
    <row r="3592" spans="20:20" ht="26.25">
      <c r="T3592" s="85" ph="1"/>
    </row>
    <row r="3593" spans="20:20" ht="26.25">
      <c r="T3593" s="85" ph="1"/>
    </row>
    <row r="3594" spans="20:20" ht="26.25">
      <c r="T3594" s="85" ph="1"/>
    </row>
    <row r="3595" spans="20:20" ht="26.25">
      <c r="T3595" s="85" ph="1"/>
    </row>
    <row r="3596" spans="20:20" ht="26.25">
      <c r="T3596" s="85" ph="1"/>
    </row>
    <row r="3597" spans="20:20" ht="26.25">
      <c r="T3597" s="85" ph="1"/>
    </row>
    <row r="3598" spans="20:20" ht="26.25">
      <c r="T3598" s="85" ph="1"/>
    </row>
    <row r="3599" spans="20:20" ht="26.25">
      <c r="T3599" s="85" ph="1"/>
    </row>
    <row r="3600" spans="20:20" ht="26.25">
      <c r="T3600" s="85" ph="1"/>
    </row>
    <row r="3601" spans="20:20" ht="26.25">
      <c r="T3601" s="85" ph="1"/>
    </row>
    <row r="3602" spans="20:20" ht="26.25">
      <c r="T3602" s="85" ph="1"/>
    </row>
    <row r="3603" spans="20:20" ht="26.25">
      <c r="T3603" s="85" ph="1"/>
    </row>
    <row r="3604" spans="20:20" ht="26.25">
      <c r="T3604" s="85" ph="1"/>
    </row>
    <row r="3605" spans="20:20" ht="26.25">
      <c r="T3605" s="85" ph="1"/>
    </row>
    <row r="3606" spans="20:20" ht="26.25">
      <c r="T3606" s="85" ph="1"/>
    </row>
    <row r="3607" spans="20:20" ht="26.25">
      <c r="T3607" s="85" ph="1"/>
    </row>
    <row r="3608" spans="20:20" ht="26.25">
      <c r="T3608" s="85" ph="1"/>
    </row>
    <row r="3609" spans="20:20" ht="26.25">
      <c r="T3609" s="85" ph="1"/>
    </row>
    <row r="3610" spans="20:20" ht="26.25">
      <c r="T3610" s="85" ph="1"/>
    </row>
    <row r="3611" spans="20:20" ht="26.25">
      <c r="T3611" s="85" ph="1"/>
    </row>
    <row r="3612" spans="20:20" ht="26.25">
      <c r="T3612" s="85" ph="1"/>
    </row>
    <row r="3613" spans="20:20" ht="26.25">
      <c r="T3613" s="85" ph="1"/>
    </row>
    <row r="3614" spans="20:20" ht="26.25">
      <c r="T3614" s="85" ph="1"/>
    </row>
    <row r="3615" spans="20:20" ht="26.25">
      <c r="T3615" s="85" ph="1"/>
    </row>
    <row r="3616" spans="20:20" ht="26.25">
      <c r="T3616" s="85" ph="1"/>
    </row>
    <row r="3617" spans="20:20" ht="26.25">
      <c r="T3617" s="85" ph="1"/>
    </row>
    <row r="3618" spans="20:20" ht="26.25">
      <c r="T3618" s="85" ph="1"/>
    </row>
    <row r="3619" spans="20:20" ht="26.25">
      <c r="T3619" s="85" ph="1"/>
    </row>
    <row r="3620" spans="20:20" ht="26.25">
      <c r="T3620" s="85" ph="1"/>
    </row>
    <row r="3621" spans="20:20" ht="26.25">
      <c r="T3621" s="85" ph="1"/>
    </row>
    <row r="3622" spans="20:20" ht="26.25">
      <c r="T3622" s="85" ph="1"/>
    </row>
    <row r="3623" spans="20:20" ht="26.25">
      <c r="T3623" s="85" ph="1"/>
    </row>
    <row r="3624" spans="20:20" ht="26.25">
      <c r="T3624" s="85" ph="1"/>
    </row>
    <row r="3625" spans="20:20" ht="26.25">
      <c r="T3625" s="85" ph="1"/>
    </row>
    <row r="3626" spans="20:20" ht="26.25">
      <c r="T3626" s="85" ph="1"/>
    </row>
    <row r="3627" spans="20:20" ht="26.25">
      <c r="T3627" s="85" ph="1"/>
    </row>
    <row r="3628" spans="20:20" ht="26.25">
      <c r="T3628" s="85" ph="1"/>
    </row>
    <row r="3629" spans="20:20" ht="26.25">
      <c r="T3629" s="85" ph="1"/>
    </row>
    <row r="3630" spans="20:20" ht="26.25">
      <c r="T3630" s="85" ph="1"/>
    </row>
    <row r="3631" spans="20:20" ht="26.25">
      <c r="T3631" s="85" ph="1"/>
    </row>
    <row r="3632" spans="20:20" ht="26.25">
      <c r="T3632" s="85" ph="1"/>
    </row>
    <row r="3633" spans="20:20" ht="26.25">
      <c r="T3633" s="85" ph="1"/>
    </row>
    <row r="3634" spans="20:20" ht="26.25">
      <c r="T3634" s="85" ph="1"/>
    </row>
    <row r="3635" spans="20:20" ht="26.25">
      <c r="T3635" s="85" ph="1"/>
    </row>
    <row r="3636" spans="20:20" ht="26.25">
      <c r="T3636" s="85" ph="1"/>
    </row>
    <row r="3637" spans="20:20" ht="26.25">
      <c r="T3637" s="85" ph="1"/>
    </row>
    <row r="3638" spans="20:20" ht="26.25">
      <c r="T3638" s="85" ph="1"/>
    </row>
    <row r="3639" spans="20:20" ht="26.25">
      <c r="T3639" s="85" ph="1"/>
    </row>
    <row r="3640" spans="20:20" ht="26.25">
      <c r="T3640" s="85" ph="1"/>
    </row>
    <row r="3641" spans="20:20" ht="26.25">
      <c r="T3641" s="85" ph="1"/>
    </row>
    <row r="3642" spans="20:20" ht="26.25">
      <c r="T3642" s="85" ph="1"/>
    </row>
    <row r="3643" spans="20:20" ht="26.25">
      <c r="T3643" s="85" ph="1"/>
    </row>
    <row r="3644" spans="20:20" ht="26.25">
      <c r="T3644" s="85" ph="1"/>
    </row>
    <row r="3645" spans="20:20" ht="26.25">
      <c r="T3645" s="85" ph="1"/>
    </row>
    <row r="3646" spans="20:20" ht="26.25">
      <c r="T3646" s="85" ph="1"/>
    </row>
    <row r="3647" spans="20:20" ht="26.25">
      <c r="T3647" s="85" ph="1"/>
    </row>
    <row r="3648" spans="20:20" ht="26.25">
      <c r="T3648" s="85" ph="1"/>
    </row>
    <row r="3649" spans="20:20" ht="26.25">
      <c r="T3649" s="85" ph="1"/>
    </row>
    <row r="3650" spans="20:20" ht="26.25">
      <c r="T3650" s="85" ph="1"/>
    </row>
    <row r="3651" spans="20:20" ht="26.25">
      <c r="T3651" s="85" ph="1"/>
    </row>
    <row r="3652" spans="20:20" ht="26.25">
      <c r="T3652" s="85" ph="1"/>
    </row>
    <row r="3653" spans="20:20" ht="26.25">
      <c r="T3653" s="85" ph="1"/>
    </row>
    <row r="3654" spans="20:20" ht="26.25">
      <c r="T3654" s="85" ph="1"/>
    </row>
    <row r="3655" spans="20:20" ht="26.25">
      <c r="T3655" s="85" ph="1"/>
    </row>
    <row r="3656" spans="20:20" ht="26.25">
      <c r="T3656" s="85" ph="1"/>
    </row>
    <row r="3657" spans="20:20" ht="26.25">
      <c r="T3657" s="85" ph="1"/>
    </row>
    <row r="3658" spans="20:20" ht="26.25">
      <c r="T3658" s="85" ph="1"/>
    </row>
    <row r="3659" spans="20:20" ht="26.25">
      <c r="T3659" s="85" ph="1"/>
    </row>
    <row r="3660" spans="20:20" ht="26.25">
      <c r="T3660" s="85" ph="1"/>
    </row>
    <row r="3661" spans="20:20" ht="26.25">
      <c r="T3661" s="85" ph="1"/>
    </row>
    <row r="3662" spans="20:20" ht="26.25">
      <c r="T3662" s="85" ph="1"/>
    </row>
    <row r="3663" spans="20:20" ht="26.25">
      <c r="T3663" s="85" ph="1"/>
    </row>
    <row r="3664" spans="20:20" ht="26.25">
      <c r="T3664" s="85" ph="1"/>
    </row>
    <row r="3665" spans="20:20" ht="26.25">
      <c r="T3665" s="85" ph="1"/>
    </row>
    <row r="3666" spans="20:20" ht="26.25">
      <c r="T3666" s="85" ph="1"/>
    </row>
    <row r="3667" spans="20:20" ht="26.25">
      <c r="T3667" s="85" ph="1"/>
    </row>
    <row r="3668" spans="20:20" ht="26.25">
      <c r="T3668" s="85" ph="1"/>
    </row>
    <row r="3669" spans="20:20" ht="26.25">
      <c r="T3669" s="85" ph="1"/>
    </row>
    <row r="3670" spans="20:20" ht="26.25">
      <c r="T3670" s="85" ph="1"/>
    </row>
    <row r="3671" spans="20:20" ht="26.25">
      <c r="T3671" s="85" ph="1"/>
    </row>
    <row r="3672" spans="20:20" ht="26.25">
      <c r="T3672" s="85" ph="1"/>
    </row>
    <row r="3673" spans="20:20" ht="26.25">
      <c r="T3673" s="85" ph="1"/>
    </row>
    <row r="3674" spans="20:20" ht="26.25">
      <c r="T3674" s="85" ph="1"/>
    </row>
    <row r="3675" spans="20:20" ht="26.25">
      <c r="T3675" s="85" ph="1"/>
    </row>
    <row r="3676" spans="20:20" ht="26.25">
      <c r="T3676" s="85" ph="1"/>
    </row>
    <row r="3677" spans="20:20" ht="26.25">
      <c r="T3677" s="85" ph="1"/>
    </row>
    <row r="3678" spans="20:20" ht="26.25">
      <c r="T3678" s="85" ph="1"/>
    </row>
    <row r="3679" spans="20:20" ht="26.25">
      <c r="T3679" s="85" ph="1"/>
    </row>
    <row r="3680" spans="20:20" ht="26.25">
      <c r="T3680" s="85" ph="1"/>
    </row>
    <row r="3681" spans="20:20" ht="26.25">
      <c r="T3681" s="85" ph="1"/>
    </row>
    <row r="3682" spans="20:20" ht="26.25">
      <c r="T3682" s="85" ph="1"/>
    </row>
    <row r="3683" spans="20:20" ht="26.25">
      <c r="T3683" s="85" ph="1"/>
    </row>
    <row r="3684" spans="20:20" ht="26.25">
      <c r="T3684" s="85" ph="1"/>
    </row>
    <row r="3685" spans="20:20" ht="26.25">
      <c r="T3685" s="85" ph="1"/>
    </row>
    <row r="3686" spans="20:20" ht="26.25">
      <c r="T3686" s="85" ph="1"/>
    </row>
    <row r="3687" spans="20:20" ht="26.25">
      <c r="T3687" s="85" ph="1"/>
    </row>
    <row r="3688" spans="20:20" ht="26.25">
      <c r="T3688" s="85" ph="1"/>
    </row>
    <row r="3689" spans="20:20" ht="26.25">
      <c r="T3689" s="85" ph="1"/>
    </row>
    <row r="3690" spans="20:20" ht="26.25">
      <c r="T3690" s="85" ph="1"/>
    </row>
    <row r="3691" spans="20:20" ht="26.25">
      <c r="T3691" s="85" ph="1"/>
    </row>
    <row r="3692" spans="20:20" ht="26.25">
      <c r="T3692" s="85" ph="1"/>
    </row>
    <row r="3693" spans="20:20" ht="26.25">
      <c r="T3693" s="85" ph="1"/>
    </row>
    <row r="3694" spans="20:20" ht="26.25">
      <c r="T3694" s="85" ph="1"/>
    </row>
    <row r="3695" spans="20:20" ht="26.25">
      <c r="T3695" s="85" ph="1"/>
    </row>
    <row r="3696" spans="20:20" ht="26.25">
      <c r="T3696" s="85" ph="1"/>
    </row>
    <row r="3697" spans="20:20" ht="26.25">
      <c r="T3697" s="85" ph="1"/>
    </row>
    <row r="3698" spans="20:20" ht="26.25">
      <c r="T3698" s="85" ph="1"/>
    </row>
    <row r="3699" spans="20:20" ht="26.25">
      <c r="T3699" s="85" ph="1"/>
    </row>
    <row r="3700" spans="20:20" ht="26.25">
      <c r="T3700" s="85" ph="1"/>
    </row>
    <row r="3701" spans="20:20" ht="26.25">
      <c r="T3701" s="85" ph="1"/>
    </row>
    <row r="3702" spans="20:20" ht="26.25">
      <c r="T3702" s="85" ph="1"/>
    </row>
    <row r="3703" spans="20:20" ht="26.25">
      <c r="T3703" s="85" ph="1"/>
    </row>
    <row r="3704" spans="20:20" ht="26.25">
      <c r="T3704" s="85" ph="1"/>
    </row>
    <row r="3705" spans="20:20" ht="26.25">
      <c r="T3705" s="85" ph="1"/>
    </row>
    <row r="3706" spans="20:20" ht="26.25">
      <c r="T3706" s="85" ph="1"/>
    </row>
    <row r="3707" spans="20:20" ht="26.25">
      <c r="T3707" s="85" ph="1"/>
    </row>
    <row r="3708" spans="20:20" ht="26.25">
      <c r="T3708" s="85" ph="1"/>
    </row>
    <row r="3709" spans="20:20" ht="26.25">
      <c r="T3709" s="85" ph="1"/>
    </row>
    <row r="3710" spans="20:20" ht="26.25">
      <c r="T3710" s="85" ph="1"/>
    </row>
    <row r="3711" spans="20:20" ht="26.25">
      <c r="T3711" s="85" ph="1"/>
    </row>
    <row r="3712" spans="20:20" ht="26.25">
      <c r="T3712" s="85" ph="1"/>
    </row>
    <row r="3713" spans="20:20" ht="26.25">
      <c r="T3713" s="85" ph="1"/>
    </row>
    <row r="3714" spans="20:20" ht="26.25">
      <c r="T3714" s="85" ph="1"/>
    </row>
    <row r="3715" spans="20:20" ht="26.25">
      <c r="T3715" s="85" ph="1"/>
    </row>
    <row r="3716" spans="20:20" ht="26.25">
      <c r="T3716" s="85" ph="1"/>
    </row>
    <row r="3717" spans="20:20" ht="26.25">
      <c r="T3717" s="85" ph="1"/>
    </row>
    <row r="3718" spans="20:20" ht="26.25">
      <c r="T3718" s="85" ph="1"/>
    </row>
    <row r="3719" spans="20:20" ht="26.25">
      <c r="T3719" s="85" ph="1"/>
    </row>
    <row r="3720" spans="20:20" ht="26.25">
      <c r="T3720" s="85" ph="1"/>
    </row>
    <row r="3721" spans="20:20" ht="26.25">
      <c r="T3721" s="85" ph="1"/>
    </row>
    <row r="3722" spans="20:20" ht="26.25">
      <c r="T3722" s="85" ph="1"/>
    </row>
    <row r="3723" spans="20:20" ht="26.25">
      <c r="T3723" s="85" ph="1"/>
    </row>
    <row r="3724" spans="20:20" ht="26.25">
      <c r="T3724" s="85" ph="1"/>
    </row>
    <row r="3725" spans="20:20" ht="26.25">
      <c r="T3725" s="85" ph="1"/>
    </row>
    <row r="3726" spans="20:20" ht="26.25">
      <c r="T3726" s="85" ph="1"/>
    </row>
    <row r="3727" spans="20:20" ht="26.25">
      <c r="T3727" s="85" ph="1"/>
    </row>
    <row r="3728" spans="20:20" ht="26.25">
      <c r="T3728" s="85" ph="1"/>
    </row>
    <row r="3729" spans="20:20" ht="26.25">
      <c r="T3729" s="85" ph="1"/>
    </row>
    <row r="3730" spans="20:20" ht="26.25">
      <c r="T3730" s="85" ph="1"/>
    </row>
    <row r="3731" spans="20:20" ht="26.25">
      <c r="T3731" s="85" ph="1"/>
    </row>
    <row r="3732" spans="20:20" ht="26.25">
      <c r="T3732" s="85" ph="1"/>
    </row>
    <row r="3733" spans="20:20" ht="26.25">
      <c r="T3733" s="85" ph="1"/>
    </row>
    <row r="3734" spans="20:20" ht="26.25">
      <c r="T3734" s="85" ph="1"/>
    </row>
    <row r="3735" spans="20:20" ht="26.25">
      <c r="T3735" s="85" ph="1"/>
    </row>
    <row r="3736" spans="20:20" ht="26.25">
      <c r="T3736" s="85" ph="1"/>
    </row>
    <row r="3737" spans="20:20" ht="26.25">
      <c r="T3737" s="85" ph="1"/>
    </row>
    <row r="3738" spans="20:20" ht="26.25">
      <c r="T3738" s="85" ph="1"/>
    </row>
    <row r="3739" spans="20:20" ht="26.25">
      <c r="T3739" s="85" ph="1"/>
    </row>
    <row r="3740" spans="20:20" ht="26.25">
      <c r="T3740" s="85" ph="1"/>
    </row>
    <row r="3741" spans="20:20" ht="26.25">
      <c r="T3741" s="85" ph="1"/>
    </row>
    <row r="3742" spans="20:20" ht="26.25">
      <c r="T3742" s="85" ph="1"/>
    </row>
    <row r="3743" spans="20:20" ht="26.25">
      <c r="T3743" s="85" ph="1"/>
    </row>
    <row r="3744" spans="20:20" ht="26.25">
      <c r="T3744" s="85" ph="1"/>
    </row>
    <row r="3745" spans="20:20" ht="26.25">
      <c r="T3745" s="85" ph="1"/>
    </row>
    <row r="3746" spans="20:20" ht="26.25">
      <c r="T3746" s="85" ph="1"/>
    </row>
    <row r="3747" spans="20:20" ht="26.25">
      <c r="T3747" s="85" ph="1"/>
    </row>
    <row r="3748" spans="20:20" ht="26.25">
      <c r="T3748" s="85" ph="1"/>
    </row>
    <row r="3749" spans="20:20" ht="26.25">
      <c r="T3749" s="85" ph="1"/>
    </row>
    <row r="3750" spans="20:20" ht="26.25">
      <c r="T3750" s="85" ph="1"/>
    </row>
    <row r="3751" spans="20:20" ht="26.25">
      <c r="T3751" s="85" ph="1"/>
    </row>
    <row r="3752" spans="20:20" ht="26.25">
      <c r="T3752" s="85" ph="1"/>
    </row>
    <row r="3753" spans="20:20" ht="26.25">
      <c r="T3753" s="85" ph="1"/>
    </row>
    <row r="3754" spans="20:20" ht="26.25">
      <c r="T3754" s="85" ph="1"/>
    </row>
    <row r="3755" spans="20:20" ht="26.25">
      <c r="T3755" s="85" ph="1"/>
    </row>
    <row r="3756" spans="20:20" ht="26.25">
      <c r="T3756" s="85" ph="1"/>
    </row>
    <row r="3757" spans="20:20" ht="26.25">
      <c r="T3757" s="85" ph="1"/>
    </row>
    <row r="3758" spans="20:20" ht="26.25">
      <c r="T3758" s="85" ph="1"/>
    </row>
    <row r="3759" spans="20:20" ht="26.25">
      <c r="T3759" s="85" ph="1"/>
    </row>
    <row r="3760" spans="20:20" ht="26.25">
      <c r="T3760" s="85" ph="1"/>
    </row>
    <row r="3761" spans="20:20" ht="26.25">
      <c r="T3761" s="85" ph="1"/>
    </row>
    <row r="3762" spans="20:20" ht="26.25">
      <c r="T3762" s="85" ph="1"/>
    </row>
    <row r="3763" spans="20:20" ht="26.25">
      <c r="T3763" s="85" ph="1"/>
    </row>
    <row r="3764" spans="20:20" ht="26.25">
      <c r="T3764" s="85" ph="1"/>
    </row>
    <row r="3765" spans="20:20" ht="26.25">
      <c r="T3765" s="85" ph="1"/>
    </row>
    <row r="3766" spans="20:20" ht="26.25">
      <c r="T3766" s="85" ph="1"/>
    </row>
    <row r="3767" spans="20:20" ht="26.25">
      <c r="T3767" s="85" ph="1"/>
    </row>
    <row r="3768" spans="20:20" ht="26.25">
      <c r="T3768" s="85" ph="1"/>
    </row>
    <row r="3769" spans="20:20" ht="26.25">
      <c r="T3769" s="85" ph="1"/>
    </row>
    <row r="3770" spans="20:20" ht="26.25">
      <c r="T3770" s="85" ph="1"/>
    </row>
    <row r="3771" spans="20:20" ht="26.25">
      <c r="T3771" s="85" ph="1"/>
    </row>
    <row r="3772" spans="20:20" ht="26.25">
      <c r="T3772" s="85" ph="1"/>
    </row>
    <row r="3773" spans="20:20" ht="26.25">
      <c r="T3773" s="85" ph="1"/>
    </row>
    <row r="3774" spans="20:20" ht="26.25">
      <c r="T3774" s="85" ph="1"/>
    </row>
    <row r="3775" spans="20:20" ht="26.25">
      <c r="T3775" s="85" ph="1"/>
    </row>
    <row r="3776" spans="20:20" ht="26.25">
      <c r="T3776" s="85" ph="1"/>
    </row>
    <row r="3777" spans="20:20" ht="26.25">
      <c r="T3777" s="85" ph="1"/>
    </row>
    <row r="3778" spans="20:20" ht="26.25">
      <c r="T3778" s="85" ph="1"/>
    </row>
    <row r="3779" spans="20:20" ht="26.25">
      <c r="T3779" s="85" ph="1"/>
    </row>
    <row r="3780" spans="20:20" ht="26.25">
      <c r="T3780" s="85" ph="1"/>
    </row>
    <row r="3781" spans="20:20" ht="26.25">
      <c r="T3781" s="85" ph="1"/>
    </row>
    <row r="3782" spans="20:20" ht="26.25">
      <c r="T3782" s="85" ph="1"/>
    </row>
    <row r="3783" spans="20:20" ht="26.25">
      <c r="T3783" s="85" ph="1"/>
    </row>
    <row r="3784" spans="20:20" ht="26.25">
      <c r="T3784" s="85" ph="1"/>
    </row>
    <row r="3785" spans="20:20" ht="26.25">
      <c r="T3785" s="85" ph="1"/>
    </row>
    <row r="3786" spans="20:20" ht="26.25">
      <c r="T3786" s="85" ph="1"/>
    </row>
    <row r="3787" spans="20:20" ht="26.25">
      <c r="T3787" s="85" ph="1"/>
    </row>
    <row r="3788" spans="20:20" ht="26.25">
      <c r="T3788" s="85" ph="1"/>
    </row>
    <row r="3789" spans="20:20" ht="26.25">
      <c r="T3789" s="85" ph="1"/>
    </row>
    <row r="3790" spans="20:20" ht="26.25">
      <c r="T3790" s="85" ph="1"/>
    </row>
    <row r="3791" spans="20:20" ht="26.25">
      <c r="T3791" s="85" ph="1"/>
    </row>
    <row r="3792" spans="20:20" ht="26.25">
      <c r="T3792" s="85" ph="1"/>
    </row>
    <row r="3793" spans="20:20" ht="26.25">
      <c r="T3793" s="85" ph="1"/>
    </row>
    <row r="3794" spans="20:20" ht="26.25">
      <c r="T3794" s="85" ph="1"/>
    </row>
    <row r="3795" spans="20:20" ht="26.25">
      <c r="T3795" s="85" ph="1"/>
    </row>
    <row r="3796" spans="20:20" ht="26.25">
      <c r="T3796" s="85" ph="1"/>
    </row>
    <row r="3797" spans="20:20" ht="26.25">
      <c r="T3797" s="85" ph="1"/>
    </row>
    <row r="3798" spans="20:20" ht="26.25">
      <c r="T3798" s="85" ph="1"/>
    </row>
    <row r="3799" spans="20:20" ht="26.25">
      <c r="T3799" s="85" ph="1"/>
    </row>
    <row r="3800" spans="20:20" ht="26.25">
      <c r="T3800" s="85" ph="1"/>
    </row>
    <row r="3801" spans="20:20" ht="26.25">
      <c r="T3801" s="85" ph="1"/>
    </row>
    <row r="3802" spans="20:20" ht="26.25">
      <c r="T3802" s="85" ph="1"/>
    </row>
    <row r="3803" spans="20:20" ht="26.25">
      <c r="T3803" s="85" ph="1"/>
    </row>
    <row r="3804" spans="20:20" ht="26.25">
      <c r="T3804" s="85" ph="1"/>
    </row>
    <row r="3805" spans="20:20" ht="26.25">
      <c r="T3805" s="85" ph="1"/>
    </row>
    <row r="3806" spans="20:20" ht="26.25">
      <c r="T3806" s="85" ph="1"/>
    </row>
    <row r="3807" spans="20:20" ht="26.25">
      <c r="T3807" s="85" ph="1"/>
    </row>
    <row r="3808" spans="20:20" ht="26.25">
      <c r="T3808" s="85" ph="1"/>
    </row>
    <row r="3809" spans="20:20" ht="26.25">
      <c r="T3809" s="85" ph="1"/>
    </row>
    <row r="3810" spans="20:20" ht="26.25">
      <c r="T3810" s="85" ph="1"/>
    </row>
    <row r="3811" spans="20:20" ht="26.25">
      <c r="T3811" s="85" ph="1"/>
    </row>
    <row r="3812" spans="20:20" ht="26.25">
      <c r="T3812" s="85" ph="1"/>
    </row>
    <row r="3813" spans="20:20" ht="26.25">
      <c r="T3813" s="85" ph="1"/>
    </row>
    <row r="3814" spans="20:20" ht="26.25">
      <c r="T3814" s="85" ph="1"/>
    </row>
    <row r="3815" spans="20:20" ht="26.25">
      <c r="T3815" s="85" ph="1"/>
    </row>
    <row r="3816" spans="20:20" ht="26.25">
      <c r="T3816" s="85" ph="1"/>
    </row>
    <row r="3817" spans="20:20" ht="26.25">
      <c r="T3817" s="85" ph="1"/>
    </row>
    <row r="3818" spans="20:20" ht="26.25">
      <c r="T3818" s="85" ph="1"/>
    </row>
    <row r="3819" spans="20:20" ht="26.25">
      <c r="T3819" s="85" ph="1"/>
    </row>
    <row r="3820" spans="20:20" ht="26.25">
      <c r="T3820" s="85" ph="1"/>
    </row>
    <row r="3821" spans="20:20" ht="26.25">
      <c r="T3821" s="85" ph="1"/>
    </row>
    <row r="3822" spans="20:20" ht="26.25">
      <c r="T3822" s="85" ph="1"/>
    </row>
    <row r="3823" spans="20:20" ht="26.25">
      <c r="T3823" s="85" ph="1"/>
    </row>
    <row r="3824" spans="20:20" ht="26.25">
      <c r="T3824" s="85" ph="1"/>
    </row>
    <row r="3825" spans="20:20" ht="26.25">
      <c r="T3825" s="85" ph="1"/>
    </row>
    <row r="3826" spans="20:20" ht="26.25">
      <c r="T3826" s="85" ph="1"/>
    </row>
    <row r="3827" spans="20:20" ht="26.25">
      <c r="T3827" s="85" ph="1"/>
    </row>
    <row r="3828" spans="20:20" ht="26.25">
      <c r="T3828" s="85" ph="1"/>
    </row>
    <row r="3829" spans="20:20" ht="26.25">
      <c r="T3829" s="85" ph="1"/>
    </row>
    <row r="3830" spans="20:20" ht="26.25">
      <c r="T3830" s="85" ph="1"/>
    </row>
    <row r="3831" spans="20:20" ht="26.25">
      <c r="T3831" s="85" ph="1"/>
    </row>
    <row r="3832" spans="20:20" ht="26.25">
      <c r="T3832" s="85" ph="1"/>
    </row>
    <row r="3833" spans="20:20" ht="26.25">
      <c r="T3833" s="85" ph="1"/>
    </row>
    <row r="3834" spans="20:20" ht="26.25">
      <c r="T3834" s="85" ph="1"/>
    </row>
    <row r="3835" spans="20:20" ht="26.25">
      <c r="T3835" s="85" ph="1"/>
    </row>
    <row r="3836" spans="20:20" ht="26.25">
      <c r="T3836" s="85" ph="1"/>
    </row>
    <row r="3837" spans="20:20" ht="26.25">
      <c r="T3837" s="85" ph="1"/>
    </row>
    <row r="3838" spans="20:20" ht="26.25">
      <c r="T3838" s="85" ph="1"/>
    </row>
    <row r="3839" spans="20:20" ht="26.25">
      <c r="T3839" s="85" ph="1"/>
    </row>
    <row r="3840" spans="20:20" ht="26.25">
      <c r="T3840" s="85" ph="1"/>
    </row>
    <row r="3841" spans="20:20" ht="26.25">
      <c r="T3841" s="85" ph="1"/>
    </row>
    <row r="3842" spans="20:20" ht="26.25">
      <c r="T3842" s="85" ph="1"/>
    </row>
    <row r="3843" spans="20:20" ht="26.25">
      <c r="T3843" s="85" ph="1"/>
    </row>
    <row r="3844" spans="20:20" ht="26.25">
      <c r="T3844" s="85" ph="1"/>
    </row>
    <row r="3845" spans="20:20" ht="26.25">
      <c r="T3845" s="85" ph="1"/>
    </row>
    <row r="3846" spans="20:20" ht="26.25">
      <c r="T3846" s="85" ph="1"/>
    </row>
    <row r="3847" spans="20:20" ht="26.25">
      <c r="T3847" s="85" ph="1"/>
    </row>
    <row r="3848" spans="20:20" ht="26.25">
      <c r="T3848" s="85" ph="1"/>
    </row>
    <row r="3849" spans="20:20" ht="26.25">
      <c r="T3849" s="85" ph="1"/>
    </row>
    <row r="3850" spans="20:20" ht="26.25">
      <c r="T3850" s="85" ph="1"/>
    </row>
    <row r="3851" spans="20:20" ht="26.25">
      <c r="T3851" s="85" ph="1"/>
    </row>
    <row r="3852" spans="20:20" ht="26.25">
      <c r="T3852" s="85" ph="1"/>
    </row>
    <row r="3853" spans="20:20" ht="26.25">
      <c r="T3853" s="85" ph="1"/>
    </row>
    <row r="3854" spans="20:20" ht="26.25">
      <c r="T3854" s="85" ph="1"/>
    </row>
    <row r="3855" spans="20:20" ht="26.25">
      <c r="T3855" s="85" ph="1"/>
    </row>
    <row r="3856" spans="20:20" ht="26.25">
      <c r="T3856" s="85" ph="1"/>
    </row>
    <row r="3857" spans="20:20" ht="26.25">
      <c r="T3857" s="85" ph="1"/>
    </row>
    <row r="3858" spans="20:20" ht="26.25">
      <c r="T3858" s="85" ph="1"/>
    </row>
    <row r="3859" spans="20:20" ht="26.25">
      <c r="T3859" s="85" ph="1"/>
    </row>
    <row r="3860" spans="20:20" ht="26.25">
      <c r="T3860" s="85" ph="1"/>
    </row>
    <row r="3861" spans="20:20" ht="26.25">
      <c r="T3861" s="85" ph="1"/>
    </row>
    <row r="3862" spans="20:20" ht="26.25">
      <c r="T3862" s="85" ph="1"/>
    </row>
    <row r="3863" spans="20:20" ht="26.25">
      <c r="T3863" s="85" ph="1"/>
    </row>
    <row r="3864" spans="20:20" ht="26.25">
      <c r="T3864" s="85" ph="1"/>
    </row>
    <row r="3865" spans="20:20" ht="26.25">
      <c r="T3865" s="85" ph="1"/>
    </row>
    <row r="3866" spans="20:20" ht="26.25">
      <c r="T3866" s="85" ph="1"/>
    </row>
    <row r="3867" spans="20:20" ht="26.25">
      <c r="T3867" s="85" ph="1"/>
    </row>
    <row r="3868" spans="20:20" ht="26.25">
      <c r="T3868" s="85" ph="1"/>
    </row>
    <row r="3869" spans="20:20" ht="26.25">
      <c r="T3869" s="85" ph="1"/>
    </row>
    <row r="3870" spans="20:20" ht="26.25">
      <c r="T3870" s="85" ph="1"/>
    </row>
    <row r="3871" spans="20:20" ht="26.25">
      <c r="T3871" s="85" ph="1"/>
    </row>
    <row r="3872" spans="20:20" ht="26.25">
      <c r="T3872" s="85" ph="1"/>
    </row>
    <row r="3873" spans="20:20" ht="26.25">
      <c r="T3873" s="85" ph="1"/>
    </row>
    <row r="3874" spans="20:20" ht="26.25">
      <c r="T3874" s="85" ph="1"/>
    </row>
    <row r="3875" spans="20:20" ht="26.25">
      <c r="T3875" s="85" ph="1"/>
    </row>
    <row r="3876" spans="20:20" ht="26.25">
      <c r="T3876" s="85" ph="1"/>
    </row>
    <row r="3877" spans="20:20" ht="26.25">
      <c r="T3877" s="85" ph="1"/>
    </row>
    <row r="3878" spans="20:20" ht="26.25">
      <c r="T3878" s="85" ph="1"/>
    </row>
    <row r="3879" spans="20:20" ht="26.25">
      <c r="T3879" s="85" ph="1"/>
    </row>
    <row r="3880" spans="20:20" ht="26.25">
      <c r="T3880" s="85" ph="1"/>
    </row>
    <row r="3881" spans="20:20" ht="26.25">
      <c r="T3881" s="85" ph="1"/>
    </row>
    <row r="3882" spans="20:20" ht="26.25">
      <c r="T3882" s="85" ph="1"/>
    </row>
    <row r="3883" spans="20:20" ht="26.25">
      <c r="T3883" s="85" ph="1"/>
    </row>
    <row r="3884" spans="20:20" ht="26.25">
      <c r="T3884" s="85" ph="1"/>
    </row>
    <row r="3885" spans="20:20" ht="26.25">
      <c r="T3885" s="85" ph="1"/>
    </row>
    <row r="3886" spans="20:20" ht="26.25">
      <c r="T3886" s="85" ph="1"/>
    </row>
    <row r="3887" spans="20:20" ht="26.25">
      <c r="T3887" s="85" ph="1"/>
    </row>
    <row r="3888" spans="20:20" ht="26.25">
      <c r="T3888" s="85" ph="1"/>
    </row>
    <row r="3889" spans="20:20" ht="26.25">
      <c r="T3889" s="85" ph="1"/>
    </row>
    <row r="3890" spans="20:20" ht="26.25">
      <c r="T3890" s="85" ph="1"/>
    </row>
    <row r="3891" spans="20:20" ht="26.25">
      <c r="T3891" s="85" ph="1"/>
    </row>
    <row r="3892" spans="20:20" ht="26.25">
      <c r="T3892" s="85" ph="1"/>
    </row>
    <row r="3893" spans="20:20" ht="26.25">
      <c r="T3893" s="85" ph="1"/>
    </row>
    <row r="3894" spans="20:20" ht="26.25">
      <c r="T3894" s="85" ph="1"/>
    </row>
    <row r="3895" spans="20:20" ht="26.25">
      <c r="T3895" s="85" ph="1"/>
    </row>
    <row r="3896" spans="20:20" ht="26.25">
      <c r="T3896" s="85" ph="1"/>
    </row>
    <row r="3897" spans="20:20" ht="26.25">
      <c r="T3897" s="85" ph="1"/>
    </row>
    <row r="3898" spans="20:20" ht="26.25">
      <c r="T3898" s="85" ph="1"/>
    </row>
    <row r="3899" spans="20:20" ht="26.25">
      <c r="T3899" s="85" ph="1"/>
    </row>
    <row r="3900" spans="20:20" ht="26.25">
      <c r="T3900" s="85" ph="1"/>
    </row>
    <row r="3901" spans="20:20" ht="26.25">
      <c r="T3901" s="85" ph="1"/>
    </row>
    <row r="3902" spans="20:20" ht="26.25">
      <c r="T3902" s="85" ph="1"/>
    </row>
    <row r="3903" spans="20:20" ht="26.25">
      <c r="T3903" s="85" ph="1"/>
    </row>
    <row r="3904" spans="20:20" ht="26.25">
      <c r="T3904" s="85" ph="1"/>
    </row>
    <row r="3905" spans="20:20" ht="26.25">
      <c r="T3905" s="85" ph="1"/>
    </row>
    <row r="3906" spans="20:20" ht="26.25">
      <c r="T3906" s="85" ph="1"/>
    </row>
    <row r="3907" spans="20:20" ht="26.25">
      <c r="T3907" s="85" ph="1"/>
    </row>
    <row r="3908" spans="20:20" ht="26.25">
      <c r="T3908" s="85" ph="1"/>
    </row>
    <row r="3909" spans="20:20" ht="26.25">
      <c r="T3909" s="85" ph="1"/>
    </row>
    <row r="3910" spans="20:20" ht="26.25">
      <c r="T3910" s="85" ph="1"/>
    </row>
    <row r="3911" spans="20:20" ht="26.25">
      <c r="T3911" s="85" ph="1"/>
    </row>
    <row r="3912" spans="20:20" ht="26.25">
      <c r="T3912" s="85" ph="1"/>
    </row>
    <row r="3913" spans="20:20" ht="26.25">
      <c r="T3913" s="85" ph="1"/>
    </row>
    <row r="3914" spans="20:20" ht="26.25">
      <c r="T3914" s="85" ph="1"/>
    </row>
    <row r="3915" spans="20:20" ht="26.25">
      <c r="T3915" s="85" ph="1"/>
    </row>
    <row r="3916" spans="20:20" ht="26.25">
      <c r="T3916" s="85" ph="1"/>
    </row>
    <row r="3917" spans="20:20" ht="26.25">
      <c r="T3917" s="85" ph="1"/>
    </row>
    <row r="3918" spans="20:20" ht="26.25">
      <c r="T3918" s="85" ph="1"/>
    </row>
    <row r="3919" spans="20:20" ht="26.25">
      <c r="T3919" s="85" ph="1"/>
    </row>
    <row r="3920" spans="20:20" ht="26.25">
      <c r="T3920" s="85" ph="1"/>
    </row>
    <row r="3921" spans="20:20" ht="26.25">
      <c r="T3921" s="85" ph="1"/>
    </row>
    <row r="3922" spans="20:20" ht="26.25">
      <c r="T3922" s="85" ph="1"/>
    </row>
    <row r="3923" spans="20:20" ht="26.25">
      <c r="T3923" s="85" ph="1"/>
    </row>
    <row r="3924" spans="20:20" ht="26.25">
      <c r="T3924" s="85" ph="1"/>
    </row>
    <row r="3925" spans="20:20" ht="26.25">
      <c r="T3925" s="85" ph="1"/>
    </row>
    <row r="3926" spans="20:20" ht="26.25">
      <c r="T3926" s="85" ph="1"/>
    </row>
    <row r="3927" spans="20:20" ht="26.25">
      <c r="T3927" s="85" ph="1"/>
    </row>
    <row r="3928" spans="20:20" ht="26.25">
      <c r="T3928" s="85" ph="1"/>
    </row>
    <row r="3929" spans="20:20" ht="26.25">
      <c r="T3929" s="85" ph="1"/>
    </row>
    <row r="3930" spans="20:20" ht="26.25">
      <c r="T3930" s="85" ph="1"/>
    </row>
    <row r="3931" spans="20:20" ht="26.25">
      <c r="T3931" s="85" ph="1"/>
    </row>
    <row r="3932" spans="20:20" ht="26.25">
      <c r="T3932" s="85" ph="1"/>
    </row>
    <row r="3933" spans="20:20" ht="26.25">
      <c r="T3933" s="85" ph="1"/>
    </row>
    <row r="3934" spans="20:20" ht="26.25">
      <c r="T3934" s="85" ph="1"/>
    </row>
    <row r="3935" spans="20:20" ht="26.25">
      <c r="T3935" s="85" ph="1"/>
    </row>
    <row r="3936" spans="20:20" ht="26.25">
      <c r="T3936" s="85" ph="1"/>
    </row>
    <row r="3937" spans="20:20" ht="26.25">
      <c r="T3937" s="85" ph="1"/>
    </row>
    <row r="3938" spans="20:20" ht="26.25">
      <c r="T3938" s="85" ph="1"/>
    </row>
    <row r="3939" spans="20:20" ht="26.25">
      <c r="T3939" s="85" ph="1"/>
    </row>
    <row r="3940" spans="20:20" ht="26.25">
      <c r="T3940" s="85" ph="1"/>
    </row>
    <row r="3941" spans="20:20" ht="26.25">
      <c r="T3941" s="85" ph="1"/>
    </row>
    <row r="3942" spans="20:20" ht="26.25">
      <c r="T3942" s="85" ph="1"/>
    </row>
    <row r="3943" spans="20:20" ht="26.25">
      <c r="T3943" s="85" ph="1"/>
    </row>
    <row r="3944" spans="20:20" ht="26.25">
      <c r="T3944" s="85" ph="1"/>
    </row>
    <row r="3945" spans="20:20" ht="26.25">
      <c r="T3945" s="85" ph="1"/>
    </row>
    <row r="3946" spans="20:20" ht="26.25">
      <c r="T3946" s="85" ph="1"/>
    </row>
    <row r="3947" spans="20:20" ht="26.25">
      <c r="T3947" s="85" ph="1"/>
    </row>
    <row r="3948" spans="20:20" ht="26.25">
      <c r="T3948" s="85" ph="1"/>
    </row>
    <row r="3949" spans="20:20" ht="26.25">
      <c r="T3949" s="85" ph="1"/>
    </row>
    <row r="3950" spans="20:20" ht="26.25">
      <c r="T3950" s="85" ph="1"/>
    </row>
    <row r="3951" spans="20:20" ht="26.25">
      <c r="T3951" s="85" ph="1"/>
    </row>
    <row r="3952" spans="20:20" ht="26.25">
      <c r="T3952" s="85" ph="1"/>
    </row>
    <row r="3953" spans="20:20" ht="26.25">
      <c r="T3953" s="85" ph="1"/>
    </row>
    <row r="3954" spans="20:20" ht="26.25">
      <c r="T3954" s="85" ph="1"/>
    </row>
    <row r="3955" spans="20:20" ht="26.25">
      <c r="T3955" s="85" ph="1"/>
    </row>
    <row r="3956" spans="20:20" ht="26.25">
      <c r="T3956" s="85" ph="1"/>
    </row>
    <row r="3957" spans="20:20" ht="26.25">
      <c r="T3957" s="85" ph="1"/>
    </row>
    <row r="3958" spans="20:20" ht="26.25">
      <c r="T3958" s="85" ph="1"/>
    </row>
    <row r="3959" spans="20:20" ht="26.25">
      <c r="T3959" s="85" ph="1"/>
    </row>
    <row r="3960" spans="20:20" ht="26.25">
      <c r="T3960" s="85" ph="1"/>
    </row>
    <row r="3961" spans="20:20" ht="26.25">
      <c r="T3961" s="85" ph="1"/>
    </row>
    <row r="3962" spans="20:20" ht="26.25">
      <c r="T3962" s="85" ph="1"/>
    </row>
    <row r="3963" spans="20:20" ht="26.25">
      <c r="T3963" s="85" ph="1"/>
    </row>
    <row r="3964" spans="20:20" ht="26.25">
      <c r="T3964" s="85" ph="1"/>
    </row>
    <row r="3965" spans="20:20" ht="26.25">
      <c r="T3965" s="85" ph="1"/>
    </row>
    <row r="3966" spans="20:20" ht="26.25">
      <c r="T3966" s="85" ph="1"/>
    </row>
    <row r="3967" spans="20:20" ht="26.25">
      <c r="T3967" s="85" ph="1"/>
    </row>
    <row r="3968" spans="20:20" ht="26.25">
      <c r="T3968" s="85" ph="1"/>
    </row>
    <row r="3969" spans="20:20" ht="26.25">
      <c r="T3969" s="85" ph="1"/>
    </row>
    <row r="3970" spans="20:20" ht="26.25">
      <c r="T3970" s="85" ph="1"/>
    </row>
    <row r="3971" spans="20:20" ht="26.25">
      <c r="T3971" s="85" ph="1"/>
    </row>
    <row r="3972" spans="20:20" ht="26.25">
      <c r="T3972" s="85" ph="1"/>
    </row>
    <row r="3973" spans="20:20" ht="26.25">
      <c r="T3973" s="85" ph="1"/>
    </row>
    <row r="3974" spans="20:20" ht="26.25">
      <c r="T3974" s="85" ph="1"/>
    </row>
    <row r="3975" spans="20:20" ht="26.25">
      <c r="T3975" s="85" ph="1"/>
    </row>
    <row r="3976" spans="20:20" ht="26.25">
      <c r="T3976" s="85" ph="1"/>
    </row>
    <row r="3977" spans="20:20" ht="26.25">
      <c r="T3977" s="85" ph="1"/>
    </row>
    <row r="3978" spans="20:20" ht="26.25">
      <c r="T3978" s="85" ph="1"/>
    </row>
    <row r="3979" spans="20:20" ht="26.25">
      <c r="T3979" s="85" ph="1"/>
    </row>
    <row r="3980" spans="20:20" ht="26.25">
      <c r="T3980" s="85" ph="1"/>
    </row>
    <row r="3981" spans="20:20" ht="26.25">
      <c r="T3981" s="85" ph="1"/>
    </row>
    <row r="3982" spans="20:20" ht="26.25">
      <c r="T3982" s="85" ph="1"/>
    </row>
    <row r="3983" spans="20:20" ht="26.25">
      <c r="T3983" s="85" ph="1"/>
    </row>
    <row r="3984" spans="20:20" ht="26.25">
      <c r="T3984" s="85" ph="1"/>
    </row>
    <row r="3985" spans="20:20" ht="26.25">
      <c r="T3985" s="85" ph="1"/>
    </row>
    <row r="3986" spans="20:20" ht="26.25">
      <c r="T3986" s="85" ph="1"/>
    </row>
    <row r="3987" spans="20:20" ht="26.25">
      <c r="T3987" s="85" ph="1"/>
    </row>
    <row r="3988" spans="20:20" ht="26.25">
      <c r="T3988" s="85" ph="1"/>
    </row>
    <row r="3989" spans="20:20" ht="26.25">
      <c r="T3989" s="85" ph="1"/>
    </row>
    <row r="3990" spans="20:20" ht="26.25">
      <c r="T3990" s="85" ph="1"/>
    </row>
    <row r="3991" spans="20:20" ht="26.25">
      <c r="T3991" s="85" ph="1"/>
    </row>
    <row r="3992" spans="20:20" ht="26.25">
      <c r="T3992" s="85" ph="1"/>
    </row>
    <row r="3993" spans="20:20" ht="26.25">
      <c r="T3993" s="85" ph="1"/>
    </row>
    <row r="3994" spans="20:20" ht="26.25">
      <c r="T3994" s="85" ph="1"/>
    </row>
    <row r="3995" spans="20:20" ht="26.25">
      <c r="T3995" s="85" ph="1"/>
    </row>
    <row r="3996" spans="20:20" ht="26.25">
      <c r="T3996" s="85" ph="1"/>
    </row>
    <row r="3997" spans="20:20" ht="26.25">
      <c r="T3997" s="85" ph="1"/>
    </row>
    <row r="3998" spans="20:20" ht="26.25">
      <c r="T3998" s="85" ph="1"/>
    </row>
    <row r="3999" spans="20:20" ht="26.25">
      <c r="T3999" s="85" ph="1"/>
    </row>
    <row r="4000" spans="20:20" ht="26.25">
      <c r="T4000" s="85" ph="1"/>
    </row>
    <row r="4001" spans="20:20" ht="26.25">
      <c r="T4001" s="85" ph="1"/>
    </row>
    <row r="4002" spans="20:20" ht="26.25">
      <c r="T4002" s="85" ph="1"/>
    </row>
    <row r="4003" spans="20:20" ht="26.25">
      <c r="T4003" s="85" ph="1"/>
    </row>
    <row r="4004" spans="20:20" ht="26.25">
      <c r="T4004" s="85" ph="1"/>
    </row>
    <row r="4005" spans="20:20" ht="26.25">
      <c r="T4005" s="85" ph="1"/>
    </row>
    <row r="4006" spans="20:20" ht="26.25">
      <c r="T4006" s="85" ph="1"/>
    </row>
    <row r="4007" spans="20:20" ht="26.25">
      <c r="T4007" s="85" ph="1"/>
    </row>
    <row r="4008" spans="20:20" ht="26.25">
      <c r="T4008" s="85" ph="1"/>
    </row>
    <row r="4009" spans="20:20" ht="26.25">
      <c r="T4009" s="85" ph="1"/>
    </row>
    <row r="4010" spans="20:20" ht="26.25">
      <c r="T4010" s="85" ph="1"/>
    </row>
    <row r="4011" spans="20:20" ht="26.25">
      <c r="T4011" s="85" ph="1"/>
    </row>
    <row r="4012" spans="20:20" ht="26.25">
      <c r="T4012" s="85" ph="1"/>
    </row>
    <row r="4013" spans="20:20" ht="26.25">
      <c r="T4013" s="85" ph="1"/>
    </row>
    <row r="4014" spans="20:20" ht="26.25">
      <c r="T4014" s="85" ph="1"/>
    </row>
    <row r="4015" spans="20:20" ht="26.25">
      <c r="T4015" s="85" ph="1"/>
    </row>
    <row r="4016" spans="20:20" ht="26.25">
      <c r="T4016" s="85" ph="1"/>
    </row>
    <row r="4017" spans="20:20" ht="26.25">
      <c r="T4017" s="85" ph="1"/>
    </row>
    <row r="4018" spans="20:20" ht="26.25">
      <c r="T4018" s="85" ph="1"/>
    </row>
    <row r="4019" spans="20:20" ht="26.25">
      <c r="T4019" s="85" ph="1"/>
    </row>
    <row r="4020" spans="20:20" ht="26.25">
      <c r="T4020" s="85" ph="1"/>
    </row>
    <row r="4021" spans="20:20" ht="26.25">
      <c r="T4021" s="85" ph="1"/>
    </row>
    <row r="4022" spans="20:20" ht="26.25">
      <c r="T4022" s="85" ph="1"/>
    </row>
    <row r="4023" spans="20:20" ht="26.25">
      <c r="T4023" s="85" ph="1"/>
    </row>
    <row r="4024" spans="20:20" ht="26.25">
      <c r="T4024" s="85" ph="1"/>
    </row>
    <row r="4025" spans="20:20" ht="26.25">
      <c r="T4025" s="85" ph="1"/>
    </row>
    <row r="4026" spans="20:20" ht="26.25">
      <c r="T4026" s="85" ph="1"/>
    </row>
    <row r="4027" spans="20:20" ht="26.25">
      <c r="T4027" s="85" ph="1"/>
    </row>
    <row r="4028" spans="20:20" ht="26.25">
      <c r="T4028" s="85" ph="1"/>
    </row>
    <row r="4029" spans="20:20" ht="26.25">
      <c r="T4029" s="85" ph="1"/>
    </row>
    <row r="4030" spans="20:20" ht="26.25">
      <c r="T4030" s="85" ph="1"/>
    </row>
    <row r="4031" spans="20:20" ht="26.25">
      <c r="T4031" s="85" ph="1"/>
    </row>
    <row r="4032" spans="20:20" ht="26.25">
      <c r="T4032" s="85" ph="1"/>
    </row>
    <row r="4033" spans="20:20" ht="26.25">
      <c r="T4033" s="85" ph="1"/>
    </row>
    <row r="4034" spans="20:20" ht="26.25">
      <c r="T4034" s="85" ph="1"/>
    </row>
    <row r="4035" spans="20:20" ht="26.25">
      <c r="T4035" s="85" ph="1"/>
    </row>
    <row r="4036" spans="20:20" ht="26.25">
      <c r="T4036" s="85" ph="1"/>
    </row>
    <row r="4037" spans="20:20" ht="26.25">
      <c r="T4037" s="85" ph="1"/>
    </row>
    <row r="4038" spans="20:20" ht="26.25">
      <c r="T4038" s="85" ph="1"/>
    </row>
    <row r="4039" spans="20:20" ht="26.25">
      <c r="T4039" s="85" ph="1"/>
    </row>
    <row r="4040" spans="20:20" ht="26.25">
      <c r="T4040" s="85" ph="1"/>
    </row>
    <row r="4041" spans="20:20" ht="26.25">
      <c r="T4041" s="85" ph="1"/>
    </row>
    <row r="4042" spans="20:20" ht="26.25">
      <c r="T4042" s="85" ph="1"/>
    </row>
    <row r="4043" spans="20:20" ht="26.25">
      <c r="T4043" s="85" ph="1"/>
    </row>
    <row r="4044" spans="20:20" ht="26.25">
      <c r="T4044" s="85" ph="1"/>
    </row>
    <row r="4045" spans="20:20" ht="26.25">
      <c r="T4045" s="85" ph="1"/>
    </row>
    <row r="4046" spans="20:20" ht="26.25">
      <c r="T4046" s="85" ph="1"/>
    </row>
    <row r="4047" spans="20:20" ht="26.25">
      <c r="T4047" s="85" ph="1"/>
    </row>
    <row r="4048" spans="20:20" ht="26.25">
      <c r="T4048" s="85" ph="1"/>
    </row>
    <row r="4049" spans="20:20" ht="26.25">
      <c r="T4049" s="85" ph="1"/>
    </row>
    <row r="4050" spans="20:20" ht="26.25">
      <c r="T4050" s="85" ph="1"/>
    </row>
    <row r="4051" spans="20:20" ht="26.25">
      <c r="T4051" s="85" ph="1"/>
    </row>
    <row r="4052" spans="20:20" ht="26.25">
      <c r="T4052" s="85" ph="1"/>
    </row>
    <row r="4053" spans="20:20" ht="26.25">
      <c r="T4053" s="85" ph="1"/>
    </row>
    <row r="4054" spans="20:20" ht="26.25">
      <c r="T4054" s="85" ph="1"/>
    </row>
    <row r="4055" spans="20:20" ht="26.25">
      <c r="T4055" s="85" ph="1"/>
    </row>
    <row r="4056" spans="20:20" ht="26.25">
      <c r="T4056" s="85" ph="1"/>
    </row>
    <row r="4057" spans="20:20" ht="26.25">
      <c r="T4057" s="85" ph="1"/>
    </row>
    <row r="4058" spans="20:20" ht="26.25">
      <c r="T4058" s="85" ph="1"/>
    </row>
    <row r="4059" spans="20:20" ht="26.25">
      <c r="T4059" s="85" ph="1"/>
    </row>
    <row r="4060" spans="20:20" ht="26.25">
      <c r="T4060" s="85" ph="1"/>
    </row>
    <row r="4061" spans="20:20" ht="26.25">
      <c r="T4061" s="85" ph="1"/>
    </row>
    <row r="4062" spans="20:20" ht="26.25">
      <c r="T4062" s="85" ph="1"/>
    </row>
    <row r="4063" spans="20:20" ht="26.25">
      <c r="T4063" s="85" ph="1"/>
    </row>
    <row r="4064" spans="20:20" ht="26.25">
      <c r="T4064" s="85" ph="1"/>
    </row>
    <row r="4065" spans="20:20" ht="26.25">
      <c r="T4065" s="85" ph="1"/>
    </row>
    <row r="4066" spans="20:20" ht="26.25">
      <c r="T4066" s="85" ph="1"/>
    </row>
    <row r="4067" spans="20:20" ht="26.25">
      <c r="T4067" s="85" ph="1"/>
    </row>
    <row r="4068" spans="20:20" ht="26.25">
      <c r="T4068" s="85" ph="1"/>
    </row>
    <row r="4069" spans="20:20" ht="26.25">
      <c r="T4069" s="85" ph="1"/>
    </row>
    <row r="4070" spans="20:20" ht="26.25">
      <c r="T4070" s="85" ph="1"/>
    </row>
    <row r="4071" spans="20:20" ht="26.25">
      <c r="T4071" s="85" ph="1"/>
    </row>
    <row r="4072" spans="20:20" ht="26.25">
      <c r="T4072" s="85" ph="1"/>
    </row>
    <row r="4073" spans="20:20" ht="26.25">
      <c r="T4073" s="85" ph="1"/>
    </row>
    <row r="4074" spans="20:20" ht="26.25">
      <c r="T4074" s="85" ph="1"/>
    </row>
    <row r="4075" spans="20:20" ht="26.25">
      <c r="T4075" s="85" ph="1"/>
    </row>
    <row r="4076" spans="20:20" ht="26.25">
      <c r="T4076" s="85" ph="1"/>
    </row>
    <row r="4077" spans="20:20" ht="26.25">
      <c r="T4077" s="85" ph="1"/>
    </row>
    <row r="4078" spans="20:20" ht="26.25">
      <c r="T4078" s="85" ph="1"/>
    </row>
    <row r="4079" spans="20:20" ht="26.25">
      <c r="T4079" s="85" ph="1"/>
    </row>
    <row r="4080" spans="20:20" ht="26.25">
      <c r="T4080" s="85" ph="1"/>
    </row>
    <row r="4081" spans="20:20" ht="26.25">
      <c r="T4081" s="85" ph="1"/>
    </row>
    <row r="4082" spans="20:20" ht="26.25">
      <c r="T4082" s="85" ph="1"/>
    </row>
    <row r="4083" spans="20:20" ht="26.25">
      <c r="T4083" s="85" ph="1"/>
    </row>
    <row r="4084" spans="20:20" ht="26.25">
      <c r="T4084" s="85" ph="1"/>
    </row>
    <row r="4085" spans="20:20" ht="26.25">
      <c r="T4085" s="85" ph="1"/>
    </row>
    <row r="4086" spans="20:20" ht="26.25">
      <c r="T4086" s="85" ph="1"/>
    </row>
    <row r="4087" spans="20:20" ht="26.25">
      <c r="T4087" s="85" ph="1"/>
    </row>
    <row r="4088" spans="20:20" ht="26.25">
      <c r="T4088" s="85" ph="1"/>
    </row>
    <row r="4089" spans="20:20" ht="26.25">
      <c r="T4089" s="85" ph="1"/>
    </row>
    <row r="4090" spans="20:20" ht="26.25">
      <c r="T4090" s="85" ph="1"/>
    </row>
    <row r="4091" spans="20:20" ht="26.25">
      <c r="T4091" s="85" ph="1"/>
    </row>
    <row r="4092" spans="20:20" ht="26.25">
      <c r="T4092" s="85" ph="1"/>
    </row>
    <row r="4093" spans="20:20" ht="26.25">
      <c r="T4093" s="85" ph="1"/>
    </row>
    <row r="4094" spans="20:20" ht="26.25">
      <c r="T4094" s="85" ph="1"/>
    </row>
    <row r="4095" spans="20:20" ht="26.25">
      <c r="T4095" s="85" ph="1"/>
    </row>
    <row r="4096" spans="20:20" ht="26.25">
      <c r="T4096" s="85" ph="1"/>
    </row>
    <row r="4097" spans="20:20" ht="26.25">
      <c r="T4097" s="85" ph="1"/>
    </row>
    <row r="4098" spans="20:20" ht="26.25">
      <c r="T4098" s="85" ph="1"/>
    </row>
    <row r="4099" spans="20:20" ht="26.25">
      <c r="T4099" s="85" ph="1"/>
    </row>
    <row r="4100" spans="20:20" ht="26.25">
      <c r="T4100" s="85" ph="1"/>
    </row>
    <row r="4101" spans="20:20" ht="26.25">
      <c r="T4101" s="85" ph="1"/>
    </row>
    <row r="4102" spans="20:20" ht="26.25">
      <c r="T4102" s="85" ph="1"/>
    </row>
    <row r="4103" spans="20:20" ht="26.25">
      <c r="T4103" s="85" ph="1"/>
    </row>
    <row r="4104" spans="20:20" ht="26.25">
      <c r="T4104" s="85" ph="1"/>
    </row>
    <row r="4105" spans="20:20" ht="26.25">
      <c r="T4105" s="85" ph="1"/>
    </row>
    <row r="4106" spans="20:20" ht="26.25">
      <c r="T4106" s="85" ph="1"/>
    </row>
    <row r="4107" spans="20:20" ht="26.25">
      <c r="T4107" s="85" ph="1"/>
    </row>
    <row r="4108" spans="20:20" ht="26.25">
      <c r="T4108" s="85" ph="1"/>
    </row>
    <row r="4109" spans="20:20" ht="26.25">
      <c r="T4109" s="85" ph="1"/>
    </row>
    <row r="4110" spans="20:20" ht="26.25">
      <c r="T4110" s="85" ph="1"/>
    </row>
    <row r="4111" spans="20:20" ht="26.25">
      <c r="T4111" s="85" ph="1"/>
    </row>
    <row r="4112" spans="20:20" ht="26.25">
      <c r="T4112" s="85" ph="1"/>
    </row>
    <row r="4113" spans="20:20" ht="26.25">
      <c r="T4113" s="85" ph="1"/>
    </row>
    <row r="4114" spans="20:20" ht="26.25">
      <c r="T4114" s="85" ph="1"/>
    </row>
    <row r="4115" spans="20:20" ht="26.25">
      <c r="T4115" s="85" ph="1"/>
    </row>
    <row r="4116" spans="20:20" ht="26.25">
      <c r="T4116" s="85" ph="1"/>
    </row>
    <row r="4117" spans="20:20" ht="26.25">
      <c r="T4117" s="85" ph="1"/>
    </row>
    <row r="4118" spans="20:20" ht="26.25">
      <c r="T4118" s="85" ph="1"/>
    </row>
    <row r="4119" spans="20:20" ht="26.25">
      <c r="T4119" s="85" ph="1"/>
    </row>
    <row r="4120" spans="20:20" ht="26.25">
      <c r="T4120" s="85" ph="1"/>
    </row>
    <row r="4121" spans="20:20" ht="26.25">
      <c r="T4121" s="85" ph="1"/>
    </row>
    <row r="4122" spans="20:20" ht="26.25">
      <c r="T4122" s="85" ph="1"/>
    </row>
    <row r="4123" spans="20:20" ht="26.25">
      <c r="T4123" s="85" ph="1"/>
    </row>
    <row r="4124" spans="20:20" ht="26.25">
      <c r="T4124" s="85" ph="1"/>
    </row>
    <row r="4125" spans="20:20" ht="26.25">
      <c r="T4125" s="85" ph="1"/>
    </row>
    <row r="4126" spans="20:20" ht="26.25">
      <c r="T4126" s="85" ph="1"/>
    </row>
    <row r="4127" spans="20:20" ht="26.25">
      <c r="T4127" s="85" ph="1"/>
    </row>
    <row r="4128" spans="20:20" ht="26.25">
      <c r="T4128" s="85" ph="1"/>
    </row>
    <row r="4129" spans="20:20" ht="26.25">
      <c r="T4129" s="85" ph="1"/>
    </row>
    <row r="4130" spans="20:20" ht="26.25">
      <c r="T4130" s="85" ph="1"/>
    </row>
    <row r="4131" spans="20:20" ht="26.25">
      <c r="T4131" s="85" ph="1"/>
    </row>
    <row r="4132" spans="20:20" ht="26.25">
      <c r="T4132" s="85" ph="1"/>
    </row>
    <row r="4133" spans="20:20" ht="26.25">
      <c r="T4133" s="85" ph="1"/>
    </row>
    <row r="4134" spans="20:20" ht="26.25">
      <c r="T4134" s="85" ph="1"/>
    </row>
    <row r="4135" spans="20:20" ht="26.25">
      <c r="T4135" s="85" ph="1"/>
    </row>
    <row r="4136" spans="20:20" ht="26.25">
      <c r="T4136" s="85" ph="1"/>
    </row>
    <row r="4137" spans="20:20" ht="26.25">
      <c r="T4137" s="85" ph="1"/>
    </row>
    <row r="4138" spans="20:20" ht="26.25">
      <c r="T4138" s="85" ph="1"/>
    </row>
    <row r="4139" spans="20:20" ht="26.25">
      <c r="T4139" s="85" ph="1"/>
    </row>
    <row r="4140" spans="20:20" ht="26.25">
      <c r="T4140" s="85" ph="1"/>
    </row>
    <row r="4141" spans="20:20" ht="26.25">
      <c r="T4141" s="85" ph="1"/>
    </row>
    <row r="4142" spans="20:20" ht="26.25">
      <c r="T4142" s="85" ph="1"/>
    </row>
    <row r="4143" spans="20:20" ht="26.25">
      <c r="T4143" s="85" ph="1"/>
    </row>
    <row r="4144" spans="20:20" ht="26.25">
      <c r="T4144" s="85" ph="1"/>
    </row>
    <row r="4145" spans="20:20" ht="26.25">
      <c r="T4145" s="85" ph="1"/>
    </row>
    <row r="4146" spans="20:20" ht="26.25">
      <c r="T4146" s="85" ph="1"/>
    </row>
    <row r="4147" spans="20:20" ht="26.25">
      <c r="T4147" s="85" ph="1"/>
    </row>
    <row r="4148" spans="20:20" ht="26.25">
      <c r="T4148" s="85" ph="1"/>
    </row>
    <row r="4149" spans="20:20" ht="26.25">
      <c r="T4149" s="85" ph="1"/>
    </row>
    <row r="4150" spans="20:20" ht="26.25">
      <c r="T4150" s="85" ph="1"/>
    </row>
    <row r="4151" spans="20:20" ht="26.25">
      <c r="T4151" s="85" ph="1"/>
    </row>
    <row r="4152" spans="20:20" ht="26.25">
      <c r="T4152" s="85" ph="1"/>
    </row>
    <row r="4153" spans="20:20" ht="26.25">
      <c r="T4153" s="85" ph="1"/>
    </row>
    <row r="4154" spans="20:20" ht="26.25">
      <c r="T4154" s="85" ph="1"/>
    </row>
    <row r="4155" spans="20:20" ht="26.25">
      <c r="T4155" s="85" ph="1"/>
    </row>
    <row r="4156" spans="20:20" ht="26.25">
      <c r="T4156" s="85" ph="1"/>
    </row>
    <row r="4157" spans="20:20" ht="26.25">
      <c r="T4157" s="85" ph="1"/>
    </row>
    <row r="4158" spans="20:20" ht="26.25">
      <c r="T4158" s="85" ph="1"/>
    </row>
    <row r="4159" spans="20:20" ht="26.25">
      <c r="T4159" s="85" ph="1"/>
    </row>
    <row r="4160" spans="20:20" ht="26.25">
      <c r="T4160" s="85" ph="1"/>
    </row>
    <row r="4161" spans="20:20" ht="26.25">
      <c r="T4161" s="85" ph="1"/>
    </row>
    <row r="4162" spans="20:20" ht="26.25">
      <c r="T4162" s="85" ph="1"/>
    </row>
    <row r="4163" spans="20:20" ht="26.25">
      <c r="T4163" s="85" ph="1"/>
    </row>
    <row r="4164" spans="20:20" ht="26.25">
      <c r="T4164" s="85" ph="1"/>
    </row>
    <row r="4165" spans="20:20" ht="26.25">
      <c r="T4165" s="85" ph="1"/>
    </row>
    <row r="4166" spans="20:20" ht="26.25">
      <c r="T4166" s="85" ph="1"/>
    </row>
    <row r="4167" spans="20:20" ht="26.25">
      <c r="T4167" s="85" ph="1"/>
    </row>
    <row r="4168" spans="20:20" ht="26.25">
      <c r="T4168" s="85" ph="1"/>
    </row>
    <row r="4169" spans="20:20" ht="26.25">
      <c r="T4169" s="85" ph="1"/>
    </row>
    <row r="4170" spans="20:20" ht="26.25">
      <c r="T4170" s="85" ph="1"/>
    </row>
    <row r="4171" spans="20:20" ht="26.25">
      <c r="T4171" s="85" ph="1"/>
    </row>
    <row r="4172" spans="20:20" ht="26.25">
      <c r="T4172" s="85" ph="1"/>
    </row>
    <row r="4173" spans="20:20" ht="26.25">
      <c r="T4173" s="85" ph="1"/>
    </row>
    <row r="4174" spans="20:20" ht="26.25">
      <c r="T4174" s="85" ph="1"/>
    </row>
    <row r="4175" spans="20:20" ht="26.25">
      <c r="T4175" s="85" ph="1"/>
    </row>
    <row r="4176" spans="20:20" ht="26.25">
      <c r="T4176" s="85" ph="1"/>
    </row>
    <row r="4177" spans="20:20" ht="26.25">
      <c r="T4177" s="85" ph="1"/>
    </row>
    <row r="4178" spans="20:20" ht="26.25">
      <c r="T4178" s="85" ph="1"/>
    </row>
    <row r="4179" spans="20:20" ht="26.25">
      <c r="T4179" s="85" ph="1"/>
    </row>
    <row r="4180" spans="20:20" ht="26.25">
      <c r="T4180" s="85" ph="1"/>
    </row>
    <row r="4181" spans="20:20" ht="26.25">
      <c r="T4181" s="85" ph="1"/>
    </row>
    <row r="4182" spans="20:20" ht="26.25">
      <c r="T4182" s="85" ph="1"/>
    </row>
    <row r="4183" spans="20:20" ht="26.25">
      <c r="T4183" s="85" ph="1"/>
    </row>
    <row r="4184" spans="20:20" ht="26.25">
      <c r="T4184" s="85" ph="1"/>
    </row>
    <row r="4185" spans="20:20" ht="26.25">
      <c r="T4185" s="85" ph="1"/>
    </row>
    <row r="4186" spans="20:20" ht="26.25">
      <c r="T4186" s="85" ph="1"/>
    </row>
    <row r="4187" spans="20:20" ht="26.25">
      <c r="T4187" s="85" ph="1"/>
    </row>
    <row r="4188" spans="20:20" ht="26.25">
      <c r="T4188" s="85" ph="1"/>
    </row>
    <row r="4189" spans="20:20" ht="26.25">
      <c r="T4189" s="85" ph="1"/>
    </row>
    <row r="4190" spans="20:20" ht="26.25">
      <c r="T4190" s="85" ph="1"/>
    </row>
    <row r="4191" spans="20:20" ht="26.25">
      <c r="T4191" s="85" ph="1"/>
    </row>
    <row r="4192" spans="20:20" ht="26.25">
      <c r="T4192" s="85" ph="1"/>
    </row>
    <row r="4193" spans="20:20" ht="26.25">
      <c r="T4193" s="85" ph="1"/>
    </row>
    <row r="4194" spans="20:20" ht="26.25">
      <c r="T4194" s="85" ph="1"/>
    </row>
    <row r="4195" spans="20:20" ht="26.25">
      <c r="T4195" s="85" ph="1"/>
    </row>
    <row r="4196" spans="20:20" ht="26.25">
      <c r="T4196" s="85" ph="1"/>
    </row>
    <row r="4197" spans="20:20" ht="26.25">
      <c r="T4197" s="85" ph="1"/>
    </row>
    <row r="4198" spans="20:20" ht="26.25">
      <c r="T4198" s="85" ph="1"/>
    </row>
    <row r="4199" spans="20:20" ht="26.25">
      <c r="T4199" s="85" ph="1"/>
    </row>
    <row r="4200" spans="20:20" ht="26.25">
      <c r="T4200" s="85" ph="1"/>
    </row>
    <row r="4201" spans="20:20" ht="26.25">
      <c r="T4201" s="85" ph="1"/>
    </row>
    <row r="4202" spans="20:20" ht="26.25">
      <c r="T4202" s="85" ph="1"/>
    </row>
    <row r="4203" spans="20:20" ht="26.25">
      <c r="T4203" s="85" ph="1"/>
    </row>
    <row r="4204" spans="20:20" ht="26.25">
      <c r="T4204" s="85" ph="1"/>
    </row>
    <row r="4205" spans="20:20" ht="26.25">
      <c r="T4205" s="85" ph="1"/>
    </row>
    <row r="4206" spans="20:20" ht="26.25">
      <c r="T4206" s="85" ph="1"/>
    </row>
    <row r="4207" spans="20:20" ht="26.25">
      <c r="T4207" s="85" ph="1"/>
    </row>
    <row r="4208" spans="20:20" ht="26.25">
      <c r="T4208" s="85" ph="1"/>
    </row>
    <row r="4209" spans="20:20" ht="26.25">
      <c r="T4209" s="85" ph="1"/>
    </row>
    <row r="4210" spans="20:20" ht="26.25">
      <c r="T4210" s="85" ph="1"/>
    </row>
    <row r="4211" spans="20:20" ht="26.25">
      <c r="T4211" s="85" ph="1"/>
    </row>
    <row r="4212" spans="20:20" ht="26.25">
      <c r="T4212" s="85" ph="1"/>
    </row>
    <row r="4213" spans="20:20" ht="26.25">
      <c r="T4213" s="85" ph="1"/>
    </row>
    <row r="4214" spans="20:20" ht="26.25">
      <c r="T4214" s="85" ph="1"/>
    </row>
    <row r="4215" spans="20:20" ht="26.25">
      <c r="T4215" s="85" ph="1"/>
    </row>
    <row r="4216" spans="20:20" ht="26.25">
      <c r="T4216" s="85" ph="1"/>
    </row>
    <row r="4217" spans="20:20" ht="26.25">
      <c r="T4217" s="85" ph="1"/>
    </row>
    <row r="4218" spans="20:20" ht="26.25">
      <c r="T4218" s="85" ph="1"/>
    </row>
    <row r="4219" spans="20:20" ht="26.25">
      <c r="T4219" s="85" ph="1"/>
    </row>
    <row r="4220" spans="20:20" ht="26.25">
      <c r="T4220" s="85" ph="1"/>
    </row>
    <row r="4221" spans="20:20" ht="26.25">
      <c r="T4221" s="85" ph="1"/>
    </row>
    <row r="4222" spans="20:20" ht="26.25">
      <c r="T4222" s="85" ph="1"/>
    </row>
    <row r="4223" spans="20:20" ht="26.25">
      <c r="T4223" s="85" ph="1"/>
    </row>
    <row r="4224" spans="20:20" ht="26.25">
      <c r="T4224" s="85" ph="1"/>
    </row>
    <row r="4225" spans="20:20" ht="26.25">
      <c r="T4225" s="85" ph="1"/>
    </row>
    <row r="4226" spans="20:20" ht="26.25">
      <c r="T4226" s="85" ph="1"/>
    </row>
    <row r="4227" spans="20:20" ht="26.25">
      <c r="T4227" s="85" ph="1"/>
    </row>
    <row r="4228" spans="20:20" ht="26.25">
      <c r="T4228" s="85" ph="1"/>
    </row>
    <row r="4229" spans="20:20" ht="26.25">
      <c r="T4229" s="85" ph="1"/>
    </row>
    <row r="4230" spans="20:20" ht="26.25">
      <c r="T4230" s="85" ph="1"/>
    </row>
    <row r="4231" spans="20:20" ht="26.25">
      <c r="T4231" s="85" ph="1"/>
    </row>
    <row r="4232" spans="20:20" ht="26.25">
      <c r="T4232" s="85" ph="1"/>
    </row>
    <row r="4233" spans="20:20" ht="26.25">
      <c r="T4233" s="85" ph="1"/>
    </row>
    <row r="4234" spans="20:20" ht="26.25">
      <c r="T4234" s="85" ph="1"/>
    </row>
    <row r="4235" spans="20:20" ht="26.25">
      <c r="T4235" s="85" ph="1"/>
    </row>
    <row r="4236" spans="20:20" ht="26.25">
      <c r="T4236" s="85" ph="1"/>
    </row>
    <row r="4237" spans="20:20" ht="26.25">
      <c r="T4237" s="85" ph="1"/>
    </row>
    <row r="4238" spans="20:20" ht="26.25">
      <c r="T4238" s="85" ph="1"/>
    </row>
    <row r="4239" spans="20:20" ht="26.25">
      <c r="T4239" s="85" ph="1"/>
    </row>
    <row r="4240" spans="20:20" ht="26.25">
      <c r="T4240" s="85" ph="1"/>
    </row>
    <row r="4241" spans="20:20" ht="26.25">
      <c r="T4241" s="85" ph="1"/>
    </row>
    <row r="4242" spans="20:20" ht="26.25">
      <c r="T4242" s="85" ph="1"/>
    </row>
    <row r="4243" spans="20:20" ht="26.25">
      <c r="T4243" s="85" ph="1"/>
    </row>
    <row r="4244" spans="20:20" ht="26.25">
      <c r="T4244" s="85" ph="1"/>
    </row>
    <row r="4245" spans="20:20" ht="26.25">
      <c r="T4245" s="85" ph="1"/>
    </row>
    <row r="4246" spans="20:20" ht="26.25">
      <c r="T4246" s="85" ph="1"/>
    </row>
    <row r="4247" spans="20:20" ht="26.25">
      <c r="T4247" s="85" ph="1"/>
    </row>
    <row r="4248" spans="20:20" ht="26.25">
      <c r="T4248" s="85" ph="1"/>
    </row>
    <row r="4249" spans="20:20" ht="26.25">
      <c r="T4249" s="85" ph="1"/>
    </row>
    <row r="4250" spans="20:20" ht="26.25">
      <c r="T4250" s="85" ph="1"/>
    </row>
    <row r="4251" spans="20:20" ht="26.25">
      <c r="T4251" s="85" ph="1"/>
    </row>
    <row r="4252" spans="20:20" ht="26.25">
      <c r="T4252" s="85" ph="1"/>
    </row>
    <row r="4253" spans="20:20" ht="26.25">
      <c r="T4253" s="85" ph="1"/>
    </row>
    <row r="4254" spans="20:20" ht="26.25">
      <c r="T4254" s="85" ph="1"/>
    </row>
    <row r="4255" spans="20:20" ht="26.25">
      <c r="T4255" s="85" ph="1"/>
    </row>
    <row r="4256" spans="20:20" ht="26.25">
      <c r="T4256" s="85" ph="1"/>
    </row>
    <row r="4257" spans="20:20" ht="26.25">
      <c r="T4257" s="85" ph="1"/>
    </row>
    <row r="4258" spans="20:20" ht="26.25">
      <c r="T4258" s="85" ph="1"/>
    </row>
    <row r="4259" spans="20:20" ht="26.25">
      <c r="T4259" s="85" ph="1"/>
    </row>
    <row r="4260" spans="20:20" ht="26.25">
      <c r="T4260" s="85" ph="1"/>
    </row>
    <row r="4261" spans="20:20" ht="26.25">
      <c r="T4261" s="85" ph="1"/>
    </row>
    <row r="4262" spans="20:20" ht="26.25">
      <c r="T4262" s="85" ph="1"/>
    </row>
    <row r="4263" spans="20:20" ht="26.25">
      <c r="T4263" s="85" ph="1"/>
    </row>
    <row r="4264" spans="20:20" ht="26.25">
      <c r="T4264" s="85" ph="1"/>
    </row>
    <row r="4265" spans="20:20" ht="26.25">
      <c r="T4265" s="85" ph="1"/>
    </row>
    <row r="4266" spans="20:20" ht="26.25">
      <c r="T4266" s="85" ph="1"/>
    </row>
    <row r="4267" spans="20:20" ht="26.25">
      <c r="T4267" s="85" ph="1"/>
    </row>
    <row r="4268" spans="20:20" ht="26.25">
      <c r="T4268" s="85" ph="1"/>
    </row>
    <row r="4269" spans="20:20" ht="26.25">
      <c r="T4269" s="85" ph="1"/>
    </row>
    <row r="4270" spans="20:20" ht="26.25">
      <c r="T4270" s="85" ph="1"/>
    </row>
    <row r="4271" spans="20:20" ht="26.25">
      <c r="T4271" s="85" ph="1"/>
    </row>
    <row r="4272" spans="20:20" ht="26.25">
      <c r="T4272" s="85" ph="1"/>
    </row>
    <row r="4273" spans="20:20" ht="26.25">
      <c r="T4273" s="85" ph="1"/>
    </row>
    <row r="4274" spans="20:20" ht="26.25">
      <c r="T4274" s="85" ph="1"/>
    </row>
    <row r="4275" spans="20:20" ht="26.25">
      <c r="T4275" s="85" ph="1"/>
    </row>
    <row r="4276" spans="20:20" ht="26.25">
      <c r="T4276" s="85" ph="1"/>
    </row>
    <row r="4277" spans="20:20" ht="26.25">
      <c r="T4277" s="85" ph="1"/>
    </row>
    <row r="4278" spans="20:20" ht="26.25">
      <c r="T4278" s="85" ph="1"/>
    </row>
    <row r="4279" spans="20:20" ht="26.25">
      <c r="T4279" s="85" ph="1"/>
    </row>
    <row r="4280" spans="20:20" ht="26.25">
      <c r="T4280" s="85" ph="1"/>
    </row>
    <row r="4281" spans="20:20" ht="26.25">
      <c r="T4281" s="85" ph="1"/>
    </row>
    <row r="4282" spans="20:20" ht="26.25">
      <c r="T4282" s="85" ph="1"/>
    </row>
    <row r="4283" spans="20:20" ht="26.25">
      <c r="T4283" s="85" ph="1"/>
    </row>
    <row r="4284" spans="20:20" ht="26.25">
      <c r="T4284" s="85" ph="1"/>
    </row>
    <row r="4285" spans="20:20" ht="26.25">
      <c r="T4285" s="85" ph="1"/>
    </row>
    <row r="4286" spans="20:20" ht="26.25">
      <c r="T4286" s="85" ph="1"/>
    </row>
    <row r="4287" spans="20:20" ht="26.25">
      <c r="T4287" s="85" ph="1"/>
    </row>
    <row r="4288" spans="20:20" ht="26.25">
      <c r="T4288" s="85" ph="1"/>
    </row>
    <row r="4289" spans="20:20" ht="26.25">
      <c r="T4289" s="85" ph="1"/>
    </row>
    <row r="4290" spans="20:20" ht="26.25">
      <c r="T4290" s="85" ph="1"/>
    </row>
    <row r="4291" spans="20:20" ht="26.25">
      <c r="T4291" s="85" ph="1"/>
    </row>
    <row r="4292" spans="20:20" ht="26.25">
      <c r="T4292" s="85" ph="1"/>
    </row>
    <row r="4293" spans="20:20" ht="26.25">
      <c r="T4293" s="85" ph="1"/>
    </row>
    <row r="4294" spans="20:20" ht="26.25">
      <c r="T4294" s="85" ph="1"/>
    </row>
    <row r="4295" spans="20:20" ht="26.25">
      <c r="T4295" s="85" ph="1"/>
    </row>
    <row r="4296" spans="20:20" ht="26.25">
      <c r="T4296" s="85" ph="1"/>
    </row>
    <row r="4297" spans="20:20" ht="26.25">
      <c r="T4297" s="85" ph="1"/>
    </row>
    <row r="4298" spans="20:20" ht="26.25">
      <c r="T4298" s="85" ph="1"/>
    </row>
    <row r="4299" spans="20:20" ht="26.25">
      <c r="T4299" s="85" ph="1"/>
    </row>
    <row r="4300" spans="20:20" ht="26.25">
      <c r="T4300" s="85" ph="1"/>
    </row>
    <row r="4301" spans="20:20" ht="26.25">
      <c r="T4301" s="85" ph="1"/>
    </row>
    <row r="4302" spans="20:20" ht="26.25">
      <c r="T4302" s="85" ph="1"/>
    </row>
    <row r="4303" spans="20:20" ht="26.25">
      <c r="T4303" s="85" ph="1"/>
    </row>
    <row r="4304" spans="20:20" ht="26.25">
      <c r="T4304" s="85" ph="1"/>
    </row>
    <row r="4305" spans="20:20" ht="26.25">
      <c r="T4305" s="85" ph="1"/>
    </row>
    <row r="4306" spans="20:20" ht="26.25">
      <c r="T4306" s="85" ph="1"/>
    </row>
    <row r="4307" spans="20:20" ht="26.25">
      <c r="T4307" s="85" ph="1"/>
    </row>
    <row r="4308" spans="20:20" ht="26.25">
      <c r="T4308" s="85" ph="1"/>
    </row>
    <row r="4309" spans="20:20" ht="26.25">
      <c r="T4309" s="85" ph="1"/>
    </row>
    <row r="4310" spans="20:20" ht="26.25">
      <c r="T4310" s="85" ph="1"/>
    </row>
    <row r="4311" spans="20:20" ht="26.25">
      <c r="T4311" s="85" ph="1"/>
    </row>
    <row r="4312" spans="20:20" ht="26.25">
      <c r="T4312" s="85" ph="1"/>
    </row>
    <row r="4313" spans="20:20" ht="26.25">
      <c r="T4313" s="85" ph="1"/>
    </row>
    <row r="4314" spans="20:20" ht="26.25">
      <c r="T4314" s="85" ph="1"/>
    </row>
    <row r="4315" spans="20:20" ht="26.25">
      <c r="T4315" s="85" ph="1"/>
    </row>
    <row r="4316" spans="20:20" ht="26.25">
      <c r="T4316" s="85" ph="1"/>
    </row>
    <row r="4317" spans="20:20" ht="26.25">
      <c r="T4317" s="85" ph="1"/>
    </row>
    <row r="4318" spans="20:20" ht="26.25">
      <c r="T4318" s="85" ph="1"/>
    </row>
    <row r="4319" spans="20:20" ht="26.25">
      <c r="T4319" s="85" ph="1"/>
    </row>
    <row r="4320" spans="20:20" ht="26.25">
      <c r="T4320" s="85" ph="1"/>
    </row>
    <row r="4321" spans="20:20" ht="26.25">
      <c r="T4321" s="85" ph="1"/>
    </row>
    <row r="4322" spans="20:20" ht="26.25">
      <c r="T4322" s="85" ph="1"/>
    </row>
    <row r="4323" spans="20:20" ht="26.25">
      <c r="T4323" s="85" ph="1"/>
    </row>
    <row r="4324" spans="20:20" ht="26.25">
      <c r="T4324" s="85" ph="1"/>
    </row>
    <row r="4325" spans="20:20" ht="26.25">
      <c r="T4325" s="85" ph="1"/>
    </row>
    <row r="4326" spans="20:20" ht="26.25">
      <c r="T4326" s="85" ph="1"/>
    </row>
    <row r="4327" spans="20:20" ht="26.25">
      <c r="T4327" s="85" ph="1"/>
    </row>
    <row r="4328" spans="20:20" ht="26.25">
      <c r="T4328" s="85" ph="1"/>
    </row>
    <row r="4329" spans="20:20" ht="26.25">
      <c r="T4329" s="85" ph="1"/>
    </row>
    <row r="4330" spans="20:20" ht="26.25">
      <c r="T4330" s="85" ph="1"/>
    </row>
    <row r="4331" spans="20:20" ht="26.25">
      <c r="T4331" s="85" ph="1"/>
    </row>
    <row r="4332" spans="20:20" ht="26.25">
      <c r="T4332" s="85" ph="1"/>
    </row>
    <row r="4333" spans="20:20" ht="26.25">
      <c r="T4333" s="85" ph="1"/>
    </row>
    <row r="4334" spans="20:20" ht="26.25">
      <c r="T4334" s="85" ph="1"/>
    </row>
    <row r="4335" spans="20:20" ht="26.25">
      <c r="T4335" s="85" ph="1"/>
    </row>
    <row r="4336" spans="20:20" ht="26.25">
      <c r="T4336" s="85" ph="1"/>
    </row>
    <row r="4337" spans="20:20" ht="26.25">
      <c r="T4337" s="85" ph="1"/>
    </row>
    <row r="4338" spans="20:20" ht="26.25">
      <c r="T4338" s="85" ph="1"/>
    </row>
    <row r="4339" spans="20:20" ht="26.25">
      <c r="T4339" s="85" ph="1"/>
    </row>
    <row r="4340" spans="20:20" ht="26.25">
      <c r="T4340" s="85" ph="1"/>
    </row>
    <row r="4341" spans="20:20" ht="26.25">
      <c r="T4341" s="85" ph="1"/>
    </row>
    <row r="4342" spans="20:20" ht="26.25">
      <c r="T4342" s="85" ph="1"/>
    </row>
    <row r="4343" spans="20:20" ht="26.25">
      <c r="T4343" s="85" ph="1"/>
    </row>
    <row r="4344" spans="20:20" ht="26.25">
      <c r="T4344" s="85" ph="1"/>
    </row>
    <row r="4345" spans="20:20" ht="26.25">
      <c r="T4345" s="85" ph="1"/>
    </row>
    <row r="4346" spans="20:20" ht="26.25">
      <c r="T4346" s="85" ph="1"/>
    </row>
    <row r="4347" spans="20:20" ht="26.25">
      <c r="T4347" s="85" ph="1"/>
    </row>
    <row r="4348" spans="20:20" ht="26.25">
      <c r="T4348" s="85" ph="1"/>
    </row>
    <row r="4349" spans="20:20" ht="26.25">
      <c r="T4349" s="85" ph="1"/>
    </row>
    <row r="4350" spans="20:20" ht="26.25">
      <c r="T4350" s="85" ph="1"/>
    </row>
    <row r="4351" spans="20:20" ht="26.25">
      <c r="T4351" s="85" ph="1"/>
    </row>
    <row r="4352" spans="20:20" ht="26.25">
      <c r="T4352" s="85" ph="1"/>
    </row>
    <row r="4353" spans="20:20" ht="26.25">
      <c r="T4353" s="85" ph="1"/>
    </row>
    <row r="4354" spans="20:20" ht="26.25">
      <c r="T4354" s="85" ph="1"/>
    </row>
    <row r="4355" spans="20:20" ht="26.25">
      <c r="T4355" s="85" ph="1"/>
    </row>
    <row r="4356" spans="20:20" ht="26.25">
      <c r="T4356" s="85" ph="1"/>
    </row>
    <row r="4357" spans="20:20" ht="26.25">
      <c r="T4357" s="85" ph="1"/>
    </row>
    <row r="4358" spans="20:20" ht="26.25">
      <c r="T4358" s="85" ph="1"/>
    </row>
    <row r="4359" spans="20:20" ht="26.25">
      <c r="T4359" s="85" ph="1"/>
    </row>
    <row r="4360" spans="20:20" ht="26.25">
      <c r="T4360" s="85" ph="1"/>
    </row>
    <row r="4361" spans="20:20" ht="26.25">
      <c r="T4361" s="85" ph="1"/>
    </row>
    <row r="4362" spans="20:20" ht="26.25">
      <c r="T4362" s="85" ph="1"/>
    </row>
    <row r="4363" spans="20:20" ht="26.25">
      <c r="T4363" s="85" ph="1"/>
    </row>
    <row r="4364" spans="20:20" ht="26.25">
      <c r="T4364" s="85" ph="1"/>
    </row>
    <row r="4365" spans="20:20" ht="26.25">
      <c r="T4365" s="85" ph="1"/>
    </row>
    <row r="4366" spans="20:20" ht="26.25">
      <c r="T4366" s="85" ph="1"/>
    </row>
    <row r="4367" spans="20:20" ht="26.25">
      <c r="T4367" s="85" ph="1"/>
    </row>
    <row r="4368" spans="20:20" ht="26.25">
      <c r="T4368" s="85" ph="1"/>
    </row>
    <row r="4369" spans="20:20" ht="26.25">
      <c r="T4369" s="85" ph="1"/>
    </row>
    <row r="4370" spans="20:20" ht="26.25">
      <c r="T4370" s="85" ph="1"/>
    </row>
    <row r="4371" spans="20:20" ht="26.25">
      <c r="T4371" s="85" ph="1"/>
    </row>
    <row r="4372" spans="20:20" ht="26.25">
      <c r="T4372" s="85" ph="1"/>
    </row>
    <row r="4373" spans="20:20" ht="26.25">
      <c r="T4373" s="85" ph="1"/>
    </row>
    <row r="4374" spans="20:20" ht="26.25">
      <c r="T4374" s="85" ph="1"/>
    </row>
    <row r="4375" spans="20:20" ht="26.25">
      <c r="T4375" s="85" ph="1"/>
    </row>
    <row r="4376" spans="20:20" ht="26.25">
      <c r="T4376" s="85" ph="1"/>
    </row>
    <row r="4377" spans="20:20" ht="26.25">
      <c r="T4377" s="85" ph="1"/>
    </row>
    <row r="4378" spans="20:20" ht="26.25">
      <c r="T4378" s="85" ph="1"/>
    </row>
    <row r="4379" spans="20:20" ht="26.25">
      <c r="T4379" s="85" ph="1"/>
    </row>
    <row r="4380" spans="20:20" ht="26.25">
      <c r="T4380" s="85" ph="1"/>
    </row>
    <row r="4381" spans="20:20" ht="26.25">
      <c r="T4381" s="85" ph="1"/>
    </row>
    <row r="4382" spans="20:20" ht="26.25">
      <c r="T4382" s="85" ph="1"/>
    </row>
    <row r="4383" spans="20:20" ht="26.25">
      <c r="T4383" s="85" ph="1"/>
    </row>
    <row r="4384" spans="20:20" ht="26.25">
      <c r="T4384" s="85" ph="1"/>
    </row>
    <row r="4385" spans="20:20" ht="26.25">
      <c r="T4385" s="85" ph="1"/>
    </row>
    <row r="4386" spans="20:20" ht="26.25">
      <c r="T4386" s="85" ph="1"/>
    </row>
    <row r="4387" spans="20:20" ht="26.25">
      <c r="T4387" s="85" ph="1"/>
    </row>
    <row r="4388" spans="20:20" ht="26.25">
      <c r="T4388" s="85" ph="1"/>
    </row>
    <row r="4389" spans="20:20" ht="26.25">
      <c r="T4389" s="85" ph="1"/>
    </row>
    <row r="4390" spans="20:20" ht="26.25">
      <c r="T4390" s="85" ph="1"/>
    </row>
    <row r="4391" spans="20:20" ht="26.25">
      <c r="T4391" s="85" ph="1"/>
    </row>
    <row r="4392" spans="20:20" ht="26.25">
      <c r="T4392" s="85" ph="1"/>
    </row>
    <row r="4393" spans="20:20" ht="26.25">
      <c r="T4393" s="85" ph="1"/>
    </row>
    <row r="4394" spans="20:20" ht="26.25">
      <c r="T4394" s="85" ph="1"/>
    </row>
    <row r="4395" spans="20:20" ht="26.25">
      <c r="T4395" s="85" ph="1"/>
    </row>
    <row r="4396" spans="20:20" ht="26.25">
      <c r="T4396" s="85" ph="1"/>
    </row>
    <row r="4397" spans="20:20" ht="26.25">
      <c r="T4397" s="85" ph="1"/>
    </row>
    <row r="4398" spans="20:20" ht="26.25">
      <c r="T4398" s="85" ph="1"/>
    </row>
    <row r="4399" spans="20:20" ht="26.25">
      <c r="T4399" s="85" ph="1"/>
    </row>
    <row r="4400" spans="20:20" ht="26.25">
      <c r="T4400" s="85" ph="1"/>
    </row>
    <row r="4401" spans="20:20" ht="26.25">
      <c r="T4401" s="85" ph="1"/>
    </row>
    <row r="4402" spans="20:20" ht="26.25">
      <c r="T4402" s="85" ph="1"/>
    </row>
    <row r="4403" spans="20:20" ht="26.25">
      <c r="T4403" s="85" ph="1"/>
    </row>
    <row r="4404" spans="20:20" ht="26.25">
      <c r="T4404" s="85" ph="1"/>
    </row>
    <row r="4405" spans="20:20" ht="26.25">
      <c r="T4405" s="85" ph="1"/>
    </row>
    <row r="4406" spans="20:20" ht="26.25">
      <c r="T4406" s="85" ph="1"/>
    </row>
    <row r="4407" spans="20:20" ht="26.25">
      <c r="T4407" s="85" ph="1"/>
    </row>
    <row r="4408" spans="20:20" ht="26.25">
      <c r="T4408" s="85" ph="1"/>
    </row>
    <row r="4409" spans="20:20" ht="26.25">
      <c r="T4409" s="85" ph="1"/>
    </row>
    <row r="4410" spans="20:20" ht="26.25">
      <c r="T4410" s="85" ph="1"/>
    </row>
    <row r="4411" spans="20:20" ht="26.25">
      <c r="T4411" s="85" ph="1"/>
    </row>
    <row r="4412" spans="20:20" ht="26.25">
      <c r="T4412" s="85" ph="1"/>
    </row>
    <row r="4413" spans="20:20" ht="26.25">
      <c r="T4413" s="85" ph="1"/>
    </row>
    <row r="4414" spans="20:20" ht="26.25">
      <c r="T4414" s="85" ph="1"/>
    </row>
    <row r="4415" spans="20:20" ht="26.25">
      <c r="T4415" s="85" ph="1"/>
    </row>
    <row r="4416" spans="20:20" ht="26.25">
      <c r="T4416" s="85" ph="1"/>
    </row>
    <row r="4417" spans="20:20" ht="26.25">
      <c r="T4417" s="85" ph="1"/>
    </row>
    <row r="4418" spans="20:20" ht="26.25">
      <c r="T4418" s="85" ph="1"/>
    </row>
    <row r="4419" spans="20:20" ht="26.25">
      <c r="T4419" s="85" ph="1"/>
    </row>
    <row r="4420" spans="20:20" ht="26.25">
      <c r="T4420" s="85" ph="1"/>
    </row>
    <row r="4421" spans="20:20" ht="26.25">
      <c r="T4421" s="85" ph="1"/>
    </row>
    <row r="4422" spans="20:20" ht="26.25">
      <c r="T4422" s="85" ph="1"/>
    </row>
    <row r="4423" spans="20:20" ht="26.25">
      <c r="T4423" s="85" ph="1"/>
    </row>
    <row r="4424" spans="20:20" ht="26.25">
      <c r="T4424" s="85" ph="1"/>
    </row>
    <row r="4425" spans="20:20" ht="26.25">
      <c r="T4425" s="85" ph="1"/>
    </row>
    <row r="4426" spans="20:20" ht="26.25">
      <c r="T4426" s="85" ph="1"/>
    </row>
    <row r="4427" spans="20:20" ht="26.25">
      <c r="T4427" s="85" ph="1"/>
    </row>
    <row r="4428" spans="20:20" ht="26.25">
      <c r="T4428" s="85" ph="1"/>
    </row>
    <row r="4429" spans="20:20" ht="26.25">
      <c r="T4429" s="85" ph="1"/>
    </row>
    <row r="4430" spans="20:20" ht="26.25">
      <c r="T4430" s="85" ph="1"/>
    </row>
    <row r="4431" spans="20:20" ht="26.25">
      <c r="T4431" s="85" ph="1"/>
    </row>
    <row r="4432" spans="20:20" ht="26.25">
      <c r="T4432" s="85" ph="1"/>
    </row>
    <row r="4433" spans="20:20" ht="26.25">
      <c r="T4433" s="85" ph="1"/>
    </row>
    <row r="4434" spans="20:20" ht="26.25">
      <c r="T4434" s="85" ph="1"/>
    </row>
    <row r="4435" spans="20:20" ht="26.25">
      <c r="T4435" s="85" ph="1"/>
    </row>
    <row r="4436" spans="20:20" ht="26.25">
      <c r="T4436" s="85" ph="1"/>
    </row>
    <row r="4437" spans="20:20" ht="26.25">
      <c r="T4437" s="85" ph="1"/>
    </row>
    <row r="4438" spans="20:20" ht="26.25">
      <c r="T4438" s="85" ph="1"/>
    </row>
    <row r="4439" spans="20:20" ht="26.25">
      <c r="T4439" s="85" ph="1"/>
    </row>
    <row r="4440" spans="20:20" ht="26.25">
      <c r="T4440" s="85" ph="1"/>
    </row>
    <row r="4441" spans="20:20" ht="26.25">
      <c r="T4441" s="85" ph="1"/>
    </row>
    <row r="4442" spans="20:20" ht="26.25">
      <c r="T4442" s="85" ph="1"/>
    </row>
    <row r="4443" spans="20:20" ht="26.25">
      <c r="T4443" s="85" ph="1"/>
    </row>
    <row r="4444" spans="20:20" ht="26.25">
      <c r="T4444" s="85" ph="1"/>
    </row>
    <row r="4445" spans="20:20" ht="26.25">
      <c r="T4445" s="85" ph="1"/>
    </row>
    <row r="4446" spans="20:20" ht="26.25">
      <c r="T4446" s="85" ph="1"/>
    </row>
    <row r="4447" spans="20:20" ht="26.25">
      <c r="T4447" s="85" ph="1"/>
    </row>
    <row r="4448" spans="20:20" ht="26.25">
      <c r="T4448" s="85" ph="1"/>
    </row>
    <row r="4449" spans="20:20" ht="26.25">
      <c r="T4449" s="85" ph="1"/>
    </row>
    <row r="4450" spans="20:20" ht="26.25">
      <c r="T4450" s="85" ph="1"/>
    </row>
    <row r="4451" spans="20:20" ht="26.25">
      <c r="T4451" s="85" ph="1"/>
    </row>
    <row r="4452" spans="20:20" ht="26.25">
      <c r="T4452" s="85" ph="1"/>
    </row>
    <row r="4453" spans="20:20" ht="26.25">
      <c r="T4453" s="85" ph="1"/>
    </row>
    <row r="4454" spans="20:20" ht="26.25">
      <c r="T4454" s="85" ph="1"/>
    </row>
    <row r="4455" spans="20:20" ht="26.25">
      <c r="T4455" s="85" ph="1"/>
    </row>
    <row r="4456" spans="20:20" ht="26.25">
      <c r="T4456" s="85" ph="1"/>
    </row>
    <row r="4457" spans="20:20" ht="26.25">
      <c r="T4457" s="85" ph="1"/>
    </row>
    <row r="4458" spans="20:20" ht="26.25">
      <c r="T4458" s="85" ph="1"/>
    </row>
    <row r="4459" spans="20:20" ht="26.25">
      <c r="T4459" s="85" ph="1"/>
    </row>
    <row r="4460" spans="20:20" ht="26.25">
      <c r="T4460" s="85" ph="1"/>
    </row>
    <row r="4461" spans="20:20" ht="26.25">
      <c r="T4461" s="85" ph="1"/>
    </row>
    <row r="4462" spans="20:20" ht="26.25">
      <c r="T4462" s="85" ph="1"/>
    </row>
    <row r="4463" spans="20:20" ht="26.25">
      <c r="T4463" s="85" ph="1"/>
    </row>
    <row r="4464" spans="20:20" ht="26.25">
      <c r="T4464" s="85" ph="1"/>
    </row>
    <row r="4465" spans="20:20" ht="26.25">
      <c r="T4465" s="85" ph="1"/>
    </row>
    <row r="4466" spans="20:20" ht="26.25">
      <c r="T4466" s="85" ph="1"/>
    </row>
    <row r="4467" spans="20:20" ht="26.25">
      <c r="T4467" s="85" ph="1"/>
    </row>
    <row r="4468" spans="20:20" ht="26.25">
      <c r="T4468" s="85" ph="1"/>
    </row>
    <row r="4469" spans="20:20" ht="26.25">
      <c r="T4469" s="85" ph="1"/>
    </row>
    <row r="4470" spans="20:20" ht="26.25">
      <c r="T4470" s="85" ph="1"/>
    </row>
    <row r="4471" spans="20:20" ht="26.25">
      <c r="T4471" s="85" ph="1"/>
    </row>
    <row r="4472" spans="20:20" ht="26.25">
      <c r="T4472" s="85" ph="1"/>
    </row>
    <row r="4473" spans="20:20" ht="26.25">
      <c r="T4473" s="85" ph="1"/>
    </row>
    <row r="4474" spans="20:20" ht="26.25">
      <c r="T4474" s="85" ph="1"/>
    </row>
    <row r="4475" spans="20:20" ht="26.25">
      <c r="T4475" s="85" ph="1"/>
    </row>
    <row r="4476" spans="20:20" ht="26.25">
      <c r="T4476" s="85" ph="1"/>
    </row>
    <row r="4477" spans="20:20" ht="26.25">
      <c r="T4477" s="85" ph="1"/>
    </row>
    <row r="4478" spans="20:20" ht="26.25">
      <c r="T4478" s="85" ph="1"/>
    </row>
    <row r="4479" spans="20:20" ht="26.25">
      <c r="T4479" s="85" ph="1"/>
    </row>
    <row r="4480" spans="20:20" ht="26.25">
      <c r="T4480" s="85" ph="1"/>
    </row>
    <row r="4481" spans="20:20" ht="26.25">
      <c r="T4481" s="85" ph="1"/>
    </row>
    <row r="4482" spans="20:20" ht="26.25">
      <c r="T4482" s="85" ph="1"/>
    </row>
    <row r="4483" spans="20:20" ht="26.25">
      <c r="T4483" s="85" ph="1"/>
    </row>
    <row r="4484" spans="20:20" ht="26.25">
      <c r="T4484" s="85" ph="1"/>
    </row>
    <row r="4485" spans="20:20" ht="26.25">
      <c r="T4485" s="85" ph="1"/>
    </row>
    <row r="4486" spans="20:20" ht="26.25">
      <c r="T4486" s="85" ph="1"/>
    </row>
    <row r="4487" spans="20:20" ht="26.25">
      <c r="T4487" s="85" ph="1"/>
    </row>
    <row r="4488" spans="20:20" ht="26.25">
      <c r="T4488" s="85" ph="1"/>
    </row>
    <row r="4489" spans="20:20" ht="26.25">
      <c r="T4489" s="85" ph="1"/>
    </row>
    <row r="4490" spans="20:20" ht="26.25">
      <c r="T4490" s="85" ph="1"/>
    </row>
    <row r="4491" spans="20:20" ht="26.25">
      <c r="T4491" s="85" ph="1"/>
    </row>
    <row r="4492" spans="20:20" ht="26.25">
      <c r="T4492" s="85" ph="1"/>
    </row>
    <row r="4493" spans="20:20" ht="26.25">
      <c r="T4493" s="85" ph="1"/>
    </row>
    <row r="4494" spans="20:20" ht="26.25">
      <c r="T4494" s="85" ph="1"/>
    </row>
    <row r="4495" spans="20:20" ht="26.25">
      <c r="T4495" s="85" ph="1"/>
    </row>
    <row r="4496" spans="20:20" ht="26.25">
      <c r="T4496" s="85" ph="1"/>
    </row>
    <row r="4497" spans="20:20" ht="26.25">
      <c r="T4497" s="85" ph="1"/>
    </row>
    <row r="4498" spans="20:20" ht="26.25">
      <c r="T4498" s="85" ph="1"/>
    </row>
    <row r="4499" spans="20:20" ht="26.25">
      <c r="T4499" s="85" ph="1"/>
    </row>
    <row r="4500" spans="20:20" ht="26.25">
      <c r="T4500" s="85" ph="1"/>
    </row>
    <row r="4501" spans="20:20" ht="26.25">
      <c r="T4501" s="85" ph="1"/>
    </row>
    <row r="4502" spans="20:20" ht="26.25">
      <c r="T4502" s="85" ph="1"/>
    </row>
    <row r="4503" spans="20:20" ht="26.25">
      <c r="T4503" s="85" ph="1"/>
    </row>
    <row r="4504" spans="20:20" ht="26.25">
      <c r="T4504" s="85" ph="1"/>
    </row>
    <row r="4505" spans="20:20" ht="26.25">
      <c r="T4505" s="85" ph="1"/>
    </row>
    <row r="4506" spans="20:20" ht="26.25">
      <c r="T4506" s="85" ph="1"/>
    </row>
    <row r="4507" spans="20:20" ht="26.25">
      <c r="T4507" s="85" ph="1"/>
    </row>
    <row r="4508" spans="20:20" ht="26.25">
      <c r="T4508" s="85" ph="1"/>
    </row>
    <row r="4509" spans="20:20" ht="26.25">
      <c r="T4509" s="85" ph="1"/>
    </row>
    <row r="4510" spans="20:20" ht="26.25">
      <c r="T4510" s="85" ph="1"/>
    </row>
    <row r="4511" spans="20:20" ht="26.25">
      <c r="T4511" s="85" ph="1"/>
    </row>
    <row r="4512" spans="20:20" ht="26.25">
      <c r="T4512" s="85" ph="1"/>
    </row>
    <row r="4513" spans="20:20" ht="26.25">
      <c r="T4513" s="85" ph="1"/>
    </row>
    <row r="4514" spans="20:20" ht="26.25">
      <c r="T4514" s="85" ph="1"/>
    </row>
    <row r="4515" spans="20:20" ht="26.25">
      <c r="T4515" s="85" ph="1"/>
    </row>
    <row r="4516" spans="20:20" ht="26.25">
      <c r="T4516" s="85" ph="1"/>
    </row>
    <row r="4517" spans="20:20" ht="26.25">
      <c r="T4517" s="85" ph="1"/>
    </row>
    <row r="4518" spans="20:20" ht="26.25">
      <c r="T4518" s="85" ph="1"/>
    </row>
    <row r="4519" spans="20:20" ht="26.25">
      <c r="T4519" s="85" ph="1"/>
    </row>
    <row r="4520" spans="20:20" ht="26.25">
      <c r="T4520" s="85" ph="1"/>
    </row>
    <row r="4521" spans="20:20" ht="26.25">
      <c r="T4521" s="85" ph="1"/>
    </row>
    <row r="4522" spans="20:20" ht="26.25">
      <c r="T4522" s="85" ph="1"/>
    </row>
    <row r="4523" spans="20:20" ht="26.25">
      <c r="T4523" s="85" ph="1"/>
    </row>
    <row r="4524" spans="20:20" ht="26.25">
      <c r="T4524" s="85" ph="1"/>
    </row>
    <row r="4525" spans="20:20" ht="26.25">
      <c r="T4525" s="85" ph="1"/>
    </row>
    <row r="4526" spans="20:20" ht="26.25">
      <c r="T4526" s="85" ph="1"/>
    </row>
    <row r="4527" spans="20:20" ht="26.25">
      <c r="T4527" s="85" ph="1"/>
    </row>
    <row r="4528" spans="20:20" ht="26.25">
      <c r="T4528" s="85" ph="1"/>
    </row>
    <row r="4529" spans="20:20" ht="26.25">
      <c r="T4529" s="85" ph="1"/>
    </row>
    <row r="4530" spans="20:20" ht="26.25">
      <c r="T4530" s="85" ph="1"/>
    </row>
    <row r="4531" spans="20:20" ht="26.25">
      <c r="T4531" s="85" ph="1"/>
    </row>
    <row r="4532" spans="20:20" ht="26.25">
      <c r="T4532" s="85" ph="1"/>
    </row>
    <row r="4533" spans="20:20" ht="26.25">
      <c r="T4533" s="85" ph="1"/>
    </row>
    <row r="4534" spans="20:20" ht="26.25">
      <c r="T4534" s="85" ph="1"/>
    </row>
    <row r="4535" spans="20:20" ht="26.25">
      <c r="T4535" s="85" ph="1"/>
    </row>
    <row r="4536" spans="20:20" ht="26.25">
      <c r="T4536" s="85" ph="1"/>
    </row>
    <row r="4537" spans="20:20" ht="26.25">
      <c r="T4537" s="85" ph="1"/>
    </row>
    <row r="4538" spans="20:20" ht="26.25">
      <c r="T4538" s="85" ph="1"/>
    </row>
    <row r="4539" spans="20:20" ht="26.25">
      <c r="T4539" s="85" ph="1"/>
    </row>
    <row r="4540" spans="20:20" ht="26.25">
      <c r="T4540" s="85" ph="1"/>
    </row>
    <row r="4541" spans="20:20" ht="26.25">
      <c r="T4541" s="85" ph="1"/>
    </row>
    <row r="4542" spans="20:20" ht="26.25">
      <c r="T4542" s="85" ph="1"/>
    </row>
    <row r="4543" spans="20:20" ht="26.25">
      <c r="T4543" s="85" ph="1"/>
    </row>
    <row r="4544" spans="20:20" ht="26.25">
      <c r="T4544" s="85" ph="1"/>
    </row>
    <row r="4545" spans="20:20" ht="26.25">
      <c r="T4545" s="85" ph="1"/>
    </row>
    <row r="4546" spans="20:20" ht="26.25">
      <c r="T4546" s="85" ph="1"/>
    </row>
    <row r="4547" spans="20:20" ht="26.25">
      <c r="T4547" s="85" ph="1"/>
    </row>
    <row r="4548" spans="20:20" ht="26.25">
      <c r="T4548" s="85" ph="1"/>
    </row>
    <row r="4549" spans="20:20" ht="26.25">
      <c r="T4549" s="85" ph="1"/>
    </row>
    <row r="4550" spans="20:20" ht="26.25">
      <c r="T4550" s="85" ph="1"/>
    </row>
    <row r="4551" spans="20:20" ht="26.25">
      <c r="T4551" s="85" ph="1"/>
    </row>
    <row r="4552" spans="20:20" ht="26.25">
      <c r="T4552" s="85" ph="1"/>
    </row>
    <row r="4553" spans="20:20" ht="26.25">
      <c r="T4553" s="85" ph="1"/>
    </row>
    <row r="4554" spans="20:20" ht="26.25">
      <c r="T4554" s="85" ph="1"/>
    </row>
    <row r="4555" spans="20:20" ht="26.25">
      <c r="T4555" s="85" ph="1"/>
    </row>
    <row r="4556" spans="20:20" ht="26.25">
      <c r="T4556" s="85" ph="1"/>
    </row>
    <row r="4557" spans="20:20" ht="26.25">
      <c r="T4557" s="85" ph="1"/>
    </row>
    <row r="4558" spans="20:20" ht="26.25">
      <c r="T4558" s="85" ph="1"/>
    </row>
    <row r="4559" spans="20:20" ht="26.25">
      <c r="T4559" s="85" ph="1"/>
    </row>
    <row r="4560" spans="20:20" ht="26.25">
      <c r="T4560" s="85" ph="1"/>
    </row>
    <row r="4561" spans="20:20" ht="26.25">
      <c r="T4561" s="85" ph="1"/>
    </row>
    <row r="4562" spans="20:20" ht="26.25">
      <c r="T4562" s="85" ph="1"/>
    </row>
    <row r="4563" spans="20:20" ht="26.25">
      <c r="T4563" s="85" ph="1"/>
    </row>
    <row r="4564" spans="20:20" ht="26.25">
      <c r="T4564" s="85" ph="1"/>
    </row>
    <row r="4565" spans="20:20" ht="26.25">
      <c r="T4565" s="85" ph="1"/>
    </row>
    <row r="4566" spans="20:20" ht="26.25">
      <c r="T4566" s="85" ph="1"/>
    </row>
    <row r="4567" spans="20:20" ht="26.25">
      <c r="T4567" s="85" ph="1"/>
    </row>
    <row r="4568" spans="20:20" ht="26.25">
      <c r="T4568" s="85" ph="1"/>
    </row>
    <row r="4569" spans="20:20" ht="26.25">
      <c r="T4569" s="85" ph="1"/>
    </row>
    <row r="4570" spans="20:20" ht="26.25">
      <c r="T4570" s="85" ph="1"/>
    </row>
    <row r="4571" spans="20:20" ht="26.25">
      <c r="T4571" s="85" ph="1"/>
    </row>
    <row r="4572" spans="20:20" ht="26.25">
      <c r="T4572" s="85" ph="1"/>
    </row>
    <row r="4573" spans="20:20" ht="26.25">
      <c r="T4573" s="85" ph="1"/>
    </row>
    <row r="4574" spans="20:20" ht="26.25">
      <c r="T4574" s="85" ph="1"/>
    </row>
    <row r="4575" spans="20:20" ht="26.25">
      <c r="T4575" s="85" ph="1"/>
    </row>
    <row r="4576" spans="20:20" ht="26.25">
      <c r="T4576" s="85" ph="1"/>
    </row>
    <row r="4577" spans="20:20" ht="26.25">
      <c r="T4577" s="85" ph="1"/>
    </row>
    <row r="4578" spans="20:20" ht="26.25">
      <c r="T4578" s="85" ph="1"/>
    </row>
    <row r="4579" spans="20:20" ht="26.25">
      <c r="T4579" s="85" ph="1"/>
    </row>
    <row r="4580" spans="20:20" ht="26.25">
      <c r="T4580" s="85" ph="1"/>
    </row>
    <row r="4581" spans="20:20" ht="26.25">
      <c r="T4581" s="85" ph="1"/>
    </row>
    <row r="4582" spans="20:20" ht="26.25">
      <c r="T4582" s="85" ph="1"/>
    </row>
    <row r="4583" spans="20:20" ht="26.25">
      <c r="T4583" s="85" ph="1"/>
    </row>
    <row r="4584" spans="20:20" ht="26.25">
      <c r="T4584" s="85" ph="1"/>
    </row>
    <row r="4585" spans="20:20" ht="26.25">
      <c r="T4585" s="85" ph="1"/>
    </row>
    <row r="4586" spans="20:20" ht="26.25">
      <c r="T4586" s="85" ph="1"/>
    </row>
    <row r="4587" spans="20:20" ht="26.25">
      <c r="T4587" s="85" ph="1"/>
    </row>
    <row r="4588" spans="20:20" ht="26.25">
      <c r="T4588" s="85" ph="1"/>
    </row>
    <row r="4589" spans="20:20" ht="26.25">
      <c r="T4589" s="85" ph="1"/>
    </row>
    <row r="4590" spans="20:20" ht="26.25">
      <c r="T4590" s="85" ph="1"/>
    </row>
    <row r="4591" spans="20:20" ht="26.25">
      <c r="T4591" s="85" ph="1"/>
    </row>
    <row r="4592" spans="20:20" ht="26.25">
      <c r="T4592" s="85" ph="1"/>
    </row>
    <row r="4593" spans="20:20" ht="26.25">
      <c r="T4593" s="85" ph="1"/>
    </row>
    <row r="4594" spans="20:20" ht="26.25">
      <c r="T4594" s="85" ph="1"/>
    </row>
    <row r="4595" spans="20:20" ht="26.25">
      <c r="T4595" s="85" ph="1"/>
    </row>
    <row r="4596" spans="20:20" ht="26.25">
      <c r="T4596" s="85" ph="1"/>
    </row>
    <row r="4597" spans="20:20" ht="26.25">
      <c r="T4597" s="85" ph="1"/>
    </row>
    <row r="4598" spans="20:20" ht="26.25">
      <c r="T4598" s="85" ph="1"/>
    </row>
    <row r="4599" spans="20:20" ht="26.25">
      <c r="T4599" s="85" ph="1"/>
    </row>
    <row r="4600" spans="20:20" ht="26.25">
      <c r="T4600" s="85" ph="1"/>
    </row>
    <row r="4601" spans="20:20" ht="26.25">
      <c r="T4601" s="85" ph="1"/>
    </row>
    <row r="4602" spans="20:20" ht="26.25">
      <c r="T4602" s="85" ph="1"/>
    </row>
    <row r="4603" spans="20:20" ht="26.25">
      <c r="T4603" s="85" ph="1"/>
    </row>
    <row r="4604" spans="20:20" ht="26.25">
      <c r="T4604" s="85" ph="1"/>
    </row>
    <row r="4605" spans="20:20" ht="26.25">
      <c r="T4605" s="85" ph="1"/>
    </row>
    <row r="4606" spans="20:20" ht="26.25">
      <c r="T4606" s="85" ph="1"/>
    </row>
    <row r="4607" spans="20:20" ht="26.25">
      <c r="T4607" s="85" ph="1"/>
    </row>
    <row r="4608" spans="20:20" ht="26.25">
      <c r="T4608" s="85" ph="1"/>
    </row>
    <row r="4609" spans="20:20" ht="26.25">
      <c r="T4609" s="85" ph="1"/>
    </row>
    <row r="4610" spans="20:20" ht="26.25">
      <c r="T4610" s="85" ph="1"/>
    </row>
    <row r="4611" spans="20:20" ht="26.25">
      <c r="T4611" s="85" ph="1"/>
    </row>
    <row r="4612" spans="20:20" ht="26.25">
      <c r="T4612" s="85" ph="1"/>
    </row>
    <row r="4613" spans="20:20" ht="26.25">
      <c r="T4613" s="85" ph="1"/>
    </row>
    <row r="4614" spans="20:20" ht="26.25">
      <c r="T4614" s="85" ph="1"/>
    </row>
    <row r="4615" spans="20:20" ht="26.25">
      <c r="T4615" s="85" ph="1"/>
    </row>
    <row r="4616" spans="20:20" ht="26.25">
      <c r="T4616" s="85" ph="1"/>
    </row>
    <row r="4617" spans="20:20" ht="26.25">
      <c r="T4617" s="85" ph="1"/>
    </row>
    <row r="4618" spans="20:20" ht="26.25">
      <c r="T4618" s="85" ph="1"/>
    </row>
    <row r="4619" spans="20:20" ht="26.25">
      <c r="T4619" s="85" ph="1"/>
    </row>
    <row r="4620" spans="20:20" ht="26.25">
      <c r="T4620" s="85" ph="1"/>
    </row>
    <row r="4621" spans="20:20" ht="26.25">
      <c r="T4621" s="85" ph="1"/>
    </row>
    <row r="4622" spans="20:20" ht="26.25">
      <c r="T4622" s="85" ph="1"/>
    </row>
    <row r="4623" spans="20:20" ht="26.25">
      <c r="T4623" s="85" ph="1"/>
    </row>
    <row r="4624" spans="20:20" ht="26.25">
      <c r="T4624" s="85" ph="1"/>
    </row>
    <row r="4625" spans="20:20" ht="26.25">
      <c r="T4625" s="85" ph="1"/>
    </row>
    <row r="4626" spans="20:20" ht="26.25">
      <c r="T4626" s="85" ph="1"/>
    </row>
    <row r="4627" spans="20:20" ht="26.25">
      <c r="T4627" s="85" ph="1"/>
    </row>
    <row r="4628" spans="20:20" ht="26.25">
      <c r="T4628" s="85" ph="1"/>
    </row>
    <row r="4629" spans="20:20" ht="26.25">
      <c r="T4629" s="85" ph="1"/>
    </row>
    <row r="4630" spans="20:20" ht="26.25">
      <c r="T4630" s="85" ph="1"/>
    </row>
    <row r="4631" spans="20:20" ht="26.25">
      <c r="T4631" s="85" ph="1"/>
    </row>
    <row r="4632" spans="20:20" ht="26.25">
      <c r="T4632" s="85" ph="1"/>
    </row>
    <row r="4633" spans="20:20" ht="26.25">
      <c r="T4633" s="85" ph="1"/>
    </row>
    <row r="4634" spans="20:20" ht="26.25">
      <c r="T4634" s="85" ph="1"/>
    </row>
    <row r="4635" spans="20:20" ht="26.25">
      <c r="T4635" s="85" ph="1"/>
    </row>
    <row r="4636" spans="20:20" ht="26.25">
      <c r="T4636" s="85" ph="1"/>
    </row>
    <row r="4637" spans="20:20" ht="26.25">
      <c r="T4637" s="85" ph="1"/>
    </row>
    <row r="4638" spans="20:20" ht="26.25">
      <c r="T4638" s="85" ph="1"/>
    </row>
    <row r="4639" spans="20:20" ht="26.25">
      <c r="T4639" s="85" ph="1"/>
    </row>
    <row r="4640" spans="20:20" ht="26.25">
      <c r="T4640" s="85" ph="1"/>
    </row>
    <row r="4641" spans="20:20" ht="26.25">
      <c r="T4641" s="85" ph="1"/>
    </row>
    <row r="4642" spans="20:20" ht="26.25">
      <c r="T4642" s="85" ph="1"/>
    </row>
    <row r="4643" spans="20:20" ht="26.25">
      <c r="T4643" s="85" ph="1"/>
    </row>
    <row r="4644" spans="20:20" ht="26.25">
      <c r="T4644" s="85" ph="1"/>
    </row>
    <row r="4645" spans="20:20" ht="26.25">
      <c r="T4645" s="85" ph="1"/>
    </row>
    <row r="4646" spans="20:20" ht="26.25">
      <c r="T4646" s="85" ph="1"/>
    </row>
    <row r="4647" spans="20:20" ht="26.25">
      <c r="T4647" s="85" ph="1"/>
    </row>
    <row r="4648" spans="20:20" ht="26.25">
      <c r="T4648" s="85" ph="1"/>
    </row>
    <row r="4649" spans="20:20" ht="26.25">
      <c r="T4649" s="85" ph="1"/>
    </row>
    <row r="4650" spans="20:20" ht="26.25">
      <c r="T4650" s="85" ph="1"/>
    </row>
    <row r="4651" spans="20:20" ht="26.25">
      <c r="T4651" s="85" ph="1"/>
    </row>
    <row r="4652" spans="20:20" ht="26.25">
      <c r="T4652" s="85" ph="1"/>
    </row>
    <row r="4653" spans="20:20" ht="26.25">
      <c r="T4653" s="85" ph="1"/>
    </row>
    <row r="4654" spans="20:20" ht="26.25">
      <c r="T4654" s="85" ph="1"/>
    </row>
    <row r="4655" spans="20:20" ht="26.25">
      <c r="T4655" s="85" ph="1"/>
    </row>
    <row r="4656" spans="20:20" ht="26.25">
      <c r="T4656" s="85" ph="1"/>
    </row>
    <row r="4657" spans="20:20" ht="26.25">
      <c r="T4657" s="85" ph="1"/>
    </row>
    <row r="4658" spans="20:20" ht="26.25">
      <c r="T4658" s="85" ph="1"/>
    </row>
    <row r="4659" spans="20:20" ht="26.25">
      <c r="T4659" s="85" ph="1"/>
    </row>
    <row r="4660" spans="20:20" ht="26.25">
      <c r="T4660" s="85" ph="1"/>
    </row>
    <row r="4661" spans="20:20" ht="26.25">
      <c r="T4661" s="85" ph="1"/>
    </row>
    <row r="4662" spans="20:20" ht="26.25">
      <c r="T4662" s="85" ph="1"/>
    </row>
    <row r="4663" spans="20:20" ht="26.25">
      <c r="T4663" s="85" ph="1"/>
    </row>
    <row r="4664" spans="20:20" ht="26.25">
      <c r="T4664" s="85" ph="1"/>
    </row>
    <row r="4665" spans="20:20" ht="26.25">
      <c r="T4665" s="85" ph="1"/>
    </row>
    <row r="4666" spans="20:20" ht="26.25">
      <c r="T4666" s="85" ph="1"/>
    </row>
    <row r="4667" spans="20:20" ht="26.25">
      <c r="T4667" s="85" ph="1"/>
    </row>
    <row r="4668" spans="20:20" ht="26.25">
      <c r="T4668" s="85" ph="1"/>
    </row>
    <row r="4669" spans="20:20" ht="26.25">
      <c r="T4669" s="85" ph="1"/>
    </row>
    <row r="4670" spans="20:20" ht="26.25">
      <c r="T4670" s="85" ph="1"/>
    </row>
    <row r="4671" spans="20:20" ht="26.25">
      <c r="T4671" s="85" ph="1"/>
    </row>
    <row r="4672" spans="20:20" ht="26.25">
      <c r="T4672" s="85" ph="1"/>
    </row>
    <row r="4673" spans="20:20" ht="26.25">
      <c r="T4673" s="85" ph="1"/>
    </row>
    <row r="4674" spans="20:20" ht="26.25">
      <c r="T4674" s="85" ph="1"/>
    </row>
    <row r="4675" spans="20:20" ht="26.25">
      <c r="T4675" s="85" ph="1"/>
    </row>
    <row r="4676" spans="20:20" ht="26.25">
      <c r="T4676" s="85" ph="1"/>
    </row>
    <row r="4677" spans="20:20" ht="26.25">
      <c r="T4677" s="85" ph="1"/>
    </row>
    <row r="4678" spans="20:20" ht="26.25">
      <c r="T4678" s="85" ph="1"/>
    </row>
    <row r="4679" spans="20:20" ht="26.25">
      <c r="T4679" s="85" ph="1"/>
    </row>
    <row r="4680" spans="20:20" ht="26.25">
      <c r="T4680" s="85" ph="1"/>
    </row>
    <row r="4681" spans="20:20" ht="26.25">
      <c r="T4681" s="85" ph="1"/>
    </row>
    <row r="4682" spans="20:20" ht="26.25">
      <c r="T4682" s="85" ph="1"/>
    </row>
    <row r="4683" spans="20:20" ht="26.25">
      <c r="T4683" s="85" ph="1"/>
    </row>
    <row r="4684" spans="20:20" ht="26.25">
      <c r="T4684" s="85" ph="1"/>
    </row>
    <row r="4685" spans="20:20" ht="26.25">
      <c r="T4685" s="85" ph="1"/>
    </row>
    <row r="4686" spans="20:20" ht="26.25">
      <c r="T4686" s="85" ph="1"/>
    </row>
    <row r="4687" spans="20:20" ht="26.25">
      <c r="T4687" s="85" ph="1"/>
    </row>
    <row r="4688" spans="20:20" ht="26.25">
      <c r="T4688" s="85" ph="1"/>
    </row>
    <row r="4689" spans="20:20" ht="26.25">
      <c r="T4689" s="85" ph="1"/>
    </row>
    <row r="4690" spans="20:20" ht="26.25">
      <c r="T4690" s="85" ph="1"/>
    </row>
    <row r="4691" spans="20:20" ht="26.25">
      <c r="T4691" s="85" ph="1"/>
    </row>
    <row r="4692" spans="20:20" ht="26.25">
      <c r="T4692" s="85" ph="1"/>
    </row>
    <row r="4693" spans="20:20" ht="26.25">
      <c r="T4693" s="85" ph="1"/>
    </row>
    <row r="4694" spans="20:20" ht="26.25">
      <c r="T4694" s="85" ph="1"/>
    </row>
    <row r="4695" spans="20:20" ht="26.25">
      <c r="T4695" s="85" ph="1"/>
    </row>
    <row r="4696" spans="20:20" ht="26.25">
      <c r="T4696" s="85" ph="1"/>
    </row>
    <row r="4697" spans="20:20" ht="26.25">
      <c r="T4697" s="85" ph="1"/>
    </row>
    <row r="4698" spans="20:20" ht="26.25">
      <c r="T4698" s="85" ph="1"/>
    </row>
    <row r="4699" spans="20:20" ht="26.25">
      <c r="T4699" s="85" ph="1"/>
    </row>
    <row r="4700" spans="20:20" ht="26.25">
      <c r="T4700" s="85" ph="1"/>
    </row>
    <row r="4701" spans="20:20" ht="26.25">
      <c r="T4701" s="85" ph="1"/>
    </row>
    <row r="4702" spans="20:20" ht="26.25">
      <c r="T4702" s="85" ph="1"/>
    </row>
    <row r="4703" spans="20:20" ht="26.25">
      <c r="T4703" s="85" ph="1"/>
    </row>
    <row r="4704" spans="20:20" ht="26.25">
      <c r="T4704" s="85" ph="1"/>
    </row>
    <row r="4705" spans="20:20" ht="26.25">
      <c r="T4705" s="85" ph="1"/>
    </row>
    <row r="4706" spans="20:20" ht="26.25">
      <c r="T4706" s="85" ph="1"/>
    </row>
    <row r="4707" spans="20:20" ht="26.25">
      <c r="T4707" s="85" ph="1"/>
    </row>
    <row r="4708" spans="20:20" ht="26.25">
      <c r="T4708" s="85" ph="1"/>
    </row>
    <row r="4709" spans="20:20" ht="26.25">
      <c r="T4709" s="85" ph="1"/>
    </row>
    <row r="4710" spans="20:20" ht="26.25">
      <c r="T4710" s="85" ph="1"/>
    </row>
    <row r="4711" spans="20:20" ht="26.25">
      <c r="T4711" s="85" ph="1"/>
    </row>
    <row r="4712" spans="20:20" ht="26.25">
      <c r="T4712" s="85" ph="1"/>
    </row>
    <row r="4713" spans="20:20" ht="26.25">
      <c r="T4713" s="85" ph="1"/>
    </row>
    <row r="4714" spans="20:20" ht="26.25">
      <c r="T4714" s="85" ph="1"/>
    </row>
    <row r="4715" spans="20:20" ht="26.25">
      <c r="T4715" s="85" ph="1"/>
    </row>
    <row r="4716" spans="20:20" ht="26.25">
      <c r="T4716" s="85" ph="1"/>
    </row>
    <row r="4717" spans="20:20" ht="26.25">
      <c r="T4717" s="85" ph="1"/>
    </row>
    <row r="4718" spans="20:20" ht="26.25">
      <c r="T4718" s="85" ph="1"/>
    </row>
    <row r="4719" spans="20:20" ht="26.25">
      <c r="T4719" s="85" ph="1"/>
    </row>
    <row r="4720" spans="20:20" ht="26.25">
      <c r="T4720" s="85" ph="1"/>
    </row>
    <row r="4721" spans="20:20" ht="26.25">
      <c r="T4721" s="85" ph="1"/>
    </row>
    <row r="4722" spans="20:20" ht="26.25">
      <c r="T4722" s="85" ph="1"/>
    </row>
    <row r="4723" spans="20:20" ht="26.25">
      <c r="T4723" s="85" ph="1"/>
    </row>
    <row r="4724" spans="20:20" ht="26.25">
      <c r="T4724" s="85" ph="1"/>
    </row>
    <row r="4725" spans="20:20" ht="26.25">
      <c r="T4725" s="85" ph="1"/>
    </row>
    <row r="4726" spans="20:20" ht="26.25">
      <c r="T4726" s="85" ph="1"/>
    </row>
    <row r="4727" spans="20:20" ht="26.25">
      <c r="T4727" s="85" ph="1"/>
    </row>
    <row r="4728" spans="20:20" ht="26.25">
      <c r="T4728" s="85" ph="1"/>
    </row>
    <row r="4729" spans="20:20" ht="26.25">
      <c r="T4729" s="85" ph="1"/>
    </row>
    <row r="4730" spans="20:20" ht="26.25">
      <c r="T4730" s="85" ph="1"/>
    </row>
    <row r="4731" spans="20:20" ht="26.25">
      <c r="T4731" s="85" ph="1"/>
    </row>
    <row r="4732" spans="20:20" ht="26.25">
      <c r="T4732" s="85" ph="1"/>
    </row>
    <row r="4733" spans="20:20" ht="26.25">
      <c r="T4733" s="85" ph="1"/>
    </row>
    <row r="4734" spans="20:20" ht="26.25">
      <c r="T4734" s="85" ph="1"/>
    </row>
    <row r="4735" spans="20:20" ht="26.25">
      <c r="T4735" s="85" ph="1"/>
    </row>
    <row r="4736" spans="20:20" ht="26.25">
      <c r="T4736" s="85" ph="1"/>
    </row>
    <row r="4737" spans="20:20" ht="26.25">
      <c r="T4737" s="85" ph="1"/>
    </row>
    <row r="4738" spans="20:20" ht="26.25">
      <c r="T4738" s="85" ph="1"/>
    </row>
    <row r="4739" spans="20:20" ht="26.25">
      <c r="T4739" s="85" ph="1"/>
    </row>
    <row r="4740" spans="20:20" ht="26.25">
      <c r="T4740" s="85" ph="1"/>
    </row>
    <row r="4741" spans="20:20" ht="26.25">
      <c r="T4741" s="85" ph="1"/>
    </row>
    <row r="4742" spans="20:20" ht="26.25">
      <c r="T4742" s="85" ph="1"/>
    </row>
    <row r="4743" spans="20:20" ht="26.25">
      <c r="T4743" s="85" ph="1"/>
    </row>
    <row r="4744" spans="20:20" ht="26.25">
      <c r="T4744" s="85" ph="1"/>
    </row>
    <row r="4745" spans="20:20" ht="26.25">
      <c r="T4745" s="85" ph="1"/>
    </row>
    <row r="4746" spans="20:20" ht="26.25">
      <c r="T4746" s="85" ph="1"/>
    </row>
    <row r="4747" spans="20:20" ht="26.25">
      <c r="T4747" s="85" ph="1"/>
    </row>
    <row r="4748" spans="20:20" ht="26.25">
      <c r="T4748" s="85" ph="1"/>
    </row>
    <row r="4749" spans="20:20" ht="26.25">
      <c r="T4749" s="85" ph="1"/>
    </row>
    <row r="4750" spans="20:20" ht="26.25">
      <c r="T4750" s="85" ph="1"/>
    </row>
    <row r="4751" spans="20:20" ht="26.25">
      <c r="T4751" s="85" ph="1"/>
    </row>
    <row r="4752" spans="20:20" ht="26.25">
      <c r="T4752" s="85" ph="1"/>
    </row>
    <row r="4753" spans="20:20" ht="26.25">
      <c r="T4753" s="85" ph="1"/>
    </row>
    <row r="4754" spans="20:20" ht="26.25">
      <c r="T4754" s="85" ph="1"/>
    </row>
    <row r="4755" spans="20:20" ht="26.25">
      <c r="T4755" s="85" ph="1"/>
    </row>
    <row r="4756" spans="20:20" ht="26.25">
      <c r="T4756" s="85" ph="1"/>
    </row>
    <row r="4757" spans="20:20" ht="26.25">
      <c r="T4757" s="85" ph="1"/>
    </row>
    <row r="4758" spans="20:20" ht="26.25">
      <c r="T4758" s="85" ph="1"/>
    </row>
    <row r="4759" spans="20:20" ht="26.25">
      <c r="T4759" s="85" ph="1"/>
    </row>
    <row r="4760" spans="20:20" ht="26.25">
      <c r="T4760" s="85" ph="1"/>
    </row>
    <row r="4761" spans="20:20" ht="26.25">
      <c r="T4761" s="85" ph="1"/>
    </row>
    <row r="4762" spans="20:20" ht="26.25">
      <c r="T4762" s="85" ph="1"/>
    </row>
    <row r="4763" spans="20:20" ht="26.25">
      <c r="T4763" s="85" ph="1"/>
    </row>
    <row r="4764" spans="20:20" ht="26.25">
      <c r="T4764" s="85" ph="1"/>
    </row>
    <row r="4765" spans="20:20" ht="26.25">
      <c r="T4765" s="85" ph="1"/>
    </row>
    <row r="4766" spans="20:20" ht="26.25">
      <c r="T4766" s="85" ph="1"/>
    </row>
    <row r="4767" spans="20:20" ht="26.25">
      <c r="T4767" s="85" ph="1"/>
    </row>
    <row r="4768" spans="20:20" ht="26.25">
      <c r="T4768" s="85" ph="1"/>
    </row>
    <row r="4769" spans="20:20" ht="26.25">
      <c r="T4769" s="85" ph="1"/>
    </row>
    <row r="4770" spans="20:20" ht="26.25">
      <c r="T4770" s="85" ph="1"/>
    </row>
    <row r="4771" spans="20:20" ht="26.25">
      <c r="T4771" s="85" ph="1"/>
    </row>
    <row r="4772" spans="20:20" ht="26.25">
      <c r="T4772" s="85" ph="1"/>
    </row>
    <row r="4773" spans="20:20" ht="26.25">
      <c r="T4773" s="85" ph="1"/>
    </row>
    <row r="4774" spans="20:20" ht="26.25">
      <c r="T4774" s="85" ph="1"/>
    </row>
    <row r="4775" spans="20:20" ht="26.25">
      <c r="T4775" s="85" ph="1"/>
    </row>
    <row r="4776" spans="20:20" ht="26.25">
      <c r="T4776" s="85" ph="1"/>
    </row>
    <row r="4777" spans="20:20" ht="26.25">
      <c r="T4777" s="85" ph="1"/>
    </row>
    <row r="4778" spans="20:20" ht="26.25">
      <c r="T4778" s="85" ph="1"/>
    </row>
    <row r="4779" spans="20:20" ht="26.25">
      <c r="T4779" s="85" ph="1"/>
    </row>
    <row r="4780" spans="20:20" ht="26.25">
      <c r="T4780" s="85" ph="1"/>
    </row>
    <row r="4781" spans="20:20" ht="26.25">
      <c r="T4781" s="85" ph="1"/>
    </row>
    <row r="4782" spans="20:20" ht="26.25">
      <c r="T4782" s="85" ph="1"/>
    </row>
    <row r="4783" spans="20:20" ht="26.25">
      <c r="T4783" s="85" ph="1"/>
    </row>
    <row r="4784" spans="20:20" ht="26.25">
      <c r="T4784" s="85" ph="1"/>
    </row>
    <row r="4785" spans="20:20" ht="26.25">
      <c r="T4785" s="85" ph="1"/>
    </row>
    <row r="4786" spans="20:20" ht="26.25">
      <c r="T4786" s="85" ph="1"/>
    </row>
    <row r="4787" spans="20:20" ht="26.25">
      <c r="T4787" s="85" ph="1"/>
    </row>
    <row r="4788" spans="20:20" ht="26.25">
      <c r="T4788" s="85" ph="1"/>
    </row>
    <row r="4789" spans="20:20" ht="26.25">
      <c r="T4789" s="85" ph="1"/>
    </row>
    <row r="4790" spans="20:20" ht="26.25">
      <c r="T4790" s="85" ph="1"/>
    </row>
    <row r="4791" spans="20:20" ht="26.25">
      <c r="T4791" s="85" ph="1"/>
    </row>
    <row r="4792" spans="20:20" ht="26.25">
      <c r="T4792" s="85" ph="1"/>
    </row>
    <row r="4793" spans="20:20" ht="26.25">
      <c r="T4793" s="85" ph="1"/>
    </row>
    <row r="4794" spans="20:20" ht="26.25">
      <c r="T4794" s="85" ph="1"/>
    </row>
    <row r="4795" spans="20:20" ht="26.25">
      <c r="T4795" s="85" ph="1"/>
    </row>
    <row r="4796" spans="20:20" ht="26.25">
      <c r="T4796" s="85" ph="1"/>
    </row>
    <row r="4797" spans="20:20" ht="26.25">
      <c r="T4797" s="85" ph="1"/>
    </row>
    <row r="4798" spans="20:20" ht="26.25">
      <c r="T4798" s="85" ph="1"/>
    </row>
    <row r="4799" spans="20:20" ht="26.25">
      <c r="T4799" s="85" ph="1"/>
    </row>
    <row r="4800" spans="20:20" ht="26.25">
      <c r="T4800" s="85" ph="1"/>
    </row>
    <row r="4801" spans="20:20" ht="26.25">
      <c r="T4801" s="85" ph="1"/>
    </row>
    <row r="4802" spans="20:20" ht="26.25">
      <c r="T4802" s="85" ph="1"/>
    </row>
    <row r="4803" spans="20:20" ht="26.25">
      <c r="T4803" s="85" ph="1"/>
    </row>
    <row r="4804" spans="20:20" ht="26.25">
      <c r="T4804" s="85" ph="1"/>
    </row>
    <row r="4805" spans="20:20" ht="26.25">
      <c r="T4805" s="85" ph="1"/>
    </row>
    <row r="4806" spans="20:20" ht="26.25">
      <c r="T4806" s="85" ph="1"/>
    </row>
    <row r="4807" spans="20:20" ht="26.25">
      <c r="T4807" s="85" ph="1"/>
    </row>
    <row r="4808" spans="20:20" ht="26.25">
      <c r="T4808" s="85" ph="1"/>
    </row>
    <row r="4809" spans="20:20" ht="26.25">
      <c r="T4809" s="85" ph="1"/>
    </row>
    <row r="4810" spans="20:20" ht="26.25">
      <c r="T4810" s="85" ph="1"/>
    </row>
    <row r="4811" spans="20:20" ht="26.25">
      <c r="T4811" s="85" ph="1"/>
    </row>
    <row r="4812" spans="20:20" ht="26.25">
      <c r="T4812" s="85" ph="1"/>
    </row>
    <row r="4813" spans="20:20" ht="26.25">
      <c r="T4813" s="85" ph="1"/>
    </row>
    <row r="4814" spans="20:20" ht="26.25">
      <c r="T4814" s="85" ph="1"/>
    </row>
    <row r="4815" spans="20:20" ht="26.25">
      <c r="T4815" s="85" ph="1"/>
    </row>
    <row r="4816" spans="20:20" ht="26.25">
      <c r="T4816" s="85" ph="1"/>
    </row>
    <row r="4817" spans="20:20" ht="26.25">
      <c r="T4817" s="85" ph="1"/>
    </row>
    <row r="4818" spans="20:20" ht="26.25">
      <c r="T4818" s="85" ph="1"/>
    </row>
    <row r="4819" spans="20:20" ht="26.25">
      <c r="T4819" s="85" ph="1"/>
    </row>
    <row r="4820" spans="20:20" ht="26.25">
      <c r="T4820" s="85" ph="1"/>
    </row>
    <row r="4821" spans="20:20" ht="26.25">
      <c r="T4821" s="85" ph="1"/>
    </row>
    <row r="4822" spans="20:20" ht="26.25">
      <c r="T4822" s="85" ph="1"/>
    </row>
    <row r="4823" spans="20:20" ht="26.25">
      <c r="T4823" s="85" ph="1"/>
    </row>
    <row r="4824" spans="20:20" ht="26.25">
      <c r="T4824" s="85" ph="1"/>
    </row>
    <row r="4825" spans="20:20" ht="26.25">
      <c r="T4825" s="85" ph="1"/>
    </row>
    <row r="4826" spans="20:20" ht="26.25">
      <c r="T4826" s="85" ph="1"/>
    </row>
    <row r="4827" spans="20:20" ht="26.25">
      <c r="T4827" s="85" ph="1"/>
    </row>
    <row r="4828" spans="20:20" ht="26.25">
      <c r="T4828" s="85" ph="1"/>
    </row>
    <row r="4829" spans="20:20" ht="26.25">
      <c r="T4829" s="85" ph="1"/>
    </row>
    <row r="4830" spans="20:20" ht="26.25">
      <c r="T4830" s="85" ph="1"/>
    </row>
    <row r="4831" spans="20:20" ht="26.25">
      <c r="T4831" s="85" ph="1"/>
    </row>
    <row r="4832" spans="20:20" ht="26.25">
      <c r="T4832" s="85" ph="1"/>
    </row>
    <row r="4833" spans="20:20" ht="26.25">
      <c r="T4833" s="85" ph="1"/>
    </row>
    <row r="4834" spans="20:20" ht="26.25">
      <c r="T4834" s="85" ph="1"/>
    </row>
    <row r="4835" spans="20:20" ht="26.25">
      <c r="T4835" s="85" ph="1"/>
    </row>
    <row r="4836" spans="20:20" ht="26.25">
      <c r="T4836" s="85" ph="1"/>
    </row>
    <row r="4837" spans="20:20" ht="26.25">
      <c r="T4837" s="85" ph="1"/>
    </row>
    <row r="4838" spans="20:20" ht="26.25">
      <c r="T4838" s="85" ph="1"/>
    </row>
    <row r="4839" spans="20:20" ht="26.25">
      <c r="T4839" s="85" ph="1"/>
    </row>
    <row r="4840" spans="20:20" ht="26.25">
      <c r="T4840" s="85" ph="1"/>
    </row>
    <row r="4841" spans="20:20" ht="26.25">
      <c r="T4841" s="85" ph="1"/>
    </row>
    <row r="4842" spans="20:20" ht="26.25">
      <c r="T4842" s="85" ph="1"/>
    </row>
    <row r="4843" spans="20:20" ht="26.25">
      <c r="T4843" s="85" ph="1"/>
    </row>
    <row r="4844" spans="20:20" ht="26.25">
      <c r="T4844" s="85" ph="1"/>
    </row>
    <row r="4845" spans="20:20" ht="26.25">
      <c r="T4845" s="85" ph="1"/>
    </row>
    <row r="4846" spans="20:20" ht="26.25">
      <c r="T4846" s="85" ph="1"/>
    </row>
    <row r="4847" spans="20:20" ht="26.25">
      <c r="T4847" s="85" ph="1"/>
    </row>
    <row r="4848" spans="20:20" ht="26.25">
      <c r="T4848" s="85" ph="1"/>
    </row>
    <row r="4849" spans="20:20" ht="26.25">
      <c r="T4849" s="85" ph="1"/>
    </row>
    <row r="4850" spans="20:20" ht="26.25">
      <c r="T4850" s="85" ph="1"/>
    </row>
    <row r="4851" spans="20:20" ht="26.25">
      <c r="T4851" s="85" ph="1"/>
    </row>
    <row r="4852" spans="20:20" ht="26.25">
      <c r="T4852" s="85" ph="1"/>
    </row>
    <row r="4853" spans="20:20" ht="26.25">
      <c r="T4853" s="85" ph="1"/>
    </row>
    <row r="4854" spans="20:20" ht="26.25">
      <c r="T4854" s="85" ph="1"/>
    </row>
    <row r="4855" spans="20:20" ht="26.25">
      <c r="T4855" s="85" ph="1"/>
    </row>
    <row r="4856" spans="20:20" ht="26.25">
      <c r="T4856" s="85" ph="1"/>
    </row>
    <row r="4857" spans="20:20" ht="26.25">
      <c r="T4857" s="85" ph="1"/>
    </row>
    <row r="4858" spans="20:20" ht="26.25">
      <c r="T4858" s="85" ph="1"/>
    </row>
    <row r="4859" spans="20:20" ht="26.25">
      <c r="T4859" s="85" ph="1"/>
    </row>
    <row r="4860" spans="20:20" ht="26.25">
      <c r="T4860" s="85" ph="1"/>
    </row>
    <row r="4861" spans="20:20" ht="26.25">
      <c r="T4861" s="85" ph="1"/>
    </row>
    <row r="4862" spans="20:20" ht="26.25">
      <c r="T4862" s="85" ph="1"/>
    </row>
    <row r="4863" spans="20:20" ht="26.25">
      <c r="T4863" s="85" ph="1"/>
    </row>
    <row r="4864" spans="20:20" ht="26.25">
      <c r="T4864" s="85" ph="1"/>
    </row>
    <row r="4865" spans="20:20" ht="26.25">
      <c r="T4865" s="85" ph="1"/>
    </row>
    <row r="4866" spans="20:20" ht="26.25">
      <c r="T4866" s="85" ph="1"/>
    </row>
    <row r="4867" spans="20:20" ht="26.25">
      <c r="T4867" s="85" ph="1"/>
    </row>
    <row r="4868" spans="20:20" ht="26.25">
      <c r="T4868" s="85" ph="1"/>
    </row>
    <row r="4869" spans="20:20" ht="26.25">
      <c r="T4869" s="85" ph="1"/>
    </row>
    <row r="4870" spans="20:20" ht="26.25">
      <c r="T4870" s="85" ph="1"/>
    </row>
    <row r="4871" spans="20:20" ht="26.25">
      <c r="T4871" s="85" ph="1"/>
    </row>
    <row r="4872" spans="20:20" ht="26.25">
      <c r="T4872" s="85" ph="1"/>
    </row>
    <row r="4873" spans="20:20" ht="26.25">
      <c r="T4873" s="85" ph="1"/>
    </row>
    <row r="4874" spans="20:20" ht="26.25">
      <c r="T4874" s="85" ph="1"/>
    </row>
    <row r="4875" spans="20:20" ht="26.25">
      <c r="T4875" s="85" ph="1"/>
    </row>
    <row r="4876" spans="20:20" ht="26.25">
      <c r="T4876" s="85" ph="1"/>
    </row>
    <row r="4877" spans="20:20" ht="26.25">
      <c r="T4877" s="85" ph="1"/>
    </row>
    <row r="4878" spans="20:20" ht="26.25">
      <c r="T4878" s="85" ph="1"/>
    </row>
    <row r="4879" spans="20:20" ht="26.25">
      <c r="T4879" s="85" ph="1"/>
    </row>
    <row r="4880" spans="20:20" ht="26.25">
      <c r="T4880" s="85" ph="1"/>
    </row>
    <row r="4881" spans="20:20" ht="26.25">
      <c r="T4881" s="85" ph="1"/>
    </row>
    <row r="4882" spans="20:20" ht="26.25">
      <c r="T4882" s="85" ph="1"/>
    </row>
    <row r="4883" spans="20:20" ht="26.25">
      <c r="T4883" s="85" ph="1"/>
    </row>
    <row r="4884" spans="20:20" ht="26.25">
      <c r="T4884" s="85" ph="1"/>
    </row>
    <row r="4885" spans="20:20" ht="26.25">
      <c r="T4885" s="85" ph="1"/>
    </row>
    <row r="4886" spans="20:20" ht="26.25">
      <c r="T4886" s="85" ph="1"/>
    </row>
    <row r="4887" spans="20:20" ht="26.25">
      <c r="T4887" s="85" ph="1"/>
    </row>
    <row r="4888" spans="20:20" ht="26.25">
      <c r="T4888" s="85" ph="1"/>
    </row>
    <row r="4889" spans="20:20" ht="26.25">
      <c r="T4889" s="85" ph="1"/>
    </row>
    <row r="4890" spans="20:20" ht="26.25">
      <c r="T4890" s="85" ph="1"/>
    </row>
    <row r="4891" spans="20:20" ht="26.25">
      <c r="T4891" s="85" ph="1"/>
    </row>
    <row r="4892" spans="20:20" ht="26.25">
      <c r="T4892" s="85" ph="1"/>
    </row>
    <row r="4893" spans="20:20" ht="26.25">
      <c r="T4893" s="85" ph="1"/>
    </row>
    <row r="4894" spans="20:20" ht="26.25">
      <c r="T4894" s="85" ph="1"/>
    </row>
    <row r="4895" spans="20:20" ht="26.25">
      <c r="T4895" s="85" ph="1"/>
    </row>
    <row r="4896" spans="20:20" ht="26.25">
      <c r="T4896" s="85" ph="1"/>
    </row>
    <row r="4897" spans="20:20" ht="26.25">
      <c r="T4897" s="85" ph="1"/>
    </row>
    <row r="4898" spans="20:20" ht="26.25">
      <c r="T4898" s="85" ph="1"/>
    </row>
    <row r="4899" spans="20:20" ht="26.25">
      <c r="T4899" s="85" ph="1"/>
    </row>
    <row r="4900" spans="20:20" ht="26.25">
      <c r="T4900" s="85" ph="1"/>
    </row>
    <row r="4901" spans="20:20" ht="26.25">
      <c r="T4901" s="85" ph="1"/>
    </row>
    <row r="4902" spans="20:20" ht="26.25">
      <c r="T4902" s="85" ph="1"/>
    </row>
    <row r="4903" spans="20:20" ht="26.25">
      <c r="T4903" s="85" ph="1"/>
    </row>
    <row r="4904" spans="20:20" ht="26.25">
      <c r="T4904" s="85" ph="1"/>
    </row>
    <row r="4905" spans="20:20" ht="26.25">
      <c r="T4905" s="85" ph="1"/>
    </row>
    <row r="4906" spans="20:20" ht="26.25">
      <c r="T4906" s="85" ph="1"/>
    </row>
    <row r="4907" spans="20:20" ht="26.25">
      <c r="T4907" s="85" ph="1"/>
    </row>
    <row r="4908" spans="20:20" ht="26.25">
      <c r="T4908" s="85" ph="1"/>
    </row>
    <row r="4909" spans="20:20" ht="26.25">
      <c r="T4909" s="85" ph="1"/>
    </row>
    <row r="4910" spans="20:20" ht="26.25">
      <c r="T4910" s="85" ph="1"/>
    </row>
    <row r="4911" spans="20:20" ht="26.25">
      <c r="T4911" s="85" ph="1"/>
    </row>
    <row r="4912" spans="20:20" ht="26.25">
      <c r="T4912" s="85" ph="1"/>
    </row>
    <row r="4913" spans="20:20" ht="26.25">
      <c r="T4913" s="85" ph="1"/>
    </row>
    <row r="4914" spans="20:20" ht="26.25">
      <c r="T4914" s="85" ph="1"/>
    </row>
    <row r="4915" spans="20:20" ht="26.25">
      <c r="T4915" s="85" ph="1"/>
    </row>
    <row r="4916" spans="20:20" ht="26.25">
      <c r="T4916" s="85" ph="1"/>
    </row>
    <row r="4917" spans="20:20" ht="26.25">
      <c r="T4917" s="85" ph="1"/>
    </row>
    <row r="4918" spans="20:20" ht="26.25">
      <c r="T4918" s="85" ph="1"/>
    </row>
    <row r="4919" spans="20:20" ht="26.25">
      <c r="T4919" s="85" ph="1"/>
    </row>
    <row r="4920" spans="20:20" ht="26.25">
      <c r="T4920" s="85" ph="1"/>
    </row>
    <row r="4921" spans="20:20" ht="26.25">
      <c r="T4921" s="85" ph="1"/>
    </row>
    <row r="4922" spans="20:20" ht="26.25">
      <c r="T4922" s="85" ph="1"/>
    </row>
    <row r="4923" spans="20:20" ht="26.25">
      <c r="T4923" s="85" ph="1"/>
    </row>
    <row r="4924" spans="20:20" ht="26.25">
      <c r="T4924" s="85" ph="1"/>
    </row>
    <row r="4925" spans="20:20" ht="26.25">
      <c r="T4925" s="85" ph="1"/>
    </row>
    <row r="4926" spans="20:20" ht="26.25">
      <c r="T4926" s="85" ph="1"/>
    </row>
    <row r="4927" spans="20:20" ht="26.25">
      <c r="T4927" s="85" ph="1"/>
    </row>
    <row r="4928" spans="20:20" ht="26.25">
      <c r="T4928" s="85" ph="1"/>
    </row>
    <row r="4929" spans="20:20" ht="26.25">
      <c r="T4929" s="85" ph="1"/>
    </row>
    <row r="4930" spans="20:20" ht="26.25">
      <c r="T4930" s="85" ph="1"/>
    </row>
    <row r="4931" spans="20:20" ht="26.25">
      <c r="T4931" s="85" ph="1"/>
    </row>
    <row r="4932" spans="20:20" ht="26.25">
      <c r="T4932" s="85" ph="1"/>
    </row>
    <row r="4933" spans="20:20" ht="26.25">
      <c r="T4933" s="85" ph="1"/>
    </row>
    <row r="4934" spans="20:20" ht="26.25">
      <c r="T4934" s="85" ph="1"/>
    </row>
    <row r="4935" spans="20:20" ht="26.25">
      <c r="T4935" s="85" ph="1"/>
    </row>
    <row r="4936" spans="20:20" ht="26.25">
      <c r="T4936" s="85" ph="1"/>
    </row>
    <row r="4937" spans="20:20" ht="26.25">
      <c r="T4937" s="85" ph="1"/>
    </row>
    <row r="4938" spans="20:20" ht="26.25">
      <c r="T4938" s="85" ph="1"/>
    </row>
    <row r="4939" spans="20:20" ht="26.25">
      <c r="T4939" s="85" ph="1"/>
    </row>
    <row r="4940" spans="20:20" ht="26.25">
      <c r="T4940" s="85" ph="1"/>
    </row>
    <row r="4941" spans="20:20" ht="26.25">
      <c r="T4941" s="85" ph="1"/>
    </row>
    <row r="4942" spans="20:20" ht="26.25">
      <c r="T4942" s="85" ph="1"/>
    </row>
    <row r="4943" spans="20:20" ht="26.25">
      <c r="T4943" s="85" ph="1"/>
    </row>
    <row r="4944" spans="20:20" ht="26.25">
      <c r="T4944" s="85" ph="1"/>
    </row>
    <row r="4945" spans="20:20" ht="26.25">
      <c r="T4945" s="85" ph="1"/>
    </row>
    <row r="4946" spans="20:20" ht="26.25">
      <c r="T4946" s="85" ph="1"/>
    </row>
    <row r="4947" spans="20:20" ht="26.25">
      <c r="T4947" s="85" ph="1"/>
    </row>
    <row r="4948" spans="20:20" ht="26.25">
      <c r="T4948" s="85" ph="1"/>
    </row>
    <row r="4949" spans="20:20" ht="26.25">
      <c r="T4949" s="85" ph="1"/>
    </row>
    <row r="4950" spans="20:20" ht="26.25">
      <c r="T4950" s="85" ph="1"/>
    </row>
    <row r="4951" spans="20:20" ht="26.25">
      <c r="T4951" s="85" ph="1"/>
    </row>
    <row r="4952" spans="20:20" ht="26.25">
      <c r="T4952" s="85" ph="1"/>
    </row>
    <row r="4953" spans="20:20" ht="26.25">
      <c r="T4953" s="85" ph="1"/>
    </row>
    <row r="4954" spans="20:20" ht="26.25">
      <c r="T4954" s="85" ph="1"/>
    </row>
    <row r="4955" spans="20:20" ht="26.25">
      <c r="T4955" s="85" ph="1"/>
    </row>
    <row r="4956" spans="20:20" ht="26.25">
      <c r="T4956" s="85" ph="1"/>
    </row>
    <row r="4957" spans="20:20" ht="26.25">
      <c r="T4957" s="85" ph="1"/>
    </row>
    <row r="4958" spans="20:20" ht="26.25">
      <c r="T4958" s="85" ph="1"/>
    </row>
    <row r="4959" spans="20:20" ht="26.25">
      <c r="T4959" s="85" ph="1"/>
    </row>
    <row r="4960" spans="20:20" ht="26.25">
      <c r="T4960" s="85" ph="1"/>
    </row>
    <row r="4961" spans="20:20" ht="26.25">
      <c r="T4961" s="85" ph="1"/>
    </row>
    <row r="4962" spans="20:20" ht="26.25">
      <c r="T4962" s="85" ph="1"/>
    </row>
    <row r="4963" spans="20:20" ht="26.25">
      <c r="T4963" s="85" ph="1"/>
    </row>
    <row r="4964" spans="20:20" ht="26.25">
      <c r="T4964" s="85" ph="1"/>
    </row>
    <row r="4965" spans="20:20" ht="26.25">
      <c r="T4965" s="85" ph="1"/>
    </row>
    <row r="4966" spans="20:20" ht="26.25">
      <c r="T4966" s="85" ph="1"/>
    </row>
    <row r="4967" spans="20:20" ht="26.25">
      <c r="T4967" s="85" ph="1"/>
    </row>
    <row r="4968" spans="20:20" ht="26.25">
      <c r="T4968" s="85" ph="1"/>
    </row>
    <row r="4969" spans="20:20" ht="26.25">
      <c r="T4969" s="85" ph="1"/>
    </row>
    <row r="4970" spans="20:20" ht="26.25">
      <c r="T4970" s="85" ph="1"/>
    </row>
    <row r="4971" spans="20:20" ht="26.25">
      <c r="T4971" s="85" ph="1"/>
    </row>
    <row r="4972" spans="20:20" ht="26.25">
      <c r="T4972" s="85" ph="1"/>
    </row>
    <row r="4973" spans="20:20" ht="26.25">
      <c r="T4973" s="85" ph="1"/>
    </row>
    <row r="4974" spans="20:20" ht="26.25">
      <c r="T4974" s="85" ph="1"/>
    </row>
    <row r="4975" spans="20:20" ht="26.25">
      <c r="T4975" s="85" ph="1"/>
    </row>
    <row r="4976" spans="20:20" ht="26.25">
      <c r="T4976" s="85" ph="1"/>
    </row>
    <row r="4977" spans="20:20" ht="26.25">
      <c r="T4977" s="85" ph="1"/>
    </row>
    <row r="4978" spans="20:20" ht="26.25">
      <c r="T4978" s="85" ph="1"/>
    </row>
    <row r="4979" spans="20:20" ht="26.25">
      <c r="T4979" s="85" ph="1"/>
    </row>
    <row r="4980" spans="20:20" ht="26.25">
      <c r="T4980" s="85" ph="1"/>
    </row>
    <row r="4981" spans="20:20" ht="26.25">
      <c r="T4981" s="85" ph="1"/>
    </row>
    <row r="4982" spans="20:20" ht="26.25">
      <c r="T4982" s="85" ph="1"/>
    </row>
    <row r="4983" spans="20:20" ht="26.25">
      <c r="T4983" s="85" ph="1"/>
    </row>
    <row r="4984" spans="20:20" ht="26.25">
      <c r="T4984" s="85" ph="1"/>
    </row>
    <row r="4985" spans="20:20" ht="26.25">
      <c r="T4985" s="85" ph="1"/>
    </row>
    <row r="4986" spans="20:20" ht="26.25">
      <c r="T4986" s="85" ph="1"/>
    </row>
    <row r="4987" spans="20:20" ht="26.25">
      <c r="T4987" s="85" ph="1"/>
    </row>
    <row r="4988" spans="20:20" ht="26.25">
      <c r="T4988" s="85" ph="1"/>
    </row>
    <row r="4989" spans="20:20" ht="26.25">
      <c r="T4989" s="85" ph="1"/>
    </row>
    <row r="4990" spans="20:20" ht="26.25">
      <c r="T4990" s="85" ph="1"/>
    </row>
    <row r="4991" spans="20:20" ht="26.25">
      <c r="T4991" s="85" ph="1"/>
    </row>
    <row r="4992" spans="20:20" ht="26.25">
      <c r="T4992" s="85" ph="1"/>
    </row>
    <row r="4993" spans="20:20" ht="26.25">
      <c r="T4993" s="85" ph="1"/>
    </row>
    <row r="4994" spans="20:20" ht="26.25">
      <c r="T4994" s="85" ph="1"/>
    </row>
    <row r="4995" spans="20:20" ht="26.25">
      <c r="T4995" s="85" ph="1"/>
    </row>
    <row r="4996" spans="20:20" ht="26.25">
      <c r="T4996" s="85" ph="1"/>
    </row>
    <row r="4997" spans="20:20" ht="26.25">
      <c r="T4997" s="85" ph="1"/>
    </row>
    <row r="4998" spans="20:20" ht="26.25">
      <c r="T4998" s="85" ph="1"/>
    </row>
    <row r="4999" spans="20:20" ht="26.25">
      <c r="T4999" s="85" ph="1"/>
    </row>
    <row r="5000" spans="20:20" ht="26.25">
      <c r="T5000" s="85" ph="1"/>
    </row>
    <row r="5001" spans="20:20" ht="26.25">
      <c r="T5001" s="85" ph="1"/>
    </row>
    <row r="5002" spans="20:20" ht="26.25">
      <c r="T5002" s="85" ph="1"/>
    </row>
    <row r="5003" spans="20:20" ht="26.25">
      <c r="T5003" s="85" ph="1"/>
    </row>
    <row r="5004" spans="20:20" ht="26.25">
      <c r="T5004" s="85" ph="1"/>
    </row>
    <row r="5005" spans="20:20" ht="26.25">
      <c r="T5005" s="85" ph="1"/>
    </row>
    <row r="5006" spans="20:20" ht="26.25">
      <c r="T5006" s="85" ph="1"/>
    </row>
    <row r="5007" spans="20:20" ht="26.25">
      <c r="T5007" s="85" ph="1"/>
    </row>
    <row r="5008" spans="20:20" ht="26.25">
      <c r="T5008" s="85" ph="1"/>
    </row>
    <row r="5009" spans="20:20" ht="26.25">
      <c r="T5009" s="85" ph="1"/>
    </row>
    <row r="5010" spans="20:20" ht="26.25">
      <c r="T5010" s="85" ph="1"/>
    </row>
    <row r="5011" spans="20:20" ht="26.25">
      <c r="T5011" s="85" ph="1"/>
    </row>
    <row r="5012" spans="20:20" ht="26.25">
      <c r="T5012" s="85" ph="1"/>
    </row>
    <row r="5013" spans="20:20" ht="26.25">
      <c r="T5013" s="85" ph="1"/>
    </row>
    <row r="5014" spans="20:20" ht="26.25">
      <c r="T5014" s="85" ph="1"/>
    </row>
    <row r="5015" spans="20:20" ht="26.25">
      <c r="T5015" s="85" ph="1"/>
    </row>
    <row r="5016" spans="20:20" ht="26.25">
      <c r="T5016" s="85" ph="1"/>
    </row>
    <row r="5017" spans="20:20" ht="26.25">
      <c r="T5017" s="85" ph="1"/>
    </row>
    <row r="5018" spans="20:20" ht="26.25">
      <c r="T5018" s="85" ph="1"/>
    </row>
    <row r="5019" spans="20:20" ht="26.25">
      <c r="T5019" s="85" ph="1"/>
    </row>
    <row r="5020" spans="20:20" ht="26.25">
      <c r="T5020" s="85" ph="1"/>
    </row>
    <row r="5021" spans="20:20" ht="26.25">
      <c r="T5021" s="85" ph="1"/>
    </row>
    <row r="5022" spans="20:20" ht="26.25">
      <c r="T5022" s="85" ph="1"/>
    </row>
    <row r="5023" spans="20:20" ht="26.25">
      <c r="T5023" s="85" ph="1"/>
    </row>
    <row r="5024" spans="20:20" ht="26.25">
      <c r="T5024" s="85" ph="1"/>
    </row>
    <row r="5025" spans="20:20" ht="26.25">
      <c r="T5025" s="85" ph="1"/>
    </row>
    <row r="5026" spans="20:20" ht="26.25">
      <c r="T5026" s="85" ph="1"/>
    </row>
    <row r="5027" spans="20:20" ht="26.25">
      <c r="T5027" s="85" ph="1"/>
    </row>
    <row r="5028" spans="20:20" ht="26.25">
      <c r="T5028" s="85" ph="1"/>
    </row>
    <row r="5029" spans="20:20" ht="26.25">
      <c r="T5029" s="85" ph="1"/>
    </row>
    <row r="5030" spans="20:20" ht="26.25">
      <c r="T5030" s="85" ph="1"/>
    </row>
    <row r="5031" spans="20:20" ht="26.25">
      <c r="T5031" s="85" ph="1"/>
    </row>
    <row r="5032" spans="20:20" ht="26.25">
      <c r="T5032" s="85" ph="1"/>
    </row>
    <row r="5033" spans="20:20" ht="26.25">
      <c r="T5033" s="85" ph="1"/>
    </row>
    <row r="5034" spans="20:20" ht="26.25">
      <c r="T5034" s="85" ph="1"/>
    </row>
    <row r="5035" spans="20:20" ht="26.25">
      <c r="T5035" s="85" ph="1"/>
    </row>
    <row r="5036" spans="20:20" ht="26.25">
      <c r="T5036" s="85" ph="1"/>
    </row>
    <row r="5037" spans="20:20" ht="26.25">
      <c r="T5037" s="85" ph="1"/>
    </row>
    <row r="5038" spans="20:20" ht="26.25">
      <c r="T5038" s="85" ph="1"/>
    </row>
    <row r="5039" spans="20:20" ht="26.25">
      <c r="T5039" s="85" ph="1"/>
    </row>
    <row r="5040" spans="20:20" ht="26.25">
      <c r="T5040" s="85" ph="1"/>
    </row>
    <row r="5041" spans="20:20" ht="26.25">
      <c r="T5041" s="85" ph="1"/>
    </row>
    <row r="5042" spans="20:20" ht="26.25">
      <c r="T5042" s="85" ph="1"/>
    </row>
    <row r="5043" spans="20:20" ht="26.25">
      <c r="T5043" s="85" ph="1"/>
    </row>
    <row r="5044" spans="20:20" ht="26.25">
      <c r="T5044" s="85" ph="1"/>
    </row>
    <row r="5045" spans="20:20" ht="26.25">
      <c r="T5045" s="85" ph="1"/>
    </row>
    <row r="5046" spans="20:20" ht="26.25">
      <c r="T5046" s="85" ph="1"/>
    </row>
    <row r="5047" spans="20:20" ht="26.25">
      <c r="T5047" s="85" ph="1"/>
    </row>
    <row r="5048" spans="20:20" ht="26.25">
      <c r="T5048" s="85" ph="1"/>
    </row>
    <row r="5049" spans="20:20" ht="26.25">
      <c r="T5049" s="85" ph="1"/>
    </row>
    <row r="5050" spans="20:20" ht="26.25">
      <c r="T5050" s="85" ph="1"/>
    </row>
    <row r="5051" spans="20:20" ht="26.25">
      <c r="T5051" s="85" ph="1"/>
    </row>
    <row r="5052" spans="20:20" ht="26.25">
      <c r="T5052" s="85" ph="1"/>
    </row>
    <row r="5053" spans="20:20" ht="26.25">
      <c r="T5053" s="85" ph="1"/>
    </row>
    <row r="5054" spans="20:20" ht="26.25">
      <c r="T5054" s="85" ph="1"/>
    </row>
    <row r="5055" spans="20:20" ht="26.25">
      <c r="T5055" s="85" ph="1"/>
    </row>
    <row r="5056" spans="20:20" ht="26.25">
      <c r="T5056" s="85" ph="1"/>
    </row>
    <row r="5057" spans="20:20" ht="26.25">
      <c r="T5057" s="85" ph="1"/>
    </row>
    <row r="5058" spans="20:20" ht="26.25">
      <c r="T5058" s="85" ph="1"/>
    </row>
    <row r="5059" spans="20:20" ht="26.25">
      <c r="T5059" s="85" ph="1"/>
    </row>
    <row r="5060" spans="20:20" ht="26.25">
      <c r="T5060" s="85" ph="1"/>
    </row>
    <row r="5061" spans="20:20" ht="26.25">
      <c r="T5061" s="85" ph="1"/>
    </row>
    <row r="5062" spans="20:20" ht="26.25">
      <c r="T5062" s="85" ph="1"/>
    </row>
    <row r="5063" spans="20:20" ht="26.25">
      <c r="T5063" s="85" ph="1"/>
    </row>
    <row r="5064" spans="20:20" ht="26.25">
      <c r="T5064" s="85" ph="1"/>
    </row>
    <row r="5065" spans="20:20" ht="26.25">
      <c r="T5065" s="85" ph="1"/>
    </row>
    <row r="5066" spans="20:20" ht="26.25">
      <c r="T5066" s="85" ph="1"/>
    </row>
    <row r="5067" spans="20:20" ht="26.25">
      <c r="T5067" s="85" ph="1"/>
    </row>
    <row r="5068" spans="20:20" ht="26.25">
      <c r="T5068" s="85" ph="1"/>
    </row>
    <row r="5069" spans="20:20" ht="26.25">
      <c r="T5069" s="85" ph="1"/>
    </row>
    <row r="5070" spans="20:20" ht="26.25">
      <c r="T5070" s="85" ph="1"/>
    </row>
    <row r="5071" spans="20:20" ht="26.25">
      <c r="T5071" s="85" ph="1"/>
    </row>
    <row r="5072" spans="20:20" ht="26.25">
      <c r="T5072" s="85" ph="1"/>
    </row>
    <row r="5073" spans="20:20" ht="26.25">
      <c r="T5073" s="85" ph="1"/>
    </row>
    <row r="5074" spans="20:20" ht="26.25">
      <c r="T5074" s="85" ph="1"/>
    </row>
    <row r="5075" spans="20:20" ht="26.25">
      <c r="T5075" s="85" ph="1"/>
    </row>
    <row r="5076" spans="20:20" ht="26.25">
      <c r="T5076" s="85" ph="1"/>
    </row>
    <row r="5077" spans="20:20" ht="26.25">
      <c r="T5077" s="85" ph="1"/>
    </row>
    <row r="5078" spans="20:20" ht="26.25">
      <c r="T5078" s="85" ph="1"/>
    </row>
    <row r="5079" spans="20:20" ht="26.25">
      <c r="T5079" s="85" ph="1"/>
    </row>
    <row r="5080" spans="20:20" ht="26.25">
      <c r="T5080" s="85" ph="1"/>
    </row>
    <row r="5081" spans="20:20" ht="26.25">
      <c r="T5081" s="85" ph="1"/>
    </row>
    <row r="5082" spans="20:20" ht="26.25">
      <c r="T5082" s="85" ph="1"/>
    </row>
    <row r="5083" spans="20:20" ht="26.25">
      <c r="T5083" s="85" ph="1"/>
    </row>
    <row r="5084" spans="20:20" ht="26.25">
      <c r="T5084" s="85" ph="1"/>
    </row>
    <row r="5085" spans="20:20" ht="26.25">
      <c r="T5085" s="85" ph="1"/>
    </row>
    <row r="5086" spans="20:20" ht="26.25">
      <c r="T5086" s="85" ph="1"/>
    </row>
    <row r="5087" spans="20:20" ht="26.25">
      <c r="T5087" s="85" ph="1"/>
    </row>
    <row r="5088" spans="20:20" ht="26.25">
      <c r="T5088" s="85" ph="1"/>
    </row>
    <row r="5089" spans="20:20" ht="26.25">
      <c r="T5089" s="85" ph="1"/>
    </row>
    <row r="5090" spans="20:20" ht="26.25">
      <c r="T5090" s="85" ph="1"/>
    </row>
    <row r="5091" spans="20:20" ht="26.25">
      <c r="T5091" s="85" ph="1"/>
    </row>
    <row r="5092" spans="20:20" ht="26.25">
      <c r="T5092" s="85" ph="1"/>
    </row>
    <row r="5093" spans="20:20" ht="26.25">
      <c r="T5093" s="85" ph="1"/>
    </row>
    <row r="5094" spans="20:20" ht="26.25">
      <c r="T5094" s="85" ph="1"/>
    </row>
    <row r="5095" spans="20:20" ht="26.25">
      <c r="T5095" s="85" ph="1"/>
    </row>
    <row r="5096" spans="20:20" ht="26.25">
      <c r="T5096" s="85" ph="1"/>
    </row>
    <row r="5097" spans="20:20" ht="26.25">
      <c r="T5097" s="85" ph="1"/>
    </row>
    <row r="5098" spans="20:20" ht="26.25">
      <c r="T5098" s="85" ph="1"/>
    </row>
    <row r="5099" spans="20:20" ht="26.25">
      <c r="T5099" s="85" ph="1"/>
    </row>
    <row r="5100" spans="20:20" ht="26.25">
      <c r="T5100" s="85" ph="1"/>
    </row>
    <row r="5101" spans="20:20" ht="26.25">
      <c r="T5101" s="85" ph="1"/>
    </row>
    <row r="5102" spans="20:20" ht="26.25">
      <c r="T5102" s="85" ph="1"/>
    </row>
    <row r="5103" spans="20:20" ht="26.25">
      <c r="T5103" s="85" ph="1"/>
    </row>
    <row r="5104" spans="20:20" ht="26.25">
      <c r="T5104" s="85" ph="1"/>
    </row>
    <row r="5105" spans="20:20" ht="26.25">
      <c r="T5105" s="85" ph="1"/>
    </row>
    <row r="5106" spans="20:20" ht="26.25">
      <c r="T5106" s="85" ph="1"/>
    </row>
    <row r="5107" spans="20:20" ht="26.25">
      <c r="T5107" s="85" ph="1"/>
    </row>
    <row r="5108" spans="20:20" ht="26.25">
      <c r="T5108" s="85" ph="1"/>
    </row>
    <row r="5109" spans="20:20" ht="26.25">
      <c r="T5109" s="85" ph="1"/>
    </row>
    <row r="5110" spans="20:20" ht="26.25">
      <c r="T5110" s="85" ph="1"/>
    </row>
    <row r="5111" spans="20:20" ht="26.25">
      <c r="T5111" s="85" ph="1"/>
    </row>
    <row r="5112" spans="20:20" ht="26.25">
      <c r="T5112" s="85" ph="1"/>
    </row>
    <row r="5113" spans="20:20" ht="26.25">
      <c r="T5113" s="85" ph="1"/>
    </row>
    <row r="5114" spans="20:20" ht="26.25">
      <c r="T5114" s="85" ph="1"/>
    </row>
    <row r="5115" spans="20:20" ht="26.25">
      <c r="T5115" s="85" ph="1"/>
    </row>
    <row r="5116" spans="20:20" ht="26.25">
      <c r="T5116" s="85" ph="1"/>
    </row>
    <row r="5117" spans="20:20" ht="26.25">
      <c r="T5117" s="85" ph="1"/>
    </row>
    <row r="5118" spans="20:20" ht="26.25">
      <c r="T5118" s="85" ph="1"/>
    </row>
    <row r="5119" spans="20:20" ht="26.25">
      <c r="T5119" s="85" ph="1"/>
    </row>
    <row r="5120" spans="20:20" ht="26.25">
      <c r="T5120" s="85" ph="1"/>
    </row>
    <row r="5121" spans="20:20" ht="26.25">
      <c r="T5121" s="85" ph="1"/>
    </row>
    <row r="5122" spans="20:20" ht="26.25">
      <c r="T5122" s="85" ph="1"/>
    </row>
    <row r="5123" spans="20:20" ht="26.25">
      <c r="T5123" s="85" ph="1"/>
    </row>
    <row r="5124" spans="20:20" ht="26.25">
      <c r="T5124" s="85" ph="1"/>
    </row>
    <row r="5125" spans="20:20" ht="26.25">
      <c r="T5125" s="85" ph="1"/>
    </row>
    <row r="5126" spans="20:20" ht="26.25">
      <c r="T5126" s="85" ph="1"/>
    </row>
    <row r="5127" spans="20:20" ht="26.25">
      <c r="T5127" s="85" ph="1"/>
    </row>
    <row r="5128" spans="20:20" ht="26.25">
      <c r="T5128" s="85" ph="1"/>
    </row>
    <row r="5129" spans="20:20" ht="26.25">
      <c r="T5129" s="85" ph="1"/>
    </row>
    <row r="5130" spans="20:20" ht="26.25">
      <c r="T5130" s="85" ph="1"/>
    </row>
    <row r="5131" spans="20:20" ht="26.25">
      <c r="T5131" s="85" ph="1"/>
    </row>
    <row r="5132" spans="20:20" ht="26.25">
      <c r="T5132" s="85" ph="1"/>
    </row>
    <row r="5133" spans="20:20" ht="26.25">
      <c r="T5133" s="85" ph="1"/>
    </row>
    <row r="5134" spans="20:20" ht="26.25">
      <c r="T5134" s="85" ph="1"/>
    </row>
    <row r="5135" spans="20:20" ht="26.25">
      <c r="T5135" s="85" ph="1"/>
    </row>
    <row r="5136" spans="20:20" ht="26.25">
      <c r="T5136" s="85" ph="1"/>
    </row>
    <row r="5137" spans="20:20" ht="26.25">
      <c r="T5137" s="85" ph="1"/>
    </row>
    <row r="5138" spans="20:20" ht="26.25">
      <c r="T5138" s="85" ph="1"/>
    </row>
    <row r="5139" spans="20:20" ht="26.25">
      <c r="T5139" s="85" ph="1"/>
    </row>
    <row r="5140" spans="20:20" ht="26.25">
      <c r="T5140" s="85" ph="1"/>
    </row>
    <row r="5141" spans="20:20" ht="26.25">
      <c r="T5141" s="85" ph="1"/>
    </row>
    <row r="5142" spans="20:20" ht="26.25">
      <c r="T5142" s="85" ph="1"/>
    </row>
    <row r="5143" spans="20:20" ht="26.25">
      <c r="T5143" s="85" ph="1"/>
    </row>
    <row r="5144" spans="20:20" ht="26.25">
      <c r="T5144" s="85" ph="1"/>
    </row>
    <row r="5145" spans="20:20" ht="26.25">
      <c r="T5145" s="85" ph="1"/>
    </row>
    <row r="5146" spans="20:20" ht="26.25">
      <c r="T5146" s="85" ph="1"/>
    </row>
    <row r="5147" spans="20:20" ht="26.25">
      <c r="T5147" s="85" ph="1"/>
    </row>
    <row r="5148" spans="20:20" ht="26.25">
      <c r="T5148" s="85" ph="1"/>
    </row>
    <row r="5149" spans="20:20" ht="26.25">
      <c r="T5149" s="85" ph="1"/>
    </row>
    <row r="5150" spans="20:20" ht="26.25">
      <c r="T5150" s="85" ph="1"/>
    </row>
    <row r="5151" spans="20:20" ht="26.25">
      <c r="T5151" s="85" ph="1"/>
    </row>
    <row r="5152" spans="20:20" ht="26.25">
      <c r="T5152" s="85" ph="1"/>
    </row>
    <row r="5153" spans="20:20" ht="26.25">
      <c r="T5153" s="85" ph="1"/>
    </row>
    <row r="5154" spans="20:20" ht="26.25">
      <c r="T5154" s="85" ph="1"/>
    </row>
    <row r="5155" spans="20:20" ht="26.25">
      <c r="T5155" s="85" ph="1"/>
    </row>
    <row r="5156" spans="20:20" ht="26.25">
      <c r="T5156" s="85" ph="1"/>
    </row>
    <row r="5157" spans="20:20" ht="26.25">
      <c r="T5157" s="85" ph="1"/>
    </row>
    <row r="5158" spans="20:20" ht="26.25">
      <c r="T5158" s="85" ph="1"/>
    </row>
    <row r="5159" spans="20:20" ht="26.25">
      <c r="T5159" s="85" ph="1"/>
    </row>
    <row r="5160" spans="20:20" ht="26.25">
      <c r="T5160" s="85" ph="1"/>
    </row>
    <row r="5161" spans="20:20" ht="26.25">
      <c r="T5161" s="85" ph="1"/>
    </row>
    <row r="5162" spans="20:20" ht="26.25">
      <c r="T5162" s="85" ph="1"/>
    </row>
    <row r="5163" spans="20:20" ht="26.25">
      <c r="T5163" s="85" ph="1"/>
    </row>
    <row r="5164" spans="20:20" ht="26.25">
      <c r="T5164" s="85" ph="1"/>
    </row>
    <row r="5165" spans="20:20" ht="26.25">
      <c r="T5165" s="85" ph="1"/>
    </row>
    <row r="5166" spans="20:20" ht="26.25">
      <c r="T5166" s="85" ph="1"/>
    </row>
    <row r="5167" spans="20:20" ht="26.25">
      <c r="T5167" s="85" ph="1"/>
    </row>
    <row r="5168" spans="20:20" ht="26.25">
      <c r="T5168" s="85" ph="1"/>
    </row>
    <row r="5169" spans="20:20" ht="26.25">
      <c r="T5169" s="85" ph="1"/>
    </row>
    <row r="5170" spans="20:20" ht="26.25">
      <c r="T5170" s="85" ph="1"/>
    </row>
    <row r="5171" spans="20:20" ht="26.25">
      <c r="T5171" s="85" ph="1"/>
    </row>
    <row r="5172" spans="20:20" ht="26.25">
      <c r="T5172" s="85" ph="1"/>
    </row>
    <row r="5173" spans="20:20" ht="26.25">
      <c r="T5173" s="85" ph="1"/>
    </row>
    <row r="5174" spans="20:20" ht="26.25">
      <c r="T5174" s="85" ph="1"/>
    </row>
    <row r="5175" spans="20:20" ht="26.25">
      <c r="T5175" s="85" ph="1"/>
    </row>
    <row r="5176" spans="20:20" ht="26.25">
      <c r="T5176" s="85" ph="1"/>
    </row>
    <row r="5177" spans="20:20" ht="26.25">
      <c r="T5177" s="85" ph="1"/>
    </row>
    <row r="5178" spans="20:20" ht="26.25">
      <c r="T5178" s="85" ph="1"/>
    </row>
    <row r="5179" spans="20:20" ht="26.25">
      <c r="T5179" s="85" ph="1"/>
    </row>
    <row r="5180" spans="20:20" ht="26.25">
      <c r="T5180" s="85" ph="1"/>
    </row>
    <row r="5181" spans="20:20" ht="26.25">
      <c r="T5181" s="85" ph="1"/>
    </row>
    <row r="5182" spans="20:20" ht="26.25">
      <c r="T5182" s="85" ph="1"/>
    </row>
    <row r="5183" spans="20:20" ht="26.25">
      <c r="T5183" s="85" ph="1"/>
    </row>
    <row r="5184" spans="20:20" ht="26.25">
      <c r="T5184" s="85" ph="1"/>
    </row>
    <row r="5185" spans="20:20" ht="26.25">
      <c r="T5185" s="85" ph="1"/>
    </row>
    <row r="5186" spans="20:20" ht="26.25">
      <c r="T5186" s="85" ph="1"/>
    </row>
    <row r="5187" spans="20:20" ht="26.25">
      <c r="T5187" s="85" ph="1"/>
    </row>
    <row r="5188" spans="20:20" ht="26.25">
      <c r="T5188" s="85" ph="1"/>
    </row>
    <row r="5189" spans="20:20" ht="26.25">
      <c r="T5189" s="85" ph="1"/>
    </row>
    <row r="5190" spans="20:20" ht="26.25">
      <c r="T5190" s="85" ph="1"/>
    </row>
    <row r="5191" spans="20:20" ht="26.25">
      <c r="T5191" s="85" ph="1"/>
    </row>
    <row r="5192" spans="20:20" ht="26.25">
      <c r="T5192" s="85" ph="1"/>
    </row>
    <row r="5193" spans="20:20" ht="26.25">
      <c r="T5193" s="85" ph="1"/>
    </row>
    <row r="5194" spans="20:20" ht="26.25">
      <c r="T5194" s="85" ph="1"/>
    </row>
    <row r="5195" spans="20:20" ht="26.25">
      <c r="T5195" s="85" ph="1"/>
    </row>
    <row r="5196" spans="20:20" ht="26.25">
      <c r="T5196" s="85" ph="1"/>
    </row>
    <row r="5197" spans="20:20" ht="26.25">
      <c r="T5197" s="85" ph="1"/>
    </row>
    <row r="5198" spans="20:20" ht="26.25">
      <c r="T5198" s="85" ph="1"/>
    </row>
    <row r="5199" spans="20:20" ht="26.25">
      <c r="T5199" s="85" ph="1"/>
    </row>
    <row r="5200" spans="20:20" ht="26.25">
      <c r="T5200" s="85" ph="1"/>
    </row>
    <row r="5201" spans="20:20" ht="26.25">
      <c r="T5201" s="85" ph="1"/>
    </row>
    <row r="5202" spans="20:20" ht="26.25">
      <c r="T5202" s="85" ph="1"/>
    </row>
    <row r="5203" spans="20:20" ht="26.25">
      <c r="T5203" s="85" ph="1"/>
    </row>
    <row r="5204" spans="20:20" ht="26.25">
      <c r="T5204" s="85" ph="1"/>
    </row>
    <row r="5205" spans="20:20" ht="26.25">
      <c r="T5205" s="85" ph="1"/>
    </row>
    <row r="5206" spans="20:20" ht="26.25">
      <c r="T5206" s="85" ph="1"/>
    </row>
    <row r="5207" spans="20:20" ht="26.25">
      <c r="T5207" s="85" ph="1"/>
    </row>
    <row r="5208" spans="20:20" ht="26.25">
      <c r="T5208" s="85" ph="1"/>
    </row>
    <row r="5209" spans="20:20" ht="26.25">
      <c r="T5209" s="85" ph="1"/>
    </row>
    <row r="5210" spans="20:20" ht="26.25">
      <c r="T5210" s="85" ph="1"/>
    </row>
    <row r="5211" spans="20:20" ht="26.25">
      <c r="T5211" s="85" ph="1"/>
    </row>
    <row r="5212" spans="20:20" ht="26.25">
      <c r="T5212" s="85" ph="1"/>
    </row>
    <row r="5213" spans="20:20" ht="26.25">
      <c r="T5213" s="85" ph="1"/>
    </row>
    <row r="5214" spans="20:20" ht="26.25">
      <c r="T5214" s="85" ph="1"/>
    </row>
    <row r="5215" spans="20:20" ht="26.25">
      <c r="T5215" s="85" ph="1"/>
    </row>
    <row r="5216" spans="20:20" ht="26.25">
      <c r="T5216" s="85" ph="1"/>
    </row>
    <row r="5217" spans="20:20" ht="26.25">
      <c r="T5217" s="85" ph="1"/>
    </row>
    <row r="5218" spans="20:20" ht="26.25">
      <c r="T5218" s="85" ph="1"/>
    </row>
    <row r="5219" spans="20:20" ht="26.25">
      <c r="T5219" s="85" ph="1"/>
    </row>
    <row r="5220" spans="20:20" ht="26.25">
      <c r="T5220" s="85" ph="1"/>
    </row>
    <row r="5221" spans="20:20" ht="26.25">
      <c r="T5221" s="85" ph="1"/>
    </row>
    <row r="5222" spans="20:20" ht="26.25">
      <c r="T5222" s="85" ph="1"/>
    </row>
    <row r="5223" spans="20:20" ht="26.25">
      <c r="T5223" s="85" ph="1"/>
    </row>
    <row r="5224" spans="20:20" ht="26.25">
      <c r="T5224" s="85" ph="1"/>
    </row>
    <row r="5225" spans="20:20" ht="26.25">
      <c r="T5225" s="85" ph="1"/>
    </row>
    <row r="5226" spans="20:20" ht="26.25">
      <c r="T5226" s="85" ph="1"/>
    </row>
    <row r="5227" spans="20:20" ht="26.25">
      <c r="T5227" s="85" ph="1"/>
    </row>
    <row r="5228" spans="20:20" ht="26.25">
      <c r="T5228" s="85" ph="1"/>
    </row>
    <row r="5229" spans="20:20" ht="26.25">
      <c r="T5229" s="85" ph="1"/>
    </row>
    <row r="5230" spans="20:20" ht="26.25">
      <c r="T5230" s="85" ph="1"/>
    </row>
    <row r="5231" spans="20:20" ht="26.25">
      <c r="T5231" s="85" ph="1"/>
    </row>
    <row r="5232" spans="20:20" ht="26.25">
      <c r="T5232" s="85" ph="1"/>
    </row>
    <row r="5233" spans="20:20" ht="26.25">
      <c r="T5233" s="85" ph="1"/>
    </row>
    <row r="5234" spans="20:20" ht="26.25">
      <c r="T5234" s="85" ph="1"/>
    </row>
    <row r="5235" spans="20:20" ht="26.25">
      <c r="T5235" s="85" ph="1"/>
    </row>
    <row r="5236" spans="20:20" ht="26.25">
      <c r="T5236" s="85" ph="1"/>
    </row>
    <row r="5237" spans="20:20" ht="26.25">
      <c r="T5237" s="85" ph="1"/>
    </row>
    <row r="5238" spans="20:20" ht="26.25">
      <c r="T5238" s="85" ph="1"/>
    </row>
    <row r="5239" spans="20:20" ht="26.25">
      <c r="T5239" s="85" ph="1"/>
    </row>
    <row r="5240" spans="20:20" ht="26.25">
      <c r="T5240" s="85" ph="1"/>
    </row>
    <row r="5241" spans="20:20" ht="26.25">
      <c r="T5241" s="85" ph="1"/>
    </row>
    <row r="5242" spans="20:20" ht="26.25">
      <c r="T5242" s="85" ph="1"/>
    </row>
    <row r="5243" spans="20:20" ht="26.25">
      <c r="T5243" s="85" ph="1"/>
    </row>
    <row r="5244" spans="20:20" ht="26.25">
      <c r="T5244" s="85" ph="1"/>
    </row>
    <row r="5245" spans="20:20" ht="26.25">
      <c r="T5245" s="85" ph="1"/>
    </row>
    <row r="5246" spans="20:20" ht="26.25">
      <c r="T5246" s="85" ph="1"/>
    </row>
    <row r="5247" spans="20:20" ht="26.25">
      <c r="T5247" s="85" ph="1"/>
    </row>
    <row r="5248" spans="20:20" ht="26.25">
      <c r="T5248" s="85" ph="1"/>
    </row>
    <row r="5249" spans="20:20" ht="26.25">
      <c r="T5249" s="85" ph="1"/>
    </row>
    <row r="5250" spans="20:20" ht="26.25">
      <c r="T5250" s="85" ph="1"/>
    </row>
    <row r="5251" spans="20:20" ht="26.25">
      <c r="T5251" s="85" ph="1"/>
    </row>
    <row r="5252" spans="20:20" ht="26.25">
      <c r="T5252" s="85" ph="1"/>
    </row>
    <row r="5253" spans="20:20" ht="26.25">
      <c r="T5253" s="85" ph="1"/>
    </row>
    <row r="5254" spans="20:20" ht="26.25">
      <c r="T5254" s="85" ph="1"/>
    </row>
    <row r="5255" spans="20:20" ht="26.25">
      <c r="T5255" s="85" ph="1"/>
    </row>
    <row r="5256" spans="20:20" ht="26.25">
      <c r="T5256" s="85" ph="1"/>
    </row>
    <row r="5257" spans="20:20" ht="26.25">
      <c r="T5257" s="85" ph="1"/>
    </row>
    <row r="5258" spans="20:20" ht="26.25">
      <c r="T5258" s="85" ph="1"/>
    </row>
    <row r="5259" spans="20:20" ht="26.25">
      <c r="T5259" s="85" ph="1"/>
    </row>
    <row r="5260" spans="20:20" ht="26.25">
      <c r="T5260" s="85" ph="1"/>
    </row>
    <row r="5261" spans="20:20" ht="26.25">
      <c r="T5261" s="85" ph="1"/>
    </row>
    <row r="5262" spans="20:20" ht="26.25">
      <c r="T5262" s="85" ph="1"/>
    </row>
    <row r="5263" spans="20:20" ht="26.25">
      <c r="T5263" s="85" ph="1"/>
    </row>
    <row r="5264" spans="20:20" ht="26.25">
      <c r="T5264" s="85" ph="1"/>
    </row>
    <row r="5265" spans="20:20" ht="26.25">
      <c r="T5265" s="85" ph="1"/>
    </row>
    <row r="5266" spans="20:20" ht="26.25">
      <c r="T5266" s="85" ph="1"/>
    </row>
    <row r="5267" spans="20:20" ht="26.25">
      <c r="T5267" s="85" ph="1"/>
    </row>
    <row r="5268" spans="20:20" ht="26.25">
      <c r="T5268" s="85" ph="1"/>
    </row>
    <row r="5269" spans="20:20" ht="26.25">
      <c r="T5269" s="85" ph="1"/>
    </row>
    <row r="5270" spans="20:20" ht="26.25">
      <c r="T5270" s="85" ph="1"/>
    </row>
    <row r="5271" spans="20:20" ht="26.25">
      <c r="T5271" s="85" ph="1"/>
    </row>
    <row r="5272" spans="20:20" ht="26.25">
      <c r="T5272" s="85" ph="1"/>
    </row>
    <row r="5273" spans="20:20" ht="26.25">
      <c r="T5273" s="85" ph="1"/>
    </row>
    <row r="5274" spans="20:20" ht="26.25">
      <c r="T5274" s="85" ph="1"/>
    </row>
    <row r="5275" spans="20:20" ht="26.25">
      <c r="T5275" s="85" ph="1"/>
    </row>
    <row r="5276" spans="20:20" ht="26.25">
      <c r="T5276" s="85" ph="1"/>
    </row>
    <row r="5277" spans="20:20" ht="26.25">
      <c r="T5277" s="85" ph="1"/>
    </row>
    <row r="5278" spans="20:20" ht="26.25">
      <c r="T5278" s="85" ph="1"/>
    </row>
    <row r="5279" spans="20:20" ht="26.25">
      <c r="T5279" s="85" ph="1"/>
    </row>
    <row r="5280" spans="20:20" ht="26.25">
      <c r="T5280" s="85" ph="1"/>
    </row>
    <row r="5281" spans="20:20" ht="26.25">
      <c r="T5281" s="85" ph="1"/>
    </row>
    <row r="5282" spans="20:20" ht="26.25">
      <c r="T5282" s="85" ph="1"/>
    </row>
    <row r="5283" spans="20:20" ht="26.25">
      <c r="T5283" s="85" ph="1"/>
    </row>
    <row r="5284" spans="20:20" ht="26.25">
      <c r="T5284" s="85" ph="1"/>
    </row>
    <row r="5285" spans="20:20" ht="26.25">
      <c r="T5285" s="85" ph="1"/>
    </row>
    <row r="5286" spans="20:20" ht="26.25">
      <c r="T5286" s="85" ph="1"/>
    </row>
    <row r="5287" spans="20:20" ht="26.25">
      <c r="T5287" s="85" ph="1"/>
    </row>
    <row r="5288" spans="20:20" ht="26.25">
      <c r="T5288" s="85" ph="1"/>
    </row>
    <row r="5289" spans="20:20" ht="26.25">
      <c r="T5289" s="85" ph="1"/>
    </row>
    <row r="5290" spans="20:20" ht="26.25">
      <c r="T5290" s="85" ph="1"/>
    </row>
    <row r="5291" spans="20:20" ht="26.25">
      <c r="T5291" s="85" ph="1"/>
    </row>
    <row r="5292" spans="20:20" ht="26.25">
      <c r="T5292" s="85" ph="1"/>
    </row>
    <row r="5293" spans="20:20" ht="26.25">
      <c r="T5293" s="85" ph="1"/>
    </row>
    <row r="5294" spans="20:20" ht="26.25">
      <c r="T5294" s="85" ph="1"/>
    </row>
    <row r="5295" spans="20:20" ht="26.25">
      <c r="T5295" s="85" ph="1"/>
    </row>
    <row r="5296" spans="20:20" ht="26.25">
      <c r="T5296" s="85" ph="1"/>
    </row>
    <row r="5297" spans="20:20" ht="26.25">
      <c r="T5297" s="85" ph="1"/>
    </row>
    <row r="5298" spans="20:20" ht="26.25">
      <c r="T5298" s="85" ph="1"/>
    </row>
    <row r="5299" spans="20:20" ht="26.25">
      <c r="T5299" s="85" ph="1"/>
    </row>
    <row r="5300" spans="20:20" ht="26.25">
      <c r="T5300" s="85" ph="1"/>
    </row>
    <row r="5301" spans="20:20" ht="26.25">
      <c r="T5301" s="85" ph="1"/>
    </row>
    <row r="5302" spans="20:20" ht="26.25">
      <c r="T5302" s="85" ph="1"/>
    </row>
    <row r="5303" spans="20:20" ht="26.25">
      <c r="T5303" s="85" ph="1"/>
    </row>
    <row r="5304" spans="20:20" ht="26.25">
      <c r="T5304" s="85" ph="1"/>
    </row>
    <row r="5305" spans="20:20" ht="26.25">
      <c r="T5305" s="85" ph="1"/>
    </row>
    <row r="5306" spans="20:20" ht="26.25">
      <c r="T5306" s="85" ph="1"/>
    </row>
    <row r="5307" spans="20:20" ht="26.25">
      <c r="T5307" s="85" ph="1"/>
    </row>
    <row r="5308" spans="20:20" ht="26.25">
      <c r="T5308" s="85" ph="1"/>
    </row>
    <row r="5309" spans="20:20" ht="26.25">
      <c r="T5309" s="85" ph="1"/>
    </row>
    <row r="5310" spans="20:20" ht="26.25">
      <c r="T5310" s="85" ph="1"/>
    </row>
    <row r="5311" spans="20:20" ht="26.25">
      <c r="T5311" s="85" ph="1"/>
    </row>
    <row r="5312" spans="20:20" ht="26.25">
      <c r="T5312" s="85" ph="1"/>
    </row>
    <row r="5313" spans="20:20" ht="26.25">
      <c r="T5313" s="85" ph="1"/>
    </row>
    <row r="5314" spans="20:20" ht="26.25">
      <c r="T5314" s="85" ph="1"/>
    </row>
    <row r="5315" spans="20:20" ht="26.25">
      <c r="T5315" s="85" ph="1"/>
    </row>
    <row r="5316" spans="20:20" ht="26.25">
      <c r="T5316" s="85" ph="1"/>
    </row>
    <row r="5317" spans="20:20" ht="26.25">
      <c r="T5317" s="85" ph="1"/>
    </row>
    <row r="5318" spans="20:20" ht="26.25">
      <c r="T5318" s="85" ph="1"/>
    </row>
    <row r="5319" spans="20:20" ht="26.25">
      <c r="T5319" s="85" ph="1"/>
    </row>
    <row r="5320" spans="20:20" ht="26.25">
      <c r="T5320" s="85" ph="1"/>
    </row>
    <row r="5321" spans="20:20" ht="26.25">
      <c r="T5321" s="85" ph="1"/>
    </row>
    <row r="5322" spans="20:20" ht="26.25">
      <c r="T5322" s="85" ph="1"/>
    </row>
    <row r="5323" spans="20:20" ht="26.25">
      <c r="T5323" s="85" ph="1"/>
    </row>
    <row r="5324" spans="20:20" ht="26.25">
      <c r="T5324" s="85" ph="1"/>
    </row>
    <row r="5325" spans="20:20" ht="26.25">
      <c r="T5325" s="85" ph="1"/>
    </row>
    <row r="5326" spans="20:20" ht="26.25">
      <c r="T5326" s="85" ph="1"/>
    </row>
    <row r="5327" spans="20:20" ht="26.25">
      <c r="T5327" s="85" ph="1"/>
    </row>
    <row r="5328" spans="20:20" ht="26.25">
      <c r="T5328" s="85" ph="1"/>
    </row>
    <row r="5329" spans="20:20" ht="26.25">
      <c r="T5329" s="85" ph="1"/>
    </row>
    <row r="5330" spans="20:20" ht="26.25">
      <c r="T5330" s="85" ph="1"/>
    </row>
    <row r="5331" spans="20:20" ht="26.25">
      <c r="T5331" s="85" ph="1"/>
    </row>
    <row r="5332" spans="20:20" ht="26.25">
      <c r="T5332" s="85" ph="1"/>
    </row>
    <row r="5333" spans="20:20" ht="26.25">
      <c r="T5333" s="85" ph="1"/>
    </row>
    <row r="5334" spans="20:20" ht="26.25">
      <c r="T5334" s="85" ph="1"/>
    </row>
    <row r="5335" spans="20:20" ht="26.25">
      <c r="T5335" s="85" ph="1"/>
    </row>
    <row r="5336" spans="20:20" ht="26.25">
      <c r="T5336" s="85" ph="1"/>
    </row>
    <row r="5337" spans="20:20" ht="26.25">
      <c r="T5337" s="85" ph="1"/>
    </row>
    <row r="5338" spans="20:20" ht="26.25">
      <c r="T5338" s="85" ph="1"/>
    </row>
    <row r="5339" spans="20:20" ht="26.25">
      <c r="T5339" s="85" ph="1"/>
    </row>
    <row r="5340" spans="20:20" ht="26.25">
      <c r="T5340" s="85" ph="1"/>
    </row>
    <row r="5341" spans="20:20" ht="26.25">
      <c r="T5341" s="85" ph="1"/>
    </row>
    <row r="5342" spans="20:20" ht="26.25">
      <c r="T5342" s="85" ph="1"/>
    </row>
    <row r="5343" spans="20:20" ht="26.25">
      <c r="T5343" s="85" ph="1"/>
    </row>
    <row r="5344" spans="20:20" ht="26.25">
      <c r="T5344" s="85" ph="1"/>
    </row>
    <row r="5345" spans="20:20" ht="26.25">
      <c r="T5345" s="85" ph="1"/>
    </row>
    <row r="5346" spans="20:20" ht="26.25">
      <c r="T5346" s="85" ph="1"/>
    </row>
    <row r="5347" spans="20:20" ht="26.25">
      <c r="T5347" s="85" ph="1"/>
    </row>
    <row r="5348" spans="20:20" ht="26.25">
      <c r="T5348" s="85" ph="1"/>
    </row>
    <row r="5349" spans="20:20" ht="26.25">
      <c r="T5349" s="85" ph="1"/>
    </row>
    <row r="5350" spans="20:20" ht="26.25">
      <c r="T5350" s="85" ph="1"/>
    </row>
    <row r="5351" spans="20:20" ht="26.25">
      <c r="T5351" s="85" ph="1"/>
    </row>
    <row r="5352" spans="20:20" ht="26.25">
      <c r="T5352" s="85" ph="1"/>
    </row>
    <row r="5353" spans="20:20" ht="26.25">
      <c r="T5353" s="85" ph="1"/>
    </row>
    <row r="5354" spans="20:20" ht="26.25">
      <c r="T5354" s="85" ph="1"/>
    </row>
    <row r="5355" spans="20:20" ht="26.25">
      <c r="T5355" s="85" ph="1"/>
    </row>
    <row r="5356" spans="20:20" ht="26.25">
      <c r="T5356" s="85" ph="1"/>
    </row>
    <row r="5357" spans="20:20" ht="26.25">
      <c r="T5357" s="85" ph="1"/>
    </row>
    <row r="5358" spans="20:20" ht="26.25">
      <c r="T5358" s="85" ph="1"/>
    </row>
    <row r="5359" spans="20:20" ht="26.25">
      <c r="T5359" s="85" ph="1"/>
    </row>
    <row r="5360" spans="20:20" ht="26.25">
      <c r="T5360" s="85" ph="1"/>
    </row>
    <row r="5361" spans="20:20" ht="26.25">
      <c r="T5361" s="85" ph="1"/>
    </row>
    <row r="5362" spans="20:20" ht="26.25">
      <c r="T5362" s="85" ph="1"/>
    </row>
    <row r="5363" spans="20:20" ht="26.25">
      <c r="T5363" s="85" ph="1"/>
    </row>
    <row r="5364" spans="20:20" ht="26.25">
      <c r="T5364" s="85" ph="1"/>
    </row>
    <row r="5365" spans="20:20" ht="26.25">
      <c r="T5365" s="85" ph="1"/>
    </row>
    <row r="5366" spans="20:20" ht="26.25">
      <c r="T5366" s="85" ph="1"/>
    </row>
    <row r="5367" spans="20:20" ht="26.25">
      <c r="T5367" s="85" ph="1"/>
    </row>
    <row r="5368" spans="20:20" ht="26.25">
      <c r="T5368" s="85" ph="1"/>
    </row>
    <row r="5369" spans="20:20" ht="26.25">
      <c r="T5369" s="85" ph="1"/>
    </row>
    <row r="5370" spans="20:20" ht="26.25">
      <c r="T5370" s="85" ph="1"/>
    </row>
    <row r="5371" spans="20:20" ht="26.25">
      <c r="T5371" s="85" ph="1"/>
    </row>
    <row r="5372" spans="20:20" ht="26.25">
      <c r="T5372" s="85" ph="1"/>
    </row>
    <row r="5373" spans="20:20" ht="26.25">
      <c r="T5373" s="85" ph="1"/>
    </row>
    <row r="5374" spans="20:20" ht="26.25">
      <c r="T5374" s="85" ph="1"/>
    </row>
    <row r="5375" spans="20:20" ht="26.25">
      <c r="T5375" s="85" ph="1"/>
    </row>
    <row r="5376" spans="20:20" ht="26.25">
      <c r="T5376" s="85" ph="1"/>
    </row>
    <row r="5377" spans="20:20" ht="26.25">
      <c r="T5377" s="85" ph="1"/>
    </row>
    <row r="5378" spans="20:20" ht="26.25">
      <c r="T5378" s="85" ph="1"/>
    </row>
    <row r="5379" spans="20:20" ht="26.25">
      <c r="T5379" s="85" ph="1"/>
    </row>
    <row r="5380" spans="20:20" ht="26.25">
      <c r="T5380" s="85" ph="1"/>
    </row>
    <row r="5381" spans="20:20" ht="26.25">
      <c r="T5381" s="85" ph="1"/>
    </row>
    <row r="5382" spans="20:20" ht="26.25">
      <c r="T5382" s="85" ph="1"/>
    </row>
    <row r="5383" spans="20:20" ht="26.25">
      <c r="T5383" s="85" ph="1"/>
    </row>
    <row r="5384" spans="20:20" ht="26.25">
      <c r="T5384" s="85" ph="1"/>
    </row>
    <row r="5385" spans="20:20" ht="26.25">
      <c r="T5385" s="85" ph="1"/>
    </row>
    <row r="5386" spans="20:20" ht="26.25">
      <c r="T5386" s="85" ph="1"/>
    </row>
    <row r="5387" spans="20:20" ht="26.25">
      <c r="T5387" s="85" ph="1"/>
    </row>
    <row r="5388" spans="20:20" ht="26.25">
      <c r="T5388" s="85" ph="1"/>
    </row>
    <row r="5389" spans="20:20" ht="26.25">
      <c r="T5389" s="85" ph="1"/>
    </row>
    <row r="5390" spans="20:20" ht="26.25">
      <c r="T5390" s="85" ph="1"/>
    </row>
    <row r="5391" spans="20:20" ht="26.25">
      <c r="T5391" s="85" ph="1"/>
    </row>
    <row r="5392" spans="20:20" ht="26.25">
      <c r="T5392" s="85" ph="1"/>
    </row>
    <row r="5393" spans="20:20" ht="26.25">
      <c r="T5393" s="85" ph="1"/>
    </row>
    <row r="5394" spans="20:20" ht="26.25">
      <c r="T5394" s="85" ph="1"/>
    </row>
    <row r="5395" spans="20:20" ht="26.25">
      <c r="T5395" s="85" ph="1"/>
    </row>
    <row r="5396" spans="20:20" ht="26.25">
      <c r="T5396" s="85" ph="1"/>
    </row>
    <row r="5397" spans="20:20" ht="26.25">
      <c r="T5397" s="85" ph="1"/>
    </row>
    <row r="5398" spans="20:20" ht="26.25">
      <c r="T5398" s="85" ph="1"/>
    </row>
    <row r="5399" spans="20:20" ht="26.25">
      <c r="T5399" s="85" ph="1"/>
    </row>
    <row r="5400" spans="20:20" ht="26.25">
      <c r="T5400" s="85" ph="1"/>
    </row>
    <row r="5401" spans="20:20" ht="26.25">
      <c r="T5401" s="85" ph="1"/>
    </row>
    <row r="5402" spans="20:20" ht="26.25">
      <c r="T5402" s="85" ph="1"/>
    </row>
    <row r="5403" spans="20:20" ht="26.25">
      <c r="T5403" s="85" ph="1"/>
    </row>
    <row r="5404" spans="20:20" ht="26.25">
      <c r="T5404" s="85" ph="1"/>
    </row>
    <row r="5405" spans="20:20" ht="26.25">
      <c r="T5405" s="85" ph="1"/>
    </row>
    <row r="5406" spans="20:20" ht="26.25">
      <c r="T5406" s="85" ph="1"/>
    </row>
    <row r="5407" spans="20:20" ht="26.25">
      <c r="T5407" s="85" ph="1"/>
    </row>
    <row r="5408" spans="20:20" ht="26.25">
      <c r="T5408" s="85" ph="1"/>
    </row>
    <row r="5409" spans="20:20" ht="26.25">
      <c r="T5409" s="85" ph="1"/>
    </row>
    <row r="5410" spans="20:20" ht="26.25">
      <c r="T5410" s="85" ph="1"/>
    </row>
    <row r="5411" spans="20:20" ht="26.25">
      <c r="T5411" s="85" ph="1"/>
    </row>
    <row r="5412" spans="20:20" ht="26.25">
      <c r="T5412" s="85" ph="1"/>
    </row>
    <row r="5413" spans="20:20" ht="26.25">
      <c r="T5413" s="85" ph="1"/>
    </row>
    <row r="5414" spans="20:20" ht="26.25">
      <c r="T5414" s="85" ph="1"/>
    </row>
    <row r="5415" spans="20:20" ht="26.25">
      <c r="T5415" s="85" ph="1"/>
    </row>
    <row r="5416" spans="20:20" ht="26.25">
      <c r="T5416" s="85" ph="1"/>
    </row>
    <row r="5417" spans="20:20" ht="26.25">
      <c r="T5417" s="85" ph="1"/>
    </row>
    <row r="5418" spans="20:20" ht="26.25">
      <c r="T5418" s="85" ph="1"/>
    </row>
    <row r="5419" spans="20:20" ht="26.25">
      <c r="T5419" s="85" ph="1"/>
    </row>
    <row r="5420" spans="20:20" ht="26.25">
      <c r="T5420" s="85" ph="1"/>
    </row>
    <row r="5421" spans="20:20" ht="26.25">
      <c r="T5421" s="85" ph="1"/>
    </row>
    <row r="5422" spans="20:20" ht="26.25">
      <c r="T5422" s="85" ph="1"/>
    </row>
    <row r="5423" spans="20:20" ht="26.25">
      <c r="T5423" s="85" ph="1"/>
    </row>
    <row r="5424" spans="20:20" ht="26.25">
      <c r="T5424" s="85" ph="1"/>
    </row>
    <row r="5425" spans="20:20" ht="26.25">
      <c r="T5425" s="85" ph="1"/>
    </row>
    <row r="5426" spans="20:20" ht="26.25">
      <c r="T5426" s="85" ph="1"/>
    </row>
    <row r="5427" spans="20:20" ht="26.25">
      <c r="T5427" s="85" ph="1"/>
    </row>
    <row r="5428" spans="20:20" ht="26.25">
      <c r="T5428" s="85" ph="1"/>
    </row>
    <row r="5429" spans="20:20" ht="26.25">
      <c r="T5429" s="85" ph="1"/>
    </row>
    <row r="5430" spans="20:20" ht="26.25">
      <c r="T5430" s="85" ph="1"/>
    </row>
    <row r="5431" spans="20:20" ht="26.25">
      <c r="T5431" s="85" ph="1"/>
    </row>
    <row r="5432" spans="20:20" ht="26.25">
      <c r="T5432" s="85" ph="1"/>
    </row>
    <row r="5433" spans="20:20" ht="26.25">
      <c r="T5433" s="85" ph="1"/>
    </row>
    <row r="5434" spans="20:20" ht="26.25">
      <c r="T5434" s="85" ph="1"/>
    </row>
    <row r="5435" spans="20:20" ht="26.25">
      <c r="T5435" s="85" ph="1"/>
    </row>
    <row r="5436" spans="20:20" ht="26.25">
      <c r="T5436" s="85" ph="1"/>
    </row>
    <row r="5437" spans="20:20" ht="26.25">
      <c r="T5437" s="85" ph="1"/>
    </row>
    <row r="5438" spans="20:20" ht="26.25">
      <c r="T5438" s="85" ph="1"/>
    </row>
    <row r="5439" spans="20:20" ht="26.25">
      <c r="T5439" s="85" ph="1"/>
    </row>
    <row r="5440" spans="20:20" ht="26.25">
      <c r="T5440" s="85" ph="1"/>
    </row>
    <row r="5441" spans="20:20" ht="26.25">
      <c r="T5441" s="85" ph="1"/>
    </row>
    <row r="5442" spans="20:20" ht="26.25">
      <c r="T5442" s="85" ph="1"/>
    </row>
    <row r="5443" spans="20:20" ht="26.25">
      <c r="T5443" s="85" ph="1"/>
    </row>
    <row r="5444" spans="20:20" ht="26.25">
      <c r="T5444" s="85" ph="1"/>
    </row>
    <row r="5445" spans="20:20" ht="26.25">
      <c r="T5445" s="85" ph="1"/>
    </row>
    <row r="5446" spans="20:20" ht="26.25">
      <c r="T5446" s="85" ph="1"/>
    </row>
    <row r="5447" spans="20:20" ht="26.25">
      <c r="T5447" s="85" ph="1"/>
    </row>
    <row r="5448" spans="20:20" ht="26.25">
      <c r="T5448" s="85" ph="1"/>
    </row>
    <row r="5449" spans="20:20" ht="26.25">
      <c r="T5449" s="85" ph="1"/>
    </row>
    <row r="5450" spans="20:20" ht="26.25">
      <c r="T5450" s="85" ph="1"/>
    </row>
    <row r="5451" spans="20:20" ht="26.25">
      <c r="T5451" s="85" ph="1"/>
    </row>
    <row r="5452" spans="20:20" ht="26.25">
      <c r="T5452" s="85" ph="1"/>
    </row>
    <row r="5453" spans="20:20" ht="26.25">
      <c r="T5453" s="85" ph="1"/>
    </row>
  </sheetData>
  <phoneticPr fontId="1" type="noConversion"/>
  <conditionalFormatting sqref="O1:P1048576 R1:R1048576">
    <cfRule type="cellIs" dxfId="238" priority="18" operator="between">
      <formula>100</formula>
      <formula>1</formula>
    </cfRule>
  </conditionalFormatting>
  <conditionalFormatting sqref="Q1:Q1048576">
    <cfRule type="cellIs" dxfId="237" priority="17" operator="between">
      <formula>200</formula>
      <formula>1</formula>
    </cfRule>
  </conditionalFormatting>
  <conditionalFormatting sqref="S1:S1048576">
    <cfRule type="cellIs" dxfId="236" priority="8" operator="between">
      <formula>101</formula>
      <formula>200</formula>
    </cfRule>
    <cfRule type="cellIs" dxfId="235" priority="14" operator="between">
      <formula>100</formula>
      <formula>1</formula>
    </cfRule>
  </conditionalFormatting>
  <conditionalFormatting sqref="B1:E1048576">
    <cfRule type="cellIs" dxfId="234" priority="13" operator="lessThan">
      <formula>0</formula>
    </cfRule>
  </conditionalFormatting>
  <conditionalFormatting sqref="F1:F1048576">
    <cfRule type="cellIs" dxfId="233" priority="12" operator="greaterThan">
      <formula>10</formula>
    </cfRule>
  </conditionalFormatting>
  <conditionalFormatting sqref="A1:A1048576">
    <cfRule type="expression" dxfId="232" priority="11">
      <formula>IF($F1&gt;0,$A1,"")</formula>
    </cfRule>
  </conditionalFormatting>
  <conditionalFormatting sqref="T1:T1048576">
    <cfRule type="cellIs" dxfId="231" priority="10" operator="greaterThanOrEqual">
      <formula>3</formula>
    </cfRule>
  </conditionalFormatting>
  <conditionalFormatting sqref="V1:V1048576">
    <cfRule type="expression" dxfId="230" priority="9">
      <formula>IF($V1&lt;$T1,$V1,"")</formula>
    </cfRule>
  </conditionalFormatting>
  <conditionalFormatting sqref="Z1:Z1048576">
    <cfRule type="cellIs" dxfId="229" priority="7" operator="lessThanOrEqual">
      <formula>-0.1</formula>
    </cfRule>
  </conditionalFormatting>
  <conditionalFormatting sqref="AB1:AB40">
    <cfRule type="expression" dxfId="228" priority="28">
      <formula>IF($AR1="低",$AB1,"")</formula>
    </cfRule>
    <cfRule type="expression" dxfId="227" priority="29">
      <formula>IF($AR1="中",$AB1,"")</formula>
    </cfRule>
    <cfRule type="expression" dxfId="226" priority="30">
      <formula>IF($AR1="高",$AB1,"")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42D5DFB-E3ED-46A0-BE69-C3CDAFE96338}">
            <xm:f>IF(INDEX(基本資料!$N:$N,MATCH($G1,基本資料!$A:$A,0),0)="高",$AB1,"")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" id="{C47A88E2-4825-4F70-9D1E-08D33FB901AC}">
            <xm:f>IF(INDEX(基本資料!$N:$N,MATCH($G1,基本資料!$A:$A,0),0)="中",$AB1,"")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" id="{22027F89-52FB-4AD0-9772-0553F15AF978}">
            <xm:f>IF(INDEX(基本資料!$N:$N,MATCH($G1,基本資料!$A:$A,0),0)="低",$AB1,"")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AB1:AB1048576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FF0000"/>
  </sheetPr>
  <dimension ref="A1:AR2314"/>
  <sheetViews>
    <sheetView workbookViewId="0">
      <selection activeCell="J38" sqref="J38"/>
    </sheetView>
  </sheetViews>
  <sheetFormatPr defaultColWidth="9.140625" defaultRowHeight="16.5"/>
  <cols>
    <col min="1" max="1" width="7.7109375" style="127" customWidth="1"/>
    <col min="2" max="2" width="8.140625" style="91" customWidth="1"/>
    <col min="3" max="5" width="5.7109375" style="91" customWidth="1"/>
    <col min="6" max="6" width="11.140625" style="63" customWidth="1"/>
    <col min="7" max="7" width="6.7109375" style="41" customWidth="1"/>
    <col min="8" max="8" width="5.7109375" style="42" customWidth="1"/>
    <col min="9" max="9" width="8.7109375" style="9" customWidth="1"/>
    <col min="10" max="10" width="6.7109375" style="8" customWidth="1"/>
    <col min="11" max="11" width="6.7109375" style="5" customWidth="1"/>
    <col min="12" max="12" width="3.7109375" style="46" customWidth="1"/>
    <col min="13" max="13" width="3.7109375" style="5" customWidth="1"/>
    <col min="14" max="14" width="4.7109375" style="30" customWidth="1"/>
    <col min="15" max="15" width="6.7109375" style="89" customWidth="1"/>
    <col min="16" max="16" width="6.7109375" style="73" customWidth="1"/>
    <col min="17" max="17" width="6.7109375" style="350" customWidth="1"/>
    <col min="18" max="18" width="5.7109375" style="364" customWidth="1"/>
    <col min="19" max="19" width="7.7109375" style="319" customWidth="1"/>
    <col min="20" max="20" width="7.7109375" style="85" customWidth="1"/>
    <col min="21" max="21" width="7.7109375" style="308" customWidth="1"/>
    <col min="22" max="22" width="7.7109375" style="215" customWidth="1"/>
    <col min="23" max="23" width="8.7109375" style="191" customWidth="1"/>
    <col min="24" max="24" width="8.7109375" style="188" customWidth="1"/>
    <col min="25" max="25" width="9.7109375" style="58" customWidth="1"/>
    <col min="26" max="26" width="8.7109375" style="11" customWidth="1"/>
    <col min="27" max="27" width="6.7109375" style="340" customWidth="1"/>
    <col min="28" max="28" width="5.7109375" style="378" customWidth="1"/>
    <col min="29" max="29" width="8.7109375" style="9" customWidth="1"/>
    <col min="30" max="30" width="11.7109375" style="84" customWidth="1"/>
    <col min="31" max="31" width="11.7109375" style="83" customWidth="1"/>
    <col min="32" max="32" width="4.7109375" style="78" customWidth="1"/>
    <col min="33" max="33" width="6.7109375" style="119" customWidth="1"/>
    <col min="34" max="34" width="6.7109375" style="259" customWidth="1"/>
    <col min="35" max="35" width="7.7109375" style="250" customWidth="1"/>
    <col min="36" max="36" width="7.7109375" style="391" customWidth="1"/>
    <col min="37" max="37" width="2.7109375" style="278" customWidth="1"/>
    <col min="38" max="38" width="8.7109375" style="245" customWidth="1"/>
    <col min="39" max="41" width="9.140625" style="245"/>
    <col min="43" max="16384" width="9.140625" style="245"/>
  </cols>
  <sheetData>
    <row r="1" spans="1:44">
      <c r="B1" s="79"/>
      <c r="C1" s="79"/>
      <c r="D1" s="79"/>
      <c r="E1" s="79"/>
      <c r="F1" s="57"/>
      <c r="G1" s="41" t="s">
        <v>3483</v>
      </c>
      <c r="H1" s="17"/>
      <c r="I1" s="22" t="s">
        <v>3484</v>
      </c>
      <c r="L1" s="2"/>
      <c r="P1" s="292"/>
      <c r="R1" s="26"/>
      <c r="S1" s="319">
        <v>7.78</v>
      </c>
      <c r="T1" s="186">
        <v>0.35</v>
      </c>
      <c r="U1" s="306"/>
      <c r="V1" s="94"/>
      <c r="W1" s="36">
        <f>RTD("money.excel",,"0050","Price")</f>
        <v>123</v>
      </c>
      <c r="X1" s="65"/>
      <c r="Y1" s="15">
        <f>W1-X1</f>
        <v>123</v>
      </c>
      <c r="Z1" s="3" t="e">
        <f>Y1/X1</f>
        <v>#DIV/0!</v>
      </c>
      <c r="AC1" s="22" t="s">
        <v>3484</v>
      </c>
      <c r="AF1" s="33">
        <f>AE1-AD1</f>
        <v>0</v>
      </c>
      <c r="AG1" s="43"/>
      <c r="AH1" s="286"/>
      <c r="AI1" s="248"/>
    </row>
    <row r="2" spans="1:44">
      <c r="B2" s="79"/>
      <c r="C2" s="79"/>
      <c r="D2" s="79"/>
      <c r="E2" s="79"/>
      <c r="F2" s="57"/>
      <c r="H2" s="17"/>
      <c r="I2" s="22"/>
      <c r="L2" s="2"/>
      <c r="O2" s="358"/>
      <c r="P2" s="292"/>
      <c r="Q2" s="333"/>
      <c r="R2" s="26"/>
      <c r="T2" s="186"/>
      <c r="U2" s="306"/>
      <c r="V2" s="94"/>
      <c r="W2" s="36"/>
      <c r="X2" s="65"/>
      <c r="Y2" s="15"/>
      <c r="Z2" s="3"/>
      <c r="AC2" s="22"/>
      <c r="AF2" s="33"/>
      <c r="AG2" s="43"/>
      <c r="AH2" s="286"/>
      <c r="AI2" s="248"/>
    </row>
    <row r="3" spans="1:44">
      <c r="A3" s="127" t="s">
        <v>1672</v>
      </c>
      <c r="B3" s="90" t="s">
        <v>1571</v>
      </c>
      <c r="C3" s="90" t="s">
        <v>1572</v>
      </c>
      <c r="D3" s="90" t="s">
        <v>1573</v>
      </c>
      <c r="E3" s="90" t="s">
        <v>1574</v>
      </c>
      <c r="F3" s="8" t="s">
        <v>1059</v>
      </c>
      <c r="G3" s="27" t="s">
        <v>852</v>
      </c>
      <c r="H3" s="55" t="s">
        <v>320</v>
      </c>
      <c r="I3" s="8" t="s">
        <v>3580</v>
      </c>
      <c r="J3" s="8" t="s">
        <v>6211</v>
      </c>
      <c r="K3" s="5" t="s">
        <v>6212</v>
      </c>
      <c r="L3" s="334" t="s">
        <v>6197</v>
      </c>
      <c r="M3" s="335" t="s">
        <v>6198</v>
      </c>
      <c r="N3" s="336" t="s">
        <v>6199</v>
      </c>
      <c r="O3" s="89" t="s">
        <v>6275</v>
      </c>
      <c r="P3" s="292" t="s">
        <v>6274</v>
      </c>
      <c r="Q3" s="350" t="s">
        <v>6273</v>
      </c>
      <c r="R3" s="26" t="s">
        <v>6276</v>
      </c>
      <c r="S3" s="318" t="s">
        <v>4715</v>
      </c>
      <c r="T3" s="10" t="s">
        <v>66</v>
      </c>
      <c r="U3" s="305" t="s">
        <v>4728</v>
      </c>
      <c r="V3" s="68" t="s">
        <v>3272</v>
      </c>
      <c r="W3" s="28" t="s">
        <v>2</v>
      </c>
      <c r="X3" s="17" t="s">
        <v>1398</v>
      </c>
      <c r="Y3" s="14" t="s">
        <v>5</v>
      </c>
      <c r="Z3" s="21" t="s">
        <v>3</v>
      </c>
      <c r="AA3" s="96" t="s">
        <v>6166</v>
      </c>
      <c r="AB3" s="378" t="s">
        <v>6404</v>
      </c>
      <c r="AC3" s="8" t="s">
        <v>3580</v>
      </c>
      <c r="AD3" s="71" t="s">
        <v>1399</v>
      </c>
      <c r="AE3" s="72" t="s">
        <v>1156</v>
      </c>
      <c r="AF3" s="32" t="s">
        <v>1157</v>
      </c>
      <c r="AG3" s="25" t="s">
        <v>6200</v>
      </c>
      <c r="AH3" s="8" t="s">
        <v>6696</v>
      </c>
      <c r="AI3" s="50" t="s">
        <v>3360</v>
      </c>
      <c r="AJ3" s="44" t="s">
        <v>6695</v>
      </c>
    </row>
    <row r="4" spans="1:44">
      <c r="A4" s="343">
        <f>IFERROR(VLOOKUP($G4,基本資料!$A:$J,3,0),"無")</f>
        <v>612</v>
      </c>
      <c r="B4" s="79">
        <f>IFERROR(VLOOKUP($G4,基本資料!$A:$J,4,0),"無")</f>
        <v>-24</v>
      </c>
      <c r="C4" s="79">
        <f>IFERROR(VLOOKUP($G4,基本資料!$A:$J,5,0),"無")</f>
        <v>-36</v>
      </c>
      <c r="D4" s="79">
        <f>IFERROR(VLOOKUP($G4,基本資料!$A:$J,6,0),"無")</f>
        <v>-16</v>
      </c>
      <c r="E4" s="79">
        <f>IFERROR(VLOOKUP($G4,基本資料!$A:$J,7,0),"無")</f>
        <v>-13</v>
      </c>
      <c r="F4" s="6">
        <f>IFERROR(VLOOKUP($G4,基本資料!$A:$J,8,0),"無")</f>
        <v>18.48</v>
      </c>
      <c r="G4" s="79">
        <v>1101</v>
      </c>
      <c r="H4" s="8" t="s">
        <v>291</v>
      </c>
      <c r="I4" s="153" t="s">
        <v>274</v>
      </c>
      <c r="J4" s="8">
        <f>IFERROR(VLOOKUP($G4,今日總結!$A:$AN,39,0),"")</f>
        <v>0</v>
      </c>
      <c r="K4" s="5" t="str">
        <f>IFERROR(VLOOKUP($G4,今日總結!$A:$AN,40,0),"")</f>
        <v>主借</v>
      </c>
      <c r="L4" s="156">
        <f>IFERROR(VLOOKUP($G4,今日總結!$A:$AN,37,0),"")</f>
        <v>0</v>
      </c>
      <c r="M4" s="337">
        <f>IFERROR(VLOOKUP($G4,今日總結!$A:$AN,38,0),"")</f>
        <v>9</v>
      </c>
      <c r="N4" s="240">
        <f>IFERROR(L4-M4,"")</f>
        <v>-9</v>
      </c>
      <c r="O4" s="359">
        <f>IFERROR(VLOOKUP($G4,融外自投!$A:$J,7,0),"無")</f>
        <v>1331</v>
      </c>
      <c r="P4" s="79">
        <f>IFERROR(VLOOKUP($G4,融外自投!$A:$J,9,0),"無")</f>
        <v>80</v>
      </c>
      <c r="Q4" s="342">
        <f>IFERROR(VLOOKUP($G4,融外自投!$A:$J,8,0),"無")</f>
        <v>264</v>
      </c>
      <c r="R4" s="81">
        <f>IFERROR(VLOOKUP($G4,融外自投!$A:$J,10,0),"無")</f>
        <v>78</v>
      </c>
      <c r="S4" s="324">
        <f>IFERROR(VLOOKUP($G4,'321買'!$A:$E,4,0),"'沒有資料'")</f>
        <v>186</v>
      </c>
      <c r="T4" s="186">
        <f>IFERROR(VLOOKUP($G4,基本資料!$A:$J,9,0),"無")</f>
        <v>2</v>
      </c>
      <c r="U4" s="307">
        <f>$T4/$W4</f>
        <v>4.8484848484848485E-2</v>
      </c>
      <c r="V4" s="94">
        <f>IFERROR(VLOOKUP($G4,基本資料!$A:$J,10,0),"無")</f>
        <v>3.3</v>
      </c>
      <c r="W4" s="36">
        <f>RTD("money.excel",,$G4,"Price")</f>
        <v>41.25</v>
      </c>
      <c r="X4" s="66"/>
      <c r="Y4" s="15">
        <f t="shared" ref="Y4:Y10" si="0">W4-X4</f>
        <v>41.25</v>
      </c>
      <c r="Z4" s="3" t="e">
        <v>#DIV/0!</v>
      </c>
      <c r="AA4" s="340">
        <f>IFERROR(VLOOKUP($G4,基本資料!$A:$M,11,0),"無")</f>
        <v>-24.31</v>
      </c>
      <c r="AB4" s="389">
        <f>IFERROR(VLOOKUP($G4,基本資料!$A:$M,12,0),"無")</f>
        <v>12.89</v>
      </c>
      <c r="AC4" s="22" t="s">
        <v>274</v>
      </c>
      <c r="AF4" s="33">
        <v>0</v>
      </c>
      <c r="AG4" s="117" t="s">
        <v>3262</v>
      </c>
      <c r="AH4" s="66">
        <f>AI4/AJ4</f>
        <v>1.0784735745276894</v>
      </c>
      <c r="AI4" s="283">
        <f>RTD("money.excel",,$G4,"PredictVolume")</f>
        <v>23676</v>
      </c>
      <c r="AJ4" s="391">
        <f>IFERROR(VLOOKUP($G4,基本資料!$A:$M,13,0),"無")</f>
        <v>21953.25</v>
      </c>
      <c r="AR4" s="245" t="str">
        <f>INDEX(基本資料!N:N,MATCH($G4,基本資料!A:A,0))</f>
        <v>低</v>
      </c>
    </row>
    <row r="5" spans="1:44">
      <c r="A5" s="343">
        <f>IFERROR(VLOOKUP($G5,基本資料!$A:$J,3,0),"無")</f>
        <v>354</v>
      </c>
      <c r="B5" s="79">
        <f>IFERROR(VLOOKUP($G5,基本資料!$A:$J,4,0),"無")</f>
        <v>-6</v>
      </c>
      <c r="C5" s="79">
        <f>IFERROR(VLOOKUP($G5,基本資料!$A:$J,5,0),"無")</f>
        <v>-10</v>
      </c>
      <c r="D5" s="79">
        <f>IFERROR(VLOOKUP($G5,基本資料!$A:$J,6,0),"無")</f>
        <v>6</v>
      </c>
      <c r="E5" s="79">
        <f>IFERROR(VLOOKUP($G5,基本資料!$A:$J,7,0),"無")</f>
        <v>11</v>
      </c>
      <c r="F5" s="6">
        <f>IFERROR(VLOOKUP($G5,基本資料!$A:$J,8,0),"無")</f>
        <v>18.940000000000001</v>
      </c>
      <c r="G5" s="79">
        <v>1102</v>
      </c>
      <c r="H5" s="8" t="s">
        <v>291</v>
      </c>
      <c r="I5" s="22" t="s">
        <v>19</v>
      </c>
      <c r="J5" s="8" t="str">
        <f>IFERROR(VLOOKUP($G5,今日總結!$A:$AN,39,0),"")</f>
        <v>自</v>
      </c>
      <c r="K5" s="5">
        <f>IFERROR(VLOOKUP($G5,今日總結!$A:$AN,40,0),"")</f>
        <v>0</v>
      </c>
      <c r="L5" s="156">
        <f>IFERROR(VLOOKUP($G5,今日總結!$A:$AN,37,0),"")</f>
        <v>16</v>
      </c>
      <c r="M5" s="337">
        <f>IFERROR(VLOOKUP($G5,今日總結!$A:$AN,38,0),"")</f>
        <v>0</v>
      </c>
      <c r="N5" s="240">
        <f t="shared" ref="N5:N10" si="1">IFERROR(L5-M5,"")</f>
        <v>16</v>
      </c>
      <c r="O5" s="359">
        <f>IFERROR(VLOOKUP($G5,融外自投!$A:$J,7,0),"無")</f>
        <v>1421</v>
      </c>
      <c r="P5" s="79">
        <f>IFERROR(VLOOKUP($G5,融外自投!$A:$J,9,0),"無")</f>
        <v>50</v>
      </c>
      <c r="Q5" s="342">
        <f>IFERROR(VLOOKUP($G5,融外自投!$A:$J,8,0),"無")</f>
        <v>318</v>
      </c>
      <c r="R5" s="81">
        <f>IFERROR(VLOOKUP($G5,融外自投!$A:$J,10,0),"無")</f>
        <v>70</v>
      </c>
      <c r="S5" s="324">
        <f>IFERROR(VLOOKUP($G5,'321買'!$A:$E,4,0),"'沒有資料'")</f>
        <v>300</v>
      </c>
      <c r="T5" s="186">
        <f>IFERROR(VLOOKUP($G5,基本資料!$A:$J,9,0),"無")</f>
        <v>3.4</v>
      </c>
      <c r="U5" s="307">
        <f t="shared" ref="U5:U10" si="2">$T5/$W5</f>
        <v>7.5639599555061166E-2</v>
      </c>
      <c r="V5" s="94">
        <f>IFERROR(VLOOKUP($G5,基本資料!$A:$J,10,0),"無")</f>
        <v>4.7</v>
      </c>
      <c r="W5" s="36">
        <f>RTD("money.excel",,$G5,"Price")</f>
        <v>44.95</v>
      </c>
      <c r="X5" s="66"/>
      <c r="Y5" s="15">
        <f t="shared" si="0"/>
        <v>44.95</v>
      </c>
      <c r="Z5" s="3" t="e">
        <v>#DIV/0!</v>
      </c>
      <c r="AA5" s="340">
        <f>IFERROR(VLOOKUP($G5,基本資料!$A:$M,11,0),"無")</f>
        <v>-16.14</v>
      </c>
      <c r="AB5" s="389">
        <f>IFERROR(VLOOKUP($G5,基本資料!$A:$M,12,0),"無")</f>
        <v>41.88</v>
      </c>
      <c r="AC5" s="22" t="s">
        <v>19</v>
      </c>
      <c r="AF5" s="33">
        <v>0</v>
      </c>
      <c r="AG5" s="117" t="s">
        <v>3263</v>
      </c>
      <c r="AH5" s="66">
        <f t="shared" ref="AH5:AH68" si="3">AI5/AJ5</f>
        <v>0.96658940698980778</v>
      </c>
      <c r="AI5" s="283">
        <f>RTD("money.excel",,$G5,"PredictVolume")</f>
        <v>4775</v>
      </c>
      <c r="AJ5" s="391">
        <f>IFERROR(VLOOKUP($G5,基本資料!$A:$M,13,0),"無")</f>
        <v>4940.05</v>
      </c>
      <c r="AR5" s="245" t="str">
        <f>INDEX(基本資料!N:N,MATCH($G5,基本資料!A:A,0))</f>
        <v>低</v>
      </c>
    </row>
    <row r="6" spans="1:44">
      <c r="A6" s="343">
        <f>IFERROR(VLOOKUP($G6,基本資料!$A:$J,3,0),"無")</f>
        <v>77.47</v>
      </c>
      <c r="B6" s="79">
        <f>IFERROR(VLOOKUP($G6,基本資料!$A:$J,4,0),"無")</f>
        <v>-59</v>
      </c>
      <c r="C6" s="79">
        <f>IFERROR(VLOOKUP($G6,基本資料!$A:$J,5,0),"無")</f>
        <v>-163</v>
      </c>
      <c r="D6" s="79">
        <f>IFERROR(VLOOKUP($G6,基本資料!$A:$J,6,0),"無")</f>
        <v>-23</v>
      </c>
      <c r="E6" s="79">
        <f>IFERROR(VLOOKUP($G6,基本資料!$A:$J,7,0),"無")</f>
        <v>-9</v>
      </c>
      <c r="F6" s="6">
        <f>IFERROR(VLOOKUP($G6,基本資料!$A:$J,8,0),"無")</f>
        <v>-23.67</v>
      </c>
      <c r="G6" s="79">
        <v>1103</v>
      </c>
      <c r="H6" s="8" t="s">
        <v>291</v>
      </c>
      <c r="I6" s="22" t="s">
        <v>853</v>
      </c>
      <c r="J6" s="8">
        <f>IFERROR(VLOOKUP($G6,今日總結!$A:$AN,39,0),"")</f>
        <v>0</v>
      </c>
      <c r="K6" s="5" t="str">
        <f>IFERROR(VLOOKUP($G6,今日總結!$A:$AN,40,0),"")</f>
        <v>借</v>
      </c>
      <c r="L6" s="156">
        <f>IFERROR(VLOOKUP($G6,今日總結!$A:$AN,37,0),"")</f>
        <v>0</v>
      </c>
      <c r="M6" s="337">
        <f>IFERROR(VLOOKUP($G6,今日總結!$A:$AN,38,0),"")</f>
        <v>3</v>
      </c>
      <c r="N6" s="240">
        <f t="shared" si="1"/>
        <v>-3</v>
      </c>
      <c r="O6" s="359">
        <f>IFERROR(VLOOKUP($G6,融外自投!$A:$J,7,0),"無")</f>
        <v>1219</v>
      </c>
      <c r="P6" s="79">
        <f>IFERROR(VLOOKUP($G6,融外自投!$A:$J,9,0),"無")</f>
        <v>762</v>
      </c>
      <c r="Q6" s="342">
        <f>IFERROR(VLOOKUP($G6,融外自投!$A:$J,8,0),"無")</f>
        <v>778</v>
      </c>
      <c r="R6" s="81" t="str">
        <f>IFERROR(VLOOKUP($G6,融外自投!$A:$J,10,0),"無")</f>
        <v>無</v>
      </c>
      <c r="S6" s="324">
        <f>IFERROR(VLOOKUP($G6,'321買'!$A:$E,4,0),"'沒有資料'")</f>
        <v>743</v>
      </c>
      <c r="T6" s="186">
        <f>IFERROR(VLOOKUP($G6,基本資料!$A:$J,9,0),"無")</f>
        <v>0.65</v>
      </c>
      <c r="U6" s="307">
        <f t="shared" si="2"/>
        <v>3.6211699164345405E-2</v>
      </c>
      <c r="V6" s="94">
        <f>IFERROR(VLOOKUP($G6,基本資料!$A:$J,10,0),"無")</f>
        <v>1.02</v>
      </c>
      <c r="W6" s="36">
        <f>RTD("money.excel",,$G6,"Price")</f>
        <v>17.95</v>
      </c>
      <c r="X6" s="66"/>
      <c r="Y6" s="15">
        <f t="shared" si="0"/>
        <v>17.95</v>
      </c>
      <c r="Z6" s="3" t="e">
        <v>#DIV/0!</v>
      </c>
      <c r="AA6" s="340">
        <f>IFERROR(VLOOKUP($G6,基本資料!$A:$M,11,0),"無")</f>
        <v>-25.21</v>
      </c>
      <c r="AB6" s="389">
        <f>IFERROR(VLOOKUP($G6,基本資料!$A:$M,12,0),"無")</f>
        <v>13.99</v>
      </c>
      <c r="AC6" s="22" t="s">
        <v>853</v>
      </c>
      <c r="AF6" s="33">
        <v>0</v>
      </c>
      <c r="AG6" s="43" t="s">
        <v>2022</v>
      </c>
      <c r="AH6" s="66">
        <f t="shared" si="3"/>
        <v>0.67046711477920529</v>
      </c>
      <c r="AI6" s="283">
        <f>RTD("money.excel",,$G6,"PredictVolume")</f>
        <v>394</v>
      </c>
      <c r="AJ6" s="391">
        <f>IFERROR(VLOOKUP($G6,基本資料!$A:$M,13,0),"無")</f>
        <v>587.65</v>
      </c>
      <c r="AR6" s="245" t="str">
        <f>INDEX(基本資料!N:N,MATCH($G6,基本資料!A:A,0))</f>
        <v>低</v>
      </c>
    </row>
    <row r="7" spans="1:44">
      <c r="A7" s="343">
        <f>IFERROR(VLOOKUP($G7,基本資料!$A:$J,3,0),"無")</f>
        <v>65.36</v>
      </c>
      <c r="B7" s="79">
        <f>IFERROR(VLOOKUP($G7,基本資料!$A:$J,4,0),"無")</f>
        <v>-11</v>
      </c>
      <c r="C7" s="79">
        <f>IFERROR(VLOOKUP($G7,基本資料!$A:$J,5,0),"無")</f>
        <v>44</v>
      </c>
      <c r="D7" s="79">
        <f>IFERROR(VLOOKUP($G7,基本資料!$A:$J,6,0),"無")</f>
        <v>7</v>
      </c>
      <c r="E7" s="79">
        <f>IFERROR(VLOOKUP($G7,基本資料!$A:$J,7,0),"無")</f>
        <v>21</v>
      </c>
      <c r="F7" s="6">
        <f>IFERROR(VLOOKUP($G7,基本資料!$A:$J,8,0),"無")</f>
        <v>11.68</v>
      </c>
      <c r="G7" s="79">
        <v>1104</v>
      </c>
      <c r="H7" s="8" t="s">
        <v>291</v>
      </c>
      <c r="I7" s="22" t="s">
        <v>854</v>
      </c>
      <c r="J7" s="8">
        <f>IFERROR(VLOOKUP($G7,今日總結!$A:$AN,39,0),"")</f>
        <v>0</v>
      </c>
      <c r="K7" s="5">
        <f>IFERROR(VLOOKUP($G7,今日總結!$A:$AN,40,0),"")</f>
        <v>0</v>
      </c>
      <c r="L7" s="156">
        <f>IFERROR(VLOOKUP($G7,今日總結!$A:$AN,37,0),"")</f>
        <v>0</v>
      </c>
      <c r="M7" s="337">
        <f>IFERROR(VLOOKUP($G7,今日總結!$A:$AN,38,0),"")</f>
        <v>0</v>
      </c>
      <c r="N7" s="240">
        <f t="shared" si="1"/>
        <v>0</v>
      </c>
      <c r="O7" s="359">
        <f>IFERROR(VLOOKUP($G7,融外自投!$A:$J,7,0),"無")</f>
        <v>1254</v>
      </c>
      <c r="P7" s="79">
        <f>IFERROR(VLOOKUP($G7,融外自投!$A:$J,9,0),"無")</f>
        <v>762</v>
      </c>
      <c r="Q7" s="342">
        <f>IFERROR(VLOOKUP($G7,融外自投!$A:$J,8,0),"無")</f>
        <v>419</v>
      </c>
      <c r="R7" s="81" t="str">
        <f>IFERROR(VLOOKUP($G7,融外自投!$A:$J,10,0),"無")</f>
        <v>無</v>
      </c>
      <c r="S7" s="324">
        <f>IFERROR(VLOOKUP($G7,'321買'!$A:$E,4,0),"'沒有資料'")</f>
        <v>1002</v>
      </c>
      <c r="T7" s="186">
        <f>IFERROR(VLOOKUP($G7,基本資料!$A:$J,9,0),"無")</f>
        <v>1</v>
      </c>
      <c r="U7" s="307">
        <f t="shared" si="2"/>
        <v>4.7393364928909949E-2</v>
      </c>
      <c r="V7" s="94">
        <f>IFERROR(VLOOKUP($G7,基本資料!$A:$J,10,0),"無")</f>
        <v>1.66</v>
      </c>
      <c r="W7" s="36">
        <f>RTD("money.excel",,$G7,"Price")</f>
        <v>21.1</v>
      </c>
      <c r="X7" s="66"/>
      <c r="Y7" s="15">
        <f t="shared" si="0"/>
        <v>21.1</v>
      </c>
      <c r="Z7" s="3" t="e">
        <v>#DIV/0!</v>
      </c>
      <c r="AA7" s="340">
        <f>IFERROR(VLOOKUP($G7,基本資料!$A:$M,11,0),"無")</f>
        <v>-12.08</v>
      </c>
      <c r="AB7" s="389">
        <f>IFERROR(VLOOKUP($G7,基本資料!$A:$M,12,0),"無")</f>
        <v>49.65</v>
      </c>
      <c r="AC7" s="22" t="s">
        <v>854</v>
      </c>
      <c r="AF7" s="33">
        <v>0</v>
      </c>
      <c r="AG7" s="43" t="s">
        <v>3264</v>
      </c>
      <c r="AH7" s="66">
        <f t="shared" si="3"/>
        <v>1.786986789453489</v>
      </c>
      <c r="AI7" s="283">
        <f>RTD("money.excel",,$G7,"PredictVolume")</f>
        <v>1630</v>
      </c>
      <c r="AJ7" s="391">
        <f>IFERROR(VLOOKUP($G7,基本資料!$A:$M,13,0),"無")</f>
        <v>912.15</v>
      </c>
      <c r="AR7" s="245" t="str">
        <f>INDEX(基本資料!N:N,MATCH($G7,基本資料!A:A,0))</f>
        <v>中</v>
      </c>
    </row>
    <row r="8" spans="1:44">
      <c r="A8" s="343">
        <f>IFERROR(VLOOKUP($G8,基本資料!$A:$J,3,0),"無")</f>
        <v>40.47</v>
      </c>
      <c r="B8" s="79">
        <f>IFERROR(VLOOKUP($G8,基本資料!$A:$J,4,0),"無")</f>
        <v>-33</v>
      </c>
      <c r="C8" s="79">
        <f>IFERROR(VLOOKUP($G8,基本資料!$A:$J,5,0),"無")</f>
        <v>-24</v>
      </c>
      <c r="D8" s="79">
        <f>IFERROR(VLOOKUP($G8,基本資料!$A:$J,6,0),"無")</f>
        <v>-2</v>
      </c>
      <c r="E8" s="79">
        <f>IFERROR(VLOOKUP($G8,基本資料!$A:$J,7,0),"無")</f>
        <v>-2</v>
      </c>
      <c r="F8" s="6">
        <f>IFERROR(VLOOKUP($G8,基本資料!$A:$J,8,0),"無")</f>
        <v>8.98</v>
      </c>
      <c r="G8" s="79">
        <v>1108</v>
      </c>
      <c r="H8" s="8" t="s">
        <v>291</v>
      </c>
      <c r="I8" s="22" t="s">
        <v>855</v>
      </c>
      <c r="J8" s="8">
        <f>IFERROR(VLOOKUP($G8,今日總結!$A:$AN,39,0),"")</f>
        <v>0</v>
      </c>
      <c r="K8" s="5">
        <f>IFERROR(VLOOKUP($G8,今日總結!$A:$AN,40,0),"")</f>
        <v>0</v>
      </c>
      <c r="L8" s="156">
        <f>IFERROR(VLOOKUP($G8,今日總結!$A:$AN,37,0),"")</f>
        <v>0</v>
      </c>
      <c r="M8" s="337">
        <f>IFERROR(VLOOKUP($G8,今日總結!$A:$AN,38,0),"")</f>
        <v>0</v>
      </c>
      <c r="N8" s="240">
        <f t="shared" si="1"/>
        <v>0</v>
      </c>
      <c r="O8" s="359">
        <f>IFERROR(VLOOKUP($G8,融外自投!$A:$J,7,0),"無")</f>
        <v>1053</v>
      </c>
      <c r="P8" s="79">
        <f>IFERROR(VLOOKUP($G8,融外自投!$A:$J,9,0),"無")</f>
        <v>1123</v>
      </c>
      <c r="Q8" s="342">
        <f>IFERROR(VLOOKUP($G8,融外自投!$A:$J,8,0),"無")</f>
        <v>1235</v>
      </c>
      <c r="R8" s="81" t="str">
        <f>IFERROR(VLOOKUP($G8,融外自投!$A:$J,10,0),"無")</f>
        <v>無</v>
      </c>
      <c r="S8" s="324">
        <f>IFERROR(VLOOKUP($G8,'321買'!$A:$E,4,0),"'沒有資料'")</f>
        <v>1002</v>
      </c>
      <c r="T8" s="186">
        <f>IFERROR(VLOOKUP($G8,基本資料!$A:$J,9,0),"無")</f>
        <v>0.6</v>
      </c>
      <c r="U8" s="307">
        <f t="shared" si="2"/>
        <v>5.4545454545454543E-2</v>
      </c>
      <c r="V8" s="94">
        <f>IFERROR(VLOOKUP($G8,基本資料!$A:$J,10,0),"無")</f>
        <v>0.65</v>
      </c>
      <c r="W8" s="36">
        <f>RTD("money.excel",,$G8,"Price")</f>
        <v>11</v>
      </c>
      <c r="X8" s="66"/>
      <c r="Y8" s="15">
        <f t="shared" si="0"/>
        <v>11</v>
      </c>
      <c r="Z8" s="3" t="e">
        <v>#DIV/0!</v>
      </c>
      <c r="AA8" s="340">
        <f>IFERROR(VLOOKUP($G8,基本資料!$A:$M,11,0),"無")</f>
        <v>-23.88</v>
      </c>
      <c r="AB8" s="389">
        <f>IFERROR(VLOOKUP($G8,基本資料!$A:$M,12,0),"無")</f>
        <v>36.01</v>
      </c>
      <c r="AC8" s="22" t="s">
        <v>855</v>
      </c>
      <c r="AF8" s="33">
        <v>0</v>
      </c>
      <c r="AG8" s="43" t="s">
        <v>291</v>
      </c>
      <c r="AH8" s="66">
        <f t="shared" si="3"/>
        <v>0.70796460176991149</v>
      </c>
      <c r="AI8" s="283">
        <f>RTD("money.excel",,$G8,"PredictVolume")</f>
        <v>144</v>
      </c>
      <c r="AJ8" s="391">
        <f>IFERROR(VLOOKUP($G8,基本資料!$A:$M,13,0),"無")</f>
        <v>203.4</v>
      </c>
      <c r="AR8" s="245" t="str">
        <f>INDEX(基本資料!N:N,MATCH($G8,基本資料!A:A,0))</f>
        <v>低</v>
      </c>
    </row>
    <row r="9" spans="1:44">
      <c r="A9" s="343">
        <f>IFERROR(VLOOKUP($G9,基本資料!$A:$J,3,0),"無")</f>
        <v>34.19</v>
      </c>
      <c r="B9" s="79">
        <f>IFERROR(VLOOKUP($G9,基本資料!$A:$J,4,0),"無")</f>
        <v>-16</v>
      </c>
      <c r="C9" s="79">
        <f>IFERROR(VLOOKUP($G9,基本資料!$A:$J,5,0),"無")</f>
        <v>-16</v>
      </c>
      <c r="D9" s="79">
        <f>IFERROR(VLOOKUP($G9,基本資料!$A:$J,6,0),"無")</f>
        <v>5</v>
      </c>
      <c r="E9" s="79">
        <f>IFERROR(VLOOKUP($G9,基本資料!$A:$J,7,0),"無")</f>
        <v>-32</v>
      </c>
      <c r="F9" s="6">
        <f>IFERROR(VLOOKUP($G9,基本資料!$A:$J,8,0),"無")</f>
        <v>23.82</v>
      </c>
      <c r="G9" s="79">
        <v>1109</v>
      </c>
      <c r="H9" s="8" t="s">
        <v>291</v>
      </c>
      <c r="I9" s="22" t="s">
        <v>856</v>
      </c>
      <c r="J9" s="8">
        <f>IFERROR(VLOOKUP($G9,今日總結!$A:$AN,39,0),"")</f>
        <v>0</v>
      </c>
      <c r="K9" s="5" t="str">
        <f>IFERROR(VLOOKUP($G9,今日總結!$A:$AN,40,0),"")</f>
        <v>主</v>
      </c>
      <c r="L9" s="156">
        <f>IFERROR(VLOOKUP($G9,今日總結!$A:$AN,37,0),"")</f>
        <v>0</v>
      </c>
      <c r="M9" s="337">
        <f>IFERROR(VLOOKUP($G9,今日總結!$A:$AN,38,0),"")</f>
        <v>5</v>
      </c>
      <c r="N9" s="240">
        <f t="shared" si="1"/>
        <v>-5</v>
      </c>
      <c r="O9" s="359">
        <f>IFERROR(VLOOKUP($G9,融外自投!$A:$J,7,0),"無")</f>
        <v>1116</v>
      </c>
      <c r="P9" s="79">
        <f>IFERROR(VLOOKUP($G9,融外自投!$A:$J,9,0),"無")</f>
        <v>550</v>
      </c>
      <c r="Q9" s="342">
        <f>IFERROR(VLOOKUP($G9,融外自投!$A:$J,8,0),"無")</f>
        <v>860</v>
      </c>
      <c r="R9" s="81" t="str">
        <f>IFERROR(VLOOKUP($G9,融外自投!$A:$J,10,0),"無")</f>
        <v>無</v>
      </c>
      <c r="S9" s="324">
        <f>IFERROR(VLOOKUP($G9,'321買'!$A:$E,4,0),"'沒有資料'")</f>
        <v>891</v>
      </c>
      <c r="T9" s="186">
        <f>IFERROR(VLOOKUP($G9,基本資料!$A:$J,9,0),"無")</f>
        <v>1.5</v>
      </c>
      <c r="U9" s="307">
        <f t="shared" si="2"/>
        <v>7.7319587628865982E-2</v>
      </c>
      <c r="V9" s="94">
        <f>IFERROR(VLOOKUP($G9,基本資料!$A:$J,10,0),"無")</f>
        <v>2.52</v>
      </c>
      <c r="W9" s="36">
        <f>RTD("money.excel",,$G9,"Price")</f>
        <v>19.399999999999999</v>
      </c>
      <c r="X9" s="66"/>
      <c r="Y9" s="15">
        <f t="shared" si="0"/>
        <v>19.399999999999999</v>
      </c>
      <c r="Z9" s="3" t="e">
        <v>#DIV/0!</v>
      </c>
      <c r="AA9" s="340">
        <f>IFERROR(VLOOKUP($G9,基本資料!$A:$M,11,0),"無")</f>
        <v>-30.22</v>
      </c>
      <c r="AB9" s="389">
        <f>IFERROR(VLOOKUP($G9,基本資料!$A:$M,12,0),"無")</f>
        <v>29.17</v>
      </c>
      <c r="AC9" s="22" t="s">
        <v>856</v>
      </c>
      <c r="AF9" s="33">
        <v>0</v>
      </c>
      <c r="AG9" s="43" t="s">
        <v>291</v>
      </c>
      <c r="AH9" s="66">
        <f t="shared" si="3"/>
        <v>0.62395543175487467</v>
      </c>
      <c r="AI9" s="283">
        <f>RTD("money.excel",,$G9,"PredictVolume")</f>
        <v>112</v>
      </c>
      <c r="AJ9" s="391">
        <f>IFERROR(VLOOKUP($G9,基本資料!$A:$M,13,0),"無")</f>
        <v>179.5</v>
      </c>
      <c r="AR9" s="245" t="str">
        <f>INDEX(基本資料!N:N,MATCH($G9,基本資料!A:A,0))</f>
        <v>低</v>
      </c>
    </row>
    <row r="10" spans="1:44">
      <c r="A10" s="343">
        <f>IFERROR(VLOOKUP($G10,基本資料!$A:$J,3,0),"無")</f>
        <v>57.2</v>
      </c>
      <c r="B10" s="79">
        <f>IFERROR(VLOOKUP($G10,基本資料!$A:$J,4,0),"無")</f>
        <v>689</v>
      </c>
      <c r="C10" s="79">
        <f>IFERROR(VLOOKUP($G10,基本資料!$A:$J,5,0),"無")</f>
        <v>139</v>
      </c>
      <c r="D10" s="79">
        <f>IFERROR(VLOOKUP($G10,基本資料!$A:$J,6,0),"無")</f>
        <v>-36</v>
      </c>
      <c r="E10" s="79">
        <f>IFERROR(VLOOKUP($G10,基本資料!$A:$J,7,0),"無")</f>
        <v>-20</v>
      </c>
      <c r="F10" s="6">
        <f>IFERROR(VLOOKUP($G10,基本資料!$A:$J,8,0),"無")</f>
        <v>0.65</v>
      </c>
      <c r="G10" s="79">
        <v>1110</v>
      </c>
      <c r="H10" s="8" t="s">
        <v>291</v>
      </c>
      <c r="I10" s="22" t="s">
        <v>857</v>
      </c>
      <c r="J10" s="8">
        <f>IFERROR(VLOOKUP($G10,今日總結!$A:$AN,39,0),"")</f>
        <v>0</v>
      </c>
      <c r="K10" s="5" t="str">
        <f>IFERROR(VLOOKUP($G10,今日總結!$A:$AN,40,0),"")</f>
        <v>外</v>
      </c>
      <c r="L10" s="156">
        <f>IFERROR(VLOOKUP($G10,今日總結!$A:$AN,37,0),"")</f>
        <v>0</v>
      </c>
      <c r="M10" s="337">
        <f>IFERROR(VLOOKUP($G10,今日總結!$A:$AN,38,0),"")</f>
        <v>2</v>
      </c>
      <c r="N10" s="240">
        <f t="shared" si="1"/>
        <v>-2</v>
      </c>
      <c r="O10" s="359">
        <f>IFERROR(VLOOKUP($G10,融外自投!$A:$J,7,0),"無")</f>
        <v>988</v>
      </c>
      <c r="P10" s="79">
        <f>IFERROR(VLOOKUP($G10,融外自投!$A:$J,9,0),"無")</f>
        <v>741</v>
      </c>
      <c r="Q10" s="342">
        <f>IFERROR(VLOOKUP($G10,融外自投!$A:$J,8,0),"無")</f>
        <v>628</v>
      </c>
      <c r="R10" s="81">
        <f>IFERROR(VLOOKUP($G10,融外自投!$A:$J,10,0),"無")</f>
        <v>427</v>
      </c>
      <c r="S10" s="324">
        <f>IFERROR(VLOOKUP($G10,'321買'!$A:$E,4,0),"'沒有資料'")</f>
        <v>1002</v>
      </c>
      <c r="T10" s="186">
        <f>IFERROR(VLOOKUP($G10,基本資料!$A:$J,9,0),"無")</f>
        <v>0.2</v>
      </c>
      <c r="U10" s="307">
        <f t="shared" si="2"/>
        <v>9.9009900990099011E-3</v>
      </c>
      <c r="V10" s="94">
        <f>IFERROR(VLOOKUP($G10,基本資料!$A:$J,10,0),"無")</f>
        <v>0.25</v>
      </c>
      <c r="W10" s="36">
        <f>RTD("money.excel",,$G10,"Price")</f>
        <v>20.2</v>
      </c>
      <c r="X10" s="66"/>
      <c r="Y10" s="15">
        <f t="shared" si="0"/>
        <v>20.2</v>
      </c>
      <c r="Z10" s="3" t="e">
        <v>#DIV/0!</v>
      </c>
      <c r="AA10" s="340">
        <f>IFERROR(VLOOKUP($G10,基本資料!$A:$M,11,0),"無")</f>
        <v>-14.41</v>
      </c>
      <c r="AB10" s="389">
        <f>IFERROR(VLOOKUP($G10,基本資料!$A:$M,12,0),"無")</f>
        <v>31.26</v>
      </c>
      <c r="AC10" s="22" t="s">
        <v>857</v>
      </c>
      <c r="AF10" s="33">
        <v>0</v>
      </c>
      <c r="AG10" s="43" t="s">
        <v>291</v>
      </c>
      <c r="AH10" s="66">
        <f t="shared" si="3"/>
        <v>0.2804746494066882</v>
      </c>
      <c r="AI10" s="283">
        <f>RTD("money.excel",,$G10,"PredictVolume")</f>
        <v>156</v>
      </c>
      <c r="AJ10" s="391">
        <f>IFERROR(VLOOKUP($G10,基本資料!$A:$M,13,0),"無")</f>
        <v>556.20000000000005</v>
      </c>
      <c r="AR10" s="245" t="str">
        <f>INDEX(基本資料!N:N,MATCH($G10,基本資料!A:A,0))</f>
        <v>中</v>
      </c>
    </row>
    <row r="11" spans="1:44">
      <c r="A11" s="142"/>
      <c r="B11" s="90"/>
      <c r="C11" s="90"/>
      <c r="D11" s="90"/>
      <c r="E11" s="90"/>
      <c r="F11" s="6"/>
      <c r="G11" s="79"/>
      <c r="H11" s="8"/>
      <c r="I11" s="22"/>
      <c r="L11" s="2"/>
      <c r="O11" s="359"/>
      <c r="P11" s="47"/>
      <c r="Q11" s="342"/>
      <c r="T11" s="34"/>
      <c r="U11" s="307"/>
      <c r="V11" s="94"/>
      <c r="W11" s="36"/>
      <c r="X11" s="66"/>
      <c r="Y11" s="15"/>
      <c r="Z11" s="3"/>
      <c r="AC11" s="22"/>
      <c r="AF11" s="33"/>
      <c r="AG11" s="43"/>
      <c r="AH11" s="66" t="e">
        <f t="shared" si="3"/>
        <v>#DIV/0!</v>
      </c>
      <c r="AI11" s="283"/>
    </row>
    <row r="12" spans="1:44">
      <c r="A12" s="127" t="s">
        <v>1672</v>
      </c>
      <c r="B12" s="90" t="s">
        <v>1571</v>
      </c>
      <c r="C12" s="90" t="s">
        <v>1572</v>
      </c>
      <c r="D12" s="90" t="s">
        <v>1573</v>
      </c>
      <c r="E12" s="90" t="s">
        <v>1574</v>
      </c>
      <c r="F12" s="8" t="s">
        <v>1059</v>
      </c>
      <c r="G12" s="27" t="s">
        <v>767</v>
      </c>
      <c r="H12" s="55" t="s">
        <v>320</v>
      </c>
      <c r="I12" s="50" t="s">
        <v>3581</v>
      </c>
      <c r="J12" s="8" t="s">
        <v>6211</v>
      </c>
      <c r="K12" s="5" t="s">
        <v>6212</v>
      </c>
      <c r="L12" s="334" t="s">
        <v>6197</v>
      </c>
      <c r="M12" s="335" t="s">
        <v>6198</v>
      </c>
      <c r="N12" s="336" t="s">
        <v>6199</v>
      </c>
      <c r="O12" s="89" t="s">
        <v>6275</v>
      </c>
      <c r="P12" s="292" t="s">
        <v>6274</v>
      </c>
      <c r="Q12" s="350" t="s">
        <v>6273</v>
      </c>
      <c r="R12" s="26" t="s">
        <v>6276</v>
      </c>
      <c r="S12" s="318" t="s">
        <v>4715</v>
      </c>
      <c r="T12" s="10" t="s">
        <v>66</v>
      </c>
      <c r="U12" s="305" t="s">
        <v>4728</v>
      </c>
      <c r="V12" s="68" t="s">
        <v>3272</v>
      </c>
      <c r="W12" s="28" t="s">
        <v>2</v>
      </c>
      <c r="X12" s="17" t="s">
        <v>1398</v>
      </c>
      <c r="Y12" s="14" t="s">
        <v>5</v>
      </c>
      <c r="Z12" s="21" t="s">
        <v>3</v>
      </c>
      <c r="AA12" s="96" t="s">
        <v>6166</v>
      </c>
      <c r="AB12" s="378" t="s">
        <v>6404</v>
      </c>
      <c r="AC12" s="50" t="s">
        <v>3581</v>
      </c>
      <c r="AD12" s="71" t="s">
        <v>1399</v>
      </c>
      <c r="AE12" s="72" t="s">
        <v>1156</v>
      </c>
      <c r="AF12" s="32" t="s">
        <v>1157</v>
      </c>
      <c r="AG12" s="25" t="s">
        <v>6200</v>
      </c>
      <c r="AH12" s="8" t="s">
        <v>6696</v>
      </c>
      <c r="AI12" s="50" t="s">
        <v>3360</v>
      </c>
      <c r="AJ12" s="22" t="s">
        <v>6695</v>
      </c>
    </row>
    <row r="13" spans="1:44">
      <c r="A13" s="343">
        <f>IFERROR(VLOOKUP($G13,基本資料!$A:$J,3,0),"無")</f>
        <v>50.6</v>
      </c>
      <c r="B13" s="79">
        <f>IFERROR(VLOOKUP($G13,基本資料!$A:$J,4,0),"無")</f>
        <v>-5</v>
      </c>
      <c r="C13" s="79">
        <f>IFERROR(VLOOKUP($G13,基本資料!$A:$J,5,0),"無")</f>
        <v>8</v>
      </c>
      <c r="D13" s="79">
        <f>IFERROR(VLOOKUP($G13,基本資料!$A:$J,6,0),"無")</f>
        <v>-5</v>
      </c>
      <c r="E13" s="79">
        <f>IFERROR(VLOOKUP($G13,基本資料!$A:$J,7,0),"無")</f>
        <v>-4</v>
      </c>
      <c r="F13" s="6">
        <f>IFERROR(VLOOKUP($G13,基本資料!$A:$J,8,0),"無")</f>
        <v>3.25</v>
      </c>
      <c r="G13" s="79">
        <v>1201</v>
      </c>
      <c r="H13" s="8" t="s">
        <v>292</v>
      </c>
      <c r="I13" s="22" t="s">
        <v>87</v>
      </c>
      <c r="J13" s="8">
        <f>IFERROR(VLOOKUP($G13,今日總結!$A:$AN,39,0),"")</f>
        <v>0</v>
      </c>
      <c r="K13" s="5">
        <f>IFERROR(VLOOKUP($G13,今日總結!$A:$AN,40,0),"")</f>
        <v>0</v>
      </c>
      <c r="L13" s="156">
        <f>IFERROR(VLOOKUP($G13,今日總結!$A:$AN,37,0),"")</f>
        <v>0</v>
      </c>
      <c r="M13" s="337">
        <f>IFERROR(VLOOKUP($G13,今日總結!$A:$AN,38,0),"")</f>
        <v>0</v>
      </c>
      <c r="N13" s="240">
        <f>IFERROR(L13-M13,"")</f>
        <v>0</v>
      </c>
      <c r="O13" s="359">
        <f>IFERROR(VLOOKUP($G13,融外自投!$A:$J,7,0),"無")</f>
        <v>1128</v>
      </c>
      <c r="P13" s="79">
        <f>IFERROR(VLOOKUP($G13,融外自投!$A:$J,9,0),"無")</f>
        <v>478</v>
      </c>
      <c r="Q13" s="342">
        <f>IFERROR(VLOOKUP($G13,融外自投!$A:$J,8,0),"無")</f>
        <v>448</v>
      </c>
      <c r="R13" s="81" t="str">
        <f>IFERROR(VLOOKUP($G13,融外自投!$A:$J,10,0),"無")</f>
        <v>無</v>
      </c>
      <c r="S13" s="324">
        <f>IFERROR(VLOOKUP($G13,'321買'!$A:$E,4,0),"'沒有資料'")</f>
        <v>1002</v>
      </c>
      <c r="T13" s="186">
        <f>IFERROR(VLOOKUP($G13,基本資料!$A:$J,9,0),"無")</f>
        <v>0.5</v>
      </c>
      <c r="U13" s="307">
        <f>$T13/$W13</f>
        <v>2.4154589371980676E-2</v>
      </c>
      <c r="V13" s="94">
        <f>IFERROR(VLOOKUP($G13,基本資料!$A:$J,10,0),"無")</f>
        <v>1</v>
      </c>
      <c r="W13" s="36">
        <f>RTD("money.excel",,$G13,"Price")</f>
        <v>20.7</v>
      </c>
      <c r="X13" s="66"/>
      <c r="Y13" s="15">
        <f t="shared" ref="Y13:Y39" si="4">W13-X13</f>
        <v>20.7</v>
      </c>
      <c r="Z13" s="3" t="e">
        <f t="shared" ref="Z13:Z39" si="5">Y13/X13</f>
        <v>#DIV/0!</v>
      </c>
      <c r="AA13" s="340">
        <f>IFERROR(VLOOKUP($G13,基本資料!$A:$M,11,0),"無")</f>
        <v>-14.11</v>
      </c>
      <c r="AB13" s="389">
        <f>IFERROR(VLOOKUP($G13,基本資料!$A:$M,12,0),"無")</f>
        <v>28.1</v>
      </c>
      <c r="AC13" s="22" t="s">
        <v>87</v>
      </c>
      <c r="AF13" s="33">
        <v>0</v>
      </c>
      <c r="AG13" s="117" t="s">
        <v>292</v>
      </c>
      <c r="AH13" s="66">
        <f t="shared" si="3"/>
        <v>0.35736966687835575</v>
      </c>
      <c r="AI13" s="283">
        <f>RTD("money.excel",,$G13,"PredictVolume")</f>
        <v>619</v>
      </c>
      <c r="AJ13" s="391">
        <f>IFERROR(VLOOKUP($G13,基本資料!$A:$M,13,0),"無")</f>
        <v>1732.1</v>
      </c>
      <c r="AR13" s="245" t="str">
        <f>INDEX(基本資料!N:N,MATCH($G13,基本資料!A:A,0))</f>
        <v>低</v>
      </c>
    </row>
    <row r="14" spans="1:44">
      <c r="A14" s="343">
        <f>IFERROR(VLOOKUP($G14,基本資料!$A:$J,3,0),"無")</f>
        <v>24</v>
      </c>
      <c r="B14" s="79">
        <f>IFERROR(VLOOKUP($G14,基本資料!$A:$J,4,0),"無")</f>
        <v>0</v>
      </c>
      <c r="C14" s="79">
        <f>IFERROR(VLOOKUP($G14,基本資料!$A:$J,5,0),"無")</f>
        <v>-11</v>
      </c>
      <c r="D14" s="79">
        <f>IFERROR(VLOOKUP($G14,基本資料!$A:$J,6,0),"無")</f>
        <v>0</v>
      </c>
      <c r="E14" s="79">
        <f>IFERROR(VLOOKUP($G14,基本資料!$A:$J,7,0),"無")</f>
        <v>9</v>
      </c>
      <c r="F14" s="6">
        <f>IFERROR(VLOOKUP($G14,基本資料!$A:$J,8,0),"無")</f>
        <v>14.86</v>
      </c>
      <c r="G14" s="79">
        <v>1203</v>
      </c>
      <c r="H14" s="8" t="s">
        <v>292</v>
      </c>
      <c r="I14" s="22" t="s">
        <v>771</v>
      </c>
      <c r="J14" s="8">
        <f>IFERROR(VLOOKUP($G14,今日總結!$A:$AN,39,0),"")</f>
        <v>0</v>
      </c>
      <c r="K14" s="5">
        <f>IFERROR(VLOOKUP($G14,今日總結!$A:$AN,40,0),"")</f>
        <v>0</v>
      </c>
      <c r="L14" s="156">
        <f>IFERROR(VLOOKUP($G14,今日總結!$A:$AN,37,0),"")</f>
        <v>0</v>
      </c>
      <c r="M14" s="337">
        <f>IFERROR(VLOOKUP($G14,今日總結!$A:$AN,38,0),"")</f>
        <v>0</v>
      </c>
      <c r="N14" s="240">
        <f t="shared" ref="N14:N20" si="6">IFERROR(L14-M14,"")</f>
        <v>0</v>
      </c>
      <c r="O14" s="359">
        <f>IFERROR(VLOOKUP($G14,融外自投!$A:$J,7,0),"無")</f>
        <v>1392</v>
      </c>
      <c r="P14" s="79">
        <f>IFERROR(VLOOKUP($G14,融外自投!$A:$J,9,0),"無")</f>
        <v>1123</v>
      </c>
      <c r="Q14" s="342">
        <f>IFERROR(VLOOKUP($G14,融外自投!$A:$J,8,0),"無")</f>
        <v>1068</v>
      </c>
      <c r="R14" s="81" t="str">
        <f>IFERROR(VLOOKUP($G14,融外自投!$A:$J,10,0),"無")</f>
        <v>無</v>
      </c>
      <c r="S14" s="324">
        <f>IFERROR(VLOOKUP($G14,'321買'!$A:$E,4,0),"'沒有資料'")</f>
        <v>1002</v>
      </c>
      <c r="T14" s="186">
        <f>IFERROR(VLOOKUP($G14,基本資料!$A:$J,9,0),"無")</f>
        <v>1.1000000000000001</v>
      </c>
      <c r="U14" s="307">
        <f t="shared" ref="U14:U39" si="7">$T14/$W14</f>
        <v>3.3639143730886847E-2</v>
      </c>
      <c r="V14" s="94">
        <f>IFERROR(VLOOKUP($G14,基本資料!$A:$J,10,0),"無")</f>
        <v>1.88</v>
      </c>
      <c r="W14" s="36">
        <f>RTD("money.excel",,$G14,"Price")</f>
        <v>32.700000000000003</v>
      </c>
      <c r="X14" s="66"/>
      <c r="Y14" s="15">
        <f t="shared" si="4"/>
        <v>32.700000000000003</v>
      </c>
      <c r="Z14" s="3" t="e">
        <f t="shared" si="5"/>
        <v>#DIV/0!</v>
      </c>
      <c r="AA14" s="340">
        <f>IFERROR(VLOOKUP($G14,基本資料!$A:$M,11,0),"無")</f>
        <v>-7.76</v>
      </c>
      <c r="AB14" s="389">
        <f>IFERROR(VLOOKUP($G14,基本資料!$A:$M,12,0),"無")</f>
        <v>38.200000000000003</v>
      </c>
      <c r="AC14" s="22" t="s">
        <v>771</v>
      </c>
      <c r="AF14" s="33">
        <v>0</v>
      </c>
      <c r="AG14" s="43" t="s">
        <v>2604</v>
      </c>
      <c r="AH14" s="66">
        <f t="shared" si="3"/>
        <v>1.0194902548725637</v>
      </c>
      <c r="AI14" s="283">
        <f>RTD("money.excel",,$G14,"PredictVolume")</f>
        <v>34</v>
      </c>
      <c r="AJ14" s="391">
        <f>IFERROR(VLOOKUP($G14,基本資料!$A:$M,13,0),"無")</f>
        <v>33.35</v>
      </c>
      <c r="AK14" s="279"/>
      <c r="AR14" s="245" t="str">
        <f>INDEX(基本資料!N:N,MATCH($G14,基本資料!A:A,0))</f>
        <v>中</v>
      </c>
    </row>
    <row r="15" spans="1:44">
      <c r="A15" s="343">
        <f>IFERROR(VLOOKUP($G15,基本資料!$A:$J,3,0),"無")</f>
        <v>85.21</v>
      </c>
      <c r="B15" s="79">
        <f>IFERROR(VLOOKUP($G15,基本資料!$A:$J,4,0),"無")</f>
        <v>-44</v>
      </c>
      <c r="C15" s="79">
        <f>IFERROR(VLOOKUP($G15,基本資料!$A:$J,5,0),"無")</f>
        <v>-44</v>
      </c>
      <c r="D15" s="79">
        <f>IFERROR(VLOOKUP($G15,基本資料!$A:$J,6,0),"無")</f>
        <v>7</v>
      </c>
      <c r="E15" s="79">
        <f>IFERROR(VLOOKUP($G15,基本資料!$A:$J,7,0),"無")</f>
        <v>1</v>
      </c>
      <c r="F15" s="6">
        <f>IFERROR(VLOOKUP($G15,基本資料!$A:$J,8,0),"無")</f>
        <v>2.31</v>
      </c>
      <c r="G15" s="79">
        <v>1210</v>
      </c>
      <c r="H15" s="8" t="s">
        <v>292</v>
      </c>
      <c r="I15" s="22" t="s">
        <v>772</v>
      </c>
      <c r="J15" s="8">
        <f>IFERROR(VLOOKUP($G15,今日總結!$A:$AN,39,0),"")</f>
        <v>0</v>
      </c>
      <c r="K15" s="5" t="str">
        <f>IFERROR(VLOOKUP($G15,今日總結!$A:$AN,40,0),"")</f>
        <v>主借</v>
      </c>
      <c r="L15" s="156">
        <f>IFERROR(VLOOKUP($G15,今日總結!$A:$AN,37,0),"")</f>
        <v>0</v>
      </c>
      <c r="M15" s="337">
        <f>IFERROR(VLOOKUP($G15,今日總結!$A:$AN,38,0),"")</f>
        <v>5</v>
      </c>
      <c r="N15" s="240">
        <f t="shared" si="6"/>
        <v>-5</v>
      </c>
      <c r="O15" s="359">
        <f>IFERROR(VLOOKUP($G15,融外自投!$A:$J,7,0),"無")</f>
        <v>1264</v>
      </c>
      <c r="P15" s="79">
        <f>IFERROR(VLOOKUP($G15,融外自投!$A:$J,9,0),"無")</f>
        <v>869</v>
      </c>
      <c r="Q15" s="342">
        <f>IFERROR(VLOOKUP($G15,融外自投!$A:$J,8,0),"無")</f>
        <v>475</v>
      </c>
      <c r="R15" s="81">
        <f>IFERROR(VLOOKUP($G15,融外自投!$A:$J,10,0),"無")</f>
        <v>413</v>
      </c>
      <c r="S15" s="324">
        <f>IFERROR(VLOOKUP($G15,'321買'!$A:$E,4,0),"'沒有資料'")</f>
        <v>801</v>
      </c>
      <c r="T15" s="186">
        <f>IFERROR(VLOOKUP($G15,基本資料!$A:$J,9,0),"無")</f>
        <v>2</v>
      </c>
      <c r="U15" s="307">
        <f t="shared" si="7"/>
        <v>4.2328042328042326E-2</v>
      </c>
      <c r="V15" s="94">
        <f>IFERROR(VLOOKUP($G15,基本資料!$A:$J,10,0),"無")</f>
        <v>2.3199999999999998</v>
      </c>
      <c r="W15" s="36">
        <f>RTD("money.excel",,$G15,"Price")</f>
        <v>47.25</v>
      </c>
      <c r="X15" s="66"/>
      <c r="Y15" s="15">
        <f t="shared" si="4"/>
        <v>47.25</v>
      </c>
      <c r="Z15" s="3" t="e">
        <f t="shared" si="5"/>
        <v>#DIV/0!</v>
      </c>
      <c r="AA15" s="340">
        <f>IFERROR(VLOOKUP($G15,基本資料!$A:$M,11,0),"無")</f>
        <v>-23.54</v>
      </c>
      <c r="AB15" s="389">
        <f>IFERROR(VLOOKUP($G15,基本資料!$A:$M,12,0),"無")</f>
        <v>12.96</v>
      </c>
      <c r="AC15" s="22" t="s">
        <v>772</v>
      </c>
      <c r="AF15" s="33">
        <v>0</v>
      </c>
      <c r="AG15" s="43" t="s">
        <v>2605</v>
      </c>
      <c r="AH15" s="66">
        <f t="shared" si="3"/>
        <v>0.52750253408080094</v>
      </c>
      <c r="AI15" s="283">
        <f>RTD("money.excel",,$G15,"PredictVolume")</f>
        <v>1275</v>
      </c>
      <c r="AJ15" s="391">
        <f>IFERROR(VLOOKUP($G15,基本資料!$A:$M,13,0),"無")</f>
        <v>2417.0500000000002</v>
      </c>
      <c r="AR15" s="245" t="str">
        <f>INDEX(基本資料!N:N,MATCH($G15,基本資料!A:A,0))</f>
        <v>低</v>
      </c>
    </row>
    <row r="16" spans="1:44">
      <c r="A16" s="343">
        <f>IFERROR(VLOOKUP($G16,基本資料!$A:$J,3,0),"無")</f>
        <v>5.66</v>
      </c>
      <c r="B16" s="79">
        <f>IFERROR(VLOOKUP($G16,基本資料!$A:$J,4,0),"無")</f>
        <v>-246</v>
      </c>
      <c r="C16" s="79">
        <f>IFERROR(VLOOKUP($G16,基本資料!$A:$J,5,0),"無")</f>
        <v>-24</v>
      </c>
      <c r="D16" s="79">
        <f>IFERROR(VLOOKUP($G16,基本資料!$A:$J,6,0),"無")</f>
        <v>-13</v>
      </c>
      <c r="E16" s="79">
        <f>IFERROR(VLOOKUP($G16,基本資料!$A:$J,7,0),"無")</f>
        <v>-16</v>
      </c>
      <c r="F16" s="6">
        <f>IFERROR(VLOOKUP($G16,基本資料!$A:$J,8,0),"無")</f>
        <v>-15.29</v>
      </c>
      <c r="G16" s="79">
        <v>1213</v>
      </c>
      <c r="H16" s="8" t="s">
        <v>292</v>
      </c>
      <c r="I16" s="22" t="s">
        <v>773</v>
      </c>
      <c r="J16" s="8" t="str">
        <f>IFERROR(VLOOKUP($G16,今日總結!$A:$AN,39,0),"")</f>
        <v/>
      </c>
      <c r="K16" s="5" t="str">
        <f>IFERROR(VLOOKUP($G16,今日總結!$A:$AN,40,0),"")</f>
        <v/>
      </c>
      <c r="L16" s="156" t="str">
        <f>IFERROR(VLOOKUP($G16,今日總結!$A:$AN,37,0),"")</f>
        <v/>
      </c>
      <c r="M16" s="337" t="str">
        <f>IFERROR(VLOOKUP($G16,今日總結!$A:$AN,38,0),"")</f>
        <v/>
      </c>
      <c r="N16" s="240" t="str">
        <f t="shared" si="6"/>
        <v/>
      </c>
      <c r="O16" s="359" t="str">
        <f>IFERROR(VLOOKUP($G16,融外自投!$A:$J,7,0),"無")</f>
        <v>無</v>
      </c>
      <c r="P16" s="79" t="str">
        <f>IFERROR(VLOOKUP($G16,融外自投!$A:$J,9,0),"無")</f>
        <v>無</v>
      </c>
      <c r="Q16" s="342" t="str">
        <f>IFERROR(VLOOKUP($G16,融外自投!$A:$J,8,0),"無")</f>
        <v>無</v>
      </c>
      <c r="R16" s="81" t="str">
        <f>IFERROR(VLOOKUP($G16,融外自投!$A:$J,10,0),"無")</f>
        <v>無</v>
      </c>
      <c r="S16" s="324" t="str">
        <f>IFERROR(VLOOKUP($G16,'321買'!$A:$E,4,0),"'沒有資料'")</f>
        <v>'沒有資料'</v>
      </c>
      <c r="T16" s="186">
        <f>IFERROR(VLOOKUP($G16,基本資料!$A:$J,9,0),"無")</f>
        <v>0</v>
      </c>
      <c r="U16" s="307">
        <f t="shared" si="7"/>
        <v>0</v>
      </c>
      <c r="V16" s="94">
        <f>IFERROR(VLOOKUP($G16,基本資料!$A:$J,10,0),"無")</f>
        <v>-1.67</v>
      </c>
      <c r="W16" s="36">
        <f>RTD("money.excel",,$G16,"Price")</f>
        <v>7.98</v>
      </c>
      <c r="X16" s="66"/>
      <c r="Y16" s="15">
        <f t="shared" si="4"/>
        <v>7.98</v>
      </c>
      <c r="Z16" s="3" t="e">
        <f t="shared" si="5"/>
        <v>#DIV/0!</v>
      </c>
      <c r="AA16" s="340">
        <f>IFERROR(VLOOKUP($G16,基本資料!$A:$M,11,0),"無")</f>
        <v>-14.93</v>
      </c>
      <c r="AB16" s="389">
        <f>IFERROR(VLOOKUP($G16,基本資料!$A:$M,12,0),"無")</f>
        <v>45.7</v>
      </c>
      <c r="AC16" s="22" t="s">
        <v>773</v>
      </c>
      <c r="AF16" s="33">
        <v>0</v>
      </c>
      <c r="AG16" s="43" t="s">
        <v>1526</v>
      </c>
      <c r="AH16" s="66">
        <f t="shared" si="3"/>
        <v>4.7727272727272725</v>
      </c>
      <c r="AI16" s="283">
        <f>RTD("money.excel",,$G16,"PredictVolume")</f>
        <v>21</v>
      </c>
      <c r="AJ16" s="391">
        <f>IFERROR(VLOOKUP($G16,基本資料!$A:$M,13,0),"無")</f>
        <v>4.4000000000000004</v>
      </c>
      <c r="AR16" s="245" t="str">
        <f>INDEX(基本資料!N:N,MATCH($G16,基本資料!A:A,0))</f>
        <v>中</v>
      </c>
    </row>
    <row r="17" spans="1:44">
      <c r="A17" s="343">
        <f>IFERROR(VLOOKUP($G17,基本資料!$A:$J,3,0),"無")</f>
        <v>26.79</v>
      </c>
      <c r="B17" s="79">
        <f>IFERROR(VLOOKUP($G17,基本資料!$A:$J,4,0),"無")</f>
        <v>-19</v>
      </c>
      <c r="C17" s="79">
        <f>IFERROR(VLOOKUP($G17,基本資料!$A:$J,5,0),"無")</f>
        <v>-16</v>
      </c>
      <c r="D17" s="79">
        <f>IFERROR(VLOOKUP($G17,基本資料!$A:$J,6,0),"無")</f>
        <v>-11</v>
      </c>
      <c r="E17" s="79">
        <f>IFERROR(VLOOKUP($G17,基本資料!$A:$J,7,0),"無")</f>
        <v>9</v>
      </c>
      <c r="F17" s="6">
        <f>IFERROR(VLOOKUP($G17,基本資料!$A:$J,8,0),"無")</f>
        <v>6.41</v>
      </c>
      <c r="G17" s="79">
        <v>1215</v>
      </c>
      <c r="H17" s="8" t="s">
        <v>292</v>
      </c>
      <c r="I17" s="22" t="s">
        <v>774</v>
      </c>
      <c r="J17" s="8" t="str">
        <f>IFERROR(VLOOKUP($G17,今日總結!$A:$AN,39,0),"")</f>
        <v>自</v>
      </c>
      <c r="K17" s="5" t="str">
        <f>IFERROR(VLOOKUP($G17,今日總結!$A:$AN,40,0),"")</f>
        <v>外</v>
      </c>
      <c r="L17" s="156">
        <f>IFERROR(VLOOKUP($G17,今日總結!$A:$AN,37,0),"")</f>
        <v>2</v>
      </c>
      <c r="M17" s="337">
        <f>IFERROR(VLOOKUP($G17,今日總結!$A:$AN,38,0),"")</f>
        <v>9</v>
      </c>
      <c r="N17" s="240">
        <f t="shared" si="6"/>
        <v>-7</v>
      </c>
      <c r="O17" s="359">
        <f>IFERROR(VLOOKUP($G17,融外自投!$A:$J,7,0),"無")</f>
        <v>1310</v>
      </c>
      <c r="P17" s="79">
        <f>IFERROR(VLOOKUP($G17,融外自投!$A:$J,9,0),"無")</f>
        <v>515</v>
      </c>
      <c r="Q17" s="342">
        <f>IFERROR(VLOOKUP($G17,融外自投!$A:$J,8,0),"無")</f>
        <v>126</v>
      </c>
      <c r="R17" s="81">
        <f>IFERROR(VLOOKUP($G17,融外自投!$A:$J,10,0),"無")</f>
        <v>205</v>
      </c>
      <c r="S17" s="324">
        <f>IFERROR(VLOOKUP($G17,'321買'!$A:$E,4,0),"'沒有資料'")</f>
        <v>650</v>
      </c>
      <c r="T17" s="186">
        <f>IFERROR(VLOOKUP($G17,基本資料!$A:$J,9,0),"無")</f>
        <v>4</v>
      </c>
      <c r="U17" s="307">
        <f t="shared" si="7"/>
        <v>5.037783375314861E-2</v>
      </c>
      <c r="V17" s="94">
        <f>IFERROR(VLOOKUP($G17,基本資料!$A:$J,10,0),"無")</f>
        <v>5.0599999999999996</v>
      </c>
      <c r="W17" s="36">
        <f>RTD("money.excel",,$G17,"Price")</f>
        <v>79.400000000000006</v>
      </c>
      <c r="X17" s="66"/>
      <c r="Y17" s="15">
        <f t="shared" si="4"/>
        <v>79.400000000000006</v>
      </c>
      <c r="Z17" s="3" t="e">
        <f t="shared" si="5"/>
        <v>#DIV/0!</v>
      </c>
      <c r="AA17" s="340">
        <f>IFERROR(VLOOKUP($G17,基本資料!$A:$M,11,0),"無")</f>
        <v>-8.5299999999999994</v>
      </c>
      <c r="AB17" s="389">
        <f>IFERROR(VLOOKUP($G17,基本資料!$A:$M,12,0),"無")</f>
        <v>20.94</v>
      </c>
      <c r="AC17" s="22" t="s">
        <v>774</v>
      </c>
      <c r="AF17" s="33">
        <v>0</v>
      </c>
      <c r="AG17" s="43" t="s">
        <v>2605</v>
      </c>
      <c r="AH17" s="66">
        <f t="shared" si="3"/>
        <v>0.91863517060367461</v>
      </c>
      <c r="AI17" s="283">
        <f>RTD("money.excel",,$G17,"PredictVolume")</f>
        <v>420</v>
      </c>
      <c r="AJ17" s="391">
        <f>IFERROR(VLOOKUP($G17,基本資料!$A:$M,13,0),"無")</f>
        <v>457.2</v>
      </c>
      <c r="AR17" s="245" t="str">
        <f>INDEX(基本資料!N:N,MATCH($G17,基本資料!A:A,0))</f>
        <v>低</v>
      </c>
    </row>
    <row r="18" spans="1:44">
      <c r="A18" s="343">
        <f>IFERROR(VLOOKUP($G18,基本資料!$A:$J,3,0),"無")</f>
        <v>568</v>
      </c>
      <c r="B18" s="79">
        <f>IFERROR(VLOOKUP($G18,基本資料!$A:$J,4,0),"無")</f>
        <v>-6</v>
      </c>
      <c r="C18" s="79">
        <f>IFERROR(VLOOKUP($G18,基本資料!$A:$J,5,0),"無")</f>
        <v>-4</v>
      </c>
      <c r="D18" s="79">
        <f>IFERROR(VLOOKUP($G18,基本資料!$A:$J,6,0),"無")</f>
        <v>2</v>
      </c>
      <c r="E18" s="79">
        <f>IFERROR(VLOOKUP($G18,基本資料!$A:$J,7,0),"無")</f>
        <v>12</v>
      </c>
      <c r="F18" s="6">
        <f>IFERROR(VLOOKUP($G18,基本資料!$A:$J,8,0),"無")</f>
        <v>6</v>
      </c>
      <c r="G18" s="79">
        <v>1216</v>
      </c>
      <c r="H18" s="8" t="s">
        <v>292</v>
      </c>
      <c r="I18" s="153" t="s">
        <v>10</v>
      </c>
      <c r="J18" s="8" t="str">
        <f>IFERROR(VLOOKUP($G18,今日總結!$A:$AN,39,0),"")</f>
        <v>投</v>
      </c>
      <c r="K18" s="5" t="str">
        <f>IFERROR(VLOOKUP($G18,今日總結!$A:$AN,40,0),"")</f>
        <v>外</v>
      </c>
      <c r="L18" s="156">
        <f>IFERROR(VLOOKUP($G18,今日總結!$A:$AN,37,0),"")</f>
        <v>17</v>
      </c>
      <c r="M18" s="337">
        <f>IFERROR(VLOOKUP($G18,今日總結!$A:$AN,38,0),"")</f>
        <v>3</v>
      </c>
      <c r="N18" s="240">
        <f t="shared" si="6"/>
        <v>14</v>
      </c>
      <c r="O18" s="359">
        <f>IFERROR(VLOOKUP($G18,融外自投!$A:$J,7,0),"無")</f>
        <v>1430</v>
      </c>
      <c r="P18" s="79">
        <f>IFERROR(VLOOKUP($G18,融外自投!$A:$J,9,0),"無")</f>
        <v>383</v>
      </c>
      <c r="Q18" s="342">
        <f>IFERROR(VLOOKUP($G18,融外自投!$A:$J,8,0),"無")</f>
        <v>115</v>
      </c>
      <c r="R18" s="81">
        <f>IFERROR(VLOOKUP($G18,融外自投!$A:$J,10,0),"無")</f>
        <v>147</v>
      </c>
      <c r="S18" s="324">
        <f>IFERROR(VLOOKUP($G18,'321買'!$A:$E,4,0),"'沒有資料'")</f>
        <v>606</v>
      </c>
      <c r="T18" s="186">
        <f>IFERROR(VLOOKUP($G18,基本資料!$A:$J,9,0),"無")</f>
        <v>2.7</v>
      </c>
      <c r="U18" s="307">
        <f t="shared" si="7"/>
        <v>4.1860465116279069E-2</v>
      </c>
      <c r="V18" s="94">
        <f>IFERROR(VLOOKUP($G18,基本資料!$A:$J,10,0),"無")</f>
        <v>3.5</v>
      </c>
      <c r="W18" s="36">
        <f>RTD("money.excel",,$G18,"Price")</f>
        <v>64.5</v>
      </c>
      <c r="X18" s="66"/>
      <c r="Y18" s="15">
        <f t="shared" si="4"/>
        <v>64.5</v>
      </c>
      <c r="Z18" s="3" t="e">
        <f t="shared" si="5"/>
        <v>#DIV/0!</v>
      </c>
      <c r="AA18" s="340">
        <f>IFERROR(VLOOKUP($G18,基本資料!$A:$M,11,0),"無")</f>
        <v>-15.13</v>
      </c>
      <c r="AB18" s="389">
        <f>IFERROR(VLOOKUP($G18,基本資料!$A:$M,12,0),"無")</f>
        <v>35.950000000000003</v>
      </c>
      <c r="AC18" s="153" t="s">
        <v>10</v>
      </c>
      <c r="AF18" s="33">
        <v>0</v>
      </c>
      <c r="AG18" s="117" t="s">
        <v>292</v>
      </c>
      <c r="AH18" s="66">
        <f t="shared" si="3"/>
        <v>1.5501907892251312</v>
      </c>
      <c r="AI18" s="283">
        <f>RTD("money.excel",,$G18,"PredictVolume")</f>
        <v>10258</v>
      </c>
      <c r="AJ18" s="391">
        <f>IFERROR(VLOOKUP($G18,基本資料!$A:$M,13,0),"無")</f>
        <v>6617.25</v>
      </c>
      <c r="AR18" s="245" t="str">
        <f>INDEX(基本資料!N:N,MATCH($G18,基本資料!A:A,0))</f>
        <v>低</v>
      </c>
    </row>
    <row r="19" spans="1:44">
      <c r="A19" s="343">
        <f>IFERROR(VLOOKUP($G19,基本資料!$A:$J,3,0),"無")</f>
        <v>49.45</v>
      </c>
      <c r="B19" s="79">
        <f>IFERROR(VLOOKUP($G19,基本資料!$A:$J,4,0),"無")</f>
        <v>-12</v>
      </c>
      <c r="C19" s="79">
        <f>IFERROR(VLOOKUP($G19,基本資料!$A:$J,5,0),"無")</f>
        <v>-20</v>
      </c>
      <c r="D19" s="79">
        <f>IFERROR(VLOOKUP($G19,基本資料!$A:$J,6,0),"無")</f>
        <v>-21</v>
      </c>
      <c r="E19" s="79">
        <f>IFERROR(VLOOKUP($G19,基本資料!$A:$J,7,0),"無")</f>
        <v>10</v>
      </c>
      <c r="F19" s="6">
        <f>IFERROR(VLOOKUP($G19,基本資料!$A:$J,8,0),"無")</f>
        <v>3.64</v>
      </c>
      <c r="G19" s="79">
        <v>1217</v>
      </c>
      <c r="H19" s="8" t="s">
        <v>292</v>
      </c>
      <c r="I19" s="22" t="s">
        <v>775</v>
      </c>
      <c r="J19" s="8">
        <f>IFERROR(VLOOKUP($G19,今日總結!$A:$AN,39,0),"")</f>
        <v>0</v>
      </c>
      <c r="K19" s="5" t="str">
        <f>IFERROR(VLOOKUP($G19,今日總結!$A:$AN,40,0),"")</f>
        <v>融</v>
      </c>
      <c r="L19" s="156">
        <f>IFERROR(VLOOKUP($G19,今日總結!$A:$AN,37,0),"")</f>
        <v>0</v>
      </c>
      <c r="M19" s="337">
        <f>IFERROR(VLOOKUP($G19,今日總結!$A:$AN,38,0),"")</f>
        <v>2</v>
      </c>
      <c r="N19" s="240">
        <f t="shared" si="6"/>
        <v>-2</v>
      </c>
      <c r="O19" s="359">
        <f>IFERROR(VLOOKUP($G19,融外自投!$A:$J,7,0),"無")</f>
        <v>565</v>
      </c>
      <c r="P19" s="79">
        <f>IFERROR(VLOOKUP($G19,融外自投!$A:$J,9,0),"無")</f>
        <v>1051</v>
      </c>
      <c r="Q19" s="342">
        <f>IFERROR(VLOOKUP($G19,融外自投!$A:$J,8,0),"無")</f>
        <v>735</v>
      </c>
      <c r="R19" s="81" t="str">
        <f>IFERROR(VLOOKUP($G19,融外自投!$A:$J,10,0),"無")</f>
        <v>無</v>
      </c>
      <c r="S19" s="324">
        <f>IFERROR(VLOOKUP($G19,'321買'!$A:$E,4,0),"'沒有資料'")</f>
        <v>891</v>
      </c>
      <c r="T19" s="186">
        <f>IFERROR(VLOOKUP($G19,基本資料!$A:$J,9,0),"無")</f>
        <v>0.3</v>
      </c>
      <c r="U19" s="307">
        <f t="shared" si="7"/>
        <v>2.8301886792452831E-2</v>
      </c>
      <c r="V19" s="94">
        <f>IFERROR(VLOOKUP($G19,基本資料!$A:$J,10,0),"無")</f>
        <v>0.41</v>
      </c>
      <c r="W19" s="36">
        <f>RTD("money.excel",,$G19,"Price")</f>
        <v>10.6</v>
      </c>
      <c r="X19" s="66"/>
      <c r="Y19" s="15">
        <f t="shared" si="4"/>
        <v>10.6</v>
      </c>
      <c r="Z19" s="3" t="e">
        <f t="shared" si="5"/>
        <v>#DIV/0!</v>
      </c>
      <c r="AA19" s="340">
        <f>IFERROR(VLOOKUP($G19,基本資料!$A:$M,11,0),"無")</f>
        <v>-22.06</v>
      </c>
      <c r="AB19" s="389">
        <f>IFERROR(VLOOKUP($G19,基本資料!$A:$M,12,0),"無")</f>
        <v>28.29</v>
      </c>
      <c r="AC19" s="22" t="s">
        <v>775</v>
      </c>
      <c r="AF19" s="33">
        <v>0</v>
      </c>
      <c r="AG19" s="43" t="s">
        <v>1527</v>
      </c>
      <c r="AH19" s="66">
        <f t="shared" si="3"/>
        <v>0.18294343177151939</v>
      </c>
      <c r="AI19" s="283">
        <f>RTD("money.excel",,$G19,"PredictVolume")</f>
        <v>2486</v>
      </c>
      <c r="AJ19" s="391">
        <f>IFERROR(VLOOKUP($G19,基本資料!$A:$M,13,0),"無")</f>
        <v>13588.9</v>
      </c>
      <c r="AR19" s="245" t="str">
        <f>INDEX(基本資料!N:N,MATCH($G19,基本資料!A:A,0))</f>
        <v>低</v>
      </c>
    </row>
    <row r="20" spans="1:44">
      <c r="A20" s="343">
        <f>IFERROR(VLOOKUP($G20,基本資料!$A:$J,3,0),"無")</f>
        <v>49.99</v>
      </c>
      <c r="B20" s="79">
        <f>IFERROR(VLOOKUP($G20,基本資料!$A:$J,4,0),"無")</f>
        <v>-30</v>
      </c>
      <c r="C20" s="79">
        <f>IFERROR(VLOOKUP($G20,基本資料!$A:$J,5,0),"無")</f>
        <v>-33</v>
      </c>
      <c r="D20" s="79">
        <f>IFERROR(VLOOKUP($G20,基本資料!$A:$J,6,0),"無")</f>
        <v>-1</v>
      </c>
      <c r="E20" s="79">
        <f>IFERROR(VLOOKUP($G20,基本資料!$A:$J,7,0),"無")</f>
        <v>12</v>
      </c>
      <c r="F20" s="6">
        <f>IFERROR(VLOOKUP($G20,基本資料!$A:$J,8,0),"無")</f>
        <v>2.11</v>
      </c>
      <c r="G20" s="79">
        <v>1218</v>
      </c>
      <c r="H20" s="8" t="s">
        <v>292</v>
      </c>
      <c r="I20" s="22" t="s">
        <v>776</v>
      </c>
      <c r="J20" s="8" t="str">
        <f>IFERROR(VLOOKUP($G20,今日總結!$A:$AN,39,0),"")</f>
        <v>主</v>
      </c>
      <c r="K20" s="5" t="str">
        <f>IFERROR(VLOOKUP($G20,今日總結!$A:$AN,40,0),"")</f>
        <v>融</v>
      </c>
      <c r="L20" s="156">
        <f>IFERROR(VLOOKUP($G20,今日總結!$A:$AN,37,0),"")</f>
        <v>6</v>
      </c>
      <c r="M20" s="337">
        <f>IFERROR(VLOOKUP($G20,今日總結!$A:$AN,38,0),"")</f>
        <v>7</v>
      </c>
      <c r="N20" s="240">
        <f t="shared" si="6"/>
        <v>-1</v>
      </c>
      <c r="O20" s="359">
        <f>IFERROR(VLOOKUP($G20,融外自投!$A:$J,7,0),"無")</f>
        <v>1251</v>
      </c>
      <c r="P20" s="79" t="str">
        <f>IFERROR(VLOOKUP($G20,融外自投!$A:$J,9,0),"無")</f>
        <v>無</v>
      </c>
      <c r="Q20" s="342">
        <f>IFERROR(VLOOKUP($G20,融外自投!$A:$J,8,0),"無")</f>
        <v>1002</v>
      </c>
      <c r="R20" s="81" t="str">
        <f>IFERROR(VLOOKUP($G20,融外自投!$A:$J,10,0),"無")</f>
        <v>無</v>
      </c>
      <c r="S20" s="324">
        <f>IFERROR(VLOOKUP($G20,'321買'!$A:$E,4,0),"'沒有資料'")</f>
        <v>1002</v>
      </c>
      <c r="T20" s="186">
        <f>IFERROR(VLOOKUP($G20,基本資料!$A:$J,9,0),"無")</f>
        <v>1</v>
      </c>
      <c r="U20" s="307">
        <f t="shared" si="7"/>
        <v>3.2948929159802305E-2</v>
      </c>
      <c r="V20" s="94">
        <f>IFERROR(VLOOKUP($G20,基本資料!$A:$J,10,0),"無")</f>
        <v>1.22</v>
      </c>
      <c r="W20" s="36">
        <f>RTD("money.excel",,$G20,"Price")</f>
        <v>30.35</v>
      </c>
      <c r="X20" s="66"/>
      <c r="Y20" s="15">
        <f t="shared" si="4"/>
        <v>30.35</v>
      </c>
      <c r="Z20" s="3" t="e">
        <f t="shared" si="5"/>
        <v>#DIV/0!</v>
      </c>
      <c r="AA20" s="340">
        <f>IFERROR(VLOOKUP($G20,基本資料!$A:$M,11,0),"無")</f>
        <v>-12.41</v>
      </c>
      <c r="AB20" s="389">
        <f>IFERROR(VLOOKUP($G20,基本資料!$A:$M,12,0),"無")</f>
        <v>49.26</v>
      </c>
      <c r="AC20" s="22" t="s">
        <v>776</v>
      </c>
      <c r="AF20" s="33">
        <v>0</v>
      </c>
      <c r="AG20" s="43" t="s">
        <v>2606</v>
      </c>
      <c r="AH20" s="66">
        <f t="shared" si="3"/>
        <v>0.20840737168096665</v>
      </c>
      <c r="AI20" s="283">
        <f>RTD("money.excel",,$G20,"PredictVolume")</f>
        <v>821</v>
      </c>
      <c r="AJ20" s="391">
        <f>IFERROR(VLOOKUP($G20,基本資料!$A:$M,13,0),"無")</f>
        <v>3939.4</v>
      </c>
      <c r="AR20" s="245" t="str">
        <f>INDEX(基本資料!N:N,MATCH($G20,基本資料!A:A,0))</f>
        <v>中</v>
      </c>
    </row>
    <row r="21" spans="1:44">
      <c r="A21" s="343">
        <f>IFERROR(VLOOKUP($G21,基本資料!$A:$J,3,0),"無")</f>
        <v>32.200000000000003</v>
      </c>
      <c r="B21" s="79">
        <f>IFERROR(VLOOKUP($G21,基本資料!$A:$J,4,0),"無")</f>
        <v>-50</v>
      </c>
      <c r="C21" s="79">
        <f>IFERROR(VLOOKUP($G21,基本資料!$A:$J,5,0),"無")</f>
        <v>-8</v>
      </c>
      <c r="D21" s="79">
        <f>IFERROR(VLOOKUP($G21,基本資料!$A:$J,6,0),"無")</f>
        <v>-10</v>
      </c>
      <c r="E21" s="79">
        <f>IFERROR(VLOOKUP($G21,基本資料!$A:$J,7,0),"無")</f>
        <v>19</v>
      </c>
      <c r="F21" s="6">
        <f>IFERROR(VLOOKUP($G21,基本資料!$A:$J,8,0),"無")</f>
        <v>2.0499999999999998</v>
      </c>
      <c r="G21" s="79">
        <v>1219</v>
      </c>
      <c r="H21" s="8" t="s">
        <v>292</v>
      </c>
      <c r="I21" s="22" t="s">
        <v>777</v>
      </c>
      <c r="J21" s="8" t="str">
        <f>IFERROR(VLOOKUP($G21,今日總結!$A:$AN,39,0),"")</f>
        <v>券</v>
      </c>
      <c r="K21" s="5">
        <f>IFERROR(VLOOKUP($G21,今日總結!$A:$AN,40,0),"")</f>
        <v>0</v>
      </c>
      <c r="L21" s="156">
        <f>IFERROR(VLOOKUP($G21,今日總結!$A:$AN,37,0),"")</f>
        <v>1</v>
      </c>
      <c r="M21" s="337">
        <f>IFERROR(VLOOKUP($G21,今日總結!$A:$AN,38,0),"")</f>
        <v>0</v>
      </c>
      <c r="N21" s="240">
        <f t="shared" ref="N21:N27" si="8">IFERROR(L21-M21,"")</f>
        <v>1</v>
      </c>
      <c r="O21" s="359">
        <f>IFERROR(VLOOKUP($G21,融外自投!$A:$J,7,0),"無")</f>
        <v>589</v>
      </c>
      <c r="P21" s="79">
        <f>IFERROR(VLOOKUP($G21,融外自投!$A:$J,9,0),"無")</f>
        <v>990</v>
      </c>
      <c r="Q21" s="342">
        <f>IFERROR(VLOOKUP($G21,融外自投!$A:$J,8,0),"無")</f>
        <v>823</v>
      </c>
      <c r="R21" s="81" t="str">
        <f>IFERROR(VLOOKUP($G21,融外自投!$A:$J,10,0),"無")</f>
        <v>無</v>
      </c>
      <c r="S21" s="324">
        <f>IFERROR(VLOOKUP($G21,'321買'!$A:$E,4,0),"'沒有資料'")</f>
        <v>696</v>
      </c>
      <c r="T21" s="186">
        <f>IFERROR(VLOOKUP($G21,基本資料!$A:$J,9,0),"無")</f>
        <v>1.1000000000000001</v>
      </c>
      <c r="U21" s="307">
        <f t="shared" si="7"/>
        <v>4.9549549549549557E-2</v>
      </c>
      <c r="V21" s="94">
        <f>IFERROR(VLOOKUP($G21,基本資料!$A:$J,10,0),"無")</f>
        <v>1</v>
      </c>
      <c r="W21" s="36">
        <f>RTD("money.excel",,$G21,"Price")</f>
        <v>22.2</v>
      </c>
      <c r="X21" s="66"/>
      <c r="Y21" s="15">
        <f t="shared" si="4"/>
        <v>22.2</v>
      </c>
      <c r="Z21" s="3" t="e">
        <f t="shared" si="5"/>
        <v>#DIV/0!</v>
      </c>
      <c r="AA21" s="340">
        <f>IFERROR(VLOOKUP($G21,基本資料!$A:$M,11,0),"無")</f>
        <v>-23.18</v>
      </c>
      <c r="AB21" s="389">
        <f>IFERROR(VLOOKUP($G21,基本資料!$A:$M,12,0),"無")</f>
        <v>44.08</v>
      </c>
      <c r="AC21" s="22" t="s">
        <v>777</v>
      </c>
      <c r="AF21" s="33">
        <v>0</v>
      </c>
      <c r="AG21" s="43" t="s">
        <v>2607</v>
      </c>
      <c r="AH21" s="66">
        <f t="shared" si="3"/>
        <v>0.29909892214392692</v>
      </c>
      <c r="AI21" s="283">
        <f>RTD("money.excel",,$G21,"PredictVolume")</f>
        <v>6091</v>
      </c>
      <c r="AJ21" s="391">
        <f>IFERROR(VLOOKUP($G21,基本資料!$A:$M,13,0),"無")</f>
        <v>20364.5</v>
      </c>
      <c r="AR21" s="245" t="str">
        <f>INDEX(基本資料!N:N,MATCH($G21,基本資料!A:A,0))</f>
        <v>低</v>
      </c>
    </row>
    <row r="22" spans="1:44">
      <c r="A22" s="343">
        <f>IFERROR(VLOOKUP($G22,基本資料!$A:$J,3,0),"無")</f>
        <v>17.7</v>
      </c>
      <c r="B22" s="79">
        <f>IFERROR(VLOOKUP($G22,基本資料!$A:$J,4,0),"無")</f>
        <v>9</v>
      </c>
      <c r="C22" s="79">
        <f>IFERROR(VLOOKUP($G22,基本資料!$A:$J,5,0),"無")</f>
        <v>3</v>
      </c>
      <c r="D22" s="79">
        <f>IFERROR(VLOOKUP($G22,基本資料!$A:$J,6,0),"無")</f>
        <v>-13</v>
      </c>
      <c r="E22" s="79">
        <f>IFERROR(VLOOKUP($G22,基本資料!$A:$J,7,0),"無")</f>
        <v>-5</v>
      </c>
      <c r="F22" s="6">
        <f>IFERROR(VLOOKUP($G22,基本資料!$A:$J,8,0),"無")</f>
        <v>7.01</v>
      </c>
      <c r="G22" s="79">
        <v>1220</v>
      </c>
      <c r="H22" s="8" t="s">
        <v>292</v>
      </c>
      <c r="I22" s="22" t="s">
        <v>778</v>
      </c>
      <c r="J22" s="8">
        <f>IFERROR(VLOOKUP($G22,今日總結!$A:$AN,39,0),"")</f>
        <v>0</v>
      </c>
      <c r="K22" s="5">
        <f>IFERROR(VLOOKUP($G22,今日總結!$A:$AN,40,0),"")</f>
        <v>0</v>
      </c>
      <c r="L22" s="156">
        <f>IFERROR(VLOOKUP($G22,今日總結!$A:$AN,37,0),"")</f>
        <v>0</v>
      </c>
      <c r="M22" s="337">
        <f>IFERROR(VLOOKUP($G22,今日總結!$A:$AN,38,0),"")</f>
        <v>0</v>
      </c>
      <c r="N22" s="240">
        <f t="shared" si="8"/>
        <v>0</v>
      </c>
      <c r="O22" s="359">
        <f>IFERROR(VLOOKUP($G22,融外自投!$A:$J,7,0),"無")</f>
        <v>732</v>
      </c>
      <c r="P22" s="79">
        <f>IFERROR(VLOOKUP($G22,融外自投!$A:$J,9,0),"無")</f>
        <v>990</v>
      </c>
      <c r="Q22" s="342">
        <f>IFERROR(VLOOKUP($G22,融外自投!$A:$J,8,0),"無")</f>
        <v>584</v>
      </c>
      <c r="R22" s="81" t="str">
        <f>IFERROR(VLOOKUP($G22,融外自投!$A:$J,10,0),"無")</f>
        <v>無</v>
      </c>
      <c r="S22" s="324">
        <f>IFERROR(VLOOKUP($G22,'321買'!$A:$E,4,0),"'沒有資料'")</f>
        <v>606</v>
      </c>
      <c r="T22" s="186">
        <f>IFERROR(VLOOKUP($G22,基本資料!$A:$J,9,0),"無")</f>
        <v>1</v>
      </c>
      <c r="U22" s="307">
        <f t="shared" si="7"/>
        <v>5.4495912806539502E-2</v>
      </c>
      <c r="V22" s="94">
        <f>IFERROR(VLOOKUP($G22,基本資料!$A:$J,10,0),"無")</f>
        <v>1</v>
      </c>
      <c r="W22" s="36">
        <f>RTD("money.excel",,$G22,"Price")</f>
        <v>18.350000000000001</v>
      </c>
      <c r="X22" s="66"/>
      <c r="Y22" s="15">
        <f t="shared" si="4"/>
        <v>18.350000000000001</v>
      </c>
      <c r="Z22" s="3" t="e">
        <f t="shared" si="5"/>
        <v>#DIV/0!</v>
      </c>
      <c r="AA22" s="340">
        <f>IFERROR(VLOOKUP($G22,基本資料!$A:$M,11,0),"無")</f>
        <v>-28.04</v>
      </c>
      <c r="AB22" s="389">
        <f>IFERROR(VLOOKUP($G22,基本資料!$A:$M,12,0),"無")</f>
        <v>40.46</v>
      </c>
      <c r="AC22" s="22" t="s">
        <v>778</v>
      </c>
      <c r="AF22" s="33">
        <v>0</v>
      </c>
      <c r="AG22" s="43" t="s">
        <v>2608</v>
      </c>
      <c r="AH22" s="66">
        <f t="shared" si="3"/>
        <v>0.15332306390722397</v>
      </c>
      <c r="AI22" s="283">
        <f>RTD("money.excel",,$G22,"PredictVolume")</f>
        <v>1921</v>
      </c>
      <c r="AJ22" s="391">
        <f>IFERROR(VLOOKUP($G22,基本資料!$A:$M,13,0),"無")</f>
        <v>12529.1</v>
      </c>
      <c r="AR22" s="245" t="str">
        <f>INDEX(基本資料!N:N,MATCH($G22,基本資料!A:A,0))</f>
        <v>中</v>
      </c>
    </row>
    <row r="23" spans="1:44">
      <c r="A23" s="343">
        <f>IFERROR(VLOOKUP($G23,基本資料!$A:$J,3,0),"無")</f>
        <v>21.87</v>
      </c>
      <c r="B23" s="79">
        <f>IFERROR(VLOOKUP($G23,基本資料!$A:$J,4,0),"無")</f>
        <v>16</v>
      </c>
      <c r="C23" s="79">
        <f>IFERROR(VLOOKUP($G23,基本資料!$A:$J,5,0),"無")</f>
        <v>4</v>
      </c>
      <c r="D23" s="79">
        <f>IFERROR(VLOOKUP($G23,基本資料!$A:$J,6,0),"無")</f>
        <v>-4</v>
      </c>
      <c r="E23" s="79">
        <f>IFERROR(VLOOKUP($G23,基本資料!$A:$J,7,0),"無")</f>
        <v>19</v>
      </c>
      <c r="F23" s="6">
        <f>IFERROR(VLOOKUP($G23,基本資料!$A:$J,8,0),"無")</f>
        <v>4.05</v>
      </c>
      <c r="G23" s="79">
        <v>1225</v>
      </c>
      <c r="H23" s="8" t="s">
        <v>292</v>
      </c>
      <c r="I23" s="22" t="s">
        <v>779</v>
      </c>
      <c r="J23" s="8">
        <f>IFERROR(VLOOKUP($G23,今日總結!$A:$AN,39,0),"")</f>
        <v>0</v>
      </c>
      <c r="K23" s="5">
        <f>IFERROR(VLOOKUP($G23,今日總結!$A:$AN,40,0),"")</f>
        <v>0</v>
      </c>
      <c r="L23" s="156">
        <f>IFERROR(VLOOKUP($G23,今日總結!$A:$AN,37,0),"")</f>
        <v>0</v>
      </c>
      <c r="M23" s="337">
        <f>IFERROR(VLOOKUP($G23,今日總結!$A:$AN,38,0),"")</f>
        <v>0</v>
      </c>
      <c r="N23" s="240">
        <f t="shared" si="8"/>
        <v>0</v>
      </c>
      <c r="O23" s="359">
        <f>IFERROR(VLOOKUP($G23,融外自投!$A:$J,7,0),"無")</f>
        <v>652</v>
      </c>
      <c r="P23" s="79">
        <f>IFERROR(VLOOKUP($G23,融外自投!$A:$J,9,0),"無")</f>
        <v>1123</v>
      </c>
      <c r="Q23" s="342">
        <f>IFERROR(VLOOKUP($G23,融外自投!$A:$J,8,0),"無")</f>
        <v>1290</v>
      </c>
      <c r="R23" s="81" t="str">
        <f>IFERROR(VLOOKUP($G23,融外自投!$A:$J,10,0),"無")</f>
        <v>無</v>
      </c>
      <c r="S23" s="324">
        <f>IFERROR(VLOOKUP($G23,'321買'!$A:$E,4,0),"'沒有資料'")</f>
        <v>1002</v>
      </c>
      <c r="T23" s="186">
        <f>IFERROR(VLOOKUP($G23,基本資料!$A:$J,9,0),"無")</f>
        <v>1.6</v>
      </c>
      <c r="U23" s="307">
        <f t="shared" si="7"/>
        <v>3.1809145129224656E-2</v>
      </c>
      <c r="V23" s="94">
        <f>IFERROR(VLOOKUP($G23,基本資料!$A:$J,10,0),"無")</f>
        <v>2.0699999999999998</v>
      </c>
      <c r="W23" s="36">
        <f>RTD("money.excel",,$G23,"Price")</f>
        <v>50.3</v>
      </c>
      <c r="X23" s="66"/>
      <c r="Y23" s="15">
        <f t="shared" si="4"/>
        <v>50.3</v>
      </c>
      <c r="Z23" s="3" t="e">
        <f t="shared" si="5"/>
        <v>#DIV/0!</v>
      </c>
      <c r="AA23" s="340">
        <f>IFERROR(VLOOKUP($G23,基本資料!$A:$M,11,0),"無")</f>
        <v>-21.16</v>
      </c>
      <c r="AB23" s="389">
        <f>IFERROR(VLOOKUP($G23,基本資料!$A:$M,12,0),"無")</f>
        <v>21.04</v>
      </c>
      <c r="AC23" s="22" t="s">
        <v>779</v>
      </c>
      <c r="AF23" s="33">
        <v>0</v>
      </c>
      <c r="AG23" s="43" t="s">
        <v>2609</v>
      </c>
      <c r="AH23" s="66">
        <f t="shared" si="3"/>
        <v>0.28741865509761388</v>
      </c>
      <c r="AI23" s="283">
        <f>RTD("money.excel",,$G23,"PredictVolume")</f>
        <v>53</v>
      </c>
      <c r="AJ23" s="391">
        <f>IFERROR(VLOOKUP($G23,基本資料!$A:$M,13,0),"無")</f>
        <v>184.4</v>
      </c>
      <c r="AR23" s="245" t="str">
        <f>INDEX(基本資料!N:N,MATCH($G23,基本資料!A:A,0))</f>
        <v>中</v>
      </c>
    </row>
    <row r="24" spans="1:44">
      <c r="A24" s="343">
        <f>IFERROR(VLOOKUP($G24,基本資料!$A:$J,3,0),"無")</f>
        <v>91.5</v>
      </c>
      <c r="B24" s="79">
        <f>IFERROR(VLOOKUP($G24,基本資料!$A:$J,4,0),"無")</f>
        <v>-23</v>
      </c>
      <c r="C24" s="79">
        <f>IFERROR(VLOOKUP($G24,基本資料!$A:$J,5,0),"無")</f>
        <v>-26</v>
      </c>
      <c r="D24" s="79">
        <f>IFERROR(VLOOKUP($G24,基本資料!$A:$J,6,0),"無")</f>
        <v>-4</v>
      </c>
      <c r="E24" s="79">
        <f>IFERROR(VLOOKUP($G24,基本資料!$A:$J,7,0),"無")</f>
        <v>-7</v>
      </c>
      <c r="F24" s="6">
        <f>IFERROR(VLOOKUP($G24,基本資料!$A:$J,8,0),"無")</f>
        <v>8.69</v>
      </c>
      <c r="G24" s="79">
        <v>1227</v>
      </c>
      <c r="H24" s="8" t="s">
        <v>292</v>
      </c>
      <c r="I24" s="22" t="s">
        <v>3582</v>
      </c>
      <c r="J24" s="8">
        <f>IFERROR(VLOOKUP($G24,今日總結!$A:$AN,39,0),"")</f>
        <v>0</v>
      </c>
      <c r="K24" s="5">
        <f>IFERROR(VLOOKUP($G24,今日總結!$A:$AN,40,0),"")</f>
        <v>0</v>
      </c>
      <c r="L24" s="156">
        <f>IFERROR(VLOOKUP($G24,今日總結!$A:$AN,37,0),"")</f>
        <v>0</v>
      </c>
      <c r="M24" s="337">
        <f>IFERROR(VLOOKUP($G24,今日總結!$A:$AN,38,0),"")</f>
        <v>0</v>
      </c>
      <c r="N24" s="240">
        <f t="shared" si="8"/>
        <v>0</v>
      </c>
      <c r="O24" s="359">
        <f>IFERROR(VLOOKUP($G24,融外自投!$A:$J,7,0),"無")</f>
        <v>1279</v>
      </c>
      <c r="P24" s="79">
        <f>IFERROR(VLOOKUP($G24,融外自投!$A:$J,9,0),"無")</f>
        <v>596</v>
      </c>
      <c r="Q24" s="342">
        <f>IFERROR(VLOOKUP($G24,融外自投!$A:$J,8,0),"無")</f>
        <v>695</v>
      </c>
      <c r="R24" s="81">
        <f>IFERROR(VLOOKUP($G24,融外自投!$A:$J,10,0),"無")</f>
        <v>247</v>
      </c>
      <c r="S24" s="324">
        <f>IFERROR(VLOOKUP($G24,'321買'!$A:$E,4,0),"'沒有資料'")</f>
        <v>465</v>
      </c>
      <c r="T24" s="186">
        <f>IFERROR(VLOOKUP($G24,基本資料!$A:$J,9,0),"無")</f>
        <v>1.9</v>
      </c>
      <c r="U24" s="307">
        <f t="shared" si="7"/>
        <v>3.9378238341968907E-2</v>
      </c>
      <c r="V24" s="94">
        <f>IFERROR(VLOOKUP($G24,基本資料!$A:$J,10,0),"無")</f>
        <v>2.7</v>
      </c>
      <c r="W24" s="36">
        <f>RTD("money.excel",,$G24,"Price")</f>
        <v>48.25</v>
      </c>
      <c r="X24" s="66"/>
      <c r="Y24" s="15">
        <f t="shared" si="4"/>
        <v>48.25</v>
      </c>
      <c r="Z24" s="3" t="e">
        <f t="shared" si="5"/>
        <v>#DIV/0!</v>
      </c>
      <c r="AA24" s="340">
        <f>IFERROR(VLOOKUP($G24,基本資料!$A:$M,11,0),"無")</f>
        <v>-12.91</v>
      </c>
      <c r="AB24" s="389">
        <f>IFERROR(VLOOKUP($G24,基本資料!$A:$M,12,0),"無")</f>
        <v>33.81</v>
      </c>
      <c r="AC24" s="22" t="s">
        <v>3582</v>
      </c>
      <c r="AF24" s="33">
        <v>0</v>
      </c>
      <c r="AG24" s="117" t="s">
        <v>2610</v>
      </c>
      <c r="AH24" s="66">
        <f t="shared" si="3"/>
        <v>0.850978222602223</v>
      </c>
      <c r="AI24" s="283">
        <f>RTD("money.excel",,$G24,"PredictVolume")</f>
        <v>846</v>
      </c>
      <c r="AJ24" s="391">
        <f>IFERROR(VLOOKUP($G24,基本資料!$A:$M,13,0),"無")</f>
        <v>994.15</v>
      </c>
      <c r="AR24" s="245" t="str">
        <f>INDEX(基本資料!N:N,MATCH($G24,基本資料!A:A,0))</f>
        <v>低</v>
      </c>
    </row>
    <row r="25" spans="1:44">
      <c r="A25" s="343">
        <f>IFERROR(VLOOKUP($G25,基本資料!$A:$J,3,0),"無")</f>
        <v>140</v>
      </c>
      <c r="B25" s="79">
        <f>IFERROR(VLOOKUP($G25,基本資料!$A:$J,4,0),"無")</f>
        <v>35</v>
      </c>
      <c r="C25" s="79">
        <f>IFERROR(VLOOKUP($G25,基本資料!$A:$J,5,0),"無")</f>
        <v>37</v>
      </c>
      <c r="D25" s="79">
        <f>IFERROR(VLOOKUP($G25,基本資料!$A:$J,6,0),"無")</f>
        <v>-18</v>
      </c>
      <c r="E25" s="79">
        <f>IFERROR(VLOOKUP($G25,基本資料!$A:$J,7,0),"無")</f>
        <v>21</v>
      </c>
      <c r="F25" s="6">
        <f>IFERROR(VLOOKUP($G25,基本資料!$A:$J,8,0),"無")</f>
        <v>12.75</v>
      </c>
      <c r="G25" s="79">
        <v>1229</v>
      </c>
      <c r="H25" s="8" t="s">
        <v>292</v>
      </c>
      <c r="I25" s="22" t="s">
        <v>780</v>
      </c>
      <c r="J25" s="8">
        <f>IFERROR(VLOOKUP($G25,今日總結!$A:$AN,39,0),"")</f>
        <v>0</v>
      </c>
      <c r="K25" s="5">
        <f>IFERROR(VLOOKUP($G25,今日總結!$A:$AN,40,0),"")</f>
        <v>0</v>
      </c>
      <c r="L25" s="156">
        <f>IFERROR(VLOOKUP($G25,今日總結!$A:$AN,37,0),"")</f>
        <v>0</v>
      </c>
      <c r="M25" s="337">
        <f>IFERROR(VLOOKUP($G25,今日總結!$A:$AN,38,0),"")</f>
        <v>0</v>
      </c>
      <c r="N25" s="240">
        <f t="shared" si="8"/>
        <v>0</v>
      </c>
      <c r="O25" s="359">
        <f>IFERROR(VLOOKUP($G25,融外自投!$A:$J,7,0),"無")</f>
        <v>1362</v>
      </c>
      <c r="P25" s="79">
        <f>IFERROR(VLOOKUP($G25,融外自投!$A:$J,9,0),"無")</f>
        <v>790</v>
      </c>
      <c r="Q25" s="342">
        <f>IFERROR(VLOOKUP($G25,融外自投!$A:$J,8,0),"無")</f>
        <v>462</v>
      </c>
      <c r="R25" s="81">
        <f>IFERROR(VLOOKUP($G25,融外自投!$A:$J,10,0),"無")</f>
        <v>413</v>
      </c>
      <c r="S25" s="324">
        <f>IFERROR(VLOOKUP($G25,'321買'!$A:$E,4,0),"'沒有資料'")</f>
        <v>465</v>
      </c>
      <c r="T25" s="186">
        <f>IFERROR(VLOOKUP($G25,基本資料!$A:$J,9,0),"無")</f>
        <v>2.2999999999999998</v>
      </c>
      <c r="U25" s="307">
        <f t="shared" si="7"/>
        <v>4.2910447761194029E-2</v>
      </c>
      <c r="V25" s="94">
        <f>IFERROR(VLOOKUP($G25,基本資料!$A:$J,10,0),"無")</f>
        <v>2.92</v>
      </c>
      <c r="W25" s="36">
        <f>RTD("money.excel",,$G25,"Price")</f>
        <v>53.6</v>
      </c>
      <c r="X25" s="66"/>
      <c r="Y25" s="15">
        <f t="shared" si="4"/>
        <v>53.6</v>
      </c>
      <c r="Z25" s="3" t="e">
        <f t="shared" si="5"/>
        <v>#DIV/0!</v>
      </c>
      <c r="AA25" s="340">
        <f>IFERROR(VLOOKUP($G25,基本資料!$A:$M,11,0),"無")</f>
        <v>-27.57</v>
      </c>
      <c r="AB25" s="389">
        <f>IFERROR(VLOOKUP($G25,基本資料!$A:$M,12,0),"無")</f>
        <v>10.69</v>
      </c>
      <c r="AC25" s="22" t="s">
        <v>780</v>
      </c>
      <c r="AF25" s="33">
        <v>0</v>
      </c>
      <c r="AG25" s="43" t="s">
        <v>2611</v>
      </c>
      <c r="AH25" s="66">
        <f t="shared" si="3"/>
        <v>0.54047909053999188</v>
      </c>
      <c r="AI25" s="283">
        <f>RTD("money.excel",,$G25,"PredictVolume")</f>
        <v>1664</v>
      </c>
      <c r="AJ25" s="391">
        <f>IFERROR(VLOOKUP($G25,基本資料!$A:$M,13,0),"無")</f>
        <v>3078.75</v>
      </c>
      <c r="AR25" s="245" t="str">
        <f>INDEX(基本資料!N:N,MATCH($G25,基本資料!A:A,0))</f>
        <v>低</v>
      </c>
    </row>
    <row r="26" spans="1:44">
      <c r="A26" s="343">
        <f>IFERROR(VLOOKUP($G26,基本資料!$A:$J,3,0),"無")</f>
        <v>20.170000000000002</v>
      </c>
      <c r="B26" s="79">
        <f>IFERROR(VLOOKUP($G26,基本資料!$A:$J,4,0),"無")</f>
        <v>18</v>
      </c>
      <c r="C26" s="79">
        <f>IFERROR(VLOOKUP($G26,基本資料!$A:$J,5,0),"無")</f>
        <v>28</v>
      </c>
      <c r="D26" s="79">
        <f>IFERROR(VLOOKUP($G26,基本資料!$A:$J,6,0),"無")</f>
        <v>0</v>
      </c>
      <c r="E26" s="79">
        <f>IFERROR(VLOOKUP($G26,基本資料!$A:$J,7,0),"無")</f>
        <v>16</v>
      </c>
      <c r="F26" s="6">
        <f>IFERROR(VLOOKUP($G26,基本資料!$A:$J,8,0),"無")</f>
        <v>9.94</v>
      </c>
      <c r="G26" s="79">
        <v>1231</v>
      </c>
      <c r="H26" s="8" t="s">
        <v>292</v>
      </c>
      <c r="I26" s="22" t="s">
        <v>781</v>
      </c>
      <c r="J26" s="8">
        <f>IFERROR(VLOOKUP($G26,今日總結!$A:$AN,39,0),"")</f>
        <v>0</v>
      </c>
      <c r="K26" s="5">
        <f>IFERROR(VLOOKUP($G26,今日總結!$A:$AN,40,0),"")</f>
        <v>0</v>
      </c>
      <c r="L26" s="156">
        <f>IFERROR(VLOOKUP($G26,今日總結!$A:$AN,37,0),"")</f>
        <v>0</v>
      </c>
      <c r="M26" s="337">
        <f>IFERROR(VLOOKUP($G26,今日總結!$A:$AN,38,0),"")</f>
        <v>0</v>
      </c>
      <c r="N26" s="240">
        <f t="shared" si="8"/>
        <v>0</v>
      </c>
      <c r="O26" s="359">
        <f>IFERROR(VLOOKUP($G26,融外自投!$A:$J,7,0),"無")</f>
        <v>1381</v>
      </c>
      <c r="P26" s="79">
        <f>IFERROR(VLOOKUP($G26,融外自投!$A:$J,9,0),"無")</f>
        <v>1051</v>
      </c>
      <c r="Q26" s="342">
        <f>IFERROR(VLOOKUP($G26,融外自投!$A:$J,8,0),"無")</f>
        <v>870</v>
      </c>
      <c r="R26" s="81">
        <f>IFERROR(VLOOKUP($G26,融外自投!$A:$J,10,0),"無")</f>
        <v>495</v>
      </c>
      <c r="S26" s="324">
        <f>IFERROR(VLOOKUP($G26,'321買'!$A:$E,4,0),"'沒有資料'")</f>
        <v>801</v>
      </c>
      <c r="T26" s="186">
        <f>IFERROR(VLOOKUP($G26,基本資料!$A:$J,9,0),"無")</f>
        <v>2.6</v>
      </c>
      <c r="U26" s="307">
        <f t="shared" si="7"/>
        <v>3.1515151515151517E-2</v>
      </c>
      <c r="V26" s="94">
        <f>IFERROR(VLOOKUP($G26,基本資料!$A:$J,10,0),"無")</f>
        <v>4.03</v>
      </c>
      <c r="W26" s="36">
        <f>RTD("money.excel",,$G26,"Price")</f>
        <v>82.5</v>
      </c>
      <c r="X26" s="66"/>
      <c r="Y26" s="15">
        <f t="shared" si="4"/>
        <v>82.5</v>
      </c>
      <c r="Z26" s="3" t="e">
        <f t="shared" si="5"/>
        <v>#DIV/0!</v>
      </c>
      <c r="AA26" s="340">
        <f>IFERROR(VLOOKUP($G26,基本資料!$A:$M,11,0),"無")</f>
        <v>-10.91</v>
      </c>
      <c r="AB26" s="389">
        <f>IFERROR(VLOOKUP($G26,基本資料!$A:$M,12,0),"無")</f>
        <v>55.28</v>
      </c>
      <c r="AC26" s="22" t="s">
        <v>781</v>
      </c>
      <c r="AF26" s="33">
        <v>0</v>
      </c>
      <c r="AG26" s="43" t="s">
        <v>2612</v>
      </c>
      <c r="AH26" s="66">
        <f t="shared" si="3"/>
        <v>1.0344517405774938</v>
      </c>
      <c r="AI26" s="283">
        <f>RTD("money.excel",,$G26,"PredictVolume")</f>
        <v>575</v>
      </c>
      <c r="AJ26" s="391">
        <f>IFERROR(VLOOKUP($G26,基本資料!$A:$M,13,0),"無")</f>
        <v>555.85</v>
      </c>
      <c r="AR26" s="245" t="str">
        <f>INDEX(基本資料!N:N,MATCH($G26,基本資料!A:A,0))</f>
        <v>中</v>
      </c>
    </row>
    <row r="27" spans="1:44">
      <c r="A27" s="343">
        <f>IFERROR(VLOOKUP($G27,基本資料!$A:$J,3,0),"無")</f>
        <v>15.99</v>
      </c>
      <c r="B27" s="79">
        <f>IFERROR(VLOOKUP($G27,基本資料!$A:$J,4,0),"無")</f>
        <v>-3</v>
      </c>
      <c r="C27" s="79">
        <f>IFERROR(VLOOKUP($G27,基本資料!$A:$J,5,0),"無")</f>
        <v>-5</v>
      </c>
      <c r="D27" s="79">
        <f>IFERROR(VLOOKUP($G27,基本資料!$A:$J,6,0),"無")</f>
        <v>-11</v>
      </c>
      <c r="E27" s="79">
        <f>IFERROR(VLOOKUP($G27,基本資料!$A:$J,7,0),"無")</f>
        <v>0</v>
      </c>
      <c r="F27" s="6">
        <f>IFERROR(VLOOKUP($G27,基本資料!$A:$J,8,0),"無")</f>
        <v>7.48</v>
      </c>
      <c r="G27" s="79">
        <v>1232</v>
      </c>
      <c r="H27" s="8" t="s">
        <v>292</v>
      </c>
      <c r="I27" s="22" t="s">
        <v>782</v>
      </c>
      <c r="J27" s="8">
        <f>IFERROR(VLOOKUP($G27,今日總結!$A:$AN,39,0),"")</f>
        <v>0</v>
      </c>
      <c r="K27" s="5">
        <f>IFERROR(VLOOKUP($G27,今日總結!$A:$AN,40,0),"")</f>
        <v>0</v>
      </c>
      <c r="L27" s="156">
        <f>IFERROR(VLOOKUP($G27,今日總結!$A:$AN,37,0),"")</f>
        <v>0</v>
      </c>
      <c r="M27" s="337">
        <f>IFERROR(VLOOKUP($G27,今日總結!$A:$AN,38,0),"")</f>
        <v>0</v>
      </c>
      <c r="N27" s="240">
        <f t="shared" si="8"/>
        <v>0</v>
      </c>
      <c r="O27" s="359">
        <f>IFERROR(VLOOKUP($G27,融外自投!$A:$J,7,0),"無")</f>
        <v>1425</v>
      </c>
      <c r="P27" s="79">
        <f>IFERROR(VLOOKUP($G27,融外自投!$A:$J,9,0),"無")</f>
        <v>869</v>
      </c>
      <c r="Q27" s="342">
        <f>IFERROR(VLOOKUP($G27,融外自投!$A:$J,8,0),"無")</f>
        <v>1174</v>
      </c>
      <c r="R27" s="81" t="str">
        <f>IFERROR(VLOOKUP($G27,融外自投!$A:$J,10,0),"無")</f>
        <v>無</v>
      </c>
      <c r="S27" s="324">
        <f>IFERROR(VLOOKUP($G27,'321買'!$A:$E,4,0),"'沒有資料'")</f>
        <v>891</v>
      </c>
      <c r="T27" s="186">
        <f>IFERROR(VLOOKUP($G27,基本資料!$A:$J,9,0),"無")</f>
        <v>6</v>
      </c>
      <c r="U27" s="307">
        <f t="shared" si="7"/>
        <v>3.9087947882736153E-2</v>
      </c>
      <c r="V27" s="94">
        <f>IFERROR(VLOOKUP($G27,基本資料!$A:$J,10,0),"無")</f>
        <v>7.76</v>
      </c>
      <c r="W27" s="36">
        <f>RTD("money.excel",,$G27,"Price")</f>
        <v>153.5</v>
      </c>
      <c r="X27" s="66"/>
      <c r="Y27" s="15">
        <f t="shared" si="4"/>
        <v>153.5</v>
      </c>
      <c r="Z27" s="3" t="e">
        <f t="shared" si="5"/>
        <v>#DIV/0!</v>
      </c>
      <c r="AA27" s="340">
        <f>IFERROR(VLOOKUP($G27,基本資料!$A:$M,11,0),"無")</f>
        <v>-11.27</v>
      </c>
      <c r="AB27" s="389">
        <f>IFERROR(VLOOKUP($G27,基本資料!$A:$M,12,0),"無")</f>
        <v>38.93</v>
      </c>
      <c r="AC27" s="22" t="s">
        <v>782</v>
      </c>
      <c r="AF27" s="33">
        <v>0</v>
      </c>
      <c r="AG27" s="43" t="s">
        <v>2613</v>
      </c>
      <c r="AH27" s="66">
        <f t="shared" si="3"/>
        <v>0.85353003161222329</v>
      </c>
      <c r="AI27" s="283">
        <f>RTD("money.excel",,$G27,"PredictVolume")</f>
        <v>81</v>
      </c>
      <c r="AJ27" s="391">
        <f>IFERROR(VLOOKUP($G27,基本資料!$A:$M,13,0),"無")</f>
        <v>94.9</v>
      </c>
      <c r="AR27" s="245" t="str">
        <f>INDEX(基本資料!N:N,MATCH($G27,基本資料!A:A,0))</f>
        <v>低</v>
      </c>
    </row>
    <row r="28" spans="1:44">
      <c r="A28" s="343">
        <f>IFERROR(VLOOKUP($G28,基本資料!$A:$J,3,0),"無")</f>
        <v>9.0500000000000007</v>
      </c>
      <c r="B28" s="79">
        <f>IFERROR(VLOOKUP($G28,基本資料!$A:$J,4,0),"無")</f>
        <v>-24</v>
      </c>
      <c r="C28" s="79">
        <f>IFERROR(VLOOKUP($G28,基本資料!$A:$J,5,0),"無")</f>
        <v>-77</v>
      </c>
      <c r="D28" s="79">
        <f>IFERROR(VLOOKUP($G28,基本資料!$A:$J,6,0),"無")</f>
        <v>-7</v>
      </c>
      <c r="E28" s="79">
        <f>IFERROR(VLOOKUP($G28,基本資料!$A:$J,7,0),"無")</f>
        <v>-9</v>
      </c>
      <c r="F28" s="6">
        <f>IFERROR(VLOOKUP($G28,基本資料!$A:$J,8,0),"無")</f>
        <v>0.84</v>
      </c>
      <c r="G28" s="79">
        <v>1233</v>
      </c>
      <c r="H28" s="8" t="s">
        <v>292</v>
      </c>
      <c r="I28" s="22" t="s">
        <v>783</v>
      </c>
      <c r="J28" s="8">
        <f>IFERROR(VLOOKUP($G28,今日總結!$A:$AN,39,0),"")</f>
        <v>0</v>
      </c>
      <c r="K28" s="5">
        <f>IFERROR(VLOOKUP($G28,今日總結!$A:$AN,40,0),"")</f>
        <v>0</v>
      </c>
      <c r="L28" s="156">
        <f>IFERROR(VLOOKUP($G28,今日總結!$A:$AN,37,0),"")</f>
        <v>0</v>
      </c>
      <c r="M28" s="337">
        <f>IFERROR(VLOOKUP($G28,今日總結!$A:$AN,38,0),"")</f>
        <v>0</v>
      </c>
      <c r="N28" s="240">
        <f t="shared" ref="N28:N39" si="9">IFERROR(L28-M28,"")</f>
        <v>0</v>
      </c>
      <c r="O28" s="359" t="str">
        <f>IFERROR(VLOOKUP($G28,融外自投!$A:$J,7,0),"無")</f>
        <v>無</v>
      </c>
      <c r="P28" s="79" t="str">
        <f>IFERROR(VLOOKUP($G28,融外自投!$A:$J,9,0),"無")</f>
        <v>無</v>
      </c>
      <c r="Q28" s="342">
        <f>IFERROR(VLOOKUP($G28,融外自投!$A:$J,8,0),"無")</f>
        <v>761</v>
      </c>
      <c r="R28" s="81" t="str">
        <f>IFERROR(VLOOKUP($G28,融外自投!$A:$J,10,0),"無")</f>
        <v>無</v>
      </c>
      <c r="S28" s="324">
        <f>IFERROR(VLOOKUP($G28,'321買'!$A:$E,4,0),"'沒有資料'")</f>
        <v>1002</v>
      </c>
      <c r="T28" s="186">
        <f>IFERROR(VLOOKUP($G28,基本資料!$A:$J,9,0),"無")</f>
        <v>0.8</v>
      </c>
      <c r="U28" s="307">
        <f t="shared" si="7"/>
        <v>2.391629297458894E-2</v>
      </c>
      <c r="V28" s="94">
        <f>IFERROR(VLOOKUP($G28,基本資料!$A:$J,10,0),"無")</f>
        <v>0.48</v>
      </c>
      <c r="W28" s="36">
        <f>RTD("money.excel",,$G28,"Price")</f>
        <v>33.450000000000003</v>
      </c>
      <c r="X28" s="66"/>
      <c r="Y28" s="15">
        <f t="shared" si="4"/>
        <v>33.450000000000003</v>
      </c>
      <c r="Z28" s="3" t="e">
        <f t="shared" si="5"/>
        <v>#DIV/0!</v>
      </c>
      <c r="AA28" s="340">
        <f>IFERROR(VLOOKUP($G28,基本資料!$A:$M,11,0),"無")</f>
        <v>-5.24</v>
      </c>
      <c r="AB28" s="389">
        <f>IFERROR(VLOOKUP($G28,基本資料!$A:$M,12,0),"無")</f>
        <v>46.03</v>
      </c>
      <c r="AC28" s="22" t="s">
        <v>783</v>
      </c>
      <c r="AF28" s="33">
        <v>0</v>
      </c>
      <c r="AG28" s="43" t="s">
        <v>2176</v>
      </c>
      <c r="AH28" s="66">
        <f t="shared" si="3"/>
        <v>1.1578947368421053</v>
      </c>
      <c r="AI28" s="283">
        <f>RTD("money.excel",,$G28,"PredictVolume")</f>
        <v>11</v>
      </c>
      <c r="AJ28" s="391">
        <f>IFERROR(VLOOKUP($G28,基本資料!$A:$M,13,0),"無")</f>
        <v>9.5</v>
      </c>
      <c r="AR28" s="245" t="str">
        <f>INDEX(基本資料!N:N,MATCH($G28,基本資料!A:A,0))</f>
        <v>中</v>
      </c>
    </row>
    <row r="29" spans="1:44">
      <c r="A29" s="343">
        <f>IFERROR(VLOOKUP($G29,基本資料!$A:$J,3,0),"無")</f>
        <v>40.18</v>
      </c>
      <c r="B29" s="79">
        <f>IFERROR(VLOOKUP($G29,基本資料!$A:$J,4,0),"無")</f>
        <v>-10</v>
      </c>
      <c r="C29" s="79">
        <f>IFERROR(VLOOKUP($G29,基本資料!$A:$J,5,0),"無")</f>
        <v>-1</v>
      </c>
      <c r="D29" s="79">
        <f>IFERROR(VLOOKUP($G29,基本資料!$A:$J,6,0),"無")</f>
        <v>1</v>
      </c>
      <c r="E29" s="79">
        <f>IFERROR(VLOOKUP($G29,基本資料!$A:$J,7,0),"無")</f>
        <v>-6</v>
      </c>
      <c r="F29" s="6">
        <f>IFERROR(VLOOKUP($G29,基本資料!$A:$J,8,0),"無")</f>
        <v>6.57</v>
      </c>
      <c r="G29" s="79">
        <v>1234</v>
      </c>
      <c r="H29" s="8" t="s">
        <v>292</v>
      </c>
      <c r="I29" s="22" t="s">
        <v>784</v>
      </c>
      <c r="J29" s="8">
        <f>IFERROR(VLOOKUP($G29,今日總結!$A:$AN,39,0),"")</f>
        <v>0</v>
      </c>
      <c r="K29" s="5">
        <f>IFERROR(VLOOKUP($G29,今日總結!$A:$AN,40,0),"")</f>
        <v>0</v>
      </c>
      <c r="L29" s="156">
        <f>IFERROR(VLOOKUP($G29,今日總結!$A:$AN,37,0),"")</f>
        <v>0</v>
      </c>
      <c r="M29" s="337">
        <f>IFERROR(VLOOKUP($G29,今日總結!$A:$AN,38,0),"")</f>
        <v>0</v>
      </c>
      <c r="N29" s="240">
        <f t="shared" si="9"/>
        <v>0</v>
      </c>
      <c r="O29" s="359">
        <f>IFERROR(VLOOKUP($G29,融外自投!$A:$J,7,0),"無")</f>
        <v>1416</v>
      </c>
      <c r="P29" s="79">
        <f>IFERROR(VLOOKUP($G29,融外自投!$A:$J,9,0),"無")</f>
        <v>946</v>
      </c>
      <c r="Q29" s="342">
        <f>IFERROR(VLOOKUP($G29,融外自投!$A:$J,8,0),"無")</f>
        <v>764</v>
      </c>
      <c r="R29" s="81" t="str">
        <f>IFERROR(VLOOKUP($G29,融外自投!$A:$J,10,0),"無")</f>
        <v>無</v>
      </c>
      <c r="S29" s="324">
        <f>IFERROR(VLOOKUP($G29,'321買'!$A:$E,4,0),"'沒有資料'")</f>
        <v>1002</v>
      </c>
      <c r="T29" s="186">
        <f>IFERROR(VLOOKUP($G29,基本資料!$A:$J,9,0),"無")</f>
        <v>1.7</v>
      </c>
      <c r="U29" s="307">
        <f t="shared" si="7"/>
        <v>4.9346879535558774E-2</v>
      </c>
      <c r="V29" s="94">
        <f>IFERROR(VLOOKUP($G29,基本資料!$A:$J,10,0),"無")</f>
        <v>1.98</v>
      </c>
      <c r="W29" s="36">
        <f>RTD("money.excel",,$G29,"Price")</f>
        <v>34.450000000000003</v>
      </c>
      <c r="X29" s="66"/>
      <c r="Y29" s="15">
        <f t="shared" si="4"/>
        <v>34.450000000000003</v>
      </c>
      <c r="Z29" s="3" t="e">
        <f t="shared" si="5"/>
        <v>#DIV/0!</v>
      </c>
      <c r="AA29" s="340">
        <f>IFERROR(VLOOKUP($G29,基本資料!$A:$M,11,0),"無")</f>
        <v>-8.26</v>
      </c>
      <c r="AB29" s="389">
        <f>IFERROR(VLOOKUP($G29,基本資料!$A:$M,12,0),"無")</f>
        <v>28.67</v>
      </c>
      <c r="AC29" s="22" t="s">
        <v>784</v>
      </c>
      <c r="AF29" s="33">
        <v>0</v>
      </c>
      <c r="AG29" s="43" t="s">
        <v>2149</v>
      </c>
      <c r="AH29" s="66">
        <f t="shared" si="3"/>
        <v>0.72063640617688351</v>
      </c>
      <c r="AI29" s="283">
        <f>RTD("money.excel",,$G29,"PredictVolume")</f>
        <v>154</v>
      </c>
      <c r="AJ29" s="391">
        <f>IFERROR(VLOOKUP($G29,基本資料!$A:$M,13,0),"無")</f>
        <v>213.7</v>
      </c>
      <c r="AR29" s="245" t="str">
        <f>INDEX(基本資料!N:N,MATCH($G29,基本資料!A:A,0))</f>
        <v>低</v>
      </c>
    </row>
    <row r="30" spans="1:44">
      <c r="A30" s="343">
        <f>IFERROR(VLOOKUP($G30,基本資料!$A:$J,3,0),"無")</f>
        <v>10.43</v>
      </c>
      <c r="B30" s="79">
        <f>IFERROR(VLOOKUP($G30,基本資料!$A:$J,4,0),"無")</f>
        <v>25</v>
      </c>
      <c r="C30" s="79">
        <f>IFERROR(VLOOKUP($G30,基本資料!$A:$J,5,0),"無")</f>
        <v>-126</v>
      </c>
      <c r="D30" s="79">
        <f>IFERROR(VLOOKUP($G30,基本資料!$A:$J,6,0),"無")</f>
        <v>-14</v>
      </c>
      <c r="E30" s="79">
        <f>IFERROR(VLOOKUP($G30,基本資料!$A:$J,7,0),"無")</f>
        <v>17</v>
      </c>
      <c r="F30" s="6">
        <f>IFERROR(VLOOKUP($G30,基本資料!$A:$J,8,0),"無")</f>
        <v>-12.57</v>
      </c>
      <c r="G30" s="79">
        <v>1235</v>
      </c>
      <c r="H30" s="8" t="s">
        <v>292</v>
      </c>
      <c r="I30" s="22" t="s">
        <v>785</v>
      </c>
      <c r="J30" s="8">
        <f>IFERROR(VLOOKUP($G30,今日總結!$A:$AN,39,0),"")</f>
        <v>0</v>
      </c>
      <c r="K30" s="5">
        <f>IFERROR(VLOOKUP($G30,今日總結!$A:$AN,40,0),"")</f>
        <v>0</v>
      </c>
      <c r="L30" s="156">
        <f>IFERROR(VLOOKUP($G30,今日總結!$A:$AN,37,0),"")</f>
        <v>0</v>
      </c>
      <c r="M30" s="337">
        <f>IFERROR(VLOOKUP($G30,今日總結!$A:$AN,38,0),"")</f>
        <v>0</v>
      </c>
      <c r="N30" s="240">
        <f t="shared" si="9"/>
        <v>0</v>
      </c>
      <c r="O30" s="359">
        <f>IFERROR(VLOOKUP($G30,融外自投!$A:$J,7,0),"無")</f>
        <v>410</v>
      </c>
      <c r="P30" s="79" t="str">
        <f>IFERROR(VLOOKUP($G30,融外自投!$A:$J,9,0),"無")</f>
        <v>無</v>
      </c>
      <c r="Q30" s="342">
        <f>IFERROR(VLOOKUP($G30,融外自投!$A:$J,8,0),"無")</f>
        <v>1440</v>
      </c>
      <c r="R30" s="81" t="str">
        <f>IFERROR(VLOOKUP($G30,融外自投!$A:$J,10,0),"無")</f>
        <v>無</v>
      </c>
      <c r="S30" s="324">
        <f>IFERROR(VLOOKUP($G30,'321買'!$A:$E,4,0),"'沒有資料'")</f>
        <v>1002</v>
      </c>
      <c r="T30" s="186">
        <f>IFERROR(VLOOKUP($G30,基本資料!$A:$J,9,0),"無")</f>
        <v>3.8</v>
      </c>
      <c r="U30" s="307">
        <f t="shared" si="7"/>
        <v>6.8345323741007186E-2</v>
      </c>
      <c r="V30" s="94">
        <f>IFERROR(VLOOKUP($G30,基本資料!$A:$J,10,0),"無")</f>
        <v>0.81</v>
      </c>
      <c r="W30" s="36">
        <f>RTD("money.excel",,$G30,"Price")</f>
        <v>55.6</v>
      </c>
      <c r="X30" s="66"/>
      <c r="Y30" s="15">
        <f t="shared" si="4"/>
        <v>55.6</v>
      </c>
      <c r="Z30" s="3" t="e">
        <f t="shared" si="5"/>
        <v>#DIV/0!</v>
      </c>
      <c r="AA30" s="340">
        <f>IFERROR(VLOOKUP($G30,基本資料!$A:$M,11,0),"無")</f>
        <v>-10.9</v>
      </c>
      <c r="AB30" s="389">
        <f>IFERROR(VLOOKUP($G30,基本資料!$A:$M,12,0),"無")</f>
        <v>58.61</v>
      </c>
      <c r="AC30" s="22" t="s">
        <v>785</v>
      </c>
      <c r="AF30" s="33">
        <v>0</v>
      </c>
      <c r="AG30" s="43" t="s">
        <v>2614</v>
      </c>
      <c r="AH30" s="66">
        <f t="shared" si="3"/>
        <v>8.5046066619418853E-2</v>
      </c>
      <c r="AI30" s="283">
        <f>RTD("money.excel",,$G30,"PredictVolume")</f>
        <v>18</v>
      </c>
      <c r="AJ30" s="391">
        <f>IFERROR(VLOOKUP($G30,基本資料!$A:$M,13,0),"無")</f>
        <v>211.65</v>
      </c>
      <c r="AR30" s="245" t="str">
        <f>INDEX(基本資料!N:N,MATCH($G30,基本資料!A:A,0))</f>
        <v>高</v>
      </c>
    </row>
    <row r="31" spans="1:44">
      <c r="A31" s="343">
        <f>IFERROR(VLOOKUP($G31,基本資料!$A:$J,3,0),"無")</f>
        <v>10.83</v>
      </c>
      <c r="B31" s="79">
        <f>IFERROR(VLOOKUP($G31,基本資料!$A:$J,4,0),"無")</f>
        <v>-15298</v>
      </c>
      <c r="C31" s="79">
        <f>IFERROR(VLOOKUP($G31,基本資料!$A:$J,5,0),"無")</f>
        <v>-322</v>
      </c>
      <c r="D31" s="79">
        <f>IFERROR(VLOOKUP($G31,基本資料!$A:$J,6,0),"無")</f>
        <v>-20</v>
      </c>
      <c r="E31" s="79">
        <f>IFERROR(VLOOKUP($G31,基本資料!$A:$J,7,0),"無")</f>
        <v>29</v>
      </c>
      <c r="F31" s="6">
        <f>IFERROR(VLOOKUP($G31,基本資料!$A:$J,8,0),"無")</f>
        <v>-2.77</v>
      </c>
      <c r="G31" s="79">
        <v>1236</v>
      </c>
      <c r="H31" s="8" t="s">
        <v>292</v>
      </c>
      <c r="I31" s="22" t="s">
        <v>786</v>
      </c>
      <c r="J31" s="8">
        <f>IFERROR(VLOOKUP($G31,今日總結!$A:$AN,39,0),"")</f>
        <v>0</v>
      </c>
      <c r="K31" s="5">
        <f>IFERROR(VLOOKUP($G31,今日總結!$A:$AN,40,0),"")</f>
        <v>0</v>
      </c>
      <c r="L31" s="156">
        <f>IFERROR(VLOOKUP($G31,今日總結!$A:$AN,37,0),"")</f>
        <v>0</v>
      </c>
      <c r="M31" s="337">
        <f>IFERROR(VLOOKUP($G31,今日總結!$A:$AN,38,0),"")</f>
        <v>0</v>
      </c>
      <c r="N31" s="240">
        <f t="shared" si="9"/>
        <v>0</v>
      </c>
      <c r="O31" s="359">
        <f>IFERROR(VLOOKUP($G31,融外自投!$A:$J,7,0),"無")</f>
        <v>662</v>
      </c>
      <c r="P31" s="79">
        <f>IFERROR(VLOOKUP($G31,融外自投!$A:$J,9,0),"無")</f>
        <v>426</v>
      </c>
      <c r="Q31" s="342">
        <f>IFERROR(VLOOKUP($G31,融外自投!$A:$J,8,0),"無")</f>
        <v>1387</v>
      </c>
      <c r="R31" s="81" t="str">
        <f>IFERROR(VLOOKUP($G31,融外自投!$A:$J,10,0),"無")</f>
        <v>無</v>
      </c>
      <c r="S31" s="324">
        <f>IFERROR(VLOOKUP($G31,'321買'!$A:$E,4,0),"'沒有資料'")</f>
        <v>606</v>
      </c>
      <c r="T31" s="186">
        <f>IFERROR(VLOOKUP($G31,基本資料!$A:$J,9,0),"無")</f>
        <v>0.5</v>
      </c>
      <c r="U31" s="307">
        <f t="shared" si="7"/>
        <v>1.9157088122605363E-2</v>
      </c>
      <c r="V31" s="94">
        <f>IFERROR(VLOOKUP($G31,基本資料!$A:$J,10,0),"無")</f>
        <v>-0.25</v>
      </c>
      <c r="W31" s="36">
        <f>RTD("money.excel",,$G31,"Price")</f>
        <v>26.1</v>
      </c>
      <c r="X31" s="66"/>
      <c r="Y31" s="15">
        <f t="shared" si="4"/>
        <v>26.1</v>
      </c>
      <c r="Z31" s="3" t="e">
        <f t="shared" si="5"/>
        <v>#DIV/0!</v>
      </c>
      <c r="AA31" s="340">
        <f>IFERROR(VLOOKUP($G31,基本資料!$A:$M,11,0),"無")</f>
        <v>-25.96</v>
      </c>
      <c r="AB31" s="389">
        <f>IFERROR(VLOOKUP($G31,基本資料!$A:$M,12,0),"無")</f>
        <v>35.42</v>
      </c>
      <c r="AC31" s="22" t="s">
        <v>786</v>
      </c>
      <c r="AF31" s="33">
        <v>0</v>
      </c>
      <c r="AG31" s="43" t="s">
        <v>2615</v>
      </c>
      <c r="AH31" s="66">
        <f t="shared" si="3"/>
        <v>0.79935405732741216</v>
      </c>
      <c r="AI31" s="283">
        <f>RTD("money.excel",,$G31,"PredictVolume")</f>
        <v>693</v>
      </c>
      <c r="AJ31" s="391">
        <f>IFERROR(VLOOKUP($G31,基本資料!$A:$M,13,0),"無")</f>
        <v>866.95</v>
      </c>
      <c r="AR31" s="245" t="str">
        <f>INDEX(基本資料!N:N,MATCH($G31,基本資料!A:A,0))</f>
        <v>中</v>
      </c>
    </row>
    <row r="32" spans="1:44">
      <c r="A32" s="343">
        <f>IFERROR(VLOOKUP($G32,基本資料!$A:$J,3,0),"無")</f>
        <v>3.38</v>
      </c>
      <c r="B32" s="79">
        <f>IFERROR(VLOOKUP($G32,基本資料!$A:$J,4,0),"無")</f>
        <v>-9</v>
      </c>
      <c r="C32" s="79">
        <f>IFERROR(VLOOKUP($G32,基本資料!$A:$J,5,0),"無")</f>
        <v>0</v>
      </c>
      <c r="D32" s="79">
        <f>IFERROR(VLOOKUP($G32,基本資料!$A:$J,6,0),"無")</f>
        <v>-41</v>
      </c>
      <c r="E32" s="79">
        <f>IFERROR(VLOOKUP($G32,基本資料!$A:$J,7,0),"無")</f>
        <v>-52</v>
      </c>
      <c r="F32" s="6">
        <f>IFERROR(VLOOKUP($G32,基本資料!$A:$J,8,0),"無")</f>
        <v>21.63</v>
      </c>
      <c r="G32" s="79">
        <v>1256</v>
      </c>
      <c r="H32" s="8" t="s">
        <v>292</v>
      </c>
      <c r="I32" s="22" t="s">
        <v>787</v>
      </c>
      <c r="J32" s="8">
        <f>IFERROR(VLOOKUP($G32,今日總結!$A:$AN,39,0),"")</f>
        <v>0</v>
      </c>
      <c r="K32" s="5">
        <f>IFERROR(VLOOKUP($G32,今日總結!$A:$AN,40,0),"")</f>
        <v>0</v>
      </c>
      <c r="L32" s="156">
        <f>IFERROR(VLOOKUP($G32,今日總結!$A:$AN,37,0),"")</f>
        <v>0</v>
      </c>
      <c r="M32" s="337">
        <f>IFERROR(VLOOKUP($G32,今日總結!$A:$AN,38,0),"")</f>
        <v>0</v>
      </c>
      <c r="N32" s="240">
        <f t="shared" si="9"/>
        <v>0</v>
      </c>
      <c r="O32" s="359">
        <f>IFERROR(VLOOKUP($G32,融外自投!$A:$J,7,0),"無")</f>
        <v>1194</v>
      </c>
      <c r="P32" s="79" t="str">
        <f>IFERROR(VLOOKUP($G32,融外自投!$A:$J,9,0),"無")</f>
        <v>無</v>
      </c>
      <c r="Q32" s="342">
        <f>IFERROR(VLOOKUP($G32,融外自投!$A:$J,8,0),"無")</f>
        <v>893</v>
      </c>
      <c r="R32" s="81">
        <f>IFERROR(VLOOKUP($G32,融外自投!$A:$J,10,0),"無")</f>
        <v>459</v>
      </c>
      <c r="S32" s="324">
        <f>IFERROR(VLOOKUP($G32,'321買'!$A:$E,4,0),"'沒有資料'")</f>
        <v>1002</v>
      </c>
      <c r="T32" s="186">
        <f>IFERROR(VLOOKUP($G32,基本資料!$A:$J,9,0),"無")</f>
        <v>13</v>
      </c>
      <c r="U32" s="307">
        <f t="shared" si="7"/>
        <v>5.4166666666666669E-2</v>
      </c>
      <c r="V32" s="94">
        <f>IFERROR(VLOOKUP($G32,基本資料!$A:$J,10,0),"無")</f>
        <v>20.94</v>
      </c>
      <c r="W32" s="36">
        <f>RTD("money.excel",,$G32,"Price")</f>
        <v>240</v>
      </c>
      <c r="X32" s="66"/>
      <c r="Y32" s="15">
        <f t="shared" si="4"/>
        <v>240</v>
      </c>
      <c r="Z32" s="3" t="e">
        <f t="shared" si="5"/>
        <v>#DIV/0!</v>
      </c>
      <c r="AA32" s="340">
        <f>IFERROR(VLOOKUP($G32,基本資料!$A:$M,11,0),"無")</f>
        <v>-53.31</v>
      </c>
      <c r="AB32" s="389">
        <f>IFERROR(VLOOKUP($G32,基本資料!$A:$M,12,0),"無")</f>
        <v>19.170000000000002</v>
      </c>
      <c r="AC32" s="22" t="s">
        <v>787</v>
      </c>
      <c r="AF32" s="33">
        <v>0</v>
      </c>
      <c r="AG32" s="43" t="s">
        <v>2616</v>
      </c>
      <c r="AH32" s="66">
        <f t="shared" si="3"/>
        <v>1.6818642350557245</v>
      </c>
      <c r="AI32" s="283">
        <f>RTD("money.excel",,$G32,"PredictVolume")</f>
        <v>83</v>
      </c>
      <c r="AJ32" s="391">
        <f>IFERROR(VLOOKUP($G32,基本資料!$A:$M,13,0),"無")</f>
        <v>49.35</v>
      </c>
      <c r="AR32" s="245" t="str">
        <f>INDEX(基本資料!N:N,MATCH($G32,基本資料!A:A,0))</f>
        <v>低</v>
      </c>
    </row>
    <row r="33" spans="1:44">
      <c r="A33" s="343">
        <f>IFERROR(VLOOKUP($G33,基本資料!$A:$J,3,0),"無")</f>
        <v>3.68</v>
      </c>
      <c r="B33" s="79">
        <f>IFERROR(VLOOKUP($G33,基本資料!$A:$J,4,0),"無")</f>
        <v>321</v>
      </c>
      <c r="C33" s="79">
        <f>IFERROR(VLOOKUP($G33,基本資料!$A:$J,5,0),"無")</f>
        <v>522</v>
      </c>
      <c r="D33" s="79">
        <f>IFERROR(VLOOKUP($G33,基本資料!$A:$J,6,0),"無")</f>
        <v>3</v>
      </c>
      <c r="E33" s="79">
        <f>IFERROR(VLOOKUP($G33,基本資料!$A:$J,7,0),"無")</f>
        <v>8</v>
      </c>
      <c r="F33" s="6">
        <f>IFERROR(VLOOKUP($G33,基本資料!$A:$J,8,0),"無")</f>
        <v>4.95</v>
      </c>
      <c r="G33" s="79">
        <v>1258</v>
      </c>
      <c r="H33" s="8" t="s">
        <v>292</v>
      </c>
      <c r="I33" s="16" t="s">
        <v>137</v>
      </c>
      <c r="J33" s="8">
        <f>IFERROR(VLOOKUP($G33,今日總結!$A:$AN,39,0),"")</f>
        <v>0</v>
      </c>
      <c r="K33" s="5">
        <f>IFERROR(VLOOKUP($G33,今日總結!$A:$AN,40,0),"")</f>
        <v>0</v>
      </c>
      <c r="L33" s="156">
        <f>IFERROR(VLOOKUP($G33,今日總結!$A:$AN,37,0),"")</f>
        <v>0</v>
      </c>
      <c r="M33" s="337">
        <f>IFERROR(VLOOKUP($G33,今日總結!$A:$AN,38,0),"")</f>
        <v>0</v>
      </c>
      <c r="N33" s="240">
        <f t="shared" si="9"/>
        <v>0</v>
      </c>
      <c r="O33" s="359">
        <f>IFERROR(VLOOKUP($G33,融外自投!$A:$J,7,0),"無")</f>
        <v>914</v>
      </c>
      <c r="P33" s="79">
        <f>IFERROR(VLOOKUP($G33,融外自投!$A:$J,9,0),"無")</f>
        <v>790</v>
      </c>
      <c r="Q33" s="342">
        <f>IFERROR(VLOOKUP($G33,融外自投!$A:$J,8,0),"無")</f>
        <v>21</v>
      </c>
      <c r="R33" s="81" t="str">
        <f>IFERROR(VLOOKUP($G33,融外自投!$A:$J,10,0),"無")</f>
        <v>無</v>
      </c>
      <c r="S33" s="324">
        <f>IFERROR(VLOOKUP($G33,'321買'!$A:$E,4,0),"'沒有資料'")</f>
        <v>891</v>
      </c>
      <c r="T33" s="186">
        <f>IFERROR(VLOOKUP($G33,基本資料!$A:$J,9,0),"無")</f>
        <v>0</v>
      </c>
      <c r="U33" s="307">
        <f t="shared" si="7"/>
        <v>0</v>
      </c>
      <c r="V33" s="94">
        <f>IFERROR(VLOOKUP($G33,基本資料!$A:$J,10,0),"無")</f>
        <v>2</v>
      </c>
      <c r="W33" s="36">
        <f>RTD("money.excel",,$G33,"Price")</f>
        <v>22.65</v>
      </c>
      <c r="X33" s="66"/>
      <c r="Y33" s="15">
        <f t="shared" si="4"/>
        <v>22.65</v>
      </c>
      <c r="Z33" s="3" t="e">
        <f t="shared" si="5"/>
        <v>#DIV/0!</v>
      </c>
      <c r="AA33" s="340">
        <f>IFERROR(VLOOKUP($G33,基本資料!$A:$M,11,0),"無")</f>
        <v>-25.74</v>
      </c>
      <c r="AB33" s="389">
        <f>IFERROR(VLOOKUP($G33,基本資料!$A:$M,12,0),"無")</f>
        <v>50.42</v>
      </c>
      <c r="AC33" s="16" t="s">
        <v>137</v>
      </c>
      <c r="AF33" s="33">
        <v>0</v>
      </c>
      <c r="AG33" s="117" t="s">
        <v>2638</v>
      </c>
      <c r="AH33" s="66">
        <f t="shared" si="3"/>
        <v>0.2053084250439286</v>
      </c>
      <c r="AI33" s="283">
        <f>RTD("money.excel",,$G33,"PredictVolume")</f>
        <v>111</v>
      </c>
      <c r="AJ33" s="391">
        <f>IFERROR(VLOOKUP($G33,基本資料!$A:$M,13,0),"無")</f>
        <v>540.65</v>
      </c>
      <c r="AR33" s="245" t="str">
        <f>INDEX(基本資料!N:N,MATCH($G33,基本資料!A:A,0))</f>
        <v>中</v>
      </c>
    </row>
    <row r="34" spans="1:44">
      <c r="A34" s="343">
        <f>IFERROR(VLOOKUP($G34,基本資料!$A:$J,3,0),"無")</f>
        <v>3.7</v>
      </c>
      <c r="B34" s="79">
        <f>IFERROR(VLOOKUP($G34,基本資料!$A:$J,4,0),"無")</f>
        <v>13</v>
      </c>
      <c r="C34" s="79">
        <f>IFERROR(VLOOKUP($G34,基本資料!$A:$J,5,0),"無")</f>
        <v>17</v>
      </c>
      <c r="D34" s="79">
        <f>IFERROR(VLOOKUP($G34,基本資料!$A:$J,6,0),"無")</f>
        <v>5</v>
      </c>
      <c r="E34" s="79">
        <f>IFERROR(VLOOKUP($G34,基本資料!$A:$J,7,0),"無")</f>
        <v>9</v>
      </c>
      <c r="F34" s="6">
        <f>IFERROR(VLOOKUP($G34,基本資料!$A:$J,8,0),"無")</f>
        <v>19.170000000000002</v>
      </c>
      <c r="G34" s="79">
        <v>1264</v>
      </c>
      <c r="H34" s="8" t="s">
        <v>292</v>
      </c>
      <c r="I34" s="16" t="s">
        <v>768</v>
      </c>
      <c r="J34" s="8">
        <f>IFERROR(VLOOKUP($G34,今日總結!$A:$AN,39,0),"")</f>
        <v>0</v>
      </c>
      <c r="K34" s="5">
        <f>IFERROR(VLOOKUP($G34,今日總結!$A:$AN,40,0),"")</f>
        <v>0</v>
      </c>
      <c r="L34" s="156">
        <f>IFERROR(VLOOKUP($G34,今日總結!$A:$AN,37,0),"")</f>
        <v>0</v>
      </c>
      <c r="M34" s="337">
        <f>IFERROR(VLOOKUP($G34,今日總結!$A:$AN,38,0),"")</f>
        <v>0</v>
      </c>
      <c r="N34" s="240">
        <f t="shared" si="9"/>
        <v>0</v>
      </c>
      <c r="O34" s="359">
        <f>IFERROR(VLOOKUP($G34,融外自投!$A:$J,7,0),"無")</f>
        <v>1425</v>
      </c>
      <c r="P34" s="79">
        <f>IFERROR(VLOOKUP($G34,融外自投!$A:$J,9,0),"無")</f>
        <v>87</v>
      </c>
      <c r="Q34" s="342">
        <f>IFERROR(VLOOKUP($G34,融外自投!$A:$J,8,0),"無")</f>
        <v>744</v>
      </c>
      <c r="R34" s="81" t="str">
        <f>IFERROR(VLOOKUP($G34,融外自投!$A:$J,10,0),"無")</f>
        <v>無</v>
      </c>
      <c r="S34" s="324">
        <f>IFERROR(VLOOKUP($G34,'321買'!$A:$E,4,0),"'沒有資料'")</f>
        <v>1002</v>
      </c>
      <c r="T34" s="186">
        <f>IFERROR(VLOOKUP($G34,基本資料!$A:$J,9,0),"無")</f>
        <v>12</v>
      </c>
      <c r="U34" s="307">
        <f t="shared" si="7"/>
        <v>4.4444444444444446E-2</v>
      </c>
      <c r="V34" s="94">
        <f>IFERROR(VLOOKUP($G34,基本資料!$A:$J,10,0),"無")</f>
        <v>16.190000000000001</v>
      </c>
      <c r="W34" s="36">
        <f>RTD("money.excel",,$G34,"Price")</f>
        <v>270</v>
      </c>
      <c r="X34" s="66"/>
      <c r="Y34" s="15">
        <f t="shared" si="4"/>
        <v>270</v>
      </c>
      <c r="Z34" s="3" t="e">
        <f t="shared" si="5"/>
        <v>#DIV/0!</v>
      </c>
      <c r="AA34" s="340">
        <f>IFERROR(VLOOKUP($G34,基本資料!$A:$M,11,0),"無")</f>
        <v>-22.3</v>
      </c>
      <c r="AB34" s="389">
        <f>IFERROR(VLOOKUP($G34,基本資料!$A:$M,12,0),"無")</f>
        <v>10.43</v>
      </c>
      <c r="AC34" s="16" t="s">
        <v>768</v>
      </c>
      <c r="AF34" s="33">
        <v>0</v>
      </c>
      <c r="AG34" s="43" t="s">
        <v>2639</v>
      </c>
      <c r="AH34" s="66">
        <f t="shared" si="3"/>
        <v>0.25</v>
      </c>
      <c r="AI34" s="283">
        <f>RTD("money.excel",,$G34,"PredictVolume")</f>
        <v>3</v>
      </c>
      <c r="AJ34" s="391">
        <f>IFERROR(VLOOKUP($G34,基本資料!$A:$M,13,0),"無")</f>
        <v>12</v>
      </c>
      <c r="AR34" s="245" t="str">
        <f>INDEX(基本資料!N:N,MATCH($G34,基本資料!A:A,0))</f>
        <v>低</v>
      </c>
    </row>
    <row r="35" spans="1:44">
      <c r="A35" s="343">
        <f>IFERROR(VLOOKUP($G35,基本資料!$A:$J,3,0),"無")</f>
        <v>29.41</v>
      </c>
      <c r="B35" s="79">
        <f>IFERROR(VLOOKUP($G35,基本資料!$A:$J,4,0),"無")</f>
        <v>24</v>
      </c>
      <c r="C35" s="79">
        <f>IFERROR(VLOOKUP($G35,基本資料!$A:$J,5,0),"無")</f>
        <v>6</v>
      </c>
      <c r="D35" s="79">
        <f>IFERROR(VLOOKUP($G35,基本資料!$A:$J,6,0),"無")</f>
        <v>-2</v>
      </c>
      <c r="E35" s="79">
        <f>IFERROR(VLOOKUP($G35,基本資料!$A:$J,7,0),"無")</f>
        <v>-2</v>
      </c>
      <c r="F35" s="6">
        <f>IFERROR(VLOOKUP($G35,基本資料!$A:$J,8,0),"無")</f>
        <v>9</v>
      </c>
      <c r="G35" s="79">
        <v>1702</v>
      </c>
      <c r="H35" s="17" t="s">
        <v>292</v>
      </c>
      <c r="I35" s="153" t="s">
        <v>6</v>
      </c>
      <c r="J35" s="8" t="str">
        <f>IFERROR(VLOOKUP($G35,今日總結!$A:$AN,39,0),"")</f>
        <v>自</v>
      </c>
      <c r="K35" s="5">
        <f>IFERROR(VLOOKUP($G35,今日總結!$A:$AN,40,0),"")</f>
        <v>0</v>
      </c>
      <c r="L35" s="156">
        <f>IFERROR(VLOOKUP($G35,今日總結!$A:$AN,37,0),"")</f>
        <v>1</v>
      </c>
      <c r="M35" s="337">
        <f>IFERROR(VLOOKUP($G35,今日總結!$A:$AN,38,0),"")</f>
        <v>0</v>
      </c>
      <c r="N35" s="240">
        <f t="shared" si="9"/>
        <v>1</v>
      </c>
      <c r="O35" s="359">
        <f>IFERROR(VLOOKUP($G35,融外自投!$A:$J,7,0),"無")</f>
        <v>1209</v>
      </c>
      <c r="P35" s="79">
        <f>IFERROR(VLOOKUP($G35,融外自投!$A:$J,9,0),"無")</f>
        <v>825</v>
      </c>
      <c r="Q35" s="342">
        <f>IFERROR(VLOOKUP($G35,融外自投!$A:$J,8,0),"無")</f>
        <v>372</v>
      </c>
      <c r="R35" s="81">
        <f>IFERROR(VLOOKUP($G35,融外自投!$A:$J,10,0),"無")</f>
        <v>495</v>
      </c>
      <c r="S35" s="324">
        <f>IFERROR(VLOOKUP($G35,'321買'!$A:$E,4,0),"'沒有資料'")</f>
        <v>696</v>
      </c>
      <c r="T35" s="186">
        <f>IFERROR(VLOOKUP($G35,基本資料!$A:$J,9,0),"無")</f>
        <v>2.2000000000000002</v>
      </c>
      <c r="U35" s="307">
        <f t="shared" si="7"/>
        <v>4.7826086956521741E-2</v>
      </c>
      <c r="V35" s="94">
        <f>IFERROR(VLOOKUP($G35,基本資料!$A:$J,10,0),"無")</f>
        <v>4.32</v>
      </c>
      <c r="W35" s="36">
        <f>RTD("money.excel",,"1702","Price")</f>
        <v>46</v>
      </c>
      <c r="X35" s="66"/>
      <c r="Y35" s="15">
        <f t="shared" si="4"/>
        <v>46</v>
      </c>
      <c r="Z35" s="3" t="e">
        <f t="shared" si="5"/>
        <v>#DIV/0!</v>
      </c>
      <c r="AA35" s="340">
        <f>IFERROR(VLOOKUP($G35,基本資料!$A:$M,11,0),"無")</f>
        <v>-13.53</v>
      </c>
      <c r="AB35" s="389">
        <f>IFERROR(VLOOKUP($G35,基本資料!$A:$M,12,0),"無")</f>
        <v>22.64</v>
      </c>
      <c r="AC35" s="22" t="s">
        <v>6</v>
      </c>
      <c r="AF35" s="33">
        <v>0</v>
      </c>
      <c r="AG35" s="43" t="s">
        <v>2617</v>
      </c>
      <c r="AH35" s="66">
        <f t="shared" si="3"/>
        <v>1.0089896685898296</v>
      </c>
      <c r="AI35" s="283">
        <f>RTD("money.excel",,$G35,"PredictVolume")</f>
        <v>376</v>
      </c>
      <c r="AJ35" s="391">
        <f>IFERROR(VLOOKUP($G35,基本資料!$A:$M,13,0),"無")</f>
        <v>372.65</v>
      </c>
      <c r="AR35" s="245" t="str">
        <f>INDEX(基本資料!N:N,MATCH($G35,基本資料!A:A,0))</f>
        <v>低</v>
      </c>
    </row>
    <row r="36" spans="1:44">
      <c r="A36" s="343">
        <f>IFERROR(VLOOKUP($G36,基本資料!$A:$J,3,0),"無")</f>
        <v>20</v>
      </c>
      <c r="B36" s="79">
        <f>IFERROR(VLOOKUP($G36,基本資料!$A:$J,4,0),"無")</f>
        <v>10</v>
      </c>
      <c r="C36" s="79">
        <f>IFERROR(VLOOKUP($G36,基本資料!$A:$J,5,0),"無")</f>
        <v>14</v>
      </c>
      <c r="D36" s="79">
        <f>IFERROR(VLOOKUP($G36,基本資料!$A:$J,6,0),"無")</f>
        <v>-19</v>
      </c>
      <c r="E36" s="79">
        <f>IFERROR(VLOOKUP($G36,基本資料!$A:$J,7,0),"無")</f>
        <v>-3</v>
      </c>
      <c r="F36" s="6">
        <f>IFERROR(VLOOKUP($G36,基本資料!$A:$J,8,0),"無")</f>
        <v>12.92</v>
      </c>
      <c r="G36" s="79">
        <v>1737</v>
      </c>
      <c r="H36" s="8" t="s">
        <v>292</v>
      </c>
      <c r="I36" s="22" t="s">
        <v>788</v>
      </c>
      <c r="J36" s="8">
        <f>IFERROR(VLOOKUP($G36,今日總結!$A:$AN,39,0),"")</f>
        <v>0</v>
      </c>
      <c r="K36" s="5">
        <f>IFERROR(VLOOKUP($G36,今日總結!$A:$AN,40,0),"")</f>
        <v>0</v>
      </c>
      <c r="L36" s="156">
        <f>IFERROR(VLOOKUP($G36,今日總結!$A:$AN,37,0),"")</f>
        <v>0</v>
      </c>
      <c r="M36" s="337">
        <f>IFERROR(VLOOKUP($G36,今日總結!$A:$AN,38,0),"")</f>
        <v>0</v>
      </c>
      <c r="N36" s="240">
        <f t="shared" si="9"/>
        <v>0</v>
      </c>
      <c r="O36" s="359">
        <f>IFERROR(VLOOKUP($G36,融外自投!$A:$J,7,0),"無")</f>
        <v>1307</v>
      </c>
      <c r="P36" s="79">
        <f>IFERROR(VLOOKUP($G36,融外自投!$A:$J,9,0),"無")</f>
        <v>74</v>
      </c>
      <c r="Q36" s="342">
        <f>IFERROR(VLOOKUP($G36,融外自投!$A:$J,8,0),"無")</f>
        <v>537</v>
      </c>
      <c r="R36" s="81" t="str">
        <f>IFERROR(VLOOKUP($G36,融外自投!$A:$J,10,0),"無")</f>
        <v>無</v>
      </c>
      <c r="S36" s="324">
        <f>IFERROR(VLOOKUP($G36,'321買'!$A:$E,4,0),"'沒有資料'")</f>
        <v>1002</v>
      </c>
      <c r="T36" s="186">
        <f>IFERROR(VLOOKUP($G36,基本資料!$A:$J,9,0),"無")</f>
        <v>1.5</v>
      </c>
      <c r="U36" s="307">
        <f t="shared" si="7"/>
        <v>4.4910179640718563E-2</v>
      </c>
      <c r="V36" s="94">
        <f>IFERROR(VLOOKUP($G36,基本資料!$A:$J,10,0),"無")</f>
        <v>1.97</v>
      </c>
      <c r="W36" s="36">
        <f>RTD("money.excel",,$G36,"Price")</f>
        <v>33.4</v>
      </c>
      <c r="X36" s="66"/>
      <c r="Y36" s="15">
        <f t="shared" si="4"/>
        <v>33.4</v>
      </c>
      <c r="Z36" s="3" t="e">
        <f t="shared" si="5"/>
        <v>#DIV/0!</v>
      </c>
      <c r="AA36" s="340">
        <f>IFERROR(VLOOKUP($G36,基本資料!$A:$M,11,0),"無")</f>
        <v>-5.92</v>
      </c>
      <c r="AB36" s="389">
        <f>IFERROR(VLOOKUP($G36,基本資料!$A:$M,12,0),"無")</f>
        <v>35.92</v>
      </c>
      <c r="AC36" s="22" t="s">
        <v>788</v>
      </c>
      <c r="AF36" s="33">
        <v>0</v>
      </c>
      <c r="AG36" s="43" t="s">
        <v>2618</v>
      </c>
      <c r="AH36" s="66">
        <f t="shared" si="3"/>
        <v>0.75368964034962027</v>
      </c>
      <c r="AI36" s="283">
        <f>RTD("money.excel",,$G36,"PredictVolume")</f>
        <v>263</v>
      </c>
      <c r="AJ36" s="391">
        <f>IFERROR(VLOOKUP($G36,基本資料!$A:$M,13,0),"無")</f>
        <v>348.95</v>
      </c>
      <c r="AR36" s="245" t="str">
        <f>INDEX(基本資料!N:N,MATCH($G36,基本資料!A:A,0))</f>
        <v>中</v>
      </c>
    </row>
    <row r="37" spans="1:44">
      <c r="A37" s="343">
        <f>IFERROR(VLOOKUP($G37,基本資料!$A:$J,3,0),"無")</f>
        <v>4.1399999999999997</v>
      </c>
      <c r="B37" s="79">
        <f>IFERROR(VLOOKUP($G37,基本資料!$A:$J,4,0),"無")</f>
        <v>1167</v>
      </c>
      <c r="C37" s="79">
        <f>IFERROR(VLOOKUP($G37,基本資料!$A:$J,5,0),"無")</f>
        <v>360</v>
      </c>
      <c r="D37" s="79">
        <f>IFERROR(VLOOKUP($G37,基本資料!$A:$J,6,0),"無")</f>
        <v>-2</v>
      </c>
      <c r="E37" s="79">
        <f>IFERROR(VLOOKUP($G37,基本資料!$A:$J,7,0),"無")</f>
        <v>21</v>
      </c>
      <c r="F37" s="6">
        <f>IFERROR(VLOOKUP($G37,基本資料!$A:$J,8,0),"無")</f>
        <v>15.09</v>
      </c>
      <c r="G37" s="79">
        <v>1796</v>
      </c>
      <c r="H37" s="8" t="s">
        <v>292</v>
      </c>
      <c r="I37" s="16" t="s">
        <v>1113</v>
      </c>
      <c r="J37" s="8" t="str">
        <f>IFERROR(VLOOKUP($G37,今日總結!$A:$AN,39,0),"")</f>
        <v/>
      </c>
      <c r="K37" s="5" t="str">
        <f>IFERROR(VLOOKUP($G37,今日總結!$A:$AN,40,0),"")</f>
        <v/>
      </c>
      <c r="L37" s="156" t="str">
        <f>IFERROR(VLOOKUP($G37,今日總結!$A:$AN,37,0),"")</f>
        <v/>
      </c>
      <c r="M37" s="337" t="str">
        <f>IFERROR(VLOOKUP($G37,今日總結!$A:$AN,38,0),"")</f>
        <v/>
      </c>
      <c r="N37" s="240" t="str">
        <f t="shared" si="9"/>
        <v/>
      </c>
      <c r="O37" s="359">
        <f>IFERROR(VLOOKUP($G37,融外自投!$A:$J,7,0),"無")</f>
        <v>1446</v>
      </c>
      <c r="P37" s="79">
        <f>IFERROR(VLOOKUP($G37,融外自投!$A:$J,9,0),"無")</f>
        <v>1123</v>
      </c>
      <c r="Q37" s="342">
        <f>IFERROR(VLOOKUP($G37,融外自投!$A:$J,8,0),"無")</f>
        <v>1330</v>
      </c>
      <c r="R37" s="81" t="str">
        <f>IFERROR(VLOOKUP($G37,融外自投!$A:$J,10,0),"無")</f>
        <v>無</v>
      </c>
      <c r="S37" s="324" t="str">
        <f>IFERROR(VLOOKUP($G37,'321買'!$A:$E,4,0),"'沒有資料'")</f>
        <v>'沒有資料'</v>
      </c>
      <c r="T37" s="186">
        <f>IFERROR(VLOOKUP($G37,基本資料!$A:$J,9,0),"無")</f>
        <v>1</v>
      </c>
      <c r="U37" s="307">
        <f t="shared" si="7"/>
        <v>2.2271714922048998E-2</v>
      </c>
      <c r="V37" s="94">
        <f>IFERROR(VLOOKUP($G37,基本資料!$A:$J,10,0),"無")</f>
        <v>1.45</v>
      </c>
      <c r="W37" s="36">
        <f>RTD("money.excel",,$G37,"Price")</f>
        <v>44.9</v>
      </c>
      <c r="X37" s="66"/>
      <c r="Y37" s="15">
        <f t="shared" si="4"/>
        <v>44.9</v>
      </c>
      <c r="Z37" s="3" t="e">
        <f t="shared" si="5"/>
        <v>#DIV/0!</v>
      </c>
      <c r="AA37" s="340">
        <f>IFERROR(VLOOKUP($G37,基本資料!$A:$M,11,0),"無")</f>
        <v>-8.83</v>
      </c>
      <c r="AB37" s="389">
        <f>IFERROR(VLOOKUP($G37,基本資料!$A:$M,12,0),"無")</f>
        <v>34.020000000000003</v>
      </c>
      <c r="AC37" s="16" t="s">
        <v>1113</v>
      </c>
      <c r="AF37" s="33">
        <v>0</v>
      </c>
      <c r="AG37" s="43" t="s">
        <v>2450</v>
      </c>
      <c r="AH37" s="66">
        <f t="shared" si="3"/>
        <v>2.5316455696202531E-2</v>
      </c>
      <c r="AI37" s="283">
        <f>RTD("money.excel",,$G37,"PredictVolume")</f>
        <v>1</v>
      </c>
      <c r="AJ37" s="391">
        <f>IFERROR(VLOOKUP($G37,基本資料!$A:$M,13,0),"無")</f>
        <v>39.5</v>
      </c>
      <c r="AR37" s="245" t="str">
        <f>INDEX(基本資料!N:N,MATCH($G37,基本資料!A:A,0))</f>
        <v>高</v>
      </c>
    </row>
    <row r="38" spans="1:44">
      <c r="A38" s="343">
        <f>IFERROR(VLOOKUP($G38,基本資料!$A:$J,3,0),"無")</f>
        <v>8.8699999999999992</v>
      </c>
      <c r="B38" s="79">
        <f>IFERROR(VLOOKUP($G38,基本資料!$A:$J,4,0),"無")</f>
        <v>-1</v>
      </c>
      <c r="C38" s="79">
        <f>IFERROR(VLOOKUP($G38,基本資料!$A:$J,5,0),"無")</f>
        <v>1</v>
      </c>
      <c r="D38" s="79">
        <f>IFERROR(VLOOKUP($G38,基本資料!$A:$J,6,0),"無")</f>
        <v>-9</v>
      </c>
      <c r="E38" s="79">
        <f>IFERROR(VLOOKUP($G38,基本資料!$A:$J,7,0),"無")</f>
        <v>-1</v>
      </c>
      <c r="F38" s="6">
        <f>IFERROR(VLOOKUP($G38,基本資料!$A:$J,8,0),"無")</f>
        <v>24.16</v>
      </c>
      <c r="G38" s="79">
        <v>4205</v>
      </c>
      <c r="H38" s="8" t="s">
        <v>292</v>
      </c>
      <c r="I38" s="16" t="s">
        <v>769</v>
      </c>
      <c r="J38" s="8">
        <f>IFERROR(VLOOKUP($G38,今日總結!$A:$AN,39,0),"")</f>
        <v>0</v>
      </c>
      <c r="K38" s="5" t="str">
        <f>IFERROR(VLOOKUP($G38,今日總結!$A:$AN,40,0),"")</f>
        <v>主</v>
      </c>
      <c r="L38" s="156">
        <f>IFERROR(VLOOKUP($G38,今日總結!$A:$AN,37,0),"")</f>
        <v>0</v>
      </c>
      <c r="M38" s="337">
        <f>IFERROR(VLOOKUP($G38,今日總結!$A:$AN,38,0),"")</f>
        <v>6</v>
      </c>
      <c r="N38" s="240">
        <f t="shared" si="9"/>
        <v>-6</v>
      </c>
      <c r="O38" s="359">
        <f>IFERROR(VLOOKUP($G38,融外自投!$A:$J,7,0),"無")</f>
        <v>1467</v>
      </c>
      <c r="P38" s="79" t="str">
        <f>IFERROR(VLOOKUP($G38,融外自投!$A:$J,9,0),"無")</f>
        <v>無</v>
      </c>
      <c r="Q38" s="342">
        <f>IFERROR(VLOOKUP($G38,融外自投!$A:$J,8,0),"無")</f>
        <v>1337</v>
      </c>
      <c r="R38" s="81" t="str">
        <f>IFERROR(VLOOKUP($G38,融外自投!$A:$J,10,0),"無")</f>
        <v>無</v>
      </c>
      <c r="S38" s="324">
        <f>IFERROR(VLOOKUP($G38,'321買'!$A:$E,4,0),"'沒有資料'")</f>
        <v>1002</v>
      </c>
      <c r="T38" s="186">
        <f>IFERROR(VLOOKUP($G38,基本資料!$A:$J,9,0),"無")</f>
        <v>3</v>
      </c>
      <c r="U38" s="307">
        <f t="shared" si="7"/>
        <v>2.9411764705882353E-2</v>
      </c>
      <c r="V38" s="94">
        <f>IFERROR(VLOOKUP($G38,基本資料!$A:$J,10,0),"無")</f>
        <v>3.76</v>
      </c>
      <c r="W38" s="36">
        <f>RTD("money.excel",,$G38,"Price")</f>
        <v>102</v>
      </c>
      <c r="X38" s="66"/>
      <c r="Y38" s="15">
        <f t="shared" si="4"/>
        <v>102</v>
      </c>
      <c r="Z38" s="3" t="e">
        <f t="shared" si="5"/>
        <v>#DIV/0!</v>
      </c>
      <c r="AA38" s="340">
        <f>IFERROR(VLOOKUP($G38,基本資料!$A:$M,11,0),"無")</f>
        <v>-33.770000000000003</v>
      </c>
      <c r="AB38" s="389">
        <f>IFERROR(VLOOKUP($G38,基本資料!$A:$M,12,0),"無")</f>
        <v>15.32</v>
      </c>
      <c r="AC38" s="16" t="s">
        <v>769</v>
      </c>
      <c r="AF38" s="33">
        <v>0</v>
      </c>
      <c r="AG38" s="43" t="s">
        <v>2640</v>
      </c>
      <c r="AH38" s="66">
        <f t="shared" si="3"/>
        <v>0.49180327868852458</v>
      </c>
      <c r="AI38" s="283">
        <f>RTD("money.excel",,$G38,"PredictVolume")</f>
        <v>15</v>
      </c>
      <c r="AJ38" s="391">
        <f>IFERROR(VLOOKUP($G38,基本資料!$A:$M,13,0),"無")</f>
        <v>30.5</v>
      </c>
      <c r="AR38" s="245" t="str">
        <f>INDEX(基本資料!N:N,MATCH($G38,基本資料!A:A,0))</f>
        <v>低</v>
      </c>
    </row>
    <row r="39" spans="1:44">
      <c r="A39" s="343">
        <f>IFERROR(VLOOKUP($G39,基本資料!$A:$J,3,0),"無")</f>
        <v>16.2</v>
      </c>
      <c r="B39" s="79">
        <f>IFERROR(VLOOKUP($G39,基本資料!$A:$J,4,0),"無")</f>
        <v>157</v>
      </c>
      <c r="C39" s="79">
        <f>IFERROR(VLOOKUP($G39,基本資料!$A:$J,5,0),"無")</f>
        <v>0</v>
      </c>
      <c r="D39" s="79">
        <f>IFERROR(VLOOKUP($G39,基本資料!$A:$J,6,0),"無")</f>
        <v>2</v>
      </c>
      <c r="E39" s="79">
        <f>IFERROR(VLOOKUP($G39,基本資料!$A:$J,7,0),"無")</f>
        <v>32</v>
      </c>
      <c r="F39" s="6">
        <f>IFERROR(VLOOKUP($G39,基本資料!$A:$J,8,0),"無")</f>
        <v>6.84</v>
      </c>
      <c r="G39" s="79">
        <v>4207</v>
      </c>
      <c r="H39" s="8" t="s">
        <v>292</v>
      </c>
      <c r="I39" s="16" t="s">
        <v>770</v>
      </c>
      <c r="J39" s="8">
        <f>IFERROR(VLOOKUP($G39,今日總結!$A:$AN,39,0),"")</f>
        <v>0</v>
      </c>
      <c r="K39" s="5">
        <f>IFERROR(VLOOKUP($G39,今日總結!$A:$AN,40,0),"")</f>
        <v>0</v>
      </c>
      <c r="L39" s="156">
        <f>IFERROR(VLOOKUP($G39,今日總結!$A:$AN,37,0),"")</f>
        <v>0</v>
      </c>
      <c r="M39" s="337">
        <f>IFERROR(VLOOKUP($G39,今日總結!$A:$AN,38,0),"")</f>
        <v>0</v>
      </c>
      <c r="N39" s="240">
        <f t="shared" si="9"/>
        <v>0</v>
      </c>
      <c r="O39" s="359">
        <f>IFERROR(VLOOKUP($G39,融外自投!$A:$J,7,0),"無")</f>
        <v>703</v>
      </c>
      <c r="P39" s="79" t="str">
        <f>IFERROR(VLOOKUP($G39,融外自投!$A:$J,9,0),"無")</f>
        <v>無</v>
      </c>
      <c r="Q39" s="342">
        <f>IFERROR(VLOOKUP($G39,融外自投!$A:$J,8,0),"無")</f>
        <v>1290</v>
      </c>
      <c r="R39" s="81" t="str">
        <f>IFERROR(VLOOKUP($G39,融外自投!$A:$J,10,0),"無")</f>
        <v>無</v>
      </c>
      <c r="S39" s="324">
        <f>IFERROR(VLOOKUP($G39,'321買'!$A:$E,4,0),"'沒有資料'")</f>
        <v>801</v>
      </c>
      <c r="T39" s="186">
        <f>IFERROR(VLOOKUP($G39,基本資料!$A:$J,9,0),"無")</f>
        <v>1.25</v>
      </c>
      <c r="U39" s="307">
        <f t="shared" si="7"/>
        <v>8.3892617449664433E-2</v>
      </c>
      <c r="V39" s="94">
        <f>IFERROR(VLOOKUP($G39,基本資料!$A:$J,10,0),"無")</f>
        <v>2.25</v>
      </c>
      <c r="W39" s="36">
        <f>RTD("money.excel",,$G39,"Price")</f>
        <v>14.9</v>
      </c>
      <c r="X39" s="66"/>
      <c r="Y39" s="15">
        <f t="shared" si="4"/>
        <v>14.9</v>
      </c>
      <c r="Z39" s="3" t="e">
        <f t="shared" si="5"/>
        <v>#DIV/0!</v>
      </c>
      <c r="AA39" s="340">
        <f>IFERROR(VLOOKUP($G39,基本資料!$A:$M,11,0),"無")</f>
        <v>-17.68</v>
      </c>
      <c r="AB39" s="389">
        <f>IFERROR(VLOOKUP($G39,基本資料!$A:$M,12,0),"無")</f>
        <v>38.229999999999997</v>
      </c>
      <c r="AC39" s="16" t="s">
        <v>770</v>
      </c>
      <c r="AF39" s="33">
        <v>0</v>
      </c>
      <c r="AG39" s="43" t="s">
        <v>2641</v>
      </c>
      <c r="AH39" s="66">
        <f t="shared" si="3"/>
        <v>0.12510031110182812</v>
      </c>
      <c r="AI39" s="283">
        <f>RTD("money.excel",,$G39,"PredictVolume")</f>
        <v>569</v>
      </c>
      <c r="AJ39" s="391">
        <f>IFERROR(VLOOKUP($G39,基本資料!$A:$M,13,0),"無")</f>
        <v>4548.3500000000004</v>
      </c>
      <c r="AR39" s="245" t="str">
        <f>INDEX(基本資料!N:N,MATCH($G39,基本資料!A:A,0))</f>
        <v>中</v>
      </c>
    </row>
    <row r="40" spans="1:44">
      <c r="A40" s="142"/>
      <c r="B40" s="90"/>
      <c r="C40" s="90"/>
      <c r="D40" s="90"/>
      <c r="E40" s="136"/>
      <c r="F40" s="73"/>
      <c r="G40" s="79"/>
      <c r="H40" s="8"/>
      <c r="I40" s="16"/>
      <c r="L40" s="2"/>
      <c r="P40" s="292"/>
      <c r="R40" s="26"/>
      <c r="T40" s="34"/>
      <c r="U40" s="305"/>
      <c r="V40" s="94"/>
      <c r="W40" s="36"/>
      <c r="X40" s="66"/>
      <c r="Y40" s="15"/>
      <c r="Z40" s="3"/>
      <c r="AC40" s="16"/>
      <c r="AF40" s="33"/>
      <c r="AG40" s="43"/>
      <c r="AH40" s="66" t="e">
        <f t="shared" si="3"/>
        <v>#DIV/0!</v>
      </c>
      <c r="AI40" s="283"/>
    </row>
    <row r="41" spans="1:44">
      <c r="A41" s="127" t="s">
        <v>1672</v>
      </c>
      <c r="B41" s="90" t="s">
        <v>1571</v>
      </c>
      <c r="C41" s="90" t="s">
        <v>1572</v>
      </c>
      <c r="D41" s="90" t="s">
        <v>1573</v>
      </c>
      <c r="E41" s="90" t="s">
        <v>1574</v>
      </c>
      <c r="F41" s="8" t="s">
        <v>1059</v>
      </c>
      <c r="G41" s="27" t="s">
        <v>588</v>
      </c>
      <c r="H41" s="55" t="s">
        <v>320</v>
      </c>
      <c r="I41" s="50" t="s">
        <v>3328</v>
      </c>
      <c r="J41" s="8" t="s">
        <v>6211</v>
      </c>
      <c r="K41" s="5" t="s">
        <v>6212</v>
      </c>
      <c r="L41" s="334" t="s">
        <v>6197</v>
      </c>
      <c r="M41" s="335" t="s">
        <v>6198</v>
      </c>
      <c r="N41" s="336" t="s">
        <v>6199</v>
      </c>
      <c r="O41" s="89" t="s">
        <v>6275</v>
      </c>
      <c r="P41" s="292" t="s">
        <v>6274</v>
      </c>
      <c r="Q41" s="350" t="s">
        <v>6273</v>
      </c>
      <c r="R41" s="26" t="s">
        <v>6276</v>
      </c>
      <c r="S41" s="318" t="s">
        <v>4715</v>
      </c>
      <c r="T41" s="10" t="s">
        <v>66</v>
      </c>
      <c r="U41" s="305" t="s">
        <v>4728</v>
      </c>
      <c r="V41" s="68" t="s">
        <v>3272</v>
      </c>
      <c r="W41" s="28" t="s">
        <v>2</v>
      </c>
      <c r="X41" s="17" t="s">
        <v>1398</v>
      </c>
      <c r="Y41" s="14" t="s">
        <v>5</v>
      </c>
      <c r="Z41" s="21" t="s">
        <v>3</v>
      </c>
      <c r="AA41" s="96" t="s">
        <v>6166</v>
      </c>
      <c r="AB41" s="378" t="s">
        <v>6404</v>
      </c>
      <c r="AC41" s="50" t="s">
        <v>3328</v>
      </c>
      <c r="AD41" s="71" t="s">
        <v>1399</v>
      </c>
      <c r="AE41" s="72" t="s">
        <v>1156</v>
      </c>
      <c r="AF41" s="32" t="s">
        <v>1157</v>
      </c>
      <c r="AG41" s="25" t="s">
        <v>6200</v>
      </c>
      <c r="AH41" s="8" t="s">
        <v>6696</v>
      </c>
      <c r="AI41" s="50" t="s">
        <v>3360</v>
      </c>
      <c r="AJ41" s="22" t="s">
        <v>6695</v>
      </c>
      <c r="AK41" s="279"/>
    </row>
    <row r="42" spans="1:44">
      <c r="A42" s="343">
        <f>IFERROR(VLOOKUP($G42,基本資料!$A:$J,3,0),"無")</f>
        <v>636</v>
      </c>
      <c r="B42" s="79">
        <f>IFERROR(VLOOKUP($G42,基本資料!$A:$J,4,0),"無")</f>
        <v>256</v>
      </c>
      <c r="C42" s="79">
        <f>IFERROR(VLOOKUP($G42,基本資料!$A:$J,5,0),"無")</f>
        <v>251</v>
      </c>
      <c r="D42" s="79">
        <f>IFERROR(VLOOKUP($G42,基本資料!$A:$J,6,0),"無")</f>
        <v>-5</v>
      </c>
      <c r="E42" s="79">
        <f>IFERROR(VLOOKUP($G42,基本資料!$A:$J,7,0),"無")</f>
        <v>3</v>
      </c>
      <c r="F42" s="6">
        <f>IFERROR(VLOOKUP($G42,基本資料!$A:$J,8,0),"無")</f>
        <v>21.99</v>
      </c>
      <c r="G42" s="79">
        <v>1301</v>
      </c>
      <c r="H42" s="17" t="s">
        <v>3328</v>
      </c>
      <c r="I42" s="22" t="s">
        <v>67</v>
      </c>
      <c r="J42" s="8" t="str">
        <f>IFERROR(VLOOKUP($G42,今日總結!$A:$AN,39,0),"")</f>
        <v>投</v>
      </c>
      <c r="K42" s="5">
        <f>IFERROR(VLOOKUP($G42,今日總結!$A:$AN,40,0),"")</f>
        <v>0</v>
      </c>
      <c r="L42" s="156">
        <f>IFERROR(VLOOKUP($G42,今日總結!$A:$AN,37,0),"")</f>
        <v>17</v>
      </c>
      <c r="M42" s="337">
        <f>IFERROR(VLOOKUP($G42,今日總結!$A:$AN,38,0),"")</f>
        <v>0</v>
      </c>
      <c r="N42" s="240">
        <f>IFERROR(L42-M42,"")</f>
        <v>17</v>
      </c>
      <c r="O42" s="359">
        <f>IFERROR(VLOOKUP($G42,融外自投!$A:$J,7,0),"無")</f>
        <v>1425</v>
      </c>
      <c r="P42" s="79">
        <f>IFERROR(VLOOKUP($G42,融外自投!$A:$J,9,0),"無")</f>
        <v>240</v>
      </c>
      <c r="Q42" s="342">
        <f>IFERROR(VLOOKUP($G42,融外自投!$A:$J,8,0),"無")</f>
        <v>136</v>
      </c>
      <c r="R42" s="81">
        <f>IFERROR(VLOOKUP($G42,融外自投!$A:$J,10,0),"無")</f>
        <v>157</v>
      </c>
      <c r="S42" s="324">
        <f>IFERROR(VLOOKUP($G42,'321買'!$A:$E,4,0),"'沒有資料'")</f>
        <v>497</v>
      </c>
      <c r="T42" s="186">
        <f>IFERROR(VLOOKUP($G42,基本資料!$A:$J,9,0),"無")</f>
        <v>8.1999999999999993</v>
      </c>
      <c r="U42" s="307">
        <f>$T42/$W42</f>
        <v>7.9999999999999988E-2</v>
      </c>
      <c r="V42" s="94">
        <f>IFERROR(VLOOKUP($G42,基本資料!$A:$J,10,0),"無")</f>
        <v>11.21</v>
      </c>
      <c r="W42" s="36">
        <f>RTD("money.excel",,$G42,"Price")</f>
        <v>102.5</v>
      </c>
      <c r="X42" s="65"/>
      <c r="Y42" s="15">
        <f t="shared" ref="Y42" si="10">W42-X42</f>
        <v>102.5</v>
      </c>
      <c r="Z42" s="3" t="e">
        <f t="shared" ref="Z42:Z67" si="11">Y42/X42</f>
        <v>#DIV/0!</v>
      </c>
      <c r="AA42" s="340">
        <f>IFERROR(VLOOKUP($G42,基本資料!$A:$M,11,0),"無")</f>
        <v>-15.29</v>
      </c>
      <c r="AB42" s="389">
        <f>IFERROR(VLOOKUP($G42,基本資料!$A:$M,12,0),"無")</f>
        <v>35.22</v>
      </c>
      <c r="AC42" s="22" t="s">
        <v>67</v>
      </c>
      <c r="AF42" s="33">
        <f t="shared" ref="AF42:AF46" si="12">AE42-AD42</f>
        <v>0</v>
      </c>
      <c r="AG42" s="43" t="s">
        <v>3530</v>
      </c>
      <c r="AH42" s="66">
        <f t="shared" si="3"/>
        <v>0.79399710458169359</v>
      </c>
      <c r="AI42" s="283">
        <f>RTD("money.excel",,$G42,"PredictVolume")</f>
        <v>5841</v>
      </c>
      <c r="AJ42" s="391">
        <f>IFERROR(VLOOKUP($G42,基本資料!$A:$M,13,0),"無")</f>
        <v>7356.45</v>
      </c>
      <c r="AK42" s="245"/>
      <c r="AR42" s="245" t="str">
        <f>INDEX(基本資料!N:N,MATCH($G42,基本資料!A:A,0))</f>
        <v>低</v>
      </c>
    </row>
    <row r="43" spans="1:44">
      <c r="A43" s="343">
        <f>IFERROR(VLOOKUP($G43,基本資料!$A:$J,3,0),"無")</f>
        <v>793</v>
      </c>
      <c r="B43" s="79">
        <f>IFERROR(VLOOKUP($G43,基本資料!$A:$J,4,0),"無")</f>
        <v>215</v>
      </c>
      <c r="C43" s="79">
        <f>IFERROR(VLOOKUP($G43,基本資料!$A:$J,5,0),"無")</f>
        <v>281</v>
      </c>
      <c r="D43" s="79">
        <f>IFERROR(VLOOKUP($G43,基本資料!$A:$J,6,0),"無")</f>
        <v>-19</v>
      </c>
      <c r="E43" s="79">
        <f>IFERROR(VLOOKUP($G43,基本資料!$A:$J,7,0),"無")</f>
        <v>-14</v>
      </c>
      <c r="F43" s="6">
        <f>IFERROR(VLOOKUP($G43,基本資料!$A:$J,8,0),"無")</f>
        <v>19.68</v>
      </c>
      <c r="G43" s="79">
        <v>1303</v>
      </c>
      <c r="H43" s="17" t="s">
        <v>3328</v>
      </c>
      <c r="I43" s="22" t="s">
        <v>1058</v>
      </c>
      <c r="J43" s="8" t="str">
        <f>IFERROR(VLOOKUP($G43,今日總結!$A:$AN,39,0),"")</f>
        <v>投</v>
      </c>
      <c r="K43" s="5" t="str">
        <f>IFERROR(VLOOKUP($G43,今日總結!$A:$AN,40,0),"")</f>
        <v>主外</v>
      </c>
      <c r="L43" s="156">
        <f>IFERROR(VLOOKUP($G43,今日總結!$A:$AN,37,0),"")</f>
        <v>11</v>
      </c>
      <c r="M43" s="337">
        <f>IFERROR(VLOOKUP($G43,今日總結!$A:$AN,38,0),"")</f>
        <v>9</v>
      </c>
      <c r="N43" s="240">
        <f t="shared" ref="N43:N67" si="13">IFERROR(L43-M43,"")</f>
        <v>2</v>
      </c>
      <c r="O43" s="359">
        <f>IFERROR(VLOOKUP($G43,融外自投!$A:$J,7,0),"無")</f>
        <v>1425</v>
      </c>
      <c r="P43" s="79">
        <f>IFERROR(VLOOKUP($G43,融外自投!$A:$J,9,0),"無")</f>
        <v>297</v>
      </c>
      <c r="Q43" s="342">
        <f>IFERROR(VLOOKUP($G43,融外自投!$A:$J,8,0),"無")</f>
        <v>165</v>
      </c>
      <c r="R43" s="81">
        <f>IFERROR(VLOOKUP($G43,融外自投!$A:$J,10,0),"無")</f>
        <v>160</v>
      </c>
      <c r="S43" s="324">
        <f>IFERROR(VLOOKUP($G43,'321買'!$A:$E,4,0),"'沒有資料'")</f>
        <v>202</v>
      </c>
      <c r="T43" s="186">
        <f>IFERROR(VLOOKUP($G43,基本資料!$A:$J,9,0),"無")</f>
        <v>7.5</v>
      </c>
      <c r="U43" s="307">
        <f t="shared" ref="U43:U106" si="14">$T43/$W43</f>
        <v>9.2364532019704432E-2</v>
      </c>
      <c r="V43" s="94">
        <f>IFERROR(VLOOKUP($G43,基本資料!$A:$J,10,0),"無")</f>
        <v>10.25</v>
      </c>
      <c r="W43" s="36">
        <f>RTD("money.excel",,$G43,"Price")</f>
        <v>81.2</v>
      </c>
      <c r="X43" s="65"/>
      <c r="Y43" s="15">
        <f t="shared" ref="Y43:Y67" si="15">W43-X43</f>
        <v>81.2</v>
      </c>
      <c r="Z43" s="3" t="e">
        <f t="shared" si="11"/>
        <v>#DIV/0!</v>
      </c>
      <c r="AA43" s="340">
        <f>IFERROR(VLOOKUP($G43,基本資料!$A:$M,11,0),"無")</f>
        <v>-13.62</v>
      </c>
      <c r="AB43" s="389">
        <f>IFERROR(VLOOKUP($G43,基本資料!$A:$M,12,0),"無")</f>
        <v>16.41</v>
      </c>
      <c r="AC43" s="22" t="s">
        <v>1058</v>
      </c>
      <c r="AF43" s="33">
        <f t="shared" si="12"/>
        <v>0</v>
      </c>
      <c r="AG43" s="43" t="s">
        <v>2596</v>
      </c>
      <c r="AH43" s="66">
        <f t="shared" si="3"/>
        <v>1.2021260975538133</v>
      </c>
      <c r="AI43" s="283">
        <f>RTD("money.excel",,$G43,"PredictVolume")</f>
        <v>10234</v>
      </c>
      <c r="AJ43" s="391">
        <f>IFERROR(VLOOKUP($G43,基本資料!$A:$M,13,0),"無")</f>
        <v>8513.25</v>
      </c>
      <c r="AK43" s="245"/>
      <c r="AR43" s="245" t="str">
        <f>INDEX(基本資料!N:N,MATCH($G43,基本資料!A:A,0))</f>
        <v>低</v>
      </c>
    </row>
    <row r="44" spans="1:44">
      <c r="A44" s="343">
        <f>IFERROR(VLOOKUP($G44,基本資料!$A:$J,3,0),"無")</f>
        <v>118</v>
      </c>
      <c r="B44" s="79">
        <f>IFERROR(VLOOKUP($G44,基本資料!$A:$J,4,0),"無")</f>
        <v>77</v>
      </c>
      <c r="C44" s="79">
        <f>IFERROR(VLOOKUP($G44,基本資料!$A:$J,5,0),"無")</f>
        <v>87</v>
      </c>
      <c r="D44" s="79">
        <f>IFERROR(VLOOKUP($G44,基本資料!$A:$J,6,0),"無")</f>
        <v>0</v>
      </c>
      <c r="E44" s="79">
        <f>IFERROR(VLOOKUP($G44,基本資料!$A:$J,7,0),"無")</f>
        <v>-5</v>
      </c>
      <c r="F44" s="6">
        <f>IFERROR(VLOOKUP($G44,基本資料!$A:$J,8,0),"無")</f>
        <v>17.95</v>
      </c>
      <c r="G44" s="79">
        <v>1304</v>
      </c>
      <c r="H44" s="195" t="s">
        <v>3328</v>
      </c>
      <c r="I44" s="22" t="s">
        <v>3583</v>
      </c>
      <c r="J44" s="8">
        <f>IFERROR(VLOOKUP($G44,今日總結!$A:$AN,39,0),"")</f>
        <v>0</v>
      </c>
      <c r="K44" s="5">
        <f>IFERROR(VLOOKUP($G44,今日總結!$A:$AN,40,0),"")</f>
        <v>0</v>
      </c>
      <c r="L44" s="156">
        <f>IFERROR(VLOOKUP($G44,今日總結!$A:$AN,37,0),"")</f>
        <v>0</v>
      </c>
      <c r="M44" s="337">
        <f>IFERROR(VLOOKUP($G44,今日總結!$A:$AN,38,0),"")</f>
        <v>0</v>
      </c>
      <c r="N44" s="240">
        <f t="shared" si="13"/>
        <v>0</v>
      </c>
      <c r="O44" s="359">
        <f>IFERROR(VLOOKUP($G44,融外自投!$A:$J,7,0),"無")</f>
        <v>883</v>
      </c>
      <c r="P44" s="79">
        <f>IFERROR(VLOOKUP($G44,融外自投!$A:$J,9,0),"無")</f>
        <v>550</v>
      </c>
      <c r="Q44" s="342">
        <f>IFERROR(VLOOKUP($G44,融外自投!$A:$J,8,0),"無")</f>
        <v>158</v>
      </c>
      <c r="R44" s="81">
        <f>IFERROR(VLOOKUP($G44,融外自投!$A:$J,10,0),"無")</f>
        <v>495</v>
      </c>
      <c r="S44" s="324">
        <f>IFERROR(VLOOKUP($G44,'321買'!$A:$E,4,0),"'沒有資料'")</f>
        <v>465</v>
      </c>
      <c r="T44" s="186">
        <f>IFERROR(VLOOKUP($G44,基本資料!$A:$J,9,0),"無")</f>
        <v>2.2000000000000002</v>
      </c>
      <c r="U44" s="307">
        <f t="shared" si="14"/>
        <v>8.9249492900608532E-2</v>
      </c>
      <c r="V44" s="94">
        <f>IFERROR(VLOOKUP($G44,基本資料!$A:$J,10,0),"無")</f>
        <v>4.84</v>
      </c>
      <c r="W44" s="36">
        <f>RTD("money.excel",,$G44,"Price")</f>
        <v>24.65</v>
      </c>
      <c r="X44" s="66"/>
      <c r="Y44" s="15">
        <f t="shared" si="15"/>
        <v>24.65</v>
      </c>
      <c r="Z44" s="3" t="e">
        <f t="shared" si="11"/>
        <v>#DIV/0!</v>
      </c>
      <c r="AA44" s="340">
        <f>IFERROR(VLOOKUP($G44,基本資料!$A:$M,11,0),"無")</f>
        <v>-45.04</v>
      </c>
      <c r="AB44" s="389">
        <f>IFERROR(VLOOKUP($G44,基本資料!$A:$M,12,0),"無")</f>
        <v>20.23</v>
      </c>
      <c r="AC44" s="22" t="s">
        <v>3583</v>
      </c>
      <c r="AF44" s="33">
        <f t="shared" si="12"/>
        <v>0</v>
      </c>
      <c r="AG44" s="117" t="s">
        <v>2549</v>
      </c>
      <c r="AH44" s="66">
        <f t="shared" si="3"/>
        <v>0.61190261815228708</v>
      </c>
      <c r="AI44" s="283">
        <f>RTD("money.excel",,$G44,"PredictVolume")</f>
        <v>3466</v>
      </c>
      <c r="AJ44" s="391">
        <f>IFERROR(VLOOKUP($G44,基本資料!$A:$M,13,0),"無")</f>
        <v>5664.3</v>
      </c>
      <c r="AK44" s="245"/>
      <c r="AR44" s="245" t="str">
        <f>INDEX(基本資料!N:N,MATCH($G44,基本資料!A:A,0))</f>
        <v>低</v>
      </c>
    </row>
    <row r="45" spans="1:44">
      <c r="A45" s="343">
        <f>IFERROR(VLOOKUP($G45,基本資料!$A:$J,3,0),"無")</f>
        <v>58.1</v>
      </c>
      <c r="B45" s="79">
        <f>IFERROR(VLOOKUP($G45,基本資料!$A:$J,4,0),"無")</f>
        <v>46</v>
      </c>
      <c r="C45" s="79">
        <f>IFERROR(VLOOKUP($G45,基本資料!$A:$J,5,0),"無")</f>
        <v>54</v>
      </c>
      <c r="D45" s="79">
        <f>IFERROR(VLOOKUP($G45,基本資料!$A:$J,6,0),"無")</f>
        <v>-7</v>
      </c>
      <c r="E45" s="79">
        <f>IFERROR(VLOOKUP($G45,基本資料!$A:$J,7,0),"無")</f>
        <v>14</v>
      </c>
      <c r="F45" s="6">
        <f>IFERROR(VLOOKUP($G45,基本資料!$A:$J,8,0),"無")</f>
        <v>16.399999999999999</v>
      </c>
      <c r="G45" s="79">
        <v>1305</v>
      </c>
      <c r="H45" s="8" t="s">
        <v>3328</v>
      </c>
      <c r="I45" s="22" t="s">
        <v>594</v>
      </c>
      <c r="J45" s="8">
        <f>IFERROR(VLOOKUP($G45,今日總結!$A:$AN,39,0),"")</f>
        <v>0</v>
      </c>
      <c r="K45" s="5">
        <f>IFERROR(VLOOKUP($G45,今日總結!$A:$AN,40,0),"")</f>
        <v>0</v>
      </c>
      <c r="L45" s="156">
        <f>IFERROR(VLOOKUP($G45,今日總結!$A:$AN,37,0),"")</f>
        <v>0</v>
      </c>
      <c r="M45" s="337">
        <f>IFERROR(VLOOKUP($G45,今日總結!$A:$AN,38,0),"")</f>
        <v>0</v>
      </c>
      <c r="N45" s="240">
        <f t="shared" si="13"/>
        <v>0</v>
      </c>
      <c r="O45" s="359">
        <f>IFERROR(VLOOKUP($G45,融外自投!$A:$J,7,0),"無")</f>
        <v>743</v>
      </c>
      <c r="P45" s="79">
        <f>IFERROR(VLOOKUP($G45,融外自投!$A:$J,9,0),"無")</f>
        <v>1123</v>
      </c>
      <c r="Q45" s="342">
        <f>IFERROR(VLOOKUP($G45,融外自投!$A:$J,8,0),"無")</f>
        <v>513</v>
      </c>
      <c r="R45" s="81">
        <f>IFERROR(VLOOKUP($G45,融外自投!$A:$J,10,0),"無")</f>
        <v>341</v>
      </c>
      <c r="S45" s="324">
        <f>IFERROR(VLOOKUP($G45,'321買'!$A:$E,4,0),"'沒有資料'")</f>
        <v>253</v>
      </c>
      <c r="T45" s="186">
        <f>IFERROR(VLOOKUP($G45,基本資料!$A:$J,9,0),"無")</f>
        <v>2.5</v>
      </c>
      <c r="U45" s="307">
        <f t="shared" si="14"/>
        <v>8.4317032040472181E-2</v>
      </c>
      <c r="V45" s="94">
        <f>IFERROR(VLOOKUP($G45,基本資料!$A:$J,10,0),"無")</f>
        <v>4.25</v>
      </c>
      <c r="W45" s="36">
        <f>RTD("money.excel",,$G45,"Price")</f>
        <v>29.65</v>
      </c>
      <c r="X45" s="66"/>
      <c r="Y45" s="15">
        <f t="shared" si="15"/>
        <v>29.65</v>
      </c>
      <c r="Z45" s="3" t="e">
        <f t="shared" si="11"/>
        <v>#DIV/0!</v>
      </c>
      <c r="AA45" s="340">
        <f>IFERROR(VLOOKUP($G45,基本資料!$A:$M,11,0),"無")</f>
        <v>-38.159999999999997</v>
      </c>
      <c r="AB45" s="389">
        <f>IFERROR(VLOOKUP($G45,基本資料!$A:$M,12,0),"無")</f>
        <v>16.48</v>
      </c>
      <c r="AC45" s="22" t="s">
        <v>594</v>
      </c>
      <c r="AF45" s="33">
        <f t="shared" si="12"/>
        <v>0</v>
      </c>
      <c r="AG45" s="43" t="s">
        <v>3531</v>
      </c>
      <c r="AH45" s="66">
        <f t="shared" si="3"/>
        <v>0.95238095238095233</v>
      </c>
      <c r="AI45" s="283">
        <f>RTD("money.excel",,$G45,"PredictVolume")</f>
        <v>1518</v>
      </c>
      <c r="AJ45" s="391">
        <f>IFERROR(VLOOKUP($G45,基本資料!$A:$M,13,0),"無")</f>
        <v>1593.9</v>
      </c>
      <c r="AK45" s="245"/>
      <c r="AR45" s="245" t="str">
        <f>INDEX(基本資料!N:N,MATCH($G45,基本資料!A:A,0))</f>
        <v>低</v>
      </c>
    </row>
    <row r="46" spans="1:44">
      <c r="A46" s="343">
        <f>IFERROR(VLOOKUP($G46,基本資料!$A:$J,3,0),"無")</f>
        <v>39.78</v>
      </c>
      <c r="B46" s="79">
        <f>IFERROR(VLOOKUP($G46,基本資料!$A:$J,4,0),"無")</f>
        <v>-46</v>
      </c>
      <c r="C46" s="79">
        <f>IFERROR(VLOOKUP($G46,基本資料!$A:$J,5,0),"無")</f>
        <v>-51</v>
      </c>
      <c r="D46" s="79">
        <f>IFERROR(VLOOKUP($G46,基本資料!$A:$J,6,0),"無")</f>
        <v>-3</v>
      </c>
      <c r="E46" s="79">
        <f>IFERROR(VLOOKUP($G46,基本資料!$A:$J,7,0),"無")</f>
        <v>40</v>
      </c>
      <c r="F46" s="6">
        <f>IFERROR(VLOOKUP($G46,基本資料!$A:$J,8,0),"無")</f>
        <v>2.87</v>
      </c>
      <c r="G46" s="79">
        <v>1307</v>
      </c>
      <c r="H46" s="8" t="s">
        <v>3328</v>
      </c>
      <c r="I46" s="22" t="s">
        <v>595</v>
      </c>
      <c r="J46" s="8">
        <f>IFERROR(VLOOKUP($G46,今日總結!$A:$AN,39,0),"")</f>
        <v>0</v>
      </c>
      <c r="K46" s="5">
        <f>IFERROR(VLOOKUP($G46,今日總結!$A:$AN,40,0),"")</f>
        <v>0</v>
      </c>
      <c r="L46" s="156">
        <f>IFERROR(VLOOKUP($G46,今日總結!$A:$AN,37,0),"")</f>
        <v>0</v>
      </c>
      <c r="M46" s="337">
        <f>IFERROR(VLOOKUP($G46,今日總結!$A:$AN,38,0),"")</f>
        <v>0</v>
      </c>
      <c r="N46" s="240">
        <f t="shared" si="13"/>
        <v>0</v>
      </c>
      <c r="O46" s="359">
        <f>IFERROR(VLOOKUP($G46,融外自投!$A:$J,7,0),"無")</f>
        <v>1301</v>
      </c>
      <c r="P46" s="79">
        <f>IFERROR(VLOOKUP($G46,融外自投!$A:$J,9,0),"無")</f>
        <v>741</v>
      </c>
      <c r="Q46" s="342">
        <f>IFERROR(VLOOKUP($G46,融外自投!$A:$J,8,0),"無")</f>
        <v>465</v>
      </c>
      <c r="R46" s="81" t="str">
        <f>IFERROR(VLOOKUP($G46,融外自投!$A:$J,10,0),"無")</f>
        <v>無</v>
      </c>
      <c r="S46" s="324">
        <f>IFERROR(VLOOKUP($G46,'321買'!$A:$E,4,0),"'沒有資料'")</f>
        <v>1002</v>
      </c>
      <c r="T46" s="186">
        <f>IFERROR(VLOOKUP($G46,基本資料!$A:$J,9,0),"無")</f>
        <v>0.5</v>
      </c>
      <c r="U46" s="307">
        <f t="shared" si="14"/>
        <v>2.5252525252525252E-2</v>
      </c>
      <c r="V46" s="94">
        <f>IFERROR(VLOOKUP($G46,基本資料!$A:$J,10,0),"無")</f>
        <v>0.28999999999999998</v>
      </c>
      <c r="W46" s="36">
        <f>RTD("money.excel",,$G46,"Price")</f>
        <v>19.8</v>
      </c>
      <c r="X46" s="66"/>
      <c r="Y46" s="15">
        <f t="shared" si="15"/>
        <v>19.8</v>
      </c>
      <c r="Z46" s="3" t="e">
        <f t="shared" si="11"/>
        <v>#DIV/0!</v>
      </c>
      <c r="AA46" s="340">
        <f>IFERROR(VLOOKUP($G46,基本資料!$A:$M,11,0),"無")</f>
        <v>-29.29</v>
      </c>
      <c r="AB46" s="389">
        <f>IFERROR(VLOOKUP($G46,基本資料!$A:$M,12,0),"無")</f>
        <v>19.16</v>
      </c>
      <c r="AC46" s="22" t="s">
        <v>595</v>
      </c>
      <c r="AF46" s="33">
        <f t="shared" si="12"/>
        <v>0</v>
      </c>
      <c r="AG46" s="43" t="s">
        <v>2550</v>
      </c>
      <c r="AH46" s="66">
        <f t="shared" si="3"/>
        <v>0.40939193257074052</v>
      </c>
      <c r="AI46" s="283">
        <f>RTD("money.excel",,$G46,"PredictVolume")</f>
        <v>34</v>
      </c>
      <c r="AJ46" s="391">
        <f>IFERROR(VLOOKUP($G46,基本資料!$A:$M,13,0),"無")</f>
        <v>83.05</v>
      </c>
      <c r="AK46" s="245"/>
      <c r="AR46" s="245" t="str">
        <f>INDEX(基本資料!N:N,MATCH($G46,基本資料!A:A,0))</f>
        <v>低</v>
      </c>
    </row>
    <row r="47" spans="1:44">
      <c r="A47" s="343">
        <f>IFERROR(VLOOKUP($G47,基本資料!$A:$J,3,0),"無")</f>
        <v>59.37</v>
      </c>
      <c r="B47" s="79">
        <f>IFERROR(VLOOKUP($G47,基本資料!$A:$J,4,0),"無")</f>
        <v>181</v>
      </c>
      <c r="C47" s="79">
        <f>IFERROR(VLOOKUP($G47,基本資料!$A:$J,5,0),"無")</f>
        <v>259</v>
      </c>
      <c r="D47" s="79">
        <f>IFERROR(VLOOKUP($G47,基本資料!$A:$J,6,0),"無")</f>
        <v>-18</v>
      </c>
      <c r="E47" s="79">
        <f>IFERROR(VLOOKUP($G47,基本資料!$A:$J,7,0),"無")</f>
        <v>-27</v>
      </c>
      <c r="F47" s="6">
        <f>IFERROR(VLOOKUP($G47,基本資料!$A:$J,8,0),"無")</f>
        <v>34.700000000000003</v>
      </c>
      <c r="G47" s="79">
        <v>1308</v>
      </c>
      <c r="H47" s="8" t="s">
        <v>3328</v>
      </c>
      <c r="I47" s="22" t="s">
        <v>109</v>
      </c>
      <c r="J47" s="8">
        <f>IFERROR(VLOOKUP($G47,今日總結!$A:$AN,39,0),"")</f>
        <v>0</v>
      </c>
      <c r="K47" s="5" t="str">
        <f>IFERROR(VLOOKUP($G47,今日總結!$A:$AN,40,0),"")</f>
        <v>投</v>
      </c>
      <c r="L47" s="156">
        <f>IFERROR(VLOOKUP($G47,今日總結!$A:$AN,37,0),"")</f>
        <v>0</v>
      </c>
      <c r="M47" s="337">
        <f>IFERROR(VLOOKUP($G47,今日總結!$A:$AN,38,0),"")</f>
        <v>1</v>
      </c>
      <c r="N47" s="240">
        <f t="shared" si="13"/>
        <v>-1</v>
      </c>
      <c r="O47" s="359">
        <f>IFERROR(VLOOKUP($G47,融外自投!$A:$J,7,0),"無")</f>
        <v>840</v>
      </c>
      <c r="P47" s="79">
        <f>IFERROR(VLOOKUP($G47,融外自投!$A:$J,9,0),"無")</f>
        <v>414</v>
      </c>
      <c r="Q47" s="342">
        <f>IFERROR(VLOOKUP($G47,融外自投!$A:$J,8,0),"無")</f>
        <v>650</v>
      </c>
      <c r="R47" s="81">
        <f>IFERROR(VLOOKUP($G47,融外自投!$A:$J,10,0),"無")</f>
        <v>141</v>
      </c>
      <c r="S47" s="324">
        <f>IFERROR(VLOOKUP($G47,'321買'!$A:$E,4,0),"'沒有資料'")</f>
        <v>150</v>
      </c>
      <c r="T47" s="186">
        <f>IFERROR(VLOOKUP($G47,基本資料!$A:$J,9,0),"無")</f>
        <v>3</v>
      </c>
      <c r="U47" s="307">
        <f t="shared" si="14"/>
        <v>0.10657193605683837</v>
      </c>
      <c r="V47" s="94">
        <f>IFERROR(VLOOKUP($G47,基本資料!$A:$J,10,0),"無")</f>
        <v>5.22</v>
      </c>
      <c r="W47" s="36">
        <f>RTD("money.excel",,$G47,"Price")</f>
        <v>28.15</v>
      </c>
      <c r="X47" s="66"/>
      <c r="Y47" s="15">
        <f t="shared" si="15"/>
        <v>28.15</v>
      </c>
      <c r="Z47" s="3" t="e">
        <f t="shared" si="11"/>
        <v>#DIV/0!</v>
      </c>
      <c r="AA47" s="340">
        <f>IFERROR(VLOOKUP($G47,基本資料!$A:$M,11,0),"無")</f>
        <v>-46.48</v>
      </c>
      <c r="AB47" s="389">
        <f>IFERROR(VLOOKUP($G47,基本資料!$A:$M,12,0),"無")</f>
        <v>14.99</v>
      </c>
      <c r="AC47" s="22" t="s">
        <v>109</v>
      </c>
      <c r="AF47" s="33">
        <f t="shared" ref="AF47:AF67" si="16">AE47-AD47</f>
        <v>0</v>
      </c>
      <c r="AG47" s="117" t="s">
        <v>2752</v>
      </c>
      <c r="AH47" s="66">
        <f t="shared" si="3"/>
        <v>0.70961612414323527</v>
      </c>
      <c r="AI47" s="283">
        <f>RTD("money.excel",,$G47,"PredictVolume")</f>
        <v>3137</v>
      </c>
      <c r="AJ47" s="391">
        <f>IFERROR(VLOOKUP($G47,基本資料!$A:$M,13,0),"無")</f>
        <v>4420.7</v>
      </c>
      <c r="AK47" s="245"/>
      <c r="AR47" s="245" t="str">
        <f>INDEX(基本資料!N:N,MATCH($G47,基本資料!A:A,0))</f>
        <v>低</v>
      </c>
    </row>
    <row r="48" spans="1:44">
      <c r="A48" s="343">
        <f>IFERROR(VLOOKUP($G48,基本資料!$A:$J,3,0),"無")</f>
        <v>37.86</v>
      </c>
      <c r="B48" s="79">
        <f>IFERROR(VLOOKUP($G48,基本資料!$A:$J,4,0),"無")</f>
        <v>-3</v>
      </c>
      <c r="C48" s="79">
        <f>IFERROR(VLOOKUP($G48,基本資料!$A:$J,5,0),"無")</f>
        <v>-7</v>
      </c>
      <c r="D48" s="79">
        <f>IFERROR(VLOOKUP($G48,基本資料!$A:$J,6,0),"無")</f>
        <v>0</v>
      </c>
      <c r="E48" s="79">
        <f>IFERROR(VLOOKUP($G48,基本資料!$A:$J,7,0),"無")</f>
        <v>-12</v>
      </c>
      <c r="F48" s="6">
        <f>IFERROR(VLOOKUP($G48,基本資料!$A:$J,8,0),"無")</f>
        <v>10.82</v>
      </c>
      <c r="G48" s="79">
        <v>1309</v>
      </c>
      <c r="H48" s="8" t="s">
        <v>3328</v>
      </c>
      <c r="I48" s="22" t="s">
        <v>3584</v>
      </c>
      <c r="J48" s="8">
        <f>IFERROR(VLOOKUP($G48,今日總結!$A:$AN,39,0),"")</f>
        <v>0</v>
      </c>
      <c r="K48" s="5" t="str">
        <f>IFERROR(VLOOKUP($G48,今日總結!$A:$AN,40,0),"")</f>
        <v>融</v>
      </c>
      <c r="L48" s="156">
        <f>IFERROR(VLOOKUP($G48,今日總結!$A:$AN,37,0),"")</f>
        <v>0</v>
      </c>
      <c r="M48" s="337">
        <f>IFERROR(VLOOKUP($G48,今日總結!$A:$AN,38,0),"")</f>
        <v>3</v>
      </c>
      <c r="N48" s="240">
        <f t="shared" si="13"/>
        <v>-3</v>
      </c>
      <c r="O48" s="359">
        <f>IFERROR(VLOOKUP($G48,融外自投!$A:$J,7,0),"無")</f>
        <v>838</v>
      </c>
      <c r="P48" s="79">
        <f>IFERROR(VLOOKUP($G48,融外自投!$A:$J,9,0),"無")</f>
        <v>433</v>
      </c>
      <c r="Q48" s="342">
        <f>IFERROR(VLOOKUP($G48,融外自投!$A:$J,8,0),"無")</f>
        <v>947</v>
      </c>
      <c r="R48" s="81">
        <f>IFERROR(VLOOKUP($G48,融外自投!$A:$J,10,0),"無")</f>
        <v>495</v>
      </c>
      <c r="S48" s="324">
        <f>IFERROR(VLOOKUP($G48,'321買'!$A:$E,4,0),"'沒有資料'")</f>
        <v>696</v>
      </c>
      <c r="T48" s="186">
        <f>IFERROR(VLOOKUP($G48,基本資料!$A:$J,9,0),"無")</f>
        <v>2.5</v>
      </c>
      <c r="U48" s="307">
        <f t="shared" si="14"/>
        <v>8.9766606822262118E-2</v>
      </c>
      <c r="V48" s="94">
        <f>IFERROR(VLOOKUP($G48,基本資料!$A:$J,10,0),"無")</f>
        <v>4.8899999999999997</v>
      </c>
      <c r="W48" s="36">
        <f>RTD("money.excel",,$G48,"Price")</f>
        <v>27.85</v>
      </c>
      <c r="X48" s="66"/>
      <c r="Y48" s="15">
        <f t="shared" si="15"/>
        <v>27.85</v>
      </c>
      <c r="Z48" s="3" t="e">
        <f t="shared" si="11"/>
        <v>#DIV/0!</v>
      </c>
      <c r="AA48" s="340">
        <f>IFERROR(VLOOKUP($G48,基本資料!$A:$M,11,0),"無")</f>
        <v>-47.15</v>
      </c>
      <c r="AB48" s="389">
        <f>IFERROR(VLOOKUP($G48,基本資料!$A:$M,12,0),"無")</f>
        <v>18.55</v>
      </c>
      <c r="AC48" s="22" t="s">
        <v>3584</v>
      </c>
      <c r="AF48" s="33">
        <f t="shared" si="16"/>
        <v>0</v>
      </c>
      <c r="AG48" s="43" t="s">
        <v>3529</v>
      </c>
      <c r="AH48" s="66">
        <f t="shared" si="3"/>
        <v>0.83496247713943361</v>
      </c>
      <c r="AI48" s="283">
        <f>RTD("money.excel",,$G48,"PredictVolume")</f>
        <v>662</v>
      </c>
      <c r="AJ48" s="391">
        <f>IFERROR(VLOOKUP($G48,基本資料!$A:$M,13,0),"無")</f>
        <v>792.85</v>
      </c>
      <c r="AK48" s="245"/>
      <c r="AR48" s="245" t="str">
        <f>INDEX(基本資料!N:N,MATCH($G48,基本資料!A:A,0))</f>
        <v>低</v>
      </c>
    </row>
    <row r="49" spans="1:44">
      <c r="A49" s="343">
        <f>IFERROR(VLOOKUP($G49,基本資料!$A:$J,3,0),"無")</f>
        <v>52.78</v>
      </c>
      <c r="B49" s="79">
        <f>IFERROR(VLOOKUP($G49,基本資料!$A:$J,4,0),"無")</f>
        <v>-63</v>
      </c>
      <c r="C49" s="79">
        <f>IFERROR(VLOOKUP($G49,基本資料!$A:$J,5,0),"無")</f>
        <v>-194</v>
      </c>
      <c r="D49" s="79">
        <f>IFERROR(VLOOKUP($G49,基本資料!$A:$J,6,0),"無")</f>
        <v>0</v>
      </c>
      <c r="E49" s="79">
        <f>IFERROR(VLOOKUP($G49,基本資料!$A:$J,7,0),"無")</f>
        <v>15</v>
      </c>
      <c r="F49" s="6">
        <f>IFERROR(VLOOKUP($G49,基本資料!$A:$J,8,0),"無")</f>
        <v>-0.73</v>
      </c>
      <c r="G49" s="79">
        <v>1310</v>
      </c>
      <c r="H49" s="8" t="s">
        <v>3328</v>
      </c>
      <c r="I49" s="22" t="s">
        <v>596</v>
      </c>
      <c r="J49" s="8">
        <f>IFERROR(VLOOKUP($G49,今日總結!$A:$AN,39,0),"")</f>
        <v>0</v>
      </c>
      <c r="K49" s="5" t="str">
        <f>IFERROR(VLOOKUP($G49,今日總結!$A:$AN,40,0),"")</f>
        <v>借</v>
      </c>
      <c r="L49" s="156">
        <f>IFERROR(VLOOKUP($G49,今日總結!$A:$AN,37,0),"")</f>
        <v>0</v>
      </c>
      <c r="M49" s="337">
        <f>IFERROR(VLOOKUP($G49,今日總結!$A:$AN,38,0),"")</f>
        <v>1</v>
      </c>
      <c r="N49" s="240">
        <f t="shared" si="13"/>
        <v>-1</v>
      </c>
      <c r="O49" s="359">
        <f>IFERROR(VLOOKUP($G49,融外自投!$A:$J,7,0),"無")</f>
        <v>990</v>
      </c>
      <c r="P49" s="79">
        <f>IFERROR(VLOOKUP($G49,融外自投!$A:$J,9,0),"無")</f>
        <v>403</v>
      </c>
      <c r="Q49" s="342">
        <f>IFERROR(VLOOKUP($G49,融外自投!$A:$J,8,0),"無")</f>
        <v>718</v>
      </c>
      <c r="R49" s="81" t="str">
        <f>IFERROR(VLOOKUP($G49,融外自投!$A:$J,10,0),"無")</f>
        <v>無</v>
      </c>
      <c r="S49" s="324">
        <f>IFERROR(VLOOKUP($G49,'321買'!$A:$E,4,0),"'沒有資料'")</f>
        <v>606</v>
      </c>
      <c r="T49" s="186">
        <f>IFERROR(VLOOKUP($G49,基本資料!$A:$J,9,0),"無")</f>
        <v>0.15</v>
      </c>
      <c r="U49" s="307">
        <f t="shared" si="14"/>
        <v>1.0033444816053512E-2</v>
      </c>
      <c r="V49" s="94">
        <f>IFERROR(VLOOKUP($G49,基本資料!$A:$J,10,0),"無")</f>
        <v>0.2</v>
      </c>
      <c r="W49" s="36">
        <f>RTD("money.excel",,$G49,"Price")</f>
        <v>14.95</v>
      </c>
      <c r="X49" s="66"/>
      <c r="Y49" s="15">
        <f t="shared" si="15"/>
        <v>14.95</v>
      </c>
      <c r="Z49" s="3" t="e">
        <f t="shared" si="11"/>
        <v>#DIV/0!</v>
      </c>
      <c r="AA49" s="340">
        <f>IFERROR(VLOOKUP($G49,基本資料!$A:$M,11,0),"無")</f>
        <v>-40.08</v>
      </c>
      <c r="AB49" s="389">
        <f>IFERROR(VLOOKUP($G49,基本資料!$A:$M,12,0),"無")</f>
        <v>10.199999999999999</v>
      </c>
      <c r="AC49" s="22" t="s">
        <v>596</v>
      </c>
      <c r="AF49" s="33">
        <f t="shared" si="16"/>
        <v>0</v>
      </c>
      <c r="AG49" s="43" t="s">
        <v>2753</v>
      </c>
      <c r="AH49" s="66">
        <f t="shared" si="3"/>
        <v>0.69401976818602007</v>
      </c>
      <c r="AI49" s="283">
        <f>RTD("money.excel",,$G49,"PredictVolume")</f>
        <v>488</v>
      </c>
      <c r="AJ49" s="391">
        <f>IFERROR(VLOOKUP($G49,基本資料!$A:$M,13,0),"無")</f>
        <v>703.15</v>
      </c>
      <c r="AK49" s="245"/>
      <c r="AR49" s="245" t="str">
        <f>INDEX(基本資料!N:N,MATCH($G49,基本資料!A:A,0))</f>
        <v>低</v>
      </c>
    </row>
    <row r="50" spans="1:44">
      <c r="A50" s="343">
        <f>IFERROR(VLOOKUP($G50,基本資料!$A:$J,3,0),"無")</f>
        <v>90.66</v>
      </c>
      <c r="B50" s="79">
        <f>IFERROR(VLOOKUP($G50,基本資料!$A:$J,4,0),"無")</f>
        <v>40</v>
      </c>
      <c r="C50" s="79">
        <f>IFERROR(VLOOKUP($G50,基本資料!$A:$J,5,0),"無")</f>
        <v>65</v>
      </c>
      <c r="D50" s="79">
        <f>IFERROR(VLOOKUP($G50,基本資料!$A:$J,6,0),"無")</f>
        <v>5</v>
      </c>
      <c r="E50" s="79">
        <f>IFERROR(VLOOKUP($G50,基本資料!$A:$J,7,0),"無")</f>
        <v>-7</v>
      </c>
      <c r="F50" s="6">
        <f>IFERROR(VLOOKUP($G50,基本資料!$A:$J,8,0),"無")</f>
        <v>12.92</v>
      </c>
      <c r="G50" s="79">
        <v>1312</v>
      </c>
      <c r="H50" s="8" t="s">
        <v>3328</v>
      </c>
      <c r="I50" s="22" t="s">
        <v>182</v>
      </c>
      <c r="J50" s="8" t="str">
        <f>IFERROR(VLOOKUP($G50,今日總結!$A:$AN,39,0),"")</f>
        <v>自</v>
      </c>
      <c r="K50" s="5">
        <f>IFERROR(VLOOKUP($G50,今日總結!$A:$AN,40,0),"")</f>
        <v>0</v>
      </c>
      <c r="L50" s="156">
        <f>IFERROR(VLOOKUP($G50,今日總結!$A:$AN,37,0),"")</f>
        <v>1</v>
      </c>
      <c r="M50" s="337">
        <f>IFERROR(VLOOKUP($G50,今日總結!$A:$AN,38,0),"")</f>
        <v>0</v>
      </c>
      <c r="N50" s="240">
        <f t="shared" si="13"/>
        <v>1</v>
      </c>
      <c r="O50" s="359">
        <f>IFERROR(VLOOKUP($G50,融外自投!$A:$J,7,0),"無")</f>
        <v>259</v>
      </c>
      <c r="P50" s="79">
        <f>IFERROR(VLOOKUP($G50,融外自投!$A:$J,9,0),"無")</f>
        <v>16</v>
      </c>
      <c r="Q50" s="342">
        <f>IFERROR(VLOOKUP($G50,融外自投!$A:$J,8,0),"無")</f>
        <v>357</v>
      </c>
      <c r="R50" s="81">
        <f>IFERROR(VLOOKUP($G50,融外自投!$A:$J,10,0),"無")</f>
        <v>495</v>
      </c>
      <c r="S50" s="324">
        <f>IFERROR(VLOOKUP($G50,'321買'!$A:$E,4,0),"'沒有資料'")</f>
        <v>440</v>
      </c>
      <c r="T50" s="186">
        <f>IFERROR(VLOOKUP($G50,基本資料!$A:$J,9,0),"無")</f>
        <v>2</v>
      </c>
      <c r="U50" s="307">
        <f t="shared" si="14"/>
        <v>8.3507306889352817E-2</v>
      </c>
      <c r="V50" s="94">
        <f>IFERROR(VLOOKUP($G50,基本資料!$A:$J,10,0),"無")</f>
        <v>6.47</v>
      </c>
      <c r="W50" s="36">
        <f>RTD("money.excel",,$G50,"Price")</f>
        <v>23.95</v>
      </c>
      <c r="X50" s="66"/>
      <c r="Y50" s="15">
        <f t="shared" si="15"/>
        <v>23.95</v>
      </c>
      <c r="Z50" s="3" t="e">
        <f t="shared" si="11"/>
        <v>#DIV/0!</v>
      </c>
      <c r="AA50" s="340">
        <f>IFERROR(VLOOKUP($G50,基本資料!$A:$M,11,0),"無")</f>
        <v>-33.75</v>
      </c>
      <c r="AB50" s="389">
        <f>IFERROR(VLOOKUP($G50,基本資料!$A:$M,12,0),"無")</f>
        <v>13.66</v>
      </c>
      <c r="AC50" s="22" t="s">
        <v>182</v>
      </c>
      <c r="AF50" s="33">
        <f t="shared" si="16"/>
        <v>0</v>
      </c>
      <c r="AG50" s="43" t="s">
        <v>3532</v>
      </c>
      <c r="AH50" s="66">
        <f t="shared" si="3"/>
        <v>0.72391671356218346</v>
      </c>
      <c r="AI50" s="283">
        <f>RTD("money.excel",,$G50,"PredictVolume")</f>
        <v>3216</v>
      </c>
      <c r="AJ50" s="391">
        <f>IFERROR(VLOOKUP($G50,基本資料!$A:$M,13,0),"無")</f>
        <v>4442.5</v>
      </c>
      <c r="AK50" s="245"/>
      <c r="AR50" s="245" t="str">
        <f>INDEX(基本資料!N:N,MATCH($G50,基本資料!A:A,0))</f>
        <v>低</v>
      </c>
    </row>
    <row r="51" spans="1:44">
      <c r="A51" s="343">
        <f>IFERROR(VLOOKUP($G51,基本資料!$A:$J,3,0),"無")</f>
        <v>135</v>
      </c>
      <c r="B51" s="79">
        <f>IFERROR(VLOOKUP($G51,基本資料!$A:$J,4,0),"無")</f>
        <v>0</v>
      </c>
      <c r="C51" s="79">
        <f>IFERROR(VLOOKUP($G51,基本資料!$A:$J,5,0),"無")</f>
        <v>7</v>
      </c>
      <c r="D51" s="79">
        <f>IFERROR(VLOOKUP($G51,基本資料!$A:$J,6,0),"無")</f>
        <v>-20</v>
      </c>
      <c r="E51" s="79">
        <f>IFERROR(VLOOKUP($G51,基本資料!$A:$J,7,0),"無")</f>
        <v>-14</v>
      </c>
      <c r="F51" s="6">
        <f>IFERROR(VLOOKUP($G51,基本資料!$A:$J,8,0),"無")</f>
        <v>2.99</v>
      </c>
      <c r="G51" s="79">
        <v>1313</v>
      </c>
      <c r="H51" s="8" t="s">
        <v>3328</v>
      </c>
      <c r="I51" s="22" t="s">
        <v>597</v>
      </c>
      <c r="J51" s="8">
        <f>IFERROR(VLOOKUP($G51,今日總結!$A:$AN,39,0),"")</f>
        <v>0</v>
      </c>
      <c r="K51" s="5">
        <f>IFERROR(VLOOKUP($G51,今日總結!$A:$AN,40,0),"")</f>
        <v>0</v>
      </c>
      <c r="L51" s="156">
        <f>IFERROR(VLOOKUP($G51,今日總結!$A:$AN,37,0),"")</f>
        <v>0</v>
      </c>
      <c r="M51" s="337">
        <f>IFERROR(VLOOKUP($G51,今日總結!$A:$AN,38,0),"")</f>
        <v>0</v>
      </c>
      <c r="N51" s="240">
        <f t="shared" si="13"/>
        <v>0</v>
      </c>
      <c r="O51" s="359">
        <f>IFERROR(VLOOKUP($G51,融外自投!$A:$J,7,0),"無")</f>
        <v>979</v>
      </c>
      <c r="P51" s="79">
        <f>IFERROR(VLOOKUP($G51,融外自投!$A:$J,9,0),"無")</f>
        <v>1123</v>
      </c>
      <c r="Q51" s="342">
        <f>IFERROR(VLOOKUP($G51,融外自投!$A:$J,8,0),"無")</f>
        <v>536</v>
      </c>
      <c r="R51" s="81" t="str">
        <f>IFERROR(VLOOKUP($G51,融外自投!$A:$J,10,0),"無")</f>
        <v>無</v>
      </c>
      <c r="S51" s="324">
        <f>IFERROR(VLOOKUP($G51,'321買'!$A:$E,4,0),"'沒有資料'")</f>
        <v>1002</v>
      </c>
      <c r="T51" s="186">
        <f>IFERROR(VLOOKUP($G51,基本資料!$A:$J,9,0),"無")</f>
        <v>1</v>
      </c>
      <c r="U51" s="307">
        <f t="shared" si="14"/>
        <v>6.0975609756097567E-2</v>
      </c>
      <c r="V51" s="94">
        <f>IFERROR(VLOOKUP($G51,基本資料!$A:$J,10,0),"無")</f>
        <v>1.66</v>
      </c>
      <c r="W51" s="36">
        <f>RTD("money.excel",,$G51,"Price")</f>
        <v>16.399999999999999</v>
      </c>
      <c r="X51" s="66"/>
      <c r="Y51" s="15">
        <f t="shared" si="15"/>
        <v>16.399999999999999</v>
      </c>
      <c r="Z51" s="3" t="e">
        <f t="shared" si="11"/>
        <v>#DIV/0!</v>
      </c>
      <c r="AA51" s="340">
        <f>IFERROR(VLOOKUP($G51,基本資料!$A:$M,11,0),"無")</f>
        <v>-49.23</v>
      </c>
      <c r="AB51" s="389">
        <f>IFERROR(VLOOKUP($G51,基本資料!$A:$M,12,0),"無")</f>
        <v>18.16</v>
      </c>
      <c r="AC51" s="22" t="s">
        <v>597</v>
      </c>
      <c r="AF51" s="33">
        <f t="shared" si="16"/>
        <v>0</v>
      </c>
      <c r="AG51" s="43" t="s">
        <v>3533</v>
      </c>
      <c r="AH51" s="66">
        <f t="shared" si="3"/>
        <v>0.81372471865900686</v>
      </c>
      <c r="AI51" s="283">
        <f>RTD("money.excel",,$G51,"PredictVolume")</f>
        <v>2068</v>
      </c>
      <c r="AJ51" s="391">
        <f>IFERROR(VLOOKUP($G51,基本資料!$A:$M,13,0),"無")</f>
        <v>2541.4</v>
      </c>
      <c r="AK51" s="245"/>
      <c r="AR51" s="245" t="str">
        <f>INDEX(基本資料!N:N,MATCH($G51,基本資料!A:A,0))</f>
        <v>低</v>
      </c>
    </row>
    <row r="52" spans="1:44">
      <c r="A52" s="343">
        <f>IFERROR(VLOOKUP($G52,基本資料!$A:$J,3,0),"無")</f>
        <v>378</v>
      </c>
      <c r="B52" s="79">
        <f>IFERROR(VLOOKUP($G52,基本資料!$A:$J,4,0),"無")</f>
        <v>433</v>
      </c>
      <c r="C52" s="79">
        <f>IFERROR(VLOOKUP($G52,基本資料!$A:$J,5,0),"無")</f>
        <v>238</v>
      </c>
      <c r="D52" s="79">
        <f>IFERROR(VLOOKUP($G52,基本資料!$A:$J,6,0),"無")</f>
        <v>6</v>
      </c>
      <c r="E52" s="79">
        <f>IFERROR(VLOOKUP($G52,基本資料!$A:$J,7,0),"無")</f>
        <v>-1</v>
      </c>
      <c r="F52" s="6">
        <f>IFERROR(VLOOKUP($G52,基本資料!$A:$J,8,0),"無")</f>
        <v>7.15</v>
      </c>
      <c r="G52" s="79">
        <v>1314</v>
      </c>
      <c r="H52" s="192" t="s">
        <v>3328</v>
      </c>
      <c r="I52" s="22" t="s">
        <v>124</v>
      </c>
      <c r="J52" s="8">
        <f>IFERROR(VLOOKUP($G52,今日總結!$A:$AN,39,0),"")</f>
        <v>0</v>
      </c>
      <c r="K52" s="5">
        <f>IFERROR(VLOOKUP($G52,今日總結!$A:$AN,40,0),"")</f>
        <v>0</v>
      </c>
      <c r="L52" s="156">
        <f>IFERROR(VLOOKUP($G52,今日總結!$A:$AN,37,0),"")</f>
        <v>0</v>
      </c>
      <c r="M52" s="337">
        <f>IFERROR(VLOOKUP($G52,今日總結!$A:$AN,38,0),"")</f>
        <v>0</v>
      </c>
      <c r="N52" s="240">
        <f t="shared" si="13"/>
        <v>0</v>
      </c>
      <c r="O52" s="359">
        <f>IFERROR(VLOOKUP($G52,融外自投!$A:$J,7,0),"無")</f>
        <v>389</v>
      </c>
      <c r="P52" s="79">
        <f>IFERROR(VLOOKUP($G52,融外自投!$A:$J,9,0),"無")</f>
        <v>596</v>
      </c>
      <c r="Q52" s="342">
        <f>IFERROR(VLOOKUP($G52,融外自投!$A:$J,8,0),"無")</f>
        <v>528</v>
      </c>
      <c r="R52" s="81" t="str">
        <f>IFERROR(VLOOKUP($G52,融外自投!$A:$J,10,0),"無")</f>
        <v>無</v>
      </c>
      <c r="S52" s="324">
        <f>IFERROR(VLOOKUP($G52,'321買'!$A:$E,4,0),"'沒有資料'")</f>
        <v>801</v>
      </c>
      <c r="T52" s="186">
        <f>IFERROR(VLOOKUP($G52,基本資料!$A:$J,9,0),"無")</f>
        <v>0.4</v>
      </c>
      <c r="U52" s="307">
        <f t="shared" si="14"/>
        <v>3.7383177570093462E-2</v>
      </c>
      <c r="V52" s="94">
        <f>IFERROR(VLOOKUP($G52,基本資料!$A:$J,10,0),"無")</f>
        <v>1.0900000000000001</v>
      </c>
      <c r="W52" s="36">
        <f>RTD("money.excel",,$G52,"Price")</f>
        <v>10.7</v>
      </c>
      <c r="X52" s="66"/>
      <c r="Y52" s="15">
        <f t="shared" si="15"/>
        <v>10.7</v>
      </c>
      <c r="Z52" s="3" t="e">
        <f t="shared" si="11"/>
        <v>#DIV/0!</v>
      </c>
      <c r="AA52" s="340">
        <f>IFERROR(VLOOKUP($G52,基本資料!$A:$M,11,0),"無")</f>
        <v>-34.36</v>
      </c>
      <c r="AB52" s="389">
        <f>IFERROR(VLOOKUP($G52,基本資料!$A:$M,12,0),"無")</f>
        <v>9.52</v>
      </c>
      <c r="AC52" s="22" t="s">
        <v>3585</v>
      </c>
      <c r="AF52" s="33">
        <f t="shared" si="16"/>
        <v>0</v>
      </c>
      <c r="AG52" s="117" t="s">
        <v>2754</v>
      </c>
      <c r="AH52" s="66">
        <f t="shared" si="3"/>
        <v>0.48517324854921551</v>
      </c>
      <c r="AI52" s="283">
        <f>RTD("money.excel",,$G52,"PredictVolume")</f>
        <v>10041</v>
      </c>
      <c r="AJ52" s="391">
        <f>IFERROR(VLOOKUP($G52,基本資料!$A:$M,13,0),"無")</f>
        <v>20695.7</v>
      </c>
      <c r="AK52" s="245"/>
      <c r="AR52" s="245" t="str">
        <f>INDEX(基本資料!N:N,MATCH($G52,基本資料!A:A,0))</f>
        <v>低</v>
      </c>
    </row>
    <row r="53" spans="1:44">
      <c r="A53" s="343">
        <f>IFERROR(VLOOKUP($G53,基本資料!$A:$J,3,0),"無")</f>
        <v>9.9</v>
      </c>
      <c r="B53" s="79">
        <f>IFERROR(VLOOKUP($G53,基本資料!$A:$J,4,0),"無")</f>
        <v>-99</v>
      </c>
      <c r="C53" s="79">
        <f>IFERROR(VLOOKUP($G53,基本資料!$A:$J,5,0),"無")</f>
        <v>-80</v>
      </c>
      <c r="D53" s="79">
        <f>IFERROR(VLOOKUP($G53,基本資料!$A:$J,6,0),"無")</f>
        <v>-27</v>
      </c>
      <c r="E53" s="79">
        <f>IFERROR(VLOOKUP($G53,基本資料!$A:$J,7,0),"無")</f>
        <v>10</v>
      </c>
      <c r="F53" s="6">
        <f>IFERROR(VLOOKUP($G53,基本資料!$A:$J,8,0),"無")</f>
        <v>0.3</v>
      </c>
      <c r="G53" s="79">
        <v>1315</v>
      </c>
      <c r="H53" s="8" t="s">
        <v>3328</v>
      </c>
      <c r="I53" s="22" t="s">
        <v>598</v>
      </c>
      <c r="J53" s="8">
        <f>IFERROR(VLOOKUP($G53,今日總結!$A:$AN,39,0),"")</f>
        <v>0</v>
      </c>
      <c r="K53" s="5">
        <f>IFERROR(VLOOKUP($G53,今日總結!$A:$AN,40,0),"")</f>
        <v>0</v>
      </c>
      <c r="L53" s="156">
        <f>IFERROR(VLOOKUP($G53,今日總結!$A:$AN,37,0),"")</f>
        <v>0</v>
      </c>
      <c r="M53" s="337">
        <f>IFERROR(VLOOKUP($G53,今日總結!$A:$AN,38,0),"")</f>
        <v>0</v>
      </c>
      <c r="N53" s="240">
        <f t="shared" si="13"/>
        <v>0</v>
      </c>
      <c r="O53" s="359">
        <f>IFERROR(VLOOKUP($G53,融外自投!$A:$J,7,0),"無")</f>
        <v>1235</v>
      </c>
      <c r="P53" s="79">
        <f>IFERROR(VLOOKUP($G53,融外自投!$A:$J,9,0),"無")</f>
        <v>869</v>
      </c>
      <c r="Q53" s="342">
        <f>IFERROR(VLOOKUP($G53,融外自投!$A:$J,8,0),"無")</f>
        <v>1094</v>
      </c>
      <c r="R53" s="81">
        <f>IFERROR(VLOOKUP($G53,融外自投!$A:$J,10,0),"無")</f>
        <v>476</v>
      </c>
      <c r="S53" s="324">
        <f>IFERROR(VLOOKUP($G53,'321買'!$A:$E,4,0),"'沒有資料'")</f>
        <v>891</v>
      </c>
      <c r="T53" s="186">
        <f>IFERROR(VLOOKUP($G53,基本資料!$A:$J,9,0),"無")</f>
        <v>4.5</v>
      </c>
      <c r="U53" s="307">
        <f t="shared" si="14"/>
        <v>5.725190839694657E-2</v>
      </c>
      <c r="V53" s="94">
        <f>IFERROR(VLOOKUP($G53,基本資料!$A:$J,10,0),"無")</f>
        <v>0.04</v>
      </c>
      <c r="W53" s="36">
        <f>RTD("money.excel",,$G53,"Price")</f>
        <v>78.599999999999994</v>
      </c>
      <c r="X53" s="66"/>
      <c r="Y53" s="15">
        <f t="shared" si="15"/>
        <v>78.599999999999994</v>
      </c>
      <c r="Z53" s="3" t="e">
        <f t="shared" si="11"/>
        <v>#DIV/0!</v>
      </c>
      <c r="AA53" s="340">
        <f>IFERROR(VLOOKUP($G53,基本資料!$A:$M,11,0),"無")</f>
        <v>-12.18</v>
      </c>
      <c r="AB53" s="389">
        <f>IFERROR(VLOOKUP($G53,基本資料!$A:$M,12,0),"無")</f>
        <v>20.07</v>
      </c>
      <c r="AC53" s="22" t="s">
        <v>598</v>
      </c>
      <c r="AF53" s="33">
        <f t="shared" si="16"/>
        <v>0</v>
      </c>
      <c r="AG53" s="43" t="s">
        <v>2755</v>
      </c>
      <c r="AH53" s="66">
        <f t="shared" si="3"/>
        <v>0.25316455696202533</v>
      </c>
      <c r="AI53" s="283">
        <f>RTD("money.excel",,$G53,"PredictVolume")</f>
        <v>3</v>
      </c>
      <c r="AJ53" s="391">
        <f>IFERROR(VLOOKUP($G53,基本資料!$A:$M,13,0),"無")</f>
        <v>11.85</v>
      </c>
      <c r="AK53" s="245"/>
      <c r="AR53" s="245" t="str">
        <f>INDEX(基本資料!N:N,MATCH($G53,基本資料!A:A,0))</f>
        <v>中</v>
      </c>
    </row>
    <row r="54" spans="1:44">
      <c r="A54" s="343">
        <f>IFERROR(VLOOKUP($G54,基本資料!$A:$J,3,0),"無")</f>
        <v>22.72</v>
      </c>
      <c r="B54" s="79">
        <f>IFERROR(VLOOKUP($G54,基本資料!$A:$J,4,0),"無")</f>
        <v>-55</v>
      </c>
      <c r="C54" s="79">
        <f>IFERROR(VLOOKUP($G54,基本資料!$A:$J,5,0),"無")</f>
        <v>-113</v>
      </c>
      <c r="D54" s="79">
        <f>IFERROR(VLOOKUP($G54,基本資料!$A:$J,6,0),"無")</f>
        <v>-6</v>
      </c>
      <c r="E54" s="79">
        <f>IFERROR(VLOOKUP($G54,基本資料!$A:$J,7,0),"無")</f>
        <v>15</v>
      </c>
      <c r="F54" s="6">
        <f>IFERROR(VLOOKUP($G54,基本資料!$A:$J,8,0),"無")</f>
        <v>-0.5</v>
      </c>
      <c r="G54" s="79">
        <v>1321</v>
      </c>
      <c r="H54" s="8" t="s">
        <v>3328</v>
      </c>
      <c r="I54" s="22" t="s">
        <v>599</v>
      </c>
      <c r="J54" s="8" t="str">
        <f>IFERROR(VLOOKUP($G54,今日總結!$A:$AN,39,0),"")</f>
        <v>融</v>
      </c>
      <c r="K54" s="5" t="str">
        <f>IFERROR(VLOOKUP($G54,今日總結!$A:$AN,40,0),"")</f>
        <v>外</v>
      </c>
      <c r="L54" s="156">
        <f>IFERROR(VLOOKUP($G54,今日總結!$A:$AN,37,0),"")</f>
        <v>2</v>
      </c>
      <c r="M54" s="337">
        <f>IFERROR(VLOOKUP($G54,今日總結!$A:$AN,38,0),"")</f>
        <v>5</v>
      </c>
      <c r="N54" s="240">
        <f t="shared" si="13"/>
        <v>-3</v>
      </c>
      <c r="O54" s="359">
        <f>IFERROR(VLOOKUP($G54,融外自投!$A:$J,7,0),"無")</f>
        <v>929</v>
      </c>
      <c r="P54" s="79">
        <f>IFERROR(VLOOKUP($G54,融外自投!$A:$J,9,0),"無")</f>
        <v>1051</v>
      </c>
      <c r="Q54" s="342">
        <f>IFERROR(VLOOKUP($G54,融外自投!$A:$J,8,0),"無")</f>
        <v>804</v>
      </c>
      <c r="R54" s="81" t="str">
        <f>IFERROR(VLOOKUP($G54,融外自投!$A:$J,10,0),"無")</f>
        <v>無</v>
      </c>
      <c r="S54" s="324">
        <f>IFERROR(VLOOKUP($G54,'321買'!$A:$E,4,0),"'沒有資料'")</f>
        <v>1002</v>
      </c>
      <c r="T54" s="186">
        <f>IFERROR(VLOOKUP($G54,基本資料!$A:$J,9,0),"無")</f>
        <v>0.7</v>
      </c>
      <c r="U54" s="307">
        <f t="shared" si="14"/>
        <v>2.1806853582554516E-2</v>
      </c>
      <c r="V54" s="94">
        <f>IFERROR(VLOOKUP($G54,基本資料!$A:$J,10,0),"無")</f>
        <v>1.45</v>
      </c>
      <c r="W54" s="36">
        <f>RTD("money.excel",,$G54,"Price")</f>
        <v>32.1</v>
      </c>
      <c r="X54" s="66"/>
      <c r="Y54" s="15">
        <f t="shared" si="15"/>
        <v>32.1</v>
      </c>
      <c r="Z54" s="3" t="e">
        <f t="shared" si="11"/>
        <v>#DIV/0!</v>
      </c>
      <c r="AA54" s="340">
        <f>IFERROR(VLOOKUP($G54,基本資料!$A:$M,11,0),"無")</f>
        <v>-18.73</v>
      </c>
      <c r="AB54" s="389">
        <f>IFERROR(VLOOKUP($G54,基本資料!$A:$M,12,0),"無")</f>
        <v>22.32</v>
      </c>
      <c r="AC54" s="22" t="s">
        <v>599</v>
      </c>
      <c r="AF54" s="33">
        <f t="shared" si="16"/>
        <v>0</v>
      </c>
      <c r="AG54" s="43" t="s">
        <v>2756</v>
      </c>
      <c r="AH54" s="66">
        <f t="shared" si="3"/>
        <v>0.20383204239706482</v>
      </c>
      <c r="AI54" s="283">
        <f>RTD("money.excel",,$G54,"PredictVolume")</f>
        <v>50</v>
      </c>
      <c r="AJ54" s="391">
        <f>IFERROR(VLOOKUP($G54,基本資料!$A:$M,13,0),"無")</f>
        <v>245.3</v>
      </c>
      <c r="AK54" s="245"/>
      <c r="AR54" s="245" t="str">
        <f>INDEX(基本資料!N:N,MATCH($G54,基本資料!A:A,0))</f>
        <v>低</v>
      </c>
    </row>
    <row r="55" spans="1:44">
      <c r="A55" s="343">
        <f>IFERROR(VLOOKUP($G55,基本資料!$A:$J,3,0),"無")</f>
        <v>9.1199999999999992</v>
      </c>
      <c r="B55" s="79">
        <f>IFERROR(VLOOKUP($G55,基本資料!$A:$J,4,0),"無")</f>
        <v>-2</v>
      </c>
      <c r="C55" s="79">
        <f>IFERROR(VLOOKUP($G55,基本資料!$A:$J,5,0),"無")</f>
        <v>-4</v>
      </c>
      <c r="D55" s="79">
        <f>IFERROR(VLOOKUP($G55,基本資料!$A:$J,6,0),"無")</f>
        <v>-18</v>
      </c>
      <c r="E55" s="79">
        <f>IFERROR(VLOOKUP($G55,基本資料!$A:$J,7,0),"無")</f>
        <v>0</v>
      </c>
      <c r="F55" s="6">
        <f>IFERROR(VLOOKUP($G55,基本資料!$A:$J,8,0),"無")</f>
        <v>11.6</v>
      </c>
      <c r="G55" s="79">
        <v>1323</v>
      </c>
      <c r="H55" s="8" t="s">
        <v>3328</v>
      </c>
      <c r="I55" s="22" t="s">
        <v>600</v>
      </c>
      <c r="J55" s="8">
        <f>IFERROR(VLOOKUP($G55,今日總結!$A:$AN,39,0),"")</f>
        <v>0</v>
      </c>
      <c r="K55" s="5" t="str">
        <f>IFERROR(VLOOKUP($G55,今日總結!$A:$AN,40,0),"")</f>
        <v>主</v>
      </c>
      <c r="L55" s="156">
        <f>IFERROR(VLOOKUP($G55,今日總結!$A:$AN,37,0),"")</f>
        <v>0</v>
      </c>
      <c r="M55" s="337">
        <f>IFERROR(VLOOKUP($G55,今日總結!$A:$AN,38,0),"")</f>
        <v>2</v>
      </c>
      <c r="N55" s="240">
        <f t="shared" si="13"/>
        <v>-2</v>
      </c>
      <c r="O55" s="359">
        <f>IFERROR(VLOOKUP($G55,融外自投!$A:$J,7,0),"無")</f>
        <v>947</v>
      </c>
      <c r="P55" s="79">
        <f>IFERROR(VLOOKUP($G55,融外自投!$A:$J,9,0),"無")</f>
        <v>990</v>
      </c>
      <c r="Q55" s="342">
        <f>IFERROR(VLOOKUP($G55,融外自投!$A:$J,8,0),"無")</f>
        <v>918</v>
      </c>
      <c r="R55" s="81" t="str">
        <f>IFERROR(VLOOKUP($G55,融外自投!$A:$J,10,0),"無")</f>
        <v>無</v>
      </c>
      <c r="S55" s="324">
        <f>IFERROR(VLOOKUP($G55,'321買'!$A:$E,4,0),"'沒有資料'")</f>
        <v>1002</v>
      </c>
      <c r="T55" s="186">
        <f>IFERROR(VLOOKUP($G55,基本資料!$A:$J,9,0),"無")</f>
        <v>1.6</v>
      </c>
      <c r="U55" s="307">
        <f t="shared" si="14"/>
        <v>4.7619047619047616E-2</v>
      </c>
      <c r="V55" s="94">
        <f>IFERROR(VLOOKUP($G55,基本資料!$A:$J,10,0),"無")</f>
        <v>3.04</v>
      </c>
      <c r="W55" s="36">
        <f>RTD("money.excel",,$G55,"Price")</f>
        <v>33.6</v>
      </c>
      <c r="X55" s="66"/>
      <c r="Y55" s="15">
        <f t="shared" si="15"/>
        <v>33.6</v>
      </c>
      <c r="Z55" s="3" t="e">
        <f t="shared" si="11"/>
        <v>#DIV/0!</v>
      </c>
      <c r="AA55" s="340">
        <f>IFERROR(VLOOKUP($G55,基本資料!$A:$M,11,0),"無")</f>
        <v>-12.84</v>
      </c>
      <c r="AB55" s="389">
        <f>IFERROR(VLOOKUP($G55,基本資料!$A:$M,12,0),"無")</f>
        <v>20.88</v>
      </c>
      <c r="AC55" s="22" t="s">
        <v>600</v>
      </c>
      <c r="AF55" s="33">
        <f t="shared" si="16"/>
        <v>0</v>
      </c>
      <c r="AG55" s="43" t="s">
        <v>2757</v>
      </c>
      <c r="AH55" s="66">
        <f t="shared" si="3"/>
        <v>0.84656084656084662</v>
      </c>
      <c r="AI55" s="283">
        <f>RTD("money.excel",,$G55,"PredictVolume")</f>
        <v>64</v>
      </c>
      <c r="AJ55" s="391">
        <f>IFERROR(VLOOKUP($G55,基本資料!$A:$M,13,0),"無")</f>
        <v>75.599999999999994</v>
      </c>
      <c r="AK55" s="245"/>
      <c r="AR55" s="245" t="str">
        <f>INDEX(基本資料!N:N,MATCH($G55,基本資料!A:A,0))</f>
        <v>低</v>
      </c>
    </row>
    <row r="56" spans="1:44">
      <c r="A56" s="343">
        <f>IFERROR(VLOOKUP($G56,基本資料!$A:$J,3,0),"無")</f>
        <v>7.51</v>
      </c>
      <c r="B56" s="79">
        <f>IFERROR(VLOOKUP($G56,基本資料!$A:$J,4,0),"無")</f>
        <v>-96</v>
      </c>
      <c r="C56" s="79">
        <f>IFERROR(VLOOKUP($G56,基本資料!$A:$J,5,0),"無")</f>
        <v>-37</v>
      </c>
      <c r="D56" s="79">
        <f>IFERROR(VLOOKUP($G56,基本資料!$A:$J,6,0),"無")</f>
        <v>-4</v>
      </c>
      <c r="E56" s="79">
        <f>IFERROR(VLOOKUP($G56,基本資料!$A:$J,7,0),"無")</f>
        <v>13</v>
      </c>
      <c r="F56" s="6">
        <f>IFERROR(VLOOKUP($G56,基本資料!$A:$J,8,0),"無")</f>
        <v>0.94</v>
      </c>
      <c r="G56" s="79">
        <v>1324</v>
      </c>
      <c r="H56" s="8" t="s">
        <v>3328</v>
      </c>
      <c r="I56" s="22" t="s">
        <v>601</v>
      </c>
      <c r="J56" s="8">
        <f>IFERROR(VLOOKUP($G56,今日總結!$A:$AN,39,0),"")</f>
        <v>0</v>
      </c>
      <c r="K56" s="5">
        <f>IFERROR(VLOOKUP($G56,今日總結!$A:$AN,40,0),"")</f>
        <v>0</v>
      </c>
      <c r="L56" s="156">
        <f>IFERROR(VLOOKUP($G56,今日總結!$A:$AN,37,0),"")</f>
        <v>0</v>
      </c>
      <c r="M56" s="337">
        <f>IFERROR(VLOOKUP($G56,今日總結!$A:$AN,38,0),"")</f>
        <v>0</v>
      </c>
      <c r="N56" s="240">
        <f t="shared" si="13"/>
        <v>0</v>
      </c>
      <c r="O56" s="359">
        <f>IFERROR(VLOOKUP($G56,融外自投!$A:$J,7,0),"無")</f>
        <v>1035</v>
      </c>
      <c r="P56" s="79">
        <f>IFERROR(VLOOKUP($G56,融外自投!$A:$J,9,0),"無")</f>
        <v>990</v>
      </c>
      <c r="Q56" s="342">
        <f>IFERROR(VLOOKUP($G56,融外自投!$A:$J,8,0),"無")</f>
        <v>1276</v>
      </c>
      <c r="R56" s="81" t="str">
        <f>IFERROR(VLOOKUP($G56,融外自投!$A:$J,10,0),"無")</f>
        <v>無</v>
      </c>
      <c r="S56" s="324">
        <f>IFERROR(VLOOKUP($G56,'321買'!$A:$E,4,0),"'沒有資料'")</f>
        <v>1002</v>
      </c>
      <c r="T56" s="186">
        <f>IFERROR(VLOOKUP($G56,基本資料!$A:$J,9,0),"無")</f>
        <v>0.2</v>
      </c>
      <c r="U56" s="307">
        <f t="shared" si="14"/>
        <v>1.9607843137254905E-2</v>
      </c>
      <c r="V56" s="94">
        <f>IFERROR(VLOOKUP($G56,基本資料!$A:$J,10,0),"無")</f>
        <v>0.01</v>
      </c>
      <c r="W56" s="36">
        <f>RTD("money.excel",,$G56,"Price")</f>
        <v>10.199999999999999</v>
      </c>
      <c r="X56" s="66"/>
      <c r="Y56" s="15">
        <f t="shared" si="15"/>
        <v>10.199999999999999</v>
      </c>
      <c r="Z56" s="3" t="e">
        <f t="shared" si="11"/>
        <v>#DIV/0!</v>
      </c>
      <c r="AA56" s="340">
        <f>IFERROR(VLOOKUP($G56,基本資料!$A:$M,11,0),"無")</f>
        <v>-26.62</v>
      </c>
      <c r="AB56" s="389">
        <f>IFERROR(VLOOKUP($G56,基本資料!$A:$M,12,0),"無")</f>
        <v>12.66</v>
      </c>
      <c r="AC56" s="22" t="s">
        <v>601</v>
      </c>
      <c r="AF56" s="33">
        <f t="shared" si="16"/>
        <v>0</v>
      </c>
      <c r="AG56" s="43" t="s">
        <v>2758</v>
      </c>
      <c r="AH56" s="66">
        <f t="shared" si="3"/>
        <v>3.1977559607293129</v>
      </c>
      <c r="AI56" s="283">
        <f>RTD("money.excel",,$G56,"PredictVolume")</f>
        <v>114</v>
      </c>
      <c r="AJ56" s="391">
        <f>IFERROR(VLOOKUP($G56,基本資料!$A:$M,13,0),"無")</f>
        <v>35.65</v>
      </c>
      <c r="AK56" s="245"/>
      <c r="AR56" s="245" t="str">
        <f>INDEX(基本資料!N:N,MATCH($G56,基本資料!A:A,0))</f>
        <v>低</v>
      </c>
    </row>
    <row r="57" spans="1:44">
      <c r="A57" s="343">
        <f>IFERROR(VLOOKUP($G57,基本資料!$A:$J,3,0),"無")</f>
        <v>8.52</v>
      </c>
      <c r="B57" s="79">
        <f>IFERROR(VLOOKUP($G57,基本資料!$A:$J,4,0),"無")</f>
        <v>-86</v>
      </c>
      <c r="C57" s="79">
        <f>IFERROR(VLOOKUP($G57,基本資料!$A:$J,5,0),"無")</f>
        <v>-85</v>
      </c>
      <c r="D57" s="79">
        <f>IFERROR(VLOOKUP($G57,基本資料!$A:$J,6,0),"無")</f>
        <v>23</v>
      </c>
      <c r="E57" s="79">
        <f>IFERROR(VLOOKUP($G57,基本資料!$A:$J,7,0),"無")</f>
        <v>-62</v>
      </c>
      <c r="F57" s="6">
        <f>IFERROR(VLOOKUP($G57,基本資料!$A:$J,8,0),"無")</f>
        <v>31.07</v>
      </c>
      <c r="G57" s="79">
        <v>1325</v>
      </c>
      <c r="H57" s="8" t="s">
        <v>293</v>
      </c>
      <c r="I57" s="22" t="s">
        <v>602</v>
      </c>
      <c r="J57" s="8">
        <f>IFERROR(VLOOKUP($G57,今日總結!$A:$AN,39,0),"")</f>
        <v>0</v>
      </c>
      <c r="K57" s="5" t="str">
        <f>IFERROR(VLOOKUP($G57,今日總結!$A:$AN,40,0),"")</f>
        <v>融</v>
      </c>
      <c r="L57" s="156">
        <f>IFERROR(VLOOKUP($G57,今日總結!$A:$AN,37,0),"")</f>
        <v>0</v>
      </c>
      <c r="M57" s="337">
        <f>IFERROR(VLOOKUP($G57,今日總結!$A:$AN,38,0),"")</f>
        <v>3</v>
      </c>
      <c r="N57" s="240">
        <f t="shared" si="13"/>
        <v>-3</v>
      </c>
      <c r="O57" s="359">
        <f>IFERROR(VLOOKUP($G57,融外自投!$A:$J,7,0),"無")</f>
        <v>320</v>
      </c>
      <c r="P57" s="79">
        <f>IFERROR(VLOOKUP($G57,融外自投!$A:$J,9,0),"無")</f>
        <v>24</v>
      </c>
      <c r="Q57" s="342">
        <f>IFERROR(VLOOKUP($G57,融外自投!$A:$J,8,0),"無")</f>
        <v>832</v>
      </c>
      <c r="R57" s="81" t="str">
        <f>IFERROR(VLOOKUP($G57,融外自投!$A:$J,10,0),"無")</f>
        <v>無</v>
      </c>
      <c r="S57" s="324">
        <f>IFERROR(VLOOKUP($G57,'321買'!$A:$E,4,0),"'沒有資料'")</f>
        <v>223</v>
      </c>
      <c r="T57" s="186">
        <f>IFERROR(VLOOKUP($G57,基本資料!$A:$J,9,0),"無")</f>
        <v>2</v>
      </c>
      <c r="U57" s="307">
        <f t="shared" si="14"/>
        <v>6.2402496099843996E-2</v>
      </c>
      <c r="V57" s="94">
        <f>IFERROR(VLOOKUP($G57,基本資料!$A:$J,10,0),"無")</f>
        <v>3.26</v>
      </c>
      <c r="W57" s="36">
        <f>RTD("money.excel",,$G57,"Price")</f>
        <v>32.049999999999997</v>
      </c>
      <c r="X57" s="66"/>
      <c r="Y57" s="15">
        <f t="shared" si="15"/>
        <v>32.049999999999997</v>
      </c>
      <c r="Z57" s="3" t="e">
        <f t="shared" si="11"/>
        <v>#DIV/0!</v>
      </c>
      <c r="AA57" s="340">
        <f>IFERROR(VLOOKUP($G57,基本資料!$A:$M,11,0),"無")</f>
        <v>-67.03</v>
      </c>
      <c r="AB57" s="389">
        <f>IFERROR(VLOOKUP($G57,基本資料!$A:$M,12,0),"無")</f>
        <v>15.25</v>
      </c>
      <c r="AC57" s="22" t="s">
        <v>602</v>
      </c>
      <c r="AF57" s="33">
        <f t="shared" si="16"/>
        <v>0</v>
      </c>
      <c r="AG57" s="43" t="s">
        <v>2534</v>
      </c>
      <c r="AH57" s="66">
        <f t="shared" si="3"/>
        <v>0.32278045423262214</v>
      </c>
      <c r="AI57" s="283">
        <f>RTD("money.excel",,$G57,"PredictVolume")</f>
        <v>469</v>
      </c>
      <c r="AJ57" s="391">
        <f>IFERROR(VLOOKUP($G57,基本資料!$A:$M,13,0),"無")</f>
        <v>1453</v>
      </c>
      <c r="AK57" s="245"/>
      <c r="AR57" s="245" t="str">
        <f>INDEX(基本資料!N:N,MATCH($G57,基本資料!A:A,0))</f>
        <v>低</v>
      </c>
    </row>
    <row r="58" spans="1:44">
      <c r="A58" s="343">
        <f>IFERROR(VLOOKUP($G58,基本資料!$A:$J,3,0),"無")</f>
        <v>586</v>
      </c>
      <c r="B58" s="79">
        <f>IFERROR(VLOOKUP($G58,基本資料!$A:$J,4,0),"無")</f>
        <v>98</v>
      </c>
      <c r="C58" s="79">
        <f>IFERROR(VLOOKUP($G58,基本資料!$A:$J,5,0),"無")</f>
        <v>124</v>
      </c>
      <c r="D58" s="79">
        <f>IFERROR(VLOOKUP($G58,基本資料!$A:$J,6,0),"無")</f>
        <v>0</v>
      </c>
      <c r="E58" s="79">
        <f>IFERROR(VLOOKUP($G58,基本資料!$A:$J,7,0),"無")</f>
        <v>10</v>
      </c>
      <c r="F58" s="6">
        <f>IFERROR(VLOOKUP($G58,基本資料!$A:$J,8,0),"無")</f>
        <v>9.41</v>
      </c>
      <c r="G58" s="79">
        <v>1326</v>
      </c>
      <c r="H58" s="17" t="s">
        <v>3328</v>
      </c>
      <c r="I58" s="22" t="s">
        <v>3586</v>
      </c>
      <c r="J58" s="8">
        <f>IFERROR(VLOOKUP($G58,今日總結!$A:$AN,39,0),"")</f>
        <v>0</v>
      </c>
      <c r="K58" s="5">
        <f>IFERROR(VLOOKUP($G58,今日總結!$A:$AN,40,0),"")</f>
        <v>0</v>
      </c>
      <c r="L58" s="156">
        <f>IFERROR(VLOOKUP($G58,今日總結!$A:$AN,37,0),"")</f>
        <v>0</v>
      </c>
      <c r="M58" s="337">
        <f>IFERROR(VLOOKUP($G58,今日總結!$A:$AN,38,0),"")</f>
        <v>0</v>
      </c>
      <c r="N58" s="240">
        <f t="shared" si="13"/>
        <v>0</v>
      </c>
      <c r="O58" s="359">
        <f>IFERROR(VLOOKUP($G58,融外自投!$A:$J,7,0),"無")</f>
        <v>1430</v>
      </c>
      <c r="P58" s="79">
        <f>IFERROR(VLOOKUP($G58,融外自投!$A:$J,9,0),"無")</f>
        <v>276</v>
      </c>
      <c r="Q58" s="342">
        <f>IFERROR(VLOOKUP($G58,融外自投!$A:$J,8,0),"無")</f>
        <v>146</v>
      </c>
      <c r="R58" s="81">
        <f>IFERROR(VLOOKUP($G58,融外自投!$A:$J,10,0),"無")</f>
        <v>200</v>
      </c>
      <c r="S58" s="324">
        <f>IFERROR(VLOOKUP($G58,'321買'!$A:$E,4,0),"'沒有資料'")</f>
        <v>606</v>
      </c>
      <c r="T58" s="186">
        <f>IFERROR(VLOOKUP($G58,基本資料!$A:$J,9,0),"無")</f>
        <v>4.8</v>
      </c>
      <c r="U58" s="307">
        <f t="shared" si="14"/>
        <v>6.2095730918499355E-2</v>
      </c>
      <c r="V58" s="94">
        <f>IFERROR(VLOOKUP($G58,基本資料!$A:$J,10,0),"無")</f>
        <v>6.56</v>
      </c>
      <c r="W58" s="36">
        <f>RTD("money.excel",,$G58,"Price")</f>
        <v>77.3</v>
      </c>
      <c r="X58" s="65"/>
      <c r="Y58" s="15">
        <f t="shared" si="15"/>
        <v>77.3</v>
      </c>
      <c r="Z58" s="3" t="e">
        <f t="shared" si="11"/>
        <v>#DIV/0!</v>
      </c>
      <c r="AA58" s="340">
        <f>IFERROR(VLOOKUP($G58,基本資料!$A:$M,11,0),"無")</f>
        <v>-11.56</v>
      </c>
      <c r="AB58" s="389">
        <f>IFERROR(VLOOKUP($G58,基本資料!$A:$M,12,0),"無")</f>
        <v>31.15</v>
      </c>
      <c r="AC58" s="22" t="s">
        <v>3586</v>
      </c>
      <c r="AF58" s="33">
        <f t="shared" si="16"/>
        <v>0</v>
      </c>
      <c r="AG58" s="43" t="s">
        <v>3534</v>
      </c>
      <c r="AH58" s="66">
        <f t="shared" si="3"/>
        <v>0.68733735544326846</v>
      </c>
      <c r="AI58" s="283">
        <f>RTD("money.excel",,$G58,"PredictVolume")</f>
        <v>2945</v>
      </c>
      <c r="AJ58" s="391">
        <f>IFERROR(VLOOKUP($G58,基本資料!$A:$M,13,0),"無")</f>
        <v>4284.6499999999996</v>
      </c>
      <c r="AK58" s="245"/>
      <c r="AR58" s="245" t="str">
        <f>INDEX(基本資料!N:N,MATCH($G58,基本資料!A:A,0))</f>
        <v>低</v>
      </c>
    </row>
    <row r="59" spans="1:44">
      <c r="A59" s="343">
        <f>IFERROR(VLOOKUP($G59,基本資料!$A:$J,3,0),"無")</f>
        <v>26.89</v>
      </c>
      <c r="B59" s="79">
        <f>IFERROR(VLOOKUP($G59,基本資料!$A:$J,4,0),"無")</f>
        <v>64</v>
      </c>
      <c r="C59" s="79">
        <f>IFERROR(VLOOKUP($G59,基本資料!$A:$J,5,0),"無")</f>
        <v>60</v>
      </c>
      <c r="D59" s="79">
        <f>IFERROR(VLOOKUP($G59,基本資料!$A:$J,6,0),"無")</f>
        <v>75</v>
      </c>
      <c r="E59" s="79">
        <f>IFERROR(VLOOKUP($G59,基本資料!$A:$J,7,0),"無")</f>
        <v>-50</v>
      </c>
      <c r="F59" s="6">
        <f>IFERROR(VLOOKUP($G59,基本資料!$A:$J,8,0),"無")</f>
        <v>-47.84</v>
      </c>
      <c r="G59" s="79">
        <v>1337</v>
      </c>
      <c r="H59" s="8" t="s">
        <v>3328</v>
      </c>
      <c r="I59" s="22" t="s">
        <v>603</v>
      </c>
      <c r="J59" s="8">
        <f>IFERROR(VLOOKUP($G59,今日總結!$A:$AN,39,0),"")</f>
        <v>0</v>
      </c>
      <c r="K59" s="5">
        <f>IFERROR(VLOOKUP($G59,今日總結!$A:$AN,40,0),"")</f>
        <v>0</v>
      </c>
      <c r="L59" s="156">
        <f>IFERROR(VLOOKUP($G59,今日總結!$A:$AN,37,0),"")</f>
        <v>0</v>
      </c>
      <c r="M59" s="337">
        <f>IFERROR(VLOOKUP($G59,今日總結!$A:$AN,38,0),"")</f>
        <v>0</v>
      </c>
      <c r="N59" s="240">
        <f t="shared" si="13"/>
        <v>0</v>
      </c>
      <c r="O59" s="359">
        <f>IFERROR(VLOOKUP($G59,融外自投!$A:$J,7,0),"無")</f>
        <v>142</v>
      </c>
      <c r="P59" s="79">
        <f>IFERROR(VLOOKUP($G59,融外自投!$A:$J,9,0),"無")</f>
        <v>825</v>
      </c>
      <c r="Q59" s="342">
        <f>IFERROR(VLOOKUP($G59,融外自投!$A:$J,8,0),"無")</f>
        <v>232</v>
      </c>
      <c r="R59" s="81" t="str">
        <f>IFERROR(VLOOKUP($G59,融外自投!$A:$J,10,0),"無")</f>
        <v>無</v>
      </c>
      <c r="S59" s="324">
        <f>IFERROR(VLOOKUP($G59,'321買'!$A:$E,4,0),"'沒有資料'")</f>
        <v>891</v>
      </c>
      <c r="T59" s="186">
        <f>IFERROR(VLOOKUP($G59,基本資料!$A:$J,9,0),"無")</f>
        <v>0</v>
      </c>
      <c r="U59" s="307">
        <f t="shared" si="14"/>
        <v>0</v>
      </c>
      <c r="V59" s="94">
        <f>IFERROR(VLOOKUP($G59,基本資料!$A:$J,10,0),"無")</f>
        <v>-1.71</v>
      </c>
      <c r="W59" s="36">
        <f>RTD("money.excel",,$G59,"Price")</f>
        <v>6.07</v>
      </c>
      <c r="X59" s="66"/>
      <c r="Y59" s="15">
        <f t="shared" si="15"/>
        <v>6.07</v>
      </c>
      <c r="Z59" s="3" t="e">
        <f t="shared" si="11"/>
        <v>#DIV/0!</v>
      </c>
      <c r="AA59" s="340">
        <f>IFERROR(VLOOKUP($G59,基本資料!$A:$M,11,0),"無")</f>
        <v>-32.03</v>
      </c>
      <c r="AB59" s="389">
        <f>IFERROR(VLOOKUP($G59,基本資料!$A:$M,12,0),"無")</f>
        <v>13.68</v>
      </c>
      <c r="AC59" s="22" t="s">
        <v>603</v>
      </c>
      <c r="AF59" s="33">
        <f t="shared" si="16"/>
        <v>0</v>
      </c>
      <c r="AG59" s="43" t="s">
        <v>2759</v>
      </c>
      <c r="AH59" s="66">
        <f t="shared" si="3"/>
        <v>0.74163158949689323</v>
      </c>
      <c r="AI59" s="283">
        <f>RTD("money.excel",,$G59,"PredictVolume")</f>
        <v>185</v>
      </c>
      <c r="AJ59" s="391">
        <f>IFERROR(VLOOKUP($G59,基本資料!$A:$M,13,0),"無")</f>
        <v>249.45</v>
      </c>
      <c r="AR59" s="245" t="str">
        <f>INDEX(基本資料!N:N,MATCH($G59,基本資料!A:A,0))</f>
        <v>低</v>
      </c>
    </row>
    <row r="60" spans="1:44">
      <c r="A60" s="343">
        <f>IFERROR(VLOOKUP($G60,基本資料!$A:$J,3,0),"無")</f>
        <v>15.29</v>
      </c>
      <c r="B60" s="79">
        <f>IFERROR(VLOOKUP($G60,基本資料!$A:$J,4,0),"無")</f>
        <v>-31</v>
      </c>
      <c r="C60" s="79">
        <f>IFERROR(VLOOKUP($G60,基本資料!$A:$J,5,0),"無")</f>
        <v>-30</v>
      </c>
      <c r="D60" s="79">
        <f>IFERROR(VLOOKUP($G60,基本資料!$A:$J,6,0),"無")</f>
        <v>-42</v>
      </c>
      <c r="E60" s="79">
        <f>IFERROR(VLOOKUP($G60,基本資料!$A:$J,7,0),"無")</f>
        <v>-52</v>
      </c>
      <c r="F60" s="6">
        <f>IFERROR(VLOOKUP($G60,基本資料!$A:$J,8,0),"無")</f>
        <v>-80.489999999999995</v>
      </c>
      <c r="G60" s="79">
        <v>1340</v>
      </c>
      <c r="H60" s="8" t="s">
        <v>3328</v>
      </c>
      <c r="I60" s="22" t="s">
        <v>604</v>
      </c>
      <c r="J60" s="8">
        <f>IFERROR(VLOOKUP($G60,今日總結!$A:$AN,39,0),"")</f>
        <v>0</v>
      </c>
      <c r="K60" s="5">
        <f>IFERROR(VLOOKUP($G60,今日總結!$A:$AN,40,0),"")</f>
        <v>0</v>
      </c>
      <c r="L60" s="156">
        <f>IFERROR(VLOOKUP($G60,今日總結!$A:$AN,37,0),"")</f>
        <v>0</v>
      </c>
      <c r="M60" s="337">
        <f>IFERROR(VLOOKUP($G60,今日總結!$A:$AN,38,0),"")</f>
        <v>0</v>
      </c>
      <c r="N60" s="240">
        <f t="shared" si="13"/>
        <v>0</v>
      </c>
      <c r="O60" s="359">
        <f>IFERROR(VLOOKUP($G60,融外自投!$A:$J,7,0),"無")</f>
        <v>976</v>
      </c>
      <c r="P60" s="79">
        <f>IFERROR(VLOOKUP($G60,融外自投!$A:$J,9,0),"無")</f>
        <v>487</v>
      </c>
      <c r="Q60" s="342">
        <f>IFERROR(VLOOKUP($G60,融外自投!$A:$J,8,0),"無")</f>
        <v>195</v>
      </c>
      <c r="R60" s="81" t="str">
        <f>IFERROR(VLOOKUP($G60,融外自投!$A:$J,10,0),"無")</f>
        <v>無</v>
      </c>
      <c r="S60" s="324">
        <f>IFERROR(VLOOKUP($G60,'321買'!$A:$E,4,0),"'沒有資料'")</f>
        <v>1002</v>
      </c>
      <c r="T60" s="186">
        <f>IFERROR(VLOOKUP($G60,基本資料!$A:$J,9,0),"無")</f>
        <v>0</v>
      </c>
      <c r="U60" s="307">
        <f t="shared" si="14"/>
        <v>0</v>
      </c>
      <c r="V60" s="94">
        <f>IFERROR(VLOOKUP($G60,基本資料!$A:$J,10,0),"無")</f>
        <v>-3.35</v>
      </c>
      <c r="W60" s="36">
        <f>RTD("money.excel",,$G60,"Price")</f>
        <v>10.1</v>
      </c>
      <c r="X60" s="66"/>
      <c r="Y60" s="15">
        <f t="shared" si="15"/>
        <v>10.1</v>
      </c>
      <c r="Z60" s="3" t="e">
        <f t="shared" si="11"/>
        <v>#DIV/0!</v>
      </c>
      <c r="AA60" s="340">
        <f>IFERROR(VLOOKUP($G60,基本資料!$A:$M,11,0),"無")</f>
        <v>-20.16</v>
      </c>
      <c r="AB60" s="389">
        <f>IFERROR(VLOOKUP($G60,基本資料!$A:$M,12,0),"無")</f>
        <v>17.13</v>
      </c>
      <c r="AC60" s="22" t="s">
        <v>604</v>
      </c>
      <c r="AF60" s="33">
        <f t="shared" si="16"/>
        <v>0</v>
      </c>
      <c r="AG60" s="43" t="s">
        <v>2486</v>
      </c>
      <c r="AH60" s="66">
        <f t="shared" si="3"/>
        <v>0.63842135809634359</v>
      </c>
      <c r="AI60" s="283">
        <f>RTD("money.excel",,$G60,"PredictVolume")</f>
        <v>55</v>
      </c>
      <c r="AJ60" s="391">
        <f>IFERROR(VLOOKUP($G60,基本資料!$A:$M,13,0),"無")</f>
        <v>86.15</v>
      </c>
      <c r="AR60" s="245" t="str">
        <f>INDEX(基本資料!N:N,MATCH($G60,基本資料!A:A,0))</f>
        <v>低</v>
      </c>
    </row>
    <row r="61" spans="1:44">
      <c r="A61" s="343">
        <f>IFERROR(VLOOKUP($G61,基本資料!$A:$J,3,0),"無")</f>
        <v>5.04</v>
      </c>
      <c r="B61" s="79">
        <f>IFERROR(VLOOKUP($G61,基本資料!$A:$J,4,0),"無")</f>
        <v>-4</v>
      </c>
      <c r="C61" s="79">
        <f>IFERROR(VLOOKUP($G61,基本資料!$A:$J,5,0),"無")</f>
        <v>-9</v>
      </c>
      <c r="D61" s="79">
        <f>IFERROR(VLOOKUP($G61,基本資料!$A:$J,6,0),"無")</f>
        <v>-23</v>
      </c>
      <c r="E61" s="79">
        <f>IFERROR(VLOOKUP($G61,基本資料!$A:$J,7,0),"無")</f>
        <v>28</v>
      </c>
      <c r="F61" s="6">
        <f>IFERROR(VLOOKUP($G61,基本資料!$A:$J,8,0),"無")</f>
        <v>12.82</v>
      </c>
      <c r="G61" s="79">
        <v>1341</v>
      </c>
      <c r="H61" s="8" t="s">
        <v>3328</v>
      </c>
      <c r="I61" s="22" t="s">
        <v>1771</v>
      </c>
      <c r="J61" s="8" t="str">
        <f>IFERROR(VLOOKUP($G61,今日總結!$A:$AN,39,0),"")</f>
        <v/>
      </c>
      <c r="K61" s="5" t="str">
        <f>IFERROR(VLOOKUP($G61,今日總結!$A:$AN,40,0),"")</f>
        <v/>
      </c>
      <c r="L61" s="156" t="str">
        <f>IFERROR(VLOOKUP($G61,今日總結!$A:$AN,37,0),"")</f>
        <v/>
      </c>
      <c r="M61" s="337" t="str">
        <f>IFERROR(VLOOKUP($G61,今日總結!$A:$AN,38,0),"")</f>
        <v/>
      </c>
      <c r="N61" s="240" t="str">
        <f t="shared" si="13"/>
        <v/>
      </c>
      <c r="O61" s="359" t="str">
        <f>IFERROR(VLOOKUP($G61,融外自投!$A:$J,7,0),"無")</f>
        <v>無</v>
      </c>
      <c r="P61" s="79" t="str">
        <f>IFERROR(VLOOKUP($G61,融外自投!$A:$J,9,0),"無")</f>
        <v>無</v>
      </c>
      <c r="Q61" s="342" t="str">
        <f>IFERROR(VLOOKUP($G61,融外自投!$A:$J,8,0),"無")</f>
        <v>無</v>
      </c>
      <c r="R61" s="81" t="str">
        <f>IFERROR(VLOOKUP($G61,融外自投!$A:$J,10,0),"無")</f>
        <v>無</v>
      </c>
      <c r="S61" s="324" t="str">
        <f>IFERROR(VLOOKUP($G61,'321買'!$A:$E,4,0),"'沒有資料'")</f>
        <v>'沒有資料'</v>
      </c>
      <c r="T61" s="186">
        <f>IFERROR(VLOOKUP($G61,基本資料!$A:$J,9,0),"無")</f>
        <v>6</v>
      </c>
      <c r="U61" s="307">
        <f t="shared" si="14"/>
        <v>8.2530949105914714E-2</v>
      </c>
      <c r="V61" s="94">
        <f>IFERROR(VLOOKUP($G61,基本資料!$A:$J,10,0),"無")</f>
        <v>5.99</v>
      </c>
      <c r="W61" s="36">
        <f>RTD("money.excel",,$G61,"Price")</f>
        <v>72.7</v>
      </c>
      <c r="X61" s="66"/>
      <c r="Y61" s="15">
        <f t="shared" si="15"/>
        <v>72.7</v>
      </c>
      <c r="Z61" s="3" t="e">
        <f t="shared" si="11"/>
        <v>#DIV/0!</v>
      </c>
      <c r="AA61" s="340">
        <f>IFERROR(VLOOKUP($G61,基本資料!$A:$M,11,0),"無")</f>
        <v>-16.34</v>
      </c>
      <c r="AB61" s="389">
        <f>IFERROR(VLOOKUP($G61,基本資料!$A:$M,12,0),"無")</f>
        <v>72.239999999999995</v>
      </c>
      <c r="AC61" s="22" t="s">
        <v>1771</v>
      </c>
      <c r="AF61" s="33">
        <f t="shared" si="16"/>
        <v>0</v>
      </c>
      <c r="AG61" s="43" t="s">
        <v>2760</v>
      </c>
      <c r="AH61" s="66">
        <f t="shared" si="3"/>
        <v>0.4</v>
      </c>
      <c r="AI61" s="283">
        <f>RTD("money.excel",,$G61,"PredictVolume")</f>
        <v>3</v>
      </c>
      <c r="AJ61" s="391">
        <f>IFERROR(VLOOKUP($G61,基本資料!$A:$M,13,0),"無")</f>
        <v>7.5</v>
      </c>
      <c r="AR61" s="245" t="str">
        <f>INDEX(基本資料!N:N,MATCH($G61,基本資料!A:A,0))</f>
        <v>中</v>
      </c>
    </row>
    <row r="62" spans="1:44">
      <c r="A62" s="343">
        <f>IFERROR(VLOOKUP($G62,基本資料!$A:$J,3,0),"無")</f>
        <v>6.75</v>
      </c>
      <c r="B62" s="79">
        <f>IFERROR(VLOOKUP($G62,基本資料!$A:$J,4,0),"無")</f>
        <v>581</v>
      </c>
      <c r="C62" s="79">
        <f>IFERROR(VLOOKUP($G62,基本資料!$A:$J,5,0),"無")</f>
        <v>95</v>
      </c>
      <c r="D62" s="79">
        <f>IFERROR(VLOOKUP($G62,基本資料!$A:$J,6,0),"無")</f>
        <v>-13</v>
      </c>
      <c r="E62" s="79">
        <f>IFERROR(VLOOKUP($G62,基本資料!$A:$J,7,0),"無")</f>
        <v>-15</v>
      </c>
      <c r="F62" s="6">
        <f>IFERROR(VLOOKUP($G62,基本資料!$A:$J,8,0),"無")</f>
        <v>5.09</v>
      </c>
      <c r="G62" s="79">
        <v>4303</v>
      </c>
      <c r="H62" s="8" t="s">
        <v>3328</v>
      </c>
      <c r="I62" s="16" t="s">
        <v>589</v>
      </c>
      <c r="J62" s="8">
        <f>IFERROR(VLOOKUP($G62,今日總結!$A:$AN,39,0),"")</f>
        <v>0</v>
      </c>
      <c r="K62" s="5" t="str">
        <f>IFERROR(VLOOKUP($G62,今日總結!$A:$AN,40,0),"")</f>
        <v>2券</v>
      </c>
      <c r="L62" s="156">
        <f>IFERROR(VLOOKUP($G62,今日總結!$A:$AN,37,0),"")</f>
        <v>0</v>
      </c>
      <c r="M62" s="337">
        <f>IFERROR(VLOOKUP($G62,今日總結!$A:$AN,38,0),"")</f>
        <v>2</v>
      </c>
      <c r="N62" s="240">
        <f t="shared" si="13"/>
        <v>-2</v>
      </c>
      <c r="O62" s="359">
        <f>IFERROR(VLOOKUP($G62,融外自投!$A:$J,7,0),"無")</f>
        <v>323</v>
      </c>
      <c r="P62" s="79" t="str">
        <f>IFERROR(VLOOKUP($G62,融外自投!$A:$J,9,0),"無")</f>
        <v>無</v>
      </c>
      <c r="Q62" s="342">
        <f>IFERROR(VLOOKUP($G62,融外自投!$A:$J,8,0),"無")</f>
        <v>1337</v>
      </c>
      <c r="R62" s="81" t="str">
        <f>IFERROR(VLOOKUP($G62,融外自投!$A:$J,10,0),"無")</f>
        <v>無</v>
      </c>
      <c r="S62" s="324">
        <f>IFERROR(VLOOKUP($G62,'321買'!$A:$E,4,0),"'沒有資料'")</f>
        <v>743</v>
      </c>
      <c r="T62" s="186">
        <f>IFERROR(VLOOKUP($G62,基本資料!$A:$J,9,0),"無")</f>
        <v>1.1000000000000001</v>
      </c>
      <c r="U62" s="307">
        <f t="shared" si="14"/>
        <v>3.9285714285714292E-2</v>
      </c>
      <c r="V62" s="94">
        <f>IFERROR(VLOOKUP($G62,基本資料!$A:$J,10,0),"無")</f>
        <v>1.96</v>
      </c>
      <c r="W62" s="36">
        <f>RTD("money.excel",,$G62,"Price")</f>
        <v>28</v>
      </c>
      <c r="X62" s="66"/>
      <c r="Y62" s="15">
        <f t="shared" si="15"/>
        <v>28</v>
      </c>
      <c r="Z62" s="3" t="e">
        <f t="shared" si="11"/>
        <v>#DIV/0!</v>
      </c>
      <c r="AA62" s="340">
        <f>IFERROR(VLOOKUP($G62,基本資料!$A:$M,11,0),"無")</f>
        <v>-19.309999999999999</v>
      </c>
      <c r="AB62" s="389">
        <f>IFERROR(VLOOKUP($G62,基本資料!$A:$M,12,0),"無")</f>
        <v>59.07</v>
      </c>
      <c r="AC62" s="16" t="s">
        <v>589</v>
      </c>
      <c r="AF62" s="33">
        <f t="shared" si="16"/>
        <v>0</v>
      </c>
      <c r="AG62" s="43" t="s">
        <v>2625</v>
      </c>
      <c r="AH62" s="66">
        <f t="shared" si="3"/>
        <v>4.1748506484044876</v>
      </c>
      <c r="AI62" s="283">
        <f>RTD("money.excel",,$G62,"PredictVolume")</f>
        <v>7163</v>
      </c>
      <c r="AJ62" s="391">
        <f>IFERROR(VLOOKUP($G62,基本資料!$A:$M,13,0),"無")</f>
        <v>1715.75</v>
      </c>
      <c r="AR62" s="245" t="str">
        <f>INDEX(基本資料!N:N,MATCH($G62,基本資料!A:A,0))</f>
        <v>中</v>
      </c>
    </row>
    <row r="63" spans="1:44">
      <c r="A63" s="343">
        <f>IFERROR(VLOOKUP($G63,基本資料!$A:$J,3,0),"無")</f>
        <v>3.6</v>
      </c>
      <c r="B63" s="79">
        <f>IFERROR(VLOOKUP($G63,基本資料!$A:$J,4,0),"無")</f>
        <v>471</v>
      </c>
      <c r="C63" s="79">
        <f>IFERROR(VLOOKUP($G63,基本資料!$A:$J,5,0),"無")</f>
        <v>-31</v>
      </c>
      <c r="D63" s="79">
        <f>IFERROR(VLOOKUP($G63,基本資料!$A:$J,6,0),"無")</f>
        <v>-20</v>
      </c>
      <c r="E63" s="79">
        <f>IFERROR(VLOOKUP($G63,基本資料!$A:$J,7,0),"無")</f>
        <v>-8</v>
      </c>
      <c r="F63" s="6">
        <f>IFERROR(VLOOKUP($G63,基本資料!$A:$J,8,0),"無")</f>
        <v>-10.45</v>
      </c>
      <c r="G63" s="79">
        <v>4304</v>
      </c>
      <c r="H63" s="8" t="s">
        <v>3328</v>
      </c>
      <c r="I63" s="16" t="s">
        <v>590</v>
      </c>
      <c r="J63" s="8" t="str">
        <f>IFERROR(VLOOKUP($G63,今日總結!$A:$AN,39,0),"")</f>
        <v/>
      </c>
      <c r="K63" s="5" t="str">
        <f>IFERROR(VLOOKUP($G63,今日總結!$A:$AN,40,0),"")</f>
        <v/>
      </c>
      <c r="L63" s="156" t="str">
        <f>IFERROR(VLOOKUP($G63,今日總結!$A:$AN,37,0),"")</f>
        <v/>
      </c>
      <c r="M63" s="337" t="str">
        <f>IFERROR(VLOOKUP($G63,今日總結!$A:$AN,38,0),"")</f>
        <v/>
      </c>
      <c r="N63" s="240" t="str">
        <f t="shared" si="13"/>
        <v/>
      </c>
      <c r="O63" s="359" t="str">
        <f>IFERROR(VLOOKUP($G63,融外自投!$A:$J,7,0),"無")</f>
        <v>無</v>
      </c>
      <c r="P63" s="79" t="str">
        <f>IFERROR(VLOOKUP($G63,融外自投!$A:$J,9,0),"無")</f>
        <v>無</v>
      </c>
      <c r="Q63" s="342" t="str">
        <f>IFERROR(VLOOKUP($G63,融外自投!$A:$J,8,0),"無")</f>
        <v>無</v>
      </c>
      <c r="R63" s="81" t="str">
        <f>IFERROR(VLOOKUP($G63,融外自投!$A:$J,10,0),"無")</f>
        <v>無</v>
      </c>
      <c r="S63" s="324" t="str">
        <f>IFERROR(VLOOKUP($G63,'321買'!$A:$E,4,0),"'沒有資料'")</f>
        <v>'沒有資料'</v>
      </c>
      <c r="T63" s="186">
        <f>IFERROR(VLOOKUP($G63,基本資料!$A:$J,9,0),"無")</f>
        <v>0</v>
      </c>
      <c r="U63" s="307">
        <f t="shared" si="14"/>
        <v>0</v>
      </c>
      <c r="V63" s="94">
        <f>IFERROR(VLOOKUP($G63,基本資料!$A:$J,10,0),"無")</f>
        <v>4.22</v>
      </c>
      <c r="W63" s="36">
        <f>RTD("money.excel",,$G63,"Price")</f>
        <v>8.9</v>
      </c>
      <c r="X63" s="66"/>
      <c r="Y63" s="15">
        <f t="shared" si="15"/>
        <v>8.9</v>
      </c>
      <c r="Z63" s="3" t="e">
        <f t="shared" si="11"/>
        <v>#DIV/0!</v>
      </c>
      <c r="AA63" s="340">
        <f>IFERROR(VLOOKUP($G63,基本資料!$A:$M,11,0),"無")</f>
        <v>-43.67</v>
      </c>
      <c r="AB63" s="389">
        <f>IFERROR(VLOOKUP($G63,基本資料!$A:$M,12,0),"無")</f>
        <v>20.59</v>
      </c>
      <c r="AC63" s="16" t="s">
        <v>590</v>
      </c>
      <c r="AF63" s="33">
        <f t="shared" si="16"/>
        <v>0</v>
      </c>
      <c r="AG63" s="43" t="s">
        <v>2626</v>
      </c>
      <c r="AH63" s="66">
        <f t="shared" si="3"/>
        <v>0.28813254096884572</v>
      </c>
      <c r="AI63" s="283">
        <f>RTD("money.excel",,$G63,"PredictVolume")</f>
        <v>80</v>
      </c>
      <c r="AJ63" s="391">
        <f>IFERROR(VLOOKUP($G63,基本資料!$A:$M,13,0),"無")</f>
        <v>277.64999999999998</v>
      </c>
      <c r="AR63" s="245" t="str">
        <f>INDEX(基本資料!N:N,MATCH($G63,基本資料!A:A,0))</f>
        <v>低</v>
      </c>
    </row>
    <row r="64" spans="1:44">
      <c r="A64" s="343">
        <f>IFERROR(VLOOKUP($G64,基本資料!$A:$J,3,0),"無")</f>
        <v>5.5</v>
      </c>
      <c r="B64" s="79">
        <f>IFERROR(VLOOKUP($G64,基本資料!$A:$J,4,0),"無")</f>
        <v>-2</v>
      </c>
      <c r="C64" s="79">
        <f>IFERROR(VLOOKUP($G64,基本資料!$A:$J,5,0),"無")</f>
        <v>-4</v>
      </c>
      <c r="D64" s="79">
        <f>IFERROR(VLOOKUP($G64,基本資料!$A:$J,6,0),"無")</f>
        <v>-12</v>
      </c>
      <c r="E64" s="79">
        <f>IFERROR(VLOOKUP($G64,基本資料!$A:$J,7,0),"無")</f>
        <v>-21</v>
      </c>
      <c r="F64" s="6">
        <f>IFERROR(VLOOKUP($G64,基本資料!$A:$J,8,0),"無")</f>
        <v>13.17</v>
      </c>
      <c r="G64" s="79">
        <v>4305</v>
      </c>
      <c r="H64" s="8" t="s">
        <v>3328</v>
      </c>
      <c r="I64" s="16" t="s">
        <v>591</v>
      </c>
      <c r="J64" s="8" t="str">
        <f>IFERROR(VLOOKUP($G64,今日總結!$A:$AN,39,0),"")</f>
        <v/>
      </c>
      <c r="K64" s="5" t="str">
        <f>IFERROR(VLOOKUP($G64,今日總結!$A:$AN,40,0),"")</f>
        <v/>
      </c>
      <c r="L64" s="156" t="str">
        <f>IFERROR(VLOOKUP($G64,今日總結!$A:$AN,37,0),"")</f>
        <v/>
      </c>
      <c r="M64" s="337" t="str">
        <f>IFERROR(VLOOKUP($G64,今日總結!$A:$AN,38,0),"")</f>
        <v/>
      </c>
      <c r="N64" s="240" t="str">
        <f t="shared" si="13"/>
        <v/>
      </c>
      <c r="O64" s="359">
        <f>IFERROR(VLOOKUP($G64,融外自投!$A:$J,7,0),"無")</f>
        <v>1467</v>
      </c>
      <c r="P64" s="79" t="str">
        <f>IFERROR(VLOOKUP($G64,融外自投!$A:$J,9,0),"無")</f>
        <v>無</v>
      </c>
      <c r="Q64" s="342">
        <f>IFERROR(VLOOKUP($G64,融外自投!$A:$J,8,0),"無")</f>
        <v>1462</v>
      </c>
      <c r="R64" s="81" t="str">
        <f>IFERROR(VLOOKUP($G64,融外自投!$A:$J,10,0),"無")</f>
        <v>無</v>
      </c>
      <c r="S64" s="324" t="str">
        <f>IFERROR(VLOOKUP($G64,'321買'!$A:$E,4,0),"'沒有資料'")</f>
        <v>'沒有資料'</v>
      </c>
      <c r="T64" s="186">
        <f>IFERROR(VLOOKUP($G64,基本資料!$A:$J,9,0),"無")</f>
        <v>1.8</v>
      </c>
      <c r="U64" s="307">
        <f t="shared" si="14"/>
        <v>5.6962025316455694E-2</v>
      </c>
      <c r="V64" s="94">
        <f>IFERROR(VLOOKUP($G64,基本資料!$A:$J,10,0),"無")</f>
        <v>2.0299999999999998</v>
      </c>
      <c r="W64" s="36">
        <f>RTD("money.excel",,$G64,"Price")</f>
        <v>31.6</v>
      </c>
      <c r="X64" s="66"/>
      <c r="Y64" s="15">
        <f t="shared" si="15"/>
        <v>31.6</v>
      </c>
      <c r="Z64" s="3" t="e">
        <f t="shared" si="11"/>
        <v>#DIV/0!</v>
      </c>
      <c r="AA64" s="340">
        <f>IFERROR(VLOOKUP($G64,基本資料!$A:$M,11,0),"無")</f>
        <v>-9.1999999999999993</v>
      </c>
      <c r="AB64" s="389">
        <f>IFERROR(VLOOKUP($G64,基本資料!$A:$M,12,0),"無")</f>
        <v>61.16</v>
      </c>
      <c r="AC64" s="16" t="s">
        <v>591</v>
      </c>
      <c r="AF64" s="33">
        <f t="shared" si="16"/>
        <v>0</v>
      </c>
      <c r="AG64" s="43" t="s">
        <v>2627</v>
      </c>
      <c r="AH64" s="66">
        <f t="shared" si="3"/>
        <v>0.51948051948051943</v>
      </c>
      <c r="AI64" s="283">
        <f>RTD("money.excel",,$G64,"PredictVolume")</f>
        <v>2</v>
      </c>
      <c r="AJ64" s="391">
        <f>IFERROR(VLOOKUP($G64,基本資料!$A:$M,13,0),"無")</f>
        <v>3.85</v>
      </c>
      <c r="AR64" s="245" t="str">
        <f>INDEX(基本資料!N:N,MATCH($G64,基本資料!A:A,0))</f>
        <v>中</v>
      </c>
    </row>
    <row r="65" spans="1:44">
      <c r="A65" s="343">
        <f>IFERROR(VLOOKUP($G65,基本資料!$A:$J,3,0),"無")</f>
        <v>63.82</v>
      </c>
      <c r="B65" s="79">
        <f>IFERROR(VLOOKUP($G65,基本資料!$A:$J,4,0),"無")</f>
        <v>9</v>
      </c>
      <c r="C65" s="79">
        <f>IFERROR(VLOOKUP($G65,基本資料!$A:$J,5,0),"無")</f>
        <v>83</v>
      </c>
      <c r="D65" s="79">
        <f>IFERROR(VLOOKUP($G65,基本資料!$A:$J,6,0),"無")</f>
        <v>-14</v>
      </c>
      <c r="E65" s="79">
        <f>IFERROR(VLOOKUP($G65,基本資料!$A:$J,7,0),"無")</f>
        <v>-10</v>
      </c>
      <c r="F65" s="6">
        <f>IFERROR(VLOOKUP($G65,基本資料!$A:$J,8,0),"無")</f>
        <v>7.59</v>
      </c>
      <c r="G65" s="79">
        <v>4306</v>
      </c>
      <c r="H65" s="8" t="s">
        <v>3328</v>
      </c>
      <c r="I65" s="22" t="s">
        <v>605</v>
      </c>
      <c r="J65" s="8">
        <f>IFERROR(VLOOKUP($G65,今日總結!$A:$AN,39,0),"")</f>
        <v>0</v>
      </c>
      <c r="K65" s="5">
        <f>IFERROR(VLOOKUP($G65,今日總結!$A:$AN,40,0),"")</f>
        <v>0</v>
      </c>
      <c r="L65" s="156">
        <f>IFERROR(VLOOKUP($G65,今日總結!$A:$AN,37,0),"")</f>
        <v>0</v>
      </c>
      <c r="M65" s="337">
        <f>IFERROR(VLOOKUP($G65,今日總結!$A:$AN,38,0),"")</f>
        <v>0</v>
      </c>
      <c r="N65" s="240">
        <f t="shared" si="13"/>
        <v>0</v>
      </c>
      <c r="O65" s="359">
        <f>IFERROR(VLOOKUP($G65,融外自投!$A:$J,7,0),"無")</f>
        <v>934</v>
      </c>
      <c r="P65" s="79">
        <f>IFERROR(VLOOKUP($G65,融外自投!$A:$J,9,0),"無")</f>
        <v>825</v>
      </c>
      <c r="Q65" s="342">
        <f>IFERROR(VLOOKUP($G65,融外自投!$A:$J,8,0),"無")</f>
        <v>759</v>
      </c>
      <c r="R65" s="81" t="str">
        <f>IFERROR(VLOOKUP($G65,融外自投!$A:$J,10,0),"無")</f>
        <v>無</v>
      </c>
      <c r="S65" s="324">
        <f>IFERROR(VLOOKUP($G65,'321買'!$A:$E,4,0),"'沒有資料'")</f>
        <v>801</v>
      </c>
      <c r="T65" s="186">
        <f>IFERROR(VLOOKUP($G65,基本資料!$A:$J,9,0),"無")</f>
        <v>1</v>
      </c>
      <c r="U65" s="307">
        <f t="shared" si="14"/>
        <v>6.6006600660066E-2</v>
      </c>
      <c r="V65" s="94">
        <f>IFERROR(VLOOKUP($G65,基本資料!$A:$J,10,0),"無")</f>
        <v>1.47</v>
      </c>
      <c r="W65" s="36">
        <f>RTD("money.excel",,$G65,"Price")</f>
        <v>15.15</v>
      </c>
      <c r="X65" s="66"/>
      <c r="Y65" s="15">
        <f t="shared" si="15"/>
        <v>15.15</v>
      </c>
      <c r="Z65" s="3" t="e">
        <f t="shared" si="11"/>
        <v>#DIV/0!</v>
      </c>
      <c r="AA65" s="340">
        <f>IFERROR(VLOOKUP($G65,基本資料!$A:$M,11,0),"無")</f>
        <v>-27.16</v>
      </c>
      <c r="AB65" s="389">
        <f>IFERROR(VLOOKUP($G65,基本資料!$A:$M,12,0),"無")</f>
        <v>51.31</v>
      </c>
      <c r="AC65" s="22" t="s">
        <v>605</v>
      </c>
      <c r="AF65" s="33">
        <f t="shared" si="16"/>
        <v>0</v>
      </c>
      <c r="AG65" s="43" t="s">
        <v>2761</v>
      </c>
      <c r="AH65" s="66">
        <f t="shared" si="3"/>
        <v>1.0923119828948591</v>
      </c>
      <c r="AI65" s="283">
        <f>RTD("money.excel",,$G65,"PredictVolume")</f>
        <v>1175</v>
      </c>
      <c r="AJ65" s="391">
        <f>IFERROR(VLOOKUP($G65,基本資料!$A:$M,13,0),"無")</f>
        <v>1075.7</v>
      </c>
      <c r="AR65" s="245" t="str">
        <f>INDEX(基本資料!N:N,MATCH($G65,基本資料!A:A,0))</f>
        <v>低</v>
      </c>
    </row>
    <row r="66" spans="1:44">
      <c r="A66" s="343">
        <f>IFERROR(VLOOKUP($G66,基本資料!$A:$J,3,0),"無")</f>
        <v>7.85</v>
      </c>
      <c r="B66" s="79">
        <f>IFERROR(VLOOKUP($G66,基本資料!$A:$J,4,0),"無")</f>
        <v>531</v>
      </c>
      <c r="C66" s="79">
        <f>IFERROR(VLOOKUP($G66,基本資料!$A:$J,5,0),"無")</f>
        <v>-92</v>
      </c>
      <c r="D66" s="79">
        <f>IFERROR(VLOOKUP($G66,基本資料!$A:$J,6,0),"無")</f>
        <v>-7</v>
      </c>
      <c r="E66" s="79">
        <f>IFERROR(VLOOKUP($G66,基本資料!$A:$J,7,0),"無")</f>
        <v>-4</v>
      </c>
      <c r="F66" s="6">
        <f>IFERROR(VLOOKUP($G66,基本資料!$A:$J,8,0),"無")</f>
        <v>0.75</v>
      </c>
      <c r="G66" s="79">
        <v>8354</v>
      </c>
      <c r="H66" s="8" t="s">
        <v>3328</v>
      </c>
      <c r="I66" s="16" t="s">
        <v>592</v>
      </c>
      <c r="J66" s="8" t="str">
        <f>IFERROR(VLOOKUP($G66,今日總結!$A:$AN,39,0),"")</f>
        <v/>
      </c>
      <c r="K66" s="5" t="str">
        <f>IFERROR(VLOOKUP($G66,今日總結!$A:$AN,40,0),"")</f>
        <v/>
      </c>
      <c r="L66" s="156" t="str">
        <f>IFERROR(VLOOKUP($G66,今日總結!$A:$AN,37,0),"")</f>
        <v/>
      </c>
      <c r="M66" s="337" t="str">
        <f>IFERROR(VLOOKUP($G66,今日總結!$A:$AN,38,0),"")</f>
        <v/>
      </c>
      <c r="N66" s="240" t="str">
        <f t="shared" si="13"/>
        <v/>
      </c>
      <c r="O66" s="359">
        <f>IFERROR(VLOOKUP($G66,融外自投!$A:$J,7,0),"無")</f>
        <v>1388</v>
      </c>
      <c r="P66" s="79" t="str">
        <f>IFERROR(VLOOKUP($G66,融外自投!$A:$J,9,0),"無")</f>
        <v>無</v>
      </c>
      <c r="Q66" s="342">
        <f>IFERROR(VLOOKUP($G66,融外自投!$A:$J,8,0),"無")</f>
        <v>1454</v>
      </c>
      <c r="R66" s="81" t="str">
        <f>IFERROR(VLOOKUP($G66,融外自投!$A:$J,10,0),"無")</f>
        <v>無</v>
      </c>
      <c r="S66" s="324" t="str">
        <f>IFERROR(VLOOKUP($G66,'321買'!$A:$E,4,0),"'沒有資料'")</f>
        <v>'沒有資料'</v>
      </c>
      <c r="T66" s="186">
        <f>IFERROR(VLOOKUP($G66,基本資料!$A:$J,9,0),"無")</f>
        <v>0.8</v>
      </c>
      <c r="U66" s="307">
        <f t="shared" si="14"/>
        <v>5.4982817869415807E-2</v>
      </c>
      <c r="V66" s="94">
        <f>IFERROR(VLOOKUP($G66,基本資料!$A:$J,10,0),"無")</f>
        <v>3.06</v>
      </c>
      <c r="W66" s="36">
        <f>RTD("money.excel",,$G66,"Price")</f>
        <v>14.55</v>
      </c>
      <c r="X66" s="66"/>
      <c r="Y66" s="15">
        <f t="shared" si="15"/>
        <v>14.55</v>
      </c>
      <c r="Z66" s="3" t="e">
        <f t="shared" si="11"/>
        <v>#DIV/0!</v>
      </c>
      <c r="AA66" s="340">
        <f>IFERROR(VLOOKUP($G66,基本資料!$A:$M,11,0),"無")</f>
        <v>-8.7799999999999994</v>
      </c>
      <c r="AB66" s="389">
        <f>IFERROR(VLOOKUP($G66,基本資料!$A:$M,12,0),"無")</f>
        <v>57.49</v>
      </c>
      <c r="AC66" s="16" t="s">
        <v>592</v>
      </c>
      <c r="AF66" s="33">
        <f t="shared" si="16"/>
        <v>0</v>
      </c>
      <c r="AG66" s="43" t="s">
        <v>2628</v>
      </c>
      <c r="AH66" s="66">
        <f t="shared" si="3"/>
        <v>0.1699029126213592</v>
      </c>
      <c r="AI66" s="283">
        <f>RTD("money.excel",,$G66,"PredictVolume")</f>
        <v>7</v>
      </c>
      <c r="AJ66" s="391">
        <f>IFERROR(VLOOKUP($G66,基本資料!$A:$M,13,0),"無")</f>
        <v>41.2</v>
      </c>
      <c r="AR66" s="245" t="str">
        <f>INDEX(基本資料!N:N,MATCH($G66,基本資料!A:A,0))</f>
        <v>中</v>
      </c>
    </row>
    <row r="67" spans="1:44">
      <c r="A67" s="343">
        <f>IFERROR(VLOOKUP($G67,基本資料!$A:$J,3,0),"無")</f>
        <v>14.77</v>
      </c>
      <c r="B67" s="79">
        <f>IFERROR(VLOOKUP($G67,基本資料!$A:$J,4,0),"無")</f>
        <v>-81</v>
      </c>
      <c r="C67" s="79">
        <f>IFERROR(VLOOKUP($G67,基本資料!$A:$J,5,0),"無")</f>
        <v>-52</v>
      </c>
      <c r="D67" s="79">
        <f>IFERROR(VLOOKUP($G67,基本資料!$A:$J,6,0),"無")</f>
        <v>1</v>
      </c>
      <c r="E67" s="79">
        <f>IFERROR(VLOOKUP($G67,基本資料!$A:$J,7,0),"無")</f>
        <v>113</v>
      </c>
      <c r="F67" s="6">
        <f>IFERROR(VLOOKUP($G67,基本資料!$A:$J,8,0),"無")</f>
        <v>-56.72</v>
      </c>
      <c r="G67" s="79">
        <v>9950</v>
      </c>
      <c r="H67" s="8" t="s">
        <v>3328</v>
      </c>
      <c r="I67" s="16" t="s">
        <v>593</v>
      </c>
      <c r="J67" s="8" t="str">
        <f>IFERROR(VLOOKUP($G67,今日總結!$A:$AN,39,0),"")</f>
        <v/>
      </c>
      <c r="K67" s="5" t="str">
        <f>IFERROR(VLOOKUP($G67,今日總結!$A:$AN,40,0),"")</f>
        <v/>
      </c>
      <c r="L67" s="156" t="str">
        <f>IFERROR(VLOOKUP($G67,今日總結!$A:$AN,37,0),"")</f>
        <v/>
      </c>
      <c r="M67" s="337" t="str">
        <f>IFERROR(VLOOKUP($G67,今日總結!$A:$AN,38,0),"")</f>
        <v/>
      </c>
      <c r="N67" s="240" t="str">
        <f t="shared" si="13"/>
        <v/>
      </c>
      <c r="O67" s="359" t="str">
        <f>IFERROR(VLOOKUP($G67,融外自投!$A:$J,7,0),"無")</f>
        <v>無</v>
      </c>
      <c r="P67" s="79" t="str">
        <f>IFERROR(VLOOKUP($G67,融外自投!$A:$J,9,0),"無")</f>
        <v>無</v>
      </c>
      <c r="Q67" s="342" t="str">
        <f>IFERROR(VLOOKUP($G67,融外自投!$A:$J,8,0),"無")</f>
        <v>無</v>
      </c>
      <c r="R67" s="81" t="str">
        <f>IFERROR(VLOOKUP($G67,融外自投!$A:$J,10,0),"無")</f>
        <v>無</v>
      </c>
      <c r="S67" s="324" t="str">
        <f>IFERROR(VLOOKUP($G67,'321買'!$A:$E,4,0),"'沒有資料'")</f>
        <v>'沒有資料'</v>
      </c>
      <c r="T67" s="186">
        <f>IFERROR(VLOOKUP($G67,基本資料!$A:$J,9,0),"無")</f>
        <v>0</v>
      </c>
      <c r="U67" s="307">
        <f t="shared" si="14"/>
        <v>0</v>
      </c>
      <c r="V67" s="94">
        <f>IFERROR(VLOOKUP($G67,基本資料!$A:$J,10,0),"無")</f>
        <v>-4.21</v>
      </c>
      <c r="W67" s="36">
        <f>RTD("money.excel",,$G67,"Price")</f>
        <v>11.9</v>
      </c>
      <c r="X67" s="66"/>
      <c r="Y67" s="15">
        <f t="shared" si="15"/>
        <v>11.9</v>
      </c>
      <c r="Z67" s="3" t="e">
        <f t="shared" si="11"/>
        <v>#DIV/0!</v>
      </c>
      <c r="AA67" s="340">
        <f>IFERROR(VLOOKUP($G67,基本資料!$A:$M,11,0),"無")</f>
        <v>-9.16</v>
      </c>
      <c r="AB67" s="389">
        <f>IFERROR(VLOOKUP($G67,基本資料!$A:$M,12,0),"無")</f>
        <v>78.989999999999995</v>
      </c>
      <c r="AC67" s="16" t="s">
        <v>593</v>
      </c>
      <c r="AF67" s="33">
        <f t="shared" si="16"/>
        <v>0</v>
      </c>
      <c r="AG67" s="43" t="s">
        <v>2629</v>
      </c>
      <c r="AH67" s="66">
        <f t="shared" si="3"/>
        <v>1.2788632326820604</v>
      </c>
      <c r="AI67" s="283">
        <f>RTD("money.excel",,$G67,"PredictVolume")</f>
        <v>36</v>
      </c>
      <c r="AJ67" s="391">
        <f>IFERROR(VLOOKUP($G67,基本資料!$A:$M,13,0),"無")</f>
        <v>28.15</v>
      </c>
      <c r="AK67" s="279"/>
      <c r="AR67" s="245" t="str">
        <f>INDEX(基本資料!N:N,MATCH($G67,基本資料!A:A,0))</f>
        <v>高</v>
      </c>
    </row>
    <row r="68" spans="1:44">
      <c r="A68" s="142"/>
      <c r="B68" s="90"/>
      <c r="C68" s="90"/>
      <c r="D68" s="90"/>
      <c r="E68" s="90"/>
      <c r="F68" s="6"/>
      <c r="G68" s="79"/>
      <c r="H68" s="8"/>
      <c r="I68" s="16"/>
      <c r="L68" s="156"/>
      <c r="N68" s="240"/>
      <c r="O68" s="359"/>
      <c r="P68" s="79"/>
      <c r="Q68" s="342"/>
      <c r="R68" s="81"/>
      <c r="S68" s="324"/>
      <c r="T68" s="186"/>
      <c r="U68" s="307"/>
      <c r="V68" s="94"/>
      <c r="W68" s="36"/>
      <c r="X68" s="66"/>
      <c r="Y68" s="15"/>
      <c r="Z68" s="3"/>
      <c r="AB68" s="389"/>
      <c r="AC68" s="16"/>
      <c r="AF68" s="33"/>
      <c r="AG68" s="43"/>
      <c r="AH68" s="66" t="e">
        <f t="shared" si="3"/>
        <v>#DIV/0!</v>
      </c>
      <c r="AI68" s="283"/>
      <c r="AK68" s="245"/>
    </row>
    <row r="69" spans="1:44">
      <c r="A69" s="127" t="s">
        <v>1672</v>
      </c>
      <c r="B69" s="90" t="s">
        <v>1571</v>
      </c>
      <c r="C69" s="90" t="s">
        <v>1572</v>
      </c>
      <c r="D69" s="90" t="s">
        <v>1573</v>
      </c>
      <c r="E69" s="90" t="s">
        <v>1574</v>
      </c>
      <c r="F69" s="8" t="s">
        <v>1059</v>
      </c>
      <c r="G69" s="27" t="s">
        <v>710</v>
      </c>
      <c r="H69" s="55" t="s">
        <v>320</v>
      </c>
      <c r="I69" s="50" t="s">
        <v>294</v>
      </c>
      <c r="J69" s="8" t="s">
        <v>6211</v>
      </c>
      <c r="K69" s="5" t="s">
        <v>6212</v>
      </c>
      <c r="L69" s="334" t="s">
        <v>6197</v>
      </c>
      <c r="M69" s="335" t="s">
        <v>6198</v>
      </c>
      <c r="N69" s="336" t="s">
        <v>6199</v>
      </c>
      <c r="O69" s="89" t="s">
        <v>6275</v>
      </c>
      <c r="P69" s="292" t="s">
        <v>6274</v>
      </c>
      <c r="Q69" s="350" t="s">
        <v>6273</v>
      </c>
      <c r="R69" s="26" t="s">
        <v>6276</v>
      </c>
      <c r="S69" s="318" t="s">
        <v>4715</v>
      </c>
      <c r="T69" s="10" t="s">
        <v>66</v>
      </c>
      <c r="U69" s="305" t="s">
        <v>4728</v>
      </c>
      <c r="V69" s="68" t="s">
        <v>3272</v>
      </c>
      <c r="W69" s="28" t="s">
        <v>2</v>
      </c>
      <c r="X69" s="17" t="s">
        <v>1398</v>
      </c>
      <c r="Y69" s="14" t="s">
        <v>5</v>
      </c>
      <c r="Z69" s="21" t="s">
        <v>3</v>
      </c>
      <c r="AA69" s="96" t="s">
        <v>6166</v>
      </c>
      <c r="AB69" s="378" t="s">
        <v>6404</v>
      </c>
      <c r="AC69" s="50" t="s">
        <v>294</v>
      </c>
      <c r="AD69" s="71" t="s">
        <v>1399</v>
      </c>
      <c r="AE69" s="72" t="s">
        <v>1156</v>
      </c>
      <c r="AF69" s="32" t="s">
        <v>1157</v>
      </c>
      <c r="AG69" s="25" t="s">
        <v>6200</v>
      </c>
      <c r="AH69" s="8" t="s">
        <v>6696</v>
      </c>
      <c r="AI69" s="50" t="s">
        <v>3360</v>
      </c>
      <c r="AJ69" s="22" t="s">
        <v>6695</v>
      </c>
      <c r="AK69" s="245"/>
    </row>
    <row r="70" spans="1:44">
      <c r="A70" s="343">
        <f>IFERROR(VLOOKUP($G70,基本資料!$A:$J,3,0),"無")</f>
        <v>535</v>
      </c>
      <c r="B70" s="79">
        <f>IFERROR(VLOOKUP($G70,基本資料!$A:$J,4,0),"無")</f>
        <v>14</v>
      </c>
      <c r="C70" s="79">
        <f>IFERROR(VLOOKUP($G70,基本資料!$A:$J,5,0),"無")</f>
        <v>17</v>
      </c>
      <c r="D70" s="79">
        <f>IFERROR(VLOOKUP($G70,基本資料!$A:$J,6,0),"無")</f>
        <v>-6</v>
      </c>
      <c r="E70" s="79">
        <f>IFERROR(VLOOKUP($G70,基本資料!$A:$J,7,0),"無")</f>
        <v>18</v>
      </c>
      <c r="F70" s="6">
        <f>IFERROR(VLOOKUP($G70,基本資料!$A:$J,8,0),"無")</f>
        <v>4.9000000000000004</v>
      </c>
      <c r="G70" s="79">
        <v>1402</v>
      </c>
      <c r="H70" s="8" t="s">
        <v>3171</v>
      </c>
      <c r="I70" s="22" t="s">
        <v>265</v>
      </c>
      <c r="J70" s="8" t="str">
        <f>IFERROR(VLOOKUP($G70,今日總結!$A:$AN,39,0),"")</f>
        <v>外投</v>
      </c>
      <c r="K70" s="5">
        <f>IFERROR(VLOOKUP($G70,今日總結!$A:$AN,40,0),"")</f>
        <v>0</v>
      </c>
      <c r="L70" s="156">
        <f>IFERROR(VLOOKUP($G70,今日總結!$A:$AN,37,0),"")</f>
        <v>23</v>
      </c>
      <c r="M70" s="337">
        <f>IFERROR(VLOOKUP($G70,今日總結!$A:$AN,38,0),"")</f>
        <v>0</v>
      </c>
      <c r="N70" s="240">
        <f t="shared" ref="N70" si="17">IFERROR(L70-M70,"")</f>
        <v>23</v>
      </c>
      <c r="O70" s="359">
        <f>IFERROR(VLOOKUP($G70,融外自投!$A:$J,7,0),"無")</f>
        <v>1340</v>
      </c>
      <c r="P70" s="79">
        <f>IFERROR(VLOOKUP($G70,融外自投!$A:$J,9,0),"無")</f>
        <v>324</v>
      </c>
      <c r="Q70" s="342">
        <f>IFERROR(VLOOKUP($G70,融外自投!$A:$J,8,0),"無")</f>
        <v>331</v>
      </c>
      <c r="R70" s="81">
        <f>IFERROR(VLOOKUP($G70,融外自投!$A:$J,10,0),"無")</f>
        <v>145</v>
      </c>
      <c r="S70" s="324">
        <f>IFERROR(VLOOKUP($G70,'321買'!$A:$E,4,0),"'沒有資料'")</f>
        <v>244</v>
      </c>
      <c r="T70" s="186">
        <f>IFERROR(VLOOKUP($G70,基本資料!$A:$J,9,0),"無")</f>
        <v>1.5</v>
      </c>
      <c r="U70" s="307">
        <f t="shared" si="14"/>
        <v>4.8543689320388349E-2</v>
      </c>
      <c r="V70" s="94">
        <f>IFERROR(VLOOKUP($G70,基本資料!$A:$J,10,0),"無")</f>
        <v>1.94</v>
      </c>
      <c r="W70" s="36">
        <f>RTD("money.excel",,"1402","Price")</f>
        <v>30.9</v>
      </c>
      <c r="X70" s="66"/>
      <c r="Y70" s="15">
        <f t="shared" ref="Y70:Y125" si="18">W70-X70</f>
        <v>30.9</v>
      </c>
      <c r="Z70" s="3" t="e">
        <f t="shared" ref="Z70:Z125" si="19">Y70/X70</f>
        <v>#DIV/0!</v>
      </c>
      <c r="AA70" s="340">
        <f>IFERROR(VLOOKUP($G70,基本資料!$A:$M,11,0),"無")</f>
        <v>-8.44</v>
      </c>
      <c r="AB70" s="389">
        <f>IFERROR(VLOOKUP($G70,基本資料!$A:$M,12,0),"無")</f>
        <v>76.72</v>
      </c>
      <c r="AC70" s="22" t="s">
        <v>265</v>
      </c>
      <c r="AF70" s="33">
        <f t="shared" ref="AF70:AF125" si="20">AE70-AD70</f>
        <v>0</v>
      </c>
      <c r="AG70" s="117" t="s">
        <v>2763</v>
      </c>
      <c r="AH70" s="66">
        <f t="shared" ref="AH70:AH132" si="21">AI70/AJ70</f>
        <v>1.5516020406688538</v>
      </c>
      <c r="AI70" s="283">
        <f>RTD("money.excel",,$G70,"PredictVolume")</f>
        <v>10736</v>
      </c>
      <c r="AJ70" s="391">
        <f>IFERROR(VLOOKUP($G70,基本資料!$A:$M,13,0),"無")</f>
        <v>6919.3</v>
      </c>
      <c r="AK70" s="245"/>
      <c r="AR70" s="245" t="str">
        <f>INDEX(基本資料!N:N,MATCH($G70,基本資料!A:A,0))</f>
        <v>中</v>
      </c>
    </row>
    <row r="71" spans="1:44">
      <c r="A71" s="343">
        <f>IFERROR(VLOOKUP($G71,基本資料!$A:$J,3,0),"無")</f>
        <v>161</v>
      </c>
      <c r="B71" s="79">
        <f>IFERROR(VLOOKUP($G71,基本資料!$A:$J,4,0),"無")</f>
        <v>32</v>
      </c>
      <c r="C71" s="79">
        <f>IFERROR(VLOOKUP($G71,基本資料!$A:$J,5,0),"無")</f>
        <v>97</v>
      </c>
      <c r="D71" s="79">
        <f>IFERROR(VLOOKUP($G71,基本資料!$A:$J,6,0),"無")</f>
        <v>-8</v>
      </c>
      <c r="E71" s="79">
        <f>IFERROR(VLOOKUP($G71,基本資料!$A:$J,7,0),"無")</f>
        <v>11</v>
      </c>
      <c r="F71" s="6">
        <f>IFERROR(VLOOKUP($G71,基本資料!$A:$J,8,0),"無")</f>
        <v>14.5</v>
      </c>
      <c r="G71" s="79">
        <v>1409</v>
      </c>
      <c r="H71" s="8" t="s">
        <v>3171</v>
      </c>
      <c r="I71" s="22" t="s">
        <v>718</v>
      </c>
      <c r="J71" s="8">
        <f>IFERROR(VLOOKUP($G71,今日總結!$A:$AN,39,0),"")</f>
        <v>0</v>
      </c>
      <c r="K71" s="5" t="str">
        <f>IFERROR(VLOOKUP($G71,今日總結!$A:$AN,40,0),"")</f>
        <v>主</v>
      </c>
      <c r="L71" s="156">
        <f>IFERROR(VLOOKUP($G71,今日總結!$A:$AN,37,0),"")</f>
        <v>0</v>
      </c>
      <c r="M71" s="337">
        <f>IFERROR(VLOOKUP($G71,今日總結!$A:$AN,38,0),"")</f>
        <v>6</v>
      </c>
      <c r="N71" s="240">
        <f t="shared" ref="N71:N125" si="22">IFERROR(L71-M71,"")</f>
        <v>-6</v>
      </c>
      <c r="O71" s="359">
        <f>IFERROR(VLOOKUP($G71,融外自投!$A:$J,7,0),"無")</f>
        <v>1023</v>
      </c>
      <c r="P71" s="79">
        <f>IFERROR(VLOOKUP($G71,融外自投!$A:$J,9,0),"無")</f>
        <v>741</v>
      </c>
      <c r="Q71" s="342">
        <f>IFERROR(VLOOKUP($G71,融外自投!$A:$J,8,0),"無")</f>
        <v>393</v>
      </c>
      <c r="R71" s="81" t="str">
        <f>IFERROR(VLOOKUP($G71,融外自投!$A:$J,10,0),"無")</f>
        <v>無</v>
      </c>
      <c r="S71" s="324">
        <f>IFERROR(VLOOKUP($G71,'321買'!$A:$E,4,0),"'沒有資料'")</f>
        <v>891</v>
      </c>
      <c r="T71" s="186">
        <f>IFERROR(VLOOKUP($G71,基本資料!$A:$J,9,0),"無")</f>
        <v>1.4</v>
      </c>
      <c r="U71" s="307">
        <f t="shared" si="14"/>
        <v>7.4666666666666659E-2</v>
      </c>
      <c r="V71" s="94">
        <f>IFERROR(VLOOKUP($G71,基本資料!$A:$J,10,0),"無")</f>
        <v>2.41</v>
      </c>
      <c r="W71" s="36">
        <f>RTD("money.excel",,"1409","Price")</f>
        <v>18.75</v>
      </c>
      <c r="X71" s="66"/>
      <c r="Y71" s="15">
        <f t="shared" si="18"/>
        <v>18.75</v>
      </c>
      <c r="Z71" s="3" t="e">
        <f t="shared" si="19"/>
        <v>#DIV/0!</v>
      </c>
      <c r="AA71" s="340">
        <f>IFERROR(VLOOKUP($G71,基本資料!$A:$M,11,0),"無")</f>
        <v>-21.05</v>
      </c>
      <c r="AB71" s="389">
        <f>IFERROR(VLOOKUP($G71,基本資料!$A:$M,12,0),"無")</f>
        <v>20.94</v>
      </c>
      <c r="AC71" s="22" t="s">
        <v>718</v>
      </c>
      <c r="AF71" s="33">
        <f t="shared" si="20"/>
        <v>0</v>
      </c>
      <c r="AG71" s="43" t="s">
        <v>4737</v>
      </c>
      <c r="AH71" s="66">
        <f t="shared" si="21"/>
        <v>0.61995301717809426</v>
      </c>
      <c r="AI71" s="283">
        <f>RTD("money.excel",,$G71,"PredictVolume")</f>
        <v>1689</v>
      </c>
      <c r="AJ71" s="391">
        <f>IFERROR(VLOOKUP($G71,基本資料!$A:$M,13,0),"無")</f>
        <v>2724.4</v>
      </c>
      <c r="AK71" s="245"/>
      <c r="AR71" s="245" t="str">
        <f>INDEX(基本資料!N:N,MATCH($G71,基本資料!A:A,0))</f>
        <v>低</v>
      </c>
    </row>
    <row r="72" spans="1:44">
      <c r="A72" s="343">
        <f>IFERROR(VLOOKUP($G72,基本資料!$A:$J,3,0),"無")</f>
        <v>6.3</v>
      </c>
      <c r="B72" s="79">
        <f>IFERROR(VLOOKUP($G72,基本資料!$A:$J,4,0),"無")</f>
        <v>39</v>
      </c>
      <c r="C72" s="79">
        <f>IFERROR(VLOOKUP($G72,基本資料!$A:$J,5,0),"無")</f>
        <v>24</v>
      </c>
      <c r="D72" s="79">
        <f>IFERROR(VLOOKUP($G72,基本資料!$A:$J,6,0),"無")</f>
        <v>-9</v>
      </c>
      <c r="E72" s="79">
        <f>IFERROR(VLOOKUP($G72,基本資料!$A:$J,7,0),"無")</f>
        <v>-12</v>
      </c>
      <c r="F72" s="6">
        <f>IFERROR(VLOOKUP($G72,基本資料!$A:$J,8,0),"無")</f>
        <v>22.85</v>
      </c>
      <c r="G72" s="79">
        <v>1410</v>
      </c>
      <c r="H72" s="8" t="s">
        <v>3171</v>
      </c>
      <c r="I72" s="22" t="s">
        <v>719</v>
      </c>
      <c r="J72" s="8">
        <f>IFERROR(VLOOKUP($G72,今日總結!$A:$AN,39,0),"")</f>
        <v>0</v>
      </c>
      <c r="K72" s="5">
        <f>IFERROR(VLOOKUP($G72,今日總結!$A:$AN,40,0),"")</f>
        <v>0</v>
      </c>
      <c r="L72" s="156">
        <f>IFERROR(VLOOKUP($G72,今日總結!$A:$AN,37,0),"")</f>
        <v>0</v>
      </c>
      <c r="M72" s="337">
        <f>IFERROR(VLOOKUP($G72,今日總結!$A:$AN,38,0),"")</f>
        <v>0</v>
      </c>
      <c r="N72" s="240">
        <f t="shared" si="22"/>
        <v>0</v>
      </c>
      <c r="O72" s="359">
        <f>IFERROR(VLOOKUP($G72,融外自投!$A:$J,7,0),"無")</f>
        <v>1204</v>
      </c>
      <c r="P72" s="79">
        <f>IFERROR(VLOOKUP($G72,融外自投!$A:$J,9,0),"無")</f>
        <v>946</v>
      </c>
      <c r="Q72" s="342">
        <f>IFERROR(VLOOKUP($G72,融外自投!$A:$J,8,0),"無")</f>
        <v>266</v>
      </c>
      <c r="R72" s="81" t="str">
        <f>IFERROR(VLOOKUP($G72,融外自投!$A:$J,10,0),"無")</f>
        <v>無</v>
      </c>
      <c r="S72" s="324">
        <f>IFERROR(VLOOKUP($G72,'321買'!$A:$E,4,0),"'沒有資料'")</f>
        <v>1002</v>
      </c>
      <c r="T72" s="186">
        <f>IFERROR(VLOOKUP($G72,基本資料!$A:$J,9,0),"無")</f>
        <v>1.3</v>
      </c>
      <c r="U72" s="307">
        <f t="shared" si="14"/>
        <v>3.7037037037037035E-2</v>
      </c>
      <c r="V72" s="94">
        <f>IFERROR(VLOOKUP($G72,基本資料!$A:$J,10,0),"無")</f>
        <v>1.29</v>
      </c>
      <c r="W72" s="36">
        <f>RTD("money.excel",,"1410","Price")</f>
        <v>35.1</v>
      </c>
      <c r="X72" s="66"/>
      <c r="Y72" s="15">
        <f t="shared" si="18"/>
        <v>35.1</v>
      </c>
      <c r="Z72" s="3" t="e">
        <f t="shared" si="19"/>
        <v>#DIV/0!</v>
      </c>
      <c r="AA72" s="340">
        <f>IFERROR(VLOOKUP($G72,基本資料!$A:$M,11,0),"無")</f>
        <v>-11.92</v>
      </c>
      <c r="AB72" s="389">
        <f>IFERROR(VLOOKUP($G72,基本資料!$A:$M,12,0),"無")</f>
        <v>21.03</v>
      </c>
      <c r="AC72" s="22" t="s">
        <v>719</v>
      </c>
      <c r="AF72" s="33">
        <f t="shared" si="20"/>
        <v>0</v>
      </c>
      <c r="AG72" s="43" t="s">
        <v>2387</v>
      </c>
      <c r="AH72" s="66">
        <f t="shared" si="21"/>
        <v>9.3283582089552231E-2</v>
      </c>
      <c r="AI72" s="283">
        <f>RTD("money.excel",,$G72,"PredictVolume")</f>
        <v>5</v>
      </c>
      <c r="AJ72" s="391">
        <f>IFERROR(VLOOKUP($G72,基本資料!$A:$M,13,0),"無")</f>
        <v>53.6</v>
      </c>
      <c r="AK72" s="245"/>
      <c r="AR72" s="245" t="str">
        <f>INDEX(基本資料!N:N,MATCH($G72,基本資料!A:A,0))</f>
        <v>低</v>
      </c>
    </row>
    <row r="73" spans="1:44">
      <c r="A73" s="343">
        <f>IFERROR(VLOOKUP($G73,基本資料!$A:$J,3,0),"無")</f>
        <v>13.21</v>
      </c>
      <c r="B73" s="79">
        <f>IFERROR(VLOOKUP($G73,基本資料!$A:$J,4,0),"無")</f>
        <v>165</v>
      </c>
      <c r="C73" s="79">
        <f>IFERROR(VLOOKUP($G73,基本資料!$A:$J,5,0),"無")</f>
        <v>160</v>
      </c>
      <c r="D73" s="79">
        <f>IFERROR(VLOOKUP($G73,基本資料!$A:$J,6,0),"無")</f>
        <v>-4</v>
      </c>
      <c r="E73" s="79">
        <f>IFERROR(VLOOKUP($G73,基本資料!$A:$J,7,0),"無")</f>
        <v>29</v>
      </c>
      <c r="F73" s="6">
        <f>IFERROR(VLOOKUP($G73,基本資料!$A:$J,8,0),"無")</f>
        <v>3.35</v>
      </c>
      <c r="G73" s="79">
        <v>1413</v>
      </c>
      <c r="H73" s="8" t="s">
        <v>3171</v>
      </c>
      <c r="I73" s="22" t="s">
        <v>720</v>
      </c>
      <c r="J73" s="8" t="str">
        <f>IFERROR(VLOOKUP($G73,今日總結!$A:$AN,39,0),"")</f>
        <v/>
      </c>
      <c r="K73" s="5" t="str">
        <f>IFERROR(VLOOKUP($G73,今日總結!$A:$AN,40,0),"")</f>
        <v/>
      </c>
      <c r="L73" s="156" t="str">
        <f>IFERROR(VLOOKUP($G73,今日總結!$A:$AN,37,0),"")</f>
        <v/>
      </c>
      <c r="M73" s="337" t="str">
        <f>IFERROR(VLOOKUP($G73,今日總結!$A:$AN,38,0),"")</f>
        <v/>
      </c>
      <c r="N73" s="240" t="str">
        <f t="shared" si="22"/>
        <v/>
      </c>
      <c r="O73" s="359" t="str">
        <f>IFERROR(VLOOKUP($G73,融外自投!$A:$J,7,0),"無")</f>
        <v>無</v>
      </c>
      <c r="P73" s="79" t="str">
        <f>IFERROR(VLOOKUP($G73,融外自投!$A:$J,9,0),"無")</f>
        <v>無</v>
      </c>
      <c r="Q73" s="342" t="str">
        <f>IFERROR(VLOOKUP($G73,融外自投!$A:$J,8,0),"無")</f>
        <v>無</v>
      </c>
      <c r="R73" s="81" t="str">
        <f>IFERROR(VLOOKUP($G73,融外自投!$A:$J,10,0),"無")</f>
        <v>無</v>
      </c>
      <c r="S73" s="324" t="str">
        <f>IFERROR(VLOOKUP($G73,'321買'!$A:$E,4,0),"'沒有資料'")</f>
        <v>'沒有資料'</v>
      </c>
      <c r="T73" s="186">
        <f>IFERROR(VLOOKUP($G73,基本資料!$A:$J,9,0),"無")</f>
        <v>0</v>
      </c>
      <c r="U73" s="307">
        <f t="shared" si="14"/>
        <v>0</v>
      </c>
      <c r="V73" s="94">
        <f>IFERROR(VLOOKUP($G73,基本資料!$A:$J,10,0),"無")</f>
        <v>0.8</v>
      </c>
      <c r="W73" s="36">
        <f>RTD("money.excel",,"1413","Price")</f>
        <v>9.68</v>
      </c>
      <c r="X73" s="66"/>
      <c r="Y73" s="15">
        <f t="shared" si="18"/>
        <v>9.68</v>
      </c>
      <c r="Z73" s="3" t="e">
        <f t="shared" si="19"/>
        <v>#DIV/0!</v>
      </c>
      <c r="AA73" s="340">
        <f>IFERROR(VLOOKUP($G73,基本資料!$A:$M,11,0),"無")</f>
        <v>-26.67</v>
      </c>
      <c r="AB73" s="389">
        <f>IFERROR(VLOOKUP($G73,基本資料!$A:$M,12,0),"無")</f>
        <v>24.86</v>
      </c>
      <c r="AC73" s="22" t="s">
        <v>720</v>
      </c>
      <c r="AF73" s="33">
        <f t="shared" si="20"/>
        <v>0</v>
      </c>
      <c r="AG73" s="43" t="s">
        <v>1520</v>
      </c>
      <c r="AH73" s="66">
        <f t="shared" si="21"/>
        <v>0.50328227571115969</v>
      </c>
      <c r="AI73" s="283">
        <f>RTD("money.excel",,$G73,"PredictVolume")</f>
        <v>115</v>
      </c>
      <c r="AJ73" s="391">
        <f>IFERROR(VLOOKUP($G73,基本資料!$A:$M,13,0),"無")</f>
        <v>228.5</v>
      </c>
      <c r="AK73" s="245"/>
      <c r="AR73" s="245" t="str">
        <f>INDEX(基本資料!N:N,MATCH($G73,基本資料!A:A,0))</f>
        <v>低</v>
      </c>
    </row>
    <row r="74" spans="1:44">
      <c r="A74" s="343">
        <f>IFERROR(VLOOKUP($G74,基本資料!$A:$J,3,0),"無")</f>
        <v>22</v>
      </c>
      <c r="B74" s="79">
        <f>IFERROR(VLOOKUP($G74,基本資料!$A:$J,4,0),"無")</f>
        <v>143</v>
      </c>
      <c r="C74" s="79">
        <f>IFERROR(VLOOKUP($G74,基本資料!$A:$J,5,0),"無")</f>
        <v>945</v>
      </c>
      <c r="D74" s="79">
        <f>IFERROR(VLOOKUP($G74,基本資料!$A:$J,6,0),"無")</f>
        <v>2</v>
      </c>
      <c r="E74" s="79">
        <f>IFERROR(VLOOKUP($G74,基本資料!$A:$J,7,0),"無")</f>
        <v>-9</v>
      </c>
      <c r="F74" s="6">
        <f>IFERROR(VLOOKUP($G74,基本資料!$A:$J,8,0),"無")</f>
        <v>12.63</v>
      </c>
      <c r="G74" s="79">
        <v>1414</v>
      </c>
      <c r="H74" s="8" t="s">
        <v>3171</v>
      </c>
      <c r="I74" s="22" t="s">
        <v>721</v>
      </c>
      <c r="J74" s="8" t="str">
        <f>IFERROR(VLOOKUP($G74,今日總結!$A:$AN,39,0),"")</f>
        <v>融</v>
      </c>
      <c r="K74" s="5" t="str">
        <f>IFERROR(VLOOKUP($G74,今日總結!$A:$AN,40,0),"")</f>
        <v>借</v>
      </c>
      <c r="L74" s="156">
        <f>IFERROR(VLOOKUP($G74,今日總結!$A:$AN,37,0),"")</f>
        <v>2</v>
      </c>
      <c r="M74" s="337">
        <f>IFERROR(VLOOKUP($G74,今日總結!$A:$AN,38,0),"")</f>
        <v>2</v>
      </c>
      <c r="N74" s="240">
        <f t="shared" si="22"/>
        <v>0</v>
      </c>
      <c r="O74" s="359">
        <f>IFERROR(VLOOKUP($G74,融外自投!$A:$J,7,0),"無")</f>
        <v>561</v>
      </c>
      <c r="P74" s="79">
        <f>IFERROR(VLOOKUP($G74,融外自投!$A:$J,9,0),"無")</f>
        <v>1123</v>
      </c>
      <c r="Q74" s="342">
        <f>IFERROR(VLOOKUP($G74,融外自投!$A:$J,8,0),"無")</f>
        <v>1314</v>
      </c>
      <c r="R74" s="81" t="str">
        <f>IFERROR(VLOOKUP($G74,融外自投!$A:$J,10,0),"無")</f>
        <v>無</v>
      </c>
      <c r="S74" s="324">
        <f>IFERROR(VLOOKUP($G74,'321買'!$A:$E,4,0),"'沒有資料'")</f>
        <v>497</v>
      </c>
      <c r="T74" s="186">
        <f>IFERROR(VLOOKUP($G74,基本資料!$A:$J,9,0),"無")</f>
        <v>0.54</v>
      </c>
      <c r="U74" s="307">
        <f t="shared" si="14"/>
        <v>3.0594900849858362E-2</v>
      </c>
      <c r="V74" s="94">
        <f>IFERROR(VLOOKUP($G74,基本資料!$A:$J,10,0),"無")</f>
        <v>0.65</v>
      </c>
      <c r="W74" s="36">
        <f>RTD("money.excel",,"1414","Price")</f>
        <v>17.649999999999999</v>
      </c>
      <c r="X74" s="66"/>
      <c r="Y74" s="15">
        <f t="shared" si="18"/>
        <v>17.649999999999999</v>
      </c>
      <c r="Z74" s="3" t="e">
        <f t="shared" si="19"/>
        <v>#DIV/0!</v>
      </c>
      <c r="AA74" s="340">
        <f>IFERROR(VLOOKUP($G74,基本資料!$A:$M,11,0),"無")</f>
        <v>-19.41</v>
      </c>
      <c r="AB74" s="389">
        <f>IFERROR(VLOOKUP($G74,基本資料!$A:$M,12,0),"無")</f>
        <v>43.48</v>
      </c>
      <c r="AC74" s="22" t="s">
        <v>721</v>
      </c>
      <c r="AF74" s="33">
        <f t="shared" si="20"/>
        <v>0</v>
      </c>
      <c r="AG74" s="43" t="s">
        <v>2764</v>
      </c>
      <c r="AH74" s="66">
        <f t="shared" si="21"/>
        <v>1.5958815958815959</v>
      </c>
      <c r="AI74" s="283">
        <f>RTD("money.excel",,$G74,"PredictVolume")</f>
        <v>558</v>
      </c>
      <c r="AJ74" s="391">
        <f>IFERROR(VLOOKUP($G74,基本資料!$A:$M,13,0),"無")</f>
        <v>349.65</v>
      </c>
      <c r="AR74" s="245" t="str">
        <f>INDEX(基本資料!N:N,MATCH($G74,基本資料!A:A,0))</f>
        <v>中</v>
      </c>
    </row>
    <row r="75" spans="1:44">
      <c r="A75" s="343">
        <f>IFERROR(VLOOKUP($G75,基本資料!$A:$J,3,0),"無")</f>
        <v>18.989999999999998</v>
      </c>
      <c r="B75" s="79">
        <f>IFERROR(VLOOKUP($G75,基本資料!$A:$J,4,0),"無")</f>
        <v>127</v>
      </c>
      <c r="C75" s="79">
        <f>IFERROR(VLOOKUP($G75,基本資料!$A:$J,5,0),"無")</f>
        <v>109</v>
      </c>
      <c r="D75" s="79">
        <f>IFERROR(VLOOKUP($G75,基本資料!$A:$J,6,0),"無")</f>
        <v>-24</v>
      </c>
      <c r="E75" s="79">
        <f>IFERROR(VLOOKUP($G75,基本資料!$A:$J,7,0),"無")</f>
        <v>-1</v>
      </c>
      <c r="F75" s="6">
        <f>IFERROR(VLOOKUP($G75,基本資料!$A:$J,8,0),"無")</f>
        <v>2.66</v>
      </c>
      <c r="G75" s="79">
        <v>1417</v>
      </c>
      <c r="H75" s="8" t="s">
        <v>3171</v>
      </c>
      <c r="I75" s="22" t="s">
        <v>723</v>
      </c>
      <c r="J75" s="8">
        <f>IFERROR(VLOOKUP($G75,今日總結!$A:$AN,39,0),"")</f>
        <v>0</v>
      </c>
      <c r="K75" s="5" t="str">
        <f>IFERROR(VLOOKUP($G75,今日總結!$A:$AN,40,0),"")</f>
        <v>主</v>
      </c>
      <c r="L75" s="156">
        <f>IFERROR(VLOOKUP($G75,今日總結!$A:$AN,37,0),"")</f>
        <v>0</v>
      </c>
      <c r="M75" s="337">
        <f>IFERROR(VLOOKUP($G75,今日總結!$A:$AN,38,0),"")</f>
        <v>2</v>
      </c>
      <c r="N75" s="240">
        <f t="shared" si="22"/>
        <v>-2</v>
      </c>
      <c r="O75" s="359">
        <f>IFERROR(VLOOKUP($G75,融外自投!$A:$J,7,0),"無")</f>
        <v>654</v>
      </c>
      <c r="P75" s="79">
        <f>IFERROR(VLOOKUP($G75,融外自投!$A:$J,9,0),"無")</f>
        <v>908</v>
      </c>
      <c r="Q75" s="342">
        <f>IFERROR(VLOOKUP($G75,融外自投!$A:$J,8,0),"無")</f>
        <v>942</v>
      </c>
      <c r="R75" s="81" t="str">
        <f>IFERROR(VLOOKUP($G75,融外自投!$A:$J,10,0),"無")</f>
        <v>無</v>
      </c>
      <c r="S75" s="324">
        <f>IFERROR(VLOOKUP($G75,'321買'!$A:$E,4,0),"'沒有資料'")</f>
        <v>1002</v>
      </c>
      <c r="T75" s="186">
        <f>IFERROR(VLOOKUP($G75,基本資料!$A:$J,9,0),"無")</f>
        <v>0.35</v>
      </c>
      <c r="U75" s="307">
        <f t="shared" si="14"/>
        <v>3.3333333333333333E-2</v>
      </c>
      <c r="V75" s="94">
        <f>IFERROR(VLOOKUP($G75,基本資料!$A:$J,10,0),"無")</f>
        <v>0.51</v>
      </c>
      <c r="W75" s="36">
        <f>RTD("money.excel",,"1417","Price")</f>
        <v>10.5</v>
      </c>
      <c r="X75" s="66"/>
      <c r="Y75" s="15">
        <f t="shared" si="18"/>
        <v>10.5</v>
      </c>
      <c r="Z75" s="3" t="e">
        <f t="shared" si="19"/>
        <v>#DIV/0!</v>
      </c>
      <c r="AA75" s="340">
        <f>IFERROR(VLOOKUP($G75,基本資料!$A:$M,11,0),"無")</f>
        <v>-42.15</v>
      </c>
      <c r="AB75" s="389">
        <f>IFERROR(VLOOKUP($G75,基本資料!$A:$M,12,0),"無")</f>
        <v>6.46</v>
      </c>
      <c r="AC75" s="22" t="s">
        <v>723</v>
      </c>
      <c r="AF75" s="33">
        <f t="shared" si="20"/>
        <v>0</v>
      </c>
      <c r="AG75" s="43" t="s">
        <v>1517</v>
      </c>
      <c r="AH75" s="66">
        <f t="shared" si="21"/>
        <v>0.57251005441211267</v>
      </c>
      <c r="AI75" s="283">
        <f>RTD("money.excel",,$G75,"PredictVolume")</f>
        <v>121</v>
      </c>
      <c r="AJ75" s="391">
        <f>IFERROR(VLOOKUP($G75,基本資料!$A:$M,13,0),"無")</f>
        <v>211.35</v>
      </c>
      <c r="AR75" s="245" t="str">
        <f>INDEX(基本資料!N:N,MATCH($G75,基本資料!A:A,0))</f>
        <v>低</v>
      </c>
    </row>
    <row r="76" spans="1:44">
      <c r="A76" s="343">
        <f>IFERROR(VLOOKUP($G76,基本資料!$A:$J,3,0),"無")</f>
        <v>5.68</v>
      </c>
      <c r="B76" s="79">
        <f>IFERROR(VLOOKUP($G76,基本資料!$A:$J,4,0),"無")</f>
        <v>26</v>
      </c>
      <c r="C76" s="79">
        <f>IFERROR(VLOOKUP($G76,基本資料!$A:$J,5,0),"無")</f>
        <v>10</v>
      </c>
      <c r="D76" s="79">
        <f>IFERROR(VLOOKUP($G76,基本資料!$A:$J,6,0),"無")</f>
        <v>-97</v>
      </c>
      <c r="E76" s="79">
        <f>IFERROR(VLOOKUP($G76,基本資料!$A:$J,7,0),"無")</f>
        <v>-98</v>
      </c>
      <c r="F76" s="6">
        <f>IFERROR(VLOOKUP($G76,基本資料!$A:$J,8,0),"無")</f>
        <v>-625.14</v>
      </c>
      <c r="G76" s="79">
        <v>1418</v>
      </c>
      <c r="H76" s="8" t="s">
        <v>3171</v>
      </c>
      <c r="I76" s="22" t="s">
        <v>724</v>
      </c>
      <c r="J76" s="8" t="str">
        <f>IFERROR(VLOOKUP($G76,今日總結!$A:$AN,39,0),"")</f>
        <v/>
      </c>
      <c r="K76" s="5" t="str">
        <f>IFERROR(VLOOKUP($G76,今日總結!$A:$AN,40,0),"")</f>
        <v/>
      </c>
      <c r="L76" s="156" t="str">
        <f>IFERROR(VLOOKUP($G76,今日總結!$A:$AN,37,0),"")</f>
        <v/>
      </c>
      <c r="M76" s="337" t="str">
        <f>IFERROR(VLOOKUP($G76,今日總結!$A:$AN,38,0),"")</f>
        <v/>
      </c>
      <c r="N76" s="240" t="str">
        <f t="shared" si="22"/>
        <v/>
      </c>
      <c r="O76" s="359" t="str">
        <f>IFERROR(VLOOKUP($G76,融外自投!$A:$J,7,0),"無")</f>
        <v>無</v>
      </c>
      <c r="P76" s="79" t="str">
        <f>IFERROR(VLOOKUP($G76,融外自投!$A:$J,9,0),"無")</f>
        <v>無</v>
      </c>
      <c r="Q76" s="342" t="str">
        <f>IFERROR(VLOOKUP($G76,融外自投!$A:$J,8,0),"無")</f>
        <v>無</v>
      </c>
      <c r="R76" s="81" t="str">
        <f>IFERROR(VLOOKUP($G76,融外自投!$A:$J,10,0),"無")</f>
        <v>無</v>
      </c>
      <c r="S76" s="324" t="str">
        <f>IFERROR(VLOOKUP($G76,'321買'!$A:$E,4,0),"'沒有資料'")</f>
        <v>'沒有資料'</v>
      </c>
      <c r="T76" s="186">
        <f>IFERROR(VLOOKUP($G76,基本資料!$A:$J,9,0),"無")</f>
        <v>0</v>
      </c>
      <c r="U76" s="307">
        <f t="shared" si="14"/>
        <v>0</v>
      </c>
      <c r="V76" s="94">
        <f>IFERROR(VLOOKUP($G76,基本資料!$A:$J,10,0),"無")</f>
        <v>-3.1</v>
      </c>
      <c r="W76" s="36">
        <f>RTD("money.excel",,"1418","Price")</f>
        <v>20</v>
      </c>
      <c r="X76" s="66"/>
      <c r="Y76" s="15">
        <f t="shared" si="18"/>
        <v>20</v>
      </c>
      <c r="Z76" s="3" t="e">
        <f t="shared" si="19"/>
        <v>#DIV/0!</v>
      </c>
      <c r="AA76" s="340">
        <f>IFERROR(VLOOKUP($G76,基本資料!$A:$M,11,0),"無")</f>
        <v>-2.44</v>
      </c>
      <c r="AB76" s="389">
        <f>IFERROR(VLOOKUP($G76,基本資料!$A:$M,12,0),"無")</f>
        <v>84.57</v>
      </c>
      <c r="AC76" s="22" t="s">
        <v>724</v>
      </c>
      <c r="AF76" s="33">
        <f t="shared" si="20"/>
        <v>0</v>
      </c>
      <c r="AG76" s="43" t="s">
        <v>2765</v>
      </c>
      <c r="AH76" s="66">
        <f t="shared" si="21"/>
        <v>1.4751773049645389</v>
      </c>
      <c r="AI76" s="283">
        <f>RTD("money.excel",,$G76,"PredictVolume")</f>
        <v>208</v>
      </c>
      <c r="AJ76" s="391">
        <f>IFERROR(VLOOKUP($G76,基本資料!$A:$M,13,0),"無")</f>
        <v>141</v>
      </c>
      <c r="AR76" s="245" t="str">
        <f>INDEX(基本資料!N:N,MATCH($G76,基本資料!A:A,0))</f>
        <v>高</v>
      </c>
    </row>
    <row r="77" spans="1:44">
      <c r="A77" s="343">
        <f>IFERROR(VLOOKUP($G77,基本資料!$A:$J,3,0),"無")</f>
        <v>30</v>
      </c>
      <c r="B77" s="79">
        <f>IFERROR(VLOOKUP($G77,基本資料!$A:$J,4,0),"無")</f>
        <v>23</v>
      </c>
      <c r="C77" s="79">
        <f>IFERROR(VLOOKUP($G77,基本資料!$A:$J,5,0),"無")</f>
        <v>22</v>
      </c>
      <c r="D77" s="79">
        <f>IFERROR(VLOOKUP($G77,基本資料!$A:$J,6,0),"無")</f>
        <v>-11</v>
      </c>
      <c r="E77" s="79">
        <f>IFERROR(VLOOKUP($G77,基本資料!$A:$J,7,0),"無")</f>
        <v>5</v>
      </c>
      <c r="F77" s="6">
        <f>IFERROR(VLOOKUP($G77,基本資料!$A:$J,8,0),"無")</f>
        <v>7.28</v>
      </c>
      <c r="G77" s="79">
        <v>1419</v>
      </c>
      <c r="H77" s="8" t="s">
        <v>3171</v>
      </c>
      <c r="I77" s="22" t="s">
        <v>725</v>
      </c>
      <c r="J77" s="8">
        <f>IFERROR(VLOOKUP($G77,今日總結!$A:$AN,39,0),"")</f>
        <v>0</v>
      </c>
      <c r="K77" s="5">
        <f>IFERROR(VLOOKUP($G77,今日總結!$A:$AN,40,0),"")</f>
        <v>0</v>
      </c>
      <c r="L77" s="156">
        <f>IFERROR(VLOOKUP($G77,今日總結!$A:$AN,37,0),"")</f>
        <v>0</v>
      </c>
      <c r="M77" s="337">
        <f>IFERROR(VLOOKUP($G77,今日總結!$A:$AN,38,0),"")</f>
        <v>0</v>
      </c>
      <c r="N77" s="240">
        <f t="shared" si="22"/>
        <v>0</v>
      </c>
      <c r="O77" s="359">
        <f>IFERROR(VLOOKUP($G77,融外自投!$A:$J,7,0),"無")</f>
        <v>1316</v>
      </c>
      <c r="P77" s="79">
        <f>IFERROR(VLOOKUP($G77,融外自投!$A:$J,9,0),"無")</f>
        <v>1123</v>
      </c>
      <c r="Q77" s="342">
        <f>IFERROR(VLOOKUP($G77,融外自投!$A:$J,8,0),"無")</f>
        <v>1039</v>
      </c>
      <c r="R77" s="81" t="str">
        <f>IFERROR(VLOOKUP($G77,融外自投!$A:$J,10,0),"無")</f>
        <v>無</v>
      </c>
      <c r="S77" s="324">
        <f>IFERROR(VLOOKUP($G77,'321買'!$A:$E,4,0),"'沒有資料'")</f>
        <v>1002</v>
      </c>
      <c r="T77" s="186">
        <f>IFERROR(VLOOKUP($G77,基本資料!$A:$J,9,0),"無")</f>
        <v>1</v>
      </c>
      <c r="U77" s="307">
        <f t="shared" si="14"/>
        <v>2.3923444976076555E-2</v>
      </c>
      <c r="V77" s="94">
        <f>IFERROR(VLOOKUP($G77,基本資料!$A:$J,10,0),"無")</f>
        <v>1.51</v>
      </c>
      <c r="W77" s="36">
        <f>RTD("money.excel",,"1419","Price")</f>
        <v>41.8</v>
      </c>
      <c r="X77" s="66"/>
      <c r="Y77" s="15">
        <f t="shared" si="18"/>
        <v>41.8</v>
      </c>
      <c r="Z77" s="3" t="e">
        <f t="shared" si="19"/>
        <v>#DIV/0!</v>
      </c>
      <c r="AA77" s="340">
        <f>IFERROR(VLOOKUP($G77,基本資料!$A:$M,11,0),"無")</f>
        <v>-8.73</v>
      </c>
      <c r="AB77" s="389">
        <f>IFERROR(VLOOKUP($G77,基本資料!$A:$M,12,0),"無")</f>
        <v>28.86</v>
      </c>
      <c r="AC77" s="22" t="s">
        <v>725</v>
      </c>
      <c r="AF77" s="33">
        <f t="shared" si="20"/>
        <v>0</v>
      </c>
      <c r="AG77" s="43" t="s">
        <v>2766</v>
      </c>
      <c r="AH77" s="66">
        <f t="shared" si="21"/>
        <v>1.8016528925619835</v>
      </c>
      <c r="AI77" s="283">
        <f>RTD("money.excel",,$G77,"PredictVolume")</f>
        <v>109</v>
      </c>
      <c r="AJ77" s="391">
        <f>IFERROR(VLOOKUP($G77,基本資料!$A:$M,13,0),"無")</f>
        <v>60.5</v>
      </c>
      <c r="AK77" s="279"/>
      <c r="AR77" s="245" t="str">
        <f>INDEX(基本資料!N:N,MATCH($G77,基本資料!A:A,0))</f>
        <v>中</v>
      </c>
    </row>
    <row r="78" spans="1:44">
      <c r="A78" s="343">
        <f>IFERROR(VLOOKUP($G78,基本資料!$A:$J,3,0),"無")</f>
        <v>13.84</v>
      </c>
      <c r="B78" s="79">
        <f>IFERROR(VLOOKUP($G78,基本資料!$A:$J,4,0),"無")</f>
        <v>-56</v>
      </c>
      <c r="C78" s="79">
        <f>IFERROR(VLOOKUP($G78,基本資料!$A:$J,5,0),"無")</f>
        <v>66</v>
      </c>
      <c r="D78" s="79">
        <f>IFERROR(VLOOKUP($G78,基本資料!$A:$J,6,0),"無")</f>
        <v>-43</v>
      </c>
      <c r="E78" s="79">
        <f>IFERROR(VLOOKUP($G78,基本資料!$A:$J,7,0),"無")</f>
        <v>-6</v>
      </c>
      <c r="F78" s="6">
        <f>IFERROR(VLOOKUP($G78,基本資料!$A:$J,8,0),"無")</f>
        <v>-34.82</v>
      </c>
      <c r="G78" s="79">
        <v>1423</v>
      </c>
      <c r="H78" s="8" t="s">
        <v>3171</v>
      </c>
      <c r="I78" s="22" t="s">
        <v>726</v>
      </c>
      <c r="J78" s="8" t="str">
        <f>IFERROR(VLOOKUP($G78,今日總結!$A:$AN,39,0),"")</f>
        <v>融</v>
      </c>
      <c r="K78" s="5">
        <f>IFERROR(VLOOKUP($G78,今日總結!$A:$AN,40,0),"")</f>
        <v>0</v>
      </c>
      <c r="L78" s="156">
        <f>IFERROR(VLOOKUP($G78,今日總結!$A:$AN,37,0),"")</f>
        <v>6</v>
      </c>
      <c r="M78" s="337">
        <f>IFERROR(VLOOKUP($G78,今日總結!$A:$AN,38,0),"")</f>
        <v>0</v>
      </c>
      <c r="N78" s="240">
        <f t="shared" si="22"/>
        <v>6</v>
      </c>
      <c r="O78" s="359">
        <f>IFERROR(VLOOKUP($G78,融外自投!$A:$J,7,0),"無")</f>
        <v>643</v>
      </c>
      <c r="P78" s="79">
        <f>IFERROR(VLOOKUP($G78,融外自投!$A:$J,9,0),"無")</f>
        <v>946</v>
      </c>
      <c r="Q78" s="342">
        <f>IFERROR(VLOOKUP($G78,融外自投!$A:$J,8,0),"無")</f>
        <v>1202</v>
      </c>
      <c r="R78" s="81" t="str">
        <f>IFERROR(VLOOKUP($G78,融外自投!$A:$J,10,0),"無")</f>
        <v>無</v>
      </c>
      <c r="S78" s="324">
        <f>IFERROR(VLOOKUP($G78,'321買'!$A:$E,4,0),"'沒有資料'")</f>
        <v>1002</v>
      </c>
      <c r="T78" s="186">
        <f>IFERROR(VLOOKUP($G78,基本資料!$A:$J,9,0),"無")</f>
        <v>0.75</v>
      </c>
      <c r="U78" s="307">
        <f t="shared" si="14"/>
        <v>3.8461538461538464E-2</v>
      </c>
      <c r="V78" s="94">
        <f>IFERROR(VLOOKUP($G78,基本資料!$A:$J,10,0),"無")</f>
        <v>1.1100000000000001</v>
      </c>
      <c r="W78" s="36">
        <f>RTD("money.excel",,"1423","Price")</f>
        <v>19.5</v>
      </c>
      <c r="X78" s="66"/>
      <c r="Y78" s="15">
        <f t="shared" si="18"/>
        <v>19.5</v>
      </c>
      <c r="Z78" s="3" t="e">
        <f t="shared" si="19"/>
        <v>#DIV/0!</v>
      </c>
      <c r="AA78" s="340">
        <f>IFERROR(VLOOKUP($G78,基本資料!$A:$M,11,0),"無")</f>
        <v>-13.72</v>
      </c>
      <c r="AB78" s="389">
        <f>IFERROR(VLOOKUP($G78,基本資料!$A:$M,12,0),"無")</f>
        <v>38.72</v>
      </c>
      <c r="AC78" s="22" t="s">
        <v>726</v>
      </c>
      <c r="AF78" s="33">
        <f t="shared" si="20"/>
        <v>0</v>
      </c>
      <c r="AG78" s="43" t="s">
        <v>1518</v>
      </c>
      <c r="AH78" s="66">
        <f t="shared" si="21"/>
        <v>7.281553398058252E-2</v>
      </c>
      <c r="AI78" s="283">
        <f>RTD("money.excel",,$G78,"PredictVolume")</f>
        <v>6</v>
      </c>
      <c r="AJ78" s="391">
        <f>IFERROR(VLOOKUP($G78,基本資料!$A:$M,13,0),"無")</f>
        <v>82.4</v>
      </c>
      <c r="AR78" s="245" t="str">
        <f>INDEX(基本資料!N:N,MATCH($G78,基本資料!A:A,0))</f>
        <v>中</v>
      </c>
    </row>
    <row r="79" spans="1:44">
      <c r="A79" s="343">
        <f>IFERROR(VLOOKUP($G79,基本資料!$A:$J,3,0),"無")</f>
        <v>168</v>
      </c>
      <c r="B79" s="79">
        <f>IFERROR(VLOOKUP($G79,基本資料!$A:$J,4,0),"無")</f>
        <v>2</v>
      </c>
      <c r="C79" s="79">
        <f>IFERROR(VLOOKUP($G79,基本資料!$A:$J,5,0),"無")</f>
        <v>168</v>
      </c>
      <c r="D79" s="79">
        <f>IFERROR(VLOOKUP($G79,基本資料!$A:$J,6,0),"無")</f>
        <v>-1</v>
      </c>
      <c r="E79" s="79">
        <f>IFERROR(VLOOKUP($G79,基本資料!$A:$J,7,0),"無")</f>
        <v>6</v>
      </c>
      <c r="F79" s="6">
        <f>IFERROR(VLOOKUP($G79,基本資料!$A:$J,8,0),"無")</f>
        <v>4.7300000000000004</v>
      </c>
      <c r="G79" s="79">
        <v>1434</v>
      </c>
      <c r="H79" s="8" t="s">
        <v>3171</v>
      </c>
      <c r="I79" s="22" t="s">
        <v>254</v>
      </c>
      <c r="J79" s="8">
        <f>IFERROR(VLOOKUP($G79,今日總結!$A:$AN,39,0),"")</f>
        <v>0</v>
      </c>
      <c r="K79" s="5" t="str">
        <f>IFERROR(VLOOKUP($G79,今日總結!$A:$AN,40,0),"")</f>
        <v>主</v>
      </c>
      <c r="L79" s="156">
        <f>IFERROR(VLOOKUP($G79,今日總結!$A:$AN,37,0),"")</f>
        <v>0</v>
      </c>
      <c r="M79" s="337">
        <f>IFERROR(VLOOKUP($G79,今日總結!$A:$AN,38,0),"")</f>
        <v>3</v>
      </c>
      <c r="N79" s="240">
        <f t="shared" si="22"/>
        <v>-3</v>
      </c>
      <c r="O79" s="359">
        <f>IFERROR(VLOOKUP($G79,融外自投!$A:$J,7,0),"無")</f>
        <v>1348</v>
      </c>
      <c r="P79" s="79">
        <f>IFERROR(VLOOKUP($G79,融外自投!$A:$J,9,0),"無")</f>
        <v>56</v>
      </c>
      <c r="Q79" s="342">
        <f>IFERROR(VLOOKUP($G79,融外自投!$A:$J,8,0),"無")</f>
        <v>535</v>
      </c>
      <c r="R79" s="81">
        <f>IFERROR(VLOOKUP($G79,融外自投!$A:$J,10,0),"無")</f>
        <v>427</v>
      </c>
      <c r="S79" s="324">
        <f>IFERROR(VLOOKUP($G79,'321買'!$A:$E,4,0),"'沒有資料'")</f>
        <v>530</v>
      </c>
      <c r="T79" s="186">
        <f>IFERROR(VLOOKUP($G79,基本資料!$A:$J,9,0),"無")</f>
        <v>1</v>
      </c>
      <c r="U79" s="307">
        <f t="shared" si="14"/>
        <v>3.8095238095238099E-2</v>
      </c>
      <c r="V79" s="94">
        <f>IFERROR(VLOOKUP($G79,基本資料!$A:$J,10,0),"無")</f>
        <v>1.27</v>
      </c>
      <c r="W79" s="36">
        <f>RTD("money.excel",,"1434","Price")</f>
        <v>26.25</v>
      </c>
      <c r="X79" s="66"/>
      <c r="Y79" s="15">
        <f t="shared" si="18"/>
        <v>26.25</v>
      </c>
      <c r="Z79" s="3" t="e">
        <f t="shared" si="19"/>
        <v>#DIV/0!</v>
      </c>
      <c r="AA79" s="340">
        <f>IFERROR(VLOOKUP($G79,基本資料!$A:$M,11,0),"無")</f>
        <v>-22.11</v>
      </c>
      <c r="AB79" s="389">
        <f>IFERROR(VLOOKUP($G79,基本資料!$A:$M,12,0),"無")</f>
        <v>15.19</v>
      </c>
      <c r="AC79" s="22" t="s">
        <v>254</v>
      </c>
      <c r="AF79" s="33">
        <f t="shared" si="20"/>
        <v>0</v>
      </c>
      <c r="AG79" s="117" t="s">
        <v>2767</v>
      </c>
      <c r="AH79" s="66">
        <f t="shared" si="21"/>
        <v>0.90017148800989577</v>
      </c>
      <c r="AI79" s="283">
        <f>RTD("money.excel",,$G79,"PredictVolume")</f>
        <v>1601</v>
      </c>
      <c r="AJ79" s="391">
        <f>IFERROR(VLOOKUP($G79,基本資料!$A:$M,13,0),"無")</f>
        <v>1778.55</v>
      </c>
      <c r="AR79" s="245" t="str">
        <f>INDEX(基本資料!N:N,MATCH($G79,基本資料!A:A,0))</f>
        <v>低</v>
      </c>
    </row>
    <row r="80" spans="1:44">
      <c r="A80" s="343">
        <f>IFERROR(VLOOKUP($G80,基本資料!$A:$J,3,0),"無")</f>
        <v>9.1999999999999993</v>
      </c>
      <c r="B80" s="79">
        <f>IFERROR(VLOOKUP($G80,基本資料!$A:$J,4,0),"無")</f>
        <v>152</v>
      </c>
      <c r="C80" s="79">
        <f>IFERROR(VLOOKUP($G80,基本資料!$A:$J,5,0),"無")</f>
        <v>6</v>
      </c>
      <c r="D80" s="79">
        <f>IFERROR(VLOOKUP($G80,基本資料!$A:$J,6,0),"無")</f>
        <v>-95</v>
      </c>
      <c r="E80" s="79">
        <f>IFERROR(VLOOKUP($G80,基本資料!$A:$J,7,0),"無")</f>
        <v>-96</v>
      </c>
      <c r="F80" s="6">
        <f>IFERROR(VLOOKUP($G80,基本資料!$A:$J,8,0),"無")</f>
        <v>-35.69</v>
      </c>
      <c r="G80" s="79">
        <v>1439</v>
      </c>
      <c r="H80" s="8" t="s">
        <v>3171</v>
      </c>
      <c r="I80" s="22" t="s">
        <v>727</v>
      </c>
      <c r="J80" s="8">
        <f>IFERROR(VLOOKUP($G80,今日總結!$A:$AN,39,0),"")</f>
        <v>0</v>
      </c>
      <c r="K80" s="5">
        <f>IFERROR(VLOOKUP($G80,今日總結!$A:$AN,40,0),"")</f>
        <v>0</v>
      </c>
      <c r="L80" s="156">
        <f>IFERROR(VLOOKUP($G80,今日總結!$A:$AN,37,0),"")</f>
        <v>0</v>
      </c>
      <c r="M80" s="337">
        <f>IFERROR(VLOOKUP($G80,今日總結!$A:$AN,38,0),"")</f>
        <v>0</v>
      </c>
      <c r="N80" s="240">
        <f t="shared" si="22"/>
        <v>0</v>
      </c>
      <c r="O80" s="359">
        <f>IFERROR(VLOOKUP($G80,融外自投!$A:$J,7,0),"無")</f>
        <v>1147</v>
      </c>
      <c r="P80" s="79">
        <f>IFERROR(VLOOKUP($G80,融外自投!$A:$J,9,0),"無")</f>
        <v>825</v>
      </c>
      <c r="Q80" s="342">
        <f>IFERROR(VLOOKUP($G80,融外自投!$A:$J,8,0),"無")</f>
        <v>1376</v>
      </c>
      <c r="R80" s="81" t="str">
        <f>IFERROR(VLOOKUP($G80,融外自投!$A:$J,10,0),"無")</f>
        <v>無</v>
      </c>
      <c r="S80" s="324">
        <f>IFERROR(VLOOKUP($G80,'321買'!$A:$E,4,0),"'沒有資料'")</f>
        <v>1002</v>
      </c>
      <c r="T80" s="186">
        <f>IFERROR(VLOOKUP($G80,基本資料!$A:$J,9,0),"無")</f>
        <v>0.2</v>
      </c>
      <c r="U80" s="307">
        <f t="shared" si="14"/>
        <v>9.1116173120728942E-3</v>
      </c>
      <c r="V80" s="94">
        <f>IFERROR(VLOOKUP($G80,基本資料!$A:$J,10,0),"無")</f>
        <v>1.39</v>
      </c>
      <c r="W80" s="36">
        <f>RTD("money.excel",,"1439","Price")</f>
        <v>21.95</v>
      </c>
      <c r="X80" s="66"/>
      <c r="Y80" s="15">
        <f t="shared" si="18"/>
        <v>21.95</v>
      </c>
      <c r="Z80" s="3" t="e">
        <f t="shared" si="19"/>
        <v>#DIV/0!</v>
      </c>
      <c r="AA80" s="340">
        <f>IFERROR(VLOOKUP($G80,基本資料!$A:$M,11,0),"無")</f>
        <v>-15.09</v>
      </c>
      <c r="AB80" s="389">
        <f>IFERROR(VLOOKUP($G80,基本資料!$A:$M,12,0),"無")</f>
        <v>31.09</v>
      </c>
      <c r="AC80" s="22" t="s">
        <v>727</v>
      </c>
      <c r="AF80" s="33">
        <f t="shared" si="20"/>
        <v>0</v>
      </c>
      <c r="AG80" s="43" t="s">
        <v>1518</v>
      </c>
      <c r="AH80" s="66">
        <f t="shared" si="21"/>
        <v>0.17543859649122806</v>
      </c>
      <c r="AI80" s="283">
        <f>RTD("money.excel",,$G80,"PredictVolume")</f>
        <v>3</v>
      </c>
      <c r="AJ80" s="391">
        <f>IFERROR(VLOOKUP($G80,基本資料!$A:$M,13,0),"無")</f>
        <v>17.100000000000001</v>
      </c>
      <c r="AR80" s="245" t="str">
        <f>INDEX(基本資料!N:N,MATCH($G80,基本資料!A:A,0))</f>
        <v>低</v>
      </c>
    </row>
    <row r="81" spans="1:44">
      <c r="A81" s="343">
        <f>IFERROR(VLOOKUP($G81,基本資料!$A:$J,3,0),"無")</f>
        <v>165</v>
      </c>
      <c r="B81" s="79">
        <f>IFERROR(VLOOKUP($G81,基本資料!$A:$J,4,0),"無")</f>
        <v>205</v>
      </c>
      <c r="C81" s="79">
        <f>IFERROR(VLOOKUP($G81,基本資料!$A:$J,5,0),"無")</f>
        <v>745</v>
      </c>
      <c r="D81" s="79">
        <f>IFERROR(VLOOKUP($G81,基本資料!$A:$J,6,0),"無")</f>
        <v>-14</v>
      </c>
      <c r="E81" s="79">
        <f>IFERROR(VLOOKUP($G81,基本資料!$A:$J,7,0),"無")</f>
        <v>-6</v>
      </c>
      <c r="F81" s="6">
        <f>IFERROR(VLOOKUP($G81,基本資料!$A:$J,8,0),"無")</f>
        <v>6.03</v>
      </c>
      <c r="G81" s="79">
        <v>1440</v>
      </c>
      <c r="H81" s="8" t="s">
        <v>3171</v>
      </c>
      <c r="I81" s="22" t="s">
        <v>728</v>
      </c>
      <c r="J81" s="8" t="str">
        <f>IFERROR(VLOOKUP($G81,今日總結!$A:$AN,39,0),"")</f>
        <v>券</v>
      </c>
      <c r="K81" s="5" t="str">
        <f>IFERROR(VLOOKUP($G81,今日總結!$A:$AN,40,0),"")</f>
        <v>融</v>
      </c>
      <c r="L81" s="156">
        <f>IFERROR(VLOOKUP($G81,今日總結!$A:$AN,37,0),"")</f>
        <v>1</v>
      </c>
      <c r="M81" s="337">
        <f>IFERROR(VLOOKUP($G81,今日總結!$A:$AN,38,0),"")</f>
        <v>2</v>
      </c>
      <c r="N81" s="240">
        <f t="shared" si="22"/>
        <v>-1</v>
      </c>
      <c r="O81" s="359">
        <f>IFERROR(VLOOKUP($G81,融外自投!$A:$J,7,0),"無")</f>
        <v>833</v>
      </c>
      <c r="P81" s="79">
        <f>IFERROR(VLOOKUP($G81,融外自投!$A:$J,9,0),"無")</f>
        <v>596</v>
      </c>
      <c r="Q81" s="342">
        <f>IFERROR(VLOOKUP($G81,融外自投!$A:$J,8,0),"無")</f>
        <v>737</v>
      </c>
      <c r="R81" s="81">
        <f>IFERROR(VLOOKUP($G81,融外自投!$A:$J,10,0),"無")</f>
        <v>495</v>
      </c>
      <c r="S81" s="324">
        <f>IFERROR(VLOOKUP($G81,'321買'!$A:$E,4,0),"'沒有資料'")</f>
        <v>497</v>
      </c>
      <c r="T81" s="186">
        <f>IFERROR(VLOOKUP($G81,基本資料!$A:$J,9,0),"無")</f>
        <v>0.8</v>
      </c>
      <c r="U81" s="307">
        <f t="shared" si="14"/>
        <v>4.0816326530612242E-2</v>
      </c>
      <c r="V81" s="94">
        <f>IFERROR(VLOOKUP($G81,基本資料!$A:$J,10,0),"無")</f>
        <v>1.77</v>
      </c>
      <c r="W81" s="36">
        <f>RTD("money.excel",,"1440","Price")</f>
        <v>19.600000000000001</v>
      </c>
      <c r="X81" s="66"/>
      <c r="Y81" s="15">
        <f t="shared" si="18"/>
        <v>19.600000000000001</v>
      </c>
      <c r="Z81" s="3" t="e">
        <f t="shared" si="19"/>
        <v>#DIV/0!</v>
      </c>
      <c r="AA81" s="340">
        <f>IFERROR(VLOOKUP($G81,基本資料!$A:$M,11,0),"無")</f>
        <v>-36.770000000000003</v>
      </c>
      <c r="AB81" s="389">
        <f>IFERROR(VLOOKUP($G81,基本資料!$A:$M,12,0),"無")</f>
        <v>12.14</v>
      </c>
      <c r="AC81" s="22" t="s">
        <v>728</v>
      </c>
      <c r="AF81" s="33">
        <f t="shared" si="20"/>
        <v>0</v>
      </c>
      <c r="AG81" s="43" t="s">
        <v>2762</v>
      </c>
      <c r="AH81" s="66">
        <f t="shared" si="21"/>
        <v>0.3338963500041196</v>
      </c>
      <c r="AI81" s="283">
        <f>RTD("money.excel",,$G81,"PredictVolume")</f>
        <v>1621</v>
      </c>
      <c r="AJ81" s="391">
        <f>IFERROR(VLOOKUP($G81,基本資料!$A:$M,13,0),"無")</f>
        <v>4854.8</v>
      </c>
      <c r="AR81" s="245" t="str">
        <f>INDEX(基本資料!N:N,MATCH($G81,基本資料!A:A,0))</f>
        <v>低</v>
      </c>
    </row>
    <row r="82" spans="1:44">
      <c r="A82" s="343">
        <f>IFERROR(VLOOKUP($G82,基本資料!$A:$J,3,0),"無")</f>
        <v>10.08</v>
      </c>
      <c r="B82" s="79">
        <f>IFERROR(VLOOKUP($G82,基本資料!$A:$J,4,0),"無")</f>
        <v>44</v>
      </c>
      <c r="C82" s="79">
        <f>IFERROR(VLOOKUP($G82,基本資料!$A:$J,5,0),"無")</f>
        <v>54</v>
      </c>
      <c r="D82" s="79">
        <f>IFERROR(VLOOKUP($G82,基本資料!$A:$J,6,0),"無")</f>
        <v>-23</v>
      </c>
      <c r="E82" s="79">
        <f>IFERROR(VLOOKUP($G82,基本資料!$A:$J,7,0),"無")</f>
        <v>23</v>
      </c>
      <c r="F82" s="6">
        <f>IFERROR(VLOOKUP($G82,基本資料!$A:$J,8,0),"無")</f>
        <v>-7.4</v>
      </c>
      <c r="G82" s="79">
        <v>1441</v>
      </c>
      <c r="H82" s="8" t="s">
        <v>3171</v>
      </c>
      <c r="I82" s="22" t="s">
        <v>729</v>
      </c>
      <c r="J82" s="8" t="str">
        <f>IFERROR(VLOOKUP($G82,今日總結!$A:$AN,39,0),"")</f>
        <v/>
      </c>
      <c r="K82" s="5" t="str">
        <f>IFERROR(VLOOKUP($G82,今日總結!$A:$AN,40,0),"")</f>
        <v/>
      </c>
      <c r="L82" s="156" t="str">
        <f>IFERROR(VLOOKUP($G82,今日總結!$A:$AN,37,0),"")</f>
        <v/>
      </c>
      <c r="M82" s="337" t="str">
        <f>IFERROR(VLOOKUP($G82,今日總結!$A:$AN,38,0),"")</f>
        <v/>
      </c>
      <c r="N82" s="240" t="str">
        <f t="shared" si="22"/>
        <v/>
      </c>
      <c r="O82" s="359" t="str">
        <f>IFERROR(VLOOKUP($G82,融外自投!$A:$J,7,0),"無")</f>
        <v>無</v>
      </c>
      <c r="P82" s="79" t="str">
        <f>IFERROR(VLOOKUP($G82,融外自投!$A:$J,9,0),"無")</f>
        <v>無</v>
      </c>
      <c r="Q82" s="342" t="str">
        <f>IFERROR(VLOOKUP($G82,融外自投!$A:$J,8,0),"無")</f>
        <v>無</v>
      </c>
      <c r="R82" s="81" t="str">
        <f>IFERROR(VLOOKUP($G82,融外自投!$A:$J,10,0),"無")</f>
        <v>無</v>
      </c>
      <c r="S82" s="324" t="str">
        <f>IFERROR(VLOOKUP($G82,'321買'!$A:$E,4,0),"'沒有資料'")</f>
        <v>'沒有資料'</v>
      </c>
      <c r="T82" s="186">
        <f>IFERROR(VLOOKUP($G82,基本資料!$A:$J,9,0),"無")</f>
        <v>0</v>
      </c>
      <c r="U82" s="307">
        <f t="shared" si="14"/>
        <v>0</v>
      </c>
      <c r="V82" s="94">
        <f>IFERROR(VLOOKUP($G82,基本資料!$A:$J,10,0),"無")</f>
        <v>-0.75</v>
      </c>
      <c r="W82" s="36">
        <f>RTD("money.excel",,"1441","Price")</f>
        <v>8.19</v>
      </c>
      <c r="X82" s="66"/>
      <c r="Y82" s="15">
        <f t="shared" si="18"/>
        <v>8.19</v>
      </c>
      <c r="Z82" s="3" t="e">
        <f t="shared" si="19"/>
        <v>#DIV/0!</v>
      </c>
      <c r="AA82" s="340">
        <f>IFERROR(VLOOKUP($G82,基本資料!$A:$M,11,0),"無")</f>
        <v>-38.880000000000003</v>
      </c>
      <c r="AB82" s="389">
        <f>IFERROR(VLOOKUP($G82,基本資料!$A:$M,12,0),"無")</f>
        <v>13.98</v>
      </c>
      <c r="AC82" s="22" t="s">
        <v>729</v>
      </c>
      <c r="AF82" s="33">
        <f t="shared" si="20"/>
        <v>0</v>
      </c>
      <c r="AG82" s="43" t="s">
        <v>1519</v>
      </c>
      <c r="AH82" s="66">
        <f t="shared" si="21"/>
        <v>0.2932098765432099</v>
      </c>
      <c r="AI82" s="283">
        <f>RTD("money.excel",,$G82,"PredictVolume")</f>
        <v>19</v>
      </c>
      <c r="AJ82" s="391">
        <f>IFERROR(VLOOKUP($G82,基本資料!$A:$M,13,0),"無")</f>
        <v>64.8</v>
      </c>
      <c r="AR82" s="245" t="str">
        <f>INDEX(基本資料!N:N,MATCH($G82,基本資料!A:A,0))</f>
        <v>低</v>
      </c>
    </row>
    <row r="83" spans="1:44">
      <c r="A83" s="343">
        <f>IFERROR(VLOOKUP($G83,基本資料!$A:$J,3,0),"無")</f>
        <v>13.53</v>
      </c>
      <c r="B83" s="79">
        <f>IFERROR(VLOOKUP($G83,基本資料!$A:$J,4,0),"無")</f>
        <v>447</v>
      </c>
      <c r="C83" s="79">
        <f>IFERROR(VLOOKUP($G83,基本資料!$A:$J,5,0),"無")</f>
        <v>100</v>
      </c>
      <c r="D83" s="79">
        <f>IFERROR(VLOOKUP($G83,基本資料!$A:$J,6,0),"無")</f>
        <v>-22</v>
      </c>
      <c r="E83" s="79">
        <f>IFERROR(VLOOKUP($G83,基本資料!$A:$J,7,0),"無")</f>
        <v>-2</v>
      </c>
      <c r="F83" s="6">
        <f>IFERROR(VLOOKUP($G83,基本資料!$A:$J,8,0),"無")</f>
        <v>21.01</v>
      </c>
      <c r="G83" s="79">
        <v>1443</v>
      </c>
      <c r="H83" s="8" t="s">
        <v>3171</v>
      </c>
      <c r="I83" s="22" t="s">
        <v>730</v>
      </c>
      <c r="J83" s="8" t="str">
        <f>IFERROR(VLOOKUP($G83,今日總結!$A:$AN,39,0),"")</f>
        <v/>
      </c>
      <c r="K83" s="5" t="str">
        <f>IFERROR(VLOOKUP($G83,今日總結!$A:$AN,40,0),"")</f>
        <v/>
      </c>
      <c r="L83" s="156" t="str">
        <f>IFERROR(VLOOKUP($G83,今日總結!$A:$AN,37,0),"")</f>
        <v/>
      </c>
      <c r="M83" s="337" t="str">
        <f>IFERROR(VLOOKUP($G83,今日總結!$A:$AN,38,0),"")</f>
        <v/>
      </c>
      <c r="N83" s="240" t="str">
        <f t="shared" si="22"/>
        <v/>
      </c>
      <c r="O83" s="359">
        <f>IFERROR(VLOOKUP($G83,融外自投!$A:$J,7,0),"無")</f>
        <v>1356</v>
      </c>
      <c r="P83" s="79">
        <f>IFERROR(VLOOKUP($G83,融外自投!$A:$J,9,0),"無")</f>
        <v>1123</v>
      </c>
      <c r="Q83" s="342">
        <f>IFERROR(VLOOKUP($G83,融外自投!$A:$J,8,0),"無")</f>
        <v>1431</v>
      </c>
      <c r="R83" s="81" t="str">
        <f>IFERROR(VLOOKUP($G83,融外自投!$A:$J,10,0),"無")</f>
        <v>無</v>
      </c>
      <c r="S83" s="324" t="str">
        <f>IFERROR(VLOOKUP($G83,'321買'!$A:$E,4,0),"'沒有資料'")</f>
        <v>'沒有資料'</v>
      </c>
      <c r="T83" s="186">
        <f>IFERROR(VLOOKUP($G83,基本資料!$A:$J,9,0),"無")</f>
        <v>0</v>
      </c>
      <c r="U83" s="307">
        <f t="shared" si="14"/>
        <v>0</v>
      </c>
      <c r="V83" s="94">
        <f>IFERROR(VLOOKUP($G83,基本資料!$A:$J,10,0),"無")</f>
        <v>1.65</v>
      </c>
      <c r="W83" s="36">
        <f>RTD("money.excel",,"1443","Price")</f>
        <v>15.6</v>
      </c>
      <c r="X83" s="66"/>
      <c r="Y83" s="15">
        <f t="shared" si="18"/>
        <v>15.6</v>
      </c>
      <c r="Z83" s="3" t="e">
        <f t="shared" si="19"/>
        <v>#DIV/0!</v>
      </c>
      <c r="AA83" s="340">
        <f>IFERROR(VLOOKUP($G83,基本資料!$A:$M,11,0),"無")</f>
        <v>-15.45</v>
      </c>
      <c r="AB83" s="389">
        <f>IFERROR(VLOOKUP($G83,基本資料!$A:$M,12,0),"無")</f>
        <v>39.35</v>
      </c>
      <c r="AC83" s="22" t="s">
        <v>730</v>
      </c>
      <c r="AF83" s="33">
        <f t="shared" si="20"/>
        <v>0</v>
      </c>
      <c r="AG83" s="43" t="s">
        <v>2768</v>
      </c>
      <c r="AH83" s="66">
        <f t="shared" si="21"/>
        <v>0.15328933361720248</v>
      </c>
      <c r="AI83" s="283">
        <f>RTD("money.excel",,$G83,"PredictVolume")</f>
        <v>36</v>
      </c>
      <c r="AJ83" s="391">
        <f>IFERROR(VLOOKUP($G83,基本資料!$A:$M,13,0),"無")</f>
        <v>234.85</v>
      </c>
      <c r="AK83" s="279"/>
      <c r="AR83" s="245" t="str">
        <f>INDEX(基本資料!N:N,MATCH($G83,基本資料!A:A,0))</f>
        <v>中</v>
      </c>
    </row>
    <row r="84" spans="1:44">
      <c r="A84" s="343">
        <f>IFERROR(VLOOKUP($G84,基本資料!$A:$J,3,0),"無")</f>
        <v>95.73</v>
      </c>
      <c r="B84" s="79">
        <f>IFERROR(VLOOKUP($G84,基本資料!$A:$J,4,0),"無")</f>
        <v>253</v>
      </c>
      <c r="C84" s="79">
        <f>IFERROR(VLOOKUP($G84,基本資料!$A:$J,5,0),"無")</f>
        <v>183</v>
      </c>
      <c r="D84" s="79">
        <f>IFERROR(VLOOKUP($G84,基本資料!$A:$J,6,0),"無")</f>
        <v>39</v>
      </c>
      <c r="E84" s="79">
        <f>IFERROR(VLOOKUP($G84,基本資料!$A:$J,7,0),"無")</f>
        <v>87</v>
      </c>
      <c r="F84" s="6">
        <f>IFERROR(VLOOKUP($G84,基本資料!$A:$J,8,0),"無")</f>
        <v>1.93</v>
      </c>
      <c r="G84" s="79">
        <v>1444</v>
      </c>
      <c r="H84" s="8" t="s">
        <v>3171</v>
      </c>
      <c r="I84" s="22" t="s">
        <v>3587</v>
      </c>
      <c r="J84" s="8" t="str">
        <f>IFERROR(VLOOKUP($G84,今日總結!$A:$AN,39,0),"")</f>
        <v>融</v>
      </c>
      <c r="K84" s="5">
        <f>IFERROR(VLOOKUP($G84,今日總結!$A:$AN,40,0),"")</f>
        <v>0</v>
      </c>
      <c r="L84" s="156">
        <f>IFERROR(VLOOKUP($G84,今日總結!$A:$AN,37,0),"")</f>
        <v>1</v>
      </c>
      <c r="M84" s="337">
        <f>IFERROR(VLOOKUP($G84,今日總結!$A:$AN,38,0),"")</f>
        <v>0</v>
      </c>
      <c r="N84" s="240">
        <f t="shared" si="22"/>
        <v>1</v>
      </c>
      <c r="O84" s="359">
        <f>IFERROR(VLOOKUP($G84,融外自投!$A:$J,7,0),"無")</f>
        <v>772</v>
      </c>
      <c r="P84" s="79">
        <f>IFERROR(VLOOKUP($G84,融外自投!$A:$J,9,0),"無")</f>
        <v>790</v>
      </c>
      <c r="Q84" s="342">
        <f>IFERROR(VLOOKUP($G84,融外自投!$A:$J,8,0),"無")</f>
        <v>744</v>
      </c>
      <c r="R84" s="81" t="str">
        <f>IFERROR(VLOOKUP($G84,融外自投!$A:$J,10,0),"無")</f>
        <v>無</v>
      </c>
      <c r="S84" s="324">
        <f>IFERROR(VLOOKUP($G84,'321買'!$A:$E,4,0),"'沒有資料'")</f>
        <v>891</v>
      </c>
      <c r="T84" s="186">
        <f>IFERROR(VLOOKUP($G84,基本資料!$A:$J,9,0),"無")</f>
        <v>0.3</v>
      </c>
      <c r="U84" s="307">
        <f t="shared" si="14"/>
        <v>2.8708133971291867E-2</v>
      </c>
      <c r="V84" s="94">
        <f>IFERROR(VLOOKUP($G84,基本資料!$A:$J,10,0),"無")</f>
        <v>0.68</v>
      </c>
      <c r="W84" s="36">
        <f>RTD("money.excel",,"1444","Price")</f>
        <v>10.45</v>
      </c>
      <c r="X84" s="66"/>
      <c r="Y84" s="15">
        <f t="shared" si="18"/>
        <v>10.45</v>
      </c>
      <c r="Z84" s="3" t="e">
        <f t="shared" si="19"/>
        <v>#DIV/0!</v>
      </c>
      <c r="AA84" s="340">
        <f>IFERROR(VLOOKUP($G84,基本資料!$A:$M,11,0),"無")</f>
        <v>-27.93</v>
      </c>
      <c r="AB84" s="389">
        <f>IFERROR(VLOOKUP($G84,基本資料!$A:$M,12,0),"無")</f>
        <v>38.31</v>
      </c>
      <c r="AC84" s="22" t="s">
        <v>3587</v>
      </c>
      <c r="AF84" s="33">
        <f t="shared" si="20"/>
        <v>0</v>
      </c>
      <c r="AG84" s="119" t="s">
        <v>1520</v>
      </c>
      <c r="AH84" s="66">
        <f t="shared" si="21"/>
        <v>0.51109989087414698</v>
      </c>
      <c r="AI84" s="283">
        <f>RTD("money.excel",,$G84,"PredictVolume")</f>
        <v>1569</v>
      </c>
      <c r="AJ84" s="391">
        <f>IFERROR(VLOOKUP($G84,基本資料!$A:$M,13,0),"無")</f>
        <v>3069.85</v>
      </c>
      <c r="AR84" s="245" t="str">
        <f>INDEX(基本資料!N:N,MATCH($G84,基本資料!A:A,0))</f>
        <v>低</v>
      </c>
    </row>
    <row r="85" spans="1:44">
      <c r="A85" s="343">
        <f>IFERROR(VLOOKUP($G85,基本資料!$A:$J,3,0),"無")</f>
        <v>13.06</v>
      </c>
      <c r="B85" s="79">
        <f>IFERROR(VLOOKUP($G85,基本資料!$A:$J,4,0),"無")</f>
        <v>56</v>
      </c>
      <c r="C85" s="79">
        <f>IFERROR(VLOOKUP($G85,基本資料!$A:$J,5,0),"無")</f>
        <v>60</v>
      </c>
      <c r="D85" s="79">
        <f>IFERROR(VLOOKUP($G85,基本資料!$A:$J,6,0),"無")</f>
        <v>5</v>
      </c>
      <c r="E85" s="79">
        <f>IFERROR(VLOOKUP($G85,基本資料!$A:$J,7,0),"無")</f>
        <v>38</v>
      </c>
      <c r="F85" s="6">
        <f>IFERROR(VLOOKUP($G85,基本資料!$A:$J,8,0),"無")</f>
        <v>-3.81</v>
      </c>
      <c r="G85" s="79">
        <v>1445</v>
      </c>
      <c r="H85" s="8" t="s">
        <v>3171</v>
      </c>
      <c r="I85" s="22" t="s">
        <v>731</v>
      </c>
      <c r="J85" s="8">
        <f>IFERROR(VLOOKUP($G85,今日總結!$A:$AN,39,0),"")</f>
        <v>0</v>
      </c>
      <c r="K85" s="5" t="str">
        <f>IFERROR(VLOOKUP($G85,今日總結!$A:$AN,40,0),"")</f>
        <v>外</v>
      </c>
      <c r="L85" s="156">
        <f>IFERROR(VLOOKUP($G85,今日總結!$A:$AN,37,0),"")</f>
        <v>0</v>
      </c>
      <c r="M85" s="337">
        <f>IFERROR(VLOOKUP($G85,今日總結!$A:$AN,38,0),"")</f>
        <v>6</v>
      </c>
      <c r="N85" s="240">
        <f t="shared" si="22"/>
        <v>-6</v>
      </c>
      <c r="O85" s="359">
        <f>IFERROR(VLOOKUP($G85,融外自投!$A:$J,7,0),"無")</f>
        <v>1030</v>
      </c>
      <c r="P85" s="79">
        <f>IFERROR(VLOOKUP($G85,融外自投!$A:$J,9,0),"無")</f>
        <v>671</v>
      </c>
      <c r="Q85" s="342">
        <f>IFERROR(VLOOKUP($G85,融外自投!$A:$J,8,0),"無")</f>
        <v>1090</v>
      </c>
      <c r="R85" s="81">
        <f>IFERROR(VLOOKUP($G85,融外自投!$A:$J,10,0),"無")</f>
        <v>476</v>
      </c>
      <c r="S85" s="324">
        <f>IFERROR(VLOOKUP($G85,'321買'!$A:$E,4,0),"'沒有資料'")</f>
        <v>1002</v>
      </c>
      <c r="T85" s="186">
        <f>IFERROR(VLOOKUP($G85,基本資料!$A:$J,9,0),"無")</f>
        <v>0</v>
      </c>
      <c r="U85" s="307">
        <f t="shared" si="14"/>
        <v>0</v>
      </c>
      <c r="V85" s="94">
        <f>IFERROR(VLOOKUP($G85,基本資料!$A:$J,10,0),"無")</f>
        <v>-0.19</v>
      </c>
      <c r="W85" s="36">
        <f>RTD("money.excel",,"1445","Price")</f>
        <v>14.95</v>
      </c>
      <c r="X85" s="66"/>
      <c r="Y85" s="15">
        <f t="shared" si="18"/>
        <v>14.95</v>
      </c>
      <c r="Z85" s="3" t="e">
        <f t="shared" si="19"/>
        <v>#DIV/0!</v>
      </c>
      <c r="AA85" s="340">
        <f>IFERROR(VLOOKUP($G85,基本資料!$A:$M,11,0),"無")</f>
        <v>-14.33</v>
      </c>
      <c r="AB85" s="389">
        <f>IFERROR(VLOOKUP($G85,基本資料!$A:$M,12,0),"無")</f>
        <v>13.15</v>
      </c>
      <c r="AC85" s="22" t="s">
        <v>731</v>
      </c>
      <c r="AF85" s="33">
        <f t="shared" si="20"/>
        <v>0</v>
      </c>
      <c r="AG85" s="43" t="s">
        <v>2769</v>
      </c>
      <c r="AH85" s="66">
        <f t="shared" si="21"/>
        <v>0.27833001988071571</v>
      </c>
      <c r="AI85" s="283">
        <f>RTD("money.excel",,$G85,"PredictVolume")</f>
        <v>7</v>
      </c>
      <c r="AJ85" s="391">
        <f>IFERROR(VLOOKUP($G85,基本資料!$A:$M,13,0),"無")</f>
        <v>25.15</v>
      </c>
      <c r="AR85" s="245" t="str">
        <f>INDEX(基本資料!N:N,MATCH($G85,基本資料!A:A,0))</f>
        <v>中</v>
      </c>
    </row>
    <row r="86" spans="1:44">
      <c r="A86" s="343">
        <f>IFERROR(VLOOKUP($G86,基本資料!$A:$J,3,0),"無")</f>
        <v>13.77</v>
      </c>
      <c r="B86" s="79">
        <f>IFERROR(VLOOKUP($G86,基本資料!$A:$J,4,0),"無")</f>
        <v>-130</v>
      </c>
      <c r="C86" s="79">
        <f>IFERROR(VLOOKUP($G86,基本資料!$A:$J,5,0),"無")</f>
        <v>-552</v>
      </c>
      <c r="D86" s="79">
        <f>IFERROR(VLOOKUP($G86,基本資料!$A:$J,6,0),"無")</f>
        <v>-6</v>
      </c>
      <c r="E86" s="79">
        <f>IFERROR(VLOOKUP($G86,基本資料!$A:$J,7,0),"無")</f>
        <v>13</v>
      </c>
      <c r="F86" s="6">
        <f>IFERROR(VLOOKUP($G86,基本資料!$A:$J,8,0),"無")</f>
        <v>-6.28</v>
      </c>
      <c r="G86" s="79">
        <v>1446</v>
      </c>
      <c r="H86" s="8" t="s">
        <v>3171</v>
      </c>
      <c r="I86" s="22" t="s">
        <v>732</v>
      </c>
      <c r="J86" s="8">
        <f>IFERROR(VLOOKUP($G86,今日總結!$A:$AN,39,0),"")</f>
        <v>0</v>
      </c>
      <c r="K86" s="5">
        <f>IFERROR(VLOOKUP($G86,今日總結!$A:$AN,40,0),"")</f>
        <v>0</v>
      </c>
      <c r="L86" s="156">
        <f>IFERROR(VLOOKUP($G86,今日總結!$A:$AN,37,0),"")</f>
        <v>0</v>
      </c>
      <c r="M86" s="337">
        <f>IFERROR(VLOOKUP($G86,今日總結!$A:$AN,38,0),"")</f>
        <v>0</v>
      </c>
      <c r="N86" s="240">
        <f t="shared" si="22"/>
        <v>0</v>
      </c>
      <c r="O86" s="359">
        <f>IFERROR(VLOOKUP($G86,融外自投!$A:$J,7,0),"無")</f>
        <v>578</v>
      </c>
      <c r="P86" s="79" t="str">
        <f>IFERROR(VLOOKUP($G86,融外自投!$A:$J,9,0),"無")</f>
        <v>無</v>
      </c>
      <c r="Q86" s="342">
        <f>IFERROR(VLOOKUP($G86,融外自投!$A:$J,8,0),"無")</f>
        <v>1198</v>
      </c>
      <c r="R86" s="81" t="str">
        <f>IFERROR(VLOOKUP($G86,融外自投!$A:$J,10,0),"無")</f>
        <v>無</v>
      </c>
      <c r="S86" s="324">
        <f>IFERROR(VLOOKUP($G86,'321買'!$A:$E,4,0),"'沒有資料'")</f>
        <v>1002</v>
      </c>
      <c r="T86" s="186">
        <f>IFERROR(VLOOKUP($G86,基本資料!$A:$J,9,0),"無")</f>
        <v>0.3</v>
      </c>
      <c r="U86" s="307">
        <f t="shared" si="14"/>
        <v>9.3167701863354022E-3</v>
      </c>
      <c r="V86" s="94">
        <f>IFERROR(VLOOKUP($G86,基本資料!$A:$J,10,0),"無")</f>
        <v>-0.12</v>
      </c>
      <c r="W86" s="36">
        <f>RTD("money.excel",,"1446","Price")</f>
        <v>32.200000000000003</v>
      </c>
      <c r="X86" s="66"/>
      <c r="Y86" s="15">
        <f t="shared" si="18"/>
        <v>32.200000000000003</v>
      </c>
      <c r="Z86" s="3" t="e">
        <f t="shared" si="19"/>
        <v>#DIV/0!</v>
      </c>
      <c r="AA86" s="340">
        <f>IFERROR(VLOOKUP($G86,基本資料!$A:$M,11,0),"無")</f>
        <v>-8.91</v>
      </c>
      <c r="AB86" s="389">
        <f>IFERROR(VLOOKUP($G86,基本資料!$A:$M,12,0),"無")</f>
        <v>50.31</v>
      </c>
      <c r="AC86" s="22" t="s">
        <v>732</v>
      </c>
      <c r="AF86" s="33">
        <f t="shared" si="20"/>
        <v>0</v>
      </c>
      <c r="AG86" s="43" t="s">
        <v>2770</v>
      </c>
      <c r="AH86" s="66">
        <f t="shared" si="21"/>
        <v>0.61737257717157212</v>
      </c>
      <c r="AI86" s="283">
        <f>RTD("money.excel",,$G86,"PredictVolume")</f>
        <v>43</v>
      </c>
      <c r="AJ86" s="391">
        <f>IFERROR(VLOOKUP($G86,基本資料!$A:$M,13,0),"無")</f>
        <v>69.650000000000006</v>
      </c>
      <c r="AR86" s="245" t="str">
        <f>INDEX(基本資料!N:N,MATCH($G86,基本資料!A:A,0))</f>
        <v>中</v>
      </c>
    </row>
    <row r="87" spans="1:44">
      <c r="A87" s="343">
        <f>IFERROR(VLOOKUP($G87,基本資料!$A:$J,3,0),"無")</f>
        <v>91.44</v>
      </c>
      <c r="B87" s="79">
        <f>IFERROR(VLOOKUP($G87,基本資料!$A:$J,4,0),"無")</f>
        <v>166</v>
      </c>
      <c r="C87" s="79">
        <f>IFERROR(VLOOKUP($G87,基本資料!$A:$J,5,0),"無")</f>
        <v>199</v>
      </c>
      <c r="D87" s="79">
        <f>IFERROR(VLOOKUP($G87,基本資料!$A:$J,6,0),"無")</f>
        <v>-41</v>
      </c>
      <c r="E87" s="79">
        <f>IFERROR(VLOOKUP($G87,基本資料!$A:$J,7,0),"無")</f>
        <v>-8</v>
      </c>
      <c r="F87" s="6">
        <f>IFERROR(VLOOKUP($G87,基本資料!$A:$J,8,0),"無")</f>
        <v>1.46</v>
      </c>
      <c r="G87" s="79">
        <v>1447</v>
      </c>
      <c r="H87" s="8" t="s">
        <v>3171</v>
      </c>
      <c r="I87" s="22" t="s">
        <v>733</v>
      </c>
      <c r="J87" s="8">
        <f>IFERROR(VLOOKUP($G87,今日總結!$A:$AN,39,0),"")</f>
        <v>0</v>
      </c>
      <c r="K87" s="5">
        <f>IFERROR(VLOOKUP($G87,今日總結!$A:$AN,40,0),"")</f>
        <v>0</v>
      </c>
      <c r="L87" s="156">
        <f>IFERROR(VLOOKUP($G87,今日總結!$A:$AN,37,0),"")</f>
        <v>0</v>
      </c>
      <c r="M87" s="337">
        <f>IFERROR(VLOOKUP($G87,今日總結!$A:$AN,38,0),"")</f>
        <v>0</v>
      </c>
      <c r="N87" s="240">
        <f t="shared" si="22"/>
        <v>0</v>
      </c>
      <c r="O87" s="359">
        <f>IFERROR(VLOOKUP($G87,融外自投!$A:$J,7,0),"無")</f>
        <v>693</v>
      </c>
      <c r="P87" s="79">
        <f>IFERROR(VLOOKUP($G87,融外自投!$A:$J,9,0),"無")</f>
        <v>869</v>
      </c>
      <c r="Q87" s="342">
        <f>IFERROR(VLOOKUP($G87,融外自投!$A:$J,8,0),"無")</f>
        <v>700</v>
      </c>
      <c r="R87" s="81" t="str">
        <f>IFERROR(VLOOKUP($G87,融外自投!$A:$J,10,0),"無")</f>
        <v>無</v>
      </c>
      <c r="S87" s="324">
        <f>IFERROR(VLOOKUP($G87,'321買'!$A:$E,4,0),"'沒有資料'")</f>
        <v>801</v>
      </c>
      <c r="T87" s="186">
        <f>IFERROR(VLOOKUP($G87,基本資料!$A:$J,9,0),"無")</f>
        <v>0</v>
      </c>
      <c r="U87" s="307">
        <f t="shared" si="14"/>
        <v>0</v>
      </c>
      <c r="V87" s="94">
        <f>IFERROR(VLOOKUP($G87,基本資料!$A:$J,10,0),"無")</f>
        <v>0.31</v>
      </c>
      <c r="W87" s="36">
        <f>RTD("money.excel",,"1447","Price")</f>
        <v>7.97</v>
      </c>
      <c r="X87" s="66"/>
      <c r="Y87" s="15">
        <f t="shared" si="18"/>
        <v>7.97</v>
      </c>
      <c r="Z87" s="3" t="e">
        <f t="shared" si="19"/>
        <v>#DIV/0!</v>
      </c>
      <c r="AA87" s="340">
        <f>IFERROR(VLOOKUP($G87,基本資料!$A:$M,11,0),"無")</f>
        <v>-44.65</v>
      </c>
      <c r="AB87" s="389">
        <f>IFERROR(VLOOKUP($G87,基本資料!$A:$M,12,0),"無")</f>
        <v>17.63</v>
      </c>
      <c r="AC87" s="22" t="s">
        <v>733</v>
      </c>
      <c r="AF87" s="33">
        <f t="shared" si="20"/>
        <v>0</v>
      </c>
      <c r="AG87" s="43" t="s">
        <v>4738</v>
      </c>
      <c r="AH87" s="66">
        <f t="shared" si="21"/>
        <v>0.73099684175022228</v>
      </c>
      <c r="AI87" s="283">
        <f>RTD("money.excel",,$G87,"PredictVolume")</f>
        <v>1192</v>
      </c>
      <c r="AJ87" s="391">
        <f>IFERROR(VLOOKUP($G87,基本資料!$A:$M,13,0),"無")</f>
        <v>1630.65</v>
      </c>
      <c r="AR87" s="245" t="str">
        <f>INDEX(基本資料!N:N,MATCH($G87,基本資料!A:A,0))</f>
        <v>低</v>
      </c>
    </row>
    <row r="88" spans="1:44">
      <c r="A88" s="343">
        <f>IFERROR(VLOOKUP($G88,基本資料!$A:$J,3,0),"無")</f>
        <v>11.34</v>
      </c>
      <c r="B88" s="79">
        <f>IFERROR(VLOOKUP($G88,基本資料!$A:$J,4,0),"無")</f>
        <v>158</v>
      </c>
      <c r="C88" s="79">
        <f>IFERROR(VLOOKUP($G88,基本資料!$A:$J,5,0),"無")</f>
        <v>35</v>
      </c>
      <c r="D88" s="79">
        <f>IFERROR(VLOOKUP($G88,基本資料!$A:$J,6,0),"無")</f>
        <v>-12</v>
      </c>
      <c r="E88" s="79">
        <f>IFERROR(VLOOKUP($G88,基本資料!$A:$J,7,0),"無")</f>
        <v>-8</v>
      </c>
      <c r="F88" s="6">
        <f>IFERROR(VLOOKUP($G88,基本資料!$A:$J,8,0),"無")</f>
        <v>-6.18</v>
      </c>
      <c r="G88" s="79">
        <v>1449</v>
      </c>
      <c r="H88" s="8" t="s">
        <v>3171</v>
      </c>
      <c r="I88" s="22" t="s">
        <v>734</v>
      </c>
      <c r="J88" s="8">
        <f>IFERROR(VLOOKUP($G88,今日總結!$A:$AN,39,0),"")</f>
        <v>0</v>
      </c>
      <c r="K88" s="5">
        <f>IFERROR(VLOOKUP($G88,今日總結!$A:$AN,40,0),"")</f>
        <v>0</v>
      </c>
      <c r="L88" s="156">
        <f>IFERROR(VLOOKUP($G88,今日總結!$A:$AN,37,0),"")</f>
        <v>0</v>
      </c>
      <c r="M88" s="337">
        <f>IFERROR(VLOOKUP($G88,今日總結!$A:$AN,38,0),"")</f>
        <v>0</v>
      </c>
      <c r="N88" s="240">
        <f t="shared" si="22"/>
        <v>0</v>
      </c>
      <c r="O88" s="359">
        <f>IFERROR(VLOOKUP($G88,融外自投!$A:$J,7,0),"無")</f>
        <v>821</v>
      </c>
      <c r="P88" s="79">
        <f>IFERROR(VLOOKUP($G88,融外自投!$A:$J,9,0),"無")</f>
        <v>1</v>
      </c>
      <c r="Q88" s="342">
        <f>IFERROR(VLOOKUP($G88,融外自投!$A:$J,8,0),"無")</f>
        <v>1384</v>
      </c>
      <c r="R88" s="81" t="str">
        <f>IFERROR(VLOOKUP($G88,融外自投!$A:$J,10,0),"無")</f>
        <v>無</v>
      </c>
      <c r="S88" s="324">
        <f>IFERROR(VLOOKUP($G88,'321買'!$A:$E,4,0),"'沒有資料'")</f>
        <v>1002</v>
      </c>
      <c r="T88" s="186">
        <f>IFERROR(VLOOKUP($G88,基本資料!$A:$J,9,0),"無")</f>
        <v>0</v>
      </c>
      <c r="U88" s="307">
        <f t="shared" si="14"/>
        <v>0</v>
      </c>
      <c r="V88" s="94">
        <f>IFERROR(VLOOKUP($G88,基本資料!$A:$J,10,0),"無")</f>
        <v>0.83</v>
      </c>
      <c r="W88" s="36">
        <f>RTD("money.excel",,"1449","Price")</f>
        <v>12.35</v>
      </c>
      <c r="X88" s="66"/>
      <c r="Y88" s="15">
        <f t="shared" si="18"/>
        <v>12.35</v>
      </c>
      <c r="Z88" s="3" t="e">
        <f t="shared" si="19"/>
        <v>#DIV/0!</v>
      </c>
      <c r="AA88" s="340">
        <f>IFERROR(VLOOKUP($G88,基本資料!$A:$M,11,0),"無")</f>
        <v>-32.33</v>
      </c>
      <c r="AB88" s="389">
        <f>IFERROR(VLOOKUP($G88,基本資料!$A:$M,12,0),"無")</f>
        <v>30.89</v>
      </c>
      <c r="AC88" s="22" t="s">
        <v>734</v>
      </c>
      <c r="AF88" s="33">
        <f t="shared" si="20"/>
        <v>0</v>
      </c>
      <c r="AG88" s="43" t="s">
        <v>1862</v>
      </c>
      <c r="AH88" s="66">
        <f t="shared" si="21"/>
        <v>3.1088082901554404</v>
      </c>
      <c r="AI88" s="283">
        <f>RTD("money.excel",,$G88,"PredictVolume")</f>
        <v>120</v>
      </c>
      <c r="AJ88" s="391">
        <f>IFERROR(VLOOKUP($G88,基本資料!$A:$M,13,0),"無")</f>
        <v>38.6</v>
      </c>
      <c r="AR88" s="245" t="str">
        <f>INDEX(基本資料!N:N,MATCH($G88,基本資料!A:A,0))</f>
        <v>低</v>
      </c>
    </row>
    <row r="89" spans="1:44">
      <c r="A89" s="343">
        <f>IFERROR(VLOOKUP($G89,基本資料!$A:$J,3,0),"無")</f>
        <v>20.72</v>
      </c>
      <c r="B89" s="79">
        <f>IFERROR(VLOOKUP($G89,基本資料!$A:$J,4,0),"無")</f>
        <v>157</v>
      </c>
      <c r="C89" s="79">
        <f>IFERROR(VLOOKUP($G89,基本資料!$A:$J,5,0),"無")</f>
        <v>182</v>
      </c>
      <c r="D89" s="79">
        <f>IFERROR(VLOOKUP($G89,基本資料!$A:$J,6,0),"無")</f>
        <v>18</v>
      </c>
      <c r="E89" s="79">
        <f>IFERROR(VLOOKUP($G89,基本資料!$A:$J,7,0),"無")</f>
        <v>36</v>
      </c>
      <c r="F89" s="6">
        <f>IFERROR(VLOOKUP($G89,基本資料!$A:$J,8,0),"無")</f>
        <v>3.09</v>
      </c>
      <c r="G89" s="79">
        <v>1451</v>
      </c>
      <c r="H89" s="8" t="s">
        <v>3171</v>
      </c>
      <c r="I89" s="22" t="s">
        <v>735</v>
      </c>
      <c r="J89" s="8">
        <f>IFERROR(VLOOKUP($G89,今日總結!$A:$AN,39,0),"")</f>
        <v>0</v>
      </c>
      <c r="K89" s="5">
        <f>IFERROR(VLOOKUP($G89,今日總結!$A:$AN,40,0),"")</f>
        <v>0</v>
      </c>
      <c r="L89" s="156">
        <f>IFERROR(VLOOKUP($G89,今日總結!$A:$AN,37,0),"")</f>
        <v>0</v>
      </c>
      <c r="M89" s="337">
        <f>IFERROR(VLOOKUP($G89,今日總結!$A:$AN,38,0),"")</f>
        <v>0</v>
      </c>
      <c r="N89" s="240">
        <f t="shared" si="22"/>
        <v>0</v>
      </c>
      <c r="O89" s="359">
        <f>IFERROR(VLOOKUP($G89,融外自投!$A:$J,7,0),"無")</f>
        <v>1117</v>
      </c>
      <c r="P89" s="79">
        <f>IFERROR(VLOOKUP($G89,融外自投!$A:$J,9,0),"無")</f>
        <v>240</v>
      </c>
      <c r="Q89" s="342">
        <f>IFERROR(VLOOKUP($G89,融外自投!$A:$J,8,0),"無")</f>
        <v>631</v>
      </c>
      <c r="R89" s="81" t="str">
        <f>IFERROR(VLOOKUP($G89,融外自投!$A:$J,10,0),"無")</f>
        <v>無</v>
      </c>
      <c r="S89" s="324">
        <f>IFERROR(VLOOKUP($G89,'321買'!$A:$E,4,0),"'沒有資料'")</f>
        <v>1002</v>
      </c>
      <c r="T89" s="186">
        <f>IFERROR(VLOOKUP($G89,基本資料!$A:$J,9,0),"無")</f>
        <v>1</v>
      </c>
      <c r="U89" s="307">
        <f t="shared" si="14"/>
        <v>4.5146726862302484E-2</v>
      </c>
      <c r="V89" s="94">
        <f>IFERROR(VLOOKUP($G89,基本資料!$A:$J,10,0),"無")</f>
        <v>1.23</v>
      </c>
      <c r="W89" s="36">
        <f>RTD("money.excel",,"1451","Price")</f>
        <v>22.15</v>
      </c>
      <c r="X89" s="66"/>
      <c r="Y89" s="15">
        <f t="shared" si="18"/>
        <v>22.15</v>
      </c>
      <c r="Z89" s="3" t="e">
        <f t="shared" si="19"/>
        <v>#DIV/0!</v>
      </c>
      <c r="AA89" s="340">
        <f>IFERROR(VLOOKUP($G89,基本資料!$A:$M,11,0),"無")</f>
        <v>-10.69</v>
      </c>
      <c r="AB89" s="389">
        <f>IFERROR(VLOOKUP($G89,基本資料!$A:$M,12,0),"無")</f>
        <v>74.239999999999995</v>
      </c>
      <c r="AC89" s="22" t="s">
        <v>735</v>
      </c>
      <c r="AF89" s="33">
        <f t="shared" si="20"/>
        <v>0</v>
      </c>
      <c r="AG89" s="43" t="s">
        <v>2021</v>
      </c>
      <c r="AH89" s="66">
        <f t="shared" si="21"/>
        <v>1.0880286952622926</v>
      </c>
      <c r="AI89" s="283">
        <f>RTD("money.excel",,$G89,"PredictVolume")</f>
        <v>364</v>
      </c>
      <c r="AJ89" s="391">
        <f>IFERROR(VLOOKUP($G89,基本資料!$A:$M,13,0),"無")</f>
        <v>334.55</v>
      </c>
      <c r="AR89" s="245" t="str">
        <f>INDEX(基本資料!N:N,MATCH($G89,基本資料!A:A,0))</f>
        <v>中</v>
      </c>
    </row>
    <row r="90" spans="1:44">
      <c r="A90" s="343">
        <f>IFERROR(VLOOKUP($G90,基本資料!$A:$J,3,0),"無")</f>
        <v>13.26</v>
      </c>
      <c r="B90" s="79">
        <f>IFERROR(VLOOKUP($G90,基本資料!$A:$J,4,0),"無")</f>
        <v>260</v>
      </c>
      <c r="C90" s="79">
        <f>IFERROR(VLOOKUP($G90,基本資料!$A:$J,5,0),"無")</f>
        <v>465</v>
      </c>
      <c r="D90" s="79">
        <f>IFERROR(VLOOKUP($G90,基本資料!$A:$J,6,0),"無")</f>
        <v>-14</v>
      </c>
      <c r="E90" s="79">
        <f>IFERROR(VLOOKUP($G90,基本資料!$A:$J,7,0),"無")</f>
        <v>1</v>
      </c>
      <c r="F90" s="6">
        <f>IFERROR(VLOOKUP($G90,基本資料!$A:$J,8,0),"無")</f>
        <v>11.18</v>
      </c>
      <c r="G90" s="79">
        <v>1452</v>
      </c>
      <c r="H90" s="8" t="s">
        <v>3171</v>
      </c>
      <c r="I90" s="22" t="s">
        <v>736</v>
      </c>
      <c r="J90" s="8">
        <f>IFERROR(VLOOKUP($G90,今日總結!$A:$AN,39,0),"")</f>
        <v>0</v>
      </c>
      <c r="K90" s="5">
        <f>IFERROR(VLOOKUP($G90,今日總結!$A:$AN,40,0),"")</f>
        <v>0</v>
      </c>
      <c r="L90" s="156">
        <f>IFERROR(VLOOKUP($G90,今日總結!$A:$AN,37,0),"")</f>
        <v>0</v>
      </c>
      <c r="M90" s="337">
        <f>IFERROR(VLOOKUP($G90,今日總結!$A:$AN,38,0),"")</f>
        <v>0</v>
      </c>
      <c r="N90" s="240">
        <f t="shared" si="22"/>
        <v>0</v>
      </c>
      <c r="O90" s="359">
        <f>IFERROR(VLOOKUP($G90,融外自投!$A:$J,7,0),"無")</f>
        <v>859</v>
      </c>
      <c r="P90" s="79">
        <f>IFERROR(VLOOKUP($G90,融外自投!$A:$J,9,0),"無")</f>
        <v>525</v>
      </c>
      <c r="Q90" s="342">
        <f>IFERROR(VLOOKUP($G90,融外自投!$A:$J,8,0),"無")</f>
        <v>883</v>
      </c>
      <c r="R90" s="81" t="str">
        <f>IFERROR(VLOOKUP($G90,融外自投!$A:$J,10,0),"無")</f>
        <v>無</v>
      </c>
      <c r="S90" s="324">
        <f>IFERROR(VLOOKUP($G90,'321買'!$A:$E,4,0),"'沒有資料'")</f>
        <v>696</v>
      </c>
      <c r="T90" s="186">
        <f>IFERROR(VLOOKUP($G90,基本資料!$A:$J,9,0),"無")</f>
        <v>2</v>
      </c>
      <c r="U90" s="307">
        <f t="shared" si="14"/>
        <v>9.0909090909090912E-2</v>
      </c>
      <c r="V90" s="94">
        <f>IFERROR(VLOOKUP($G90,基本資料!$A:$J,10,0),"無")</f>
        <v>2.65</v>
      </c>
      <c r="W90" s="36">
        <f>RTD("money.excel",,"1452","Price")</f>
        <v>22</v>
      </c>
      <c r="X90" s="66"/>
      <c r="Y90" s="15">
        <f t="shared" si="18"/>
        <v>22</v>
      </c>
      <c r="Z90" s="3" t="e">
        <f t="shared" si="19"/>
        <v>#DIV/0!</v>
      </c>
      <c r="AA90" s="340">
        <f>IFERROR(VLOOKUP($G90,基本資料!$A:$M,11,0),"無")</f>
        <v>-28.34</v>
      </c>
      <c r="AB90" s="389">
        <f>IFERROR(VLOOKUP($G90,基本資料!$A:$M,12,0),"無")</f>
        <v>26.22</v>
      </c>
      <c r="AC90" s="22" t="s">
        <v>736</v>
      </c>
      <c r="AF90" s="33">
        <f t="shared" si="20"/>
        <v>0</v>
      </c>
      <c r="AG90" s="43" t="s">
        <v>1520</v>
      </c>
      <c r="AH90" s="66">
        <f t="shared" si="21"/>
        <v>0.88007355838696966</v>
      </c>
      <c r="AI90" s="283">
        <f>RTD("money.excel",,$G90,"PredictVolume")</f>
        <v>335</v>
      </c>
      <c r="AJ90" s="391">
        <f>IFERROR(VLOOKUP($G90,基本資料!$A:$M,13,0),"無")</f>
        <v>380.65</v>
      </c>
      <c r="AR90" s="245" t="str">
        <f>INDEX(基本資料!N:N,MATCH($G90,基本資料!A:A,0))</f>
        <v>低</v>
      </c>
    </row>
    <row r="91" spans="1:44">
      <c r="A91" s="343">
        <f>IFERROR(VLOOKUP($G91,基本資料!$A:$J,3,0),"無")</f>
        <v>10.06</v>
      </c>
      <c r="B91" s="79">
        <f>IFERROR(VLOOKUP($G91,基本資料!$A:$J,4,0),"無")</f>
        <v>592</v>
      </c>
      <c r="C91" s="79">
        <f>IFERROR(VLOOKUP($G91,基本資料!$A:$J,5,0),"無")</f>
        <v>-190</v>
      </c>
      <c r="D91" s="79">
        <f>IFERROR(VLOOKUP($G91,基本資料!$A:$J,6,0),"無")</f>
        <v>-99</v>
      </c>
      <c r="E91" s="79">
        <f>IFERROR(VLOOKUP($G91,基本資料!$A:$J,7,0),"無")</f>
        <v>0</v>
      </c>
      <c r="F91" s="6">
        <f>IFERROR(VLOOKUP($G91,基本資料!$A:$J,8,0),"無")</f>
        <v>-21.74</v>
      </c>
      <c r="G91" s="79">
        <v>1453</v>
      </c>
      <c r="H91" s="8" t="s">
        <v>3171</v>
      </c>
      <c r="I91" s="22" t="s">
        <v>737</v>
      </c>
      <c r="J91" s="8" t="str">
        <f>IFERROR(VLOOKUP($G91,今日總結!$A:$AN,39,0),"")</f>
        <v>外</v>
      </c>
      <c r="K91" s="5">
        <f>IFERROR(VLOOKUP($G91,今日總結!$A:$AN,40,0),"")</f>
        <v>0</v>
      </c>
      <c r="L91" s="156">
        <f>IFERROR(VLOOKUP($G91,今日總結!$A:$AN,37,0),"")</f>
        <v>4</v>
      </c>
      <c r="M91" s="337">
        <f>IFERROR(VLOOKUP($G91,今日總結!$A:$AN,38,0),"")</f>
        <v>0</v>
      </c>
      <c r="N91" s="240">
        <f t="shared" si="22"/>
        <v>4</v>
      </c>
      <c r="O91" s="359">
        <f>IFERROR(VLOOKUP($G91,融外自投!$A:$J,7,0),"無")</f>
        <v>553</v>
      </c>
      <c r="P91" s="79">
        <f>IFERROR(VLOOKUP($G91,融外自投!$A:$J,9,0),"無")</f>
        <v>990</v>
      </c>
      <c r="Q91" s="342">
        <f>IFERROR(VLOOKUP($G91,融外自投!$A:$J,8,0),"無")</f>
        <v>1237</v>
      </c>
      <c r="R91" s="81" t="str">
        <f>IFERROR(VLOOKUP($G91,融外自投!$A:$J,10,0),"無")</f>
        <v>無</v>
      </c>
      <c r="S91" s="324">
        <f>IFERROR(VLOOKUP($G91,'321買'!$A:$E,4,0),"'沒有資料'")</f>
        <v>565</v>
      </c>
      <c r="T91" s="186">
        <f>IFERROR(VLOOKUP($G91,基本資料!$A:$J,9,0),"無")</f>
        <v>0.3</v>
      </c>
      <c r="U91" s="307">
        <f t="shared" si="14"/>
        <v>1.3245033112582781E-2</v>
      </c>
      <c r="V91" s="94">
        <f>IFERROR(VLOOKUP($G91,基本資料!$A:$J,10,0),"無")</f>
        <v>1.05</v>
      </c>
      <c r="W91" s="36">
        <f>RTD("money.excel",,"1453","Price")</f>
        <v>22.65</v>
      </c>
      <c r="X91" s="66"/>
      <c r="Y91" s="15">
        <f t="shared" si="18"/>
        <v>22.65</v>
      </c>
      <c r="Z91" s="3" t="e">
        <f t="shared" si="19"/>
        <v>#DIV/0!</v>
      </c>
      <c r="AA91" s="340">
        <f>IFERROR(VLOOKUP($G91,基本資料!$A:$M,11,0),"無")</f>
        <v>-11</v>
      </c>
      <c r="AB91" s="389">
        <f>IFERROR(VLOOKUP($G91,基本資料!$A:$M,12,0),"無")</f>
        <v>81.06</v>
      </c>
      <c r="AC91" s="22" t="s">
        <v>737</v>
      </c>
      <c r="AF91" s="33">
        <f t="shared" si="20"/>
        <v>0</v>
      </c>
      <c r="AG91" s="43" t="s">
        <v>2771</v>
      </c>
      <c r="AH91" s="66">
        <f t="shared" si="21"/>
        <v>0.26497957945595774</v>
      </c>
      <c r="AI91" s="283">
        <f>RTD("money.excel",,$G91,"PredictVolume")</f>
        <v>1223</v>
      </c>
      <c r="AJ91" s="391">
        <f>IFERROR(VLOOKUP($G91,基本資料!$A:$M,13,0),"無")</f>
        <v>4615.45</v>
      </c>
      <c r="AR91" s="245" t="str">
        <f>INDEX(基本資料!N:N,MATCH($G91,基本資料!A:A,0))</f>
        <v>高</v>
      </c>
    </row>
    <row r="92" spans="1:44">
      <c r="A92" s="343">
        <f>IFERROR(VLOOKUP($G92,基本資料!$A:$J,3,0),"無")</f>
        <v>12.98</v>
      </c>
      <c r="B92" s="79">
        <f>IFERROR(VLOOKUP($G92,基本資料!$A:$J,4,0),"無")</f>
        <v>113</v>
      </c>
      <c r="C92" s="79">
        <f>IFERROR(VLOOKUP($G92,基本資料!$A:$J,5,0),"無")</f>
        <v>88</v>
      </c>
      <c r="D92" s="79">
        <f>IFERROR(VLOOKUP($G92,基本資料!$A:$J,6,0),"無")</f>
        <v>-4</v>
      </c>
      <c r="E92" s="79">
        <f>IFERROR(VLOOKUP($G92,基本資料!$A:$J,7,0),"無")</f>
        <v>31</v>
      </c>
      <c r="F92" s="6">
        <f>IFERROR(VLOOKUP($G92,基本資料!$A:$J,8,0),"無")</f>
        <v>-0.73</v>
      </c>
      <c r="G92" s="79">
        <v>1454</v>
      </c>
      <c r="H92" s="8" t="s">
        <v>3171</v>
      </c>
      <c r="I92" s="22" t="s">
        <v>738</v>
      </c>
      <c r="J92" s="8">
        <f>IFERROR(VLOOKUP($G92,今日總結!$A:$AN,39,0),"")</f>
        <v>0</v>
      </c>
      <c r="K92" s="5" t="str">
        <f>IFERROR(VLOOKUP($G92,今日總結!$A:$AN,40,0),"")</f>
        <v>外</v>
      </c>
      <c r="L92" s="156">
        <f>IFERROR(VLOOKUP($G92,今日總結!$A:$AN,37,0),"")</f>
        <v>0</v>
      </c>
      <c r="M92" s="337">
        <f>IFERROR(VLOOKUP($G92,今日總結!$A:$AN,38,0),"")</f>
        <v>5</v>
      </c>
      <c r="N92" s="240">
        <f t="shared" si="22"/>
        <v>-5</v>
      </c>
      <c r="O92" s="359">
        <f>IFERROR(VLOOKUP($G92,融外自投!$A:$J,7,0),"無")</f>
        <v>201</v>
      </c>
      <c r="P92" s="79">
        <f>IFERROR(VLOOKUP($G92,融外自投!$A:$J,9,0),"無")</f>
        <v>990</v>
      </c>
      <c r="Q92" s="342">
        <f>IFERROR(VLOOKUP($G92,融外自投!$A:$J,8,0),"無")</f>
        <v>1240</v>
      </c>
      <c r="R92" s="81" t="str">
        <f>IFERROR(VLOOKUP($G92,融外自投!$A:$J,10,0),"無")</f>
        <v>無</v>
      </c>
      <c r="S92" s="324">
        <f>IFERROR(VLOOKUP($G92,'321買'!$A:$E,4,0),"'沒有資料'")</f>
        <v>1002</v>
      </c>
      <c r="T92" s="186">
        <f>IFERROR(VLOOKUP($G92,基本資料!$A:$J,9,0),"無")</f>
        <v>0.5</v>
      </c>
      <c r="U92" s="307">
        <f t="shared" si="14"/>
        <v>3.5087719298245612E-2</v>
      </c>
      <c r="V92" s="94">
        <f>IFERROR(VLOOKUP($G92,基本資料!$A:$J,10,0),"無")</f>
        <v>0.04</v>
      </c>
      <c r="W92" s="36">
        <f>RTD("money.excel",,"1454","Price")</f>
        <v>14.25</v>
      </c>
      <c r="X92" s="66"/>
      <c r="Y92" s="15">
        <f t="shared" si="18"/>
        <v>14.25</v>
      </c>
      <c r="Z92" s="3" t="e">
        <f t="shared" si="19"/>
        <v>#DIV/0!</v>
      </c>
      <c r="AA92" s="340">
        <f>IFERROR(VLOOKUP($G92,基本資料!$A:$M,11,0),"無")</f>
        <v>-9.52</v>
      </c>
      <c r="AB92" s="389">
        <f>IFERROR(VLOOKUP($G92,基本資料!$A:$M,12,0),"無")</f>
        <v>45.88</v>
      </c>
      <c r="AC92" s="22" t="s">
        <v>738</v>
      </c>
      <c r="AF92" s="33">
        <f t="shared" si="20"/>
        <v>0</v>
      </c>
      <c r="AG92" s="43" t="s">
        <v>2772</v>
      </c>
      <c r="AH92" s="66">
        <f t="shared" si="21"/>
        <v>1.0838978634705576</v>
      </c>
      <c r="AI92" s="283">
        <f>RTD("money.excel",,$G92,"PredictVolume")</f>
        <v>104</v>
      </c>
      <c r="AJ92" s="391">
        <f>IFERROR(VLOOKUP($G92,基本資料!$A:$M,13,0),"無")</f>
        <v>95.95</v>
      </c>
      <c r="AR92" s="245" t="str">
        <f>INDEX(基本資料!N:N,MATCH($G92,基本資料!A:A,0))</f>
        <v>高</v>
      </c>
    </row>
    <row r="93" spans="1:44">
      <c r="A93" s="343">
        <f>IFERROR(VLOOKUP($G93,基本資料!$A:$J,3,0),"無")</f>
        <v>53.16</v>
      </c>
      <c r="B93" s="79">
        <f>IFERROR(VLOOKUP($G93,基本資料!$A:$J,4,0),"無")</f>
        <v>2393</v>
      </c>
      <c r="C93" s="79">
        <f>IFERROR(VLOOKUP($G93,基本資料!$A:$J,5,0),"無")</f>
        <v>331</v>
      </c>
      <c r="D93" s="79">
        <f>IFERROR(VLOOKUP($G93,基本資料!$A:$J,6,0),"無")</f>
        <v>-19</v>
      </c>
      <c r="E93" s="79">
        <f>IFERROR(VLOOKUP($G93,基本資料!$A:$J,7,0),"無")</f>
        <v>3</v>
      </c>
      <c r="F93" s="6">
        <f>IFERROR(VLOOKUP($G93,基本資料!$A:$J,8,0),"無")</f>
        <v>5.78</v>
      </c>
      <c r="G93" s="79">
        <v>1455</v>
      </c>
      <c r="H93" s="8" t="s">
        <v>3171</v>
      </c>
      <c r="I93" s="22" t="s">
        <v>169</v>
      </c>
      <c r="J93" s="8" t="str">
        <f>IFERROR(VLOOKUP($G93,今日總結!$A:$AN,39,0),"")</f>
        <v>主</v>
      </c>
      <c r="K93" s="5">
        <f>IFERROR(VLOOKUP($G93,今日總結!$A:$AN,40,0),"")</f>
        <v>0</v>
      </c>
      <c r="L93" s="156">
        <f>IFERROR(VLOOKUP($G93,今日總結!$A:$AN,37,0),"")</f>
        <v>1</v>
      </c>
      <c r="M93" s="337">
        <f>IFERROR(VLOOKUP($G93,今日總結!$A:$AN,38,0),"")</f>
        <v>0</v>
      </c>
      <c r="N93" s="240">
        <f t="shared" si="22"/>
        <v>1</v>
      </c>
      <c r="O93" s="359">
        <f>IFERROR(VLOOKUP($G93,融外自投!$A:$J,7,0),"無")</f>
        <v>411</v>
      </c>
      <c r="P93" s="79">
        <f>IFERROR(VLOOKUP($G93,融外自投!$A:$J,9,0),"無")</f>
        <v>286</v>
      </c>
      <c r="Q93" s="342">
        <f>IFERROR(VLOOKUP($G93,融外自投!$A:$J,8,0),"無")</f>
        <v>1133</v>
      </c>
      <c r="R93" s="81" t="str">
        <f>IFERROR(VLOOKUP($G93,融外自投!$A:$J,10,0),"無")</f>
        <v>無</v>
      </c>
      <c r="S93" s="324">
        <f>IFERROR(VLOOKUP($G93,'321買'!$A:$E,4,0),"'沒有資料'")</f>
        <v>343</v>
      </c>
      <c r="T93" s="186">
        <f>IFERROR(VLOOKUP($G93,基本資料!$A:$J,9,0),"無")</f>
        <v>0.8</v>
      </c>
      <c r="U93" s="307">
        <f t="shared" si="14"/>
        <v>6.1538461538461542E-2</v>
      </c>
      <c r="V93" s="94">
        <f>IFERROR(VLOOKUP($G93,基本資料!$A:$J,10,0),"無")</f>
        <v>1.73</v>
      </c>
      <c r="W93" s="36">
        <f>RTD("money.excel",,"1455","Price")</f>
        <v>13</v>
      </c>
      <c r="X93" s="66"/>
      <c r="Y93" s="15">
        <f t="shared" si="18"/>
        <v>13</v>
      </c>
      <c r="Z93" s="3" t="e">
        <f t="shared" si="19"/>
        <v>#DIV/0!</v>
      </c>
      <c r="AA93" s="340">
        <f>IFERROR(VLOOKUP($G93,基本資料!$A:$M,11,0),"無")</f>
        <v>-52.64</v>
      </c>
      <c r="AB93" s="389">
        <f>IFERROR(VLOOKUP($G93,基本資料!$A:$M,12,0),"無")</f>
        <v>15.53</v>
      </c>
      <c r="AC93" s="22" t="s">
        <v>169</v>
      </c>
      <c r="AF93" s="33">
        <f t="shared" si="20"/>
        <v>0</v>
      </c>
      <c r="AG93" s="117" t="s">
        <v>1520</v>
      </c>
      <c r="AH93" s="66">
        <f t="shared" si="21"/>
        <v>0.44654202214557998</v>
      </c>
      <c r="AI93" s="283">
        <f>RTD("money.excel",,$G93,"PredictVolume")</f>
        <v>738</v>
      </c>
      <c r="AJ93" s="391">
        <f>IFERROR(VLOOKUP($G93,基本資料!$A:$M,13,0),"無")</f>
        <v>1652.7</v>
      </c>
      <c r="AR93" s="245" t="str">
        <f>INDEX(基本資料!N:N,MATCH($G93,基本資料!A:A,0))</f>
        <v>低</v>
      </c>
    </row>
    <row r="94" spans="1:44">
      <c r="A94" s="343">
        <f>IFERROR(VLOOKUP($G94,基本資料!$A:$J,3,0),"無")</f>
        <v>9.3699999999999992</v>
      </c>
      <c r="B94" s="79">
        <f>IFERROR(VLOOKUP($G94,基本資料!$A:$J,4,0),"無")</f>
        <v>567</v>
      </c>
      <c r="C94" s="79">
        <f>IFERROR(VLOOKUP($G94,基本資料!$A:$J,5,0),"無")</f>
        <v>287</v>
      </c>
      <c r="D94" s="79">
        <f>IFERROR(VLOOKUP($G94,基本資料!$A:$J,6,0),"無")</f>
        <v>122</v>
      </c>
      <c r="E94" s="79">
        <f>IFERROR(VLOOKUP($G94,基本資料!$A:$J,7,0),"無")</f>
        <v>23</v>
      </c>
      <c r="F94" s="6">
        <f>IFERROR(VLOOKUP($G94,基本資料!$A:$J,8,0),"無")</f>
        <v>24.73</v>
      </c>
      <c r="G94" s="79">
        <v>1456</v>
      </c>
      <c r="H94" s="8" t="s">
        <v>3171</v>
      </c>
      <c r="I94" s="22" t="s">
        <v>739</v>
      </c>
      <c r="J94" s="8">
        <f>IFERROR(VLOOKUP($G94,今日總結!$A:$AN,39,0),"")</f>
        <v>0</v>
      </c>
      <c r="K94" s="5">
        <f>IFERROR(VLOOKUP($G94,今日總結!$A:$AN,40,0),"")</f>
        <v>0</v>
      </c>
      <c r="L94" s="156">
        <f>IFERROR(VLOOKUP($G94,今日總結!$A:$AN,37,0),"")</f>
        <v>0</v>
      </c>
      <c r="M94" s="337">
        <f>IFERROR(VLOOKUP($G94,今日總結!$A:$AN,38,0),"")</f>
        <v>0</v>
      </c>
      <c r="N94" s="240">
        <f t="shared" si="22"/>
        <v>0</v>
      </c>
      <c r="O94" s="359">
        <f>IFERROR(VLOOKUP($G94,融外自投!$A:$J,7,0),"無")</f>
        <v>697</v>
      </c>
      <c r="P94" s="79">
        <f>IFERROR(VLOOKUP($G94,融外自投!$A:$J,9,0),"無")</f>
        <v>2</v>
      </c>
      <c r="Q94" s="342">
        <f>IFERROR(VLOOKUP($G94,融外自投!$A:$J,8,0),"無")</f>
        <v>1397</v>
      </c>
      <c r="R94" s="81" t="str">
        <f>IFERROR(VLOOKUP($G94,融外自投!$A:$J,10,0),"無")</f>
        <v>無</v>
      </c>
      <c r="S94" s="324">
        <f>IFERROR(VLOOKUP($G94,'321買'!$A:$E,4,0),"'沒有資料'")</f>
        <v>801</v>
      </c>
      <c r="T94" s="186">
        <f>IFERROR(VLOOKUP($G94,基本資料!$A:$J,9,0),"無")</f>
        <v>1.5</v>
      </c>
      <c r="U94" s="307">
        <f t="shared" si="14"/>
        <v>7.6923076923076927E-2</v>
      </c>
      <c r="V94" s="94">
        <f>IFERROR(VLOOKUP($G94,基本資料!$A:$J,10,0),"無")</f>
        <v>4.8499999999999996</v>
      </c>
      <c r="W94" s="36">
        <f>RTD("money.excel",,"1456","Price")</f>
        <v>19.5</v>
      </c>
      <c r="X94" s="66"/>
      <c r="Y94" s="15">
        <f t="shared" si="18"/>
        <v>19.5</v>
      </c>
      <c r="Z94" s="3" t="e">
        <f t="shared" si="19"/>
        <v>#DIV/0!</v>
      </c>
      <c r="AA94" s="340">
        <f>IFERROR(VLOOKUP($G94,基本資料!$A:$M,11,0),"無")</f>
        <v>-38.97</v>
      </c>
      <c r="AB94" s="389">
        <f>IFERROR(VLOOKUP($G94,基本資料!$A:$M,12,0),"無")</f>
        <v>25.63</v>
      </c>
      <c r="AC94" s="22" t="s">
        <v>739</v>
      </c>
      <c r="AF94" s="33">
        <f t="shared" si="20"/>
        <v>0</v>
      </c>
      <c r="AG94" s="43" t="s">
        <v>2773</v>
      </c>
      <c r="AH94" s="66">
        <f t="shared" si="21"/>
        <v>1.2875536480686693</v>
      </c>
      <c r="AI94" s="283">
        <f>RTD("money.excel",,$G94,"PredictVolume")</f>
        <v>45</v>
      </c>
      <c r="AJ94" s="391">
        <f>IFERROR(VLOOKUP($G94,基本資料!$A:$M,13,0),"無")</f>
        <v>34.950000000000003</v>
      </c>
      <c r="AR94" s="245" t="str">
        <f>INDEX(基本資料!N:N,MATCH($G94,基本資料!A:A,0))</f>
        <v>低</v>
      </c>
    </row>
    <row r="95" spans="1:44">
      <c r="A95" s="343">
        <f>IFERROR(VLOOKUP($G95,基本資料!$A:$J,3,0),"無")</f>
        <v>30.16</v>
      </c>
      <c r="B95" s="79">
        <f>IFERROR(VLOOKUP($G95,基本資料!$A:$J,4,0),"無")</f>
        <v>-34</v>
      </c>
      <c r="C95" s="79">
        <f>IFERROR(VLOOKUP($G95,基本資料!$A:$J,5,0),"無")</f>
        <v>-63</v>
      </c>
      <c r="D95" s="79">
        <f>IFERROR(VLOOKUP($G95,基本資料!$A:$J,6,0),"無")</f>
        <v>-7</v>
      </c>
      <c r="E95" s="79">
        <f>IFERROR(VLOOKUP($G95,基本資料!$A:$J,7,0),"無")</f>
        <v>12</v>
      </c>
      <c r="F95" s="6">
        <f>IFERROR(VLOOKUP($G95,基本資料!$A:$J,8,0),"無")</f>
        <v>7.96</v>
      </c>
      <c r="G95" s="79">
        <v>1457</v>
      </c>
      <c r="H95" s="8" t="s">
        <v>3171</v>
      </c>
      <c r="I95" s="22" t="s">
        <v>740</v>
      </c>
      <c r="J95" s="8">
        <f>IFERROR(VLOOKUP($G95,今日總結!$A:$AN,39,0),"")</f>
        <v>0</v>
      </c>
      <c r="K95" s="5">
        <f>IFERROR(VLOOKUP($G95,今日總結!$A:$AN,40,0),"")</f>
        <v>0</v>
      </c>
      <c r="L95" s="156">
        <f>IFERROR(VLOOKUP($G95,今日總結!$A:$AN,37,0),"")</f>
        <v>0</v>
      </c>
      <c r="M95" s="337">
        <f>IFERROR(VLOOKUP($G95,今日總結!$A:$AN,38,0),"")</f>
        <v>0</v>
      </c>
      <c r="N95" s="240">
        <f t="shared" si="22"/>
        <v>0</v>
      </c>
      <c r="O95" s="359">
        <f>IFERROR(VLOOKUP($G95,融外自投!$A:$J,7,0),"無")</f>
        <v>887</v>
      </c>
      <c r="P95" s="79">
        <f>IFERROR(VLOOKUP($G95,融外自投!$A:$J,9,0),"無")</f>
        <v>1123</v>
      </c>
      <c r="Q95" s="342">
        <f>IFERROR(VLOOKUP($G95,融外自投!$A:$J,8,0),"無")</f>
        <v>1023</v>
      </c>
      <c r="R95" s="81" t="str">
        <f>IFERROR(VLOOKUP($G95,融外自投!$A:$J,10,0),"無")</f>
        <v>無</v>
      </c>
      <c r="S95" s="324">
        <f>IFERROR(VLOOKUP($G95,'321買'!$A:$E,4,0),"'沒有資料'")</f>
        <v>891</v>
      </c>
      <c r="T95" s="186">
        <f>IFERROR(VLOOKUP($G95,基本資料!$A:$J,9,0),"無")</f>
        <v>1</v>
      </c>
      <c r="U95" s="307">
        <f t="shared" si="14"/>
        <v>5.3619302949061663E-2</v>
      </c>
      <c r="V95" s="94">
        <f>IFERROR(VLOOKUP($G95,基本資料!$A:$J,10,0),"無")</f>
        <v>0.9</v>
      </c>
      <c r="W95" s="36">
        <f>RTD("money.excel",,"1457","Price")</f>
        <v>18.649999999999999</v>
      </c>
      <c r="X95" s="66"/>
      <c r="Y95" s="15">
        <f t="shared" si="18"/>
        <v>18.649999999999999</v>
      </c>
      <c r="Z95" s="3" t="e">
        <f t="shared" si="19"/>
        <v>#DIV/0!</v>
      </c>
      <c r="AA95" s="340">
        <f>IFERROR(VLOOKUP($G95,基本資料!$A:$M,11,0),"無")</f>
        <v>-10.77</v>
      </c>
      <c r="AB95" s="389">
        <f>IFERROR(VLOOKUP($G95,基本資料!$A:$M,12,0),"無")</f>
        <v>37.119999999999997</v>
      </c>
      <c r="AC95" s="22" t="s">
        <v>740</v>
      </c>
      <c r="AF95" s="33">
        <f t="shared" si="20"/>
        <v>0</v>
      </c>
      <c r="AG95" s="43" t="s">
        <v>1520</v>
      </c>
      <c r="AH95" s="66">
        <f t="shared" si="21"/>
        <v>5.0144826787162549</v>
      </c>
      <c r="AI95" s="283">
        <f>RTD("money.excel",,$G95,"PredictVolume")</f>
        <v>2164</v>
      </c>
      <c r="AJ95" s="391">
        <f>IFERROR(VLOOKUP($G95,基本資料!$A:$M,13,0),"無")</f>
        <v>431.55</v>
      </c>
      <c r="AR95" s="245" t="str">
        <f>INDEX(基本資料!N:N,MATCH($G95,基本資料!A:A,0))</f>
        <v>中</v>
      </c>
    </row>
    <row r="96" spans="1:44">
      <c r="A96" s="343">
        <f>IFERROR(VLOOKUP($G96,基本資料!$A:$J,3,0),"無")</f>
        <v>35.86</v>
      </c>
      <c r="B96" s="79">
        <f>IFERROR(VLOOKUP($G96,基本資料!$A:$J,4,0),"無")</f>
        <v>514</v>
      </c>
      <c r="C96" s="79">
        <f>IFERROR(VLOOKUP($G96,基本資料!$A:$J,5,0),"無")</f>
        <v>71</v>
      </c>
      <c r="D96" s="79">
        <f>IFERROR(VLOOKUP($G96,基本資料!$A:$J,6,0),"無")</f>
        <v>-8</v>
      </c>
      <c r="E96" s="79">
        <f>IFERROR(VLOOKUP($G96,基本資料!$A:$J,7,0),"無")</f>
        <v>-1</v>
      </c>
      <c r="F96" s="6">
        <f>IFERROR(VLOOKUP($G96,基本資料!$A:$J,8,0),"無")</f>
        <v>-2.57</v>
      </c>
      <c r="G96" s="79">
        <v>1459</v>
      </c>
      <c r="H96" s="8" t="s">
        <v>3171</v>
      </c>
      <c r="I96" s="22" t="s">
        <v>741</v>
      </c>
      <c r="J96" s="8">
        <f>IFERROR(VLOOKUP($G96,今日總結!$A:$AN,39,0),"")</f>
        <v>0</v>
      </c>
      <c r="K96" s="5">
        <f>IFERROR(VLOOKUP($G96,今日總結!$A:$AN,40,0),"")</f>
        <v>0</v>
      </c>
      <c r="L96" s="156">
        <f>IFERROR(VLOOKUP($G96,今日總結!$A:$AN,37,0),"")</f>
        <v>0</v>
      </c>
      <c r="M96" s="337">
        <f>IFERROR(VLOOKUP($G96,今日總結!$A:$AN,38,0),"")</f>
        <v>0</v>
      </c>
      <c r="N96" s="240">
        <f t="shared" si="22"/>
        <v>0</v>
      </c>
      <c r="O96" s="359">
        <f>IFERROR(VLOOKUP($G96,融外自投!$A:$J,7,0),"無")</f>
        <v>1177</v>
      </c>
      <c r="P96" s="79" t="str">
        <f>IFERROR(VLOOKUP($G96,融外自投!$A:$J,9,0),"無")</f>
        <v>無</v>
      </c>
      <c r="Q96" s="342">
        <f>IFERROR(VLOOKUP($G96,融外自投!$A:$J,8,0),"無")</f>
        <v>1100</v>
      </c>
      <c r="R96" s="81" t="str">
        <f>IFERROR(VLOOKUP($G96,融外自投!$A:$J,10,0),"無")</f>
        <v>無</v>
      </c>
      <c r="S96" s="324">
        <f>IFERROR(VLOOKUP($G96,'321買'!$A:$E,4,0),"'沒有資料'")</f>
        <v>1002</v>
      </c>
      <c r="T96" s="186">
        <f>IFERROR(VLOOKUP($G96,基本資料!$A:$J,9,0),"無")</f>
        <v>0.2</v>
      </c>
      <c r="U96" s="307">
        <f t="shared" si="14"/>
        <v>2.0060180541624874E-2</v>
      </c>
      <c r="V96" s="94">
        <f>IFERROR(VLOOKUP($G96,基本資料!$A:$J,10,0),"無")</f>
        <v>2.0099999999999998</v>
      </c>
      <c r="W96" s="36">
        <f>RTD("money.excel",,"1459","Price")</f>
        <v>9.9700000000000006</v>
      </c>
      <c r="X96" s="66"/>
      <c r="Y96" s="15">
        <f t="shared" si="18"/>
        <v>9.9700000000000006</v>
      </c>
      <c r="Z96" s="3" t="e">
        <f t="shared" si="19"/>
        <v>#DIV/0!</v>
      </c>
      <c r="AA96" s="340">
        <f>IFERROR(VLOOKUP($G96,基本資料!$A:$M,11,0),"無")</f>
        <v>-37.69</v>
      </c>
      <c r="AB96" s="389">
        <f>IFERROR(VLOOKUP($G96,基本資料!$A:$M,12,0),"無")</f>
        <v>13.46</v>
      </c>
      <c r="AC96" s="22" t="s">
        <v>741</v>
      </c>
      <c r="AF96" s="33">
        <f t="shared" si="20"/>
        <v>0</v>
      </c>
      <c r="AG96" s="43" t="s">
        <v>1998</v>
      </c>
      <c r="AH96" s="66">
        <f t="shared" si="21"/>
        <v>0.16318785578747627</v>
      </c>
      <c r="AI96" s="283">
        <f>RTD("money.excel",,$G96,"PredictVolume")</f>
        <v>43</v>
      </c>
      <c r="AJ96" s="391">
        <f>IFERROR(VLOOKUP($G96,基本資料!$A:$M,13,0),"無")</f>
        <v>263.5</v>
      </c>
      <c r="AR96" s="245" t="str">
        <f>INDEX(基本資料!N:N,MATCH($G96,基本資料!A:A,0))</f>
        <v>低</v>
      </c>
    </row>
    <row r="97" spans="1:44">
      <c r="A97" s="343">
        <f>IFERROR(VLOOKUP($G97,基本資料!$A:$J,3,0),"無")</f>
        <v>69.459999999999994</v>
      </c>
      <c r="B97" s="79">
        <f>IFERROR(VLOOKUP($G97,基本資料!$A:$J,4,0),"無")</f>
        <v>119</v>
      </c>
      <c r="C97" s="79">
        <f>IFERROR(VLOOKUP($G97,基本資料!$A:$J,5,0),"無")</f>
        <v>142</v>
      </c>
      <c r="D97" s="79">
        <f>IFERROR(VLOOKUP($G97,基本資料!$A:$J,6,0),"無")</f>
        <v>-24</v>
      </c>
      <c r="E97" s="79">
        <f>IFERROR(VLOOKUP($G97,基本資料!$A:$J,7,0),"無")</f>
        <v>-2</v>
      </c>
      <c r="F97" s="6">
        <f>IFERROR(VLOOKUP($G97,基本資料!$A:$J,8,0),"無")</f>
        <v>3.64</v>
      </c>
      <c r="G97" s="79">
        <v>1460</v>
      </c>
      <c r="H97" s="8" t="s">
        <v>3171</v>
      </c>
      <c r="I97" s="22" t="s">
        <v>742</v>
      </c>
      <c r="J97" s="8">
        <f>IFERROR(VLOOKUP($G97,今日總結!$A:$AN,39,0),"")</f>
        <v>0</v>
      </c>
      <c r="K97" s="5" t="str">
        <f>IFERROR(VLOOKUP($G97,今日總結!$A:$AN,40,0),"")</f>
        <v>主</v>
      </c>
      <c r="L97" s="156">
        <f>IFERROR(VLOOKUP($G97,今日總結!$A:$AN,37,0),"")</f>
        <v>0</v>
      </c>
      <c r="M97" s="337">
        <f>IFERROR(VLOOKUP($G97,今日總結!$A:$AN,38,0),"")</f>
        <v>3</v>
      </c>
      <c r="N97" s="240">
        <f t="shared" si="22"/>
        <v>-3</v>
      </c>
      <c r="O97" s="359">
        <f>IFERROR(VLOOKUP($G97,融外自投!$A:$J,7,0),"無")</f>
        <v>1222</v>
      </c>
      <c r="P97" s="79" t="str">
        <f>IFERROR(VLOOKUP($G97,融外自投!$A:$J,9,0),"無")</f>
        <v>無</v>
      </c>
      <c r="Q97" s="342">
        <f>IFERROR(VLOOKUP($G97,融外自投!$A:$J,8,0),"無")</f>
        <v>1160</v>
      </c>
      <c r="R97" s="81" t="str">
        <f>IFERROR(VLOOKUP($G97,融外自投!$A:$J,10,0),"無")</f>
        <v>無</v>
      </c>
      <c r="S97" s="324">
        <f>IFERROR(VLOOKUP($G97,'321買'!$A:$E,4,0),"'沒有資料'")</f>
        <v>1002</v>
      </c>
      <c r="T97" s="186">
        <f>IFERROR(VLOOKUP($G97,基本資料!$A:$J,9,0),"無")</f>
        <v>0</v>
      </c>
      <c r="U97" s="307">
        <f t="shared" si="14"/>
        <v>0</v>
      </c>
      <c r="V97" s="94">
        <f>IFERROR(VLOOKUP($G97,基本資料!$A:$J,10,0),"無")</f>
        <v>0.39</v>
      </c>
      <c r="W97" s="36">
        <f>RTD("money.excel",,"1460","Price")</f>
        <v>7.45</v>
      </c>
      <c r="X97" s="66"/>
      <c r="Y97" s="15">
        <f t="shared" si="18"/>
        <v>7.45</v>
      </c>
      <c r="Z97" s="3" t="e">
        <f t="shared" si="19"/>
        <v>#DIV/0!</v>
      </c>
      <c r="AA97" s="340">
        <f>IFERROR(VLOOKUP($G97,基本資料!$A:$M,11,0),"無")</f>
        <v>-48.62</v>
      </c>
      <c r="AB97" s="389">
        <f>IFERROR(VLOOKUP($G97,基本資料!$A:$M,12,0),"無")</f>
        <v>24.08</v>
      </c>
      <c r="AC97" s="22" t="s">
        <v>742</v>
      </c>
      <c r="AF97" s="33">
        <f t="shared" si="20"/>
        <v>0</v>
      </c>
      <c r="AG97" s="43" t="s">
        <v>3331</v>
      </c>
      <c r="AH97" s="66">
        <f t="shared" si="21"/>
        <v>0.62358845671267249</v>
      </c>
      <c r="AI97" s="283">
        <f>RTD("money.excel",,$G97,"PredictVolume")</f>
        <v>994</v>
      </c>
      <c r="AJ97" s="391">
        <f>IFERROR(VLOOKUP($G97,基本資料!$A:$M,13,0),"無")</f>
        <v>1594</v>
      </c>
      <c r="AR97" s="245" t="str">
        <f>INDEX(基本資料!N:N,MATCH($G97,基本資料!A:A,0))</f>
        <v>低</v>
      </c>
    </row>
    <row r="98" spans="1:44">
      <c r="A98" s="343">
        <f>IFERROR(VLOOKUP($G98,基本資料!$A:$J,3,0),"無")</f>
        <v>17.32</v>
      </c>
      <c r="B98" s="79">
        <f>IFERROR(VLOOKUP($G98,基本資料!$A:$J,4,0),"無")</f>
        <v>34</v>
      </c>
      <c r="C98" s="79">
        <f>IFERROR(VLOOKUP($G98,基本資料!$A:$J,5,0),"無")</f>
        <v>-113</v>
      </c>
      <c r="D98" s="79">
        <f>IFERROR(VLOOKUP($G98,基本資料!$A:$J,6,0),"無")</f>
        <v>-8</v>
      </c>
      <c r="E98" s="79">
        <f>IFERROR(VLOOKUP($G98,基本資料!$A:$J,7,0),"無")</f>
        <v>5</v>
      </c>
      <c r="F98" s="6">
        <f>IFERROR(VLOOKUP($G98,基本資料!$A:$J,8,0),"無")</f>
        <v>-0.25</v>
      </c>
      <c r="G98" s="79">
        <v>1463</v>
      </c>
      <c r="H98" s="8" t="s">
        <v>3171</v>
      </c>
      <c r="I98" s="22" t="s">
        <v>743</v>
      </c>
      <c r="J98" s="8">
        <f>IFERROR(VLOOKUP($G98,今日總結!$A:$AN,39,0),"")</f>
        <v>0</v>
      </c>
      <c r="K98" s="5">
        <f>IFERROR(VLOOKUP($G98,今日總結!$A:$AN,40,0),"")</f>
        <v>0</v>
      </c>
      <c r="L98" s="156">
        <f>IFERROR(VLOOKUP($G98,今日總結!$A:$AN,37,0),"")</f>
        <v>0</v>
      </c>
      <c r="M98" s="337">
        <f>IFERROR(VLOOKUP($G98,今日總結!$A:$AN,38,0),"")</f>
        <v>0</v>
      </c>
      <c r="N98" s="240">
        <f t="shared" si="22"/>
        <v>0</v>
      </c>
      <c r="O98" s="359">
        <f>IFERROR(VLOOKUP($G98,融外自投!$A:$J,7,0),"無")</f>
        <v>1068</v>
      </c>
      <c r="P98" s="79">
        <f>IFERROR(VLOOKUP($G98,融外自投!$A:$J,9,0),"無")</f>
        <v>990</v>
      </c>
      <c r="Q98" s="342">
        <f>IFERROR(VLOOKUP($G98,融外自投!$A:$J,8,0),"無")</f>
        <v>1005</v>
      </c>
      <c r="R98" s="81" t="str">
        <f>IFERROR(VLOOKUP($G98,融外自投!$A:$J,10,0),"無")</f>
        <v>無</v>
      </c>
      <c r="S98" s="324">
        <f>IFERROR(VLOOKUP($G98,'321買'!$A:$E,4,0),"'沒有資料'")</f>
        <v>1002</v>
      </c>
      <c r="T98" s="186">
        <f>IFERROR(VLOOKUP($G98,基本資料!$A:$J,9,0),"無")</f>
        <v>0.4</v>
      </c>
      <c r="U98" s="307">
        <f t="shared" si="14"/>
        <v>2.9739776951672865E-2</v>
      </c>
      <c r="V98" s="94">
        <f>IFERROR(VLOOKUP($G98,基本資料!$A:$J,10,0),"無")</f>
        <v>0.49</v>
      </c>
      <c r="W98" s="36">
        <f>RTD("money.excel",,"1463","Price")</f>
        <v>13.45</v>
      </c>
      <c r="X98" s="66"/>
      <c r="Y98" s="15">
        <f t="shared" si="18"/>
        <v>13.45</v>
      </c>
      <c r="Z98" s="3" t="e">
        <f t="shared" si="19"/>
        <v>#DIV/0!</v>
      </c>
      <c r="AA98" s="340">
        <f>IFERROR(VLOOKUP($G98,基本資料!$A:$M,11,0),"無")</f>
        <v>-16.98</v>
      </c>
      <c r="AB98" s="389">
        <f>IFERROR(VLOOKUP($G98,基本資料!$A:$M,12,0),"無")</f>
        <v>39.380000000000003</v>
      </c>
      <c r="AC98" s="22" t="s">
        <v>743</v>
      </c>
      <c r="AF98" s="33">
        <f t="shared" si="20"/>
        <v>0</v>
      </c>
      <c r="AG98" s="43" t="s">
        <v>2387</v>
      </c>
      <c r="AH98" s="66">
        <f t="shared" si="21"/>
        <v>0.23705552089831564</v>
      </c>
      <c r="AI98" s="283">
        <f>RTD("money.excel",,$G98,"PredictVolume")</f>
        <v>19</v>
      </c>
      <c r="AJ98" s="391">
        <f>IFERROR(VLOOKUP($G98,基本資料!$A:$M,13,0),"無")</f>
        <v>80.150000000000006</v>
      </c>
      <c r="AR98" s="245" t="str">
        <f>INDEX(基本資料!N:N,MATCH($G98,基本資料!A:A,0))</f>
        <v>低</v>
      </c>
    </row>
    <row r="99" spans="1:44">
      <c r="A99" s="343">
        <f>IFERROR(VLOOKUP($G99,基本資料!$A:$J,3,0),"無")</f>
        <v>38.450000000000003</v>
      </c>
      <c r="B99" s="79">
        <f>IFERROR(VLOOKUP($G99,基本資料!$A:$J,4,0),"無")</f>
        <v>194</v>
      </c>
      <c r="C99" s="79">
        <f>IFERROR(VLOOKUP($G99,基本資料!$A:$J,5,0),"無")</f>
        <v>11661</v>
      </c>
      <c r="D99" s="79">
        <f>IFERROR(VLOOKUP($G99,基本資料!$A:$J,6,0),"無")</f>
        <v>-11</v>
      </c>
      <c r="E99" s="79">
        <f>IFERROR(VLOOKUP($G99,基本資料!$A:$J,7,0),"無")</f>
        <v>18</v>
      </c>
      <c r="F99" s="6">
        <f>IFERROR(VLOOKUP($G99,基本資料!$A:$J,8,0),"無")</f>
        <v>3.54</v>
      </c>
      <c r="G99" s="79">
        <v>1464</v>
      </c>
      <c r="H99" s="8" t="s">
        <v>3171</v>
      </c>
      <c r="I99" s="22" t="s">
        <v>744</v>
      </c>
      <c r="J99" s="8">
        <f>IFERROR(VLOOKUP($G99,今日總結!$A:$AN,39,0),"")</f>
        <v>0</v>
      </c>
      <c r="K99" s="5">
        <f>IFERROR(VLOOKUP($G99,今日總結!$A:$AN,40,0),"")</f>
        <v>0</v>
      </c>
      <c r="L99" s="156">
        <f>IFERROR(VLOOKUP($G99,今日總結!$A:$AN,37,0),"")</f>
        <v>0</v>
      </c>
      <c r="M99" s="337">
        <f>IFERROR(VLOOKUP($G99,今日總結!$A:$AN,38,0),"")</f>
        <v>0</v>
      </c>
      <c r="N99" s="240">
        <f t="shared" si="22"/>
        <v>0</v>
      </c>
      <c r="O99" s="359">
        <f>IFERROR(VLOOKUP($G99,融外自投!$A:$J,7,0),"無")</f>
        <v>1059</v>
      </c>
      <c r="P99" s="79" t="str">
        <f>IFERROR(VLOOKUP($G99,融外自投!$A:$J,9,0),"無")</f>
        <v>無</v>
      </c>
      <c r="Q99" s="342">
        <f>IFERROR(VLOOKUP($G99,融外自投!$A:$J,8,0),"無")</f>
        <v>1123</v>
      </c>
      <c r="R99" s="81" t="str">
        <f>IFERROR(VLOOKUP($G99,融外自投!$A:$J,10,0),"無")</f>
        <v>無</v>
      </c>
      <c r="S99" s="324">
        <f>IFERROR(VLOOKUP($G99,'321買'!$A:$E,4,0),"'沒有資料'")</f>
        <v>801</v>
      </c>
      <c r="T99" s="186">
        <f>IFERROR(VLOOKUP($G99,基本資料!$A:$J,9,0),"無")</f>
        <v>0.25</v>
      </c>
      <c r="U99" s="307">
        <f t="shared" si="14"/>
        <v>1.779359430604982E-2</v>
      </c>
      <c r="V99" s="94">
        <f>IFERROR(VLOOKUP($G99,基本資料!$A:$J,10,0),"無")</f>
        <v>0.48</v>
      </c>
      <c r="W99" s="36">
        <f>RTD("money.excel",,"1464","Price")</f>
        <v>14.05</v>
      </c>
      <c r="X99" s="66"/>
      <c r="Y99" s="15">
        <f t="shared" si="18"/>
        <v>14.05</v>
      </c>
      <c r="Z99" s="3" t="e">
        <f t="shared" si="19"/>
        <v>#DIV/0!</v>
      </c>
      <c r="AA99" s="340">
        <f>IFERROR(VLOOKUP($G99,基本資料!$A:$M,11,0),"無")</f>
        <v>-25.27</v>
      </c>
      <c r="AB99" s="389">
        <f>IFERROR(VLOOKUP($G99,基本資料!$A:$M,12,0),"無")</f>
        <v>18.649999999999999</v>
      </c>
      <c r="AC99" s="22" t="s">
        <v>744</v>
      </c>
      <c r="AF99" s="33">
        <f t="shared" si="20"/>
        <v>0</v>
      </c>
      <c r="AG99" s="43" t="s">
        <v>2020</v>
      </c>
      <c r="AH99" s="66">
        <f t="shared" si="21"/>
        <v>0.46636170924913534</v>
      </c>
      <c r="AI99" s="283">
        <f>RTD("money.excel",,$G99,"PredictVolume")</f>
        <v>209</v>
      </c>
      <c r="AJ99" s="391">
        <f>IFERROR(VLOOKUP($G99,基本資料!$A:$M,13,0),"無")</f>
        <v>448.15</v>
      </c>
      <c r="AR99" s="245" t="str">
        <f>INDEX(基本資料!N:N,MATCH($G99,基本資料!A:A,0))</f>
        <v>低</v>
      </c>
    </row>
    <row r="100" spans="1:44">
      <c r="A100" s="343">
        <f>IFERROR(VLOOKUP($G100,基本資料!$A:$J,3,0),"無")</f>
        <v>10.36</v>
      </c>
      <c r="B100" s="79">
        <f>IFERROR(VLOOKUP($G100,基本資料!$A:$J,4,0),"無")</f>
        <v>-282</v>
      </c>
      <c r="C100" s="79">
        <f>IFERROR(VLOOKUP($G100,基本資料!$A:$J,5,0),"無")</f>
        <v>-83</v>
      </c>
      <c r="D100" s="79">
        <f>IFERROR(VLOOKUP($G100,基本資料!$A:$J,6,0),"無")</f>
        <v>-63</v>
      </c>
      <c r="E100" s="79">
        <f>IFERROR(VLOOKUP($G100,基本資料!$A:$J,7,0),"無")</f>
        <v>23</v>
      </c>
      <c r="F100" s="6">
        <f>IFERROR(VLOOKUP($G100,基本資料!$A:$J,8,0),"無")</f>
        <v>-7</v>
      </c>
      <c r="G100" s="79">
        <v>1465</v>
      </c>
      <c r="H100" s="8" t="s">
        <v>3171</v>
      </c>
      <c r="I100" s="22" t="s">
        <v>745</v>
      </c>
      <c r="J100" s="8">
        <f>IFERROR(VLOOKUP($G100,今日總結!$A:$AN,39,0),"")</f>
        <v>0</v>
      </c>
      <c r="K100" s="5">
        <f>IFERROR(VLOOKUP($G100,今日總結!$A:$AN,40,0),"")</f>
        <v>0</v>
      </c>
      <c r="L100" s="156">
        <f>IFERROR(VLOOKUP($G100,今日總結!$A:$AN,37,0),"")</f>
        <v>0</v>
      </c>
      <c r="M100" s="337">
        <f>IFERROR(VLOOKUP($G100,今日總結!$A:$AN,38,0),"")</f>
        <v>0</v>
      </c>
      <c r="N100" s="240">
        <f t="shared" si="22"/>
        <v>0</v>
      </c>
      <c r="O100" s="359">
        <f>IFERROR(VLOOKUP($G100,融外自投!$A:$J,7,0),"無")</f>
        <v>233</v>
      </c>
      <c r="P100" s="79">
        <f>IFERROR(VLOOKUP($G100,融外自投!$A:$J,9,0),"無")</f>
        <v>990</v>
      </c>
      <c r="Q100" s="342">
        <f>IFERROR(VLOOKUP($G100,融外自投!$A:$J,8,0),"無")</f>
        <v>1354</v>
      </c>
      <c r="R100" s="81" t="str">
        <f>IFERROR(VLOOKUP($G100,融外自投!$A:$J,10,0),"無")</f>
        <v>無</v>
      </c>
      <c r="S100" s="324">
        <f>IFERROR(VLOOKUP($G100,'321買'!$A:$E,4,0),"'沒有資料'")</f>
        <v>1002</v>
      </c>
      <c r="T100" s="186">
        <f>IFERROR(VLOOKUP($G100,基本資料!$A:$J,9,0),"無")</f>
        <v>0.3</v>
      </c>
      <c r="U100" s="307">
        <f t="shared" si="14"/>
        <v>2.4291497975708502E-2</v>
      </c>
      <c r="V100" s="94">
        <f>IFERROR(VLOOKUP($G100,基本資料!$A:$J,10,0),"無")</f>
        <v>-0.93</v>
      </c>
      <c r="W100" s="36">
        <f>RTD("money.excel",,"1465","Price")</f>
        <v>12.35</v>
      </c>
      <c r="X100" s="66"/>
      <c r="Y100" s="15">
        <f t="shared" si="18"/>
        <v>12.35</v>
      </c>
      <c r="Z100" s="3" t="e">
        <f t="shared" si="19"/>
        <v>#DIV/0!</v>
      </c>
      <c r="AA100" s="340">
        <f>IFERROR(VLOOKUP($G100,基本資料!$A:$M,11,0),"無")</f>
        <v>-9.52</v>
      </c>
      <c r="AB100" s="389">
        <f>IFERROR(VLOOKUP($G100,基本資料!$A:$M,12,0),"無")</f>
        <v>44.34</v>
      </c>
      <c r="AC100" s="22" t="s">
        <v>745</v>
      </c>
      <c r="AF100" s="33">
        <f t="shared" si="20"/>
        <v>0</v>
      </c>
      <c r="AG100" s="43" t="s">
        <v>1521</v>
      </c>
      <c r="AH100" s="66">
        <f t="shared" si="21"/>
        <v>1.7034068136272547</v>
      </c>
      <c r="AI100" s="283">
        <f>RTD("money.excel",,$G100,"PredictVolume")</f>
        <v>85</v>
      </c>
      <c r="AJ100" s="391">
        <f>IFERROR(VLOOKUP($G100,基本資料!$A:$M,13,0),"無")</f>
        <v>49.9</v>
      </c>
      <c r="AR100" s="245" t="str">
        <f>INDEX(基本資料!N:N,MATCH($G100,基本資料!A:A,0))</f>
        <v>低</v>
      </c>
    </row>
    <row r="101" spans="1:44">
      <c r="A101" s="343">
        <f>IFERROR(VLOOKUP($G101,基本資料!$A:$J,3,0),"無")</f>
        <v>11.11</v>
      </c>
      <c r="B101" s="79">
        <f>IFERROR(VLOOKUP($G101,基本資料!$A:$J,4,0),"無")</f>
        <v>340</v>
      </c>
      <c r="C101" s="79">
        <f>IFERROR(VLOOKUP($G101,基本資料!$A:$J,5,0),"無")</f>
        <v>1512</v>
      </c>
      <c r="D101" s="79">
        <f>IFERROR(VLOOKUP($G101,基本資料!$A:$J,6,0),"無")</f>
        <v>-16</v>
      </c>
      <c r="E101" s="79">
        <f>IFERROR(VLOOKUP($G101,基本資料!$A:$J,7,0),"無")</f>
        <v>1</v>
      </c>
      <c r="F101" s="6">
        <f>IFERROR(VLOOKUP($G101,基本資料!$A:$J,8,0),"無")</f>
        <v>6.66</v>
      </c>
      <c r="G101" s="79">
        <v>1466</v>
      </c>
      <c r="H101" s="8" t="s">
        <v>3171</v>
      </c>
      <c r="I101" s="22" t="s">
        <v>746</v>
      </c>
      <c r="J101" s="8">
        <f>IFERROR(VLOOKUP($G101,今日總結!$A:$AN,39,0),"")</f>
        <v>0</v>
      </c>
      <c r="K101" s="5">
        <f>IFERROR(VLOOKUP($G101,今日總結!$A:$AN,40,0),"")</f>
        <v>0</v>
      </c>
      <c r="L101" s="156">
        <f>IFERROR(VLOOKUP($G101,今日總結!$A:$AN,37,0),"")</f>
        <v>0</v>
      </c>
      <c r="M101" s="337">
        <f>IFERROR(VLOOKUP($G101,今日總結!$A:$AN,38,0),"")</f>
        <v>0</v>
      </c>
      <c r="N101" s="240">
        <f t="shared" si="22"/>
        <v>0</v>
      </c>
      <c r="O101" s="359">
        <f>IFERROR(VLOOKUP($G101,融外自投!$A:$J,7,0),"無")</f>
        <v>480</v>
      </c>
      <c r="P101" s="79">
        <f>IFERROR(VLOOKUP($G101,融外自投!$A:$J,9,0),"無")</f>
        <v>487</v>
      </c>
      <c r="Q101" s="342">
        <f>IFERROR(VLOOKUP($G101,融外自投!$A:$J,8,0),"無")</f>
        <v>1233</v>
      </c>
      <c r="R101" s="81" t="str">
        <f>IFERROR(VLOOKUP($G101,融外自投!$A:$J,10,0),"無")</f>
        <v>無</v>
      </c>
      <c r="S101" s="324">
        <f>IFERROR(VLOOKUP($G101,'321買'!$A:$E,4,0),"'沒有資料'")</f>
        <v>743</v>
      </c>
      <c r="T101" s="186">
        <f>IFERROR(VLOOKUP($G101,基本資料!$A:$J,9,0),"無")</f>
        <v>1</v>
      </c>
      <c r="U101" s="307">
        <f t="shared" si="14"/>
        <v>7.3260073260073263E-2</v>
      </c>
      <c r="V101" s="94">
        <f>IFERROR(VLOOKUP($G101,基本資料!$A:$J,10,0),"無")</f>
        <v>1.6</v>
      </c>
      <c r="W101" s="36">
        <f>RTD("money.excel",,"1466","Price")</f>
        <v>13.65</v>
      </c>
      <c r="X101" s="66"/>
      <c r="Y101" s="15">
        <f t="shared" si="18"/>
        <v>13.65</v>
      </c>
      <c r="Z101" s="3" t="e">
        <f t="shared" si="19"/>
        <v>#DIV/0!</v>
      </c>
      <c r="AA101" s="340">
        <f>IFERROR(VLOOKUP($G101,基本資料!$A:$M,11,0),"無")</f>
        <v>-35.15</v>
      </c>
      <c r="AB101" s="389">
        <f>IFERROR(VLOOKUP($G101,基本資料!$A:$M,12,0),"無")</f>
        <v>27.1</v>
      </c>
      <c r="AC101" s="22" t="s">
        <v>746</v>
      </c>
      <c r="AF101" s="33">
        <f t="shared" si="20"/>
        <v>0</v>
      </c>
      <c r="AG101" s="43" t="s">
        <v>1520</v>
      </c>
      <c r="AH101" s="66">
        <f t="shared" si="21"/>
        <v>0.58738005234079682</v>
      </c>
      <c r="AI101" s="283">
        <f>RTD("money.excel",,$G101,"PredictVolume")</f>
        <v>101</v>
      </c>
      <c r="AJ101" s="391">
        <f>IFERROR(VLOOKUP($G101,基本資料!$A:$M,13,0),"無")</f>
        <v>171.95</v>
      </c>
      <c r="AR101" s="245" t="str">
        <f>INDEX(基本資料!N:N,MATCH($G101,基本資料!A:A,0))</f>
        <v>低</v>
      </c>
    </row>
    <row r="102" spans="1:44">
      <c r="A102" s="343">
        <f>IFERROR(VLOOKUP($G102,基本資料!$A:$J,3,0),"無")</f>
        <v>23.36</v>
      </c>
      <c r="B102" s="79">
        <f>IFERROR(VLOOKUP($G102,基本資料!$A:$J,4,0),"無")</f>
        <v>-125</v>
      </c>
      <c r="C102" s="79">
        <f>IFERROR(VLOOKUP($G102,基本資料!$A:$J,5,0),"無")</f>
        <v>-78</v>
      </c>
      <c r="D102" s="79">
        <f>IFERROR(VLOOKUP($G102,基本資料!$A:$J,6,0),"無")</f>
        <v>-29</v>
      </c>
      <c r="E102" s="79">
        <f>IFERROR(VLOOKUP($G102,基本資料!$A:$J,7,0),"無")</f>
        <v>-6</v>
      </c>
      <c r="F102" s="6">
        <f>IFERROR(VLOOKUP($G102,基本資料!$A:$J,8,0),"無")</f>
        <v>1.42</v>
      </c>
      <c r="G102" s="79">
        <v>1467</v>
      </c>
      <c r="H102" s="8" t="s">
        <v>3171</v>
      </c>
      <c r="I102" s="22" t="s">
        <v>747</v>
      </c>
      <c r="J102" s="8">
        <f>IFERROR(VLOOKUP($G102,今日總結!$A:$AN,39,0),"")</f>
        <v>0</v>
      </c>
      <c r="K102" s="5">
        <f>IFERROR(VLOOKUP($G102,今日總結!$A:$AN,40,0),"")</f>
        <v>0</v>
      </c>
      <c r="L102" s="156">
        <f>IFERROR(VLOOKUP($G102,今日總結!$A:$AN,37,0),"")</f>
        <v>0</v>
      </c>
      <c r="M102" s="337">
        <f>IFERROR(VLOOKUP($G102,今日總結!$A:$AN,38,0),"")</f>
        <v>0</v>
      </c>
      <c r="N102" s="240">
        <f t="shared" si="22"/>
        <v>0</v>
      </c>
      <c r="O102" s="359">
        <f>IFERROR(VLOOKUP($G102,融外自投!$A:$J,7,0),"無")</f>
        <v>86</v>
      </c>
      <c r="P102" s="79">
        <f>IFERROR(VLOOKUP($G102,融外自投!$A:$J,9,0),"無")</f>
        <v>635</v>
      </c>
      <c r="Q102" s="342">
        <f>IFERROR(VLOOKUP($G102,融外自投!$A:$J,8,0),"無")</f>
        <v>278</v>
      </c>
      <c r="R102" s="81" t="str">
        <f>IFERROR(VLOOKUP($G102,融外自投!$A:$J,10,0),"無")</f>
        <v>無</v>
      </c>
      <c r="S102" s="324">
        <f>IFERROR(VLOOKUP($G102,'321買'!$A:$E,4,0),"'沒有資料'")</f>
        <v>801</v>
      </c>
      <c r="T102" s="186">
        <f>IFERROR(VLOOKUP($G102,基本資料!$A:$J,9,0),"無")</f>
        <v>0</v>
      </c>
      <c r="U102" s="307">
        <f t="shared" si="14"/>
        <v>0</v>
      </c>
      <c r="V102" s="94">
        <f>IFERROR(VLOOKUP($G102,基本資料!$A:$J,10,0),"無")</f>
        <v>-0.13</v>
      </c>
      <c r="W102" s="36">
        <f>RTD("money.excel",,"1467","Price")</f>
        <v>13.7</v>
      </c>
      <c r="X102" s="66"/>
      <c r="Y102" s="15">
        <f t="shared" si="18"/>
        <v>13.7</v>
      </c>
      <c r="Z102" s="3" t="e">
        <f t="shared" si="19"/>
        <v>#DIV/0!</v>
      </c>
      <c r="AA102" s="340">
        <f>IFERROR(VLOOKUP($G102,基本資料!$A:$M,11,0),"無")</f>
        <v>-20.350000000000001</v>
      </c>
      <c r="AB102" s="389">
        <f>IFERROR(VLOOKUP($G102,基本資料!$A:$M,12,0),"無")</f>
        <v>26.79</v>
      </c>
      <c r="AC102" s="22" t="s">
        <v>747</v>
      </c>
      <c r="AF102" s="33">
        <f t="shared" si="20"/>
        <v>0</v>
      </c>
      <c r="AG102" s="43" t="s">
        <v>3436</v>
      </c>
      <c r="AH102" s="66">
        <f t="shared" si="21"/>
        <v>0.40223228387911969</v>
      </c>
      <c r="AI102" s="283">
        <f>RTD("money.excel",,$G102,"PredictVolume")</f>
        <v>382</v>
      </c>
      <c r="AJ102" s="391">
        <f>IFERROR(VLOOKUP($G102,基本資料!$A:$M,13,0),"無")</f>
        <v>949.7</v>
      </c>
      <c r="AR102" s="245" t="str">
        <f>INDEX(基本資料!N:N,MATCH($G102,基本資料!A:A,0))</f>
        <v>低</v>
      </c>
    </row>
    <row r="103" spans="1:44">
      <c r="A103" s="343">
        <f>IFERROR(VLOOKUP($G103,基本資料!$A:$J,3,0),"無")</f>
        <v>16.04</v>
      </c>
      <c r="B103" s="79">
        <f>IFERROR(VLOOKUP($G103,基本資料!$A:$J,4,0),"無")</f>
        <v>-68</v>
      </c>
      <c r="C103" s="79">
        <f>IFERROR(VLOOKUP($G103,基本資料!$A:$J,5,0),"無")</f>
        <v>10</v>
      </c>
      <c r="D103" s="79">
        <f>IFERROR(VLOOKUP($G103,基本資料!$A:$J,6,0),"無")</f>
        <v>-2</v>
      </c>
      <c r="E103" s="79">
        <f>IFERROR(VLOOKUP($G103,基本資料!$A:$J,7,0),"無")</f>
        <v>-8</v>
      </c>
      <c r="F103" s="6">
        <f>IFERROR(VLOOKUP($G103,基本資料!$A:$J,8,0),"無")</f>
        <v>-0.18</v>
      </c>
      <c r="G103" s="79">
        <v>1468</v>
      </c>
      <c r="H103" s="8" t="s">
        <v>3171</v>
      </c>
      <c r="I103" s="22" t="s">
        <v>748</v>
      </c>
      <c r="J103" s="8" t="str">
        <f>IFERROR(VLOOKUP($G103,今日總結!$A:$AN,39,0),"")</f>
        <v/>
      </c>
      <c r="K103" s="5" t="str">
        <f>IFERROR(VLOOKUP($G103,今日總結!$A:$AN,40,0),"")</f>
        <v/>
      </c>
      <c r="L103" s="156" t="str">
        <f>IFERROR(VLOOKUP($G103,今日總結!$A:$AN,37,0),"")</f>
        <v/>
      </c>
      <c r="M103" s="337" t="str">
        <f>IFERROR(VLOOKUP($G103,今日總結!$A:$AN,38,0),"")</f>
        <v/>
      </c>
      <c r="N103" s="240" t="str">
        <f t="shared" si="22"/>
        <v/>
      </c>
      <c r="O103" s="359" t="str">
        <f>IFERROR(VLOOKUP($G103,融外自投!$A:$J,7,0),"無")</f>
        <v>無</v>
      </c>
      <c r="P103" s="79" t="str">
        <f>IFERROR(VLOOKUP($G103,融外自投!$A:$J,9,0),"無")</f>
        <v>無</v>
      </c>
      <c r="Q103" s="342" t="str">
        <f>IFERROR(VLOOKUP($G103,融外自投!$A:$J,8,0),"無")</f>
        <v>無</v>
      </c>
      <c r="R103" s="81" t="str">
        <f>IFERROR(VLOOKUP($G103,融外自投!$A:$J,10,0),"無")</f>
        <v>無</v>
      </c>
      <c r="S103" s="324" t="str">
        <f>IFERROR(VLOOKUP($G103,'321買'!$A:$E,4,0),"'沒有資料'")</f>
        <v>'沒有資料'</v>
      </c>
      <c r="T103" s="186">
        <f>IFERROR(VLOOKUP($G103,基本資料!$A:$J,9,0),"無")</f>
        <v>0</v>
      </c>
      <c r="U103" s="307">
        <f t="shared" si="14"/>
        <v>0</v>
      </c>
      <c r="V103" s="94">
        <f>IFERROR(VLOOKUP($G103,基本資料!$A:$J,10,0),"無")</f>
        <v>0.06</v>
      </c>
      <c r="W103" s="36">
        <f>RTD("money.excel",,"1468","Price")</f>
        <v>11.6</v>
      </c>
      <c r="X103" s="66"/>
      <c r="Y103" s="15">
        <f t="shared" si="18"/>
        <v>11.6</v>
      </c>
      <c r="Z103" s="3" t="e">
        <f t="shared" si="19"/>
        <v>#DIV/0!</v>
      </c>
      <c r="AA103" s="340">
        <f>IFERROR(VLOOKUP($G103,基本資料!$A:$M,11,0),"無")</f>
        <v>-17.14</v>
      </c>
      <c r="AB103" s="389">
        <f>IFERROR(VLOOKUP($G103,基本資料!$A:$M,12,0),"無")</f>
        <v>49.11</v>
      </c>
      <c r="AC103" s="22" t="s">
        <v>748</v>
      </c>
      <c r="AF103" s="33">
        <f t="shared" si="20"/>
        <v>0</v>
      </c>
      <c r="AG103" s="43" t="s">
        <v>1522</v>
      </c>
      <c r="AH103" s="66">
        <f t="shared" si="21"/>
        <v>1.3787638668779714</v>
      </c>
      <c r="AI103" s="283">
        <f>RTD("money.excel",,$G103,"PredictVolume")</f>
        <v>87</v>
      </c>
      <c r="AJ103" s="391">
        <f>IFERROR(VLOOKUP($G103,基本資料!$A:$M,13,0),"無")</f>
        <v>63.1</v>
      </c>
      <c r="AR103" s="245" t="str">
        <f>INDEX(基本資料!N:N,MATCH($G103,基本資料!A:A,0))</f>
        <v>低</v>
      </c>
    </row>
    <row r="104" spans="1:44">
      <c r="A104" s="343">
        <f>IFERROR(VLOOKUP($G104,基本資料!$A:$J,3,0),"無")</f>
        <v>8.57</v>
      </c>
      <c r="B104" s="79">
        <f>IFERROR(VLOOKUP($G104,基本資料!$A:$J,4,0),"無")</f>
        <v>84</v>
      </c>
      <c r="C104" s="79">
        <f>IFERROR(VLOOKUP($G104,基本資料!$A:$J,5,0),"無")</f>
        <v>318</v>
      </c>
      <c r="D104" s="79">
        <f>IFERROR(VLOOKUP($G104,基本資料!$A:$J,6,0),"無")</f>
        <v>-44</v>
      </c>
      <c r="E104" s="79">
        <f>IFERROR(VLOOKUP($G104,基本資料!$A:$J,7,0),"無")</f>
        <v>-5</v>
      </c>
      <c r="F104" s="6">
        <f>IFERROR(VLOOKUP($G104,基本資料!$A:$J,8,0),"無")</f>
        <v>8.9</v>
      </c>
      <c r="G104" s="79">
        <v>1470</v>
      </c>
      <c r="H104" s="8" t="s">
        <v>3171</v>
      </c>
      <c r="I104" s="22" t="s">
        <v>1104</v>
      </c>
      <c r="J104" s="8">
        <f>IFERROR(VLOOKUP($G104,今日總結!$A:$AN,39,0),"")</f>
        <v>0</v>
      </c>
      <c r="K104" s="5">
        <f>IFERROR(VLOOKUP($G104,今日總結!$A:$AN,40,0),"")</f>
        <v>0</v>
      </c>
      <c r="L104" s="156">
        <f>IFERROR(VLOOKUP($G104,今日總結!$A:$AN,37,0),"")</f>
        <v>0</v>
      </c>
      <c r="M104" s="337">
        <f>IFERROR(VLOOKUP($G104,今日總結!$A:$AN,38,0),"")</f>
        <v>0</v>
      </c>
      <c r="N104" s="240">
        <f t="shared" si="22"/>
        <v>0</v>
      </c>
      <c r="O104" s="359">
        <f>IFERROR(VLOOKUP($G104,融外自投!$A:$J,7,0),"無")</f>
        <v>1220</v>
      </c>
      <c r="P104" s="79">
        <f>IFERROR(VLOOKUP($G104,融外自投!$A:$J,9,0),"無")</f>
        <v>908</v>
      </c>
      <c r="Q104" s="342">
        <f>IFERROR(VLOOKUP($G104,融外自投!$A:$J,8,0),"無")</f>
        <v>1364</v>
      </c>
      <c r="R104" s="81" t="str">
        <f>IFERROR(VLOOKUP($G104,融外自投!$A:$J,10,0),"無")</f>
        <v>無</v>
      </c>
      <c r="S104" s="324">
        <f>IFERROR(VLOOKUP($G104,'321買'!$A:$E,4,0),"'沒有資料'")</f>
        <v>1002</v>
      </c>
      <c r="T104" s="186">
        <f>IFERROR(VLOOKUP($G104,基本資料!$A:$J,9,0),"無")</f>
        <v>0.8</v>
      </c>
      <c r="U104" s="307">
        <f t="shared" si="14"/>
        <v>3.1809145129224656E-2</v>
      </c>
      <c r="V104" s="94">
        <f>IFERROR(VLOOKUP($G104,基本資料!$A:$J,10,0),"無")</f>
        <v>0.76</v>
      </c>
      <c r="W104" s="36">
        <f>RTD("money.excel",,"1470","Price")</f>
        <v>25.15</v>
      </c>
      <c r="X104" s="66"/>
      <c r="Y104" s="15">
        <f t="shared" si="18"/>
        <v>25.15</v>
      </c>
      <c r="Z104" s="3" t="e">
        <f t="shared" si="19"/>
        <v>#DIV/0!</v>
      </c>
      <c r="AA104" s="340">
        <f>IFERROR(VLOOKUP($G104,基本資料!$A:$M,11,0),"無")</f>
        <v>-19.39</v>
      </c>
      <c r="AB104" s="389">
        <f>IFERROR(VLOOKUP($G104,基本資料!$A:$M,12,0),"無")</f>
        <v>49.52</v>
      </c>
      <c r="AC104" s="22" t="s">
        <v>1104</v>
      </c>
      <c r="AF104" s="33">
        <f t="shared" si="20"/>
        <v>0</v>
      </c>
      <c r="AG104" s="43" t="s">
        <v>2387</v>
      </c>
      <c r="AH104" s="66">
        <f t="shared" si="21"/>
        <v>0.96765522802616266</v>
      </c>
      <c r="AI104" s="283">
        <f>RTD("money.excel",,$G104,"PredictVolume")</f>
        <v>540</v>
      </c>
      <c r="AJ104" s="391">
        <f>IFERROR(VLOOKUP($G104,基本資料!$A:$M,13,0),"無")</f>
        <v>558.04999999999995</v>
      </c>
      <c r="AR104" s="245" t="str">
        <f>INDEX(基本資料!N:N,MATCH($G104,基本資料!A:A,0))</f>
        <v>中</v>
      </c>
    </row>
    <row r="105" spans="1:44">
      <c r="A105" s="343">
        <f>IFERROR(VLOOKUP($G105,基本資料!$A:$J,3,0),"無")</f>
        <v>2.4900000000000002</v>
      </c>
      <c r="B105" s="79">
        <f>IFERROR(VLOOKUP($G105,基本資料!$A:$J,4,0),"無")</f>
        <v>92</v>
      </c>
      <c r="C105" s="79">
        <f>IFERROR(VLOOKUP($G105,基本資料!$A:$J,5,0),"無")</f>
        <v>105</v>
      </c>
      <c r="D105" s="79">
        <f>IFERROR(VLOOKUP($G105,基本資料!$A:$J,6,0),"無")</f>
        <v>0</v>
      </c>
      <c r="E105" s="79">
        <f>IFERROR(VLOOKUP($G105,基本資料!$A:$J,7,0),"無")</f>
        <v>31</v>
      </c>
      <c r="F105" s="6">
        <f>IFERROR(VLOOKUP($G105,基本資料!$A:$J,8,0),"無")</f>
        <v>1.71</v>
      </c>
      <c r="G105" s="79">
        <v>1472</v>
      </c>
      <c r="H105" s="8" t="s">
        <v>3171</v>
      </c>
      <c r="I105" s="22" t="s">
        <v>749</v>
      </c>
      <c r="J105" s="8" t="str">
        <f>IFERROR(VLOOKUP($G105,今日總結!$A:$AN,39,0),"")</f>
        <v/>
      </c>
      <c r="K105" s="5" t="str">
        <f>IFERROR(VLOOKUP($G105,今日總結!$A:$AN,40,0),"")</f>
        <v/>
      </c>
      <c r="L105" s="156" t="str">
        <f>IFERROR(VLOOKUP($G105,今日總結!$A:$AN,37,0),"")</f>
        <v/>
      </c>
      <c r="M105" s="337" t="str">
        <f>IFERROR(VLOOKUP($G105,今日總結!$A:$AN,38,0),"")</f>
        <v/>
      </c>
      <c r="N105" s="240" t="str">
        <f t="shared" si="22"/>
        <v/>
      </c>
      <c r="O105" s="359" t="str">
        <f>IFERROR(VLOOKUP($G105,融外自投!$A:$J,7,0),"無")</f>
        <v>無</v>
      </c>
      <c r="P105" s="79" t="str">
        <f>IFERROR(VLOOKUP($G105,融外自投!$A:$J,9,0),"無")</f>
        <v>無</v>
      </c>
      <c r="Q105" s="342" t="str">
        <f>IFERROR(VLOOKUP($G105,融外自投!$A:$J,8,0),"無")</f>
        <v>無</v>
      </c>
      <c r="R105" s="81" t="str">
        <f>IFERROR(VLOOKUP($G105,融外自投!$A:$J,10,0),"無")</f>
        <v>無</v>
      </c>
      <c r="S105" s="324" t="str">
        <f>IFERROR(VLOOKUP($G105,'321買'!$A:$E,4,0),"'沒有資料'")</f>
        <v>'沒有資料'</v>
      </c>
      <c r="T105" s="186">
        <f>IFERROR(VLOOKUP($G105,基本資料!$A:$J,9,0),"無")</f>
        <v>0</v>
      </c>
      <c r="U105" s="307">
        <f t="shared" si="14"/>
        <v>0</v>
      </c>
      <c r="V105" s="94">
        <f>IFERROR(VLOOKUP($G105,基本資料!$A:$J,10,0),"無")</f>
        <v>-1.22</v>
      </c>
      <c r="W105" s="36">
        <f>RTD("money.excel",,"1472","Price")</f>
        <v>29.5</v>
      </c>
      <c r="X105" s="66"/>
      <c r="Y105" s="15">
        <f t="shared" si="18"/>
        <v>29.5</v>
      </c>
      <c r="Z105" s="3" t="e">
        <f t="shared" si="19"/>
        <v>#DIV/0!</v>
      </c>
      <c r="AA105" s="340">
        <f>IFERROR(VLOOKUP($G105,基本資料!$A:$M,11,0),"無")</f>
        <v>-20.27</v>
      </c>
      <c r="AB105" s="389">
        <f>IFERROR(VLOOKUP($G105,基本資料!$A:$M,12,0),"無")</f>
        <v>59.05</v>
      </c>
      <c r="AC105" s="22" t="s">
        <v>749</v>
      </c>
      <c r="AF105" s="33">
        <f t="shared" si="20"/>
        <v>0</v>
      </c>
      <c r="AG105" s="43" t="s">
        <v>2386</v>
      </c>
      <c r="AH105" s="66">
        <f t="shared" si="21"/>
        <v>5.3571428571428577</v>
      </c>
      <c r="AI105" s="283">
        <f>RTD("money.excel",,$G105,"PredictVolume")</f>
        <v>30</v>
      </c>
      <c r="AJ105" s="391">
        <f>IFERROR(VLOOKUP($G105,基本資料!$A:$M,13,0),"無")</f>
        <v>5.6</v>
      </c>
      <c r="AR105" s="245" t="str">
        <f>INDEX(基本資料!N:N,MATCH($G105,基本資料!A:A,0))</f>
        <v>高</v>
      </c>
    </row>
    <row r="106" spans="1:44">
      <c r="A106" s="343">
        <f>IFERROR(VLOOKUP($G106,基本資料!$A:$J,3,0),"無")</f>
        <v>14.71</v>
      </c>
      <c r="B106" s="79">
        <f>IFERROR(VLOOKUP($G106,基本資料!$A:$J,4,0),"無")</f>
        <v>61</v>
      </c>
      <c r="C106" s="79">
        <f>IFERROR(VLOOKUP($G106,基本資料!$A:$J,5,0),"無")</f>
        <v>52</v>
      </c>
      <c r="D106" s="79">
        <f>IFERROR(VLOOKUP($G106,基本資料!$A:$J,6,0),"無")</f>
        <v>-40</v>
      </c>
      <c r="E106" s="79">
        <f>IFERROR(VLOOKUP($G106,基本資料!$A:$J,7,0),"無")</f>
        <v>18</v>
      </c>
      <c r="F106" s="6">
        <f>IFERROR(VLOOKUP($G106,基本資料!$A:$J,8,0),"無")</f>
        <v>-2.72</v>
      </c>
      <c r="G106" s="79">
        <v>1473</v>
      </c>
      <c r="H106" s="8" t="s">
        <v>3171</v>
      </c>
      <c r="I106" s="22" t="s">
        <v>750</v>
      </c>
      <c r="J106" s="8">
        <f>IFERROR(VLOOKUP($G106,今日總結!$A:$AN,39,0),"")</f>
        <v>0</v>
      </c>
      <c r="K106" s="5">
        <f>IFERROR(VLOOKUP($G106,今日總結!$A:$AN,40,0),"")</f>
        <v>0</v>
      </c>
      <c r="L106" s="156">
        <f>IFERROR(VLOOKUP($G106,今日總結!$A:$AN,37,0),"")</f>
        <v>0</v>
      </c>
      <c r="M106" s="337">
        <f>IFERROR(VLOOKUP($G106,今日總結!$A:$AN,38,0),"")</f>
        <v>0</v>
      </c>
      <c r="N106" s="240">
        <f t="shared" si="22"/>
        <v>0</v>
      </c>
      <c r="O106" s="359">
        <f>IFERROR(VLOOKUP($G106,融外自投!$A:$J,7,0),"無")</f>
        <v>1148</v>
      </c>
      <c r="P106" s="79">
        <f>IFERROR(VLOOKUP($G106,融外自投!$A:$J,9,0),"無")</f>
        <v>741</v>
      </c>
      <c r="Q106" s="342">
        <f>IFERROR(VLOOKUP($G106,融外自投!$A:$J,8,0),"無")</f>
        <v>544</v>
      </c>
      <c r="R106" s="81" t="str">
        <f>IFERROR(VLOOKUP($G106,融外自投!$A:$J,10,0),"無")</f>
        <v>無</v>
      </c>
      <c r="S106" s="324">
        <f>IFERROR(VLOOKUP($G106,'321買'!$A:$E,4,0),"'沒有資料'")</f>
        <v>1002</v>
      </c>
      <c r="T106" s="186">
        <f>IFERROR(VLOOKUP($G106,基本資料!$A:$J,9,0),"無")</f>
        <v>0.1</v>
      </c>
      <c r="U106" s="307">
        <f t="shared" si="14"/>
        <v>5.4200542005420063E-3</v>
      </c>
      <c r="V106" s="94">
        <f>IFERROR(VLOOKUP($G106,基本資料!$A:$J,10,0),"無")</f>
        <v>-0.92</v>
      </c>
      <c r="W106" s="36">
        <f>RTD("money.excel",,"1473","Price")</f>
        <v>18.45</v>
      </c>
      <c r="X106" s="66"/>
      <c r="Y106" s="15">
        <f t="shared" si="18"/>
        <v>18.45</v>
      </c>
      <c r="Z106" s="3" t="e">
        <f t="shared" si="19"/>
        <v>#DIV/0!</v>
      </c>
      <c r="AA106" s="340">
        <f>IFERROR(VLOOKUP($G106,基本資料!$A:$M,11,0),"無")</f>
        <v>-5.38</v>
      </c>
      <c r="AB106" s="389">
        <f>IFERROR(VLOOKUP($G106,基本資料!$A:$M,12,0),"無")</f>
        <v>36.799999999999997</v>
      </c>
      <c r="AC106" s="22" t="s">
        <v>750</v>
      </c>
      <c r="AF106" s="33">
        <f t="shared" si="20"/>
        <v>0</v>
      </c>
      <c r="AG106" s="43" t="s">
        <v>2381</v>
      </c>
      <c r="AH106" s="66">
        <f t="shared" si="21"/>
        <v>0.58844635809113743</v>
      </c>
      <c r="AI106" s="283">
        <f>RTD("money.excel",,$G106,"PredictVolume")</f>
        <v>82</v>
      </c>
      <c r="AJ106" s="391">
        <f>IFERROR(VLOOKUP($G106,基本資料!$A:$M,13,0),"無")</f>
        <v>139.35</v>
      </c>
      <c r="AR106" s="245" t="str">
        <f>INDEX(基本資料!N:N,MATCH($G106,基本資料!A:A,0))</f>
        <v>中</v>
      </c>
    </row>
    <row r="107" spans="1:44">
      <c r="A107" s="343">
        <f>IFERROR(VLOOKUP($G107,基本資料!$A:$J,3,0),"無")</f>
        <v>12.98</v>
      </c>
      <c r="B107" s="79">
        <f>IFERROR(VLOOKUP($G107,基本資料!$A:$J,4,0),"無")</f>
        <v>39</v>
      </c>
      <c r="C107" s="79">
        <f>IFERROR(VLOOKUP($G107,基本資料!$A:$J,5,0),"無")</f>
        <v>105</v>
      </c>
      <c r="D107" s="79">
        <f>IFERROR(VLOOKUP($G107,基本資料!$A:$J,6,0),"無")</f>
        <v>-12</v>
      </c>
      <c r="E107" s="79">
        <f>IFERROR(VLOOKUP($G107,基本資料!$A:$J,7,0),"無")</f>
        <v>15</v>
      </c>
      <c r="F107" s="6">
        <f>IFERROR(VLOOKUP($G107,基本資料!$A:$J,8,0),"無")</f>
        <v>4.0199999999999996</v>
      </c>
      <c r="G107" s="79">
        <v>1474</v>
      </c>
      <c r="H107" s="8" t="s">
        <v>3171</v>
      </c>
      <c r="I107" s="22" t="s">
        <v>751</v>
      </c>
      <c r="J107" s="8">
        <f>IFERROR(VLOOKUP($G107,今日總結!$A:$AN,39,0),"")</f>
        <v>0</v>
      </c>
      <c r="K107" s="5">
        <f>IFERROR(VLOOKUP($G107,今日總結!$A:$AN,40,0),"")</f>
        <v>0</v>
      </c>
      <c r="L107" s="156">
        <f>IFERROR(VLOOKUP($G107,今日總結!$A:$AN,37,0),"")</f>
        <v>0</v>
      </c>
      <c r="M107" s="337">
        <f>IFERROR(VLOOKUP($G107,今日總結!$A:$AN,38,0),"")</f>
        <v>0</v>
      </c>
      <c r="N107" s="240">
        <f t="shared" si="22"/>
        <v>0</v>
      </c>
      <c r="O107" s="359">
        <f>IFERROR(VLOOKUP($G107,融外自投!$A:$J,7,0),"無")</f>
        <v>503</v>
      </c>
      <c r="P107" s="79">
        <f>IFERROR(VLOOKUP($G107,融外自投!$A:$J,9,0),"無")</f>
        <v>869</v>
      </c>
      <c r="Q107" s="342">
        <f>IFERROR(VLOOKUP($G107,融外自投!$A:$J,8,0),"無")</f>
        <v>1248</v>
      </c>
      <c r="R107" s="81" t="str">
        <f>IFERROR(VLOOKUP($G107,融外自投!$A:$J,10,0),"無")</f>
        <v>無</v>
      </c>
      <c r="S107" s="324">
        <f>IFERROR(VLOOKUP($G107,'321買'!$A:$E,4,0),"'沒有資料'")</f>
        <v>530</v>
      </c>
      <c r="T107" s="186">
        <f>IFERROR(VLOOKUP($G107,基本資料!$A:$J,9,0),"無")</f>
        <v>0.5</v>
      </c>
      <c r="U107" s="307">
        <f t="shared" ref="U107:U125" si="23">$T107/$W107</f>
        <v>4.0322580645161289E-2</v>
      </c>
      <c r="V107" s="94">
        <f>IFERROR(VLOOKUP($G107,基本資料!$A:$J,10,0),"無")</f>
        <v>1.1100000000000001</v>
      </c>
      <c r="W107" s="36">
        <f>RTD("money.excel",,"1474","Price")</f>
        <v>12.4</v>
      </c>
      <c r="X107" s="66"/>
      <c r="Y107" s="15">
        <f t="shared" si="18"/>
        <v>12.4</v>
      </c>
      <c r="Z107" s="3" t="e">
        <f t="shared" si="19"/>
        <v>#DIV/0!</v>
      </c>
      <c r="AA107" s="340">
        <f>IFERROR(VLOOKUP($G107,基本資料!$A:$M,11,0),"無")</f>
        <v>-26.41</v>
      </c>
      <c r="AB107" s="389">
        <f>IFERROR(VLOOKUP($G107,基本資料!$A:$M,12,0),"無")</f>
        <v>13.27</v>
      </c>
      <c r="AC107" s="22" t="s">
        <v>751</v>
      </c>
      <c r="AF107" s="33">
        <f t="shared" si="20"/>
        <v>0</v>
      </c>
      <c r="AG107" s="43" t="s">
        <v>1720</v>
      </c>
      <c r="AH107" s="66">
        <f t="shared" si="21"/>
        <v>0.99102209944751374</v>
      </c>
      <c r="AI107" s="283">
        <f>RTD("money.excel",,$G107,"PredictVolume")</f>
        <v>287</v>
      </c>
      <c r="AJ107" s="391">
        <f>IFERROR(VLOOKUP($G107,基本資料!$A:$M,13,0),"無")</f>
        <v>289.60000000000002</v>
      </c>
      <c r="AR107" s="245" t="str">
        <f>INDEX(基本資料!N:N,MATCH($G107,基本資料!A:A,0))</f>
        <v>低</v>
      </c>
    </row>
    <row r="108" spans="1:44">
      <c r="A108" s="343">
        <f>IFERROR(VLOOKUP($G108,基本資料!$A:$J,3,0),"無")</f>
        <v>2.6</v>
      </c>
      <c r="B108" s="79">
        <f>IFERROR(VLOOKUP($G108,基本資料!$A:$J,4,0),"無")</f>
        <v>2005</v>
      </c>
      <c r="C108" s="79">
        <f>IFERROR(VLOOKUP($G108,基本資料!$A:$J,5,0),"無")</f>
        <v>469</v>
      </c>
      <c r="D108" s="79">
        <f>IFERROR(VLOOKUP($G108,基本資料!$A:$J,6,0),"無")</f>
        <v>-9</v>
      </c>
      <c r="E108" s="79">
        <f>IFERROR(VLOOKUP($G108,基本資料!$A:$J,7,0),"無")</f>
        <v>758</v>
      </c>
      <c r="F108" s="6">
        <f>IFERROR(VLOOKUP($G108,基本資料!$A:$J,8,0),"無")</f>
        <v>17.03</v>
      </c>
      <c r="G108" s="79">
        <v>1475</v>
      </c>
      <c r="H108" s="8" t="s">
        <v>3171</v>
      </c>
      <c r="I108" s="22" t="s">
        <v>3009</v>
      </c>
      <c r="J108" s="8">
        <f>IFERROR(VLOOKUP($G108,今日總結!$A:$AN,39,0),"")</f>
        <v>0</v>
      </c>
      <c r="K108" s="5">
        <f>IFERROR(VLOOKUP($G108,今日總結!$A:$AN,40,0),"")</f>
        <v>0</v>
      </c>
      <c r="L108" s="156">
        <f>IFERROR(VLOOKUP($G108,今日總結!$A:$AN,37,0),"")</f>
        <v>0</v>
      </c>
      <c r="M108" s="337">
        <f>IFERROR(VLOOKUP($G108,今日總結!$A:$AN,38,0),"")</f>
        <v>0</v>
      </c>
      <c r="N108" s="240">
        <f t="shared" si="22"/>
        <v>0</v>
      </c>
      <c r="O108" s="359">
        <f>IFERROR(VLOOKUP($G108,融外自投!$A:$J,7,0),"無")</f>
        <v>430</v>
      </c>
      <c r="P108" s="79">
        <f>IFERROR(VLOOKUP($G108,融外自投!$A:$J,9,0),"無")</f>
        <v>696</v>
      </c>
      <c r="Q108" s="342">
        <f>IFERROR(VLOOKUP($G108,融外自投!$A:$J,8,0),"無")</f>
        <v>1416</v>
      </c>
      <c r="R108" s="81" t="str">
        <f>IFERROR(VLOOKUP($G108,融外自投!$A:$J,10,0),"無")</f>
        <v>無</v>
      </c>
      <c r="S108" s="324">
        <f>IFERROR(VLOOKUP($G108,'321買'!$A:$E,4,0),"'沒有資料'")</f>
        <v>1002</v>
      </c>
      <c r="T108" s="186">
        <f>IFERROR(VLOOKUP($G108,基本資料!$A:$J,9,0),"無")</f>
        <v>0</v>
      </c>
      <c r="U108" s="307">
        <f t="shared" si="23"/>
        <v>0</v>
      </c>
      <c r="V108" s="94">
        <f>IFERROR(VLOOKUP($G108,基本資料!$A:$J,10,0),"無")</f>
        <v>3.66</v>
      </c>
      <c r="W108" s="36">
        <f>RTD("money.excel",,"1475","Price")</f>
        <v>68.099999999999994</v>
      </c>
      <c r="X108" s="66"/>
      <c r="Y108" s="15">
        <f t="shared" si="18"/>
        <v>68.099999999999994</v>
      </c>
      <c r="Z108" s="3" t="e">
        <f t="shared" si="19"/>
        <v>#DIV/0!</v>
      </c>
      <c r="AA108" s="340">
        <f>IFERROR(VLOOKUP($G108,基本資料!$A:$M,11,0),"無")</f>
        <v>-17.95</v>
      </c>
      <c r="AB108" s="389">
        <f>IFERROR(VLOOKUP($G108,基本資料!$A:$M,12,0),"無")</f>
        <v>39.46</v>
      </c>
      <c r="AC108" s="22" t="s">
        <v>3009</v>
      </c>
      <c r="AF108" s="33">
        <f t="shared" si="20"/>
        <v>0</v>
      </c>
      <c r="AG108" s="43" t="s">
        <v>2385</v>
      </c>
      <c r="AH108" s="66">
        <f t="shared" si="21"/>
        <v>0.52539404553415059</v>
      </c>
      <c r="AI108" s="283">
        <f>RTD("money.excel",,$G108,"PredictVolume")</f>
        <v>60</v>
      </c>
      <c r="AJ108" s="391">
        <f>IFERROR(VLOOKUP($G108,基本資料!$A:$M,13,0),"無")</f>
        <v>114.2</v>
      </c>
      <c r="AR108" s="245" t="str">
        <f>INDEX(基本資料!N:N,MATCH($G108,基本資料!A:A,0))</f>
        <v>高</v>
      </c>
    </row>
    <row r="109" spans="1:44">
      <c r="A109" s="343">
        <f>IFERROR(VLOOKUP($G109,基本資料!$A:$J,3,0),"無")</f>
        <v>27.43</v>
      </c>
      <c r="B109" s="79">
        <f>IFERROR(VLOOKUP($G109,基本資料!$A:$J,4,0),"無")</f>
        <v>21</v>
      </c>
      <c r="C109" s="79">
        <f>IFERROR(VLOOKUP($G109,基本資料!$A:$J,5,0),"無")</f>
        <v>16</v>
      </c>
      <c r="D109" s="79">
        <f>IFERROR(VLOOKUP($G109,基本資料!$A:$J,6,0),"無")</f>
        <v>0</v>
      </c>
      <c r="E109" s="79">
        <f>IFERROR(VLOOKUP($G109,基本資料!$A:$J,7,0),"無")</f>
        <v>17</v>
      </c>
      <c r="F109" s="6">
        <f>IFERROR(VLOOKUP($G109,基本資料!$A:$J,8,0),"無")</f>
        <v>17.809999999999999</v>
      </c>
      <c r="G109" s="79">
        <v>1476</v>
      </c>
      <c r="H109" s="8" t="s">
        <v>3171</v>
      </c>
      <c r="I109" s="22" t="s">
        <v>3588</v>
      </c>
      <c r="J109" s="8" t="str">
        <f>IFERROR(VLOOKUP($G109,今日總結!$A:$AN,39,0),"")</f>
        <v>外</v>
      </c>
      <c r="K109" s="5" t="str">
        <f>IFERROR(VLOOKUP($G109,今日總結!$A:$AN,40,0),"")</f>
        <v>借</v>
      </c>
      <c r="L109" s="156">
        <f>IFERROR(VLOOKUP($G109,今日總結!$A:$AN,37,0),"")</f>
        <v>2</v>
      </c>
      <c r="M109" s="337">
        <f>IFERROR(VLOOKUP($G109,今日總結!$A:$AN,38,0),"")</f>
        <v>2</v>
      </c>
      <c r="N109" s="240">
        <f t="shared" si="22"/>
        <v>0</v>
      </c>
      <c r="O109" s="359">
        <f>IFERROR(VLOOKUP($G109,融外自投!$A:$J,7,0),"無")</f>
        <v>1288</v>
      </c>
      <c r="P109" s="79">
        <f>IFERROR(VLOOKUP($G109,融外自投!$A:$J,9,0),"無")</f>
        <v>92</v>
      </c>
      <c r="Q109" s="342">
        <f>IFERROR(VLOOKUP($G109,融外自投!$A:$J,8,0),"無")</f>
        <v>121</v>
      </c>
      <c r="R109" s="81">
        <f>IFERROR(VLOOKUP($G109,融外自投!$A:$J,10,0),"無")</f>
        <v>157</v>
      </c>
      <c r="S109" s="324">
        <f>IFERROR(VLOOKUP($G109,'321買'!$A:$E,4,0),"'沒有資料'")</f>
        <v>465</v>
      </c>
      <c r="T109" s="186">
        <f>IFERROR(VLOOKUP($G109,基本資料!$A:$J,9,0),"無")</f>
        <v>12</v>
      </c>
      <c r="U109" s="307">
        <f t="shared" si="23"/>
        <v>2.3715415019762844E-2</v>
      </c>
      <c r="V109" s="94">
        <f>IFERROR(VLOOKUP($G109,基本資料!$A:$J,10,0),"無")</f>
        <v>18.77</v>
      </c>
      <c r="W109" s="36">
        <f>RTD("money.excel",,"1476","Price")</f>
        <v>506</v>
      </c>
      <c r="X109" s="66"/>
      <c r="Y109" s="15">
        <f t="shared" si="18"/>
        <v>506</v>
      </c>
      <c r="Z109" s="3" t="e">
        <f t="shared" si="19"/>
        <v>#DIV/0!</v>
      </c>
      <c r="AA109" s="340">
        <f>IFERROR(VLOOKUP($G109,基本資料!$A:$M,11,0),"無")</f>
        <v>-25.59</v>
      </c>
      <c r="AB109" s="389">
        <f>IFERROR(VLOOKUP($G109,基本資料!$A:$M,12,0),"無")</f>
        <v>64.650000000000006</v>
      </c>
      <c r="AC109" s="22" t="s">
        <v>3588</v>
      </c>
      <c r="AF109" s="33">
        <f t="shared" si="20"/>
        <v>0</v>
      </c>
      <c r="AG109" s="117" t="s">
        <v>2382</v>
      </c>
      <c r="AH109" s="66">
        <f t="shared" si="21"/>
        <v>0.7929948033880273</v>
      </c>
      <c r="AI109" s="283">
        <f>RTD("money.excel",,$G109,"PredictVolume")</f>
        <v>969</v>
      </c>
      <c r="AJ109" s="391">
        <f>IFERROR(VLOOKUP($G109,基本資料!$A:$M,13,0),"無")</f>
        <v>1221.95</v>
      </c>
      <c r="AR109" s="245" t="str">
        <f>INDEX(基本資料!N:N,MATCH($G109,基本資料!A:A,0))</f>
        <v>中</v>
      </c>
    </row>
    <row r="110" spans="1:44">
      <c r="A110" s="343">
        <f>IFERROR(VLOOKUP($G110,基本資料!$A:$J,3,0),"無")</f>
        <v>24.18</v>
      </c>
      <c r="B110" s="79">
        <f>IFERROR(VLOOKUP($G110,基本資料!$A:$J,4,0),"無")</f>
        <v>28</v>
      </c>
      <c r="C110" s="79">
        <f>IFERROR(VLOOKUP($G110,基本資料!$A:$J,5,0),"無")</f>
        <v>26</v>
      </c>
      <c r="D110" s="79">
        <f>IFERROR(VLOOKUP($G110,基本資料!$A:$J,6,0),"無")</f>
        <v>-9</v>
      </c>
      <c r="E110" s="79">
        <f>IFERROR(VLOOKUP($G110,基本資料!$A:$J,7,0),"無")</f>
        <v>-1</v>
      </c>
      <c r="F110" s="6">
        <f>IFERROR(VLOOKUP($G110,基本資料!$A:$J,8,0),"無")</f>
        <v>11.69</v>
      </c>
      <c r="G110" s="79">
        <v>1477</v>
      </c>
      <c r="H110" s="8" t="s">
        <v>294</v>
      </c>
      <c r="I110" s="22" t="s">
        <v>3589</v>
      </c>
      <c r="J110" s="8" t="str">
        <f>IFERROR(VLOOKUP($G110,今日總結!$A:$AN,39,0),"")</f>
        <v>同外</v>
      </c>
      <c r="K110" s="5">
        <f>IFERROR(VLOOKUP($G110,今日總結!$A:$AN,40,0),"")</f>
        <v>0</v>
      </c>
      <c r="L110" s="156">
        <f>IFERROR(VLOOKUP($G110,今日總結!$A:$AN,37,0),"")</f>
        <v>3</v>
      </c>
      <c r="M110" s="337">
        <f>IFERROR(VLOOKUP($G110,今日總結!$A:$AN,38,0),"")</f>
        <v>0</v>
      </c>
      <c r="N110" s="240">
        <f t="shared" si="22"/>
        <v>3</v>
      </c>
      <c r="O110" s="359">
        <f>IFERROR(VLOOKUP($G110,融外自投!$A:$J,7,0),"無")</f>
        <v>1106</v>
      </c>
      <c r="P110" s="79">
        <f>IFERROR(VLOOKUP($G110,融外自投!$A:$J,9,0),"無")</f>
        <v>178</v>
      </c>
      <c r="Q110" s="342">
        <f>IFERROR(VLOOKUP($G110,融外自投!$A:$J,8,0),"無")</f>
        <v>226</v>
      </c>
      <c r="R110" s="81">
        <f>IFERROR(VLOOKUP($G110,融外自投!$A:$J,10,0),"無")</f>
        <v>126</v>
      </c>
      <c r="S110" s="324">
        <f>IFERROR(VLOOKUP($G110,'321買'!$A:$E,4,0),"'沒有資料'")</f>
        <v>411</v>
      </c>
      <c r="T110" s="186">
        <f>IFERROR(VLOOKUP($G110,基本資料!$A:$J,9,0),"無")</f>
        <v>9.5</v>
      </c>
      <c r="U110" s="307">
        <f t="shared" si="23"/>
        <v>5.7750759878419454E-2</v>
      </c>
      <c r="V110" s="94">
        <f>IFERROR(VLOOKUP($G110,基本資料!$A:$J,10,0),"無")</f>
        <v>11.2</v>
      </c>
      <c r="W110" s="36">
        <f>RTD("money.excel",,"1477","Price")</f>
        <v>164.5</v>
      </c>
      <c r="X110" s="66"/>
      <c r="Y110" s="15">
        <f t="shared" si="18"/>
        <v>164.5</v>
      </c>
      <c r="Z110" s="3" t="e">
        <f t="shared" si="19"/>
        <v>#DIV/0!</v>
      </c>
      <c r="AA110" s="340">
        <f>IFERROR(VLOOKUP($G110,基本資料!$A:$M,11,0),"無")</f>
        <v>-40.93</v>
      </c>
      <c r="AB110" s="389">
        <f>IFERROR(VLOOKUP($G110,基本資料!$A:$M,12,0),"無")</f>
        <v>17.010000000000002</v>
      </c>
      <c r="AC110" s="22" t="s">
        <v>3589</v>
      </c>
      <c r="AF110" s="33">
        <f t="shared" si="20"/>
        <v>0</v>
      </c>
      <c r="AG110" s="117" t="s">
        <v>3332</v>
      </c>
      <c r="AH110" s="66">
        <f t="shared" si="21"/>
        <v>0.34418570698591133</v>
      </c>
      <c r="AI110" s="283">
        <f>RTD("money.excel",,$G110,"PredictVolume")</f>
        <v>943</v>
      </c>
      <c r="AJ110" s="391">
        <f>IFERROR(VLOOKUP($G110,基本資料!$A:$M,13,0),"無")</f>
        <v>2739.8</v>
      </c>
      <c r="AR110" s="245" t="str">
        <f>INDEX(基本資料!N:N,MATCH($G110,基本資料!A:A,0))</f>
        <v>低</v>
      </c>
    </row>
    <row r="111" spans="1:44">
      <c r="A111" s="343">
        <f>IFERROR(VLOOKUP($G111,基本資料!$A:$J,3,0),"無")</f>
        <v>12.02</v>
      </c>
      <c r="B111" s="79">
        <f>IFERROR(VLOOKUP($G111,基本資料!$A:$J,4,0),"無")</f>
        <v>272</v>
      </c>
      <c r="C111" s="79">
        <f>IFERROR(VLOOKUP($G111,基本資料!$A:$J,5,0),"無")</f>
        <v>466</v>
      </c>
      <c r="D111" s="79">
        <f>IFERROR(VLOOKUP($G111,基本資料!$A:$J,6,0),"無")</f>
        <v>-8</v>
      </c>
      <c r="E111" s="79">
        <f>IFERROR(VLOOKUP($G111,基本資料!$A:$J,7,0),"無")</f>
        <v>-7</v>
      </c>
      <c r="F111" s="6">
        <f>IFERROR(VLOOKUP($G111,基本資料!$A:$J,8,0),"無")</f>
        <v>8.41</v>
      </c>
      <c r="G111" s="79">
        <v>4401</v>
      </c>
      <c r="H111" s="8" t="s">
        <v>3171</v>
      </c>
      <c r="I111" s="16" t="s">
        <v>229</v>
      </c>
      <c r="J111" s="8">
        <f>IFERROR(VLOOKUP($G111,今日總結!$A:$AN,39,0),"")</f>
        <v>0</v>
      </c>
      <c r="K111" s="5" t="str">
        <f>IFERROR(VLOOKUP($G111,今日總結!$A:$AN,40,0),"")</f>
        <v>外</v>
      </c>
      <c r="L111" s="156">
        <f>IFERROR(VLOOKUP($G111,今日總結!$A:$AN,37,0),"")</f>
        <v>0</v>
      </c>
      <c r="M111" s="337">
        <f>IFERROR(VLOOKUP($G111,今日總結!$A:$AN,38,0),"")</f>
        <v>2</v>
      </c>
      <c r="N111" s="240">
        <f t="shared" si="22"/>
        <v>-2</v>
      </c>
      <c r="O111" s="359">
        <f>IFERROR(VLOOKUP($G111,融外自投!$A:$J,7,0),"無")</f>
        <v>1069</v>
      </c>
      <c r="P111" s="79">
        <f>IFERROR(VLOOKUP($G111,融外自投!$A:$J,9,0),"無")</f>
        <v>234</v>
      </c>
      <c r="Q111" s="342">
        <f>IFERROR(VLOOKUP($G111,融外自投!$A:$J,8,0),"無")</f>
        <v>779</v>
      </c>
      <c r="R111" s="81">
        <f>IFERROR(VLOOKUP($G111,融外自投!$A:$J,10,0),"無")</f>
        <v>495</v>
      </c>
      <c r="S111" s="324">
        <f>IFERROR(VLOOKUP($G111,'321買'!$A:$E,4,0),"'沒有資料'")</f>
        <v>1002</v>
      </c>
      <c r="T111" s="186">
        <f>IFERROR(VLOOKUP($G111,基本資料!$A:$J,9,0),"無")</f>
        <v>1.5</v>
      </c>
      <c r="U111" s="307">
        <f t="shared" si="23"/>
        <v>4.8465266558966075E-2</v>
      </c>
      <c r="V111" s="94">
        <f>IFERROR(VLOOKUP($G111,基本資料!$A:$J,10,0),"無")</f>
        <v>2.64</v>
      </c>
      <c r="W111" s="36">
        <f>RTD("money.excel",,"4401","Price")</f>
        <v>30.95</v>
      </c>
      <c r="X111" s="66"/>
      <c r="Y111" s="15">
        <f t="shared" si="18"/>
        <v>30.95</v>
      </c>
      <c r="Z111" s="3" t="e">
        <f t="shared" si="19"/>
        <v>#DIV/0!</v>
      </c>
      <c r="AA111" s="340">
        <f>IFERROR(VLOOKUP($G111,基本資料!$A:$M,11,0),"無")</f>
        <v>-35.25</v>
      </c>
      <c r="AB111" s="389">
        <f>IFERROR(VLOOKUP($G111,基本資料!$A:$M,12,0),"無")</f>
        <v>19.03</v>
      </c>
      <c r="AC111" s="16" t="s">
        <v>229</v>
      </c>
      <c r="AF111" s="33">
        <f t="shared" si="20"/>
        <v>0</v>
      </c>
      <c r="AG111" s="43" t="s">
        <v>2630</v>
      </c>
      <c r="AH111" s="66">
        <f t="shared" si="21"/>
        <v>0.34261241970021411</v>
      </c>
      <c r="AI111" s="283">
        <f>RTD("money.excel",,$G111,"PredictVolume")</f>
        <v>16</v>
      </c>
      <c r="AJ111" s="391">
        <f>IFERROR(VLOOKUP($G111,基本資料!$A:$M,13,0),"無")</f>
        <v>46.7</v>
      </c>
      <c r="AR111" s="245" t="str">
        <f>INDEX(基本資料!N:N,MATCH($G111,基本資料!A:A,0))</f>
        <v>低</v>
      </c>
    </row>
    <row r="112" spans="1:44">
      <c r="A112" s="343">
        <f>IFERROR(VLOOKUP($G112,基本資料!$A:$J,3,0),"無")</f>
        <v>4.59</v>
      </c>
      <c r="B112" s="79">
        <f>IFERROR(VLOOKUP($G112,基本資料!$A:$J,4,0),"無")</f>
        <v>21</v>
      </c>
      <c r="C112" s="79">
        <f>IFERROR(VLOOKUP($G112,基本資料!$A:$J,5,0),"無")</f>
        <v>4</v>
      </c>
      <c r="D112" s="79">
        <f>IFERROR(VLOOKUP($G112,基本資料!$A:$J,6,0),"無")</f>
        <v>-30</v>
      </c>
      <c r="E112" s="79">
        <f>IFERROR(VLOOKUP($G112,基本資料!$A:$J,7,0),"無")</f>
        <v>10</v>
      </c>
      <c r="F112" s="6">
        <f>IFERROR(VLOOKUP($G112,基本資料!$A:$J,8,0),"無")</f>
        <v>-23.79</v>
      </c>
      <c r="G112" s="79">
        <v>4402</v>
      </c>
      <c r="H112" s="8" t="s">
        <v>3171</v>
      </c>
      <c r="I112" s="16" t="s">
        <v>711</v>
      </c>
      <c r="J112" s="8" t="str">
        <f>IFERROR(VLOOKUP($G112,今日總結!$A:$AN,39,0),"")</f>
        <v/>
      </c>
      <c r="K112" s="5" t="str">
        <f>IFERROR(VLOOKUP($G112,今日總結!$A:$AN,40,0),"")</f>
        <v/>
      </c>
      <c r="L112" s="156" t="str">
        <f>IFERROR(VLOOKUP($G112,今日總結!$A:$AN,37,0),"")</f>
        <v/>
      </c>
      <c r="M112" s="337" t="str">
        <f>IFERROR(VLOOKUP($G112,今日總結!$A:$AN,38,0),"")</f>
        <v/>
      </c>
      <c r="N112" s="240" t="str">
        <f t="shared" si="22"/>
        <v/>
      </c>
      <c r="O112" s="359" t="str">
        <f>IFERROR(VLOOKUP($G112,融外自投!$A:$J,7,0),"無")</f>
        <v>無</v>
      </c>
      <c r="P112" s="79" t="str">
        <f>IFERROR(VLOOKUP($G112,融外自投!$A:$J,9,0),"無")</f>
        <v>無</v>
      </c>
      <c r="Q112" s="342" t="str">
        <f>IFERROR(VLOOKUP($G112,融外自投!$A:$J,8,0),"無")</f>
        <v>無</v>
      </c>
      <c r="R112" s="81" t="str">
        <f>IFERROR(VLOOKUP($G112,融外自投!$A:$J,10,0),"無")</f>
        <v>無</v>
      </c>
      <c r="S112" s="324" t="str">
        <f>IFERROR(VLOOKUP($G112,'321買'!$A:$E,4,0),"'沒有資料'")</f>
        <v>'沒有資料'</v>
      </c>
      <c r="T112" s="186">
        <f>IFERROR(VLOOKUP($G112,基本資料!$A:$J,9,0),"無")</f>
        <v>0</v>
      </c>
      <c r="U112" s="307">
        <f t="shared" si="23"/>
        <v>0</v>
      </c>
      <c r="V112" s="94">
        <f>IFERROR(VLOOKUP($G112,基本資料!$A:$J,10,0),"無")</f>
        <v>-0.86</v>
      </c>
      <c r="W112" s="36">
        <f>RTD("money.excel",,"4402","Price")</f>
        <v>8.3000000000000007</v>
      </c>
      <c r="X112" s="66"/>
      <c r="Y112" s="15">
        <f t="shared" si="18"/>
        <v>8.3000000000000007</v>
      </c>
      <c r="Z112" s="3" t="e">
        <f t="shared" si="19"/>
        <v>#DIV/0!</v>
      </c>
      <c r="AA112" s="340">
        <f>IFERROR(VLOOKUP($G112,基本資料!$A:$M,11,0),"無")</f>
        <v>-18.23</v>
      </c>
      <c r="AB112" s="389">
        <f>IFERROR(VLOOKUP($G112,基本資料!$A:$M,12,0),"無")</f>
        <v>52.19</v>
      </c>
      <c r="AC112" s="16" t="s">
        <v>711</v>
      </c>
      <c r="AF112" s="33">
        <f t="shared" si="20"/>
        <v>0</v>
      </c>
      <c r="AG112" s="43" t="s">
        <v>2631</v>
      </c>
      <c r="AH112" s="66">
        <f t="shared" si="21"/>
        <v>0.44656766019316646</v>
      </c>
      <c r="AI112" s="283">
        <f>RTD("money.excel",,$G112,"PredictVolume")</f>
        <v>215</v>
      </c>
      <c r="AJ112" s="391">
        <f>IFERROR(VLOOKUP($G112,基本資料!$A:$M,13,0),"無")</f>
        <v>481.45</v>
      </c>
      <c r="AR112" s="245" t="str">
        <f>INDEX(基本資料!N:N,MATCH($G112,基本資料!A:A,0))</f>
        <v>中</v>
      </c>
    </row>
    <row r="113" spans="1:44">
      <c r="A113" s="343">
        <f>IFERROR(VLOOKUP($G113,基本資料!$A:$J,3,0),"無")</f>
        <v>5.19</v>
      </c>
      <c r="B113" s="79">
        <f>IFERROR(VLOOKUP($G113,基本資料!$A:$J,4,0),"無")</f>
        <v>135</v>
      </c>
      <c r="C113" s="79">
        <f>IFERROR(VLOOKUP($G113,基本資料!$A:$J,5,0),"無")</f>
        <v>157</v>
      </c>
      <c r="D113" s="79">
        <f>IFERROR(VLOOKUP($G113,基本資料!$A:$J,6,0),"無")</f>
        <v>0</v>
      </c>
      <c r="E113" s="79">
        <f>IFERROR(VLOOKUP($G113,基本資料!$A:$J,7,0),"無")</f>
        <v>41</v>
      </c>
      <c r="F113" s="6">
        <f>IFERROR(VLOOKUP($G113,基本資料!$A:$J,8,0),"無")</f>
        <v>4.34</v>
      </c>
      <c r="G113" s="79">
        <v>4406</v>
      </c>
      <c r="H113" s="8" t="s">
        <v>3171</v>
      </c>
      <c r="I113" s="16" t="s">
        <v>712</v>
      </c>
      <c r="J113" s="8">
        <f>IFERROR(VLOOKUP($G113,今日總結!$A:$AN,39,0),"")</f>
        <v>0</v>
      </c>
      <c r="K113" s="5">
        <f>IFERROR(VLOOKUP($G113,今日總結!$A:$AN,40,0),"")</f>
        <v>0</v>
      </c>
      <c r="L113" s="156">
        <f>IFERROR(VLOOKUP($G113,今日總結!$A:$AN,37,0),"")</f>
        <v>0</v>
      </c>
      <c r="M113" s="337">
        <f>IFERROR(VLOOKUP($G113,今日總結!$A:$AN,38,0),"")</f>
        <v>0</v>
      </c>
      <c r="N113" s="240">
        <f t="shared" si="22"/>
        <v>0</v>
      </c>
      <c r="O113" s="359">
        <f>IFERROR(VLOOKUP($G113,融外自投!$A:$J,7,0),"無")</f>
        <v>504</v>
      </c>
      <c r="P113" s="79">
        <f>IFERROR(VLOOKUP($G113,融外自投!$A:$J,9,0),"無")</f>
        <v>790</v>
      </c>
      <c r="Q113" s="342">
        <f>IFERROR(VLOOKUP($G113,融外自投!$A:$J,8,0),"無")</f>
        <v>1305</v>
      </c>
      <c r="R113" s="81" t="str">
        <f>IFERROR(VLOOKUP($G113,融外自投!$A:$J,10,0),"無")</f>
        <v>無</v>
      </c>
      <c r="S113" s="324">
        <f>IFERROR(VLOOKUP($G113,'321買'!$A:$E,4,0),"'沒有資料'")</f>
        <v>440</v>
      </c>
      <c r="T113" s="186">
        <f>IFERROR(VLOOKUP($G113,基本資料!$A:$J,9,0),"無")</f>
        <v>0</v>
      </c>
      <c r="U113" s="307">
        <f t="shared" si="23"/>
        <v>0</v>
      </c>
      <c r="V113" s="94">
        <f>IFERROR(VLOOKUP($G113,基本資料!$A:$J,10,0),"無")</f>
        <v>0.33</v>
      </c>
      <c r="W113" s="36">
        <f>RTD("money.excel",,"4406","Price")</f>
        <v>10.3</v>
      </c>
      <c r="X113" s="66"/>
      <c r="Y113" s="15">
        <f t="shared" si="18"/>
        <v>10.3</v>
      </c>
      <c r="Z113" s="3" t="e">
        <f t="shared" si="19"/>
        <v>#DIV/0!</v>
      </c>
      <c r="AA113" s="340">
        <f>IFERROR(VLOOKUP($G113,基本資料!$A:$M,11,0),"無")</f>
        <v>-33.549999999999997</v>
      </c>
      <c r="AB113" s="389">
        <f>IFERROR(VLOOKUP($G113,基本資料!$A:$M,12,0),"無")</f>
        <v>34.03</v>
      </c>
      <c r="AC113" s="16" t="s">
        <v>712</v>
      </c>
      <c r="AF113" s="33">
        <f t="shared" si="20"/>
        <v>0</v>
      </c>
      <c r="AG113" s="43" t="s">
        <v>1520</v>
      </c>
      <c r="AH113" s="66">
        <f t="shared" si="21"/>
        <v>0.81279147235176552</v>
      </c>
      <c r="AI113" s="283">
        <f>RTD("money.excel",,$G113,"PredictVolume")</f>
        <v>61</v>
      </c>
      <c r="AJ113" s="391">
        <f>IFERROR(VLOOKUP($G113,基本資料!$A:$M,13,0),"無")</f>
        <v>75.05</v>
      </c>
      <c r="AR113" s="245" t="str">
        <f>INDEX(基本資料!N:N,MATCH($G113,基本資料!A:A,0))</f>
        <v>低</v>
      </c>
    </row>
    <row r="114" spans="1:44">
      <c r="A114" s="343">
        <f>IFERROR(VLOOKUP($G114,基本資料!$A:$J,3,0),"無")</f>
        <v>3.13</v>
      </c>
      <c r="B114" s="79">
        <f>IFERROR(VLOOKUP($G114,基本資料!$A:$J,4,0),"無")</f>
        <v>122</v>
      </c>
      <c r="C114" s="79">
        <f>IFERROR(VLOOKUP($G114,基本資料!$A:$J,5,0),"無")</f>
        <v>138</v>
      </c>
      <c r="D114" s="79">
        <f>IFERROR(VLOOKUP($G114,基本資料!$A:$J,6,0),"無")</f>
        <v>12</v>
      </c>
      <c r="E114" s="79">
        <f>IFERROR(VLOOKUP($G114,基本資料!$A:$J,7,0),"無")</f>
        <v>10</v>
      </c>
      <c r="F114" s="6">
        <f>IFERROR(VLOOKUP($G114,基本資料!$A:$J,8,0),"無")</f>
        <v>1.19</v>
      </c>
      <c r="G114" s="79">
        <v>4413</v>
      </c>
      <c r="H114" s="8" t="s">
        <v>3171</v>
      </c>
      <c r="I114" s="16" t="s">
        <v>1105</v>
      </c>
      <c r="J114" s="8" t="str">
        <f>IFERROR(VLOOKUP($G114,今日總結!$A:$AN,39,0),"")</f>
        <v/>
      </c>
      <c r="K114" s="5" t="str">
        <f>IFERROR(VLOOKUP($G114,今日總結!$A:$AN,40,0),"")</f>
        <v/>
      </c>
      <c r="L114" s="156" t="str">
        <f>IFERROR(VLOOKUP($G114,今日總結!$A:$AN,37,0),"")</f>
        <v/>
      </c>
      <c r="M114" s="337" t="str">
        <f>IFERROR(VLOOKUP($G114,今日總結!$A:$AN,38,0),"")</f>
        <v/>
      </c>
      <c r="N114" s="240" t="str">
        <f t="shared" si="22"/>
        <v/>
      </c>
      <c r="O114" s="359" t="str">
        <f>IFERROR(VLOOKUP($G114,融外自投!$A:$J,7,0),"無")</f>
        <v>無</v>
      </c>
      <c r="P114" s="79" t="str">
        <f>IFERROR(VLOOKUP($G114,融外自投!$A:$J,9,0),"無")</f>
        <v>無</v>
      </c>
      <c r="Q114" s="342" t="str">
        <f>IFERROR(VLOOKUP($G114,融外自投!$A:$J,8,0),"無")</f>
        <v>無</v>
      </c>
      <c r="R114" s="81" t="str">
        <f>IFERROR(VLOOKUP($G114,融外自投!$A:$J,10,0),"無")</f>
        <v>無</v>
      </c>
      <c r="S114" s="324" t="str">
        <f>IFERROR(VLOOKUP($G114,'321買'!$A:$E,4,0),"'沒有資料'")</f>
        <v>'沒有資料'</v>
      </c>
      <c r="T114" s="186">
        <f>IFERROR(VLOOKUP($G114,基本資料!$A:$J,9,0),"無")</f>
        <v>0</v>
      </c>
      <c r="U114" s="307">
        <f t="shared" si="23"/>
        <v>0</v>
      </c>
      <c r="V114" s="94">
        <f>IFERROR(VLOOKUP($G114,基本資料!$A:$J,10,0),"無")</f>
        <v>0.2</v>
      </c>
      <c r="W114" s="36">
        <f>RTD("money.excel",,"4413","Price")</f>
        <v>13.65</v>
      </c>
      <c r="X114" s="66"/>
      <c r="Y114" s="15">
        <f t="shared" si="18"/>
        <v>13.65</v>
      </c>
      <c r="Z114" s="3" t="e">
        <f t="shared" si="19"/>
        <v>#DIV/0!</v>
      </c>
      <c r="AA114" s="340">
        <f>IFERROR(VLOOKUP($G114,基本資料!$A:$M,11,0),"無")</f>
        <v>-18.75</v>
      </c>
      <c r="AB114" s="389">
        <f>IFERROR(VLOOKUP($G114,基本資料!$A:$M,12,0),"無")</f>
        <v>51.94</v>
      </c>
      <c r="AC114" s="16" t="s">
        <v>1105</v>
      </c>
      <c r="AF114" s="33">
        <f t="shared" si="20"/>
        <v>0</v>
      </c>
      <c r="AG114" s="43" t="s">
        <v>2632</v>
      </c>
      <c r="AH114" s="66">
        <f t="shared" si="21"/>
        <v>2.6118660921445147</v>
      </c>
      <c r="AI114" s="283">
        <f>RTD("money.excel",,$G114,"PredictVolume")</f>
        <v>394</v>
      </c>
      <c r="AJ114" s="391">
        <f>IFERROR(VLOOKUP($G114,基本資料!$A:$M,13,0),"無")</f>
        <v>150.85</v>
      </c>
      <c r="AR114" s="245" t="str">
        <f>INDEX(基本資料!N:N,MATCH($G114,基本資料!A:A,0))</f>
        <v>中</v>
      </c>
    </row>
    <row r="115" spans="1:44">
      <c r="A115" s="343">
        <f>IFERROR(VLOOKUP($G115,基本資料!$A:$J,3,0),"無")</f>
        <v>81.89</v>
      </c>
      <c r="B115" s="79">
        <f>IFERROR(VLOOKUP($G115,基本資料!$A:$J,4,0),"無")</f>
        <v>-1592</v>
      </c>
      <c r="C115" s="79">
        <f>IFERROR(VLOOKUP($G115,基本資料!$A:$J,5,0),"無")</f>
        <v>-621</v>
      </c>
      <c r="D115" s="79">
        <f>IFERROR(VLOOKUP($G115,基本資料!$A:$J,6,0),"無")</f>
        <v>22</v>
      </c>
      <c r="E115" s="79">
        <f>IFERROR(VLOOKUP($G115,基本資料!$A:$J,7,0),"無")</f>
        <v>24</v>
      </c>
      <c r="F115" s="6">
        <f>IFERROR(VLOOKUP($G115,基本資料!$A:$J,8,0),"無")</f>
        <v>-7.03</v>
      </c>
      <c r="G115" s="79">
        <v>4414</v>
      </c>
      <c r="H115" s="8" t="s">
        <v>3171</v>
      </c>
      <c r="I115" s="22" t="s">
        <v>752</v>
      </c>
      <c r="J115" s="8" t="str">
        <f>IFERROR(VLOOKUP($G115,今日總結!$A:$AN,39,0),"")</f>
        <v>借</v>
      </c>
      <c r="K115" s="5" t="str">
        <f>IFERROR(VLOOKUP($G115,今日總結!$A:$AN,40,0),"")</f>
        <v>主融</v>
      </c>
      <c r="L115" s="156">
        <f>IFERROR(VLOOKUP($G115,今日總結!$A:$AN,37,0),"")</f>
        <v>8</v>
      </c>
      <c r="M115" s="337">
        <f>IFERROR(VLOOKUP($G115,今日總結!$A:$AN,38,0),"")</f>
        <v>27</v>
      </c>
      <c r="N115" s="240">
        <f t="shared" si="22"/>
        <v>-19</v>
      </c>
      <c r="O115" s="359" t="str">
        <f>IFERROR(VLOOKUP($G115,融外自投!$A:$J,7,0),"無")</f>
        <v>無</v>
      </c>
      <c r="P115" s="79" t="str">
        <f>IFERROR(VLOOKUP($G115,融外自投!$A:$J,9,0),"無")</f>
        <v>無</v>
      </c>
      <c r="Q115" s="342" t="str">
        <f>IFERROR(VLOOKUP($G115,融外自投!$A:$J,8,0),"無")</f>
        <v>無</v>
      </c>
      <c r="R115" s="81" t="str">
        <f>IFERROR(VLOOKUP($G115,融外自投!$A:$J,10,0),"無")</f>
        <v>無</v>
      </c>
      <c r="S115" s="324">
        <f>IFERROR(VLOOKUP($G115,'321買'!$A:$E,4,0),"'沒有資料'")</f>
        <v>1002</v>
      </c>
      <c r="T115" s="186">
        <f>IFERROR(VLOOKUP($G115,基本資料!$A:$J,9,0),"無")</f>
        <v>0</v>
      </c>
      <c r="U115" s="307">
        <f t="shared" si="23"/>
        <v>0</v>
      </c>
      <c r="V115" s="94">
        <f>IFERROR(VLOOKUP($G115,基本資料!$A:$J,10,0),"無")</f>
        <v>-2.31</v>
      </c>
      <c r="W115" s="36">
        <f>RTD("money.excel",,"4414","Price")</f>
        <v>4.3499999999999996</v>
      </c>
      <c r="X115" s="66"/>
      <c r="Y115" s="15">
        <f t="shared" si="18"/>
        <v>4.3499999999999996</v>
      </c>
      <c r="Z115" s="3" t="e">
        <f t="shared" si="19"/>
        <v>#DIV/0!</v>
      </c>
      <c r="AA115" s="340">
        <f>IFERROR(VLOOKUP($G115,基本資料!$A:$M,11,0),"無")</f>
        <v>-53.92</v>
      </c>
      <c r="AB115" s="389">
        <f>IFERROR(VLOOKUP($G115,基本資料!$A:$M,12,0),"無")</f>
        <v>6.38</v>
      </c>
      <c r="AC115" s="22" t="s">
        <v>752</v>
      </c>
      <c r="AF115" s="33">
        <f t="shared" si="20"/>
        <v>0</v>
      </c>
      <c r="AG115" s="43" t="s">
        <v>2383</v>
      </c>
      <c r="AH115" s="66">
        <f t="shared" si="21"/>
        <v>0.89289783007867474</v>
      </c>
      <c r="AI115" s="283">
        <f>RTD("money.excel",,$G115,"PredictVolume")</f>
        <v>3331</v>
      </c>
      <c r="AJ115" s="391">
        <f>IFERROR(VLOOKUP($G115,基本資料!$A:$M,13,0),"無")</f>
        <v>3730.55</v>
      </c>
      <c r="AR115" s="245" t="str">
        <f>INDEX(基本資料!N:N,MATCH($G115,基本資料!A:A,0))</f>
        <v>低</v>
      </c>
    </row>
    <row r="116" spans="1:44">
      <c r="A116" s="343">
        <f>IFERROR(VLOOKUP($G116,基本資料!$A:$J,3,0),"無")</f>
        <v>8.39</v>
      </c>
      <c r="B116" s="79">
        <f>IFERROR(VLOOKUP($G116,基本資料!$A:$J,4,0),"無")</f>
        <v>-35</v>
      </c>
      <c r="C116" s="79">
        <f>IFERROR(VLOOKUP($G116,基本資料!$A:$J,5,0),"無")</f>
        <v>-5</v>
      </c>
      <c r="D116" s="79">
        <f>IFERROR(VLOOKUP($G116,基本資料!$A:$J,6,0),"無")</f>
        <v>-10</v>
      </c>
      <c r="E116" s="79">
        <f>IFERROR(VLOOKUP($G116,基本資料!$A:$J,7,0),"無")</f>
        <v>-25</v>
      </c>
      <c r="F116" s="6">
        <f>IFERROR(VLOOKUP($G116,基本資料!$A:$J,8,0),"無")</f>
        <v>13.94</v>
      </c>
      <c r="G116" s="79">
        <v>4417</v>
      </c>
      <c r="H116" s="8" t="s">
        <v>3171</v>
      </c>
      <c r="I116" s="16" t="s">
        <v>713</v>
      </c>
      <c r="J116" s="8" t="str">
        <f>IFERROR(VLOOKUP($G116,今日總結!$A:$AN,39,0),"")</f>
        <v/>
      </c>
      <c r="K116" s="5" t="str">
        <f>IFERROR(VLOOKUP($G116,今日總結!$A:$AN,40,0),"")</f>
        <v/>
      </c>
      <c r="L116" s="156" t="str">
        <f>IFERROR(VLOOKUP($G116,今日總結!$A:$AN,37,0),"")</f>
        <v/>
      </c>
      <c r="M116" s="337" t="str">
        <f>IFERROR(VLOOKUP($G116,今日總結!$A:$AN,38,0),"")</f>
        <v/>
      </c>
      <c r="N116" s="240" t="str">
        <f t="shared" si="22"/>
        <v/>
      </c>
      <c r="O116" s="359">
        <f>IFERROR(VLOOKUP($G116,融外自投!$A:$J,7,0),"無")</f>
        <v>1298</v>
      </c>
      <c r="P116" s="79">
        <f>IFERROR(VLOOKUP($G116,融外自投!$A:$J,9,0),"無")</f>
        <v>1123</v>
      </c>
      <c r="Q116" s="342">
        <f>IFERROR(VLOOKUP($G116,融外自投!$A:$J,8,0),"無")</f>
        <v>883</v>
      </c>
      <c r="R116" s="81" t="str">
        <f>IFERROR(VLOOKUP($G116,融外自投!$A:$J,10,0),"無")</f>
        <v>無</v>
      </c>
      <c r="S116" s="324" t="str">
        <f>IFERROR(VLOOKUP($G116,'321買'!$A:$E,4,0),"'沒有資料'")</f>
        <v>'沒有資料'</v>
      </c>
      <c r="T116" s="186">
        <f>IFERROR(VLOOKUP($G116,基本資料!$A:$J,9,0),"無")</f>
        <v>2.1</v>
      </c>
      <c r="U116" s="307">
        <f t="shared" si="23"/>
        <v>6.5015479876161006E-2</v>
      </c>
      <c r="V116" s="94">
        <f>IFERROR(VLOOKUP($G116,基本資料!$A:$J,10,0),"無")</f>
        <v>3.12</v>
      </c>
      <c r="W116" s="36">
        <f>RTD("money.excel",,"4417","Price")</f>
        <v>32.299999999999997</v>
      </c>
      <c r="X116" s="66"/>
      <c r="Y116" s="15">
        <f t="shared" si="18"/>
        <v>32.299999999999997</v>
      </c>
      <c r="Z116" s="3" t="e">
        <f t="shared" si="19"/>
        <v>#DIV/0!</v>
      </c>
      <c r="AA116" s="340">
        <f>IFERROR(VLOOKUP($G116,基本資料!$A:$M,11,0),"無")</f>
        <v>-16.97</v>
      </c>
      <c r="AB116" s="389">
        <f>IFERROR(VLOOKUP($G116,基本資料!$A:$M,12,0),"無")</f>
        <v>12.36</v>
      </c>
      <c r="AC116" s="16" t="s">
        <v>713</v>
      </c>
      <c r="AF116" s="33">
        <f t="shared" si="20"/>
        <v>0</v>
      </c>
      <c r="AG116" s="43" t="s">
        <v>2633</v>
      </c>
      <c r="AH116" s="66">
        <f t="shared" si="21"/>
        <v>1.0827374872318691</v>
      </c>
      <c r="AI116" s="283">
        <f>RTD("money.excel",,$G116,"PredictVolume")</f>
        <v>53</v>
      </c>
      <c r="AJ116" s="391">
        <f>IFERROR(VLOOKUP($G116,基本資料!$A:$M,13,0),"無")</f>
        <v>48.95</v>
      </c>
      <c r="AR116" s="245" t="str">
        <f>INDEX(基本資料!N:N,MATCH($G116,基本資料!A:A,0))</f>
        <v>低</v>
      </c>
    </row>
    <row r="117" spans="1:44">
      <c r="A117" s="343">
        <f>IFERROR(VLOOKUP($G117,基本資料!$A:$J,3,0),"無")</f>
        <v>4.6500000000000004</v>
      </c>
      <c r="B117" s="79">
        <f>IFERROR(VLOOKUP($G117,基本資料!$A:$J,4,0),"無")</f>
        <v>25</v>
      </c>
      <c r="C117" s="79">
        <f>IFERROR(VLOOKUP($G117,基本資料!$A:$J,5,0),"無")</f>
        <v>-288</v>
      </c>
      <c r="D117" s="79">
        <f>IFERROR(VLOOKUP($G117,基本資料!$A:$J,6,0),"無")</f>
        <v>-52</v>
      </c>
      <c r="E117" s="79">
        <f>IFERROR(VLOOKUP($G117,基本資料!$A:$J,7,0),"無")</f>
        <v>10400</v>
      </c>
      <c r="F117" s="6">
        <f>IFERROR(VLOOKUP($G117,基本資料!$A:$J,8,0),"無")</f>
        <v>-70.7</v>
      </c>
      <c r="G117" s="79">
        <v>4419</v>
      </c>
      <c r="H117" s="8" t="s">
        <v>3171</v>
      </c>
      <c r="I117" s="16" t="s">
        <v>714</v>
      </c>
      <c r="J117" s="8" t="str">
        <f>IFERROR(VLOOKUP($G117,今日總結!$A:$AN,39,0),"")</f>
        <v/>
      </c>
      <c r="K117" s="5" t="str">
        <f>IFERROR(VLOOKUP($G117,今日總結!$A:$AN,40,0),"")</f>
        <v/>
      </c>
      <c r="L117" s="156" t="str">
        <f>IFERROR(VLOOKUP($G117,今日總結!$A:$AN,37,0),"")</f>
        <v/>
      </c>
      <c r="M117" s="337" t="str">
        <f>IFERROR(VLOOKUP($G117,今日總結!$A:$AN,38,0),"")</f>
        <v/>
      </c>
      <c r="N117" s="240" t="str">
        <f t="shared" si="22"/>
        <v/>
      </c>
      <c r="O117" s="359" t="str">
        <f>IFERROR(VLOOKUP($G117,融外自投!$A:$J,7,0),"無")</f>
        <v>無</v>
      </c>
      <c r="P117" s="79" t="str">
        <f>IFERROR(VLOOKUP($G117,融外自投!$A:$J,9,0),"無")</f>
        <v>無</v>
      </c>
      <c r="Q117" s="342" t="str">
        <f>IFERROR(VLOOKUP($G117,融外自投!$A:$J,8,0),"無")</f>
        <v>無</v>
      </c>
      <c r="R117" s="81" t="str">
        <f>IFERROR(VLOOKUP($G117,融外自投!$A:$J,10,0),"無")</f>
        <v>無</v>
      </c>
      <c r="S117" s="324" t="str">
        <f>IFERROR(VLOOKUP($G117,'321買'!$A:$E,4,0),"'沒有資料'")</f>
        <v>'沒有資料'</v>
      </c>
      <c r="T117" s="186">
        <f>IFERROR(VLOOKUP($G117,基本資料!$A:$J,9,0),"無")</f>
        <v>0</v>
      </c>
      <c r="U117" s="307">
        <f t="shared" si="23"/>
        <v>0</v>
      </c>
      <c r="V117" s="94">
        <f>IFERROR(VLOOKUP($G117,基本資料!$A:$J,10,0),"無")</f>
        <v>-0.6</v>
      </c>
      <c r="W117" s="36">
        <f>RTD("money.excel",,"4419","Price")</f>
        <v>10</v>
      </c>
      <c r="X117" s="66"/>
      <c r="Y117" s="15">
        <f t="shared" si="18"/>
        <v>10</v>
      </c>
      <c r="Z117" s="3" t="e">
        <f t="shared" si="19"/>
        <v>#DIV/0!</v>
      </c>
      <c r="AA117" s="340">
        <f>IFERROR(VLOOKUP($G117,基本資料!$A:$M,11,0),"無")</f>
        <v>-24.24</v>
      </c>
      <c r="AB117" s="389">
        <f>IFERROR(VLOOKUP($G117,基本資料!$A:$M,12,0),"無")</f>
        <v>7.09</v>
      </c>
      <c r="AC117" s="16" t="s">
        <v>714</v>
      </c>
      <c r="AF117" s="33">
        <f t="shared" si="20"/>
        <v>0</v>
      </c>
      <c r="AG117" s="43" t="s">
        <v>1520</v>
      </c>
      <c r="AH117" s="66">
        <f t="shared" si="21"/>
        <v>2</v>
      </c>
      <c r="AI117" s="283">
        <f>RTD("money.excel",,$G117,"PredictVolume")</f>
        <v>1</v>
      </c>
      <c r="AJ117" s="391">
        <f>IFERROR(VLOOKUP($G117,基本資料!$A:$M,13,0),"無")</f>
        <v>0.5</v>
      </c>
      <c r="AR117" s="245" t="str">
        <f>INDEX(基本資料!N:N,MATCH($G117,基本資料!A:A,0))</f>
        <v>低</v>
      </c>
    </row>
    <row r="118" spans="1:44">
      <c r="A118" s="343">
        <f>IFERROR(VLOOKUP($G118,基本資料!$A:$J,3,0),"無")</f>
        <v>4.04</v>
      </c>
      <c r="B118" s="79">
        <f>IFERROR(VLOOKUP($G118,基本資料!$A:$J,4,0),"無")</f>
        <v>542</v>
      </c>
      <c r="C118" s="79">
        <f>IFERROR(VLOOKUP($G118,基本資料!$A:$J,5,0),"無")</f>
        <v>9514</v>
      </c>
      <c r="D118" s="79">
        <f>IFERROR(VLOOKUP($G118,基本資料!$A:$J,6,0),"無")</f>
        <v>-21</v>
      </c>
      <c r="E118" s="79">
        <f>IFERROR(VLOOKUP($G118,基本資料!$A:$J,7,0),"無")</f>
        <v>-12</v>
      </c>
      <c r="F118" s="6">
        <f>IFERROR(VLOOKUP($G118,基本資料!$A:$J,8,0),"無")</f>
        <v>8.2799999999999994</v>
      </c>
      <c r="G118" s="79">
        <v>4420</v>
      </c>
      <c r="H118" s="8" t="s">
        <v>3171</v>
      </c>
      <c r="I118" s="16" t="s">
        <v>715</v>
      </c>
      <c r="J118" s="8">
        <f>IFERROR(VLOOKUP($G118,今日總結!$A:$AN,39,0),"")</f>
        <v>0</v>
      </c>
      <c r="K118" s="5">
        <f>IFERROR(VLOOKUP($G118,今日總結!$A:$AN,40,0),"")</f>
        <v>0</v>
      </c>
      <c r="L118" s="156">
        <f>IFERROR(VLOOKUP($G118,今日總結!$A:$AN,37,0),"")</f>
        <v>0</v>
      </c>
      <c r="M118" s="337">
        <f>IFERROR(VLOOKUP($G118,今日總結!$A:$AN,38,0),"")</f>
        <v>0</v>
      </c>
      <c r="N118" s="240">
        <f t="shared" si="22"/>
        <v>0</v>
      </c>
      <c r="O118" s="359">
        <f>IFERROR(VLOOKUP($G118,融外自投!$A:$J,7,0),"無")</f>
        <v>683</v>
      </c>
      <c r="P118" s="79" t="str">
        <f>IFERROR(VLOOKUP($G118,融外自投!$A:$J,9,0),"無")</f>
        <v>無</v>
      </c>
      <c r="Q118" s="342">
        <f>IFERROR(VLOOKUP($G118,融外自投!$A:$J,8,0),"無")</f>
        <v>1376</v>
      </c>
      <c r="R118" s="81" t="str">
        <f>IFERROR(VLOOKUP($G118,融外自投!$A:$J,10,0),"無")</f>
        <v>無</v>
      </c>
      <c r="S118" s="324">
        <f>IFERROR(VLOOKUP($G118,'321買'!$A:$E,4,0),"'沒有資料'")</f>
        <v>1002</v>
      </c>
      <c r="T118" s="186">
        <f>IFERROR(VLOOKUP($G118,基本資料!$A:$J,9,0),"無")</f>
        <v>2</v>
      </c>
      <c r="U118" s="307">
        <f t="shared" si="23"/>
        <v>6.3091482649842268E-2</v>
      </c>
      <c r="V118" s="94">
        <f>IFERROR(VLOOKUP($G118,基本資料!$A:$J,10,0),"無")</f>
        <v>2.04</v>
      </c>
      <c r="W118" s="36">
        <f>RTD("money.excel",,"4420","Price")</f>
        <v>31.7</v>
      </c>
      <c r="X118" s="66"/>
      <c r="Y118" s="15">
        <f t="shared" si="18"/>
        <v>31.7</v>
      </c>
      <c r="Z118" s="3" t="e">
        <f t="shared" si="19"/>
        <v>#DIV/0!</v>
      </c>
      <c r="AA118" s="340">
        <f>IFERROR(VLOOKUP($G118,基本資料!$A:$M,11,0),"無")</f>
        <v>-11.94</v>
      </c>
      <c r="AB118" s="389">
        <f>IFERROR(VLOOKUP($G118,基本資料!$A:$M,12,0),"無")</f>
        <v>34.57</v>
      </c>
      <c r="AC118" s="16" t="s">
        <v>715</v>
      </c>
      <c r="AF118" s="33">
        <f t="shared" si="20"/>
        <v>0</v>
      </c>
      <c r="AG118" s="43" t="s">
        <v>2634</v>
      </c>
      <c r="AH118" s="66">
        <f t="shared" si="21"/>
        <v>1.1313131313131313</v>
      </c>
      <c r="AI118" s="283">
        <f>RTD("money.excel",,$G118,"PredictVolume")</f>
        <v>28</v>
      </c>
      <c r="AJ118" s="391">
        <f>IFERROR(VLOOKUP($G118,基本資料!$A:$M,13,0),"無")</f>
        <v>24.75</v>
      </c>
      <c r="AR118" s="245" t="str">
        <f>INDEX(基本資料!N:N,MATCH($G118,基本資料!A:A,0))</f>
        <v>中</v>
      </c>
    </row>
    <row r="119" spans="1:44">
      <c r="A119" s="343">
        <f>IFERROR(VLOOKUP($G119,基本資料!$A:$J,3,0),"無")</f>
        <v>17.260000000000002</v>
      </c>
      <c r="B119" s="79">
        <f>IFERROR(VLOOKUP($G119,基本資料!$A:$J,4,0),"無")</f>
        <v>-242</v>
      </c>
      <c r="C119" s="79">
        <f>IFERROR(VLOOKUP($G119,基本資料!$A:$J,5,0),"無")</f>
        <v>-177</v>
      </c>
      <c r="D119" s="79">
        <f>IFERROR(VLOOKUP($G119,基本資料!$A:$J,6,0),"無")</f>
        <v>14</v>
      </c>
      <c r="E119" s="79">
        <f>IFERROR(VLOOKUP($G119,基本資料!$A:$J,7,0),"無")</f>
        <v>127</v>
      </c>
      <c r="F119" s="6">
        <f>IFERROR(VLOOKUP($G119,基本資料!$A:$J,8,0),"無")</f>
        <v>-67.819999999999993</v>
      </c>
      <c r="G119" s="79">
        <v>4426</v>
      </c>
      <c r="H119" s="8" t="s">
        <v>3171</v>
      </c>
      <c r="I119" s="22" t="s">
        <v>753</v>
      </c>
      <c r="J119" s="8">
        <f>IFERROR(VLOOKUP($G119,今日總結!$A:$AN,39,0),"")</f>
        <v>0</v>
      </c>
      <c r="K119" s="5" t="str">
        <f>IFERROR(VLOOKUP($G119,今日總結!$A:$AN,40,0),"")</f>
        <v>主</v>
      </c>
      <c r="L119" s="156">
        <f>IFERROR(VLOOKUP($G119,今日總結!$A:$AN,37,0),"")</f>
        <v>0</v>
      </c>
      <c r="M119" s="337">
        <f>IFERROR(VLOOKUP($G119,今日總結!$A:$AN,38,0),"")</f>
        <v>6</v>
      </c>
      <c r="N119" s="240">
        <f t="shared" si="22"/>
        <v>-6</v>
      </c>
      <c r="O119" s="359">
        <f>IFERROR(VLOOKUP($G119,融外自投!$A:$J,7,0),"無")</f>
        <v>894</v>
      </c>
      <c r="P119" s="79">
        <f>IFERROR(VLOOKUP($G119,融外自投!$A:$J,9,0),"無")</f>
        <v>1123</v>
      </c>
      <c r="Q119" s="342">
        <f>IFERROR(VLOOKUP($G119,融外自投!$A:$J,8,0),"無")</f>
        <v>774</v>
      </c>
      <c r="R119" s="81" t="str">
        <f>IFERROR(VLOOKUP($G119,融外自投!$A:$J,10,0),"無")</f>
        <v>無</v>
      </c>
      <c r="S119" s="324">
        <f>IFERROR(VLOOKUP($G119,'321買'!$A:$E,4,0),"'沒有資料'")</f>
        <v>1002</v>
      </c>
      <c r="T119" s="186">
        <f>IFERROR(VLOOKUP($G119,基本資料!$A:$J,9,0),"無")</f>
        <v>0</v>
      </c>
      <c r="U119" s="307">
        <f t="shared" si="23"/>
        <v>0</v>
      </c>
      <c r="V119" s="94">
        <f>IFERROR(VLOOKUP($G119,基本資料!$A:$J,10,0),"無")</f>
        <v>-2.15</v>
      </c>
      <c r="W119" s="36">
        <f>RTD("money.excel",,"4426","Price")</f>
        <v>22.05</v>
      </c>
      <c r="X119" s="66"/>
      <c r="Y119" s="15">
        <f t="shared" si="18"/>
        <v>22.05</v>
      </c>
      <c r="Z119" s="3" t="e">
        <f t="shared" si="19"/>
        <v>#DIV/0!</v>
      </c>
      <c r="AA119" s="340">
        <f>IFERROR(VLOOKUP($G119,基本資料!$A:$M,11,0),"無")</f>
        <v>-18.03</v>
      </c>
      <c r="AB119" s="389">
        <f>IFERROR(VLOOKUP($G119,基本資料!$A:$M,12,0),"無")</f>
        <v>34.86</v>
      </c>
      <c r="AC119" s="22" t="s">
        <v>753</v>
      </c>
      <c r="AF119" s="33">
        <f t="shared" si="20"/>
        <v>0</v>
      </c>
      <c r="AG119" s="43" t="s">
        <v>1523</v>
      </c>
      <c r="AH119" s="66">
        <f t="shared" si="21"/>
        <v>0.24645096202349209</v>
      </c>
      <c r="AI119" s="283">
        <f>RTD("money.excel",,$G119,"PredictVolume")</f>
        <v>171</v>
      </c>
      <c r="AJ119" s="391">
        <f>IFERROR(VLOOKUP($G119,基本資料!$A:$M,13,0),"無")</f>
        <v>693.85</v>
      </c>
      <c r="AR119" s="245" t="str">
        <f>INDEX(基本資料!N:N,MATCH($G119,基本資料!A:A,0))</f>
        <v>中</v>
      </c>
    </row>
    <row r="120" spans="1:44">
      <c r="A120" s="343">
        <f>IFERROR(VLOOKUP($G120,基本資料!$A:$J,3,0),"無")</f>
        <v>3.43</v>
      </c>
      <c r="B120" s="79">
        <f>IFERROR(VLOOKUP($G120,基本資料!$A:$J,4,0),"無")</f>
        <v>211</v>
      </c>
      <c r="C120" s="79">
        <f>IFERROR(VLOOKUP($G120,基本資料!$A:$J,5,0),"無")</f>
        <v>117</v>
      </c>
      <c r="D120" s="79">
        <f>IFERROR(VLOOKUP($G120,基本資料!$A:$J,6,0),"無")</f>
        <v>-24</v>
      </c>
      <c r="E120" s="79">
        <f>IFERROR(VLOOKUP($G120,基本資料!$A:$J,7,0),"無")</f>
        <v>-17</v>
      </c>
      <c r="F120" s="6">
        <f>IFERROR(VLOOKUP($G120,基本資料!$A:$J,8,0),"無")</f>
        <v>0.88</v>
      </c>
      <c r="G120" s="79">
        <v>4429</v>
      </c>
      <c r="H120" s="8" t="s">
        <v>3171</v>
      </c>
      <c r="I120" s="16" t="s">
        <v>716</v>
      </c>
      <c r="J120" s="8" t="str">
        <f>IFERROR(VLOOKUP($G120,今日總結!$A:$AN,39,0),"")</f>
        <v/>
      </c>
      <c r="K120" s="5" t="str">
        <f>IFERROR(VLOOKUP($G120,今日總結!$A:$AN,40,0),"")</f>
        <v/>
      </c>
      <c r="L120" s="156" t="str">
        <f>IFERROR(VLOOKUP($G120,今日總結!$A:$AN,37,0),"")</f>
        <v/>
      </c>
      <c r="M120" s="337" t="str">
        <f>IFERROR(VLOOKUP($G120,今日總結!$A:$AN,38,0),"")</f>
        <v/>
      </c>
      <c r="N120" s="240" t="str">
        <f t="shared" si="22"/>
        <v/>
      </c>
      <c r="O120" s="359">
        <f>IFERROR(VLOOKUP($G120,融外自投!$A:$J,7,0),"無")</f>
        <v>1244</v>
      </c>
      <c r="P120" s="79" t="str">
        <f>IFERROR(VLOOKUP($G120,融外自投!$A:$J,9,0),"無")</f>
        <v>無</v>
      </c>
      <c r="Q120" s="342">
        <f>IFERROR(VLOOKUP($G120,融外自投!$A:$J,8,0),"無")</f>
        <v>1467</v>
      </c>
      <c r="R120" s="81" t="str">
        <f>IFERROR(VLOOKUP($G120,融外自投!$A:$J,10,0),"無")</f>
        <v>無</v>
      </c>
      <c r="S120" s="324" t="str">
        <f>IFERROR(VLOOKUP($G120,'321買'!$A:$E,4,0),"'沒有資料'")</f>
        <v>'沒有資料'</v>
      </c>
      <c r="T120" s="186">
        <f>IFERROR(VLOOKUP($G120,基本資料!$A:$J,9,0),"無")</f>
        <v>0</v>
      </c>
      <c r="U120" s="307">
        <f t="shared" si="23"/>
        <v>0</v>
      </c>
      <c r="V120" s="94">
        <f>IFERROR(VLOOKUP($G120,基本資料!$A:$J,10,0),"無")</f>
        <v>1.39</v>
      </c>
      <c r="W120" s="36">
        <f>RTD("money.excel",,"4429","Price")</f>
        <v>39</v>
      </c>
      <c r="X120" s="66"/>
      <c r="Y120" s="15">
        <f t="shared" si="18"/>
        <v>39</v>
      </c>
      <c r="Z120" s="3" t="e">
        <f t="shared" si="19"/>
        <v>#DIV/0!</v>
      </c>
      <c r="AA120" s="340">
        <f>IFERROR(VLOOKUP($G120,基本資料!$A:$M,11,0),"無")</f>
        <v>-9.7200000000000006</v>
      </c>
      <c r="AB120" s="389">
        <f>IFERROR(VLOOKUP($G120,基本資料!$A:$M,12,0),"無")</f>
        <v>48.35</v>
      </c>
      <c r="AC120" s="16" t="s">
        <v>716</v>
      </c>
      <c r="AF120" s="33">
        <f t="shared" si="20"/>
        <v>0</v>
      </c>
      <c r="AG120" s="43" t="s">
        <v>2635</v>
      </c>
      <c r="AH120" s="66">
        <f t="shared" si="21"/>
        <v>0.51948051948051943</v>
      </c>
      <c r="AI120" s="283">
        <f>RTD("money.excel",,$G120,"PredictVolume")</f>
        <v>8</v>
      </c>
      <c r="AJ120" s="391">
        <f>IFERROR(VLOOKUP($G120,基本資料!$A:$M,13,0),"無")</f>
        <v>15.4</v>
      </c>
      <c r="AR120" s="245" t="str">
        <f>INDEX(基本資料!N:N,MATCH($G120,基本資料!A:A,0))</f>
        <v>中</v>
      </c>
    </row>
    <row r="121" spans="1:44">
      <c r="A121" s="343">
        <f>IFERROR(VLOOKUP($G121,基本資料!$A:$J,3,0),"無")</f>
        <v>5.05</v>
      </c>
      <c r="B121" s="79">
        <f>IFERROR(VLOOKUP($G121,基本資料!$A:$J,4,0),"無")</f>
        <v>-1063</v>
      </c>
      <c r="C121" s="79">
        <f>IFERROR(VLOOKUP($G121,基本資料!$A:$J,5,0),"無")</f>
        <v>-409</v>
      </c>
      <c r="D121" s="79">
        <f>IFERROR(VLOOKUP($G121,基本資料!$A:$J,6,0),"無")</f>
        <v>14</v>
      </c>
      <c r="E121" s="79">
        <f>IFERROR(VLOOKUP($G121,基本資料!$A:$J,7,0),"無")</f>
        <v>-22</v>
      </c>
      <c r="F121" s="6">
        <f>IFERROR(VLOOKUP($G121,基本資料!$A:$J,8,0),"無")</f>
        <v>-5.89</v>
      </c>
      <c r="G121" s="79">
        <v>4432</v>
      </c>
      <c r="H121" s="17" t="s">
        <v>3171</v>
      </c>
      <c r="I121" s="166" t="s">
        <v>3590</v>
      </c>
      <c r="J121" s="8">
        <f>IFERROR(VLOOKUP($G121,今日總結!$A:$AN,39,0),"")</f>
        <v>0</v>
      </c>
      <c r="K121" s="5">
        <f>IFERROR(VLOOKUP($G121,今日總結!$A:$AN,40,0),"")</f>
        <v>2</v>
      </c>
      <c r="L121" s="156">
        <f>IFERROR(VLOOKUP($G121,今日總結!$A:$AN,37,0),"")</f>
        <v>0</v>
      </c>
      <c r="M121" s="337">
        <f>IFERROR(VLOOKUP($G121,今日總結!$A:$AN,38,0),"")</f>
        <v>1</v>
      </c>
      <c r="N121" s="240">
        <f t="shared" si="22"/>
        <v>-1</v>
      </c>
      <c r="O121" s="359">
        <f>IFERROR(VLOOKUP($G121,融外自投!$A:$J,7,0),"無")</f>
        <v>751</v>
      </c>
      <c r="P121" s="79">
        <f>IFERROR(VLOOKUP($G121,融外自投!$A:$J,9,0),"無")</f>
        <v>298</v>
      </c>
      <c r="Q121" s="342">
        <f>IFERROR(VLOOKUP($G121,融外自投!$A:$J,8,0),"無")</f>
        <v>1405</v>
      </c>
      <c r="R121" s="81" t="str">
        <f>IFERROR(VLOOKUP($G121,融外自投!$A:$J,10,0),"無")</f>
        <v>無</v>
      </c>
      <c r="S121" s="324">
        <f>IFERROR(VLOOKUP($G121,'321買'!$A:$E,4,0),"'沒有資料'")</f>
        <v>1002</v>
      </c>
      <c r="T121" s="186">
        <f>IFERROR(VLOOKUP($G121,基本資料!$A:$J,9,0),"無")</f>
        <v>0</v>
      </c>
      <c r="U121" s="307">
        <f t="shared" si="23"/>
        <v>0</v>
      </c>
      <c r="V121" s="94">
        <f>IFERROR(VLOOKUP($G121,基本資料!$A:$J,10,0),"無")</f>
        <v>-2.04</v>
      </c>
      <c r="W121" s="36">
        <f>RTD("money.excel",,"4432","Price")</f>
        <v>15</v>
      </c>
      <c r="X121" s="66"/>
      <c r="Y121" s="15">
        <f t="shared" si="18"/>
        <v>15</v>
      </c>
      <c r="Z121" s="3" t="e">
        <f t="shared" si="19"/>
        <v>#DIV/0!</v>
      </c>
      <c r="AA121" s="340">
        <f>IFERROR(VLOOKUP($G121,基本資料!$A:$M,11,0),"無")</f>
        <v>-18.260000000000002</v>
      </c>
      <c r="AB121" s="389">
        <f>IFERROR(VLOOKUP($G121,基本資料!$A:$M,12,0),"無")</f>
        <v>46.62</v>
      </c>
      <c r="AC121" s="16" t="s">
        <v>3590</v>
      </c>
      <c r="AF121" s="33">
        <f t="shared" si="20"/>
        <v>0</v>
      </c>
      <c r="AG121" s="43" t="s">
        <v>1447</v>
      </c>
      <c r="AH121" s="66">
        <f t="shared" si="21"/>
        <v>10.32875074716079</v>
      </c>
      <c r="AI121" s="283">
        <f>RTD("money.excel",,$G121,"PredictVolume")</f>
        <v>2592</v>
      </c>
      <c r="AJ121" s="391">
        <f>IFERROR(VLOOKUP($G121,基本資料!$A:$M,13,0),"無")</f>
        <v>250.95</v>
      </c>
      <c r="AR121" s="245" t="str">
        <f>INDEX(基本資料!N:N,MATCH($G121,基本資料!A:A,0))</f>
        <v>低</v>
      </c>
    </row>
    <row r="122" spans="1:44">
      <c r="A122" s="343">
        <f>IFERROR(VLOOKUP($G122,基本資料!$A:$J,3,0),"無")</f>
        <v>4.68</v>
      </c>
      <c r="B122" s="79">
        <f>IFERROR(VLOOKUP($G122,基本資料!$A:$J,4,0),"無")</f>
        <v>-76</v>
      </c>
      <c r="C122" s="79">
        <f>IFERROR(VLOOKUP($G122,基本資料!$A:$J,5,0),"無")</f>
        <v>-10</v>
      </c>
      <c r="D122" s="79">
        <f>IFERROR(VLOOKUP($G122,基本資料!$A:$J,6,0),"無")</f>
        <v>-21</v>
      </c>
      <c r="E122" s="79">
        <f>IFERROR(VLOOKUP($G122,基本資料!$A:$J,7,0),"無")</f>
        <v>18</v>
      </c>
      <c r="F122" s="6">
        <f>IFERROR(VLOOKUP($G122,基本資料!$A:$J,8,0),"無")</f>
        <v>2.93</v>
      </c>
      <c r="G122" s="79">
        <v>4433</v>
      </c>
      <c r="H122" s="8" t="s">
        <v>3171</v>
      </c>
      <c r="I122" s="16" t="s">
        <v>717</v>
      </c>
      <c r="J122" s="8">
        <f>IFERROR(VLOOKUP($G122,今日總結!$A:$AN,39,0),"")</f>
        <v>0</v>
      </c>
      <c r="K122" s="5" t="str">
        <f>IFERROR(VLOOKUP($G122,今日總結!$A:$AN,40,0),"")</f>
        <v>融</v>
      </c>
      <c r="L122" s="156">
        <f>IFERROR(VLOOKUP($G122,今日總結!$A:$AN,37,0),"")</f>
        <v>0</v>
      </c>
      <c r="M122" s="337">
        <f>IFERROR(VLOOKUP($G122,今日總結!$A:$AN,38,0),"")</f>
        <v>1</v>
      </c>
      <c r="N122" s="240">
        <f t="shared" si="22"/>
        <v>-1</v>
      </c>
      <c r="O122" s="359">
        <f>IFERROR(VLOOKUP($G122,融外自投!$A:$J,7,0),"無")</f>
        <v>984</v>
      </c>
      <c r="P122" s="79">
        <f>IFERROR(VLOOKUP($G122,融外自投!$A:$J,9,0),"無")</f>
        <v>908</v>
      </c>
      <c r="Q122" s="342">
        <f>IFERROR(VLOOKUP($G122,融外自投!$A:$J,8,0),"無")</f>
        <v>1409</v>
      </c>
      <c r="R122" s="81" t="str">
        <f>IFERROR(VLOOKUP($G122,融外自投!$A:$J,10,0),"無")</f>
        <v>無</v>
      </c>
      <c r="S122" s="324">
        <f>IFERROR(VLOOKUP($G122,'321買'!$A:$E,4,0),"'沒有資料'")</f>
        <v>1002</v>
      </c>
      <c r="T122" s="186">
        <f>IFERROR(VLOOKUP($G122,基本資料!$A:$J,9,0),"無")</f>
        <v>1</v>
      </c>
      <c r="U122" s="307">
        <f t="shared" si="23"/>
        <v>3.5087719298245612E-2</v>
      </c>
      <c r="V122" s="94">
        <f>IFERROR(VLOOKUP($G122,基本資料!$A:$J,10,0),"無")</f>
        <v>1.21</v>
      </c>
      <c r="W122" s="36">
        <f>RTD("money.excel",,"4433","Price")</f>
        <v>28.5</v>
      </c>
      <c r="X122" s="66"/>
      <c r="Y122" s="15">
        <f t="shared" si="18"/>
        <v>28.5</v>
      </c>
      <c r="Z122" s="3" t="e">
        <f t="shared" si="19"/>
        <v>#DIV/0!</v>
      </c>
      <c r="AA122" s="340">
        <f>IFERROR(VLOOKUP($G122,基本資料!$A:$M,11,0),"無")</f>
        <v>-30.15</v>
      </c>
      <c r="AB122" s="389">
        <f>IFERROR(VLOOKUP($G122,基本資料!$A:$M,12,0),"無")</f>
        <v>24.08</v>
      </c>
      <c r="AC122" s="16" t="s">
        <v>717</v>
      </c>
      <c r="AF122" s="33">
        <f t="shared" si="20"/>
        <v>0</v>
      </c>
      <c r="AG122" s="43" t="s">
        <v>3325</v>
      </c>
      <c r="AH122" s="66">
        <f t="shared" si="21"/>
        <v>0.59405940594059403</v>
      </c>
      <c r="AI122" s="283">
        <f>RTD("money.excel",,$G122,"PredictVolume")</f>
        <v>156</v>
      </c>
      <c r="AJ122" s="391">
        <f>IFERROR(VLOOKUP($G122,基本資料!$A:$M,13,0),"無")</f>
        <v>262.60000000000002</v>
      </c>
      <c r="AR122" s="245" t="str">
        <f>INDEX(基本資料!N:N,MATCH($G122,基本資料!A:A,0))</f>
        <v>低</v>
      </c>
    </row>
    <row r="123" spans="1:44">
      <c r="A123" s="343">
        <f>IFERROR(VLOOKUP($G123,基本資料!$A:$J,3,0),"無")</f>
        <v>10.33</v>
      </c>
      <c r="B123" s="79">
        <f>IFERROR(VLOOKUP($G123,基本資料!$A:$J,4,0),"無")</f>
        <v>30</v>
      </c>
      <c r="C123" s="79">
        <f>IFERROR(VLOOKUP($G123,基本資料!$A:$J,5,0),"無")</f>
        <v>144</v>
      </c>
      <c r="D123" s="79">
        <f>IFERROR(VLOOKUP($G123,基本資料!$A:$J,6,0),"無")</f>
        <v>31</v>
      </c>
      <c r="E123" s="79">
        <f>IFERROR(VLOOKUP($G123,基本資料!$A:$J,7,0),"無")</f>
        <v>99</v>
      </c>
      <c r="F123" s="6">
        <f>IFERROR(VLOOKUP($G123,基本資料!$A:$J,8,0),"無")</f>
        <v>5.26</v>
      </c>
      <c r="G123" s="79">
        <v>4438</v>
      </c>
      <c r="H123" s="8" t="s">
        <v>3171</v>
      </c>
      <c r="I123" s="22" t="s">
        <v>754</v>
      </c>
      <c r="J123" s="8">
        <f>IFERROR(VLOOKUP($G123,今日總結!$A:$AN,39,0),"")</f>
        <v>0</v>
      </c>
      <c r="K123" s="5">
        <f>IFERROR(VLOOKUP($G123,今日總結!$A:$AN,40,0),"")</f>
        <v>0</v>
      </c>
      <c r="L123" s="156">
        <f>IFERROR(VLOOKUP($G123,今日總結!$A:$AN,37,0),"")</f>
        <v>0</v>
      </c>
      <c r="M123" s="337">
        <f>IFERROR(VLOOKUP($G123,今日總結!$A:$AN,38,0),"")</f>
        <v>0</v>
      </c>
      <c r="N123" s="240">
        <f t="shared" si="22"/>
        <v>0</v>
      </c>
      <c r="O123" s="359">
        <f>IFERROR(VLOOKUP($G123,融外自投!$A:$J,7,0),"無")</f>
        <v>1023</v>
      </c>
      <c r="P123" s="79" t="str">
        <f>IFERROR(VLOOKUP($G123,融外自投!$A:$J,9,0),"無")</f>
        <v>無</v>
      </c>
      <c r="Q123" s="342">
        <f>IFERROR(VLOOKUP($G123,融外自投!$A:$J,8,0),"無")</f>
        <v>1036</v>
      </c>
      <c r="R123" s="81">
        <f>IFERROR(VLOOKUP($G123,融外自投!$A:$J,10,0),"無")</f>
        <v>283</v>
      </c>
      <c r="S123" s="324">
        <f>IFERROR(VLOOKUP($G123,'321買'!$A:$E,4,0),"'沒有資料'")</f>
        <v>1002</v>
      </c>
      <c r="T123" s="186">
        <f>IFERROR(VLOOKUP($G123,基本資料!$A:$J,9,0),"無")</f>
        <v>4.2</v>
      </c>
      <c r="U123" s="307">
        <f t="shared" si="23"/>
        <v>3.8356164383561646E-2</v>
      </c>
      <c r="V123" s="94">
        <f>IFERROR(VLOOKUP($G123,基本資料!$A:$J,10,0),"無")</f>
        <v>6.1</v>
      </c>
      <c r="W123" s="36">
        <f>RTD("money.excel",,"4438","Price")</f>
        <v>109.5</v>
      </c>
      <c r="X123" s="66"/>
      <c r="Y123" s="15">
        <f t="shared" si="18"/>
        <v>109.5</v>
      </c>
      <c r="Z123" s="3" t="e">
        <f t="shared" si="19"/>
        <v>#DIV/0!</v>
      </c>
      <c r="AA123" s="340">
        <f>IFERROR(VLOOKUP($G123,基本資料!$A:$M,11,0),"無")</f>
        <v>-25</v>
      </c>
      <c r="AB123" s="389">
        <f>IFERROR(VLOOKUP($G123,基本資料!$A:$M,12,0),"無")</f>
        <v>24.36</v>
      </c>
      <c r="AC123" s="22" t="s">
        <v>754</v>
      </c>
      <c r="AF123" s="33">
        <f t="shared" si="20"/>
        <v>0</v>
      </c>
      <c r="AG123" s="43" t="s">
        <v>3010</v>
      </c>
      <c r="AH123" s="66">
        <f t="shared" si="21"/>
        <v>0.46843177189409368</v>
      </c>
      <c r="AI123" s="283">
        <f>RTD("money.excel",,$G123,"PredictVolume")</f>
        <v>23</v>
      </c>
      <c r="AJ123" s="391">
        <f>IFERROR(VLOOKUP($G123,基本資料!$A:$M,13,0),"無")</f>
        <v>49.1</v>
      </c>
      <c r="AR123" s="245" t="str">
        <f>INDEX(基本資料!N:N,MATCH($G123,基本資料!A:A,0))</f>
        <v>低</v>
      </c>
    </row>
    <row r="124" spans="1:44">
      <c r="A124" s="343">
        <f>IFERROR(VLOOKUP($G124,基本資料!$A:$J,3,0),"無")</f>
        <v>3.15</v>
      </c>
      <c r="B124" s="79">
        <f>IFERROR(VLOOKUP($G124,基本資料!$A:$J,4,0),"無")</f>
        <v>-19</v>
      </c>
      <c r="C124" s="79">
        <f>IFERROR(VLOOKUP($G124,基本資料!$A:$J,5,0),"無")</f>
        <v>-26</v>
      </c>
      <c r="D124" s="79">
        <f>IFERROR(VLOOKUP($G124,基本資料!$A:$J,6,0),"無")</f>
        <v>-1</v>
      </c>
      <c r="E124" s="79">
        <f>IFERROR(VLOOKUP($G124,基本資料!$A:$J,7,0),"無")</f>
        <v>58</v>
      </c>
      <c r="F124" s="6">
        <f>IFERROR(VLOOKUP($G124,基本資料!$A:$J,8,0),"無")</f>
        <v>5.5</v>
      </c>
      <c r="G124" s="79">
        <v>4439</v>
      </c>
      <c r="H124" s="8" t="s">
        <v>3171</v>
      </c>
      <c r="I124" s="22" t="s">
        <v>1781</v>
      </c>
      <c r="J124" s="8">
        <f>IFERROR(VLOOKUP($G124,今日總結!$A:$AN,39,0),"")</f>
        <v>0</v>
      </c>
      <c r="K124" s="5">
        <f>IFERROR(VLOOKUP($G124,今日總結!$A:$AN,40,0),"")</f>
        <v>0</v>
      </c>
      <c r="L124" s="156">
        <f>IFERROR(VLOOKUP($G124,今日總結!$A:$AN,37,0),"")</f>
        <v>0</v>
      </c>
      <c r="M124" s="337">
        <f>IFERROR(VLOOKUP($G124,今日總結!$A:$AN,38,0),"")</f>
        <v>0</v>
      </c>
      <c r="N124" s="240">
        <f t="shared" si="22"/>
        <v>0</v>
      </c>
      <c r="O124" s="359">
        <f>IFERROR(VLOOKUP($G124,融外自投!$A:$J,7,0),"無")</f>
        <v>986</v>
      </c>
      <c r="P124" s="79">
        <f>IFERROR(VLOOKUP($G124,融外自投!$A:$J,9,0),"無")</f>
        <v>908</v>
      </c>
      <c r="Q124" s="342">
        <f>IFERROR(VLOOKUP($G124,融外自投!$A:$J,8,0),"無")</f>
        <v>39</v>
      </c>
      <c r="R124" s="81" t="str">
        <f>IFERROR(VLOOKUP($G124,融外自投!$A:$J,10,0),"無")</f>
        <v>無</v>
      </c>
      <c r="S124" s="324">
        <f>IFERROR(VLOOKUP($G124,'321買'!$A:$E,4,0),"'沒有資料'")</f>
        <v>1002</v>
      </c>
      <c r="T124" s="186">
        <f>IFERROR(VLOOKUP($G124,基本資料!$A:$J,9,0),"無")</f>
        <v>6.5</v>
      </c>
      <c r="U124" s="307">
        <f t="shared" si="23"/>
        <v>4.5614035087719301E-2</v>
      </c>
      <c r="V124" s="94">
        <f>IFERROR(VLOOKUP($G124,基本資料!$A:$J,10,0),"無")</f>
        <v>10.72</v>
      </c>
      <c r="W124" s="36">
        <f>RTD("money.excel",,"4439","Price")</f>
        <v>142.5</v>
      </c>
      <c r="X124" s="66"/>
      <c r="Y124" s="15">
        <f t="shared" si="18"/>
        <v>142.5</v>
      </c>
      <c r="Z124" s="3" t="e">
        <f t="shared" si="19"/>
        <v>#DIV/0!</v>
      </c>
      <c r="AA124" s="340">
        <f>IFERROR(VLOOKUP($G124,基本資料!$A:$M,11,0),"無")</f>
        <v>-16.91</v>
      </c>
      <c r="AB124" s="389">
        <f>IFERROR(VLOOKUP($G124,基本資料!$A:$M,12,0),"無")</f>
        <v>77.959999999999994</v>
      </c>
      <c r="AC124" s="22" t="s">
        <v>1781</v>
      </c>
      <c r="AF124" s="33">
        <f t="shared" si="20"/>
        <v>0</v>
      </c>
      <c r="AG124" s="43" t="s">
        <v>2384</v>
      </c>
      <c r="AH124" s="66">
        <f t="shared" si="21"/>
        <v>0.76470588235294112</v>
      </c>
      <c r="AI124" s="283">
        <f>RTD("money.excel",,$G124,"PredictVolume")</f>
        <v>13</v>
      </c>
      <c r="AJ124" s="391">
        <f>IFERROR(VLOOKUP($G124,基本資料!$A:$M,13,0),"無")</f>
        <v>17</v>
      </c>
      <c r="AR124" s="245" t="str">
        <f>INDEX(基本資料!N:N,MATCH($G124,基本資料!A:A,0))</f>
        <v>中</v>
      </c>
    </row>
    <row r="125" spans="1:44">
      <c r="A125" s="343">
        <f>IFERROR(VLOOKUP($G125,基本資料!$A:$J,3,0),"無")</f>
        <v>6.75</v>
      </c>
      <c r="B125" s="79">
        <f>IFERROR(VLOOKUP($G125,基本資料!$A:$J,4,0),"無")</f>
        <v>152</v>
      </c>
      <c r="C125" s="79">
        <f>IFERROR(VLOOKUP($G125,基本資料!$A:$J,5,0),"無")</f>
        <v>133</v>
      </c>
      <c r="D125" s="79">
        <f>IFERROR(VLOOKUP($G125,基本資料!$A:$J,6,0),"無")</f>
        <v>-14</v>
      </c>
      <c r="E125" s="79">
        <f>IFERROR(VLOOKUP($G125,基本資料!$A:$J,7,0),"無")</f>
        <v>-14</v>
      </c>
      <c r="F125" s="6">
        <f>IFERROR(VLOOKUP($G125,基本資料!$A:$J,8,0),"無")</f>
        <v>20.079999999999998</v>
      </c>
      <c r="G125" s="79">
        <v>4440</v>
      </c>
      <c r="H125" s="8" t="s">
        <v>3171</v>
      </c>
      <c r="I125" s="22" t="s">
        <v>3489</v>
      </c>
      <c r="J125" s="8">
        <f>IFERROR(VLOOKUP($G125,今日總結!$A:$AN,39,0),"")</f>
        <v>0</v>
      </c>
      <c r="K125" s="5" t="str">
        <f>IFERROR(VLOOKUP($G125,今日總結!$A:$AN,40,0),"")</f>
        <v>主</v>
      </c>
      <c r="L125" s="156">
        <f>IFERROR(VLOOKUP($G125,今日總結!$A:$AN,37,0),"")</f>
        <v>0</v>
      </c>
      <c r="M125" s="337">
        <f>IFERROR(VLOOKUP($G125,今日總結!$A:$AN,38,0),"")</f>
        <v>4</v>
      </c>
      <c r="N125" s="240">
        <f t="shared" si="22"/>
        <v>-4</v>
      </c>
      <c r="O125" s="359">
        <f>IFERROR(VLOOKUP($G125,融外自投!$A:$J,7,0),"無")</f>
        <v>1458</v>
      </c>
      <c r="P125" s="79" t="str">
        <f>IFERROR(VLOOKUP($G125,融外自投!$A:$J,9,0),"無")</f>
        <v>無</v>
      </c>
      <c r="Q125" s="342">
        <f>IFERROR(VLOOKUP($G125,融外自投!$A:$J,8,0),"無")</f>
        <v>1220</v>
      </c>
      <c r="R125" s="81" t="str">
        <f>IFERROR(VLOOKUP($G125,融外自投!$A:$J,10,0),"無")</f>
        <v>無</v>
      </c>
      <c r="S125" s="324">
        <f>IFERROR(VLOOKUP($G125,'321買'!$A:$E,4,0),"'沒有資料'")</f>
        <v>1002</v>
      </c>
      <c r="T125" s="186">
        <f>IFERROR(VLOOKUP($G125,基本資料!$A:$J,9,0),"無")</f>
        <v>4</v>
      </c>
      <c r="U125" s="307">
        <f t="shared" si="23"/>
        <v>9.2592592592592587E-2</v>
      </c>
      <c r="V125" s="94">
        <f>IFERROR(VLOOKUP($G125,基本資料!$A:$J,10,0),"無")</f>
        <v>5.0599999999999996</v>
      </c>
      <c r="W125" s="36">
        <f>RTD("money.excel",,"4440","Price")</f>
        <v>43.2</v>
      </c>
      <c r="X125" s="66"/>
      <c r="Y125" s="15">
        <f t="shared" si="18"/>
        <v>43.2</v>
      </c>
      <c r="Z125" s="3" t="e">
        <f t="shared" si="19"/>
        <v>#DIV/0!</v>
      </c>
      <c r="AA125" s="340" t="str">
        <f>IFERROR(VLOOKUP($G125,基本資料!$A:$M,11,0),"無")</f>
        <v>無</v>
      </c>
      <c r="AB125" s="389" t="str">
        <f>IFERROR(VLOOKUP($G125,基本資料!$A:$M,12,0),"無")</f>
        <v>無</v>
      </c>
      <c r="AC125" s="22" t="s">
        <v>3489</v>
      </c>
      <c r="AF125" s="33">
        <f t="shared" si="20"/>
        <v>0</v>
      </c>
      <c r="AG125" s="43" t="s">
        <v>3491</v>
      </c>
      <c r="AH125" s="66" t="e">
        <f t="shared" si="21"/>
        <v>#VALUE!</v>
      </c>
      <c r="AI125" s="283">
        <f>RTD("money.excel",,$G125,"PredictVolume")</f>
        <v>65</v>
      </c>
      <c r="AJ125" s="391" t="str">
        <f>IFERROR(VLOOKUP($G125,基本資料!$A:$M,13,0),"無")</f>
        <v>無</v>
      </c>
      <c r="AR125" s="245" t="str">
        <f>INDEX(基本資料!N:N,MATCH($G125,基本資料!A:A,0))</f>
        <v>無</v>
      </c>
    </row>
    <row r="126" spans="1:44">
      <c r="B126" s="79"/>
      <c r="C126" s="79"/>
      <c r="D126" s="79"/>
      <c r="E126" s="79"/>
      <c r="F126" s="57"/>
      <c r="G126" s="79"/>
      <c r="H126" s="8"/>
      <c r="I126" s="22"/>
      <c r="L126" s="2"/>
      <c r="O126" s="359"/>
      <c r="P126" s="47"/>
      <c r="Q126" s="342"/>
      <c r="R126" s="26"/>
      <c r="T126" s="66"/>
      <c r="V126" s="94"/>
      <c r="W126" s="36"/>
      <c r="X126" s="66"/>
      <c r="Y126" s="15"/>
      <c r="Z126" s="3"/>
      <c r="AC126" s="22"/>
      <c r="AF126" s="33"/>
      <c r="AG126" s="43"/>
      <c r="AH126" s="66" t="e">
        <f t="shared" si="21"/>
        <v>#DIV/0!</v>
      </c>
      <c r="AI126" s="283"/>
    </row>
    <row r="127" spans="1:44">
      <c r="A127" s="127" t="s">
        <v>1672</v>
      </c>
      <c r="B127" s="90" t="s">
        <v>1571</v>
      </c>
      <c r="C127" s="90" t="s">
        <v>1572</v>
      </c>
      <c r="D127" s="90" t="s">
        <v>1573</v>
      </c>
      <c r="E127" s="90" t="s">
        <v>1574</v>
      </c>
      <c r="F127" s="8" t="s">
        <v>1059</v>
      </c>
      <c r="G127" s="27" t="s">
        <v>524</v>
      </c>
      <c r="H127" s="55" t="s">
        <v>320</v>
      </c>
      <c r="I127" s="50" t="s">
        <v>295</v>
      </c>
      <c r="J127" s="8" t="s">
        <v>6211</v>
      </c>
      <c r="K127" s="5" t="s">
        <v>6212</v>
      </c>
      <c r="L127" s="334" t="s">
        <v>6197</v>
      </c>
      <c r="M127" s="335" t="s">
        <v>6198</v>
      </c>
      <c r="N127" s="336" t="s">
        <v>6199</v>
      </c>
      <c r="O127" s="89" t="s">
        <v>6275</v>
      </c>
      <c r="P127" s="292" t="s">
        <v>6274</v>
      </c>
      <c r="Q127" s="350" t="s">
        <v>6273</v>
      </c>
      <c r="R127" s="26" t="s">
        <v>6276</v>
      </c>
      <c r="S127" s="318" t="s">
        <v>4715</v>
      </c>
      <c r="T127" s="10" t="s">
        <v>66</v>
      </c>
      <c r="U127" s="305" t="s">
        <v>4728</v>
      </c>
      <c r="V127" s="68" t="s">
        <v>3272</v>
      </c>
      <c r="W127" s="28" t="s">
        <v>2</v>
      </c>
      <c r="X127" s="17" t="s">
        <v>1398</v>
      </c>
      <c r="Y127" s="14" t="s">
        <v>5</v>
      </c>
      <c r="Z127" s="21" t="s">
        <v>3</v>
      </c>
      <c r="AA127" s="96" t="s">
        <v>6166</v>
      </c>
      <c r="AB127" s="378" t="s">
        <v>6404</v>
      </c>
      <c r="AC127" s="50" t="s">
        <v>295</v>
      </c>
      <c r="AD127" s="71" t="s">
        <v>1399</v>
      </c>
      <c r="AE127" s="72" t="s">
        <v>1156</v>
      </c>
      <c r="AF127" s="32" t="s">
        <v>1157</v>
      </c>
      <c r="AG127" s="25" t="s">
        <v>6200</v>
      </c>
      <c r="AH127" s="8" t="s">
        <v>6696</v>
      </c>
      <c r="AI127" s="50" t="s">
        <v>3360</v>
      </c>
      <c r="AJ127" s="22" t="s">
        <v>6695</v>
      </c>
    </row>
    <row r="128" spans="1:44">
      <c r="A128" s="343">
        <f>IFERROR(VLOOKUP($G128,基本資料!$A:$J,3,0),"無")</f>
        <v>52.09</v>
      </c>
      <c r="B128" s="79">
        <f>IFERROR(VLOOKUP($G128,基本資料!$A:$J,4,0),"無")</f>
        <v>19</v>
      </c>
      <c r="C128" s="79">
        <f>IFERROR(VLOOKUP($G128,基本資料!$A:$J,5,0),"無")</f>
        <v>2</v>
      </c>
      <c r="D128" s="79">
        <f>IFERROR(VLOOKUP($G128,基本資料!$A:$J,6,0),"無")</f>
        <v>-13</v>
      </c>
      <c r="E128" s="79">
        <f>IFERROR(VLOOKUP($G128,基本資料!$A:$J,7,0),"無")</f>
        <v>-1</v>
      </c>
      <c r="F128" s="6">
        <f>IFERROR(VLOOKUP($G128,基本資料!$A:$J,8,0),"無")</f>
        <v>7.22</v>
      </c>
      <c r="G128" s="79">
        <v>1503</v>
      </c>
      <c r="H128" s="8" t="s">
        <v>295</v>
      </c>
      <c r="I128" s="22" t="s">
        <v>553</v>
      </c>
      <c r="J128" s="8" t="str">
        <f>IFERROR(VLOOKUP($G128,今日總結!$A:$AN,39,0),"")</f>
        <v>主</v>
      </c>
      <c r="K128" s="5">
        <f>IFERROR(VLOOKUP($G128,今日總結!$A:$AN,40,0),"")</f>
        <v>0</v>
      </c>
      <c r="L128" s="156">
        <f>IFERROR(VLOOKUP($G128,今日總結!$A:$AN,37,0),"")</f>
        <v>1</v>
      </c>
      <c r="M128" s="337">
        <f>IFERROR(VLOOKUP($G128,今日總結!$A:$AN,38,0),"")</f>
        <v>0</v>
      </c>
      <c r="N128" s="240">
        <f t="shared" ref="N128:N183" si="24">IFERROR(L128-M128,"")</f>
        <v>1</v>
      </c>
      <c r="O128" s="359">
        <f>IFERROR(VLOOKUP($G128,融外自投!$A:$J,7,0),"無")</f>
        <v>1395</v>
      </c>
      <c r="P128" s="79">
        <f>IFERROR(VLOOKUP($G128,融外自投!$A:$J,9,0),"無")</f>
        <v>717</v>
      </c>
      <c r="Q128" s="342">
        <f>IFERROR(VLOOKUP($G128,融外自投!$A:$J,8,0),"無")</f>
        <v>161</v>
      </c>
      <c r="R128" s="81" t="str">
        <f>IFERROR(VLOOKUP($G128,融外自投!$A:$J,10,0),"無")</f>
        <v>無</v>
      </c>
      <c r="S128" s="324">
        <f>IFERROR(VLOOKUP($G128,'321買'!$A:$E,4,0),"'沒有資料'")</f>
        <v>1002</v>
      </c>
      <c r="T128" s="186">
        <f>IFERROR(VLOOKUP($G128,基本資料!$A:$J,9,0),"無")</f>
        <v>1.8</v>
      </c>
      <c r="U128" s="307">
        <f t="shared" ref="U128:U191" si="25">$T128/$W128</f>
        <v>3.2667876588021776E-2</v>
      </c>
      <c r="V128" s="94">
        <f>IFERROR(VLOOKUP($G128,基本資料!$A:$J,10,0),"無")</f>
        <v>3.46</v>
      </c>
      <c r="W128" s="36">
        <f>RTD("money.excel",,"1503","Price")</f>
        <v>55.1</v>
      </c>
      <c r="X128" s="66"/>
      <c r="Y128" s="15">
        <f t="shared" ref="Y128:Y191" si="26">W128-X128</f>
        <v>55.1</v>
      </c>
      <c r="Z128" s="3" t="e">
        <f t="shared" ref="Z128:Z191" si="27">Y128/X128</f>
        <v>#DIV/0!</v>
      </c>
      <c r="AA128" s="340">
        <f>IFERROR(VLOOKUP($G128,基本資料!$A:$M,11,0),"無")</f>
        <v>-1.25</v>
      </c>
      <c r="AB128" s="389">
        <f>IFERROR(VLOOKUP($G128,基本資料!$A:$M,12,0),"無")</f>
        <v>73.58</v>
      </c>
      <c r="AC128" s="22" t="s">
        <v>553</v>
      </c>
      <c r="AF128" s="33">
        <f t="shared" ref="AF128:AF191" si="28">AE128-AD128</f>
        <v>0</v>
      </c>
      <c r="AG128" s="43" t="s">
        <v>1990</v>
      </c>
      <c r="AH128" s="66">
        <f t="shared" si="21"/>
        <v>1.9439868204283359</v>
      </c>
      <c r="AI128" s="283">
        <f>RTD("money.excel",,$G128,"PredictVolume")</f>
        <v>472</v>
      </c>
      <c r="AJ128" s="391">
        <f>IFERROR(VLOOKUP($G128,基本資料!$A:$M,13,0),"無")</f>
        <v>242.8</v>
      </c>
      <c r="AR128" s="245" t="str">
        <f>INDEX(基本資料!N:N,MATCH($G128,基本資料!A:A,0))</f>
        <v>高</v>
      </c>
    </row>
    <row r="129" spans="1:44">
      <c r="A129" s="343">
        <f>IFERROR(VLOOKUP($G129,基本資料!$A:$J,3,0),"無")</f>
        <v>213</v>
      </c>
      <c r="B129" s="79">
        <f>IFERROR(VLOOKUP($G129,基本資料!$A:$J,4,0),"無")</f>
        <v>44</v>
      </c>
      <c r="C129" s="79">
        <f>IFERROR(VLOOKUP($G129,基本資料!$A:$J,5,0),"無")</f>
        <v>43</v>
      </c>
      <c r="D129" s="79">
        <f>IFERROR(VLOOKUP($G129,基本資料!$A:$J,6,0),"無")</f>
        <v>-14</v>
      </c>
      <c r="E129" s="79">
        <f>IFERROR(VLOOKUP($G129,基本資料!$A:$J,7,0),"無")</f>
        <v>8</v>
      </c>
      <c r="F129" s="6">
        <f>IFERROR(VLOOKUP($G129,基本資料!$A:$J,8,0),"無")</f>
        <v>9.65</v>
      </c>
      <c r="G129" s="79">
        <v>1504</v>
      </c>
      <c r="H129" s="8" t="s">
        <v>295</v>
      </c>
      <c r="I129" s="22" t="s">
        <v>3591</v>
      </c>
      <c r="J129" s="8">
        <f>IFERROR(VLOOKUP($G129,今日總結!$A:$AN,39,0),"")</f>
        <v>0</v>
      </c>
      <c r="K129" s="5" t="str">
        <f>IFERROR(VLOOKUP($G129,今日總結!$A:$AN,40,0),"")</f>
        <v>外自借</v>
      </c>
      <c r="L129" s="156">
        <f>IFERROR(VLOOKUP($G129,今日總結!$A:$AN,37,0),"")</f>
        <v>0</v>
      </c>
      <c r="M129" s="337">
        <f>IFERROR(VLOOKUP($G129,今日總結!$A:$AN,38,0),"")</f>
        <v>9</v>
      </c>
      <c r="N129" s="240">
        <f t="shared" si="24"/>
        <v>-9</v>
      </c>
      <c r="O129" s="359">
        <f>IFERROR(VLOOKUP($G129,融外自投!$A:$J,7,0),"無")</f>
        <v>1148</v>
      </c>
      <c r="P129" s="79">
        <f>IFERROR(VLOOKUP($G129,融外自投!$A:$J,9,0),"無")</f>
        <v>671</v>
      </c>
      <c r="Q129" s="342">
        <f>IFERROR(VLOOKUP($G129,融外自投!$A:$J,8,0),"無")</f>
        <v>269</v>
      </c>
      <c r="R129" s="81">
        <f>IFERROR(VLOOKUP($G129,融外自投!$A:$J,10,0),"無")</f>
        <v>291</v>
      </c>
      <c r="S129" s="324">
        <f>IFERROR(VLOOKUP($G129,'321買'!$A:$E,4,0),"'沒有資料'")</f>
        <v>650</v>
      </c>
      <c r="T129" s="186">
        <f>IFERROR(VLOOKUP($G129,基本資料!$A:$J,9,0),"無")</f>
        <v>1.35</v>
      </c>
      <c r="U129" s="307">
        <f t="shared" si="25"/>
        <v>4.7787610619469033E-2</v>
      </c>
      <c r="V129" s="94">
        <f>IFERROR(VLOOKUP($G129,基本資料!$A:$J,10,0),"無")</f>
        <v>2.38</v>
      </c>
      <c r="W129" s="36">
        <f>RTD("money.excel",,"1504","Price")</f>
        <v>28.25</v>
      </c>
      <c r="X129" s="66"/>
      <c r="Y129" s="15">
        <f t="shared" si="26"/>
        <v>28.25</v>
      </c>
      <c r="Z129" s="3" t="e">
        <f t="shared" si="27"/>
        <v>#DIV/0!</v>
      </c>
      <c r="AA129" s="340">
        <f>IFERROR(VLOOKUP($G129,基本資料!$A:$M,11,0),"無")</f>
        <v>-19.29</v>
      </c>
      <c r="AB129" s="389">
        <f>IFERROR(VLOOKUP($G129,基本資料!$A:$M,12,0),"無")</f>
        <v>28.61</v>
      </c>
      <c r="AC129" s="22" t="s">
        <v>3591</v>
      </c>
      <c r="AF129" s="33">
        <f t="shared" si="28"/>
        <v>0</v>
      </c>
      <c r="AG129" s="117" t="s">
        <v>1411</v>
      </c>
      <c r="AH129" s="66">
        <f t="shared" si="21"/>
        <v>1.5141534291952119</v>
      </c>
      <c r="AI129" s="283">
        <f>RTD("money.excel",,$G129,"PredictVolume")</f>
        <v>8045</v>
      </c>
      <c r="AJ129" s="391">
        <f>IFERROR(VLOOKUP($G129,基本資料!$A:$M,13,0),"無")</f>
        <v>5313.2</v>
      </c>
      <c r="AR129" s="245" t="str">
        <f>INDEX(基本資料!N:N,MATCH($G129,基本資料!A:A,0))</f>
        <v>低</v>
      </c>
    </row>
    <row r="130" spans="1:44">
      <c r="A130" s="343">
        <f>IFERROR(VLOOKUP($G130,基本資料!$A:$J,3,0),"無")</f>
        <v>26.36</v>
      </c>
      <c r="B130" s="79">
        <f>IFERROR(VLOOKUP($G130,基本資料!$A:$J,4,0),"無")</f>
        <v>113</v>
      </c>
      <c r="C130" s="79">
        <f>IFERROR(VLOOKUP($G130,基本資料!$A:$J,5,0),"無")</f>
        <v>85</v>
      </c>
      <c r="D130" s="79">
        <f>IFERROR(VLOOKUP($G130,基本資料!$A:$J,6,0),"無")</f>
        <v>5</v>
      </c>
      <c r="E130" s="79">
        <f>IFERROR(VLOOKUP($G130,基本資料!$A:$J,7,0),"無")</f>
        <v>51</v>
      </c>
      <c r="F130" s="6">
        <f>IFERROR(VLOOKUP($G130,基本資料!$A:$J,8,0),"無")</f>
        <v>-2.88</v>
      </c>
      <c r="G130" s="79">
        <v>1506</v>
      </c>
      <c r="H130" s="8" t="s">
        <v>295</v>
      </c>
      <c r="I130" s="22" t="s">
        <v>554</v>
      </c>
      <c r="J130" s="8" t="str">
        <f>IFERROR(VLOOKUP($G130,今日總結!$A:$AN,39,0),"")</f>
        <v/>
      </c>
      <c r="K130" s="5" t="str">
        <f>IFERROR(VLOOKUP($G130,今日總結!$A:$AN,40,0),"")</f>
        <v/>
      </c>
      <c r="L130" s="156" t="str">
        <f>IFERROR(VLOOKUP($G130,今日總結!$A:$AN,37,0),"")</f>
        <v/>
      </c>
      <c r="M130" s="337" t="str">
        <f>IFERROR(VLOOKUP($G130,今日總結!$A:$AN,38,0),"")</f>
        <v/>
      </c>
      <c r="N130" s="240" t="str">
        <f t="shared" ref="N130:N141" si="29">IFERROR(L130-M130,"")</f>
        <v/>
      </c>
      <c r="O130" s="359" t="str">
        <f>IFERROR(VLOOKUP($G130,融外自投!$A:$J,7,0),"無")</f>
        <v>無</v>
      </c>
      <c r="P130" s="79" t="str">
        <f>IFERROR(VLOOKUP($G130,融外自投!$A:$J,9,0),"無")</f>
        <v>無</v>
      </c>
      <c r="Q130" s="342" t="str">
        <f>IFERROR(VLOOKUP($G130,融外自投!$A:$J,8,0),"無")</f>
        <v>無</v>
      </c>
      <c r="R130" s="81" t="str">
        <f>IFERROR(VLOOKUP($G130,融外自投!$A:$J,10,0),"無")</f>
        <v>無</v>
      </c>
      <c r="S130" s="324" t="str">
        <f>IFERROR(VLOOKUP($G130,'321買'!$A:$E,4,0),"'沒有資料'")</f>
        <v>'沒有資料'</v>
      </c>
      <c r="T130" s="186">
        <f>IFERROR(VLOOKUP($G130,基本資料!$A:$J,9,0),"無")</f>
        <v>0</v>
      </c>
      <c r="U130" s="307">
        <f t="shared" si="25"/>
        <v>0</v>
      </c>
      <c r="V130" s="94">
        <f>IFERROR(VLOOKUP($G130,基本資料!$A:$J,10,0),"無")</f>
        <v>0.26</v>
      </c>
      <c r="W130" s="36">
        <f>RTD("money.excel",,"1506","Price")</f>
        <v>17.600000000000001</v>
      </c>
      <c r="X130" s="66"/>
      <c r="Y130" s="15">
        <f t="shared" si="26"/>
        <v>17.600000000000001</v>
      </c>
      <c r="Z130" s="3" t="e">
        <f t="shared" si="27"/>
        <v>#DIV/0!</v>
      </c>
      <c r="AA130" s="340">
        <f>IFERROR(VLOOKUP($G130,基本資料!$A:$M,11,0),"無")</f>
        <v>-17.760000000000002</v>
      </c>
      <c r="AB130" s="389">
        <f>IFERROR(VLOOKUP($G130,基本資料!$A:$M,12,0),"無")</f>
        <v>56.04</v>
      </c>
      <c r="AC130" s="22" t="s">
        <v>554</v>
      </c>
      <c r="AF130" s="33">
        <f t="shared" si="28"/>
        <v>0</v>
      </c>
      <c r="AG130" s="43" t="s">
        <v>2733</v>
      </c>
      <c r="AH130" s="66">
        <f t="shared" si="21"/>
        <v>0.28005895978100653</v>
      </c>
      <c r="AI130" s="283">
        <f>RTD("money.excel",,$G130,"PredictVolume")</f>
        <v>399</v>
      </c>
      <c r="AJ130" s="391">
        <f>IFERROR(VLOOKUP($G130,基本資料!$A:$M,13,0),"無")</f>
        <v>1424.7</v>
      </c>
      <c r="AR130" s="245" t="str">
        <f>INDEX(基本資料!N:N,MATCH($G130,基本資料!A:A,0))</f>
        <v>高</v>
      </c>
    </row>
    <row r="131" spans="1:44">
      <c r="A131" s="343" t="str">
        <f>IFERROR(VLOOKUP($G131,基本資料!$A:$J,3,0),"無")</f>
        <v>無</v>
      </c>
      <c r="B131" s="79" t="str">
        <f>IFERROR(VLOOKUP($G131,基本資料!$A:$J,4,0),"無")</f>
        <v>無</v>
      </c>
      <c r="C131" s="79" t="str">
        <f>IFERROR(VLOOKUP($G131,基本資料!$A:$J,5,0),"無")</f>
        <v>無</v>
      </c>
      <c r="D131" s="79" t="str">
        <f>IFERROR(VLOOKUP($G131,基本資料!$A:$J,6,0),"無")</f>
        <v>無</v>
      </c>
      <c r="E131" s="79" t="str">
        <f>IFERROR(VLOOKUP($G131,基本資料!$A:$J,7,0),"無")</f>
        <v>無</v>
      </c>
      <c r="F131" s="6" t="str">
        <f>IFERROR(VLOOKUP($G131,基本資料!$A:$J,8,0),"無")</f>
        <v>無</v>
      </c>
      <c r="G131" s="79">
        <v>1507</v>
      </c>
      <c r="H131" s="8" t="s">
        <v>295</v>
      </c>
      <c r="I131" s="22" t="s">
        <v>555</v>
      </c>
      <c r="J131" s="8" t="str">
        <f>IFERROR(VLOOKUP($G131,今日總結!$A:$AN,39,0),"")</f>
        <v/>
      </c>
      <c r="K131" s="5" t="str">
        <f>IFERROR(VLOOKUP($G131,今日總結!$A:$AN,40,0),"")</f>
        <v/>
      </c>
      <c r="L131" s="156" t="str">
        <f>IFERROR(VLOOKUP($G131,今日總結!$A:$AN,37,0),"")</f>
        <v/>
      </c>
      <c r="M131" s="337" t="str">
        <f>IFERROR(VLOOKUP($G131,今日總結!$A:$AN,38,0),"")</f>
        <v/>
      </c>
      <c r="N131" s="240" t="str">
        <f t="shared" si="29"/>
        <v/>
      </c>
      <c r="O131" s="359" t="str">
        <f>IFERROR(VLOOKUP($G131,融外自投!$A:$J,7,0),"無")</f>
        <v>無</v>
      </c>
      <c r="P131" s="79" t="str">
        <f>IFERROR(VLOOKUP($G131,融外自投!$A:$J,9,0),"無")</f>
        <v>無</v>
      </c>
      <c r="Q131" s="342" t="str">
        <f>IFERROR(VLOOKUP($G131,融外自投!$A:$J,8,0),"無")</f>
        <v>無</v>
      </c>
      <c r="R131" s="81" t="str">
        <f>IFERROR(VLOOKUP($G131,融外自投!$A:$J,10,0),"無")</f>
        <v>無</v>
      </c>
      <c r="S131" s="324" t="str">
        <f>IFERROR(VLOOKUP($G131,'321買'!$A:$E,4,0),"'沒有資料'")</f>
        <v>'沒有資料'</v>
      </c>
      <c r="T131" s="186" t="str">
        <f>IFERROR(VLOOKUP($G131,基本資料!$A:$J,9,0),"無")</f>
        <v>無</v>
      </c>
      <c r="U131" s="307" t="e">
        <f t="shared" si="25"/>
        <v>#VALUE!</v>
      </c>
      <c r="V131" s="94" t="str">
        <f>IFERROR(VLOOKUP($G131,基本資料!$A:$J,10,0),"無")</f>
        <v>無</v>
      </c>
      <c r="W131" s="36" t="str">
        <f>RTD("money.excel",,"1507","Price")</f>
        <v>商品錯誤</v>
      </c>
      <c r="X131" s="66"/>
      <c r="Y131" s="15" t="e">
        <f t="shared" si="26"/>
        <v>#VALUE!</v>
      </c>
      <c r="Z131" s="3" t="e">
        <f t="shared" si="27"/>
        <v>#VALUE!</v>
      </c>
      <c r="AA131" s="340" t="str">
        <f>IFERROR(VLOOKUP($G131,基本資料!$A:$M,11,0),"無")</f>
        <v>無</v>
      </c>
      <c r="AB131" s="389" t="str">
        <f>IFERROR(VLOOKUP($G131,基本資料!$A:$M,12,0),"無")</f>
        <v>無</v>
      </c>
      <c r="AC131" s="22" t="s">
        <v>555</v>
      </c>
      <c r="AF131" s="33">
        <f t="shared" si="28"/>
        <v>0</v>
      </c>
      <c r="AG131" s="43" t="s">
        <v>2732</v>
      </c>
      <c r="AH131" s="66" t="e">
        <f t="shared" si="21"/>
        <v>#VALUE!</v>
      </c>
      <c r="AI131" s="283" t="str">
        <f>RTD("money.excel",,$G131,"PredictVolume")</f>
        <v>商品錯誤</v>
      </c>
      <c r="AJ131" s="391" t="str">
        <f>IFERROR(VLOOKUP($G131,基本資料!$A:$M,13,0),"無")</f>
        <v>無</v>
      </c>
      <c r="AR131" s="245" t="e">
        <f>INDEX(基本資料!N:N,MATCH($G131,基本資料!A:A,0))</f>
        <v>#N/A</v>
      </c>
    </row>
    <row r="132" spans="1:44">
      <c r="A132" s="343">
        <f>IFERROR(VLOOKUP($G132,基本資料!$A:$J,3,0),"無")</f>
        <v>47.61</v>
      </c>
      <c r="B132" s="79">
        <f>IFERROR(VLOOKUP($G132,基本資料!$A:$J,4,0),"無")</f>
        <v>27</v>
      </c>
      <c r="C132" s="79">
        <f>IFERROR(VLOOKUP($G132,基本資料!$A:$J,5,0),"無")</f>
        <v>55</v>
      </c>
      <c r="D132" s="79">
        <f>IFERROR(VLOOKUP($G132,基本資料!$A:$J,6,0),"無")</f>
        <v>-25</v>
      </c>
      <c r="E132" s="79">
        <f>IFERROR(VLOOKUP($G132,基本資料!$A:$J,7,0),"無")</f>
        <v>-12</v>
      </c>
      <c r="F132" s="6">
        <f>IFERROR(VLOOKUP($G132,基本資料!$A:$J,8,0),"無")</f>
        <v>14.86</v>
      </c>
      <c r="G132" s="79">
        <v>1513</v>
      </c>
      <c r="H132" s="8" t="s">
        <v>295</v>
      </c>
      <c r="I132" s="22" t="s">
        <v>556</v>
      </c>
      <c r="J132" s="8" t="str">
        <f>IFERROR(VLOOKUP($G132,今日總結!$A:$AN,39,0),"")</f>
        <v>借</v>
      </c>
      <c r="K132" s="5">
        <f>IFERROR(VLOOKUP($G132,今日總結!$A:$AN,40,0),"")</f>
        <v>0</v>
      </c>
      <c r="L132" s="156">
        <f>IFERROR(VLOOKUP($G132,今日總結!$A:$AN,37,0),"")</f>
        <v>1</v>
      </c>
      <c r="M132" s="337">
        <f>IFERROR(VLOOKUP($G132,今日總結!$A:$AN,38,0),"")</f>
        <v>0</v>
      </c>
      <c r="N132" s="240">
        <f t="shared" si="29"/>
        <v>1</v>
      </c>
      <c r="O132" s="359">
        <f>IFERROR(VLOOKUP($G132,融外自投!$A:$J,7,0),"無")</f>
        <v>331</v>
      </c>
      <c r="P132" s="79">
        <f>IFERROR(VLOOKUP($G132,融外自投!$A:$J,9,0),"無")</f>
        <v>1051</v>
      </c>
      <c r="Q132" s="342">
        <f>IFERROR(VLOOKUP($G132,融外自投!$A:$J,8,0),"無")</f>
        <v>472</v>
      </c>
      <c r="R132" s="81">
        <f>IFERROR(VLOOKUP($G132,融外自投!$A:$J,10,0),"無")</f>
        <v>100</v>
      </c>
      <c r="S132" s="324">
        <f>IFERROR(VLOOKUP($G132,'321買'!$A:$E,4,0),"'沒有資料'")</f>
        <v>321</v>
      </c>
      <c r="T132" s="186">
        <f>IFERROR(VLOOKUP($G132,基本資料!$A:$J,9,0),"無")</f>
        <v>2.8</v>
      </c>
      <c r="U132" s="307">
        <f t="shared" si="25"/>
        <v>5.6622851365015159E-2</v>
      </c>
      <c r="V132" s="94">
        <f>IFERROR(VLOOKUP($G132,基本資料!$A:$J,10,0),"無")</f>
        <v>4.1900000000000004</v>
      </c>
      <c r="W132" s="36">
        <f>RTD("money.excel",,"1513","Price")</f>
        <v>49.45</v>
      </c>
      <c r="X132" s="66"/>
      <c r="Y132" s="15">
        <f t="shared" si="26"/>
        <v>49.45</v>
      </c>
      <c r="Z132" s="3" t="e">
        <f t="shared" si="27"/>
        <v>#DIV/0!</v>
      </c>
      <c r="AA132" s="340">
        <f>IFERROR(VLOOKUP($G132,基本資料!$A:$M,11,0),"無")</f>
        <v>-16.04</v>
      </c>
      <c r="AB132" s="389">
        <f>IFERROR(VLOOKUP($G132,基本資料!$A:$M,12,0),"無")</f>
        <v>45.34</v>
      </c>
      <c r="AC132" s="22" t="s">
        <v>556</v>
      </c>
      <c r="AF132" s="33">
        <f t="shared" si="28"/>
        <v>0</v>
      </c>
      <c r="AG132" s="43" t="s">
        <v>2332</v>
      </c>
      <c r="AH132" s="66">
        <f t="shared" si="21"/>
        <v>0.47268484253057336</v>
      </c>
      <c r="AI132" s="283">
        <f>RTD("money.excel",,$G132,"PredictVolume")</f>
        <v>8973</v>
      </c>
      <c r="AJ132" s="391">
        <f>IFERROR(VLOOKUP($G132,基本資料!$A:$M,13,0),"無")</f>
        <v>18983.05</v>
      </c>
      <c r="AR132" s="245" t="str">
        <f>INDEX(基本資料!N:N,MATCH($G132,基本資料!A:A,0))</f>
        <v>中</v>
      </c>
    </row>
    <row r="133" spans="1:44">
      <c r="A133" s="343">
        <f>IFERROR(VLOOKUP($G133,基本資料!$A:$J,3,0),"無")</f>
        <v>22.83</v>
      </c>
      <c r="B133" s="79">
        <f>IFERROR(VLOOKUP($G133,基本資料!$A:$J,4,0),"無")</f>
        <v>15</v>
      </c>
      <c r="C133" s="79">
        <f>IFERROR(VLOOKUP($G133,基本資料!$A:$J,5,0),"無")</f>
        <v>7</v>
      </c>
      <c r="D133" s="79">
        <f>IFERROR(VLOOKUP($G133,基本資料!$A:$J,6,0),"無")</f>
        <v>1</v>
      </c>
      <c r="E133" s="79">
        <f>IFERROR(VLOOKUP($G133,基本資料!$A:$J,7,0),"無")</f>
        <v>55</v>
      </c>
      <c r="F133" s="6">
        <f>IFERROR(VLOOKUP($G133,基本資料!$A:$J,8,0),"無")</f>
        <v>6.62</v>
      </c>
      <c r="G133" s="79">
        <v>1514</v>
      </c>
      <c r="H133" s="8" t="s">
        <v>295</v>
      </c>
      <c r="I133" s="22" t="s">
        <v>557</v>
      </c>
      <c r="J133" s="8">
        <f>IFERROR(VLOOKUP($G133,今日總結!$A:$AN,39,0),"")</f>
        <v>0</v>
      </c>
      <c r="K133" s="5" t="str">
        <f>IFERROR(VLOOKUP($G133,今日總結!$A:$AN,40,0),"")</f>
        <v>融</v>
      </c>
      <c r="L133" s="156">
        <f>IFERROR(VLOOKUP($G133,今日總結!$A:$AN,37,0),"")</f>
        <v>0</v>
      </c>
      <c r="M133" s="337">
        <f>IFERROR(VLOOKUP($G133,今日總結!$A:$AN,38,0),"")</f>
        <v>6</v>
      </c>
      <c r="N133" s="240">
        <f t="shared" si="29"/>
        <v>-6</v>
      </c>
      <c r="O133" s="359">
        <f>IFERROR(VLOOKUP($G133,融外自投!$A:$J,7,0),"無")</f>
        <v>701</v>
      </c>
      <c r="P133" s="79">
        <f>IFERROR(VLOOKUP($G133,融外自投!$A:$J,9,0),"無")</f>
        <v>741</v>
      </c>
      <c r="Q133" s="342">
        <f>IFERROR(VLOOKUP($G133,融外自投!$A:$J,8,0),"無")</f>
        <v>561</v>
      </c>
      <c r="R133" s="81">
        <f>IFERROR(VLOOKUP($G133,融外自投!$A:$J,10,0),"無")</f>
        <v>369</v>
      </c>
      <c r="S133" s="324">
        <f>IFERROR(VLOOKUP($G133,'321買'!$A:$E,4,0),"'沒有資料'")</f>
        <v>743</v>
      </c>
      <c r="T133" s="186">
        <f>IFERROR(VLOOKUP($G133,基本資料!$A:$J,9,0),"無")</f>
        <v>1.25</v>
      </c>
      <c r="U133" s="307">
        <f t="shared" si="25"/>
        <v>4.7619047619047616E-2</v>
      </c>
      <c r="V133" s="94">
        <f>IFERROR(VLOOKUP($G133,基本資料!$A:$J,10,0),"無")</f>
        <v>1.6</v>
      </c>
      <c r="W133" s="36">
        <f>RTD("money.excel",,"1514","Price")</f>
        <v>26.25</v>
      </c>
      <c r="X133" s="66"/>
      <c r="Y133" s="15">
        <f t="shared" si="26"/>
        <v>26.25</v>
      </c>
      <c r="Z133" s="3" t="e">
        <f t="shared" si="27"/>
        <v>#DIV/0!</v>
      </c>
      <c r="AA133" s="340">
        <f>IFERROR(VLOOKUP($G133,基本資料!$A:$M,11,0),"無")</f>
        <v>-12.5</v>
      </c>
      <c r="AB133" s="389">
        <f>IFERROR(VLOOKUP($G133,基本資料!$A:$M,12,0),"無")</f>
        <v>38.229999999999997</v>
      </c>
      <c r="AC133" s="22" t="s">
        <v>557</v>
      </c>
      <c r="AF133" s="33">
        <f t="shared" si="28"/>
        <v>0</v>
      </c>
      <c r="AG133" s="43" t="s">
        <v>2734</v>
      </c>
      <c r="AH133" s="66">
        <f t="shared" ref="AH133:AH196" si="30">AI133/AJ133</f>
        <v>0.43351379636524645</v>
      </c>
      <c r="AI133" s="283">
        <f>RTD("money.excel",,$G133,"PredictVolume")</f>
        <v>1077</v>
      </c>
      <c r="AJ133" s="391">
        <f>IFERROR(VLOOKUP($G133,基本資料!$A:$M,13,0),"無")</f>
        <v>2484.35</v>
      </c>
      <c r="AR133" s="245" t="str">
        <f>INDEX(基本資料!N:N,MATCH($G133,基本資料!A:A,0))</f>
        <v>中</v>
      </c>
    </row>
    <row r="134" spans="1:44">
      <c r="A134" s="343">
        <f>IFERROR(VLOOKUP($G134,基本資料!$A:$J,3,0),"無")</f>
        <v>18.14</v>
      </c>
      <c r="B134" s="79">
        <f>IFERROR(VLOOKUP($G134,基本資料!$A:$J,4,0),"無")</f>
        <v>28</v>
      </c>
      <c r="C134" s="79">
        <f>IFERROR(VLOOKUP($G134,基本資料!$A:$J,5,0),"無")</f>
        <v>23</v>
      </c>
      <c r="D134" s="79">
        <f>IFERROR(VLOOKUP($G134,基本資料!$A:$J,6,0),"無")</f>
        <v>-8</v>
      </c>
      <c r="E134" s="79">
        <f>IFERROR(VLOOKUP($G134,基本資料!$A:$J,7,0),"無")</f>
        <v>-76</v>
      </c>
      <c r="F134" s="6">
        <f>IFERROR(VLOOKUP($G134,基本資料!$A:$J,8,0),"無")</f>
        <v>7.76</v>
      </c>
      <c r="G134" s="79">
        <v>1515</v>
      </c>
      <c r="H134" s="8" t="s">
        <v>295</v>
      </c>
      <c r="I134" s="22" t="s">
        <v>516</v>
      </c>
      <c r="J134" s="8">
        <f>IFERROR(VLOOKUP($G134,今日總結!$A:$AN,39,0),"")</f>
        <v>0</v>
      </c>
      <c r="K134" s="5">
        <f>IFERROR(VLOOKUP($G134,今日總結!$A:$AN,40,0),"")</f>
        <v>0</v>
      </c>
      <c r="L134" s="156">
        <f>IFERROR(VLOOKUP($G134,今日總結!$A:$AN,37,0),"")</f>
        <v>0</v>
      </c>
      <c r="M134" s="337">
        <f>IFERROR(VLOOKUP($G134,今日總結!$A:$AN,38,0),"")</f>
        <v>0</v>
      </c>
      <c r="N134" s="240">
        <f t="shared" si="29"/>
        <v>0</v>
      </c>
      <c r="O134" s="359">
        <f>IFERROR(VLOOKUP($G134,融外自投!$A:$J,7,0),"無")</f>
        <v>500</v>
      </c>
      <c r="P134" s="79">
        <f>IFERROR(VLOOKUP($G134,融外自投!$A:$J,9,0),"無")</f>
        <v>508</v>
      </c>
      <c r="Q134" s="342">
        <f>IFERROR(VLOOKUP($G134,融外自投!$A:$J,8,0),"無")</f>
        <v>495</v>
      </c>
      <c r="R134" s="81">
        <f>IFERROR(VLOOKUP($G134,融外自投!$A:$J,10,0),"無")</f>
        <v>495</v>
      </c>
      <c r="S134" s="324">
        <f>IFERROR(VLOOKUP($G134,'321買'!$A:$E,4,0),"'沒有資料'")</f>
        <v>801</v>
      </c>
      <c r="T134" s="186">
        <f>IFERROR(VLOOKUP($G134,基本資料!$A:$J,9,0),"無")</f>
        <v>3</v>
      </c>
      <c r="U134" s="307">
        <f t="shared" si="25"/>
        <v>8.0536912751677847E-2</v>
      </c>
      <c r="V134" s="94">
        <f>IFERROR(VLOOKUP($G134,基本資料!$A:$J,10,0),"無")</f>
        <v>5.8</v>
      </c>
      <c r="W134" s="36">
        <f>RTD("money.excel",,"1515","Price")</f>
        <v>37.25</v>
      </c>
      <c r="X134" s="66"/>
      <c r="Y134" s="15">
        <f t="shared" si="26"/>
        <v>37.25</v>
      </c>
      <c r="Z134" s="3" t="e">
        <f t="shared" si="27"/>
        <v>#DIV/0!</v>
      </c>
      <c r="AA134" s="340">
        <f>IFERROR(VLOOKUP($G134,基本資料!$A:$M,11,0),"無")</f>
        <v>-56.79</v>
      </c>
      <c r="AB134" s="389">
        <f>IFERROR(VLOOKUP($G134,基本資料!$A:$M,12,0),"無")</f>
        <v>13.57</v>
      </c>
      <c r="AC134" s="22" t="s">
        <v>516</v>
      </c>
      <c r="AF134" s="33">
        <f t="shared" si="28"/>
        <v>0</v>
      </c>
      <c r="AG134" s="43" t="s">
        <v>1974</v>
      </c>
      <c r="AH134" s="66">
        <f t="shared" si="30"/>
        <v>1.4299031911079241</v>
      </c>
      <c r="AI134" s="283">
        <f>RTD("money.excel",,$G134,"PredictVolume")</f>
        <v>997</v>
      </c>
      <c r="AJ134" s="391">
        <f>IFERROR(VLOOKUP($G134,基本資料!$A:$M,13,0),"無")</f>
        <v>697.25</v>
      </c>
      <c r="AR134" s="245" t="str">
        <f>INDEX(基本資料!N:N,MATCH($G134,基本資料!A:A,0))</f>
        <v>低</v>
      </c>
    </row>
    <row r="135" spans="1:44">
      <c r="A135" s="343">
        <f>IFERROR(VLOOKUP($G135,基本資料!$A:$J,3,0),"無")</f>
        <v>22.56</v>
      </c>
      <c r="B135" s="79">
        <f>IFERROR(VLOOKUP($G135,基本資料!$A:$J,4,0),"無")</f>
        <v>144</v>
      </c>
      <c r="C135" s="79">
        <f>IFERROR(VLOOKUP($G135,基本資料!$A:$J,5,0),"無")</f>
        <v>232</v>
      </c>
      <c r="D135" s="79">
        <f>IFERROR(VLOOKUP($G135,基本資料!$A:$J,6,0),"無")</f>
        <v>-36</v>
      </c>
      <c r="E135" s="79">
        <f>IFERROR(VLOOKUP($G135,基本資料!$A:$J,7,0),"無")</f>
        <v>-15</v>
      </c>
      <c r="F135" s="6">
        <f>IFERROR(VLOOKUP($G135,基本資料!$A:$J,8,0),"無")</f>
        <v>9.33</v>
      </c>
      <c r="G135" s="79">
        <v>1517</v>
      </c>
      <c r="H135" s="8" t="s">
        <v>295</v>
      </c>
      <c r="I135" s="22" t="s">
        <v>558</v>
      </c>
      <c r="J135" s="8">
        <f>IFERROR(VLOOKUP($G135,今日總結!$A:$AN,39,0),"")</f>
        <v>0</v>
      </c>
      <c r="K135" s="5" t="str">
        <f>IFERROR(VLOOKUP($G135,今日總結!$A:$AN,40,0),"")</f>
        <v>借</v>
      </c>
      <c r="L135" s="156">
        <f>IFERROR(VLOOKUP($G135,今日總結!$A:$AN,37,0),"")</f>
        <v>0</v>
      </c>
      <c r="M135" s="337">
        <f>IFERROR(VLOOKUP($G135,今日總結!$A:$AN,38,0),"")</f>
        <v>2</v>
      </c>
      <c r="N135" s="240">
        <f t="shared" si="29"/>
        <v>-2</v>
      </c>
      <c r="O135" s="359">
        <f>IFERROR(VLOOKUP($G135,融外自投!$A:$J,7,0),"無")</f>
        <v>679</v>
      </c>
      <c r="P135" s="79">
        <f>IFERROR(VLOOKUP($G135,融外自投!$A:$J,9,0),"無")</f>
        <v>348</v>
      </c>
      <c r="Q135" s="342">
        <f>IFERROR(VLOOKUP($G135,融外自投!$A:$J,8,0),"無")</f>
        <v>1023</v>
      </c>
      <c r="R135" s="81" t="str">
        <f>IFERROR(VLOOKUP($G135,融外自投!$A:$J,10,0),"無")</f>
        <v>無</v>
      </c>
      <c r="S135" s="324">
        <f>IFERROR(VLOOKUP($G135,'321買'!$A:$E,4,0),"'沒有資料'")</f>
        <v>696</v>
      </c>
      <c r="T135" s="186">
        <f>IFERROR(VLOOKUP($G135,基本資料!$A:$J,9,0),"無")</f>
        <v>0.8</v>
      </c>
      <c r="U135" s="307">
        <f t="shared" si="25"/>
        <v>3.8186157517899763E-2</v>
      </c>
      <c r="V135" s="94">
        <f>IFERROR(VLOOKUP($G135,基本資料!$A:$J,10,0),"無")</f>
        <v>2</v>
      </c>
      <c r="W135" s="36">
        <f>RTD("money.excel",,"1517","Price")</f>
        <v>20.95</v>
      </c>
      <c r="X135" s="66"/>
      <c r="Y135" s="15">
        <f t="shared" si="26"/>
        <v>20.95</v>
      </c>
      <c r="Z135" s="3" t="e">
        <f t="shared" si="27"/>
        <v>#DIV/0!</v>
      </c>
      <c r="AA135" s="340">
        <f>IFERROR(VLOOKUP($G135,基本資料!$A:$M,11,0),"無")</f>
        <v>-38.380000000000003</v>
      </c>
      <c r="AB135" s="389">
        <f>IFERROR(VLOOKUP($G135,基本資料!$A:$M,12,0),"無")</f>
        <v>18.489999999999998</v>
      </c>
      <c r="AC135" s="22" t="s">
        <v>558</v>
      </c>
      <c r="AF135" s="33">
        <f t="shared" si="28"/>
        <v>0</v>
      </c>
      <c r="AG135" s="43" t="s">
        <v>2735</v>
      </c>
      <c r="AH135" s="66">
        <f t="shared" si="30"/>
        <v>0.57543204110228863</v>
      </c>
      <c r="AI135" s="283">
        <f>RTD("money.excel",,$G135,"PredictVolume")</f>
        <v>308</v>
      </c>
      <c r="AJ135" s="391">
        <f>IFERROR(VLOOKUP($G135,基本資料!$A:$M,13,0),"無")</f>
        <v>535.25</v>
      </c>
      <c r="AR135" s="245" t="str">
        <f>INDEX(基本資料!N:N,MATCH($G135,基本資料!A:A,0))</f>
        <v>低</v>
      </c>
    </row>
    <row r="136" spans="1:44">
      <c r="A136" s="343">
        <f>IFERROR(VLOOKUP($G136,基本資料!$A:$J,3,0),"無")</f>
        <v>26.1</v>
      </c>
      <c r="B136" s="79">
        <f>IFERROR(VLOOKUP($G136,基本資料!$A:$J,4,0),"無")</f>
        <v>-37</v>
      </c>
      <c r="C136" s="79">
        <f>IFERROR(VLOOKUP($G136,基本資料!$A:$J,5,0),"無")</f>
        <v>-17</v>
      </c>
      <c r="D136" s="79">
        <f>IFERROR(VLOOKUP($G136,基本資料!$A:$J,6,0),"無")</f>
        <v>-14</v>
      </c>
      <c r="E136" s="79">
        <f>IFERROR(VLOOKUP($G136,基本資料!$A:$J,7,0),"無")</f>
        <v>-28</v>
      </c>
      <c r="F136" s="6">
        <f>IFERROR(VLOOKUP($G136,基本資料!$A:$J,8,0),"無")</f>
        <v>4.3499999999999996</v>
      </c>
      <c r="G136" s="79">
        <v>1519</v>
      </c>
      <c r="H136" s="8" t="s">
        <v>295</v>
      </c>
      <c r="I136" s="22" t="s">
        <v>559</v>
      </c>
      <c r="J136" s="8">
        <f>IFERROR(VLOOKUP($G136,今日總結!$A:$AN,39,0),"")</f>
        <v>0</v>
      </c>
      <c r="K136" s="5">
        <f>IFERROR(VLOOKUP($G136,今日總結!$A:$AN,40,0),"")</f>
        <v>0</v>
      </c>
      <c r="L136" s="156">
        <f>IFERROR(VLOOKUP($G136,今日總結!$A:$AN,37,0),"")</f>
        <v>0</v>
      </c>
      <c r="M136" s="337">
        <f>IFERROR(VLOOKUP($G136,今日總結!$A:$AN,38,0),"")</f>
        <v>0</v>
      </c>
      <c r="N136" s="240">
        <f t="shared" si="29"/>
        <v>0</v>
      </c>
      <c r="O136" s="359">
        <f>IFERROR(VLOOKUP($G136,融外自投!$A:$J,7,0),"無")</f>
        <v>793</v>
      </c>
      <c r="P136" s="79">
        <f>IFERROR(VLOOKUP($G136,融外自投!$A:$J,9,0),"無")</f>
        <v>946</v>
      </c>
      <c r="Q136" s="342">
        <f>IFERROR(VLOOKUP($G136,融外自投!$A:$J,8,0),"無")</f>
        <v>620</v>
      </c>
      <c r="R136" s="81">
        <f>IFERROR(VLOOKUP($G136,融外自投!$A:$J,10,0),"無")</f>
        <v>302</v>
      </c>
      <c r="S136" s="324">
        <f>IFERROR(VLOOKUP($G136,'321買'!$A:$E,4,0),"'沒有資料'")</f>
        <v>1002</v>
      </c>
      <c r="T136" s="186">
        <f>IFERROR(VLOOKUP($G136,基本資料!$A:$J,9,0),"無")</f>
        <v>1</v>
      </c>
      <c r="U136" s="307">
        <f t="shared" si="25"/>
        <v>2.9112081513828238E-2</v>
      </c>
      <c r="V136" s="94">
        <f>IFERROR(VLOOKUP($G136,基本資料!$A:$J,10,0),"無")</f>
        <v>1.1100000000000001</v>
      </c>
      <c r="W136" s="36">
        <f>RTD("money.excel",,"1519","Price")</f>
        <v>34.35</v>
      </c>
      <c r="X136" s="66"/>
      <c r="Y136" s="15">
        <f t="shared" si="26"/>
        <v>34.35</v>
      </c>
      <c r="Z136" s="3" t="e">
        <f t="shared" si="27"/>
        <v>#DIV/0!</v>
      </c>
      <c r="AA136" s="340">
        <f>IFERROR(VLOOKUP($G136,基本資料!$A:$M,11,0),"無")</f>
        <v>-29.1</v>
      </c>
      <c r="AB136" s="389">
        <f>IFERROR(VLOOKUP($G136,基本資料!$A:$M,12,0),"無")</f>
        <v>20.81</v>
      </c>
      <c r="AC136" s="22" t="s">
        <v>559</v>
      </c>
      <c r="AF136" s="33">
        <f t="shared" si="28"/>
        <v>0</v>
      </c>
      <c r="AG136" s="43" t="s">
        <v>1975</v>
      </c>
      <c r="AH136" s="66">
        <f t="shared" si="30"/>
        <v>0.29845655325317644</v>
      </c>
      <c r="AI136" s="283">
        <f>RTD("money.excel",,$G136,"PredictVolume")</f>
        <v>350</v>
      </c>
      <c r="AJ136" s="391">
        <f>IFERROR(VLOOKUP($G136,基本資料!$A:$M,13,0),"無")</f>
        <v>1172.7</v>
      </c>
      <c r="AR136" s="245" t="str">
        <f>INDEX(基本資料!N:N,MATCH($G136,基本資料!A:A,0))</f>
        <v>低</v>
      </c>
    </row>
    <row r="137" spans="1:44">
      <c r="A137" s="343">
        <f>IFERROR(VLOOKUP($G137,基本資料!$A:$J,3,0),"無")</f>
        <v>6</v>
      </c>
      <c r="B137" s="79">
        <f>IFERROR(VLOOKUP($G137,基本資料!$A:$J,4,0),"無")</f>
        <v>47</v>
      </c>
      <c r="C137" s="79">
        <f>IFERROR(VLOOKUP($G137,基本資料!$A:$J,5,0),"無")</f>
        <v>156</v>
      </c>
      <c r="D137" s="79">
        <f>IFERROR(VLOOKUP($G137,基本資料!$A:$J,6,0),"無")</f>
        <v>-8</v>
      </c>
      <c r="E137" s="79">
        <f>IFERROR(VLOOKUP($G137,基本資料!$A:$J,7,0),"無")</f>
        <v>24</v>
      </c>
      <c r="F137" s="6">
        <f>IFERROR(VLOOKUP($G137,基本資料!$A:$J,8,0),"無")</f>
        <v>18</v>
      </c>
      <c r="G137" s="79">
        <v>1526</v>
      </c>
      <c r="H137" s="8" t="s">
        <v>295</v>
      </c>
      <c r="I137" s="22" t="s">
        <v>560</v>
      </c>
      <c r="J137" s="8">
        <f>IFERROR(VLOOKUP($G137,今日總結!$A:$AN,39,0),"")</f>
        <v>0</v>
      </c>
      <c r="K137" s="5">
        <f>IFERROR(VLOOKUP($G137,今日總結!$A:$AN,40,0),"")</f>
        <v>0</v>
      </c>
      <c r="L137" s="156">
        <f>IFERROR(VLOOKUP($G137,今日總結!$A:$AN,37,0),"")</f>
        <v>0</v>
      </c>
      <c r="M137" s="337">
        <f>IFERROR(VLOOKUP($G137,今日總結!$A:$AN,38,0),"")</f>
        <v>0</v>
      </c>
      <c r="N137" s="240">
        <f t="shared" si="29"/>
        <v>0</v>
      </c>
      <c r="O137" s="359">
        <f>IFERROR(VLOOKUP($G137,融外自投!$A:$J,7,0),"無")</f>
        <v>144</v>
      </c>
      <c r="P137" s="79">
        <f>IFERROR(VLOOKUP($G137,融外自投!$A:$J,9,0),"無")</f>
        <v>467</v>
      </c>
      <c r="Q137" s="342">
        <f>IFERROR(VLOOKUP($G137,融外自投!$A:$J,8,0),"無")</f>
        <v>881</v>
      </c>
      <c r="R137" s="81" t="str">
        <f>IFERROR(VLOOKUP($G137,融外自投!$A:$J,10,0),"無")</f>
        <v>無</v>
      </c>
      <c r="S137" s="324">
        <f>IFERROR(VLOOKUP($G137,'321買'!$A:$E,4,0),"'沒有資料'")</f>
        <v>465</v>
      </c>
      <c r="T137" s="186">
        <f>IFERROR(VLOOKUP($G137,基本資料!$A:$J,9,0),"無")</f>
        <v>2.6</v>
      </c>
      <c r="U137" s="307">
        <f t="shared" si="25"/>
        <v>5.4910242872228086E-2</v>
      </c>
      <c r="V137" s="94">
        <f>IFERROR(VLOOKUP($G137,基本資料!$A:$J,10,0),"無")</f>
        <v>4.38</v>
      </c>
      <c r="W137" s="36">
        <f>RTD("money.excel",,"1526","Price")</f>
        <v>47.35</v>
      </c>
      <c r="X137" s="66"/>
      <c r="Y137" s="15">
        <f t="shared" si="26"/>
        <v>47.35</v>
      </c>
      <c r="Z137" s="3" t="e">
        <f t="shared" si="27"/>
        <v>#DIV/0!</v>
      </c>
      <c r="AA137" s="340">
        <f>IFERROR(VLOOKUP($G137,基本資料!$A:$M,11,0),"無")</f>
        <v>-24.84</v>
      </c>
      <c r="AB137" s="389">
        <f>IFERROR(VLOOKUP($G137,基本資料!$A:$M,12,0),"無")</f>
        <v>46.73</v>
      </c>
      <c r="AC137" s="22" t="s">
        <v>560</v>
      </c>
      <c r="AF137" s="33">
        <f t="shared" si="28"/>
        <v>0</v>
      </c>
      <c r="AG137" s="43" t="s">
        <v>2736</v>
      </c>
      <c r="AH137" s="66">
        <f t="shared" si="30"/>
        <v>2.5018559762435042</v>
      </c>
      <c r="AI137" s="283">
        <f>RTD("money.excel",,$G137,"PredictVolume")</f>
        <v>337</v>
      </c>
      <c r="AJ137" s="391">
        <f>IFERROR(VLOOKUP($G137,基本資料!$A:$M,13,0),"無")</f>
        <v>134.69999999999999</v>
      </c>
      <c r="AR137" s="245" t="str">
        <f>INDEX(基本資料!N:N,MATCH($G137,基本資料!A:A,0))</f>
        <v>低</v>
      </c>
    </row>
    <row r="138" spans="1:44">
      <c r="A138" s="343">
        <f>IFERROR(VLOOKUP($G138,基本資料!$A:$J,3,0),"無")</f>
        <v>13.85</v>
      </c>
      <c r="B138" s="79">
        <f>IFERROR(VLOOKUP($G138,基本資料!$A:$J,4,0),"無")</f>
        <v>14</v>
      </c>
      <c r="C138" s="79">
        <f>IFERROR(VLOOKUP($G138,基本資料!$A:$J,5,0),"無")</f>
        <v>8</v>
      </c>
      <c r="D138" s="79">
        <f>IFERROR(VLOOKUP($G138,基本資料!$A:$J,6,0),"無")</f>
        <v>-24</v>
      </c>
      <c r="E138" s="79">
        <f>IFERROR(VLOOKUP($G138,基本資料!$A:$J,7,0),"無")</f>
        <v>7</v>
      </c>
      <c r="F138" s="6">
        <f>IFERROR(VLOOKUP($G138,基本資料!$A:$J,8,0),"無")</f>
        <v>13.36</v>
      </c>
      <c r="G138" s="79">
        <v>1527</v>
      </c>
      <c r="H138" s="8" t="s">
        <v>295</v>
      </c>
      <c r="I138" s="22" t="s">
        <v>561</v>
      </c>
      <c r="J138" s="8">
        <f>IFERROR(VLOOKUP($G138,今日總結!$A:$AN,39,0),"")</f>
        <v>0</v>
      </c>
      <c r="K138" s="5">
        <f>IFERROR(VLOOKUP($G138,今日總結!$A:$AN,40,0),"")</f>
        <v>0</v>
      </c>
      <c r="L138" s="156">
        <f>IFERROR(VLOOKUP($G138,今日總結!$A:$AN,37,0),"")</f>
        <v>0</v>
      </c>
      <c r="M138" s="337">
        <f>IFERROR(VLOOKUP($G138,今日總結!$A:$AN,38,0),"")</f>
        <v>0</v>
      </c>
      <c r="N138" s="240">
        <f t="shared" si="29"/>
        <v>0</v>
      </c>
      <c r="O138" s="359">
        <f>IFERROR(VLOOKUP($G138,融外自投!$A:$J,7,0),"無")</f>
        <v>794</v>
      </c>
      <c r="P138" s="79">
        <f>IFERROR(VLOOKUP($G138,融外自投!$A:$J,9,0),"無")</f>
        <v>186</v>
      </c>
      <c r="Q138" s="342">
        <f>IFERROR(VLOOKUP($G138,融外自投!$A:$J,8,0),"無")</f>
        <v>577</v>
      </c>
      <c r="R138" s="81" t="str">
        <f>IFERROR(VLOOKUP($G138,融外自投!$A:$J,10,0),"無")</f>
        <v>無</v>
      </c>
      <c r="S138" s="324">
        <f>IFERROR(VLOOKUP($G138,'321買'!$A:$E,4,0),"'沒有資料'")</f>
        <v>891</v>
      </c>
      <c r="T138" s="186">
        <f>IFERROR(VLOOKUP($G138,基本資料!$A:$J,9,0),"無")</f>
        <v>2.4</v>
      </c>
      <c r="U138" s="307">
        <f t="shared" si="25"/>
        <v>5.5363321799307953E-2</v>
      </c>
      <c r="V138" s="94">
        <f>IFERROR(VLOOKUP($G138,基本資料!$A:$J,10,0),"無")</f>
        <v>3.37</v>
      </c>
      <c r="W138" s="36">
        <f>RTD("money.excel",,"1527","Price")</f>
        <v>43.35</v>
      </c>
      <c r="X138" s="66"/>
      <c r="Y138" s="15">
        <f t="shared" si="26"/>
        <v>43.35</v>
      </c>
      <c r="Z138" s="3" t="e">
        <f t="shared" si="27"/>
        <v>#DIV/0!</v>
      </c>
      <c r="AA138" s="340">
        <f>IFERROR(VLOOKUP($G138,基本資料!$A:$M,11,0),"無")</f>
        <v>-19.27</v>
      </c>
      <c r="AB138" s="389">
        <f>IFERROR(VLOOKUP($G138,基本資料!$A:$M,12,0),"無")</f>
        <v>66.510000000000005</v>
      </c>
      <c r="AC138" s="22" t="s">
        <v>561</v>
      </c>
      <c r="AF138" s="33">
        <f t="shared" si="28"/>
        <v>0</v>
      </c>
      <c r="AG138" s="43" t="s">
        <v>2535</v>
      </c>
      <c r="AH138" s="66">
        <f t="shared" si="30"/>
        <v>2.5286448044251286</v>
      </c>
      <c r="AI138" s="283">
        <f>RTD("money.excel",,$G138,"PredictVolume")</f>
        <v>640</v>
      </c>
      <c r="AJ138" s="391">
        <f>IFERROR(VLOOKUP($G138,基本資料!$A:$M,13,0),"無")</f>
        <v>253.1</v>
      </c>
      <c r="AR138" s="245" t="str">
        <f>INDEX(基本資料!N:N,MATCH($G138,基本資料!A:A,0))</f>
        <v>低</v>
      </c>
    </row>
    <row r="139" spans="1:44">
      <c r="A139" s="343">
        <f>IFERROR(VLOOKUP($G139,基本資料!$A:$J,3,0),"無")</f>
        <v>19.93</v>
      </c>
      <c r="B139" s="79">
        <f>IFERROR(VLOOKUP($G139,基本資料!$A:$J,4,0),"無")</f>
        <v>285</v>
      </c>
      <c r="C139" s="79">
        <f>IFERROR(VLOOKUP($G139,基本資料!$A:$J,5,0),"無")</f>
        <v>153</v>
      </c>
      <c r="D139" s="79">
        <f>IFERROR(VLOOKUP($G139,基本資料!$A:$J,6,0),"無")</f>
        <v>-4</v>
      </c>
      <c r="E139" s="79">
        <f>IFERROR(VLOOKUP($G139,基本資料!$A:$J,7,0),"無")</f>
        <v>20</v>
      </c>
      <c r="F139" s="6">
        <f>IFERROR(VLOOKUP($G139,基本資料!$A:$J,8,0),"無")</f>
        <v>1.98</v>
      </c>
      <c r="G139" s="79">
        <v>1528</v>
      </c>
      <c r="H139" s="8" t="s">
        <v>295</v>
      </c>
      <c r="I139" s="22" t="s">
        <v>562</v>
      </c>
      <c r="J139" s="8">
        <f>IFERROR(VLOOKUP($G139,今日總結!$A:$AN,39,0),"")</f>
        <v>0</v>
      </c>
      <c r="K139" s="5">
        <f>IFERROR(VLOOKUP($G139,今日總結!$A:$AN,40,0),"")</f>
        <v>0</v>
      </c>
      <c r="L139" s="156">
        <f>IFERROR(VLOOKUP($G139,今日總結!$A:$AN,37,0),"")</f>
        <v>0</v>
      </c>
      <c r="M139" s="337">
        <f>IFERROR(VLOOKUP($G139,今日總結!$A:$AN,38,0),"")</f>
        <v>0</v>
      </c>
      <c r="N139" s="240">
        <f t="shared" si="29"/>
        <v>0</v>
      </c>
      <c r="O139" s="359">
        <f>IFERROR(VLOOKUP($G139,融外自投!$A:$J,7,0),"無")</f>
        <v>656</v>
      </c>
      <c r="P139" s="79">
        <f>IFERROR(VLOOKUP($G139,融外自投!$A:$J,9,0),"無")</f>
        <v>1051</v>
      </c>
      <c r="Q139" s="342">
        <f>IFERROR(VLOOKUP($G139,融外自投!$A:$J,8,0),"無")</f>
        <v>1140</v>
      </c>
      <c r="R139" s="81" t="str">
        <f>IFERROR(VLOOKUP($G139,融外自投!$A:$J,10,0),"無")</f>
        <v>無</v>
      </c>
      <c r="S139" s="324">
        <f>IFERROR(VLOOKUP($G139,'321買'!$A:$E,4,0),"'沒有資料'")</f>
        <v>801</v>
      </c>
      <c r="T139" s="186">
        <f>IFERROR(VLOOKUP($G139,基本資料!$A:$J,9,0),"無")</f>
        <v>0.1</v>
      </c>
      <c r="U139" s="307">
        <f t="shared" si="25"/>
        <v>1.1148272017837236E-2</v>
      </c>
      <c r="V139" s="94">
        <f>IFERROR(VLOOKUP($G139,基本資料!$A:$J,10,0),"無")</f>
        <v>1.1399999999999999</v>
      </c>
      <c r="W139" s="36">
        <f>RTD("money.excel",,"1528","Price")</f>
        <v>8.9700000000000006</v>
      </c>
      <c r="X139" s="66"/>
      <c r="Y139" s="15">
        <f t="shared" si="26"/>
        <v>8.9700000000000006</v>
      </c>
      <c r="Z139" s="3" t="e">
        <f t="shared" si="27"/>
        <v>#DIV/0!</v>
      </c>
      <c r="AA139" s="340">
        <f>IFERROR(VLOOKUP($G139,基本資料!$A:$M,11,0),"無")</f>
        <v>-31</v>
      </c>
      <c r="AB139" s="389">
        <f>IFERROR(VLOOKUP($G139,基本資料!$A:$M,12,0),"無")</f>
        <v>8.0299999999999994</v>
      </c>
      <c r="AC139" s="22" t="s">
        <v>562</v>
      </c>
      <c r="AF139" s="33">
        <f t="shared" si="28"/>
        <v>0</v>
      </c>
      <c r="AG139" s="43" t="s">
        <v>2317</v>
      </c>
      <c r="AH139" s="66">
        <f t="shared" si="30"/>
        <v>1.0374288039056143</v>
      </c>
      <c r="AI139" s="283">
        <f>RTD("money.excel",,$G139,"PredictVolume")</f>
        <v>255</v>
      </c>
      <c r="AJ139" s="391">
        <f>IFERROR(VLOOKUP($G139,基本資料!$A:$M,13,0),"無")</f>
        <v>245.8</v>
      </c>
      <c r="AR139" s="245" t="str">
        <f>INDEX(基本資料!N:N,MATCH($G139,基本資料!A:A,0))</f>
        <v>低</v>
      </c>
    </row>
    <row r="140" spans="1:44">
      <c r="A140" s="343">
        <f>IFERROR(VLOOKUP($G140,基本資料!$A:$J,3,0),"無")</f>
        <v>13.59</v>
      </c>
      <c r="B140" s="79">
        <f>IFERROR(VLOOKUP($G140,基本資料!$A:$J,4,0),"無")</f>
        <v>81</v>
      </c>
      <c r="C140" s="79">
        <f>IFERROR(VLOOKUP($G140,基本資料!$A:$J,5,0),"無")</f>
        <v>65</v>
      </c>
      <c r="D140" s="79">
        <f>IFERROR(VLOOKUP($G140,基本資料!$A:$J,6,0),"無")</f>
        <v>-51</v>
      </c>
      <c r="E140" s="79">
        <f>IFERROR(VLOOKUP($G140,基本資料!$A:$J,7,0),"無")</f>
        <v>38</v>
      </c>
      <c r="F140" s="6">
        <f>IFERROR(VLOOKUP($G140,基本資料!$A:$J,8,0),"無")</f>
        <v>32.799999999999997</v>
      </c>
      <c r="G140" s="79">
        <v>1529</v>
      </c>
      <c r="H140" s="8" t="s">
        <v>295</v>
      </c>
      <c r="I140" s="22" t="s">
        <v>563</v>
      </c>
      <c r="J140" s="8">
        <f>IFERROR(VLOOKUP($G140,今日總結!$A:$AN,39,0),"")</f>
        <v>0</v>
      </c>
      <c r="K140" s="5">
        <f>IFERROR(VLOOKUP($G140,今日總結!$A:$AN,40,0),"")</f>
        <v>27</v>
      </c>
      <c r="L140" s="156">
        <f>IFERROR(VLOOKUP($G140,今日總結!$A:$AN,37,0),"")</f>
        <v>0</v>
      </c>
      <c r="M140" s="337">
        <f>IFERROR(VLOOKUP($G140,今日總結!$A:$AN,38,0),"")</f>
        <v>2</v>
      </c>
      <c r="N140" s="240">
        <f t="shared" si="29"/>
        <v>-2</v>
      </c>
      <c r="O140" s="359">
        <f>IFERROR(VLOOKUP($G140,融外自投!$A:$J,7,0),"無")</f>
        <v>36</v>
      </c>
      <c r="P140" s="79">
        <f>IFERROR(VLOOKUP($G140,融外自投!$A:$J,9,0),"無")</f>
        <v>6</v>
      </c>
      <c r="Q140" s="342">
        <f>IFERROR(VLOOKUP($G140,融外自投!$A:$J,8,0),"無")</f>
        <v>1262</v>
      </c>
      <c r="R140" s="81" t="str">
        <f>IFERROR(VLOOKUP($G140,融外自投!$A:$J,10,0),"無")</f>
        <v>無</v>
      </c>
      <c r="S140" s="324">
        <f>IFERROR(VLOOKUP($G140,'321買'!$A:$E,4,0),"'沒有資料'")</f>
        <v>144</v>
      </c>
      <c r="T140" s="186">
        <f>IFERROR(VLOOKUP($G140,基本資料!$A:$J,9,0),"無")</f>
        <v>0.9</v>
      </c>
      <c r="U140" s="307">
        <f t="shared" si="25"/>
        <v>4.534005037783375E-2</v>
      </c>
      <c r="V140" s="94">
        <f>IFERROR(VLOOKUP($G140,基本資料!$A:$J,10,0),"無")</f>
        <v>1.03</v>
      </c>
      <c r="W140" s="36">
        <f>RTD("money.excel",,"1529","Price")</f>
        <v>19.850000000000001</v>
      </c>
      <c r="X140" s="66"/>
      <c r="Y140" s="15">
        <f t="shared" si="26"/>
        <v>19.850000000000001</v>
      </c>
      <c r="Z140" s="3" t="e">
        <f t="shared" si="27"/>
        <v>#DIV/0!</v>
      </c>
      <c r="AA140" s="340">
        <f>IFERROR(VLOOKUP($G140,基本資料!$A:$M,11,0),"無")</f>
        <v>-44.08</v>
      </c>
      <c r="AB140" s="389">
        <f>IFERROR(VLOOKUP($G140,基本資料!$A:$M,12,0),"無")</f>
        <v>11.18</v>
      </c>
      <c r="AC140" s="22" t="s">
        <v>563</v>
      </c>
      <c r="AF140" s="33">
        <f t="shared" si="28"/>
        <v>0</v>
      </c>
      <c r="AG140" s="43" t="s">
        <v>2734</v>
      </c>
      <c r="AH140" s="66">
        <f t="shared" si="30"/>
        <v>5.5709424893520838</v>
      </c>
      <c r="AI140" s="283">
        <f>RTD("money.excel",,$G140,"PredictVolume")</f>
        <v>23413</v>
      </c>
      <c r="AJ140" s="391">
        <f>IFERROR(VLOOKUP($G140,基本資料!$A:$M,13,0),"無")</f>
        <v>4202.7</v>
      </c>
      <c r="AR140" s="245" t="str">
        <f>INDEX(基本資料!N:N,MATCH($G140,基本資料!A:A,0))</f>
        <v>低</v>
      </c>
    </row>
    <row r="141" spans="1:44">
      <c r="A141" s="343">
        <f>IFERROR(VLOOKUP($G141,基本資料!$A:$J,3,0),"無")</f>
        <v>9.65</v>
      </c>
      <c r="B141" s="79">
        <f>IFERROR(VLOOKUP($G141,基本資料!$A:$J,4,0),"無")</f>
        <v>-79</v>
      </c>
      <c r="C141" s="79">
        <f>IFERROR(VLOOKUP($G141,基本資料!$A:$J,5,0),"無")</f>
        <v>601</v>
      </c>
      <c r="D141" s="79">
        <f>IFERROR(VLOOKUP($G141,基本資料!$A:$J,6,0),"無")</f>
        <v>53</v>
      </c>
      <c r="E141" s="79">
        <f>IFERROR(VLOOKUP($G141,基本資料!$A:$J,7,0),"無")</f>
        <v>-13</v>
      </c>
      <c r="F141" s="6">
        <f>IFERROR(VLOOKUP($G141,基本資料!$A:$J,8,0),"無")</f>
        <v>7.33</v>
      </c>
      <c r="G141" s="79">
        <v>1530</v>
      </c>
      <c r="H141" s="8" t="s">
        <v>295</v>
      </c>
      <c r="I141" s="22" t="s">
        <v>564</v>
      </c>
      <c r="J141" s="8">
        <f>IFERROR(VLOOKUP($G141,今日總結!$A:$AN,39,0),"")</f>
        <v>0</v>
      </c>
      <c r="K141" s="5">
        <f>IFERROR(VLOOKUP($G141,今日總結!$A:$AN,40,0),"")</f>
        <v>0</v>
      </c>
      <c r="L141" s="156">
        <f>IFERROR(VLOOKUP($G141,今日總結!$A:$AN,37,0),"")</f>
        <v>0</v>
      </c>
      <c r="M141" s="337">
        <f>IFERROR(VLOOKUP($G141,今日總結!$A:$AN,38,0),"")</f>
        <v>0</v>
      </c>
      <c r="N141" s="240">
        <f t="shared" si="29"/>
        <v>0</v>
      </c>
      <c r="O141" s="359">
        <f>IFERROR(VLOOKUP($G141,融外自投!$A:$J,7,0),"無")</f>
        <v>1230</v>
      </c>
      <c r="P141" s="79">
        <f>IFERROR(VLOOKUP($G141,融外自投!$A:$J,9,0),"無")</f>
        <v>825</v>
      </c>
      <c r="Q141" s="342">
        <f>IFERROR(VLOOKUP($G141,融外自投!$A:$J,8,0),"無")</f>
        <v>1287</v>
      </c>
      <c r="R141" s="81" t="str">
        <f>IFERROR(VLOOKUP($G141,融外自投!$A:$J,10,0),"無")</f>
        <v>無</v>
      </c>
      <c r="S141" s="324">
        <f>IFERROR(VLOOKUP($G141,'321買'!$A:$E,4,0),"'沒有資料'")</f>
        <v>1002</v>
      </c>
      <c r="T141" s="186">
        <f>IFERROR(VLOOKUP($G141,基本資料!$A:$J,9,0),"無")</f>
        <v>1.5</v>
      </c>
      <c r="U141" s="307">
        <f t="shared" si="25"/>
        <v>5.0420168067226892E-2</v>
      </c>
      <c r="V141" s="94">
        <f>IFERROR(VLOOKUP($G141,基本資料!$A:$J,10,0),"無")</f>
        <v>1.35</v>
      </c>
      <c r="W141" s="36">
        <f>RTD("money.excel",,"1530","Price")</f>
        <v>29.75</v>
      </c>
      <c r="X141" s="66"/>
      <c r="Y141" s="15">
        <f t="shared" si="26"/>
        <v>29.75</v>
      </c>
      <c r="Z141" s="3" t="e">
        <f t="shared" si="27"/>
        <v>#DIV/0!</v>
      </c>
      <c r="AA141" s="340">
        <f>IFERROR(VLOOKUP($G141,基本資料!$A:$M,11,0),"無")</f>
        <v>-30.49</v>
      </c>
      <c r="AB141" s="389">
        <f>IFERROR(VLOOKUP($G141,基本資料!$A:$M,12,0),"無")</f>
        <v>11</v>
      </c>
      <c r="AC141" s="22" t="s">
        <v>564</v>
      </c>
      <c r="AF141" s="33">
        <f t="shared" si="28"/>
        <v>0</v>
      </c>
      <c r="AG141" s="43" t="s">
        <v>2158</v>
      </c>
      <c r="AH141" s="66">
        <f t="shared" si="30"/>
        <v>0.17241379310344829</v>
      </c>
      <c r="AI141" s="283">
        <f>RTD("money.excel",,$G141,"PredictVolume")</f>
        <v>3</v>
      </c>
      <c r="AJ141" s="391">
        <f>IFERROR(VLOOKUP($G141,基本資料!$A:$M,13,0),"無")</f>
        <v>17.399999999999999</v>
      </c>
      <c r="AR141" s="245" t="str">
        <f>INDEX(基本資料!N:N,MATCH($G141,基本資料!A:A,0))</f>
        <v>低</v>
      </c>
    </row>
    <row r="142" spans="1:44">
      <c r="A142" s="343">
        <f>IFERROR(VLOOKUP($G142,基本資料!$A:$J,3,0),"無")</f>
        <v>18.36</v>
      </c>
      <c r="B142" s="79">
        <f>IFERROR(VLOOKUP($G142,基本資料!$A:$J,4,0),"無")</f>
        <v>411</v>
      </c>
      <c r="C142" s="79">
        <f>IFERROR(VLOOKUP($G142,基本資料!$A:$J,5,0),"無")</f>
        <v>369</v>
      </c>
      <c r="D142" s="79">
        <f>IFERROR(VLOOKUP($G142,基本資料!$A:$J,6,0),"無")</f>
        <v>-32</v>
      </c>
      <c r="E142" s="79">
        <f>IFERROR(VLOOKUP($G142,基本資料!$A:$J,7,0),"無")</f>
        <v>-20</v>
      </c>
      <c r="F142" s="6">
        <f>IFERROR(VLOOKUP($G142,基本資料!$A:$J,8,0),"無")</f>
        <v>7.33</v>
      </c>
      <c r="G142" s="79">
        <v>1531</v>
      </c>
      <c r="H142" s="8" t="s">
        <v>295</v>
      </c>
      <c r="I142" s="22" t="s">
        <v>565</v>
      </c>
      <c r="J142" s="8">
        <f>IFERROR(VLOOKUP($G142,今日總結!$A:$AN,39,0),"")</f>
        <v>0</v>
      </c>
      <c r="K142" s="5" t="str">
        <f>IFERROR(VLOOKUP($G142,今日總結!$A:$AN,40,0),"")</f>
        <v>主</v>
      </c>
      <c r="L142" s="156">
        <f>IFERROR(VLOOKUP($G142,今日總結!$A:$AN,37,0),"")</f>
        <v>0</v>
      </c>
      <c r="M142" s="337">
        <f>IFERROR(VLOOKUP($G142,今日總結!$A:$AN,38,0),"")</f>
        <v>2</v>
      </c>
      <c r="N142" s="240">
        <f t="shared" si="24"/>
        <v>-2</v>
      </c>
      <c r="O142" s="359">
        <f>IFERROR(VLOOKUP($G142,融外自投!$A:$J,7,0),"無")</f>
        <v>1148</v>
      </c>
      <c r="P142" s="79">
        <f>IFERROR(VLOOKUP($G142,融外自投!$A:$J,9,0),"無")</f>
        <v>990</v>
      </c>
      <c r="Q142" s="342">
        <f>IFERROR(VLOOKUP($G142,融外自投!$A:$J,8,0),"無")</f>
        <v>1049</v>
      </c>
      <c r="R142" s="81" t="str">
        <f>IFERROR(VLOOKUP($G142,融外自投!$A:$J,10,0),"無")</f>
        <v>無</v>
      </c>
      <c r="S142" s="324">
        <f>IFERROR(VLOOKUP($G142,'321買'!$A:$E,4,0),"'沒有資料'")</f>
        <v>1002</v>
      </c>
      <c r="T142" s="186">
        <f>IFERROR(VLOOKUP($G142,基本資料!$A:$J,9,0),"無")</f>
        <v>0.7</v>
      </c>
      <c r="U142" s="307">
        <f t="shared" si="25"/>
        <v>4.8951048951048945E-2</v>
      </c>
      <c r="V142" s="94">
        <f>IFERROR(VLOOKUP($G142,基本資料!$A:$J,10,0),"無")</f>
        <v>0.94</v>
      </c>
      <c r="W142" s="36">
        <f>RTD("money.excel",,"1531","Price")</f>
        <v>14.3</v>
      </c>
      <c r="X142" s="66"/>
      <c r="Y142" s="15">
        <f t="shared" si="26"/>
        <v>14.3</v>
      </c>
      <c r="Z142" s="3" t="e">
        <f t="shared" si="27"/>
        <v>#DIV/0!</v>
      </c>
      <c r="AA142" s="340">
        <f>IFERROR(VLOOKUP($G142,基本資料!$A:$M,11,0),"無")</f>
        <v>-13.07</v>
      </c>
      <c r="AB142" s="389">
        <f>IFERROR(VLOOKUP($G142,基本資料!$A:$M,12,0),"無")</f>
        <v>26.33</v>
      </c>
      <c r="AC142" s="22" t="s">
        <v>565</v>
      </c>
      <c r="AF142" s="33">
        <f t="shared" si="28"/>
        <v>0</v>
      </c>
      <c r="AG142" s="43" t="s">
        <v>2737</v>
      </c>
      <c r="AH142" s="66">
        <f t="shared" si="30"/>
        <v>0.53860950810662278</v>
      </c>
      <c r="AI142" s="283">
        <f>RTD("money.excel",,$G142,"PredictVolume")</f>
        <v>98</v>
      </c>
      <c r="AJ142" s="391">
        <f>IFERROR(VLOOKUP($G142,基本資料!$A:$M,13,0),"無")</f>
        <v>181.95</v>
      </c>
      <c r="AR142" s="245" t="str">
        <f>INDEX(基本資料!N:N,MATCH($G142,基本資料!A:A,0))</f>
        <v>低</v>
      </c>
    </row>
    <row r="143" spans="1:44">
      <c r="A143" s="343">
        <f>IFERROR(VLOOKUP($G143,基本資料!$A:$J,3,0),"無")</f>
        <v>37.61</v>
      </c>
      <c r="B143" s="79">
        <f>IFERROR(VLOOKUP($G143,基本資料!$A:$J,4,0),"無")</f>
        <v>112</v>
      </c>
      <c r="C143" s="79">
        <f>IFERROR(VLOOKUP($G143,基本資料!$A:$J,5,0),"無")</f>
        <v>43</v>
      </c>
      <c r="D143" s="79">
        <f>IFERROR(VLOOKUP($G143,基本資料!$A:$J,6,0),"無")</f>
        <v>-46</v>
      </c>
      <c r="E143" s="79">
        <f>IFERROR(VLOOKUP($G143,基本資料!$A:$J,7,0),"無")</f>
        <v>-24</v>
      </c>
      <c r="F143" s="6">
        <f>IFERROR(VLOOKUP($G143,基本資料!$A:$J,8,0),"無")</f>
        <v>9.8699999999999992</v>
      </c>
      <c r="G143" s="79">
        <v>1532</v>
      </c>
      <c r="H143" s="17" t="s">
        <v>295</v>
      </c>
      <c r="I143" s="22" t="s">
        <v>205</v>
      </c>
      <c r="J143" s="8">
        <f>IFERROR(VLOOKUP($G143,今日總結!$A:$AN,39,0),"")</f>
        <v>0</v>
      </c>
      <c r="K143" s="5" t="str">
        <f>IFERROR(VLOOKUP($G143,今日總結!$A:$AN,40,0),"")</f>
        <v>主外</v>
      </c>
      <c r="L143" s="156">
        <f>IFERROR(VLOOKUP($G143,今日總結!$A:$AN,37,0),"")</f>
        <v>0</v>
      </c>
      <c r="M143" s="337">
        <f>IFERROR(VLOOKUP($G143,今日總結!$A:$AN,38,0),"")</f>
        <v>9</v>
      </c>
      <c r="N143" s="240">
        <f t="shared" si="24"/>
        <v>-9</v>
      </c>
      <c r="O143" s="359">
        <f>IFERROR(VLOOKUP($G143,融外自投!$A:$J,7,0),"無")</f>
        <v>1017</v>
      </c>
      <c r="P143" s="79">
        <f>IFERROR(VLOOKUP($G143,融外自投!$A:$J,9,0),"無")</f>
        <v>790</v>
      </c>
      <c r="Q143" s="342">
        <f>IFERROR(VLOOKUP($G143,融外自投!$A:$J,8,0),"無")</f>
        <v>439</v>
      </c>
      <c r="R143" s="81">
        <f>IFERROR(VLOOKUP($G143,融外自投!$A:$J,10,0),"無")</f>
        <v>314</v>
      </c>
      <c r="S143" s="324">
        <f>IFERROR(VLOOKUP($G143,'321買'!$A:$E,4,0),"'沒有資料'")</f>
        <v>801</v>
      </c>
      <c r="T143" s="186">
        <f>IFERROR(VLOOKUP($G143,基本資料!$A:$J,9,0),"無")</f>
        <v>2.11</v>
      </c>
      <c r="U143" s="307">
        <f t="shared" si="25"/>
        <v>6.7412140575079868E-2</v>
      </c>
      <c r="V143" s="94">
        <f>IFERROR(VLOOKUP($G143,基本資料!$A:$J,10,0),"無")</f>
        <v>3.22</v>
      </c>
      <c r="W143" s="36">
        <f>RTD("money.excel",,"1532","Price")</f>
        <v>31.3</v>
      </c>
      <c r="X143" s="66"/>
      <c r="Y143" s="15">
        <f t="shared" si="26"/>
        <v>31.3</v>
      </c>
      <c r="Z143" s="3" t="e">
        <f t="shared" si="27"/>
        <v>#DIV/0!</v>
      </c>
      <c r="AA143" s="340">
        <f>IFERROR(VLOOKUP($G143,基本資料!$A:$M,11,0),"無")</f>
        <v>-15.75</v>
      </c>
      <c r="AB143" s="389">
        <f>IFERROR(VLOOKUP($G143,基本資料!$A:$M,12,0),"無")</f>
        <v>14.92</v>
      </c>
      <c r="AC143" s="22" t="s">
        <v>205</v>
      </c>
      <c r="AF143" s="33">
        <f t="shared" si="28"/>
        <v>0</v>
      </c>
      <c r="AG143" s="43" t="s">
        <v>2738</v>
      </c>
      <c r="AH143" s="66">
        <f t="shared" si="30"/>
        <v>1.144927536231884</v>
      </c>
      <c r="AI143" s="283">
        <f>RTD("money.excel",,$G143,"PredictVolume")</f>
        <v>316</v>
      </c>
      <c r="AJ143" s="391">
        <f>IFERROR(VLOOKUP($G143,基本資料!$A:$M,13,0),"無")</f>
        <v>276</v>
      </c>
      <c r="AR143" s="245" t="str">
        <f>INDEX(基本資料!N:N,MATCH($G143,基本資料!A:A,0))</f>
        <v>低</v>
      </c>
    </row>
    <row r="144" spans="1:44">
      <c r="A144" s="343">
        <f>IFERROR(VLOOKUP($G144,基本資料!$A:$J,3,0),"無")</f>
        <v>12.37</v>
      </c>
      <c r="B144" s="79">
        <f>IFERROR(VLOOKUP($G144,基本資料!$A:$J,4,0),"無")</f>
        <v>104</v>
      </c>
      <c r="C144" s="79">
        <f>IFERROR(VLOOKUP($G144,基本資料!$A:$J,5,0),"無")</f>
        <v>274</v>
      </c>
      <c r="D144" s="79">
        <f>IFERROR(VLOOKUP($G144,基本資料!$A:$J,6,0),"無")</f>
        <v>-13</v>
      </c>
      <c r="E144" s="79">
        <f>IFERROR(VLOOKUP($G144,基本資料!$A:$J,7,0),"無")</f>
        <v>-5</v>
      </c>
      <c r="F144" s="6">
        <f>IFERROR(VLOOKUP($G144,基本資料!$A:$J,8,0),"無")</f>
        <v>2.86</v>
      </c>
      <c r="G144" s="79">
        <v>1535</v>
      </c>
      <c r="H144" s="8" t="s">
        <v>295</v>
      </c>
      <c r="I144" s="22" t="s">
        <v>566</v>
      </c>
      <c r="J144" s="8">
        <f>IFERROR(VLOOKUP($G144,今日總結!$A:$AN,39,0),"")</f>
        <v>0</v>
      </c>
      <c r="K144" s="5">
        <f>IFERROR(VLOOKUP($G144,今日總結!$A:$AN,40,0),"")</f>
        <v>0</v>
      </c>
      <c r="L144" s="156">
        <f>IFERROR(VLOOKUP($G144,今日總結!$A:$AN,37,0),"")</f>
        <v>0</v>
      </c>
      <c r="M144" s="337">
        <f>IFERROR(VLOOKUP($G144,今日總結!$A:$AN,38,0),"")</f>
        <v>0</v>
      </c>
      <c r="N144" s="240">
        <f t="shared" si="24"/>
        <v>0</v>
      </c>
      <c r="O144" s="359">
        <f>IFERROR(VLOOKUP($G144,融外自投!$A:$J,7,0),"無")</f>
        <v>1437</v>
      </c>
      <c r="P144" s="79">
        <f>IFERROR(VLOOKUP($G144,融外自投!$A:$J,9,0),"無")</f>
        <v>1123</v>
      </c>
      <c r="Q144" s="342">
        <f>IFERROR(VLOOKUP($G144,融外自投!$A:$J,8,0),"無")</f>
        <v>1224</v>
      </c>
      <c r="R144" s="81" t="str">
        <f>IFERROR(VLOOKUP($G144,融外自投!$A:$J,10,0),"無")</f>
        <v>無</v>
      </c>
      <c r="S144" s="324">
        <f>IFERROR(VLOOKUP($G144,'321買'!$A:$E,4,0),"'沒有資料'")</f>
        <v>1002</v>
      </c>
      <c r="T144" s="186">
        <f>IFERROR(VLOOKUP($G144,基本資料!$A:$J,9,0),"無")</f>
        <v>2.6</v>
      </c>
      <c r="U144" s="307">
        <f t="shared" si="25"/>
        <v>6.25E-2</v>
      </c>
      <c r="V144" s="94">
        <f>IFERROR(VLOOKUP($G144,基本資料!$A:$J,10,0),"無")</f>
        <v>3.26</v>
      </c>
      <c r="W144" s="36">
        <f>RTD("money.excel",,"1535","Price")</f>
        <v>41.6</v>
      </c>
      <c r="X144" s="66"/>
      <c r="Y144" s="15">
        <f t="shared" si="26"/>
        <v>41.6</v>
      </c>
      <c r="Z144" s="3" t="e">
        <f t="shared" si="27"/>
        <v>#DIV/0!</v>
      </c>
      <c r="AA144" s="340">
        <f>IFERROR(VLOOKUP($G144,基本資料!$A:$M,11,0),"無")</f>
        <v>-6.52</v>
      </c>
      <c r="AB144" s="389">
        <f>IFERROR(VLOOKUP($G144,基本資料!$A:$M,12,0),"無")</f>
        <v>38.869999999999997</v>
      </c>
      <c r="AC144" s="22" t="s">
        <v>566</v>
      </c>
      <c r="AF144" s="33">
        <f t="shared" si="28"/>
        <v>0</v>
      </c>
      <c r="AG144" s="43" t="s">
        <v>2739</v>
      </c>
      <c r="AH144" s="66">
        <f t="shared" si="30"/>
        <v>0.7259953161592505</v>
      </c>
      <c r="AI144" s="283">
        <f>RTD("money.excel",,$G144,"PredictVolume")</f>
        <v>31</v>
      </c>
      <c r="AJ144" s="391">
        <f>IFERROR(VLOOKUP($G144,基本資料!$A:$M,13,0),"無")</f>
        <v>42.7</v>
      </c>
      <c r="AR144" s="245" t="str">
        <f>INDEX(基本資料!N:N,MATCH($G144,基本資料!A:A,0))</f>
        <v>中</v>
      </c>
    </row>
    <row r="145" spans="1:44">
      <c r="A145" s="343">
        <f>IFERROR(VLOOKUP($G145,基本資料!$A:$J,3,0),"無")</f>
        <v>8.1999999999999993</v>
      </c>
      <c r="B145" s="79">
        <f>IFERROR(VLOOKUP($G145,基本資料!$A:$J,4,0),"無")</f>
        <v>-29</v>
      </c>
      <c r="C145" s="79">
        <f>IFERROR(VLOOKUP($G145,基本資料!$A:$J,5,0),"無")</f>
        <v>-33</v>
      </c>
      <c r="D145" s="79">
        <f>IFERROR(VLOOKUP($G145,基本資料!$A:$J,6,0),"無")</f>
        <v>5</v>
      </c>
      <c r="E145" s="79">
        <f>IFERROR(VLOOKUP($G145,基本資料!$A:$J,7,0),"無")</f>
        <v>6</v>
      </c>
      <c r="F145" s="6">
        <f>IFERROR(VLOOKUP($G145,基本資料!$A:$J,8,0),"無")</f>
        <v>13.71</v>
      </c>
      <c r="G145" s="79">
        <v>1537</v>
      </c>
      <c r="H145" s="8" t="s">
        <v>295</v>
      </c>
      <c r="I145" s="22" t="s">
        <v>567</v>
      </c>
      <c r="J145" s="8">
        <f>IFERROR(VLOOKUP($G145,今日總結!$A:$AN,39,0),"")</f>
        <v>0</v>
      </c>
      <c r="K145" s="5" t="str">
        <f>IFERROR(VLOOKUP($G145,今日總結!$A:$AN,40,0),"")</f>
        <v>外</v>
      </c>
      <c r="L145" s="156">
        <f>IFERROR(VLOOKUP($G145,今日總結!$A:$AN,37,0),"")</f>
        <v>0</v>
      </c>
      <c r="M145" s="337">
        <f>IFERROR(VLOOKUP($G145,今日總結!$A:$AN,38,0),"")</f>
        <v>2</v>
      </c>
      <c r="N145" s="240">
        <f t="shared" si="24"/>
        <v>-2</v>
      </c>
      <c r="O145" s="359">
        <f>IFERROR(VLOOKUP($G145,融外自投!$A:$J,7,0),"無")</f>
        <v>1268</v>
      </c>
      <c r="P145" s="79" t="str">
        <f>IFERROR(VLOOKUP($G145,融外自投!$A:$J,9,0),"無")</f>
        <v>無</v>
      </c>
      <c r="Q145" s="342">
        <f>IFERROR(VLOOKUP($G145,融外自投!$A:$J,8,0),"無")</f>
        <v>318</v>
      </c>
      <c r="R145" s="81">
        <f>IFERROR(VLOOKUP($G145,融外自投!$A:$J,10,0),"無")</f>
        <v>318</v>
      </c>
      <c r="S145" s="324">
        <f>IFERROR(VLOOKUP($G145,'321買'!$A:$E,4,0),"'沒有資料'")</f>
        <v>891</v>
      </c>
      <c r="T145" s="186">
        <f>IFERROR(VLOOKUP($G145,基本資料!$A:$J,9,0),"無")</f>
        <v>7</v>
      </c>
      <c r="U145" s="307">
        <f t="shared" si="25"/>
        <v>5.128205128205128E-2</v>
      </c>
      <c r="V145" s="94">
        <f>IFERROR(VLOOKUP($G145,基本資料!$A:$J,10,0),"無")</f>
        <v>7.58</v>
      </c>
      <c r="W145" s="36">
        <f>RTD("money.excel",,"1537","Price")</f>
        <v>136.5</v>
      </c>
      <c r="X145" s="66"/>
      <c r="Y145" s="15">
        <f t="shared" si="26"/>
        <v>136.5</v>
      </c>
      <c r="Z145" s="3" t="e">
        <f t="shared" si="27"/>
        <v>#DIV/0!</v>
      </c>
      <c r="AA145" s="340">
        <f>IFERROR(VLOOKUP($G145,基本資料!$A:$M,11,0),"無")</f>
        <v>-14.95</v>
      </c>
      <c r="AB145" s="389">
        <f>IFERROR(VLOOKUP($G145,基本資料!$A:$M,12,0),"無")</f>
        <v>24.91</v>
      </c>
      <c r="AC145" s="22" t="s">
        <v>567</v>
      </c>
      <c r="AF145" s="33">
        <f t="shared" si="28"/>
        <v>0</v>
      </c>
      <c r="AG145" s="43" t="s">
        <v>2239</v>
      </c>
      <c r="AH145" s="66">
        <f t="shared" si="30"/>
        <v>0.63063063063063074</v>
      </c>
      <c r="AI145" s="283">
        <f>RTD("money.excel",,$G145,"PredictVolume")</f>
        <v>42</v>
      </c>
      <c r="AJ145" s="391">
        <f>IFERROR(VLOOKUP($G145,基本資料!$A:$M,13,0),"無")</f>
        <v>66.599999999999994</v>
      </c>
      <c r="AR145" s="245" t="str">
        <f>INDEX(基本資料!N:N,MATCH($G145,基本資料!A:A,0))</f>
        <v>低</v>
      </c>
    </row>
    <row r="146" spans="1:44">
      <c r="A146" s="343">
        <f>IFERROR(VLOOKUP($G146,基本資料!$A:$J,3,0),"無")</f>
        <v>2.64</v>
      </c>
      <c r="B146" s="79">
        <f>IFERROR(VLOOKUP($G146,基本資料!$A:$J,4,0),"無")</f>
        <v>-1002</v>
      </c>
      <c r="C146" s="79">
        <f>IFERROR(VLOOKUP($G146,基本資料!$A:$J,5,0),"無")</f>
        <v>15</v>
      </c>
      <c r="D146" s="79">
        <f>IFERROR(VLOOKUP($G146,基本資料!$A:$J,6,0),"無")</f>
        <v>-43</v>
      </c>
      <c r="E146" s="79">
        <f>IFERROR(VLOOKUP($G146,基本資料!$A:$J,7,0),"無")</f>
        <v>-38</v>
      </c>
      <c r="F146" s="6">
        <f>IFERROR(VLOOKUP($G146,基本資料!$A:$J,8,0),"無")</f>
        <v>-26.7</v>
      </c>
      <c r="G146" s="79">
        <v>1538</v>
      </c>
      <c r="H146" s="8" t="s">
        <v>295</v>
      </c>
      <c r="I146" s="22" t="s">
        <v>568</v>
      </c>
      <c r="J146" s="8" t="str">
        <f>IFERROR(VLOOKUP($G146,今日總結!$A:$AN,39,0),"")</f>
        <v/>
      </c>
      <c r="K146" s="5" t="str">
        <f>IFERROR(VLOOKUP($G146,今日總結!$A:$AN,40,0),"")</f>
        <v/>
      </c>
      <c r="L146" s="156" t="str">
        <f>IFERROR(VLOOKUP($G146,今日總結!$A:$AN,37,0),"")</f>
        <v/>
      </c>
      <c r="M146" s="337" t="str">
        <f>IFERROR(VLOOKUP($G146,今日總結!$A:$AN,38,0),"")</f>
        <v/>
      </c>
      <c r="N146" s="240" t="str">
        <f t="shared" si="24"/>
        <v/>
      </c>
      <c r="O146" s="359" t="str">
        <f>IFERROR(VLOOKUP($G146,融外自投!$A:$J,7,0),"無")</f>
        <v>無</v>
      </c>
      <c r="P146" s="79" t="str">
        <f>IFERROR(VLOOKUP($G146,融外自投!$A:$J,9,0),"無")</f>
        <v>無</v>
      </c>
      <c r="Q146" s="342" t="str">
        <f>IFERROR(VLOOKUP($G146,融外自投!$A:$J,8,0),"無")</f>
        <v>無</v>
      </c>
      <c r="R146" s="81" t="str">
        <f>IFERROR(VLOOKUP($G146,融外自投!$A:$J,10,0),"無")</f>
        <v>無</v>
      </c>
      <c r="S146" s="324" t="str">
        <f>IFERROR(VLOOKUP($G146,'321買'!$A:$E,4,0),"'沒有資料'")</f>
        <v>'沒有資料'</v>
      </c>
      <c r="T146" s="186">
        <f>IFERROR(VLOOKUP($G146,基本資料!$A:$J,9,0),"無")</f>
        <v>0</v>
      </c>
      <c r="U146" s="307">
        <f t="shared" si="25"/>
        <v>0</v>
      </c>
      <c r="V146" s="94">
        <f>IFERROR(VLOOKUP($G146,基本資料!$A:$J,10,0),"無")</f>
        <v>-5.13</v>
      </c>
      <c r="W146" s="36">
        <f>RTD("money.excel",,"1538","Price")</f>
        <v>6.66</v>
      </c>
      <c r="X146" s="66"/>
      <c r="Y146" s="15">
        <f t="shared" si="26"/>
        <v>6.66</v>
      </c>
      <c r="Z146" s="3" t="e">
        <f t="shared" si="27"/>
        <v>#DIV/0!</v>
      </c>
      <c r="AA146" s="340">
        <f>IFERROR(VLOOKUP($G146,基本資料!$A:$M,11,0),"無")</f>
        <v>-48.77</v>
      </c>
      <c r="AB146" s="389">
        <f>IFERROR(VLOOKUP($G146,基本資料!$A:$M,12,0),"無")</f>
        <v>20.34</v>
      </c>
      <c r="AC146" s="22" t="s">
        <v>568</v>
      </c>
      <c r="AF146" s="33">
        <f t="shared" si="28"/>
        <v>0</v>
      </c>
      <c r="AG146" s="43" t="s">
        <v>2199</v>
      </c>
      <c r="AH146" s="66">
        <f t="shared" si="30"/>
        <v>2.1098901098901099</v>
      </c>
      <c r="AI146" s="283">
        <f>RTD("money.excel",,$G146,"PredictVolume")</f>
        <v>48</v>
      </c>
      <c r="AJ146" s="391">
        <f>IFERROR(VLOOKUP($G146,基本資料!$A:$M,13,0),"無")</f>
        <v>22.75</v>
      </c>
      <c r="AR146" s="245" t="str">
        <f>INDEX(基本資料!N:N,MATCH($G146,基本資料!A:A,0))</f>
        <v>低</v>
      </c>
    </row>
    <row r="147" spans="1:44">
      <c r="A147" s="343">
        <f>IFERROR(VLOOKUP($G147,基本資料!$A:$J,3,0),"無")</f>
        <v>6.53</v>
      </c>
      <c r="B147" s="79">
        <f>IFERROR(VLOOKUP($G147,基本資料!$A:$J,4,0),"無")</f>
        <v>575</v>
      </c>
      <c r="C147" s="79">
        <f>IFERROR(VLOOKUP($G147,基本資料!$A:$J,5,0),"無")</f>
        <v>88</v>
      </c>
      <c r="D147" s="79">
        <f>IFERROR(VLOOKUP($G147,基本資料!$A:$J,6,0),"無")</f>
        <v>-17</v>
      </c>
      <c r="E147" s="79">
        <f>IFERROR(VLOOKUP($G147,基本資料!$A:$J,7,0),"無")</f>
        <v>-4</v>
      </c>
      <c r="F147" s="6">
        <f>IFERROR(VLOOKUP($G147,基本資料!$A:$J,8,0),"無")</f>
        <v>7.4</v>
      </c>
      <c r="G147" s="79">
        <v>1539</v>
      </c>
      <c r="H147" s="8" t="s">
        <v>295</v>
      </c>
      <c r="I147" s="22" t="s">
        <v>569</v>
      </c>
      <c r="J147" s="8">
        <f>IFERROR(VLOOKUP($G147,今日總結!$A:$AN,39,0),"")</f>
        <v>0</v>
      </c>
      <c r="K147" s="5">
        <f>IFERROR(VLOOKUP($G147,今日總結!$A:$AN,40,0),"")</f>
        <v>0</v>
      </c>
      <c r="L147" s="156">
        <f>IFERROR(VLOOKUP($G147,今日總結!$A:$AN,37,0),"")</f>
        <v>0</v>
      </c>
      <c r="M147" s="337">
        <f>IFERROR(VLOOKUP($G147,今日總結!$A:$AN,38,0),"")</f>
        <v>0</v>
      </c>
      <c r="N147" s="240">
        <f t="shared" si="24"/>
        <v>0</v>
      </c>
      <c r="O147" s="359">
        <f>IFERROR(VLOOKUP($G147,融外自投!$A:$J,7,0),"無")</f>
        <v>634</v>
      </c>
      <c r="P147" s="79">
        <f>IFERROR(VLOOKUP($G147,融外自投!$A:$J,9,0),"無")</f>
        <v>990</v>
      </c>
      <c r="Q147" s="342">
        <f>IFERROR(VLOOKUP($G147,融外自投!$A:$J,8,0),"無")</f>
        <v>1337</v>
      </c>
      <c r="R147" s="81" t="str">
        <f>IFERROR(VLOOKUP($G147,融外自投!$A:$J,10,0),"無")</f>
        <v>無</v>
      </c>
      <c r="S147" s="324">
        <f>IFERROR(VLOOKUP($G147,'321買'!$A:$E,4,0),"'沒有資料'")</f>
        <v>801</v>
      </c>
      <c r="T147" s="186">
        <f>IFERROR(VLOOKUP($G147,基本資料!$A:$J,9,0),"無")</f>
        <v>0.8</v>
      </c>
      <c r="U147" s="307">
        <f t="shared" si="25"/>
        <v>3.8929440389294405E-2</v>
      </c>
      <c r="V147" s="94">
        <f>IFERROR(VLOOKUP($G147,基本資料!$A:$J,10,0),"無")</f>
        <v>1.35</v>
      </c>
      <c r="W147" s="36">
        <f>RTD("money.excel",,"1539","Price")</f>
        <v>20.55</v>
      </c>
      <c r="X147" s="66"/>
      <c r="Y147" s="15">
        <f t="shared" si="26"/>
        <v>20.55</v>
      </c>
      <c r="Z147" s="3" t="e">
        <f t="shared" si="27"/>
        <v>#DIV/0!</v>
      </c>
      <c r="AA147" s="340">
        <f>IFERROR(VLOOKUP($G147,基本資料!$A:$M,11,0),"無")</f>
        <v>-17.47</v>
      </c>
      <c r="AB147" s="389">
        <f>IFERROR(VLOOKUP($G147,基本資料!$A:$M,12,0),"無")</f>
        <v>59.87</v>
      </c>
      <c r="AC147" s="22" t="s">
        <v>569</v>
      </c>
      <c r="AF147" s="33">
        <f t="shared" si="28"/>
        <v>0</v>
      </c>
      <c r="AG147" s="43" t="s">
        <v>2027</v>
      </c>
      <c r="AH147" s="66">
        <f t="shared" si="30"/>
        <v>0.82206080640250534</v>
      </c>
      <c r="AI147" s="283">
        <f>RTD("money.excel",,$G147,"PredictVolume")</f>
        <v>945</v>
      </c>
      <c r="AJ147" s="391">
        <f>IFERROR(VLOOKUP($G147,基本資料!$A:$M,13,0),"無")</f>
        <v>1149.55</v>
      </c>
      <c r="AR147" s="245" t="str">
        <f>INDEX(基本資料!N:N,MATCH($G147,基本資料!A:A,0))</f>
        <v>中</v>
      </c>
    </row>
    <row r="148" spans="1:44">
      <c r="A148" s="343">
        <f>IFERROR(VLOOKUP($G148,基本資料!$A:$J,3,0),"無")</f>
        <v>8.5399999999999991</v>
      </c>
      <c r="B148" s="79">
        <f>IFERROR(VLOOKUP($G148,基本資料!$A:$J,4,0),"無")</f>
        <v>82</v>
      </c>
      <c r="C148" s="79">
        <f>IFERROR(VLOOKUP($G148,基本資料!$A:$J,5,0),"無")</f>
        <v>119</v>
      </c>
      <c r="D148" s="79">
        <f>IFERROR(VLOOKUP($G148,基本資料!$A:$J,6,0),"無")</f>
        <v>36</v>
      </c>
      <c r="E148" s="79">
        <f>IFERROR(VLOOKUP($G148,基本資料!$A:$J,7,0),"無")</f>
        <v>41</v>
      </c>
      <c r="F148" s="6">
        <f>IFERROR(VLOOKUP($G148,基本資料!$A:$J,8,0),"無")</f>
        <v>0.4</v>
      </c>
      <c r="G148" s="79">
        <v>1540</v>
      </c>
      <c r="H148" s="8" t="s">
        <v>295</v>
      </c>
      <c r="I148" s="22" t="s">
        <v>570</v>
      </c>
      <c r="J148" s="8">
        <f>IFERROR(VLOOKUP($G148,今日總結!$A:$AN,39,0),"")</f>
        <v>0</v>
      </c>
      <c r="K148" s="5">
        <f>IFERROR(VLOOKUP($G148,今日總結!$A:$AN,40,0),"")</f>
        <v>0</v>
      </c>
      <c r="L148" s="156">
        <f>IFERROR(VLOOKUP($G148,今日總結!$A:$AN,37,0),"")</f>
        <v>0</v>
      </c>
      <c r="M148" s="337">
        <f>IFERROR(VLOOKUP($G148,今日總結!$A:$AN,38,0),"")</f>
        <v>0</v>
      </c>
      <c r="N148" s="240">
        <f t="shared" si="24"/>
        <v>0</v>
      </c>
      <c r="O148" s="359">
        <f>IFERROR(VLOOKUP($G148,融外自投!$A:$J,7,0),"無")</f>
        <v>1153</v>
      </c>
      <c r="P148" s="79">
        <f>IFERROR(VLOOKUP($G148,融外自投!$A:$J,9,0),"無")</f>
        <v>946</v>
      </c>
      <c r="Q148" s="342">
        <f>IFERROR(VLOOKUP($G148,融外自投!$A:$J,8,0),"無")</f>
        <v>1366</v>
      </c>
      <c r="R148" s="81" t="str">
        <f>IFERROR(VLOOKUP($G148,融外自投!$A:$J,10,0),"無")</f>
        <v>無</v>
      </c>
      <c r="S148" s="324">
        <f>IFERROR(VLOOKUP($G148,'321買'!$A:$E,4,0),"'沒有資料'")</f>
        <v>1002</v>
      </c>
      <c r="T148" s="186">
        <f>IFERROR(VLOOKUP($G148,基本資料!$A:$J,9,0),"無")</f>
        <v>0.3</v>
      </c>
      <c r="U148" s="307">
        <f t="shared" si="25"/>
        <v>2.02020202020202E-2</v>
      </c>
      <c r="V148" s="94">
        <f>IFERROR(VLOOKUP($G148,基本資料!$A:$J,10,0),"無")</f>
        <v>-0.04</v>
      </c>
      <c r="W148" s="36">
        <f>RTD("money.excel",,"1540","Price")</f>
        <v>14.85</v>
      </c>
      <c r="X148" s="66"/>
      <c r="Y148" s="15">
        <f t="shared" si="26"/>
        <v>14.85</v>
      </c>
      <c r="Z148" s="3" t="e">
        <f t="shared" si="27"/>
        <v>#DIV/0!</v>
      </c>
      <c r="AA148" s="340">
        <f>IFERROR(VLOOKUP($G148,基本資料!$A:$M,11,0),"無")</f>
        <v>-13.16</v>
      </c>
      <c r="AB148" s="389">
        <f>IFERROR(VLOOKUP($G148,基本資料!$A:$M,12,0),"無")</f>
        <v>53.21</v>
      </c>
      <c r="AC148" s="22" t="s">
        <v>570</v>
      </c>
      <c r="AF148" s="33">
        <f t="shared" si="28"/>
        <v>0</v>
      </c>
      <c r="AG148" s="43" t="s">
        <v>2513</v>
      </c>
      <c r="AH148" s="66">
        <f t="shared" si="30"/>
        <v>0.14007782101167315</v>
      </c>
      <c r="AI148" s="283">
        <f>RTD("money.excel",,$G148,"PredictVolume")</f>
        <v>18</v>
      </c>
      <c r="AJ148" s="391">
        <f>IFERROR(VLOOKUP($G148,基本資料!$A:$M,13,0),"無")</f>
        <v>128.5</v>
      </c>
      <c r="AR148" s="245" t="str">
        <f>INDEX(基本資料!N:N,MATCH($G148,基本資料!A:A,0))</f>
        <v>低</v>
      </c>
    </row>
    <row r="149" spans="1:44">
      <c r="A149" s="343">
        <f>IFERROR(VLOOKUP($G149,基本資料!$A:$J,3,0),"無")</f>
        <v>7.88</v>
      </c>
      <c r="B149" s="79">
        <f>IFERROR(VLOOKUP($G149,基本資料!$A:$J,4,0),"無")</f>
        <v>-34</v>
      </c>
      <c r="C149" s="79">
        <f>IFERROR(VLOOKUP($G149,基本資料!$A:$J,5,0),"無")</f>
        <v>-42</v>
      </c>
      <c r="D149" s="79">
        <f>IFERROR(VLOOKUP($G149,基本資料!$A:$J,6,0),"無")</f>
        <v>-16</v>
      </c>
      <c r="E149" s="79">
        <f>IFERROR(VLOOKUP($G149,基本資料!$A:$J,7,0),"無")</f>
        <v>0</v>
      </c>
      <c r="F149" s="6">
        <f>IFERROR(VLOOKUP($G149,基本資料!$A:$J,8,0),"無")</f>
        <v>6.37</v>
      </c>
      <c r="G149" s="79">
        <v>1541</v>
      </c>
      <c r="H149" s="8" t="s">
        <v>295</v>
      </c>
      <c r="I149" s="22" t="s">
        <v>571</v>
      </c>
      <c r="J149" s="8">
        <f>IFERROR(VLOOKUP($G149,今日總結!$A:$AN,39,0),"")</f>
        <v>0</v>
      </c>
      <c r="K149" s="5">
        <f>IFERROR(VLOOKUP($G149,今日總結!$A:$AN,40,0),"")</f>
        <v>0</v>
      </c>
      <c r="L149" s="156">
        <f>IFERROR(VLOOKUP($G149,今日總結!$A:$AN,37,0),"")</f>
        <v>0</v>
      </c>
      <c r="M149" s="337">
        <f>IFERROR(VLOOKUP($G149,今日總結!$A:$AN,38,0),"")</f>
        <v>0</v>
      </c>
      <c r="N149" s="240">
        <f t="shared" si="24"/>
        <v>0</v>
      </c>
      <c r="O149" s="359">
        <f>IFERROR(VLOOKUP($G149,融外自投!$A:$J,7,0),"無")</f>
        <v>1260</v>
      </c>
      <c r="P149" s="79">
        <f>IFERROR(VLOOKUP($G149,融外自投!$A:$J,9,0),"無")</f>
        <v>1051</v>
      </c>
      <c r="Q149" s="342">
        <f>IFERROR(VLOOKUP($G149,融外自投!$A:$J,8,0),"無")</f>
        <v>521</v>
      </c>
      <c r="R149" s="81" t="str">
        <f>IFERROR(VLOOKUP($G149,融外自投!$A:$J,10,0),"無")</f>
        <v>無</v>
      </c>
      <c r="S149" s="324">
        <f>IFERROR(VLOOKUP($G149,'321買'!$A:$E,4,0),"'沒有資料'")</f>
        <v>1002</v>
      </c>
      <c r="T149" s="186">
        <f>IFERROR(VLOOKUP($G149,基本資料!$A:$J,9,0),"無")</f>
        <v>2.5</v>
      </c>
      <c r="U149" s="307">
        <f t="shared" si="25"/>
        <v>5.6306306306306307E-2</v>
      </c>
      <c r="V149" s="94">
        <f>IFERROR(VLOOKUP($G149,基本資料!$A:$J,10,0),"無")</f>
        <v>3.8</v>
      </c>
      <c r="W149" s="36">
        <f>RTD("money.excel",,"1541","Price")</f>
        <v>44.4</v>
      </c>
      <c r="X149" s="66"/>
      <c r="Y149" s="15">
        <f t="shared" si="26"/>
        <v>44.4</v>
      </c>
      <c r="Z149" s="3" t="e">
        <f t="shared" si="27"/>
        <v>#DIV/0!</v>
      </c>
      <c r="AA149" s="340">
        <f>IFERROR(VLOOKUP($G149,基本資料!$A:$M,11,0),"無")</f>
        <v>-14.78</v>
      </c>
      <c r="AB149" s="389">
        <f>IFERROR(VLOOKUP($G149,基本資料!$A:$M,12,0),"無")</f>
        <v>30.84</v>
      </c>
      <c r="AC149" s="22" t="s">
        <v>571</v>
      </c>
      <c r="AF149" s="33">
        <f t="shared" si="28"/>
        <v>0</v>
      </c>
      <c r="AG149" s="43" t="s">
        <v>2740</v>
      </c>
      <c r="AH149" s="66">
        <f t="shared" si="30"/>
        <v>0.11904761904761905</v>
      </c>
      <c r="AI149" s="283">
        <f>RTD("money.excel",,$G149,"PredictVolume")</f>
        <v>23</v>
      </c>
      <c r="AJ149" s="391">
        <f>IFERROR(VLOOKUP($G149,基本資料!$A:$M,13,0),"無")</f>
        <v>193.2</v>
      </c>
      <c r="AR149" s="245" t="str">
        <f>INDEX(基本資料!N:N,MATCH($G149,基本資料!A:A,0))</f>
        <v>低</v>
      </c>
    </row>
    <row r="150" spans="1:44">
      <c r="A150" s="343">
        <f>IFERROR(VLOOKUP($G150,基本資料!$A:$J,3,0),"無")</f>
        <v>6.05</v>
      </c>
      <c r="B150" s="79">
        <f>IFERROR(VLOOKUP($G150,基本資料!$A:$J,4,0),"無")</f>
        <v>-37</v>
      </c>
      <c r="C150" s="79">
        <f>IFERROR(VLOOKUP($G150,基本資料!$A:$J,5,0),"無")</f>
        <v>-40</v>
      </c>
      <c r="D150" s="79">
        <f>IFERROR(VLOOKUP($G150,基本資料!$A:$J,6,0),"無")</f>
        <v>-38</v>
      </c>
      <c r="E150" s="79">
        <f>IFERROR(VLOOKUP($G150,基本資料!$A:$J,7,0),"無")</f>
        <v>-38</v>
      </c>
      <c r="F150" s="6">
        <f>IFERROR(VLOOKUP($G150,基本資料!$A:$J,8,0),"無")</f>
        <v>9.23</v>
      </c>
      <c r="G150" s="79">
        <v>1558</v>
      </c>
      <c r="H150" s="8" t="s">
        <v>295</v>
      </c>
      <c r="I150" s="22" t="s">
        <v>572</v>
      </c>
      <c r="J150" s="8">
        <f>IFERROR(VLOOKUP($G150,今日總結!$A:$AN,39,0),"")</f>
        <v>0</v>
      </c>
      <c r="K150" s="5">
        <f>IFERROR(VLOOKUP($G150,今日總結!$A:$AN,40,0),"")</f>
        <v>0</v>
      </c>
      <c r="L150" s="156">
        <f>IFERROR(VLOOKUP($G150,今日總結!$A:$AN,37,0),"")</f>
        <v>0</v>
      </c>
      <c r="M150" s="337">
        <f>IFERROR(VLOOKUP($G150,今日總結!$A:$AN,38,0),"")</f>
        <v>0</v>
      </c>
      <c r="N150" s="240">
        <f t="shared" si="24"/>
        <v>0</v>
      </c>
      <c r="O150" s="359">
        <f>IFERROR(VLOOKUP($G150,融外自投!$A:$J,7,0),"無")</f>
        <v>1039</v>
      </c>
      <c r="P150" s="79" t="str">
        <f>IFERROR(VLOOKUP($G150,融外自投!$A:$J,9,0),"無")</f>
        <v>無</v>
      </c>
      <c r="Q150" s="342">
        <f>IFERROR(VLOOKUP($G150,融外自投!$A:$J,8,0),"無")</f>
        <v>599</v>
      </c>
      <c r="R150" s="81">
        <f>IFERROR(VLOOKUP($G150,融外自投!$A:$J,10,0),"無")</f>
        <v>439</v>
      </c>
      <c r="S150" s="324">
        <f>IFERROR(VLOOKUP($G150,'321買'!$A:$E,4,0),"'沒有資料'")</f>
        <v>891</v>
      </c>
      <c r="T150" s="186">
        <f>IFERROR(VLOOKUP($G150,基本資料!$A:$J,9,0),"無")</f>
        <v>8.5</v>
      </c>
      <c r="U150" s="307">
        <f t="shared" si="25"/>
        <v>6.1371841155234655E-2</v>
      </c>
      <c r="V150" s="94">
        <f>IFERROR(VLOOKUP($G150,基本資料!$A:$J,10,0),"無")</f>
        <v>8.67</v>
      </c>
      <c r="W150" s="36">
        <f>RTD("money.excel",,"1558","Price")</f>
        <v>138.5</v>
      </c>
      <c r="X150" s="66"/>
      <c r="Y150" s="15">
        <f t="shared" si="26"/>
        <v>138.5</v>
      </c>
      <c r="Z150" s="3" t="e">
        <f t="shared" si="27"/>
        <v>#DIV/0!</v>
      </c>
      <c r="AA150" s="340">
        <f>IFERROR(VLOOKUP($G150,基本資料!$A:$M,11,0),"無")</f>
        <v>-18.29</v>
      </c>
      <c r="AB150" s="389">
        <f>IFERROR(VLOOKUP($G150,基本資料!$A:$M,12,0),"無")</f>
        <v>32.21</v>
      </c>
      <c r="AC150" s="22" t="s">
        <v>572</v>
      </c>
      <c r="AF150" s="33">
        <f t="shared" si="28"/>
        <v>0</v>
      </c>
      <c r="AG150" s="43" t="s">
        <v>2741</v>
      </c>
      <c r="AH150" s="66">
        <f t="shared" si="30"/>
        <v>2.1237458193979935</v>
      </c>
      <c r="AI150" s="283">
        <f>RTD("money.excel",,$G150,"PredictVolume")</f>
        <v>127</v>
      </c>
      <c r="AJ150" s="391">
        <f>IFERROR(VLOOKUP($G150,基本資料!$A:$M,13,0),"無")</f>
        <v>59.8</v>
      </c>
      <c r="AR150" s="245" t="str">
        <f>INDEX(基本資料!N:N,MATCH($G150,基本資料!A:A,0))</f>
        <v>低</v>
      </c>
    </row>
    <row r="151" spans="1:44">
      <c r="A151" s="343">
        <f>IFERROR(VLOOKUP($G151,基本資料!$A:$J,3,0),"無")</f>
        <v>14.3</v>
      </c>
      <c r="B151" s="79">
        <f>IFERROR(VLOOKUP($G151,基本資料!$A:$J,4,0),"無")</f>
        <v>33</v>
      </c>
      <c r="C151" s="79">
        <f>IFERROR(VLOOKUP($G151,基本資料!$A:$J,5,0),"無")</f>
        <v>32</v>
      </c>
      <c r="D151" s="79">
        <f>IFERROR(VLOOKUP($G151,基本資料!$A:$J,6,0),"無")</f>
        <v>1</v>
      </c>
      <c r="E151" s="79">
        <f>IFERROR(VLOOKUP($G151,基本資料!$A:$J,7,0),"無")</f>
        <v>22</v>
      </c>
      <c r="F151" s="6">
        <f>IFERROR(VLOOKUP($G151,基本資料!$A:$J,8,0),"無")</f>
        <v>15.49</v>
      </c>
      <c r="G151" s="79">
        <v>1560</v>
      </c>
      <c r="H151" s="8" t="s">
        <v>295</v>
      </c>
      <c r="I151" s="22" t="s">
        <v>172</v>
      </c>
      <c r="J151" s="8">
        <f>IFERROR(VLOOKUP($G151,今日總結!$A:$AN,39,0),"")</f>
        <v>0</v>
      </c>
      <c r="K151" s="5">
        <f>IFERROR(VLOOKUP($G151,今日總結!$A:$AN,40,0),"")</f>
        <v>0</v>
      </c>
      <c r="L151" s="156">
        <f>IFERROR(VLOOKUP($G151,今日總結!$A:$AN,37,0),"")</f>
        <v>0</v>
      </c>
      <c r="M151" s="337">
        <f>IFERROR(VLOOKUP($G151,今日總結!$A:$AN,38,0),"")</f>
        <v>0</v>
      </c>
      <c r="N151" s="240">
        <f t="shared" si="24"/>
        <v>0</v>
      </c>
      <c r="O151" s="359">
        <f>IFERROR(VLOOKUP($G151,融外自投!$A:$J,7,0),"無")</f>
        <v>263</v>
      </c>
      <c r="P151" s="79">
        <f>IFERROR(VLOOKUP($G151,融外自投!$A:$J,9,0),"無")</f>
        <v>177</v>
      </c>
      <c r="Q151" s="342">
        <f>IFERROR(VLOOKUP($G151,融外自投!$A:$J,8,0),"無")</f>
        <v>456</v>
      </c>
      <c r="R151" s="81">
        <f>IFERROR(VLOOKUP($G151,融外自投!$A:$J,10,0),"無")</f>
        <v>40</v>
      </c>
      <c r="S151" s="324">
        <f>IFERROR(VLOOKUP($G151,'321買'!$A:$E,4,0),"'沒有資料'")</f>
        <v>46</v>
      </c>
      <c r="T151" s="186">
        <f>IFERROR(VLOOKUP($G151,基本資料!$A:$J,9,0),"無")</f>
        <v>2.8</v>
      </c>
      <c r="U151" s="307">
        <f t="shared" si="25"/>
        <v>2.1621621621621619E-2</v>
      </c>
      <c r="V151" s="94">
        <f>IFERROR(VLOOKUP($G151,基本資料!$A:$J,10,0),"無")</f>
        <v>4.78</v>
      </c>
      <c r="W151" s="36">
        <f>RTD("money.excel",,"1560","Price")</f>
        <v>129.5</v>
      </c>
      <c r="X151" s="66"/>
      <c r="Y151" s="15">
        <f t="shared" si="26"/>
        <v>129.5</v>
      </c>
      <c r="Z151" s="3" t="e">
        <f t="shared" si="27"/>
        <v>#DIV/0!</v>
      </c>
      <c r="AA151" s="340">
        <f>IFERROR(VLOOKUP($G151,基本資料!$A:$M,11,0),"無")</f>
        <v>-6.83</v>
      </c>
      <c r="AB151" s="389">
        <f>IFERROR(VLOOKUP($G151,基本資料!$A:$M,12,0),"無")</f>
        <v>64.55</v>
      </c>
      <c r="AC151" s="22" t="s">
        <v>172</v>
      </c>
      <c r="AF151" s="33">
        <f t="shared" si="28"/>
        <v>0</v>
      </c>
      <c r="AG151" s="117" t="s">
        <v>2004</v>
      </c>
      <c r="AH151" s="66">
        <f t="shared" si="30"/>
        <v>0.89187311129425828</v>
      </c>
      <c r="AI151" s="283">
        <f>RTD("money.excel",,$G151,"PredictVolume")</f>
        <v>5519</v>
      </c>
      <c r="AJ151" s="391">
        <f>IFERROR(VLOOKUP($G151,基本資料!$A:$M,13,0),"無")</f>
        <v>6188.1</v>
      </c>
      <c r="AR151" s="245" t="str">
        <f>INDEX(基本資料!N:N,MATCH($G151,基本資料!A:A,0))</f>
        <v>高</v>
      </c>
    </row>
    <row r="152" spans="1:44">
      <c r="A152" s="343">
        <f>IFERROR(VLOOKUP($G152,基本資料!$A:$J,3,0),"無")</f>
        <v>5.15</v>
      </c>
      <c r="B152" s="79">
        <f>IFERROR(VLOOKUP($G152,基本資料!$A:$J,4,0),"無")</f>
        <v>181</v>
      </c>
      <c r="C152" s="79">
        <f>IFERROR(VLOOKUP($G152,基本資料!$A:$J,5,0),"無")</f>
        <v>63</v>
      </c>
      <c r="D152" s="79">
        <f>IFERROR(VLOOKUP($G152,基本資料!$A:$J,6,0),"無")</f>
        <v>-42</v>
      </c>
      <c r="E152" s="79">
        <f>IFERROR(VLOOKUP($G152,基本資料!$A:$J,7,0),"無")</f>
        <v>9</v>
      </c>
      <c r="F152" s="6">
        <f>IFERROR(VLOOKUP($G152,基本資料!$A:$J,8,0),"無")</f>
        <v>15.31</v>
      </c>
      <c r="G152" s="79">
        <v>1570</v>
      </c>
      <c r="H152" s="8" t="s">
        <v>295</v>
      </c>
      <c r="I152" s="16" t="s">
        <v>525</v>
      </c>
      <c r="J152" s="8">
        <f>IFERROR(VLOOKUP($G152,今日總結!$A:$AN,39,0),"")</f>
        <v>0</v>
      </c>
      <c r="K152" s="5">
        <f>IFERROR(VLOOKUP($G152,今日總結!$A:$AN,40,0),"")</f>
        <v>0</v>
      </c>
      <c r="L152" s="156">
        <f>IFERROR(VLOOKUP($G152,今日總結!$A:$AN,37,0),"")</f>
        <v>0</v>
      </c>
      <c r="M152" s="337">
        <f>IFERROR(VLOOKUP($G152,今日總結!$A:$AN,38,0),"")</f>
        <v>0</v>
      </c>
      <c r="N152" s="240">
        <f t="shared" si="24"/>
        <v>0</v>
      </c>
      <c r="O152" s="359">
        <f>IFERROR(VLOOKUP($G152,融外自投!$A:$J,7,0),"無")</f>
        <v>546</v>
      </c>
      <c r="P152" s="79" t="str">
        <f>IFERROR(VLOOKUP($G152,融外自投!$A:$J,9,0),"無")</f>
        <v>無</v>
      </c>
      <c r="Q152" s="342">
        <f>IFERROR(VLOOKUP($G152,融外自投!$A:$J,8,0),"無")</f>
        <v>857</v>
      </c>
      <c r="R152" s="81">
        <f>IFERROR(VLOOKUP($G152,融外自投!$A:$J,10,0),"無")</f>
        <v>234</v>
      </c>
      <c r="S152" s="324">
        <f>IFERROR(VLOOKUP($G152,'321買'!$A:$E,4,0),"'沒有資料'")</f>
        <v>192</v>
      </c>
      <c r="T152" s="186">
        <f>IFERROR(VLOOKUP($G152,基本資料!$A:$J,9,0),"無")</f>
        <v>1</v>
      </c>
      <c r="U152" s="307">
        <f t="shared" si="25"/>
        <v>5.6497175141242938E-2</v>
      </c>
      <c r="V152" s="94">
        <f>IFERROR(VLOOKUP($G152,基本資料!$A:$J,10,0),"無")</f>
        <v>2.61</v>
      </c>
      <c r="W152" s="36">
        <f>RTD("money.excel",,"1570","Price")</f>
        <v>17.7</v>
      </c>
      <c r="X152" s="66"/>
      <c r="Y152" s="15">
        <f t="shared" si="26"/>
        <v>17.7</v>
      </c>
      <c r="Z152" s="3" t="e">
        <f t="shared" si="27"/>
        <v>#DIV/0!</v>
      </c>
      <c r="AA152" s="340">
        <f>IFERROR(VLOOKUP($G152,基本資料!$A:$M,11,0),"無")</f>
        <v>-37.79</v>
      </c>
      <c r="AB152" s="389">
        <f>IFERROR(VLOOKUP($G152,基本資料!$A:$M,12,0),"無")</f>
        <v>20.11</v>
      </c>
      <c r="AC152" s="16" t="s">
        <v>525</v>
      </c>
      <c r="AF152" s="33">
        <f t="shared" si="28"/>
        <v>0</v>
      </c>
      <c r="AG152" s="43" t="s">
        <v>2500</v>
      </c>
      <c r="AH152" s="66">
        <f t="shared" si="30"/>
        <v>0.42488619119878601</v>
      </c>
      <c r="AI152" s="283">
        <f>RTD("money.excel",,$G152,"PredictVolume")</f>
        <v>70</v>
      </c>
      <c r="AJ152" s="391">
        <f>IFERROR(VLOOKUP($G152,基本資料!$A:$M,13,0),"無")</f>
        <v>164.75</v>
      </c>
      <c r="AR152" s="245" t="str">
        <f>INDEX(基本資料!N:N,MATCH($G152,基本資料!A:A,0))</f>
        <v>低</v>
      </c>
    </row>
    <row r="153" spans="1:44">
      <c r="A153" s="343">
        <f>IFERROR(VLOOKUP($G153,基本資料!$A:$J,3,0),"無")</f>
        <v>5.0199999999999996</v>
      </c>
      <c r="B153" s="79">
        <f>IFERROR(VLOOKUP($G153,基本資料!$A:$J,4,0),"無")</f>
        <v>46</v>
      </c>
      <c r="C153" s="79">
        <f>IFERROR(VLOOKUP($G153,基本資料!$A:$J,5,0),"無")</f>
        <v>41</v>
      </c>
      <c r="D153" s="79">
        <f>IFERROR(VLOOKUP($G153,基本資料!$A:$J,6,0),"無")</f>
        <v>-6</v>
      </c>
      <c r="E153" s="79">
        <f>IFERROR(VLOOKUP($G153,基本資料!$A:$J,7,0),"無")</f>
        <v>-23</v>
      </c>
      <c r="F153" s="6">
        <f>IFERROR(VLOOKUP($G153,基本資料!$A:$J,8,0),"無")</f>
        <v>16.12</v>
      </c>
      <c r="G153" s="79">
        <v>1580</v>
      </c>
      <c r="H153" s="8" t="s">
        <v>295</v>
      </c>
      <c r="I153" s="16" t="s">
        <v>35</v>
      </c>
      <c r="J153" s="8">
        <f>IFERROR(VLOOKUP($G153,今日總結!$A:$AN,39,0),"")</f>
        <v>0</v>
      </c>
      <c r="K153" s="5" t="str">
        <f>IFERROR(VLOOKUP($G153,今日總結!$A:$AN,40,0),"")</f>
        <v>主</v>
      </c>
      <c r="L153" s="156">
        <f>IFERROR(VLOOKUP($G153,今日總結!$A:$AN,37,0),"")</f>
        <v>0</v>
      </c>
      <c r="M153" s="337">
        <f>IFERROR(VLOOKUP($G153,今日總結!$A:$AN,38,0),"")</f>
        <v>6</v>
      </c>
      <c r="N153" s="240">
        <f t="shared" si="24"/>
        <v>-6</v>
      </c>
      <c r="O153" s="359">
        <f>IFERROR(VLOOKUP($G153,融外自投!$A:$J,7,0),"無")</f>
        <v>665</v>
      </c>
      <c r="P153" s="79">
        <f>IFERROR(VLOOKUP($G153,融外自投!$A:$J,9,0),"無")</f>
        <v>908</v>
      </c>
      <c r="Q153" s="342">
        <f>IFERROR(VLOOKUP($G153,融外自投!$A:$J,8,0),"無")</f>
        <v>634</v>
      </c>
      <c r="R153" s="81">
        <f>IFERROR(VLOOKUP($G153,融外自投!$A:$J,10,0),"無")</f>
        <v>332</v>
      </c>
      <c r="S153" s="324">
        <f>IFERROR(VLOOKUP($G153,'321買'!$A:$E,4,0),"'沒有資料'")</f>
        <v>1002</v>
      </c>
      <c r="T153" s="186">
        <f>IFERROR(VLOOKUP($G153,基本資料!$A:$J,9,0),"無")</f>
        <v>7</v>
      </c>
      <c r="U153" s="307">
        <f t="shared" si="25"/>
        <v>7.209062821833162E-2</v>
      </c>
      <c r="V153" s="94">
        <f>IFERROR(VLOOKUP($G153,基本資料!$A:$J,10,0),"無")</f>
        <v>10.16</v>
      </c>
      <c r="W153" s="36">
        <f>RTD("money.excel",,"1580","Price")</f>
        <v>97.1</v>
      </c>
      <c r="X153" s="66"/>
      <c r="Y153" s="15">
        <f t="shared" si="26"/>
        <v>97.1</v>
      </c>
      <c r="Z153" s="3" t="e">
        <f t="shared" si="27"/>
        <v>#DIV/0!</v>
      </c>
      <c r="AA153" s="340">
        <f>IFERROR(VLOOKUP($G153,基本資料!$A:$M,11,0),"無")</f>
        <v>-13.3</v>
      </c>
      <c r="AB153" s="389">
        <f>IFERROR(VLOOKUP($G153,基本資料!$A:$M,12,0),"無")</f>
        <v>17.89</v>
      </c>
      <c r="AC153" s="16" t="s">
        <v>35</v>
      </c>
      <c r="AF153" s="33">
        <f t="shared" si="28"/>
        <v>0</v>
      </c>
      <c r="AG153" s="117" t="s">
        <v>2501</v>
      </c>
      <c r="AH153" s="66">
        <f t="shared" si="30"/>
        <v>4.4444444444444446</v>
      </c>
      <c r="AI153" s="283">
        <f>RTD("money.excel",,$G153,"PredictVolume")</f>
        <v>546</v>
      </c>
      <c r="AJ153" s="391">
        <f>IFERROR(VLOOKUP($G153,基本資料!$A:$M,13,0),"無")</f>
        <v>122.85</v>
      </c>
      <c r="AR153" s="245" t="str">
        <f>INDEX(基本資料!N:N,MATCH($G153,基本資料!A:A,0))</f>
        <v>低</v>
      </c>
    </row>
    <row r="154" spans="1:44">
      <c r="A154" s="343">
        <f>IFERROR(VLOOKUP($G154,基本資料!$A:$J,3,0),"無")</f>
        <v>11.04</v>
      </c>
      <c r="B154" s="79">
        <f>IFERROR(VLOOKUP($G154,基本資料!$A:$J,4,0),"無")</f>
        <v>-36</v>
      </c>
      <c r="C154" s="79">
        <f>IFERROR(VLOOKUP($G154,基本資料!$A:$J,5,0),"無")</f>
        <v>934</v>
      </c>
      <c r="D154" s="79">
        <f>IFERROR(VLOOKUP($G154,基本資料!$A:$J,6,0),"無")</f>
        <v>14</v>
      </c>
      <c r="E154" s="79">
        <f>IFERROR(VLOOKUP($G154,基本資料!$A:$J,7,0),"無")</f>
        <v>-16</v>
      </c>
      <c r="F154" s="6">
        <f>IFERROR(VLOOKUP($G154,基本資料!$A:$J,8,0),"無")</f>
        <v>9</v>
      </c>
      <c r="G154" s="79">
        <v>1583</v>
      </c>
      <c r="H154" s="8" t="s">
        <v>295</v>
      </c>
      <c r="I154" s="22" t="s">
        <v>573</v>
      </c>
      <c r="J154" s="8">
        <f>IFERROR(VLOOKUP($G154,今日總結!$A:$AN,39,0),"")</f>
        <v>0</v>
      </c>
      <c r="K154" s="5">
        <f>IFERROR(VLOOKUP($G154,今日總結!$A:$AN,40,0),"")</f>
        <v>0</v>
      </c>
      <c r="L154" s="156">
        <f>IFERROR(VLOOKUP($G154,今日總結!$A:$AN,37,0),"")</f>
        <v>0</v>
      </c>
      <c r="M154" s="337">
        <f>IFERROR(VLOOKUP($G154,今日總結!$A:$AN,38,0),"")</f>
        <v>0</v>
      </c>
      <c r="N154" s="240">
        <f t="shared" si="24"/>
        <v>0</v>
      </c>
      <c r="O154" s="359">
        <f>IFERROR(VLOOKUP($G154,融外自投!$A:$J,7,0),"無")</f>
        <v>1407</v>
      </c>
      <c r="P154" s="79">
        <f>IFERROR(VLOOKUP($G154,融外自投!$A:$J,9,0),"無")</f>
        <v>1123</v>
      </c>
      <c r="Q154" s="342">
        <f>IFERROR(VLOOKUP($G154,融外自投!$A:$J,8,0),"無")</f>
        <v>1419</v>
      </c>
      <c r="R154" s="81">
        <f>IFERROR(VLOOKUP($G154,融外自投!$A:$J,10,0),"無")</f>
        <v>439</v>
      </c>
      <c r="S154" s="324">
        <f>IFERROR(VLOOKUP($G154,'321買'!$A:$E,4,0),"'沒有資料'")</f>
        <v>1002</v>
      </c>
      <c r="T154" s="186">
        <f>IFERROR(VLOOKUP($G154,基本資料!$A:$J,9,0),"無")</f>
        <v>2.5</v>
      </c>
      <c r="U154" s="307" t="e">
        <f t="shared" si="25"/>
        <v>#VALUE!</v>
      </c>
      <c r="V154" s="94">
        <f>IFERROR(VLOOKUP($G154,基本資料!$A:$J,10,0),"無")</f>
        <v>3.29</v>
      </c>
      <c r="W154" s="36" t="str">
        <f>RTD("money.excel",,"1583","Price")</f>
        <v>無資料</v>
      </c>
      <c r="X154" s="66"/>
      <c r="Y154" s="15" t="e">
        <f t="shared" si="26"/>
        <v>#VALUE!</v>
      </c>
      <c r="Z154" s="3" t="e">
        <f t="shared" si="27"/>
        <v>#VALUE!</v>
      </c>
      <c r="AA154" s="340">
        <f>IFERROR(VLOOKUP($G154,基本資料!$A:$M,11,0),"無")</f>
        <v>-25.17</v>
      </c>
      <c r="AB154" s="389">
        <f>IFERROR(VLOOKUP($G154,基本資料!$A:$M,12,0),"無")</f>
        <v>59.98</v>
      </c>
      <c r="AC154" s="22" t="s">
        <v>573</v>
      </c>
      <c r="AF154" s="33">
        <f t="shared" si="28"/>
        <v>0</v>
      </c>
      <c r="AG154" s="43" t="s">
        <v>2742</v>
      </c>
      <c r="AH154" s="66">
        <f t="shared" si="30"/>
        <v>0</v>
      </c>
      <c r="AI154" s="283">
        <f>RTD("money.excel",,$G154,"PredictVolume")</f>
        <v>0</v>
      </c>
      <c r="AJ154" s="391">
        <f>IFERROR(VLOOKUP($G154,基本資料!$A:$M,13,0),"無")</f>
        <v>5.05</v>
      </c>
      <c r="AR154" s="245" t="str">
        <f>INDEX(基本資料!N:N,MATCH($G154,基本資料!A:A,0))</f>
        <v>低</v>
      </c>
    </row>
    <row r="155" spans="1:44">
      <c r="A155" s="343">
        <f>IFERROR(VLOOKUP($G155,基本資料!$A:$J,3,0),"無")</f>
        <v>8.58</v>
      </c>
      <c r="B155" s="79">
        <f>IFERROR(VLOOKUP($G155,基本資料!$A:$J,4,0),"無")</f>
        <v>-21</v>
      </c>
      <c r="C155" s="79">
        <f>IFERROR(VLOOKUP($G155,基本資料!$A:$J,5,0),"無")</f>
        <v>-19</v>
      </c>
      <c r="D155" s="79">
        <f>IFERROR(VLOOKUP($G155,基本資料!$A:$J,6,0),"無")</f>
        <v>-33</v>
      </c>
      <c r="E155" s="79">
        <f>IFERROR(VLOOKUP($G155,基本資料!$A:$J,7,0),"無")</f>
        <v>-16</v>
      </c>
      <c r="F155" s="6">
        <f>IFERROR(VLOOKUP($G155,基本資料!$A:$J,8,0),"無")</f>
        <v>7.02</v>
      </c>
      <c r="G155" s="79">
        <v>1586</v>
      </c>
      <c r="H155" s="8" t="s">
        <v>295</v>
      </c>
      <c r="I155" s="16" t="s">
        <v>552</v>
      </c>
      <c r="J155" s="8" t="str">
        <f>IFERROR(VLOOKUP($G155,今日總結!$A:$AN,39,0),"")</f>
        <v>融</v>
      </c>
      <c r="K155" s="5">
        <f>IFERROR(VLOOKUP($G155,今日總結!$A:$AN,40,0),"")</f>
        <v>0</v>
      </c>
      <c r="L155" s="156">
        <f>IFERROR(VLOOKUP($G155,今日總結!$A:$AN,37,0),"")</f>
        <v>11</v>
      </c>
      <c r="M155" s="337">
        <f>IFERROR(VLOOKUP($G155,今日總結!$A:$AN,38,0),"")</f>
        <v>0</v>
      </c>
      <c r="N155" s="240">
        <f t="shared" si="24"/>
        <v>11</v>
      </c>
      <c r="O155" s="359">
        <f>IFERROR(VLOOKUP($G155,融外自投!$A:$J,7,0),"無")</f>
        <v>6</v>
      </c>
      <c r="P155" s="79">
        <f>IFERROR(VLOOKUP($G155,融外自投!$A:$J,9,0),"無")</f>
        <v>442</v>
      </c>
      <c r="Q155" s="342">
        <f>IFERROR(VLOOKUP($G155,融外自投!$A:$J,8,0),"無")</f>
        <v>1112</v>
      </c>
      <c r="R155" s="81" t="str">
        <f>IFERROR(VLOOKUP($G155,融外自投!$A:$J,10,0),"無")</f>
        <v>無</v>
      </c>
      <c r="S155" s="324">
        <f>IFERROR(VLOOKUP($G155,'321買'!$A:$E,4,0),"'沒有資料'")</f>
        <v>1002</v>
      </c>
      <c r="T155" s="186">
        <f>IFERROR(VLOOKUP($G155,基本資料!$A:$J,9,0),"無")</f>
        <v>0.65</v>
      </c>
      <c r="U155" s="307">
        <f t="shared" si="25"/>
        <v>1.6883116883116885E-2</v>
      </c>
      <c r="V155" s="94">
        <f>IFERROR(VLOOKUP($G155,基本資料!$A:$J,10,0),"無")</f>
        <v>1.29</v>
      </c>
      <c r="W155" s="36">
        <f>RTD("money.excel",,"1586","Price")</f>
        <v>38.5</v>
      </c>
      <c r="X155" s="66"/>
      <c r="Y155" s="15">
        <f t="shared" si="26"/>
        <v>38.5</v>
      </c>
      <c r="Z155" s="3" t="e">
        <f t="shared" si="27"/>
        <v>#DIV/0!</v>
      </c>
      <c r="AA155" s="340">
        <f>IFERROR(VLOOKUP($G155,基本資料!$A:$M,11,0),"無")</f>
        <v>-16.3</v>
      </c>
      <c r="AB155" s="389">
        <f>IFERROR(VLOOKUP($G155,基本資料!$A:$M,12,0),"無")</f>
        <v>14.45</v>
      </c>
      <c r="AC155" s="16" t="s">
        <v>552</v>
      </c>
      <c r="AF155" s="33">
        <f t="shared" si="28"/>
        <v>0</v>
      </c>
      <c r="AG155" s="43" t="s">
        <v>2326</v>
      </c>
      <c r="AH155" s="66">
        <f t="shared" si="30"/>
        <v>0.43048283885980221</v>
      </c>
      <c r="AI155" s="283">
        <f>RTD("money.excel",,$G155,"PredictVolume")</f>
        <v>74</v>
      </c>
      <c r="AJ155" s="391">
        <f>IFERROR(VLOOKUP($G155,基本資料!$A:$M,13,0),"無")</f>
        <v>171.9</v>
      </c>
      <c r="AR155" s="245" t="str">
        <f>INDEX(基本資料!N:N,MATCH($G155,基本資料!A:A,0))</f>
        <v>低</v>
      </c>
    </row>
    <row r="156" spans="1:44">
      <c r="A156" s="343">
        <f>IFERROR(VLOOKUP($G156,基本資料!$A:$J,3,0),"無")</f>
        <v>11.06</v>
      </c>
      <c r="B156" s="79">
        <f>IFERROR(VLOOKUP($G156,基本資料!$A:$J,4,0),"無")</f>
        <v>-58</v>
      </c>
      <c r="C156" s="79">
        <f>IFERROR(VLOOKUP($G156,基本資料!$A:$J,5,0),"無")</f>
        <v>-41</v>
      </c>
      <c r="D156" s="79">
        <f>IFERROR(VLOOKUP($G156,基本資料!$A:$J,6,0),"無")</f>
        <v>1</v>
      </c>
      <c r="E156" s="79">
        <f>IFERROR(VLOOKUP($G156,基本資料!$A:$J,7,0),"無")</f>
        <v>-11</v>
      </c>
      <c r="F156" s="6">
        <f>IFERROR(VLOOKUP($G156,基本資料!$A:$J,8,0),"無")</f>
        <v>3.53</v>
      </c>
      <c r="G156" s="79">
        <v>1589</v>
      </c>
      <c r="H156" s="8" t="s">
        <v>295</v>
      </c>
      <c r="I156" s="22" t="s">
        <v>574</v>
      </c>
      <c r="J156" s="8">
        <f>IFERROR(VLOOKUP($G156,今日總結!$A:$AN,39,0),"")</f>
        <v>0</v>
      </c>
      <c r="K156" s="5" t="str">
        <f>IFERROR(VLOOKUP($G156,今日總結!$A:$AN,40,0),"")</f>
        <v>融借券</v>
      </c>
      <c r="L156" s="156">
        <f>IFERROR(VLOOKUP($G156,今日總結!$A:$AN,37,0),"")</f>
        <v>0</v>
      </c>
      <c r="M156" s="337">
        <f>IFERROR(VLOOKUP($G156,今日總結!$A:$AN,38,0),"")</f>
        <v>5</v>
      </c>
      <c r="N156" s="240">
        <f t="shared" si="24"/>
        <v>-5</v>
      </c>
      <c r="O156" s="359">
        <f>IFERROR(VLOOKUP($G156,融外自投!$A:$J,7,0),"無")</f>
        <v>276</v>
      </c>
      <c r="P156" s="79">
        <f>IFERROR(VLOOKUP($G156,融外自投!$A:$J,9,0),"無")</f>
        <v>324</v>
      </c>
      <c r="Q156" s="342">
        <f>IFERROR(VLOOKUP($G156,融外自投!$A:$J,8,0),"無")</f>
        <v>823</v>
      </c>
      <c r="R156" s="81" t="str">
        <f>IFERROR(VLOOKUP($G156,融外自投!$A:$J,10,0),"無")</f>
        <v>無</v>
      </c>
      <c r="S156" s="324">
        <f>IFERROR(VLOOKUP($G156,'321買'!$A:$E,4,0),"'沒有資料'")</f>
        <v>891</v>
      </c>
      <c r="T156" s="186">
        <f>IFERROR(VLOOKUP($G156,基本資料!$A:$J,9,0),"無")</f>
        <v>0.6</v>
      </c>
      <c r="U156" s="307">
        <f t="shared" si="25"/>
        <v>1.1627906976744186E-2</v>
      </c>
      <c r="V156" s="94">
        <f>IFERROR(VLOOKUP($G156,基本資料!$A:$J,10,0),"無")</f>
        <v>1.95</v>
      </c>
      <c r="W156" s="36">
        <f>RTD("money.excel",,"1589","Price")</f>
        <v>51.6</v>
      </c>
      <c r="X156" s="66"/>
      <c r="Y156" s="15">
        <f t="shared" si="26"/>
        <v>51.6</v>
      </c>
      <c r="Z156" s="3" t="e">
        <f t="shared" si="27"/>
        <v>#DIV/0!</v>
      </c>
      <c r="AA156" s="340">
        <f>IFERROR(VLOOKUP($G156,基本資料!$A:$M,11,0),"無")</f>
        <v>-32.81</v>
      </c>
      <c r="AB156" s="389">
        <f>IFERROR(VLOOKUP($G156,基本資料!$A:$M,12,0),"無")</f>
        <v>18.440000000000001</v>
      </c>
      <c r="AC156" s="22" t="s">
        <v>574</v>
      </c>
      <c r="AF156" s="33">
        <f t="shared" si="28"/>
        <v>0</v>
      </c>
      <c r="AG156" s="43" t="s">
        <v>2743</v>
      </c>
      <c r="AH156" s="66">
        <f t="shared" si="30"/>
        <v>0.46334663195674614</v>
      </c>
      <c r="AI156" s="283">
        <f>RTD("money.excel",,$G156,"PredictVolume")</f>
        <v>1504</v>
      </c>
      <c r="AJ156" s="391">
        <f>IFERROR(VLOOKUP($G156,基本資料!$A:$M,13,0),"無")</f>
        <v>3245.95</v>
      </c>
      <c r="AR156" s="245" t="str">
        <f>INDEX(基本資料!N:N,MATCH($G156,基本資料!A:A,0))</f>
        <v>低</v>
      </c>
    </row>
    <row r="157" spans="1:44">
      <c r="A157" s="343">
        <f>IFERROR(VLOOKUP($G157,基本資料!$A:$J,3,0),"無")</f>
        <v>20</v>
      </c>
      <c r="B157" s="79">
        <f>IFERROR(VLOOKUP($G157,基本資料!$A:$J,4,0),"無")</f>
        <v>32</v>
      </c>
      <c r="C157" s="79">
        <f>IFERROR(VLOOKUP($G157,基本資料!$A:$J,5,0),"無")</f>
        <v>37</v>
      </c>
      <c r="D157" s="79">
        <f>IFERROR(VLOOKUP($G157,基本資料!$A:$J,6,0),"無")</f>
        <v>-20</v>
      </c>
      <c r="E157" s="79">
        <f>IFERROR(VLOOKUP($G157,基本資料!$A:$J,7,0),"無")</f>
        <v>-6</v>
      </c>
      <c r="F157" s="6">
        <f>IFERROR(VLOOKUP($G157,基本資料!$A:$J,8,0),"無")</f>
        <v>32.35</v>
      </c>
      <c r="G157" s="79">
        <v>1590</v>
      </c>
      <c r="H157" s="192" t="s">
        <v>295</v>
      </c>
      <c r="I157" s="22" t="s">
        <v>127</v>
      </c>
      <c r="J157" s="8">
        <f>IFERROR(VLOOKUP($G157,今日總結!$A:$AN,39,0),"")</f>
        <v>0</v>
      </c>
      <c r="K157" s="5" t="str">
        <f>IFERROR(VLOOKUP($G157,今日總結!$A:$AN,40,0),"")</f>
        <v>借</v>
      </c>
      <c r="L157" s="156">
        <f>IFERROR(VLOOKUP($G157,今日總結!$A:$AN,37,0),"")</f>
        <v>0</v>
      </c>
      <c r="M157" s="337">
        <f>IFERROR(VLOOKUP($G157,今日總結!$A:$AN,38,0),"")</f>
        <v>5</v>
      </c>
      <c r="N157" s="240">
        <f t="shared" si="24"/>
        <v>-5</v>
      </c>
      <c r="O157" s="359">
        <f>IFERROR(VLOOKUP($G157,融外自投!$A:$J,7,0),"無")</f>
        <v>1281</v>
      </c>
      <c r="P157" s="79">
        <f>IFERROR(VLOOKUP($G157,融外自投!$A:$J,9,0),"無")</f>
        <v>741</v>
      </c>
      <c r="Q157" s="342">
        <f>IFERROR(VLOOKUP($G157,融外自投!$A:$J,8,0),"無")</f>
        <v>7</v>
      </c>
      <c r="R157" s="81">
        <f>IFERROR(VLOOKUP($G157,融外自投!$A:$J,10,0),"無")</f>
        <v>213</v>
      </c>
      <c r="S157" s="324">
        <f>IFERROR(VLOOKUP($G157,'321買'!$A:$E,4,0),"'沒有資料'")</f>
        <v>801</v>
      </c>
      <c r="T157" s="186">
        <f>IFERROR(VLOOKUP($G157,基本資料!$A:$J,9,0),"無")</f>
        <v>13.31</v>
      </c>
      <c r="U157" s="307">
        <f t="shared" si="25"/>
        <v>1.567726737338045E-2</v>
      </c>
      <c r="V157" s="94">
        <f>IFERROR(VLOOKUP($G157,基本資料!$A:$J,10,0),"無")</f>
        <v>33.67</v>
      </c>
      <c r="W157" s="366">
        <f>RTD("money.excel",,"1590","Price")</f>
        <v>849</v>
      </c>
      <c r="X157" s="66"/>
      <c r="Y157" s="137">
        <f t="shared" si="26"/>
        <v>849</v>
      </c>
      <c r="Z157" s="3" t="e">
        <f t="shared" si="27"/>
        <v>#DIV/0!</v>
      </c>
      <c r="AA157" s="340">
        <f>IFERROR(VLOOKUP($G157,基本資料!$A:$M,11,0),"無")</f>
        <v>-28.05</v>
      </c>
      <c r="AB157" s="389">
        <f>IFERROR(VLOOKUP($G157,基本資料!$A:$M,12,0),"無")</f>
        <v>32.299999999999997</v>
      </c>
      <c r="AC157" s="22" t="s">
        <v>127</v>
      </c>
      <c r="AF157" s="33">
        <f t="shared" si="28"/>
        <v>0</v>
      </c>
      <c r="AG157" s="117" t="s">
        <v>2535</v>
      </c>
      <c r="AH157" s="66">
        <f t="shared" si="30"/>
        <v>0.81132731063238361</v>
      </c>
      <c r="AI157" s="283">
        <f>RTD("money.excel",,$G157,"PredictVolume")</f>
        <v>467</v>
      </c>
      <c r="AJ157" s="391">
        <f>IFERROR(VLOOKUP($G157,基本資料!$A:$M,13,0),"無")</f>
        <v>575.6</v>
      </c>
      <c r="AR157" s="245" t="str">
        <f>INDEX(基本資料!N:N,MATCH($G157,基本資料!A:A,0))</f>
        <v>中</v>
      </c>
    </row>
    <row r="158" spans="1:44">
      <c r="A158" s="343">
        <f>IFERROR(VLOOKUP($G158,基本資料!$A:$J,3,0),"無")</f>
        <v>3.31</v>
      </c>
      <c r="B158" s="79">
        <f>IFERROR(VLOOKUP($G158,基本資料!$A:$J,4,0),"無")</f>
        <v>-5</v>
      </c>
      <c r="C158" s="79">
        <f>IFERROR(VLOOKUP($G158,基本資料!$A:$J,5,0),"無")</f>
        <v>371</v>
      </c>
      <c r="D158" s="79">
        <f>IFERROR(VLOOKUP($G158,基本資料!$A:$J,6,0),"無")</f>
        <v>0</v>
      </c>
      <c r="E158" s="79">
        <f>IFERROR(VLOOKUP($G158,基本資料!$A:$J,7,0),"無")</f>
        <v>6</v>
      </c>
      <c r="F158" s="6">
        <f>IFERROR(VLOOKUP($G158,基本資料!$A:$J,8,0),"無")</f>
        <v>10.68</v>
      </c>
      <c r="G158" s="79">
        <v>1591</v>
      </c>
      <c r="H158" s="8" t="s">
        <v>295</v>
      </c>
      <c r="I158" s="16" t="s">
        <v>526</v>
      </c>
      <c r="J158" s="8">
        <f>IFERROR(VLOOKUP($G158,今日總結!$A:$AN,39,0),"")</f>
        <v>0</v>
      </c>
      <c r="K158" s="5">
        <f>IFERROR(VLOOKUP($G158,今日總結!$A:$AN,40,0),"")</f>
        <v>0</v>
      </c>
      <c r="L158" s="156">
        <f>IFERROR(VLOOKUP($G158,今日總結!$A:$AN,37,0),"")</f>
        <v>0</v>
      </c>
      <c r="M158" s="337">
        <f>IFERROR(VLOOKUP($G158,今日總結!$A:$AN,38,0),"")</f>
        <v>0</v>
      </c>
      <c r="N158" s="240">
        <f t="shared" si="24"/>
        <v>0</v>
      </c>
      <c r="O158" s="359">
        <f>IFERROR(VLOOKUP($G158,融外自投!$A:$J,7,0),"無")</f>
        <v>58</v>
      </c>
      <c r="P158" s="79">
        <f>IFERROR(VLOOKUP($G158,融外自投!$A:$J,9,0),"無")</f>
        <v>467</v>
      </c>
      <c r="Q158" s="342">
        <f>IFERROR(VLOOKUP($G158,融外自投!$A:$J,8,0),"無")</f>
        <v>339</v>
      </c>
      <c r="R158" s="81" t="str">
        <f>IFERROR(VLOOKUP($G158,融外自投!$A:$J,10,0),"無")</f>
        <v>無</v>
      </c>
      <c r="S158" s="324">
        <f>IFERROR(VLOOKUP($G158,'321買'!$A:$E,4,0),"'沒有資料'")</f>
        <v>530</v>
      </c>
      <c r="T158" s="186">
        <f>IFERROR(VLOOKUP($G158,基本資料!$A:$J,9,0),"無")</f>
        <v>1</v>
      </c>
      <c r="U158" s="307">
        <f t="shared" si="25"/>
        <v>4.2918454935622317E-2</v>
      </c>
      <c r="V158" s="94">
        <f>IFERROR(VLOOKUP($G158,基本資料!$A:$J,10,0),"無")</f>
        <v>1.52</v>
      </c>
      <c r="W158" s="36">
        <f>RTD("money.excel",,"1591","Price")</f>
        <v>23.3</v>
      </c>
      <c r="X158" s="66"/>
      <c r="Y158" s="15">
        <f t="shared" si="26"/>
        <v>23.3</v>
      </c>
      <c r="Z158" s="3" t="e">
        <f t="shared" si="27"/>
        <v>#DIV/0!</v>
      </c>
      <c r="AA158" s="340">
        <f>IFERROR(VLOOKUP($G158,基本資料!$A:$M,11,0),"無")</f>
        <v>-6.43</v>
      </c>
      <c r="AB158" s="389">
        <f>IFERROR(VLOOKUP($G158,基本資料!$A:$M,12,0),"無")</f>
        <v>75.2</v>
      </c>
      <c r="AC158" s="16" t="s">
        <v>526</v>
      </c>
      <c r="AF158" s="33">
        <f t="shared" si="28"/>
        <v>0</v>
      </c>
      <c r="AG158" s="43" t="s">
        <v>2502</v>
      </c>
      <c r="AH158" s="66">
        <f t="shared" si="30"/>
        <v>0.57496619938803106</v>
      </c>
      <c r="AI158" s="283">
        <f>RTD("money.excel",,$G158,"PredictVolume")</f>
        <v>404</v>
      </c>
      <c r="AJ158" s="391">
        <f>IFERROR(VLOOKUP($G158,基本資料!$A:$M,13,0),"無")</f>
        <v>702.65</v>
      </c>
      <c r="AR158" s="245" t="str">
        <f>INDEX(基本資料!N:N,MATCH($G158,基本資料!A:A,0))</f>
        <v>高</v>
      </c>
    </row>
    <row r="159" spans="1:44">
      <c r="A159" s="343">
        <f>IFERROR(VLOOKUP($G159,基本資料!$A:$J,3,0),"無")</f>
        <v>8.11</v>
      </c>
      <c r="B159" s="79">
        <f>IFERROR(VLOOKUP($G159,基本資料!$A:$J,4,0),"無")</f>
        <v>52</v>
      </c>
      <c r="C159" s="79">
        <f>IFERROR(VLOOKUP($G159,基本資料!$A:$J,5,0),"無")</f>
        <v>74</v>
      </c>
      <c r="D159" s="79">
        <f>IFERROR(VLOOKUP($G159,基本資料!$A:$J,6,0),"無")</f>
        <v>-19</v>
      </c>
      <c r="E159" s="79">
        <f>IFERROR(VLOOKUP($G159,基本資料!$A:$J,7,0),"無")</f>
        <v>-27</v>
      </c>
      <c r="F159" s="6">
        <f>IFERROR(VLOOKUP($G159,基本資料!$A:$J,8,0),"無")</f>
        <v>26.03</v>
      </c>
      <c r="G159" s="79">
        <v>1597</v>
      </c>
      <c r="H159" s="8" t="s">
        <v>295</v>
      </c>
      <c r="I159" s="22" t="s">
        <v>170</v>
      </c>
      <c r="J159" s="8" t="str">
        <f>IFERROR(VLOOKUP($G159,今日總結!$A:$AN,39,0),"")</f>
        <v>主</v>
      </c>
      <c r="K159" s="5">
        <f>IFERROR(VLOOKUP($G159,今日總結!$A:$AN,40,0),"")</f>
        <v>0</v>
      </c>
      <c r="L159" s="156">
        <f>IFERROR(VLOOKUP($G159,今日總結!$A:$AN,37,0),"")</f>
        <v>1</v>
      </c>
      <c r="M159" s="337">
        <f>IFERROR(VLOOKUP($G159,今日總結!$A:$AN,38,0),"")</f>
        <v>0</v>
      </c>
      <c r="N159" s="240">
        <f t="shared" si="24"/>
        <v>1</v>
      </c>
      <c r="O159" s="359">
        <f>IFERROR(VLOOKUP($G159,融外自投!$A:$J,7,0),"無")</f>
        <v>738</v>
      </c>
      <c r="P159" s="79" t="str">
        <f>IFERROR(VLOOKUP($G159,融外自投!$A:$J,9,0),"無")</f>
        <v>無</v>
      </c>
      <c r="Q159" s="342">
        <f>IFERROR(VLOOKUP($G159,融外自投!$A:$J,8,0),"無")</f>
        <v>906</v>
      </c>
      <c r="R159" s="81" t="str">
        <f>IFERROR(VLOOKUP($G159,融外自投!$A:$J,10,0),"無")</f>
        <v>無</v>
      </c>
      <c r="S159" s="324">
        <f>IFERROR(VLOOKUP($G159,'321買'!$A:$E,4,0),"'沒有資料'")</f>
        <v>891</v>
      </c>
      <c r="T159" s="186">
        <f>IFERROR(VLOOKUP($G159,基本資料!$A:$J,9,0),"無")</f>
        <v>2.5</v>
      </c>
      <c r="U159" s="307">
        <f t="shared" si="25"/>
        <v>3.1685678073510769E-2</v>
      </c>
      <c r="V159" s="94">
        <f>IFERROR(VLOOKUP($G159,基本資料!$A:$J,10,0),"無")</f>
        <v>3.82</v>
      </c>
      <c r="W159" s="36">
        <f>RTD("money.excel",,"1597","Price")</f>
        <v>78.900000000000006</v>
      </c>
      <c r="X159" s="66"/>
      <c r="Y159" s="15">
        <f t="shared" si="26"/>
        <v>78.900000000000006</v>
      </c>
      <c r="Z159" s="3" t="e">
        <f t="shared" si="27"/>
        <v>#DIV/0!</v>
      </c>
      <c r="AA159" s="340">
        <f>IFERROR(VLOOKUP($G159,基本資料!$A:$M,11,0),"無")</f>
        <v>-38.36</v>
      </c>
      <c r="AB159" s="389">
        <f>IFERROR(VLOOKUP($G159,基本資料!$A:$M,12,0),"無")</f>
        <v>27.08</v>
      </c>
      <c r="AC159" s="22" t="s">
        <v>170</v>
      </c>
      <c r="AF159" s="33">
        <f t="shared" si="28"/>
        <v>0</v>
      </c>
      <c r="AG159" s="117" t="s">
        <v>2503</v>
      </c>
      <c r="AH159" s="66">
        <f t="shared" si="30"/>
        <v>2.1604278074866312</v>
      </c>
      <c r="AI159" s="283">
        <f>RTD("money.excel",,$G159,"PredictVolume")</f>
        <v>202</v>
      </c>
      <c r="AJ159" s="391">
        <f>IFERROR(VLOOKUP($G159,基本資料!$A:$M,13,0),"無")</f>
        <v>93.5</v>
      </c>
      <c r="AR159" s="245" t="str">
        <f>INDEX(基本資料!N:N,MATCH($G159,基本資料!A:A,0))</f>
        <v>低</v>
      </c>
    </row>
    <row r="160" spans="1:44">
      <c r="A160" s="343">
        <f>IFERROR(VLOOKUP($G160,基本資料!$A:$J,3,0),"無")</f>
        <v>7.45</v>
      </c>
      <c r="B160" s="79">
        <f>IFERROR(VLOOKUP($G160,基本資料!$A:$J,4,0),"無")</f>
        <v>47</v>
      </c>
      <c r="C160" s="79">
        <f>IFERROR(VLOOKUP($G160,基本資料!$A:$J,5,0),"無")</f>
        <v>66</v>
      </c>
      <c r="D160" s="79">
        <f>IFERROR(VLOOKUP($G160,基本資料!$A:$J,6,0),"無")</f>
        <v>-37</v>
      </c>
      <c r="E160" s="79">
        <f>IFERROR(VLOOKUP($G160,基本資料!$A:$J,7,0),"無")</f>
        <v>14</v>
      </c>
      <c r="F160" s="6">
        <f>IFERROR(VLOOKUP($G160,基本資料!$A:$J,8,0),"無")</f>
        <v>11</v>
      </c>
      <c r="G160" s="79">
        <v>1599</v>
      </c>
      <c r="H160" s="8" t="s">
        <v>295</v>
      </c>
      <c r="I160" s="16" t="s">
        <v>3592</v>
      </c>
      <c r="J160" s="8" t="str">
        <f>IFERROR(VLOOKUP($G160,今日總結!$A:$AN,39,0),"")</f>
        <v>融</v>
      </c>
      <c r="K160" s="5">
        <f>IFERROR(VLOOKUP($G160,今日總結!$A:$AN,40,0),"")</f>
        <v>0</v>
      </c>
      <c r="L160" s="156">
        <f>IFERROR(VLOOKUP($G160,今日總結!$A:$AN,37,0),"")</f>
        <v>2</v>
      </c>
      <c r="M160" s="337">
        <f>IFERROR(VLOOKUP($G160,今日總結!$A:$AN,38,0),"")</f>
        <v>0</v>
      </c>
      <c r="N160" s="240">
        <f t="shared" si="24"/>
        <v>2</v>
      </c>
      <c r="O160" s="359">
        <f>IFERROR(VLOOKUP($G160,融外自投!$A:$J,7,0),"無")</f>
        <v>573</v>
      </c>
      <c r="P160" s="79">
        <f>IFERROR(VLOOKUP($G160,融外自投!$A:$J,9,0),"無")</f>
        <v>946</v>
      </c>
      <c r="Q160" s="342">
        <f>IFERROR(VLOOKUP($G160,融外自投!$A:$J,8,0),"無")</f>
        <v>391</v>
      </c>
      <c r="R160" s="81" t="str">
        <f>IFERROR(VLOOKUP($G160,融外自投!$A:$J,10,0),"無")</f>
        <v>無</v>
      </c>
      <c r="S160" s="324">
        <f>IFERROR(VLOOKUP($G160,'321買'!$A:$E,4,0),"'沒有資料'")</f>
        <v>743</v>
      </c>
      <c r="T160" s="186">
        <f>IFERROR(VLOOKUP($G160,基本資料!$A:$J,9,0),"無")</f>
        <v>3</v>
      </c>
      <c r="U160" s="307">
        <f t="shared" si="25"/>
        <v>6.3157894736842107E-2</v>
      </c>
      <c r="V160" s="94">
        <f>IFERROR(VLOOKUP($G160,基本資料!$A:$J,10,0),"無")</f>
        <v>4.72</v>
      </c>
      <c r="W160" s="36">
        <f>RTD("money.excel",,"1599","Price")</f>
        <v>47.5</v>
      </c>
      <c r="X160" s="66"/>
      <c r="Y160" s="15">
        <f t="shared" si="26"/>
        <v>47.5</v>
      </c>
      <c r="Z160" s="3" t="e">
        <f t="shared" si="27"/>
        <v>#DIV/0!</v>
      </c>
      <c r="AA160" s="340">
        <f>IFERROR(VLOOKUP($G160,基本資料!$A:$M,11,0),"無")</f>
        <v>-23.39</v>
      </c>
      <c r="AB160" s="389">
        <f>IFERROR(VLOOKUP($G160,基本資料!$A:$M,12,0),"無")</f>
        <v>21.04</v>
      </c>
      <c r="AC160" s="16" t="s">
        <v>3592</v>
      </c>
      <c r="AF160" s="33">
        <f t="shared" si="28"/>
        <v>0</v>
      </c>
      <c r="AG160" s="117" t="s">
        <v>2504</v>
      </c>
      <c r="AH160" s="66">
        <f t="shared" si="30"/>
        <v>0.21659634317862167</v>
      </c>
      <c r="AI160" s="283">
        <f>RTD("money.excel",,$G160,"PredictVolume")</f>
        <v>154</v>
      </c>
      <c r="AJ160" s="391">
        <f>IFERROR(VLOOKUP($G160,基本資料!$A:$M,13,0),"無")</f>
        <v>711</v>
      </c>
      <c r="AR160" s="245" t="str">
        <f>INDEX(基本資料!N:N,MATCH($G160,基本資料!A:A,0))</f>
        <v>中</v>
      </c>
    </row>
    <row r="161" spans="1:44">
      <c r="A161" s="343">
        <f>IFERROR(VLOOKUP($G161,基本資料!$A:$J,3,0),"無")</f>
        <v>34.07</v>
      </c>
      <c r="B161" s="79">
        <f>IFERROR(VLOOKUP($G161,基本資料!$A:$J,4,0),"無")</f>
        <v>85</v>
      </c>
      <c r="C161" s="79">
        <f>IFERROR(VLOOKUP($G161,基本資料!$A:$J,5,0),"無")</f>
        <v>195</v>
      </c>
      <c r="D161" s="79">
        <f>IFERROR(VLOOKUP($G161,基本資料!$A:$J,6,0),"無")</f>
        <v>1</v>
      </c>
      <c r="E161" s="79">
        <f>IFERROR(VLOOKUP($G161,基本資料!$A:$J,7,0),"無")</f>
        <v>22</v>
      </c>
      <c r="F161" s="6">
        <f>IFERROR(VLOOKUP($G161,基本資料!$A:$J,8,0),"無")</f>
        <v>18.760000000000002</v>
      </c>
      <c r="G161" s="79">
        <v>2049</v>
      </c>
      <c r="H161" s="8" t="s">
        <v>295</v>
      </c>
      <c r="I161" s="22" t="s">
        <v>21</v>
      </c>
      <c r="J161" s="8">
        <f>IFERROR(VLOOKUP($G161,今日總結!$A:$AN,39,0),"")</f>
        <v>0</v>
      </c>
      <c r="K161" s="5">
        <f>IFERROR(VLOOKUP($G161,今日總結!$A:$AN,40,0),"")</f>
        <v>0</v>
      </c>
      <c r="L161" s="156">
        <f>IFERROR(VLOOKUP($G161,今日總結!$A:$AN,37,0),"")</f>
        <v>0</v>
      </c>
      <c r="M161" s="337">
        <f>IFERROR(VLOOKUP($G161,今日總結!$A:$AN,38,0),"")</f>
        <v>0</v>
      </c>
      <c r="N161" s="240">
        <f t="shared" si="24"/>
        <v>0</v>
      </c>
      <c r="O161" s="359">
        <f>IFERROR(VLOOKUP($G161,融外自投!$A:$J,7,0),"無")</f>
        <v>873</v>
      </c>
      <c r="P161" s="79">
        <f>IFERROR(VLOOKUP($G161,融外自投!$A:$J,9,0),"無")</f>
        <v>67</v>
      </c>
      <c r="Q161" s="342">
        <f>IFERROR(VLOOKUP($G161,融外自投!$A:$J,8,0),"無")</f>
        <v>122</v>
      </c>
      <c r="R161" s="81">
        <f>IFERROR(VLOOKUP($G161,融外自投!$A:$J,10,0),"無")</f>
        <v>308</v>
      </c>
      <c r="S161" s="324">
        <f>IFERROR(VLOOKUP($G161,'321買'!$A:$E,4,0),"'沒有資料'")</f>
        <v>743</v>
      </c>
      <c r="T161" s="186">
        <f>IFERROR(VLOOKUP($G161,基本資料!$A:$J,9,0),"無")</f>
        <v>4.5</v>
      </c>
      <c r="U161" s="307">
        <f t="shared" si="25"/>
        <v>2.0316027088036117E-2</v>
      </c>
      <c r="V161" s="94">
        <f>IFERROR(VLOOKUP($G161,基本資料!$A:$J,10,0),"無")</f>
        <v>10.36</v>
      </c>
      <c r="W161" s="36">
        <f>RTD("money.excel",,"2049","Price")</f>
        <v>221.5</v>
      </c>
      <c r="X161" s="66"/>
      <c r="Y161" s="15">
        <f t="shared" si="26"/>
        <v>221.5</v>
      </c>
      <c r="Z161" s="3" t="e">
        <f t="shared" si="27"/>
        <v>#DIV/0!</v>
      </c>
      <c r="AA161" s="340">
        <f>IFERROR(VLOOKUP($G161,基本資料!$A:$M,11,0),"無")</f>
        <v>-46.56</v>
      </c>
      <c r="AB161" s="389">
        <f>IFERROR(VLOOKUP($G161,基本資料!$A:$M,12,0),"無")</f>
        <v>22.85</v>
      </c>
      <c r="AC161" s="22" t="s">
        <v>21</v>
      </c>
      <c r="AF161" s="33">
        <f t="shared" si="28"/>
        <v>0</v>
      </c>
      <c r="AG161" s="117" t="s">
        <v>2342</v>
      </c>
      <c r="AH161" s="66">
        <f t="shared" si="30"/>
        <v>1.1354213178541812</v>
      </c>
      <c r="AI161" s="283">
        <f>RTD("money.excel",,$G161,"PredictVolume")</f>
        <v>1780</v>
      </c>
      <c r="AJ161" s="391">
        <f>IFERROR(VLOOKUP($G161,基本資料!$A:$M,13,0),"無")</f>
        <v>1567.7</v>
      </c>
      <c r="AR161" s="245" t="str">
        <f>INDEX(基本資料!N:N,MATCH($G161,基本資料!A:A,0))</f>
        <v>低</v>
      </c>
    </row>
    <row r="162" spans="1:44">
      <c r="A162" s="343">
        <f>IFERROR(VLOOKUP($G162,基本資料!$A:$J,3,0),"無")</f>
        <v>3.65</v>
      </c>
      <c r="B162" s="79">
        <f>IFERROR(VLOOKUP($G162,基本資料!$A:$J,4,0),"無")</f>
        <v>37</v>
      </c>
      <c r="C162" s="79">
        <f>IFERROR(VLOOKUP($G162,基本資料!$A:$J,5,0),"無")</f>
        <v>128</v>
      </c>
      <c r="D162" s="79">
        <f>IFERROR(VLOOKUP($G162,基本資料!$A:$J,6,0),"無")</f>
        <v>0</v>
      </c>
      <c r="E162" s="79">
        <f>IFERROR(VLOOKUP($G162,基本資料!$A:$J,7,0),"無")</f>
        <v>16</v>
      </c>
      <c r="F162" s="6">
        <f>IFERROR(VLOOKUP($G162,基本資料!$A:$J,8,0),"無")</f>
        <v>8.43</v>
      </c>
      <c r="G162" s="79">
        <v>2066</v>
      </c>
      <c r="H162" s="8" t="s">
        <v>295</v>
      </c>
      <c r="I162" s="16" t="s">
        <v>139</v>
      </c>
      <c r="J162" s="8">
        <f>IFERROR(VLOOKUP($G162,今日總結!$A:$AN,39,0),"")</f>
        <v>0</v>
      </c>
      <c r="K162" s="5">
        <f>IFERROR(VLOOKUP($G162,今日總結!$A:$AN,40,0),"")</f>
        <v>0</v>
      </c>
      <c r="L162" s="156">
        <f>IFERROR(VLOOKUP($G162,今日總結!$A:$AN,37,0),"")</f>
        <v>0</v>
      </c>
      <c r="M162" s="337">
        <f>IFERROR(VLOOKUP($G162,今日總結!$A:$AN,38,0),"")</f>
        <v>0</v>
      </c>
      <c r="N162" s="240">
        <f t="shared" si="24"/>
        <v>0</v>
      </c>
      <c r="O162" s="359">
        <f>IFERROR(VLOOKUP($G162,融外自投!$A:$J,7,0),"無")</f>
        <v>1164</v>
      </c>
      <c r="P162" s="79">
        <f>IFERROR(VLOOKUP($G162,融外自投!$A:$J,9,0),"無")</f>
        <v>717</v>
      </c>
      <c r="Q162" s="342">
        <f>IFERROR(VLOOKUP($G162,融外自投!$A:$J,8,0),"無")</f>
        <v>496</v>
      </c>
      <c r="R162" s="81" t="str">
        <f>IFERROR(VLOOKUP($G162,融外自投!$A:$J,10,0),"無")</f>
        <v>無</v>
      </c>
      <c r="S162" s="324">
        <f>IFERROR(VLOOKUP($G162,'321買'!$A:$E,4,0),"'沒有資料'")</f>
        <v>1002</v>
      </c>
      <c r="T162" s="186">
        <f>IFERROR(VLOOKUP($G162,基本資料!$A:$J,9,0),"無")</f>
        <v>2</v>
      </c>
      <c r="U162" s="307">
        <f t="shared" si="25"/>
        <v>3.4246575342465752E-2</v>
      </c>
      <c r="V162" s="94">
        <f>IFERROR(VLOOKUP($G162,基本資料!$A:$J,10,0),"無")</f>
        <v>4</v>
      </c>
      <c r="W162" s="36">
        <f>RTD("money.excel",,"2066","Price")</f>
        <v>58.4</v>
      </c>
      <c r="X162" s="66"/>
      <c r="Y162" s="15">
        <f t="shared" si="26"/>
        <v>58.4</v>
      </c>
      <c r="Z162" s="3" t="e">
        <f t="shared" si="27"/>
        <v>#DIV/0!</v>
      </c>
      <c r="AA162" s="340">
        <f>IFERROR(VLOOKUP($G162,基本資料!$A:$M,11,0),"無")</f>
        <v>-13.35</v>
      </c>
      <c r="AB162" s="389">
        <f>IFERROR(VLOOKUP($G162,基本資料!$A:$M,12,0),"無")</f>
        <v>45.08</v>
      </c>
      <c r="AC162" s="16" t="s">
        <v>139</v>
      </c>
      <c r="AF162" s="33">
        <f t="shared" si="28"/>
        <v>0</v>
      </c>
      <c r="AG162" s="117" t="s">
        <v>2157</v>
      </c>
      <c r="AH162" s="66">
        <f t="shared" si="30"/>
        <v>0.95846645367412142</v>
      </c>
      <c r="AI162" s="283">
        <f>RTD("money.excel",,$G162,"PredictVolume")</f>
        <v>15</v>
      </c>
      <c r="AJ162" s="391">
        <f>IFERROR(VLOOKUP($G162,基本資料!$A:$M,13,0),"無")</f>
        <v>15.65</v>
      </c>
      <c r="AR162" s="245" t="str">
        <f>INDEX(基本資料!N:N,MATCH($G162,基本資料!A:A,0))</f>
        <v>中</v>
      </c>
    </row>
    <row r="163" spans="1:44">
      <c r="A163" s="343">
        <f>IFERROR(VLOOKUP($G163,基本資料!$A:$J,3,0),"無")</f>
        <v>4.51</v>
      </c>
      <c r="B163" s="79">
        <f>IFERROR(VLOOKUP($G163,基本資料!$A:$J,4,0),"無")</f>
        <v>66</v>
      </c>
      <c r="C163" s="79">
        <f>IFERROR(VLOOKUP($G163,基本資料!$A:$J,5,0),"無")</f>
        <v>50</v>
      </c>
      <c r="D163" s="79">
        <f>IFERROR(VLOOKUP($G163,基本資料!$A:$J,6,0),"無")</f>
        <v>3</v>
      </c>
      <c r="E163" s="79">
        <f>IFERROR(VLOOKUP($G163,基本資料!$A:$J,7,0),"無")</f>
        <v>20</v>
      </c>
      <c r="F163" s="6">
        <f>IFERROR(VLOOKUP($G163,基本資料!$A:$J,8,0),"無")</f>
        <v>-2.62</v>
      </c>
      <c r="G163" s="79">
        <v>2067</v>
      </c>
      <c r="H163" s="8" t="s">
        <v>295</v>
      </c>
      <c r="I163" s="16" t="s">
        <v>528</v>
      </c>
      <c r="J163" s="8" t="str">
        <f>IFERROR(VLOOKUP($G163,今日總結!$A:$AN,39,0),"")</f>
        <v/>
      </c>
      <c r="K163" s="5" t="str">
        <f>IFERROR(VLOOKUP($G163,今日總結!$A:$AN,40,0),"")</f>
        <v/>
      </c>
      <c r="L163" s="156" t="str">
        <f>IFERROR(VLOOKUP($G163,今日總結!$A:$AN,37,0),"")</f>
        <v/>
      </c>
      <c r="M163" s="337" t="str">
        <f>IFERROR(VLOOKUP($G163,今日總結!$A:$AN,38,0),"")</f>
        <v/>
      </c>
      <c r="N163" s="240" t="str">
        <f t="shared" si="24"/>
        <v/>
      </c>
      <c r="O163" s="359" t="str">
        <f>IFERROR(VLOOKUP($G163,融外自投!$A:$J,7,0),"無")</f>
        <v>無</v>
      </c>
      <c r="P163" s="79" t="str">
        <f>IFERROR(VLOOKUP($G163,融外自投!$A:$J,9,0),"無")</f>
        <v>無</v>
      </c>
      <c r="Q163" s="342" t="str">
        <f>IFERROR(VLOOKUP($G163,融外自投!$A:$J,8,0),"無")</f>
        <v>無</v>
      </c>
      <c r="R163" s="81" t="str">
        <f>IFERROR(VLOOKUP($G163,融外自投!$A:$J,10,0),"無")</f>
        <v>無</v>
      </c>
      <c r="S163" s="324" t="str">
        <f>IFERROR(VLOOKUP($G163,'321買'!$A:$E,4,0),"'沒有資料'")</f>
        <v>'沒有資料'</v>
      </c>
      <c r="T163" s="186">
        <f>IFERROR(VLOOKUP($G163,基本資料!$A:$J,9,0),"無")</f>
        <v>0</v>
      </c>
      <c r="U163" s="307" t="e">
        <f t="shared" si="25"/>
        <v>#VALUE!</v>
      </c>
      <c r="V163" s="94">
        <f>IFERROR(VLOOKUP($G163,基本資料!$A:$J,10,0),"無")</f>
        <v>-0.24</v>
      </c>
      <c r="W163" s="36" t="str">
        <f>RTD("money.excel",,"2067","Price")</f>
        <v>無資料</v>
      </c>
      <c r="X163" s="66"/>
      <c r="Y163" s="15" t="e">
        <f t="shared" si="26"/>
        <v>#VALUE!</v>
      </c>
      <c r="Z163" s="3" t="e">
        <f t="shared" si="27"/>
        <v>#VALUE!</v>
      </c>
      <c r="AA163" s="340">
        <f>IFERROR(VLOOKUP($G163,基本資料!$A:$M,11,0),"無")</f>
        <v>-18.809999999999999</v>
      </c>
      <c r="AB163" s="389">
        <f>IFERROR(VLOOKUP($G163,基本資料!$A:$M,12,0),"無")</f>
        <v>33.450000000000003</v>
      </c>
      <c r="AC163" s="16" t="s">
        <v>528</v>
      </c>
      <c r="AF163" s="33">
        <f t="shared" si="28"/>
        <v>0</v>
      </c>
      <c r="AG163" s="43" t="s">
        <v>2505</v>
      </c>
      <c r="AH163" s="66">
        <f t="shared" si="30"/>
        <v>0</v>
      </c>
      <c r="AI163" s="283">
        <f>RTD("money.excel",,$G163,"PredictVolume")</f>
        <v>0</v>
      </c>
      <c r="AJ163" s="391">
        <f>IFERROR(VLOOKUP($G163,基本資料!$A:$M,13,0),"無")</f>
        <v>16.95</v>
      </c>
      <c r="AR163" s="245" t="str">
        <f>INDEX(基本資料!N:N,MATCH($G163,基本資料!A:A,0))</f>
        <v>中</v>
      </c>
    </row>
    <row r="164" spans="1:44">
      <c r="A164" s="343">
        <f>IFERROR(VLOOKUP($G164,基本資料!$A:$J,3,0),"無")</f>
        <v>3.57</v>
      </c>
      <c r="B164" s="79">
        <f>IFERROR(VLOOKUP($G164,基本資料!$A:$J,4,0),"無")</f>
        <v>283</v>
      </c>
      <c r="C164" s="79">
        <f>IFERROR(VLOOKUP($G164,基本資料!$A:$J,5,0),"無")</f>
        <v>452</v>
      </c>
      <c r="D164" s="79">
        <f>IFERROR(VLOOKUP($G164,基本資料!$A:$J,6,0),"無")</f>
        <v>-4</v>
      </c>
      <c r="E164" s="79">
        <f>IFERROR(VLOOKUP($G164,基本資料!$A:$J,7,0),"無")</f>
        <v>-24</v>
      </c>
      <c r="F164" s="6">
        <f>IFERROR(VLOOKUP($G164,基本資料!$A:$J,8,0),"無")</f>
        <v>19.670000000000002</v>
      </c>
      <c r="G164" s="79">
        <v>2070</v>
      </c>
      <c r="H164" s="8" t="s">
        <v>295</v>
      </c>
      <c r="I164" s="16" t="s">
        <v>1083</v>
      </c>
      <c r="J164" s="8" t="str">
        <f>IFERROR(VLOOKUP($G164,今日總結!$A:$AN,39,0),"")</f>
        <v/>
      </c>
      <c r="K164" s="5" t="str">
        <f>IFERROR(VLOOKUP($G164,今日總結!$A:$AN,40,0),"")</f>
        <v/>
      </c>
      <c r="L164" s="156" t="str">
        <f>IFERROR(VLOOKUP($G164,今日總結!$A:$AN,37,0),"")</f>
        <v/>
      </c>
      <c r="M164" s="337" t="str">
        <f>IFERROR(VLOOKUP($G164,今日總結!$A:$AN,38,0),"")</f>
        <v/>
      </c>
      <c r="N164" s="240" t="str">
        <f t="shared" si="24"/>
        <v/>
      </c>
      <c r="O164" s="359">
        <f>IFERROR(VLOOKUP($G164,融外自投!$A:$J,7,0),"無")</f>
        <v>1139</v>
      </c>
      <c r="P164" s="79" t="str">
        <f>IFERROR(VLOOKUP($G164,融外自投!$A:$J,9,0),"無")</f>
        <v>無</v>
      </c>
      <c r="Q164" s="342">
        <f>IFERROR(VLOOKUP($G164,融外自投!$A:$J,8,0),"無")</f>
        <v>1270</v>
      </c>
      <c r="R164" s="81" t="str">
        <f>IFERROR(VLOOKUP($G164,融外自投!$A:$J,10,0),"無")</f>
        <v>無</v>
      </c>
      <c r="S164" s="324" t="str">
        <f>IFERROR(VLOOKUP($G164,'321買'!$A:$E,4,0),"'沒有資料'")</f>
        <v>'沒有資料'</v>
      </c>
      <c r="T164" s="186">
        <f>IFERROR(VLOOKUP($G164,基本資料!$A:$J,9,0),"無")</f>
        <v>1.5</v>
      </c>
      <c r="U164" s="307">
        <f t="shared" si="25"/>
        <v>4.4117647058823532E-2</v>
      </c>
      <c r="V164" s="94">
        <f>IFERROR(VLOOKUP($G164,基本資料!$A:$J,10,0),"無")</f>
        <v>2.66</v>
      </c>
      <c r="W164" s="36">
        <f>RTD("money.excel",,"2070","Price")</f>
        <v>34</v>
      </c>
      <c r="X164" s="66"/>
      <c r="Y164" s="15">
        <f t="shared" si="26"/>
        <v>34</v>
      </c>
      <c r="Z164" s="3" t="e">
        <f t="shared" si="27"/>
        <v>#DIV/0!</v>
      </c>
      <c r="AA164" s="340">
        <f>IFERROR(VLOOKUP($G164,基本資料!$A:$M,11,0),"無")</f>
        <v>-19.05</v>
      </c>
      <c r="AB164" s="389">
        <f>IFERROR(VLOOKUP($G164,基本資料!$A:$M,12,0),"無")</f>
        <v>41.26</v>
      </c>
      <c r="AC164" s="16" t="s">
        <v>1083</v>
      </c>
      <c r="AF164" s="33">
        <f t="shared" si="28"/>
        <v>0</v>
      </c>
      <c r="AG164" s="117" t="s">
        <v>2506</v>
      </c>
      <c r="AH164" s="66">
        <f t="shared" si="30"/>
        <v>0.35714285714285715</v>
      </c>
      <c r="AI164" s="283">
        <f>RTD("money.excel",,$G164,"PredictVolume")</f>
        <v>3</v>
      </c>
      <c r="AJ164" s="391">
        <f>IFERROR(VLOOKUP($G164,基本資料!$A:$M,13,0),"無")</f>
        <v>8.4</v>
      </c>
      <c r="AR164" s="245" t="str">
        <f>INDEX(基本資料!N:N,MATCH($G164,基本資料!A:A,0))</f>
        <v>中</v>
      </c>
    </row>
    <row r="165" spans="1:44">
      <c r="A165" s="343">
        <f>IFERROR(VLOOKUP($G165,基本資料!$A:$J,3,0),"無")</f>
        <v>3.99</v>
      </c>
      <c r="B165" s="79">
        <f>IFERROR(VLOOKUP($G165,基本資料!$A:$J,4,0),"無")</f>
        <v>56</v>
      </c>
      <c r="C165" s="79">
        <f>IFERROR(VLOOKUP($G165,基本資料!$A:$J,5,0),"無")</f>
        <v>98</v>
      </c>
      <c r="D165" s="79">
        <f>IFERROR(VLOOKUP($G165,基本資料!$A:$J,6,0),"無")</f>
        <v>13</v>
      </c>
      <c r="E165" s="79">
        <f>IFERROR(VLOOKUP($G165,基本資料!$A:$J,7,0),"無")</f>
        <v>-20</v>
      </c>
      <c r="F165" s="6">
        <f>IFERROR(VLOOKUP($G165,基本資料!$A:$J,8,0),"無")</f>
        <v>-0.06</v>
      </c>
      <c r="G165" s="79">
        <v>2230</v>
      </c>
      <c r="H165" s="8" t="s">
        <v>295</v>
      </c>
      <c r="I165" s="16" t="s">
        <v>529</v>
      </c>
      <c r="J165" s="8" t="str">
        <f>IFERROR(VLOOKUP($G165,今日總結!$A:$AN,39,0),"")</f>
        <v>外</v>
      </c>
      <c r="K165" s="5">
        <f>IFERROR(VLOOKUP($G165,今日總結!$A:$AN,40,0),"")</f>
        <v>0</v>
      </c>
      <c r="L165" s="156">
        <f>IFERROR(VLOOKUP($G165,今日總結!$A:$AN,37,0),"")</f>
        <v>13</v>
      </c>
      <c r="M165" s="337">
        <f>IFERROR(VLOOKUP($G165,今日總結!$A:$AN,38,0),"")</f>
        <v>0</v>
      </c>
      <c r="N165" s="240">
        <f t="shared" si="24"/>
        <v>13</v>
      </c>
      <c r="O165" s="359">
        <f>IFERROR(VLOOKUP($G165,融外自投!$A:$J,7,0),"無")</f>
        <v>527</v>
      </c>
      <c r="P165" s="79" t="str">
        <f>IFERROR(VLOOKUP($G165,融外自投!$A:$J,9,0),"無")</f>
        <v>無</v>
      </c>
      <c r="Q165" s="342">
        <f>IFERROR(VLOOKUP($G165,融外自投!$A:$J,8,0),"無")</f>
        <v>573</v>
      </c>
      <c r="R165" s="81" t="str">
        <f>IFERROR(VLOOKUP($G165,融外自投!$A:$J,10,0),"無")</f>
        <v>無</v>
      </c>
      <c r="S165" s="324">
        <f>IFERROR(VLOOKUP($G165,'321買'!$A:$E,4,0),"'沒有資料'")</f>
        <v>606</v>
      </c>
      <c r="T165" s="186">
        <f>IFERROR(VLOOKUP($G165,基本資料!$A:$J,9,0),"無")</f>
        <v>0</v>
      </c>
      <c r="U165" s="307">
        <f t="shared" si="25"/>
        <v>0</v>
      </c>
      <c r="V165" s="94">
        <f>IFERROR(VLOOKUP($G165,基本資料!$A:$J,10,0),"無")</f>
        <v>-0.08</v>
      </c>
      <c r="W165" s="36">
        <f>RTD("money.excel",,"2230","Price")</f>
        <v>17.55</v>
      </c>
      <c r="X165" s="66"/>
      <c r="Y165" s="15">
        <f t="shared" si="26"/>
        <v>17.55</v>
      </c>
      <c r="Z165" s="3" t="e">
        <f t="shared" si="27"/>
        <v>#DIV/0!</v>
      </c>
      <c r="AA165" s="340">
        <f>IFERROR(VLOOKUP($G165,基本資料!$A:$M,11,0),"無")</f>
        <v>-12.03</v>
      </c>
      <c r="AB165" s="389">
        <f>IFERROR(VLOOKUP($G165,基本資料!$A:$M,12,0),"無")</f>
        <v>52.1</v>
      </c>
      <c r="AC165" s="16" t="s">
        <v>529</v>
      </c>
      <c r="AF165" s="33">
        <f t="shared" si="28"/>
        <v>0</v>
      </c>
      <c r="AG165" s="43" t="s">
        <v>2507</v>
      </c>
      <c r="AH165" s="66">
        <f t="shared" si="30"/>
        <v>0.998820290994888</v>
      </c>
      <c r="AI165" s="283">
        <f>RTD("money.excel",,$G165,"PredictVolume")</f>
        <v>889</v>
      </c>
      <c r="AJ165" s="391">
        <f>IFERROR(VLOOKUP($G165,基本資料!$A:$M,13,0),"無")</f>
        <v>890.05</v>
      </c>
      <c r="AR165" s="245" t="str">
        <f>INDEX(基本資料!N:N,MATCH($G165,基本資料!A:A,0))</f>
        <v>中</v>
      </c>
    </row>
    <row r="166" spans="1:44">
      <c r="A166" s="343">
        <f>IFERROR(VLOOKUP($G166,基本資料!$A:$J,3,0),"無")</f>
        <v>3.58</v>
      </c>
      <c r="B166" s="79">
        <f>IFERROR(VLOOKUP($G166,基本資料!$A:$J,4,0),"無")</f>
        <v>-29</v>
      </c>
      <c r="C166" s="79">
        <f>IFERROR(VLOOKUP($G166,基本資料!$A:$J,5,0),"無")</f>
        <v>-5</v>
      </c>
      <c r="D166" s="79">
        <f>IFERROR(VLOOKUP($G166,基本資料!$A:$J,6,0),"無")</f>
        <v>-15</v>
      </c>
      <c r="E166" s="79">
        <f>IFERROR(VLOOKUP($G166,基本資料!$A:$J,7,0),"無")</f>
        <v>26</v>
      </c>
      <c r="F166" s="6">
        <f>IFERROR(VLOOKUP($G166,基本資料!$A:$J,8,0),"無")</f>
        <v>10.130000000000001</v>
      </c>
      <c r="G166" s="79">
        <v>2235</v>
      </c>
      <c r="H166" s="8" t="s">
        <v>295</v>
      </c>
      <c r="I166" s="16" t="s">
        <v>530</v>
      </c>
      <c r="J166" s="8" t="str">
        <f>IFERROR(VLOOKUP($G166,今日總結!$A:$AN,39,0),"")</f>
        <v/>
      </c>
      <c r="K166" s="5" t="str">
        <f>IFERROR(VLOOKUP($G166,今日總結!$A:$AN,40,0),"")</f>
        <v/>
      </c>
      <c r="L166" s="156" t="str">
        <f>IFERROR(VLOOKUP($G166,今日總結!$A:$AN,37,0),"")</f>
        <v/>
      </c>
      <c r="M166" s="337" t="str">
        <f>IFERROR(VLOOKUP($G166,今日總結!$A:$AN,38,0),"")</f>
        <v/>
      </c>
      <c r="N166" s="240" t="str">
        <f t="shared" si="24"/>
        <v/>
      </c>
      <c r="O166" s="359">
        <f>IFERROR(VLOOKUP($G166,融外自投!$A:$J,7,0),"無")</f>
        <v>1269</v>
      </c>
      <c r="P166" s="79" t="str">
        <f>IFERROR(VLOOKUP($G166,融外自投!$A:$J,9,0),"無")</f>
        <v>無</v>
      </c>
      <c r="Q166" s="342">
        <f>IFERROR(VLOOKUP($G166,融外自投!$A:$J,8,0),"無")</f>
        <v>1462</v>
      </c>
      <c r="R166" s="81" t="str">
        <f>IFERROR(VLOOKUP($G166,融外自投!$A:$J,10,0),"無")</f>
        <v>無</v>
      </c>
      <c r="S166" s="324" t="str">
        <f>IFERROR(VLOOKUP($G166,'321買'!$A:$E,4,0),"'沒有資料'")</f>
        <v>'沒有資料'</v>
      </c>
      <c r="T166" s="186">
        <f>IFERROR(VLOOKUP($G166,基本資料!$A:$J,9,0),"無")</f>
        <v>1.5</v>
      </c>
      <c r="U166" s="307">
        <f t="shared" si="25"/>
        <v>3.8860103626943004E-2</v>
      </c>
      <c r="V166" s="94">
        <f>IFERROR(VLOOKUP($G166,基本資料!$A:$J,10,0),"無")</f>
        <v>1.42</v>
      </c>
      <c r="W166" s="36">
        <f>RTD("money.excel",,"2235","Price")</f>
        <v>38.6</v>
      </c>
      <c r="X166" s="66"/>
      <c r="Y166" s="15">
        <f t="shared" si="26"/>
        <v>38.6</v>
      </c>
      <c r="Z166" s="3" t="e">
        <f t="shared" si="27"/>
        <v>#DIV/0!</v>
      </c>
      <c r="AA166" s="340">
        <f>IFERROR(VLOOKUP($G166,基本資料!$A:$M,11,0),"無")</f>
        <v>-20.079999999999998</v>
      </c>
      <c r="AB166" s="389">
        <f>IFERROR(VLOOKUP($G166,基本資料!$A:$M,12,0),"無")</f>
        <v>40.76</v>
      </c>
      <c r="AC166" s="16" t="s">
        <v>530</v>
      </c>
      <c r="AF166" s="33">
        <f t="shared" si="28"/>
        <v>0</v>
      </c>
      <c r="AG166" s="43" t="s">
        <v>2508</v>
      </c>
      <c r="AH166" s="66">
        <f t="shared" si="30"/>
        <v>0.55045871559633019</v>
      </c>
      <c r="AI166" s="283">
        <f>RTD("money.excel",,$G166,"PredictVolume")</f>
        <v>9</v>
      </c>
      <c r="AJ166" s="391">
        <f>IFERROR(VLOOKUP($G166,基本資料!$A:$M,13,0),"無")</f>
        <v>16.350000000000001</v>
      </c>
      <c r="AR166" s="245" t="str">
        <f>INDEX(基本資料!N:N,MATCH($G166,基本資料!A:A,0))</f>
        <v>低</v>
      </c>
    </row>
    <row r="167" spans="1:44">
      <c r="A167" s="343">
        <f>IFERROR(VLOOKUP($G167,基本資料!$A:$J,3,0),"無")</f>
        <v>8.9600000000000009</v>
      </c>
      <c r="B167" s="79">
        <f>IFERROR(VLOOKUP($G167,基本資料!$A:$J,4,0),"無")</f>
        <v>-1776</v>
      </c>
      <c r="C167" s="79">
        <f>IFERROR(VLOOKUP($G167,基本資料!$A:$J,5,0),"無")</f>
        <v>-265</v>
      </c>
      <c r="D167" s="79">
        <f>IFERROR(VLOOKUP($G167,基本資料!$A:$J,6,0),"無")</f>
        <v>-14</v>
      </c>
      <c r="E167" s="79">
        <f>IFERROR(VLOOKUP($G167,基本資料!$A:$J,7,0),"無")</f>
        <v>-17</v>
      </c>
      <c r="F167" s="6">
        <f>IFERROR(VLOOKUP($G167,基本資料!$A:$J,8,0),"無")</f>
        <v>-6.3</v>
      </c>
      <c r="G167" s="79">
        <v>2241</v>
      </c>
      <c r="H167" s="8" t="s">
        <v>295</v>
      </c>
      <c r="I167" s="22" t="s">
        <v>1963</v>
      </c>
      <c r="J167" s="8" t="str">
        <f>IFERROR(VLOOKUP($G167,今日總結!$A:$AN,39,0),"")</f>
        <v>外</v>
      </c>
      <c r="K167" s="5">
        <f>IFERROR(VLOOKUP($G167,今日總結!$A:$AN,40,0),"")</f>
        <v>0</v>
      </c>
      <c r="L167" s="156">
        <f>IFERROR(VLOOKUP($G167,今日總結!$A:$AN,37,0),"")</f>
        <v>1</v>
      </c>
      <c r="M167" s="337">
        <f>IFERROR(VLOOKUP($G167,今日總結!$A:$AN,38,0),"")</f>
        <v>0</v>
      </c>
      <c r="N167" s="240">
        <f t="shared" si="24"/>
        <v>1</v>
      </c>
      <c r="O167" s="359">
        <f>IFERROR(VLOOKUP($G167,融外自投!$A:$J,7,0),"無")</f>
        <v>785</v>
      </c>
      <c r="P167" s="79">
        <f>IFERROR(VLOOKUP($G167,融外自投!$A:$J,9,0),"無")</f>
        <v>946</v>
      </c>
      <c r="Q167" s="342">
        <f>IFERROR(VLOOKUP($G167,融外自投!$A:$J,8,0),"無")</f>
        <v>234</v>
      </c>
      <c r="R167" s="81">
        <f>IFERROR(VLOOKUP($G167,融外自投!$A:$J,10,0),"無")</f>
        <v>459</v>
      </c>
      <c r="S167" s="324">
        <f>IFERROR(VLOOKUP($G167,'321買'!$A:$E,4,0),"'沒有資料'")</f>
        <v>801</v>
      </c>
      <c r="T167" s="186">
        <f>IFERROR(VLOOKUP($G167,基本資料!$A:$J,9,0),"無")</f>
        <v>0</v>
      </c>
      <c r="U167" s="307">
        <f t="shared" si="25"/>
        <v>0</v>
      </c>
      <c r="V167" s="94">
        <f>IFERROR(VLOOKUP($G167,基本資料!$A:$J,10,0),"無")</f>
        <v>-1.23</v>
      </c>
      <c r="W167" s="36">
        <f>RTD("money.excel",,"2241","Price")</f>
        <v>38.6</v>
      </c>
      <c r="X167" s="66"/>
      <c r="Y167" s="15">
        <f t="shared" si="26"/>
        <v>38.6</v>
      </c>
      <c r="Z167" s="35" t="e">
        <f t="shared" si="27"/>
        <v>#DIV/0!</v>
      </c>
      <c r="AA167" s="340">
        <f>IFERROR(VLOOKUP($G167,基本資料!$A:$M,11,0),"無")</f>
        <v>-51.14</v>
      </c>
      <c r="AB167" s="389">
        <f>IFERROR(VLOOKUP($G167,基本資料!$A:$M,12,0),"無")</f>
        <v>12.62</v>
      </c>
      <c r="AC167" s="22" t="s">
        <v>1963</v>
      </c>
      <c r="AF167" s="33">
        <f t="shared" si="28"/>
        <v>0</v>
      </c>
      <c r="AG167" s="59" t="s">
        <v>1970</v>
      </c>
      <c r="AH167" s="66">
        <f t="shared" si="30"/>
        <v>1.0221465076660987</v>
      </c>
      <c r="AI167" s="283">
        <f>RTD("money.excel",,$G167,"PredictVolume")</f>
        <v>120</v>
      </c>
      <c r="AJ167" s="391">
        <f>IFERROR(VLOOKUP($G167,基本資料!$A:$M,13,0),"無")</f>
        <v>117.4</v>
      </c>
      <c r="AR167" s="245" t="str">
        <f>INDEX(基本資料!N:N,MATCH($G167,基本資料!A:A,0))</f>
        <v>低</v>
      </c>
    </row>
    <row r="168" spans="1:44">
      <c r="A168" s="343">
        <f>IFERROR(VLOOKUP($G168,基本資料!$A:$J,3,0),"無")</f>
        <v>233</v>
      </c>
      <c r="B168" s="79">
        <f>IFERROR(VLOOKUP($G168,基本資料!$A:$J,4,0),"無")</f>
        <v>151</v>
      </c>
      <c r="C168" s="79">
        <f>IFERROR(VLOOKUP($G168,基本資料!$A:$J,5,0),"無")</f>
        <v>161</v>
      </c>
      <c r="D168" s="79">
        <f>IFERROR(VLOOKUP($G168,基本資料!$A:$J,6,0),"無")</f>
        <v>-27</v>
      </c>
      <c r="E168" s="79">
        <f>IFERROR(VLOOKUP($G168,基本資料!$A:$J,7,0),"無")</f>
        <v>-5</v>
      </c>
      <c r="F168" s="6">
        <f>IFERROR(VLOOKUP($G168,基本資料!$A:$J,8,0),"無")</f>
        <v>2.72</v>
      </c>
      <c r="G168" s="79">
        <v>2371</v>
      </c>
      <c r="H168" s="8" t="s">
        <v>295</v>
      </c>
      <c r="I168" s="22" t="s">
        <v>108</v>
      </c>
      <c r="J168" s="8">
        <f>IFERROR(VLOOKUP($G168,今日總結!$A:$AN,39,0),"")</f>
        <v>24</v>
      </c>
      <c r="K168" s="5" t="str">
        <f>IFERROR(VLOOKUP($G168,今日總結!$A:$AN,40,0),"")</f>
        <v>融券</v>
      </c>
      <c r="L168" s="156">
        <f>IFERROR(VLOOKUP($G168,今日總結!$A:$AN,37,0),"")</f>
        <v>2</v>
      </c>
      <c r="M168" s="337">
        <f>IFERROR(VLOOKUP($G168,今日總結!$A:$AN,38,0),"")</f>
        <v>2</v>
      </c>
      <c r="N168" s="240">
        <f t="shared" si="24"/>
        <v>0</v>
      </c>
      <c r="O168" s="359">
        <f>IFERROR(VLOOKUP($G168,融外自投!$A:$J,7,0),"無")</f>
        <v>141</v>
      </c>
      <c r="P168" s="79">
        <f>IFERROR(VLOOKUP($G168,融外自投!$A:$J,9,0),"無")</f>
        <v>104</v>
      </c>
      <c r="Q168" s="342">
        <f>IFERROR(VLOOKUP($G168,融外自投!$A:$J,8,0),"無")</f>
        <v>291</v>
      </c>
      <c r="R168" s="81">
        <f>IFERROR(VLOOKUP($G168,融外自投!$A:$J,10,0),"無")</f>
        <v>332</v>
      </c>
      <c r="S168" s="324">
        <f>IFERROR(VLOOKUP($G168,'321買'!$A:$E,4,0),"'沒有資料'")</f>
        <v>192</v>
      </c>
      <c r="T168" s="186">
        <f>IFERROR(VLOOKUP($G168,基本資料!$A:$J,9,0),"無")</f>
        <v>0</v>
      </c>
      <c r="U168" s="307">
        <f t="shared" si="25"/>
        <v>0</v>
      </c>
      <c r="V168" s="94">
        <f>IFERROR(VLOOKUP($G168,基本資料!$A:$J,10,0),"無")</f>
        <v>1.57</v>
      </c>
      <c r="W168" s="36">
        <f>RTD("money.excel",,"2371","Price")</f>
        <v>35.299999999999997</v>
      </c>
      <c r="X168" s="66"/>
      <c r="Y168" s="15">
        <f t="shared" si="26"/>
        <v>35.299999999999997</v>
      </c>
      <c r="Z168" s="3" t="e">
        <f t="shared" si="27"/>
        <v>#DIV/0!</v>
      </c>
      <c r="AA168" s="340">
        <f>IFERROR(VLOOKUP($G168,基本資料!$A:$M,11,0),"無")</f>
        <v>-11.53</v>
      </c>
      <c r="AB168" s="389">
        <f>IFERROR(VLOOKUP($G168,基本資料!$A:$M,12,0),"無")</f>
        <v>59.04</v>
      </c>
      <c r="AC168" s="22" t="s">
        <v>108</v>
      </c>
      <c r="AF168" s="33">
        <f t="shared" si="28"/>
        <v>0</v>
      </c>
      <c r="AG168" s="117" t="s">
        <v>2744</v>
      </c>
      <c r="AH168" s="66">
        <f t="shared" si="30"/>
        <v>2.4384137457505064</v>
      </c>
      <c r="AI168" s="283">
        <f>RTD("money.excel",,$G168,"PredictVolume")</f>
        <v>29121</v>
      </c>
      <c r="AJ168" s="391">
        <f>IFERROR(VLOOKUP($G168,基本資料!$A:$M,13,0),"無")</f>
        <v>11942.6</v>
      </c>
      <c r="AR168" s="245" t="str">
        <f>INDEX(基本資料!N:N,MATCH($G168,基本資料!A:A,0))</f>
        <v>高</v>
      </c>
    </row>
    <row r="169" spans="1:44">
      <c r="A169" s="343">
        <f>IFERROR(VLOOKUP($G169,基本資料!$A:$J,3,0),"無")</f>
        <v>10.95</v>
      </c>
      <c r="B169" s="79">
        <f>IFERROR(VLOOKUP($G169,基本資料!$A:$J,4,0),"無")</f>
        <v>734</v>
      </c>
      <c r="C169" s="79">
        <f>IFERROR(VLOOKUP($G169,基本資料!$A:$J,5,0),"無")</f>
        <v>429</v>
      </c>
      <c r="D169" s="79">
        <f>IFERROR(VLOOKUP($G169,基本資料!$A:$J,6,0),"無")</f>
        <v>5</v>
      </c>
      <c r="E169" s="79">
        <f>IFERROR(VLOOKUP($G169,基本資料!$A:$J,7,0),"無")</f>
        <v>31</v>
      </c>
      <c r="F169" s="6">
        <f>IFERROR(VLOOKUP($G169,基本資料!$A:$J,8,0),"無")</f>
        <v>5.7</v>
      </c>
      <c r="G169" s="79">
        <v>3162</v>
      </c>
      <c r="H169" s="8" t="s">
        <v>295</v>
      </c>
      <c r="I169" s="16" t="s">
        <v>531</v>
      </c>
      <c r="J169" s="8">
        <f>IFERROR(VLOOKUP($G169,今日總結!$A:$AN,39,0),"")</f>
        <v>0</v>
      </c>
      <c r="K169" s="5">
        <f>IFERROR(VLOOKUP($G169,今日總結!$A:$AN,40,0),"")</f>
        <v>0</v>
      </c>
      <c r="L169" s="156">
        <f>IFERROR(VLOOKUP($G169,今日總結!$A:$AN,37,0),"")</f>
        <v>0</v>
      </c>
      <c r="M169" s="337">
        <f>IFERROR(VLOOKUP($G169,今日總結!$A:$AN,38,0),"")</f>
        <v>0</v>
      </c>
      <c r="N169" s="240">
        <f t="shared" si="24"/>
        <v>0</v>
      </c>
      <c r="O169" s="359">
        <f>IFERROR(VLOOKUP($G169,融外自投!$A:$J,7,0),"無")</f>
        <v>219</v>
      </c>
      <c r="P169" s="79" t="str">
        <f>IFERROR(VLOOKUP($G169,融外自投!$A:$J,9,0),"無")</f>
        <v>無</v>
      </c>
      <c r="Q169" s="342">
        <f>IFERROR(VLOOKUP($G169,融外自投!$A:$J,8,0),"無")</f>
        <v>73</v>
      </c>
      <c r="R169" s="81" t="str">
        <f>IFERROR(VLOOKUP($G169,融外自投!$A:$J,10,0),"無")</f>
        <v>無</v>
      </c>
      <c r="S169" s="324">
        <f>IFERROR(VLOOKUP($G169,'321買'!$A:$E,4,0),"'沒有資料'")</f>
        <v>1002</v>
      </c>
      <c r="T169" s="186">
        <f>IFERROR(VLOOKUP($G169,基本資料!$A:$J,9,0),"無")</f>
        <v>0</v>
      </c>
      <c r="U169" s="307">
        <f t="shared" si="25"/>
        <v>0</v>
      </c>
      <c r="V169" s="94">
        <f>IFERROR(VLOOKUP($G169,基本資料!$A:$J,10,0),"無")</f>
        <v>0.82</v>
      </c>
      <c r="W169" s="36">
        <f>RTD("money.excel",,"3162","Price")</f>
        <v>37.1</v>
      </c>
      <c r="X169" s="66"/>
      <c r="Y169" s="15">
        <f t="shared" si="26"/>
        <v>37.1</v>
      </c>
      <c r="Z169" s="3" t="e">
        <f t="shared" si="27"/>
        <v>#DIV/0!</v>
      </c>
      <c r="AA169" s="340">
        <f>IFERROR(VLOOKUP($G169,基本資料!$A:$M,11,0),"無")</f>
        <v>-38.68</v>
      </c>
      <c r="AB169" s="389">
        <f>IFERROR(VLOOKUP($G169,基本資料!$A:$M,12,0),"無")</f>
        <v>19.21</v>
      </c>
      <c r="AC169" s="16" t="s">
        <v>531</v>
      </c>
      <c r="AF169" s="33">
        <f t="shared" si="28"/>
        <v>0</v>
      </c>
      <c r="AG169" s="43" t="s">
        <v>6361</v>
      </c>
      <c r="AH169" s="66">
        <f t="shared" si="30"/>
        <v>0.9295694325634446</v>
      </c>
      <c r="AI169" s="283">
        <f>RTD("money.excel",,$G169,"PredictVolume")</f>
        <v>163</v>
      </c>
      <c r="AJ169" s="391">
        <f>IFERROR(VLOOKUP($G169,基本資料!$A:$M,13,0),"無")</f>
        <v>175.35</v>
      </c>
      <c r="AR169" s="245" t="str">
        <f>INDEX(基本資料!N:N,MATCH($G169,基本資料!A:A,0))</f>
        <v>低</v>
      </c>
    </row>
    <row r="170" spans="1:44">
      <c r="A170" s="343">
        <f>IFERROR(VLOOKUP($G170,基本資料!$A:$J,3,0),"無")</f>
        <v>8.01</v>
      </c>
      <c r="B170" s="79">
        <f>IFERROR(VLOOKUP($G170,基本資料!$A:$J,4,0),"無")</f>
        <v>5</v>
      </c>
      <c r="C170" s="79">
        <f>IFERROR(VLOOKUP($G170,基本資料!$A:$J,5,0),"無")</f>
        <v>171</v>
      </c>
      <c r="D170" s="79">
        <f>IFERROR(VLOOKUP($G170,基本資料!$A:$J,6,0),"無")</f>
        <v>-14</v>
      </c>
      <c r="E170" s="79">
        <f>IFERROR(VLOOKUP($G170,基本資料!$A:$J,7,0),"無")</f>
        <v>-44</v>
      </c>
      <c r="F170" s="6">
        <f>IFERROR(VLOOKUP($G170,基本資料!$A:$J,8,0),"無")</f>
        <v>12.4</v>
      </c>
      <c r="G170" s="79">
        <v>3167</v>
      </c>
      <c r="H170" s="8" t="s">
        <v>295</v>
      </c>
      <c r="I170" s="22" t="s">
        <v>3593</v>
      </c>
      <c r="J170" s="8">
        <f>IFERROR(VLOOKUP($G170,今日總結!$A:$AN,39,0),"")</f>
        <v>0</v>
      </c>
      <c r="K170" s="5" t="str">
        <f>IFERROR(VLOOKUP($G170,今日總結!$A:$AN,40,0),"")</f>
        <v>借</v>
      </c>
      <c r="L170" s="156">
        <f>IFERROR(VLOOKUP($G170,今日總結!$A:$AN,37,0),"")</f>
        <v>0</v>
      </c>
      <c r="M170" s="337">
        <f>IFERROR(VLOOKUP($G170,今日總結!$A:$AN,38,0),"")</f>
        <v>2</v>
      </c>
      <c r="N170" s="240">
        <f t="shared" si="24"/>
        <v>-2</v>
      </c>
      <c r="O170" s="359">
        <f>IFERROR(VLOOKUP($G170,融外自投!$A:$J,7,0),"無")</f>
        <v>463</v>
      </c>
      <c r="P170" s="79">
        <f>IFERROR(VLOOKUP($G170,融外自投!$A:$J,9,0),"無")</f>
        <v>825</v>
      </c>
      <c r="Q170" s="342">
        <f>IFERROR(VLOOKUP($G170,融外自投!$A:$J,8,0),"無")</f>
        <v>1114</v>
      </c>
      <c r="R170" s="81">
        <f>IFERROR(VLOOKUP($G170,融外自投!$A:$J,10,0),"無")</f>
        <v>459</v>
      </c>
      <c r="S170" s="324">
        <f>IFERROR(VLOOKUP($G170,'321買'!$A:$E,4,0),"'沒有資料'")</f>
        <v>497</v>
      </c>
      <c r="T170" s="186">
        <f>IFERROR(VLOOKUP($G170,基本資料!$A:$J,9,0),"無")</f>
        <v>4</v>
      </c>
      <c r="U170" s="307">
        <f t="shared" si="25"/>
        <v>7.0175438596491224E-2</v>
      </c>
      <c r="V170" s="94">
        <f>IFERROR(VLOOKUP($G170,基本資料!$A:$J,10,0),"無")</f>
        <v>5.51</v>
      </c>
      <c r="W170" s="36">
        <f>RTD("money.excel",,"3167","Price")</f>
        <v>57</v>
      </c>
      <c r="X170" s="66"/>
      <c r="Y170" s="15">
        <f t="shared" si="26"/>
        <v>57</v>
      </c>
      <c r="Z170" s="3" t="e">
        <f t="shared" si="27"/>
        <v>#DIV/0!</v>
      </c>
      <c r="AA170" s="340">
        <f>IFERROR(VLOOKUP($G170,基本資料!$A:$M,11,0),"無")</f>
        <v>-48.88</v>
      </c>
      <c r="AB170" s="389">
        <f>IFERROR(VLOOKUP($G170,基本資料!$A:$M,12,0),"無")</f>
        <v>12.94</v>
      </c>
      <c r="AC170" s="22" t="s">
        <v>3593</v>
      </c>
      <c r="AF170" s="33">
        <f t="shared" si="28"/>
        <v>0</v>
      </c>
      <c r="AG170" s="43" t="s">
        <v>2112</v>
      </c>
      <c r="AH170" s="66">
        <f t="shared" si="30"/>
        <v>1.0973724884080371</v>
      </c>
      <c r="AI170" s="283">
        <f>RTD("money.excel",,$G170,"PredictVolume")</f>
        <v>213</v>
      </c>
      <c r="AJ170" s="391">
        <f>IFERROR(VLOOKUP($G170,基本資料!$A:$M,13,0),"無")</f>
        <v>194.1</v>
      </c>
      <c r="AR170" s="245" t="str">
        <f>INDEX(基本資料!N:N,MATCH($G170,基本資料!A:A,0))</f>
        <v>低</v>
      </c>
    </row>
    <row r="171" spans="1:44">
      <c r="A171" s="343">
        <f>IFERROR(VLOOKUP($G171,基本資料!$A:$J,3,0),"無")</f>
        <v>4.5</v>
      </c>
      <c r="B171" s="79">
        <f>IFERROR(VLOOKUP($G171,基本資料!$A:$J,4,0),"無")</f>
        <v>-12</v>
      </c>
      <c r="C171" s="79">
        <f>IFERROR(VLOOKUP($G171,基本資料!$A:$J,5,0),"無")</f>
        <v>-21</v>
      </c>
      <c r="D171" s="79">
        <f>IFERROR(VLOOKUP($G171,基本資料!$A:$J,6,0),"無")</f>
        <v>-2</v>
      </c>
      <c r="E171" s="79">
        <f>IFERROR(VLOOKUP($G171,基本資料!$A:$J,7,0),"無")</f>
        <v>0</v>
      </c>
      <c r="F171" s="6">
        <f>IFERROR(VLOOKUP($G171,基本資料!$A:$J,8,0),"無")</f>
        <v>8.89</v>
      </c>
      <c r="G171" s="79">
        <v>3178</v>
      </c>
      <c r="H171" s="8" t="s">
        <v>295</v>
      </c>
      <c r="I171" s="16" t="s">
        <v>1084</v>
      </c>
      <c r="J171" s="8" t="str">
        <f>IFERROR(VLOOKUP($G171,今日總結!$A:$AN,39,0),"")</f>
        <v>外</v>
      </c>
      <c r="K171" s="5" t="str">
        <f>IFERROR(VLOOKUP($G171,今日總結!$A:$AN,40,0),"")</f>
        <v>融</v>
      </c>
      <c r="L171" s="156">
        <f>IFERROR(VLOOKUP($G171,今日總結!$A:$AN,37,0),"")</f>
        <v>1</v>
      </c>
      <c r="M171" s="337">
        <f>IFERROR(VLOOKUP($G171,今日總結!$A:$AN,38,0),"")</f>
        <v>2</v>
      </c>
      <c r="N171" s="240">
        <f t="shared" si="24"/>
        <v>-1</v>
      </c>
      <c r="O171" s="359">
        <f>IFERROR(VLOOKUP($G171,融外自投!$A:$J,7,0),"無")</f>
        <v>473</v>
      </c>
      <c r="P171" s="79">
        <f>IFERROR(VLOOKUP($G171,融外自投!$A:$J,9,0),"無")</f>
        <v>790</v>
      </c>
      <c r="Q171" s="342">
        <f>IFERROR(VLOOKUP($G171,融外自投!$A:$J,8,0),"無")</f>
        <v>1237</v>
      </c>
      <c r="R171" s="81" t="str">
        <f>IFERROR(VLOOKUP($G171,融外自投!$A:$J,10,0),"無")</f>
        <v>無</v>
      </c>
      <c r="S171" s="324">
        <f>IFERROR(VLOOKUP($G171,'321買'!$A:$E,4,0),"'沒有資料'")</f>
        <v>606</v>
      </c>
      <c r="T171" s="186">
        <f>IFERROR(VLOOKUP($G171,基本資料!$A:$J,9,0),"無")</f>
        <v>1</v>
      </c>
      <c r="U171" s="307">
        <f t="shared" si="25"/>
        <v>1.8691588785046728E-2</v>
      </c>
      <c r="V171" s="94">
        <f>IFERROR(VLOOKUP($G171,基本資料!$A:$J,10,0),"無")</f>
        <v>2</v>
      </c>
      <c r="W171" s="36">
        <f>RTD("money.excel",,"3178","Price")</f>
        <v>53.5</v>
      </c>
      <c r="X171" s="66"/>
      <c r="Y171" s="15">
        <f t="shared" si="26"/>
        <v>53.5</v>
      </c>
      <c r="Z171" s="3" t="e">
        <f t="shared" si="27"/>
        <v>#DIV/0!</v>
      </c>
      <c r="AA171" s="340">
        <f>IFERROR(VLOOKUP($G171,基本資料!$A:$M,11,0),"無")</f>
        <v>-39.200000000000003</v>
      </c>
      <c r="AB171" s="389">
        <f>IFERROR(VLOOKUP($G171,基本資料!$A:$M,12,0),"無")</f>
        <v>13.5</v>
      </c>
      <c r="AC171" s="16" t="s">
        <v>1084</v>
      </c>
      <c r="AF171" s="33">
        <f t="shared" si="28"/>
        <v>0</v>
      </c>
      <c r="AG171" s="43" t="s">
        <v>2802</v>
      </c>
      <c r="AH171" s="66">
        <f t="shared" si="30"/>
        <v>0.92431346282652371</v>
      </c>
      <c r="AI171" s="283">
        <f>RTD("money.excel",,$G171,"PredictVolume")</f>
        <v>69</v>
      </c>
      <c r="AJ171" s="391">
        <f>IFERROR(VLOOKUP($G171,基本資料!$A:$M,13,0),"無")</f>
        <v>74.650000000000006</v>
      </c>
      <c r="AR171" s="245" t="str">
        <f>INDEX(基本資料!N:N,MATCH($G171,基本資料!A:A,0))</f>
        <v>低</v>
      </c>
    </row>
    <row r="172" spans="1:44">
      <c r="A172" s="343">
        <f>IFERROR(VLOOKUP($G172,基本資料!$A:$J,3,0),"無")</f>
        <v>6.44</v>
      </c>
      <c r="B172" s="79">
        <f>IFERROR(VLOOKUP($G172,基本資料!$A:$J,4,0),"無")</f>
        <v>-28</v>
      </c>
      <c r="C172" s="79">
        <f>IFERROR(VLOOKUP($G172,基本資料!$A:$J,5,0),"無")</f>
        <v>14</v>
      </c>
      <c r="D172" s="79">
        <f>IFERROR(VLOOKUP($G172,基本資料!$A:$J,6,0),"無")</f>
        <v>4</v>
      </c>
      <c r="E172" s="79">
        <f>IFERROR(VLOOKUP($G172,基本資料!$A:$J,7,0),"無")</f>
        <v>0</v>
      </c>
      <c r="F172" s="6">
        <f>IFERROR(VLOOKUP($G172,基本資料!$A:$J,8,0),"無")</f>
        <v>17.52</v>
      </c>
      <c r="G172" s="79">
        <v>3226</v>
      </c>
      <c r="H172" s="8" t="s">
        <v>295</v>
      </c>
      <c r="I172" s="16" t="s">
        <v>532</v>
      </c>
      <c r="J172" s="8" t="str">
        <f>IFERROR(VLOOKUP($G172,今日總結!$A:$AN,39,0),"")</f>
        <v/>
      </c>
      <c r="K172" s="5" t="str">
        <f>IFERROR(VLOOKUP($G172,今日總結!$A:$AN,40,0),"")</f>
        <v/>
      </c>
      <c r="L172" s="156" t="str">
        <f>IFERROR(VLOOKUP($G172,今日總結!$A:$AN,37,0),"")</f>
        <v/>
      </c>
      <c r="M172" s="337" t="str">
        <f>IFERROR(VLOOKUP($G172,今日總結!$A:$AN,38,0),"")</f>
        <v/>
      </c>
      <c r="N172" s="240" t="str">
        <f t="shared" si="24"/>
        <v/>
      </c>
      <c r="O172" s="359">
        <f>IFERROR(VLOOKUP($G172,融外自投!$A:$J,7,0),"無")</f>
        <v>1287</v>
      </c>
      <c r="P172" s="79" t="str">
        <f>IFERROR(VLOOKUP($G172,融外自投!$A:$J,9,0),"無")</f>
        <v>無</v>
      </c>
      <c r="Q172" s="342">
        <f>IFERROR(VLOOKUP($G172,融外自投!$A:$J,8,0),"無")</f>
        <v>1469</v>
      </c>
      <c r="R172" s="81" t="str">
        <f>IFERROR(VLOOKUP($G172,融外自投!$A:$J,10,0),"無")</f>
        <v>無</v>
      </c>
      <c r="S172" s="324" t="str">
        <f>IFERROR(VLOOKUP($G172,'321買'!$A:$E,4,0),"'沒有資料'")</f>
        <v>'沒有資料'</v>
      </c>
      <c r="T172" s="186">
        <f>IFERROR(VLOOKUP($G172,基本資料!$A:$J,9,0),"無")</f>
        <v>2.5</v>
      </c>
      <c r="U172" s="307" t="e">
        <f t="shared" si="25"/>
        <v>#VALUE!</v>
      </c>
      <c r="V172" s="94">
        <f>IFERROR(VLOOKUP($G172,基本資料!$A:$J,10,0),"無")</f>
        <v>3.58</v>
      </c>
      <c r="W172" s="36" t="str">
        <f>RTD("money.excel",,"3226","Price")</f>
        <v>無資料</v>
      </c>
      <c r="X172" s="66"/>
      <c r="Y172" s="15" t="e">
        <f t="shared" si="26"/>
        <v>#VALUE!</v>
      </c>
      <c r="Z172" s="3" t="e">
        <f t="shared" si="27"/>
        <v>#VALUE!</v>
      </c>
      <c r="AA172" s="340">
        <f>IFERROR(VLOOKUP($G172,基本資料!$A:$M,11,0),"無")</f>
        <v>-11.05</v>
      </c>
      <c r="AB172" s="389">
        <f>IFERROR(VLOOKUP($G172,基本資料!$A:$M,12,0),"無")</f>
        <v>74.599999999999994</v>
      </c>
      <c r="AC172" s="16" t="s">
        <v>532</v>
      </c>
      <c r="AF172" s="33">
        <f t="shared" si="28"/>
        <v>0</v>
      </c>
      <c r="AG172" s="43" t="s">
        <v>2509</v>
      </c>
      <c r="AH172" s="66">
        <f t="shared" si="30"/>
        <v>0</v>
      </c>
      <c r="AI172" s="283">
        <f>RTD("money.excel",,$G172,"PredictVolume")</f>
        <v>0</v>
      </c>
      <c r="AJ172" s="391">
        <f>IFERROR(VLOOKUP($G172,基本資料!$A:$M,13,0),"無")</f>
        <v>1.85</v>
      </c>
      <c r="AR172" s="245" t="str">
        <f>INDEX(基本資料!N:N,MATCH($G172,基本資料!A:A,0))</f>
        <v>中</v>
      </c>
    </row>
    <row r="173" spans="1:44">
      <c r="A173" s="343">
        <f>IFERROR(VLOOKUP($G173,基本資料!$A:$J,3,0),"無")</f>
        <v>3.8</v>
      </c>
      <c r="B173" s="79">
        <f>IFERROR(VLOOKUP($G173,基本資料!$A:$J,4,0),"無")</f>
        <v>-42</v>
      </c>
      <c r="C173" s="79">
        <f>IFERROR(VLOOKUP($G173,基本資料!$A:$J,5,0),"無")</f>
        <v>101</v>
      </c>
      <c r="D173" s="79">
        <f>IFERROR(VLOOKUP($G173,基本資料!$A:$J,6,0),"無")</f>
        <v>-28</v>
      </c>
      <c r="E173" s="79">
        <f>IFERROR(VLOOKUP($G173,基本資料!$A:$J,7,0),"無")</f>
        <v>-63</v>
      </c>
      <c r="F173" s="6">
        <f>IFERROR(VLOOKUP($G173,基本資料!$A:$J,8,0),"無")</f>
        <v>0.22</v>
      </c>
      <c r="G173" s="79">
        <v>3379</v>
      </c>
      <c r="H173" s="8" t="s">
        <v>295</v>
      </c>
      <c r="I173" s="16" t="s">
        <v>533</v>
      </c>
      <c r="J173" s="8">
        <f>IFERROR(VLOOKUP($G173,今日總結!$A:$AN,39,0),"")</f>
        <v>0</v>
      </c>
      <c r="K173" s="5">
        <f>IFERROR(VLOOKUP($G173,今日總結!$A:$AN,40,0),"")</f>
        <v>0</v>
      </c>
      <c r="L173" s="156">
        <f>IFERROR(VLOOKUP($G173,今日總結!$A:$AN,37,0),"")</f>
        <v>0</v>
      </c>
      <c r="M173" s="337">
        <f>IFERROR(VLOOKUP($G173,今日總結!$A:$AN,38,0),"")</f>
        <v>0</v>
      </c>
      <c r="N173" s="240">
        <f t="shared" si="24"/>
        <v>0</v>
      </c>
      <c r="O173" s="359">
        <f>IFERROR(VLOOKUP($G173,融外自投!$A:$J,7,0),"無")</f>
        <v>344</v>
      </c>
      <c r="P173" s="79">
        <f>IFERROR(VLOOKUP($G173,融外自投!$A:$J,9,0),"無")</f>
        <v>615</v>
      </c>
      <c r="Q173" s="342">
        <f>IFERROR(VLOOKUP($G173,融外自投!$A:$J,8,0),"無")</f>
        <v>1405</v>
      </c>
      <c r="R173" s="81" t="str">
        <f>IFERROR(VLOOKUP($G173,融外自投!$A:$J,10,0),"無")</f>
        <v>無</v>
      </c>
      <c r="S173" s="324">
        <f>IFERROR(VLOOKUP($G173,'321買'!$A:$E,4,0),"'沒有資料'")</f>
        <v>891</v>
      </c>
      <c r="T173" s="186">
        <f>IFERROR(VLOOKUP($G173,基本資料!$A:$J,9,0),"無")</f>
        <v>0.25</v>
      </c>
      <c r="U173" s="307">
        <f t="shared" si="25"/>
        <v>2.1276595744680851E-2</v>
      </c>
      <c r="V173" s="94">
        <f>IFERROR(VLOOKUP($G173,基本資料!$A:$J,10,0),"無")</f>
        <v>0.27</v>
      </c>
      <c r="W173" s="36">
        <f>RTD("money.excel",,"3379","Price")</f>
        <v>11.75</v>
      </c>
      <c r="X173" s="66"/>
      <c r="Y173" s="15">
        <f t="shared" si="26"/>
        <v>11.75</v>
      </c>
      <c r="Z173" s="3" t="e">
        <f t="shared" si="27"/>
        <v>#DIV/0!</v>
      </c>
      <c r="AA173" s="340">
        <f>IFERROR(VLOOKUP($G173,基本資料!$A:$M,11,0),"無")</f>
        <v>-23.7</v>
      </c>
      <c r="AB173" s="389">
        <f>IFERROR(VLOOKUP($G173,基本資料!$A:$M,12,0),"無")</f>
        <v>29.37</v>
      </c>
      <c r="AC173" s="16" t="s">
        <v>533</v>
      </c>
      <c r="AF173" s="33">
        <f t="shared" si="28"/>
        <v>0</v>
      </c>
      <c r="AG173" s="43" t="s">
        <v>2510</v>
      </c>
      <c r="AH173" s="66">
        <f t="shared" si="30"/>
        <v>0.66202090592334495</v>
      </c>
      <c r="AI173" s="283">
        <f>RTD("money.excel",,$G173,"PredictVolume")</f>
        <v>76</v>
      </c>
      <c r="AJ173" s="391">
        <f>IFERROR(VLOOKUP($G173,基本資料!$A:$M,13,0),"無")</f>
        <v>114.8</v>
      </c>
      <c r="AR173" s="245" t="str">
        <f>INDEX(基本資料!N:N,MATCH($G173,基本資料!A:A,0))</f>
        <v>低</v>
      </c>
    </row>
    <row r="174" spans="1:44">
      <c r="A174" s="343">
        <f>IFERROR(VLOOKUP($G174,基本資料!$A:$J,3,0),"無")</f>
        <v>2.64</v>
      </c>
      <c r="B174" s="79">
        <f>IFERROR(VLOOKUP($G174,基本資料!$A:$J,4,0),"無")</f>
        <v>14</v>
      </c>
      <c r="C174" s="79">
        <f>IFERROR(VLOOKUP($G174,基本資料!$A:$J,5,0),"無")</f>
        <v>2</v>
      </c>
      <c r="D174" s="79">
        <f>IFERROR(VLOOKUP($G174,基本資料!$A:$J,6,0),"無")</f>
        <v>-2</v>
      </c>
      <c r="E174" s="79">
        <f>IFERROR(VLOOKUP($G174,基本資料!$A:$J,7,0),"無")</f>
        <v>13</v>
      </c>
      <c r="F174" s="6">
        <f>IFERROR(VLOOKUP($G174,基本資料!$A:$J,8,0),"無")</f>
        <v>10.52</v>
      </c>
      <c r="G174" s="79">
        <v>3426</v>
      </c>
      <c r="H174" s="8" t="s">
        <v>295</v>
      </c>
      <c r="I174" s="16" t="s">
        <v>534</v>
      </c>
      <c r="J174" s="8" t="str">
        <f>IFERROR(VLOOKUP($G174,今日總結!$A:$AN,39,0),"")</f>
        <v/>
      </c>
      <c r="K174" s="5" t="str">
        <f>IFERROR(VLOOKUP($G174,今日總結!$A:$AN,40,0),"")</f>
        <v/>
      </c>
      <c r="L174" s="156" t="str">
        <f>IFERROR(VLOOKUP($G174,今日總結!$A:$AN,37,0),"")</f>
        <v/>
      </c>
      <c r="M174" s="337" t="str">
        <f>IFERROR(VLOOKUP($G174,今日總結!$A:$AN,38,0),"")</f>
        <v/>
      </c>
      <c r="N174" s="240" t="str">
        <f t="shared" si="24"/>
        <v/>
      </c>
      <c r="O174" s="359" t="str">
        <f>IFERROR(VLOOKUP($G174,融外自投!$A:$J,7,0),"無")</f>
        <v>無</v>
      </c>
      <c r="P174" s="79" t="str">
        <f>IFERROR(VLOOKUP($G174,融外自投!$A:$J,9,0),"無")</f>
        <v>無</v>
      </c>
      <c r="Q174" s="342" t="str">
        <f>IFERROR(VLOOKUP($G174,融外自投!$A:$J,8,0),"無")</f>
        <v>無</v>
      </c>
      <c r="R174" s="81" t="str">
        <f>IFERROR(VLOOKUP($G174,融外自投!$A:$J,10,0),"無")</f>
        <v>無</v>
      </c>
      <c r="S174" s="324" t="str">
        <f>IFERROR(VLOOKUP($G174,'321買'!$A:$E,4,0),"'沒有資料'")</f>
        <v>'沒有資料'</v>
      </c>
      <c r="T174" s="186">
        <f>IFERROR(VLOOKUP($G174,基本資料!$A:$J,9,0),"無")</f>
        <v>2</v>
      </c>
      <c r="U174" s="307" t="e">
        <f t="shared" si="25"/>
        <v>#VALUE!</v>
      </c>
      <c r="V174" s="94">
        <f>IFERROR(VLOOKUP($G174,基本資料!$A:$J,10,0),"無")</f>
        <v>2.48</v>
      </c>
      <c r="W174" s="36" t="str">
        <f>RTD("money.excel",,"3426","Price")</f>
        <v>無資料</v>
      </c>
      <c r="X174" s="66"/>
      <c r="Y174" s="15" t="e">
        <f t="shared" si="26"/>
        <v>#VALUE!</v>
      </c>
      <c r="Z174" s="3" t="e">
        <f t="shared" si="27"/>
        <v>#VALUE!</v>
      </c>
      <c r="AA174" s="340">
        <f>IFERROR(VLOOKUP($G174,基本資料!$A:$M,11,0),"無")</f>
        <v>-8.98</v>
      </c>
      <c r="AB174" s="389">
        <f>IFERROR(VLOOKUP($G174,基本資料!$A:$M,12,0),"無")</f>
        <v>31.85</v>
      </c>
      <c r="AC174" s="16" t="s">
        <v>534</v>
      </c>
      <c r="AF174" s="33">
        <f t="shared" si="28"/>
        <v>0</v>
      </c>
      <c r="AG174" s="43" t="s">
        <v>1435</v>
      </c>
      <c r="AH174" s="66">
        <f t="shared" si="30"/>
        <v>0</v>
      </c>
      <c r="AI174" s="283">
        <f>RTD("money.excel",,$G174,"PredictVolume")</f>
        <v>0</v>
      </c>
      <c r="AJ174" s="391">
        <f>IFERROR(VLOOKUP($G174,基本資料!$A:$M,13,0),"無")</f>
        <v>4.2</v>
      </c>
      <c r="AR174" s="245" t="str">
        <f>INDEX(基本資料!N:N,MATCH($G174,基本資料!A:A,0))</f>
        <v>低</v>
      </c>
    </row>
    <row r="175" spans="1:44">
      <c r="A175" s="343">
        <f>IFERROR(VLOOKUP($G175,基本資料!$A:$J,3,0),"無")</f>
        <v>5.81</v>
      </c>
      <c r="B175" s="79">
        <f>IFERROR(VLOOKUP($G175,基本資料!$A:$J,4,0),"無")</f>
        <v>-21</v>
      </c>
      <c r="C175" s="79">
        <f>IFERROR(VLOOKUP($G175,基本資料!$A:$J,5,0),"無")</f>
        <v>-19</v>
      </c>
      <c r="D175" s="79">
        <f>IFERROR(VLOOKUP($G175,基本資料!$A:$J,6,0),"無")</f>
        <v>16</v>
      </c>
      <c r="E175" s="79">
        <f>IFERROR(VLOOKUP($G175,基本資料!$A:$J,7,0),"無")</f>
        <v>33</v>
      </c>
      <c r="F175" s="6">
        <f>IFERROR(VLOOKUP($G175,基本資料!$A:$J,8,0),"無")</f>
        <v>-8.58</v>
      </c>
      <c r="G175" s="79">
        <v>4502</v>
      </c>
      <c r="H175" s="8" t="s">
        <v>295</v>
      </c>
      <c r="I175" s="16" t="s">
        <v>535</v>
      </c>
      <c r="J175" s="8" t="str">
        <f>IFERROR(VLOOKUP($G175,今日總結!$A:$AN,39,0),"")</f>
        <v/>
      </c>
      <c r="K175" s="5" t="str">
        <f>IFERROR(VLOOKUP($G175,今日總結!$A:$AN,40,0),"")</f>
        <v/>
      </c>
      <c r="L175" s="156" t="str">
        <f>IFERROR(VLOOKUP($G175,今日總結!$A:$AN,37,0),"")</f>
        <v/>
      </c>
      <c r="M175" s="337" t="str">
        <f>IFERROR(VLOOKUP($G175,今日總結!$A:$AN,38,0),"")</f>
        <v/>
      </c>
      <c r="N175" s="240" t="str">
        <f t="shared" si="24"/>
        <v/>
      </c>
      <c r="O175" s="359">
        <f>IFERROR(VLOOKUP($G175,融外自投!$A:$J,7,0),"無")</f>
        <v>872</v>
      </c>
      <c r="P175" s="79" t="str">
        <f>IFERROR(VLOOKUP($G175,融外自投!$A:$J,9,0),"無")</f>
        <v>無</v>
      </c>
      <c r="Q175" s="342">
        <f>IFERROR(VLOOKUP($G175,融外自投!$A:$J,8,0),"無")</f>
        <v>1208</v>
      </c>
      <c r="R175" s="81" t="str">
        <f>IFERROR(VLOOKUP($G175,融外自投!$A:$J,10,0),"無")</f>
        <v>無</v>
      </c>
      <c r="S175" s="324" t="str">
        <f>IFERROR(VLOOKUP($G175,'321買'!$A:$E,4,0),"'沒有資料'")</f>
        <v>'沒有資料'</v>
      </c>
      <c r="T175" s="186">
        <f>IFERROR(VLOOKUP($G175,基本資料!$A:$J,9,0),"無")</f>
        <v>0</v>
      </c>
      <c r="U175" s="307">
        <f t="shared" si="25"/>
        <v>0</v>
      </c>
      <c r="V175" s="94">
        <f>IFERROR(VLOOKUP($G175,基本資料!$A:$J,10,0),"無")</f>
        <v>-2.87</v>
      </c>
      <c r="W175" s="36">
        <f>RTD("money.excel",,"4502","Price")</f>
        <v>37</v>
      </c>
      <c r="X175" s="66"/>
      <c r="Y175" s="15">
        <f t="shared" si="26"/>
        <v>37</v>
      </c>
      <c r="Z175" s="3" t="e">
        <f t="shared" si="27"/>
        <v>#DIV/0!</v>
      </c>
      <c r="AA175" s="340">
        <f>IFERROR(VLOOKUP($G175,基本資料!$A:$M,11,0),"無")</f>
        <v>-19.48</v>
      </c>
      <c r="AB175" s="389">
        <f>IFERROR(VLOOKUP($G175,基本資料!$A:$M,12,0),"無")</f>
        <v>41.38</v>
      </c>
      <c r="AC175" s="16" t="s">
        <v>535</v>
      </c>
      <c r="AF175" s="33">
        <f t="shared" si="28"/>
        <v>0</v>
      </c>
      <c r="AG175" s="43" t="s">
        <v>2511</v>
      </c>
      <c r="AH175" s="66">
        <f t="shared" si="30"/>
        <v>1.3061224489795917</v>
      </c>
      <c r="AI175" s="283">
        <f>RTD("money.excel",,$G175,"PredictVolume")</f>
        <v>16</v>
      </c>
      <c r="AJ175" s="391">
        <f>IFERROR(VLOOKUP($G175,基本資料!$A:$M,13,0),"無")</f>
        <v>12.25</v>
      </c>
      <c r="AR175" s="245" t="str">
        <f>INDEX(基本資料!N:N,MATCH($G175,基本資料!A:A,0))</f>
        <v>低</v>
      </c>
    </row>
    <row r="176" spans="1:44">
      <c r="A176" s="343">
        <f>IFERROR(VLOOKUP($G176,基本資料!$A:$J,3,0),"無")</f>
        <v>3.92</v>
      </c>
      <c r="B176" s="79">
        <f>IFERROR(VLOOKUP($G176,基本資料!$A:$J,4,0),"無")</f>
        <v>-179</v>
      </c>
      <c r="C176" s="79">
        <f>IFERROR(VLOOKUP($G176,基本資料!$A:$J,5,0),"無")</f>
        <v>-59</v>
      </c>
      <c r="D176" s="79">
        <f>IFERROR(VLOOKUP($G176,基本資料!$A:$J,6,0),"無")</f>
        <v>37</v>
      </c>
      <c r="E176" s="79">
        <f>IFERROR(VLOOKUP($G176,基本資料!$A:$J,7,0),"無")</f>
        <v>82</v>
      </c>
      <c r="F176" s="6">
        <f>IFERROR(VLOOKUP($G176,基本資料!$A:$J,8,0),"無")</f>
        <v>-26.88</v>
      </c>
      <c r="G176" s="79">
        <v>4503</v>
      </c>
      <c r="H176" s="8" t="s">
        <v>295</v>
      </c>
      <c r="I176" s="16" t="s">
        <v>536</v>
      </c>
      <c r="J176" s="8">
        <f>IFERROR(VLOOKUP($G176,今日總結!$A:$AN,39,0),"")</f>
        <v>0</v>
      </c>
      <c r="K176" s="5" t="str">
        <f>IFERROR(VLOOKUP($G176,今日總結!$A:$AN,40,0),"")</f>
        <v>券</v>
      </c>
      <c r="L176" s="156">
        <f>IFERROR(VLOOKUP($G176,今日總結!$A:$AN,37,0),"")</f>
        <v>0</v>
      </c>
      <c r="M176" s="337">
        <f>IFERROR(VLOOKUP($G176,今日總結!$A:$AN,38,0),"")</f>
        <v>2</v>
      </c>
      <c r="N176" s="240">
        <f t="shared" si="24"/>
        <v>-2</v>
      </c>
      <c r="O176" s="359">
        <f>IFERROR(VLOOKUP($G176,融外自投!$A:$J,7,0),"無")</f>
        <v>291</v>
      </c>
      <c r="P176" s="79">
        <f>IFERROR(VLOOKUP($G176,融外自投!$A:$J,9,0),"無")</f>
        <v>596</v>
      </c>
      <c r="Q176" s="342">
        <f>IFERROR(VLOOKUP($G176,融外自投!$A:$J,8,0),"無")</f>
        <v>1450</v>
      </c>
      <c r="R176" s="81" t="str">
        <f>IFERROR(VLOOKUP($G176,融外自投!$A:$J,10,0),"無")</f>
        <v>無</v>
      </c>
      <c r="S176" s="324">
        <f>IFERROR(VLOOKUP($G176,'321買'!$A:$E,4,0),"'沒有資料'")</f>
        <v>202</v>
      </c>
      <c r="T176" s="186">
        <f>IFERROR(VLOOKUP($G176,基本資料!$A:$J,9,0),"無")</f>
        <v>0</v>
      </c>
      <c r="U176" s="307">
        <f t="shared" si="25"/>
        <v>0</v>
      </c>
      <c r="V176" s="94">
        <f>IFERROR(VLOOKUP($G176,基本資料!$A:$J,10,0),"無")</f>
        <v>-0.85</v>
      </c>
      <c r="W176" s="36">
        <f>RTD("money.excel",,"4503","Price")</f>
        <v>25.45</v>
      </c>
      <c r="X176" s="66"/>
      <c r="Y176" s="15">
        <f t="shared" si="26"/>
        <v>25.45</v>
      </c>
      <c r="Z176" s="3" t="e">
        <f t="shared" si="27"/>
        <v>#DIV/0!</v>
      </c>
      <c r="AA176" s="340">
        <f>IFERROR(VLOOKUP($G176,基本資料!$A:$M,11,0),"無")</f>
        <v>-38.67</v>
      </c>
      <c r="AB176" s="389">
        <f>IFERROR(VLOOKUP($G176,基本資料!$A:$M,12,0),"無")</f>
        <v>30.93</v>
      </c>
      <c r="AC176" s="16" t="s">
        <v>536</v>
      </c>
      <c r="AF176" s="33">
        <f t="shared" si="28"/>
        <v>0</v>
      </c>
      <c r="AG176" s="43" t="s">
        <v>2512</v>
      </c>
      <c r="AH176" s="66">
        <f t="shared" si="30"/>
        <v>1.549636803874092</v>
      </c>
      <c r="AI176" s="283">
        <f>RTD("money.excel",,$G176,"PredictVolume")</f>
        <v>1120</v>
      </c>
      <c r="AJ176" s="391">
        <f>IFERROR(VLOOKUP($G176,基本資料!$A:$M,13,0),"無")</f>
        <v>722.75</v>
      </c>
      <c r="AR176" s="245" t="str">
        <f>INDEX(基本資料!N:N,MATCH($G176,基本資料!A:A,0))</f>
        <v>中</v>
      </c>
    </row>
    <row r="177" spans="1:44">
      <c r="A177" s="343">
        <f>IFERROR(VLOOKUP($G177,基本資料!$A:$J,3,0),"無")</f>
        <v>17.7</v>
      </c>
      <c r="B177" s="79">
        <f>IFERROR(VLOOKUP($G177,基本資料!$A:$J,4,0),"無")</f>
        <v>7</v>
      </c>
      <c r="C177" s="79">
        <f>IFERROR(VLOOKUP($G177,基本資料!$A:$J,5,0),"無")</f>
        <v>6</v>
      </c>
      <c r="D177" s="79">
        <f>IFERROR(VLOOKUP($G177,基本資料!$A:$J,6,0),"無")</f>
        <v>-9</v>
      </c>
      <c r="E177" s="79">
        <f>IFERROR(VLOOKUP($G177,基本資料!$A:$J,7,0),"無")</f>
        <v>9</v>
      </c>
      <c r="F177" s="6">
        <f>IFERROR(VLOOKUP($G177,基本資料!$A:$J,8,0),"無")</f>
        <v>19.29</v>
      </c>
      <c r="G177" s="79">
        <v>4506</v>
      </c>
      <c r="H177" s="8" t="s">
        <v>295</v>
      </c>
      <c r="I177" s="16" t="s">
        <v>3594</v>
      </c>
      <c r="J177" s="8">
        <f>IFERROR(VLOOKUP($G177,今日總結!$A:$AN,39,0),"")</f>
        <v>0</v>
      </c>
      <c r="K177" s="5">
        <f>IFERROR(VLOOKUP($G177,今日總結!$A:$AN,40,0),"")</f>
        <v>0</v>
      </c>
      <c r="L177" s="156">
        <f>IFERROR(VLOOKUP($G177,今日總結!$A:$AN,37,0),"")</f>
        <v>0</v>
      </c>
      <c r="M177" s="337">
        <f>IFERROR(VLOOKUP($G177,今日總結!$A:$AN,38,0),"")</f>
        <v>0</v>
      </c>
      <c r="N177" s="240">
        <f t="shared" si="24"/>
        <v>0</v>
      </c>
      <c r="O177" s="359">
        <f>IFERROR(VLOOKUP($G177,融外自投!$A:$J,7,0),"無")</f>
        <v>1450</v>
      </c>
      <c r="P177" s="79" t="str">
        <f>IFERROR(VLOOKUP($G177,融外自投!$A:$J,9,0),"無")</f>
        <v>無</v>
      </c>
      <c r="Q177" s="342">
        <f>IFERROR(VLOOKUP($G177,融外自投!$A:$J,8,0),"無")</f>
        <v>788</v>
      </c>
      <c r="R177" s="81">
        <f>IFERROR(VLOOKUP($G177,融外自投!$A:$J,10,0),"無")</f>
        <v>219</v>
      </c>
      <c r="S177" s="324">
        <f>IFERROR(VLOOKUP($G177,'321買'!$A:$E,4,0),"'沒有資料'")</f>
        <v>1002</v>
      </c>
      <c r="T177" s="186">
        <f>IFERROR(VLOOKUP($G177,基本資料!$A:$J,9,0),"無")</f>
        <v>3.2</v>
      </c>
      <c r="U177" s="307">
        <f t="shared" si="25"/>
        <v>4.7337278106508882E-2</v>
      </c>
      <c r="V177" s="94">
        <f>IFERROR(VLOOKUP($G177,基本資料!$A:$J,10,0),"無")</f>
        <v>4.3899999999999997</v>
      </c>
      <c r="W177" s="36">
        <f>RTD("money.excel",,"4506","Price")</f>
        <v>67.599999999999994</v>
      </c>
      <c r="X177" s="66"/>
      <c r="Y177" s="15">
        <f t="shared" si="26"/>
        <v>67.599999999999994</v>
      </c>
      <c r="Z177" s="3" t="e">
        <f t="shared" si="27"/>
        <v>#DIV/0!</v>
      </c>
      <c r="AA177" s="340">
        <f>IFERROR(VLOOKUP($G177,基本資料!$A:$M,11,0),"無")</f>
        <v>-6.37</v>
      </c>
      <c r="AB177" s="389">
        <f>IFERROR(VLOOKUP($G177,基本資料!$A:$M,12,0),"無")</f>
        <v>43.07</v>
      </c>
      <c r="AC177" s="16" t="s">
        <v>3594</v>
      </c>
      <c r="AF177" s="33">
        <f t="shared" si="28"/>
        <v>0</v>
      </c>
      <c r="AG177" s="117" t="s">
        <v>2379</v>
      </c>
      <c r="AH177" s="66">
        <f t="shared" si="30"/>
        <v>0.33898305084745761</v>
      </c>
      <c r="AI177" s="283">
        <f>RTD("money.excel",,$G177,"PredictVolume")</f>
        <v>15</v>
      </c>
      <c r="AJ177" s="391">
        <f>IFERROR(VLOOKUP($G177,基本資料!$A:$M,13,0),"無")</f>
        <v>44.25</v>
      </c>
      <c r="AR177" s="245" t="str">
        <f>INDEX(基本資料!N:N,MATCH($G177,基本資料!A:A,0))</f>
        <v>高</v>
      </c>
    </row>
    <row r="178" spans="1:44">
      <c r="A178" s="343">
        <f>IFERROR(VLOOKUP($G178,基本資料!$A:$J,3,0),"無")</f>
        <v>10.8</v>
      </c>
      <c r="B178" s="79">
        <f>IFERROR(VLOOKUP($G178,基本資料!$A:$J,4,0),"無")</f>
        <v>-200</v>
      </c>
      <c r="C178" s="79">
        <f>IFERROR(VLOOKUP($G178,基本資料!$A:$J,5,0),"無")</f>
        <v>61</v>
      </c>
      <c r="D178" s="79">
        <f>IFERROR(VLOOKUP($G178,基本資料!$A:$J,6,0),"無")</f>
        <v>-9</v>
      </c>
      <c r="E178" s="79">
        <f>IFERROR(VLOOKUP($G178,基本資料!$A:$J,7,0),"無")</f>
        <v>6</v>
      </c>
      <c r="F178" s="6">
        <f>IFERROR(VLOOKUP($G178,基本資料!$A:$J,8,0),"無")</f>
        <v>-1.02</v>
      </c>
      <c r="G178" s="79">
        <v>4510</v>
      </c>
      <c r="H178" s="8" t="s">
        <v>295</v>
      </c>
      <c r="I178" s="16" t="s">
        <v>537</v>
      </c>
      <c r="J178" s="8">
        <f>IFERROR(VLOOKUP($G178,今日總結!$A:$AN,39,0),"")</f>
        <v>0</v>
      </c>
      <c r="K178" s="5">
        <f>IFERROR(VLOOKUP($G178,今日總結!$A:$AN,40,0),"")</f>
        <v>0</v>
      </c>
      <c r="L178" s="156">
        <f>IFERROR(VLOOKUP($G178,今日總結!$A:$AN,37,0),"")</f>
        <v>0</v>
      </c>
      <c r="M178" s="337">
        <f>IFERROR(VLOOKUP($G178,今日總結!$A:$AN,38,0),"")</f>
        <v>0</v>
      </c>
      <c r="N178" s="240">
        <f t="shared" si="24"/>
        <v>0</v>
      </c>
      <c r="O178" s="359">
        <f>IFERROR(VLOOKUP($G178,融外自投!$A:$J,7,0),"無")</f>
        <v>906</v>
      </c>
      <c r="P178" s="79">
        <f>IFERROR(VLOOKUP($G178,融外自投!$A:$J,9,0),"無")</f>
        <v>1051</v>
      </c>
      <c r="Q178" s="342">
        <f>IFERROR(VLOOKUP($G178,融外自投!$A:$J,8,0),"無")</f>
        <v>1008</v>
      </c>
      <c r="R178" s="81" t="str">
        <f>IFERROR(VLOOKUP($G178,融外自投!$A:$J,10,0),"無")</f>
        <v>無</v>
      </c>
      <c r="S178" s="324">
        <f>IFERROR(VLOOKUP($G178,'321買'!$A:$E,4,0),"'沒有資料'")</f>
        <v>1002</v>
      </c>
      <c r="T178" s="186">
        <f>IFERROR(VLOOKUP($G178,基本資料!$A:$J,9,0),"無")</f>
        <v>0</v>
      </c>
      <c r="U178" s="307">
        <f t="shared" si="25"/>
        <v>0</v>
      </c>
      <c r="V178" s="94">
        <f>IFERROR(VLOOKUP($G178,基本資料!$A:$J,10,0),"無")</f>
        <v>-0.33</v>
      </c>
      <c r="W178" s="36">
        <f>RTD("money.excel",,"4510","Price")</f>
        <v>11.1</v>
      </c>
      <c r="X178" s="66"/>
      <c r="Y178" s="15">
        <f t="shared" si="26"/>
        <v>11.1</v>
      </c>
      <c r="Z178" s="3" t="e">
        <f t="shared" si="27"/>
        <v>#DIV/0!</v>
      </c>
      <c r="AA178" s="340">
        <f>IFERROR(VLOOKUP($G178,基本資料!$A:$M,11,0),"無")</f>
        <v>-11.2</v>
      </c>
      <c r="AB178" s="389">
        <f>IFERROR(VLOOKUP($G178,基本資料!$A:$M,12,0),"無")</f>
        <v>22.87</v>
      </c>
      <c r="AC178" s="16" t="s">
        <v>537</v>
      </c>
      <c r="AF178" s="33">
        <f t="shared" si="28"/>
        <v>0</v>
      </c>
      <c r="AG178" s="43" t="s">
        <v>3041</v>
      </c>
      <c r="AH178" s="66">
        <f t="shared" si="30"/>
        <v>1.0158013544018059</v>
      </c>
      <c r="AI178" s="283">
        <f>RTD("money.excel",,$G178,"PredictVolume")</f>
        <v>90</v>
      </c>
      <c r="AJ178" s="391">
        <f>IFERROR(VLOOKUP($G178,基本資料!$A:$M,13,0),"無")</f>
        <v>88.6</v>
      </c>
      <c r="AR178" s="245" t="str">
        <f>INDEX(基本資料!N:N,MATCH($G178,基本資料!A:A,0))</f>
        <v>中</v>
      </c>
    </row>
    <row r="179" spans="1:44">
      <c r="A179" s="343">
        <f>IFERROR(VLOOKUP($G179,基本資料!$A:$J,3,0),"無")</f>
        <v>7.68</v>
      </c>
      <c r="B179" s="79">
        <f>IFERROR(VLOOKUP($G179,基本資料!$A:$J,4,0),"無")</f>
        <v>187</v>
      </c>
      <c r="C179" s="79">
        <f>IFERROR(VLOOKUP($G179,基本資料!$A:$J,5,0),"無")</f>
        <v>221</v>
      </c>
      <c r="D179" s="79">
        <f>IFERROR(VLOOKUP($G179,基本資料!$A:$J,6,0),"無")</f>
        <v>-14</v>
      </c>
      <c r="E179" s="79">
        <f>IFERROR(VLOOKUP($G179,基本資料!$A:$J,7,0),"無")</f>
        <v>21</v>
      </c>
      <c r="F179" s="6">
        <f>IFERROR(VLOOKUP($G179,基本資料!$A:$J,8,0),"無")</f>
        <v>2.86</v>
      </c>
      <c r="G179" s="79">
        <v>4513</v>
      </c>
      <c r="H179" s="8" t="s">
        <v>295</v>
      </c>
      <c r="I179" s="16" t="s">
        <v>538</v>
      </c>
      <c r="J179" s="8">
        <f>IFERROR(VLOOKUP($G179,今日總結!$A:$AN,39,0),"")</f>
        <v>0</v>
      </c>
      <c r="K179" s="5">
        <f>IFERROR(VLOOKUP($G179,今日總結!$A:$AN,40,0),"")</f>
        <v>5</v>
      </c>
      <c r="L179" s="156">
        <f>IFERROR(VLOOKUP($G179,今日總結!$A:$AN,37,0),"")</f>
        <v>0</v>
      </c>
      <c r="M179" s="337">
        <f>IFERROR(VLOOKUP($G179,今日總結!$A:$AN,38,0),"")</f>
        <v>1</v>
      </c>
      <c r="N179" s="240">
        <f t="shared" si="24"/>
        <v>-1</v>
      </c>
      <c r="O179" s="359">
        <f>IFERROR(VLOOKUP($G179,融外自投!$A:$J,7,0),"無")</f>
        <v>649</v>
      </c>
      <c r="P179" s="79">
        <f>IFERROR(VLOOKUP($G179,融外自投!$A:$J,9,0),"無")</f>
        <v>635</v>
      </c>
      <c r="Q179" s="342">
        <f>IFERROR(VLOOKUP($G179,融外自投!$A:$J,8,0),"無")</f>
        <v>566</v>
      </c>
      <c r="R179" s="81" t="str">
        <f>IFERROR(VLOOKUP($G179,融外自投!$A:$J,10,0),"無")</f>
        <v>無</v>
      </c>
      <c r="S179" s="324">
        <f>IFERROR(VLOOKUP($G179,'321買'!$A:$E,4,0),"'沒有資料'")</f>
        <v>130</v>
      </c>
      <c r="T179" s="186">
        <f>IFERROR(VLOOKUP($G179,基本資料!$A:$J,9,0),"無")</f>
        <v>0</v>
      </c>
      <c r="U179" s="307">
        <f t="shared" si="25"/>
        <v>0</v>
      </c>
      <c r="V179" s="94">
        <f>IFERROR(VLOOKUP($G179,基本資料!$A:$J,10,0),"無")</f>
        <v>0.44</v>
      </c>
      <c r="W179" s="36">
        <f>RTD("money.excel",,"4513","Price")</f>
        <v>18.5</v>
      </c>
      <c r="X179" s="66"/>
      <c r="Y179" s="15">
        <f t="shared" si="26"/>
        <v>18.5</v>
      </c>
      <c r="Z179" s="3" t="e">
        <f t="shared" si="27"/>
        <v>#DIV/0!</v>
      </c>
      <c r="AA179" s="340">
        <f>IFERROR(VLOOKUP($G179,基本資料!$A:$M,11,0),"無")</f>
        <v>-16.670000000000002</v>
      </c>
      <c r="AB179" s="389">
        <f>IFERROR(VLOOKUP($G179,基本資料!$A:$M,12,0),"無")</f>
        <v>38.35</v>
      </c>
      <c r="AC179" s="16" t="s">
        <v>538</v>
      </c>
      <c r="AF179" s="33">
        <f t="shared" si="28"/>
        <v>0</v>
      </c>
      <c r="AG179" s="43" t="s">
        <v>2514</v>
      </c>
      <c r="AH179" s="66">
        <f t="shared" si="30"/>
        <v>0.53905053598774888</v>
      </c>
      <c r="AI179" s="283">
        <f>RTD("money.excel",,$G179,"PredictVolume")</f>
        <v>440</v>
      </c>
      <c r="AJ179" s="391">
        <f>IFERROR(VLOOKUP($G179,基本資料!$A:$M,13,0),"無")</f>
        <v>816.25</v>
      </c>
      <c r="AR179" s="245" t="str">
        <f>INDEX(基本資料!N:N,MATCH($G179,基本資料!A:A,0))</f>
        <v>高</v>
      </c>
    </row>
    <row r="180" spans="1:44">
      <c r="A180" s="343">
        <f>IFERROR(VLOOKUP($G180,基本資料!$A:$J,3,0),"無")</f>
        <v>6.4</v>
      </c>
      <c r="B180" s="79">
        <f>IFERROR(VLOOKUP($G180,基本資料!$A:$J,4,0),"無")</f>
        <v>95</v>
      </c>
      <c r="C180" s="79">
        <f>IFERROR(VLOOKUP($G180,基本資料!$A:$J,5,0),"無")</f>
        <v>73</v>
      </c>
      <c r="D180" s="79">
        <f>IFERROR(VLOOKUP($G180,基本資料!$A:$J,6,0),"無")</f>
        <v>-29</v>
      </c>
      <c r="E180" s="79">
        <f>IFERROR(VLOOKUP($G180,基本資料!$A:$J,7,0),"無")</f>
        <v>-18</v>
      </c>
      <c r="F180" s="6">
        <f>IFERROR(VLOOKUP($G180,基本資料!$A:$J,8,0),"無")</f>
        <v>-9.92</v>
      </c>
      <c r="G180" s="79">
        <v>4523</v>
      </c>
      <c r="H180" s="8" t="s">
        <v>295</v>
      </c>
      <c r="I180" s="16" t="s">
        <v>539</v>
      </c>
      <c r="J180" s="8">
        <f>IFERROR(VLOOKUP($G180,今日總結!$A:$AN,39,0),"")</f>
        <v>0</v>
      </c>
      <c r="K180" s="5">
        <f>IFERROR(VLOOKUP($G180,今日總結!$A:$AN,40,0),"")</f>
        <v>0</v>
      </c>
      <c r="L180" s="156">
        <f>IFERROR(VLOOKUP($G180,今日總結!$A:$AN,37,0),"")</f>
        <v>0</v>
      </c>
      <c r="M180" s="337">
        <f>IFERROR(VLOOKUP($G180,今日總結!$A:$AN,38,0),"")</f>
        <v>0</v>
      </c>
      <c r="N180" s="240">
        <f t="shared" si="24"/>
        <v>0</v>
      </c>
      <c r="O180" s="359">
        <f>IFERROR(VLOOKUP($G180,融外自投!$A:$J,7,0),"無")</f>
        <v>28</v>
      </c>
      <c r="P180" s="79">
        <f>IFERROR(VLOOKUP($G180,融外自投!$A:$J,9,0),"無")</f>
        <v>990</v>
      </c>
      <c r="Q180" s="342">
        <f>IFERROR(VLOOKUP($G180,融外自投!$A:$J,8,0),"無")</f>
        <v>1070</v>
      </c>
      <c r="R180" s="81" t="str">
        <f>IFERROR(VLOOKUP($G180,融外自投!$A:$J,10,0),"無")</f>
        <v>無</v>
      </c>
      <c r="S180" s="324">
        <f>IFERROR(VLOOKUP($G180,'321買'!$A:$E,4,0),"'沒有資料'")</f>
        <v>1002</v>
      </c>
      <c r="T180" s="186">
        <f>IFERROR(VLOOKUP($G180,基本資料!$A:$J,9,0),"無")</f>
        <v>0</v>
      </c>
      <c r="U180" s="307">
        <f t="shared" si="25"/>
        <v>0</v>
      </c>
      <c r="V180" s="94">
        <f>IFERROR(VLOOKUP($G180,基本資料!$A:$J,10,0),"無")</f>
        <v>-0.22</v>
      </c>
      <c r="W180" s="36">
        <f>RTD("money.excel",,"4523","Price")</f>
        <v>26.25</v>
      </c>
      <c r="X180" s="66"/>
      <c r="Y180" s="15">
        <f t="shared" si="26"/>
        <v>26.25</v>
      </c>
      <c r="Z180" s="3" t="e">
        <f t="shared" si="27"/>
        <v>#DIV/0!</v>
      </c>
      <c r="AA180" s="340">
        <f>IFERROR(VLOOKUP($G180,基本資料!$A:$M,11,0),"無")</f>
        <v>-18.73</v>
      </c>
      <c r="AB180" s="389">
        <f>IFERROR(VLOOKUP($G180,基本資料!$A:$M,12,0),"無")</f>
        <v>37.08</v>
      </c>
      <c r="AC180" s="16" t="s">
        <v>539</v>
      </c>
      <c r="AF180" s="33">
        <f t="shared" si="28"/>
        <v>0</v>
      </c>
      <c r="AG180" s="43" t="s">
        <v>2515</v>
      </c>
      <c r="AH180" s="66">
        <f t="shared" si="30"/>
        <v>2.0238095238095237</v>
      </c>
      <c r="AI180" s="283">
        <f>RTD("money.excel",,$G180,"PredictVolume")</f>
        <v>17</v>
      </c>
      <c r="AJ180" s="391">
        <f>IFERROR(VLOOKUP($G180,基本資料!$A:$M,13,0),"無")</f>
        <v>8.4</v>
      </c>
      <c r="AR180" s="245" t="str">
        <f>INDEX(基本資料!N:N,MATCH($G180,基本資料!A:A,0))</f>
        <v>低</v>
      </c>
    </row>
    <row r="181" spans="1:44">
      <c r="A181" s="343">
        <f>IFERROR(VLOOKUP($G181,基本資料!$A:$J,3,0),"無")</f>
        <v>25.48</v>
      </c>
      <c r="B181" s="79">
        <f>IFERROR(VLOOKUP($G181,基本資料!$A:$J,4,0),"無")</f>
        <v>139</v>
      </c>
      <c r="C181" s="79">
        <f>IFERROR(VLOOKUP($G181,基本資料!$A:$J,5,0),"無")</f>
        <v>125</v>
      </c>
      <c r="D181" s="79">
        <f>IFERROR(VLOOKUP($G181,基本資料!$A:$J,6,0),"無")</f>
        <v>-25</v>
      </c>
      <c r="E181" s="79">
        <f>IFERROR(VLOOKUP($G181,基本資料!$A:$J,7,0),"無")</f>
        <v>-38</v>
      </c>
      <c r="F181" s="6">
        <f>IFERROR(VLOOKUP($G181,基本資料!$A:$J,8,0),"無")</f>
        <v>1.75</v>
      </c>
      <c r="G181" s="79">
        <v>4526</v>
      </c>
      <c r="H181" s="8" t="s">
        <v>295</v>
      </c>
      <c r="I181" s="22" t="s">
        <v>578</v>
      </c>
      <c r="J181" s="8">
        <f>IFERROR(VLOOKUP($G181,今日總結!$A:$AN,39,0),"")</f>
        <v>0</v>
      </c>
      <c r="K181" s="5" t="str">
        <f>IFERROR(VLOOKUP($G181,今日總結!$A:$AN,40,0),"")</f>
        <v>主自</v>
      </c>
      <c r="L181" s="156">
        <f>IFERROR(VLOOKUP($G181,今日總結!$A:$AN,37,0),"")</f>
        <v>0</v>
      </c>
      <c r="M181" s="337">
        <f>IFERROR(VLOOKUP($G181,今日總結!$A:$AN,38,0),"")</f>
        <v>7</v>
      </c>
      <c r="N181" s="240">
        <f t="shared" si="24"/>
        <v>-7</v>
      </c>
      <c r="O181" s="359">
        <f>IFERROR(VLOOKUP($G181,融外自投!$A:$J,7,0),"無")</f>
        <v>960</v>
      </c>
      <c r="P181" s="79">
        <f>IFERROR(VLOOKUP($G181,融外自投!$A:$J,9,0),"無")</f>
        <v>1123</v>
      </c>
      <c r="Q181" s="342">
        <f>IFERROR(VLOOKUP($G181,融外自投!$A:$J,8,0),"無")</f>
        <v>637</v>
      </c>
      <c r="R181" s="81" t="str">
        <f>IFERROR(VLOOKUP($G181,融外自投!$A:$J,10,0),"無")</f>
        <v>無</v>
      </c>
      <c r="S181" s="324">
        <f>IFERROR(VLOOKUP($G181,'321買'!$A:$E,4,0),"'沒有資料'")</f>
        <v>1002</v>
      </c>
      <c r="T181" s="186">
        <f>IFERROR(VLOOKUP($G181,基本資料!$A:$J,9,0),"無")</f>
        <v>0.2</v>
      </c>
      <c r="U181" s="307">
        <f t="shared" si="25"/>
        <v>1.3840830449826992E-2</v>
      </c>
      <c r="V181" s="94">
        <f>IFERROR(VLOOKUP($G181,基本資料!$A:$J,10,0),"無")</f>
        <v>0.68</v>
      </c>
      <c r="W181" s="36">
        <f>RTD("money.excel",,"4526","Price")</f>
        <v>14.45</v>
      </c>
      <c r="X181" s="66"/>
      <c r="Y181" s="15">
        <f t="shared" si="26"/>
        <v>14.45</v>
      </c>
      <c r="Z181" s="3" t="e">
        <f t="shared" si="27"/>
        <v>#DIV/0!</v>
      </c>
      <c r="AA181" s="340">
        <f>IFERROR(VLOOKUP($G181,基本資料!$A:$M,11,0),"無")</f>
        <v>-25.9</v>
      </c>
      <c r="AB181" s="389">
        <f>IFERROR(VLOOKUP($G181,基本資料!$A:$M,12,0),"無")</f>
        <v>5.86</v>
      </c>
      <c r="AC181" s="22" t="s">
        <v>578</v>
      </c>
      <c r="AF181" s="33">
        <f t="shared" si="28"/>
        <v>0</v>
      </c>
      <c r="AG181" s="43" t="s">
        <v>2112</v>
      </c>
      <c r="AH181" s="66">
        <f t="shared" si="30"/>
        <v>1.4390150057714506</v>
      </c>
      <c r="AI181" s="283">
        <f>RTD("money.excel",,$G181,"PredictVolume")</f>
        <v>187</v>
      </c>
      <c r="AJ181" s="391">
        <f>IFERROR(VLOOKUP($G181,基本資料!$A:$M,13,0),"無")</f>
        <v>129.94999999999999</v>
      </c>
      <c r="AR181" s="245" t="str">
        <f>INDEX(基本資料!N:N,MATCH($G181,基本資料!A:A,0))</f>
        <v>低</v>
      </c>
    </row>
    <row r="182" spans="1:44">
      <c r="A182" s="343">
        <f>IFERROR(VLOOKUP($G182,基本資料!$A:$J,3,0),"無")</f>
        <v>7.61</v>
      </c>
      <c r="B182" s="79">
        <f>IFERROR(VLOOKUP($G182,基本資料!$A:$J,4,0),"無")</f>
        <v>-28</v>
      </c>
      <c r="C182" s="79">
        <f>IFERROR(VLOOKUP($G182,基本資料!$A:$J,5,0),"無")</f>
        <v>-27</v>
      </c>
      <c r="D182" s="79">
        <f>IFERROR(VLOOKUP($G182,基本資料!$A:$J,6,0),"無")</f>
        <v>-44</v>
      </c>
      <c r="E182" s="79">
        <f>IFERROR(VLOOKUP($G182,基本資料!$A:$J,7,0),"無")</f>
        <v>-20</v>
      </c>
      <c r="F182" s="6">
        <f>IFERROR(VLOOKUP($G182,基本資料!$A:$J,8,0),"無")</f>
        <v>6.93</v>
      </c>
      <c r="G182" s="79">
        <v>4527</v>
      </c>
      <c r="H182" s="8" t="s">
        <v>295</v>
      </c>
      <c r="I182" s="16" t="s">
        <v>540</v>
      </c>
      <c r="J182" s="8">
        <f>IFERROR(VLOOKUP($G182,今日總結!$A:$AN,39,0),"")</f>
        <v>0</v>
      </c>
      <c r="K182" s="5">
        <f>IFERROR(VLOOKUP($G182,今日總結!$A:$AN,40,0),"")</f>
        <v>0</v>
      </c>
      <c r="L182" s="156">
        <f>IFERROR(VLOOKUP($G182,今日總結!$A:$AN,37,0),"")</f>
        <v>0</v>
      </c>
      <c r="M182" s="337">
        <f>IFERROR(VLOOKUP($G182,今日總結!$A:$AN,38,0),"")</f>
        <v>0</v>
      </c>
      <c r="N182" s="240">
        <f t="shared" si="24"/>
        <v>0</v>
      </c>
      <c r="O182" s="359">
        <f>IFERROR(VLOOKUP($G182,融外自投!$A:$J,7,0),"無")</f>
        <v>1404</v>
      </c>
      <c r="P182" s="79">
        <f>IFERROR(VLOOKUP($G182,融外自投!$A:$J,9,0),"無")</f>
        <v>869</v>
      </c>
      <c r="Q182" s="342">
        <f>IFERROR(VLOOKUP($G182,融外自投!$A:$J,8,0),"無")</f>
        <v>1051</v>
      </c>
      <c r="R182" s="81" t="str">
        <f>IFERROR(VLOOKUP($G182,融外自投!$A:$J,10,0),"無")</f>
        <v>無</v>
      </c>
      <c r="S182" s="324">
        <f>IFERROR(VLOOKUP($G182,'321買'!$A:$E,4,0),"'沒有資料'")</f>
        <v>1002</v>
      </c>
      <c r="T182" s="186">
        <f>IFERROR(VLOOKUP($G182,基本資料!$A:$J,9,0),"無")</f>
        <v>1.8</v>
      </c>
      <c r="U182" s="307">
        <f t="shared" si="25"/>
        <v>6.5934065934065936E-2</v>
      </c>
      <c r="V182" s="94">
        <f>IFERROR(VLOOKUP($G182,基本資料!$A:$J,10,0),"無")</f>
        <v>1.98</v>
      </c>
      <c r="W182" s="36">
        <f>RTD("money.excel",,"4527","Price")</f>
        <v>27.3</v>
      </c>
      <c r="X182" s="66"/>
      <c r="Y182" s="15">
        <f t="shared" si="26"/>
        <v>27.3</v>
      </c>
      <c r="Z182" s="3" t="e">
        <f t="shared" si="27"/>
        <v>#DIV/0!</v>
      </c>
      <c r="AA182" s="340">
        <f>IFERROR(VLOOKUP($G182,基本資料!$A:$M,11,0),"無")</f>
        <v>-9.75</v>
      </c>
      <c r="AB182" s="389">
        <f>IFERROR(VLOOKUP($G182,基本資料!$A:$M,12,0),"無")</f>
        <v>22.43</v>
      </c>
      <c r="AC182" s="16" t="s">
        <v>540</v>
      </c>
      <c r="AF182" s="33">
        <f t="shared" si="28"/>
        <v>0</v>
      </c>
      <c r="AG182" s="43" t="s">
        <v>2516</v>
      </c>
      <c r="AH182" s="66">
        <f t="shared" si="30"/>
        <v>1.1111111111111112</v>
      </c>
      <c r="AI182" s="283">
        <f>RTD("money.excel",,$G182,"PredictVolume")</f>
        <v>36</v>
      </c>
      <c r="AJ182" s="391">
        <f>IFERROR(VLOOKUP($G182,基本資料!$A:$M,13,0),"無")</f>
        <v>32.4</v>
      </c>
      <c r="AR182" s="245" t="str">
        <f>INDEX(基本資料!N:N,MATCH($G182,基本資料!A:A,0))</f>
        <v>低</v>
      </c>
    </row>
    <row r="183" spans="1:44">
      <c r="A183" s="343">
        <f>IFERROR(VLOOKUP($G183,基本資料!$A:$J,3,0),"無")</f>
        <v>7.65</v>
      </c>
      <c r="B183" s="79">
        <f>IFERROR(VLOOKUP($G183,基本資料!$A:$J,4,0),"無")</f>
        <v>-22</v>
      </c>
      <c r="C183" s="79">
        <f>IFERROR(VLOOKUP($G183,基本資料!$A:$J,5,0),"無")</f>
        <v>-20</v>
      </c>
      <c r="D183" s="79">
        <f>IFERROR(VLOOKUP($G183,基本資料!$A:$J,6,0),"無")</f>
        <v>9</v>
      </c>
      <c r="E183" s="79">
        <f>IFERROR(VLOOKUP($G183,基本資料!$A:$J,7,0),"無")</f>
        <v>-15</v>
      </c>
      <c r="F183" s="6">
        <f>IFERROR(VLOOKUP($G183,基本資料!$A:$J,8,0),"無")</f>
        <v>8.74</v>
      </c>
      <c r="G183" s="79">
        <v>4528</v>
      </c>
      <c r="H183" s="8" t="s">
        <v>295</v>
      </c>
      <c r="I183" s="16" t="s">
        <v>3595</v>
      </c>
      <c r="J183" s="8" t="str">
        <f>IFERROR(VLOOKUP($G183,今日總結!$A:$AN,39,0),"")</f>
        <v/>
      </c>
      <c r="K183" s="5" t="str">
        <f>IFERROR(VLOOKUP($G183,今日總結!$A:$AN,40,0),"")</f>
        <v/>
      </c>
      <c r="L183" s="156" t="str">
        <f>IFERROR(VLOOKUP($G183,今日總結!$A:$AN,37,0),"")</f>
        <v/>
      </c>
      <c r="M183" s="337" t="str">
        <f>IFERROR(VLOOKUP($G183,今日總結!$A:$AN,38,0),"")</f>
        <v/>
      </c>
      <c r="N183" s="240" t="str">
        <f t="shared" si="24"/>
        <v/>
      </c>
      <c r="O183" s="359">
        <f>IFERROR(VLOOKUP($G183,融外自投!$A:$J,7,0),"無")</f>
        <v>1086</v>
      </c>
      <c r="P183" s="79">
        <f>IFERROR(VLOOKUP($G183,融外自投!$A:$J,9,0),"無")</f>
        <v>478</v>
      </c>
      <c r="Q183" s="342">
        <f>IFERROR(VLOOKUP($G183,融外自投!$A:$J,8,0),"無")</f>
        <v>1265</v>
      </c>
      <c r="R183" s="81" t="str">
        <f>IFERROR(VLOOKUP($G183,融外自投!$A:$J,10,0),"無")</f>
        <v>無</v>
      </c>
      <c r="S183" s="324" t="str">
        <f>IFERROR(VLOOKUP($G183,'321買'!$A:$E,4,0),"'沒有資料'")</f>
        <v>'沒有資料'</v>
      </c>
      <c r="T183" s="186">
        <f>IFERROR(VLOOKUP($G183,基本資料!$A:$J,9,0),"無")</f>
        <v>1.5</v>
      </c>
      <c r="U183" s="307">
        <f t="shared" si="25"/>
        <v>4.3227665706051868E-2</v>
      </c>
      <c r="V183" s="94">
        <f>IFERROR(VLOOKUP($G183,基本資料!$A:$J,10,0),"無")</f>
        <v>2.37</v>
      </c>
      <c r="W183" s="36">
        <f>RTD("money.excel",,"4528","Price")</f>
        <v>34.700000000000003</v>
      </c>
      <c r="X183" s="66"/>
      <c r="Y183" s="15">
        <f t="shared" si="26"/>
        <v>34.700000000000003</v>
      </c>
      <c r="Z183" s="3" t="e">
        <f t="shared" si="27"/>
        <v>#DIV/0!</v>
      </c>
      <c r="AA183" s="340">
        <f>IFERROR(VLOOKUP($G183,基本資料!$A:$M,11,0),"無")</f>
        <v>-27.78</v>
      </c>
      <c r="AB183" s="389">
        <f>IFERROR(VLOOKUP($G183,基本資料!$A:$M,12,0),"無")</f>
        <v>17.14</v>
      </c>
      <c r="AC183" s="16" t="s">
        <v>3595</v>
      </c>
      <c r="AF183" s="33">
        <f t="shared" si="28"/>
        <v>0</v>
      </c>
      <c r="AG183" s="117" t="s">
        <v>2890</v>
      </c>
      <c r="AH183" s="66">
        <f t="shared" si="30"/>
        <v>0.53497942386831276</v>
      </c>
      <c r="AI183" s="283">
        <f>RTD("money.excel",,$G183,"PredictVolume")</f>
        <v>13</v>
      </c>
      <c r="AJ183" s="391">
        <f>IFERROR(VLOOKUP($G183,基本資料!$A:$M,13,0),"無")</f>
        <v>24.3</v>
      </c>
      <c r="AR183" s="245" t="str">
        <f>INDEX(基本資料!N:N,MATCH($G183,基本資料!A:A,0))</f>
        <v>低</v>
      </c>
    </row>
    <row r="184" spans="1:44">
      <c r="A184" s="343">
        <f>IFERROR(VLOOKUP($G184,基本資料!$A:$J,3,0),"無")</f>
        <v>4.9400000000000004</v>
      </c>
      <c r="B184" s="79">
        <f>IFERROR(VLOOKUP($G184,基本資料!$A:$J,4,0),"無")</f>
        <v>10</v>
      </c>
      <c r="C184" s="79">
        <f>IFERROR(VLOOKUP($G184,基本資料!$A:$J,5,0),"無")</f>
        <v>-101</v>
      </c>
      <c r="D184" s="79">
        <f>IFERROR(VLOOKUP($G184,基本資料!$A:$J,6,0),"無")</f>
        <v>14</v>
      </c>
      <c r="E184" s="79">
        <f>IFERROR(VLOOKUP($G184,基本資料!$A:$J,7,0),"無")</f>
        <v>-1</v>
      </c>
      <c r="F184" s="6">
        <f>IFERROR(VLOOKUP($G184,基本資料!$A:$J,8,0),"無")</f>
        <v>-17.98</v>
      </c>
      <c r="G184" s="79">
        <v>4530</v>
      </c>
      <c r="H184" s="8" t="s">
        <v>295</v>
      </c>
      <c r="I184" s="16" t="s">
        <v>541</v>
      </c>
      <c r="J184" s="8" t="str">
        <f>IFERROR(VLOOKUP($G184,今日總結!$A:$AN,39,0),"")</f>
        <v/>
      </c>
      <c r="K184" s="5" t="str">
        <f>IFERROR(VLOOKUP($G184,今日總結!$A:$AN,40,0),"")</f>
        <v/>
      </c>
      <c r="L184" s="156" t="str">
        <f>IFERROR(VLOOKUP($G184,今日總結!$A:$AN,37,0),"")</f>
        <v/>
      </c>
      <c r="M184" s="337" t="str">
        <f>IFERROR(VLOOKUP($G184,今日總結!$A:$AN,38,0),"")</f>
        <v/>
      </c>
      <c r="N184" s="240" t="str">
        <f t="shared" ref="N184:N207" si="31">IFERROR(L184-M184,"")</f>
        <v/>
      </c>
      <c r="O184" s="359" t="str">
        <f>IFERROR(VLOOKUP($G184,融外自投!$A:$J,7,0),"無")</f>
        <v>無</v>
      </c>
      <c r="P184" s="79" t="str">
        <f>IFERROR(VLOOKUP($G184,融外自投!$A:$J,9,0),"無")</f>
        <v>無</v>
      </c>
      <c r="Q184" s="342" t="str">
        <f>IFERROR(VLOOKUP($G184,融外自投!$A:$J,8,0),"無")</f>
        <v>無</v>
      </c>
      <c r="R184" s="81" t="str">
        <f>IFERROR(VLOOKUP($G184,融外自投!$A:$J,10,0),"無")</f>
        <v>無</v>
      </c>
      <c r="S184" s="324" t="str">
        <f>IFERROR(VLOOKUP($G184,'321買'!$A:$E,4,0),"'沒有資料'")</f>
        <v>'沒有資料'</v>
      </c>
      <c r="T184" s="186">
        <f>IFERROR(VLOOKUP($G184,基本資料!$A:$J,9,0),"無")</f>
        <v>0</v>
      </c>
      <c r="U184" s="307">
        <f t="shared" si="25"/>
        <v>0</v>
      </c>
      <c r="V184" s="94">
        <f>IFERROR(VLOOKUP($G184,基本資料!$A:$J,10,0),"無")</f>
        <v>-0.47</v>
      </c>
      <c r="W184" s="36">
        <f>RTD("money.excel",,"4530","Price")</f>
        <v>8.2799999999999994</v>
      </c>
      <c r="X184" s="66"/>
      <c r="Y184" s="15">
        <f t="shared" si="26"/>
        <v>8.2799999999999994</v>
      </c>
      <c r="Z184" s="3" t="e">
        <f t="shared" si="27"/>
        <v>#DIV/0!</v>
      </c>
      <c r="AA184" s="340">
        <f>IFERROR(VLOOKUP($G184,基本資料!$A:$M,11,0),"無")</f>
        <v>-27.69</v>
      </c>
      <c r="AB184" s="389">
        <f>IFERROR(VLOOKUP($G184,基本資料!$A:$M,12,0),"無")</f>
        <v>26.03</v>
      </c>
      <c r="AC184" s="16" t="s">
        <v>541</v>
      </c>
      <c r="AF184" s="33">
        <f t="shared" si="28"/>
        <v>0</v>
      </c>
      <c r="AG184" s="43" t="s">
        <v>1510</v>
      </c>
      <c r="AH184" s="66">
        <f t="shared" si="30"/>
        <v>2.0749279538904899</v>
      </c>
      <c r="AI184" s="283">
        <f>RTD("money.excel",,$G184,"PredictVolume")</f>
        <v>36</v>
      </c>
      <c r="AJ184" s="391">
        <f>IFERROR(VLOOKUP($G184,基本資料!$A:$M,13,0),"無")</f>
        <v>17.350000000000001</v>
      </c>
      <c r="AR184" s="245" t="str">
        <f>INDEX(基本資料!N:N,MATCH($G184,基本資料!A:A,0))</f>
        <v>低</v>
      </c>
    </row>
    <row r="185" spans="1:44">
      <c r="A185" s="343">
        <f>IFERROR(VLOOKUP($G185,基本資料!$A:$J,3,0),"無")</f>
        <v>50.49</v>
      </c>
      <c r="B185" s="79">
        <f>IFERROR(VLOOKUP($G185,基本資料!$A:$J,4,0),"無")</f>
        <v>-28</v>
      </c>
      <c r="C185" s="79">
        <f>IFERROR(VLOOKUP($G185,基本資料!$A:$J,5,0),"無")</f>
        <v>-28</v>
      </c>
      <c r="D185" s="79">
        <f>IFERROR(VLOOKUP($G185,基本資料!$A:$J,6,0),"無")</f>
        <v>-5</v>
      </c>
      <c r="E185" s="79">
        <f>IFERROR(VLOOKUP($G185,基本資料!$A:$J,7,0),"無")</f>
        <v>-17</v>
      </c>
      <c r="F185" s="6">
        <f>IFERROR(VLOOKUP($G185,基本資料!$A:$J,8,0),"無")</f>
        <v>2.6</v>
      </c>
      <c r="G185" s="79">
        <v>4532</v>
      </c>
      <c r="H185" s="8" t="s">
        <v>295</v>
      </c>
      <c r="I185" s="22" t="s">
        <v>579</v>
      </c>
      <c r="J185" s="8">
        <f>IFERROR(VLOOKUP($G185,今日總結!$A:$AN,39,0),"")</f>
        <v>0</v>
      </c>
      <c r="K185" s="5">
        <f>IFERROR(VLOOKUP($G185,今日總結!$A:$AN,40,0),"")</f>
        <v>0</v>
      </c>
      <c r="L185" s="156">
        <f>IFERROR(VLOOKUP($G185,今日總結!$A:$AN,37,0),"")</f>
        <v>0</v>
      </c>
      <c r="M185" s="337">
        <f>IFERROR(VLOOKUP($G185,今日總結!$A:$AN,38,0),"")</f>
        <v>0</v>
      </c>
      <c r="N185" s="240">
        <f t="shared" si="31"/>
        <v>0</v>
      </c>
      <c r="O185" s="359">
        <f>IFERROR(VLOOKUP($G185,融外自投!$A:$J,7,0),"無")</f>
        <v>1233</v>
      </c>
      <c r="P185" s="79" t="str">
        <f>IFERROR(VLOOKUP($G185,融外自投!$A:$J,9,0),"無")</f>
        <v>無</v>
      </c>
      <c r="Q185" s="342">
        <f>IFERROR(VLOOKUP($G185,融外自投!$A:$J,8,0),"無")</f>
        <v>460</v>
      </c>
      <c r="R185" s="81" t="str">
        <f>IFERROR(VLOOKUP($G185,融外自投!$A:$J,10,0),"無")</f>
        <v>無</v>
      </c>
      <c r="S185" s="324">
        <f>IFERROR(VLOOKUP($G185,'321買'!$A:$E,4,0),"'沒有資料'")</f>
        <v>1002</v>
      </c>
      <c r="T185" s="186">
        <f>IFERROR(VLOOKUP($G185,基本資料!$A:$J,9,0),"無")</f>
        <v>0.7</v>
      </c>
      <c r="U185" s="307">
        <f t="shared" si="25"/>
        <v>4.142011834319527E-2</v>
      </c>
      <c r="V185" s="94">
        <f>IFERROR(VLOOKUP($G185,基本資料!$A:$J,10,0),"無")</f>
        <v>1.08</v>
      </c>
      <c r="W185" s="36">
        <f>RTD("money.excel",,"4532","Price")</f>
        <v>16.899999999999999</v>
      </c>
      <c r="X185" s="66"/>
      <c r="Y185" s="15">
        <f t="shared" si="26"/>
        <v>16.899999999999999</v>
      </c>
      <c r="Z185" s="3" t="e">
        <f t="shared" si="27"/>
        <v>#DIV/0!</v>
      </c>
      <c r="AA185" s="340">
        <f>IFERROR(VLOOKUP($G185,基本資料!$A:$M,11,0),"無")</f>
        <v>-21.21</v>
      </c>
      <c r="AB185" s="389">
        <f>IFERROR(VLOOKUP($G185,基本資料!$A:$M,12,0),"無")</f>
        <v>14.56</v>
      </c>
      <c r="AC185" s="22" t="s">
        <v>579</v>
      </c>
      <c r="AF185" s="33">
        <f t="shared" si="28"/>
        <v>0</v>
      </c>
      <c r="AG185" s="43" t="s">
        <v>2745</v>
      </c>
      <c r="AH185" s="66">
        <f t="shared" si="30"/>
        <v>0.46474614037879997</v>
      </c>
      <c r="AI185" s="283">
        <f>RTD("money.excel",,$G185,"PredictVolume")</f>
        <v>146</v>
      </c>
      <c r="AJ185" s="391">
        <f>IFERROR(VLOOKUP($G185,基本資料!$A:$M,13,0),"無")</f>
        <v>314.14999999999998</v>
      </c>
      <c r="AR185" s="245" t="str">
        <f>INDEX(基本資料!N:N,MATCH($G185,基本資料!A:A,0))</f>
        <v>低</v>
      </c>
    </row>
    <row r="186" spans="1:44">
      <c r="A186" s="343">
        <f>IFERROR(VLOOKUP($G186,基本資料!$A:$J,3,0),"無")</f>
        <v>15.84</v>
      </c>
      <c r="B186" s="79">
        <f>IFERROR(VLOOKUP($G186,基本資料!$A:$J,4,0),"無")</f>
        <v>261</v>
      </c>
      <c r="C186" s="79">
        <f>IFERROR(VLOOKUP($G186,基本資料!$A:$J,5,0),"無")</f>
        <v>104</v>
      </c>
      <c r="D186" s="79">
        <f>IFERROR(VLOOKUP($G186,基本資料!$A:$J,6,0),"無")</f>
        <v>-74</v>
      </c>
      <c r="E186" s="79">
        <f>IFERROR(VLOOKUP($G186,基本資料!$A:$J,7,0),"無")</f>
        <v>-69</v>
      </c>
      <c r="F186" s="6">
        <f>IFERROR(VLOOKUP($G186,基本資料!$A:$J,8,0),"無")</f>
        <v>0.14000000000000001</v>
      </c>
      <c r="G186" s="79">
        <v>4533</v>
      </c>
      <c r="H186" s="8" t="s">
        <v>295</v>
      </c>
      <c r="I186" s="16" t="s">
        <v>79</v>
      </c>
      <c r="J186" s="8">
        <f>IFERROR(VLOOKUP($G186,今日總結!$A:$AN,39,0),"")</f>
        <v>0</v>
      </c>
      <c r="K186" s="5">
        <f>IFERROR(VLOOKUP($G186,今日總結!$A:$AN,40,0),"")</f>
        <v>0</v>
      </c>
      <c r="L186" s="156">
        <f>IFERROR(VLOOKUP($G186,今日總結!$A:$AN,37,0),"")</f>
        <v>0</v>
      </c>
      <c r="M186" s="337">
        <f>IFERROR(VLOOKUP($G186,今日總結!$A:$AN,38,0),"")</f>
        <v>0</v>
      </c>
      <c r="N186" s="240">
        <f t="shared" si="31"/>
        <v>0</v>
      </c>
      <c r="O186" s="359">
        <f>IFERROR(VLOOKUP($G186,融外自投!$A:$J,7,0),"無")</f>
        <v>755</v>
      </c>
      <c r="P186" s="79" t="str">
        <f>IFERROR(VLOOKUP($G186,融外自投!$A:$J,9,0),"無")</f>
        <v>無</v>
      </c>
      <c r="Q186" s="342">
        <f>IFERROR(VLOOKUP($G186,融外自投!$A:$J,8,0),"無")</f>
        <v>1243</v>
      </c>
      <c r="R186" s="81" t="str">
        <f>IFERROR(VLOOKUP($G186,融外自投!$A:$J,10,0),"無")</f>
        <v>無</v>
      </c>
      <c r="S186" s="324">
        <f>IFERROR(VLOOKUP($G186,'321買'!$A:$E,4,0),"'沒有資料'")</f>
        <v>1002</v>
      </c>
      <c r="T186" s="186">
        <f>IFERROR(VLOOKUP($G186,基本資料!$A:$J,9,0),"無")</f>
        <v>0.35</v>
      </c>
      <c r="U186" s="307">
        <f t="shared" si="25"/>
        <v>3.0567685589519649E-2</v>
      </c>
      <c r="V186" s="94">
        <f>IFERROR(VLOOKUP($G186,基本資料!$A:$J,10,0),"無")</f>
        <v>0.36</v>
      </c>
      <c r="W186" s="36">
        <f>RTD("money.excel",,"4533","Price")</f>
        <v>11.45</v>
      </c>
      <c r="X186" s="66"/>
      <c r="Y186" s="15">
        <f t="shared" si="26"/>
        <v>11.45</v>
      </c>
      <c r="Z186" s="3" t="e">
        <f t="shared" si="27"/>
        <v>#DIV/0!</v>
      </c>
      <c r="AA186" s="340">
        <f>IFERROR(VLOOKUP($G186,基本資料!$A:$M,11,0),"無")</f>
        <v>-17.329999999999998</v>
      </c>
      <c r="AB186" s="389">
        <f>IFERROR(VLOOKUP($G186,基本資料!$A:$M,12,0),"無")</f>
        <v>34.51</v>
      </c>
      <c r="AC186" s="16" t="s">
        <v>79</v>
      </c>
      <c r="AF186" s="33">
        <f t="shared" si="28"/>
        <v>0</v>
      </c>
      <c r="AG186" s="117" t="s">
        <v>2499</v>
      </c>
      <c r="AH186" s="66">
        <f t="shared" si="30"/>
        <v>0.15047879616963064</v>
      </c>
      <c r="AI186" s="283">
        <f>RTD("money.excel",,$G186,"PredictVolume")</f>
        <v>22</v>
      </c>
      <c r="AJ186" s="391">
        <f>IFERROR(VLOOKUP($G186,基本資料!$A:$M,13,0),"無")</f>
        <v>146.19999999999999</v>
      </c>
      <c r="AR186" s="245" t="str">
        <f>INDEX(基本資料!N:N,MATCH($G186,基本資料!A:A,0))</f>
        <v>低</v>
      </c>
    </row>
    <row r="187" spans="1:44">
      <c r="A187" s="343">
        <f>IFERROR(VLOOKUP($G187,基本資料!$A:$J,3,0),"無")</f>
        <v>8.67</v>
      </c>
      <c r="B187" s="79">
        <f>IFERROR(VLOOKUP($G187,基本資料!$A:$J,4,0),"無")</f>
        <v>183</v>
      </c>
      <c r="C187" s="79">
        <f>IFERROR(VLOOKUP($G187,基本資料!$A:$J,5,0),"無")</f>
        <v>233</v>
      </c>
      <c r="D187" s="79">
        <f>IFERROR(VLOOKUP($G187,基本資料!$A:$J,6,0),"無")</f>
        <v>-17</v>
      </c>
      <c r="E187" s="79">
        <f>IFERROR(VLOOKUP($G187,基本資料!$A:$J,7,0),"無")</f>
        <v>-25</v>
      </c>
      <c r="F187" s="6">
        <f>IFERROR(VLOOKUP($G187,基本資料!$A:$J,8,0),"無")</f>
        <v>5.0999999999999996</v>
      </c>
      <c r="G187" s="79">
        <v>4534</v>
      </c>
      <c r="H187" s="8" t="s">
        <v>295</v>
      </c>
      <c r="I187" s="16" t="s">
        <v>542</v>
      </c>
      <c r="J187" s="8">
        <f>IFERROR(VLOOKUP($G187,今日總結!$A:$AN,39,0),"")</f>
        <v>0</v>
      </c>
      <c r="K187" s="5" t="str">
        <f>IFERROR(VLOOKUP($G187,今日總結!$A:$AN,40,0),"")</f>
        <v>主融</v>
      </c>
      <c r="L187" s="156">
        <f>IFERROR(VLOOKUP($G187,今日總結!$A:$AN,37,0),"")</f>
        <v>0</v>
      </c>
      <c r="M187" s="337">
        <f>IFERROR(VLOOKUP($G187,今日總結!$A:$AN,38,0),"")</f>
        <v>3</v>
      </c>
      <c r="N187" s="240">
        <f t="shared" si="31"/>
        <v>-3</v>
      </c>
      <c r="O187" s="359">
        <f>IFERROR(VLOOKUP($G187,融外自投!$A:$J,7,0),"無")</f>
        <v>214</v>
      </c>
      <c r="P187" s="79">
        <f>IFERROR(VLOOKUP($G187,融外自投!$A:$J,9,0),"無")</f>
        <v>990</v>
      </c>
      <c r="Q187" s="342">
        <f>IFERROR(VLOOKUP($G187,融外自投!$A:$J,8,0),"無")</f>
        <v>1341</v>
      </c>
      <c r="R187" s="81" t="str">
        <f>IFERROR(VLOOKUP($G187,融外自投!$A:$J,10,0),"無")</f>
        <v>無</v>
      </c>
      <c r="S187" s="324">
        <f>IFERROR(VLOOKUP($G187,'321買'!$A:$E,4,0),"'沒有資料'")</f>
        <v>1002</v>
      </c>
      <c r="T187" s="186">
        <f>IFERROR(VLOOKUP($G187,基本資料!$A:$J,9,0),"無")</f>
        <v>0</v>
      </c>
      <c r="U187" s="307">
        <f t="shared" si="25"/>
        <v>0</v>
      </c>
      <c r="V187" s="94">
        <f>IFERROR(VLOOKUP($G187,基本資料!$A:$J,10,0),"無")</f>
        <v>0.59</v>
      </c>
      <c r="W187" s="36">
        <f>RTD("money.excel",,"4534","Price")</f>
        <v>9</v>
      </c>
      <c r="X187" s="66"/>
      <c r="Y187" s="15">
        <f t="shared" si="26"/>
        <v>9</v>
      </c>
      <c r="Z187" s="3" t="e">
        <f t="shared" si="27"/>
        <v>#DIV/0!</v>
      </c>
      <c r="AA187" s="340">
        <f>IFERROR(VLOOKUP($G187,基本資料!$A:$M,11,0),"無")</f>
        <v>-49.15</v>
      </c>
      <c r="AB187" s="389">
        <f>IFERROR(VLOOKUP($G187,基本資料!$A:$M,12,0),"無")</f>
        <v>13.04</v>
      </c>
      <c r="AC187" s="16" t="s">
        <v>542</v>
      </c>
      <c r="AF187" s="33">
        <f t="shared" si="28"/>
        <v>0</v>
      </c>
      <c r="AG187" s="43" t="s">
        <v>2950</v>
      </c>
      <c r="AH187" s="66">
        <f t="shared" si="30"/>
        <v>0.88697259008315377</v>
      </c>
      <c r="AI187" s="283">
        <f>RTD("money.excel",,$G187,"PredictVolume")</f>
        <v>288</v>
      </c>
      <c r="AJ187" s="391">
        <f>IFERROR(VLOOKUP($G187,基本資料!$A:$M,13,0),"無")</f>
        <v>324.7</v>
      </c>
      <c r="AR187" s="245" t="str">
        <f>INDEX(基本資料!N:N,MATCH($G187,基本資料!A:A,0))</f>
        <v>低</v>
      </c>
    </row>
    <row r="188" spans="1:44">
      <c r="A188" s="343">
        <f>IFERROR(VLOOKUP($G188,基本資料!$A:$J,3,0),"無")</f>
        <v>7.56</v>
      </c>
      <c r="B188" s="79">
        <f>IFERROR(VLOOKUP($G188,基本資料!$A:$J,4,0),"無")</f>
        <v>76</v>
      </c>
      <c r="C188" s="79">
        <f>IFERROR(VLOOKUP($G188,基本資料!$A:$J,5,0),"無")</f>
        <v>94</v>
      </c>
      <c r="D188" s="79">
        <f>IFERROR(VLOOKUP($G188,基本資料!$A:$J,6,0),"無")</f>
        <v>0</v>
      </c>
      <c r="E188" s="79">
        <f>IFERROR(VLOOKUP($G188,基本資料!$A:$J,7,0),"無")</f>
        <v>15</v>
      </c>
      <c r="F188" s="6">
        <f>IFERROR(VLOOKUP($G188,基本資料!$A:$J,8,0),"無")</f>
        <v>12.07</v>
      </c>
      <c r="G188" s="79">
        <v>4535</v>
      </c>
      <c r="H188" s="8" t="s">
        <v>295</v>
      </c>
      <c r="I188" s="16" t="s">
        <v>143</v>
      </c>
      <c r="J188" s="8">
        <f>IFERROR(VLOOKUP($G188,今日總結!$A:$AN,39,0),"")</f>
        <v>0</v>
      </c>
      <c r="K188" s="5">
        <f>IFERROR(VLOOKUP($G188,今日總結!$A:$AN,40,0),"")</f>
        <v>0</v>
      </c>
      <c r="L188" s="156">
        <f>IFERROR(VLOOKUP($G188,今日總結!$A:$AN,37,0),"")</f>
        <v>0</v>
      </c>
      <c r="M188" s="337">
        <f>IFERROR(VLOOKUP($G188,今日總結!$A:$AN,38,0),"")</f>
        <v>0</v>
      </c>
      <c r="N188" s="240">
        <f t="shared" si="31"/>
        <v>0</v>
      </c>
      <c r="O188" s="359">
        <f>IFERROR(VLOOKUP($G188,融外自投!$A:$J,7,0),"無")</f>
        <v>1467</v>
      </c>
      <c r="P188" s="79" t="str">
        <f>IFERROR(VLOOKUP($G188,融外自投!$A:$J,9,0),"無")</f>
        <v>無</v>
      </c>
      <c r="Q188" s="342">
        <f>IFERROR(VLOOKUP($G188,融外自投!$A:$J,8,0),"無")</f>
        <v>1459</v>
      </c>
      <c r="R188" s="81" t="str">
        <f>IFERROR(VLOOKUP($G188,融外自投!$A:$J,10,0),"無")</f>
        <v>無</v>
      </c>
      <c r="S188" s="324">
        <f>IFERROR(VLOOKUP($G188,'321買'!$A:$E,4,0),"'沒有資料'")</f>
        <v>1002</v>
      </c>
      <c r="T188" s="186">
        <f>IFERROR(VLOOKUP($G188,基本資料!$A:$J,9,0),"無")</f>
        <v>1.6</v>
      </c>
      <c r="U188" s="307">
        <f t="shared" si="25"/>
        <v>4.5261669024045263E-2</v>
      </c>
      <c r="V188" s="94">
        <f>IFERROR(VLOOKUP($G188,基本資料!$A:$J,10,0),"無")</f>
        <v>2.39</v>
      </c>
      <c r="W188" s="36">
        <f>RTD("money.excel",,"4535","Price")</f>
        <v>35.35</v>
      </c>
      <c r="X188" s="66"/>
      <c r="Y188" s="15">
        <f t="shared" si="26"/>
        <v>35.35</v>
      </c>
      <c r="Z188" s="3" t="e">
        <f t="shared" si="27"/>
        <v>#DIV/0!</v>
      </c>
      <c r="AA188" s="340">
        <f>IFERROR(VLOOKUP($G188,基本資料!$A:$M,11,0),"無")</f>
        <v>-4.59</v>
      </c>
      <c r="AB188" s="389">
        <f>IFERROR(VLOOKUP($G188,基本資料!$A:$M,12,0),"無")</f>
        <v>70.349999999999994</v>
      </c>
      <c r="AC188" s="16" t="s">
        <v>143</v>
      </c>
      <c r="AF188" s="33">
        <f t="shared" si="28"/>
        <v>0</v>
      </c>
      <c r="AG188" s="117" t="s">
        <v>2498</v>
      </c>
      <c r="AH188" s="66">
        <f t="shared" si="30"/>
        <v>0.17069701280227598</v>
      </c>
      <c r="AI188" s="283">
        <f>RTD("money.excel",,$G188,"PredictVolume")</f>
        <v>6</v>
      </c>
      <c r="AJ188" s="391">
        <f>IFERROR(VLOOKUP($G188,基本資料!$A:$M,13,0),"無")</f>
        <v>35.15</v>
      </c>
      <c r="AR188" s="245" t="str">
        <f>INDEX(基本資料!N:N,MATCH($G188,基本資料!A:A,0))</f>
        <v>高</v>
      </c>
    </row>
    <row r="189" spans="1:44">
      <c r="A189" s="343">
        <f>IFERROR(VLOOKUP($G189,基本資料!$A:$J,3,0),"無")</f>
        <v>5.04</v>
      </c>
      <c r="B189" s="79">
        <f>IFERROR(VLOOKUP($G189,基本資料!$A:$J,4,0),"無")</f>
        <v>57</v>
      </c>
      <c r="C189" s="79">
        <f>IFERROR(VLOOKUP($G189,基本資料!$A:$J,5,0),"無")</f>
        <v>193</v>
      </c>
      <c r="D189" s="79">
        <f>IFERROR(VLOOKUP($G189,基本資料!$A:$J,6,0),"無")</f>
        <v>0</v>
      </c>
      <c r="E189" s="79">
        <f>IFERROR(VLOOKUP($G189,基本資料!$A:$J,7,0),"無")</f>
        <v>68</v>
      </c>
      <c r="F189" s="6">
        <f>IFERROR(VLOOKUP($G189,基本資料!$A:$J,8,0),"無")</f>
        <v>10.16</v>
      </c>
      <c r="G189" s="79">
        <v>4538</v>
      </c>
      <c r="H189" s="8" t="s">
        <v>295</v>
      </c>
      <c r="I189" s="16" t="s">
        <v>2976</v>
      </c>
      <c r="J189" s="8" t="str">
        <f>IFERROR(VLOOKUP($G189,今日總結!$A:$AN,39,0),"")</f>
        <v/>
      </c>
      <c r="K189" s="5" t="str">
        <f>IFERROR(VLOOKUP($G189,今日總結!$A:$AN,40,0),"")</f>
        <v/>
      </c>
      <c r="L189" s="156" t="str">
        <f>IFERROR(VLOOKUP($G189,今日總結!$A:$AN,37,0),"")</f>
        <v/>
      </c>
      <c r="M189" s="337" t="str">
        <f>IFERROR(VLOOKUP($G189,今日總結!$A:$AN,38,0),"")</f>
        <v/>
      </c>
      <c r="N189" s="240" t="str">
        <f t="shared" si="31"/>
        <v/>
      </c>
      <c r="O189" s="359">
        <f>IFERROR(VLOOKUP($G189,融外自投!$A:$J,7,0),"無")</f>
        <v>1413</v>
      </c>
      <c r="P189" s="79" t="str">
        <f>IFERROR(VLOOKUP($G189,融外自投!$A:$J,9,0),"無")</f>
        <v>無</v>
      </c>
      <c r="Q189" s="342">
        <f>IFERROR(VLOOKUP($G189,融外自投!$A:$J,8,0),"無")</f>
        <v>1425</v>
      </c>
      <c r="R189" s="81" t="str">
        <f>IFERROR(VLOOKUP($G189,融外自投!$A:$J,10,0),"無")</f>
        <v>無</v>
      </c>
      <c r="S189" s="324" t="str">
        <f>IFERROR(VLOOKUP($G189,'321買'!$A:$E,4,0),"'沒有資料'")</f>
        <v>'沒有資料'</v>
      </c>
      <c r="T189" s="186">
        <f>IFERROR(VLOOKUP($G189,基本資料!$A:$J,9,0),"無")</f>
        <v>0.5</v>
      </c>
      <c r="U189" s="307">
        <f t="shared" si="25"/>
        <v>2.3255813953488372E-2</v>
      </c>
      <c r="V189" s="94">
        <f>IFERROR(VLOOKUP($G189,基本資料!$A:$J,10,0),"無")</f>
        <v>0.76</v>
      </c>
      <c r="W189" s="36">
        <f>RTD("money.excel",,"4550","Price")</f>
        <v>21.5</v>
      </c>
      <c r="X189" s="66"/>
      <c r="Y189" s="15">
        <f t="shared" si="26"/>
        <v>21.5</v>
      </c>
      <c r="Z189" s="3" t="e">
        <f t="shared" si="27"/>
        <v>#DIV/0!</v>
      </c>
      <c r="AA189" s="340">
        <f>IFERROR(VLOOKUP($G189,基本資料!$A:$M,11,0),"無")</f>
        <v>-12.42</v>
      </c>
      <c r="AB189" s="389">
        <f>IFERROR(VLOOKUP($G189,基本資料!$A:$M,12,0),"無")</f>
        <v>23.73</v>
      </c>
      <c r="AC189" s="16" t="s">
        <v>2976</v>
      </c>
      <c r="AF189" s="33">
        <f t="shared" si="28"/>
        <v>0</v>
      </c>
      <c r="AG189" s="43" t="s">
        <v>2977</v>
      </c>
      <c r="AH189" s="66">
        <f t="shared" si="30"/>
        <v>0.32786885245901642</v>
      </c>
      <c r="AI189" s="283">
        <f>RTD("money.excel",,$G189,"PredictVolume")</f>
        <v>1</v>
      </c>
      <c r="AJ189" s="391">
        <f>IFERROR(VLOOKUP($G189,基本資料!$A:$M,13,0),"無")</f>
        <v>3.05</v>
      </c>
      <c r="AR189" s="245" t="str">
        <f>INDEX(基本資料!N:N,MATCH($G189,基本資料!A:A,0))</f>
        <v>中</v>
      </c>
    </row>
    <row r="190" spans="1:44">
      <c r="A190" s="343">
        <f>IFERROR(VLOOKUP($G190,基本資料!$A:$J,3,0),"無")</f>
        <v>9.41</v>
      </c>
      <c r="B190" s="79">
        <f>IFERROR(VLOOKUP($G190,基本資料!$A:$J,4,0),"無")</f>
        <v>159</v>
      </c>
      <c r="C190" s="79">
        <f>IFERROR(VLOOKUP($G190,基本資料!$A:$J,5,0),"無")</f>
        <v>83</v>
      </c>
      <c r="D190" s="79">
        <f>IFERROR(VLOOKUP($G190,基本資料!$A:$J,6,0),"無")</f>
        <v>-14</v>
      </c>
      <c r="E190" s="79">
        <f>IFERROR(VLOOKUP($G190,基本資料!$A:$J,7,0),"無")</f>
        <v>5</v>
      </c>
      <c r="F190" s="6">
        <f>IFERROR(VLOOKUP($G190,基本資料!$A:$J,8,0),"無")</f>
        <v>10.4</v>
      </c>
      <c r="G190" s="79">
        <v>4540</v>
      </c>
      <c r="H190" s="8" t="s">
        <v>295</v>
      </c>
      <c r="I190" s="22" t="s">
        <v>1075</v>
      </c>
      <c r="J190" s="8">
        <f>IFERROR(VLOOKUP($G190,今日總結!$A:$AN,39,0),"")</f>
        <v>0</v>
      </c>
      <c r="K190" s="5" t="str">
        <f>IFERROR(VLOOKUP($G190,今日總結!$A:$AN,40,0),"")</f>
        <v>融</v>
      </c>
      <c r="L190" s="156">
        <f>IFERROR(VLOOKUP($G190,今日總結!$A:$AN,37,0),"")</f>
        <v>0</v>
      </c>
      <c r="M190" s="337">
        <f>IFERROR(VLOOKUP($G190,今日總結!$A:$AN,38,0),"")</f>
        <v>4</v>
      </c>
      <c r="N190" s="240">
        <f t="shared" si="31"/>
        <v>-4</v>
      </c>
      <c r="O190" s="359">
        <f>IFERROR(VLOOKUP($G190,融外自投!$A:$J,7,0),"無")</f>
        <v>847</v>
      </c>
      <c r="P190" s="79">
        <f>IFERROR(VLOOKUP($G190,融外自投!$A:$J,9,0),"無")</f>
        <v>1123</v>
      </c>
      <c r="Q190" s="342">
        <f>IFERROR(VLOOKUP($G190,融外自投!$A:$J,8,0),"無")</f>
        <v>945</v>
      </c>
      <c r="R190" s="81" t="str">
        <f>IFERROR(VLOOKUP($G190,融外自投!$A:$J,10,0),"無")</f>
        <v>無</v>
      </c>
      <c r="S190" s="324">
        <f>IFERROR(VLOOKUP($G190,'321買'!$A:$E,4,0),"'沒有資料'")</f>
        <v>1002</v>
      </c>
      <c r="T190" s="186">
        <f>IFERROR(VLOOKUP($G190,基本資料!$A:$J,9,0),"無")</f>
        <v>1.3</v>
      </c>
      <c r="U190" s="307">
        <f t="shared" si="25"/>
        <v>3.0409356725146199E-2</v>
      </c>
      <c r="V190" s="94">
        <f>IFERROR(VLOOKUP($G190,基本資料!$A:$J,10,0),"無")</f>
        <v>2.52</v>
      </c>
      <c r="W190" s="36">
        <f>RTD("money.excel",,"4540","Price")</f>
        <v>42.75</v>
      </c>
      <c r="X190" s="66"/>
      <c r="Y190" s="15">
        <f t="shared" si="26"/>
        <v>42.75</v>
      </c>
      <c r="Z190" s="3" t="e">
        <f t="shared" si="27"/>
        <v>#DIV/0!</v>
      </c>
      <c r="AA190" s="340">
        <f>IFERROR(VLOOKUP($G190,基本資料!$A:$M,11,0),"無")</f>
        <v>-26.67</v>
      </c>
      <c r="AB190" s="389">
        <f>IFERROR(VLOOKUP($G190,基本資料!$A:$M,12,0),"無")</f>
        <v>22.1</v>
      </c>
      <c r="AC190" s="22" t="s">
        <v>1075</v>
      </c>
      <c r="AF190" s="33">
        <f t="shared" si="28"/>
        <v>0</v>
      </c>
      <c r="AG190" s="43" t="s">
        <v>1509</v>
      </c>
      <c r="AH190" s="66">
        <f t="shared" si="30"/>
        <v>3.8163934426229509</v>
      </c>
      <c r="AI190" s="283">
        <f>RTD("money.excel",,$G190,"PredictVolume")</f>
        <v>291</v>
      </c>
      <c r="AJ190" s="391">
        <f>IFERROR(VLOOKUP($G190,基本資料!$A:$M,13,0),"無")</f>
        <v>76.25</v>
      </c>
      <c r="AR190" s="245" t="str">
        <f>INDEX(基本資料!N:N,MATCH($G190,基本資料!A:A,0))</f>
        <v>低</v>
      </c>
    </row>
    <row r="191" spans="1:44">
      <c r="A191" s="343">
        <f>IFERROR(VLOOKUP($G191,基本資料!$A:$J,3,0),"無")</f>
        <v>5.69</v>
      </c>
      <c r="B191" s="79">
        <f>IFERROR(VLOOKUP($G191,基本資料!$A:$J,4,0),"無")</f>
        <v>179</v>
      </c>
      <c r="C191" s="79">
        <f>IFERROR(VLOOKUP($G191,基本資料!$A:$J,5,0),"無")</f>
        <v>64</v>
      </c>
      <c r="D191" s="79">
        <f>IFERROR(VLOOKUP($G191,基本資料!$A:$J,6,0),"無")</f>
        <v>-18</v>
      </c>
      <c r="E191" s="79">
        <f>IFERROR(VLOOKUP($G191,基本資料!$A:$J,7,0),"無")</f>
        <v>-7</v>
      </c>
      <c r="F191" s="6">
        <f>IFERROR(VLOOKUP($G191,基本資料!$A:$J,8,0),"無")</f>
        <v>5.3</v>
      </c>
      <c r="G191" s="79">
        <v>4543</v>
      </c>
      <c r="H191" s="8" t="s">
        <v>295</v>
      </c>
      <c r="I191" s="16" t="s">
        <v>543</v>
      </c>
      <c r="J191" s="8">
        <f>IFERROR(VLOOKUP($G191,今日總結!$A:$AN,39,0),"")</f>
        <v>0</v>
      </c>
      <c r="K191" s="5">
        <f>IFERROR(VLOOKUP($G191,今日總結!$A:$AN,40,0),"")</f>
        <v>0</v>
      </c>
      <c r="L191" s="156">
        <f>IFERROR(VLOOKUP($G191,今日總結!$A:$AN,37,0),"")</f>
        <v>0</v>
      </c>
      <c r="M191" s="337">
        <f>IFERROR(VLOOKUP($G191,今日總結!$A:$AN,38,0),"")</f>
        <v>0</v>
      </c>
      <c r="N191" s="240">
        <f t="shared" si="31"/>
        <v>0</v>
      </c>
      <c r="O191" s="359">
        <f>IFERROR(VLOOKUP($G191,融外自投!$A:$J,7,0),"無")</f>
        <v>666</v>
      </c>
      <c r="P191" s="79" t="str">
        <f>IFERROR(VLOOKUP($G191,融外自投!$A:$J,9,0),"無")</f>
        <v>無</v>
      </c>
      <c r="Q191" s="342">
        <f>IFERROR(VLOOKUP($G191,融外自投!$A:$J,8,0),"無")</f>
        <v>683</v>
      </c>
      <c r="R191" s="81" t="str">
        <f>IFERROR(VLOOKUP($G191,融外自投!$A:$J,10,0),"無")</f>
        <v>無</v>
      </c>
      <c r="S191" s="324">
        <f>IFERROR(VLOOKUP($G191,'321買'!$A:$E,4,0),"'沒有資料'")</f>
        <v>891</v>
      </c>
      <c r="T191" s="186">
        <f>IFERROR(VLOOKUP($G191,基本資料!$A:$J,9,0),"無")</f>
        <v>0</v>
      </c>
      <c r="U191" s="307">
        <f t="shared" si="25"/>
        <v>0</v>
      </c>
      <c r="V191" s="94">
        <f>IFERROR(VLOOKUP($G191,基本資料!$A:$J,10,0),"無")</f>
        <v>0.53</v>
      </c>
      <c r="W191" s="36">
        <f>RTD("money.excel",,"4543","Price")</f>
        <v>17.2</v>
      </c>
      <c r="X191" s="66"/>
      <c r="Y191" s="15">
        <f t="shared" si="26"/>
        <v>17.2</v>
      </c>
      <c r="Z191" s="3" t="e">
        <f t="shared" si="27"/>
        <v>#DIV/0!</v>
      </c>
      <c r="AA191" s="340">
        <f>IFERROR(VLOOKUP($G191,基本資料!$A:$M,11,0),"無")</f>
        <v>-25.05</v>
      </c>
      <c r="AB191" s="389">
        <f>IFERROR(VLOOKUP($G191,基本資料!$A:$M,12,0),"無")</f>
        <v>24.68</v>
      </c>
      <c r="AC191" s="16" t="s">
        <v>543</v>
      </c>
      <c r="AF191" s="33">
        <f t="shared" si="28"/>
        <v>0</v>
      </c>
      <c r="AG191" s="43" t="s">
        <v>2497</v>
      </c>
      <c r="AH191" s="66">
        <f t="shared" si="30"/>
        <v>0.89686098654708513</v>
      </c>
      <c r="AI191" s="283">
        <f>RTD("money.excel",,$G191,"PredictVolume")</f>
        <v>20</v>
      </c>
      <c r="AJ191" s="391">
        <f>IFERROR(VLOOKUP($G191,基本資料!$A:$M,13,0),"無")</f>
        <v>22.3</v>
      </c>
      <c r="AR191" s="245" t="str">
        <f>INDEX(基本資料!N:N,MATCH($G191,基本資料!A:A,0))</f>
        <v>低</v>
      </c>
    </row>
    <row r="192" spans="1:44">
      <c r="A192" s="343">
        <f>IFERROR(VLOOKUP($G192,基本資料!$A:$J,3,0),"無")</f>
        <v>4.4400000000000004</v>
      </c>
      <c r="B192" s="79">
        <f>IFERROR(VLOOKUP($G192,基本資料!$A:$J,4,0),"無")</f>
        <v>20</v>
      </c>
      <c r="C192" s="79">
        <f>IFERROR(VLOOKUP($G192,基本資料!$A:$J,5,0),"無")</f>
        <v>30</v>
      </c>
      <c r="D192" s="79">
        <f>IFERROR(VLOOKUP($G192,基本資料!$A:$J,6,0),"無")</f>
        <v>-27</v>
      </c>
      <c r="E192" s="79">
        <f>IFERROR(VLOOKUP($G192,基本資料!$A:$J,7,0),"無")</f>
        <v>-37</v>
      </c>
      <c r="F192" s="6">
        <f>IFERROR(VLOOKUP($G192,基本資料!$A:$J,8,0),"無")</f>
        <v>26.52</v>
      </c>
      <c r="G192" s="79">
        <v>4549</v>
      </c>
      <c r="H192" s="8" t="s">
        <v>295</v>
      </c>
      <c r="I192" s="16" t="s">
        <v>544</v>
      </c>
      <c r="J192" s="8">
        <f>IFERROR(VLOOKUP($G192,今日總結!$A:$AN,39,0),"")</f>
        <v>0</v>
      </c>
      <c r="K192" s="5">
        <f>IFERROR(VLOOKUP($G192,今日總結!$A:$AN,40,0),"")</f>
        <v>0</v>
      </c>
      <c r="L192" s="156">
        <f>IFERROR(VLOOKUP($G192,今日總結!$A:$AN,37,0),"")</f>
        <v>0</v>
      </c>
      <c r="M192" s="337">
        <f>IFERROR(VLOOKUP($G192,今日總結!$A:$AN,38,0),"")</f>
        <v>0</v>
      </c>
      <c r="N192" s="240">
        <f t="shared" si="31"/>
        <v>0</v>
      </c>
      <c r="O192" s="359">
        <f>IFERROR(VLOOKUP($G192,融外自投!$A:$J,7,0),"無")</f>
        <v>1145</v>
      </c>
      <c r="P192" s="79">
        <f>IFERROR(VLOOKUP($G192,融外自投!$A:$J,9,0),"無")</f>
        <v>946</v>
      </c>
      <c r="Q192" s="342">
        <f>IFERROR(VLOOKUP($G192,融外自投!$A:$J,8,0),"無")</f>
        <v>660</v>
      </c>
      <c r="R192" s="81">
        <f>IFERROR(VLOOKUP($G192,融外自投!$A:$J,10,0),"無")</f>
        <v>336</v>
      </c>
      <c r="S192" s="324">
        <f>IFERROR(VLOOKUP($G192,'321買'!$A:$E,4,0),"'沒有資料'")</f>
        <v>1002</v>
      </c>
      <c r="T192" s="186">
        <f>IFERROR(VLOOKUP($G192,基本資料!$A:$J,9,0),"無")</f>
        <v>5.2</v>
      </c>
      <c r="U192" s="307">
        <f t="shared" ref="U192:U222" si="32">$T192/$W192</f>
        <v>5.949656750572082E-2</v>
      </c>
      <c r="V192" s="94">
        <f>IFERROR(VLOOKUP($G192,基本資料!$A:$J,10,0),"無")</f>
        <v>6.27</v>
      </c>
      <c r="W192" s="36">
        <f>RTD("money.excel",,"4549","Price")</f>
        <v>87.4</v>
      </c>
      <c r="X192" s="66"/>
      <c r="Y192" s="15">
        <f t="shared" ref="Y192:Y222" si="33">W192-X192</f>
        <v>87.4</v>
      </c>
      <c r="Z192" s="3" t="e">
        <f t="shared" ref="Z192:Z222" si="34">Y192/X192</f>
        <v>#DIV/0!</v>
      </c>
      <c r="AA192" s="340">
        <f>IFERROR(VLOOKUP($G192,基本資料!$A:$M,11,0),"無")</f>
        <v>-11.27</v>
      </c>
      <c r="AB192" s="389">
        <f>IFERROR(VLOOKUP($G192,基本資料!$A:$M,12,0),"無")</f>
        <v>17.329999999999998</v>
      </c>
      <c r="AC192" s="16" t="s">
        <v>544</v>
      </c>
      <c r="AF192" s="33">
        <f t="shared" ref="AF192:AF222" si="35">AE192-AD192</f>
        <v>0</v>
      </c>
      <c r="AG192" s="43" t="s">
        <v>2496</v>
      </c>
      <c r="AH192" s="66">
        <f t="shared" si="30"/>
        <v>1.5732546705998034</v>
      </c>
      <c r="AI192" s="283">
        <f>RTD("money.excel",,$G192,"PredictVolume")</f>
        <v>80</v>
      </c>
      <c r="AJ192" s="391">
        <f>IFERROR(VLOOKUP($G192,基本資料!$A:$M,13,0),"無")</f>
        <v>50.85</v>
      </c>
      <c r="AR192" s="245" t="str">
        <f>INDEX(基本資料!N:N,MATCH($G192,基本資料!A:A,0))</f>
        <v>中</v>
      </c>
    </row>
    <row r="193" spans="1:44">
      <c r="A193" s="343">
        <f>IFERROR(VLOOKUP($G193,基本資料!$A:$J,3,0),"無")</f>
        <v>3.78</v>
      </c>
      <c r="B193" s="79">
        <f>IFERROR(VLOOKUP($G193,基本資料!$A:$J,4,0),"無")</f>
        <v>-37</v>
      </c>
      <c r="C193" s="79">
        <f>IFERROR(VLOOKUP($G193,基本資料!$A:$J,5,0),"無")</f>
        <v>-79</v>
      </c>
      <c r="D193" s="79">
        <f>IFERROR(VLOOKUP($G193,基本資料!$A:$J,6,0),"無")</f>
        <v>9</v>
      </c>
      <c r="E193" s="79">
        <f>IFERROR(VLOOKUP($G193,基本資料!$A:$J,7,0),"無")</f>
        <v>-11</v>
      </c>
      <c r="F193" s="6">
        <f>IFERROR(VLOOKUP($G193,基本資料!$A:$J,8,0),"無")</f>
        <v>1.19</v>
      </c>
      <c r="G193" s="79">
        <v>4550</v>
      </c>
      <c r="H193" s="8" t="s">
        <v>295</v>
      </c>
      <c r="I193" s="16" t="s">
        <v>545</v>
      </c>
      <c r="J193" s="8">
        <f>IFERROR(VLOOKUP($G193,今日總結!$A:$AN,39,0),"")</f>
        <v>0</v>
      </c>
      <c r="K193" s="5">
        <f>IFERROR(VLOOKUP($G193,今日總結!$A:$AN,40,0),"")</f>
        <v>0</v>
      </c>
      <c r="L193" s="156">
        <f>IFERROR(VLOOKUP($G193,今日總結!$A:$AN,37,0),"")</f>
        <v>0</v>
      </c>
      <c r="M193" s="337">
        <f>IFERROR(VLOOKUP($G193,今日總結!$A:$AN,38,0),"")</f>
        <v>0</v>
      </c>
      <c r="N193" s="240">
        <f t="shared" si="31"/>
        <v>0</v>
      </c>
      <c r="O193" s="359">
        <f>IFERROR(VLOOKUP($G193,融外自投!$A:$J,7,0),"無")</f>
        <v>1196</v>
      </c>
      <c r="P193" s="79" t="str">
        <f>IFERROR(VLOOKUP($G193,融外自投!$A:$J,9,0),"無")</f>
        <v>無</v>
      </c>
      <c r="Q193" s="342">
        <f>IFERROR(VLOOKUP($G193,融外自投!$A:$J,8,0),"無")</f>
        <v>1218</v>
      </c>
      <c r="R193" s="81" t="str">
        <f>IFERROR(VLOOKUP($G193,融外自投!$A:$J,10,0),"無")</f>
        <v>無</v>
      </c>
      <c r="S193" s="324">
        <f>IFERROR(VLOOKUP($G193,'321買'!$A:$E,4,0),"'沒有資料'")</f>
        <v>891</v>
      </c>
      <c r="T193" s="186">
        <f>IFERROR(VLOOKUP($G193,基本資料!$A:$J,9,0),"無")</f>
        <v>1.1499999999999999</v>
      </c>
      <c r="U193" s="307">
        <f t="shared" si="32"/>
        <v>5.3488372093023255E-2</v>
      </c>
      <c r="V193" s="94">
        <f>IFERROR(VLOOKUP($G193,基本資料!$A:$J,10,0),"無")</f>
        <v>1.41</v>
      </c>
      <c r="W193" s="36">
        <f>RTD("money.excel",,"4550","Price")</f>
        <v>21.5</v>
      </c>
      <c r="X193" s="66"/>
      <c r="Y193" s="15">
        <f t="shared" si="33"/>
        <v>21.5</v>
      </c>
      <c r="Z193" s="3" t="e">
        <f t="shared" si="34"/>
        <v>#DIV/0!</v>
      </c>
      <c r="AA193" s="340">
        <f>IFERROR(VLOOKUP($G193,基本資料!$A:$M,11,0),"無")</f>
        <v>-15.19</v>
      </c>
      <c r="AB193" s="389">
        <f>IFERROR(VLOOKUP($G193,基本資料!$A:$M,12,0),"無")</f>
        <v>37.61</v>
      </c>
      <c r="AC193" s="16" t="s">
        <v>545</v>
      </c>
      <c r="AF193" s="33">
        <f t="shared" si="35"/>
        <v>0</v>
      </c>
      <c r="AG193" s="43" t="s">
        <v>2495</v>
      </c>
      <c r="AH193" s="66">
        <f t="shared" si="30"/>
        <v>1.0060362173038229</v>
      </c>
      <c r="AI193" s="283">
        <f>RTD("money.excel",,$G193,"PredictVolume")</f>
        <v>25</v>
      </c>
      <c r="AJ193" s="391">
        <f>IFERROR(VLOOKUP($G193,基本資料!$A:$M,13,0),"無")</f>
        <v>24.85</v>
      </c>
      <c r="AR193" s="245" t="str">
        <f>INDEX(基本資料!N:N,MATCH($G193,基本資料!A:A,0))</f>
        <v>低</v>
      </c>
    </row>
    <row r="194" spans="1:44">
      <c r="A194" s="343">
        <f>IFERROR(VLOOKUP($G194,基本資料!$A:$J,3,0),"無")</f>
        <v>11.6</v>
      </c>
      <c r="B194" s="79">
        <f>IFERROR(VLOOKUP($G194,基本資料!$A:$J,4,0),"無")</f>
        <v>40</v>
      </c>
      <c r="C194" s="79">
        <f>IFERROR(VLOOKUP($G194,基本資料!$A:$J,5,0),"無")</f>
        <v>31</v>
      </c>
      <c r="D194" s="79">
        <f>IFERROR(VLOOKUP($G194,基本資料!$A:$J,6,0),"無")</f>
        <v>64</v>
      </c>
      <c r="E194" s="79">
        <f>IFERROR(VLOOKUP($G194,基本資料!$A:$J,7,0),"無")</f>
        <v>26</v>
      </c>
      <c r="F194" s="6">
        <f>IFERROR(VLOOKUP($G194,基本資料!$A:$J,8,0),"無")</f>
        <v>10.47</v>
      </c>
      <c r="G194" s="79">
        <v>4552</v>
      </c>
      <c r="H194" s="8" t="s">
        <v>295</v>
      </c>
      <c r="I194" s="22" t="s">
        <v>253</v>
      </c>
      <c r="J194" s="8">
        <f>IFERROR(VLOOKUP($G194,今日總結!$A:$AN,39,0),"")</f>
        <v>0</v>
      </c>
      <c r="K194" s="5">
        <f>IFERROR(VLOOKUP($G194,今日總結!$A:$AN,40,0),"")</f>
        <v>0</v>
      </c>
      <c r="L194" s="156">
        <f>IFERROR(VLOOKUP($G194,今日總結!$A:$AN,37,0),"")</f>
        <v>0</v>
      </c>
      <c r="M194" s="337">
        <f>IFERROR(VLOOKUP($G194,今日總結!$A:$AN,38,0),"")</f>
        <v>0</v>
      </c>
      <c r="N194" s="240">
        <f t="shared" si="31"/>
        <v>0</v>
      </c>
      <c r="O194" s="359">
        <f>IFERROR(VLOOKUP($G194,融外自投!$A:$J,7,0),"無")</f>
        <v>1175</v>
      </c>
      <c r="P194" s="79">
        <f>IFERROR(VLOOKUP($G194,融外自投!$A:$J,9,0),"無")</f>
        <v>946</v>
      </c>
      <c r="Q194" s="342">
        <f>IFERROR(VLOOKUP($G194,融外自投!$A:$J,8,0),"無")</f>
        <v>76</v>
      </c>
      <c r="R194" s="81" t="str">
        <f>IFERROR(VLOOKUP($G194,融外自投!$A:$J,10,0),"無")</f>
        <v>無</v>
      </c>
      <c r="S194" s="324">
        <f>IFERROR(VLOOKUP($G194,'321買'!$A:$E,4,0),"'沒有資料'")</f>
        <v>1002</v>
      </c>
      <c r="T194" s="186">
        <f>IFERROR(VLOOKUP($G194,基本資料!$A:$J,9,0),"無")</f>
        <v>1</v>
      </c>
      <c r="U194" s="307">
        <f t="shared" si="32"/>
        <v>3.5398230088495575E-2</v>
      </c>
      <c r="V194" s="94">
        <f>IFERROR(VLOOKUP($G194,基本資料!$A:$J,10,0),"無")</f>
        <v>3.13</v>
      </c>
      <c r="W194" s="36">
        <f>RTD("money.excel",,"4552","Price")</f>
        <v>28.25</v>
      </c>
      <c r="X194" s="66"/>
      <c r="Y194" s="15">
        <f t="shared" si="33"/>
        <v>28.25</v>
      </c>
      <c r="Z194" s="3" t="e">
        <f t="shared" si="34"/>
        <v>#DIV/0!</v>
      </c>
      <c r="AA194" s="340">
        <f>IFERROR(VLOOKUP($G194,基本資料!$A:$M,11,0),"無")</f>
        <v>-20.420000000000002</v>
      </c>
      <c r="AB194" s="389">
        <f>IFERROR(VLOOKUP($G194,基本資料!$A:$M,12,0),"無")</f>
        <v>12.85</v>
      </c>
      <c r="AC194" s="22" t="s">
        <v>253</v>
      </c>
      <c r="AF194" s="33">
        <f t="shared" si="35"/>
        <v>0</v>
      </c>
      <c r="AG194" s="43" t="s">
        <v>2127</v>
      </c>
      <c r="AH194" s="66">
        <f t="shared" si="30"/>
        <v>0.39923954372623571</v>
      </c>
      <c r="AI194" s="283">
        <f>RTD("money.excel",,$G194,"PredictVolume")</f>
        <v>21</v>
      </c>
      <c r="AJ194" s="391">
        <f>IFERROR(VLOOKUP($G194,基本資料!$A:$M,13,0),"無")</f>
        <v>52.6</v>
      </c>
      <c r="AR194" s="245" t="str">
        <f>INDEX(基本資料!N:N,MATCH($G194,基本資料!A:A,0))</f>
        <v>低</v>
      </c>
    </row>
    <row r="195" spans="1:44">
      <c r="A195" s="343">
        <f>IFERROR(VLOOKUP($G195,基本資料!$A:$J,3,0),"無")</f>
        <v>6.69</v>
      </c>
      <c r="B195" s="79">
        <f>IFERROR(VLOOKUP($G195,基本資料!$A:$J,4,0),"無")</f>
        <v>73</v>
      </c>
      <c r="C195" s="79">
        <f>IFERROR(VLOOKUP($G195,基本資料!$A:$J,5,0),"無")</f>
        <v>86</v>
      </c>
      <c r="D195" s="79">
        <f>IFERROR(VLOOKUP($G195,基本資料!$A:$J,6,0),"無")</f>
        <v>-19</v>
      </c>
      <c r="E195" s="79">
        <f>IFERROR(VLOOKUP($G195,基本資料!$A:$J,7,0),"無")</f>
        <v>-29</v>
      </c>
      <c r="F195" s="6">
        <f>IFERROR(VLOOKUP($G195,基本資料!$A:$J,8,0),"無")</f>
        <v>15.07</v>
      </c>
      <c r="G195" s="79">
        <v>4555</v>
      </c>
      <c r="H195" s="8" t="s">
        <v>295</v>
      </c>
      <c r="I195" s="22" t="s">
        <v>580</v>
      </c>
      <c r="J195" s="8">
        <f>IFERROR(VLOOKUP($G195,今日總結!$A:$AN,39,0),"")</f>
        <v>0</v>
      </c>
      <c r="K195" s="5">
        <f>IFERROR(VLOOKUP($G195,今日總結!$A:$AN,40,0),"")</f>
        <v>0</v>
      </c>
      <c r="L195" s="156">
        <f>IFERROR(VLOOKUP($G195,今日總結!$A:$AN,37,0),"")</f>
        <v>0</v>
      </c>
      <c r="M195" s="337">
        <f>IFERROR(VLOOKUP($G195,今日總結!$A:$AN,38,0),"")</f>
        <v>0</v>
      </c>
      <c r="N195" s="240">
        <f t="shared" si="31"/>
        <v>0</v>
      </c>
      <c r="O195" s="359">
        <f>IFERROR(VLOOKUP($G195,融外自投!$A:$J,7,0),"無")</f>
        <v>909</v>
      </c>
      <c r="P195" s="79">
        <f>IFERROR(VLOOKUP($G195,融外自投!$A:$J,9,0),"無")</f>
        <v>908</v>
      </c>
      <c r="Q195" s="342">
        <f>IFERROR(VLOOKUP($G195,融外自投!$A:$J,8,0),"無")</f>
        <v>1396</v>
      </c>
      <c r="R195" s="81" t="str">
        <f>IFERROR(VLOOKUP($G195,融外自投!$A:$J,10,0),"無")</f>
        <v>無</v>
      </c>
      <c r="S195" s="324">
        <f>IFERROR(VLOOKUP($G195,'321買'!$A:$E,4,0),"'沒有資料'")</f>
        <v>1002</v>
      </c>
      <c r="T195" s="186">
        <f>IFERROR(VLOOKUP($G195,基本資料!$A:$J,9,0),"無")</f>
        <v>1.8</v>
      </c>
      <c r="U195" s="307">
        <f t="shared" si="32"/>
        <v>3.2142857142857147E-2</v>
      </c>
      <c r="V195" s="94">
        <f>IFERROR(VLOOKUP($G195,基本資料!$A:$J,10,0),"無")</f>
        <v>3.5</v>
      </c>
      <c r="W195" s="36">
        <f>RTD("money.excel",,"4555","Price")</f>
        <v>56</v>
      </c>
      <c r="X195" s="66"/>
      <c r="Y195" s="15">
        <f t="shared" si="33"/>
        <v>56</v>
      </c>
      <c r="Z195" s="3" t="e">
        <f t="shared" si="34"/>
        <v>#DIV/0!</v>
      </c>
      <c r="AA195" s="340">
        <f>IFERROR(VLOOKUP($G195,基本資料!$A:$M,11,0),"無")</f>
        <v>-9.68</v>
      </c>
      <c r="AB195" s="389">
        <f>IFERROR(VLOOKUP($G195,基本資料!$A:$M,12,0),"無")</f>
        <v>47.53</v>
      </c>
      <c r="AC195" s="22" t="s">
        <v>580</v>
      </c>
      <c r="AF195" s="33">
        <f t="shared" si="35"/>
        <v>0</v>
      </c>
      <c r="AG195" s="43" t="s">
        <v>1944</v>
      </c>
      <c r="AH195" s="66">
        <f t="shared" si="30"/>
        <v>6.08955223880597</v>
      </c>
      <c r="AI195" s="283">
        <f>RTD("money.excel",,$G195,"PredictVolume")</f>
        <v>102</v>
      </c>
      <c r="AJ195" s="391">
        <f>IFERROR(VLOOKUP($G195,基本資料!$A:$M,13,0),"無")</f>
        <v>16.75</v>
      </c>
      <c r="AR195" s="245" t="str">
        <f>INDEX(基本資料!N:N,MATCH($G195,基本資料!A:A,0))</f>
        <v>中</v>
      </c>
    </row>
    <row r="196" spans="1:44">
      <c r="A196" s="343" t="str">
        <f>IFERROR(VLOOKUP($G196,基本資料!$A:$J,3,0),"無")</f>
        <v>無</v>
      </c>
      <c r="B196" s="79" t="str">
        <f>IFERROR(VLOOKUP($G196,基本資料!$A:$J,4,0),"無")</f>
        <v>無</v>
      </c>
      <c r="C196" s="79" t="str">
        <f>IFERROR(VLOOKUP($G196,基本資料!$A:$J,5,0),"無")</f>
        <v>無</v>
      </c>
      <c r="D196" s="79" t="str">
        <f>IFERROR(VLOOKUP($G196,基本資料!$A:$J,6,0),"無")</f>
        <v>無</v>
      </c>
      <c r="E196" s="79" t="str">
        <f>IFERROR(VLOOKUP($G196,基本資料!$A:$J,7,0),"無")</f>
        <v>無</v>
      </c>
      <c r="F196" s="6" t="str">
        <f>IFERROR(VLOOKUP($G196,基本資料!$A:$J,8,0),"無")</f>
        <v>無</v>
      </c>
      <c r="G196" s="79">
        <v>4558</v>
      </c>
      <c r="H196" s="8" t="s">
        <v>295</v>
      </c>
      <c r="I196" s="16" t="s">
        <v>4764</v>
      </c>
      <c r="J196" s="8" t="str">
        <f>IFERROR(VLOOKUP($G196,今日總結!$A:$AN,39,0),"")</f>
        <v/>
      </c>
      <c r="K196" s="5" t="str">
        <f>IFERROR(VLOOKUP($G196,今日總結!$A:$AN,40,0),"")</f>
        <v/>
      </c>
      <c r="L196" s="156" t="str">
        <f>IFERROR(VLOOKUP($G196,今日總結!$A:$AN,37,0),"")</f>
        <v/>
      </c>
      <c r="M196" s="337" t="str">
        <f>IFERROR(VLOOKUP($G196,今日總結!$A:$AN,38,0),"")</f>
        <v/>
      </c>
      <c r="N196" s="240" t="str">
        <f t="shared" si="31"/>
        <v/>
      </c>
      <c r="O196" s="359" t="str">
        <f>IFERROR(VLOOKUP($G196,融外自投!$A:$J,7,0),"無")</f>
        <v>無</v>
      </c>
      <c r="P196" s="79" t="str">
        <f>IFERROR(VLOOKUP($G196,融外自投!$A:$J,9,0),"無")</f>
        <v>無</v>
      </c>
      <c r="Q196" s="342" t="str">
        <f>IFERROR(VLOOKUP($G196,融外自投!$A:$J,8,0),"無")</f>
        <v>無</v>
      </c>
      <c r="R196" s="81" t="str">
        <f>IFERROR(VLOOKUP($G196,融外自投!$A:$J,10,0),"無")</f>
        <v>無</v>
      </c>
      <c r="S196" s="324" t="str">
        <f>IFERROR(VLOOKUP($G196,'321買'!$A:$E,4,0),"'沒有資料'")</f>
        <v>'沒有資料'</v>
      </c>
      <c r="T196" s="186" t="str">
        <f>IFERROR(VLOOKUP($G196,基本資料!$A:$J,9,0),"無")</f>
        <v>無</v>
      </c>
      <c r="U196" s="307" t="e">
        <f t="shared" si="32"/>
        <v>#VALUE!</v>
      </c>
      <c r="V196" s="94" t="str">
        <f>IFERROR(VLOOKUP($G196,基本資料!$A:$J,10,0),"無")</f>
        <v>無</v>
      </c>
      <c r="W196" s="36">
        <f>RTD("money.excel",,"4558","Price")</f>
        <v>38.65</v>
      </c>
      <c r="X196" s="66"/>
      <c r="Y196" s="15">
        <f>W196-X196</f>
        <v>38.65</v>
      </c>
      <c r="Z196" s="3" t="e">
        <f>Y196/X196</f>
        <v>#DIV/0!</v>
      </c>
      <c r="AA196" s="340" t="str">
        <f>IFERROR(VLOOKUP($G196,基本資料!$A:$M,11,0),"無")</f>
        <v>無</v>
      </c>
      <c r="AB196" s="389" t="str">
        <f>IFERROR(VLOOKUP($G196,基本資料!$A:$M,12,0),"無")</f>
        <v>無</v>
      </c>
      <c r="AC196" s="16" t="s">
        <v>4764</v>
      </c>
      <c r="AF196" s="33">
        <f>AE196-AD196</f>
        <v>0</v>
      </c>
      <c r="AG196" s="43" t="s">
        <v>4765</v>
      </c>
      <c r="AH196" s="66" t="e">
        <f t="shared" si="30"/>
        <v>#VALUE!</v>
      </c>
      <c r="AI196" s="283">
        <f>RTD("money.excel",,$G196,"PredictVolume")</f>
        <v>5</v>
      </c>
      <c r="AJ196" s="391" t="str">
        <f>IFERROR(VLOOKUP($G196,基本資料!$A:$M,13,0),"無")</f>
        <v>無</v>
      </c>
      <c r="AR196" s="245" t="e">
        <f>INDEX(基本資料!N:N,MATCH($G196,基本資料!A:A,0))</f>
        <v>#N/A</v>
      </c>
    </row>
    <row r="197" spans="1:44">
      <c r="A197" s="343">
        <f>IFERROR(VLOOKUP($G197,基本資料!$A:$J,3,0),"無")</f>
        <v>6.8</v>
      </c>
      <c r="B197" s="79">
        <f>IFERROR(VLOOKUP($G197,基本資料!$A:$J,4,0),"無")</f>
        <v>163</v>
      </c>
      <c r="C197" s="79">
        <f>IFERROR(VLOOKUP($G197,基本資料!$A:$J,5,0),"無")</f>
        <v>92</v>
      </c>
      <c r="D197" s="79">
        <f>IFERROR(VLOOKUP($G197,基本資料!$A:$J,6,0),"無")</f>
        <v>-7</v>
      </c>
      <c r="E197" s="79">
        <f>IFERROR(VLOOKUP($G197,基本資料!$A:$J,7,0),"無")</f>
        <v>39</v>
      </c>
      <c r="F197" s="6">
        <f>IFERROR(VLOOKUP($G197,基本資料!$A:$J,8,0),"無")</f>
        <v>14.02</v>
      </c>
      <c r="G197" s="79">
        <v>4560</v>
      </c>
      <c r="H197" s="8" t="s">
        <v>295</v>
      </c>
      <c r="I197" s="22" t="s">
        <v>582</v>
      </c>
      <c r="J197" s="8">
        <f>IFERROR(VLOOKUP($G197,今日總結!$A:$AN,39,0),"")</f>
        <v>0</v>
      </c>
      <c r="K197" s="5">
        <f>IFERROR(VLOOKUP($G197,今日總結!$A:$AN,40,0),"")</f>
        <v>0</v>
      </c>
      <c r="L197" s="156">
        <f>IFERROR(VLOOKUP($G197,今日總結!$A:$AN,37,0),"")</f>
        <v>0</v>
      </c>
      <c r="M197" s="337">
        <f>IFERROR(VLOOKUP($G197,今日總結!$A:$AN,38,0),"")</f>
        <v>0</v>
      </c>
      <c r="N197" s="240">
        <f t="shared" si="31"/>
        <v>0</v>
      </c>
      <c r="O197" s="359">
        <f>IFERROR(VLOOKUP($G197,融外自投!$A:$J,7,0),"無")</f>
        <v>1158</v>
      </c>
      <c r="P197" s="79">
        <f>IFERROR(VLOOKUP($G197,融外自投!$A:$J,9,0),"無")</f>
        <v>869</v>
      </c>
      <c r="Q197" s="342">
        <f>IFERROR(VLOOKUP($G197,融外自投!$A:$J,8,0),"無")</f>
        <v>8</v>
      </c>
      <c r="R197" s="81" t="str">
        <f>IFERROR(VLOOKUP($G197,融外自投!$A:$J,10,0),"無")</f>
        <v>無</v>
      </c>
      <c r="S197" s="324">
        <f>IFERROR(VLOOKUP($G197,'321買'!$A:$E,4,0),"'沒有資料'")</f>
        <v>1002</v>
      </c>
      <c r="T197" s="186">
        <f>IFERROR(VLOOKUP($G197,基本資料!$A:$J,9,0),"無")</f>
        <v>1.8</v>
      </c>
      <c r="U197" s="307">
        <f t="shared" si="32"/>
        <v>4.3269230769230768E-2</v>
      </c>
      <c r="V197" s="94">
        <f>IFERROR(VLOOKUP($G197,基本資料!$A:$J,10,0),"無")</f>
        <v>2.95</v>
      </c>
      <c r="W197" s="36">
        <f>RTD("money.excel",,"4560","Price")</f>
        <v>41.6</v>
      </c>
      <c r="X197" s="66"/>
      <c r="Y197" s="15">
        <f t="shared" si="33"/>
        <v>41.6</v>
      </c>
      <c r="Z197" s="3" t="e">
        <f t="shared" si="34"/>
        <v>#DIV/0!</v>
      </c>
      <c r="AA197" s="340">
        <f>IFERROR(VLOOKUP($G197,基本資料!$A:$M,11,0),"無")</f>
        <v>-7.56</v>
      </c>
      <c r="AB197" s="389">
        <f>IFERROR(VLOOKUP($G197,基本資料!$A:$M,12,0),"無")</f>
        <v>41.03</v>
      </c>
      <c r="AC197" s="22" t="s">
        <v>582</v>
      </c>
      <c r="AF197" s="33">
        <f t="shared" si="35"/>
        <v>0</v>
      </c>
      <c r="AG197" s="43" t="s">
        <v>2746</v>
      </c>
      <c r="AH197" s="66">
        <f t="shared" ref="AH197:AH260" si="36">AI197/AJ197</f>
        <v>0.83916083916083917</v>
      </c>
      <c r="AI197" s="283">
        <f>RTD("money.excel",,$G197,"PredictVolume")</f>
        <v>48</v>
      </c>
      <c r="AJ197" s="391">
        <f>IFERROR(VLOOKUP($G197,基本資料!$A:$M,13,0),"無")</f>
        <v>57.2</v>
      </c>
      <c r="AR197" s="245" t="str">
        <f>INDEX(基本資料!N:N,MATCH($G197,基本資料!A:A,0))</f>
        <v>低</v>
      </c>
    </row>
    <row r="198" spans="1:44">
      <c r="A198" s="343">
        <f>IFERROR(VLOOKUP($G198,基本資料!$A:$J,3,0),"無")</f>
        <v>5.85</v>
      </c>
      <c r="B198" s="79">
        <f>IFERROR(VLOOKUP($G198,基本資料!$A:$J,4,0),"無")</f>
        <v>70</v>
      </c>
      <c r="C198" s="79">
        <f>IFERROR(VLOOKUP($G198,基本資料!$A:$J,5,0),"無")</f>
        <v>95</v>
      </c>
      <c r="D198" s="79">
        <f>IFERROR(VLOOKUP($G198,基本資料!$A:$J,6,0),"無")</f>
        <v>-32</v>
      </c>
      <c r="E198" s="79">
        <f>IFERROR(VLOOKUP($G198,基本資料!$A:$J,7,0),"無")</f>
        <v>-26</v>
      </c>
      <c r="F198" s="6">
        <f>IFERROR(VLOOKUP($G198,基本資料!$A:$J,8,0),"無")</f>
        <v>13.73</v>
      </c>
      <c r="G198" s="79">
        <v>4561</v>
      </c>
      <c r="H198" s="8" t="s">
        <v>295</v>
      </c>
      <c r="I198" s="16" t="s">
        <v>546</v>
      </c>
      <c r="J198" s="8" t="str">
        <f>IFERROR(VLOOKUP($G198,今日總結!$A:$AN,39,0),"")</f>
        <v/>
      </c>
      <c r="K198" s="5" t="str">
        <f>IFERROR(VLOOKUP($G198,今日總結!$A:$AN,40,0),"")</f>
        <v/>
      </c>
      <c r="L198" s="156" t="str">
        <f>IFERROR(VLOOKUP($G198,今日總結!$A:$AN,37,0),"")</f>
        <v/>
      </c>
      <c r="M198" s="337" t="str">
        <f>IFERROR(VLOOKUP($G198,今日總結!$A:$AN,38,0),"")</f>
        <v/>
      </c>
      <c r="N198" s="240" t="str">
        <f t="shared" si="31"/>
        <v/>
      </c>
      <c r="O198" s="359">
        <f>IFERROR(VLOOKUP($G198,融外自投!$A:$J,7,0),"無")</f>
        <v>956</v>
      </c>
      <c r="P198" s="79">
        <f>IFERROR(VLOOKUP($G198,融外自投!$A:$J,9,0),"無")</f>
        <v>908</v>
      </c>
      <c r="Q198" s="342">
        <f>IFERROR(VLOOKUP($G198,融外自投!$A:$J,8,0),"無")</f>
        <v>1440</v>
      </c>
      <c r="R198" s="81" t="str">
        <f>IFERROR(VLOOKUP($G198,融外自投!$A:$J,10,0),"無")</f>
        <v>無</v>
      </c>
      <c r="S198" s="324" t="str">
        <f>IFERROR(VLOOKUP($G198,'321買'!$A:$E,4,0),"'沒有資料'")</f>
        <v>'沒有資料'</v>
      </c>
      <c r="T198" s="186">
        <f>IFERROR(VLOOKUP($G198,基本資料!$A:$J,9,0),"無")</f>
        <v>0.9</v>
      </c>
      <c r="U198" s="307">
        <f t="shared" si="32"/>
        <v>3.2608695652173912E-2</v>
      </c>
      <c r="V198" s="94">
        <f>IFERROR(VLOOKUP($G198,基本資料!$A:$J,10,0),"無")</f>
        <v>2.4900000000000002</v>
      </c>
      <c r="W198" s="36">
        <f>RTD("money.excel",,"4561","Price")</f>
        <v>27.6</v>
      </c>
      <c r="X198" s="66"/>
      <c r="Y198" s="15">
        <f t="shared" si="33"/>
        <v>27.6</v>
      </c>
      <c r="Z198" s="3" t="e">
        <f t="shared" si="34"/>
        <v>#DIV/0!</v>
      </c>
      <c r="AA198" s="340">
        <f>IFERROR(VLOOKUP($G198,基本資料!$A:$M,11,0),"無")</f>
        <v>-20.69</v>
      </c>
      <c r="AB198" s="389">
        <f>IFERROR(VLOOKUP($G198,基本資料!$A:$M,12,0),"無")</f>
        <v>43.31</v>
      </c>
      <c r="AC198" s="16" t="s">
        <v>546</v>
      </c>
      <c r="AF198" s="33">
        <f t="shared" si="35"/>
        <v>0</v>
      </c>
      <c r="AG198" s="43" t="s">
        <v>2494</v>
      </c>
      <c r="AH198" s="66">
        <f t="shared" si="36"/>
        <v>0.21917808219178081</v>
      </c>
      <c r="AI198" s="283">
        <f>RTD("money.excel",,$G198,"PredictVolume")</f>
        <v>4</v>
      </c>
      <c r="AJ198" s="391">
        <f>IFERROR(VLOOKUP($G198,基本資料!$A:$M,13,0),"無")</f>
        <v>18.25</v>
      </c>
      <c r="AR198" s="245" t="str">
        <f>INDEX(基本資料!N:N,MATCH($G198,基本資料!A:A,0))</f>
        <v>低</v>
      </c>
    </row>
    <row r="199" spans="1:44">
      <c r="A199" s="343">
        <f>IFERROR(VLOOKUP($G199,基本資料!$A:$J,3,0),"無")</f>
        <v>8.75</v>
      </c>
      <c r="B199" s="79">
        <f>IFERROR(VLOOKUP($G199,基本資料!$A:$J,4,0),"無")</f>
        <v>10</v>
      </c>
      <c r="C199" s="79">
        <f>IFERROR(VLOOKUP($G199,基本資料!$A:$J,5,0),"無")</f>
        <v>29</v>
      </c>
      <c r="D199" s="79">
        <f>IFERROR(VLOOKUP($G199,基本資料!$A:$J,6,0),"無")</f>
        <v>-27</v>
      </c>
      <c r="E199" s="79">
        <f>IFERROR(VLOOKUP($G199,基本資料!$A:$J,7,0),"無")</f>
        <v>-28</v>
      </c>
      <c r="F199" s="6">
        <f>IFERROR(VLOOKUP($G199,基本資料!$A:$J,8,0),"無")</f>
        <v>-11.35</v>
      </c>
      <c r="G199" s="79">
        <v>4562</v>
      </c>
      <c r="H199" s="8" t="s">
        <v>295</v>
      </c>
      <c r="I199" s="22" t="s">
        <v>583</v>
      </c>
      <c r="J199" s="8">
        <f>IFERROR(VLOOKUP($G199,今日總結!$A:$AN,39,0),"")</f>
        <v>0</v>
      </c>
      <c r="K199" s="5">
        <f>IFERROR(VLOOKUP($G199,今日總結!$A:$AN,40,0),"")</f>
        <v>0</v>
      </c>
      <c r="L199" s="156">
        <f>IFERROR(VLOOKUP($G199,今日總結!$A:$AN,37,0),"")</f>
        <v>0</v>
      </c>
      <c r="M199" s="337">
        <f>IFERROR(VLOOKUP($G199,今日總結!$A:$AN,38,0),"")</f>
        <v>0</v>
      </c>
      <c r="N199" s="240">
        <f t="shared" si="31"/>
        <v>0</v>
      </c>
      <c r="O199" s="359">
        <f>IFERROR(VLOOKUP($G199,融外自投!$A:$J,7,0),"無")</f>
        <v>969</v>
      </c>
      <c r="P199" s="79" t="str">
        <f>IFERROR(VLOOKUP($G199,融外自投!$A:$J,9,0),"無")</f>
        <v>無</v>
      </c>
      <c r="Q199" s="342">
        <f>IFERROR(VLOOKUP($G199,融外自投!$A:$J,8,0),"無")</f>
        <v>1164</v>
      </c>
      <c r="R199" s="81" t="str">
        <f>IFERROR(VLOOKUP($G199,融外自投!$A:$J,10,0),"無")</f>
        <v>無</v>
      </c>
      <c r="S199" s="324">
        <f>IFERROR(VLOOKUP($G199,'321買'!$A:$E,4,0),"'沒有資料'")</f>
        <v>1002</v>
      </c>
      <c r="T199" s="186">
        <f>IFERROR(VLOOKUP($G199,基本資料!$A:$J,9,0),"無")</f>
        <v>0</v>
      </c>
      <c r="U199" s="307">
        <f t="shared" si="32"/>
        <v>0</v>
      </c>
      <c r="V199" s="94">
        <f>IFERROR(VLOOKUP($G199,基本資料!$A:$J,10,0),"無")</f>
        <v>-2.0099999999999998</v>
      </c>
      <c r="W199" s="36">
        <f>RTD("money.excel",,"4562","Price")</f>
        <v>15.45</v>
      </c>
      <c r="X199" s="66"/>
      <c r="Y199" s="15">
        <f t="shared" si="33"/>
        <v>15.45</v>
      </c>
      <c r="Z199" s="3" t="e">
        <f t="shared" si="34"/>
        <v>#DIV/0!</v>
      </c>
      <c r="AA199" s="340">
        <f>IFERROR(VLOOKUP($G199,基本資料!$A:$M,11,0),"無")</f>
        <v>-30.41</v>
      </c>
      <c r="AB199" s="389">
        <f>IFERROR(VLOOKUP($G199,基本資料!$A:$M,12,0),"無")</f>
        <v>49.56</v>
      </c>
      <c r="AC199" s="22" t="s">
        <v>583</v>
      </c>
      <c r="AF199" s="33">
        <f t="shared" si="35"/>
        <v>0</v>
      </c>
      <c r="AG199" s="43" t="s">
        <v>2747</v>
      </c>
      <c r="AH199" s="66">
        <f t="shared" si="36"/>
        <v>1.2566844919786098</v>
      </c>
      <c r="AI199" s="283">
        <f>RTD("money.excel",,$G199,"PredictVolume")</f>
        <v>94</v>
      </c>
      <c r="AJ199" s="391">
        <f>IFERROR(VLOOKUP($G199,基本資料!$A:$M,13,0),"無")</f>
        <v>74.8</v>
      </c>
      <c r="AR199" s="245" t="str">
        <f>INDEX(基本資料!N:N,MATCH($G199,基本資料!A:A,0))</f>
        <v>低</v>
      </c>
    </row>
    <row r="200" spans="1:44">
      <c r="A200" s="343">
        <f>IFERROR(VLOOKUP($G200,基本資料!$A:$J,3,0),"無")</f>
        <v>5.49</v>
      </c>
      <c r="B200" s="79">
        <f>IFERROR(VLOOKUP($G200,基本資料!$A:$J,4,0),"無")</f>
        <v>47</v>
      </c>
      <c r="C200" s="79">
        <f>IFERROR(VLOOKUP($G200,基本資料!$A:$J,5,0),"無")</f>
        <v>54</v>
      </c>
      <c r="D200" s="79">
        <f>IFERROR(VLOOKUP($G200,基本資料!$A:$J,6,0),"無")</f>
        <v>-38</v>
      </c>
      <c r="E200" s="79">
        <f>IFERROR(VLOOKUP($G200,基本資料!$A:$J,7,0),"無")</f>
        <v>22</v>
      </c>
      <c r="F200" s="6">
        <f>IFERROR(VLOOKUP($G200,基本資料!$A:$J,8,0),"無")</f>
        <v>-5.22</v>
      </c>
      <c r="G200" s="79">
        <v>4563</v>
      </c>
      <c r="H200" s="8" t="s">
        <v>295</v>
      </c>
      <c r="I200" s="16" t="s">
        <v>547</v>
      </c>
      <c r="J200" s="8">
        <f>IFERROR(VLOOKUP($G200,今日總結!$A:$AN,39,0),"")</f>
        <v>0</v>
      </c>
      <c r="K200" s="5">
        <f>IFERROR(VLOOKUP($G200,今日總結!$A:$AN,40,0),"")</f>
        <v>0</v>
      </c>
      <c r="L200" s="156">
        <f>IFERROR(VLOOKUP($G200,今日總結!$A:$AN,37,0),"")</f>
        <v>0</v>
      </c>
      <c r="M200" s="337">
        <f>IFERROR(VLOOKUP($G200,今日總結!$A:$AN,38,0),"")</f>
        <v>0</v>
      </c>
      <c r="N200" s="240">
        <f t="shared" si="31"/>
        <v>0</v>
      </c>
      <c r="O200" s="359">
        <f>IFERROR(VLOOKUP($G200,融外自投!$A:$J,7,0),"無")</f>
        <v>1143</v>
      </c>
      <c r="P200" s="79" t="str">
        <f>IFERROR(VLOOKUP($G200,融外自投!$A:$J,9,0),"無")</f>
        <v>無</v>
      </c>
      <c r="Q200" s="342" t="str">
        <f>IFERROR(VLOOKUP($G200,融外自投!$A:$J,8,0),"無")</f>
        <v>無</v>
      </c>
      <c r="R200" s="81" t="str">
        <f>IFERROR(VLOOKUP($G200,融外自投!$A:$J,10,0),"無")</f>
        <v>無</v>
      </c>
      <c r="S200" s="324">
        <f>IFERROR(VLOOKUP($G200,'321買'!$A:$E,4,0),"'沒有資料'")</f>
        <v>1002</v>
      </c>
      <c r="T200" s="186">
        <f>IFERROR(VLOOKUP($G200,基本資料!$A:$J,9,0),"無")</f>
        <v>0</v>
      </c>
      <c r="U200" s="307">
        <f t="shared" si="32"/>
        <v>0</v>
      </c>
      <c r="V200" s="94">
        <f>IFERROR(VLOOKUP($G200,基本資料!$A:$J,10,0),"無")</f>
        <v>-3.36</v>
      </c>
      <c r="W200" s="36">
        <f>RTD("money.excel",,"4563","Price")</f>
        <v>33.4</v>
      </c>
      <c r="X200" s="66"/>
      <c r="Y200" s="15">
        <f t="shared" si="33"/>
        <v>33.4</v>
      </c>
      <c r="Z200" s="3" t="e">
        <f t="shared" si="34"/>
        <v>#DIV/0!</v>
      </c>
      <c r="AA200" s="340">
        <f>IFERROR(VLOOKUP($G200,基本資料!$A:$M,11,0),"無")</f>
        <v>-9.61</v>
      </c>
      <c r="AB200" s="389">
        <f>IFERROR(VLOOKUP($G200,基本資料!$A:$M,12,0),"無")</f>
        <v>48.3</v>
      </c>
      <c r="AC200" s="16" t="s">
        <v>547</v>
      </c>
      <c r="AF200" s="33">
        <f t="shared" si="35"/>
        <v>0</v>
      </c>
      <c r="AG200" s="43" t="s">
        <v>1869</v>
      </c>
      <c r="AH200" s="66">
        <f t="shared" si="36"/>
        <v>0.60911016949152541</v>
      </c>
      <c r="AI200" s="283">
        <f>RTD("money.excel",,$G200,"PredictVolume")</f>
        <v>115</v>
      </c>
      <c r="AJ200" s="391">
        <f>IFERROR(VLOOKUP($G200,基本資料!$A:$M,13,0),"無")</f>
        <v>188.8</v>
      </c>
      <c r="AR200" s="245" t="str">
        <f>INDEX(基本資料!N:N,MATCH($G200,基本資料!A:A,0))</f>
        <v>中</v>
      </c>
    </row>
    <row r="201" spans="1:44">
      <c r="A201" s="343">
        <f>IFERROR(VLOOKUP($G201,基本資料!$A:$J,3,0),"無")</f>
        <v>18.27</v>
      </c>
      <c r="B201" s="79">
        <f>IFERROR(VLOOKUP($G201,基本資料!$A:$J,4,0),"無")</f>
        <v>7</v>
      </c>
      <c r="C201" s="79">
        <f>IFERROR(VLOOKUP($G201,基本資料!$A:$J,5,0),"無")</f>
        <v>14</v>
      </c>
      <c r="D201" s="79">
        <f>IFERROR(VLOOKUP($G201,基本資料!$A:$J,6,0),"無")</f>
        <v>-23</v>
      </c>
      <c r="E201" s="79">
        <f>IFERROR(VLOOKUP($G201,基本資料!$A:$J,7,0),"無")</f>
        <v>-12</v>
      </c>
      <c r="F201" s="6">
        <f>IFERROR(VLOOKUP($G201,基本資料!$A:$J,8,0),"無")</f>
        <v>18.37</v>
      </c>
      <c r="G201" s="79">
        <v>4564</v>
      </c>
      <c r="H201" s="8" t="s">
        <v>295</v>
      </c>
      <c r="I201" s="22" t="s">
        <v>3005</v>
      </c>
      <c r="J201" s="8">
        <f>IFERROR(VLOOKUP($G201,今日總結!$A:$AN,39,0),"")</f>
        <v>0</v>
      </c>
      <c r="K201" s="5">
        <f>IFERROR(VLOOKUP($G201,今日總結!$A:$AN,40,0),"")</f>
        <v>0</v>
      </c>
      <c r="L201" s="156">
        <f>IFERROR(VLOOKUP($G201,今日總結!$A:$AN,37,0),"")</f>
        <v>0</v>
      </c>
      <c r="M201" s="337">
        <f>IFERROR(VLOOKUP($G201,今日總結!$A:$AN,38,0),"")</f>
        <v>0</v>
      </c>
      <c r="N201" s="240">
        <f t="shared" si="31"/>
        <v>0</v>
      </c>
      <c r="O201" s="359">
        <f>IFERROR(VLOOKUP($G201,融外自投!$A:$J,7,0),"無")</f>
        <v>706</v>
      </c>
      <c r="P201" s="79" t="str">
        <f>IFERROR(VLOOKUP($G201,融外自投!$A:$J,9,0),"無")</f>
        <v>無</v>
      </c>
      <c r="Q201" s="342">
        <f>IFERROR(VLOOKUP($G201,融外自投!$A:$J,8,0),"無")</f>
        <v>1053</v>
      </c>
      <c r="R201" s="81" t="str">
        <f>IFERROR(VLOOKUP($G201,融外自投!$A:$J,10,0),"無")</f>
        <v>無</v>
      </c>
      <c r="S201" s="324">
        <f>IFERROR(VLOOKUP($G201,'321買'!$A:$E,4,0),"'沒有資料'")</f>
        <v>891</v>
      </c>
      <c r="T201" s="186">
        <f>IFERROR(VLOOKUP($G201,基本資料!$A:$J,9,0),"無")</f>
        <v>1.3</v>
      </c>
      <c r="U201" s="307">
        <f t="shared" si="32"/>
        <v>4.3189368770764118E-2</v>
      </c>
      <c r="V201" s="94">
        <f>IFERROR(VLOOKUP($G201,基本資料!$A:$J,10,0),"無")</f>
        <v>1.75</v>
      </c>
      <c r="W201" s="36">
        <f>RTD("money.excel",,"4564","Price")</f>
        <v>30.1</v>
      </c>
      <c r="X201" s="66"/>
      <c r="Y201" s="15">
        <f t="shared" si="33"/>
        <v>30.1</v>
      </c>
      <c r="Z201" s="3" t="e">
        <f t="shared" si="34"/>
        <v>#DIV/0!</v>
      </c>
      <c r="AA201" s="340">
        <f>IFERROR(VLOOKUP($G201,基本資料!$A:$M,11,0),"無")</f>
        <v>-45.96</v>
      </c>
      <c r="AB201" s="389">
        <f>IFERROR(VLOOKUP($G201,基本資料!$A:$M,12,0),"無")</f>
        <v>12.73</v>
      </c>
      <c r="AC201" s="22" t="s">
        <v>3005</v>
      </c>
      <c r="AF201" s="33">
        <f t="shared" si="35"/>
        <v>0</v>
      </c>
      <c r="AG201" s="43" t="s">
        <v>3006</v>
      </c>
      <c r="AH201" s="66">
        <f t="shared" si="36"/>
        <v>0.82943359690172658</v>
      </c>
      <c r="AI201" s="283">
        <f>RTD("money.excel",,$G201,"PredictVolume")</f>
        <v>257</v>
      </c>
      <c r="AJ201" s="391">
        <f>IFERROR(VLOOKUP($G201,基本資料!$A:$M,13,0),"無")</f>
        <v>309.85000000000002</v>
      </c>
      <c r="AR201" s="245" t="str">
        <f>INDEX(基本資料!N:N,MATCH($G201,基本資料!A:A,0))</f>
        <v>低</v>
      </c>
    </row>
    <row r="202" spans="1:44">
      <c r="A202" s="343">
        <f>IFERROR(VLOOKUP($G202,基本資料!$A:$J,3,0),"無")</f>
        <v>7.17</v>
      </c>
      <c r="B202" s="79">
        <f>IFERROR(VLOOKUP($G202,基本資料!$A:$J,4,0),"無")</f>
        <v>66</v>
      </c>
      <c r="C202" s="79">
        <f>IFERROR(VLOOKUP($G202,基本資料!$A:$J,5,0),"無")</f>
        <v>54</v>
      </c>
      <c r="D202" s="79">
        <f>IFERROR(VLOOKUP($G202,基本資料!$A:$J,6,0),"無")</f>
        <v>-20</v>
      </c>
      <c r="E202" s="79">
        <f>IFERROR(VLOOKUP($G202,基本資料!$A:$J,7,0),"無")</f>
        <v>3</v>
      </c>
      <c r="F202" s="6">
        <f>IFERROR(VLOOKUP($G202,基本資料!$A:$J,8,0),"無")</f>
        <v>5.52</v>
      </c>
      <c r="G202" s="79">
        <v>4566</v>
      </c>
      <c r="H202" s="8" t="s">
        <v>295</v>
      </c>
      <c r="I202" s="22" t="s">
        <v>1082</v>
      </c>
      <c r="J202" s="8">
        <f>IFERROR(VLOOKUP($G202,今日總結!$A:$AN,39,0),"")</f>
        <v>0</v>
      </c>
      <c r="K202" s="5">
        <f>IFERROR(VLOOKUP($G202,今日總結!$A:$AN,40,0),"")</f>
        <v>0</v>
      </c>
      <c r="L202" s="156">
        <f>IFERROR(VLOOKUP($G202,今日總結!$A:$AN,37,0),"")</f>
        <v>0</v>
      </c>
      <c r="M202" s="337">
        <f>IFERROR(VLOOKUP($G202,今日總結!$A:$AN,38,0),"")</f>
        <v>0</v>
      </c>
      <c r="N202" s="240">
        <f t="shared" si="31"/>
        <v>0</v>
      </c>
      <c r="O202" s="359">
        <f>IFERROR(VLOOKUP($G202,融外自投!$A:$J,7,0),"無")</f>
        <v>736</v>
      </c>
      <c r="P202" s="79">
        <f>IFERROR(VLOOKUP($G202,融外自投!$A:$J,9,0),"無")</f>
        <v>946</v>
      </c>
      <c r="Q202" s="342">
        <f>IFERROR(VLOOKUP($G202,融外自投!$A:$J,8,0),"無")</f>
        <v>1346</v>
      </c>
      <c r="R202" s="81" t="str">
        <f>IFERROR(VLOOKUP($G202,融外自投!$A:$J,10,0),"無")</f>
        <v>無</v>
      </c>
      <c r="S202" s="324">
        <f>IFERROR(VLOOKUP($G202,'321買'!$A:$E,4,0),"'沒有資料'")</f>
        <v>891</v>
      </c>
      <c r="T202" s="186">
        <f>IFERROR(VLOOKUP($G202,基本資料!$A:$J,9,0),"無")</f>
        <v>1.18</v>
      </c>
      <c r="U202" s="307">
        <f t="shared" si="32"/>
        <v>2.7033218785796106E-2</v>
      </c>
      <c r="V202" s="94">
        <f>IFERROR(VLOOKUP($G202,基本資料!$A:$J,10,0),"無")</f>
        <v>2.35</v>
      </c>
      <c r="W202" s="36">
        <f>RTD("money.excel",,"4566","Price")</f>
        <v>43.65</v>
      </c>
      <c r="X202" s="66"/>
      <c r="Y202" s="15">
        <f t="shared" si="33"/>
        <v>43.65</v>
      </c>
      <c r="Z202" s="3" t="e">
        <f t="shared" si="34"/>
        <v>#DIV/0!</v>
      </c>
      <c r="AA202" s="340">
        <f>IFERROR(VLOOKUP($G202,基本資料!$A:$M,11,0),"無")</f>
        <v>-20.350000000000001</v>
      </c>
      <c r="AB202" s="389">
        <f>IFERROR(VLOOKUP($G202,基本資料!$A:$M,12,0),"無")</f>
        <v>48.91</v>
      </c>
      <c r="AC202" s="22" t="s">
        <v>1082</v>
      </c>
      <c r="AF202" s="33">
        <f t="shared" si="35"/>
        <v>0</v>
      </c>
      <c r="AG202" s="43" t="s">
        <v>2743</v>
      </c>
      <c r="AH202" s="66">
        <f t="shared" si="36"/>
        <v>1.296023564064801</v>
      </c>
      <c r="AI202" s="283">
        <f>RTD("money.excel",,$G202,"PredictVolume")</f>
        <v>88</v>
      </c>
      <c r="AJ202" s="391">
        <f>IFERROR(VLOOKUP($G202,基本資料!$A:$M,13,0),"無")</f>
        <v>67.900000000000006</v>
      </c>
      <c r="AR202" s="245" t="str">
        <f>INDEX(基本資料!N:N,MATCH($G202,基本資料!A:A,0))</f>
        <v>低</v>
      </c>
    </row>
    <row r="203" spans="1:44">
      <c r="A203" s="343">
        <f>IFERROR(VLOOKUP($G203,基本資料!$A:$J,3,0),"無")</f>
        <v>3.01</v>
      </c>
      <c r="B203" s="79">
        <f>IFERROR(VLOOKUP($G203,基本資料!$A:$J,4,0),"無")</f>
        <v>1</v>
      </c>
      <c r="C203" s="79">
        <f>IFERROR(VLOOKUP($G203,基本資料!$A:$J,5,0),"無")</f>
        <v>-13</v>
      </c>
      <c r="D203" s="79">
        <f>IFERROR(VLOOKUP($G203,基本資料!$A:$J,6,0),"無")</f>
        <v>23</v>
      </c>
      <c r="E203" s="79">
        <f>IFERROR(VLOOKUP($G203,基本資料!$A:$J,7,0),"無")</f>
        <v>23</v>
      </c>
      <c r="F203" s="6">
        <f>IFERROR(VLOOKUP($G203,基本資料!$A:$J,8,0),"無")</f>
        <v>12.71</v>
      </c>
      <c r="G203" s="79">
        <v>4568</v>
      </c>
      <c r="H203" s="8" t="s">
        <v>295</v>
      </c>
      <c r="I203" s="16" t="s">
        <v>1079</v>
      </c>
      <c r="J203" s="8">
        <f>IFERROR(VLOOKUP($G203,今日總結!$A:$AN,39,0),"")</f>
        <v>0</v>
      </c>
      <c r="K203" s="5">
        <f>IFERROR(VLOOKUP($G203,今日總結!$A:$AN,40,0),"")</f>
        <v>0</v>
      </c>
      <c r="L203" s="156">
        <f>IFERROR(VLOOKUP($G203,今日總結!$A:$AN,37,0),"")</f>
        <v>0</v>
      </c>
      <c r="M203" s="337">
        <f>IFERROR(VLOOKUP($G203,今日總結!$A:$AN,38,0),"")</f>
        <v>0</v>
      </c>
      <c r="N203" s="240">
        <f t="shared" si="31"/>
        <v>0</v>
      </c>
      <c r="O203" s="359">
        <f>IFERROR(VLOOKUP($G203,融外自投!$A:$J,7,0),"無")</f>
        <v>973</v>
      </c>
      <c r="P203" s="79" t="str">
        <f>IFERROR(VLOOKUP($G203,融外自投!$A:$J,9,0),"無")</f>
        <v>無</v>
      </c>
      <c r="Q203" s="342">
        <f>IFERROR(VLOOKUP($G203,融外自投!$A:$J,8,0),"無")</f>
        <v>673</v>
      </c>
      <c r="R203" s="81" t="str">
        <f>IFERROR(VLOOKUP($G203,融外自投!$A:$J,10,0),"無")</f>
        <v>無</v>
      </c>
      <c r="S203" s="324">
        <f>IFERROR(VLOOKUP($G203,'321買'!$A:$E,4,0),"'沒有資料'")</f>
        <v>1002</v>
      </c>
      <c r="T203" s="186">
        <f>IFERROR(VLOOKUP($G203,基本資料!$A:$J,9,0),"無")</f>
        <v>4.5</v>
      </c>
      <c r="U203" s="307">
        <f t="shared" si="32"/>
        <v>6.9124423963133647E-2</v>
      </c>
      <c r="V203" s="94">
        <f>IFERROR(VLOOKUP($G203,基本資料!$A:$J,10,0),"無")</f>
        <v>5.03</v>
      </c>
      <c r="W203" s="36">
        <f>RTD("money.excel",,"4568","Price")</f>
        <v>65.099999999999994</v>
      </c>
      <c r="X203" s="66"/>
      <c r="Y203" s="15">
        <f t="shared" si="33"/>
        <v>65.099999999999994</v>
      </c>
      <c r="Z203" s="3" t="e">
        <f t="shared" si="34"/>
        <v>#DIV/0!</v>
      </c>
      <c r="AA203" s="340">
        <f>IFERROR(VLOOKUP($G203,基本資料!$A:$M,11,0),"無")</f>
        <v>-15.23</v>
      </c>
      <c r="AB203" s="389">
        <f>IFERROR(VLOOKUP($G203,基本資料!$A:$M,12,0),"無")</f>
        <v>17.649999999999999</v>
      </c>
      <c r="AC203" s="16" t="s">
        <v>1079</v>
      </c>
      <c r="AF203" s="33">
        <f t="shared" si="35"/>
        <v>0</v>
      </c>
      <c r="AG203" s="43" t="s">
        <v>1979</v>
      </c>
      <c r="AH203" s="66">
        <f t="shared" si="36"/>
        <v>0.23668639053254439</v>
      </c>
      <c r="AI203" s="283">
        <f>RTD("money.excel",,$G203,"PredictVolume")</f>
        <v>2</v>
      </c>
      <c r="AJ203" s="391">
        <f>IFERROR(VLOOKUP($G203,基本資料!$A:$M,13,0),"無")</f>
        <v>8.4499999999999993</v>
      </c>
      <c r="AR203" s="245" t="str">
        <f>INDEX(基本資料!N:N,MATCH($G203,基本資料!A:A,0))</f>
        <v>低</v>
      </c>
    </row>
    <row r="204" spans="1:44">
      <c r="A204" s="343">
        <f>IFERROR(VLOOKUP($G204,基本資料!$A:$J,3,0),"無")</f>
        <v>5.33</v>
      </c>
      <c r="B204" s="79">
        <f>IFERROR(VLOOKUP($G204,基本資料!$A:$J,4,0),"無")</f>
        <v>37</v>
      </c>
      <c r="C204" s="79">
        <f>IFERROR(VLOOKUP($G204,基本資料!$A:$J,5,0),"無")</f>
        <v>25</v>
      </c>
      <c r="D204" s="79">
        <f>IFERROR(VLOOKUP($G204,基本資料!$A:$J,6,0),"無")</f>
        <v>-37</v>
      </c>
      <c r="E204" s="79">
        <f>IFERROR(VLOOKUP($G204,基本資料!$A:$J,7,0),"無")</f>
        <v>-27</v>
      </c>
      <c r="F204" s="6">
        <f>IFERROR(VLOOKUP($G204,基本資料!$A:$J,8,0),"無")</f>
        <v>15.86</v>
      </c>
      <c r="G204" s="79">
        <v>4571</v>
      </c>
      <c r="H204" s="8" t="s">
        <v>295</v>
      </c>
      <c r="I204" s="22" t="s">
        <v>1690</v>
      </c>
      <c r="J204" s="8">
        <f>IFERROR(VLOOKUP($G204,今日總結!$A:$AN,39,0),"")</f>
        <v>0</v>
      </c>
      <c r="K204" s="5">
        <f>IFERROR(VLOOKUP($G204,今日總結!$A:$AN,40,0),"")</f>
        <v>0</v>
      </c>
      <c r="L204" s="156">
        <f>IFERROR(VLOOKUP($G204,今日總結!$A:$AN,37,0),"")</f>
        <v>0</v>
      </c>
      <c r="M204" s="337">
        <f>IFERROR(VLOOKUP($G204,今日總結!$A:$AN,38,0),"")</f>
        <v>0</v>
      </c>
      <c r="N204" s="240">
        <f t="shared" si="31"/>
        <v>0</v>
      </c>
      <c r="O204" s="359">
        <f>IFERROR(VLOOKUP($G204,融外自投!$A:$J,7,0),"無")</f>
        <v>812</v>
      </c>
      <c r="P204" s="79" t="str">
        <f>IFERROR(VLOOKUP($G204,融外自投!$A:$J,9,0),"無")</f>
        <v>無</v>
      </c>
      <c r="Q204" s="342">
        <f>IFERROR(VLOOKUP($G204,融外自投!$A:$J,8,0),"無")</f>
        <v>33</v>
      </c>
      <c r="R204" s="81" t="str">
        <f>IFERROR(VLOOKUP($G204,融外自投!$A:$J,10,0),"無")</f>
        <v>無</v>
      </c>
      <c r="S204" s="324">
        <f>IFERROR(VLOOKUP($G204,'321買'!$A:$E,4,0),"'沒有資料'")</f>
        <v>1002</v>
      </c>
      <c r="T204" s="186">
        <f>IFERROR(VLOOKUP($G204,基本資料!$A:$J,9,0),"無")</f>
        <v>4.5</v>
      </c>
      <c r="U204" s="307">
        <f t="shared" si="32"/>
        <v>5.2941176470588235E-2</v>
      </c>
      <c r="V204" s="94">
        <f>IFERROR(VLOOKUP($G204,基本資料!$A:$J,10,0),"無")</f>
        <v>8.18</v>
      </c>
      <c r="W204" s="36">
        <f>RTD("money.excel",,"4571","Price")</f>
        <v>85</v>
      </c>
      <c r="X204" s="66"/>
      <c r="Y204" s="15">
        <f t="shared" si="33"/>
        <v>85</v>
      </c>
      <c r="Z204" s="3" t="e">
        <f t="shared" si="34"/>
        <v>#DIV/0!</v>
      </c>
      <c r="AA204" s="340">
        <f>IFERROR(VLOOKUP($G204,基本資料!$A:$M,11,0),"無")</f>
        <v>-40.14</v>
      </c>
      <c r="AB204" s="389">
        <f>IFERROR(VLOOKUP($G204,基本資料!$A:$M,12,0),"無")</f>
        <v>13</v>
      </c>
      <c r="AC204" s="22" t="s">
        <v>1690</v>
      </c>
      <c r="AF204" s="33">
        <f t="shared" si="35"/>
        <v>0</v>
      </c>
      <c r="AG204" s="43" t="s">
        <v>1986</v>
      </c>
      <c r="AH204" s="66">
        <f t="shared" si="36"/>
        <v>0.82969432314410485</v>
      </c>
      <c r="AI204" s="283">
        <f>RTD("money.excel",,$G204,"PredictVolume")</f>
        <v>19</v>
      </c>
      <c r="AJ204" s="391">
        <f>IFERROR(VLOOKUP($G204,基本資料!$A:$M,13,0),"無")</f>
        <v>22.9</v>
      </c>
      <c r="AR204" s="245" t="str">
        <f>INDEX(基本資料!N:N,MATCH($G204,基本資料!A:A,0))</f>
        <v>低</v>
      </c>
    </row>
    <row r="205" spans="1:44">
      <c r="A205" s="343">
        <f>IFERROR(VLOOKUP($G205,基本資料!$A:$J,3,0),"無")</f>
        <v>3.58</v>
      </c>
      <c r="B205" s="79">
        <f>IFERROR(VLOOKUP($G205,基本資料!$A:$J,4,0),"無")</f>
        <v>63</v>
      </c>
      <c r="C205" s="79">
        <f>IFERROR(VLOOKUP($G205,基本資料!$A:$J,5,0),"無")</f>
        <v>27</v>
      </c>
      <c r="D205" s="79">
        <f>IFERROR(VLOOKUP($G205,基本資料!$A:$J,6,0),"無")</f>
        <v>8</v>
      </c>
      <c r="E205" s="79">
        <f>IFERROR(VLOOKUP($G205,基本資料!$A:$J,7,0),"無")</f>
        <v>65</v>
      </c>
      <c r="F205" s="6">
        <f>IFERROR(VLOOKUP($G205,基本資料!$A:$J,8,0),"無")</f>
        <v>14.98</v>
      </c>
      <c r="G205" s="79">
        <v>4572</v>
      </c>
      <c r="H205" s="8" t="s">
        <v>295</v>
      </c>
      <c r="I205" s="22" t="s">
        <v>1691</v>
      </c>
      <c r="J205" s="8">
        <f>IFERROR(VLOOKUP($G205,今日總結!$A:$AN,39,0),"")</f>
        <v>0</v>
      </c>
      <c r="K205" s="5">
        <f>IFERROR(VLOOKUP($G205,今日總結!$A:$AN,40,0),"")</f>
        <v>0</v>
      </c>
      <c r="L205" s="156">
        <f>IFERROR(VLOOKUP($G205,今日總結!$A:$AN,37,0),"")</f>
        <v>0</v>
      </c>
      <c r="M205" s="337">
        <f>IFERROR(VLOOKUP($G205,今日總結!$A:$AN,38,0),"")</f>
        <v>0</v>
      </c>
      <c r="N205" s="240">
        <f t="shared" si="31"/>
        <v>0</v>
      </c>
      <c r="O205" s="359">
        <f>IFERROR(VLOOKUP($G205,融外自投!$A:$J,7,0),"無")</f>
        <v>1027</v>
      </c>
      <c r="P205" s="79">
        <f>IFERROR(VLOOKUP($G205,融外自投!$A:$J,9,0),"無")</f>
        <v>946</v>
      </c>
      <c r="Q205" s="342">
        <f>IFERROR(VLOOKUP($G205,融外自投!$A:$J,8,0),"無")</f>
        <v>1280</v>
      </c>
      <c r="R205" s="81" t="str">
        <f>IFERROR(VLOOKUP($G205,融外自投!$A:$J,10,0),"無")</f>
        <v>無</v>
      </c>
      <c r="S205" s="324">
        <f>IFERROR(VLOOKUP($G205,'321買'!$A:$E,4,0),"'沒有資料'")</f>
        <v>1002</v>
      </c>
      <c r="T205" s="186">
        <f>IFERROR(VLOOKUP($G205,基本資料!$A:$J,9,0),"無")</f>
        <v>5</v>
      </c>
      <c r="U205" s="307">
        <f t="shared" si="32"/>
        <v>4.8309178743961352E-2</v>
      </c>
      <c r="V205" s="94">
        <f>IFERROR(VLOOKUP($G205,基本資料!$A:$J,10,0),"無")</f>
        <v>1.5</v>
      </c>
      <c r="W205" s="36">
        <f>RTD("money.excel",,"4572","Price")</f>
        <v>103.5</v>
      </c>
      <c r="X205" s="66"/>
      <c r="Y205" s="15">
        <f t="shared" si="33"/>
        <v>103.5</v>
      </c>
      <c r="Z205" s="3" t="e">
        <f t="shared" si="34"/>
        <v>#DIV/0!</v>
      </c>
      <c r="AA205" s="340">
        <f>IFERROR(VLOOKUP($G205,基本資料!$A:$M,11,0),"無")</f>
        <v>-13.75</v>
      </c>
      <c r="AB205" s="389">
        <f>IFERROR(VLOOKUP($G205,基本資料!$A:$M,12,0),"無")</f>
        <v>48.13</v>
      </c>
      <c r="AC205" s="22" t="s">
        <v>1691</v>
      </c>
      <c r="AF205" s="33">
        <f t="shared" si="35"/>
        <v>0</v>
      </c>
      <c r="AG205" s="43" t="s">
        <v>2748</v>
      </c>
      <c r="AH205" s="66">
        <f t="shared" si="36"/>
        <v>0.41800643086816719</v>
      </c>
      <c r="AI205" s="283">
        <f>RTD("money.excel",,$G205,"PredictVolume")</f>
        <v>26</v>
      </c>
      <c r="AJ205" s="391">
        <f>IFERROR(VLOOKUP($G205,基本資料!$A:$M,13,0),"無")</f>
        <v>62.2</v>
      </c>
      <c r="AR205" s="245" t="str">
        <f>INDEX(基本資料!N:N,MATCH($G205,基本資料!A:A,0))</f>
        <v>中</v>
      </c>
    </row>
    <row r="206" spans="1:44">
      <c r="A206" s="343">
        <f>IFERROR(VLOOKUP($G206,基本資料!$A:$J,3,0),"無")</f>
        <v>11.98</v>
      </c>
      <c r="B206" s="79">
        <f>IFERROR(VLOOKUP($G206,基本資料!$A:$J,4,0),"無")</f>
        <v>112</v>
      </c>
      <c r="C206" s="79">
        <f>IFERROR(VLOOKUP($G206,基本資料!$A:$J,5,0),"無")</f>
        <v>110</v>
      </c>
      <c r="D206" s="79">
        <f>IFERROR(VLOOKUP($G206,基本資料!$A:$J,6,0),"無")</f>
        <v>-14</v>
      </c>
      <c r="E206" s="79">
        <f>IFERROR(VLOOKUP($G206,基本資料!$A:$J,7,0),"無")</f>
        <v>10</v>
      </c>
      <c r="F206" s="6">
        <f>IFERROR(VLOOKUP($G206,基本資料!$A:$J,8,0),"無")</f>
        <v>12.43</v>
      </c>
      <c r="G206" s="79">
        <v>4576</v>
      </c>
      <c r="H206" s="8" t="s">
        <v>295</v>
      </c>
      <c r="I206" s="22" t="s">
        <v>1808</v>
      </c>
      <c r="J206" s="8">
        <f>IFERROR(VLOOKUP($G206,今日總結!$A:$AN,39,0),"")</f>
        <v>0</v>
      </c>
      <c r="K206" s="5">
        <f>IFERROR(VLOOKUP($G206,今日總結!$A:$AN,40,0),"")</f>
        <v>0</v>
      </c>
      <c r="L206" s="156">
        <f>IFERROR(VLOOKUP($G206,今日總結!$A:$AN,37,0),"")</f>
        <v>0</v>
      </c>
      <c r="M206" s="337">
        <f>IFERROR(VLOOKUP($G206,今日總結!$A:$AN,38,0),"")</f>
        <v>0</v>
      </c>
      <c r="N206" s="240">
        <f t="shared" si="31"/>
        <v>0</v>
      </c>
      <c r="O206" s="359">
        <f>IFERROR(VLOOKUP($G206,融外自投!$A:$J,7,0),"無")</f>
        <v>717</v>
      </c>
      <c r="P206" s="79">
        <f>IFERROR(VLOOKUP($G206,融外自投!$A:$J,9,0),"無")</f>
        <v>946</v>
      </c>
      <c r="Q206" s="342">
        <f>IFERROR(VLOOKUP($G206,融外自投!$A:$J,8,0),"無")</f>
        <v>1235</v>
      </c>
      <c r="R206" s="81">
        <f>IFERROR(VLOOKUP($G206,融外自投!$A:$J,10,0),"無")</f>
        <v>413</v>
      </c>
      <c r="S206" s="324">
        <f>IFERROR(VLOOKUP($G206,'321買'!$A:$E,4,0),"'沒有資料'")</f>
        <v>1002</v>
      </c>
      <c r="T206" s="186">
        <f>IFERROR(VLOOKUP($G206,基本資料!$A:$J,9,0),"無")</f>
        <v>1</v>
      </c>
      <c r="U206" s="307">
        <f t="shared" si="32"/>
        <v>1.0504201680672268E-2</v>
      </c>
      <c r="V206" s="94">
        <f>IFERROR(VLOOKUP($G206,基本資料!$A:$J,10,0),"無")</f>
        <v>2.48</v>
      </c>
      <c r="W206" s="36">
        <f>RTD("money.excel",,"4576","Price")</f>
        <v>95.2</v>
      </c>
      <c r="X206" s="66"/>
      <c r="Y206" s="15">
        <f t="shared" si="33"/>
        <v>95.2</v>
      </c>
      <c r="Z206" s="3" t="e">
        <f t="shared" si="34"/>
        <v>#DIV/0!</v>
      </c>
      <c r="AA206" s="340">
        <f>IFERROR(VLOOKUP($G206,基本資料!$A:$M,11,0),"無")</f>
        <v>-30.26</v>
      </c>
      <c r="AB206" s="389">
        <f>IFERROR(VLOOKUP($G206,基本資料!$A:$M,12,0),"無")</f>
        <v>18.989999999999998</v>
      </c>
      <c r="AC206" s="22" t="s">
        <v>1808</v>
      </c>
      <c r="AF206" s="33">
        <f t="shared" si="35"/>
        <v>0</v>
      </c>
      <c r="AG206" s="43" t="s">
        <v>2335</v>
      </c>
      <c r="AH206" s="66">
        <f t="shared" si="36"/>
        <v>1.0417644298451432</v>
      </c>
      <c r="AI206" s="283">
        <f>RTD("money.excel",,$G206,"PredictVolume")</f>
        <v>111</v>
      </c>
      <c r="AJ206" s="391">
        <f>IFERROR(VLOOKUP($G206,基本資料!$A:$M,13,0),"無")</f>
        <v>106.55</v>
      </c>
      <c r="AR206" s="245" t="str">
        <f>INDEX(基本資料!N:N,MATCH($G206,基本資料!A:A,0))</f>
        <v>低</v>
      </c>
    </row>
    <row r="207" spans="1:44">
      <c r="A207" s="343">
        <f>IFERROR(VLOOKUP($G207,基本資料!$A:$J,3,0),"無")</f>
        <v>4.3099999999999996</v>
      </c>
      <c r="B207" s="79">
        <f>IFERROR(VLOOKUP($G207,基本資料!$A:$J,4,0),"無")</f>
        <v>6</v>
      </c>
      <c r="C207" s="79">
        <f>IFERROR(VLOOKUP($G207,基本資料!$A:$J,5,0),"無")</f>
        <v>2</v>
      </c>
      <c r="D207" s="79">
        <f>IFERROR(VLOOKUP($G207,基本資料!$A:$J,6,0),"無")</f>
        <v>5</v>
      </c>
      <c r="E207" s="79">
        <f>IFERROR(VLOOKUP($G207,基本資料!$A:$J,7,0),"無")</f>
        <v>13</v>
      </c>
      <c r="F207" s="6">
        <f>IFERROR(VLOOKUP($G207,基本資料!$A:$J,8,0),"無")</f>
        <v>18.38</v>
      </c>
      <c r="G207" s="79">
        <v>4580</v>
      </c>
      <c r="H207" s="8" t="s">
        <v>295</v>
      </c>
      <c r="I207" s="16" t="s">
        <v>1779</v>
      </c>
      <c r="J207" s="8">
        <f>IFERROR(VLOOKUP($G207,今日總結!$A:$AN,39,0),"")</f>
        <v>0</v>
      </c>
      <c r="K207" s="5">
        <f>IFERROR(VLOOKUP($G207,今日總結!$A:$AN,40,0),"")</f>
        <v>0</v>
      </c>
      <c r="L207" s="156">
        <f>IFERROR(VLOOKUP($G207,今日總結!$A:$AN,37,0),"")</f>
        <v>0</v>
      </c>
      <c r="M207" s="337">
        <f>IFERROR(VLOOKUP($G207,今日總結!$A:$AN,38,0),"")</f>
        <v>0</v>
      </c>
      <c r="N207" s="240">
        <f t="shared" si="31"/>
        <v>0</v>
      </c>
      <c r="O207" s="359">
        <f>IFERROR(VLOOKUP($G207,融外自投!$A:$J,7,0),"無")</f>
        <v>1106</v>
      </c>
      <c r="P207" s="79" t="str">
        <f>IFERROR(VLOOKUP($G207,融外自投!$A:$J,9,0),"無")</f>
        <v>無</v>
      </c>
      <c r="Q207" s="342">
        <f>IFERROR(VLOOKUP($G207,融外自投!$A:$J,8,0),"無")</f>
        <v>1330</v>
      </c>
      <c r="R207" s="81" t="str">
        <f>IFERROR(VLOOKUP($G207,融外自投!$A:$J,10,0),"無")</f>
        <v>無</v>
      </c>
      <c r="S207" s="324">
        <f>IFERROR(VLOOKUP($G207,'321買'!$A:$E,4,0),"'沒有資料'")</f>
        <v>891</v>
      </c>
      <c r="T207" s="186">
        <f>IFERROR(VLOOKUP($G207,基本資料!$A:$J,9,0),"無")</f>
        <v>5.75</v>
      </c>
      <c r="U207" s="307">
        <f t="shared" si="32"/>
        <v>6.5789473684210523E-2</v>
      </c>
      <c r="V207" s="94">
        <f>IFERROR(VLOOKUP($G207,基本資料!$A:$J,10,0),"無")</f>
        <v>8.0399999999999991</v>
      </c>
      <c r="W207" s="36">
        <f>RTD("money.excel",,"4580","Price")</f>
        <v>87.4</v>
      </c>
      <c r="X207" s="66"/>
      <c r="Y207" s="15">
        <f t="shared" si="33"/>
        <v>87.4</v>
      </c>
      <c r="Z207" s="3" t="e">
        <f t="shared" si="34"/>
        <v>#DIV/0!</v>
      </c>
      <c r="AA207" s="340">
        <f>IFERROR(VLOOKUP($G207,基本資料!$A:$M,11,0),"無")</f>
        <v>-12.51</v>
      </c>
      <c r="AB207" s="389">
        <f>IFERROR(VLOOKUP($G207,基本資料!$A:$M,12,0),"無")</f>
        <v>22.32</v>
      </c>
      <c r="AC207" s="16" t="s">
        <v>1779</v>
      </c>
      <c r="AF207" s="33">
        <f t="shared" si="35"/>
        <v>0</v>
      </c>
      <c r="AG207" s="119" t="s">
        <v>1780</v>
      </c>
      <c r="AH207" s="66">
        <f t="shared" si="36"/>
        <v>0.67535545023696675</v>
      </c>
      <c r="AI207" s="283">
        <f>RTD("money.excel",,$G207,"PredictVolume")</f>
        <v>57</v>
      </c>
      <c r="AJ207" s="391">
        <f>IFERROR(VLOOKUP($G207,基本資料!$A:$M,13,0),"無")</f>
        <v>84.4</v>
      </c>
      <c r="AR207" s="245" t="str">
        <f>INDEX(基本資料!N:N,MATCH($G207,基本資料!A:A,0))</f>
        <v>低</v>
      </c>
    </row>
    <row r="208" spans="1:44">
      <c r="A208" s="343" t="str">
        <f>IFERROR(VLOOKUP($G208,基本資料!$A:$J,3,0),"無")</f>
        <v>無</v>
      </c>
      <c r="B208" s="79" t="str">
        <f>IFERROR(VLOOKUP($G208,基本資料!$A:$J,4,0),"無")</f>
        <v>無</v>
      </c>
      <c r="C208" s="79" t="str">
        <f>IFERROR(VLOOKUP($G208,基本資料!$A:$J,5,0),"無")</f>
        <v>無</v>
      </c>
      <c r="D208" s="79" t="str">
        <f>IFERROR(VLOOKUP($G208,基本資料!$A:$J,6,0),"無")</f>
        <v>無</v>
      </c>
      <c r="E208" s="79" t="str">
        <f>IFERROR(VLOOKUP($G208,基本資料!$A:$J,7,0),"無")</f>
        <v>無</v>
      </c>
      <c r="F208" s="6" t="str">
        <f>IFERROR(VLOOKUP($G208,基本資料!$A:$J,8,0),"無")</f>
        <v>無</v>
      </c>
      <c r="G208" s="79">
        <v>4583</v>
      </c>
      <c r="H208" s="8" t="s">
        <v>295</v>
      </c>
      <c r="I208" s="22" t="s">
        <v>6261</v>
      </c>
      <c r="J208" s="8" t="str">
        <f>IFERROR(VLOOKUP($G208,今日總結!$A:$AN,39,0),"")</f>
        <v/>
      </c>
      <c r="K208" s="5" t="str">
        <f>IFERROR(VLOOKUP($G208,今日總結!$A:$AN,40,0),"")</f>
        <v/>
      </c>
      <c r="L208" s="156" t="str">
        <f>IFERROR(VLOOKUP($G208,今日總結!$A:$AN,37,0),"")</f>
        <v/>
      </c>
      <c r="M208" s="337" t="str">
        <f>IFERROR(VLOOKUP($G208,今日總結!$A:$AN,38,0),"")</f>
        <v/>
      </c>
      <c r="N208" s="240" t="e">
        <f t="shared" ref="N208" si="37">L208-M208</f>
        <v>#VALUE!</v>
      </c>
      <c r="O208" s="359" t="str">
        <f>IFERROR(VLOOKUP($G208,融外自投!$A:$J,7,0),"無")</f>
        <v>無</v>
      </c>
      <c r="P208" s="79" t="str">
        <f>IFERROR(VLOOKUP($G208,融外自投!$A:$J,9,0),"無")</f>
        <v>無</v>
      </c>
      <c r="Q208" s="342" t="str">
        <f>IFERROR(VLOOKUP($G208,融外自投!$A:$J,8,0),"無")</f>
        <v>無</v>
      </c>
      <c r="R208" s="81" t="str">
        <f>IFERROR(VLOOKUP($G208,融外自投!$A:$J,10,0),"無")</f>
        <v>無</v>
      </c>
      <c r="S208" s="324" t="str">
        <f>IFERROR(VLOOKUP($G208,'321買'!$A:$E,4,0),"'沒有資料'")</f>
        <v>'沒有資料'</v>
      </c>
      <c r="T208" s="186" t="str">
        <f>IFERROR(VLOOKUP($G208,基本資料!$A:$J,9,0),"無")</f>
        <v>無</v>
      </c>
      <c r="U208" s="307" t="e">
        <f t="shared" si="32"/>
        <v>#VALUE!</v>
      </c>
      <c r="V208" s="94" t="str">
        <f>IFERROR(VLOOKUP($G208,基本資料!$A:$J,10,0),"無")</f>
        <v>無</v>
      </c>
      <c r="W208" s="36">
        <f>RTD("money.excel",,"4583","Price")</f>
        <v>202.5</v>
      </c>
      <c r="X208" s="66"/>
      <c r="Y208" s="15">
        <f t="shared" ref="Y208:Y209" si="38">W208-X208</f>
        <v>202.5</v>
      </c>
      <c r="Z208" s="3" t="e">
        <f t="shared" ref="Z208:Z209" si="39">Y208/X208</f>
        <v>#DIV/0!</v>
      </c>
      <c r="AA208" s="340" t="str">
        <f>IFERROR(VLOOKUP($G208,基本資料!$A:$M,11,0),"無")</f>
        <v>無</v>
      </c>
      <c r="AB208" s="389" t="str">
        <f>IFERROR(VLOOKUP($G208,基本資料!$A:$M,12,0),"無")</f>
        <v>無</v>
      </c>
      <c r="AC208" s="22" t="s">
        <v>6261</v>
      </c>
      <c r="AF208" s="33">
        <f t="shared" ref="AF208:AF209" si="40">AE208-AD208</f>
        <v>0</v>
      </c>
      <c r="AG208" s="43" t="s">
        <v>6264</v>
      </c>
      <c r="AH208" s="66" t="e">
        <f t="shared" si="36"/>
        <v>#VALUE!</v>
      </c>
      <c r="AI208" s="283">
        <f>RTD("money.excel",,$G208,"PredictVolume")</f>
        <v>98</v>
      </c>
      <c r="AJ208" s="391" t="str">
        <f>IFERROR(VLOOKUP($G208,基本資料!$A:$M,13,0),"無")</f>
        <v>無</v>
      </c>
      <c r="AR208" s="245" t="e">
        <f>INDEX(基本資料!N:N,MATCH($G208,基本資料!A:A,0))</f>
        <v>#N/A</v>
      </c>
    </row>
    <row r="209" spans="1:44">
      <c r="A209" s="343">
        <f>IFERROR(VLOOKUP($G209,基本資料!$A:$J,3,0),"無")</f>
        <v>6.58</v>
      </c>
      <c r="B209" s="79">
        <f>IFERROR(VLOOKUP($G209,基本資料!$A:$J,4,0),"無")</f>
        <v>12</v>
      </c>
      <c r="C209" s="79">
        <f>IFERROR(VLOOKUP($G209,基本資料!$A:$J,5,0),"無")</f>
        <v>11</v>
      </c>
      <c r="D209" s="79">
        <f>IFERROR(VLOOKUP($G209,基本資料!$A:$J,6,0),"無")</f>
        <v>3</v>
      </c>
      <c r="E209" s="79">
        <f>IFERROR(VLOOKUP($G209,基本資料!$A:$J,7,0),"無")</f>
        <v>42</v>
      </c>
      <c r="F209" s="6">
        <f>IFERROR(VLOOKUP($G209,基本資料!$A:$J,8,0),"無")</f>
        <v>11.93</v>
      </c>
      <c r="G209" s="79">
        <v>5288</v>
      </c>
      <c r="H209" s="8" t="s">
        <v>295</v>
      </c>
      <c r="I209" s="22" t="s">
        <v>584</v>
      </c>
      <c r="J209" s="8">
        <f>IFERROR(VLOOKUP($G209,今日總結!$A:$AN,39,0),"")</f>
        <v>0</v>
      </c>
      <c r="K209" s="5" t="str">
        <f>IFERROR(VLOOKUP($G209,今日總結!$A:$AN,40,0),"")</f>
        <v>外</v>
      </c>
      <c r="L209" s="156">
        <f>IFERROR(VLOOKUP($G209,今日總結!$A:$AN,37,0),"")</f>
        <v>0</v>
      </c>
      <c r="M209" s="337">
        <f>IFERROR(VLOOKUP($G209,今日總結!$A:$AN,38,0),"")</f>
        <v>2</v>
      </c>
      <c r="N209" s="240">
        <f t="shared" ref="N209:N210" si="41">IFERROR(L209-M209,"")</f>
        <v>-2</v>
      </c>
      <c r="O209" s="359">
        <f>IFERROR(VLOOKUP($G209,融外自投!$A:$J,7,0),"無")</f>
        <v>576</v>
      </c>
      <c r="P209" s="79">
        <f>IFERROR(VLOOKUP($G209,融外自投!$A:$J,9,0),"無")</f>
        <v>537</v>
      </c>
      <c r="Q209" s="342">
        <f>IFERROR(VLOOKUP($G209,融外自投!$A:$J,8,0),"無")</f>
        <v>36</v>
      </c>
      <c r="R209" s="81">
        <f>IFERROR(VLOOKUP($G209,融外自投!$A:$J,10,0),"無")</f>
        <v>331</v>
      </c>
      <c r="S209" s="324">
        <f>IFERROR(VLOOKUP($G209,'321買'!$A:$E,4,0),"'沒有資料'")</f>
        <v>801</v>
      </c>
      <c r="T209" s="186">
        <f>IFERROR(VLOOKUP($G209,基本資料!$A:$J,9,0),"無")</f>
        <v>4.5</v>
      </c>
      <c r="U209" s="307">
        <f t="shared" si="32"/>
        <v>3.0508474576271188E-2</v>
      </c>
      <c r="V209" s="94">
        <f>IFERROR(VLOOKUP($G209,基本資料!$A:$J,10,0),"無")</f>
        <v>9.5299999999999994</v>
      </c>
      <c r="W209" s="36">
        <f>RTD("money.excel",,"5288","Price")</f>
        <v>147.5</v>
      </c>
      <c r="X209" s="66"/>
      <c r="Y209" s="15">
        <f t="shared" si="38"/>
        <v>147.5</v>
      </c>
      <c r="Z209" s="3" t="e">
        <f t="shared" si="39"/>
        <v>#DIV/0!</v>
      </c>
      <c r="AA209" s="340">
        <f>IFERROR(VLOOKUP($G209,基本資料!$A:$M,11,0),"無")</f>
        <v>-16.670000000000002</v>
      </c>
      <c r="AB209" s="389">
        <f>IFERROR(VLOOKUP($G209,基本資料!$A:$M,12,0),"無")</f>
        <v>41.2</v>
      </c>
      <c r="AC209" s="22" t="s">
        <v>584</v>
      </c>
      <c r="AF209" s="33">
        <f t="shared" si="40"/>
        <v>0</v>
      </c>
      <c r="AG209" s="43" t="s">
        <v>2749</v>
      </c>
      <c r="AH209" s="66">
        <f t="shared" si="36"/>
        <v>0.81023454157782515</v>
      </c>
      <c r="AI209" s="283">
        <f>RTD("money.excel",,$G209,"PredictVolume")</f>
        <v>38</v>
      </c>
      <c r="AJ209" s="391">
        <f>IFERROR(VLOOKUP($G209,基本資料!$A:$M,13,0),"無")</f>
        <v>46.9</v>
      </c>
      <c r="AR209" s="245" t="str">
        <f>INDEX(基本資料!N:N,MATCH($G209,基本資料!A:A,0))</f>
        <v>中</v>
      </c>
    </row>
    <row r="210" spans="1:44">
      <c r="A210" s="343">
        <f>IFERROR(VLOOKUP($G210,基本資料!$A:$J,3,0),"無")</f>
        <v>7.07</v>
      </c>
      <c r="B210" s="79">
        <f>IFERROR(VLOOKUP($G210,基本資料!$A:$J,4,0),"無")</f>
        <v>247</v>
      </c>
      <c r="C210" s="79">
        <f>IFERROR(VLOOKUP($G210,基本資料!$A:$J,5,0),"無")</f>
        <v>96</v>
      </c>
      <c r="D210" s="79">
        <f>IFERROR(VLOOKUP($G210,基本資料!$A:$J,6,0),"無")</f>
        <v>32</v>
      </c>
      <c r="E210" s="79">
        <f>IFERROR(VLOOKUP($G210,基本資料!$A:$J,7,0),"無")</f>
        <v>61</v>
      </c>
      <c r="F210" s="6">
        <f>IFERROR(VLOOKUP($G210,基本資料!$A:$J,8,0),"無")</f>
        <v>3.48</v>
      </c>
      <c r="G210" s="79">
        <v>6122</v>
      </c>
      <c r="H210" s="8" t="s">
        <v>295</v>
      </c>
      <c r="I210" s="16" t="s">
        <v>548</v>
      </c>
      <c r="J210" s="8">
        <f>IFERROR(VLOOKUP($G210,今日總結!$A:$AN,39,0),"")</f>
        <v>0</v>
      </c>
      <c r="K210" s="5">
        <f>IFERROR(VLOOKUP($G210,今日總結!$A:$AN,40,0),"")</f>
        <v>0</v>
      </c>
      <c r="L210" s="156">
        <f>IFERROR(VLOOKUP($G210,今日總結!$A:$AN,37,0),"")</f>
        <v>0</v>
      </c>
      <c r="M210" s="337">
        <f>IFERROR(VLOOKUP($G210,今日總結!$A:$AN,38,0),"")</f>
        <v>0</v>
      </c>
      <c r="N210" s="240">
        <f t="shared" si="41"/>
        <v>0</v>
      </c>
      <c r="O210" s="359">
        <f>IFERROR(VLOOKUP($G210,融外自投!$A:$J,7,0),"無")</f>
        <v>185</v>
      </c>
      <c r="P210" s="79">
        <f>IFERROR(VLOOKUP($G210,融外自投!$A:$J,9,0),"無")</f>
        <v>1051</v>
      </c>
      <c r="Q210" s="342">
        <f>IFERROR(VLOOKUP($G210,融外自投!$A:$J,8,0),"無")</f>
        <v>904</v>
      </c>
      <c r="R210" s="81" t="str">
        <f>IFERROR(VLOOKUP($G210,融外自投!$A:$J,10,0),"無")</f>
        <v>無</v>
      </c>
      <c r="S210" s="324">
        <f>IFERROR(VLOOKUP($G210,'321買'!$A:$E,4,0),"'沒有資料'")</f>
        <v>411</v>
      </c>
      <c r="T210" s="186">
        <f>IFERROR(VLOOKUP($G210,基本資料!$A:$J,9,0),"無")</f>
        <v>0.6</v>
      </c>
      <c r="U210" s="307">
        <f t="shared" si="32"/>
        <v>3.6253776435045314E-2</v>
      </c>
      <c r="V210" s="94">
        <f>IFERROR(VLOOKUP($G210,基本資料!$A:$J,10,0),"無")</f>
        <v>0.79</v>
      </c>
      <c r="W210" s="36">
        <f>RTD("money.excel",,"6122","Price")</f>
        <v>16.55</v>
      </c>
      <c r="X210" s="66"/>
      <c r="Y210" s="15">
        <f t="shared" si="33"/>
        <v>16.55</v>
      </c>
      <c r="Z210" s="3" t="e">
        <f t="shared" si="34"/>
        <v>#DIV/0!</v>
      </c>
      <c r="AA210" s="340">
        <f>IFERROR(VLOOKUP($G210,基本資料!$A:$M,11,0),"無")</f>
        <v>-21.93</v>
      </c>
      <c r="AB210" s="389">
        <f>IFERROR(VLOOKUP($G210,基本資料!$A:$M,12,0),"無")</f>
        <v>44.54</v>
      </c>
      <c r="AC210" s="16" t="s">
        <v>548</v>
      </c>
      <c r="AF210" s="33">
        <f t="shared" si="35"/>
        <v>0</v>
      </c>
      <c r="AG210" s="43" t="s">
        <v>2493</v>
      </c>
      <c r="AH210" s="66">
        <f t="shared" si="36"/>
        <v>0.32411871852566165</v>
      </c>
      <c r="AI210" s="283">
        <f>RTD("money.excel",,$G210,"PredictVolume")</f>
        <v>605</v>
      </c>
      <c r="AJ210" s="391">
        <f>IFERROR(VLOOKUP($G210,基本資料!$A:$M,13,0),"無")</f>
        <v>1866.6</v>
      </c>
      <c r="AR210" s="245" t="str">
        <f>INDEX(基本資料!N:N,MATCH($G210,基本資料!A:A,0))</f>
        <v>中</v>
      </c>
    </row>
    <row r="211" spans="1:44">
      <c r="A211" s="343">
        <f>IFERROR(VLOOKUP($G211,基本資料!$A:$J,3,0),"無")</f>
        <v>4.3600000000000003</v>
      </c>
      <c r="B211" s="79">
        <f>IFERROR(VLOOKUP($G211,基本資料!$A:$J,4,0),"無")</f>
        <v>-160</v>
      </c>
      <c r="C211" s="79">
        <f>IFERROR(VLOOKUP($G211,基本資料!$A:$J,5,0),"無")</f>
        <v>-177</v>
      </c>
      <c r="D211" s="79">
        <f>IFERROR(VLOOKUP($G211,基本資料!$A:$J,6,0),"無")</f>
        <v>-55</v>
      </c>
      <c r="E211" s="79">
        <f>IFERROR(VLOOKUP($G211,基本資料!$A:$J,7,0),"無")</f>
        <v>-12</v>
      </c>
      <c r="F211" s="6">
        <f>IFERROR(VLOOKUP($G211,基本資料!$A:$J,8,0),"無")</f>
        <v>-6.07</v>
      </c>
      <c r="G211" s="79">
        <v>6425</v>
      </c>
      <c r="H211" s="8" t="s">
        <v>295</v>
      </c>
      <c r="I211" s="16" t="s">
        <v>2978</v>
      </c>
      <c r="J211" s="8">
        <f>IFERROR(VLOOKUP($G211,今日總結!$A:$AN,39,0),"")</f>
        <v>0</v>
      </c>
      <c r="K211" s="5">
        <f>IFERROR(VLOOKUP($G211,今日總結!$A:$AN,40,0),"")</f>
        <v>0</v>
      </c>
      <c r="L211" s="156">
        <f>IFERROR(VLOOKUP($G211,今日總結!$A:$AN,37,0),"")</f>
        <v>0</v>
      </c>
      <c r="M211" s="337">
        <f>IFERROR(VLOOKUP($G211,今日總結!$A:$AN,38,0),"")</f>
        <v>0</v>
      </c>
      <c r="N211" s="240">
        <f t="shared" ref="N211:N222" si="42">IFERROR(L211-M211,"")</f>
        <v>0</v>
      </c>
      <c r="O211" s="359">
        <f>IFERROR(VLOOKUP($G211,融外自投!$A:$J,7,0),"無")</f>
        <v>529</v>
      </c>
      <c r="P211" s="79" t="str">
        <f>IFERROR(VLOOKUP($G211,融外自投!$A:$J,9,0),"無")</f>
        <v>無</v>
      </c>
      <c r="Q211" s="342">
        <f>IFERROR(VLOOKUP($G211,融外自投!$A:$J,8,0),"無")</f>
        <v>1425</v>
      </c>
      <c r="R211" s="81" t="str">
        <f>IFERROR(VLOOKUP($G211,融外自投!$A:$J,10,0),"無")</f>
        <v>無</v>
      </c>
      <c r="S211" s="324">
        <f>IFERROR(VLOOKUP($G211,'321買'!$A:$E,4,0),"'沒有資料'")</f>
        <v>743</v>
      </c>
      <c r="T211" s="186">
        <f>IFERROR(VLOOKUP($G211,基本資料!$A:$J,9,0),"無")</f>
        <v>0.5</v>
      </c>
      <c r="U211" s="307">
        <f t="shared" si="32"/>
        <v>2.247191011235955E-2</v>
      </c>
      <c r="V211" s="94">
        <f>IFERROR(VLOOKUP($G211,基本資料!$A:$J,10,0),"無")</f>
        <v>-2.52</v>
      </c>
      <c r="W211" s="36">
        <f>RTD("money.excel",,"6425","Price")</f>
        <v>22.25</v>
      </c>
      <c r="X211" s="66"/>
      <c r="Y211" s="15">
        <f t="shared" si="33"/>
        <v>22.25</v>
      </c>
      <c r="Z211" s="3" t="e">
        <f t="shared" si="34"/>
        <v>#DIV/0!</v>
      </c>
      <c r="AA211" s="340">
        <f>IFERROR(VLOOKUP($G211,基本資料!$A:$M,11,0),"無")</f>
        <v>-33.18</v>
      </c>
      <c r="AB211" s="389">
        <f>IFERROR(VLOOKUP($G211,基本資料!$A:$M,12,0),"無")</f>
        <v>36.26</v>
      </c>
      <c r="AC211" s="16" t="s">
        <v>2978</v>
      </c>
      <c r="AF211" s="33">
        <f t="shared" si="35"/>
        <v>0</v>
      </c>
      <c r="AG211" s="43" t="s">
        <v>3257</v>
      </c>
      <c r="AH211" s="66">
        <f t="shared" si="36"/>
        <v>0.60935799782372146</v>
      </c>
      <c r="AI211" s="283">
        <f>RTD("money.excel",,$G211,"PredictVolume")</f>
        <v>84</v>
      </c>
      <c r="AJ211" s="391">
        <f>IFERROR(VLOOKUP($G211,基本資料!$A:$M,13,0),"無")</f>
        <v>137.85</v>
      </c>
      <c r="AR211" s="245" t="str">
        <f>INDEX(基本資料!N:N,MATCH($G211,基本資料!A:A,0))</f>
        <v>低</v>
      </c>
    </row>
    <row r="212" spans="1:44">
      <c r="A212" s="343">
        <f>IFERROR(VLOOKUP($G212,基本資料!$A:$J,3,0),"無")</f>
        <v>14.94</v>
      </c>
      <c r="B212" s="79">
        <f>IFERROR(VLOOKUP($G212,基本資料!$A:$J,4,0),"無")</f>
        <v>1453</v>
      </c>
      <c r="C212" s="79">
        <f>IFERROR(VLOOKUP($G212,基本資料!$A:$J,5,0),"無")</f>
        <v>1087</v>
      </c>
      <c r="D212" s="79">
        <f>IFERROR(VLOOKUP($G212,基本資料!$A:$J,6,0),"無")</f>
        <v>4</v>
      </c>
      <c r="E212" s="79">
        <f>IFERROR(VLOOKUP($G212,基本資料!$A:$J,7,0),"無")</f>
        <v>22</v>
      </c>
      <c r="F212" s="6">
        <f>IFERROR(VLOOKUP($G212,基本資料!$A:$J,8,0),"無")</f>
        <v>4.72</v>
      </c>
      <c r="G212" s="79">
        <v>6603</v>
      </c>
      <c r="H212" s="8" t="s">
        <v>295</v>
      </c>
      <c r="I212" s="16" t="s">
        <v>549</v>
      </c>
      <c r="J212" s="8">
        <f>IFERROR(VLOOKUP($G212,今日總結!$A:$AN,39,0),"")</f>
        <v>0</v>
      </c>
      <c r="K212" s="5">
        <f>IFERROR(VLOOKUP($G212,今日總結!$A:$AN,40,0),"")</f>
        <v>0</v>
      </c>
      <c r="L212" s="156">
        <f>IFERROR(VLOOKUP($G212,今日總結!$A:$AN,37,0),"")</f>
        <v>0</v>
      </c>
      <c r="M212" s="337">
        <f>IFERROR(VLOOKUP($G212,今日總結!$A:$AN,38,0),"")</f>
        <v>0</v>
      </c>
      <c r="N212" s="240">
        <f t="shared" si="42"/>
        <v>0</v>
      </c>
      <c r="O212" s="359">
        <f>IFERROR(VLOOKUP($G212,融外自投!$A:$J,7,0),"無")</f>
        <v>237</v>
      </c>
      <c r="P212" s="79">
        <f>IFERROR(VLOOKUP($G212,融外自投!$A:$J,9,0),"無")</f>
        <v>615</v>
      </c>
      <c r="Q212" s="342">
        <f>IFERROR(VLOOKUP($G212,融外自投!$A:$J,8,0),"無")</f>
        <v>1252</v>
      </c>
      <c r="R212" s="81" t="str">
        <f>IFERROR(VLOOKUP($G212,融外自投!$A:$J,10,0),"無")</f>
        <v>無</v>
      </c>
      <c r="S212" s="324">
        <f>IFERROR(VLOOKUP($G212,'321買'!$A:$E,4,0),"'沒有資料'")</f>
        <v>231</v>
      </c>
      <c r="T212" s="186">
        <f>IFERROR(VLOOKUP($G212,基本資料!$A:$J,9,0),"無")</f>
        <v>0.5</v>
      </c>
      <c r="U212" s="307">
        <f t="shared" si="32"/>
        <v>2.8818443804034581E-2</v>
      </c>
      <c r="V212" s="94">
        <f>IFERROR(VLOOKUP($G212,基本資料!$A:$J,10,0),"無")</f>
        <v>0.8</v>
      </c>
      <c r="W212" s="36">
        <f>RTD("money.excel",,"6603","Price")</f>
        <v>17.350000000000001</v>
      </c>
      <c r="X212" s="66"/>
      <c r="Y212" s="15">
        <f t="shared" si="33"/>
        <v>17.350000000000001</v>
      </c>
      <c r="Z212" s="3" t="e">
        <f t="shared" si="34"/>
        <v>#DIV/0!</v>
      </c>
      <c r="AA212" s="340">
        <f>IFERROR(VLOOKUP($G212,基本資料!$A:$M,11,0),"無")</f>
        <v>-18.16</v>
      </c>
      <c r="AB212" s="389">
        <f>IFERROR(VLOOKUP($G212,基本資料!$A:$M,12,0),"無")</f>
        <v>46.05</v>
      </c>
      <c r="AC212" s="16" t="s">
        <v>549</v>
      </c>
      <c r="AF212" s="33">
        <f t="shared" si="35"/>
        <v>0</v>
      </c>
      <c r="AG212" s="43" t="s">
        <v>2492</v>
      </c>
      <c r="AH212" s="66">
        <f t="shared" si="36"/>
        <v>0.18567228841095468</v>
      </c>
      <c r="AI212" s="283">
        <f>RTD("money.excel",,$G212,"PredictVolume")</f>
        <v>300</v>
      </c>
      <c r="AJ212" s="391">
        <f>IFERROR(VLOOKUP($G212,基本資料!$A:$M,13,0),"無")</f>
        <v>1615.75</v>
      </c>
      <c r="AR212" s="245" t="str">
        <f>INDEX(基本資料!N:N,MATCH($G212,基本資料!A:A,0))</f>
        <v>中</v>
      </c>
    </row>
    <row r="213" spans="1:44">
      <c r="A213" s="343">
        <f>IFERROR(VLOOKUP($G213,基本資料!$A:$J,3,0),"無")</f>
        <v>7.24</v>
      </c>
      <c r="B213" s="79">
        <f>IFERROR(VLOOKUP($G213,基本資料!$A:$J,4,0),"無")</f>
        <v>845</v>
      </c>
      <c r="C213" s="79">
        <f>IFERROR(VLOOKUP($G213,基本資料!$A:$J,5,0),"無")</f>
        <v>119</v>
      </c>
      <c r="D213" s="79">
        <f>IFERROR(VLOOKUP($G213,基本資料!$A:$J,6,0),"無")</f>
        <v>27</v>
      </c>
      <c r="E213" s="79">
        <f>IFERROR(VLOOKUP($G213,基本資料!$A:$J,7,0),"無")</f>
        <v>60</v>
      </c>
      <c r="F213" s="6">
        <f>IFERROR(VLOOKUP($G213,基本資料!$A:$J,8,0),"無")</f>
        <v>6.52</v>
      </c>
      <c r="G213" s="79">
        <v>6609</v>
      </c>
      <c r="H213" s="8" t="s">
        <v>295</v>
      </c>
      <c r="I213" s="16" t="s">
        <v>550</v>
      </c>
      <c r="J213" s="8">
        <f>IFERROR(VLOOKUP($G213,今日總結!$A:$AN,39,0),"")</f>
        <v>0</v>
      </c>
      <c r="K213" s="5">
        <f>IFERROR(VLOOKUP($G213,今日總結!$A:$AN,40,0),"")</f>
        <v>0</v>
      </c>
      <c r="L213" s="156">
        <f>IFERROR(VLOOKUP($G213,今日總結!$A:$AN,37,0),"")</f>
        <v>0</v>
      </c>
      <c r="M213" s="337">
        <f>IFERROR(VLOOKUP($G213,今日總結!$A:$AN,38,0),"")</f>
        <v>0</v>
      </c>
      <c r="N213" s="240">
        <f t="shared" si="42"/>
        <v>0</v>
      </c>
      <c r="O213" s="359">
        <f>IFERROR(VLOOKUP($G213,融外自投!$A:$J,7,0),"無")</f>
        <v>676</v>
      </c>
      <c r="P213" s="79">
        <f>IFERROR(VLOOKUP($G213,融外自投!$A:$J,9,0),"無")</f>
        <v>365</v>
      </c>
      <c r="Q213" s="342">
        <f>IFERROR(VLOOKUP($G213,融外自投!$A:$J,8,0),"無")</f>
        <v>62</v>
      </c>
      <c r="R213" s="81" t="str">
        <f>IFERROR(VLOOKUP($G213,融外自投!$A:$J,10,0),"無")</f>
        <v>無</v>
      </c>
      <c r="S213" s="324">
        <f>IFERROR(VLOOKUP($G213,'321買'!$A:$E,4,0),"'沒有資料'")</f>
        <v>1002</v>
      </c>
      <c r="T213" s="186">
        <f>IFERROR(VLOOKUP($G213,基本資料!$A:$J,9,0),"無")</f>
        <v>1.5</v>
      </c>
      <c r="U213" s="307">
        <f t="shared" si="32"/>
        <v>4.3668122270742356E-2</v>
      </c>
      <c r="V213" s="94">
        <f>IFERROR(VLOOKUP($G213,基本資料!$A:$J,10,0),"無")</f>
        <v>2.5099999999999998</v>
      </c>
      <c r="W213" s="36">
        <f>RTD("money.excel",,"6609","Price")</f>
        <v>34.35</v>
      </c>
      <c r="X213" s="66"/>
      <c r="Y213" s="15">
        <f t="shared" si="33"/>
        <v>34.35</v>
      </c>
      <c r="Z213" s="3" t="e">
        <f t="shared" si="34"/>
        <v>#DIV/0!</v>
      </c>
      <c r="AA213" s="340">
        <f>IFERROR(VLOOKUP($G213,基本資料!$A:$M,11,0),"無")</f>
        <v>-11.7</v>
      </c>
      <c r="AB213" s="389">
        <f>IFERROR(VLOOKUP($G213,基本資料!$A:$M,12,0),"無")</f>
        <v>65.55</v>
      </c>
      <c r="AC213" s="16" t="s">
        <v>550</v>
      </c>
      <c r="AF213" s="33">
        <f t="shared" si="35"/>
        <v>0</v>
      </c>
      <c r="AG213" s="43" t="s">
        <v>2922</v>
      </c>
      <c r="AH213" s="66">
        <f t="shared" si="36"/>
        <v>0.84595959595959591</v>
      </c>
      <c r="AI213" s="283">
        <f>RTD("money.excel",,$G213,"PredictVolume")</f>
        <v>335</v>
      </c>
      <c r="AJ213" s="391">
        <f>IFERROR(VLOOKUP($G213,基本資料!$A:$M,13,0),"無")</f>
        <v>396</v>
      </c>
      <c r="AR213" s="245" t="str">
        <f>INDEX(基本資料!N:N,MATCH($G213,基本資料!A:A,0))</f>
        <v>中</v>
      </c>
    </row>
    <row r="214" spans="1:44">
      <c r="A214" s="343" t="str">
        <f>IFERROR(VLOOKUP($G214,基本資料!$A:$J,3,0),"無")</f>
        <v>無</v>
      </c>
      <c r="B214" s="79" t="str">
        <f>IFERROR(VLOOKUP($G214,基本資料!$A:$J,4,0),"無")</f>
        <v>無</v>
      </c>
      <c r="C214" s="79" t="str">
        <f>IFERROR(VLOOKUP($G214,基本資料!$A:$J,5,0),"無")</f>
        <v>無</v>
      </c>
      <c r="D214" s="79" t="str">
        <f>IFERROR(VLOOKUP($G214,基本資料!$A:$J,6,0),"無")</f>
        <v>無</v>
      </c>
      <c r="E214" s="79" t="str">
        <f>IFERROR(VLOOKUP($G214,基本資料!$A:$J,7,0),"無")</f>
        <v>無</v>
      </c>
      <c r="F214" s="6" t="str">
        <f>IFERROR(VLOOKUP($G214,基本資料!$A:$J,8,0),"無")</f>
        <v>無</v>
      </c>
      <c r="G214" s="79">
        <v>6829</v>
      </c>
      <c r="H214" s="8" t="s">
        <v>295</v>
      </c>
      <c r="I214" s="16" t="s">
        <v>4756</v>
      </c>
      <c r="J214" s="8" t="str">
        <f>IFERROR(VLOOKUP($G214,今日總結!$A:$AN,39,0),"")</f>
        <v/>
      </c>
      <c r="K214" s="5" t="str">
        <f>IFERROR(VLOOKUP($G214,今日總結!$A:$AN,40,0),"")</f>
        <v/>
      </c>
      <c r="L214" s="156" t="str">
        <f>IFERROR(VLOOKUP($G214,今日總結!$A:$AN,37,0),"")</f>
        <v/>
      </c>
      <c r="M214" s="337" t="str">
        <f>IFERROR(VLOOKUP($G214,今日總結!$A:$AN,38,0),"")</f>
        <v/>
      </c>
      <c r="N214" s="240" t="str">
        <f t="shared" si="42"/>
        <v/>
      </c>
      <c r="O214" s="359" t="str">
        <f>IFERROR(VLOOKUP($G214,融外自投!$A:$J,7,0),"無")</f>
        <v>無</v>
      </c>
      <c r="P214" s="79" t="str">
        <f>IFERROR(VLOOKUP($G214,融外自投!$A:$J,9,0),"無")</f>
        <v>無</v>
      </c>
      <c r="Q214" s="342" t="str">
        <f>IFERROR(VLOOKUP($G214,融外自投!$A:$J,8,0),"無")</f>
        <v>無</v>
      </c>
      <c r="R214" s="81" t="str">
        <f>IFERROR(VLOOKUP($G214,融外自投!$A:$J,10,0),"無")</f>
        <v>無</v>
      </c>
      <c r="S214" s="324" t="str">
        <f>IFERROR(VLOOKUP($G214,'321買'!$A:$E,4,0),"'沒有資料'")</f>
        <v>'沒有資料'</v>
      </c>
      <c r="T214" s="186" t="str">
        <f>IFERROR(VLOOKUP($G214,基本資料!$A:$J,9,0),"無")</f>
        <v>無</v>
      </c>
      <c r="U214" s="307" t="e">
        <f t="shared" si="32"/>
        <v>#VALUE!</v>
      </c>
      <c r="V214" s="94" t="str">
        <f>IFERROR(VLOOKUP($G214,基本資料!$A:$J,10,0),"無")</f>
        <v>無</v>
      </c>
      <c r="W214" s="36">
        <f>RTD("money.excel",,"6829","Price")</f>
        <v>75.2</v>
      </c>
      <c r="X214" s="66"/>
      <c r="Y214" s="15">
        <f>W214-X214</f>
        <v>75.2</v>
      </c>
      <c r="Z214" s="3" t="e">
        <f>Y214/X214</f>
        <v>#DIV/0!</v>
      </c>
      <c r="AA214" s="340" t="str">
        <f>IFERROR(VLOOKUP($G214,基本資料!$A:$M,11,0),"無")</f>
        <v>無</v>
      </c>
      <c r="AB214" s="389" t="str">
        <f>IFERROR(VLOOKUP($G214,基本資料!$A:$M,12,0),"無")</f>
        <v>無</v>
      </c>
      <c r="AC214" s="16" t="s">
        <v>4756</v>
      </c>
      <c r="AF214" s="33">
        <f>AE214-AD214</f>
        <v>0</v>
      </c>
      <c r="AG214" s="123" t="s">
        <v>4763</v>
      </c>
      <c r="AH214" s="66" t="e">
        <f t="shared" si="36"/>
        <v>#VALUE!</v>
      </c>
      <c r="AI214" s="283">
        <f>RTD("money.excel",,$G214,"PredictVolume")</f>
        <v>143</v>
      </c>
      <c r="AJ214" s="391" t="str">
        <f>IFERROR(VLOOKUP($G214,基本資料!$A:$M,13,0),"無")</f>
        <v>無</v>
      </c>
      <c r="AR214" s="245" t="e">
        <f>INDEX(基本資料!N:N,MATCH($G214,基本資料!A:A,0))</f>
        <v>#N/A</v>
      </c>
    </row>
    <row r="215" spans="1:44">
      <c r="A215" s="343">
        <f>IFERROR(VLOOKUP($G215,基本資料!$A:$J,3,0),"無")</f>
        <v>10.01</v>
      </c>
      <c r="B215" s="79">
        <f>IFERROR(VLOOKUP($G215,基本資料!$A:$J,4,0),"無")</f>
        <v>58</v>
      </c>
      <c r="C215" s="79">
        <f>IFERROR(VLOOKUP($G215,基本資料!$A:$J,5,0),"無")</f>
        <v>46</v>
      </c>
      <c r="D215" s="79">
        <f>IFERROR(VLOOKUP($G215,基本資料!$A:$J,6,0),"無")</f>
        <v>1</v>
      </c>
      <c r="E215" s="79">
        <f>IFERROR(VLOOKUP($G215,基本資料!$A:$J,7,0),"無")</f>
        <v>205</v>
      </c>
      <c r="F215" s="6">
        <f>IFERROR(VLOOKUP($G215,基本資料!$A:$J,8,0),"無")</f>
        <v>12.27</v>
      </c>
      <c r="G215" s="79">
        <v>8027</v>
      </c>
      <c r="H215" s="8" t="s">
        <v>295</v>
      </c>
      <c r="I215" s="16" t="s">
        <v>551</v>
      </c>
      <c r="J215" s="8">
        <f>IFERROR(VLOOKUP($G215,今日總結!$A:$AN,39,0),"")</f>
        <v>0</v>
      </c>
      <c r="K215" s="5">
        <f>IFERROR(VLOOKUP($G215,今日總結!$A:$AN,40,0),"")</f>
        <v>0</v>
      </c>
      <c r="L215" s="156">
        <f>IFERROR(VLOOKUP($G215,今日總結!$A:$AN,37,0),"")</f>
        <v>0</v>
      </c>
      <c r="M215" s="337">
        <f>IFERROR(VLOOKUP($G215,今日總結!$A:$AN,38,0),"")</f>
        <v>0</v>
      </c>
      <c r="N215" s="240">
        <f t="shared" si="42"/>
        <v>0</v>
      </c>
      <c r="O215" s="359">
        <f>IFERROR(VLOOKUP($G215,融外自投!$A:$J,7,0),"無")</f>
        <v>20</v>
      </c>
      <c r="P215" s="79">
        <f>IFERROR(VLOOKUP($G215,融外自投!$A:$J,9,0),"無")</f>
        <v>1123</v>
      </c>
      <c r="Q215" s="342">
        <f>IFERROR(VLOOKUP($G215,融外自投!$A:$J,8,0),"無")</f>
        <v>723</v>
      </c>
      <c r="R215" s="81">
        <f>IFERROR(VLOOKUP($G215,融外自投!$A:$J,10,0),"無")</f>
        <v>358</v>
      </c>
      <c r="S215" s="324">
        <f>IFERROR(VLOOKUP($G215,'321買'!$A:$E,4,0),"'沒有資料'")</f>
        <v>606</v>
      </c>
      <c r="T215" s="186">
        <f>IFERROR(VLOOKUP($G215,基本資料!$A:$J,9,0),"無")</f>
        <v>1.6</v>
      </c>
      <c r="U215" s="307">
        <f t="shared" si="32"/>
        <v>2.1621621621621623E-2</v>
      </c>
      <c r="V215" s="94">
        <f>IFERROR(VLOOKUP($G215,基本資料!$A:$J,10,0),"無")</f>
        <v>2.62</v>
      </c>
      <c r="W215" s="36">
        <f>RTD("money.excel",,"8027","Price")</f>
        <v>74</v>
      </c>
      <c r="X215" s="66"/>
      <c r="Y215" s="15">
        <f t="shared" si="33"/>
        <v>74</v>
      </c>
      <c r="Z215" s="3" t="e">
        <f t="shared" si="34"/>
        <v>#DIV/0!</v>
      </c>
      <c r="AA215" s="340">
        <f>IFERROR(VLOOKUP($G215,基本資料!$A:$M,11,0),"無")</f>
        <v>-16.190000000000001</v>
      </c>
      <c r="AB215" s="389">
        <f>IFERROR(VLOOKUP($G215,基本資料!$A:$M,12,0),"無")</f>
        <v>43.96</v>
      </c>
      <c r="AC215" s="16" t="s">
        <v>551</v>
      </c>
      <c r="AF215" s="33">
        <f t="shared" si="35"/>
        <v>0</v>
      </c>
      <c r="AG215" s="43" t="s">
        <v>2891</v>
      </c>
      <c r="AH215" s="66">
        <f t="shared" si="36"/>
        <v>0.96713554158293902</v>
      </c>
      <c r="AI215" s="283">
        <f>RTD("money.excel",,$G215,"PredictVolume")</f>
        <v>746</v>
      </c>
      <c r="AJ215" s="391">
        <f>IFERROR(VLOOKUP($G215,基本資料!$A:$M,13,0),"無")</f>
        <v>771.35</v>
      </c>
      <c r="AR215" s="245" t="str">
        <f>INDEX(基本資料!N:N,MATCH($G215,基本資料!A:A,0))</f>
        <v>中</v>
      </c>
    </row>
    <row r="216" spans="1:44">
      <c r="A216" s="343">
        <f>IFERROR(VLOOKUP($G216,基本資料!$A:$J,3,0),"無")</f>
        <v>3.51</v>
      </c>
      <c r="B216" s="79">
        <f>IFERROR(VLOOKUP($G216,基本資料!$A:$J,4,0),"無")</f>
        <v>-8</v>
      </c>
      <c r="C216" s="79">
        <f>IFERROR(VLOOKUP($G216,基本資料!$A:$J,5,0),"無")</f>
        <v>-8</v>
      </c>
      <c r="D216" s="79">
        <f>IFERROR(VLOOKUP($G216,基本資料!$A:$J,6,0),"無")</f>
        <v>-22</v>
      </c>
      <c r="E216" s="79">
        <f>IFERROR(VLOOKUP($G216,基本資料!$A:$J,7,0),"無")</f>
        <v>-30</v>
      </c>
      <c r="F216" s="6">
        <f>IFERROR(VLOOKUP($G216,基本資料!$A:$J,8,0),"無")</f>
        <v>20.63</v>
      </c>
      <c r="G216" s="79">
        <v>8083</v>
      </c>
      <c r="H216" s="145" t="s">
        <v>295</v>
      </c>
      <c r="I216" s="16" t="s">
        <v>161</v>
      </c>
      <c r="J216" s="8" t="str">
        <f>IFERROR(VLOOKUP($G216,今日總結!$A:$AN,39,0),"")</f>
        <v/>
      </c>
      <c r="K216" s="5" t="str">
        <f>IFERROR(VLOOKUP($G216,今日總結!$A:$AN,40,0),"")</f>
        <v/>
      </c>
      <c r="L216" s="156" t="str">
        <f>IFERROR(VLOOKUP($G216,今日總結!$A:$AN,37,0),"")</f>
        <v/>
      </c>
      <c r="M216" s="337" t="str">
        <f>IFERROR(VLOOKUP($G216,今日總結!$A:$AN,38,0),"")</f>
        <v/>
      </c>
      <c r="N216" s="240" t="str">
        <f t="shared" si="42"/>
        <v/>
      </c>
      <c r="O216" s="359">
        <f>IFERROR(VLOOKUP($G216,融外自投!$A:$J,7,0),"無")</f>
        <v>1319</v>
      </c>
      <c r="P216" s="79">
        <f>IFERROR(VLOOKUP($G216,融外自投!$A:$J,9,0),"無")</f>
        <v>537</v>
      </c>
      <c r="Q216" s="342">
        <f>IFERROR(VLOOKUP($G216,融外自投!$A:$J,8,0),"無")</f>
        <v>1265</v>
      </c>
      <c r="R216" s="81" t="str">
        <f>IFERROR(VLOOKUP($G216,融外自投!$A:$J,10,0),"無")</f>
        <v>無</v>
      </c>
      <c r="S216" s="324" t="str">
        <f>IFERROR(VLOOKUP($G216,'321買'!$A:$E,4,0),"'沒有資料'")</f>
        <v>'沒有資料'</v>
      </c>
      <c r="T216" s="186">
        <f>IFERROR(VLOOKUP($G216,基本資料!$A:$J,9,0),"無")</f>
        <v>10.199999999999999</v>
      </c>
      <c r="U216" s="307">
        <f t="shared" si="32"/>
        <v>5.7954545454545453E-2</v>
      </c>
      <c r="V216" s="94">
        <f>IFERROR(VLOOKUP($G216,基本資料!$A:$J,10,0),"無")</f>
        <v>10.08</v>
      </c>
      <c r="W216" s="36">
        <f>RTD("money.excel",,"8083","Price")</f>
        <v>176</v>
      </c>
      <c r="X216" s="66"/>
      <c r="Y216" s="15">
        <f t="shared" si="33"/>
        <v>176</v>
      </c>
      <c r="Z216" s="3" t="e">
        <f t="shared" si="34"/>
        <v>#DIV/0!</v>
      </c>
      <c r="AA216" s="340">
        <f>IFERROR(VLOOKUP($G216,基本資料!$A:$M,11,0),"無")</f>
        <v>-9.51</v>
      </c>
      <c r="AB216" s="389">
        <f>IFERROR(VLOOKUP($G216,基本資料!$A:$M,12,0),"無")</f>
        <v>48.12</v>
      </c>
      <c r="AC216" s="16" t="s">
        <v>161</v>
      </c>
      <c r="AF216" s="33">
        <f t="shared" si="35"/>
        <v>0</v>
      </c>
      <c r="AG216" s="117" t="s">
        <v>2491</v>
      </c>
      <c r="AH216" s="66">
        <f t="shared" si="36"/>
        <v>3.5012594458438286</v>
      </c>
      <c r="AI216" s="283">
        <f>RTD("money.excel",,$G216,"PredictVolume")</f>
        <v>139</v>
      </c>
      <c r="AJ216" s="391">
        <f>IFERROR(VLOOKUP($G216,基本資料!$A:$M,13,0),"無")</f>
        <v>39.700000000000003</v>
      </c>
      <c r="AR216" s="245" t="str">
        <f>INDEX(基本資料!N:N,MATCH($G216,基本資料!A:A,0))</f>
        <v>中</v>
      </c>
    </row>
    <row r="217" spans="1:44">
      <c r="A217" s="343">
        <f>IFERROR(VLOOKUP($G217,基本資料!$A:$J,3,0),"無")</f>
        <v>7.5</v>
      </c>
      <c r="B217" s="79">
        <f>IFERROR(VLOOKUP($G217,基本資料!$A:$J,4,0),"無")</f>
        <v>300</v>
      </c>
      <c r="C217" s="79">
        <f>IFERROR(VLOOKUP($G217,基本資料!$A:$J,5,0),"無")</f>
        <v>1</v>
      </c>
      <c r="D217" s="79">
        <f>IFERROR(VLOOKUP($G217,基本資料!$A:$J,6,0),"無")</f>
        <v>-20</v>
      </c>
      <c r="E217" s="79">
        <f>IFERROR(VLOOKUP($G217,基本資料!$A:$J,7,0),"無")</f>
        <v>-28</v>
      </c>
      <c r="F217" s="6">
        <f>IFERROR(VLOOKUP($G217,基本資料!$A:$J,8,0),"無")</f>
        <v>-4.7300000000000004</v>
      </c>
      <c r="G217" s="79">
        <v>8107</v>
      </c>
      <c r="H217" s="8" t="s">
        <v>295</v>
      </c>
      <c r="I217" s="16" t="s">
        <v>3172</v>
      </c>
      <c r="J217" s="8">
        <f>IFERROR(VLOOKUP($G217,今日總結!$A:$AN,39,0),"")</f>
        <v>0</v>
      </c>
      <c r="K217" s="5">
        <f>IFERROR(VLOOKUP($G217,今日總結!$A:$AN,40,0),"")</f>
        <v>0</v>
      </c>
      <c r="L217" s="156">
        <f>IFERROR(VLOOKUP($G217,今日總結!$A:$AN,37,0),"")</f>
        <v>0</v>
      </c>
      <c r="M217" s="337">
        <f>IFERROR(VLOOKUP($G217,今日總結!$A:$AN,38,0),"")</f>
        <v>0</v>
      </c>
      <c r="N217" s="240">
        <f t="shared" si="42"/>
        <v>0</v>
      </c>
      <c r="O217" s="359">
        <f>IFERROR(VLOOKUP($G217,融外自投!$A:$J,7,0),"無")</f>
        <v>484</v>
      </c>
      <c r="P217" s="79">
        <f>IFERROR(VLOOKUP($G217,融外自投!$A:$J,9,0),"無")</f>
        <v>649</v>
      </c>
      <c r="Q217" s="342">
        <f>IFERROR(VLOOKUP($G217,融外自投!$A:$J,8,0),"無")</f>
        <v>1066</v>
      </c>
      <c r="R217" s="81">
        <f>IFERROR(VLOOKUP($G217,融外自投!$A:$J,10,0),"無")</f>
        <v>459</v>
      </c>
      <c r="S217" s="324">
        <f>IFERROR(VLOOKUP($G217,'321買'!$A:$E,4,0),"'沒有資料'")</f>
        <v>1002</v>
      </c>
      <c r="T217" s="186">
        <f>IFERROR(VLOOKUP($G217,基本資料!$A:$J,9,0),"無")</f>
        <v>0.15</v>
      </c>
      <c r="U217" s="307">
        <f t="shared" si="32"/>
        <v>9.4637223974763408E-3</v>
      </c>
      <c r="V217" s="94">
        <f>IFERROR(VLOOKUP($G217,基本資料!$A:$J,10,0),"無")</f>
        <v>0.27</v>
      </c>
      <c r="W217" s="36">
        <f>RTD("money.excel",,"8107","Price")</f>
        <v>15.85</v>
      </c>
      <c r="X217" s="66"/>
      <c r="Y217" s="15">
        <f t="shared" si="33"/>
        <v>15.85</v>
      </c>
      <c r="Z217" s="3" t="e">
        <f t="shared" si="34"/>
        <v>#DIV/0!</v>
      </c>
      <c r="AA217" s="340">
        <f>IFERROR(VLOOKUP($G217,基本資料!$A:$M,11,0),"無")</f>
        <v>-32.840000000000003</v>
      </c>
      <c r="AB217" s="389">
        <f>IFERROR(VLOOKUP($G217,基本資料!$A:$M,12,0),"無")</f>
        <v>7.43</v>
      </c>
      <c r="AC217" s="16" t="s">
        <v>3172</v>
      </c>
      <c r="AF217" s="33">
        <f t="shared" si="35"/>
        <v>0</v>
      </c>
      <c r="AG217" s="43" t="s">
        <v>2490</v>
      </c>
      <c r="AH217" s="66">
        <f t="shared" si="36"/>
        <v>1.5782664941785254</v>
      </c>
      <c r="AI217" s="283">
        <f>RTD("money.excel",,$G217,"PredictVolume")</f>
        <v>122</v>
      </c>
      <c r="AJ217" s="391">
        <f>IFERROR(VLOOKUP($G217,基本資料!$A:$M,13,0),"無")</f>
        <v>77.3</v>
      </c>
      <c r="AR217" s="245" t="str">
        <f>INDEX(基本資料!N:N,MATCH($G217,基本資料!A:A,0))</f>
        <v>低</v>
      </c>
    </row>
    <row r="218" spans="1:44">
      <c r="A218" s="343">
        <f>IFERROR(VLOOKUP($G218,基本資料!$A:$J,3,0),"無")</f>
        <v>6.85</v>
      </c>
      <c r="B218" s="79">
        <f>IFERROR(VLOOKUP($G218,基本資料!$A:$J,4,0),"無")</f>
        <v>-160</v>
      </c>
      <c r="C218" s="79">
        <f>IFERROR(VLOOKUP($G218,基本資料!$A:$J,5,0),"無")</f>
        <v>-88</v>
      </c>
      <c r="D218" s="79">
        <f>IFERROR(VLOOKUP($G218,基本資料!$A:$J,6,0),"無")</f>
        <v>26</v>
      </c>
      <c r="E218" s="79">
        <f>IFERROR(VLOOKUP($G218,基本資料!$A:$J,7,0),"無")</f>
        <v>20</v>
      </c>
      <c r="F218" s="6">
        <f>IFERROR(VLOOKUP($G218,基本資料!$A:$J,8,0),"無")</f>
        <v>-30.52</v>
      </c>
      <c r="G218" s="79">
        <v>8222</v>
      </c>
      <c r="H218" s="8" t="s">
        <v>295</v>
      </c>
      <c r="I218" s="22" t="s">
        <v>585</v>
      </c>
      <c r="J218" s="8">
        <f>IFERROR(VLOOKUP($G218,今日總結!$A:$AN,39,0),"")</f>
        <v>0</v>
      </c>
      <c r="K218" s="5">
        <f>IFERROR(VLOOKUP($G218,今日總結!$A:$AN,40,0),"")</f>
        <v>0</v>
      </c>
      <c r="L218" s="156">
        <f>IFERROR(VLOOKUP($G218,今日總結!$A:$AN,37,0),"")</f>
        <v>0</v>
      </c>
      <c r="M218" s="337">
        <f>IFERROR(VLOOKUP($G218,今日總結!$A:$AN,38,0),"")</f>
        <v>0</v>
      </c>
      <c r="N218" s="240">
        <f t="shared" si="42"/>
        <v>0</v>
      </c>
      <c r="O218" s="359">
        <f>IFERROR(VLOOKUP($G218,融外自投!$A:$J,7,0),"無")</f>
        <v>643</v>
      </c>
      <c r="P218" s="79">
        <f>IFERROR(VLOOKUP($G218,融外自投!$A:$J,9,0),"無")</f>
        <v>990</v>
      </c>
      <c r="Q218" s="342">
        <f>IFERROR(VLOOKUP($G218,融外自投!$A:$J,8,0),"無")</f>
        <v>1276</v>
      </c>
      <c r="R218" s="81" t="str">
        <f>IFERROR(VLOOKUP($G218,融外自投!$A:$J,10,0),"無")</f>
        <v>無</v>
      </c>
      <c r="S218" s="324">
        <f>IFERROR(VLOOKUP($G218,'321買'!$A:$E,4,0),"'沒有資料'")</f>
        <v>650</v>
      </c>
      <c r="T218" s="186">
        <f>IFERROR(VLOOKUP($G218,基本資料!$A:$J,9,0),"無")</f>
        <v>0</v>
      </c>
      <c r="U218" s="307">
        <f t="shared" si="32"/>
        <v>0</v>
      </c>
      <c r="V218" s="94">
        <f>IFERROR(VLOOKUP($G218,基本資料!$A:$J,10,0),"無")</f>
        <v>-1.5</v>
      </c>
      <c r="W218" s="36">
        <f>RTD("money.excel",,"8222","Price")</f>
        <v>14.3</v>
      </c>
      <c r="X218" s="66"/>
      <c r="Y218" s="15">
        <f t="shared" si="33"/>
        <v>14.3</v>
      </c>
      <c r="Z218" s="3" t="e">
        <f t="shared" si="34"/>
        <v>#DIV/0!</v>
      </c>
      <c r="AA218" s="340">
        <f>IFERROR(VLOOKUP($G218,基本資料!$A:$M,11,0),"無")</f>
        <v>-16.37</v>
      </c>
      <c r="AB218" s="389">
        <f>IFERROR(VLOOKUP($G218,基本資料!$A:$M,12,0),"無")</f>
        <v>23.68</v>
      </c>
      <c r="AC218" s="22" t="s">
        <v>585</v>
      </c>
      <c r="AF218" s="33">
        <f t="shared" si="35"/>
        <v>0</v>
      </c>
      <c r="AG218" s="43" t="s">
        <v>2750</v>
      </c>
      <c r="AH218" s="66">
        <f t="shared" si="36"/>
        <v>0.22271714922048999</v>
      </c>
      <c r="AI218" s="283">
        <f>RTD("money.excel",,$G218,"PredictVolume")</f>
        <v>40</v>
      </c>
      <c r="AJ218" s="391">
        <f>IFERROR(VLOOKUP($G218,基本資料!$A:$M,13,0),"無")</f>
        <v>179.6</v>
      </c>
      <c r="AR218" s="245" t="str">
        <f>INDEX(基本資料!N:N,MATCH($G218,基本資料!A:A,0))</f>
        <v>低</v>
      </c>
    </row>
    <row r="219" spans="1:44">
      <c r="A219" s="343">
        <f>IFERROR(VLOOKUP($G219,基本資料!$A:$J,3,0),"無")</f>
        <v>9.14</v>
      </c>
      <c r="B219" s="79">
        <f>IFERROR(VLOOKUP($G219,基本資料!$A:$J,4,0),"無")</f>
        <v>164</v>
      </c>
      <c r="C219" s="79">
        <f>IFERROR(VLOOKUP($G219,基本資料!$A:$J,5,0),"無")</f>
        <v>92</v>
      </c>
      <c r="D219" s="79">
        <f>IFERROR(VLOOKUP($G219,基本資料!$A:$J,6,0),"無")</f>
        <v>-22</v>
      </c>
      <c r="E219" s="79">
        <f>IFERROR(VLOOKUP($G219,基本資料!$A:$J,7,0),"無")</f>
        <v>-7</v>
      </c>
      <c r="F219" s="6">
        <f>IFERROR(VLOOKUP($G219,基本資料!$A:$J,8,0),"無")</f>
        <v>11.14</v>
      </c>
      <c r="G219" s="79">
        <v>8255</v>
      </c>
      <c r="H219" s="8" t="s">
        <v>295</v>
      </c>
      <c r="I219" s="16" t="s">
        <v>3596</v>
      </c>
      <c r="J219" s="8" t="str">
        <f>IFERROR(VLOOKUP($G219,今日總結!$A:$AN,39,0),"")</f>
        <v>借</v>
      </c>
      <c r="K219" s="5">
        <f>IFERROR(VLOOKUP($G219,今日總結!$A:$AN,40,0),"")</f>
        <v>0</v>
      </c>
      <c r="L219" s="156">
        <f>IFERROR(VLOOKUP($G219,今日總結!$A:$AN,37,0),"")</f>
        <v>2</v>
      </c>
      <c r="M219" s="337">
        <f>IFERROR(VLOOKUP($G219,今日總結!$A:$AN,38,0),"")</f>
        <v>0</v>
      </c>
      <c r="N219" s="240">
        <f t="shared" si="42"/>
        <v>2</v>
      </c>
      <c r="O219" s="359">
        <f>IFERROR(VLOOKUP($G219,融外自投!$A:$J,7,0),"無")</f>
        <v>366</v>
      </c>
      <c r="P219" s="79">
        <f>IFERROR(VLOOKUP($G219,融外自投!$A:$J,9,0),"無")</f>
        <v>283</v>
      </c>
      <c r="Q219" s="342">
        <f>IFERROR(VLOOKUP($G219,融外自投!$A:$J,8,0),"無")</f>
        <v>570</v>
      </c>
      <c r="R219" s="81">
        <f>IFERROR(VLOOKUP($G219,融外自投!$A:$J,10,0),"無")</f>
        <v>91</v>
      </c>
      <c r="S219" s="324">
        <f>IFERROR(VLOOKUP($G219,'321買'!$A:$E,4,0),"'沒有資料'")</f>
        <v>32</v>
      </c>
      <c r="T219" s="186">
        <f>IFERROR(VLOOKUP($G219,基本資料!$A:$J,9,0),"無")</f>
        <v>4</v>
      </c>
      <c r="U219" s="307">
        <f t="shared" si="32"/>
        <v>2.5000000000000001E-2</v>
      </c>
      <c r="V219" s="94">
        <f>IFERROR(VLOOKUP($G219,基本資料!$A:$J,10,0),"無")</f>
        <v>5.25</v>
      </c>
      <c r="W219" s="36">
        <f>RTD("money.excel",,"8255","Price")</f>
        <v>160</v>
      </c>
      <c r="X219" s="66"/>
      <c r="Y219" s="15">
        <f t="shared" si="33"/>
        <v>160</v>
      </c>
      <c r="Z219" s="3" t="e">
        <f t="shared" si="34"/>
        <v>#DIV/0!</v>
      </c>
      <c r="AA219" s="340">
        <f>IFERROR(VLOOKUP($G219,基本資料!$A:$M,11,0),"無")</f>
        <v>-46.13</v>
      </c>
      <c r="AB219" s="389">
        <f>IFERROR(VLOOKUP($G219,基本資料!$A:$M,12,0),"無")</f>
        <v>13.3</v>
      </c>
      <c r="AC219" s="16" t="s">
        <v>3596</v>
      </c>
      <c r="AF219" s="33">
        <f t="shared" si="35"/>
        <v>0</v>
      </c>
      <c r="AG219" s="117" t="s">
        <v>2340</v>
      </c>
      <c r="AH219" s="66">
        <f t="shared" si="36"/>
        <v>0.73044042852505142</v>
      </c>
      <c r="AI219" s="283">
        <f>RTD("money.excel",,$G219,"PredictVolume")</f>
        <v>1350</v>
      </c>
      <c r="AJ219" s="391">
        <f>IFERROR(VLOOKUP($G219,基本資料!$A:$M,13,0),"無")</f>
        <v>1848.2</v>
      </c>
      <c r="AR219" s="245" t="str">
        <f>INDEX(基本資料!N:N,MATCH($G219,基本資料!A:A,0))</f>
        <v>低</v>
      </c>
    </row>
    <row r="220" spans="1:44">
      <c r="A220" s="343">
        <f>IFERROR(VLOOKUP($G220,基本資料!$A:$J,3,0),"無")</f>
        <v>11.22</v>
      </c>
      <c r="B220" s="79">
        <f>IFERROR(VLOOKUP($G220,基本資料!$A:$J,4,0),"無")</f>
        <v>69</v>
      </c>
      <c r="C220" s="79">
        <f>IFERROR(VLOOKUP($G220,基本資料!$A:$J,5,0),"無")</f>
        <v>51</v>
      </c>
      <c r="D220" s="79">
        <f>IFERROR(VLOOKUP($G220,基本資料!$A:$J,6,0),"無")</f>
        <v>-9</v>
      </c>
      <c r="E220" s="79">
        <f>IFERROR(VLOOKUP($G220,基本資料!$A:$J,7,0),"無")</f>
        <v>15</v>
      </c>
      <c r="F220" s="6">
        <f>IFERROR(VLOOKUP($G220,基本資料!$A:$J,8,0),"無")</f>
        <v>5.34</v>
      </c>
      <c r="G220" s="79">
        <v>8374</v>
      </c>
      <c r="H220" s="8" t="s">
        <v>295</v>
      </c>
      <c r="I220" s="22" t="s">
        <v>586</v>
      </c>
      <c r="J220" s="8">
        <f>IFERROR(VLOOKUP($G220,今日總結!$A:$AN,39,0),"")</f>
        <v>0</v>
      </c>
      <c r="K220" s="5">
        <f>IFERROR(VLOOKUP($G220,今日總結!$A:$AN,40,0),"")</f>
        <v>0</v>
      </c>
      <c r="L220" s="156">
        <f>IFERROR(VLOOKUP($G220,今日總結!$A:$AN,37,0),"")</f>
        <v>0</v>
      </c>
      <c r="M220" s="337">
        <f>IFERROR(VLOOKUP($G220,今日總結!$A:$AN,38,0),"")</f>
        <v>0</v>
      </c>
      <c r="N220" s="240">
        <f t="shared" si="42"/>
        <v>0</v>
      </c>
      <c r="O220" s="359">
        <f>IFERROR(VLOOKUP($G220,融外自投!$A:$J,7,0),"無")</f>
        <v>951</v>
      </c>
      <c r="P220" s="79">
        <f>IFERROR(VLOOKUP($G220,融外自投!$A:$J,9,0),"無")</f>
        <v>869</v>
      </c>
      <c r="Q220" s="342">
        <f>IFERROR(VLOOKUP($G220,融外自投!$A:$J,8,0),"無")</f>
        <v>945</v>
      </c>
      <c r="R220" s="81" t="str">
        <f>IFERROR(VLOOKUP($G220,融外自投!$A:$J,10,0),"無")</f>
        <v>無</v>
      </c>
      <c r="S220" s="324">
        <f>IFERROR(VLOOKUP($G220,'321買'!$A:$E,4,0),"'沒有資料'")</f>
        <v>1002</v>
      </c>
      <c r="T220" s="186">
        <f>IFERROR(VLOOKUP($G220,基本資料!$A:$J,9,0),"無")</f>
        <v>0.9</v>
      </c>
      <c r="U220" s="307">
        <f t="shared" si="32"/>
        <v>3.125E-2</v>
      </c>
      <c r="V220" s="94">
        <f>IFERROR(VLOOKUP($G220,基本資料!$A:$J,10,0),"無")</f>
        <v>1.32</v>
      </c>
      <c r="W220" s="36">
        <f>RTD("money.excel",,"8374","Price")</f>
        <v>28.8</v>
      </c>
      <c r="X220" s="66"/>
      <c r="Y220" s="15">
        <f t="shared" si="33"/>
        <v>28.8</v>
      </c>
      <c r="Z220" s="3" t="e">
        <f t="shared" si="34"/>
        <v>#DIV/0!</v>
      </c>
      <c r="AA220" s="340">
        <f>IFERROR(VLOOKUP($G220,基本資料!$A:$M,11,0),"無")</f>
        <v>-32.71</v>
      </c>
      <c r="AB220" s="389">
        <f>IFERROR(VLOOKUP($G220,基本資料!$A:$M,12,0),"無")</f>
        <v>20.34</v>
      </c>
      <c r="AC220" s="22" t="s">
        <v>586</v>
      </c>
      <c r="AF220" s="33">
        <f t="shared" si="35"/>
        <v>0</v>
      </c>
      <c r="AG220" s="43" t="s">
        <v>2751</v>
      </c>
      <c r="AH220" s="66">
        <f t="shared" si="36"/>
        <v>0.71563088512241058</v>
      </c>
      <c r="AI220" s="283">
        <f>RTD("money.excel",,$G220,"PredictVolume")</f>
        <v>19</v>
      </c>
      <c r="AJ220" s="391">
        <f>IFERROR(VLOOKUP($G220,基本資料!$A:$M,13,0),"無")</f>
        <v>26.55</v>
      </c>
      <c r="AR220" s="245" t="str">
        <f>INDEX(基本資料!N:N,MATCH($G220,基本資料!A:A,0))</f>
        <v>低</v>
      </c>
    </row>
    <row r="221" spans="1:44">
      <c r="A221" s="343">
        <f>IFERROR(VLOOKUP($G221,基本資料!$A:$J,3,0),"無")</f>
        <v>8.93</v>
      </c>
      <c r="B221" s="79">
        <f>IFERROR(VLOOKUP($G221,基本資料!$A:$J,4,0),"無")</f>
        <v>32</v>
      </c>
      <c r="C221" s="79">
        <f>IFERROR(VLOOKUP($G221,基本資料!$A:$J,5,0),"無")</f>
        <v>35</v>
      </c>
      <c r="D221" s="79">
        <f>IFERROR(VLOOKUP($G221,基本資料!$A:$J,6,0),"無")</f>
        <v>-17</v>
      </c>
      <c r="E221" s="79">
        <f>IFERROR(VLOOKUP($G221,基本資料!$A:$J,7,0),"無")</f>
        <v>-8</v>
      </c>
      <c r="F221" s="6">
        <f>IFERROR(VLOOKUP($G221,基本資料!$A:$J,8,0),"無")</f>
        <v>10.32</v>
      </c>
      <c r="G221" s="79">
        <v>8996</v>
      </c>
      <c r="H221" s="8" t="s">
        <v>295</v>
      </c>
      <c r="I221" s="22" t="s">
        <v>587</v>
      </c>
      <c r="J221" s="8">
        <f>IFERROR(VLOOKUP($G221,今日總結!$A:$AN,39,0),"")</f>
        <v>0</v>
      </c>
      <c r="K221" s="5">
        <f>IFERROR(VLOOKUP($G221,今日總結!$A:$AN,40,0),"")</f>
        <v>0</v>
      </c>
      <c r="L221" s="156">
        <f>IFERROR(VLOOKUP($G221,今日總結!$A:$AN,37,0),"")</f>
        <v>0</v>
      </c>
      <c r="M221" s="337">
        <f>IFERROR(VLOOKUP($G221,今日總結!$A:$AN,38,0),"")</f>
        <v>0</v>
      </c>
      <c r="N221" s="240">
        <f t="shared" si="42"/>
        <v>0</v>
      </c>
      <c r="O221" s="359">
        <f>IFERROR(VLOOKUP($G221,融外自投!$A:$J,7,0),"無")</f>
        <v>37</v>
      </c>
      <c r="P221" s="79">
        <f>IFERROR(VLOOKUP($G221,融外自投!$A:$J,9,0),"無")</f>
        <v>596</v>
      </c>
      <c r="Q221" s="342">
        <f>IFERROR(VLOOKUP($G221,融外自投!$A:$J,8,0),"無")</f>
        <v>820</v>
      </c>
      <c r="R221" s="81">
        <f>IFERROR(VLOOKUP($G221,融外自投!$A:$J,10,0),"無")</f>
        <v>218</v>
      </c>
      <c r="S221" s="324">
        <f>IFERROR(VLOOKUP($G221,'321買'!$A:$E,4,0),"'沒有資料'")</f>
        <v>253</v>
      </c>
      <c r="T221" s="186">
        <f>IFERROR(VLOOKUP($G221,基本資料!$A:$J,9,0),"無")</f>
        <v>1.5</v>
      </c>
      <c r="U221" s="307">
        <f t="shared" si="32"/>
        <v>2.9527559055118113E-2</v>
      </c>
      <c r="V221" s="94">
        <f>IFERROR(VLOOKUP($G221,基本資料!$A:$J,10,0),"無")</f>
        <v>1.67</v>
      </c>
      <c r="W221" s="36">
        <f>RTD("money.excel",,"8996","Price")</f>
        <v>50.8</v>
      </c>
      <c r="X221" s="66"/>
      <c r="Y221" s="15">
        <f t="shared" si="33"/>
        <v>50.8</v>
      </c>
      <c r="Z221" s="3" t="e">
        <f t="shared" si="34"/>
        <v>#DIV/0!</v>
      </c>
      <c r="AA221" s="340">
        <f>IFERROR(VLOOKUP($G221,基本資料!$A:$M,11,0),"無")</f>
        <v>-29.83</v>
      </c>
      <c r="AB221" s="389">
        <f>IFERROR(VLOOKUP($G221,基本資料!$A:$M,12,0),"無")</f>
        <v>14.6</v>
      </c>
      <c r="AC221" s="22" t="s">
        <v>587</v>
      </c>
      <c r="AF221" s="33">
        <f t="shared" si="35"/>
        <v>0</v>
      </c>
      <c r="AG221" s="43" t="s">
        <v>3066</v>
      </c>
      <c r="AH221" s="66">
        <f t="shared" si="36"/>
        <v>0.52329384402936252</v>
      </c>
      <c r="AI221" s="283">
        <f>RTD("money.excel",,$G221,"PredictVolume")</f>
        <v>360</v>
      </c>
      <c r="AJ221" s="391">
        <f>IFERROR(VLOOKUP($G221,基本資料!$A:$M,13,0),"無")</f>
        <v>687.95</v>
      </c>
      <c r="AR221" s="245" t="str">
        <f>INDEX(基本資料!N:N,MATCH($G221,基本資料!A:A,0))</f>
        <v>低</v>
      </c>
    </row>
    <row r="222" spans="1:44">
      <c r="A222" s="343">
        <f>IFERROR(VLOOKUP($G222,基本資料!$A:$J,3,0),"無")</f>
        <v>7.49</v>
      </c>
      <c r="B222" s="79">
        <f>IFERROR(VLOOKUP($G222,基本資料!$A:$J,4,0),"無")</f>
        <v>-20</v>
      </c>
      <c r="C222" s="79">
        <f>IFERROR(VLOOKUP($G222,基本資料!$A:$J,5,0),"無")</f>
        <v>-6</v>
      </c>
      <c r="D222" s="79">
        <f>IFERROR(VLOOKUP($G222,基本資料!$A:$J,6,0),"無")</f>
        <v>-19</v>
      </c>
      <c r="E222" s="79">
        <f>IFERROR(VLOOKUP($G222,基本資料!$A:$J,7,0),"無")</f>
        <v>-29</v>
      </c>
      <c r="F222" s="6">
        <f>IFERROR(VLOOKUP($G222,基本資料!$A:$J,8,0),"無")</f>
        <v>10.63</v>
      </c>
      <c r="G222" s="79">
        <v>9951</v>
      </c>
      <c r="H222" s="8" t="s">
        <v>295</v>
      </c>
      <c r="I222" s="16" t="s">
        <v>224</v>
      </c>
      <c r="J222" s="8">
        <f>IFERROR(VLOOKUP($G222,今日總結!$A:$AN,39,0),"")</f>
        <v>0</v>
      </c>
      <c r="K222" s="5" t="str">
        <f>IFERROR(VLOOKUP($G222,今日總結!$A:$AN,40,0),"")</f>
        <v>融</v>
      </c>
      <c r="L222" s="156">
        <f>IFERROR(VLOOKUP($G222,今日總結!$A:$AN,37,0),"")</f>
        <v>0</v>
      </c>
      <c r="M222" s="337">
        <f>IFERROR(VLOOKUP($G222,今日總結!$A:$AN,38,0),"")</f>
        <v>1</v>
      </c>
      <c r="N222" s="240">
        <f t="shared" si="42"/>
        <v>-1</v>
      </c>
      <c r="O222" s="359">
        <f>IFERROR(VLOOKUP($G222,融外自投!$A:$J,7,0),"無")</f>
        <v>831</v>
      </c>
      <c r="P222" s="79">
        <f>IFERROR(VLOOKUP($G222,融外自投!$A:$J,9,0),"無")</f>
        <v>577</v>
      </c>
      <c r="Q222" s="342">
        <f>IFERROR(VLOOKUP($G222,融外自投!$A:$J,8,0),"無")</f>
        <v>563</v>
      </c>
      <c r="R222" s="81" t="str">
        <f>IFERROR(VLOOKUP($G222,融外自投!$A:$J,10,0),"無")</f>
        <v>無</v>
      </c>
      <c r="S222" s="324">
        <f>IFERROR(VLOOKUP($G222,'321買'!$A:$E,4,0),"'沒有資料'")</f>
        <v>891</v>
      </c>
      <c r="T222" s="186">
        <f>IFERROR(VLOOKUP($G222,基本資料!$A:$J,9,0),"無")</f>
        <v>3.3</v>
      </c>
      <c r="U222" s="307">
        <f t="shared" si="32"/>
        <v>4.954954954954955E-2</v>
      </c>
      <c r="V222" s="94">
        <f>IFERROR(VLOOKUP($G222,基本資料!$A:$J,10,0),"無")</f>
        <v>5.33</v>
      </c>
      <c r="W222" s="36">
        <f>RTD("money.excel",,"9951","Price")</f>
        <v>66.599999999999994</v>
      </c>
      <c r="X222" s="66"/>
      <c r="Y222" s="15">
        <f t="shared" si="33"/>
        <v>66.599999999999994</v>
      </c>
      <c r="Z222" s="3" t="e">
        <f t="shared" si="34"/>
        <v>#DIV/0!</v>
      </c>
      <c r="AA222" s="340">
        <f>IFERROR(VLOOKUP($G222,基本資料!$A:$M,11,0),"無")</f>
        <v>-35.340000000000003</v>
      </c>
      <c r="AB222" s="389">
        <f>IFERROR(VLOOKUP($G222,基本資料!$A:$M,12,0),"無")</f>
        <v>9.2799999999999994</v>
      </c>
      <c r="AC222" s="16" t="s">
        <v>224</v>
      </c>
      <c r="AF222" s="33">
        <f t="shared" si="35"/>
        <v>0</v>
      </c>
      <c r="AG222" s="117" t="s">
        <v>2542</v>
      </c>
      <c r="AH222" s="66">
        <f t="shared" si="36"/>
        <v>2.2034918723660448</v>
      </c>
      <c r="AI222" s="283">
        <f>RTD("money.excel",,$G222,"PredictVolume")</f>
        <v>183</v>
      </c>
      <c r="AJ222" s="391">
        <f>IFERROR(VLOOKUP($G222,基本資料!$A:$M,13,0),"無")</f>
        <v>83.05</v>
      </c>
      <c r="AR222" s="245" t="str">
        <f>INDEX(基本資料!N:N,MATCH($G222,基本資料!A:A,0))</f>
        <v>低</v>
      </c>
    </row>
    <row r="223" spans="1:44">
      <c r="A223" s="142"/>
      <c r="B223" s="80"/>
      <c r="C223" s="80"/>
      <c r="D223" s="80"/>
      <c r="E223" s="79"/>
      <c r="F223" s="6"/>
      <c r="G223" s="79"/>
      <c r="H223" s="8"/>
      <c r="I223" s="16"/>
      <c r="L223" s="2"/>
      <c r="O223" s="359"/>
      <c r="P223" s="47"/>
      <c r="Q223" s="342"/>
      <c r="R223" s="26"/>
      <c r="T223" s="66"/>
      <c r="V223" s="94"/>
      <c r="W223" s="36"/>
      <c r="X223" s="66"/>
      <c r="Y223" s="15"/>
      <c r="Z223" s="3"/>
      <c r="AC223" s="16"/>
      <c r="AF223" s="33"/>
      <c r="AG223" s="117"/>
      <c r="AH223" s="66" t="e">
        <f t="shared" si="36"/>
        <v>#DIV/0!</v>
      </c>
      <c r="AI223" s="283"/>
    </row>
    <row r="224" spans="1:44">
      <c r="A224" s="127" t="s">
        <v>1672</v>
      </c>
      <c r="B224" s="90" t="s">
        <v>1571</v>
      </c>
      <c r="C224" s="90" t="s">
        <v>1572</v>
      </c>
      <c r="D224" s="90" t="s">
        <v>1573</v>
      </c>
      <c r="E224" s="90" t="s">
        <v>1574</v>
      </c>
      <c r="F224" s="8" t="s">
        <v>1059</v>
      </c>
      <c r="G224" s="27" t="s">
        <v>941</v>
      </c>
      <c r="H224" s="55" t="s">
        <v>320</v>
      </c>
      <c r="I224" s="50" t="s">
        <v>3495</v>
      </c>
      <c r="J224" s="8" t="s">
        <v>6211</v>
      </c>
      <c r="K224" s="5" t="s">
        <v>6212</v>
      </c>
      <c r="L224" s="334" t="s">
        <v>6197</v>
      </c>
      <c r="M224" s="335" t="s">
        <v>6198</v>
      </c>
      <c r="N224" s="336" t="s">
        <v>6199</v>
      </c>
      <c r="O224" s="89" t="s">
        <v>6275</v>
      </c>
      <c r="P224" s="292" t="s">
        <v>6274</v>
      </c>
      <c r="Q224" s="350" t="s">
        <v>6273</v>
      </c>
      <c r="R224" s="26" t="s">
        <v>6276</v>
      </c>
      <c r="S224" s="318" t="s">
        <v>4715</v>
      </c>
      <c r="T224" s="10" t="s">
        <v>66</v>
      </c>
      <c r="U224" s="305" t="s">
        <v>4728</v>
      </c>
      <c r="V224" s="68" t="s">
        <v>3272</v>
      </c>
      <c r="W224" s="28" t="s">
        <v>2</v>
      </c>
      <c r="X224" s="17" t="s">
        <v>1398</v>
      </c>
      <c r="Y224" s="14" t="s">
        <v>5</v>
      </c>
      <c r="Z224" s="21" t="s">
        <v>3</v>
      </c>
      <c r="AA224" s="96" t="s">
        <v>6166</v>
      </c>
      <c r="AB224" s="378" t="s">
        <v>6404</v>
      </c>
      <c r="AC224" s="50" t="s">
        <v>3495</v>
      </c>
      <c r="AD224" s="71" t="s">
        <v>1399</v>
      </c>
      <c r="AE224" s="72" t="s">
        <v>1156</v>
      </c>
      <c r="AF224" s="32" t="s">
        <v>1157</v>
      </c>
      <c r="AG224" s="25" t="s">
        <v>6200</v>
      </c>
      <c r="AH224" s="8" t="s">
        <v>6696</v>
      </c>
      <c r="AI224" s="50" t="s">
        <v>3360</v>
      </c>
      <c r="AJ224" s="22" t="s">
        <v>6695</v>
      </c>
    </row>
    <row r="225" spans="1:44">
      <c r="A225" s="343">
        <f>IFERROR(VLOOKUP($G225,基本資料!$A:$J,3,0),"無")</f>
        <v>19.16</v>
      </c>
      <c r="B225" s="79">
        <f>IFERROR(VLOOKUP($G225,基本資料!$A:$J,4,0),"無")</f>
        <v>-13</v>
      </c>
      <c r="C225" s="79">
        <f>IFERROR(VLOOKUP($G225,基本資料!$A:$J,5,0),"無")</f>
        <v>91</v>
      </c>
      <c r="D225" s="79">
        <f>IFERROR(VLOOKUP($G225,基本資料!$A:$J,6,0),"無")</f>
        <v>-15</v>
      </c>
      <c r="E225" s="79">
        <f>IFERROR(VLOOKUP($G225,基本資料!$A:$J,7,0),"無")</f>
        <v>80</v>
      </c>
      <c r="F225" s="6">
        <f>IFERROR(VLOOKUP($G225,基本資料!$A:$J,8,0),"無")</f>
        <v>10.72</v>
      </c>
      <c r="G225" s="79">
        <v>1603</v>
      </c>
      <c r="H225" s="8" t="s">
        <v>3495</v>
      </c>
      <c r="I225" s="22" t="s">
        <v>944</v>
      </c>
      <c r="J225" s="8">
        <f>IFERROR(VLOOKUP($G225,今日總結!$A:$AN,39,0),"")</f>
        <v>0</v>
      </c>
      <c r="K225" s="5">
        <f>IFERROR(VLOOKUP($G225,今日總結!$A:$AN,40,0),"")</f>
        <v>0</v>
      </c>
      <c r="L225" s="156">
        <f>IFERROR(VLOOKUP($G225,今日總結!$A:$AN,37,0),"")</f>
        <v>0</v>
      </c>
      <c r="M225" s="337">
        <f>IFERROR(VLOOKUP($G225,今日總結!$A:$AN,38,0),"")</f>
        <v>0</v>
      </c>
      <c r="N225" s="240">
        <f t="shared" ref="N225:N238" si="43">IFERROR(L225-M225,"")</f>
        <v>0</v>
      </c>
      <c r="O225" s="359">
        <f>IFERROR(VLOOKUP($G225,融外自投!$A:$J,7,0),"無")</f>
        <v>841</v>
      </c>
      <c r="P225" s="79">
        <f>IFERROR(VLOOKUP($G225,融外自投!$A:$J,9,0),"無")</f>
        <v>671</v>
      </c>
      <c r="Q225" s="342">
        <f>IFERROR(VLOOKUP($G225,融外自投!$A:$J,8,0),"無")</f>
        <v>1092</v>
      </c>
      <c r="R225" s="81" t="str">
        <f>IFERROR(VLOOKUP($G225,融外自投!$A:$J,10,0),"無")</f>
        <v>無</v>
      </c>
      <c r="S225" s="324">
        <f>IFERROR(VLOOKUP($G225,'321買'!$A:$E,4,0),"'沒有資料'")</f>
        <v>891</v>
      </c>
      <c r="T225" s="186">
        <f>IFERROR(VLOOKUP($G225,基本資料!$A:$J,9,0),"無")</f>
        <v>0.5</v>
      </c>
      <c r="U225" s="307">
        <f t="shared" ref="U225:U241" si="44">$T225/$W225</f>
        <v>1.6722408026755852E-2</v>
      </c>
      <c r="V225" s="94">
        <f>IFERROR(VLOOKUP($G225,基本資料!$A:$J,10,0),"無")</f>
        <v>1.78</v>
      </c>
      <c r="W225" s="36">
        <f>RTD("money.excel",,"1603","Price")</f>
        <v>29.9</v>
      </c>
      <c r="X225" s="66"/>
      <c r="Y225" s="15">
        <f t="shared" ref="Y225:Y241" si="45">W225-X225</f>
        <v>29.9</v>
      </c>
      <c r="Z225" s="3" t="e">
        <f t="shared" ref="Z225:Z241" si="46">Y225/X225</f>
        <v>#DIV/0!</v>
      </c>
      <c r="AA225" s="340">
        <f>IFERROR(VLOOKUP($G225,基本資料!$A:$M,11,0),"無")</f>
        <v>-14.08</v>
      </c>
      <c r="AB225" s="389">
        <f>IFERROR(VLOOKUP($G225,基本資料!$A:$M,12,0),"無")</f>
        <v>44.72</v>
      </c>
      <c r="AC225" s="22" t="s">
        <v>944</v>
      </c>
      <c r="AF225" s="33">
        <f t="shared" ref="AF225:AF241" si="47">AE225-AD225</f>
        <v>0</v>
      </c>
      <c r="AG225" s="43" t="s">
        <v>2795</v>
      </c>
      <c r="AH225" s="66">
        <f t="shared" si="36"/>
        <v>0.77064220183486243</v>
      </c>
      <c r="AI225" s="283">
        <f>RTD("money.excel",,$G225,"PredictVolume")</f>
        <v>1092</v>
      </c>
      <c r="AJ225" s="391">
        <f>IFERROR(VLOOKUP($G225,基本資料!$A:$M,13,0),"無")</f>
        <v>1417</v>
      </c>
      <c r="AR225" s="245" t="str">
        <f>INDEX(基本資料!N:N,MATCH($G225,基本資料!A:A,0))</f>
        <v>中</v>
      </c>
    </row>
    <row r="226" spans="1:44">
      <c r="A226" s="343">
        <f>IFERROR(VLOOKUP($G226,基本資料!$A:$J,3,0),"無")</f>
        <v>38.72</v>
      </c>
      <c r="B226" s="79">
        <f>IFERROR(VLOOKUP($G226,基本資料!$A:$J,4,0),"無")</f>
        <v>-5</v>
      </c>
      <c r="C226" s="79">
        <f>IFERROR(VLOOKUP($G226,基本資料!$A:$J,5,0),"無")</f>
        <v>12</v>
      </c>
      <c r="D226" s="79">
        <f>IFERROR(VLOOKUP($G226,基本資料!$A:$J,6,0),"無")</f>
        <v>3</v>
      </c>
      <c r="E226" s="79">
        <f>IFERROR(VLOOKUP($G226,基本資料!$A:$J,7,0),"無")</f>
        <v>13</v>
      </c>
      <c r="F226" s="6">
        <f>IFERROR(VLOOKUP($G226,基本資料!$A:$J,8,0),"無")</f>
        <v>6.68</v>
      </c>
      <c r="G226" s="79">
        <v>1604</v>
      </c>
      <c r="H226" s="8" t="s">
        <v>3495</v>
      </c>
      <c r="I226" s="22" t="s">
        <v>945</v>
      </c>
      <c r="J226" s="8">
        <f>IFERROR(VLOOKUP($G226,今日總結!$A:$AN,39,0),"")</f>
        <v>0</v>
      </c>
      <c r="K226" s="5" t="str">
        <f>IFERROR(VLOOKUP($G226,今日總結!$A:$AN,40,0),"")</f>
        <v>主</v>
      </c>
      <c r="L226" s="156">
        <f>IFERROR(VLOOKUP($G226,今日總結!$A:$AN,37,0),"")</f>
        <v>0</v>
      </c>
      <c r="M226" s="337">
        <f>IFERROR(VLOOKUP($G226,今日總結!$A:$AN,38,0),"")</f>
        <v>6</v>
      </c>
      <c r="N226" s="240">
        <f t="shared" si="43"/>
        <v>-6</v>
      </c>
      <c r="O226" s="359">
        <f>IFERROR(VLOOKUP($G226,融外自投!$A:$J,7,0),"無")</f>
        <v>1281</v>
      </c>
      <c r="P226" s="79">
        <f>IFERROR(VLOOKUP($G226,融外自投!$A:$J,9,0),"無")</f>
        <v>414</v>
      </c>
      <c r="Q226" s="342">
        <f>IFERROR(VLOOKUP($G226,融外自投!$A:$J,8,0),"無")</f>
        <v>478</v>
      </c>
      <c r="R226" s="81">
        <f>IFERROR(VLOOKUP($G226,融外自投!$A:$J,10,0),"無")</f>
        <v>358</v>
      </c>
      <c r="S226" s="324">
        <f>IFERROR(VLOOKUP($G226,'321買'!$A:$E,4,0),"'沒有資料'")</f>
        <v>650</v>
      </c>
      <c r="T226" s="186">
        <f>IFERROR(VLOOKUP($G226,基本資料!$A:$J,9,0),"無")</f>
        <v>2.7</v>
      </c>
      <c r="U226" s="307">
        <f t="shared" si="44"/>
        <v>9.0604026845637592E-2</v>
      </c>
      <c r="V226" s="94">
        <f>IFERROR(VLOOKUP($G226,基本資料!$A:$J,10,0),"無")</f>
        <v>4.5199999999999996</v>
      </c>
      <c r="W226" s="36">
        <f>RTD("money.excel",,"1604","Price")</f>
        <v>29.8</v>
      </c>
      <c r="X226" s="66"/>
      <c r="Y226" s="15">
        <f t="shared" si="45"/>
        <v>29.8</v>
      </c>
      <c r="Z226" s="3" t="e">
        <f t="shared" si="46"/>
        <v>#DIV/0!</v>
      </c>
      <c r="AA226" s="340">
        <f>IFERROR(VLOOKUP($G226,基本資料!$A:$M,11,0),"無")</f>
        <v>-9.15</v>
      </c>
      <c r="AB226" s="389">
        <f>IFERROR(VLOOKUP($G226,基本資料!$A:$M,12,0),"無")</f>
        <v>26.61</v>
      </c>
      <c r="AC226" s="22" t="s">
        <v>945</v>
      </c>
      <c r="AF226" s="33">
        <f t="shared" si="47"/>
        <v>0</v>
      </c>
      <c r="AG226" s="43" t="s">
        <v>2796</v>
      </c>
      <c r="AH226" s="66">
        <f t="shared" si="36"/>
        <v>0.50629290617848965</v>
      </c>
      <c r="AI226" s="283">
        <f>RTD("money.excel",,$G226,"PredictVolume")</f>
        <v>177</v>
      </c>
      <c r="AJ226" s="391">
        <f>IFERROR(VLOOKUP($G226,基本資料!$A:$M,13,0),"無")</f>
        <v>349.6</v>
      </c>
      <c r="AR226" s="245" t="str">
        <f>INDEX(基本資料!N:N,MATCH($G226,基本資料!A:A,0))</f>
        <v>中</v>
      </c>
    </row>
    <row r="227" spans="1:44">
      <c r="A227" s="343">
        <f>IFERROR(VLOOKUP($G227,基本資料!$A:$J,3,0),"無")</f>
        <v>343</v>
      </c>
      <c r="B227" s="79">
        <f>IFERROR(VLOOKUP($G227,基本資料!$A:$J,4,0),"無")</f>
        <v>117</v>
      </c>
      <c r="C227" s="79">
        <f>IFERROR(VLOOKUP($G227,基本資料!$A:$J,5,0),"無")</f>
        <v>80</v>
      </c>
      <c r="D227" s="79">
        <f>IFERROR(VLOOKUP($G227,基本資料!$A:$J,6,0),"無")</f>
        <v>7</v>
      </c>
      <c r="E227" s="79">
        <f>IFERROR(VLOOKUP($G227,基本資料!$A:$J,7,0),"無")</f>
        <v>40</v>
      </c>
      <c r="F227" s="6">
        <f>IFERROR(VLOOKUP($G227,基本資料!$A:$J,8,0),"無")</f>
        <v>8.52</v>
      </c>
      <c r="G227" s="79">
        <v>1605</v>
      </c>
      <c r="H227" s="192" t="s">
        <v>3495</v>
      </c>
      <c r="I227" s="22" t="s">
        <v>3597</v>
      </c>
      <c r="J227" s="8">
        <f>IFERROR(VLOOKUP($G227,今日總結!$A:$AN,39,0),"")</f>
        <v>0</v>
      </c>
      <c r="K227" s="5">
        <f>IFERROR(VLOOKUP($G227,今日總結!$A:$AN,40,0),"")</f>
        <v>6</v>
      </c>
      <c r="L227" s="156">
        <f>IFERROR(VLOOKUP($G227,今日總結!$A:$AN,37,0),"")</f>
        <v>0</v>
      </c>
      <c r="M227" s="337">
        <f>IFERROR(VLOOKUP($G227,今日總結!$A:$AN,38,0),"")</f>
        <v>1</v>
      </c>
      <c r="N227" s="240">
        <f t="shared" si="43"/>
        <v>-1</v>
      </c>
      <c r="O227" s="359">
        <f>IFERROR(VLOOKUP($G227,融外自投!$A:$J,7,0),"無")</f>
        <v>763</v>
      </c>
      <c r="P227" s="79">
        <f>IFERROR(VLOOKUP($G227,融外自投!$A:$J,9,0),"無")</f>
        <v>42</v>
      </c>
      <c r="Q227" s="342">
        <f>IFERROR(VLOOKUP($G227,融外自投!$A:$J,8,0),"無")</f>
        <v>220</v>
      </c>
      <c r="R227" s="81">
        <f>IFERROR(VLOOKUP($G227,融外自投!$A:$J,10,0),"無")</f>
        <v>174</v>
      </c>
      <c r="S227" s="324">
        <f>IFERROR(VLOOKUP($G227,'321買'!$A:$E,4,0),"'沒有資料'")</f>
        <v>202</v>
      </c>
      <c r="T227" s="186">
        <f>IFERROR(VLOOKUP($G227,基本資料!$A:$J,9,0),"無")</f>
        <v>1.6</v>
      </c>
      <c r="U227" s="307">
        <f t="shared" si="44"/>
        <v>4.1720990873533245E-2</v>
      </c>
      <c r="V227" s="94">
        <f>IFERROR(VLOOKUP($G227,基本資料!$A:$J,10,0),"無")</f>
        <v>4.2699999999999996</v>
      </c>
      <c r="W227" s="36">
        <f>RTD("money.excel",,"1605","Price")</f>
        <v>38.35</v>
      </c>
      <c r="X227" s="66"/>
      <c r="Y227" s="15">
        <f t="shared" si="45"/>
        <v>38.35</v>
      </c>
      <c r="Z227" s="3" t="e">
        <f t="shared" si="46"/>
        <v>#DIV/0!</v>
      </c>
      <c r="AA227" s="340">
        <f>IFERROR(VLOOKUP($G227,基本資料!$A:$M,11,0),"無")</f>
        <v>-20.350000000000001</v>
      </c>
      <c r="AB227" s="389">
        <f>IFERROR(VLOOKUP($G227,基本資料!$A:$M,12,0),"無")</f>
        <v>60.99</v>
      </c>
      <c r="AC227" s="22" t="s">
        <v>3597</v>
      </c>
      <c r="AF227" s="33">
        <f t="shared" si="47"/>
        <v>0</v>
      </c>
      <c r="AG227" s="117" t="s">
        <v>2284</v>
      </c>
      <c r="AH227" s="66">
        <f t="shared" si="36"/>
        <v>0.6668538216388078</v>
      </c>
      <c r="AI227" s="283">
        <f>RTD("money.excel",,$G227,"PredictVolume")</f>
        <v>106537</v>
      </c>
      <c r="AJ227" s="391">
        <f>IFERROR(VLOOKUP($G227,基本資料!$A:$M,13,0),"無")</f>
        <v>159760.65</v>
      </c>
      <c r="AR227" s="245" t="str">
        <f>INDEX(基本資料!N:N,MATCH($G227,基本資料!A:A,0))</f>
        <v>中</v>
      </c>
    </row>
    <row r="228" spans="1:44">
      <c r="A228" s="343">
        <f>IFERROR(VLOOKUP($G228,基本資料!$A:$J,3,0),"無")</f>
        <v>63.27</v>
      </c>
      <c r="B228" s="79">
        <f>IFERROR(VLOOKUP($G228,基本資料!$A:$J,4,0),"無")</f>
        <v>344</v>
      </c>
      <c r="C228" s="79">
        <f>IFERROR(VLOOKUP($G228,基本資料!$A:$J,5,0),"無")</f>
        <v>356</v>
      </c>
      <c r="D228" s="79">
        <f>IFERROR(VLOOKUP($G228,基本資料!$A:$J,6,0),"無")</f>
        <v>-18</v>
      </c>
      <c r="E228" s="79">
        <f>IFERROR(VLOOKUP($G228,基本資料!$A:$J,7,0),"無")</f>
        <v>5</v>
      </c>
      <c r="F228" s="6">
        <f>IFERROR(VLOOKUP($G228,基本資料!$A:$J,8,0),"無")</f>
        <v>7.49</v>
      </c>
      <c r="G228" s="79">
        <v>1608</v>
      </c>
      <c r="H228" s="8" t="s">
        <v>3495</v>
      </c>
      <c r="I228" s="22" t="s">
        <v>946</v>
      </c>
      <c r="J228" s="8">
        <f>IFERROR(VLOOKUP($G228,今日總結!$A:$AN,39,0),"")</f>
        <v>0</v>
      </c>
      <c r="K228" s="5" t="str">
        <f>IFERROR(VLOOKUP($G228,今日總結!$A:$AN,40,0),"")</f>
        <v>融</v>
      </c>
      <c r="L228" s="156">
        <f>IFERROR(VLOOKUP($G228,今日總結!$A:$AN,37,0),"")</f>
        <v>0</v>
      </c>
      <c r="M228" s="337">
        <f>IFERROR(VLOOKUP($G228,今日總結!$A:$AN,38,0),"")</f>
        <v>4</v>
      </c>
      <c r="N228" s="240">
        <f t="shared" si="43"/>
        <v>-4</v>
      </c>
      <c r="O228" s="359">
        <f>IFERROR(VLOOKUP($G228,融外自投!$A:$J,7,0),"無")</f>
        <v>802</v>
      </c>
      <c r="P228" s="79">
        <f>IFERROR(VLOOKUP($G228,融外自投!$A:$J,9,0),"無")</f>
        <v>1051</v>
      </c>
      <c r="Q228" s="342">
        <f>IFERROR(VLOOKUP($G228,融外自投!$A:$J,8,0),"無")</f>
        <v>1160</v>
      </c>
      <c r="R228" s="81" t="str">
        <f>IFERROR(VLOOKUP($G228,融外自投!$A:$J,10,0),"無")</f>
        <v>無</v>
      </c>
      <c r="S228" s="324">
        <f>IFERROR(VLOOKUP($G228,'321買'!$A:$E,4,0),"'沒有資料'")</f>
        <v>801</v>
      </c>
      <c r="T228" s="186">
        <f>IFERROR(VLOOKUP($G228,基本資料!$A:$J,9,0),"無")</f>
        <v>1.5</v>
      </c>
      <c r="U228" s="307">
        <f t="shared" si="44"/>
        <v>8.4033613445378144E-2</v>
      </c>
      <c r="V228" s="94">
        <f>IFERROR(VLOOKUP($G228,基本資料!$A:$J,10,0),"無")</f>
        <v>3.27</v>
      </c>
      <c r="W228" s="36">
        <f>RTD("money.excel",,"1608","Price")</f>
        <v>17.850000000000001</v>
      </c>
      <c r="X228" s="66"/>
      <c r="Y228" s="15">
        <f t="shared" si="45"/>
        <v>17.850000000000001</v>
      </c>
      <c r="Z228" s="3" t="e">
        <f t="shared" si="46"/>
        <v>#DIV/0!</v>
      </c>
      <c r="AA228" s="340">
        <f>IFERROR(VLOOKUP($G228,基本資料!$A:$M,11,0),"無")</f>
        <v>-47.19</v>
      </c>
      <c r="AB228" s="389">
        <f>IFERROR(VLOOKUP($G228,基本資料!$A:$M,12,0),"無")</f>
        <v>23.48</v>
      </c>
      <c r="AC228" s="22" t="s">
        <v>946</v>
      </c>
      <c r="AF228" s="33">
        <f t="shared" si="47"/>
        <v>0</v>
      </c>
      <c r="AG228" s="43" t="s">
        <v>2797</v>
      </c>
      <c r="AH228" s="66">
        <f t="shared" si="36"/>
        <v>0.38341421227117667</v>
      </c>
      <c r="AI228" s="283">
        <f>RTD("money.excel",,$G228,"PredictVolume")</f>
        <v>1197</v>
      </c>
      <c r="AJ228" s="391">
        <f>IFERROR(VLOOKUP($G228,基本資料!$A:$M,13,0),"無")</f>
        <v>3121.95</v>
      </c>
      <c r="AR228" s="245" t="str">
        <f>INDEX(基本資料!N:N,MATCH($G228,基本資料!A:A,0))</f>
        <v>低</v>
      </c>
    </row>
    <row r="229" spans="1:44">
      <c r="A229" s="343">
        <f>IFERROR(VLOOKUP($G229,基本資料!$A:$J,3,0),"無")</f>
        <v>64.58</v>
      </c>
      <c r="B229" s="79">
        <f>IFERROR(VLOOKUP($G229,基本資料!$A:$J,4,0),"無")</f>
        <v>60</v>
      </c>
      <c r="C229" s="79">
        <f>IFERROR(VLOOKUP($G229,基本資料!$A:$J,5,0),"無")</f>
        <v>251</v>
      </c>
      <c r="D229" s="79">
        <f>IFERROR(VLOOKUP($G229,基本資料!$A:$J,6,0),"無")</f>
        <v>-9</v>
      </c>
      <c r="E229" s="79">
        <f>IFERROR(VLOOKUP($G229,基本資料!$A:$J,7,0),"無")</f>
        <v>14</v>
      </c>
      <c r="F229" s="6">
        <f>IFERROR(VLOOKUP($G229,基本資料!$A:$J,8,0),"無")</f>
        <v>5.49</v>
      </c>
      <c r="G229" s="79">
        <v>1609</v>
      </c>
      <c r="H229" s="8" t="s">
        <v>3495</v>
      </c>
      <c r="I229" s="22" t="s">
        <v>947</v>
      </c>
      <c r="J229" s="8">
        <f>IFERROR(VLOOKUP($G229,今日總結!$A:$AN,39,0),"")</f>
        <v>0</v>
      </c>
      <c r="K229" s="5" t="str">
        <f>IFERROR(VLOOKUP($G229,今日總結!$A:$AN,40,0),"")</f>
        <v>融</v>
      </c>
      <c r="L229" s="156">
        <f>IFERROR(VLOOKUP($G229,今日總結!$A:$AN,37,0),"")</f>
        <v>0</v>
      </c>
      <c r="M229" s="337">
        <f>IFERROR(VLOOKUP($G229,今日總結!$A:$AN,38,0),"")</f>
        <v>1</v>
      </c>
      <c r="N229" s="240">
        <f t="shared" si="43"/>
        <v>-1</v>
      </c>
      <c r="O229" s="359">
        <f>IFERROR(VLOOKUP($G229,融外自投!$A:$J,7,0),"無")</f>
        <v>362</v>
      </c>
      <c r="P229" s="79">
        <f>IFERROR(VLOOKUP($G229,融外自投!$A:$J,9,0),"無")</f>
        <v>790</v>
      </c>
      <c r="Q229" s="342">
        <f>IFERROR(VLOOKUP($G229,融外自投!$A:$J,8,0),"無")</f>
        <v>546</v>
      </c>
      <c r="R229" s="81">
        <f>IFERROR(VLOOKUP($G229,融外自投!$A:$J,10,0),"無")</f>
        <v>358</v>
      </c>
      <c r="S229" s="324">
        <f>IFERROR(VLOOKUP($G229,'321買'!$A:$E,4,0),"'沒有資料'")</f>
        <v>300</v>
      </c>
      <c r="T229" s="186">
        <f>IFERROR(VLOOKUP($G229,基本資料!$A:$J,9,0),"無")</f>
        <v>0.95</v>
      </c>
      <c r="U229" s="307">
        <f t="shared" si="44"/>
        <v>3.8383838383838381E-2</v>
      </c>
      <c r="V229" s="94">
        <f>IFERROR(VLOOKUP($G229,基本資料!$A:$J,10,0),"無")</f>
        <v>2.2999999999999998</v>
      </c>
      <c r="W229" s="36">
        <f>RTD("money.excel",,"1609","Price")</f>
        <v>24.75</v>
      </c>
      <c r="X229" s="66"/>
      <c r="Y229" s="15">
        <f t="shared" si="45"/>
        <v>24.75</v>
      </c>
      <c r="Z229" s="3" t="e">
        <f t="shared" si="46"/>
        <v>#DIV/0!</v>
      </c>
      <c r="AA229" s="340">
        <f>IFERROR(VLOOKUP($G229,基本資料!$A:$M,11,0),"無")</f>
        <v>-22.66</v>
      </c>
      <c r="AB229" s="389">
        <f>IFERROR(VLOOKUP($G229,基本資料!$A:$M,12,0),"無")</f>
        <v>38.31</v>
      </c>
      <c r="AC229" s="22" t="s">
        <v>947</v>
      </c>
      <c r="AF229" s="33">
        <f t="shared" si="47"/>
        <v>0</v>
      </c>
      <c r="AG229" s="43" t="s">
        <v>2798</v>
      </c>
      <c r="AH229" s="66">
        <f t="shared" si="36"/>
        <v>0.28977391123150653</v>
      </c>
      <c r="AI229" s="283">
        <f>RTD("money.excel",,$G229,"PredictVolume")</f>
        <v>6675</v>
      </c>
      <c r="AJ229" s="391">
        <f>IFERROR(VLOOKUP($G229,基本資料!$A:$M,13,0),"無")</f>
        <v>23035.200000000001</v>
      </c>
      <c r="AR229" s="245" t="str">
        <f>INDEX(基本資料!N:N,MATCH($G229,基本資料!A:A,0))</f>
        <v>低</v>
      </c>
    </row>
    <row r="230" spans="1:44">
      <c r="A230" s="343">
        <f>IFERROR(VLOOKUP($G230,基本資料!$A:$J,3,0),"無")</f>
        <v>32.270000000000003</v>
      </c>
      <c r="B230" s="79">
        <f>IFERROR(VLOOKUP($G230,基本資料!$A:$J,4,0),"無")</f>
        <v>254</v>
      </c>
      <c r="C230" s="79">
        <f>IFERROR(VLOOKUP($G230,基本資料!$A:$J,5,0),"無")</f>
        <v>-93</v>
      </c>
      <c r="D230" s="79">
        <f>IFERROR(VLOOKUP($G230,基本資料!$A:$J,6,0),"無")</f>
        <v>-7</v>
      </c>
      <c r="E230" s="79">
        <f>IFERROR(VLOOKUP($G230,基本資料!$A:$J,7,0),"無")</f>
        <v>-7</v>
      </c>
      <c r="F230" s="6">
        <f>IFERROR(VLOOKUP($G230,基本資料!$A:$J,8,0),"無")</f>
        <v>0.34</v>
      </c>
      <c r="G230" s="79">
        <v>1611</v>
      </c>
      <c r="H230" s="8" t="s">
        <v>3495</v>
      </c>
      <c r="I230" s="22" t="s">
        <v>106</v>
      </c>
      <c r="J230" s="8">
        <f>IFERROR(VLOOKUP($G230,今日總結!$A:$AN,39,0),"")</f>
        <v>0</v>
      </c>
      <c r="K230" s="5" t="str">
        <f>IFERROR(VLOOKUP($G230,今日總結!$A:$AN,40,0),"")</f>
        <v>融借</v>
      </c>
      <c r="L230" s="156">
        <f>IFERROR(VLOOKUP($G230,今日總結!$A:$AN,37,0),"")</f>
        <v>0</v>
      </c>
      <c r="M230" s="337">
        <f>IFERROR(VLOOKUP($G230,今日總結!$A:$AN,38,0),"")</f>
        <v>15</v>
      </c>
      <c r="N230" s="240">
        <f t="shared" si="43"/>
        <v>-15</v>
      </c>
      <c r="O230" s="359">
        <f>IFERROR(VLOOKUP($G230,融外自投!$A:$J,7,0),"無")</f>
        <v>434</v>
      </c>
      <c r="P230" s="79">
        <f>IFERROR(VLOOKUP($G230,融外自投!$A:$J,9,0),"無")</f>
        <v>550</v>
      </c>
      <c r="Q230" s="342">
        <f>IFERROR(VLOOKUP($G230,融外自投!$A:$J,8,0),"無")</f>
        <v>479</v>
      </c>
      <c r="R230" s="81" t="str">
        <f>IFERROR(VLOOKUP($G230,融外自投!$A:$J,10,0),"無")</f>
        <v>無</v>
      </c>
      <c r="S230" s="324">
        <f>IFERROR(VLOOKUP($G230,'321買'!$A:$E,4,0),"'沒有資料'")</f>
        <v>300</v>
      </c>
      <c r="T230" s="186">
        <f>IFERROR(VLOOKUP($G230,基本資料!$A:$J,9,0),"無")</f>
        <v>0.8</v>
      </c>
      <c r="U230" s="307">
        <f t="shared" si="44"/>
        <v>4.49438202247191E-2</v>
      </c>
      <c r="V230" s="94">
        <f>IFERROR(VLOOKUP($G230,基本資料!$A:$J,10,0),"無")</f>
        <v>0.86</v>
      </c>
      <c r="W230" s="36">
        <f>RTD("money.excel",,"1611","Price")</f>
        <v>17.8</v>
      </c>
      <c r="X230" s="66"/>
      <c r="Y230" s="15">
        <f t="shared" si="45"/>
        <v>17.8</v>
      </c>
      <c r="Z230" s="3" t="e">
        <f t="shared" si="46"/>
        <v>#DIV/0!</v>
      </c>
      <c r="AA230" s="340">
        <f>IFERROR(VLOOKUP($G230,基本資料!$A:$M,11,0),"無")</f>
        <v>-21.59</v>
      </c>
      <c r="AB230" s="389">
        <f>IFERROR(VLOOKUP($G230,基本資料!$A:$M,12,0),"無")</f>
        <v>28.18</v>
      </c>
      <c r="AC230" s="22" t="s">
        <v>106</v>
      </c>
      <c r="AF230" s="33">
        <f t="shared" si="47"/>
        <v>0</v>
      </c>
      <c r="AG230" s="43" t="s">
        <v>2799</v>
      </c>
      <c r="AH230" s="66">
        <f t="shared" si="36"/>
        <v>0.29221866734427521</v>
      </c>
      <c r="AI230" s="283">
        <f>RTD("money.excel",,$G230,"PredictVolume")</f>
        <v>2530</v>
      </c>
      <c r="AJ230" s="391">
        <f>IFERROR(VLOOKUP($G230,基本資料!$A:$M,13,0),"無")</f>
        <v>8657.9</v>
      </c>
      <c r="AR230" s="245" t="str">
        <f>INDEX(基本資料!N:N,MATCH($G230,基本資料!A:A,0))</f>
        <v>中</v>
      </c>
    </row>
    <row r="231" spans="1:44">
      <c r="A231" s="343">
        <f>IFERROR(VLOOKUP($G231,基本資料!$A:$J,3,0),"無")</f>
        <v>31.6</v>
      </c>
      <c r="B231" s="79">
        <f>IFERROR(VLOOKUP($G231,基本資料!$A:$J,4,0),"無")</f>
        <v>421</v>
      </c>
      <c r="C231" s="79">
        <f>IFERROR(VLOOKUP($G231,基本資料!$A:$J,5,0),"無")</f>
        <v>25</v>
      </c>
      <c r="D231" s="79">
        <f>IFERROR(VLOOKUP($G231,基本資料!$A:$J,6,0),"無")</f>
        <v>-17</v>
      </c>
      <c r="E231" s="79">
        <f>IFERROR(VLOOKUP($G231,基本資料!$A:$J,7,0),"無")</f>
        <v>-3</v>
      </c>
      <c r="F231" s="6">
        <f>IFERROR(VLOOKUP($G231,基本資料!$A:$J,8,0),"無")</f>
        <v>6.14</v>
      </c>
      <c r="G231" s="79">
        <v>1612</v>
      </c>
      <c r="H231" s="8" t="s">
        <v>3495</v>
      </c>
      <c r="I231" s="22" t="s">
        <v>948</v>
      </c>
      <c r="J231" s="8">
        <f>IFERROR(VLOOKUP($G231,今日總結!$A:$AN,39,0),"")</f>
        <v>0</v>
      </c>
      <c r="K231" s="5" t="str">
        <f>IFERROR(VLOOKUP($G231,今日總結!$A:$AN,40,0),"")</f>
        <v>外借</v>
      </c>
      <c r="L231" s="156">
        <f>IFERROR(VLOOKUP($G231,今日總結!$A:$AN,37,0),"")</f>
        <v>0</v>
      </c>
      <c r="M231" s="337">
        <f>IFERROR(VLOOKUP($G231,今日總結!$A:$AN,38,0),"")</f>
        <v>4</v>
      </c>
      <c r="N231" s="240">
        <f t="shared" ref="N231:N237" si="48">IFERROR(L231-M231,"")</f>
        <v>-4</v>
      </c>
      <c r="O231" s="359">
        <f>IFERROR(VLOOKUP($G231,融外自投!$A:$J,7,0),"無")</f>
        <v>402</v>
      </c>
      <c r="P231" s="79">
        <f>IFERROR(VLOOKUP($G231,融外自投!$A:$J,9,0),"無")</f>
        <v>310</v>
      </c>
      <c r="Q231" s="342">
        <f>IFERROR(VLOOKUP($G231,融外自投!$A:$J,8,0),"無")</f>
        <v>380</v>
      </c>
      <c r="R231" s="81">
        <f>IFERROR(VLOOKUP($G231,融外自投!$A:$J,10,0),"無")</f>
        <v>395</v>
      </c>
      <c r="S231" s="324">
        <f>IFERROR(VLOOKUP($G231,'321買'!$A:$E,4,0),"'沒有資料'")</f>
        <v>394</v>
      </c>
      <c r="T231" s="186">
        <f>IFERROR(VLOOKUP($G231,基本資料!$A:$J,9,0),"無")</f>
        <v>2.8</v>
      </c>
      <c r="U231" s="307">
        <f t="shared" si="44"/>
        <v>0.12068965517241378</v>
      </c>
      <c r="V231" s="94">
        <f>IFERROR(VLOOKUP($G231,基本資料!$A:$J,10,0),"無")</f>
        <v>8.5399999999999991</v>
      </c>
      <c r="W231" s="36">
        <f>RTD("money.excel",,"1612","Price")</f>
        <v>23.2</v>
      </c>
      <c r="X231" s="66"/>
      <c r="Y231" s="15">
        <f t="shared" si="45"/>
        <v>23.2</v>
      </c>
      <c r="Z231" s="3" t="e">
        <f t="shared" si="46"/>
        <v>#DIV/0!</v>
      </c>
      <c r="AA231" s="340">
        <f>IFERROR(VLOOKUP($G231,基本資料!$A:$M,11,0),"無")</f>
        <v>-30.02</v>
      </c>
      <c r="AB231" s="389">
        <f>IFERROR(VLOOKUP($G231,基本資料!$A:$M,12,0),"無")</f>
        <v>29.89</v>
      </c>
      <c r="AC231" s="22" t="s">
        <v>948</v>
      </c>
      <c r="AF231" s="33">
        <f t="shared" si="47"/>
        <v>0</v>
      </c>
      <c r="AG231" s="43" t="s">
        <v>1044</v>
      </c>
      <c r="AH231" s="66">
        <f t="shared" si="36"/>
        <v>0.45579017040219066</v>
      </c>
      <c r="AI231" s="283">
        <f>RTD("money.excel",,$G231,"PredictVolume")</f>
        <v>1756</v>
      </c>
      <c r="AJ231" s="391">
        <f>IFERROR(VLOOKUP($G231,基本資料!$A:$M,13,0),"無")</f>
        <v>3852.65</v>
      </c>
      <c r="AR231" s="245" t="str">
        <f>INDEX(基本資料!N:N,MATCH($G231,基本資料!A:A,0))</f>
        <v>低</v>
      </c>
    </row>
    <row r="232" spans="1:44">
      <c r="A232" s="343">
        <f>IFERROR(VLOOKUP($G232,基本資料!$A:$J,3,0),"無")</f>
        <v>26.91</v>
      </c>
      <c r="B232" s="79">
        <f>IFERROR(VLOOKUP($G232,基本資料!$A:$J,4,0),"無")</f>
        <v>4</v>
      </c>
      <c r="C232" s="79">
        <f>IFERROR(VLOOKUP($G232,基本資料!$A:$J,5,0),"無")</f>
        <v>8</v>
      </c>
      <c r="D232" s="79">
        <f>IFERROR(VLOOKUP($G232,基本資料!$A:$J,6,0),"無")</f>
        <v>16</v>
      </c>
      <c r="E232" s="79">
        <f>IFERROR(VLOOKUP($G232,基本資料!$A:$J,7,0),"無")</f>
        <v>18</v>
      </c>
      <c r="F232" s="6">
        <f>IFERROR(VLOOKUP($G232,基本資料!$A:$J,8,0),"無")</f>
        <v>7.69</v>
      </c>
      <c r="G232" s="79">
        <v>1614</v>
      </c>
      <c r="H232" s="8" t="s">
        <v>3495</v>
      </c>
      <c r="I232" s="22" t="s">
        <v>949</v>
      </c>
      <c r="J232" s="8">
        <f>IFERROR(VLOOKUP($G232,今日總結!$A:$AN,39,0),"")</f>
        <v>0</v>
      </c>
      <c r="K232" s="5">
        <f>IFERROR(VLOOKUP($G232,今日總結!$A:$AN,40,0),"")</f>
        <v>0</v>
      </c>
      <c r="L232" s="156">
        <f>IFERROR(VLOOKUP($G232,今日總結!$A:$AN,37,0),"")</f>
        <v>0</v>
      </c>
      <c r="M232" s="337">
        <f>IFERROR(VLOOKUP($G232,今日總結!$A:$AN,38,0),"")</f>
        <v>0</v>
      </c>
      <c r="N232" s="240">
        <f t="shared" si="48"/>
        <v>0</v>
      </c>
      <c r="O232" s="359">
        <f>IFERROR(VLOOKUP($G232,融外自投!$A:$J,7,0),"無")</f>
        <v>1327</v>
      </c>
      <c r="P232" s="79">
        <f>IFERROR(VLOOKUP($G232,融外自投!$A:$J,9,0),"無")</f>
        <v>1123</v>
      </c>
      <c r="Q232" s="342">
        <f>IFERROR(VLOOKUP($G232,融外自投!$A:$J,8,0),"無")</f>
        <v>1036</v>
      </c>
      <c r="R232" s="81" t="str">
        <f>IFERROR(VLOOKUP($G232,融外自投!$A:$J,10,0),"無")</f>
        <v>無</v>
      </c>
      <c r="S232" s="324">
        <f>IFERROR(VLOOKUP($G232,'321買'!$A:$E,4,0),"'沒有資料'")</f>
        <v>1002</v>
      </c>
      <c r="T232" s="186">
        <f>IFERROR(VLOOKUP($G232,基本資料!$A:$J,9,0),"無")</f>
        <v>1.23</v>
      </c>
      <c r="U232" s="307">
        <f t="shared" si="44"/>
        <v>3.346938775510204E-2</v>
      </c>
      <c r="V232" s="94">
        <f>IFERROR(VLOOKUP($G232,基本資料!$A:$J,10,0),"無")</f>
        <v>1.42</v>
      </c>
      <c r="W232" s="36">
        <f>RTD("money.excel",,"1614","Price")</f>
        <v>36.75</v>
      </c>
      <c r="X232" s="66"/>
      <c r="Y232" s="15">
        <f t="shared" si="45"/>
        <v>36.75</v>
      </c>
      <c r="Z232" s="3" t="e">
        <f t="shared" si="46"/>
        <v>#DIV/0!</v>
      </c>
      <c r="AA232" s="340">
        <f>IFERROR(VLOOKUP($G232,基本資料!$A:$M,11,0),"無")</f>
        <v>-6.73</v>
      </c>
      <c r="AB232" s="389">
        <f>IFERROR(VLOOKUP($G232,基本資料!$A:$M,12,0),"無")</f>
        <v>43.01</v>
      </c>
      <c r="AC232" s="22" t="s">
        <v>949</v>
      </c>
      <c r="AF232" s="33">
        <f t="shared" si="47"/>
        <v>0</v>
      </c>
      <c r="AG232" s="43" t="s">
        <v>2796</v>
      </c>
      <c r="AH232" s="66">
        <f t="shared" si="36"/>
        <v>0.28254288597376387</v>
      </c>
      <c r="AI232" s="283">
        <f>RTD("money.excel",,$G232,"PredictVolume")</f>
        <v>14</v>
      </c>
      <c r="AJ232" s="391">
        <f>IFERROR(VLOOKUP($G232,基本資料!$A:$M,13,0),"無")</f>
        <v>49.55</v>
      </c>
      <c r="AR232" s="245" t="str">
        <f>INDEX(基本資料!N:N,MATCH($G232,基本資料!A:A,0))</f>
        <v>中</v>
      </c>
    </row>
    <row r="233" spans="1:44">
      <c r="A233" s="343">
        <f>IFERROR(VLOOKUP($G233,基本資料!$A:$J,3,0),"無")</f>
        <v>13.78</v>
      </c>
      <c r="B233" s="79">
        <f>IFERROR(VLOOKUP($G233,基本資料!$A:$J,4,0),"無")</f>
        <v>37</v>
      </c>
      <c r="C233" s="79">
        <f>IFERROR(VLOOKUP($G233,基本資料!$A:$J,5,0),"無")</f>
        <v>23</v>
      </c>
      <c r="D233" s="79">
        <f>IFERROR(VLOOKUP($G233,基本資料!$A:$J,6,0),"無")</f>
        <v>-23</v>
      </c>
      <c r="E233" s="79">
        <f>IFERROR(VLOOKUP($G233,基本資料!$A:$J,7,0),"無")</f>
        <v>-58</v>
      </c>
      <c r="F233" s="6">
        <f>IFERROR(VLOOKUP($G233,基本資料!$A:$J,8,0),"無")</f>
        <v>11.02</v>
      </c>
      <c r="G233" s="79">
        <v>1615</v>
      </c>
      <c r="H233" s="8" t="s">
        <v>3495</v>
      </c>
      <c r="I233" s="22" t="s">
        <v>950</v>
      </c>
      <c r="J233" s="8">
        <f>IFERROR(VLOOKUP($G233,今日總結!$A:$AN,39,0),"")</f>
        <v>0</v>
      </c>
      <c r="K233" s="5">
        <f>IFERROR(VLOOKUP($G233,今日總結!$A:$AN,40,0),"")</f>
        <v>0</v>
      </c>
      <c r="L233" s="156">
        <f>IFERROR(VLOOKUP($G233,今日總結!$A:$AN,37,0),"")</f>
        <v>0</v>
      </c>
      <c r="M233" s="337">
        <f>IFERROR(VLOOKUP($G233,今日總結!$A:$AN,38,0),"")</f>
        <v>0</v>
      </c>
      <c r="N233" s="240">
        <f t="shared" si="48"/>
        <v>0</v>
      </c>
      <c r="O233" s="359">
        <f>IFERROR(VLOOKUP($G233,融外自投!$A:$J,7,0),"無")</f>
        <v>1101</v>
      </c>
      <c r="P233" s="79">
        <f>IFERROR(VLOOKUP($G233,融外自投!$A:$J,9,0),"無")</f>
        <v>1123</v>
      </c>
      <c r="Q233" s="342">
        <f>IFERROR(VLOOKUP($G233,融外自投!$A:$J,8,0),"無")</f>
        <v>1404</v>
      </c>
      <c r="R233" s="81" t="str">
        <f>IFERROR(VLOOKUP($G233,融外自投!$A:$J,10,0),"無")</f>
        <v>無</v>
      </c>
      <c r="S233" s="324">
        <f>IFERROR(VLOOKUP($G233,'321買'!$A:$E,4,0),"'沒有資料'")</f>
        <v>1002</v>
      </c>
      <c r="T233" s="186">
        <f>IFERROR(VLOOKUP($G233,基本資料!$A:$J,9,0),"無")</f>
        <v>2.8</v>
      </c>
      <c r="U233" s="307">
        <f t="shared" si="44"/>
        <v>8.484848484848484E-2</v>
      </c>
      <c r="V233" s="94">
        <f>IFERROR(VLOOKUP($G233,基本資料!$A:$J,10,0),"無")</f>
        <v>3.27</v>
      </c>
      <c r="W233" s="36">
        <f>RTD("money.excel",,"1615","Price")</f>
        <v>33</v>
      </c>
      <c r="X233" s="66"/>
      <c r="Y233" s="15">
        <f t="shared" si="45"/>
        <v>33</v>
      </c>
      <c r="Z233" s="3" t="e">
        <f t="shared" si="46"/>
        <v>#DIV/0!</v>
      </c>
      <c r="AA233" s="340">
        <f>IFERROR(VLOOKUP($G233,基本資料!$A:$M,11,0),"無")</f>
        <v>-23.26</v>
      </c>
      <c r="AB233" s="389">
        <f>IFERROR(VLOOKUP($G233,基本資料!$A:$M,12,0),"無")</f>
        <v>32.49</v>
      </c>
      <c r="AC233" s="22" t="s">
        <v>950</v>
      </c>
      <c r="AF233" s="33">
        <f t="shared" si="47"/>
        <v>0</v>
      </c>
      <c r="AG233" s="43" t="s">
        <v>2798</v>
      </c>
      <c r="AH233" s="66">
        <f t="shared" si="36"/>
        <v>0.67291781577495857</v>
      </c>
      <c r="AI233" s="283">
        <f>RTD("money.excel",,$G233,"PredictVolume")</f>
        <v>61</v>
      </c>
      <c r="AJ233" s="391">
        <f>IFERROR(VLOOKUP($G233,基本資料!$A:$M,13,0),"無")</f>
        <v>90.65</v>
      </c>
      <c r="AR233" s="245" t="str">
        <f>INDEX(基本資料!N:N,MATCH($G233,基本資料!A:A,0))</f>
        <v>低</v>
      </c>
    </row>
    <row r="234" spans="1:44">
      <c r="A234" s="343">
        <f>IFERROR(VLOOKUP($G234,基本資料!$A:$J,3,0),"無")</f>
        <v>19.41</v>
      </c>
      <c r="B234" s="79">
        <f>IFERROR(VLOOKUP($G234,基本資料!$A:$J,4,0),"無")</f>
        <v>5452</v>
      </c>
      <c r="C234" s="79">
        <f>IFERROR(VLOOKUP($G234,基本資料!$A:$J,5,0),"無")</f>
        <v>502</v>
      </c>
      <c r="D234" s="79">
        <f>IFERROR(VLOOKUP($G234,基本資料!$A:$J,6,0),"無")</f>
        <v>-10</v>
      </c>
      <c r="E234" s="79">
        <f>IFERROR(VLOOKUP($G234,基本資料!$A:$J,7,0),"無")</f>
        <v>61</v>
      </c>
      <c r="F234" s="6">
        <f>IFERROR(VLOOKUP($G234,基本資料!$A:$J,8,0),"無")</f>
        <v>3.79</v>
      </c>
      <c r="G234" s="79">
        <v>1616</v>
      </c>
      <c r="H234" s="8" t="s">
        <v>3495</v>
      </c>
      <c r="I234" s="22" t="s">
        <v>951</v>
      </c>
      <c r="J234" s="8" t="str">
        <f>IFERROR(VLOOKUP($G234,今日總結!$A:$AN,39,0),"")</f>
        <v/>
      </c>
      <c r="K234" s="5" t="str">
        <f>IFERROR(VLOOKUP($G234,今日總結!$A:$AN,40,0),"")</f>
        <v/>
      </c>
      <c r="L234" s="156" t="str">
        <f>IFERROR(VLOOKUP($G234,今日總結!$A:$AN,37,0),"")</f>
        <v/>
      </c>
      <c r="M234" s="337" t="str">
        <f>IFERROR(VLOOKUP($G234,今日總結!$A:$AN,38,0),"")</f>
        <v/>
      </c>
      <c r="N234" s="240" t="str">
        <f t="shared" si="48"/>
        <v/>
      </c>
      <c r="O234" s="359" t="str">
        <f>IFERROR(VLOOKUP($G234,融外自投!$A:$J,7,0),"無")</f>
        <v>無</v>
      </c>
      <c r="P234" s="79" t="str">
        <f>IFERROR(VLOOKUP($G234,融外自投!$A:$J,9,0),"無")</f>
        <v>無</v>
      </c>
      <c r="Q234" s="342" t="str">
        <f>IFERROR(VLOOKUP($G234,融外自投!$A:$J,8,0),"無")</f>
        <v>無</v>
      </c>
      <c r="R234" s="81" t="str">
        <f>IFERROR(VLOOKUP($G234,融外自投!$A:$J,10,0),"無")</f>
        <v>無</v>
      </c>
      <c r="S234" s="324" t="str">
        <f>IFERROR(VLOOKUP($G234,'321買'!$A:$E,4,0),"'沒有資料'")</f>
        <v>'沒有資料'</v>
      </c>
      <c r="T234" s="186">
        <f>IFERROR(VLOOKUP($G234,基本資料!$A:$J,9,0),"無")</f>
        <v>0</v>
      </c>
      <c r="U234" s="307">
        <f t="shared" si="44"/>
        <v>0</v>
      </c>
      <c r="V234" s="94">
        <f>IFERROR(VLOOKUP($G234,基本資料!$A:$J,10,0),"無")</f>
        <v>0.5</v>
      </c>
      <c r="W234" s="36">
        <f>RTD("money.excel",,"1616","Price")</f>
        <v>9.01</v>
      </c>
      <c r="X234" s="66"/>
      <c r="Y234" s="15">
        <f t="shared" si="45"/>
        <v>9.01</v>
      </c>
      <c r="Z234" s="3" t="e">
        <f t="shared" si="46"/>
        <v>#DIV/0!</v>
      </c>
      <c r="AA234" s="340">
        <f>IFERROR(VLOOKUP($G234,基本資料!$A:$M,11,0),"無")</f>
        <v>-32.51</v>
      </c>
      <c r="AB234" s="389">
        <f>IFERROR(VLOOKUP($G234,基本資料!$A:$M,12,0),"無")</f>
        <v>15.59</v>
      </c>
      <c r="AC234" s="22" t="s">
        <v>951</v>
      </c>
      <c r="AF234" s="33">
        <f t="shared" si="47"/>
        <v>0</v>
      </c>
      <c r="AG234" s="43" t="s">
        <v>2798</v>
      </c>
      <c r="AH234" s="66">
        <f t="shared" si="36"/>
        <v>0.16930232558139535</v>
      </c>
      <c r="AI234" s="283">
        <f>RTD("money.excel",,$G234,"PredictVolume")</f>
        <v>273</v>
      </c>
      <c r="AJ234" s="391">
        <f>IFERROR(VLOOKUP($G234,基本資料!$A:$M,13,0),"無")</f>
        <v>1612.5</v>
      </c>
      <c r="AR234" s="245" t="str">
        <f>INDEX(基本資料!N:N,MATCH($G234,基本資料!A:A,0))</f>
        <v>低</v>
      </c>
    </row>
    <row r="235" spans="1:44">
      <c r="A235" s="343">
        <f>IFERROR(VLOOKUP($G235,基本資料!$A:$J,3,0),"無")</f>
        <v>15.77</v>
      </c>
      <c r="B235" s="79">
        <f>IFERROR(VLOOKUP($G235,基本資料!$A:$J,4,0),"無")</f>
        <v>40</v>
      </c>
      <c r="C235" s="79">
        <f>IFERROR(VLOOKUP($G235,基本資料!$A:$J,5,0),"無")</f>
        <v>39</v>
      </c>
      <c r="D235" s="79">
        <f>IFERROR(VLOOKUP($G235,基本資料!$A:$J,6,0),"無")</f>
        <v>-9</v>
      </c>
      <c r="E235" s="79">
        <f>IFERROR(VLOOKUP($G235,基本資料!$A:$J,7,0),"無")</f>
        <v>-19</v>
      </c>
      <c r="F235" s="6">
        <f>IFERROR(VLOOKUP($G235,基本資料!$A:$J,8,0),"無")</f>
        <v>5.83</v>
      </c>
      <c r="G235" s="79">
        <v>1617</v>
      </c>
      <c r="H235" s="8" t="s">
        <v>3495</v>
      </c>
      <c r="I235" s="22" t="s">
        <v>952</v>
      </c>
      <c r="J235" s="8">
        <f>IFERROR(VLOOKUP($G235,今日總結!$A:$AN,39,0),"")</f>
        <v>0</v>
      </c>
      <c r="K235" s="5">
        <f>IFERROR(VLOOKUP($G235,今日總結!$A:$AN,40,0),"")</f>
        <v>0</v>
      </c>
      <c r="L235" s="156">
        <f>IFERROR(VLOOKUP($G235,今日總結!$A:$AN,37,0),"")</f>
        <v>0</v>
      </c>
      <c r="M235" s="337">
        <f>IFERROR(VLOOKUP($G235,今日總結!$A:$AN,38,0),"")</f>
        <v>0</v>
      </c>
      <c r="N235" s="240">
        <f t="shared" si="48"/>
        <v>0</v>
      </c>
      <c r="O235" s="359">
        <f>IFERROR(VLOOKUP($G235,融外自投!$A:$J,7,0),"無")</f>
        <v>1202</v>
      </c>
      <c r="P235" s="79">
        <f>IFERROR(VLOOKUP($G235,融外自投!$A:$J,9,0),"無")</f>
        <v>825</v>
      </c>
      <c r="Q235" s="342">
        <f>IFERROR(VLOOKUP($G235,融外自投!$A:$J,8,0),"無")</f>
        <v>263</v>
      </c>
      <c r="R235" s="81" t="str">
        <f>IFERROR(VLOOKUP($G235,融外自投!$A:$J,10,0),"無")</f>
        <v>無</v>
      </c>
      <c r="S235" s="324">
        <f>IFERROR(VLOOKUP($G235,'321買'!$A:$E,4,0),"'沒有資料'")</f>
        <v>1002</v>
      </c>
      <c r="T235" s="186">
        <f>IFERROR(VLOOKUP($G235,基本資料!$A:$J,9,0),"無")</f>
        <v>0.9</v>
      </c>
      <c r="U235" s="307">
        <f t="shared" si="44"/>
        <v>5.5900621118012417E-2</v>
      </c>
      <c r="V235" s="94">
        <f>IFERROR(VLOOKUP($G235,基本資料!$A:$J,10,0),"無")</f>
        <v>1.45</v>
      </c>
      <c r="W235" s="36">
        <f>RTD("money.excel",,"1617","Price")</f>
        <v>16.100000000000001</v>
      </c>
      <c r="X235" s="66"/>
      <c r="Y235" s="15">
        <f t="shared" si="45"/>
        <v>16.100000000000001</v>
      </c>
      <c r="Z235" s="3" t="e">
        <f t="shared" si="46"/>
        <v>#DIV/0!</v>
      </c>
      <c r="AA235" s="340">
        <f>IFERROR(VLOOKUP($G235,基本資料!$A:$M,11,0),"無")</f>
        <v>-24.77</v>
      </c>
      <c r="AB235" s="389">
        <f>IFERROR(VLOOKUP($G235,基本資料!$A:$M,12,0),"無")</f>
        <v>17.55</v>
      </c>
      <c r="AC235" s="22" t="s">
        <v>952</v>
      </c>
      <c r="AF235" s="33">
        <f t="shared" si="47"/>
        <v>0</v>
      </c>
      <c r="AG235" s="43" t="s">
        <v>2669</v>
      </c>
      <c r="AH235" s="66">
        <f t="shared" si="36"/>
        <v>0.89552238805970141</v>
      </c>
      <c r="AI235" s="283">
        <f>RTD("money.excel",,$G235,"PredictVolume")</f>
        <v>36</v>
      </c>
      <c r="AJ235" s="391">
        <f>IFERROR(VLOOKUP($G235,基本資料!$A:$M,13,0),"無")</f>
        <v>40.200000000000003</v>
      </c>
      <c r="AR235" s="245" t="str">
        <f>INDEX(基本資料!N:N,MATCH($G235,基本資料!A:A,0))</f>
        <v>低</v>
      </c>
    </row>
    <row r="236" spans="1:44">
      <c r="A236" s="343">
        <f>IFERROR(VLOOKUP($G236,基本資料!$A:$J,3,0),"無")</f>
        <v>19.260000000000002</v>
      </c>
      <c r="B236" s="79">
        <f>IFERROR(VLOOKUP($G236,基本資料!$A:$J,4,0),"無")</f>
        <v>-3</v>
      </c>
      <c r="C236" s="79">
        <f>IFERROR(VLOOKUP($G236,基本資料!$A:$J,5,0),"無")</f>
        <v>4</v>
      </c>
      <c r="D236" s="79">
        <f>IFERROR(VLOOKUP($G236,基本資料!$A:$J,6,0),"無")</f>
        <v>-63</v>
      </c>
      <c r="E236" s="79">
        <f>IFERROR(VLOOKUP($G236,基本資料!$A:$J,7,0),"無")</f>
        <v>-30</v>
      </c>
      <c r="F236" s="6">
        <f>IFERROR(VLOOKUP($G236,基本資料!$A:$J,8,0),"無")</f>
        <v>8.9499999999999993</v>
      </c>
      <c r="G236" s="79">
        <v>1618</v>
      </c>
      <c r="H236" s="8" t="s">
        <v>3495</v>
      </c>
      <c r="I236" s="22" t="s">
        <v>953</v>
      </c>
      <c r="J236" s="8">
        <f>IFERROR(VLOOKUP($G236,今日總結!$A:$AN,39,0),"")</f>
        <v>0</v>
      </c>
      <c r="K236" s="5">
        <f>IFERROR(VLOOKUP($G236,今日總結!$A:$AN,40,0),"")</f>
        <v>0</v>
      </c>
      <c r="L236" s="156">
        <f>IFERROR(VLOOKUP($G236,今日總結!$A:$AN,37,0),"")</f>
        <v>0</v>
      </c>
      <c r="M236" s="337">
        <f>IFERROR(VLOOKUP($G236,今日總結!$A:$AN,38,0),"")</f>
        <v>0</v>
      </c>
      <c r="N236" s="240">
        <f t="shared" si="48"/>
        <v>0</v>
      </c>
      <c r="O236" s="359">
        <f>IFERROR(VLOOKUP($G236,融外自投!$A:$J,7,0),"無")</f>
        <v>374</v>
      </c>
      <c r="P236" s="79">
        <f>IFERROR(VLOOKUP($G236,融外自投!$A:$J,9,0),"無")</f>
        <v>671</v>
      </c>
      <c r="Q236" s="342">
        <f>IFERROR(VLOOKUP($G236,融外自投!$A:$J,8,0),"無")</f>
        <v>1259</v>
      </c>
      <c r="R236" s="81" t="str">
        <f>IFERROR(VLOOKUP($G236,融外自投!$A:$J,10,0),"無")</f>
        <v>無</v>
      </c>
      <c r="S236" s="324">
        <f>IFERROR(VLOOKUP($G236,'321買'!$A:$E,4,0),"'沒有資料'")</f>
        <v>1002</v>
      </c>
      <c r="T236" s="186">
        <f>IFERROR(VLOOKUP($G236,基本資料!$A:$J,9,0),"無")</f>
        <v>0.5</v>
      </c>
      <c r="U236" s="307">
        <f t="shared" si="44"/>
        <v>4.065040650406504E-2</v>
      </c>
      <c r="V236" s="94">
        <f>IFERROR(VLOOKUP($G236,基本資料!$A:$J,10,0),"無")</f>
        <v>1.04</v>
      </c>
      <c r="W236" s="36">
        <f>RTD("money.excel",,"1618","Price")</f>
        <v>12.3</v>
      </c>
      <c r="X236" s="66"/>
      <c r="Y236" s="15">
        <f t="shared" si="45"/>
        <v>12.3</v>
      </c>
      <c r="Z236" s="3" t="e">
        <f t="shared" si="46"/>
        <v>#DIV/0!</v>
      </c>
      <c r="AA236" s="340">
        <f>IFERROR(VLOOKUP($G236,基本資料!$A:$M,11,0),"無")</f>
        <v>-35.770000000000003</v>
      </c>
      <c r="AB236" s="389">
        <f>IFERROR(VLOOKUP($G236,基本資料!$A:$M,12,0),"無")</f>
        <v>23.43</v>
      </c>
      <c r="AC236" s="22" t="s">
        <v>953</v>
      </c>
      <c r="AF236" s="33">
        <f t="shared" si="47"/>
        <v>0</v>
      </c>
      <c r="AG236" s="43" t="s">
        <v>2798</v>
      </c>
      <c r="AH236" s="66">
        <f t="shared" si="36"/>
        <v>0.35409981188447492</v>
      </c>
      <c r="AI236" s="283">
        <f>RTD("money.excel",,$G236,"PredictVolume")</f>
        <v>160</v>
      </c>
      <c r="AJ236" s="391">
        <f>IFERROR(VLOOKUP($G236,基本資料!$A:$M,13,0),"無")</f>
        <v>451.85</v>
      </c>
      <c r="AR236" s="245" t="str">
        <f>INDEX(基本資料!N:N,MATCH($G236,基本資料!A:A,0))</f>
        <v>低</v>
      </c>
    </row>
    <row r="237" spans="1:44">
      <c r="A237" s="343">
        <f>IFERROR(VLOOKUP($G237,基本資料!$A:$J,3,0),"無")</f>
        <v>14.55</v>
      </c>
      <c r="B237" s="79">
        <f>IFERROR(VLOOKUP($G237,基本資料!$A:$J,4,0),"無")</f>
        <v>-296</v>
      </c>
      <c r="C237" s="79">
        <f>IFERROR(VLOOKUP($G237,基本資料!$A:$J,5,0),"無")</f>
        <v>-265</v>
      </c>
      <c r="D237" s="79">
        <f>IFERROR(VLOOKUP($G237,基本資料!$A:$J,6,0),"無")</f>
        <v>17</v>
      </c>
      <c r="E237" s="79">
        <f>IFERROR(VLOOKUP($G237,基本資料!$A:$J,7,0),"無")</f>
        <v>3</v>
      </c>
      <c r="F237" s="6">
        <f>IFERROR(VLOOKUP($G237,基本資料!$A:$J,8,0),"無")</f>
        <v>-3.6</v>
      </c>
      <c r="G237" s="79">
        <v>1626</v>
      </c>
      <c r="H237" s="8" t="s">
        <v>3495</v>
      </c>
      <c r="I237" s="22" t="s">
        <v>1117</v>
      </c>
      <c r="J237" s="8">
        <f>IFERROR(VLOOKUP($G237,今日總結!$A:$AN,39,0),"")</f>
        <v>0</v>
      </c>
      <c r="K237" s="5">
        <f>IFERROR(VLOOKUP($G237,今日總結!$A:$AN,40,0),"")</f>
        <v>0</v>
      </c>
      <c r="L237" s="156">
        <f>IFERROR(VLOOKUP($G237,今日總結!$A:$AN,37,0),"")</f>
        <v>0</v>
      </c>
      <c r="M237" s="337">
        <f>IFERROR(VLOOKUP($G237,今日總結!$A:$AN,38,0),"")</f>
        <v>0</v>
      </c>
      <c r="N237" s="240">
        <f t="shared" si="48"/>
        <v>0</v>
      </c>
      <c r="O237" s="359">
        <f>IFERROR(VLOOKUP($G237,融外自投!$A:$J,7,0),"無")</f>
        <v>535</v>
      </c>
      <c r="P237" s="79">
        <f>IFERROR(VLOOKUP($G237,融外自投!$A:$J,9,0),"無")</f>
        <v>825</v>
      </c>
      <c r="Q237" s="342">
        <f>IFERROR(VLOOKUP($G237,融外自投!$A:$J,8,0),"無")</f>
        <v>96</v>
      </c>
      <c r="R237" s="81" t="str">
        <f>IFERROR(VLOOKUP($G237,融外自投!$A:$J,10,0),"無")</f>
        <v>無</v>
      </c>
      <c r="S237" s="324">
        <f>IFERROR(VLOOKUP($G237,'321買'!$A:$E,4,0),"'沒有資料'")</f>
        <v>1002</v>
      </c>
      <c r="T237" s="186">
        <f>IFERROR(VLOOKUP($G237,基本資料!$A:$J,9,0),"無")</f>
        <v>0</v>
      </c>
      <c r="U237" s="307">
        <f t="shared" si="44"/>
        <v>0</v>
      </c>
      <c r="V237" s="94">
        <f>IFERROR(VLOOKUP($G237,基本資料!$A:$J,10,0),"無")</f>
        <v>-2.11</v>
      </c>
      <c r="W237" s="36">
        <f>RTD("money.excel",,"1626","Price")</f>
        <v>18.55</v>
      </c>
      <c r="X237" s="66"/>
      <c r="Y237" s="15">
        <f t="shared" si="45"/>
        <v>18.55</v>
      </c>
      <c r="Z237" s="3" t="e">
        <f t="shared" si="46"/>
        <v>#DIV/0!</v>
      </c>
      <c r="AA237" s="340">
        <f>IFERROR(VLOOKUP($G237,基本資料!$A:$M,11,0),"無")</f>
        <v>-33.75</v>
      </c>
      <c r="AB237" s="389">
        <f>IFERROR(VLOOKUP($G237,基本資料!$A:$M,12,0),"無")</f>
        <v>20.38</v>
      </c>
      <c r="AC237" s="22" t="s">
        <v>1117</v>
      </c>
      <c r="AF237" s="33">
        <f t="shared" si="47"/>
        <v>0</v>
      </c>
      <c r="AG237" s="43" t="s">
        <v>2578</v>
      </c>
      <c r="AH237" s="66">
        <f t="shared" si="36"/>
        <v>0.95938104448742745</v>
      </c>
      <c r="AI237" s="283">
        <f>RTD("money.excel",,$G237,"PredictVolume")</f>
        <v>124</v>
      </c>
      <c r="AJ237" s="391">
        <f>IFERROR(VLOOKUP($G237,基本資料!$A:$M,13,0),"無")</f>
        <v>129.25</v>
      </c>
      <c r="AR237" s="245" t="str">
        <f>INDEX(基本資料!N:N,MATCH($G237,基本資料!A:A,0))</f>
        <v>低</v>
      </c>
    </row>
    <row r="238" spans="1:44">
      <c r="A238" s="343">
        <f>IFERROR(VLOOKUP($G238,基本資料!$A:$J,3,0),"無")</f>
        <v>4.6900000000000004</v>
      </c>
      <c r="B238" s="79">
        <f>IFERROR(VLOOKUP($G238,基本資料!$A:$J,4,0),"無")</f>
        <v>1877</v>
      </c>
      <c r="C238" s="79">
        <f>IFERROR(VLOOKUP($G238,基本資料!$A:$J,5,0),"無")</f>
        <v>325</v>
      </c>
      <c r="D238" s="79">
        <f>IFERROR(VLOOKUP($G238,基本資料!$A:$J,6,0),"無")</f>
        <v>0</v>
      </c>
      <c r="E238" s="79">
        <f>IFERROR(VLOOKUP($G238,基本資料!$A:$J,7,0),"無")</f>
        <v>-10</v>
      </c>
      <c r="F238" s="6">
        <f>IFERROR(VLOOKUP($G238,基本資料!$A:$J,8,0),"無")</f>
        <v>2.59</v>
      </c>
      <c r="G238" s="79">
        <v>2061</v>
      </c>
      <c r="H238" s="8" t="s">
        <v>3495</v>
      </c>
      <c r="I238" s="16" t="s">
        <v>942</v>
      </c>
      <c r="J238" s="8" t="str">
        <f>IFERROR(VLOOKUP($G238,今日總結!$A:$AN,39,0),"")</f>
        <v/>
      </c>
      <c r="K238" s="5" t="str">
        <f>IFERROR(VLOOKUP($G238,今日總結!$A:$AN,40,0),"")</f>
        <v/>
      </c>
      <c r="L238" s="156" t="str">
        <f>IFERROR(VLOOKUP($G238,今日總結!$A:$AN,37,0),"")</f>
        <v/>
      </c>
      <c r="M238" s="337" t="str">
        <f>IFERROR(VLOOKUP($G238,今日總結!$A:$AN,38,0),"")</f>
        <v/>
      </c>
      <c r="N238" s="240" t="str">
        <f t="shared" si="43"/>
        <v/>
      </c>
      <c r="O238" s="359">
        <f>IFERROR(VLOOKUP($G238,融外自投!$A:$J,7,0),"無")</f>
        <v>1293</v>
      </c>
      <c r="P238" s="79" t="str">
        <f>IFERROR(VLOOKUP($G238,融外自投!$A:$J,9,0),"無")</f>
        <v>無</v>
      </c>
      <c r="Q238" s="342">
        <f>IFERROR(VLOOKUP($G238,融外自投!$A:$J,8,0),"無")</f>
        <v>1469</v>
      </c>
      <c r="R238" s="81" t="str">
        <f>IFERROR(VLOOKUP($G238,融外自投!$A:$J,10,0),"無")</f>
        <v>無</v>
      </c>
      <c r="S238" s="324" t="str">
        <f>IFERROR(VLOOKUP($G238,'321買'!$A:$E,4,0),"'沒有資料'")</f>
        <v>'沒有資料'</v>
      </c>
      <c r="T238" s="186">
        <f>IFERROR(VLOOKUP($G238,基本資料!$A:$J,9,0),"無")</f>
        <v>1</v>
      </c>
      <c r="U238" s="307">
        <f t="shared" si="44"/>
        <v>5.3908355795148244E-2</v>
      </c>
      <c r="V238" s="94">
        <f>IFERROR(VLOOKUP($G238,基本資料!$A:$J,10,0),"無")</f>
        <v>2.37</v>
      </c>
      <c r="W238" s="36">
        <f>RTD("money.excel",,"2061","Price")</f>
        <v>18.55</v>
      </c>
      <c r="X238" s="66"/>
      <c r="Y238" s="15">
        <f t="shared" si="45"/>
        <v>18.55</v>
      </c>
      <c r="Z238" s="3" t="e">
        <f t="shared" si="46"/>
        <v>#DIV/0!</v>
      </c>
      <c r="AA238" s="340">
        <f>IFERROR(VLOOKUP($G238,基本資料!$A:$M,11,0),"無")</f>
        <v>-30</v>
      </c>
      <c r="AB238" s="389">
        <f>IFERROR(VLOOKUP($G238,基本資料!$A:$M,12,0),"無")</f>
        <v>29.97</v>
      </c>
      <c r="AC238" s="16" t="s">
        <v>942</v>
      </c>
      <c r="AF238" s="33">
        <f t="shared" si="47"/>
        <v>0</v>
      </c>
      <c r="AG238" s="43" t="s">
        <v>2669</v>
      </c>
      <c r="AH238" s="66">
        <f t="shared" si="36"/>
        <v>0.12578616352201258</v>
      </c>
      <c r="AI238" s="283">
        <f>RTD("money.excel",,$G238,"PredictVolume")</f>
        <v>3</v>
      </c>
      <c r="AJ238" s="391">
        <f>IFERROR(VLOOKUP($G238,基本資料!$A:$M,13,0),"無")</f>
        <v>23.85</v>
      </c>
      <c r="AR238" s="245" t="str">
        <f>INDEX(基本資料!N:N,MATCH($G238,基本資料!A:A,0))</f>
        <v>低</v>
      </c>
    </row>
    <row r="239" spans="1:44">
      <c r="A239" s="343">
        <f>IFERROR(VLOOKUP($G239,基本資料!$A:$J,3,0),"無")</f>
        <v>4.79</v>
      </c>
      <c r="B239" s="79">
        <f>IFERROR(VLOOKUP($G239,基本資料!$A:$J,4,0),"無")</f>
        <v>63</v>
      </c>
      <c r="C239" s="79">
        <f>IFERROR(VLOOKUP($G239,基本資料!$A:$J,5,0),"無")</f>
        <v>15</v>
      </c>
      <c r="D239" s="79">
        <f>IFERROR(VLOOKUP($G239,基本資料!$A:$J,6,0),"無")</f>
        <v>-10</v>
      </c>
      <c r="E239" s="79">
        <f>IFERROR(VLOOKUP($G239,基本資料!$A:$J,7,0),"無")</f>
        <v>-47</v>
      </c>
      <c r="F239" s="6">
        <f>IFERROR(VLOOKUP($G239,基本資料!$A:$J,8,0),"無")</f>
        <v>-13.09</v>
      </c>
      <c r="G239" s="79">
        <v>4609</v>
      </c>
      <c r="H239" s="8" t="s">
        <v>3495</v>
      </c>
      <c r="I239" s="16" t="s">
        <v>943</v>
      </c>
      <c r="J239" s="8" t="str">
        <f>IFERROR(VLOOKUP($G239,今日總結!$A:$AN,39,0),"")</f>
        <v/>
      </c>
      <c r="K239" s="5" t="str">
        <f>IFERROR(VLOOKUP($G239,今日總結!$A:$AN,40,0),"")</f>
        <v/>
      </c>
      <c r="L239" s="156" t="str">
        <f>IFERROR(VLOOKUP($G239,今日總結!$A:$AN,37,0),"")</f>
        <v/>
      </c>
      <c r="M239" s="337" t="str">
        <f>IFERROR(VLOOKUP($G239,今日總結!$A:$AN,38,0),"")</f>
        <v/>
      </c>
      <c r="N239" s="240" t="str">
        <f t="shared" ref="N239:N241" si="49">IFERROR(L239-M239,"")</f>
        <v/>
      </c>
      <c r="O239" s="359" t="str">
        <f>IFERROR(VLOOKUP($G239,融外自投!$A:$J,7,0),"無")</f>
        <v>無</v>
      </c>
      <c r="P239" s="79" t="str">
        <f>IFERROR(VLOOKUP($G239,融外自投!$A:$J,9,0),"無")</f>
        <v>無</v>
      </c>
      <c r="Q239" s="342" t="str">
        <f>IFERROR(VLOOKUP($G239,融外自投!$A:$J,8,0),"無")</f>
        <v>無</v>
      </c>
      <c r="R239" s="81" t="str">
        <f>IFERROR(VLOOKUP($G239,融外自投!$A:$J,10,0),"無")</f>
        <v>無</v>
      </c>
      <c r="S239" s="324" t="str">
        <f>IFERROR(VLOOKUP($G239,'321買'!$A:$E,4,0),"'沒有資料'")</f>
        <v>'沒有資料'</v>
      </c>
      <c r="T239" s="186">
        <f>IFERROR(VLOOKUP($G239,基本資料!$A:$J,9,0),"無")</f>
        <v>0</v>
      </c>
      <c r="U239" s="307">
        <f t="shared" si="44"/>
        <v>0</v>
      </c>
      <c r="V239" s="94">
        <f>IFERROR(VLOOKUP($G239,基本資料!$A:$J,10,0),"無")</f>
        <v>-0.39</v>
      </c>
      <c r="W239" s="36">
        <f>RTD("money.excel",,"4609","Price")</f>
        <v>8.33</v>
      </c>
      <c r="X239" s="66"/>
      <c r="Y239" s="15">
        <f t="shared" si="45"/>
        <v>8.33</v>
      </c>
      <c r="Z239" s="3" t="e">
        <f t="shared" si="46"/>
        <v>#DIV/0!</v>
      </c>
      <c r="AA239" s="340">
        <f>IFERROR(VLOOKUP($G239,基本資料!$A:$M,11,0),"無")</f>
        <v>-18.329999999999998</v>
      </c>
      <c r="AB239" s="389">
        <f>IFERROR(VLOOKUP($G239,基本資料!$A:$M,12,0),"無")</f>
        <v>19.190000000000001</v>
      </c>
      <c r="AC239" s="16" t="s">
        <v>943</v>
      </c>
      <c r="AF239" s="33">
        <f t="shared" si="47"/>
        <v>0</v>
      </c>
      <c r="AG239" s="43" t="s">
        <v>2578</v>
      </c>
      <c r="AH239" s="66">
        <f t="shared" si="36"/>
        <v>0.55865921787709505</v>
      </c>
      <c r="AI239" s="283">
        <f>RTD("money.excel",,$G239,"PredictVolume")</f>
        <v>5</v>
      </c>
      <c r="AJ239" s="391">
        <f>IFERROR(VLOOKUP($G239,基本資料!$A:$M,13,0),"無")</f>
        <v>8.9499999999999993</v>
      </c>
      <c r="AR239" s="245" t="str">
        <f>INDEX(基本資料!N:N,MATCH($G239,基本資料!A:A,0))</f>
        <v>中</v>
      </c>
    </row>
    <row r="240" spans="1:44">
      <c r="A240" s="343">
        <f>IFERROR(VLOOKUP($G240,基本資料!$A:$J,3,0),"無")</f>
        <v>8</v>
      </c>
      <c r="B240" s="79">
        <f>IFERROR(VLOOKUP($G240,基本資料!$A:$J,4,0),"無")</f>
        <v>23</v>
      </c>
      <c r="C240" s="79">
        <f>IFERROR(VLOOKUP($G240,基本資料!$A:$J,5,0),"無")</f>
        <v>-14</v>
      </c>
      <c r="D240" s="79">
        <f>IFERROR(VLOOKUP($G240,基本資料!$A:$J,6,0),"無")</f>
        <v>-4</v>
      </c>
      <c r="E240" s="79">
        <f>IFERROR(VLOOKUP($G240,基本資料!$A:$J,7,0),"無")</f>
        <v>-30</v>
      </c>
      <c r="F240" s="6">
        <f>IFERROR(VLOOKUP($G240,基本資料!$A:$J,8,0),"無")</f>
        <v>6.7</v>
      </c>
      <c r="G240" s="79">
        <v>4930</v>
      </c>
      <c r="H240" s="8" t="s">
        <v>3495</v>
      </c>
      <c r="I240" s="22" t="s">
        <v>954</v>
      </c>
      <c r="J240" s="8">
        <f>IFERROR(VLOOKUP($G240,今日總結!$A:$AN,39,0),"")</f>
        <v>0</v>
      </c>
      <c r="K240" s="5">
        <f>IFERROR(VLOOKUP($G240,今日總結!$A:$AN,40,0),"")</f>
        <v>0</v>
      </c>
      <c r="L240" s="156">
        <f>IFERROR(VLOOKUP($G240,今日總結!$A:$AN,37,0),"")</f>
        <v>0</v>
      </c>
      <c r="M240" s="337">
        <f>IFERROR(VLOOKUP($G240,今日總結!$A:$AN,38,0),"")</f>
        <v>0</v>
      </c>
      <c r="N240" s="240">
        <f t="shared" si="49"/>
        <v>0</v>
      </c>
      <c r="O240" s="359">
        <f>IFERROR(VLOOKUP($G240,融外自投!$A:$J,7,0),"無")</f>
        <v>365</v>
      </c>
      <c r="P240" s="79">
        <f>IFERROR(VLOOKUP($G240,融外自投!$A:$J,9,0),"無")</f>
        <v>365</v>
      </c>
      <c r="Q240" s="342">
        <f>IFERROR(VLOOKUP($G240,融外自投!$A:$J,8,0),"無")</f>
        <v>773</v>
      </c>
      <c r="R240" s="81" t="str">
        <f>IFERROR(VLOOKUP($G240,融外自投!$A:$J,10,0),"無")</f>
        <v>無</v>
      </c>
      <c r="S240" s="324">
        <f>IFERROR(VLOOKUP($G240,'321買'!$A:$E,4,0),"'沒有資料'")</f>
        <v>801</v>
      </c>
      <c r="T240" s="186">
        <f>IFERROR(VLOOKUP($G240,基本資料!$A:$J,9,0),"無")</f>
        <v>4.8</v>
      </c>
      <c r="U240" s="307">
        <f t="shared" si="44"/>
        <v>0.1955193482688391</v>
      </c>
      <c r="V240" s="94">
        <f>IFERROR(VLOOKUP($G240,基本資料!$A:$J,10,0),"無")</f>
        <v>3.19</v>
      </c>
      <c r="W240" s="36">
        <f>RTD("money.excel",,"4930","Price")</f>
        <v>24.55</v>
      </c>
      <c r="X240" s="66"/>
      <c r="Y240" s="15">
        <f t="shared" si="45"/>
        <v>24.55</v>
      </c>
      <c r="Z240" s="3" t="e">
        <f t="shared" si="46"/>
        <v>#DIV/0!</v>
      </c>
      <c r="AA240" s="340">
        <f>IFERROR(VLOOKUP($G240,基本資料!$A:$M,11,0),"無")</f>
        <v>-37.049999999999997</v>
      </c>
      <c r="AB240" s="389">
        <f>IFERROR(VLOOKUP($G240,基本資料!$A:$M,12,0),"無")</f>
        <v>14.64</v>
      </c>
      <c r="AC240" s="22" t="s">
        <v>954</v>
      </c>
      <c r="AF240" s="33">
        <f t="shared" si="47"/>
        <v>0</v>
      </c>
      <c r="AG240" s="43" t="s">
        <v>2800</v>
      </c>
      <c r="AH240" s="66">
        <f t="shared" si="36"/>
        <v>1.2418014866637517</v>
      </c>
      <c r="AI240" s="283">
        <f>RTD("money.excel",,$G240,"PredictVolume")</f>
        <v>284</v>
      </c>
      <c r="AJ240" s="391">
        <f>IFERROR(VLOOKUP($G240,基本資料!$A:$M,13,0),"無")</f>
        <v>228.7</v>
      </c>
      <c r="AR240" s="245" t="str">
        <f>INDEX(基本資料!N:N,MATCH($G240,基本資料!A:A,0))</f>
        <v>低</v>
      </c>
    </row>
    <row r="241" spans="1:44">
      <c r="A241" s="343">
        <f>IFERROR(VLOOKUP($G241,基本資料!$A:$J,3,0),"無")</f>
        <v>7.3</v>
      </c>
      <c r="B241" s="79">
        <f>IFERROR(VLOOKUP($G241,基本資料!$A:$J,4,0),"無")</f>
        <v>-17</v>
      </c>
      <c r="C241" s="79">
        <f>IFERROR(VLOOKUP($G241,基本資料!$A:$J,5,0),"無")</f>
        <v>-23</v>
      </c>
      <c r="D241" s="79">
        <f>IFERROR(VLOOKUP($G241,基本資料!$A:$J,6,0),"無")</f>
        <v>-12</v>
      </c>
      <c r="E241" s="79">
        <f>IFERROR(VLOOKUP($G241,基本資料!$A:$J,7,0),"無")</f>
        <v>28</v>
      </c>
      <c r="F241" s="6">
        <f>IFERROR(VLOOKUP($G241,基本資料!$A:$J,8,0),"無")</f>
        <v>13.2</v>
      </c>
      <c r="G241" s="79">
        <v>5283</v>
      </c>
      <c r="H241" s="8" t="s">
        <v>3495</v>
      </c>
      <c r="I241" s="22" t="s">
        <v>1687</v>
      </c>
      <c r="J241" s="8">
        <f>IFERROR(VLOOKUP($G241,今日總結!$A:$AN,39,0),"")</f>
        <v>0</v>
      </c>
      <c r="K241" s="5">
        <f>IFERROR(VLOOKUP($G241,今日總結!$A:$AN,40,0),"")</f>
        <v>0</v>
      </c>
      <c r="L241" s="156">
        <f>IFERROR(VLOOKUP($G241,今日總結!$A:$AN,37,0),"")</f>
        <v>0</v>
      </c>
      <c r="M241" s="337">
        <f>IFERROR(VLOOKUP($G241,今日總結!$A:$AN,38,0),"")</f>
        <v>0</v>
      </c>
      <c r="N241" s="240">
        <f t="shared" si="49"/>
        <v>0</v>
      </c>
      <c r="O241" s="359">
        <f>IFERROR(VLOOKUP($G241,融外自投!$A:$J,7,0),"無")</f>
        <v>1340</v>
      </c>
      <c r="P241" s="79">
        <f>IFERROR(VLOOKUP($G241,融外自投!$A:$J,9,0),"無")</f>
        <v>478</v>
      </c>
      <c r="Q241" s="342">
        <f>IFERROR(VLOOKUP($G241,融外自投!$A:$J,8,0),"無")</f>
        <v>1158</v>
      </c>
      <c r="R241" s="81" t="str">
        <f>IFERROR(VLOOKUP($G241,融外自投!$A:$J,10,0),"無")</f>
        <v>無</v>
      </c>
      <c r="S241" s="324">
        <f>IFERROR(VLOOKUP($G241,'321買'!$A:$E,4,0),"'沒有資料'")</f>
        <v>1002</v>
      </c>
      <c r="T241" s="186">
        <f>IFERROR(VLOOKUP($G241,基本資料!$A:$J,9,0),"無")</f>
        <v>8</v>
      </c>
      <c r="U241" s="307">
        <f t="shared" si="44"/>
        <v>7.1111111111111111E-2</v>
      </c>
      <c r="V241" s="94">
        <f>IFERROR(VLOOKUP($G241,基本資料!$A:$J,10,0),"無")</f>
        <v>10.69</v>
      </c>
      <c r="W241" s="36">
        <f>RTD("money.excel",,"5283","Price")</f>
        <v>112.5</v>
      </c>
      <c r="X241" s="66"/>
      <c r="Y241" s="15">
        <f t="shared" si="45"/>
        <v>112.5</v>
      </c>
      <c r="Z241" s="3" t="e">
        <f t="shared" si="46"/>
        <v>#DIV/0!</v>
      </c>
      <c r="AA241" s="340">
        <f>IFERROR(VLOOKUP($G241,基本資料!$A:$M,11,0),"無")</f>
        <v>-10.71</v>
      </c>
      <c r="AB241" s="389">
        <f>IFERROR(VLOOKUP($G241,基本資料!$A:$M,12,0),"無")</f>
        <v>12.71</v>
      </c>
      <c r="AC241" s="22" t="s">
        <v>1687</v>
      </c>
      <c r="AF241" s="33">
        <f t="shared" si="47"/>
        <v>0</v>
      </c>
      <c r="AG241" s="43" t="s">
        <v>2801</v>
      </c>
      <c r="AH241" s="66">
        <f t="shared" si="36"/>
        <v>1.3498312710911136</v>
      </c>
      <c r="AI241" s="283">
        <f>RTD("money.excel",,$G241,"PredictVolume")</f>
        <v>60</v>
      </c>
      <c r="AJ241" s="391">
        <f>IFERROR(VLOOKUP($G241,基本資料!$A:$M,13,0),"無")</f>
        <v>44.45</v>
      </c>
      <c r="AR241" s="245" t="str">
        <f>INDEX(基本資料!N:N,MATCH($G241,基本資料!A:A,0))</f>
        <v>低</v>
      </c>
    </row>
    <row r="242" spans="1:44">
      <c r="B242" s="80"/>
      <c r="C242" s="80"/>
      <c r="D242" s="80"/>
      <c r="E242" s="79"/>
      <c r="F242" s="57"/>
      <c r="G242" s="79"/>
      <c r="H242" s="8"/>
      <c r="I242" s="22"/>
      <c r="L242" s="2"/>
      <c r="O242" s="359"/>
      <c r="P242" s="47"/>
      <c r="Q242" s="342"/>
      <c r="R242" s="26"/>
      <c r="T242" s="66"/>
      <c r="V242" s="94"/>
      <c r="W242" s="36"/>
      <c r="X242" s="66"/>
      <c r="Y242" s="15"/>
      <c r="Z242" s="3"/>
      <c r="AA242" s="96"/>
      <c r="AC242" s="22"/>
      <c r="AF242" s="33"/>
      <c r="AG242" s="43"/>
      <c r="AH242" s="66" t="e">
        <f t="shared" si="36"/>
        <v>#DIV/0!</v>
      </c>
      <c r="AI242" s="283"/>
    </row>
    <row r="243" spans="1:44">
      <c r="A243" s="127" t="s">
        <v>1672</v>
      </c>
      <c r="B243" s="90" t="s">
        <v>1571</v>
      </c>
      <c r="C243" s="90" t="s">
        <v>1572</v>
      </c>
      <c r="D243" s="90" t="s">
        <v>1573</v>
      </c>
      <c r="E243" s="90" t="s">
        <v>1574</v>
      </c>
      <c r="F243" s="8" t="s">
        <v>1059</v>
      </c>
      <c r="G243" s="27" t="s">
        <v>3471</v>
      </c>
      <c r="H243" s="55" t="s">
        <v>320</v>
      </c>
      <c r="I243" s="50" t="s">
        <v>755</v>
      </c>
      <c r="J243" s="8" t="s">
        <v>6211</v>
      </c>
      <c r="K243" s="5" t="s">
        <v>6212</v>
      </c>
      <c r="L243" s="334" t="s">
        <v>6197</v>
      </c>
      <c r="M243" s="335" t="s">
        <v>6198</v>
      </c>
      <c r="N243" s="336" t="s">
        <v>6199</v>
      </c>
      <c r="O243" s="89" t="s">
        <v>6275</v>
      </c>
      <c r="P243" s="292" t="s">
        <v>6274</v>
      </c>
      <c r="Q243" s="350" t="s">
        <v>6273</v>
      </c>
      <c r="R243" s="26" t="s">
        <v>6276</v>
      </c>
      <c r="S243" s="318" t="s">
        <v>4715</v>
      </c>
      <c r="T243" s="10" t="s">
        <v>66</v>
      </c>
      <c r="U243" s="305" t="s">
        <v>4728</v>
      </c>
      <c r="V243" s="68" t="s">
        <v>3272</v>
      </c>
      <c r="W243" s="28" t="s">
        <v>2</v>
      </c>
      <c r="X243" s="17" t="s">
        <v>1398</v>
      </c>
      <c r="Y243" s="14" t="s">
        <v>5</v>
      </c>
      <c r="Z243" s="21" t="s">
        <v>3</v>
      </c>
      <c r="AA243" s="96" t="s">
        <v>6166</v>
      </c>
      <c r="AB243" s="378" t="s">
        <v>6404</v>
      </c>
      <c r="AC243" s="50" t="s">
        <v>755</v>
      </c>
      <c r="AD243" s="71" t="s">
        <v>1399</v>
      </c>
      <c r="AE243" s="72" t="s">
        <v>1156</v>
      </c>
      <c r="AF243" s="32" t="s">
        <v>1157</v>
      </c>
      <c r="AG243" s="25" t="s">
        <v>6200</v>
      </c>
      <c r="AH243" s="8" t="s">
        <v>6696</v>
      </c>
      <c r="AI243" s="50" t="s">
        <v>3360</v>
      </c>
      <c r="AJ243" s="22" t="s">
        <v>6695</v>
      </c>
    </row>
    <row r="244" spans="1:44">
      <c r="A244" s="343">
        <f>IFERROR(VLOOKUP($G244,基本資料!$A:$J,3,0),"無")</f>
        <v>24.9</v>
      </c>
      <c r="B244" s="79">
        <f>IFERROR(VLOOKUP($G244,基本資料!$A:$J,4,0),"無")</f>
        <v>285</v>
      </c>
      <c r="C244" s="79">
        <f>IFERROR(VLOOKUP($G244,基本資料!$A:$J,5,0),"無")</f>
        <v>220</v>
      </c>
      <c r="D244" s="79">
        <f>IFERROR(VLOOKUP($G244,基本資料!$A:$J,6,0),"無")</f>
        <v>-4</v>
      </c>
      <c r="E244" s="79">
        <f>IFERROR(VLOOKUP($G244,基本資料!$A:$J,7,0),"無")</f>
        <v>49</v>
      </c>
      <c r="F244" s="6">
        <f>IFERROR(VLOOKUP($G244,基本資料!$A:$J,8,0),"無")</f>
        <v>16.97</v>
      </c>
      <c r="G244" s="79">
        <v>1708</v>
      </c>
      <c r="H244" s="8" t="s">
        <v>755</v>
      </c>
      <c r="I244" s="22" t="s">
        <v>757</v>
      </c>
      <c r="J244" s="8">
        <f>IFERROR(VLOOKUP($G244,今日總結!$A:$AN,39,0),"")</f>
        <v>4</v>
      </c>
      <c r="K244" s="5" t="str">
        <f>IFERROR(VLOOKUP($G244,今日總結!$A:$AN,40,0),"")</f>
        <v>7融</v>
      </c>
      <c r="L244" s="156">
        <f>IFERROR(VLOOKUP($G244,今日總結!$A:$AN,37,0),"")</f>
        <v>1</v>
      </c>
      <c r="M244" s="337">
        <f>IFERROR(VLOOKUP($G244,今日總結!$A:$AN,38,0),"")</f>
        <v>3</v>
      </c>
      <c r="N244" s="240">
        <f t="shared" ref="N244:N260" si="50">IFERROR(L244-M244,"")</f>
        <v>-2</v>
      </c>
      <c r="O244" s="359">
        <f>IFERROR(VLOOKUP($G244,融外自投!$A:$J,7,0),"無")</f>
        <v>77</v>
      </c>
      <c r="P244" s="79">
        <f>IFERROR(VLOOKUP($G244,融外自投!$A:$J,9,0),"無")</f>
        <v>200</v>
      </c>
      <c r="Q244" s="342">
        <f>IFERROR(VLOOKUP($G244,融外自投!$A:$J,8,0),"無")</f>
        <v>341</v>
      </c>
      <c r="R244" s="81">
        <f>IFERROR(VLOOKUP($G244,融外自投!$A:$J,10,0),"無")</f>
        <v>302</v>
      </c>
      <c r="S244" s="324">
        <f>IFERROR(VLOOKUP($G244,'321買'!$A:$E,4,0),"'沒有資料'")</f>
        <v>37</v>
      </c>
      <c r="T244" s="186">
        <f>IFERROR(VLOOKUP($G244,基本資料!$A:$J,9,0),"無")</f>
        <v>2</v>
      </c>
      <c r="U244" s="307">
        <f t="shared" ref="U244:U286" si="51">$T244/$W244</f>
        <v>3.4722222222222224E-2</v>
      </c>
      <c r="V244" s="94">
        <f>IFERROR(VLOOKUP($G244,基本資料!$A:$J,10,0),"無")</f>
        <v>2.69</v>
      </c>
      <c r="W244" s="36">
        <f>RTD("money.excel",,"1708","Price")</f>
        <v>57.6</v>
      </c>
      <c r="X244" s="66"/>
      <c r="Y244" s="15">
        <f t="shared" ref="Y244" si="52">W244-X244</f>
        <v>57.6</v>
      </c>
      <c r="Z244" s="3" t="e">
        <f t="shared" ref="Z244" si="53">Y244/X244</f>
        <v>#DIV/0!</v>
      </c>
      <c r="AA244" s="340">
        <f>IFERROR(VLOOKUP($G244,基本資料!$A:$M,11,0),"無")</f>
        <v>-21.2</v>
      </c>
      <c r="AB244" s="389">
        <f>IFERROR(VLOOKUP($G244,基本資料!$A:$M,12,0),"無")</f>
        <v>57.67</v>
      </c>
      <c r="AC244" s="22" t="s">
        <v>757</v>
      </c>
      <c r="AF244" s="33">
        <f t="shared" ref="AF244" si="54">AE244-AD244</f>
        <v>0</v>
      </c>
      <c r="AG244" s="43" t="s">
        <v>1524</v>
      </c>
      <c r="AH244" s="66">
        <f t="shared" si="36"/>
        <v>0.81045341736041265</v>
      </c>
      <c r="AI244" s="283">
        <f>RTD("money.excel",,$G244,"PredictVolume")</f>
        <v>52984</v>
      </c>
      <c r="AJ244" s="391">
        <f>IFERROR(VLOOKUP($G244,基本資料!$A:$M,13,0),"無")</f>
        <v>65375.75</v>
      </c>
      <c r="AR244" s="245" t="str">
        <f>INDEX(基本資料!N:N,MATCH($G244,基本資料!A:A,0))</f>
        <v>中</v>
      </c>
    </row>
    <row r="245" spans="1:44">
      <c r="A245" s="343">
        <f>IFERROR(VLOOKUP($G245,基本資料!$A:$J,3,0),"無")</f>
        <v>47.7</v>
      </c>
      <c r="B245" s="79">
        <f>IFERROR(VLOOKUP($G245,基本資料!$A:$J,4,0),"無")</f>
        <v>70</v>
      </c>
      <c r="C245" s="79">
        <f>IFERROR(VLOOKUP($G245,基本資料!$A:$J,5,0),"無")</f>
        <v>71</v>
      </c>
      <c r="D245" s="79">
        <f>IFERROR(VLOOKUP($G245,基本資料!$A:$J,6,0),"無")</f>
        <v>-25</v>
      </c>
      <c r="E245" s="79">
        <f>IFERROR(VLOOKUP($G245,基本資料!$A:$J,7,0),"無")</f>
        <v>2</v>
      </c>
      <c r="F245" s="6">
        <f>IFERROR(VLOOKUP($G245,基本資料!$A:$J,8,0),"無")</f>
        <v>13.25</v>
      </c>
      <c r="G245" s="79">
        <v>1709</v>
      </c>
      <c r="H245" s="8" t="s">
        <v>3577</v>
      </c>
      <c r="I245" s="22" t="s">
        <v>758</v>
      </c>
      <c r="J245" s="8" t="str">
        <f>IFERROR(VLOOKUP($G245,今日總結!$A:$AN,39,0),"")</f>
        <v>外</v>
      </c>
      <c r="K245" s="5" t="str">
        <f>IFERROR(VLOOKUP($G245,今日總結!$A:$AN,40,0),"")</f>
        <v>融</v>
      </c>
      <c r="L245" s="156">
        <f>IFERROR(VLOOKUP($G245,今日總結!$A:$AN,37,0),"")</f>
        <v>1</v>
      </c>
      <c r="M245" s="337">
        <f>IFERROR(VLOOKUP($G245,今日總結!$A:$AN,38,0),"")</f>
        <v>5</v>
      </c>
      <c r="N245" s="240">
        <f t="shared" si="50"/>
        <v>-4</v>
      </c>
      <c r="O245" s="359">
        <f>IFERROR(VLOOKUP($G245,融外自投!$A:$J,7,0),"無")</f>
        <v>780</v>
      </c>
      <c r="P245" s="79">
        <f>IFERROR(VLOOKUP($G245,融外自投!$A:$J,9,0),"無")</f>
        <v>550</v>
      </c>
      <c r="Q245" s="342">
        <f>IFERROR(VLOOKUP($G245,融外自投!$A:$J,8,0),"無")</f>
        <v>823</v>
      </c>
      <c r="R245" s="81">
        <f>IFERROR(VLOOKUP($G245,融外自投!$A:$J,10,0),"無")</f>
        <v>495</v>
      </c>
      <c r="S245" s="324">
        <f>IFERROR(VLOOKUP($G245,'321買'!$A:$E,4,0),"'沒有資料'")</f>
        <v>231</v>
      </c>
      <c r="T245" s="186">
        <f>IFERROR(VLOOKUP($G245,基本資料!$A:$J,9,0),"無")</f>
        <v>1.7</v>
      </c>
      <c r="U245" s="307">
        <f t="shared" si="51"/>
        <v>6.8000000000000005E-2</v>
      </c>
      <c r="V245" s="94">
        <f>IFERROR(VLOOKUP($G245,基本資料!$A:$J,10,0),"無")</f>
        <v>1.99</v>
      </c>
      <c r="W245" s="36">
        <f>RTD("money.excel",,"1709","Price")</f>
        <v>25</v>
      </c>
      <c r="X245" s="66"/>
      <c r="Y245" s="15">
        <f t="shared" ref="Y245:Y286" si="55">W245-X245</f>
        <v>25</v>
      </c>
      <c r="Z245" s="3" t="e">
        <f t="shared" ref="Z245:Z286" si="56">Y245/X245</f>
        <v>#DIV/0!</v>
      </c>
      <c r="AA245" s="340">
        <f>IFERROR(VLOOKUP($G245,基本資料!$A:$M,11,0),"無")</f>
        <v>-22.6</v>
      </c>
      <c r="AB245" s="389">
        <f>IFERROR(VLOOKUP($G245,基本資料!$A:$M,12,0),"無")</f>
        <v>24.2</v>
      </c>
      <c r="AC245" s="22" t="s">
        <v>758</v>
      </c>
      <c r="AF245" s="33">
        <f t="shared" ref="AF245:AF286" si="57">AE245-AD245</f>
        <v>0</v>
      </c>
      <c r="AG245" s="43" t="s">
        <v>1525</v>
      </c>
      <c r="AH245" s="66">
        <f t="shared" si="36"/>
        <v>0.3873757898545237</v>
      </c>
      <c r="AI245" s="283">
        <f>RTD("money.excel",,$G245,"PredictVolume")</f>
        <v>2302</v>
      </c>
      <c r="AJ245" s="391">
        <f>IFERROR(VLOOKUP($G245,基本資料!$A:$M,13,0),"無")</f>
        <v>5942.55</v>
      </c>
      <c r="AR245" s="245" t="str">
        <f>INDEX(基本資料!N:N,MATCH($G245,基本資料!A:A,0))</f>
        <v>中</v>
      </c>
    </row>
    <row r="246" spans="1:44">
      <c r="A246" s="343">
        <f>IFERROR(VLOOKUP($G246,基本資料!$A:$J,3,0),"無")</f>
        <v>88.57</v>
      </c>
      <c r="B246" s="79">
        <f>IFERROR(VLOOKUP($G246,基本資料!$A:$J,4,0),"無")</f>
        <v>180</v>
      </c>
      <c r="C246" s="79">
        <f>IFERROR(VLOOKUP($G246,基本資料!$A:$J,5,0),"無")</f>
        <v>411</v>
      </c>
      <c r="D246" s="79">
        <f>IFERROR(VLOOKUP($G246,基本資料!$A:$J,6,0),"無")</f>
        <v>4</v>
      </c>
      <c r="E246" s="79">
        <f>IFERROR(VLOOKUP($G246,基本資料!$A:$J,7,0),"無")</f>
        <v>-12</v>
      </c>
      <c r="F246" s="6">
        <f>IFERROR(VLOOKUP($G246,基本資料!$A:$J,8,0),"無")</f>
        <v>5.17</v>
      </c>
      <c r="G246" s="79">
        <v>1710</v>
      </c>
      <c r="H246" s="8" t="s">
        <v>3577</v>
      </c>
      <c r="I246" s="22" t="s">
        <v>317</v>
      </c>
      <c r="J246" s="8" t="str">
        <f>IFERROR(VLOOKUP($G246,今日總結!$A:$AN,39,0),"")</f>
        <v>外</v>
      </c>
      <c r="K246" s="5">
        <f>IFERROR(VLOOKUP($G246,今日總結!$A:$AN,40,0),"")</f>
        <v>0</v>
      </c>
      <c r="L246" s="156">
        <f>IFERROR(VLOOKUP($G246,今日總結!$A:$AN,37,0),"")</f>
        <v>1</v>
      </c>
      <c r="M246" s="337">
        <f>IFERROR(VLOOKUP($G246,今日總結!$A:$AN,38,0),"")</f>
        <v>0</v>
      </c>
      <c r="N246" s="240">
        <f t="shared" si="50"/>
        <v>1</v>
      </c>
      <c r="O246" s="359">
        <f>IFERROR(VLOOKUP($G246,融外自投!$A:$J,7,0),"無")</f>
        <v>896</v>
      </c>
      <c r="P246" s="79">
        <f>IFERROR(VLOOKUP($G246,融外自投!$A:$J,9,0),"無")</f>
        <v>213</v>
      </c>
      <c r="Q246" s="342">
        <f>IFERROR(VLOOKUP($G246,融外自投!$A:$J,8,0),"無")</f>
        <v>586</v>
      </c>
      <c r="R246" s="81">
        <f>IFERROR(VLOOKUP($G246,融外自投!$A:$J,10,0),"無")</f>
        <v>439</v>
      </c>
      <c r="S246" s="324">
        <f>IFERROR(VLOOKUP($G246,'321買'!$A:$E,4,0),"'沒有資料'")</f>
        <v>530</v>
      </c>
      <c r="T246" s="186">
        <f>IFERROR(VLOOKUP($G246,基本資料!$A:$J,9,0),"無")</f>
        <v>0.7</v>
      </c>
      <c r="U246" s="307">
        <f t="shared" si="51"/>
        <v>3.6939313984168866E-2</v>
      </c>
      <c r="V246" s="94">
        <f>IFERROR(VLOOKUP($G246,基本資料!$A:$J,10,0),"無")</f>
        <v>1.03</v>
      </c>
      <c r="W246" s="36">
        <f>RTD("money.excel",,"1710","Price")</f>
        <v>18.95</v>
      </c>
      <c r="X246" s="66"/>
      <c r="Y246" s="15">
        <f t="shared" si="55"/>
        <v>18.95</v>
      </c>
      <c r="Z246" s="3" t="e">
        <f t="shared" si="56"/>
        <v>#DIV/0!</v>
      </c>
      <c r="AA246" s="340">
        <f>IFERROR(VLOOKUP($G246,基本資料!$A:$M,11,0),"無")</f>
        <v>-31.96</v>
      </c>
      <c r="AB246" s="389">
        <f>IFERROR(VLOOKUP($G246,基本資料!$A:$M,12,0),"無")</f>
        <v>17.97</v>
      </c>
      <c r="AC246" s="22" t="s">
        <v>317</v>
      </c>
      <c r="AF246" s="33">
        <f t="shared" si="57"/>
        <v>0</v>
      </c>
      <c r="AG246" s="43" t="s">
        <v>1410</v>
      </c>
      <c r="AH246" s="66">
        <f t="shared" si="36"/>
        <v>0.45039592474907952</v>
      </c>
      <c r="AI246" s="283">
        <f>RTD("money.excel",,$G246,"PredictVolume")</f>
        <v>893</v>
      </c>
      <c r="AJ246" s="391">
        <f>IFERROR(VLOOKUP($G246,基本資料!$A:$M,13,0),"無")</f>
        <v>1982.7</v>
      </c>
      <c r="AR246" s="245" t="str">
        <f>INDEX(基本資料!N:N,MATCH($G246,基本資料!A:A,0))</f>
        <v>低</v>
      </c>
    </row>
    <row r="247" spans="1:44">
      <c r="A247" s="343">
        <f>IFERROR(VLOOKUP($G247,基本資料!$A:$J,3,0),"無")</f>
        <v>54.77</v>
      </c>
      <c r="B247" s="79">
        <f>IFERROR(VLOOKUP($G247,基本資料!$A:$J,4,0),"無")</f>
        <v>135</v>
      </c>
      <c r="C247" s="79">
        <f>IFERROR(VLOOKUP($G247,基本資料!$A:$J,5,0),"無")</f>
        <v>170</v>
      </c>
      <c r="D247" s="79">
        <f>IFERROR(VLOOKUP($G247,基本資料!$A:$J,6,0),"無")</f>
        <v>-16</v>
      </c>
      <c r="E247" s="79">
        <f>IFERROR(VLOOKUP($G247,基本資料!$A:$J,7,0),"無")</f>
        <v>-3</v>
      </c>
      <c r="F247" s="6">
        <f>IFERROR(VLOOKUP($G247,基本資料!$A:$J,8,0),"無")</f>
        <v>6.01</v>
      </c>
      <c r="G247" s="79">
        <v>1711</v>
      </c>
      <c r="H247" s="8" t="s">
        <v>3577</v>
      </c>
      <c r="I247" s="22" t="s">
        <v>759</v>
      </c>
      <c r="J247" s="8" t="str">
        <f>IFERROR(VLOOKUP($G247,今日總結!$A:$AN,39,0),"")</f>
        <v>外</v>
      </c>
      <c r="K247" s="5">
        <f>IFERROR(VLOOKUP($G247,今日總結!$A:$AN,40,0),"")</f>
        <v>0</v>
      </c>
      <c r="L247" s="156">
        <f>IFERROR(VLOOKUP($G247,今日總結!$A:$AN,37,0),"")</f>
        <v>1</v>
      </c>
      <c r="M247" s="337">
        <f>IFERROR(VLOOKUP($G247,今日總結!$A:$AN,38,0),"")</f>
        <v>0</v>
      </c>
      <c r="N247" s="240">
        <f t="shared" si="50"/>
        <v>1</v>
      </c>
      <c r="O247" s="359">
        <f>IFERROR(VLOOKUP($G247,融外自投!$A:$J,7,0),"無")</f>
        <v>508</v>
      </c>
      <c r="P247" s="79">
        <f>IFERROR(VLOOKUP($G247,融外自投!$A:$J,9,0),"無")</f>
        <v>615</v>
      </c>
      <c r="Q247" s="342">
        <f>IFERROR(VLOOKUP($G247,融外自投!$A:$J,8,0),"無")</f>
        <v>639</v>
      </c>
      <c r="R247" s="81" t="str">
        <f>IFERROR(VLOOKUP($G247,融外自投!$A:$J,10,0),"無")</f>
        <v>無</v>
      </c>
      <c r="S247" s="324">
        <f>IFERROR(VLOOKUP($G247,'321買'!$A:$E,4,0),"'沒有資料'")</f>
        <v>144</v>
      </c>
      <c r="T247" s="186">
        <f>IFERROR(VLOOKUP($G247,基本資料!$A:$J,9,0),"無")</f>
        <v>0.5</v>
      </c>
      <c r="U247" s="307">
        <f t="shared" si="51"/>
        <v>2.1691973969631236E-2</v>
      </c>
      <c r="V247" s="94">
        <f>IFERROR(VLOOKUP($G247,基本資料!$A:$J,10,0),"無")</f>
        <v>0.86</v>
      </c>
      <c r="W247" s="36">
        <f>RTD("money.excel",,"1711","Price")</f>
        <v>23.05</v>
      </c>
      <c r="X247" s="66"/>
      <c r="Y247" s="15">
        <f t="shared" si="55"/>
        <v>23.05</v>
      </c>
      <c r="Z247" s="3" t="e">
        <f t="shared" si="56"/>
        <v>#DIV/0!</v>
      </c>
      <c r="AA247" s="340">
        <f>IFERROR(VLOOKUP($G247,基本資料!$A:$M,11,0),"無")</f>
        <v>-28.97</v>
      </c>
      <c r="AB247" s="389">
        <f>IFERROR(VLOOKUP($G247,基本資料!$A:$M,12,0),"無")</f>
        <v>24.17</v>
      </c>
      <c r="AC247" s="22" t="s">
        <v>759</v>
      </c>
      <c r="AF247" s="33">
        <f t="shared" si="57"/>
        <v>0</v>
      </c>
      <c r="AG247" s="43" t="s">
        <v>2636</v>
      </c>
      <c r="AH247" s="66">
        <f t="shared" si="36"/>
        <v>0.51804641968576404</v>
      </c>
      <c r="AI247" s="283">
        <f>RTD("money.excel",,$G247,"PredictVolume")</f>
        <v>2280</v>
      </c>
      <c r="AJ247" s="391">
        <f>IFERROR(VLOOKUP($G247,基本資料!$A:$M,13,0),"無")</f>
        <v>4401.1499999999996</v>
      </c>
      <c r="AR247" s="245" t="str">
        <f>INDEX(基本資料!N:N,MATCH($G247,基本資料!A:A,0))</f>
        <v>中</v>
      </c>
    </row>
    <row r="248" spans="1:44">
      <c r="A248" s="343">
        <f>IFERROR(VLOOKUP($G248,基本資料!$A:$J,3,0),"無")</f>
        <v>42.04</v>
      </c>
      <c r="B248" s="79">
        <f>IFERROR(VLOOKUP($G248,基本資料!$A:$J,4,0),"無")</f>
        <v>28</v>
      </c>
      <c r="C248" s="79">
        <f>IFERROR(VLOOKUP($G248,基本資料!$A:$J,5,0),"無")</f>
        <v>17</v>
      </c>
      <c r="D248" s="79">
        <f>IFERROR(VLOOKUP($G248,基本資料!$A:$J,6,0),"無")</f>
        <v>-7</v>
      </c>
      <c r="E248" s="79">
        <f>IFERROR(VLOOKUP($G248,基本資料!$A:$J,7,0),"無")</f>
        <v>33</v>
      </c>
      <c r="F248" s="6">
        <f>IFERROR(VLOOKUP($G248,基本資料!$A:$J,8,0),"無")</f>
        <v>6.14</v>
      </c>
      <c r="G248" s="79">
        <v>1712</v>
      </c>
      <c r="H248" s="8" t="s">
        <v>3577</v>
      </c>
      <c r="I248" s="22" t="s">
        <v>760</v>
      </c>
      <c r="J248" s="8">
        <f>IFERROR(VLOOKUP($G248,今日總結!$A:$AN,39,0),"")</f>
        <v>25</v>
      </c>
      <c r="K248" s="5">
        <f>IFERROR(VLOOKUP($G248,今日總結!$A:$AN,40,0),"")</f>
        <v>0</v>
      </c>
      <c r="L248" s="156">
        <f>IFERROR(VLOOKUP($G248,今日總結!$A:$AN,37,0),"")</f>
        <v>2</v>
      </c>
      <c r="M248" s="337">
        <f>IFERROR(VLOOKUP($G248,今日總結!$A:$AN,38,0),"")</f>
        <v>0</v>
      </c>
      <c r="N248" s="240">
        <f t="shared" si="50"/>
        <v>2</v>
      </c>
      <c r="O248" s="359">
        <f>IFERROR(VLOOKUP($G248,融外自投!$A:$J,7,0),"無")</f>
        <v>870</v>
      </c>
      <c r="P248" s="79">
        <f>IFERROR(VLOOKUP($G248,融外自投!$A:$J,9,0),"無")</f>
        <v>467</v>
      </c>
      <c r="Q248" s="342">
        <f>IFERROR(VLOOKUP($G248,融外自投!$A:$J,8,0),"無")</f>
        <v>510</v>
      </c>
      <c r="R248" s="81">
        <f>IFERROR(VLOOKUP($G248,融外自投!$A:$J,10,0),"無")</f>
        <v>495</v>
      </c>
      <c r="S248" s="324">
        <f>IFERROR(VLOOKUP($G248,'321買'!$A:$E,4,0),"'沒有資料'")</f>
        <v>394</v>
      </c>
      <c r="T248" s="186">
        <f>IFERROR(VLOOKUP($G248,基本資料!$A:$J,9,0),"無")</f>
        <v>1.8</v>
      </c>
      <c r="U248" s="307">
        <f t="shared" si="51"/>
        <v>5.4380664652567974E-2</v>
      </c>
      <c r="V248" s="94">
        <f>IFERROR(VLOOKUP($G248,基本資料!$A:$J,10,0),"無")</f>
        <v>2.19</v>
      </c>
      <c r="W248" s="36">
        <f>RTD("money.excel",,"1712","Price")</f>
        <v>33.1</v>
      </c>
      <c r="X248" s="66"/>
      <c r="Y248" s="15">
        <f t="shared" si="55"/>
        <v>33.1</v>
      </c>
      <c r="Z248" s="3" t="e">
        <f t="shared" si="56"/>
        <v>#DIV/0!</v>
      </c>
      <c r="AA248" s="340">
        <f>IFERROR(VLOOKUP($G248,基本資料!$A:$M,11,0),"無")</f>
        <v>-16.2</v>
      </c>
      <c r="AB248" s="389">
        <f>IFERROR(VLOOKUP($G248,基本資料!$A:$M,12,0),"無")</f>
        <v>26.64</v>
      </c>
      <c r="AC248" s="22" t="s">
        <v>760</v>
      </c>
      <c r="AF248" s="33">
        <f t="shared" si="57"/>
        <v>0</v>
      </c>
      <c r="AG248" s="43" t="s">
        <v>2851</v>
      </c>
      <c r="AH248" s="66">
        <f t="shared" si="36"/>
        <v>1.0846630529715942</v>
      </c>
      <c r="AI248" s="283">
        <f>RTD("money.excel",,$G248,"PredictVolume")</f>
        <v>7824</v>
      </c>
      <c r="AJ248" s="391">
        <f>IFERROR(VLOOKUP($G248,基本資料!$A:$M,13,0),"無")</f>
        <v>7213.3</v>
      </c>
      <c r="AR248" s="245" t="str">
        <f>INDEX(基本資料!N:N,MATCH($G248,基本資料!A:A,0))</f>
        <v>中</v>
      </c>
    </row>
    <row r="249" spans="1:44">
      <c r="A249" s="343">
        <f>IFERROR(VLOOKUP($G249,基本資料!$A:$J,3,0),"無")</f>
        <v>15.09</v>
      </c>
      <c r="B249" s="79">
        <f>IFERROR(VLOOKUP($G249,基本資料!$A:$J,4,0),"無")</f>
        <v>72</v>
      </c>
      <c r="C249" s="79">
        <f>IFERROR(VLOOKUP($G249,基本資料!$A:$J,5,0),"無")</f>
        <v>49</v>
      </c>
      <c r="D249" s="79">
        <f>IFERROR(VLOOKUP($G249,基本資料!$A:$J,6,0),"無")</f>
        <v>-6</v>
      </c>
      <c r="E249" s="79">
        <f>IFERROR(VLOOKUP($G249,基本資料!$A:$J,7,0),"無")</f>
        <v>9</v>
      </c>
      <c r="F249" s="6">
        <f>IFERROR(VLOOKUP($G249,基本資料!$A:$J,8,0),"無")</f>
        <v>4.16</v>
      </c>
      <c r="G249" s="79">
        <v>1713</v>
      </c>
      <c r="H249" s="8" t="s">
        <v>3577</v>
      </c>
      <c r="I249" s="22" t="s">
        <v>761</v>
      </c>
      <c r="J249" s="8">
        <f>IFERROR(VLOOKUP($G249,今日總結!$A:$AN,39,0),"")</f>
        <v>0</v>
      </c>
      <c r="K249" s="5">
        <f>IFERROR(VLOOKUP($G249,今日總結!$A:$AN,40,0),"")</f>
        <v>0</v>
      </c>
      <c r="L249" s="156">
        <f>IFERROR(VLOOKUP($G249,今日總結!$A:$AN,37,0),"")</f>
        <v>0</v>
      </c>
      <c r="M249" s="337">
        <f>IFERROR(VLOOKUP($G249,今日總結!$A:$AN,38,0),"")</f>
        <v>0</v>
      </c>
      <c r="N249" s="240">
        <f t="shared" si="50"/>
        <v>0</v>
      </c>
      <c r="O249" s="359">
        <f>IFERROR(VLOOKUP($G249,融外自投!$A:$J,7,0),"無")</f>
        <v>596</v>
      </c>
      <c r="P249" s="79">
        <f>IFERROR(VLOOKUP($G249,融外自投!$A:$J,9,0),"無")</f>
        <v>990</v>
      </c>
      <c r="Q249" s="342">
        <f>IFERROR(VLOOKUP($G249,融外自投!$A:$J,8,0),"無")</f>
        <v>866</v>
      </c>
      <c r="R249" s="81" t="str">
        <f>IFERROR(VLOOKUP($G249,融外自投!$A:$J,10,0),"無")</f>
        <v>無</v>
      </c>
      <c r="S249" s="324">
        <f>IFERROR(VLOOKUP($G249,'321買'!$A:$E,4,0),"'沒有資料'")</f>
        <v>1002</v>
      </c>
      <c r="T249" s="186">
        <f>IFERROR(VLOOKUP($G249,基本資料!$A:$J,9,0),"無")</f>
        <v>0.85</v>
      </c>
      <c r="U249" s="307">
        <f t="shared" si="51"/>
        <v>3.6876355748373099E-2</v>
      </c>
      <c r="V249" s="94">
        <f>IFERROR(VLOOKUP($G249,基本資料!$A:$J,10,0),"無")</f>
        <v>1.04</v>
      </c>
      <c r="W249" s="36">
        <f>RTD("money.excel",,"1713","Price")</f>
        <v>23.05</v>
      </c>
      <c r="X249" s="66"/>
      <c r="Y249" s="15">
        <f t="shared" si="55"/>
        <v>23.05</v>
      </c>
      <c r="Z249" s="3" t="e">
        <f t="shared" si="56"/>
        <v>#DIV/0!</v>
      </c>
      <c r="AA249" s="340">
        <f>IFERROR(VLOOKUP($G249,基本資料!$A:$M,11,0),"無")</f>
        <v>-14.47</v>
      </c>
      <c r="AB249" s="389">
        <f>IFERROR(VLOOKUP($G249,基本資料!$A:$M,12,0),"無")</f>
        <v>28.64</v>
      </c>
      <c r="AC249" s="22" t="s">
        <v>761</v>
      </c>
      <c r="AF249" s="33">
        <f t="shared" si="57"/>
        <v>0</v>
      </c>
      <c r="AG249" s="43" t="s">
        <v>2852</v>
      </c>
      <c r="AH249" s="66">
        <f t="shared" si="36"/>
        <v>0.74974670719351566</v>
      </c>
      <c r="AI249" s="283">
        <f>RTD("money.excel",,$G249,"PredictVolume")</f>
        <v>37</v>
      </c>
      <c r="AJ249" s="391">
        <f>IFERROR(VLOOKUP($G249,基本資料!$A:$M,13,0),"無")</f>
        <v>49.35</v>
      </c>
      <c r="AR249" s="245" t="str">
        <f>INDEX(基本資料!N:N,MATCH($G249,基本資料!A:A,0))</f>
        <v>低</v>
      </c>
    </row>
    <row r="250" spans="1:44">
      <c r="A250" s="343">
        <f>IFERROR(VLOOKUP($G250,基本資料!$A:$J,3,0),"無")</f>
        <v>101</v>
      </c>
      <c r="B250" s="79">
        <f>IFERROR(VLOOKUP($G250,基本資料!$A:$J,4,0),"無")</f>
        <v>-39</v>
      </c>
      <c r="C250" s="79">
        <f>IFERROR(VLOOKUP($G250,基本資料!$A:$J,5,0),"無")</f>
        <v>-50</v>
      </c>
      <c r="D250" s="79">
        <f>IFERROR(VLOOKUP($G250,基本資料!$A:$J,6,0),"無")</f>
        <v>0</v>
      </c>
      <c r="E250" s="79">
        <f>IFERROR(VLOOKUP($G250,基本資料!$A:$J,7,0),"無")</f>
        <v>12</v>
      </c>
      <c r="F250" s="6">
        <f>IFERROR(VLOOKUP($G250,基本資料!$A:$J,8,0),"無")</f>
        <v>8.82</v>
      </c>
      <c r="G250" s="79">
        <v>1714</v>
      </c>
      <c r="H250" s="8" t="s">
        <v>3577</v>
      </c>
      <c r="I250" s="22" t="s">
        <v>762</v>
      </c>
      <c r="J250" s="8">
        <f>IFERROR(VLOOKUP($G250,今日總結!$A:$AN,39,0),"")</f>
        <v>0</v>
      </c>
      <c r="K250" s="5">
        <f>IFERROR(VLOOKUP($G250,今日總結!$A:$AN,40,0),"")</f>
        <v>0</v>
      </c>
      <c r="L250" s="156">
        <f>IFERROR(VLOOKUP($G250,今日總結!$A:$AN,37,0),"")</f>
        <v>0</v>
      </c>
      <c r="M250" s="337">
        <f>IFERROR(VLOOKUP($G250,今日總結!$A:$AN,38,0),"")</f>
        <v>0</v>
      </c>
      <c r="N250" s="240">
        <f t="shared" si="50"/>
        <v>0</v>
      </c>
      <c r="O250" s="359">
        <f>IFERROR(VLOOKUP($G250,融外自投!$A:$J,7,0),"無")</f>
        <v>820</v>
      </c>
      <c r="P250" s="79">
        <f>IFERROR(VLOOKUP($G250,融外自投!$A:$J,9,0),"無")</f>
        <v>790</v>
      </c>
      <c r="Q250" s="342">
        <f>IFERROR(VLOOKUP($G250,融外自投!$A:$J,8,0),"無")</f>
        <v>296</v>
      </c>
      <c r="R250" s="81" t="str">
        <f>IFERROR(VLOOKUP($G250,融外自投!$A:$J,10,0),"無")</f>
        <v>無</v>
      </c>
      <c r="S250" s="324">
        <f>IFERROR(VLOOKUP($G250,'321買'!$A:$E,4,0),"'沒有資料'")</f>
        <v>743</v>
      </c>
      <c r="T250" s="186">
        <f>IFERROR(VLOOKUP($G250,基本資料!$A:$J,9,0),"無")</f>
        <v>0.42</v>
      </c>
      <c r="U250" s="307">
        <f t="shared" si="51"/>
        <v>4.3121149897330596E-2</v>
      </c>
      <c r="V250" s="94">
        <f>IFERROR(VLOOKUP($G250,基本資料!$A:$J,10,0),"無")</f>
        <v>0.72</v>
      </c>
      <c r="W250" s="36">
        <f>RTD("money.excel",,"1714","Price")</f>
        <v>9.74</v>
      </c>
      <c r="X250" s="66"/>
      <c r="Y250" s="15">
        <f t="shared" si="55"/>
        <v>9.74</v>
      </c>
      <c r="Z250" s="3" t="e">
        <f t="shared" si="56"/>
        <v>#DIV/0!</v>
      </c>
      <c r="AA250" s="340">
        <f>IFERROR(VLOOKUP($G250,基本資料!$A:$M,11,0),"無")</f>
        <v>-25.65</v>
      </c>
      <c r="AB250" s="389">
        <f>IFERROR(VLOOKUP($G250,基本資料!$A:$M,12,0),"無")</f>
        <v>25.95</v>
      </c>
      <c r="AC250" s="22" t="s">
        <v>762</v>
      </c>
      <c r="AF250" s="33">
        <f t="shared" si="57"/>
        <v>0</v>
      </c>
      <c r="AG250" s="43" t="s">
        <v>2853</v>
      </c>
      <c r="AH250" s="66">
        <f t="shared" si="36"/>
        <v>0.81563233690126258</v>
      </c>
      <c r="AI250" s="283">
        <f>RTD("money.excel",,$G250,"PredictVolume")</f>
        <v>2206</v>
      </c>
      <c r="AJ250" s="391">
        <f>IFERROR(VLOOKUP($G250,基本資料!$A:$M,13,0),"無")</f>
        <v>2704.65</v>
      </c>
      <c r="AR250" s="245" t="str">
        <f>INDEX(基本資料!N:N,MATCH($G250,基本資料!A:A,0))</f>
        <v>低</v>
      </c>
    </row>
    <row r="251" spans="1:44">
      <c r="A251" s="343">
        <f>IFERROR(VLOOKUP($G251,基本資料!$A:$J,3,0),"無")</f>
        <v>124</v>
      </c>
      <c r="B251" s="79">
        <f>IFERROR(VLOOKUP($G251,基本資料!$A:$J,4,0),"無")</f>
        <v>39</v>
      </c>
      <c r="C251" s="79">
        <f>IFERROR(VLOOKUP($G251,基本資料!$A:$J,5,0),"無")</f>
        <v>30</v>
      </c>
      <c r="D251" s="79">
        <f>IFERROR(VLOOKUP($G251,基本資料!$A:$J,6,0),"無")</f>
        <v>-10</v>
      </c>
      <c r="E251" s="79">
        <f>IFERROR(VLOOKUP($G251,基本資料!$A:$J,7,0),"無")</f>
        <v>-4</v>
      </c>
      <c r="F251" s="6">
        <f>IFERROR(VLOOKUP($G251,基本資料!$A:$J,8,0),"無")</f>
        <v>8.11</v>
      </c>
      <c r="G251" s="79">
        <v>1717</v>
      </c>
      <c r="H251" s="8" t="s">
        <v>3577</v>
      </c>
      <c r="I251" s="22" t="s">
        <v>128</v>
      </c>
      <c r="J251" s="8">
        <f>IFERROR(VLOOKUP($G251,今日總結!$A:$AN,39,0),"")</f>
        <v>0</v>
      </c>
      <c r="K251" s="5" t="str">
        <f>IFERROR(VLOOKUP($G251,今日總結!$A:$AN,40,0),"")</f>
        <v>融自</v>
      </c>
      <c r="L251" s="156">
        <f>IFERROR(VLOOKUP($G251,今日總結!$A:$AN,37,0),"")</f>
        <v>0</v>
      </c>
      <c r="M251" s="337">
        <f>IFERROR(VLOOKUP($G251,今日總結!$A:$AN,38,0),"")</f>
        <v>7</v>
      </c>
      <c r="N251" s="240">
        <f t="shared" si="50"/>
        <v>-7</v>
      </c>
      <c r="O251" s="359">
        <f>IFERROR(VLOOKUP($G251,融外自投!$A:$J,7,0),"無")</f>
        <v>929</v>
      </c>
      <c r="P251" s="79">
        <f>IFERROR(VLOOKUP($G251,融外自投!$A:$J,9,0),"無")</f>
        <v>671</v>
      </c>
      <c r="Q251" s="342">
        <f>IFERROR(VLOOKUP($G251,融外自投!$A:$J,8,0),"無")</f>
        <v>416</v>
      </c>
      <c r="R251" s="81">
        <f>IFERROR(VLOOKUP($G251,融外自投!$A:$J,10,0),"無")</f>
        <v>413</v>
      </c>
      <c r="S251" s="324">
        <f>IFERROR(VLOOKUP($G251,'321買'!$A:$E,4,0),"'沒有資料'")</f>
        <v>530</v>
      </c>
      <c r="T251" s="186">
        <f>IFERROR(VLOOKUP($G251,基本資料!$A:$J,9,0),"無")</f>
        <v>1.5</v>
      </c>
      <c r="U251" s="307">
        <f t="shared" si="51"/>
        <v>4.3859649122807015E-2</v>
      </c>
      <c r="V251" s="94">
        <f>IFERROR(VLOOKUP($G251,基本資料!$A:$J,10,0),"無")</f>
        <v>2.86</v>
      </c>
      <c r="W251" s="36">
        <f>RTD("money.excel",,"1717","Price")</f>
        <v>34.200000000000003</v>
      </c>
      <c r="X251" s="66"/>
      <c r="Y251" s="15">
        <f t="shared" si="55"/>
        <v>34.200000000000003</v>
      </c>
      <c r="Z251" s="3" t="e">
        <f t="shared" si="56"/>
        <v>#DIV/0!</v>
      </c>
      <c r="AA251" s="340">
        <f>IFERROR(VLOOKUP($G251,基本資料!$A:$M,11,0),"無")</f>
        <v>-22.27</v>
      </c>
      <c r="AB251" s="389">
        <f>IFERROR(VLOOKUP($G251,基本資料!$A:$M,12,0),"無")</f>
        <v>23.8</v>
      </c>
      <c r="AC251" s="22" t="s">
        <v>128</v>
      </c>
      <c r="AF251" s="33">
        <f t="shared" si="57"/>
        <v>0</v>
      </c>
      <c r="AG251" s="43" t="s">
        <v>2854</v>
      </c>
      <c r="AH251" s="66">
        <f t="shared" si="36"/>
        <v>0.15155555216959593</v>
      </c>
      <c r="AI251" s="283">
        <f>RTD("money.excel",,$G251,"PredictVolume")</f>
        <v>2984</v>
      </c>
      <c r="AJ251" s="391">
        <f>IFERROR(VLOOKUP($G251,基本資料!$A:$M,13,0),"無")</f>
        <v>19689.150000000001</v>
      </c>
      <c r="AR251" s="245" t="str">
        <f>INDEX(基本資料!N:N,MATCH($G251,基本資料!A:A,0))</f>
        <v>低</v>
      </c>
    </row>
    <row r="252" spans="1:44">
      <c r="A252" s="343">
        <f>IFERROR(VLOOKUP($G252,基本資料!$A:$J,3,0),"無")</f>
        <v>168</v>
      </c>
      <c r="B252" s="79">
        <f>IFERROR(VLOOKUP($G252,基本資料!$A:$J,4,0),"無")</f>
        <v>-4</v>
      </c>
      <c r="C252" s="79">
        <f>IFERROR(VLOOKUP($G252,基本資料!$A:$J,5,0),"無")</f>
        <v>71</v>
      </c>
      <c r="D252" s="79">
        <f>IFERROR(VLOOKUP($G252,基本資料!$A:$J,6,0),"無")</f>
        <v>0</v>
      </c>
      <c r="E252" s="79">
        <f>IFERROR(VLOOKUP($G252,基本資料!$A:$J,7,0),"無")</f>
        <v>5</v>
      </c>
      <c r="F252" s="6">
        <f>IFERROR(VLOOKUP($G252,基本資料!$A:$J,8,0),"無")</f>
        <v>13.22</v>
      </c>
      <c r="G252" s="79">
        <v>1718</v>
      </c>
      <c r="H252" s="8" t="s">
        <v>3577</v>
      </c>
      <c r="I252" s="22" t="s">
        <v>763</v>
      </c>
      <c r="J252" s="8">
        <f>IFERROR(VLOOKUP($G252,今日總結!$A:$AN,39,0),"")</f>
        <v>0</v>
      </c>
      <c r="K252" s="5" t="str">
        <f>IFERROR(VLOOKUP($G252,今日總結!$A:$AN,40,0),"")</f>
        <v>融</v>
      </c>
      <c r="L252" s="156">
        <f>IFERROR(VLOOKUP($G252,今日總結!$A:$AN,37,0),"")</f>
        <v>0</v>
      </c>
      <c r="M252" s="337">
        <f>IFERROR(VLOOKUP($G252,今日總結!$A:$AN,38,0),"")</f>
        <v>5</v>
      </c>
      <c r="N252" s="240">
        <f t="shared" si="50"/>
        <v>-5</v>
      </c>
      <c r="O252" s="359">
        <f>IFERROR(VLOOKUP($G252,融外自投!$A:$J,7,0),"無")</f>
        <v>642</v>
      </c>
      <c r="P252" s="79">
        <f>IFERROR(VLOOKUP($G252,融外自投!$A:$J,9,0),"無")</f>
        <v>762</v>
      </c>
      <c r="Q252" s="342">
        <f>IFERROR(VLOOKUP($G252,融外自投!$A:$J,8,0),"無")</f>
        <v>590</v>
      </c>
      <c r="R252" s="81" t="str">
        <f>IFERROR(VLOOKUP($G252,融外自投!$A:$J,10,0),"無")</f>
        <v>無</v>
      </c>
      <c r="S252" s="324">
        <f>IFERROR(VLOOKUP($G252,'321買'!$A:$E,4,0),"'沒有資料'")</f>
        <v>743</v>
      </c>
      <c r="T252" s="186">
        <f>IFERROR(VLOOKUP($G252,基本資料!$A:$J,9,0),"無")</f>
        <v>0</v>
      </c>
      <c r="U252" s="307">
        <f t="shared" si="51"/>
        <v>0</v>
      </c>
      <c r="V252" s="94">
        <f>IFERROR(VLOOKUP($G252,基本資料!$A:$J,10,0),"無")</f>
        <v>0</v>
      </c>
      <c r="W252" s="36">
        <f>RTD("money.excel",,"1718","Price")</f>
        <v>8.06</v>
      </c>
      <c r="X252" s="66"/>
      <c r="Y252" s="15">
        <f t="shared" si="55"/>
        <v>8.06</v>
      </c>
      <c r="Z252" s="3" t="e">
        <f t="shared" si="56"/>
        <v>#DIV/0!</v>
      </c>
      <c r="AA252" s="340">
        <f>IFERROR(VLOOKUP($G252,基本資料!$A:$M,11,0),"無")</f>
        <v>-35.78</v>
      </c>
      <c r="AB252" s="389">
        <f>IFERROR(VLOOKUP($G252,基本資料!$A:$M,12,0),"無")</f>
        <v>13.03</v>
      </c>
      <c r="AC252" s="22" t="s">
        <v>763</v>
      </c>
      <c r="AF252" s="33">
        <f t="shared" si="57"/>
        <v>0</v>
      </c>
      <c r="AG252" s="43" t="s">
        <v>3416</v>
      </c>
      <c r="AH252" s="66">
        <f t="shared" si="36"/>
        <v>0.69820344265525092</v>
      </c>
      <c r="AI252" s="283">
        <f>RTD("money.excel",,$G252,"PredictVolume")</f>
        <v>1949</v>
      </c>
      <c r="AJ252" s="391">
        <f>IFERROR(VLOOKUP($G252,基本資料!$A:$M,13,0),"無")</f>
        <v>2791.45</v>
      </c>
      <c r="AR252" s="245" t="str">
        <f>INDEX(基本資料!N:N,MATCH($G252,基本資料!A:A,0))</f>
        <v>低</v>
      </c>
    </row>
    <row r="253" spans="1:44">
      <c r="A253" s="343">
        <f>IFERROR(VLOOKUP($G253,基本資料!$A:$J,3,0),"無")</f>
        <v>18.48</v>
      </c>
      <c r="B253" s="79">
        <f>IFERROR(VLOOKUP($G253,基本資料!$A:$J,4,0),"無")</f>
        <v>-113</v>
      </c>
      <c r="C253" s="79">
        <f>IFERROR(VLOOKUP($G253,基本資料!$A:$J,5,0),"無")</f>
        <v>60</v>
      </c>
      <c r="D253" s="79">
        <f>IFERROR(VLOOKUP($G253,基本資料!$A:$J,6,0),"無")</f>
        <v>-6</v>
      </c>
      <c r="E253" s="79">
        <f>IFERROR(VLOOKUP($G253,基本資料!$A:$J,7,0),"無")</f>
        <v>51</v>
      </c>
      <c r="F253" s="6">
        <f>IFERROR(VLOOKUP($G253,基本資料!$A:$J,8,0),"無")</f>
        <v>-3.37</v>
      </c>
      <c r="G253" s="79">
        <v>1721</v>
      </c>
      <c r="H253" s="8" t="s">
        <v>3577</v>
      </c>
      <c r="I253" s="22" t="s">
        <v>764</v>
      </c>
      <c r="J253" s="8">
        <f>IFERROR(VLOOKUP($G253,今日總結!$A:$AN,39,0),"")</f>
        <v>0</v>
      </c>
      <c r="K253" s="5" t="str">
        <f>IFERROR(VLOOKUP($G253,今日總結!$A:$AN,40,0),"")</f>
        <v>借</v>
      </c>
      <c r="L253" s="156">
        <f>IFERROR(VLOOKUP($G253,今日總結!$A:$AN,37,0),"")</f>
        <v>0</v>
      </c>
      <c r="M253" s="337">
        <f>IFERROR(VLOOKUP($G253,今日總結!$A:$AN,38,0),"")</f>
        <v>3</v>
      </c>
      <c r="N253" s="240">
        <f t="shared" si="50"/>
        <v>-3</v>
      </c>
      <c r="O253" s="359">
        <f>IFERROR(VLOOKUP($G253,融外自投!$A:$J,7,0),"無")</f>
        <v>193</v>
      </c>
      <c r="P253" s="79">
        <f>IFERROR(VLOOKUP($G253,融外自投!$A:$J,9,0),"無")</f>
        <v>89</v>
      </c>
      <c r="Q253" s="342">
        <f>IFERROR(VLOOKUP($G253,融外自投!$A:$J,8,0),"無")</f>
        <v>1104</v>
      </c>
      <c r="R253" s="81" t="str">
        <f>IFERROR(VLOOKUP($G253,融外自投!$A:$J,10,0),"無")</f>
        <v>無</v>
      </c>
      <c r="S253" s="324">
        <f>IFERROR(VLOOKUP($G253,'321買'!$A:$E,4,0),"'沒有資料'")</f>
        <v>86</v>
      </c>
      <c r="T253" s="186">
        <f>IFERROR(VLOOKUP($G253,基本資料!$A:$J,9,0),"無")</f>
        <v>0</v>
      </c>
      <c r="U253" s="307">
        <f t="shared" si="51"/>
        <v>0</v>
      </c>
      <c r="V253" s="94">
        <f>IFERROR(VLOOKUP($G253,基本資料!$A:$J,10,0),"無")</f>
        <v>-0.38</v>
      </c>
      <c r="W253" s="36">
        <f>RTD("money.excel",,"1721","Price")</f>
        <v>19.45</v>
      </c>
      <c r="X253" s="66"/>
      <c r="Y253" s="15">
        <f t="shared" si="55"/>
        <v>19.45</v>
      </c>
      <c r="Z253" s="3" t="e">
        <f t="shared" si="56"/>
        <v>#DIV/0!</v>
      </c>
      <c r="AA253" s="340">
        <f>IFERROR(VLOOKUP($G253,基本資料!$A:$M,11,0),"無")</f>
        <v>-41.85</v>
      </c>
      <c r="AB253" s="389">
        <f>IFERROR(VLOOKUP($G253,基本資料!$A:$M,12,0),"無")</f>
        <v>19.84</v>
      </c>
      <c r="AC253" s="22" t="s">
        <v>764</v>
      </c>
      <c r="AF253" s="33">
        <f t="shared" si="57"/>
        <v>0</v>
      </c>
      <c r="AG253" s="43" t="s">
        <v>2855</v>
      </c>
      <c r="AH253" s="66">
        <f t="shared" si="36"/>
        <v>2.9623849539815925</v>
      </c>
      <c r="AI253" s="283">
        <f>RTD("money.excel",,$G253,"PredictVolume")</f>
        <v>14806</v>
      </c>
      <c r="AJ253" s="391">
        <f>IFERROR(VLOOKUP($G253,基本資料!$A:$M,13,0),"無")</f>
        <v>4998</v>
      </c>
      <c r="AR253" s="245" t="str">
        <f>INDEX(基本資料!N:N,MATCH($G253,基本資料!A:A,0))</f>
        <v>中</v>
      </c>
    </row>
    <row r="254" spans="1:44">
      <c r="A254" s="343">
        <f>IFERROR(VLOOKUP($G254,基本資料!$A:$J,3,0),"無")</f>
        <v>98</v>
      </c>
      <c r="B254" s="79">
        <f>IFERROR(VLOOKUP($G254,基本資料!$A:$J,4,0),"無")</f>
        <v>23</v>
      </c>
      <c r="C254" s="79">
        <f>IFERROR(VLOOKUP($G254,基本資料!$A:$J,5,0),"無")</f>
        <v>-59</v>
      </c>
      <c r="D254" s="79">
        <f>IFERROR(VLOOKUP($G254,基本資料!$A:$J,6,0),"無")</f>
        <v>-5</v>
      </c>
      <c r="E254" s="79">
        <f>IFERROR(VLOOKUP($G254,基本資料!$A:$J,7,0),"無")</f>
        <v>62</v>
      </c>
      <c r="F254" s="6">
        <f>IFERROR(VLOOKUP($G254,基本資料!$A:$J,8,0),"無")</f>
        <v>3.71</v>
      </c>
      <c r="G254" s="79">
        <v>1722</v>
      </c>
      <c r="H254" s="8" t="s">
        <v>3577</v>
      </c>
      <c r="I254" s="22" t="s">
        <v>3598</v>
      </c>
      <c r="J254" s="8">
        <f>IFERROR(VLOOKUP($G254,今日總結!$A:$AN,39,0),"")</f>
        <v>0</v>
      </c>
      <c r="K254" s="5" t="str">
        <f>IFERROR(VLOOKUP($G254,今日總結!$A:$AN,40,0),"")</f>
        <v>投</v>
      </c>
      <c r="L254" s="156">
        <f>IFERROR(VLOOKUP($G254,今日總結!$A:$AN,37,0),"")</f>
        <v>0</v>
      </c>
      <c r="M254" s="337">
        <f>IFERROR(VLOOKUP($G254,今日總結!$A:$AN,38,0),"")</f>
        <v>3</v>
      </c>
      <c r="N254" s="240">
        <f t="shared" si="50"/>
        <v>-3</v>
      </c>
      <c r="O254" s="359">
        <f>IFERROR(VLOOKUP($G254,融外自投!$A:$J,7,0),"無")</f>
        <v>1089</v>
      </c>
      <c r="P254" s="79">
        <f>IFERROR(VLOOKUP($G254,融外自投!$A:$J,9,0),"無")</f>
        <v>240</v>
      </c>
      <c r="Q254" s="342">
        <f>IFERROR(VLOOKUP($G254,融外自投!$A:$J,8,0),"無")</f>
        <v>347</v>
      </c>
      <c r="R254" s="81">
        <f>IFERROR(VLOOKUP($G254,融外自投!$A:$J,10,0),"無")</f>
        <v>224</v>
      </c>
      <c r="S254" s="324">
        <f>IFERROR(VLOOKUP($G254,'321買'!$A:$E,4,0),"'沒有資料'")</f>
        <v>192</v>
      </c>
      <c r="T254" s="186">
        <f>IFERROR(VLOOKUP($G254,基本資料!$A:$J,9,0),"無")</f>
        <v>2.8</v>
      </c>
      <c r="U254" s="307">
        <f t="shared" si="51"/>
        <v>4.1543026706231445E-2</v>
      </c>
      <c r="V254" s="94">
        <f>IFERROR(VLOOKUP($G254,基本資料!$A:$J,10,0),"無")</f>
        <v>3.1</v>
      </c>
      <c r="W254" s="36">
        <f>RTD("money.excel",,"1722","Price")</f>
        <v>67.400000000000006</v>
      </c>
      <c r="X254" s="66"/>
      <c r="Y254" s="15">
        <f t="shared" si="55"/>
        <v>67.400000000000006</v>
      </c>
      <c r="Z254" s="3" t="e">
        <f t="shared" si="56"/>
        <v>#DIV/0!</v>
      </c>
      <c r="AA254" s="340">
        <f>IFERROR(VLOOKUP($G254,基本資料!$A:$M,11,0),"無")</f>
        <v>-20.71</v>
      </c>
      <c r="AB254" s="389">
        <f>IFERROR(VLOOKUP($G254,基本資料!$A:$M,12,0),"無")</f>
        <v>25.64</v>
      </c>
      <c r="AC254" s="22" t="s">
        <v>3598</v>
      </c>
      <c r="AF254" s="33">
        <f t="shared" si="57"/>
        <v>0</v>
      </c>
      <c r="AG254" s="117" t="s">
        <v>2809</v>
      </c>
      <c r="AH254" s="66">
        <f t="shared" si="36"/>
        <v>0.49124324324324325</v>
      </c>
      <c r="AI254" s="283">
        <f>RTD("money.excel",,$G254,"PredictVolume")</f>
        <v>3976</v>
      </c>
      <c r="AJ254" s="391">
        <f>IFERROR(VLOOKUP($G254,基本資料!$A:$M,13,0),"無")</f>
        <v>8093.75</v>
      </c>
      <c r="AR254" s="245" t="str">
        <f>INDEX(基本資料!N:N,MATCH($G254,基本資料!A:A,0))</f>
        <v>中</v>
      </c>
    </row>
    <row r="255" spans="1:44">
      <c r="A255" s="343">
        <f>IFERROR(VLOOKUP($G255,基本資料!$A:$J,3,0),"無")</f>
        <v>23.69</v>
      </c>
      <c r="B255" s="79">
        <f>IFERROR(VLOOKUP($G255,基本資料!$A:$J,4,0),"無")</f>
        <v>54</v>
      </c>
      <c r="C255" s="79">
        <f>IFERROR(VLOOKUP($G255,基本資料!$A:$J,5,0),"無")</f>
        <v>55</v>
      </c>
      <c r="D255" s="79">
        <f>IFERROR(VLOOKUP($G255,基本資料!$A:$J,6,0),"無")</f>
        <v>42</v>
      </c>
      <c r="E255" s="79">
        <f>IFERROR(VLOOKUP($G255,基本資料!$A:$J,7,0),"無")</f>
        <v>93</v>
      </c>
      <c r="F255" s="6">
        <f>IFERROR(VLOOKUP($G255,基本資料!$A:$J,8,0),"無")</f>
        <v>14.94</v>
      </c>
      <c r="G255" s="79">
        <v>1723</v>
      </c>
      <c r="H255" s="8" t="s">
        <v>3577</v>
      </c>
      <c r="I255" s="22" t="s">
        <v>129</v>
      </c>
      <c r="J255" s="8" t="str">
        <f>IFERROR(VLOOKUP($G255,今日總結!$A:$AN,39,0),"")</f>
        <v>主外</v>
      </c>
      <c r="K255" s="5">
        <f>IFERROR(VLOOKUP($G255,今日總結!$A:$AN,40,0),"")</f>
        <v>0</v>
      </c>
      <c r="L255" s="156">
        <f>IFERROR(VLOOKUP($G255,今日總結!$A:$AN,37,0),"")</f>
        <v>9</v>
      </c>
      <c r="M255" s="337">
        <f>IFERROR(VLOOKUP($G255,今日總結!$A:$AN,38,0),"")</f>
        <v>0</v>
      </c>
      <c r="N255" s="240">
        <f t="shared" si="50"/>
        <v>9</v>
      </c>
      <c r="O255" s="359">
        <f>IFERROR(VLOOKUP($G255,融外自投!$A:$J,7,0),"無")</f>
        <v>1114</v>
      </c>
      <c r="P255" s="79">
        <f>IFERROR(VLOOKUP($G255,融外自投!$A:$J,9,0),"無")</f>
        <v>336</v>
      </c>
      <c r="Q255" s="342">
        <f>IFERROR(VLOOKUP($G255,融外自投!$A:$J,8,0),"無")</f>
        <v>503</v>
      </c>
      <c r="R255" s="81">
        <f>IFERROR(VLOOKUP($G255,融外自投!$A:$J,10,0),"無")</f>
        <v>369</v>
      </c>
      <c r="S255" s="324">
        <f>IFERROR(VLOOKUP($G255,'321買'!$A:$E,4,0),"'沒有資料'")</f>
        <v>696</v>
      </c>
      <c r="T255" s="186">
        <f>IFERROR(VLOOKUP($G255,基本資料!$A:$J,9,0),"無")</f>
        <v>4</v>
      </c>
      <c r="U255" s="307">
        <f t="shared" si="51"/>
        <v>3.3333333333333333E-2</v>
      </c>
      <c r="V255" s="94">
        <f>IFERROR(VLOOKUP($G255,基本資料!$A:$J,10,0),"無")</f>
        <v>4.7300000000000004</v>
      </c>
      <c r="W255" s="36">
        <f>RTD("money.excel",,"1723","Price")</f>
        <v>120</v>
      </c>
      <c r="X255" s="66"/>
      <c r="Y255" s="15">
        <f t="shared" si="55"/>
        <v>120</v>
      </c>
      <c r="Z255" s="3" t="e">
        <f t="shared" si="56"/>
        <v>#DIV/0!</v>
      </c>
      <c r="AA255" s="340">
        <f>IFERROR(VLOOKUP($G255,基本資料!$A:$M,11,0),"無")</f>
        <v>-8.0500000000000007</v>
      </c>
      <c r="AB255" s="389">
        <f>IFERROR(VLOOKUP($G255,基本資料!$A:$M,12,0),"無")</f>
        <v>59.8</v>
      </c>
      <c r="AC255" s="22" t="s">
        <v>129</v>
      </c>
      <c r="AF255" s="33">
        <f t="shared" si="57"/>
        <v>0</v>
      </c>
      <c r="AG255" s="117" t="s">
        <v>1424</v>
      </c>
      <c r="AH255" s="66">
        <f t="shared" si="36"/>
        <v>1.0072419179249303</v>
      </c>
      <c r="AI255" s="283">
        <f>RTD("money.excel",,$G255,"PredictVolume")</f>
        <v>1064</v>
      </c>
      <c r="AJ255" s="391">
        <f>IFERROR(VLOOKUP($G255,基本資料!$A:$M,13,0),"無")</f>
        <v>1056.3499999999999</v>
      </c>
      <c r="AR255" s="245" t="str">
        <f>INDEX(基本資料!N:N,MATCH($G255,基本資料!A:A,0))</f>
        <v>中</v>
      </c>
    </row>
    <row r="256" spans="1:44">
      <c r="A256" s="343">
        <f>IFERROR(VLOOKUP($G256,基本資料!$A:$J,3,0),"無")</f>
        <v>18.18</v>
      </c>
      <c r="B256" s="79">
        <f>IFERROR(VLOOKUP($G256,基本資料!$A:$J,4,0),"無")</f>
        <v>28</v>
      </c>
      <c r="C256" s="79">
        <f>IFERROR(VLOOKUP($G256,基本資料!$A:$J,5,0),"無")</f>
        <v>61</v>
      </c>
      <c r="D256" s="79">
        <f>IFERROR(VLOOKUP($G256,基本資料!$A:$J,6,0),"無")</f>
        <v>-14</v>
      </c>
      <c r="E256" s="79">
        <f>IFERROR(VLOOKUP($G256,基本資料!$A:$J,7,0),"無")</f>
        <v>-6</v>
      </c>
      <c r="F256" s="6">
        <f>IFERROR(VLOOKUP($G256,基本資料!$A:$J,8,0),"無")</f>
        <v>2.2999999999999998</v>
      </c>
      <c r="G256" s="79">
        <v>1725</v>
      </c>
      <c r="H256" s="8" t="s">
        <v>3577</v>
      </c>
      <c r="I256" s="22" t="s">
        <v>765</v>
      </c>
      <c r="J256" s="8">
        <f>IFERROR(VLOOKUP($G256,今日總結!$A:$AN,39,0),"")</f>
        <v>0</v>
      </c>
      <c r="K256" s="5" t="str">
        <f>IFERROR(VLOOKUP($G256,今日總結!$A:$AN,40,0),"")</f>
        <v>融</v>
      </c>
      <c r="L256" s="156">
        <f>IFERROR(VLOOKUP($G256,今日總結!$A:$AN,37,0),"")</f>
        <v>0</v>
      </c>
      <c r="M256" s="337">
        <f>IFERROR(VLOOKUP($G256,今日總結!$A:$AN,38,0),"")</f>
        <v>1</v>
      </c>
      <c r="N256" s="240">
        <f t="shared" si="50"/>
        <v>-1</v>
      </c>
      <c r="O256" s="359">
        <f>IFERROR(VLOOKUP($G256,融外自投!$A:$J,7,0),"無")</f>
        <v>1225</v>
      </c>
      <c r="P256" s="79">
        <f>IFERROR(VLOOKUP($G256,融外自投!$A:$J,9,0),"無")</f>
        <v>1123</v>
      </c>
      <c r="Q256" s="342">
        <f>IFERROR(VLOOKUP($G256,融外自投!$A:$J,8,0),"無")</f>
        <v>1401</v>
      </c>
      <c r="R256" s="81" t="str">
        <f>IFERROR(VLOOKUP($G256,融外自投!$A:$J,10,0),"無")</f>
        <v>無</v>
      </c>
      <c r="S256" s="324">
        <f>IFERROR(VLOOKUP($G256,'321買'!$A:$E,4,0),"'沒有資料'")</f>
        <v>1002</v>
      </c>
      <c r="T256" s="186">
        <f>IFERROR(VLOOKUP($G256,基本資料!$A:$J,9,0),"無")</f>
        <v>1.23</v>
      </c>
      <c r="U256" s="307">
        <f t="shared" si="51"/>
        <v>5.7342657342657345E-2</v>
      </c>
      <c r="V256" s="94">
        <f>IFERROR(VLOOKUP($G256,基本資料!$A:$J,10,0),"無")</f>
        <v>1.76</v>
      </c>
      <c r="W256" s="36">
        <f>RTD("money.excel",,"1725","Price")</f>
        <v>21.45</v>
      </c>
      <c r="X256" s="66"/>
      <c r="Y256" s="15">
        <f t="shared" si="55"/>
        <v>21.45</v>
      </c>
      <c r="Z256" s="3" t="e">
        <f t="shared" si="56"/>
        <v>#DIV/0!</v>
      </c>
      <c r="AA256" s="340">
        <f>IFERROR(VLOOKUP($G256,基本資料!$A:$M,11,0),"無")</f>
        <v>-51.69</v>
      </c>
      <c r="AB256" s="389">
        <f>IFERROR(VLOOKUP($G256,基本資料!$A:$M,12,0),"無")</f>
        <v>11.32</v>
      </c>
      <c r="AC256" s="22" t="s">
        <v>765</v>
      </c>
      <c r="AF256" s="33">
        <f t="shared" si="57"/>
        <v>0</v>
      </c>
      <c r="AG256" s="43" t="s">
        <v>3599</v>
      </c>
      <c r="AH256" s="66">
        <f t="shared" si="36"/>
        <v>0.28836251287332648</v>
      </c>
      <c r="AI256" s="283">
        <f>RTD("money.excel",,$G256,"PredictVolume")</f>
        <v>14</v>
      </c>
      <c r="AJ256" s="391">
        <f>IFERROR(VLOOKUP($G256,基本資料!$A:$M,13,0),"無")</f>
        <v>48.55</v>
      </c>
      <c r="AR256" s="245" t="str">
        <f>INDEX(基本資料!N:N,MATCH($G256,基本資料!A:A,0))</f>
        <v>低</v>
      </c>
    </row>
    <row r="257" spans="1:44">
      <c r="A257" s="343">
        <f>IFERROR(VLOOKUP($G257,基本資料!$A:$J,3,0),"無")</f>
        <v>16.2</v>
      </c>
      <c r="B257" s="79">
        <f>IFERROR(VLOOKUP($G257,基本資料!$A:$J,4,0),"無")</f>
        <v>6</v>
      </c>
      <c r="C257" s="79">
        <f>IFERROR(VLOOKUP($G257,基本資料!$A:$J,5,0),"無")</f>
        <v>2</v>
      </c>
      <c r="D257" s="79">
        <f>IFERROR(VLOOKUP($G257,基本資料!$A:$J,6,0),"無")</f>
        <v>-22</v>
      </c>
      <c r="E257" s="79">
        <f>IFERROR(VLOOKUP($G257,基本資料!$A:$J,7,0),"無")</f>
        <v>11</v>
      </c>
      <c r="F257" s="6">
        <f>IFERROR(VLOOKUP($G257,基本資料!$A:$J,8,0),"無")</f>
        <v>11.31</v>
      </c>
      <c r="G257" s="79">
        <v>1726</v>
      </c>
      <c r="H257" s="8" t="s">
        <v>3577</v>
      </c>
      <c r="I257" s="22" t="s">
        <v>3600</v>
      </c>
      <c r="J257" s="8">
        <f>IFERROR(VLOOKUP($G257,今日總結!$A:$AN,39,0),"")</f>
        <v>0</v>
      </c>
      <c r="K257" s="5">
        <f>IFERROR(VLOOKUP($G257,今日總結!$A:$AN,40,0),"")</f>
        <v>0</v>
      </c>
      <c r="L257" s="156">
        <f>IFERROR(VLOOKUP($G257,今日總結!$A:$AN,37,0),"")</f>
        <v>0</v>
      </c>
      <c r="M257" s="337">
        <f>IFERROR(VLOOKUP($G257,今日總結!$A:$AN,38,0),"")</f>
        <v>0</v>
      </c>
      <c r="N257" s="240">
        <f t="shared" si="50"/>
        <v>0</v>
      </c>
      <c r="O257" s="359">
        <f>IFERROR(VLOOKUP($G257,融外自投!$A:$J,7,0),"無")</f>
        <v>1467</v>
      </c>
      <c r="P257" s="79" t="str">
        <f>IFERROR(VLOOKUP($G257,融外自投!$A:$J,9,0),"無")</f>
        <v>無</v>
      </c>
      <c r="Q257" s="342">
        <f>IFERROR(VLOOKUP($G257,融外自投!$A:$J,8,0),"無")</f>
        <v>401</v>
      </c>
      <c r="R257" s="81" t="str">
        <f>IFERROR(VLOOKUP($G257,融外自投!$A:$J,10,0),"無")</f>
        <v>無</v>
      </c>
      <c r="S257" s="324">
        <f>IFERROR(VLOOKUP($G257,'321買'!$A:$E,4,0),"'沒有資料'")</f>
        <v>1002</v>
      </c>
      <c r="T257" s="186">
        <f>IFERROR(VLOOKUP($G257,基本資料!$A:$J,9,0),"無")</f>
        <v>3.5</v>
      </c>
      <c r="U257" s="307">
        <f t="shared" si="51"/>
        <v>4.8746518105849582E-2</v>
      </c>
      <c r="V257" s="94">
        <f>IFERROR(VLOOKUP($G257,基本資料!$A:$J,10,0),"無")</f>
        <v>5.45</v>
      </c>
      <c r="W257" s="36">
        <f>RTD("money.excel",,"1726","Price")</f>
        <v>71.8</v>
      </c>
      <c r="X257" s="66"/>
      <c r="Y257" s="15">
        <f t="shared" si="55"/>
        <v>71.8</v>
      </c>
      <c r="Z257" s="3" t="e">
        <f t="shared" si="56"/>
        <v>#DIV/0!</v>
      </c>
      <c r="AA257" s="340">
        <f>IFERROR(VLOOKUP($G257,基本資料!$A:$M,11,0),"無")</f>
        <v>-7.35</v>
      </c>
      <c r="AB257" s="389">
        <f>IFERROR(VLOOKUP($G257,基本資料!$A:$M,12,0),"無")</f>
        <v>22.53</v>
      </c>
      <c r="AC257" s="22" t="s">
        <v>3600</v>
      </c>
      <c r="AF257" s="33">
        <f t="shared" si="57"/>
        <v>0</v>
      </c>
      <c r="AG257" s="43" t="s">
        <v>3601</v>
      </c>
      <c r="AH257" s="66">
        <f t="shared" si="36"/>
        <v>0.29455081001472749</v>
      </c>
      <c r="AI257" s="283">
        <f>RTD("money.excel",,$G257,"PredictVolume")</f>
        <v>10</v>
      </c>
      <c r="AJ257" s="391">
        <f>IFERROR(VLOOKUP($G257,基本資料!$A:$M,13,0),"無")</f>
        <v>33.950000000000003</v>
      </c>
      <c r="AR257" s="245" t="str">
        <f>INDEX(基本資料!N:N,MATCH($G257,基本資料!A:A,0))</f>
        <v>低</v>
      </c>
    </row>
    <row r="258" spans="1:44">
      <c r="A258" s="343">
        <f>IFERROR(VLOOKUP($G258,基本資料!$A:$J,3,0),"無")</f>
        <v>10.82</v>
      </c>
      <c r="B258" s="79">
        <f>IFERROR(VLOOKUP($G258,基本資料!$A:$J,4,0),"無")</f>
        <v>235</v>
      </c>
      <c r="C258" s="79">
        <f>IFERROR(VLOOKUP($G258,基本資料!$A:$J,5,0),"無")</f>
        <v>1317</v>
      </c>
      <c r="D258" s="79">
        <f>IFERROR(VLOOKUP($G258,基本資料!$A:$J,6,0),"無")</f>
        <v>-22</v>
      </c>
      <c r="E258" s="79">
        <f>IFERROR(VLOOKUP($G258,基本資料!$A:$J,7,0),"無")</f>
        <v>15</v>
      </c>
      <c r="F258" s="6">
        <f>IFERROR(VLOOKUP($G258,基本資料!$A:$J,8,0),"無")</f>
        <v>7.92</v>
      </c>
      <c r="G258" s="79">
        <v>1727</v>
      </c>
      <c r="H258" s="8" t="s">
        <v>3577</v>
      </c>
      <c r="I258" s="153" t="s">
        <v>3602</v>
      </c>
      <c r="J258" s="8">
        <f>IFERROR(VLOOKUP($G258,今日總結!$A:$AN,39,0),"")</f>
        <v>0</v>
      </c>
      <c r="K258" s="5">
        <f>IFERROR(VLOOKUP($G258,今日總結!$A:$AN,40,0),"")</f>
        <v>0</v>
      </c>
      <c r="L258" s="156">
        <f>IFERROR(VLOOKUP($G258,今日總結!$A:$AN,37,0),"")</f>
        <v>0</v>
      </c>
      <c r="M258" s="337">
        <f>IFERROR(VLOOKUP($G258,今日總結!$A:$AN,38,0),"")</f>
        <v>0</v>
      </c>
      <c r="N258" s="240">
        <f t="shared" si="50"/>
        <v>0</v>
      </c>
      <c r="O258" s="359">
        <f>IFERROR(VLOOKUP($G258,融外自投!$A:$J,7,0),"無")</f>
        <v>161</v>
      </c>
      <c r="P258" s="79">
        <f>IFERROR(VLOOKUP($G258,融外自投!$A:$J,9,0),"無")</f>
        <v>313</v>
      </c>
      <c r="Q258" s="342">
        <f>IFERROR(VLOOKUP($G258,融外自投!$A:$J,8,0),"無")</f>
        <v>993</v>
      </c>
      <c r="R258" s="81">
        <f>IFERROR(VLOOKUP($G258,融外自投!$A:$J,10,0),"無")</f>
        <v>377</v>
      </c>
      <c r="S258" s="324">
        <f>IFERROR(VLOOKUP($G258,'321買'!$A:$E,4,0),"'沒有資料'")</f>
        <v>49</v>
      </c>
      <c r="T258" s="186">
        <f>IFERROR(VLOOKUP($G258,基本資料!$A:$J,9,0),"無")</f>
        <v>0.52</v>
      </c>
      <c r="U258" s="307">
        <f t="shared" si="51"/>
        <v>1.368421052631579E-2</v>
      </c>
      <c r="V258" s="94">
        <f>IFERROR(VLOOKUP($G258,基本資料!$A:$J,10,0),"無")</f>
        <v>1.86</v>
      </c>
      <c r="W258" s="36">
        <f>RTD("money.excel",,"1727","Price")</f>
        <v>38</v>
      </c>
      <c r="X258" s="66"/>
      <c r="Y258" s="15">
        <f t="shared" si="55"/>
        <v>38</v>
      </c>
      <c r="Z258" s="3" t="e">
        <f t="shared" si="56"/>
        <v>#DIV/0!</v>
      </c>
      <c r="AA258" s="340">
        <f>IFERROR(VLOOKUP($G258,基本資料!$A:$M,11,0),"無")</f>
        <v>-38.31</v>
      </c>
      <c r="AB258" s="389">
        <f>IFERROR(VLOOKUP($G258,基本資料!$A:$M,12,0),"無")</f>
        <v>23.35</v>
      </c>
      <c r="AC258" s="22" t="s">
        <v>3602</v>
      </c>
      <c r="AF258" s="33">
        <f t="shared" si="57"/>
        <v>0</v>
      </c>
      <c r="AG258" s="43" t="s">
        <v>3603</v>
      </c>
      <c r="AH258" s="66">
        <f t="shared" si="36"/>
        <v>1.1158848976096616</v>
      </c>
      <c r="AI258" s="283">
        <f>RTD("money.excel",,$G258,"PredictVolume")</f>
        <v>3779</v>
      </c>
      <c r="AJ258" s="391">
        <f>IFERROR(VLOOKUP($G258,基本資料!$A:$M,13,0),"無")</f>
        <v>3386.55</v>
      </c>
      <c r="AR258" s="245" t="str">
        <f>INDEX(基本資料!N:N,MATCH($G258,基本資料!A:A,0))</f>
        <v>中</v>
      </c>
    </row>
    <row r="259" spans="1:44">
      <c r="A259" s="343">
        <f>IFERROR(VLOOKUP($G259,基本資料!$A:$J,3,0),"無")</f>
        <v>6.32</v>
      </c>
      <c r="B259" s="79">
        <f>IFERROR(VLOOKUP($G259,基本資料!$A:$J,4,0),"無")</f>
        <v>-24</v>
      </c>
      <c r="C259" s="79">
        <f>IFERROR(VLOOKUP($G259,基本資料!$A:$J,5,0),"無")</f>
        <v>6</v>
      </c>
      <c r="D259" s="79">
        <f>IFERROR(VLOOKUP($G259,基本資料!$A:$J,6,0),"無")</f>
        <v>-6</v>
      </c>
      <c r="E259" s="79">
        <f>IFERROR(VLOOKUP($G259,基本資料!$A:$J,7,0),"無")</f>
        <v>-6</v>
      </c>
      <c r="F259" s="6">
        <f>IFERROR(VLOOKUP($G259,基本資料!$A:$J,8,0),"無")</f>
        <v>10.72</v>
      </c>
      <c r="G259" s="79">
        <v>1730</v>
      </c>
      <c r="H259" s="8" t="s">
        <v>3577</v>
      </c>
      <c r="I259" s="22" t="s">
        <v>3604</v>
      </c>
      <c r="J259" s="8">
        <f>IFERROR(VLOOKUP($G259,今日總結!$A:$AN,39,0),"")</f>
        <v>0</v>
      </c>
      <c r="K259" s="5">
        <f>IFERROR(VLOOKUP($G259,今日總結!$A:$AN,40,0),"")</f>
        <v>0</v>
      </c>
      <c r="L259" s="156">
        <f>IFERROR(VLOOKUP($G259,今日總結!$A:$AN,37,0),"")</f>
        <v>0</v>
      </c>
      <c r="M259" s="337">
        <f>IFERROR(VLOOKUP($G259,今日總結!$A:$AN,38,0),"")</f>
        <v>0</v>
      </c>
      <c r="N259" s="240">
        <f t="shared" si="50"/>
        <v>0</v>
      </c>
      <c r="O259" s="359">
        <f>IFERROR(VLOOKUP($G259,融外自投!$A:$J,7,0),"無")</f>
        <v>1377</v>
      </c>
      <c r="P259" s="79">
        <f>IFERROR(VLOOKUP($G259,融外自投!$A:$J,9,0),"無")</f>
        <v>584</v>
      </c>
      <c r="Q259" s="342">
        <f>IFERROR(VLOOKUP($G259,融外自投!$A:$J,8,0),"無")</f>
        <v>639</v>
      </c>
      <c r="R259" s="81" t="str">
        <f>IFERROR(VLOOKUP($G259,融外自投!$A:$J,10,0),"無")</f>
        <v>無</v>
      </c>
      <c r="S259" s="324">
        <f>IFERROR(VLOOKUP($G259,'321買'!$A:$E,4,0),"'沒有資料'")</f>
        <v>1002</v>
      </c>
      <c r="T259" s="186">
        <f>IFERROR(VLOOKUP($G259,基本資料!$A:$J,9,0),"無")</f>
        <v>3</v>
      </c>
      <c r="U259" s="307">
        <f t="shared" si="51"/>
        <v>5.1724137931034482E-2</v>
      </c>
      <c r="V259" s="94">
        <f>IFERROR(VLOOKUP($G259,基本資料!$A:$J,10,0),"無")</f>
        <v>4.1399999999999997</v>
      </c>
      <c r="W259" s="36">
        <f>RTD("money.excel",,"1730","Price")</f>
        <v>58</v>
      </c>
      <c r="X259" s="66"/>
      <c r="Y259" s="15">
        <f t="shared" si="55"/>
        <v>58</v>
      </c>
      <c r="Z259" s="3" t="e">
        <f t="shared" si="56"/>
        <v>#DIV/0!</v>
      </c>
      <c r="AA259" s="340">
        <f>IFERROR(VLOOKUP($G259,基本資料!$A:$M,11,0),"無")</f>
        <v>-17.02</v>
      </c>
      <c r="AB259" s="389">
        <f>IFERROR(VLOOKUP($G259,基本資料!$A:$M,12,0),"無")</f>
        <v>7.79</v>
      </c>
      <c r="AC259" s="22" t="s">
        <v>3604</v>
      </c>
      <c r="AF259" s="33">
        <f t="shared" si="57"/>
        <v>0</v>
      </c>
      <c r="AG259" s="43" t="s">
        <v>3605</v>
      </c>
      <c r="AH259" s="66">
        <f t="shared" si="36"/>
        <v>1.0014727540500736</v>
      </c>
      <c r="AI259" s="283">
        <f>RTD("money.excel",,$G259,"PredictVolume")</f>
        <v>34</v>
      </c>
      <c r="AJ259" s="391">
        <f>IFERROR(VLOOKUP($G259,基本資料!$A:$M,13,0),"無")</f>
        <v>33.950000000000003</v>
      </c>
      <c r="AR259" s="245" t="str">
        <f>INDEX(基本資料!N:N,MATCH($G259,基本資料!A:A,0))</f>
        <v>低</v>
      </c>
    </row>
    <row r="260" spans="1:44">
      <c r="A260" s="343">
        <f>IFERROR(VLOOKUP($G260,基本資料!$A:$J,3,0),"無")</f>
        <v>4.24</v>
      </c>
      <c r="B260" s="79">
        <f>IFERROR(VLOOKUP($G260,基本資料!$A:$J,4,0),"無")</f>
        <v>-49</v>
      </c>
      <c r="C260" s="79">
        <f>IFERROR(VLOOKUP($G260,基本資料!$A:$J,5,0),"無")</f>
        <v>-63</v>
      </c>
      <c r="D260" s="79">
        <f>IFERROR(VLOOKUP($G260,基本資料!$A:$J,6,0),"無")</f>
        <v>2</v>
      </c>
      <c r="E260" s="79">
        <f>IFERROR(VLOOKUP($G260,基本資料!$A:$J,7,0),"無")</f>
        <v>-11</v>
      </c>
      <c r="F260" s="6">
        <f>IFERROR(VLOOKUP($G260,基本資料!$A:$J,8,0),"無")</f>
        <v>2.78</v>
      </c>
      <c r="G260" s="79">
        <v>1732</v>
      </c>
      <c r="H260" s="8" t="s">
        <v>755</v>
      </c>
      <c r="I260" s="22" t="s">
        <v>3606</v>
      </c>
      <c r="J260" s="8" t="str">
        <f>IFERROR(VLOOKUP($G260,今日總結!$A:$AN,39,0),"")</f>
        <v>券</v>
      </c>
      <c r="K260" s="5">
        <f>IFERROR(VLOOKUP($G260,今日總結!$A:$AN,40,0),"")</f>
        <v>0</v>
      </c>
      <c r="L260" s="156">
        <f>IFERROR(VLOOKUP($G260,今日總結!$A:$AN,37,0),"")</f>
        <v>4</v>
      </c>
      <c r="M260" s="337">
        <f>IFERROR(VLOOKUP($G260,今日總結!$A:$AN,38,0),"")</f>
        <v>0</v>
      </c>
      <c r="N260" s="240">
        <f t="shared" si="50"/>
        <v>4</v>
      </c>
      <c r="O260" s="359">
        <f>IFERROR(VLOOKUP($G260,融外自投!$A:$J,7,0),"無")</f>
        <v>215</v>
      </c>
      <c r="P260" s="79">
        <f>IFERROR(VLOOKUP($G260,融外自投!$A:$J,9,0),"無")</f>
        <v>77</v>
      </c>
      <c r="Q260" s="342">
        <f>IFERROR(VLOOKUP($G260,融外自投!$A:$J,8,0),"無")</f>
        <v>818</v>
      </c>
      <c r="R260" s="81">
        <f>IFERROR(VLOOKUP($G260,融外自投!$A:$J,10,0),"無")</f>
        <v>403</v>
      </c>
      <c r="S260" s="324">
        <f>IFERROR(VLOOKUP($G260,'321買'!$A:$E,4,0),"'沒有資料'")</f>
        <v>23</v>
      </c>
      <c r="T260" s="186">
        <f>IFERROR(VLOOKUP($G260,基本資料!$A:$J,9,0),"無")</f>
        <v>0.35</v>
      </c>
      <c r="U260" s="307">
        <f t="shared" si="51"/>
        <v>1.0130246020260492E-2</v>
      </c>
      <c r="V260" s="94">
        <f>IFERROR(VLOOKUP($G260,基本資料!$A:$J,10,0),"無")</f>
        <v>0.46</v>
      </c>
      <c r="W260" s="36">
        <f>RTD("money.excel",,"1732","Price")</f>
        <v>34.549999999999997</v>
      </c>
      <c r="X260" s="66"/>
      <c r="Y260" s="15">
        <f t="shared" si="55"/>
        <v>34.549999999999997</v>
      </c>
      <c r="Z260" s="3" t="e">
        <f t="shared" si="56"/>
        <v>#DIV/0!</v>
      </c>
      <c r="AA260" s="340">
        <f>IFERROR(VLOOKUP($G260,基本資料!$A:$M,11,0),"無")</f>
        <v>-35.78</v>
      </c>
      <c r="AB260" s="389">
        <f>IFERROR(VLOOKUP($G260,基本資料!$A:$M,12,0),"無")</f>
        <v>29.64</v>
      </c>
      <c r="AC260" s="22" t="s">
        <v>3606</v>
      </c>
      <c r="AF260" s="33">
        <f t="shared" si="57"/>
        <v>0</v>
      </c>
      <c r="AG260" s="43" t="s">
        <v>3607</v>
      </c>
      <c r="AH260" s="66">
        <f t="shared" si="36"/>
        <v>0.23605860350377553</v>
      </c>
      <c r="AI260" s="283">
        <f>RTD("money.excel",,$G260,"PredictVolume")</f>
        <v>2354</v>
      </c>
      <c r="AJ260" s="391">
        <f>IFERROR(VLOOKUP($G260,基本資料!$A:$M,13,0),"無")</f>
        <v>9972.1</v>
      </c>
      <c r="AR260" s="245" t="str">
        <f>INDEX(基本資料!N:N,MATCH($G260,基本資料!A:A,0))</f>
        <v>中</v>
      </c>
    </row>
    <row r="261" spans="1:44">
      <c r="A261" s="343">
        <f>IFERROR(VLOOKUP($G261,基本資料!$A:$J,3,0),"無")</f>
        <v>9.93</v>
      </c>
      <c r="B261" s="79">
        <f>IFERROR(VLOOKUP($G261,基本資料!$A:$J,4,0),"無")</f>
        <v>-86</v>
      </c>
      <c r="C261" s="79">
        <f>IFERROR(VLOOKUP($G261,基本資料!$A:$J,5,0),"無")</f>
        <v>-77</v>
      </c>
      <c r="D261" s="79">
        <f>IFERROR(VLOOKUP($G261,基本資料!$A:$J,6,0),"無")</f>
        <v>-23</v>
      </c>
      <c r="E261" s="79">
        <f>IFERROR(VLOOKUP($G261,基本資料!$A:$J,7,0),"無")</f>
        <v>-10</v>
      </c>
      <c r="F261" s="6">
        <f>IFERROR(VLOOKUP($G261,基本資料!$A:$J,8,0),"無")</f>
        <v>0.98</v>
      </c>
      <c r="G261" s="79">
        <v>1735</v>
      </c>
      <c r="H261" s="8" t="s">
        <v>3577</v>
      </c>
      <c r="I261" s="22" t="s">
        <v>3608</v>
      </c>
      <c r="J261" s="8">
        <f>IFERROR(VLOOKUP($G261,今日總結!$A:$AN,39,0),"")</f>
        <v>0</v>
      </c>
      <c r="K261" s="5">
        <f>IFERROR(VLOOKUP($G261,今日總結!$A:$AN,40,0),"")</f>
        <v>0</v>
      </c>
      <c r="L261" s="156">
        <f>IFERROR(VLOOKUP($G261,今日總結!$A:$AN,37,0),"")</f>
        <v>0</v>
      </c>
      <c r="M261" s="337">
        <f>IFERROR(VLOOKUP($G261,今日總結!$A:$AN,38,0),"")</f>
        <v>0</v>
      </c>
      <c r="N261" s="240">
        <f t="shared" ref="N261:N286" si="58">IFERROR(L261-M261,"")</f>
        <v>0</v>
      </c>
      <c r="O261" s="359">
        <f>IFERROR(VLOOKUP($G261,融外自投!$A:$J,7,0),"無")</f>
        <v>1340</v>
      </c>
      <c r="P261" s="79">
        <f>IFERROR(VLOOKUP($G261,融外自投!$A:$J,9,0),"無")</f>
        <v>1051</v>
      </c>
      <c r="Q261" s="342">
        <f>IFERROR(VLOOKUP($G261,融外自投!$A:$J,8,0),"無")</f>
        <v>78</v>
      </c>
      <c r="R261" s="81">
        <f>IFERROR(VLOOKUP($G261,融外自投!$A:$J,10,0),"無")</f>
        <v>358</v>
      </c>
      <c r="S261" s="324">
        <f>IFERROR(VLOOKUP($G261,'321買'!$A:$E,4,0),"'沒有資料'")</f>
        <v>1002</v>
      </c>
      <c r="T261" s="186">
        <f>IFERROR(VLOOKUP($G261,基本資料!$A:$J,9,0),"無")</f>
        <v>0</v>
      </c>
      <c r="U261" s="307">
        <f t="shared" si="51"/>
        <v>0</v>
      </c>
      <c r="V261" s="94">
        <f>IFERROR(VLOOKUP($G261,基本資料!$A:$J,10,0),"無")</f>
        <v>0.1</v>
      </c>
      <c r="W261" s="36">
        <f>RTD("money.excel",,"1735","Price")</f>
        <v>17</v>
      </c>
      <c r="X261" s="66"/>
      <c r="Y261" s="15">
        <f t="shared" si="55"/>
        <v>17</v>
      </c>
      <c r="Z261" s="3" t="e">
        <f t="shared" si="56"/>
        <v>#DIV/0!</v>
      </c>
      <c r="AA261" s="340">
        <f>IFERROR(VLOOKUP($G261,基本資料!$A:$M,11,0),"無")</f>
        <v>-10.050000000000001</v>
      </c>
      <c r="AB261" s="389">
        <f>IFERROR(VLOOKUP($G261,基本資料!$A:$M,12,0),"無")</f>
        <v>18.48</v>
      </c>
      <c r="AC261" s="22" t="s">
        <v>3608</v>
      </c>
      <c r="AF261" s="33">
        <f t="shared" si="57"/>
        <v>0</v>
      </c>
      <c r="AG261" s="43" t="s">
        <v>2550</v>
      </c>
      <c r="AH261" s="66">
        <f t="shared" ref="AH261:AH324" si="59">AI261/AJ261</f>
        <v>0.91603053435114501</v>
      </c>
      <c r="AI261" s="283">
        <f>RTD("money.excel",,$G261,"PredictVolume")</f>
        <v>6</v>
      </c>
      <c r="AJ261" s="391">
        <f>IFERROR(VLOOKUP($G261,基本資料!$A:$M,13,0),"無")</f>
        <v>6.55</v>
      </c>
      <c r="AR261" s="245" t="str">
        <f>INDEX(基本資料!N:N,MATCH($G261,基本資料!A:A,0))</f>
        <v>低</v>
      </c>
    </row>
    <row r="262" spans="1:44">
      <c r="A262" s="343">
        <f>IFERROR(VLOOKUP($G262,基本資料!$A:$J,3,0),"無")</f>
        <v>8.15</v>
      </c>
      <c r="B262" s="79">
        <f>IFERROR(VLOOKUP($G262,基本資料!$A:$J,4,0),"無")</f>
        <v>5772</v>
      </c>
      <c r="C262" s="79">
        <f>IFERROR(VLOOKUP($G262,基本資料!$A:$J,5,0),"無")</f>
        <v>-34</v>
      </c>
      <c r="D262" s="79">
        <f>IFERROR(VLOOKUP($G262,基本資料!$A:$J,6,0),"無")</f>
        <v>-49</v>
      </c>
      <c r="E262" s="79">
        <f>IFERROR(VLOOKUP($G262,基本資料!$A:$J,7,0),"無")</f>
        <v>81</v>
      </c>
      <c r="F262" s="6">
        <f>IFERROR(VLOOKUP($G262,基本資料!$A:$J,8,0),"無")</f>
        <v>2.91</v>
      </c>
      <c r="G262" s="79">
        <v>1742</v>
      </c>
      <c r="H262" s="8" t="s">
        <v>3577</v>
      </c>
      <c r="I262" s="16" t="s">
        <v>3609</v>
      </c>
      <c r="J262" s="8">
        <f>IFERROR(VLOOKUP($G262,今日總結!$A:$AN,39,0),"")</f>
        <v>0</v>
      </c>
      <c r="K262" s="5">
        <f>IFERROR(VLOOKUP($G262,今日總結!$A:$AN,40,0),"")</f>
        <v>0</v>
      </c>
      <c r="L262" s="156">
        <f>IFERROR(VLOOKUP($G262,今日總結!$A:$AN,37,0),"")</f>
        <v>0</v>
      </c>
      <c r="M262" s="337">
        <f>IFERROR(VLOOKUP($G262,今日總結!$A:$AN,38,0),"")</f>
        <v>0</v>
      </c>
      <c r="N262" s="240">
        <f t="shared" si="58"/>
        <v>0</v>
      </c>
      <c r="O262" s="359">
        <f>IFERROR(VLOOKUP($G262,融外自投!$A:$J,7,0),"無")</f>
        <v>23</v>
      </c>
      <c r="P262" s="79">
        <f>IFERROR(VLOOKUP($G262,融外自投!$A:$J,9,0),"無")</f>
        <v>825</v>
      </c>
      <c r="Q262" s="342">
        <f>IFERROR(VLOOKUP($G262,融外自投!$A:$J,8,0),"無")</f>
        <v>1395</v>
      </c>
      <c r="R262" s="81" t="str">
        <f>IFERROR(VLOOKUP($G262,融外自投!$A:$J,10,0),"無")</f>
        <v>無</v>
      </c>
      <c r="S262" s="324">
        <f>IFERROR(VLOOKUP($G262,'321買'!$A:$E,4,0),"'沒有資料'")</f>
        <v>801</v>
      </c>
      <c r="T262" s="186">
        <f>IFERROR(VLOOKUP($G262,基本資料!$A:$J,9,0),"無")</f>
        <v>1.7</v>
      </c>
      <c r="U262" s="307">
        <f t="shared" si="51"/>
        <v>8.2324455205811137E-2</v>
      </c>
      <c r="V262" s="94">
        <f>IFERROR(VLOOKUP($G262,基本資料!$A:$J,10,0),"無")</f>
        <v>5.16</v>
      </c>
      <c r="W262" s="36">
        <f>RTD("money.excel",,"1742","Price")</f>
        <v>20.65</v>
      </c>
      <c r="X262" s="66"/>
      <c r="Y262" s="15">
        <f t="shared" si="55"/>
        <v>20.65</v>
      </c>
      <c r="Z262" s="3" t="e">
        <f t="shared" si="56"/>
        <v>#DIV/0!</v>
      </c>
      <c r="AA262" s="340">
        <f>IFERROR(VLOOKUP($G262,基本資料!$A:$M,11,0),"無")</f>
        <v>-16.399999999999999</v>
      </c>
      <c r="AB262" s="389">
        <f>IFERROR(VLOOKUP($G262,基本資料!$A:$M,12,0),"無")</f>
        <v>21.57</v>
      </c>
      <c r="AC262" s="16" t="s">
        <v>3609</v>
      </c>
      <c r="AF262" s="33">
        <f t="shared" si="57"/>
        <v>0</v>
      </c>
      <c r="AG262" s="43" t="s">
        <v>3610</v>
      </c>
      <c r="AH262" s="66">
        <f t="shared" si="59"/>
        <v>1.0931399888455102</v>
      </c>
      <c r="AI262" s="283">
        <f>RTD("money.excel",,$G262,"PredictVolume")</f>
        <v>98</v>
      </c>
      <c r="AJ262" s="391">
        <f>IFERROR(VLOOKUP($G262,基本資料!$A:$M,13,0),"無")</f>
        <v>89.65</v>
      </c>
      <c r="AR262" s="245" t="str">
        <f>INDEX(基本資料!N:N,MATCH($G262,基本資料!A:A,0))</f>
        <v>中</v>
      </c>
    </row>
    <row r="263" spans="1:44">
      <c r="A263" s="343">
        <f>IFERROR(VLOOKUP($G263,基本資料!$A:$J,3,0),"無")</f>
        <v>20</v>
      </c>
      <c r="B263" s="79">
        <f>IFERROR(VLOOKUP($G263,基本資料!$A:$J,4,0),"無")</f>
        <v>37</v>
      </c>
      <c r="C263" s="79">
        <f>IFERROR(VLOOKUP($G263,基本資料!$A:$J,5,0),"無")</f>
        <v>38</v>
      </c>
      <c r="D263" s="79">
        <f>IFERROR(VLOOKUP($G263,基本資料!$A:$J,6,0),"無")</f>
        <v>-9</v>
      </c>
      <c r="E263" s="79">
        <f>IFERROR(VLOOKUP($G263,基本資料!$A:$J,7,0),"無")</f>
        <v>15</v>
      </c>
      <c r="F263" s="6">
        <f>IFERROR(VLOOKUP($G263,基本資料!$A:$J,8,0),"無")</f>
        <v>17.12</v>
      </c>
      <c r="G263" s="79">
        <v>1773</v>
      </c>
      <c r="H263" s="8" t="s">
        <v>3577</v>
      </c>
      <c r="I263" s="22" t="s">
        <v>3611</v>
      </c>
      <c r="J263" s="8">
        <f>IFERROR(VLOOKUP($G263,今日總結!$A:$AN,39,0),"")</f>
        <v>0</v>
      </c>
      <c r="K263" s="5" t="str">
        <f>IFERROR(VLOOKUP($G263,今日總結!$A:$AN,40,0),"")</f>
        <v>借</v>
      </c>
      <c r="L263" s="156">
        <f>IFERROR(VLOOKUP($G263,今日總結!$A:$AN,37,0),"")</f>
        <v>0</v>
      </c>
      <c r="M263" s="337">
        <f>IFERROR(VLOOKUP($G263,今日總結!$A:$AN,38,0),"")</f>
        <v>1</v>
      </c>
      <c r="N263" s="240">
        <f t="shared" si="58"/>
        <v>-1</v>
      </c>
      <c r="O263" s="359">
        <f>IFERROR(VLOOKUP($G263,融外自投!$A:$J,7,0),"無")</f>
        <v>1262</v>
      </c>
      <c r="P263" s="79">
        <f>IFERROR(VLOOKUP($G263,融外自投!$A:$J,9,0),"無")</f>
        <v>1051</v>
      </c>
      <c r="Q263" s="342">
        <f>IFERROR(VLOOKUP($G263,融外自投!$A:$J,8,0),"無")</f>
        <v>668</v>
      </c>
      <c r="R263" s="81">
        <f>IFERROR(VLOOKUP($G263,融外自投!$A:$J,10,0),"無")</f>
        <v>354</v>
      </c>
      <c r="S263" s="324">
        <f>IFERROR(VLOOKUP($G263,'321買'!$A:$E,4,0),"'沒有資料'")</f>
        <v>696</v>
      </c>
      <c r="T263" s="186">
        <f>IFERROR(VLOOKUP($G263,基本資料!$A:$J,9,0),"無")</f>
        <v>5.5</v>
      </c>
      <c r="U263" s="307">
        <f t="shared" si="51"/>
        <v>2.7707808564231738E-2</v>
      </c>
      <c r="V263" s="94">
        <f>IFERROR(VLOOKUP($G263,基本資料!$A:$J,10,0),"無")</f>
        <v>8.08</v>
      </c>
      <c r="W263" s="36">
        <f>RTD("money.excel",,"1773","Price")</f>
        <v>198.5</v>
      </c>
      <c r="X263" s="66"/>
      <c r="Y263" s="15">
        <f t="shared" si="55"/>
        <v>198.5</v>
      </c>
      <c r="Z263" s="3" t="e">
        <f t="shared" si="56"/>
        <v>#DIV/0!</v>
      </c>
      <c r="AA263" s="340">
        <f>IFERROR(VLOOKUP($G263,基本資料!$A:$M,11,0),"無")</f>
        <v>-15.35</v>
      </c>
      <c r="AB263" s="389">
        <f>IFERROR(VLOOKUP($G263,基本資料!$A:$M,12,0),"無")</f>
        <v>32.06</v>
      </c>
      <c r="AC263" s="22" t="s">
        <v>3611</v>
      </c>
      <c r="AF263" s="33">
        <f t="shared" si="57"/>
        <v>0</v>
      </c>
      <c r="AG263" s="43" t="s">
        <v>3612</v>
      </c>
      <c r="AH263" s="66">
        <f t="shared" si="59"/>
        <v>0.84630738522954096</v>
      </c>
      <c r="AI263" s="283">
        <f>RTD("money.excel",,$G263,"PredictVolume")</f>
        <v>318</v>
      </c>
      <c r="AJ263" s="391">
        <f>IFERROR(VLOOKUP($G263,基本資料!$A:$M,13,0),"無")</f>
        <v>375.75</v>
      </c>
      <c r="AR263" s="245" t="str">
        <f>INDEX(基本資料!N:N,MATCH($G263,基本資料!A:A,0))</f>
        <v>高</v>
      </c>
    </row>
    <row r="264" spans="1:44">
      <c r="A264" s="343">
        <f>IFERROR(VLOOKUP($G264,基本資料!$A:$J,3,0),"無")</f>
        <v>7.03</v>
      </c>
      <c r="B264" s="79">
        <f>IFERROR(VLOOKUP($G264,基本資料!$A:$J,4,0),"無")</f>
        <v>181</v>
      </c>
      <c r="C264" s="79">
        <f>IFERROR(VLOOKUP($G264,基本資料!$A:$J,5,0),"無")</f>
        <v>3</v>
      </c>
      <c r="D264" s="79">
        <f>IFERROR(VLOOKUP($G264,基本資料!$A:$J,6,0),"無")</f>
        <v>-18</v>
      </c>
      <c r="E264" s="79">
        <f>IFERROR(VLOOKUP($G264,基本資料!$A:$J,7,0),"無")</f>
        <v>10</v>
      </c>
      <c r="F264" s="6">
        <f>IFERROR(VLOOKUP($G264,基本資料!$A:$J,8,0),"無")</f>
        <v>6.13</v>
      </c>
      <c r="G264" s="79">
        <v>1776</v>
      </c>
      <c r="H264" s="8" t="s">
        <v>3577</v>
      </c>
      <c r="I264" s="22" t="s">
        <v>3613</v>
      </c>
      <c r="J264" s="8">
        <f>IFERROR(VLOOKUP($G264,今日總結!$A:$AN,39,0),"")</f>
        <v>0</v>
      </c>
      <c r="K264" s="5">
        <f>IFERROR(VLOOKUP($G264,今日總結!$A:$AN,40,0),"")</f>
        <v>0</v>
      </c>
      <c r="L264" s="156">
        <f>IFERROR(VLOOKUP($G264,今日總結!$A:$AN,37,0),"")</f>
        <v>0</v>
      </c>
      <c r="M264" s="337">
        <f>IFERROR(VLOOKUP($G264,今日總結!$A:$AN,38,0),"")</f>
        <v>0</v>
      </c>
      <c r="N264" s="240">
        <f t="shared" si="58"/>
        <v>0</v>
      </c>
      <c r="O264" s="359">
        <f>IFERROR(VLOOKUP($G264,融外自投!$A:$J,7,0),"無")</f>
        <v>1020</v>
      </c>
      <c r="P264" s="79">
        <f>IFERROR(VLOOKUP($G264,融外自投!$A:$J,9,0),"無")</f>
        <v>1051</v>
      </c>
      <c r="Q264" s="342">
        <f>IFERROR(VLOOKUP($G264,融外自投!$A:$J,8,0),"無")</f>
        <v>1230</v>
      </c>
      <c r="R264" s="81" t="str">
        <f>IFERROR(VLOOKUP($G264,融外自投!$A:$J,10,0),"無")</f>
        <v>無</v>
      </c>
      <c r="S264" s="324">
        <f>IFERROR(VLOOKUP($G264,'321買'!$A:$E,4,0),"'沒有資料'")</f>
        <v>696</v>
      </c>
      <c r="T264" s="186">
        <f>IFERROR(VLOOKUP($G264,基本資料!$A:$J,9,0),"無")</f>
        <v>1.5</v>
      </c>
      <c r="U264" s="307">
        <f t="shared" si="51"/>
        <v>7.6923076923076927E-2</v>
      </c>
      <c r="V264" s="94">
        <f>IFERROR(VLOOKUP($G264,基本資料!$A:$J,10,0),"無")</f>
        <v>2.0499999999999998</v>
      </c>
      <c r="W264" s="36">
        <f>RTD("money.excel",,"1776","Price")</f>
        <v>19.5</v>
      </c>
      <c r="X264" s="66"/>
      <c r="Y264" s="15">
        <f t="shared" si="55"/>
        <v>19.5</v>
      </c>
      <c r="Z264" s="3" t="e">
        <f t="shared" si="56"/>
        <v>#DIV/0!</v>
      </c>
      <c r="AA264" s="340">
        <f>IFERROR(VLOOKUP($G264,基本資料!$A:$M,11,0),"無")</f>
        <v>-34.78</v>
      </c>
      <c r="AB264" s="389">
        <f>IFERROR(VLOOKUP($G264,基本資料!$A:$M,12,0),"無")</f>
        <v>18.98</v>
      </c>
      <c r="AC264" s="22" t="s">
        <v>3613</v>
      </c>
      <c r="AF264" s="33">
        <f t="shared" si="57"/>
        <v>0</v>
      </c>
      <c r="AG264" s="43" t="s">
        <v>3614</v>
      </c>
      <c r="AH264" s="66">
        <f t="shared" si="59"/>
        <v>0.71499503475670301</v>
      </c>
      <c r="AI264" s="283">
        <f>RTD("money.excel",,$G264,"PredictVolume")</f>
        <v>36</v>
      </c>
      <c r="AJ264" s="391">
        <f>IFERROR(VLOOKUP($G264,基本資料!$A:$M,13,0),"無")</f>
        <v>50.35</v>
      </c>
      <c r="AR264" s="245" t="str">
        <f>INDEX(基本資料!N:N,MATCH($G264,基本資料!A:A,0))</f>
        <v>低</v>
      </c>
    </row>
    <row r="265" spans="1:44">
      <c r="A265" s="343">
        <f>IFERROR(VLOOKUP($G265,基本資料!$A:$J,3,0),"無")</f>
        <v>9.35</v>
      </c>
      <c r="B265" s="79">
        <f>IFERROR(VLOOKUP($G265,基本資料!$A:$J,4,0),"無")</f>
        <v>-69</v>
      </c>
      <c r="C265" s="79">
        <f>IFERROR(VLOOKUP($G265,基本資料!$A:$J,5,0),"無")</f>
        <v>-80</v>
      </c>
      <c r="D265" s="79">
        <f>IFERROR(VLOOKUP($G265,基本資料!$A:$J,6,0),"無")</f>
        <v>-7</v>
      </c>
      <c r="E265" s="79">
        <f>IFERROR(VLOOKUP($G265,基本資料!$A:$J,7,0),"無")</f>
        <v>-28</v>
      </c>
      <c r="F265" s="6">
        <f>IFERROR(VLOOKUP($G265,基本資料!$A:$J,8,0),"無")</f>
        <v>1.39</v>
      </c>
      <c r="G265" s="79">
        <v>3708</v>
      </c>
      <c r="H265" s="8" t="s">
        <v>755</v>
      </c>
      <c r="I265" s="22" t="s">
        <v>3615</v>
      </c>
      <c r="J265" s="8" t="str">
        <f>IFERROR(VLOOKUP($G265,今日總結!$A:$AN,39,0),"")</f>
        <v>46自投</v>
      </c>
      <c r="K265" s="5">
        <f>IFERROR(VLOOKUP($G265,今日總結!$A:$AN,40,0),"")</f>
        <v>3</v>
      </c>
      <c r="L265" s="156">
        <f>IFERROR(VLOOKUP($G265,今日總結!$A:$AN,37,0),"")</f>
        <v>5</v>
      </c>
      <c r="M265" s="337">
        <f>IFERROR(VLOOKUP($G265,今日總結!$A:$AN,38,0),"")</f>
        <v>1</v>
      </c>
      <c r="N265" s="240">
        <f t="shared" si="58"/>
        <v>4</v>
      </c>
      <c r="O265" s="359">
        <f>IFERROR(VLOOKUP($G265,融外自投!$A:$J,7,0),"無")</f>
        <v>135</v>
      </c>
      <c r="P265" s="79">
        <f>IFERROR(VLOOKUP($G265,融外自投!$A:$J,9,0),"無")</f>
        <v>142</v>
      </c>
      <c r="Q265" s="342">
        <f>IFERROR(VLOOKUP($G265,融外自投!$A:$J,8,0),"無")</f>
        <v>357</v>
      </c>
      <c r="R265" s="81">
        <f>IFERROR(VLOOKUP($G265,融外自投!$A:$J,10,0),"無")</f>
        <v>14</v>
      </c>
      <c r="S265" s="324">
        <f>IFERROR(VLOOKUP($G265,'321買'!$A:$E,4,0),"'沒有資料'")</f>
        <v>101</v>
      </c>
      <c r="T265" s="186">
        <f>IFERROR(VLOOKUP($G265,基本資料!$A:$J,9,0),"無")</f>
        <v>1.5</v>
      </c>
      <c r="U265" s="307">
        <f t="shared" si="51"/>
        <v>1.098901098901099E-2</v>
      </c>
      <c r="V265" s="94">
        <f>IFERROR(VLOOKUP($G265,基本資料!$A:$J,10,0),"無")</f>
        <v>2.0099999999999998</v>
      </c>
      <c r="W265" s="36">
        <f>RTD("money.excel",,"3708","Price")</f>
        <v>136.5</v>
      </c>
      <c r="X265" s="66"/>
      <c r="Y265" s="15">
        <f t="shared" si="55"/>
        <v>136.5</v>
      </c>
      <c r="Z265" s="3" t="e">
        <f t="shared" si="56"/>
        <v>#DIV/0!</v>
      </c>
      <c r="AA265" s="340">
        <f>IFERROR(VLOOKUP($G265,基本資料!$A:$M,11,0),"無")</f>
        <v>-6.19</v>
      </c>
      <c r="AB265" s="389">
        <f>IFERROR(VLOOKUP($G265,基本資料!$A:$M,12,0),"無")</f>
        <v>76.39</v>
      </c>
      <c r="AC265" s="22" t="s">
        <v>3615</v>
      </c>
      <c r="AF265" s="33">
        <f t="shared" si="57"/>
        <v>0</v>
      </c>
      <c r="AG265" s="43" t="s">
        <v>3616</v>
      </c>
      <c r="AH265" s="66">
        <f t="shared" si="59"/>
        <v>1.3374592526101949</v>
      </c>
      <c r="AI265" s="283">
        <f>RTD("money.excel",,$G265,"PredictVolume")</f>
        <v>16986</v>
      </c>
      <c r="AJ265" s="391">
        <f>IFERROR(VLOOKUP($G265,基本資料!$A:$M,13,0),"無")</f>
        <v>12700.2</v>
      </c>
      <c r="AR265" s="245" t="str">
        <f>INDEX(基本資料!N:N,MATCH($G265,基本資料!A:A,0))</f>
        <v>高</v>
      </c>
    </row>
    <row r="266" spans="1:44">
      <c r="A266" s="343">
        <f>IFERROR(VLOOKUP($G266,基本資料!$A:$J,3,0),"無")</f>
        <v>7.23</v>
      </c>
      <c r="B266" s="79">
        <f>IFERROR(VLOOKUP($G266,基本資料!$A:$J,4,0),"無")</f>
        <v>91</v>
      </c>
      <c r="C266" s="79">
        <f>IFERROR(VLOOKUP($G266,基本資料!$A:$J,5,0),"無")</f>
        <v>115</v>
      </c>
      <c r="D266" s="79">
        <f>IFERROR(VLOOKUP($G266,基本資料!$A:$J,6,0),"無")</f>
        <v>-28</v>
      </c>
      <c r="E266" s="79">
        <f>IFERROR(VLOOKUP($G266,基本資料!$A:$J,7,0),"無")</f>
        <v>-28</v>
      </c>
      <c r="F266" s="6">
        <f>IFERROR(VLOOKUP($G266,基本資料!$A:$J,8,0),"無")</f>
        <v>0.56999999999999995</v>
      </c>
      <c r="G266" s="79">
        <v>4702</v>
      </c>
      <c r="H266" s="8" t="s">
        <v>3577</v>
      </c>
      <c r="I266" s="16" t="s">
        <v>3617</v>
      </c>
      <c r="J266" s="8">
        <f>IFERROR(VLOOKUP($G266,今日總結!$A:$AN,39,0),"")</f>
        <v>0</v>
      </c>
      <c r="K266" s="5">
        <f>IFERROR(VLOOKUP($G266,今日總結!$A:$AN,40,0),"")</f>
        <v>0</v>
      </c>
      <c r="L266" s="156">
        <f>IFERROR(VLOOKUP($G266,今日總結!$A:$AN,37,0),"")</f>
        <v>0</v>
      </c>
      <c r="M266" s="337">
        <f>IFERROR(VLOOKUP($G266,今日總結!$A:$AN,38,0),"")</f>
        <v>0</v>
      </c>
      <c r="N266" s="240">
        <f t="shared" si="58"/>
        <v>0</v>
      </c>
      <c r="O266" s="359">
        <f>IFERROR(VLOOKUP($G266,融外自投!$A:$J,7,0),"無")</f>
        <v>429</v>
      </c>
      <c r="P266" s="79" t="str">
        <f>IFERROR(VLOOKUP($G266,融外自投!$A:$J,9,0),"無")</f>
        <v>無</v>
      </c>
      <c r="Q266" s="342">
        <f>IFERROR(VLOOKUP($G266,融外自投!$A:$J,8,0),"無")</f>
        <v>79</v>
      </c>
      <c r="R266" s="81" t="str">
        <f>IFERROR(VLOOKUP($G266,融外自投!$A:$J,10,0),"無")</f>
        <v>無</v>
      </c>
      <c r="S266" s="324">
        <f>IFERROR(VLOOKUP($G266,'321買'!$A:$E,4,0),"'沒有資料'")</f>
        <v>343</v>
      </c>
      <c r="T266" s="186">
        <f>IFERROR(VLOOKUP($G266,基本資料!$A:$J,9,0),"無")</f>
        <v>0</v>
      </c>
      <c r="U266" s="307">
        <f t="shared" si="51"/>
        <v>0</v>
      </c>
      <c r="V266" s="94">
        <f>IFERROR(VLOOKUP($G266,基本資料!$A:$J,10,0),"無")</f>
        <v>1.1499999999999999</v>
      </c>
      <c r="W266" s="36">
        <f>RTD("money.excel",,"4702","Price")</f>
        <v>15.45</v>
      </c>
      <c r="X266" s="66"/>
      <c r="Y266" s="15">
        <f t="shared" si="55"/>
        <v>15.45</v>
      </c>
      <c r="Z266" s="3" t="e">
        <f t="shared" si="56"/>
        <v>#DIV/0!</v>
      </c>
      <c r="AA266" s="340">
        <f>IFERROR(VLOOKUP($G266,基本資料!$A:$M,11,0),"無")</f>
        <v>-30.56</v>
      </c>
      <c r="AB266" s="389">
        <f>IFERROR(VLOOKUP($G266,基本資料!$A:$M,12,0),"無")</f>
        <v>27.95</v>
      </c>
      <c r="AC266" s="16" t="s">
        <v>3617</v>
      </c>
      <c r="AF266" s="33">
        <f t="shared" si="57"/>
        <v>0</v>
      </c>
      <c r="AG266" s="43" t="s">
        <v>2636</v>
      </c>
      <c r="AH266" s="66">
        <f t="shared" si="59"/>
        <v>0.61577658659254852</v>
      </c>
      <c r="AI266" s="283">
        <f>RTD("money.excel",,$G266,"PredictVolume")</f>
        <v>1861</v>
      </c>
      <c r="AJ266" s="391">
        <f>IFERROR(VLOOKUP($G266,基本資料!$A:$M,13,0),"無")</f>
        <v>3022.2</v>
      </c>
      <c r="AR266" s="245" t="str">
        <f>INDEX(基本資料!N:N,MATCH($G266,基本資料!A:A,0))</f>
        <v>低</v>
      </c>
    </row>
    <row r="267" spans="1:44">
      <c r="A267" s="343">
        <f>IFERROR(VLOOKUP($G267,基本資料!$A:$J,3,0),"無")</f>
        <v>7.9</v>
      </c>
      <c r="B267" s="79">
        <f>IFERROR(VLOOKUP($G267,基本資料!$A:$J,4,0),"無")</f>
        <v>-7</v>
      </c>
      <c r="C267" s="79">
        <f>IFERROR(VLOOKUP($G267,基本資料!$A:$J,5,0),"無")</f>
        <v>19</v>
      </c>
      <c r="D267" s="79">
        <f>IFERROR(VLOOKUP($G267,基本資料!$A:$J,6,0),"無")</f>
        <v>-46</v>
      </c>
      <c r="E267" s="79">
        <f>IFERROR(VLOOKUP($G267,基本資料!$A:$J,7,0),"無")</f>
        <v>-39</v>
      </c>
      <c r="F267" s="6">
        <f>IFERROR(VLOOKUP($G267,基本資料!$A:$J,8,0),"無")</f>
        <v>7.7</v>
      </c>
      <c r="G267" s="79">
        <v>4706</v>
      </c>
      <c r="H267" s="8" t="s">
        <v>3577</v>
      </c>
      <c r="I267" s="16" t="s">
        <v>3618</v>
      </c>
      <c r="J267" s="8" t="str">
        <f>IFERROR(VLOOKUP($G267,今日總結!$A:$AN,39,0),"")</f>
        <v/>
      </c>
      <c r="K267" s="5" t="str">
        <f>IFERROR(VLOOKUP($G267,今日總結!$A:$AN,40,0),"")</f>
        <v/>
      </c>
      <c r="L267" s="156" t="str">
        <f>IFERROR(VLOOKUP($G267,今日總結!$A:$AN,37,0),"")</f>
        <v/>
      </c>
      <c r="M267" s="337" t="str">
        <f>IFERROR(VLOOKUP($G267,今日總結!$A:$AN,38,0),"")</f>
        <v/>
      </c>
      <c r="N267" s="240" t="str">
        <f t="shared" si="58"/>
        <v/>
      </c>
      <c r="O267" s="359">
        <f>IFERROR(VLOOKUP($G267,融外自投!$A:$J,7,0),"無")</f>
        <v>1365</v>
      </c>
      <c r="P267" s="79">
        <f>IFERROR(VLOOKUP($G267,融外自投!$A:$J,9,0),"無")</f>
        <v>1123</v>
      </c>
      <c r="Q267" s="342">
        <f>IFERROR(VLOOKUP($G267,融外自投!$A:$J,8,0),"無")</f>
        <v>173</v>
      </c>
      <c r="R267" s="81" t="str">
        <f>IFERROR(VLOOKUP($G267,融外自投!$A:$J,10,0),"無")</f>
        <v>無</v>
      </c>
      <c r="S267" s="324" t="str">
        <f>IFERROR(VLOOKUP($G267,'321買'!$A:$E,4,0),"'沒有資料'")</f>
        <v>'沒有資料'</v>
      </c>
      <c r="T267" s="186">
        <f>IFERROR(VLOOKUP($G267,基本資料!$A:$J,9,0),"無")</f>
        <v>0.9</v>
      </c>
      <c r="U267" s="307" t="e">
        <f t="shared" si="51"/>
        <v>#VALUE!</v>
      </c>
      <c r="V267" s="94">
        <f>IFERROR(VLOOKUP($G267,基本資料!$A:$J,10,0),"無")</f>
        <v>1.1299999999999999</v>
      </c>
      <c r="W267" s="36" t="str">
        <f>RTD("money.excel",,"4706","Price")</f>
        <v>無資料</v>
      </c>
      <c r="X267" s="66"/>
      <c r="Y267" s="15" t="e">
        <f t="shared" si="55"/>
        <v>#VALUE!</v>
      </c>
      <c r="Z267" s="3" t="e">
        <f t="shared" si="56"/>
        <v>#VALUE!</v>
      </c>
      <c r="AA267" s="340">
        <f>IFERROR(VLOOKUP($G267,基本資料!$A:$M,11,0),"無")</f>
        <v>-21.02</v>
      </c>
      <c r="AB267" s="389">
        <f>IFERROR(VLOOKUP($G267,基本資料!$A:$M,12,0),"無")</f>
        <v>24.92</v>
      </c>
      <c r="AC267" s="16" t="s">
        <v>3618</v>
      </c>
      <c r="AF267" s="33">
        <f t="shared" si="57"/>
        <v>0</v>
      </c>
      <c r="AG267" s="43" t="s">
        <v>3619</v>
      </c>
      <c r="AH267" s="66">
        <f t="shared" si="59"/>
        <v>0</v>
      </c>
      <c r="AI267" s="283">
        <f>RTD("money.excel",,$G267,"PredictVolume")</f>
        <v>0</v>
      </c>
      <c r="AJ267" s="391">
        <f>IFERROR(VLOOKUP($G267,基本資料!$A:$M,13,0),"無")</f>
        <v>23.45</v>
      </c>
      <c r="AR267" s="245" t="str">
        <f>INDEX(基本資料!N:N,MATCH($G267,基本資料!A:A,0))</f>
        <v>低</v>
      </c>
    </row>
    <row r="268" spans="1:44">
      <c r="A268" s="343">
        <f>IFERROR(VLOOKUP($G268,基本資料!$A:$J,3,0),"無")</f>
        <v>32.799999999999997</v>
      </c>
      <c r="B268" s="79">
        <f>IFERROR(VLOOKUP($G268,基本資料!$A:$J,4,0),"無")</f>
        <v>38</v>
      </c>
      <c r="C268" s="79">
        <f>IFERROR(VLOOKUP($G268,基本資料!$A:$J,5,0),"無")</f>
        <v>67</v>
      </c>
      <c r="D268" s="79">
        <f>IFERROR(VLOOKUP($G268,基本資料!$A:$J,6,0),"無")</f>
        <v>137</v>
      </c>
      <c r="E268" s="79">
        <f>IFERROR(VLOOKUP($G268,基本資料!$A:$J,7,0),"無")</f>
        <v>82</v>
      </c>
      <c r="F268" s="6">
        <f>IFERROR(VLOOKUP($G268,基本資料!$A:$J,8,0),"無")</f>
        <v>4.0599999999999996</v>
      </c>
      <c r="G268" s="79">
        <v>4707</v>
      </c>
      <c r="H268" s="8" t="s">
        <v>3577</v>
      </c>
      <c r="I268" s="16" t="s">
        <v>3620</v>
      </c>
      <c r="J268" s="8">
        <f>IFERROR(VLOOKUP($G268,今日總結!$A:$AN,39,0),"")</f>
        <v>0</v>
      </c>
      <c r="K268" s="5">
        <f>IFERROR(VLOOKUP($G268,今日總結!$A:$AN,40,0),"")</f>
        <v>0</v>
      </c>
      <c r="L268" s="156">
        <f>IFERROR(VLOOKUP($G268,今日總結!$A:$AN,37,0),"")</f>
        <v>0</v>
      </c>
      <c r="M268" s="337">
        <f>IFERROR(VLOOKUP($G268,今日總結!$A:$AN,38,0),"")</f>
        <v>0</v>
      </c>
      <c r="N268" s="240">
        <f t="shared" si="58"/>
        <v>0</v>
      </c>
      <c r="O268" s="359">
        <f>IFERROR(VLOOKUP($G268,融外自投!$A:$J,7,0),"無")</f>
        <v>851</v>
      </c>
      <c r="P268" s="79">
        <f>IFERROR(VLOOKUP($G268,融外自投!$A:$J,9,0),"無")</f>
        <v>990</v>
      </c>
      <c r="Q268" s="342">
        <f>IFERROR(VLOOKUP($G268,融外自投!$A:$J,8,0),"無")</f>
        <v>1348</v>
      </c>
      <c r="R268" s="81" t="str">
        <f>IFERROR(VLOOKUP($G268,融外自投!$A:$J,10,0),"無")</f>
        <v>無</v>
      </c>
      <c r="S268" s="324">
        <f>IFERROR(VLOOKUP($G268,'321買'!$A:$E,4,0),"'沒有資料'")</f>
        <v>1002</v>
      </c>
      <c r="T268" s="186">
        <f>IFERROR(VLOOKUP($G268,基本資料!$A:$J,9,0),"無")</f>
        <v>0.9</v>
      </c>
      <c r="U268" s="307">
        <f t="shared" si="51"/>
        <v>7.1428571428571438E-2</v>
      </c>
      <c r="V268" s="94">
        <f>IFERROR(VLOOKUP($G268,基本資料!$A:$J,10,0),"無")</f>
        <v>1.05</v>
      </c>
      <c r="W268" s="36">
        <f>RTD("money.excel",,"4707","Price")</f>
        <v>12.6</v>
      </c>
      <c r="X268" s="66"/>
      <c r="Y268" s="15">
        <f t="shared" si="55"/>
        <v>12.6</v>
      </c>
      <c r="Z268" s="3" t="e">
        <f t="shared" si="56"/>
        <v>#DIV/0!</v>
      </c>
      <c r="AA268" s="340">
        <f>IFERROR(VLOOKUP($G268,基本資料!$A:$M,11,0),"無")</f>
        <v>-10.64</v>
      </c>
      <c r="AB268" s="389">
        <f>IFERROR(VLOOKUP($G268,基本資料!$A:$M,12,0),"無")</f>
        <v>28.32</v>
      </c>
      <c r="AC268" s="16" t="s">
        <v>3620</v>
      </c>
      <c r="AF268" s="33">
        <f t="shared" si="57"/>
        <v>0</v>
      </c>
      <c r="AG268" s="43" t="s">
        <v>3621</v>
      </c>
      <c r="AH268" s="66">
        <f t="shared" si="59"/>
        <v>0.25935205943118378</v>
      </c>
      <c r="AI268" s="283">
        <f>RTD("money.excel",,$G268,"PredictVolume")</f>
        <v>295</v>
      </c>
      <c r="AJ268" s="391">
        <f>IFERROR(VLOOKUP($G268,基本資料!$A:$M,13,0),"無")</f>
        <v>1137.45</v>
      </c>
      <c r="AR268" s="245" t="str">
        <f>INDEX(基本資料!N:N,MATCH($G268,基本資料!A:A,0))</f>
        <v>低</v>
      </c>
    </row>
    <row r="269" spans="1:44">
      <c r="A269" s="343">
        <f>IFERROR(VLOOKUP($G269,基本資料!$A:$J,3,0),"無")</f>
        <v>6.1</v>
      </c>
      <c r="B269" s="79">
        <f>IFERROR(VLOOKUP($G269,基本資料!$A:$J,4,0),"無")</f>
        <v>39</v>
      </c>
      <c r="C269" s="79">
        <f>IFERROR(VLOOKUP($G269,基本資料!$A:$J,5,0),"無")</f>
        <v>108</v>
      </c>
      <c r="D269" s="79">
        <f>IFERROR(VLOOKUP($G269,基本資料!$A:$J,6,0),"無")</f>
        <v>-9</v>
      </c>
      <c r="E269" s="79">
        <f>IFERROR(VLOOKUP($G269,基本資料!$A:$J,7,0),"無")</f>
        <v>-2</v>
      </c>
      <c r="F269" s="6">
        <f>IFERROR(VLOOKUP($G269,基本資料!$A:$J,8,0),"無")</f>
        <v>7.85</v>
      </c>
      <c r="G269" s="79">
        <v>4711</v>
      </c>
      <c r="H269" s="8" t="s">
        <v>3577</v>
      </c>
      <c r="I269" s="16" t="s">
        <v>3622</v>
      </c>
      <c r="J269" s="8">
        <f>IFERROR(VLOOKUP($G269,今日總結!$A:$AN,39,0),"")</f>
        <v>0</v>
      </c>
      <c r="K269" s="5" t="str">
        <f>IFERROR(VLOOKUP($G269,今日總結!$A:$AN,40,0),"")</f>
        <v>主</v>
      </c>
      <c r="L269" s="156">
        <f>IFERROR(VLOOKUP($G269,今日總結!$A:$AN,37,0),"")</f>
        <v>0</v>
      </c>
      <c r="M269" s="337">
        <f>IFERROR(VLOOKUP($G269,今日總結!$A:$AN,38,0),"")</f>
        <v>4</v>
      </c>
      <c r="N269" s="240">
        <f t="shared" si="58"/>
        <v>-4</v>
      </c>
      <c r="O269" s="359">
        <f>IFERROR(VLOOKUP($G269,融外自投!$A:$J,7,0),"無")</f>
        <v>835</v>
      </c>
      <c r="P269" s="79">
        <f>IFERROR(VLOOKUP($G269,融外自投!$A:$J,9,0),"無")</f>
        <v>130</v>
      </c>
      <c r="Q269" s="342">
        <f>IFERROR(VLOOKUP($G269,融外自投!$A:$J,8,0),"無")</f>
        <v>1160</v>
      </c>
      <c r="R269" s="81" t="str">
        <f>IFERROR(VLOOKUP($G269,融外自投!$A:$J,10,0),"無")</f>
        <v>無</v>
      </c>
      <c r="S269" s="324">
        <f>IFERROR(VLOOKUP($G269,'321買'!$A:$E,4,0),"'沒有資料'")</f>
        <v>366</v>
      </c>
      <c r="T269" s="186">
        <f>IFERROR(VLOOKUP($G269,基本資料!$A:$J,9,0),"無")</f>
        <v>1</v>
      </c>
      <c r="U269" s="307">
        <f t="shared" si="51"/>
        <v>6.3091482649842268E-2</v>
      </c>
      <c r="V269" s="94">
        <f>IFERROR(VLOOKUP($G269,基本資料!$A:$J,10,0),"無")</f>
        <v>1.27</v>
      </c>
      <c r="W269" s="36">
        <f>RTD("money.excel",,"4711","Price")</f>
        <v>15.85</v>
      </c>
      <c r="X269" s="66"/>
      <c r="Y269" s="15">
        <f t="shared" si="55"/>
        <v>15.85</v>
      </c>
      <c r="Z269" s="3" t="e">
        <f t="shared" si="56"/>
        <v>#DIV/0!</v>
      </c>
      <c r="AA269" s="340">
        <f>IFERROR(VLOOKUP($G269,基本資料!$A:$M,11,0),"無")</f>
        <v>-37.35</v>
      </c>
      <c r="AB269" s="389">
        <f>IFERROR(VLOOKUP($G269,基本資料!$A:$M,12,0),"無")</f>
        <v>29.99</v>
      </c>
      <c r="AC269" s="16" t="s">
        <v>3622</v>
      </c>
      <c r="AF269" s="33">
        <f t="shared" si="57"/>
        <v>0</v>
      </c>
      <c r="AG269" s="43" t="s">
        <v>2637</v>
      </c>
      <c r="AH269" s="66">
        <f t="shared" si="59"/>
        <v>0.4902667627974045</v>
      </c>
      <c r="AI269" s="283">
        <f>RTD("money.excel",,$G269,"PredictVolume")</f>
        <v>68</v>
      </c>
      <c r="AJ269" s="391">
        <f>IFERROR(VLOOKUP($G269,基本資料!$A:$M,13,0),"無")</f>
        <v>138.69999999999999</v>
      </c>
      <c r="AR269" s="245" t="str">
        <f>INDEX(基本資料!N:N,MATCH($G269,基本資料!A:A,0))</f>
        <v>低</v>
      </c>
    </row>
    <row r="270" spans="1:44">
      <c r="A270" s="343">
        <f>IFERROR(VLOOKUP($G270,基本資料!$A:$J,3,0),"無")</f>
        <v>13.94</v>
      </c>
      <c r="B270" s="79">
        <f>IFERROR(VLOOKUP($G270,基本資料!$A:$J,4,0),"無")</f>
        <v>158</v>
      </c>
      <c r="C270" s="79">
        <f>IFERROR(VLOOKUP($G270,基本資料!$A:$J,5,0),"無")</f>
        <v>1</v>
      </c>
      <c r="D270" s="79">
        <f>IFERROR(VLOOKUP($G270,基本資料!$A:$J,6,0),"無")</f>
        <v>-8</v>
      </c>
      <c r="E270" s="79">
        <f>IFERROR(VLOOKUP($G270,基本資料!$A:$J,7,0),"無")</f>
        <v>39</v>
      </c>
      <c r="F270" s="6">
        <f>IFERROR(VLOOKUP($G270,基本資料!$A:$J,8,0),"無")</f>
        <v>-3.4</v>
      </c>
      <c r="G270" s="79">
        <v>4714</v>
      </c>
      <c r="H270" s="8" t="s">
        <v>3577</v>
      </c>
      <c r="I270" s="16" t="s">
        <v>3623</v>
      </c>
      <c r="J270" s="8">
        <f>IFERROR(VLOOKUP($G270,今日總結!$A:$AN,39,0),"")</f>
        <v>0</v>
      </c>
      <c r="K270" s="5">
        <f>IFERROR(VLOOKUP($G270,今日總結!$A:$AN,40,0),"")</f>
        <v>0</v>
      </c>
      <c r="L270" s="156">
        <f>IFERROR(VLOOKUP($G270,今日總結!$A:$AN,37,0),"")</f>
        <v>0</v>
      </c>
      <c r="M270" s="337">
        <f>IFERROR(VLOOKUP($G270,今日總結!$A:$AN,38,0),"")</f>
        <v>0</v>
      </c>
      <c r="N270" s="240">
        <f t="shared" si="58"/>
        <v>0</v>
      </c>
      <c r="O270" s="359">
        <f>IFERROR(VLOOKUP($G270,融外自投!$A:$J,7,0),"無")</f>
        <v>266</v>
      </c>
      <c r="P270" s="79">
        <f>IFERROR(VLOOKUP($G270,融外自投!$A:$J,9,0),"無")</f>
        <v>403</v>
      </c>
      <c r="Q270" s="342">
        <f>IFERROR(VLOOKUP($G270,融外自投!$A:$J,8,0),"無")</f>
        <v>1211</v>
      </c>
      <c r="R270" s="81" t="str">
        <f>IFERROR(VLOOKUP($G270,融外自投!$A:$J,10,0),"無")</f>
        <v>無</v>
      </c>
      <c r="S270" s="324">
        <f>IFERROR(VLOOKUP($G270,'321買'!$A:$E,4,0),"'沒有資料'")</f>
        <v>394</v>
      </c>
      <c r="T270" s="186">
        <f>IFERROR(VLOOKUP($G270,基本資料!$A:$J,9,0),"無")</f>
        <v>0.4</v>
      </c>
      <c r="U270" s="307">
        <f t="shared" si="51"/>
        <v>3.0303030303030307E-2</v>
      </c>
      <c r="V270" s="94">
        <f>IFERROR(VLOOKUP($G270,基本資料!$A:$J,10,0),"無")</f>
        <v>0.28000000000000003</v>
      </c>
      <c r="W270" s="36">
        <f>RTD("money.excel",,"4714","Price")</f>
        <v>13.2</v>
      </c>
      <c r="X270" s="66"/>
      <c r="Y270" s="15">
        <f t="shared" si="55"/>
        <v>13.2</v>
      </c>
      <c r="Z270" s="3" t="e">
        <f t="shared" si="56"/>
        <v>#DIV/0!</v>
      </c>
      <c r="AA270" s="340">
        <f>IFERROR(VLOOKUP($G270,基本資料!$A:$M,11,0),"無")</f>
        <v>-18.27</v>
      </c>
      <c r="AB270" s="389">
        <f>IFERROR(VLOOKUP($G270,基本資料!$A:$M,12,0),"無")</f>
        <v>37.79</v>
      </c>
      <c r="AC270" s="16" t="s">
        <v>3623</v>
      </c>
      <c r="AF270" s="33">
        <f t="shared" si="57"/>
        <v>0</v>
      </c>
      <c r="AG270" s="43" t="s">
        <v>3624</v>
      </c>
      <c r="AH270" s="66">
        <f t="shared" si="59"/>
        <v>1.1849995524926162</v>
      </c>
      <c r="AI270" s="283">
        <f>RTD("money.excel",,$G270,"PredictVolume")</f>
        <v>662</v>
      </c>
      <c r="AJ270" s="391">
        <f>IFERROR(VLOOKUP($G270,基本資料!$A:$M,13,0),"無")</f>
        <v>558.65</v>
      </c>
      <c r="AR270" s="245" t="str">
        <f>INDEX(基本資料!N:N,MATCH($G270,基本資料!A:A,0))</f>
        <v>中</v>
      </c>
    </row>
    <row r="271" spans="1:44">
      <c r="A271" s="343">
        <f>IFERROR(VLOOKUP($G271,基本資料!$A:$J,3,0),"無")</f>
        <v>7.43</v>
      </c>
      <c r="B271" s="79">
        <f>IFERROR(VLOOKUP($G271,基本資料!$A:$J,4,0),"無")</f>
        <v>1269</v>
      </c>
      <c r="C271" s="79">
        <f>IFERROR(VLOOKUP($G271,基本資料!$A:$J,5,0),"無")</f>
        <v>-274</v>
      </c>
      <c r="D271" s="79">
        <f>IFERROR(VLOOKUP($G271,基本資料!$A:$J,6,0),"無")</f>
        <v>-5</v>
      </c>
      <c r="E271" s="79">
        <f>IFERROR(VLOOKUP($G271,基本資料!$A:$J,7,0),"無")</f>
        <v>2</v>
      </c>
      <c r="F271" s="6">
        <f>IFERROR(VLOOKUP($G271,基本資料!$A:$J,8,0),"無")</f>
        <v>-7.78</v>
      </c>
      <c r="G271" s="79">
        <v>4716</v>
      </c>
      <c r="H271" s="8" t="s">
        <v>3577</v>
      </c>
      <c r="I271" s="16" t="s">
        <v>3625</v>
      </c>
      <c r="J271" s="8">
        <f>IFERROR(VLOOKUP($G271,今日總結!$A:$AN,39,0),"")</f>
        <v>0</v>
      </c>
      <c r="K271" s="5" t="str">
        <f>IFERROR(VLOOKUP($G271,今日總結!$A:$AN,40,0),"")</f>
        <v>借</v>
      </c>
      <c r="L271" s="156">
        <f>IFERROR(VLOOKUP($G271,今日總結!$A:$AN,37,0),"")</f>
        <v>0</v>
      </c>
      <c r="M271" s="337">
        <f>IFERROR(VLOOKUP($G271,今日總結!$A:$AN,38,0),"")</f>
        <v>6</v>
      </c>
      <c r="N271" s="240">
        <f t="shared" si="58"/>
        <v>-6</v>
      </c>
      <c r="O271" s="359">
        <f>IFERROR(VLOOKUP($G271,融外自投!$A:$J,7,0),"無")</f>
        <v>63</v>
      </c>
      <c r="P271" s="79">
        <f>IFERROR(VLOOKUP($G271,融外自投!$A:$J,9,0),"無")</f>
        <v>790</v>
      </c>
      <c r="Q271" s="342">
        <f>IFERROR(VLOOKUP($G271,融外自投!$A:$J,8,0),"無")</f>
        <v>1280</v>
      </c>
      <c r="R271" s="81" t="str">
        <f>IFERROR(VLOOKUP($G271,融外自投!$A:$J,10,0),"無")</f>
        <v>無</v>
      </c>
      <c r="S271" s="324">
        <f>IFERROR(VLOOKUP($G271,'321買'!$A:$E,4,0),"'沒有資料'")</f>
        <v>891</v>
      </c>
      <c r="T271" s="186">
        <f>IFERROR(VLOOKUP($G271,基本資料!$A:$J,9,0),"無")</f>
        <v>2</v>
      </c>
      <c r="U271" s="307">
        <f t="shared" si="51"/>
        <v>0.13559322033898305</v>
      </c>
      <c r="V271" s="94">
        <f>IFERROR(VLOOKUP($G271,基本資料!$A:$J,10,0),"無")</f>
        <v>3.55</v>
      </c>
      <c r="W271" s="36">
        <f>RTD("money.excel",,"4716","Price")</f>
        <v>14.75</v>
      </c>
      <c r="X271" s="66"/>
      <c r="Y271" s="15">
        <f t="shared" si="55"/>
        <v>14.75</v>
      </c>
      <c r="Z271" s="3" t="e">
        <f t="shared" si="56"/>
        <v>#DIV/0!</v>
      </c>
      <c r="AA271" s="340">
        <f>IFERROR(VLOOKUP($G271,基本資料!$A:$M,11,0),"無")</f>
        <v>-18.28</v>
      </c>
      <c r="AB271" s="389">
        <f>IFERROR(VLOOKUP($G271,基本資料!$A:$M,12,0),"無")</f>
        <v>34.200000000000003</v>
      </c>
      <c r="AC271" s="16" t="s">
        <v>3625</v>
      </c>
      <c r="AF271" s="33">
        <f t="shared" si="57"/>
        <v>0</v>
      </c>
      <c r="AG271" s="43" t="s">
        <v>2637</v>
      </c>
      <c r="AH271" s="66">
        <f t="shared" si="59"/>
        <v>0.27747252747252749</v>
      </c>
      <c r="AI271" s="283">
        <f>RTD("money.excel",,$G271,"PredictVolume")</f>
        <v>303</v>
      </c>
      <c r="AJ271" s="391">
        <f>IFERROR(VLOOKUP($G271,基本資料!$A:$M,13,0),"無")</f>
        <v>1092</v>
      </c>
      <c r="AR271" s="245" t="str">
        <f>INDEX(基本資料!N:N,MATCH($G271,基本資料!A:A,0))</f>
        <v>低</v>
      </c>
    </row>
    <row r="272" spans="1:44">
      <c r="A272" s="343">
        <f>IFERROR(VLOOKUP($G272,基本資料!$A:$J,3,0),"無")</f>
        <v>10.31</v>
      </c>
      <c r="B272" s="79">
        <f>IFERROR(VLOOKUP($G272,基本資料!$A:$J,4,0),"無")</f>
        <v>-64</v>
      </c>
      <c r="C272" s="79">
        <f>IFERROR(VLOOKUP($G272,基本資料!$A:$J,5,0),"無")</f>
        <v>-49</v>
      </c>
      <c r="D272" s="79">
        <f>IFERROR(VLOOKUP($G272,基本資料!$A:$J,6,0),"無")</f>
        <v>0</v>
      </c>
      <c r="E272" s="79">
        <f>IFERROR(VLOOKUP($G272,基本資料!$A:$J,7,0),"無")</f>
        <v>10</v>
      </c>
      <c r="F272" s="6">
        <f>IFERROR(VLOOKUP($G272,基本資料!$A:$J,8,0),"無")</f>
        <v>1.94</v>
      </c>
      <c r="G272" s="79">
        <v>4720</v>
      </c>
      <c r="H272" s="8" t="s">
        <v>3577</v>
      </c>
      <c r="I272" s="22" t="s">
        <v>3626</v>
      </c>
      <c r="J272" s="8">
        <f>IFERROR(VLOOKUP($G272,今日總結!$A:$AN,39,0),"")</f>
        <v>0</v>
      </c>
      <c r="K272" s="5">
        <f>IFERROR(VLOOKUP($G272,今日總結!$A:$AN,40,0),"")</f>
        <v>0</v>
      </c>
      <c r="L272" s="156">
        <f>IFERROR(VLOOKUP($G272,今日總結!$A:$AN,37,0),"")</f>
        <v>0</v>
      </c>
      <c r="M272" s="337">
        <f>IFERROR(VLOOKUP($G272,今日總結!$A:$AN,38,0),"")</f>
        <v>0</v>
      </c>
      <c r="N272" s="240">
        <f t="shared" si="58"/>
        <v>0</v>
      </c>
      <c r="O272" s="359">
        <f>IFERROR(VLOOKUP($G272,融外自投!$A:$J,7,0),"無")</f>
        <v>176</v>
      </c>
      <c r="P272" s="79">
        <f>IFERROR(VLOOKUP($G272,融外自投!$A:$J,9,0),"無")</f>
        <v>357</v>
      </c>
      <c r="Q272" s="342">
        <f>IFERROR(VLOOKUP($G272,融外自投!$A:$J,8,0),"無")</f>
        <v>897</v>
      </c>
      <c r="R272" s="81" t="str">
        <f>IFERROR(VLOOKUP($G272,融外自投!$A:$J,10,0),"無")</f>
        <v>無</v>
      </c>
      <c r="S272" s="324">
        <f>IFERROR(VLOOKUP($G272,'321買'!$A:$E,4,0),"'沒有資料'")</f>
        <v>565</v>
      </c>
      <c r="T272" s="186">
        <f>IFERROR(VLOOKUP($G272,基本資料!$A:$J,9,0),"無")</f>
        <v>0.2</v>
      </c>
      <c r="U272" s="307">
        <f t="shared" si="51"/>
        <v>1.4184397163120569E-2</v>
      </c>
      <c r="V272" s="94">
        <f>IFERROR(VLOOKUP($G272,基本資料!$A:$J,10,0),"無")</f>
        <v>0.3</v>
      </c>
      <c r="W272" s="36">
        <f>RTD("money.excel",,"4720","Price")</f>
        <v>14.1</v>
      </c>
      <c r="X272" s="66"/>
      <c r="Y272" s="15">
        <f t="shared" si="55"/>
        <v>14.1</v>
      </c>
      <c r="Z272" s="3" t="e">
        <f t="shared" si="56"/>
        <v>#DIV/0!</v>
      </c>
      <c r="AA272" s="340">
        <f>IFERROR(VLOOKUP($G272,基本資料!$A:$M,11,0),"無")</f>
        <v>-34.42</v>
      </c>
      <c r="AB272" s="389">
        <f>IFERROR(VLOOKUP($G272,基本資料!$A:$M,12,0),"無")</f>
        <v>20.100000000000001</v>
      </c>
      <c r="AC272" s="22" t="s">
        <v>3626</v>
      </c>
      <c r="AF272" s="33">
        <f t="shared" si="57"/>
        <v>0</v>
      </c>
      <c r="AG272" s="43" t="s">
        <v>3627</v>
      </c>
      <c r="AH272" s="66">
        <f t="shared" si="59"/>
        <v>0.30897972320566464</v>
      </c>
      <c r="AI272" s="283">
        <f>RTD("money.excel",,$G272,"PredictVolume")</f>
        <v>96</v>
      </c>
      <c r="AJ272" s="391">
        <f>IFERROR(VLOOKUP($G272,基本資料!$A:$M,13,0),"無")</f>
        <v>310.7</v>
      </c>
      <c r="AR272" s="245" t="str">
        <f>INDEX(基本資料!N:N,MATCH($G272,基本資料!A:A,0))</f>
        <v>低</v>
      </c>
    </row>
    <row r="273" spans="1:44">
      <c r="A273" s="343">
        <f>IFERROR(VLOOKUP($G273,基本資料!$A:$J,3,0),"無")</f>
        <v>7.49</v>
      </c>
      <c r="B273" s="79">
        <f>IFERROR(VLOOKUP($G273,基本資料!$A:$J,4,0),"無")</f>
        <v>192</v>
      </c>
      <c r="C273" s="79">
        <f>IFERROR(VLOOKUP($G273,基本資料!$A:$J,5,0),"無")</f>
        <v>175</v>
      </c>
      <c r="D273" s="79">
        <f>IFERROR(VLOOKUP($G273,基本資料!$A:$J,6,0),"無")</f>
        <v>2</v>
      </c>
      <c r="E273" s="79">
        <f>IFERROR(VLOOKUP($G273,基本資料!$A:$J,7,0),"無")</f>
        <v>76</v>
      </c>
      <c r="F273" s="6">
        <f>IFERROR(VLOOKUP($G273,基本資料!$A:$J,8,0),"無")</f>
        <v>10.11</v>
      </c>
      <c r="G273" s="79">
        <v>4721</v>
      </c>
      <c r="H273" s="8" t="s">
        <v>3577</v>
      </c>
      <c r="I273" s="16" t="s">
        <v>3628</v>
      </c>
      <c r="J273" s="8">
        <f>IFERROR(VLOOKUP($G273,今日總結!$A:$AN,39,0),"")</f>
        <v>2</v>
      </c>
      <c r="K273" s="5" t="str">
        <f>IFERROR(VLOOKUP($G273,今日總結!$A:$AN,40,0),"")</f>
        <v>借</v>
      </c>
      <c r="L273" s="156">
        <f>IFERROR(VLOOKUP($G273,今日總結!$A:$AN,37,0),"")</f>
        <v>1</v>
      </c>
      <c r="M273" s="337">
        <f>IFERROR(VLOOKUP($G273,今日總結!$A:$AN,38,0),"")</f>
        <v>1</v>
      </c>
      <c r="N273" s="240">
        <f t="shared" si="58"/>
        <v>0</v>
      </c>
      <c r="O273" s="359">
        <f>IFERROR(VLOOKUP($G273,融外自投!$A:$J,7,0),"無")</f>
        <v>108</v>
      </c>
      <c r="P273" s="79">
        <f>IFERROR(VLOOKUP($G273,融外自投!$A:$J,9,0),"無")</f>
        <v>195</v>
      </c>
      <c r="Q273" s="342">
        <f>IFERROR(VLOOKUP($G273,融外自投!$A:$J,8,0),"無")</f>
        <v>1125</v>
      </c>
      <c r="R273" s="81">
        <f>IFERROR(VLOOKUP($G273,融外自投!$A:$J,10,0),"無")</f>
        <v>459</v>
      </c>
      <c r="S273" s="324">
        <f>IFERROR(VLOOKUP($G273,'321買'!$A:$E,4,0),"'沒有資料'")</f>
        <v>12</v>
      </c>
      <c r="T273" s="186">
        <f>IFERROR(VLOOKUP($G273,基本資料!$A:$J,9,0),"無")</f>
        <v>3.8</v>
      </c>
      <c r="U273" s="307">
        <f t="shared" si="51"/>
        <v>2.8252788104089217E-2</v>
      </c>
      <c r="V273" s="94">
        <f>IFERROR(VLOOKUP($G273,基本資料!$A:$J,10,0),"無")</f>
        <v>4.8099999999999996</v>
      </c>
      <c r="W273" s="36">
        <f>RTD("money.excel",,"4721","Price")</f>
        <v>134.5</v>
      </c>
      <c r="X273" s="66"/>
      <c r="Y273" s="15">
        <f t="shared" si="55"/>
        <v>134.5</v>
      </c>
      <c r="Z273" s="3" t="e">
        <f t="shared" si="56"/>
        <v>#DIV/0!</v>
      </c>
      <c r="AA273" s="340">
        <f>IFERROR(VLOOKUP($G273,基本資料!$A:$M,11,0),"無")</f>
        <v>-27.1</v>
      </c>
      <c r="AB273" s="389">
        <f>IFERROR(VLOOKUP($G273,基本資料!$A:$M,12,0),"無")</f>
        <v>24.94</v>
      </c>
      <c r="AC273" s="16" t="s">
        <v>3628</v>
      </c>
      <c r="AF273" s="33">
        <f t="shared" si="57"/>
        <v>0</v>
      </c>
      <c r="AG273" s="117" t="s">
        <v>2289</v>
      </c>
      <c r="AH273" s="66">
        <f t="shared" si="59"/>
        <v>2.2621004259886623</v>
      </c>
      <c r="AI273" s="283">
        <f>RTD("money.excel",,$G273,"PredictVolume")</f>
        <v>3372</v>
      </c>
      <c r="AJ273" s="391">
        <f>IFERROR(VLOOKUP($G273,基本資料!$A:$M,13,0),"無")</f>
        <v>1490.65</v>
      </c>
      <c r="AR273" s="245" t="str">
        <f>INDEX(基本資料!N:N,MATCH($G273,基本資料!A:A,0))</f>
        <v>中</v>
      </c>
    </row>
    <row r="274" spans="1:44">
      <c r="A274" s="343">
        <f>IFERROR(VLOOKUP($G274,基本資料!$A:$J,3,0),"無")</f>
        <v>10</v>
      </c>
      <c r="B274" s="79">
        <f>IFERROR(VLOOKUP($G274,基本資料!$A:$J,4,0),"無")</f>
        <v>30</v>
      </c>
      <c r="C274" s="79">
        <f>IFERROR(VLOOKUP($G274,基本資料!$A:$J,5,0),"無")</f>
        <v>37</v>
      </c>
      <c r="D274" s="79">
        <f>IFERROR(VLOOKUP($G274,基本資料!$A:$J,6,0),"無")</f>
        <v>-27</v>
      </c>
      <c r="E274" s="79">
        <f>IFERROR(VLOOKUP($G274,基本資料!$A:$J,7,0),"無")</f>
        <v>-2</v>
      </c>
      <c r="F274" s="6">
        <f>IFERROR(VLOOKUP($G274,基本資料!$A:$J,8,0),"無")</f>
        <v>9.69</v>
      </c>
      <c r="G274" s="79">
        <v>4722</v>
      </c>
      <c r="H274" s="8" t="s">
        <v>3577</v>
      </c>
      <c r="I274" s="22" t="s">
        <v>3629</v>
      </c>
      <c r="J274" s="8">
        <f>IFERROR(VLOOKUP($G274,今日總結!$A:$AN,39,0),"")</f>
        <v>0</v>
      </c>
      <c r="K274" s="5" t="str">
        <f>IFERROR(VLOOKUP($G274,今日總結!$A:$AN,40,0),"")</f>
        <v>外借</v>
      </c>
      <c r="L274" s="156">
        <f>IFERROR(VLOOKUP($G274,今日總結!$A:$AN,37,0),"")</f>
        <v>0</v>
      </c>
      <c r="M274" s="337">
        <f>IFERROR(VLOOKUP($G274,今日總結!$A:$AN,38,0),"")</f>
        <v>4</v>
      </c>
      <c r="N274" s="240">
        <f t="shared" si="58"/>
        <v>-4</v>
      </c>
      <c r="O274" s="359">
        <f>IFERROR(VLOOKUP($G274,融外自投!$A:$J,7,0),"無")</f>
        <v>1034</v>
      </c>
      <c r="P274" s="79" t="str">
        <f>IFERROR(VLOOKUP($G274,融外自投!$A:$J,9,0),"無")</f>
        <v>無</v>
      </c>
      <c r="Q274" s="342">
        <f>IFERROR(VLOOKUP($G274,融外自投!$A:$J,8,0),"無")</f>
        <v>785</v>
      </c>
      <c r="R274" s="81" t="str">
        <f>IFERROR(VLOOKUP($G274,融外自投!$A:$J,10,0),"無")</f>
        <v>無</v>
      </c>
      <c r="S274" s="324">
        <f>IFERROR(VLOOKUP($G274,'321買'!$A:$E,4,0),"'沒有資料'")</f>
        <v>465</v>
      </c>
      <c r="T274" s="186">
        <f>IFERROR(VLOOKUP($G274,基本資料!$A:$J,9,0),"無")</f>
        <v>2.2000000000000002</v>
      </c>
      <c r="U274" s="307">
        <f t="shared" si="51"/>
        <v>5.4455445544554462E-2</v>
      </c>
      <c r="V274" s="94">
        <f>IFERROR(VLOOKUP($G274,基本資料!$A:$J,10,0),"無")</f>
        <v>3.73</v>
      </c>
      <c r="W274" s="36">
        <f>RTD("money.excel",,"4722","Price")</f>
        <v>40.4</v>
      </c>
      <c r="X274" s="66"/>
      <c r="Y274" s="15">
        <f t="shared" si="55"/>
        <v>40.4</v>
      </c>
      <c r="Z274" s="3" t="e">
        <f t="shared" si="56"/>
        <v>#DIV/0!</v>
      </c>
      <c r="AA274" s="340">
        <f>IFERROR(VLOOKUP($G274,基本資料!$A:$M,11,0),"無")</f>
        <v>-17.55</v>
      </c>
      <c r="AB274" s="389">
        <f>IFERROR(VLOOKUP($G274,基本資料!$A:$M,12,0),"無")</f>
        <v>16.309999999999999</v>
      </c>
      <c r="AC274" s="22" t="s">
        <v>3629</v>
      </c>
      <c r="AF274" s="33">
        <f t="shared" si="57"/>
        <v>0</v>
      </c>
      <c r="AG274" s="43" t="s">
        <v>3630</v>
      </c>
      <c r="AH274" s="66">
        <f t="shared" si="59"/>
        <v>0.82325849165227405</v>
      </c>
      <c r="AI274" s="283">
        <f>RTD("money.excel",,$G274,"PredictVolume")</f>
        <v>143</v>
      </c>
      <c r="AJ274" s="391">
        <f>IFERROR(VLOOKUP($G274,基本資料!$A:$M,13,0),"無")</f>
        <v>173.7</v>
      </c>
      <c r="AR274" s="245" t="str">
        <f>INDEX(基本資料!N:N,MATCH($G274,基本資料!A:A,0))</f>
        <v>中</v>
      </c>
    </row>
    <row r="275" spans="1:44">
      <c r="A275" s="343">
        <f>IFERROR(VLOOKUP($G275,基本資料!$A:$J,3,0),"無")</f>
        <v>10.7</v>
      </c>
      <c r="B275" s="79">
        <f>IFERROR(VLOOKUP($G275,基本資料!$A:$J,4,0),"無")</f>
        <v>170</v>
      </c>
      <c r="C275" s="79">
        <f>IFERROR(VLOOKUP($G275,基本資料!$A:$J,5,0),"無")</f>
        <v>170</v>
      </c>
      <c r="D275" s="79">
        <f>IFERROR(VLOOKUP($G275,基本資料!$A:$J,6,0),"無")</f>
        <v>-16</v>
      </c>
      <c r="E275" s="79">
        <f>IFERROR(VLOOKUP($G275,基本資料!$A:$J,7,0),"無")</f>
        <v>33</v>
      </c>
      <c r="F275" s="6">
        <f>IFERROR(VLOOKUP($G275,基本資料!$A:$J,8,0),"無")</f>
        <v>7.96</v>
      </c>
      <c r="G275" s="79">
        <v>4739</v>
      </c>
      <c r="H275" s="8" t="s">
        <v>3577</v>
      </c>
      <c r="I275" s="22" t="s">
        <v>171</v>
      </c>
      <c r="J275" s="8">
        <f>IFERROR(VLOOKUP($G275,今日總結!$A:$AN,39,0),"")</f>
        <v>0</v>
      </c>
      <c r="K275" s="5">
        <f>IFERROR(VLOOKUP($G275,今日總結!$A:$AN,40,0),"")</f>
        <v>0</v>
      </c>
      <c r="L275" s="156">
        <f>IFERROR(VLOOKUP($G275,今日總結!$A:$AN,37,0),"")</f>
        <v>0</v>
      </c>
      <c r="M275" s="337">
        <f>IFERROR(VLOOKUP($G275,今日總結!$A:$AN,38,0),"")</f>
        <v>0</v>
      </c>
      <c r="N275" s="240">
        <f t="shared" si="58"/>
        <v>0</v>
      </c>
      <c r="O275" s="359">
        <f>IFERROR(VLOOKUP($G275,融外自投!$A:$J,7,0),"無")</f>
        <v>104</v>
      </c>
      <c r="P275" s="79">
        <f>IFERROR(VLOOKUP($G275,融外自投!$A:$J,9,0),"無")</f>
        <v>825</v>
      </c>
      <c r="Q275" s="342">
        <f>IFERROR(VLOOKUP($G275,融外自投!$A:$J,8,0),"無")</f>
        <v>834</v>
      </c>
      <c r="R275" s="81">
        <f>IFERROR(VLOOKUP($G275,融外自投!$A:$J,10,0),"無")</f>
        <v>108</v>
      </c>
      <c r="S275" s="324">
        <f>IFERROR(VLOOKUP($G275,'321買'!$A:$E,4,0),"'沒有資料'")</f>
        <v>13</v>
      </c>
      <c r="T275" s="186">
        <f>IFERROR(VLOOKUP($G275,基本資料!$A:$J,9,0),"無")</f>
        <v>3</v>
      </c>
      <c r="U275" s="307">
        <f t="shared" si="51"/>
        <v>2.3346303501945526E-2</v>
      </c>
      <c r="V275" s="94">
        <f>IFERROR(VLOOKUP($G275,基本資料!$A:$J,10,0),"無")</f>
        <v>4.67</v>
      </c>
      <c r="W275" s="36">
        <f>RTD("money.excel",,"4739","Price")</f>
        <v>128.5</v>
      </c>
      <c r="X275" s="66"/>
      <c r="Y275" s="15">
        <f t="shared" si="55"/>
        <v>128.5</v>
      </c>
      <c r="Z275" s="3" t="e">
        <f t="shared" si="56"/>
        <v>#DIV/0!</v>
      </c>
      <c r="AA275" s="340">
        <f>IFERROR(VLOOKUP($G275,基本資料!$A:$M,11,0),"無")</f>
        <v>-27.2</v>
      </c>
      <c r="AB275" s="389">
        <f>IFERROR(VLOOKUP($G275,基本資料!$A:$M,12,0),"無")</f>
        <v>20.81</v>
      </c>
      <c r="AC275" s="22" t="s">
        <v>171</v>
      </c>
      <c r="AF275" s="33">
        <f t="shared" si="57"/>
        <v>0</v>
      </c>
      <c r="AG275" s="117" t="s">
        <v>2289</v>
      </c>
      <c r="AH275" s="66">
        <f t="shared" si="59"/>
        <v>0.92532767871120158</v>
      </c>
      <c r="AI275" s="283">
        <f>RTD("money.excel",,$G275,"PredictVolume")</f>
        <v>3251</v>
      </c>
      <c r="AJ275" s="391">
        <f>IFERROR(VLOOKUP($G275,基本資料!$A:$M,13,0),"無")</f>
        <v>3513.35</v>
      </c>
      <c r="AR275" s="245" t="str">
        <f>INDEX(基本資料!N:N,MATCH($G275,基本資料!A:A,0))</f>
        <v>中</v>
      </c>
    </row>
    <row r="276" spans="1:44">
      <c r="A276" s="343">
        <f>IFERROR(VLOOKUP($G276,基本資料!$A:$J,3,0),"無")</f>
        <v>3.28</v>
      </c>
      <c r="B276" s="79">
        <f>IFERROR(VLOOKUP($G276,基本資料!$A:$J,4,0),"無")</f>
        <v>-23</v>
      </c>
      <c r="C276" s="79">
        <f>IFERROR(VLOOKUP($G276,基本資料!$A:$J,5,0),"無")</f>
        <v>-6</v>
      </c>
      <c r="D276" s="79">
        <f>IFERROR(VLOOKUP($G276,基本資料!$A:$J,6,0),"無")</f>
        <v>-6</v>
      </c>
      <c r="E276" s="79">
        <f>IFERROR(VLOOKUP($G276,基本資料!$A:$J,7,0),"無")</f>
        <v>6</v>
      </c>
      <c r="F276" s="6">
        <f>IFERROR(VLOOKUP($G276,基本資料!$A:$J,8,0),"無")</f>
        <v>3.96</v>
      </c>
      <c r="G276" s="79">
        <v>4741</v>
      </c>
      <c r="H276" s="8" t="s">
        <v>3577</v>
      </c>
      <c r="I276" s="16" t="s">
        <v>3632</v>
      </c>
      <c r="J276" s="8" t="str">
        <f>IFERROR(VLOOKUP($G276,今日總結!$A:$AN,39,0),"")</f>
        <v/>
      </c>
      <c r="K276" s="5" t="str">
        <f>IFERROR(VLOOKUP($G276,今日總結!$A:$AN,40,0),"")</f>
        <v/>
      </c>
      <c r="L276" s="156" t="str">
        <f>IFERROR(VLOOKUP($G276,今日總結!$A:$AN,37,0),"")</f>
        <v/>
      </c>
      <c r="M276" s="337" t="str">
        <f>IFERROR(VLOOKUP($G276,今日總結!$A:$AN,38,0),"")</f>
        <v/>
      </c>
      <c r="N276" s="240" t="str">
        <f t="shared" si="58"/>
        <v/>
      </c>
      <c r="O276" s="359">
        <f>IFERROR(VLOOKUP($G276,融外自投!$A:$J,7,0),"無")</f>
        <v>1395</v>
      </c>
      <c r="P276" s="79">
        <f>IFERROR(VLOOKUP($G276,融外自投!$A:$J,9,0),"無")</f>
        <v>869</v>
      </c>
      <c r="Q276" s="342">
        <f>IFERROR(VLOOKUP($G276,融外自投!$A:$J,8,0),"無")</f>
        <v>1354</v>
      </c>
      <c r="R276" s="81" t="str">
        <f>IFERROR(VLOOKUP($G276,融外自投!$A:$J,10,0),"無")</f>
        <v>無</v>
      </c>
      <c r="S276" s="324" t="str">
        <f>IFERROR(VLOOKUP($G276,'321買'!$A:$E,4,0),"'沒有資料'")</f>
        <v>'沒有資料'</v>
      </c>
      <c r="T276" s="186">
        <f>IFERROR(VLOOKUP($G276,基本資料!$A:$J,9,0),"無")</f>
        <v>0.8</v>
      </c>
      <c r="U276" s="307" t="e">
        <f t="shared" si="51"/>
        <v>#VALUE!</v>
      </c>
      <c r="V276" s="94">
        <f>IFERROR(VLOOKUP($G276,基本資料!$A:$J,10,0),"無")</f>
        <v>0.9</v>
      </c>
      <c r="W276" s="36" t="str">
        <f>RTD("money.excel",,"4741","Price")</f>
        <v>無資料</v>
      </c>
      <c r="X276" s="66"/>
      <c r="Y276" s="15" t="e">
        <f t="shared" si="55"/>
        <v>#VALUE!</v>
      </c>
      <c r="Z276" s="3" t="e">
        <f t="shared" si="56"/>
        <v>#VALUE!</v>
      </c>
      <c r="AA276" s="340">
        <f>IFERROR(VLOOKUP($G276,基本資料!$A:$M,11,0),"無")</f>
        <v>-8.6</v>
      </c>
      <c r="AB276" s="389">
        <f>IFERROR(VLOOKUP($G276,基本資料!$A:$M,12,0),"無")</f>
        <v>35.36</v>
      </c>
      <c r="AC276" s="16" t="s">
        <v>3632</v>
      </c>
      <c r="AF276" s="33">
        <f t="shared" si="57"/>
        <v>0</v>
      </c>
      <c r="AG276" s="43" t="s">
        <v>3633</v>
      </c>
      <c r="AH276" s="66">
        <f t="shared" si="59"/>
        <v>0</v>
      </c>
      <c r="AI276" s="283">
        <f>RTD("money.excel",,$G276,"PredictVolume")</f>
        <v>0</v>
      </c>
      <c r="AJ276" s="391">
        <f>IFERROR(VLOOKUP($G276,基本資料!$A:$M,13,0),"無")</f>
        <v>5.05</v>
      </c>
      <c r="AR276" s="245" t="str">
        <f>INDEX(基本資料!N:N,MATCH($G276,基本資料!A:A,0))</f>
        <v>中</v>
      </c>
    </row>
    <row r="277" spans="1:44">
      <c r="A277" s="343">
        <f>IFERROR(VLOOKUP($G277,基本資料!$A:$J,3,0),"無")</f>
        <v>2.5</v>
      </c>
      <c r="B277" s="79">
        <f>IFERROR(VLOOKUP($G277,基本資料!$A:$J,4,0),"無")</f>
        <v>10</v>
      </c>
      <c r="C277" s="79">
        <f>IFERROR(VLOOKUP($G277,基本資料!$A:$J,5,0),"無")</f>
        <v>6</v>
      </c>
      <c r="D277" s="79">
        <f>IFERROR(VLOOKUP($G277,基本資料!$A:$J,6,0),"無")</f>
        <v>-38</v>
      </c>
      <c r="E277" s="79">
        <f>IFERROR(VLOOKUP($G277,基本資料!$A:$J,7,0),"無")</f>
        <v>-19</v>
      </c>
      <c r="F277" s="6">
        <f>IFERROR(VLOOKUP($G277,基本資料!$A:$J,8,0),"無")</f>
        <v>14.63</v>
      </c>
      <c r="G277" s="79">
        <v>4754</v>
      </c>
      <c r="H277" s="8" t="s">
        <v>3577</v>
      </c>
      <c r="I277" s="16" t="s">
        <v>3634</v>
      </c>
      <c r="J277" s="8" t="str">
        <f>IFERROR(VLOOKUP($G277,今日總結!$A:$AN,39,0),"")</f>
        <v/>
      </c>
      <c r="K277" s="5" t="str">
        <f>IFERROR(VLOOKUP($G277,今日總結!$A:$AN,40,0),"")</f>
        <v/>
      </c>
      <c r="L277" s="156" t="str">
        <f>IFERROR(VLOOKUP($G277,今日總結!$A:$AN,37,0),"")</f>
        <v/>
      </c>
      <c r="M277" s="337" t="str">
        <f>IFERROR(VLOOKUP($G277,今日總結!$A:$AN,38,0),"")</f>
        <v/>
      </c>
      <c r="N277" s="240" t="str">
        <f t="shared" si="58"/>
        <v/>
      </c>
      <c r="O277" s="359" t="str">
        <f>IFERROR(VLOOKUP($G277,融外自投!$A:$J,7,0),"無")</f>
        <v>無</v>
      </c>
      <c r="P277" s="79" t="str">
        <f>IFERROR(VLOOKUP($G277,融外自投!$A:$J,9,0),"無")</f>
        <v>無</v>
      </c>
      <c r="Q277" s="342" t="str">
        <f>IFERROR(VLOOKUP($G277,融外自投!$A:$J,8,0),"無")</f>
        <v>無</v>
      </c>
      <c r="R277" s="81" t="str">
        <f>IFERROR(VLOOKUP($G277,融外自投!$A:$J,10,0),"無")</f>
        <v>無</v>
      </c>
      <c r="S277" s="324" t="str">
        <f>IFERROR(VLOOKUP($G277,'321買'!$A:$E,4,0),"'沒有資料'")</f>
        <v>'沒有資料'</v>
      </c>
      <c r="T277" s="186">
        <f>IFERROR(VLOOKUP($G277,基本資料!$A:$J,9,0),"無")</f>
        <v>2</v>
      </c>
      <c r="U277" s="307">
        <f t="shared" si="51"/>
        <v>5.181347150259067E-2</v>
      </c>
      <c r="V277" s="94">
        <f>IFERROR(VLOOKUP($G277,基本資料!$A:$J,10,0),"無")</f>
        <v>2.4</v>
      </c>
      <c r="W277" s="36">
        <f>RTD("money.excel",,"4754","Price")</f>
        <v>38.6</v>
      </c>
      <c r="X277" s="66"/>
      <c r="Y277" s="15">
        <f t="shared" si="55"/>
        <v>38.6</v>
      </c>
      <c r="Z277" s="3" t="e">
        <f t="shared" si="56"/>
        <v>#DIV/0!</v>
      </c>
      <c r="AA277" s="340">
        <f>IFERROR(VLOOKUP($G277,基本資料!$A:$M,11,0),"無")</f>
        <v>-9.18</v>
      </c>
      <c r="AB277" s="389">
        <f>IFERROR(VLOOKUP($G277,基本資料!$A:$M,12,0),"無")</f>
        <v>23.86</v>
      </c>
      <c r="AC277" s="16" t="s">
        <v>3634</v>
      </c>
      <c r="AF277" s="33">
        <f t="shared" si="57"/>
        <v>0</v>
      </c>
      <c r="AG277" s="43" t="s">
        <v>3635</v>
      </c>
      <c r="AH277" s="66">
        <f t="shared" si="59"/>
        <v>0.40366972477064222</v>
      </c>
      <c r="AI277" s="283">
        <f>RTD("money.excel",,$G277,"PredictVolume")</f>
        <v>11</v>
      </c>
      <c r="AJ277" s="391">
        <f>IFERROR(VLOOKUP($G277,基本資料!$A:$M,13,0),"無")</f>
        <v>27.25</v>
      </c>
      <c r="AR277" s="245" t="str">
        <f>INDEX(基本資料!N:N,MATCH($G277,基本資料!A:A,0))</f>
        <v>中</v>
      </c>
    </row>
    <row r="278" spans="1:44">
      <c r="A278" s="343">
        <f>IFERROR(VLOOKUP($G278,基本資料!$A:$J,3,0),"無")</f>
        <v>10.07</v>
      </c>
      <c r="B278" s="79">
        <f>IFERROR(VLOOKUP($G278,基本資料!$A:$J,4,0),"無")</f>
        <v>68</v>
      </c>
      <c r="C278" s="79">
        <f>IFERROR(VLOOKUP($G278,基本資料!$A:$J,5,0),"無")</f>
        <v>53</v>
      </c>
      <c r="D278" s="79">
        <f>IFERROR(VLOOKUP($G278,基本資料!$A:$J,6,0),"無")</f>
        <v>-8</v>
      </c>
      <c r="E278" s="79">
        <f>IFERROR(VLOOKUP($G278,基本資料!$A:$J,7,0),"無")</f>
        <v>73</v>
      </c>
      <c r="F278" s="6">
        <f>IFERROR(VLOOKUP($G278,基本資料!$A:$J,8,0),"無")</f>
        <v>15.09</v>
      </c>
      <c r="G278" s="79">
        <v>4755</v>
      </c>
      <c r="H278" s="8" t="s">
        <v>755</v>
      </c>
      <c r="I278" s="22" t="s">
        <v>766</v>
      </c>
      <c r="J278" s="8">
        <f>IFERROR(VLOOKUP($G278,今日總結!$A:$AN,39,0),"")</f>
        <v>234</v>
      </c>
      <c r="K278" s="5">
        <f>IFERROR(VLOOKUP($G278,今日總結!$A:$AN,40,0),"")</f>
        <v>7</v>
      </c>
      <c r="L278" s="156">
        <f>IFERROR(VLOOKUP($G278,今日總結!$A:$AN,37,0),"")</f>
        <v>3</v>
      </c>
      <c r="M278" s="337">
        <f>IFERROR(VLOOKUP($G278,今日總結!$A:$AN,38,0),"")</f>
        <v>1</v>
      </c>
      <c r="N278" s="240">
        <f t="shared" si="58"/>
        <v>2</v>
      </c>
      <c r="O278" s="359">
        <f>IFERROR(VLOOKUP($G278,融外自投!$A:$J,7,0),"無")</f>
        <v>455</v>
      </c>
      <c r="P278" s="79">
        <f>IFERROR(VLOOKUP($G278,融外自投!$A:$J,9,0),"無")</f>
        <v>577</v>
      </c>
      <c r="Q278" s="342">
        <f>IFERROR(VLOOKUP($G278,融外自投!$A:$J,8,0),"無")</f>
        <v>170</v>
      </c>
      <c r="R278" s="81">
        <f>IFERROR(VLOOKUP($G278,融外自投!$A:$J,10,0),"無")</f>
        <v>213</v>
      </c>
      <c r="S278" s="324">
        <f>IFERROR(VLOOKUP($G278,'321買'!$A:$E,4,0),"'沒有資料'")</f>
        <v>186</v>
      </c>
      <c r="T278" s="186">
        <f>IFERROR(VLOOKUP($G278,基本資料!$A:$J,9,0),"無")</f>
        <v>5</v>
      </c>
      <c r="U278" s="307">
        <f t="shared" si="51"/>
        <v>2.6385224274406333E-2</v>
      </c>
      <c r="V278" s="94">
        <f>IFERROR(VLOOKUP($G278,基本資料!$A:$J,10,0),"無")</f>
        <v>6.69</v>
      </c>
      <c r="W278" s="36">
        <f>RTD("money.excel",,"4755","Price")</f>
        <v>189.5</v>
      </c>
      <c r="X278" s="66"/>
      <c r="Y278" s="15">
        <f t="shared" si="55"/>
        <v>189.5</v>
      </c>
      <c r="Z278" s="3" t="e">
        <f t="shared" si="56"/>
        <v>#DIV/0!</v>
      </c>
      <c r="AA278" s="340">
        <f>IFERROR(VLOOKUP($G278,基本資料!$A:$M,11,0),"無")</f>
        <v>-12.87</v>
      </c>
      <c r="AB278" s="389">
        <f>IFERROR(VLOOKUP($G278,基本資料!$A:$M,12,0),"無")</f>
        <v>49.02</v>
      </c>
      <c r="AC278" s="22" t="s">
        <v>766</v>
      </c>
      <c r="AF278" s="33">
        <f t="shared" si="57"/>
        <v>0</v>
      </c>
      <c r="AG278" s="43" t="s">
        <v>3636</v>
      </c>
      <c r="AH278" s="66">
        <f t="shared" si="59"/>
        <v>3.3141695210660727</v>
      </c>
      <c r="AI278" s="283">
        <f>RTD("money.excel",,$G278,"PredictVolume")</f>
        <v>13691</v>
      </c>
      <c r="AJ278" s="391">
        <f>IFERROR(VLOOKUP($G278,基本資料!$A:$M,13,0),"無")</f>
        <v>4131.05</v>
      </c>
      <c r="AR278" s="245" t="str">
        <f>INDEX(基本資料!N:N,MATCH($G278,基本資料!A:A,0))</f>
        <v>高</v>
      </c>
    </row>
    <row r="279" spans="1:44">
      <c r="A279" s="343">
        <f>IFERROR(VLOOKUP($G279,基本資料!$A:$J,3,0),"無")</f>
        <v>5.8</v>
      </c>
      <c r="B279" s="79">
        <f>IFERROR(VLOOKUP($G279,基本資料!$A:$J,4,0),"無")</f>
        <v>-29</v>
      </c>
      <c r="C279" s="79">
        <f>IFERROR(VLOOKUP($G279,基本資料!$A:$J,5,0),"無")</f>
        <v>-29</v>
      </c>
      <c r="D279" s="79">
        <f>IFERROR(VLOOKUP($G279,基本資料!$A:$J,6,0),"無")</f>
        <v>0</v>
      </c>
      <c r="E279" s="79">
        <f>IFERROR(VLOOKUP($G279,基本資料!$A:$J,7,0),"無")</f>
        <v>50</v>
      </c>
      <c r="F279" s="6">
        <f>IFERROR(VLOOKUP($G279,基本資料!$A:$J,8,0),"無")</f>
        <v>12.97</v>
      </c>
      <c r="G279" s="79">
        <v>4763</v>
      </c>
      <c r="H279" s="8" t="s">
        <v>755</v>
      </c>
      <c r="I279" s="22" t="s">
        <v>3637</v>
      </c>
      <c r="J279" s="8">
        <f>IFERROR(VLOOKUP($G279,今日總結!$A:$AN,39,0),"")</f>
        <v>0</v>
      </c>
      <c r="K279" s="5">
        <f>IFERROR(VLOOKUP($G279,今日總結!$A:$AN,40,0),"")</f>
        <v>0</v>
      </c>
      <c r="L279" s="156">
        <f>IFERROR(VLOOKUP($G279,今日總結!$A:$AN,37,0),"")</f>
        <v>0</v>
      </c>
      <c r="M279" s="337">
        <f>IFERROR(VLOOKUP($G279,今日總結!$A:$AN,38,0),"")</f>
        <v>0</v>
      </c>
      <c r="N279" s="240">
        <f t="shared" si="58"/>
        <v>0</v>
      </c>
      <c r="O279" s="359">
        <f>IFERROR(VLOOKUP($G279,融外自投!$A:$J,7,0),"無")</f>
        <v>504</v>
      </c>
      <c r="P279" s="79">
        <f>IFERROR(VLOOKUP($G279,融外自投!$A:$J,9,0),"無")</f>
        <v>990</v>
      </c>
      <c r="Q279" s="342">
        <f>IFERROR(VLOOKUP($G279,融外自投!$A:$J,8,0),"無")</f>
        <v>32</v>
      </c>
      <c r="R279" s="81" t="str">
        <f>IFERROR(VLOOKUP($G279,融外自投!$A:$J,10,0),"無")</f>
        <v>無</v>
      </c>
      <c r="S279" s="324">
        <f>IFERROR(VLOOKUP($G279,'321買'!$A:$E,4,0),"'沒有資料'")</f>
        <v>1002</v>
      </c>
      <c r="T279" s="186">
        <f>IFERROR(VLOOKUP($G279,基本資料!$A:$J,9,0),"無")</f>
        <v>5.5</v>
      </c>
      <c r="U279" s="307">
        <f t="shared" si="51"/>
        <v>5.5220883534136546E-2</v>
      </c>
      <c r="V279" s="94">
        <f>IFERROR(VLOOKUP($G279,基本資料!$A:$J,10,0),"無")</f>
        <v>6.23</v>
      </c>
      <c r="W279" s="36">
        <f>RTD("money.excel",,"4763","Price")</f>
        <v>99.6</v>
      </c>
      <c r="X279" s="66"/>
      <c r="Y279" s="15">
        <f t="shared" si="55"/>
        <v>99.6</v>
      </c>
      <c r="Z279" s="3" t="e">
        <f t="shared" si="56"/>
        <v>#DIV/0!</v>
      </c>
      <c r="AA279" s="340">
        <f>IFERROR(VLOOKUP($G279,基本資料!$A:$M,11,0),"無")</f>
        <v>-15.59</v>
      </c>
      <c r="AB279" s="389">
        <f>IFERROR(VLOOKUP($G279,基本資料!$A:$M,12,0),"無")</f>
        <v>53.18</v>
      </c>
      <c r="AC279" s="22" t="s">
        <v>3637</v>
      </c>
      <c r="AF279" s="33">
        <f t="shared" si="57"/>
        <v>0</v>
      </c>
      <c r="AG279" s="43" t="s">
        <v>3638</v>
      </c>
      <c r="AH279" s="66">
        <f t="shared" si="59"/>
        <v>1.9708029197080292</v>
      </c>
      <c r="AI279" s="283">
        <f>RTD("money.excel",,$G279,"PredictVolume")</f>
        <v>270</v>
      </c>
      <c r="AJ279" s="391">
        <f>IFERROR(VLOOKUP($G279,基本資料!$A:$M,13,0),"無")</f>
        <v>137</v>
      </c>
      <c r="AR279" s="245" t="str">
        <f>INDEX(基本資料!N:N,MATCH($G279,基本資料!A:A,0))</f>
        <v>中</v>
      </c>
    </row>
    <row r="280" spans="1:44">
      <c r="A280" s="343">
        <f>IFERROR(VLOOKUP($G280,基本資料!$A:$J,3,0),"無")</f>
        <v>8.07</v>
      </c>
      <c r="B280" s="79">
        <f>IFERROR(VLOOKUP($G280,基本資料!$A:$J,4,0),"無")</f>
        <v>69</v>
      </c>
      <c r="C280" s="79">
        <f>IFERROR(VLOOKUP($G280,基本資料!$A:$J,5,0),"無")</f>
        <v>64</v>
      </c>
      <c r="D280" s="79">
        <f>IFERROR(VLOOKUP($G280,基本資料!$A:$J,6,0),"無")</f>
        <v>-18</v>
      </c>
      <c r="E280" s="79">
        <f>IFERROR(VLOOKUP($G280,基本資料!$A:$J,7,0),"無")</f>
        <v>4</v>
      </c>
      <c r="F280" s="6">
        <f>IFERROR(VLOOKUP($G280,基本資料!$A:$J,8,0),"無")</f>
        <v>4.8099999999999996</v>
      </c>
      <c r="G280" s="79">
        <v>4764</v>
      </c>
      <c r="H280" s="8" t="s">
        <v>3577</v>
      </c>
      <c r="I280" s="22" t="s">
        <v>3639</v>
      </c>
      <c r="J280" s="8">
        <f>IFERROR(VLOOKUP($G280,今日總結!$A:$AN,39,0),"")</f>
        <v>0</v>
      </c>
      <c r="K280" s="5">
        <f>IFERROR(VLOOKUP($G280,今日總結!$A:$AN,40,0),"")</f>
        <v>0</v>
      </c>
      <c r="L280" s="156">
        <f>IFERROR(VLOOKUP($G280,今日總結!$A:$AN,37,0),"")</f>
        <v>0</v>
      </c>
      <c r="M280" s="337">
        <f>IFERROR(VLOOKUP($G280,今日總結!$A:$AN,38,0),"")</f>
        <v>0</v>
      </c>
      <c r="N280" s="240">
        <f t="shared" si="58"/>
        <v>0</v>
      </c>
      <c r="O280" s="359">
        <f>IFERROR(VLOOKUP($G280,融外自投!$A:$J,7,0),"無")</f>
        <v>1104</v>
      </c>
      <c r="P280" s="79" t="str">
        <f>IFERROR(VLOOKUP($G280,融外自投!$A:$J,9,0),"無")</f>
        <v>無</v>
      </c>
      <c r="Q280" s="342">
        <f>IFERROR(VLOOKUP($G280,融外自投!$A:$J,8,0),"無")</f>
        <v>129</v>
      </c>
      <c r="R280" s="81" t="str">
        <f>IFERROR(VLOOKUP($G280,融外自投!$A:$J,10,0),"無")</f>
        <v>無</v>
      </c>
      <c r="S280" s="324">
        <f>IFERROR(VLOOKUP($G280,'321買'!$A:$E,4,0),"'沒有資料'")</f>
        <v>1002</v>
      </c>
      <c r="T280" s="186">
        <f>IFERROR(VLOOKUP($G280,基本資料!$A:$J,9,0),"無")</f>
        <v>1</v>
      </c>
      <c r="U280" s="307">
        <f t="shared" si="51"/>
        <v>1.7574692442882251E-2</v>
      </c>
      <c r="V280" s="94">
        <f>IFERROR(VLOOKUP($G280,基本資料!$A:$J,10,0),"無")</f>
        <v>1.32</v>
      </c>
      <c r="W280" s="36">
        <f>RTD("money.excel",,"4764","Price")</f>
        <v>56.9</v>
      </c>
      <c r="X280" s="66"/>
      <c r="Y280" s="15">
        <f t="shared" si="55"/>
        <v>56.9</v>
      </c>
      <c r="Z280" s="3" t="e">
        <f t="shared" si="56"/>
        <v>#DIV/0!</v>
      </c>
      <c r="AA280" s="340">
        <f>IFERROR(VLOOKUP($G280,基本資料!$A:$M,11,0),"無")</f>
        <v>-10.39</v>
      </c>
      <c r="AB280" s="389">
        <f>IFERROR(VLOOKUP($G280,基本資料!$A:$M,12,0),"無")</f>
        <v>37.82</v>
      </c>
      <c r="AC280" s="22" t="s">
        <v>3639</v>
      </c>
      <c r="AF280" s="33">
        <f t="shared" si="57"/>
        <v>0</v>
      </c>
      <c r="AG280" s="43" t="s">
        <v>3640</v>
      </c>
      <c r="AH280" s="66">
        <f t="shared" si="59"/>
        <v>0.77777777777777779</v>
      </c>
      <c r="AI280" s="283">
        <f>RTD("money.excel",,$G280,"PredictVolume")</f>
        <v>7</v>
      </c>
      <c r="AJ280" s="391">
        <f>IFERROR(VLOOKUP($G280,基本資料!$A:$M,13,0),"無")</f>
        <v>9</v>
      </c>
      <c r="AR280" s="245" t="str">
        <f>INDEX(基本資料!N:N,MATCH($G280,基本資料!A:A,0))</f>
        <v>中</v>
      </c>
    </row>
    <row r="281" spans="1:44">
      <c r="A281" s="343">
        <f>IFERROR(VLOOKUP($G281,基本資料!$A:$J,3,0),"無")</f>
        <v>12.05</v>
      </c>
      <c r="B281" s="79">
        <f>IFERROR(VLOOKUP($G281,基本資料!$A:$J,4,0),"無")</f>
        <v>-26</v>
      </c>
      <c r="C281" s="79">
        <f>IFERROR(VLOOKUP($G281,基本資料!$A:$J,5,0),"無")</f>
        <v>-29</v>
      </c>
      <c r="D281" s="79">
        <f>IFERROR(VLOOKUP($G281,基本資料!$A:$J,6,0),"無")</f>
        <v>-5</v>
      </c>
      <c r="E281" s="79">
        <f>IFERROR(VLOOKUP($G281,基本資料!$A:$J,7,0),"無")</f>
        <v>19</v>
      </c>
      <c r="F281" s="6">
        <f>IFERROR(VLOOKUP($G281,基本資料!$A:$J,8,0),"無")</f>
        <v>5.85</v>
      </c>
      <c r="G281" s="79">
        <v>4766</v>
      </c>
      <c r="H281" s="8" t="s">
        <v>3577</v>
      </c>
      <c r="I281" s="22" t="s">
        <v>3641</v>
      </c>
      <c r="J281" s="8">
        <f>IFERROR(VLOOKUP($G281,今日總結!$A:$AN,39,0),"")</f>
        <v>0</v>
      </c>
      <c r="K281" s="5" t="str">
        <f>IFERROR(VLOOKUP($G281,今日總結!$A:$AN,40,0),"")</f>
        <v>外</v>
      </c>
      <c r="L281" s="156">
        <f>IFERROR(VLOOKUP($G281,今日總結!$A:$AN,37,0),"")</f>
        <v>0</v>
      </c>
      <c r="M281" s="337">
        <f>IFERROR(VLOOKUP($G281,今日總結!$A:$AN,38,0),"")</f>
        <v>13</v>
      </c>
      <c r="N281" s="240">
        <f t="shared" si="58"/>
        <v>-13</v>
      </c>
      <c r="O281" s="359">
        <f>IFERROR(VLOOKUP($G281,融外自投!$A:$J,7,0),"無")</f>
        <v>1303</v>
      </c>
      <c r="P281" s="79">
        <f>IFERROR(VLOOKUP($G281,融外自投!$A:$J,9,0),"無")</f>
        <v>990</v>
      </c>
      <c r="Q281" s="342">
        <f>IFERROR(VLOOKUP($G281,融外自投!$A:$J,8,0),"無")</f>
        <v>353</v>
      </c>
      <c r="R281" s="81" t="str">
        <f>IFERROR(VLOOKUP($G281,融外自投!$A:$J,10,0),"無")</f>
        <v>無</v>
      </c>
      <c r="S281" s="324">
        <f>IFERROR(VLOOKUP($G281,'321買'!$A:$E,4,0),"'沒有資料'")</f>
        <v>1002</v>
      </c>
      <c r="T281" s="186">
        <f>IFERROR(VLOOKUP($G281,基本資料!$A:$J,9,0),"無")</f>
        <v>6</v>
      </c>
      <c r="U281" s="307">
        <f t="shared" si="51"/>
        <v>4.7244094488188976E-2</v>
      </c>
      <c r="V281" s="94">
        <f>IFERROR(VLOOKUP($G281,基本資料!$A:$J,10,0),"無")</f>
        <v>7.26</v>
      </c>
      <c r="W281" s="36">
        <f>RTD("money.excel",,"4766","Price")</f>
        <v>127</v>
      </c>
      <c r="X281" s="66"/>
      <c r="Y281" s="15">
        <f t="shared" si="55"/>
        <v>127</v>
      </c>
      <c r="Z281" s="3" t="e">
        <f t="shared" si="56"/>
        <v>#DIV/0!</v>
      </c>
      <c r="AA281" s="340">
        <f>IFERROR(VLOOKUP($G281,基本資料!$A:$M,11,0),"無")</f>
        <v>-19.37</v>
      </c>
      <c r="AB281" s="389">
        <f>IFERROR(VLOOKUP($G281,基本資料!$A:$M,12,0),"無")</f>
        <v>33.9</v>
      </c>
      <c r="AC281" s="22" t="s">
        <v>3641</v>
      </c>
      <c r="AF281" s="33">
        <f t="shared" si="57"/>
        <v>0</v>
      </c>
      <c r="AG281" s="43" t="s">
        <v>3642</v>
      </c>
      <c r="AH281" s="66">
        <f t="shared" si="59"/>
        <v>0.88472990216928971</v>
      </c>
      <c r="AI281" s="283">
        <f>RTD("money.excel",,$G281,"PredictVolume")</f>
        <v>104</v>
      </c>
      <c r="AJ281" s="391">
        <f>IFERROR(VLOOKUP($G281,基本資料!$A:$M,13,0),"無")</f>
        <v>117.55</v>
      </c>
      <c r="AR281" s="245" t="str">
        <f>INDEX(基本資料!N:N,MATCH($G281,基本資料!A:A,0))</f>
        <v>低</v>
      </c>
    </row>
    <row r="282" spans="1:44">
      <c r="A282" s="343">
        <f>IFERROR(VLOOKUP($G282,基本資料!$A:$J,3,0),"無")</f>
        <v>3.14</v>
      </c>
      <c r="B282" s="79">
        <f>IFERROR(VLOOKUP($G282,基本資料!$A:$J,4,0),"無")</f>
        <v>23</v>
      </c>
      <c r="C282" s="79">
        <f>IFERROR(VLOOKUP($G282,基本資料!$A:$J,5,0),"無")</f>
        <v>17</v>
      </c>
      <c r="D282" s="79">
        <f>IFERROR(VLOOKUP($G282,基本資料!$A:$J,6,0),"無")</f>
        <v>-7</v>
      </c>
      <c r="E282" s="79">
        <f>IFERROR(VLOOKUP($G282,基本資料!$A:$J,7,0),"無")</f>
        <v>5</v>
      </c>
      <c r="F282" s="6">
        <f>IFERROR(VLOOKUP($G282,基本資料!$A:$J,8,0),"無")</f>
        <v>8.4499999999999993</v>
      </c>
      <c r="G282" s="79">
        <v>4767</v>
      </c>
      <c r="H282" s="8" t="s">
        <v>3577</v>
      </c>
      <c r="I282" s="16" t="s">
        <v>3643</v>
      </c>
      <c r="J282" s="8" t="str">
        <f>IFERROR(VLOOKUP($G282,今日總結!$A:$AN,39,0),"")</f>
        <v/>
      </c>
      <c r="K282" s="5" t="str">
        <f>IFERROR(VLOOKUP($G282,今日總結!$A:$AN,40,0),"")</f>
        <v/>
      </c>
      <c r="L282" s="156" t="str">
        <f>IFERROR(VLOOKUP($G282,今日總結!$A:$AN,37,0),"")</f>
        <v/>
      </c>
      <c r="M282" s="337" t="str">
        <f>IFERROR(VLOOKUP($G282,今日總結!$A:$AN,38,0),"")</f>
        <v/>
      </c>
      <c r="N282" s="240" t="str">
        <f t="shared" si="58"/>
        <v/>
      </c>
      <c r="O282" s="359" t="str">
        <f>IFERROR(VLOOKUP($G282,融外自投!$A:$J,7,0),"無")</f>
        <v>無</v>
      </c>
      <c r="P282" s="79" t="str">
        <f>IFERROR(VLOOKUP($G282,融外自投!$A:$J,9,0),"無")</f>
        <v>無</v>
      </c>
      <c r="Q282" s="342" t="str">
        <f>IFERROR(VLOOKUP($G282,融外自投!$A:$J,8,0),"無")</f>
        <v>無</v>
      </c>
      <c r="R282" s="81" t="str">
        <f>IFERROR(VLOOKUP($G282,融外自投!$A:$J,10,0),"無")</f>
        <v>無</v>
      </c>
      <c r="S282" s="324" t="str">
        <f>IFERROR(VLOOKUP($G282,'321買'!$A:$E,4,0),"'沒有資料'")</f>
        <v>'沒有資料'</v>
      </c>
      <c r="T282" s="186">
        <f>IFERROR(VLOOKUP($G282,基本資料!$A:$J,9,0),"無")</f>
        <v>1.5</v>
      </c>
      <c r="U282" s="307">
        <f t="shared" si="51"/>
        <v>5.1724137931034482E-2</v>
      </c>
      <c r="V282" s="94">
        <f>IFERROR(VLOOKUP($G282,基本資料!$A:$J,10,0),"無")</f>
        <v>2.84</v>
      </c>
      <c r="W282" s="36">
        <f>RTD("money.excel",,"4767","Price")</f>
        <v>29</v>
      </c>
      <c r="X282" s="66"/>
      <c r="Y282" s="15">
        <f t="shared" si="55"/>
        <v>29</v>
      </c>
      <c r="Z282" s="3" t="e">
        <f t="shared" si="56"/>
        <v>#DIV/0!</v>
      </c>
      <c r="AA282" s="340">
        <f>IFERROR(VLOOKUP($G282,基本資料!$A:$M,11,0),"無")</f>
        <v>-12.65</v>
      </c>
      <c r="AB282" s="389">
        <f>IFERROR(VLOOKUP($G282,基本資料!$A:$M,12,0),"無")</f>
        <v>32.58</v>
      </c>
      <c r="AC282" s="16" t="s">
        <v>3643</v>
      </c>
      <c r="AF282" s="33">
        <f t="shared" si="57"/>
        <v>0</v>
      </c>
      <c r="AG282" s="43" t="s">
        <v>3644</v>
      </c>
      <c r="AH282" s="66">
        <f t="shared" si="59"/>
        <v>1.5469613259668507</v>
      </c>
      <c r="AI282" s="283">
        <f>RTD("money.excel",,$G282,"PredictVolume")</f>
        <v>14</v>
      </c>
      <c r="AJ282" s="391">
        <f>IFERROR(VLOOKUP($G282,基本資料!$A:$M,13,0),"無")</f>
        <v>9.0500000000000007</v>
      </c>
      <c r="AR282" s="245" t="str">
        <f>INDEX(基本資料!N:N,MATCH($G282,基本資料!A:A,0))</f>
        <v>中</v>
      </c>
    </row>
    <row r="283" spans="1:44">
      <c r="A283" s="343" t="str">
        <f>IFERROR(VLOOKUP($G283,基本資料!$A:$J,3,0),"無")</f>
        <v>無</v>
      </c>
      <c r="B283" s="79" t="str">
        <f>IFERROR(VLOOKUP($G283,基本資料!$A:$J,4,0),"無")</f>
        <v>無</v>
      </c>
      <c r="C283" s="79" t="str">
        <f>IFERROR(VLOOKUP($G283,基本資料!$A:$J,5,0),"無")</f>
        <v>無</v>
      </c>
      <c r="D283" s="79" t="str">
        <f>IFERROR(VLOOKUP($G283,基本資料!$A:$J,6,0),"無")</f>
        <v>無</v>
      </c>
      <c r="E283" s="79" t="str">
        <f>IFERROR(VLOOKUP($G283,基本資料!$A:$J,7,0),"無")</f>
        <v>無</v>
      </c>
      <c r="F283" s="6" t="str">
        <f>IFERROR(VLOOKUP($G283,基本資料!$A:$J,8,0),"無")</f>
        <v>無</v>
      </c>
      <c r="G283" s="79">
        <v>4768</v>
      </c>
      <c r="H283" s="8" t="s">
        <v>755</v>
      </c>
      <c r="I283" s="16" t="s">
        <v>6169</v>
      </c>
      <c r="J283" s="8" t="str">
        <f>IFERROR(VLOOKUP($G283,今日總結!$A:$AN,39,0),"")</f>
        <v/>
      </c>
      <c r="K283" s="5" t="str">
        <f>IFERROR(VLOOKUP($G283,今日總結!$A:$AN,40,0),"")</f>
        <v/>
      </c>
      <c r="L283" s="156" t="str">
        <f>IFERROR(VLOOKUP($G283,今日總結!$A:$AN,37,0),"")</f>
        <v/>
      </c>
      <c r="M283" s="337" t="str">
        <f>IFERROR(VLOOKUP($G283,今日總結!$A:$AN,38,0),"")</f>
        <v/>
      </c>
      <c r="N283" s="240" t="str">
        <f t="shared" si="58"/>
        <v/>
      </c>
      <c r="O283" s="359" t="str">
        <f>IFERROR(VLOOKUP($G283,融外自投!$A:$J,7,0),"無")</f>
        <v>無</v>
      </c>
      <c r="P283" s="79" t="str">
        <f>IFERROR(VLOOKUP($G283,融外自投!$A:$J,9,0),"無")</f>
        <v>無</v>
      </c>
      <c r="Q283" s="342" t="str">
        <f>IFERROR(VLOOKUP($G283,融外自投!$A:$J,8,0),"無")</f>
        <v>無</v>
      </c>
      <c r="R283" s="81" t="str">
        <f>IFERROR(VLOOKUP($G283,融外自投!$A:$J,10,0),"無")</f>
        <v>無</v>
      </c>
      <c r="S283" s="324" t="str">
        <f>IFERROR(VLOOKUP($G283,'321買'!$A:$E,4,0),"'沒有資料'")</f>
        <v>'沒有資料'</v>
      </c>
      <c r="T283" s="186" t="str">
        <f>IFERROR(VLOOKUP($G283,基本資料!$A:$J,9,0),"無")</f>
        <v>無</v>
      </c>
      <c r="U283" s="307" t="e">
        <f t="shared" si="51"/>
        <v>#VALUE!</v>
      </c>
      <c r="V283" s="94" t="str">
        <f>IFERROR(VLOOKUP($G283,基本資料!$A:$J,10,0),"無")</f>
        <v>無</v>
      </c>
      <c r="W283" s="36">
        <f>RTD("money.excel",,"4768","Price")</f>
        <v>98.8</v>
      </c>
      <c r="X283" s="66"/>
      <c r="Y283" s="15">
        <f t="shared" ref="Y283" si="60">W283-X283</f>
        <v>98.8</v>
      </c>
      <c r="Z283" s="3" t="e">
        <f t="shared" ref="Z283" si="61">Y283/X283</f>
        <v>#DIV/0!</v>
      </c>
      <c r="AA283" s="340" t="str">
        <f>IFERROR(VLOOKUP($G283,基本資料!$A:$M,11,0),"無")</f>
        <v>無</v>
      </c>
      <c r="AB283" s="389" t="str">
        <f>IFERROR(VLOOKUP($G283,基本資料!$A:$M,12,0),"無")</f>
        <v>無</v>
      </c>
      <c r="AC283" s="16" t="s">
        <v>6169</v>
      </c>
      <c r="AF283" s="33">
        <f t="shared" ref="AF283" si="62">AE283-AD283</f>
        <v>0</v>
      </c>
      <c r="AG283" s="43" t="s">
        <v>6170</v>
      </c>
      <c r="AH283" s="66" t="e">
        <f t="shared" si="59"/>
        <v>#VALUE!</v>
      </c>
      <c r="AI283" s="283">
        <f>RTD("money.excel",,$G283,"PredictVolume")</f>
        <v>41</v>
      </c>
      <c r="AJ283" s="391" t="str">
        <f>IFERROR(VLOOKUP($G283,基本資料!$A:$M,13,0),"無")</f>
        <v>無</v>
      </c>
      <c r="AR283" s="245" t="e">
        <f>INDEX(基本資料!N:N,MATCH($G283,基本資料!A:A,0))</f>
        <v>#N/A</v>
      </c>
    </row>
    <row r="284" spans="1:44">
      <c r="A284" s="343">
        <f>IFERROR(VLOOKUP($G284,基本資料!$A:$J,3,0),"無")</f>
        <v>7.85</v>
      </c>
      <c r="B284" s="79">
        <f>IFERROR(VLOOKUP($G284,基本資料!$A:$J,4,0),"無")</f>
        <v>83</v>
      </c>
      <c r="C284" s="79">
        <f>IFERROR(VLOOKUP($G284,基本資料!$A:$J,5,0),"無")</f>
        <v>78</v>
      </c>
      <c r="D284" s="79">
        <f>IFERROR(VLOOKUP($G284,基本資料!$A:$J,6,0),"無")</f>
        <v>-8</v>
      </c>
      <c r="E284" s="79">
        <f>IFERROR(VLOOKUP($G284,基本資料!$A:$J,7,0),"無")</f>
        <v>75</v>
      </c>
      <c r="F284" s="6">
        <f>IFERROR(VLOOKUP($G284,基本資料!$A:$J,8,0),"無")</f>
        <v>31.15</v>
      </c>
      <c r="G284" s="79">
        <v>4770</v>
      </c>
      <c r="H284" s="8" t="s">
        <v>3577</v>
      </c>
      <c r="I284" s="22" t="s">
        <v>3549</v>
      </c>
      <c r="J284" s="8" t="str">
        <f>IFERROR(VLOOKUP($G284,今日總結!$A:$AN,39,0),"")</f>
        <v/>
      </c>
      <c r="K284" s="5" t="str">
        <f>IFERROR(VLOOKUP($G284,今日總結!$A:$AN,40,0),"")</f>
        <v/>
      </c>
      <c r="L284" s="156" t="str">
        <f>IFERROR(VLOOKUP($G284,今日總結!$A:$AN,37,0),"")</f>
        <v/>
      </c>
      <c r="M284" s="337" t="str">
        <f>IFERROR(VLOOKUP($G284,今日總結!$A:$AN,38,0),"")</f>
        <v/>
      </c>
      <c r="N284" s="240" t="str">
        <f t="shared" si="58"/>
        <v/>
      </c>
      <c r="O284" s="359" t="str">
        <f>IFERROR(VLOOKUP($G284,融外自投!$A:$J,7,0),"無")</f>
        <v>無</v>
      </c>
      <c r="P284" s="79" t="str">
        <f>IFERROR(VLOOKUP($G284,融外自投!$A:$J,9,0),"無")</f>
        <v>無</v>
      </c>
      <c r="Q284" s="342" t="str">
        <f>IFERROR(VLOOKUP($G284,融外自投!$A:$J,8,0),"無")</f>
        <v>無</v>
      </c>
      <c r="R284" s="81" t="str">
        <f>IFERROR(VLOOKUP($G284,融外自投!$A:$J,10,0),"無")</f>
        <v>無</v>
      </c>
      <c r="S284" s="324" t="str">
        <f>IFERROR(VLOOKUP($G284,'321買'!$A:$E,4,0),"'沒有資料'")</f>
        <v>'沒有資料'</v>
      </c>
      <c r="T284" s="186">
        <f>IFERROR(VLOOKUP($G284,基本資料!$A:$J,9,0),"無")</f>
        <v>8</v>
      </c>
      <c r="U284" s="307">
        <f t="shared" si="51"/>
        <v>2.8469750889679714E-2</v>
      </c>
      <c r="V284" s="94">
        <f>IFERROR(VLOOKUP($G284,基本資料!$A:$J,10,0),"無")</f>
        <v>13.94</v>
      </c>
      <c r="W284" s="36">
        <f>RTD("money.excel",,"4770","Price")</f>
        <v>281</v>
      </c>
      <c r="X284" s="66"/>
      <c r="Y284" s="15">
        <f t="shared" si="55"/>
        <v>281</v>
      </c>
      <c r="Z284" s="3" t="e">
        <f t="shared" si="56"/>
        <v>#DIV/0!</v>
      </c>
      <c r="AA284" s="340" t="str">
        <f>IFERROR(VLOOKUP($G284,基本資料!$A:$M,11,0),"無")</f>
        <v>無</v>
      </c>
      <c r="AB284" s="389" t="str">
        <f>IFERROR(VLOOKUP($G284,基本資料!$A:$M,12,0),"無")</f>
        <v>無</v>
      </c>
      <c r="AC284" s="22" t="s">
        <v>3645</v>
      </c>
      <c r="AF284" s="33">
        <f t="shared" si="57"/>
        <v>0</v>
      </c>
      <c r="AG284" s="43" t="s">
        <v>2637</v>
      </c>
      <c r="AH284" s="66" t="e">
        <f t="shared" si="59"/>
        <v>#VALUE!</v>
      </c>
      <c r="AI284" s="283">
        <f>RTD("money.excel",,$G284,"PredictVolume")</f>
        <v>1551</v>
      </c>
      <c r="AJ284" s="391" t="str">
        <f>IFERROR(VLOOKUP($G284,基本資料!$A:$M,13,0),"無")</f>
        <v>無</v>
      </c>
      <c r="AR284" s="245" t="str">
        <f>INDEX(基本資料!N:N,MATCH($G284,基本資料!A:A,0))</f>
        <v>無</v>
      </c>
    </row>
    <row r="285" spans="1:44">
      <c r="A285" s="343">
        <f>IFERROR(VLOOKUP($G285,基本資料!$A:$J,3,0),"無")</f>
        <v>8.23</v>
      </c>
      <c r="B285" s="79">
        <f>IFERROR(VLOOKUP($G285,基本資料!$A:$J,4,0),"無")</f>
        <v>29</v>
      </c>
      <c r="C285" s="79">
        <f>IFERROR(VLOOKUP($G285,基本資料!$A:$J,5,0),"無")</f>
        <v>46</v>
      </c>
      <c r="D285" s="79">
        <f>IFERROR(VLOOKUP($G285,基本資料!$A:$J,6,0),"無")</f>
        <v>-3</v>
      </c>
      <c r="E285" s="79">
        <f>IFERROR(VLOOKUP($G285,基本資料!$A:$J,7,0),"無")</f>
        <v>26</v>
      </c>
      <c r="F285" s="6">
        <f>IFERROR(VLOOKUP($G285,基本資料!$A:$J,8,0),"無")</f>
        <v>4.2</v>
      </c>
      <c r="G285" s="79">
        <v>6506</v>
      </c>
      <c r="H285" s="8" t="s">
        <v>3577</v>
      </c>
      <c r="I285" s="16" t="s">
        <v>3646</v>
      </c>
      <c r="J285" s="8">
        <f>IFERROR(VLOOKUP($G285,今日總結!$A:$AN,39,0),"")</f>
        <v>0</v>
      </c>
      <c r="K285" s="5">
        <f>IFERROR(VLOOKUP($G285,今日總結!$A:$AN,40,0),"")</f>
        <v>0</v>
      </c>
      <c r="L285" s="156">
        <f>IFERROR(VLOOKUP($G285,今日總結!$A:$AN,37,0),"")</f>
        <v>0</v>
      </c>
      <c r="M285" s="337">
        <f>IFERROR(VLOOKUP($G285,今日總結!$A:$AN,38,0),"")</f>
        <v>0</v>
      </c>
      <c r="N285" s="240">
        <f t="shared" si="58"/>
        <v>0</v>
      </c>
      <c r="O285" s="359">
        <f>IFERROR(VLOOKUP($G285,融外自投!$A:$J,7,0),"無")</f>
        <v>973</v>
      </c>
      <c r="P285" s="79">
        <f>IFERROR(VLOOKUP($G285,融外自投!$A:$J,9,0),"無")</f>
        <v>1123</v>
      </c>
      <c r="Q285" s="342">
        <f>IFERROR(VLOOKUP($G285,融外自投!$A:$J,8,0),"無")</f>
        <v>1011</v>
      </c>
      <c r="R285" s="81" t="str">
        <f>IFERROR(VLOOKUP($G285,融外自投!$A:$J,10,0),"無")</f>
        <v>無</v>
      </c>
      <c r="S285" s="324">
        <f>IFERROR(VLOOKUP($G285,'321買'!$A:$E,4,0),"'沒有資料'")</f>
        <v>696</v>
      </c>
      <c r="T285" s="186">
        <f>IFERROR(VLOOKUP($G285,基本資料!$A:$J,9,0),"無")</f>
        <v>2</v>
      </c>
      <c r="U285" s="307">
        <f t="shared" si="51"/>
        <v>9.1116173120728935E-2</v>
      </c>
      <c r="V285" s="94">
        <f>IFERROR(VLOOKUP($G285,基本資料!$A:$J,10,0),"無")</f>
        <v>0.83</v>
      </c>
      <c r="W285" s="36">
        <f>RTD("money.excel",,"6506","Price")</f>
        <v>21.95</v>
      </c>
      <c r="X285" s="66"/>
      <c r="Y285" s="15">
        <f t="shared" si="55"/>
        <v>21.95</v>
      </c>
      <c r="Z285" s="3" t="e">
        <f t="shared" si="56"/>
        <v>#DIV/0!</v>
      </c>
      <c r="AA285" s="340">
        <f>IFERROR(VLOOKUP($G285,基本資料!$A:$M,11,0),"無")</f>
        <v>-7.77</v>
      </c>
      <c r="AB285" s="389">
        <f>IFERROR(VLOOKUP($G285,基本資料!$A:$M,12,0),"無")</f>
        <v>69.02</v>
      </c>
      <c r="AC285" s="16" t="s">
        <v>3646</v>
      </c>
      <c r="AF285" s="33">
        <f t="shared" si="57"/>
        <v>0</v>
      </c>
      <c r="AG285" s="43" t="s">
        <v>3647</v>
      </c>
      <c r="AH285" s="66">
        <f t="shared" si="59"/>
        <v>1.3407367280606717</v>
      </c>
      <c r="AI285" s="283">
        <f>RTD("money.excel",,$G285,"PredictVolume")</f>
        <v>495</v>
      </c>
      <c r="AJ285" s="391">
        <f>IFERROR(VLOOKUP($G285,基本資料!$A:$M,13,0),"無")</f>
        <v>369.2</v>
      </c>
      <c r="AR285" s="245" t="str">
        <f>INDEX(基本資料!N:N,MATCH($G285,基本資料!A:A,0))</f>
        <v>高</v>
      </c>
    </row>
    <row r="286" spans="1:44">
      <c r="A286" s="343">
        <f>IFERROR(VLOOKUP($G286,基本資料!$A:$J,3,0),"無")</f>
        <v>17.34</v>
      </c>
      <c r="B286" s="79">
        <f>IFERROR(VLOOKUP($G286,基本資料!$A:$J,4,0),"無")</f>
        <v>50</v>
      </c>
      <c r="C286" s="79">
        <f>IFERROR(VLOOKUP($G286,基本資料!$A:$J,5,0),"無")</f>
        <v>47</v>
      </c>
      <c r="D286" s="79">
        <f>IFERROR(VLOOKUP($G286,基本資料!$A:$J,6,0),"無")</f>
        <v>-37</v>
      </c>
      <c r="E286" s="79">
        <f>IFERROR(VLOOKUP($G286,基本資料!$A:$J,7,0),"無")</f>
        <v>-6</v>
      </c>
      <c r="F286" s="6">
        <f>IFERROR(VLOOKUP($G286,基本資料!$A:$J,8,0),"無")</f>
        <v>11.93</v>
      </c>
      <c r="G286" s="79">
        <v>6509</v>
      </c>
      <c r="H286" s="8" t="s">
        <v>3577</v>
      </c>
      <c r="I286" s="16" t="s">
        <v>3648</v>
      </c>
      <c r="J286" s="8" t="str">
        <f>IFERROR(VLOOKUP($G286,今日總結!$A:$AN,39,0),"")</f>
        <v>主外</v>
      </c>
      <c r="K286" s="5">
        <f>IFERROR(VLOOKUP($G286,今日總結!$A:$AN,40,0),"")</f>
        <v>0</v>
      </c>
      <c r="L286" s="156">
        <f>IFERROR(VLOOKUP($G286,今日總結!$A:$AN,37,0),"")</f>
        <v>2</v>
      </c>
      <c r="M286" s="337">
        <f>IFERROR(VLOOKUP($G286,今日總結!$A:$AN,38,0),"")</f>
        <v>0</v>
      </c>
      <c r="N286" s="240">
        <f t="shared" si="58"/>
        <v>2</v>
      </c>
      <c r="O286" s="359">
        <f>IFERROR(VLOOKUP($G286,融外自投!$A:$J,7,0),"無")</f>
        <v>74</v>
      </c>
      <c r="P286" s="79">
        <f>IFERROR(VLOOKUP($G286,融外自投!$A:$J,9,0),"無")</f>
        <v>515</v>
      </c>
      <c r="Q286" s="342">
        <f>IFERROR(VLOOKUP($G286,融外自投!$A:$J,8,0),"無")</f>
        <v>817</v>
      </c>
      <c r="R286" s="81">
        <f>IFERROR(VLOOKUP($G286,融外自投!$A:$J,10,0),"無")</f>
        <v>427</v>
      </c>
      <c r="S286" s="324">
        <f>IFERROR(VLOOKUP($G286,'321買'!$A:$E,4,0),"'沒有資料'")</f>
        <v>46</v>
      </c>
      <c r="T286" s="186">
        <f>IFERROR(VLOOKUP($G286,基本資料!$A:$J,9,0),"無")</f>
        <v>1.25</v>
      </c>
      <c r="U286" s="307">
        <f t="shared" si="51"/>
        <v>2.7262813522355506E-2</v>
      </c>
      <c r="V286" s="94">
        <f>IFERROR(VLOOKUP($G286,基本資料!$A:$J,10,0),"無")</f>
        <v>2.48</v>
      </c>
      <c r="W286" s="36">
        <f>RTD("money.excel",,"6509","Price")</f>
        <v>45.85</v>
      </c>
      <c r="X286" s="66"/>
      <c r="Y286" s="15">
        <f t="shared" si="55"/>
        <v>45.85</v>
      </c>
      <c r="Z286" s="3" t="e">
        <f t="shared" si="56"/>
        <v>#DIV/0!</v>
      </c>
      <c r="AA286" s="340">
        <f>IFERROR(VLOOKUP($G286,基本資料!$A:$M,11,0),"無")</f>
        <v>-44.69</v>
      </c>
      <c r="AB286" s="389">
        <f>IFERROR(VLOOKUP($G286,基本資料!$A:$M,12,0),"無")</f>
        <v>14.35</v>
      </c>
      <c r="AC286" s="16" t="s">
        <v>3648</v>
      </c>
      <c r="AF286" s="33">
        <f t="shared" si="57"/>
        <v>0</v>
      </c>
      <c r="AG286" s="117" t="s">
        <v>3649</v>
      </c>
      <c r="AH286" s="66">
        <f t="shared" si="59"/>
        <v>0.78055923183059717</v>
      </c>
      <c r="AI286" s="283">
        <f>RTD("money.excel",,$G286,"PredictVolume")</f>
        <v>1386</v>
      </c>
      <c r="AJ286" s="391">
        <f>IFERROR(VLOOKUP($G286,基本資料!$A:$M,13,0),"無")</f>
        <v>1775.65</v>
      </c>
      <c r="AR286" s="245" t="str">
        <f>INDEX(基本資料!N:N,MATCH($G286,基本資料!A:A,0))</f>
        <v>低</v>
      </c>
    </row>
    <row r="287" spans="1:44">
      <c r="B287" s="79"/>
      <c r="C287" s="79"/>
      <c r="D287" s="80"/>
      <c r="E287" s="79"/>
      <c r="F287" s="57"/>
      <c r="G287" s="79"/>
      <c r="H287" s="8"/>
      <c r="I287" s="16"/>
      <c r="L287" s="2"/>
      <c r="O287" s="359"/>
      <c r="P287" s="47"/>
      <c r="Q287" s="342"/>
      <c r="R287" s="26"/>
      <c r="T287" s="34"/>
      <c r="V287" s="94"/>
      <c r="W287" s="36"/>
      <c r="X287" s="66"/>
      <c r="Y287" s="15"/>
      <c r="Z287" s="3"/>
      <c r="AC287" s="16"/>
      <c r="AF287" s="33"/>
      <c r="AG287" s="117"/>
      <c r="AH287" s="66" t="e">
        <f t="shared" si="59"/>
        <v>#DIV/0!</v>
      </c>
      <c r="AI287" s="283"/>
    </row>
    <row r="288" spans="1:44">
      <c r="A288" s="127" t="s">
        <v>3650</v>
      </c>
      <c r="B288" s="90" t="s">
        <v>3651</v>
      </c>
      <c r="C288" s="90" t="s">
        <v>3652</v>
      </c>
      <c r="D288" s="90" t="s">
        <v>3653</v>
      </c>
      <c r="E288" s="90" t="s">
        <v>3654</v>
      </c>
      <c r="F288" s="8" t="s">
        <v>3655</v>
      </c>
      <c r="G288" s="27" t="s">
        <v>3656</v>
      </c>
      <c r="H288" s="55" t="s">
        <v>320</v>
      </c>
      <c r="I288" s="50" t="s">
        <v>3657</v>
      </c>
      <c r="J288" s="8" t="s">
        <v>6211</v>
      </c>
      <c r="K288" s="5" t="s">
        <v>6212</v>
      </c>
      <c r="L288" s="334" t="s">
        <v>6197</v>
      </c>
      <c r="M288" s="335" t="s">
        <v>6198</v>
      </c>
      <c r="N288" s="336" t="s">
        <v>6199</v>
      </c>
      <c r="O288" s="89" t="s">
        <v>6275</v>
      </c>
      <c r="P288" s="292" t="s">
        <v>6274</v>
      </c>
      <c r="Q288" s="350" t="s">
        <v>6273</v>
      </c>
      <c r="R288" s="26" t="s">
        <v>6276</v>
      </c>
      <c r="S288" s="318" t="s">
        <v>4715</v>
      </c>
      <c r="T288" s="10" t="s">
        <v>3658</v>
      </c>
      <c r="U288" s="305" t="s">
        <v>4728</v>
      </c>
      <c r="V288" s="68" t="s">
        <v>3272</v>
      </c>
      <c r="W288" s="28" t="s">
        <v>2</v>
      </c>
      <c r="X288" s="17" t="s">
        <v>3659</v>
      </c>
      <c r="Y288" s="14" t="s">
        <v>3660</v>
      </c>
      <c r="Z288" s="21" t="s">
        <v>3661</v>
      </c>
      <c r="AA288" s="96" t="s">
        <v>6166</v>
      </c>
      <c r="AB288" s="378" t="s">
        <v>6404</v>
      </c>
      <c r="AC288" s="50" t="s">
        <v>3657</v>
      </c>
      <c r="AD288" s="71" t="s">
        <v>3662</v>
      </c>
      <c r="AE288" s="72" t="s">
        <v>3663</v>
      </c>
      <c r="AF288" s="32" t="s">
        <v>3664</v>
      </c>
      <c r="AG288" s="25" t="s">
        <v>6200</v>
      </c>
      <c r="AH288" s="8" t="s">
        <v>6696</v>
      </c>
      <c r="AI288" s="50" t="s">
        <v>3360</v>
      </c>
      <c r="AJ288" s="22" t="s">
        <v>6695</v>
      </c>
    </row>
    <row r="289" spans="1:44">
      <c r="A289" s="343">
        <f>IFERROR(VLOOKUP($G289,基本資料!$A:$J,3,0),"無")</f>
        <v>5.04</v>
      </c>
      <c r="B289" s="79">
        <f>IFERROR(VLOOKUP($G289,基本資料!$A:$J,4,0),"無")</f>
        <v>27</v>
      </c>
      <c r="C289" s="79">
        <f>IFERROR(VLOOKUP($G289,基本資料!$A:$J,5,0),"無")</f>
        <v>23</v>
      </c>
      <c r="D289" s="79">
        <f>IFERROR(VLOOKUP($G289,基本資料!$A:$J,6,0),"無")</f>
        <v>-26</v>
      </c>
      <c r="E289" s="79">
        <f>IFERROR(VLOOKUP($G289,基本資料!$A:$J,7,0),"無")</f>
        <v>-7</v>
      </c>
      <c r="F289" s="6">
        <f>IFERROR(VLOOKUP($G289,基本資料!$A:$J,8,0),"無")</f>
        <v>22.79</v>
      </c>
      <c r="G289" s="79">
        <v>1565</v>
      </c>
      <c r="H289" s="145" t="s">
        <v>309</v>
      </c>
      <c r="I289" s="16" t="s">
        <v>3665</v>
      </c>
      <c r="J289" s="8">
        <f>IFERROR(VLOOKUP($G289,今日總結!$A:$AN,39,0),"")</f>
        <v>0</v>
      </c>
      <c r="K289" s="5" t="str">
        <f>IFERROR(VLOOKUP($G289,今日總結!$A:$AN,40,0),"")</f>
        <v>借</v>
      </c>
      <c r="L289" s="156">
        <f>IFERROR(VLOOKUP($G289,今日總結!$A:$AN,37,0),"")</f>
        <v>0</v>
      </c>
      <c r="M289" s="337">
        <f>IFERROR(VLOOKUP($G289,今日總結!$A:$AN,38,0),"")</f>
        <v>2</v>
      </c>
      <c r="N289" s="240">
        <f t="shared" ref="N289:N326" si="63">IFERROR(L289-M289,"")</f>
        <v>-2</v>
      </c>
      <c r="O289" s="359">
        <f>IFERROR(VLOOKUP($G289,融外自投!$A:$J,7,0),"無")</f>
        <v>631</v>
      </c>
      <c r="P289" s="79">
        <f>IFERROR(VLOOKUP($G289,融外自投!$A:$J,9,0),"無")</f>
        <v>121</v>
      </c>
      <c r="Q289" s="342">
        <f>IFERROR(VLOOKUP($G289,融外自投!$A:$J,8,0),"無")</f>
        <v>207</v>
      </c>
      <c r="R289" s="81">
        <f>IFERROR(VLOOKUP($G289,融外自投!$A:$J,10,0),"無")</f>
        <v>234</v>
      </c>
      <c r="S289" s="324">
        <f>IFERROR(VLOOKUP($G289,'321買'!$A:$E,4,0),"'沒有資料'")</f>
        <v>497</v>
      </c>
      <c r="T289" s="186">
        <f>IFERROR(VLOOKUP($G289,基本資料!$A:$J,9,0),"無")</f>
        <v>15</v>
      </c>
      <c r="U289" s="307">
        <f t="shared" ref="U289:U352" si="64">$T289/$W289</f>
        <v>5.6390977443609019E-2</v>
      </c>
      <c r="V289" s="94">
        <f>IFERROR(VLOOKUP($G289,基本資料!$A:$J,10,0),"無")</f>
        <v>18.8</v>
      </c>
      <c r="W289" s="36">
        <f>RTD("money.excel",,"1565","Price")</f>
        <v>266</v>
      </c>
      <c r="X289" s="66"/>
      <c r="Y289" s="15">
        <f t="shared" ref="Y289:Y352" si="65">W289-X289</f>
        <v>266</v>
      </c>
      <c r="Z289" s="3" t="e">
        <f t="shared" ref="Z289:Z352" si="66">Y289/X289</f>
        <v>#DIV/0!</v>
      </c>
      <c r="AA289" s="340">
        <f>IFERROR(VLOOKUP($G289,基本資料!$A:$M,11,0),"無")</f>
        <v>-35.9</v>
      </c>
      <c r="AB289" s="389">
        <f>IFERROR(VLOOKUP($G289,基本資料!$A:$M,12,0),"無")</f>
        <v>18.600000000000001</v>
      </c>
      <c r="AC289" s="16" t="s">
        <v>3665</v>
      </c>
      <c r="AF289" s="33">
        <f t="shared" ref="AF289:AF352" si="67">AE289-AD289</f>
        <v>0</v>
      </c>
      <c r="AG289" s="117" t="s">
        <v>3666</v>
      </c>
      <c r="AH289" s="66">
        <f t="shared" si="59"/>
        <v>1.3061224489795917</v>
      </c>
      <c r="AI289" s="283">
        <f>RTD("money.excel",,$G289,"PredictVolume")</f>
        <v>176</v>
      </c>
      <c r="AJ289" s="391">
        <f>IFERROR(VLOOKUP($G289,基本資料!$A:$M,13,0),"無")</f>
        <v>134.75</v>
      </c>
      <c r="AR289" s="245" t="str">
        <f>INDEX(基本資料!N:N,MATCH($G289,基本資料!A:A,0))</f>
        <v>低</v>
      </c>
    </row>
    <row r="290" spans="1:44">
      <c r="A290" s="343">
        <f>IFERROR(VLOOKUP($G290,基本資料!$A:$J,3,0),"無")</f>
        <v>3.52</v>
      </c>
      <c r="B290" s="79">
        <f>IFERROR(VLOOKUP($G290,基本資料!$A:$J,4,0),"無")</f>
        <v>19</v>
      </c>
      <c r="C290" s="79">
        <f>IFERROR(VLOOKUP($G290,基本資料!$A:$J,5,0),"無")</f>
        <v>48</v>
      </c>
      <c r="D290" s="79">
        <f>IFERROR(VLOOKUP($G290,基本資料!$A:$J,6,0),"無")</f>
        <v>7</v>
      </c>
      <c r="E290" s="79">
        <f>IFERROR(VLOOKUP($G290,基本資料!$A:$J,7,0),"無")</f>
        <v>-56</v>
      </c>
      <c r="F290" s="6">
        <f>IFERROR(VLOOKUP($G290,基本資料!$A:$J,8,0),"無")</f>
        <v>14.77</v>
      </c>
      <c r="G290" s="79">
        <v>1593</v>
      </c>
      <c r="H290" s="8" t="s">
        <v>309</v>
      </c>
      <c r="I290" s="16" t="s">
        <v>3667</v>
      </c>
      <c r="J290" s="8">
        <f>IFERROR(VLOOKUP($G290,今日總結!$A:$AN,39,0),"")</f>
        <v>0</v>
      </c>
      <c r="K290" s="5">
        <f>IFERROR(VLOOKUP($G290,今日總結!$A:$AN,40,0),"")</f>
        <v>0</v>
      </c>
      <c r="L290" s="156">
        <f>IFERROR(VLOOKUP($G290,今日總結!$A:$AN,37,0),"")</f>
        <v>0</v>
      </c>
      <c r="M290" s="337">
        <f>IFERROR(VLOOKUP($G290,今日總結!$A:$AN,38,0),"")</f>
        <v>0</v>
      </c>
      <c r="N290" s="240">
        <f t="shared" si="63"/>
        <v>0</v>
      </c>
      <c r="O290" s="359">
        <f>IFERROR(VLOOKUP($G290,融外自投!$A:$J,7,0),"無")</f>
        <v>496</v>
      </c>
      <c r="P290" s="79">
        <f>IFERROR(VLOOKUP($G290,融外自投!$A:$J,9,0),"無")</f>
        <v>515</v>
      </c>
      <c r="Q290" s="342">
        <f>IFERROR(VLOOKUP($G290,融外自投!$A:$J,8,0),"無")</f>
        <v>1078</v>
      </c>
      <c r="R290" s="81" t="str">
        <f>IFERROR(VLOOKUP($G290,融外自投!$A:$J,10,0),"無")</f>
        <v>無</v>
      </c>
      <c r="S290" s="324">
        <f>IFERROR(VLOOKUP($G290,'321買'!$A:$E,4,0),"'沒有資料'")</f>
        <v>891</v>
      </c>
      <c r="T290" s="186">
        <f>IFERROR(VLOOKUP($G290,基本資料!$A:$J,9,0),"無")</f>
        <v>3.8</v>
      </c>
      <c r="U290" s="307">
        <f t="shared" si="64"/>
        <v>6.4080944350758853E-2</v>
      </c>
      <c r="V290" s="94">
        <f>IFERROR(VLOOKUP($G290,基本資料!$A:$J,10,0),"無")</f>
        <v>4.9000000000000004</v>
      </c>
      <c r="W290" s="36">
        <f>RTD("money.excel",,"1593","Price")</f>
        <v>59.3</v>
      </c>
      <c r="X290" s="66"/>
      <c r="Y290" s="15">
        <f t="shared" si="65"/>
        <v>59.3</v>
      </c>
      <c r="Z290" s="3" t="e">
        <f t="shared" si="66"/>
        <v>#DIV/0!</v>
      </c>
      <c r="AA290" s="340">
        <f>IFERROR(VLOOKUP($G290,基本資料!$A:$M,11,0),"無")</f>
        <v>-49.53</v>
      </c>
      <c r="AB290" s="389">
        <f>IFERROR(VLOOKUP($G290,基本資料!$A:$M,12,0),"無")</f>
        <v>16.39</v>
      </c>
      <c r="AC290" s="16" t="s">
        <v>3667</v>
      </c>
      <c r="AF290" s="33">
        <f t="shared" si="67"/>
        <v>0</v>
      </c>
      <c r="AG290" s="43" t="s">
        <v>1965</v>
      </c>
      <c r="AH290" s="66">
        <f t="shared" si="59"/>
        <v>0.89609151572926593</v>
      </c>
      <c r="AI290" s="283">
        <f>RTD("money.excel",,$G290,"PredictVolume")</f>
        <v>47</v>
      </c>
      <c r="AJ290" s="391">
        <f>IFERROR(VLOOKUP($G290,基本資料!$A:$M,13,0),"無")</f>
        <v>52.45</v>
      </c>
      <c r="AR290" s="245" t="str">
        <f>INDEX(基本資料!N:N,MATCH($G290,基本資料!A:A,0))</f>
        <v>低</v>
      </c>
    </row>
    <row r="291" spans="1:44">
      <c r="A291" s="343">
        <f>IFERROR(VLOOKUP($G291,基本資料!$A:$J,3,0),"無")</f>
        <v>13.41</v>
      </c>
      <c r="B291" s="79">
        <f>IFERROR(VLOOKUP($G291,基本資料!$A:$J,4,0),"無")</f>
        <v>-66</v>
      </c>
      <c r="C291" s="79">
        <f>IFERROR(VLOOKUP($G291,基本資料!$A:$J,5,0),"無")</f>
        <v>-57</v>
      </c>
      <c r="D291" s="79">
        <f>IFERROR(VLOOKUP($G291,基本資料!$A:$J,6,0),"無")</f>
        <v>-43</v>
      </c>
      <c r="E291" s="79">
        <f>IFERROR(VLOOKUP($G291,基本資料!$A:$J,7,0),"無")</f>
        <v>-53</v>
      </c>
      <c r="F291" s="6">
        <f>IFERROR(VLOOKUP($G291,基本資料!$A:$J,8,0),"無")</f>
        <v>6.69</v>
      </c>
      <c r="G291" s="79">
        <v>1598</v>
      </c>
      <c r="H291" s="8" t="s">
        <v>309</v>
      </c>
      <c r="I291" s="22" t="s">
        <v>3668</v>
      </c>
      <c r="J291" s="8">
        <f>IFERROR(VLOOKUP($G291,今日總結!$A:$AN,39,0),"")</f>
        <v>0</v>
      </c>
      <c r="K291" s="5">
        <f>IFERROR(VLOOKUP($G291,今日總結!$A:$AN,40,0),"")</f>
        <v>0</v>
      </c>
      <c r="L291" s="156">
        <f>IFERROR(VLOOKUP($G291,今日總結!$A:$AN,37,0),"")</f>
        <v>0</v>
      </c>
      <c r="M291" s="337">
        <f>IFERROR(VLOOKUP($G291,今日總結!$A:$AN,38,0),"")</f>
        <v>0</v>
      </c>
      <c r="N291" s="240">
        <f t="shared" si="63"/>
        <v>0</v>
      </c>
      <c r="O291" s="359">
        <f>IFERROR(VLOOKUP($G291,融外自投!$A:$J,7,0),"無")</f>
        <v>514</v>
      </c>
      <c r="P291" s="79">
        <f>IFERROR(VLOOKUP($G291,融外自投!$A:$J,9,0),"無")</f>
        <v>442</v>
      </c>
      <c r="Q291" s="342">
        <f>IFERROR(VLOOKUP($G291,融外自投!$A:$J,8,0),"無")</f>
        <v>822</v>
      </c>
      <c r="R291" s="81">
        <f>IFERROR(VLOOKUP($G291,融外自投!$A:$J,10,0),"無")</f>
        <v>495</v>
      </c>
      <c r="S291" s="324">
        <f>IFERROR(VLOOKUP($G291,'321買'!$A:$E,4,0),"'沒有資料'")</f>
        <v>891</v>
      </c>
      <c r="T291" s="186">
        <f>IFERROR(VLOOKUP($G291,基本資料!$A:$J,9,0),"無")</f>
        <v>2.5</v>
      </c>
      <c r="U291" s="307">
        <f t="shared" si="64"/>
        <v>5.9665871121718381E-2</v>
      </c>
      <c r="V291" s="94">
        <f>IFERROR(VLOOKUP($G291,基本資料!$A:$J,10,0),"無")</f>
        <v>3.48</v>
      </c>
      <c r="W291" s="36">
        <f>RTD("money.excel",,"1598","Price")</f>
        <v>41.9</v>
      </c>
      <c r="X291" s="66"/>
      <c r="Y291" s="15">
        <f t="shared" si="65"/>
        <v>41.9</v>
      </c>
      <c r="Z291" s="3" t="e">
        <f t="shared" si="66"/>
        <v>#DIV/0!</v>
      </c>
      <c r="AA291" s="340">
        <f>IFERROR(VLOOKUP($G291,基本資料!$A:$M,11,0),"無")</f>
        <v>-61.74</v>
      </c>
      <c r="AB291" s="389">
        <f>IFERROR(VLOOKUP($G291,基本資料!$A:$M,12,0),"無")</f>
        <v>24.28</v>
      </c>
      <c r="AC291" s="22" t="s">
        <v>3668</v>
      </c>
      <c r="AF291" s="33">
        <f t="shared" si="67"/>
        <v>0</v>
      </c>
      <c r="AG291" s="43" t="s">
        <v>3669</v>
      </c>
      <c r="AH291" s="66">
        <f t="shared" si="59"/>
        <v>0.76065312624452408</v>
      </c>
      <c r="AI291" s="283">
        <f>RTD("money.excel",,$G291,"PredictVolume")</f>
        <v>191</v>
      </c>
      <c r="AJ291" s="391">
        <f>IFERROR(VLOOKUP($G291,基本資料!$A:$M,13,0),"無")</f>
        <v>251.1</v>
      </c>
      <c r="AR291" s="245" t="str">
        <f>INDEX(基本資料!N:N,MATCH($G291,基本資料!A:A,0))</f>
        <v>低</v>
      </c>
    </row>
    <row r="292" spans="1:44">
      <c r="A292" s="343">
        <f>IFERROR(VLOOKUP($G292,基本資料!$A:$J,3,0),"無")</f>
        <v>29.8</v>
      </c>
      <c r="B292" s="79">
        <f>IFERROR(VLOOKUP($G292,基本資料!$A:$J,4,0),"無")</f>
        <v>-7</v>
      </c>
      <c r="C292" s="79">
        <f>IFERROR(VLOOKUP($G292,基本資料!$A:$J,5,0),"無")</f>
        <v>0</v>
      </c>
      <c r="D292" s="79">
        <f>IFERROR(VLOOKUP($G292,基本資料!$A:$J,6,0),"無")</f>
        <v>0</v>
      </c>
      <c r="E292" s="79">
        <f>IFERROR(VLOOKUP($G292,基本資料!$A:$J,7,0),"無")</f>
        <v>4</v>
      </c>
      <c r="F292" s="6">
        <f>IFERROR(VLOOKUP($G292,基本資料!$A:$J,8,0),"無")</f>
        <v>5.33</v>
      </c>
      <c r="G292" s="79">
        <v>1701</v>
      </c>
      <c r="H292" s="8" t="s">
        <v>309</v>
      </c>
      <c r="I292" s="22" t="s">
        <v>3670</v>
      </c>
      <c r="J292" s="8">
        <f>IFERROR(VLOOKUP($G292,今日總結!$A:$AN,39,0),"")</f>
        <v>0</v>
      </c>
      <c r="K292" s="5">
        <f>IFERROR(VLOOKUP($G292,今日總結!$A:$AN,40,0),"")</f>
        <v>0</v>
      </c>
      <c r="L292" s="156">
        <f>IFERROR(VLOOKUP($G292,今日總結!$A:$AN,37,0),"")</f>
        <v>0</v>
      </c>
      <c r="M292" s="337">
        <f>IFERROR(VLOOKUP($G292,今日總結!$A:$AN,38,0),"")</f>
        <v>0</v>
      </c>
      <c r="N292" s="240">
        <f t="shared" si="63"/>
        <v>0</v>
      </c>
      <c r="O292" s="359">
        <f>IFERROR(VLOOKUP($G292,融外自投!$A:$J,7,0),"無")</f>
        <v>778</v>
      </c>
      <c r="P292" s="79">
        <f>IFERROR(VLOOKUP($G292,融外自投!$A:$J,9,0),"無")</f>
        <v>1051</v>
      </c>
      <c r="Q292" s="342">
        <f>IFERROR(VLOOKUP($G292,融外自投!$A:$J,8,0),"無")</f>
        <v>442</v>
      </c>
      <c r="R292" s="81" t="str">
        <f>IFERROR(VLOOKUP($G292,融外自投!$A:$J,10,0),"無")</f>
        <v>無</v>
      </c>
      <c r="S292" s="324">
        <f>IFERROR(VLOOKUP($G292,'321買'!$A:$E,4,0),"'沒有資料'")</f>
        <v>743</v>
      </c>
      <c r="T292" s="186">
        <f>IFERROR(VLOOKUP($G292,基本資料!$A:$J,9,0),"無")</f>
        <v>0.9</v>
      </c>
      <c r="U292" s="307">
        <f t="shared" si="64"/>
        <v>3.9647577092511016E-2</v>
      </c>
      <c r="V292" s="94">
        <f>IFERROR(VLOOKUP($G292,基本資料!$A:$J,10,0),"無")</f>
        <v>1.74</v>
      </c>
      <c r="W292" s="36">
        <f>RTD("money.excel",,"1701","Price")</f>
        <v>22.7</v>
      </c>
      <c r="X292" s="66"/>
      <c r="Y292" s="15">
        <f t="shared" si="65"/>
        <v>22.7</v>
      </c>
      <c r="Z292" s="3" t="e">
        <f t="shared" si="66"/>
        <v>#DIV/0!</v>
      </c>
      <c r="AA292" s="340">
        <f>IFERROR(VLOOKUP($G292,基本資料!$A:$M,11,0),"無")</f>
        <v>-22.13</v>
      </c>
      <c r="AB292" s="389">
        <f>IFERROR(VLOOKUP($G292,基本資料!$A:$M,12,0),"無")</f>
        <v>27.24</v>
      </c>
      <c r="AC292" s="22" t="s">
        <v>3670</v>
      </c>
      <c r="AF292" s="33">
        <f t="shared" si="67"/>
        <v>0</v>
      </c>
      <c r="AG292" s="43" t="s">
        <v>3671</v>
      </c>
      <c r="AH292" s="66">
        <f t="shared" si="59"/>
        <v>0.12192972886789127</v>
      </c>
      <c r="AI292" s="283">
        <f>RTD("money.excel",,$G292,"PredictVolume")</f>
        <v>1453</v>
      </c>
      <c r="AJ292" s="391">
        <f>IFERROR(VLOOKUP($G292,基本資料!$A:$M,13,0),"無")</f>
        <v>11916.7</v>
      </c>
      <c r="AR292" s="245" t="str">
        <f>INDEX(基本資料!N:N,MATCH($G292,基本資料!A:A,0))</f>
        <v>低</v>
      </c>
    </row>
    <row r="293" spans="1:44">
      <c r="A293" s="343">
        <f>IFERROR(VLOOKUP($G293,基本資料!$A:$J,3,0),"無")</f>
        <v>14.81</v>
      </c>
      <c r="B293" s="79">
        <f>IFERROR(VLOOKUP($G293,基本資料!$A:$J,4,0),"無")</f>
        <v>2</v>
      </c>
      <c r="C293" s="79">
        <f>IFERROR(VLOOKUP($G293,基本資料!$A:$J,5,0),"無")</f>
        <v>0</v>
      </c>
      <c r="D293" s="79">
        <f>IFERROR(VLOOKUP($G293,基本資料!$A:$J,6,0),"無")</f>
        <v>-4</v>
      </c>
      <c r="E293" s="79">
        <f>IFERROR(VLOOKUP($G293,基本資料!$A:$J,7,0),"無")</f>
        <v>8</v>
      </c>
      <c r="F293" s="6">
        <f>IFERROR(VLOOKUP($G293,基本資料!$A:$J,8,0),"無")</f>
        <v>23.59</v>
      </c>
      <c r="G293" s="79">
        <v>1707</v>
      </c>
      <c r="H293" s="192" t="s">
        <v>309</v>
      </c>
      <c r="I293" s="22" t="s">
        <v>3672</v>
      </c>
      <c r="J293" s="8">
        <f>IFERROR(VLOOKUP($G293,今日總結!$A:$AN,39,0),"")</f>
        <v>0</v>
      </c>
      <c r="K293" s="5">
        <f>IFERROR(VLOOKUP($G293,今日總結!$A:$AN,40,0),"")</f>
        <v>0</v>
      </c>
      <c r="L293" s="156">
        <f>IFERROR(VLOOKUP($G293,今日總結!$A:$AN,37,0),"")</f>
        <v>0</v>
      </c>
      <c r="M293" s="337">
        <f>IFERROR(VLOOKUP($G293,今日總結!$A:$AN,38,0),"")</f>
        <v>0</v>
      </c>
      <c r="N293" s="240">
        <f t="shared" si="63"/>
        <v>0</v>
      </c>
      <c r="O293" s="359">
        <f>IFERROR(VLOOKUP($G293,融外自投!$A:$J,7,0),"無")</f>
        <v>1124</v>
      </c>
      <c r="P293" s="79">
        <f>IFERROR(VLOOKUP($G293,融外自投!$A:$J,9,0),"無")</f>
        <v>825</v>
      </c>
      <c r="Q293" s="342">
        <f>IFERROR(VLOOKUP($G293,融外自投!$A:$J,8,0),"無")</f>
        <v>476</v>
      </c>
      <c r="R293" s="81">
        <f>IFERROR(VLOOKUP($G293,融外自投!$A:$J,10,0),"無")</f>
        <v>495</v>
      </c>
      <c r="S293" s="324">
        <f>IFERROR(VLOOKUP($G293,'321買'!$A:$E,4,0),"'沒有資料'")</f>
        <v>891</v>
      </c>
      <c r="T293" s="186">
        <f>IFERROR(VLOOKUP($G293,基本資料!$A:$J,9,0),"無")</f>
        <v>6.1</v>
      </c>
      <c r="U293" s="307">
        <f t="shared" si="64"/>
        <v>4.2361111111111106E-2</v>
      </c>
      <c r="V293" s="94">
        <f>IFERROR(VLOOKUP($G293,基本資料!$A:$J,10,0),"無")</f>
        <v>8.81</v>
      </c>
      <c r="W293" s="36">
        <f>RTD("money.excel",,"1707","Price")</f>
        <v>144</v>
      </c>
      <c r="X293" s="66"/>
      <c r="Y293" s="15">
        <f t="shared" si="65"/>
        <v>144</v>
      </c>
      <c r="Z293" s="3" t="e">
        <f t="shared" si="66"/>
        <v>#DIV/0!</v>
      </c>
      <c r="AA293" s="340">
        <f>IFERROR(VLOOKUP($G293,基本資料!$A:$M,11,0),"無")</f>
        <v>-18.18</v>
      </c>
      <c r="AB293" s="389">
        <f>IFERROR(VLOOKUP($G293,基本資料!$A:$M,12,0),"無")</f>
        <v>40.82</v>
      </c>
      <c r="AC293" s="22" t="s">
        <v>3672</v>
      </c>
      <c r="AF293" s="33">
        <f t="shared" si="67"/>
        <v>0</v>
      </c>
      <c r="AG293" s="117" t="s">
        <v>3673</v>
      </c>
      <c r="AH293" s="66">
        <f t="shared" si="59"/>
        <v>1.5013054830287207</v>
      </c>
      <c r="AI293" s="283">
        <f>RTD("money.excel",,$G293,"PredictVolume")</f>
        <v>230</v>
      </c>
      <c r="AJ293" s="391">
        <f>IFERROR(VLOOKUP($G293,基本資料!$A:$M,13,0),"無")</f>
        <v>153.19999999999999</v>
      </c>
      <c r="AR293" s="245" t="str">
        <f>INDEX(基本資料!N:N,MATCH($G293,基本資料!A:A,0))</f>
        <v>低</v>
      </c>
    </row>
    <row r="294" spans="1:44">
      <c r="A294" s="343">
        <f>IFERROR(VLOOKUP($G294,基本資料!$A:$J,3,0),"無")</f>
        <v>17.86</v>
      </c>
      <c r="B294" s="79">
        <f>IFERROR(VLOOKUP($G294,基本資料!$A:$J,4,0),"無")</f>
        <v>33</v>
      </c>
      <c r="C294" s="79">
        <f>IFERROR(VLOOKUP($G294,基本資料!$A:$J,5,0),"無")</f>
        <v>24</v>
      </c>
      <c r="D294" s="79">
        <f>IFERROR(VLOOKUP($G294,基本資料!$A:$J,6,0),"無")</f>
        <v>0</v>
      </c>
      <c r="E294" s="79">
        <f>IFERROR(VLOOKUP($G294,基本資料!$A:$J,7,0),"無")</f>
        <v>10</v>
      </c>
      <c r="F294" s="6">
        <f>IFERROR(VLOOKUP($G294,基本資料!$A:$J,8,0),"無")</f>
        <v>19.04</v>
      </c>
      <c r="G294" s="79">
        <v>1720</v>
      </c>
      <c r="H294" s="192" t="s">
        <v>309</v>
      </c>
      <c r="I294" s="22" t="s">
        <v>3674</v>
      </c>
      <c r="J294" s="8">
        <f>IFERROR(VLOOKUP($G294,今日總結!$A:$AN,39,0),"")</f>
        <v>0</v>
      </c>
      <c r="K294" s="5">
        <f>IFERROR(VLOOKUP($G294,今日總結!$A:$AN,40,0),"")</f>
        <v>0</v>
      </c>
      <c r="L294" s="156">
        <f>IFERROR(VLOOKUP($G294,今日總結!$A:$AN,37,0),"")</f>
        <v>0</v>
      </c>
      <c r="M294" s="337">
        <f>IFERROR(VLOOKUP($G294,今日總結!$A:$AN,38,0),"")</f>
        <v>0</v>
      </c>
      <c r="N294" s="240">
        <f t="shared" si="63"/>
        <v>0</v>
      </c>
      <c r="O294" s="359">
        <f>IFERROR(VLOOKUP($G294,融外自投!$A:$J,7,0),"無")</f>
        <v>1101</v>
      </c>
      <c r="P294" s="79">
        <f>IFERROR(VLOOKUP($G294,融外自投!$A:$J,9,0),"無")</f>
        <v>1051</v>
      </c>
      <c r="Q294" s="342">
        <f>IFERROR(VLOOKUP($G294,融外自投!$A:$J,8,0),"無")</f>
        <v>787</v>
      </c>
      <c r="R294" s="81">
        <f>IFERROR(VLOOKUP($G294,融外自投!$A:$J,10,0),"無")</f>
        <v>495</v>
      </c>
      <c r="S294" s="324">
        <f>IFERROR(VLOOKUP($G294,'321買'!$A:$E,4,0),"'沒有資料'")</f>
        <v>1002</v>
      </c>
      <c r="T294" s="186">
        <f>IFERROR(VLOOKUP($G294,基本資料!$A:$J,9,0),"無")</f>
        <v>2.5</v>
      </c>
      <c r="U294" s="307">
        <f t="shared" si="64"/>
        <v>5.8548009367681494E-2</v>
      </c>
      <c r="V294" s="94">
        <f>IFERROR(VLOOKUP($G294,基本資料!$A:$J,10,0),"無")</f>
        <v>3.95</v>
      </c>
      <c r="W294" s="36">
        <f>RTD("money.excel",,"1720","Price")</f>
        <v>42.7</v>
      </c>
      <c r="X294" s="66"/>
      <c r="Y294" s="15">
        <f t="shared" si="65"/>
        <v>42.7</v>
      </c>
      <c r="Z294" s="3" t="e">
        <f t="shared" si="66"/>
        <v>#DIV/0!</v>
      </c>
      <c r="AA294" s="340">
        <f>IFERROR(VLOOKUP($G294,基本資料!$A:$M,11,0),"無")</f>
        <v>-11.87</v>
      </c>
      <c r="AB294" s="389">
        <f>IFERROR(VLOOKUP($G294,基本資料!$A:$M,12,0),"無")</f>
        <v>32.159999999999997</v>
      </c>
      <c r="AC294" s="22" t="s">
        <v>3674</v>
      </c>
      <c r="AF294" s="33">
        <f t="shared" si="67"/>
        <v>0</v>
      </c>
      <c r="AG294" s="117" t="s">
        <v>3675</v>
      </c>
      <c r="AH294" s="66">
        <f t="shared" si="59"/>
        <v>0.11737258580465161</v>
      </c>
      <c r="AI294" s="283">
        <f>RTD("money.excel",,$G294,"PredictVolume")</f>
        <v>244</v>
      </c>
      <c r="AJ294" s="391">
        <f>IFERROR(VLOOKUP($G294,基本資料!$A:$M,13,0),"無")</f>
        <v>2078.85</v>
      </c>
      <c r="AR294" s="245" t="str">
        <f>INDEX(基本資料!N:N,MATCH($G294,基本資料!A:A,0))</f>
        <v>中</v>
      </c>
    </row>
    <row r="295" spans="1:44">
      <c r="A295" s="343">
        <f>IFERROR(VLOOKUP($G295,基本資料!$A:$J,3,0),"無")</f>
        <v>13.29</v>
      </c>
      <c r="B295" s="79">
        <f>IFERROR(VLOOKUP($G295,基本資料!$A:$J,4,0),"無")</f>
        <v>-3</v>
      </c>
      <c r="C295" s="79">
        <f>IFERROR(VLOOKUP($G295,基本資料!$A:$J,5,0),"無")</f>
        <v>17</v>
      </c>
      <c r="D295" s="79">
        <f>IFERROR(VLOOKUP($G295,基本資料!$A:$J,6,0),"無")</f>
        <v>-5</v>
      </c>
      <c r="E295" s="79">
        <f>IFERROR(VLOOKUP($G295,基本資料!$A:$J,7,0),"無")</f>
        <v>-20</v>
      </c>
      <c r="F295" s="6">
        <f>IFERROR(VLOOKUP($G295,基本資料!$A:$J,8,0),"無")</f>
        <v>15.49</v>
      </c>
      <c r="G295" s="79">
        <v>1731</v>
      </c>
      <c r="H295" s="192" t="s">
        <v>309</v>
      </c>
      <c r="I295" s="22" t="s">
        <v>3676</v>
      </c>
      <c r="J295" s="8">
        <f>IFERROR(VLOOKUP($G295,今日總結!$A:$AN,39,0),"")</f>
        <v>0</v>
      </c>
      <c r="K295" s="5" t="str">
        <f>IFERROR(VLOOKUP($G295,今日總結!$A:$AN,40,0),"")</f>
        <v>融</v>
      </c>
      <c r="L295" s="156">
        <f>IFERROR(VLOOKUP($G295,今日總結!$A:$AN,37,0),"")</f>
        <v>0</v>
      </c>
      <c r="M295" s="337">
        <f>IFERROR(VLOOKUP($G295,今日總結!$A:$AN,38,0),"")</f>
        <v>8</v>
      </c>
      <c r="N295" s="240">
        <f t="shared" si="63"/>
        <v>-8</v>
      </c>
      <c r="O295" s="359">
        <f>IFERROR(VLOOKUP($G295,融外自投!$A:$J,7,0),"無")</f>
        <v>937</v>
      </c>
      <c r="P295" s="79">
        <f>IFERROR(VLOOKUP($G295,融外自投!$A:$J,9,0),"無")</f>
        <v>790</v>
      </c>
      <c r="Q295" s="342">
        <f>IFERROR(VLOOKUP($G295,融外自投!$A:$J,8,0),"無")</f>
        <v>1214</v>
      </c>
      <c r="R295" s="81" t="str">
        <f>IFERROR(VLOOKUP($G295,融外自投!$A:$J,10,0),"無")</f>
        <v>無</v>
      </c>
      <c r="S295" s="324">
        <f>IFERROR(VLOOKUP($G295,'321買'!$A:$E,4,0),"'沒有資料'")</f>
        <v>801</v>
      </c>
      <c r="T295" s="186">
        <f>IFERROR(VLOOKUP($G295,基本資料!$A:$J,9,0),"無")</f>
        <v>1.17</v>
      </c>
      <c r="U295" s="307">
        <f t="shared" si="64"/>
        <v>6.1096605744125329E-2</v>
      </c>
      <c r="V295" s="94">
        <f>IFERROR(VLOOKUP($G295,基本資料!$A:$J,10,0),"無")</f>
        <v>1.24</v>
      </c>
      <c r="W295" s="36">
        <f>RTD("money.excel",,"1731","Price")</f>
        <v>19.149999999999999</v>
      </c>
      <c r="X295" s="66"/>
      <c r="Y295" s="15">
        <f t="shared" si="65"/>
        <v>19.149999999999999</v>
      </c>
      <c r="Z295" s="3" t="e">
        <f t="shared" si="66"/>
        <v>#DIV/0!</v>
      </c>
      <c r="AA295" s="340">
        <f>IFERROR(VLOOKUP($G295,基本資料!$A:$M,11,0),"無")</f>
        <v>-20.87</v>
      </c>
      <c r="AB295" s="389">
        <f>IFERROR(VLOOKUP($G295,基本資料!$A:$M,12,0),"無")</f>
        <v>26.9</v>
      </c>
      <c r="AC295" s="22" t="s">
        <v>3676</v>
      </c>
      <c r="AF295" s="33">
        <f t="shared" si="67"/>
        <v>0</v>
      </c>
      <c r="AG295" s="43" t="s">
        <v>3677</v>
      </c>
      <c r="AH295" s="66">
        <f t="shared" si="59"/>
        <v>6.3229475274889146E-2</v>
      </c>
      <c r="AI295" s="283">
        <f>RTD("money.excel",,$G295,"PredictVolume")</f>
        <v>159</v>
      </c>
      <c r="AJ295" s="391">
        <f>IFERROR(VLOOKUP($G295,基本資料!$A:$M,13,0),"無")</f>
        <v>2514.65</v>
      </c>
      <c r="AR295" s="245" t="str">
        <f>INDEX(基本資料!N:N,MATCH($G295,基本資料!A:A,0))</f>
        <v>低</v>
      </c>
    </row>
    <row r="296" spans="1:44">
      <c r="A296" s="343">
        <f>IFERROR(VLOOKUP($G296,基本資料!$A:$J,3,0),"無")</f>
        <v>9.99</v>
      </c>
      <c r="B296" s="79">
        <f>IFERROR(VLOOKUP($G296,基本資料!$A:$J,4,0),"無")</f>
        <v>113</v>
      </c>
      <c r="C296" s="79">
        <f>IFERROR(VLOOKUP($G296,基本資料!$A:$J,5,0),"無")</f>
        <v>98</v>
      </c>
      <c r="D296" s="79">
        <f>IFERROR(VLOOKUP($G296,基本資料!$A:$J,6,0),"無")</f>
        <v>18</v>
      </c>
      <c r="E296" s="79">
        <f>IFERROR(VLOOKUP($G296,基本資料!$A:$J,7,0),"無")</f>
        <v>32</v>
      </c>
      <c r="F296" s="6">
        <f>IFERROR(VLOOKUP($G296,基本資料!$A:$J,8,0),"無")</f>
        <v>9.61</v>
      </c>
      <c r="G296" s="79">
        <v>1733</v>
      </c>
      <c r="H296" s="192" t="s">
        <v>309</v>
      </c>
      <c r="I296" s="22" t="s">
        <v>3678</v>
      </c>
      <c r="J296" s="8">
        <f>IFERROR(VLOOKUP($G296,今日總結!$A:$AN,39,0),"")</f>
        <v>0</v>
      </c>
      <c r="K296" s="5" t="str">
        <f>IFERROR(VLOOKUP($G296,今日總結!$A:$AN,40,0),"")</f>
        <v>5借</v>
      </c>
      <c r="L296" s="156">
        <f>IFERROR(VLOOKUP($G296,今日總結!$A:$AN,37,0),"")</f>
        <v>0</v>
      </c>
      <c r="M296" s="337">
        <f>IFERROR(VLOOKUP($G296,今日總結!$A:$AN,38,0),"")</f>
        <v>4</v>
      </c>
      <c r="N296" s="240">
        <f t="shared" si="63"/>
        <v>-4</v>
      </c>
      <c r="O296" s="359">
        <f>IFERROR(VLOOKUP($G296,融外自投!$A:$J,7,0),"無")</f>
        <v>726</v>
      </c>
      <c r="P296" s="79">
        <f>IFERROR(VLOOKUP($G296,融外自投!$A:$J,9,0),"無")</f>
        <v>84</v>
      </c>
      <c r="Q296" s="342">
        <f>IFERROR(VLOOKUP($G296,融外自投!$A:$J,8,0),"無")</f>
        <v>689</v>
      </c>
      <c r="R296" s="81" t="str">
        <f>IFERROR(VLOOKUP($G296,融外自投!$A:$J,10,0),"無")</f>
        <v>無</v>
      </c>
      <c r="S296" s="324">
        <f>IFERROR(VLOOKUP($G296,'321買'!$A:$E,4,0),"'沒有資料'")</f>
        <v>801</v>
      </c>
      <c r="T296" s="186">
        <f>IFERROR(VLOOKUP($G296,基本資料!$A:$J,9,0),"無")</f>
        <v>1.3</v>
      </c>
      <c r="U296" s="307">
        <f t="shared" si="64"/>
        <v>4.9713193116634802E-2</v>
      </c>
      <c r="V296" s="94">
        <f>IFERROR(VLOOKUP($G296,基本資料!$A:$J,10,0),"無")</f>
        <v>2.0299999999999998</v>
      </c>
      <c r="W296" s="36">
        <f>RTD("money.excel",,"1733","Price")</f>
        <v>26.15</v>
      </c>
      <c r="X296" s="66"/>
      <c r="Y296" s="15">
        <f t="shared" si="65"/>
        <v>26.15</v>
      </c>
      <c r="Z296" s="3" t="e">
        <f t="shared" si="66"/>
        <v>#DIV/0!</v>
      </c>
      <c r="AA296" s="340">
        <f>IFERROR(VLOOKUP($G296,基本資料!$A:$M,11,0),"無")</f>
        <v>-10.9</v>
      </c>
      <c r="AB296" s="389">
        <f>IFERROR(VLOOKUP($G296,基本資料!$A:$M,12,0),"無")</f>
        <v>34.93</v>
      </c>
      <c r="AC296" s="22" t="s">
        <v>3678</v>
      </c>
      <c r="AF296" s="33">
        <f t="shared" si="67"/>
        <v>0</v>
      </c>
      <c r="AG296" s="43" t="s">
        <v>3679</v>
      </c>
      <c r="AH296" s="66">
        <f t="shared" si="59"/>
        <v>0.73821488394352719</v>
      </c>
      <c r="AI296" s="283">
        <f>RTD("money.excel",,$G296,"PredictVolume")</f>
        <v>1234</v>
      </c>
      <c r="AJ296" s="391">
        <f>IFERROR(VLOOKUP($G296,基本資料!$A:$M,13,0),"無")</f>
        <v>1671.6</v>
      </c>
      <c r="AR296" s="245" t="str">
        <f>INDEX(基本資料!N:N,MATCH($G296,基本資料!A:A,0))</f>
        <v>中</v>
      </c>
    </row>
    <row r="297" spans="1:44">
      <c r="A297" s="343">
        <f>IFERROR(VLOOKUP($G297,基本資料!$A:$J,3,0),"無")</f>
        <v>16.77</v>
      </c>
      <c r="B297" s="79">
        <f>IFERROR(VLOOKUP($G297,基本資料!$A:$J,4,0),"無")</f>
        <v>-18</v>
      </c>
      <c r="C297" s="79">
        <f>IFERROR(VLOOKUP($G297,基本資料!$A:$J,5,0),"無")</f>
        <v>-49</v>
      </c>
      <c r="D297" s="79">
        <f>IFERROR(VLOOKUP($G297,基本資料!$A:$J,6,0),"無")</f>
        <v>-17</v>
      </c>
      <c r="E297" s="79">
        <f>IFERROR(VLOOKUP($G297,基本資料!$A:$J,7,0),"無")</f>
        <v>7</v>
      </c>
      <c r="F297" s="6">
        <f>IFERROR(VLOOKUP($G297,基本資料!$A:$J,8,0),"無")</f>
        <v>-7.51</v>
      </c>
      <c r="G297" s="79">
        <v>1734</v>
      </c>
      <c r="H297" s="192" t="s">
        <v>309</v>
      </c>
      <c r="I297" s="22" t="s">
        <v>3680</v>
      </c>
      <c r="J297" s="8">
        <f>IFERROR(VLOOKUP($G297,今日總結!$A:$AN,39,0),"")</f>
        <v>0</v>
      </c>
      <c r="K297" s="5">
        <f>IFERROR(VLOOKUP($G297,今日總結!$A:$AN,40,0),"")</f>
        <v>0</v>
      </c>
      <c r="L297" s="156">
        <f>IFERROR(VLOOKUP($G297,今日總結!$A:$AN,37,0),"")</f>
        <v>0</v>
      </c>
      <c r="M297" s="337">
        <f>IFERROR(VLOOKUP($G297,今日總結!$A:$AN,38,0),"")</f>
        <v>0</v>
      </c>
      <c r="N297" s="240">
        <f t="shared" si="63"/>
        <v>0</v>
      </c>
      <c r="O297" s="359">
        <f>IFERROR(VLOOKUP($G297,融外自投!$A:$J,7,0),"無")</f>
        <v>406</v>
      </c>
      <c r="P297" s="79">
        <f>IFERROR(VLOOKUP($G297,融外自投!$A:$J,9,0),"無")</f>
        <v>467</v>
      </c>
      <c r="Q297" s="342">
        <f>IFERROR(VLOOKUP($G297,融外自投!$A:$J,8,0),"無")</f>
        <v>973</v>
      </c>
      <c r="R297" s="81" t="str">
        <f>IFERROR(VLOOKUP($G297,融外自投!$A:$J,10,0),"無")</f>
        <v>無</v>
      </c>
      <c r="S297" s="324">
        <f>IFERROR(VLOOKUP($G297,'321買'!$A:$E,4,0),"'沒有資料'")</f>
        <v>343</v>
      </c>
      <c r="T297" s="186">
        <f>IFERROR(VLOOKUP($G297,基本資料!$A:$J,9,0),"無")</f>
        <v>0.2</v>
      </c>
      <c r="U297" s="307">
        <f t="shared" si="64"/>
        <v>7.1047957371225589E-3</v>
      </c>
      <c r="V297" s="94">
        <f>IFERROR(VLOOKUP($G297,基本資料!$A:$J,10,0),"無")</f>
        <v>-0.23</v>
      </c>
      <c r="W297" s="36">
        <f>RTD("money.excel",,"1734","Price")</f>
        <v>28.15</v>
      </c>
      <c r="X297" s="66"/>
      <c r="Y297" s="15">
        <f t="shared" si="65"/>
        <v>28.15</v>
      </c>
      <c r="Z297" s="3" t="e">
        <f t="shared" si="66"/>
        <v>#DIV/0!</v>
      </c>
      <c r="AA297" s="340">
        <f>IFERROR(VLOOKUP($G297,基本資料!$A:$M,11,0),"無")</f>
        <v>-40.11</v>
      </c>
      <c r="AB297" s="389">
        <f>IFERROR(VLOOKUP($G297,基本資料!$A:$M,12,0),"無")</f>
        <v>18.79</v>
      </c>
      <c r="AC297" s="22" t="s">
        <v>3680</v>
      </c>
      <c r="AF297" s="33">
        <f t="shared" si="67"/>
        <v>0</v>
      </c>
      <c r="AG297" s="43" t="s">
        <v>3675</v>
      </c>
      <c r="AH297" s="66">
        <f t="shared" si="59"/>
        <v>7.0836976705343724E-2</v>
      </c>
      <c r="AI297" s="283">
        <f>RTD("money.excel",,$G297,"PredictVolume")</f>
        <v>721</v>
      </c>
      <c r="AJ297" s="391">
        <f>IFERROR(VLOOKUP($G297,基本資料!$A:$M,13,0),"無")</f>
        <v>10178.299999999999</v>
      </c>
      <c r="AR297" s="245" t="str">
        <f>INDEX(基本資料!N:N,MATCH($G297,基本資料!A:A,0))</f>
        <v>低</v>
      </c>
    </row>
    <row r="298" spans="1:44">
      <c r="A298" s="343">
        <f>IFERROR(VLOOKUP($G298,基本資料!$A:$J,3,0),"無")</f>
        <v>30.36</v>
      </c>
      <c r="B298" s="79">
        <f>IFERROR(VLOOKUP($G298,基本資料!$A:$J,4,0),"無")</f>
        <v>-86</v>
      </c>
      <c r="C298" s="79">
        <f>IFERROR(VLOOKUP($G298,基本資料!$A:$J,5,0),"無")</f>
        <v>-83</v>
      </c>
      <c r="D298" s="79">
        <f>IFERROR(VLOOKUP($G298,基本資料!$A:$J,6,0),"無")</f>
        <v>-17</v>
      </c>
      <c r="E298" s="79">
        <f>IFERROR(VLOOKUP($G298,基本資料!$A:$J,7,0),"無")</f>
        <v>-5</v>
      </c>
      <c r="F298" s="6">
        <f>IFERROR(VLOOKUP($G298,基本資料!$A:$J,8,0),"無")</f>
        <v>0.5</v>
      </c>
      <c r="G298" s="79">
        <v>1736</v>
      </c>
      <c r="H298" s="192" t="s">
        <v>309</v>
      </c>
      <c r="I298" s="22" t="s">
        <v>3681</v>
      </c>
      <c r="J298" s="8">
        <f>IFERROR(VLOOKUP($G298,今日總結!$A:$AN,39,0),"")</f>
        <v>0</v>
      </c>
      <c r="K298" s="5">
        <f>IFERROR(VLOOKUP($G298,今日總結!$A:$AN,40,0),"")</f>
        <v>0</v>
      </c>
      <c r="L298" s="156">
        <f>IFERROR(VLOOKUP($G298,今日總結!$A:$AN,37,0),"")</f>
        <v>0</v>
      </c>
      <c r="M298" s="337">
        <f>IFERROR(VLOOKUP($G298,今日總結!$A:$AN,38,0),"")</f>
        <v>0</v>
      </c>
      <c r="N298" s="240">
        <f t="shared" si="63"/>
        <v>0</v>
      </c>
      <c r="O298" s="359">
        <f>IFERROR(VLOOKUP($G298,融外自投!$A:$J,7,0),"無")</f>
        <v>1032</v>
      </c>
      <c r="P298" s="79">
        <f>IFERROR(VLOOKUP($G298,融外自投!$A:$J,9,0),"無")</f>
        <v>741</v>
      </c>
      <c r="Q298" s="342">
        <f>IFERROR(VLOOKUP($G298,融外自投!$A:$J,8,0),"無")</f>
        <v>643</v>
      </c>
      <c r="R298" s="81" t="str">
        <f>IFERROR(VLOOKUP($G298,融外自投!$A:$J,10,0),"無")</f>
        <v>無</v>
      </c>
      <c r="S298" s="324">
        <f>IFERROR(VLOOKUP($G298,'321買'!$A:$E,4,0),"'沒有資料'")</f>
        <v>1002</v>
      </c>
      <c r="T298" s="186">
        <f>IFERROR(VLOOKUP($G298,基本資料!$A:$J,9,0),"無")</f>
        <v>0.5</v>
      </c>
      <c r="U298" s="307">
        <f t="shared" si="64"/>
        <v>9.5419847328244278E-3</v>
      </c>
      <c r="V298" s="94">
        <f>IFERROR(VLOOKUP($G298,基本資料!$A:$J,10,0),"無")</f>
        <v>0.13</v>
      </c>
      <c r="W298" s="36">
        <f>RTD("money.excel",,"1736","Price")</f>
        <v>52.4</v>
      </c>
      <c r="X298" s="66"/>
      <c r="Y298" s="15">
        <f t="shared" si="65"/>
        <v>52.4</v>
      </c>
      <c r="Z298" s="3" t="e">
        <f t="shared" si="66"/>
        <v>#DIV/0!</v>
      </c>
      <c r="AA298" s="340">
        <f>IFERROR(VLOOKUP($G298,基本資料!$A:$M,11,0),"無")</f>
        <v>-41.26</v>
      </c>
      <c r="AB298" s="389">
        <f>IFERROR(VLOOKUP($G298,基本資料!$A:$M,12,0),"無")</f>
        <v>39.81</v>
      </c>
      <c r="AC298" s="22" t="s">
        <v>3681</v>
      </c>
      <c r="AF298" s="33">
        <f t="shared" si="67"/>
        <v>0</v>
      </c>
      <c r="AG298" s="43" t="s">
        <v>1974</v>
      </c>
      <c r="AH298" s="66">
        <f t="shared" si="59"/>
        <v>0.30091478093403951</v>
      </c>
      <c r="AI298" s="283">
        <f>RTD("money.excel",,$G298,"PredictVolume")</f>
        <v>125</v>
      </c>
      <c r="AJ298" s="391">
        <f>IFERROR(VLOOKUP($G298,基本資料!$A:$M,13,0),"無")</f>
        <v>415.4</v>
      </c>
      <c r="AR298" s="245" t="str">
        <f>INDEX(基本資料!N:N,MATCH($G298,基本資料!A:A,0))</f>
        <v>低</v>
      </c>
    </row>
    <row r="299" spans="1:44">
      <c r="A299" s="343">
        <f>IFERROR(VLOOKUP($G299,基本資料!$A:$J,3,0),"無")</f>
        <v>10.09</v>
      </c>
      <c r="B299" s="79">
        <f>IFERROR(VLOOKUP($G299,基本資料!$A:$J,4,0),"無")</f>
        <v>6</v>
      </c>
      <c r="C299" s="79">
        <f>IFERROR(VLOOKUP($G299,基本資料!$A:$J,5,0),"無")</f>
        <v>17</v>
      </c>
      <c r="D299" s="79">
        <f>IFERROR(VLOOKUP($G299,基本資料!$A:$J,6,0),"無")</f>
        <v>3</v>
      </c>
      <c r="E299" s="79">
        <f>IFERROR(VLOOKUP($G299,基本資料!$A:$J,7,0),"無")</f>
        <v>4</v>
      </c>
      <c r="F299" s="6">
        <f>IFERROR(VLOOKUP($G299,基本資料!$A:$J,8,0),"無")</f>
        <v>14.66</v>
      </c>
      <c r="G299" s="79">
        <v>1752</v>
      </c>
      <c r="H299" s="145" t="s">
        <v>309</v>
      </c>
      <c r="I299" s="16" t="s">
        <v>3682</v>
      </c>
      <c r="J299" s="8">
        <f>IFERROR(VLOOKUP($G299,今日總結!$A:$AN,39,0),"")</f>
        <v>0</v>
      </c>
      <c r="K299" s="5" t="str">
        <f>IFERROR(VLOOKUP($G299,今日總結!$A:$AN,40,0),"")</f>
        <v>借</v>
      </c>
      <c r="L299" s="156">
        <f>IFERROR(VLOOKUP($G299,今日總結!$A:$AN,37,0),"")</f>
        <v>0</v>
      </c>
      <c r="M299" s="337">
        <f>IFERROR(VLOOKUP($G299,今日總結!$A:$AN,38,0),"")</f>
        <v>3</v>
      </c>
      <c r="N299" s="240">
        <f t="shared" si="63"/>
        <v>-3</v>
      </c>
      <c r="O299" s="359">
        <f>IFERROR(VLOOKUP($G299,融外自投!$A:$J,7,0),"無")</f>
        <v>1089</v>
      </c>
      <c r="P299" s="79" t="str">
        <f>IFERROR(VLOOKUP($G299,融外自投!$A:$J,9,0),"無")</f>
        <v>無</v>
      </c>
      <c r="Q299" s="342">
        <f>IFERROR(VLOOKUP($G299,融外自投!$A:$J,8,0),"無")</f>
        <v>1174</v>
      </c>
      <c r="R299" s="81" t="str">
        <f>IFERROR(VLOOKUP($G299,融外自投!$A:$J,10,0),"無")</f>
        <v>無</v>
      </c>
      <c r="S299" s="324">
        <f>IFERROR(VLOOKUP($G299,'321買'!$A:$E,4,0),"'沒有資料'")</f>
        <v>1002</v>
      </c>
      <c r="T299" s="186">
        <f>IFERROR(VLOOKUP($G299,基本資料!$A:$J,9,0),"無")</f>
        <v>1.8</v>
      </c>
      <c r="U299" s="307">
        <f t="shared" si="64"/>
        <v>4.9861495844875349E-2</v>
      </c>
      <c r="V299" s="94">
        <f>IFERROR(VLOOKUP($G299,基本資料!$A:$J,10,0),"無")</f>
        <v>1.94</v>
      </c>
      <c r="W299" s="36">
        <f>RTD("money.excel",,"1752","Price")</f>
        <v>36.1</v>
      </c>
      <c r="X299" s="66"/>
      <c r="Y299" s="15">
        <f t="shared" si="65"/>
        <v>36.1</v>
      </c>
      <c r="Z299" s="3" t="e">
        <f t="shared" si="66"/>
        <v>#DIV/0!</v>
      </c>
      <c r="AA299" s="340">
        <f>IFERROR(VLOOKUP($G299,基本資料!$A:$M,11,0),"無")</f>
        <v>-14.05</v>
      </c>
      <c r="AB299" s="389">
        <f>IFERROR(VLOOKUP($G299,基本資料!$A:$M,12,0),"無")</f>
        <v>13.61</v>
      </c>
      <c r="AC299" s="16" t="s">
        <v>3682</v>
      </c>
      <c r="AF299" s="33">
        <f t="shared" si="67"/>
        <v>0</v>
      </c>
      <c r="AG299" s="117" t="s">
        <v>3683</v>
      </c>
      <c r="AH299" s="66">
        <f t="shared" si="59"/>
        <v>0.22103518143304476</v>
      </c>
      <c r="AI299" s="283">
        <f>RTD("money.excel",,$G299,"PredictVolume")</f>
        <v>60</v>
      </c>
      <c r="AJ299" s="391">
        <f>IFERROR(VLOOKUP($G299,基本資料!$A:$M,13,0),"無")</f>
        <v>271.45</v>
      </c>
      <c r="AR299" s="245" t="str">
        <f>INDEX(基本資料!N:N,MATCH($G299,基本資料!A:A,0))</f>
        <v>低</v>
      </c>
    </row>
    <row r="300" spans="1:44">
      <c r="A300" s="343">
        <f>IFERROR(VLOOKUP($G300,基本資料!$A:$J,3,0),"無")</f>
        <v>8.57</v>
      </c>
      <c r="B300" s="79">
        <f>IFERROR(VLOOKUP($G300,基本資料!$A:$J,4,0),"無")</f>
        <v>274</v>
      </c>
      <c r="C300" s="79">
        <f>IFERROR(VLOOKUP($G300,基本資料!$A:$J,5,0),"無")</f>
        <v>58</v>
      </c>
      <c r="D300" s="79">
        <f>IFERROR(VLOOKUP($G300,基本資料!$A:$J,6,0),"無")</f>
        <v>30</v>
      </c>
      <c r="E300" s="79">
        <f>IFERROR(VLOOKUP($G300,基本資料!$A:$J,7,0),"無")</f>
        <v>84</v>
      </c>
      <c r="F300" s="6">
        <f>IFERROR(VLOOKUP($G300,基本資料!$A:$J,8,0),"無")</f>
        <v>8.6999999999999993</v>
      </c>
      <c r="G300" s="79">
        <v>1760</v>
      </c>
      <c r="H300" s="192" t="s">
        <v>309</v>
      </c>
      <c r="I300" s="22" t="s">
        <v>628</v>
      </c>
      <c r="J300" s="8">
        <f>IFERROR(VLOOKUP($G300,今日總結!$A:$AN,39,0),"")</f>
        <v>4</v>
      </c>
      <c r="K300" s="5" t="str">
        <f>IFERROR(VLOOKUP($G300,今日總結!$A:$AN,40,0),"")</f>
        <v>融</v>
      </c>
      <c r="L300" s="156">
        <f>IFERROR(VLOOKUP($G300,今日總結!$A:$AN,37,0),"")</f>
        <v>1</v>
      </c>
      <c r="M300" s="337">
        <f>IFERROR(VLOOKUP($G300,今日總結!$A:$AN,38,0),"")</f>
        <v>1</v>
      </c>
      <c r="N300" s="240">
        <f t="shared" si="63"/>
        <v>0</v>
      </c>
      <c r="O300" s="359">
        <f>IFERROR(VLOOKUP($G300,融外自投!$A:$J,7,0),"無")</f>
        <v>196</v>
      </c>
      <c r="P300" s="79">
        <f>IFERROR(VLOOKUP($G300,融外自投!$A:$J,9,0),"無")</f>
        <v>91</v>
      </c>
      <c r="Q300" s="342">
        <f>IFERROR(VLOOKUP($G300,融外自投!$A:$J,8,0),"無")</f>
        <v>453</v>
      </c>
      <c r="R300" s="81" t="str">
        <f>IFERROR(VLOOKUP($G300,融外自投!$A:$J,10,0),"無")</f>
        <v>無</v>
      </c>
      <c r="S300" s="324">
        <f>IFERROR(VLOOKUP($G300,'321買'!$A:$E,4,0),"'沒有資料'")</f>
        <v>117</v>
      </c>
      <c r="T300" s="186">
        <f>IFERROR(VLOOKUP($G300,基本資料!$A:$J,9,0),"無")</f>
        <v>1.5</v>
      </c>
      <c r="U300" s="307">
        <f t="shared" si="64"/>
        <v>1.3761467889908258E-2</v>
      </c>
      <c r="V300" s="94">
        <f>IFERROR(VLOOKUP($G300,基本資料!$A:$J,10,0),"無")</f>
        <v>1.32</v>
      </c>
      <c r="W300" s="36">
        <f>RTD("money.excel",,"1760","Price")</f>
        <v>109</v>
      </c>
      <c r="X300" s="66"/>
      <c r="Y300" s="15">
        <f t="shared" si="65"/>
        <v>109</v>
      </c>
      <c r="Z300" s="3" t="e">
        <f t="shared" si="66"/>
        <v>#DIV/0!</v>
      </c>
      <c r="AA300" s="340">
        <f>IFERROR(VLOOKUP($G300,基本資料!$A:$M,11,0),"無")</f>
        <v>-36.630000000000003</v>
      </c>
      <c r="AB300" s="389">
        <f>IFERROR(VLOOKUP($G300,基本資料!$A:$M,12,0),"無")</f>
        <v>35.32</v>
      </c>
      <c r="AC300" s="22" t="s">
        <v>628</v>
      </c>
      <c r="AF300" s="33">
        <f t="shared" si="67"/>
        <v>0</v>
      </c>
      <c r="AG300" s="43" t="s">
        <v>2808</v>
      </c>
      <c r="AH300" s="66">
        <f t="shared" si="59"/>
        <v>0.49407724726408714</v>
      </c>
      <c r="AI300" s="283">
        <f>RTD("money.excel",,$G300,"PredictVolume")</f>
        <v>7122</v>
      </c>
      <c r="AJ300" s="391">
        <f>IFERROR(VLOOKUP($G300,基本資料!$A:$M,13,0),"無")</f>
        <v>14414.75</v>
      </c>
      <c r="AR300" s="245" t="str">
        <f>INDEX(基本資料!N:N,MATCH($G300,基本資料!A:A,0))</f>
        <v>中</v>
      </c>
    </row>
    <row r="301" spans="1:44">
      <c r="A301" s="343">
        <f>IFERROR(VLOOKUP($G301,基本資料!$A:$J,3,0),"無")</f>
        <v>7.75</v>
      </c>
      <c r="B301" s="79">
        <f>IFERROR(VLOOKUP($G301,基本資料!$A:$J,4,0),"無")</f>
        <v>-24</v>
      </c>
      <c r="C301" s="79">
        <f>IFERROR(VLOOKUP($G301,基本資料!$A:$J,5,0),"無")</f>
        <v>63</v>
      </c>
      <c r="D301" s="79">
        <f>IFERROR(VLOOKUP($G301,基本資料!$A:$J,6,0),"無")</f>
        <v>-18</v>
      </c>
      <c r="E301" s="79">
        <f>IFERROR(VLOOKUP($G301,基本資料!$A:$J,7,0),"無")</f>
        <v>175</v>
      </c>
      <c r="F301" s="6">
        <f>IFERROR(VLOOKUP($G301,基本資料!$A:$J,8,0),"無")</f>
        <v>22.66</v>
      </c>
      <c r="G301" s="79">
        <v>1762</v>
      </c>
      <c r="H301" s="192" t="s">
        <v>309</v>
      </c>
      <c r="I301" s="22" t="s">
        <v>3684</v>
      </c>
      <c r="J301" s="8">
        <f>IFERROR(VLOOKUP($G301,今日總結!$A:$AN,39,0),"")</f>
        <v>0</v>
      </c>
      <c r="K301" s="5">
        <f>IFERROR(VLOOKUP($G301,今日總結!$A:$AN,40,0),"")</f>
        <v>0</v>
      </c>
      <c r="L301" s="156">
        <f>IFERROR(VLOOKUP($G301,今日總結!$A:$AN,37,0),"")</f>
        <v>0</v>
      </c>
      <c r="M301" s="337">
        <f>IFERROR(VLOOKUP($G301,今日總結!$A:$AN,38,0),"")</f>
        <v>0</v>
      </c>
      <c r="N301" s="240">
        <f t="shared" si="63"/>
        <v>0</v>
      </c>
      <c r="O301" s="359">
        <f>IFERROR(VLOOKUP($G301,融外自投!$A:$J,7,0),"無")</f>
        <v>250</v>
      </c>
      <c r="P301" s="79">
        <f>IFERROR(VLOOKUP($G301,融外自投!$A:$J,9,0),"無")</f>
        <v>225</v>
      </c>
      <c r="Q301" s="342">
        <f>IFERROR(VLOOKUP($G301,融外自投!$A:$J,8,0),"無")</f>
        <v>962</v>
      </c>
      <c r="R301" s="81">
        <f>IFERROR(VLOOKUP($G301,融外自投!$A:$J,10,0),"無")</f>
        <v>196</v>
      </c>
      <c r="S301" s="324">
        <f>IFERROR(VLOOKUP($G301,'321買'!$A:$E,4,0),"'沒有資料'")</f>
        <v>164</v>
      </c>
      <c r="T301" s="186">
        <f>IFERROR(VLOOKUP($G301,基本資料!$A:$J,9,0),"無")</f>
        <v>1.3</v>
      </c>
      <c r="U301" s="307">
        <f t="shared" si="64"/>
        <v>2.2491349480968859E-2</v>
      </c>
      <c r="V301" s="94">
        <f>IFERROR(VLOOKUP($G301,基本資料!$A:$J,10,0),"無")</f>
        <v>5.17</v>
      </c>
      <c r="W301" s="36">
        <f>RTD("money.excel",,"1762","Price")</f>
        <v>57.8</v>
      </c>
      <c r="X301" s="66"/>
      <c r="Y301" s="15">
        <f t="shared" si="65"/>
        <v>57.8</v>
      </c>
      <c r="Z301" s="3" t="e">
        <f t="shared" si="66"/>
        <v>#DIV/0!</v>
      </c>
      <c r="AA301" s="340">
        <f>IFERROR(VLOOKUP($G301,基本資料!$A:$M,11,0),"無")</f>
        <v>-33.409999999999997</v>
      </c>
      <c r="AB301" s="389">
        <f>IFERROR(VLOOKUP($G301,基本資料!$A:$M,12,0),"無")</f>
        <v>37.89</v>
      </c>
      <c r="AC301" s="22" t="s">
        <v>3684</v>
      </c>
      <c r="AF301" s="33">
        <f t="shared" si="67"/>
        <v>0</v>
      </c>
      <c r="AG301" s="43" t="s">
        <v>3685</v>
      </c>
      <c r="AH301" s="66">
        <f t="shared" si="59"/>
        <v>0.28690112062402329</v>
      </c>
      <c r="AI301" s="283">
        <f>RTD("money.excel",,$G301,"PredictVolume")</f>
        <v>1074</v>
      </c>
      <c r="AJ301" s="391">
        <f>IFERROR(VLOOKUP($G301,基本資料!$A:$M,13,0),"無")</f>
        <v>3743.45</v>
      </c>
      <c r="AR301" s="245" t="str">
        <f>INDEX(基本資料!N:N,MATCH($G301,基本資料!A:A,0))</f>
        <v>低</v>
      </c>
    </row>
    <row r="302" spans="1:44">
      <c r="A302" s="343">
        <f>IFERROR(VLOOKUP($G302,基本資料!$A:$J,3,0),"無")</f>
        <v>4</v>
      </c>
      <c r="B302" s="79">
        <f>IFERROR(VLOOKUP($G302,基本資料!$A:$J,4,0),"無")</f>
        <v>-44</v>
      </c>
      <c r="C302" s="79">
        <f>IFERROR(VLOOKUP($G302,基本資料!$A:$J,5,0),"無")</f>
        <v>-44</v>
      </c>
      <c r="D302" s="79">
        <f>IFERROR(VLOOKUP($G302,基本資料!$A:$J,6,0),"無")</f>
        <v>2</v>
      </c>
      <c r="E302" s="79">
        <f>IFERROR(VLOOKUP($G302,基本資料!$A:$J,7,0),"無")</f>
        <v>-20</v>
      </c>
      <c r="F302" s="6">
        <f>IFERROR(VLOOKUP($G302,基本資料!$A:$J,8,0),"無")</f>
        <v>19.62</v>
      </c>
      <c r="G302" s="79">
        <v>1777</v>
      </c>
      <c r="H302" s="145" t="s">
        <v>309</v>
      </c>
      <c r="I302" s="16" t="s">
        <v>3686</v>
      </c>
      <c r="J302" s="8" t="str">
        <f>IFERROR(VLOOKUP($G302,今日總結!$A:$AN,39,0),"")</f>
        <v/>
      </c>
      <c r="K302" s="5" t="str">
        <f>IFERROR(VLOOKUP($G302,今日總結!$A:$AN,40,0),"")</f>
        <v/>
      </c>
      <c r="L302" s="156" t="str">
        <f>IFERROR(VLOOKUP($G302,今日總結!$A:$AN,37,0),"")</f>
        <v/>
      </c>
      <c r="M302" s="337" t="str">
        <f>IFERROR(VLOOKUP($G302,今日總結!$A:$AN,38,0),"")</f>
        <v/>
      </c>
      <c r="N302" s="240" t="str">
        <f t="shared" si="63"/>
        <v/>
      </c>
      <c r="O302" s="359">
        <f>IFERROR(VLOOKUP($G302,融外自投!$A:$J,7,0),"無")</f>
        <v>1216</v>
      </c>
      <c r="P302" s="79" t="str">
        <f>IFERROR(VLOOKUP($G302,融外自投!$A:$J,9,0),"無")</f>
        <v>無</v>
      </c>
      <c r="Q302" s="342">
        <f>IFERROR(VLOOKUP($G302,融外自投!$A:$J,8,0),"無")</f>
        <v>1414</v>
      </c>
      <c r="R302" s="81" t="str">
        <f>IFERROR(VLOOKUP($G302,融外自投!$A:$J,10,0),"無")</f>
        <v>無</v>
      </c>
      <c r="S302" s="324" t="str">
        <f>IFERROR(VLOOKUP($G302,'321買'!$A:$E,4,0),"'沒有資料'")</f>
        <v>'沒有資料'</v>
      </c>
      <c r="T302" s="186">
        <f>IFERROR(VLOOKUP($G302,基本資料!$A:$J,9,0),"無")</f>
        <v>2.15</v>
      </c>
      <c r="U302" s="307">
        <f t="shared" si="64"/>
        <v>3.3541341653666151E-2</v>
      </c>
      <c r="V302" s="94">
        <f>IFERROR(VLOOKUP($G302,基本資料!$A:$J,10,0),"無")</f>
        <v>3.38</v>
      </c>
      <c r="W302" s="36">
        <f>RTD("money.excel",,"1777","Price")</f>
        <v>64.099999999999994</v>
      </c>
      <c r="X302" s="66"/>
      <c r="Y302" s="15">
        <f t="shared" si="65"/>
        <v>64.099999999999994</v>
      </c>
      <c r="Z302" s="3" t="e">
        <f t="shared" si="66"/>
        <v>#DIV/0!</v>
      </c>
      <c r="AA302" s="340">
        <f>IFERROR(VLOOKUP($G302,基本資料!$A:$M,11,0),"無")</f>
        <v>-20.37</v>
      </c>
      <c r="AB302" s="389">
        <f>IFERROR(VLOOKUP($G302,基本資料!$A:$M,12,0),"無")</f>
        <v>19.22</v>
      </c>
      <c r="AC302" s="16" t="s">
        <v>3686</v>
      </c>
      <c r="AF302" s="33">
        <f t="shared" si="67"/>
        <v>0</v>
      </c>
      <c r="AG302" s="117" t="s">
        <v>2449</v>
      </c>
      <c r="AH302" s="66">
        <f t="shared" si="59"/>
        <v>0.28985507246376813</v>
      </c>
      <c r="AI302" s="283">
        <f>RTD("money.excel",,$G302,"PredictVolume")</f>
        <v>13</v>
      </c>
      <c r="AJ302" s="391">
        <f>IFERROR(VLOOKUP($G302,基本資料!$A:$M,13,0),"無")</f>
        <v>44.85</v>
      </c>
      <c r="AR302" s="245" t="str">
        <f>INDEX(基本資料!N:N,MATCH($G302,基本資料!A:A,0))</f>
        <v>低</v>
      </c>
    </row>
    <row r="303" spans="1:44">
      <c r="A303" s="343">
        <f>IFERROR(VLOOKUP($G303,基本資料!$A:$J,3,0),"無")</f>
        <v>4.74</v>
      </c>
      <c r="B303" s="79">
        <f>IFERROR(VLOOKUP($G303,基本資料!$A:$J,4,0),"無")</f>
        <v>-130</v>
      </c>
      <c r="C303" s="79">
        <f>IFERROR(VLOOKUP($G303,基本資料!$A:$J,5,0),"無")</f>
        <v>-477</v>
      </c>
      <c r="D303" s="79">
        <f>IFERROR(VLOOKUP($G303,基本資料!$A:$J,6,0),"無")</f>
        <v>-14</v>
      </c>
      <c r="E303" s="79">
        <f>IFERROR(VLOOKUP($G303,基本資料!$A:$J,7,0),"無")</f>
        <v>-45</v>
      </c>
      <c r="F303" s="6">
        <f>IFERROR(VLOOKUP($G303,基本資料!$A:$J,8,0),"無")</f>
        <v>-11.93</v>
      </c>
      <c r="G303" s="79">
        <v>1781</v>
      </c>
      <c r="H303" s="8" t="s">
        <v>309</v>
      </c>
      <c r="I303" s="16" t="s">
        <v>3687</v>
      </c>
      <c r="J303" s="8" t="str">
        <f>IFERROR(VLOOKUP($G303,今日總結!$A:$AN,39,0),"")</f>
        <v/>
      </c>
      <c r="K303" s="5" t="str">
        <f>IFERROR(VLOOKUP($G303,今日總結!$A:$AN,40,0),"")</f>
        <v/>
      </c>
      <c r="L303" s="156" t="str">
        <f>IFERROR(VLOOKUP($G303,今日總結!$A:$AN,37,0),"")</f>
        <v/>
      </c>
      <c r="M303" s="337" t="str">
        <f>IFERROR(VLOOKUP($G303,今日總結!$A:$AN,38,0),"")</f>
        <v/>
      </c>
      <c r="N303" s="240" t="str">
        <f t="shared" si="63"/>
        <v/>
      </c>
      <c r="O303" s="359" t="str">
        <f>IFERROR(VLOOKUP($G303,融外自投!$A:$J,7,0),"無")</f>
        <v>無</v>
      </c>
      <c r="P303" s="79" t="str">
        <f>IFERROR(VLOOKUP($G303,融外自投!$A:$J,9,0),"無")</f>
        <v>無</v>
      </c>
      <c r="Q303" s="342" t="str">
        <f>IFERROR(VLOOKUP($G303,融外自投!$A:$J,8,0),"無")</f>
        <v>無</v>
      </c>
      <c r="R303" s="81" t="str">
        <f>IFERROR(VLOOKUP($G303,融外自投!$A:$J,10,0),"無")</f>
        <v>無</v>
      </c>
      <c r="S303" s="324" t="str">
        <f>IFERROR(VLOOKUP($G303,'321買'!$A:$E,4,0),"'沒有資料'")</f>
        <v>'沒有資料'</v>
      </c>
      <c r="T303" s="186">
        <f>IFERROR(VLOOKUP($G303,基本資料!$A:$J,9,0),"無")</f>
        <v>0</v>
      </c>
      <c r="U303" s="307">
        <f t="shared" si="64"/>
        <v>0</v>
      </c>
      <c r="V303" s="94">
        <f>IFERROR(VLOOKUP($G303,基本資料!$A:$J,10,0),"無")</f>
        <v>-1.31</v>
      </c>
      <c r="W303" s="36">
        <f>RTD("money.excel",,"1781","Price")</f>
        <v>14.25</v>
      </c>
      <c r="X303" s="66"/>
      <c r="Y303" s="15">
        <f t="shared" si="65"/>
        <v>14.25</v>
      </c>
      <c r="Z303" s="3" t="e">
        <f t="shared" si="66"/>
        <v>#DIV/0!</v>
      </c>
      <c r="AA303" s="340">
        <f>IFERROR(VLOOKUP($G303,基本資料!$A:$M,11,0),"無")</f>
        <v>-40</v>
      </c>
      <c r="AB303" s="389">
        <f>IFERROR(VLOOKUP($G303,基本資料!$A:$M,12,0),"無")</f>
        <v>28.86</v>
      </c>
      <c r="AC303" s="16" t="s">
        <v>3687</v>
      </c>
      <c r="AF303" s="33">
        <f t="shared" si="67"/>
        <v>0</v>
      </c>
      <c r="AG303" s="43" t="s">
        <v>3688</v>
      </c>
      <c r="AH303" s="66">
        <f t="shared" si="59"/>
        <v>0.11998736975055257</v>
      </c>
      <c r="AI303" s="283">
        <f>RTD("money.excel",,$G303,"PredictVolume")</f>
        <v>57</v>
      </c>
      <c r="AJ303" s="391">
        <f>IFERROR(VLOOKUP($G303,基本資料!$A:$M,13,0),"無")</f>
        <v>475.05</v>
      </c>
      <c r="AR303" s="245" t="str">
        <f>INDEX(基本資料!N:N,MATCH($G303,基本資料!A:A,0))</f>
        <v>低</v>
      </c>
    </row>
    <row r="304" spans="1:44">
      <c r="A304" s="343">
        <f>IFERROR(VLOOKUP($G304,基本資料!$A:$J,3,0),"無")</f>
        <v>7.69</v>
      </c>
      <c r="B304" s="79">
        <f>IFERROR(VLOOKUP($G304,基本資料!$A:$J,4,0),"無")</f>
        <v>38</v>
      </c>
      <c r="C304" s="79">
        <f>IFERROR(VLOOKUP($G304,基本資料!$A:$J,5,0),"無")</f>
        <v>47</v>
      </c>
      <c r="D304" s="79">
        <f>IFERROR(VLOOKUP($G304,基本資料!$A:$J,6,0),"無")</f>
        <v>-14</v>
      </c>
      <c r="E304" s="79">
        <f>IFERROR(VLOOKUP($G304,基本資料!$A:$J,7,0),"無")</f>
        <v>31</v>
      </c>
      <c r="F304" s="6">
        <f>IFERROR(VLOOKUP($G304,基本資料!$A:$J,8,0),"無")</f>
        <v>17.57</v>
      </c>
      <c r="G304" s="79">
        <v>1783</v>
      </c>
      <c r="H304" s="192" t="s">
        <v>309</v>
      </c>
      <c r="I304" s="22" t="s">
        <v>3689</v>
      </c>
      <c r="J304" s="8">
        <f>IFERROR(VLOOKUP($G304,今日總結!$A:$AN,39,0),"")</f>
        <v>0</v>
      </c>
      <c r="K304" s="5">
        <f>IFERROR(VLOOKUP($G304,今日總結!$A:$AN,40,0),"")</f>
        <v>0</v>
      </c>
      <c r="L304" s="156">
        <f>IFERROR(VLOOKUP($G304,今日總結!$A:$AN,37,0),"")</f>
        <v>0</v>
      </c>
      <c r="M304" s="337">
        <f>IFERROR(VLOOKUP($G304,今日總結!$A:$AN,38,0),"")</f>
        <v>0</v>
      </c>
      <c r="N304" s="240">
        <f t="shared" si="63"/>
        <v>0</v>
      </c>
      <c r="O304" s="359">
        <f>IFERROR(VLOOKUP($G304,融外自投!$A:$J,7,0),"無")</f>
        <v>399</v>
      </c>
      <c r="P304" s="79">
        <f>IFERROR(VLOOKUP($G304,融外自投!$A:$J,9,0),"無")</f>
        <v>426</v>
      </c>
      <c r="Q304" s="342">
        <f>IFERROR(VLOOKUP($G304,融外自投!$A:$J,8,0),"無")</f>
        <v>696</v>
      </c>
      <c r="R304" s="81" t="str">
        <f>IFERROR(VLOOKUP($G304,融外自投!$A:$J,10,0),"無")</f>
        <v>無</v>
      </c>
      <c r="S304" s="324">
        <f>IFERROR(VLOOKUP($G304,'321買'!$A:$E,4,0),"'沒有資料'")</f>
        <v>321</v>
      </c>
      <c r="T304" s="186">
        <f>IFERROR(VLOOKUP($G304,基本資料!$A:$J,9,0),"無")</f>
        <v>1</v>
      </c>
      <c r="U304" s="307">
        <f t="shared" si="64"/>
        <v>2.7247956403269751E-2</v>
      </c>
      <c r="V304" s="94">
        <f>IFERROR(VLOOKUP($G304,基本資料!$A:$J,10,0),"無")</f>
        <v>1.21</v>
      </c>
      <c r="W304" s="36">
        <f>RTD("money.excel",,"1783","Price")</f>
        <v>36.700000000000003</v>
      </c>
      <c r="X304" s="66"/>
      <c r="Y304" s="15">
        <f t="shared" si="65"/>
        <v>36.700000000000003</v>
      </c>
      <c r="Z304" s="3" t="e">
        <f t="shared" si="66"/>
        <v>#DIV/0!</v>
      </c>
      <c r="AA304" s="340">
        <f>IFERROR(VLOOKUP($G304,基本資料!$A:$M,11,0),"無")</f>
        <v>-53.95</v>
      </c>
      <c r="AB304" s="389">
        <f>IFERROR(VLOOKUP($G304,基本資料!$A:$M,12,0),"無")</f>
        <v>22.76</v>
      </c>
      <c r="AC304" s="22" t="s">
        <v>3689</v>
      </c>
      <c r="AF304" s="33">
        <f t="shared" si="67"/>
        <v>0</v>
      </c>
      <c r="AG304" s="43" t="s">
        <v>3690</v>
      </c>
      <c r="AH304" s="66">
        <f t="shared" si="59"/>
        <v>0.18684412592782187</v>
      </c>
      <c r="AI304" s="283">
        <f>RTD("money.excel",,$G304,"PredictVolume")</f>
        <v>73</v>
      </c>
      <c r="AJ304" s="391">
        <f>IFERROR(VLOOKUP($G304,基本資料!$A:$M,13,0),"無")</f>
        <v>390.7</v>
      </c>
      <c r="AR304" s="245" t="str">
        <f>INDEX(基本資料!N:N,MATCH($G304,基本資料!A:A,0))</f>
        <v>低</v>
      </c>
    </row>
    <row r="305" spans="1:44">
      <c r="A305" s="343">
        <f>IFERROR(VLOOKUP($G305,基本資料!$A:$J,3,0),"無")</f>
        <v>4.96</v>
      </c>
      <c r="B305" s="79">
        <f>IFERROR(VLOOKUP($G305,基本資料!$A:$J,4,0),"無")</f>
        <v>2521</v>
      </c>
      <c r="C305" s="79">
        <f>IFERROR(VLOOKUP($G305,基本資料!$A:$J,5,0),"無")</f>
        <v>918</v>
      </c>
      <c r="D305" s="79">
        <f>IFERROR(VLOOKUP($G305,基本資料!$A:$J,6,0),"無")</f>
        <v>-7</v>
      </c>
      <c r="E305" s="79">
        <f>IFERROR(VLOOKUP($G305,基本資料!$A:$J,7,0),"無")</f>
        <v>-2</v>
      </c>
      <c r="F305" s="6">
        <f>IFERROR(VLOOKUP($G305,基本資料!$A:$J,8,0),"無")</f>
        <v>3.39</v>
      </c>
      <c r="G305" s="79">
        <v>1784</v>
      </c>
      <c r="H305" s="8" t="s">
        <v>309</v>
      </c>
      <c r="I305" s="16" t="s">
        <v>3691</v>
      </c>
      <c r="J305" s="8">
        <f>IFERROR(VLOOKUP($G305,今日總結!$A:$AN,39,0),"")</f>
        <v>0</v>
      </c>
      <c r="K305" s="5" t="str">
        <f>IFERROR(VLOOKUP($G305,今日總結!$A:$AN,40,0),"")</f>
        <v>融</v>
      </c>
      <c r="L305" s="156">
        <f>IFERROR(VLOOKUP($G305,今日總結!$A:$AN,37,0),"")</f>
        <v>0</v>
      </c>
      <c r="M305" s="337">
        <f>IFERROR(VLOOKUP($G305,今日總結!$A:$AN,38,0),"")</f>
        <v>1</v>
      </c>
      <c r="N305" s="240">
        <f t="shared" si="63"/>
        <v>-1</v>
      </c>
      <c r="O305" s="359">
        <f>IFERROR(VLOOKUP($G305,融外自投!$A:$J,7,0),"無")</f>
        <v>358</v>
      </c>
      <c r="P305" s="79">
        <f>IFERROR(VLOOKUP($G305,融外自投!$A:$J,9,0),"無")</f>
        <v>717</v>
      </c>
      <c r="Q305" s="342">
        <f>IFERROR(VLOOKUP($G305,融外自投!$A:$J,8,0),"無")</f>
        <v>1120</v>
      </c>
      <c r="R305" s="81" t="str">
        <f>IFERROR(VLOOKUP($G305,融外自投!$A:$J,10,0),"無")</f>
        <v>無</v>
      </c>
      <c r="S305" s="324">
        <f>IFERROR(VLOOKUP($G305,'321買'!$A:$E,4,0),"'沒有資料'")</f>
        <v>696</v>
      </c>
      <c r="T305" s="186">
        <f>IFERROR(VLOOKUP($G305,基本資料!$A:$J,9,0),"無")</f>
        <v>0.48</v>
      </c>
      <c r="U305" s="307">
        <f t="shared" si="64"/>
        <v>1.2614980289093299E-2</v>
      </c>
      <c r="V305" s="94">
        <f>IFERROR(VLOOKUP($G305,基本資料!$A:$J,10,0),"無")</f>
        <v>0.56000000000000005</v>
      </c>
      <c r="W305" s="36">
        <f>RTD("money.excel",,"1784","Price")</f>
        <v>38.049999999999997</v>
      </c>
      <c r="X305" s="66"/>
      <c r="Y305" s="15">
        <f t="shared" si="65"/>
        <v>38.049999999999997</v>
      </c>
      <c r="Z305" s="3" t="e">
        <f t="shared" si="66"/>
        <v>#DIV/0!</v>
      </c>
      <c r="AA305" s="340">
        <f>IFERROR(VLOOKUP($G305,基本資料!$A:$M,11,0),"無")</f>
        <v>-26.69</v>
      </c>
      <c r="AB305" s="389">
        <f>IFERROR(VLOOKUP($G305,基本資料!$A:$M,12,0),"無")</f>
        <v>41.06</v>
      </c>
      <c r="AC305" s="16" t="s">
        <v>3691</v>
      </c>
      <c r="AF305" s="33">
        <f t="shared" si="67"/>
        <v>0</v>
      </c>
      <c r="AG305" s="43" t="s">
        <v>3692</v>
      </c>
      <c r="AH305" s="66">
        <f t="shared" si="59"/>
        <v>0.15614156835530882</v>
      </c>
      <c r="AI305" s="283">
        <f>RTD("money.excel",,$G305,"PredictVolume")</f>
        <v>45</v>
      </c>
      <c r="AJ305" s="391">
        <f>IFERROR(VLOOKUP($G305,基本資料!$A:$M,13,0),"無")</f>
        <v>288.2</v>
      </c>
      <c r="AR305" s="245" t="str">
        <f>INDEX(基本資料!N:N,MATCH($G305,基本資料!A:A,0))</f>
        <v>低</v>
      </c>
    </row>
    <row r="306" spans="1:44">
      <c r="A306" s="343">
        <f>IFERROR(VLOOKUP($G306,基本資料!$A:$J,3,0),"無")</f>
        <v>6.61</v>
      </c>
      <c r="B306" s="79">
        <f>IFERROR(VLOOKUP($G306,基本資料!$A:$J,4,0),"無")</f>
        <v>-20</v>
      </c>
      <c r="C306" s="79">
        <f>IFERROR(VLOOKUP($G306,基本資料!$A:$J,5,0),"無")</f>
        <v>-16</v>
      </c>
      <c r="D306" s="79">
        <f>IFERROR(VLOOKUP($G306,基本資料!$A:$J,6,0),"無")</f>
        <v>-43</v>
      </c>
      <c r="E306" s="79">
        <f>IFERROR(VLOOKUP($G306,基本資料!$A:$J,7,0),"無")</f>
        <v>4</v>
      </c>
      <c r="F306" s="6">
        <f>IFERROR(VLOOKUP($G306,基本資料!$A:$J,8,0),"無")</f>
        <v>24.12</v>
      </c>
      <c r="G306" s="79">
        <v>1786</v>
      </c>
      <c r="H306" s="192" t="s">
        <v>309</v>
      </c>
      <c r="I306" s="22" t="s">
        <v>3693</v>
      </c>
      <c r="J306" s="8">
        <f>IFERROR(VLOOKUP($G306,今日總結!$A:$AN,39,0),"")</f>
        <v>0</v>
      </c>
      <c r="K306" s="5">
        <f>IFERROR(VLOOKUP($G306,今日總結!$A:$AN,40,0),"")</f>
        <v>0</v>
      </c>
      <c r="L306" s="156">
        <f>IFERROR(VLOOKUP($G306,今日總結!$A:$AN,37,0),"")</f>
        <v>0</v>
      </c>
      <c r="M306" s="337">
        <f>IFERROR(VLOOKUP($G306,今日總結!$A:$AN,38,0),"")</f>
        <v>0</v>
      </c>
      <c r="N306" s="240">
        <f t="shared" si="63"/>
        <v>0</v>
      </c>
      <c r="O306" s="359">
        <f>IFERROR(VLOOKUP($G306,融外自投!$A:$J,7,0),"無")</f>
        <v>958</v>
      </c>
      <c r="P306" s="79">
        <f>IFERROR(VLOOKUP($G306,融外自投!$A:$J,9,0),"無")</f>
        <v>584</v>
      </c>
      <c r="Q306" s="342">
        <f>IFERROR(VLOOKUP($G306,融外自投!$A:$J,8,0),"無")</f>
        <v>1369</v>
      </c>
      <c r="R306" s="81" t="str">
        <f>IFERROR(VLOOKUP($G306,融外自投!$A:$J,10,0),"無")</f>
        <v>無</v>
      </c>
      <c r="S306" s="324">
        <f>IFERROR(VLOOKUP($G306,'321買'!$A:$E,4,0),"'沒有資料'")</f>
        <v>1002</v>
      </c>
      <c r="T306" s="186">
        <f>IFERROR(VLOOKUP($G306,基本資料!$A:$J,9,0),"無")</f>
        <v>1.42</v>
      </c>
      <c r="U306" s="307">
        <f t="shared" si="64"/>
        <v>3.337250293772033E-2</v>
      </c>
      <c r="V306" s="94">
        <f>IFERROR(VLOOKUP($G306,基本資料!$A:$J,10,0),"無")</f>
        <v>1.54</v>
      </c>
      <c r="W306" s="36">
        <f>RTD("money.excel",,"1786","Price")</f>
        <v>42.55</v>
      </c>
      <c r="X306" s="66"/>
      <c r="Y306" s="15">
        <f t="shared" si="65"/>
        <v>42.55</v>
      </c>
      <c r="Z306" s="3" t="e">
        <f t="shared" si="66"/>
        <v>#DIV/0!</v>
      </c>
      <c r="AA306" s="340">
        <f>IFERROR(VLOOKUP($G306,基本資料!$A:$M,11,0),"無")</f>
        <v>-29.08</v>
      </c>
      <c r="AB306" s="389">
        <f>IFERROR(VLOOKUP($G306,基本資料!$A:$M,12,0),"無")</f>
        <v>36.96</v>
      </c>
      <c r="AC306" s="22" t="s">
        <v>3693</v>
      </c>
      <c r="AF306" s="33">
        <f t="shared" si="67"/>
        <v>0</v>
      </c>
      <c r="AG306" s="43" t="s">
        <v>3694</v>
      </c>
      <c r="AH306" s="66">
        <f t="shared" si="59"/>
        <v>9.4339622641509441E-2</v>
      </c>
      <c r="AI306" s="283">
        <f>RTD("money.excel",,$G306,"PredictVolume")</f>
        <v>5</v>
      </c>
      <c r="AJ306" s="391">
        <f>IFERROR(VLOOKUP($G306,基本資料!$A:$M,13,0),"無")</f>
        <v>53</v>
      </c>
      <c r="AR306" s="245" t="str">
        <f>INDEX(基本資料!N:N,MATCH($G306,基本資料!A:A,0))</f>
        <v>低</v>
      </c>
    </row>
    <row r="307" spans="1:44">
      <c r="A307" s="343">
        <f>IFERROR(VLOOKUP($G307,基本資料!$A:$J,3,0),"無")</f>
        <v>4.05</v>
      </c>
      <c r="B307" s="79">
        <f>IFERROR(VLOOKUP($G307,基本資料!$A:$J,4,0),"無")</f>
        <v>9</v>
      </c>
      <c r="C307" s="79">
        <f>IFERROR(VLOOKUP($G307,基本資料!$A:$J,5,0),"無")</f>
        <v>10</v>
      </c>
      <c r="D307" s="79">
        <f>IFERROR(VLOOKUP($G307,基本資料!$A:$J,6,0),"無")</f>
        <v>-7</v>
      </c>
      <c r="E307" s="79">
        <f>IFERROR(VLOOKUP($G307,基本資料!$A:$J,7,0),"無")</f>
        <v>6</v>
      </c>
      <c r="F307" s="6">
        <f>IFERROR(VLOOKUP($G307,基本資料!$A:$J,8,0),"無")</f>
        <v>11.17</v>
      </c>
      <c r="G307" s="79">
        <v>1788</v>
      </c>
      <c r="H307" s="8" t="s">
        <v>309</v>
      </c>
      <c r="I307" s="16" t="s">
        <v>3695</v>
      </c>
      <c r="J307" s="8" t="str">
        <f>IFERROR(VLOOKUP($G307,今日總結!$A:$AN,39,0),"")</f>
        <v/>
      </c>
      <c r="K307" s="5" t="str">
        <f>IFERROR(VLOOKUP($G307,今日總結!$A:$AN,40,0),"")</f>
        <v/>
      </c>
      <c r="L307" s="156" t="str">
        <f>IFERROR(VLOOKUP($G307,今日總結!$A:$AN,37,0),"")</f>
        <v/>
      </c>
      <c r="M307" s="337" t="str">
        <f>IFERROR(VLOOKUP($G307,今日總結!$A:$AN,38,0),"")</f>
        <v/>
      </c>
      <c r="N307" s="240" t="str">
        <f t="shared" si="63"/>
        <v/>
      </c>
      <c r="O307" s="359">
        <f>IFERROR(VLOOKUP($G307,融外自投!$A:$J,7,0),"無")</f>
        <v>1416</v>
      </c>
      <c r="P307" s="79" t="str">
        <f>IFERROR(VLOOKUP($G307,融外自投!$A:$J,9,0),"無")</f>
        <v>無</v>
      </c>
      <c r="Q307" s="342">
        <f>IFERROR(VLOOKUP($G307,融外自投!$A:$J,8,0),"無")</f>
        <v>485</v>
      </c>
      <c r="R307" s="81" t="str">
        <f>IFERROR(VLOOKUP($G307,融外自投!$A:$J,10,0),"無")</f>
        <v>無</v>
      </c>
      <c r="S307" s="324" t="str">
        <f>IFERROR(VLOOKUP($G307,'321買'!$A:$E,4,0),"'沒有資料'")</f>
        <v>'沒有資料'</v>
      </c>
      <c r="T307" s="186">
        <f>IFERROR(VLOOKUP($G307,基本資料!$A:$J,9,0),"無")</f>
        <v>7</v>
      </c>
      <c r="U307" s="307">
        <f t="shared" si="64"/>
        <v>4.6511627906976744E-2</v>
      </c>
      <c r="V307" s="94">
        <f>IFERROR(VLOOKUP($G307,基本資料!$A:$J,10,0),"無")</f>
        <v>8.99</v>
      </c>
      <c r="W307" s="36">
        <f>RTD("money.excel",,"1788","Price")</f>
        <v>150.5</v>
      </c>
      <c r="X307" s="66"/>
      <c r="Y307" s="15">
        <f t="shared" si="65"/>
        <v>150.5</v>
      </c>
      <c r="Z307" s="3" t="e">
        <f t="shared" si="66"/>
        <v>#DIV/0!</v>
      </c>
      <c r="AA307" s="340">
        <f>IFERROR(VLOOKUP($G307,基本資料!$A:$M,11,0),"無")</f>
        <v>-7.1</v>
      </c>
      <c r="AB307" s="389">
        <f>IFERROR(VLOOKUP($G307,基本資料!$A:$M,12,0),"無")</f>
        <v>54.65</v>
      </c>
      <c r="AC307" s="16" t="s">
        <v>3695</v>
      </c>
      <c r="AF307" s="33">
        <f t="shared" si="67"/>
        <v>0</v>
      </c>
      <c r="AG307" s="43" t="s">
        <v>3696</v>
      </c>
      <c r="AH307" s="66">
        <f t="shared" si="59"/>
        <v>0.55865921787709505</v>
      </c>
      <c r="AI307" s="283">
        <f>RTD("money.excel",,$G307,"PredictVolume")</f>
        <v>20</v>
      </c>
      <c r="AJ307" s="391">
        <f>IFERROR(VLOOKUP($G307,基本資料!$A:$M,13,0),"無")</f>
        <v>35.799999999999997</v>
      </c>
      <c r="AR307" s="245" t="str">
        <f>INDEX(基本資料!N:N,MATCH($G307,基本資料!A:A,0))</f>
        <v>中</v>
      </c>
    </row>
    <row r="308" spans="1:44">
      <c r="A308" s="343">
        <f>IFERROR(VLOOKUP($G308,基本資料!$A:$J,3,0),"無")</f>
        <v>79.069999999999993</v>
      </c>
      <c r="B308" s="79">
        <f>IFERROR(VLOOKUP($G308,基本資料!$A:$J,4,0),"無")</f>
        <v>-13</v>
      </c>
      <c r="C308" s="79">
        <f>IFERROR(VLOOKUP($G308,基本資料!$A:$J,5,0),"無")</f>
        <v>-23</v>
      </c>
      <c r="D308" s="79">
        <f>IFERROR(VLOOKUP($G308,基本資料!$A:$J,6,0),"無")</f>
        <v>-46</v>
      </c>
      <c r="E308" s="79">
        <f>IFERROR(VLOOKUP($G308,基本資料!$A:$J,7,0),"無")</f>
        <v>-30</v>
      </c>
      <c r="F308" s="6">
        <f>IFERROR(VLOOKUP($G308,基本資料!$A:$J,8,0),"無")</f>
        <v>10.45</v>
      </c>
      <c r="G308" s="79">
        <v>1789</v>
      </c>
      <c r="H308" s="192" t="s">
        <v>309</v>
      </c>
      <c r="I308" s="22" t="s">
        <v>3697</v>
      </c>
      <c r="J308" s="8">
        <f>IFERROR(VLOOKUP($G308,今日總結!$A:$AN,39,0),"")</f>
        <v>0</v>
      </c>
      <c r="K308" s="5" t="str">
        <f>IFERROR(VLOOKUP($G308,今日總結!$A:$AN,40,0),"")</f>
        <v>借</v>
      </c>
      <c r="L308" s="156">
        <f>IFERROR(VLOOKUP($G308,今日總結!$A:$AN,37,0),"")</f>
        <v>0</v>
      </c>
      <c r="M308" s="337">
        <f>IFERROR(VLOOKUP($G308,今日總結!$A:$AN,38,0),"")</f>
        <v>6</v>
      </c>
      <c r="N308" s="240">
        <f t="shared" si="63"/>
        <v>-6</v>
      </c>
      <c r="O308" s="359">
        <f>IFERROR(VLOOKUP($G308,融外自投!$A:$J,7,0),"無")</f>
        <v>1094</v>
      </c>
      <c r="P308" s="79">
        <f>IFERROR(VLOOKUP($G308,融外自投!$A:$J,9,0),"無")</f>
        <v>741</v>
      </c>
      <c r="Q308" s="342">
        <f>IFERROR(VLOOKUP($G308,融外自投!$A:$J,8,0),"無")</f>
        <v>864</v>
      </c>
      <c r="R308" s="81" t="str">
        <f>IFERROR(VLOOKUP($G308,融外自投!$A:$J,10,0),"無")</f>
        <v>無</v>
      </c>
      <c r="S308" s="324">
        <f>IFERROR(VLOOKUP($G308,'321買'!$A:$E,4,0),"'沒有資料'")</f>
        <v>1002</v>
      </c>
      <c r="T308" s="186">
        <f>IFERROR(VLOOKUP($G308,基本資料!$A:$J,9,0),"無")</f>
        <v>0.48</v>
      </c>
      <c r="U308" s="307">
        <f t="shared" si="64"/>
        <v>2.1145374449339206E-2</v>
      </c>
      <c r="V308" s="94">
        <f>IFERROR(VLOOKUP($G308,基本資料!$A:$J,10,0),"無")</f>
        <v>0.31</v>
      </c>
      <c r="W308" s="36">
        <f>RTD("money.excel",,"1789","Price")</f>
        <v>22.7</v>
      </c>
      <c r="X308" s="66"/>
      <c r="Y308" s="15">
        <f t="shared" si="65"/>
        <v>22.7</v>
      </c>
      <c r="Z308" s="3" t="e">
        <f t="shared" si="66"/>
        <v>#DIV/0!</v>
      </c>
      <c r="AA308" s="340">
        <f>IFERROR(VLOOKUP($G308,基本資料!$A:$M,11,0),"無")</f>
        <v>-19.5</v>
      </c>
      <c r="AB308" s="389">
        <f>IFERROR(VLOOKUP($G308,基本資料!$A:$M,12,0),"無")</f>
        <v>21.93</v>
      </c>
      <c r="AC308" s="22" t="s">
        <v>3697</v>
      </c>
      <c r="AF308" s="33">
        <f t="shared" si="67"/>
        <v>0</v>
      </c>
      <c r="AG308" s="117" t="s">
        <v>3698</v>
      </c>
      <c r="AH308" s="66">
        <f t="shared" si="59"/>
        <v>0.18608522465480595</v>
      </c>
      <c r="AI308" s="283">
        <f>RTD("money.excel",,$G308,"PredictVolume")</f>
        <v>626</v>
      </c>
      <c r="AJ308" s="391">
        <f>IFERROR(VLOOKUP($G308,基本資料!$A:$M,13,0),"無")</f>
        <v>3364.05</v>
      </c>
      <c r="AR308" s="245" t="str">
        <f>INDEX(基本資料!N:N,MATCH($G308,基本資料!A:A,0))</f>
        <v>低</v>
      </c>
    </row>
    <row r="309" spans="1:44">
      <c r="A309" s="343">
        <f>IFERROR(VLOOKUP($G309,基本資料!$A:$J,3,0),"無")</f>
        <v>26.27</v>
      </c>
      <c r="B309" s="79">
        <f>IFERROR(VLOOKUP($G309,基本資料!$A:$J,4,0),"無")</f>
        <v>36</v>
      </c>
      <c r="C309" s="79">
        <f>IFERROR(VLOOKUP($G309,基本資料!$A:$J,5,0),"無")</f>
        <v>42</v>
      </c>
      <c r="D309" s="79">
        <f>IFERROR(VLOOKUP($G309,基本資料!$A:$J,6,0),"無")</f>
        <v>-15</v>
      </c>
      <c r="E309" s="79">
        <f>IFERROR(VLOOKUP($G309,基本資料!$A:$J,7,0),"無")</f>
        <v>-13</v>
      </c>
      <c r="F309" s="6">
        <f>IFERROR(VLOOKUP($G309,基本資料!$A:$J,8,0),"無")</f>
        <v>18.149999999999999</v>
      </c>
      <c r="G309" s="79">
        <v>1795</v>
      </c>
      <c r="H309" s="8" t="s">
        <v>309</v>
      </c>
      <c r="I309" s="22" t="s">
        <v>3699</v>
      </c>
      <c r="J309" s="8">
        <f>IFERROR(VLOOKUP($G309,今日總結!$A:$AN,39,0),"")</f>
        <v>0</v>
      </c>
      <c r="K309" s="5">
        <f>IFERROR(VLOOKUP($G309,今日總結!$A:$AN,40,0),"")</f>
        <v>0</v>
      </c>
      <c r="L309" s="156">
        <f>IFERROR(VLOOKUP($G309,今日總結!$A:$AN,37,0),"")</f>
        <v>0</v>
      </c>
      <c r="M309" s="337">
        <f>IFERROR(VLOOKUP($G309,今日總結!$A:$AN,38,0),"")</f>
        <v>0</v>
      </c>
      <c r="N309" s="240">
        <f t="shared" si="63"/>
        <v>0</v>
      </c>
      <c r="O309" s="359">
        <f>IFERROR(VLOOKUP($G309,融外自投!$A:$J,7,0),"無")</f>
        <v>253</v>
      </c>
      <c r="P309" s="79">
        <f>IFERROR(VLOOKUP($G309,融外自投!$A:$J,9,0),"無")</f>
        <v>451</v>
      </c>
      <c r="Q309" s="342">
        <f>IFERROR(VLOOKUP($G309,融外自投!$A:$J,8,0),"無")</f>
        <v>18</v>
      </c>
      <c r="R309" s="81">
        <f>IFERROR(VLOOKUP($G309,融外自投!$A:$J,10,0),"無")</f>
        <v>62</v>
      </c>
      <c r="S309" s="324">
        <f>IFERROR(VLOOKUP($G309,'321買'!$A:$E,4,0),"'沒有資料'")</f>
        <v>192</v>
      </c>
      <c r="T309" s="186">
        <f>IFERROR(VLOOKUP($G309,基本資料!$A:$J,9,0),"無")</f>
        <v>1.93</v>
      </c>
      <c r="U309" s="307">
        <f t="shared" si="64"/>
        <v>1.6218487394957983E-2</v>
      </c>
      <c r="V309" s="94">
        <f>IFERROR(VLOOKUP($G309,基本資料!$A:$J,10,0),"無")</f>
        <v>5.5</v>
      </c>
      <c r="W309" s="36">
        <f>RTD("money.excel",,"1795","Price")</f>
        <v>119</v>
      </c>
      <c r="X309" s="66"/>
      <c r="Y309" s="15">
        <f t="shared" si="65"/>
        <v>119</v>
      </c>
      <c r="Z309" s="3" t="e">
        <f t="shared" si="66"/>
        <v>#DIV/0!</v>
      </c>
      <c r="AA309" s="340">
        <f>IFERROR(VLOOKUP($G309,基本資料!$A:$M,11,0),"無")</f>
        <v>-24.44</v>
      </c>
      <c r="AB309" s="389">
        <f>IFERROR(VLOOKUP($G309,基本資料!$A:$M,12,0),"無")</f>
        <v>48.78</v>
      </c>
      <c r="AC309" s="22" t="s">
        <v>3699</v>
      </c>
      <c r="AF309" s="33">
        <f t="shared" si="67"/>
        <v>0</v>
      </c>
      <c r="AG309" s="43" t="s">
        <v>3700</v>
      </c>
      <c r="AH309" s="66">
        <f t="shared" si="59"/>
        <v>0.9719844979114749</v>
      </c>
      <c r="AI309" s="283">
        <f>RTD("money.excel",,$G309,"PredictVolume")</f>
        <v>5480</v>
      </c>
      <c r="AJ309" s="391">
        <f>IFERROR(VLOOKUP($G309,基本資料!$A:$M,13,0),"無")</f>
        <v>5637.95</v>
      </c>
      <c r="AR309" s="245" t="str">
        <f>INDEX(基本資料!N:N,MATCH($G309,基本資料!A:A,0))</f>
        <v>中</v>
      </c>
    </row>
    <row r="310" spans="1:44">
      <c r="A310" s="343">
        <f>IFERROR(VLOOKUP($G310,基本資料!$A:$J,3,0),"無")</f>
        <v>16.329999999999998</v>
      </c>
      <c r="B310" s="79">
        <f>IFERROR(VLOOKUP($G310,基本資料!$A:$J,4,0),"無")</f>
        <v>7</v>
      </c>
      <c r="C310" s="79">
        <f>IFERROR(VLOOKUP($G310,基本資料!$A:$J,5,0),"無")</f>
        <v>-33</v>
      </c>
      <c r="D310" s="79">
        <f>IFERROR(VLOOKUP($G310,基本資料!$A:$J,6,0),"無")</f>
        <v>-68</v>
      </c>
      <c r="E310" s="79">
        <f>IFERROR(VLOOKUP($G310,基本資料!$A:$J,7,0),"無")</f>
        <v>-58</v>
      </c>
      <c r="F310" s="6">
        <f>IFERROR(VLOOKUP($G310,基本資料!$A:$J,8,0),"無")</f>
        <v>-107.39</v>
      </c>
      <c r="G310" s="79">
        <v>1799</v>
      </c>
      <c r="H310" s="8" t="s">
        <v>309</v>
      </c>
      <c r="I310" s="16" t="s">
        <v>3701</v>
      </c>
      <c r="J310" s="8" t="str">
        <f>IFERROR(VLOOKUP($G310,今日總結!$A:$AN,39,0),"")</f>
        <v/>
      </c>
      <c r="K310" s="5" t="str">
        <f>IFERROR(VLOOKUP($G310,今日總結!$A:$AN,40,0),"")</f>
        <v/>
      </c>
      <c r="L310" s="156" t="str">
        <f>IFERROR(VLOOKUP($G310,今日總結!$A:$AN,37,0),"")</f>
        <v/>
      </c>
      <c r="M310" s="337" t="str">
        <f>IFERROR(VLOOKUP($G310,今日總結!$A:$AN,38,0),"")</f>
        <v/>
      </c>
      <c r="N310" s="240" t="str">
        <f t="shared" si="63"/>
        <v/>
      </c>
      <c r="O310" s="359" t="str">
        <f>IFERROR(VLOOKUP($G310,融外自投!$A:$J,7,0),"無")</f>
        <v>無</v>
      </c>
      <c r="P310" s="79" t="str">
        <f>IFERROR(VLOOKUP($G310,融外自投!$A:$J,9,0),"無")</f>
        <v>無</v>
      </c>
      <c r="Q310" s="342" t="str">
        <f>IFERROR(VLOOKUP($G310,融外自投!$A:$J,8,0),"無")</f>
        <v>無</v>
      </c>
      <c r="R310" s="81" t="str">
        <f>IFERROR(VLOOKUP($G310,融外自投!$A:$J,10,0),"無")</f>
        <v>無</v>
      </c>
      <c r="S310" s="324" t="str">
        <f>IFERROR(VLOOKUP($G310,'321買'!$A:$E,4,0),"'沒有資料'")</f>
        <v>'沒有資料'</v>
      </c>
      <c r="T310" s="186">
        <f>IFERROR(VLOOKUP($G310,基本資料!$A:$J,9,0),"無")</f>
        <v>0</v>
      </c>
      <c r="U310" s="307">
        <f t="shared" si="64"/>
        <v>0</v>
      </c>
      <c r="V310" s="94">
        <f>IFERROR(VLOOKUP($G310,基本資料!$A:$J,10,0),"無")</f>
        <v>-0.99</v>
      </c>
      <c r="W310" s="36">
        <f>RTD("money.excel",,"1799","Price")</f>
        <v>13.8</v>
      </c>
      <c r="X310" s="66"/>
      <c r="Y310" s="15">
        <f t="shared" si="65"/>
        <v>13.8</v>
      </c>
      <c r="Z310" s="3" t="e">
        <f t="shared" si="66"/>
        <v>#DIV/0!</v>
      </c>
      <c r="AA310" s="340">
        <f>IFERROR(VLOOKUP($G310,基本資料!$A:$M,11,0),"無")</f>
        <v>-21.14</v>
      </c>
      <c r="AB310" s="389">
        <f>IFERROR(VLOOKUP($G310,基本資料!$A:$M,12,0),"無")</f>
        <v>26</v>
      </c>
      <c r="AC310" s="16" t="s">
        <v>3701</v>
      </c>
      <c r="AF310" s="33">
        <f t="shared" si="67"/>
        <v>0</v>
      </c>
      <c r="AG310" s="43" t="s">
        <v>2449</v>
      </c>
      <c r="AH310" s="66">
        <f t="shared" si="59"/>
        <v>0.20757020757020755</v>
      </c>
      <c r="AI310" s="283">
        <f>RTD("money.excel",,$G310,"PredictVolume")</f>
        <v>68</v>
      </c>
      <c r="AJ310" s="391">
        <f>IFERROR(VLOOKUP($G310,基本資料!$A:$M,13,0),"無")</f>
        <v>327.60000000000002</v>
      </c>
      <c r="AR310" s="245" t="str">
        <f>INDEX(基本資料!N:N,MATCH($G310,基本資料!A:A,0))</f>
        <v>低</v>
      </c>
    </row>
    <row r="311" spans="1:44">
      <c r="A311" s="343">
        <f>IFERROR(VLOOKUP($G311,基本資料!$A:$J,3,0),"無")</f>
        <v>4.66</v>
      </c>
      <c r="B311" s="79">
        <f>IFERROR(VLOOKUP($G311,基本資料!$A:$J,4,0),"無")</f>
        <v>-6360</v>
      </c>
      <c r="C311" s="79">
        <f>IFERROR(VLOOKUP($G311,基本資料!$A:$J,5,0),"無")</f>
        <v>-45</v>
      </c>
      <c r="D311" s="79">
        <f>IFERROR(VLOOKUP($G311,基本資料!$A:$J,6,0),"無")</f>
        <v>1</v>
      </c>
      <c r="E311" s="79">
        <f>IFERROR(VLOOKUP($G311,基本資料!$A:$J,7,0),"無")</f>
        <v>-37</v>
      </c>
      <c r="F311" s="6">
        <f>IFERROR(VLOOKUP($G311,基本資料!$A:$J,8,0),"無")</f>
        <v>-13.12</v>
      </c>
      <c r="G311" s="79">
        <v>1813</v>
      </c>
      <c r="H311" s="8" t="s">
        <v>309</v>
      </c>
      <c r="I311" s="16" t="s">
        <v>3702</v>
      </c>
      <c r="J311" s="8" t="str">
        <f>IFERROR(VLOOKUP($G311,今日總結!$A:$AN,39,0),"")</f>
        <v/>
      </c>
      <c r="K311" s="5" t="str">
        <f>IFERROR(VLOOKUP($G311,今日總結!$A:$AN,40,0),"")</f>
        <v/>
      </c>
      <c r="L311" s="156" t="str">
        <f>IFERROR(VLOOKUP($G311,今日總結!$A:$AN,37,0),"")</f>
        <v/>
      </c>
      <c r="M311" s="337" t="str">
        <f>IFERROR(VLOOKUP($G311,今日總結!$A:$AN,38,0),"")</f>
        <v/>
      </c>
      <c r="N311" s="240" t="str">
        <f t="shared" si="63"/>
        <v/>
      </c>
      <c r="O311" s="359">
        <f>IFERROR(VLOOKUP($G311,融外自投!$A:$J,7,0),"無")</f>
        <v>1065</v>
      </c>
      <c r="P311" s="79" t="str">
        <f>IFERROR(VLOOKUP($G311,融外自投!$A:$J,9,0),"無")</f>
        <v>無</v>
      </c>
      <c r="Q311" s="342">
        <f>IFERROR(VLOOKUP($G311,融外自投!$A:$J,8,0),"無")</f>
        <v>506</v>
      </c>
      <c r="R311" s="81" t="str">
        <f>IFERROR(VLOOKUP($G311,融外自投!$A:$J,10,0),"無")</f>
        <v>無</v>
      </c>
      <c r="S311" s="324" t="str">
        <f>IFERROR(VLOOKUP($G311,'321買'!$A:$E,4,0),"'沒有資料'")</f>
        <v>'沒有資料'</v>
      </c>
      <c r="T311" s="186">
        <f>IFERROR(VLOOKUP($G311,基本資料!$A:$J,9,0),"無")</f>
        <v>0.5</v>
      </c>
      <c r="U311" s="307">
        <f t="shared" si="64"/>
        <v>2.6246719160104987E-2</v>
      </c>
      <c r="V311" s="94">
        <f>IFERROR(VLOOKUP($G311,基本資料!$A:$J,10,0),"無")</f>
        <v>-0.28000000000000003</v>
      </c>
      <c r="W311" s="36">
        <f>RTD("money.excel",,"1813","Price")</f>
        <v>19.05</v>
      </c>
      <c r="X311" s="66"/>
      <c r="Y311" s="15">
        <f t="shared" si="65"/>
        <v>19.05</v>
      </c>
      <c r="Z311" s="3" t="e">
        <f t="shared" si="66"/>
        <v>#DIV/0!</v>
      </c>
      <c r="AA311" s="340">
        <f>IFERROR(VLOOKUP($G311,基本資料!$A:$M,11,0),"無")</f>
        <v>-4.75</v>
      </c>
      <c r="AB311" s="389">
        <f>IFERROR(VLOOKUP($G311,基本資料!$A:$M,12,0),"無")</f>
        <v>46.74</v>
      </c>
      <c r="AC311" s="16" t="s">
        <v>3702</v>
      </c>
      <c r="AF311" s="33">
        <f t="shared" si="67"/>
        <v>0</v>
      </c>
      <c r="AG311" s="43" t="s">
        <v>3703</v>
      </c>
      <c r="AH311" s="66">
        <f t="shared" si="59"/>
        <v>0.63116370808678501</v>
      </c>
      <c r="AI311" s="283">
        <f>RTD("money.excel",,$G311,"PredictVolume")</f>
        <v>48</v>
      </c>
      <c r="AJ311" s="391">
        <f>IFERROR(VLOOKUP($G311,基本資料!$A:$M,13,0),"無")</f>
        <v>76.05</v>
      </c>
      <c r="AR311" s="245" t="str">
        <f>INDEX(基本資料!N:N,MATCH($G311,基本資料!A:A,0))</f>
        <v>高</v>
      </c>
    </row>
    <row r="312" spans="1:44">
      <c r="A312" s="343">
        <f>IFERROR(VLOOKUP($G312,基本資料!$A:$J,3,0),"無")</f>
        <v>3.24</v>
      </c>
      <c r="B312" s="79">
        <f>IFERROR(VLOOKUP($G312,基本資料!$A:$J,4,0),"無")</f>
        <v>17</v>
      </c>
      <c r="C312" s="79">
        <f>IFERROR(VLOOKUP($G312,基本資料!$A:$J,5,0),"無")</f>
        <v>19</v>
      </c>
      <c r="D312" s="79">
        <f>IFERROR(VLOOKUP($G312,基本資料!$A:$J,6,0),"無")</f>
        <v>-16</v>
      </c>
      <c r="E312" s="79">
        <f>IFERROR(VLOOKUP($G312,基本資料!$A:$J,7,0),"無")</f>
        <v>-14</v>
      </c>
      <c r="F312" s="6">
        <f>IFERROR(VLOOKUP($G312,基本資料!$A:$J,8,0),"無")</f>
        <v>11.66</v>
      </c>
      <c r="G312" s="79">
        <v>3118</v>
      </c>
      <c r="H312" s="8" t="s">
        <v>309</v>
      </c>
      <c r="I312" s="16" t="s">
        <v>3704</v>
      </c>
      <c r="J312" s="8" t="str">
        <f>IFERROR(VLOOKUP($G312,今日總結!$A:$AN,39,0),"")</f>
        <v/>
      </c>
      <c r="K312" s="5" t="str">
        <f>IFERROR(VLOOKUP($G312,今日總結!$A:$AN,40,0),"")</f>
        <v/>
      </c>
      <c r="L312" s="156" t="str">
        <f>IFERROR(VLOOKUP($G312,今日總結!$A:$AN,37,0),"")</f>
        <v/>
      </c>
      <c r="M312" s="337" t="str">
        <f>IFERROR(VLOOKUP($G312,今日總結!$A:$AN,38,0),"")</f>
        <v/>
      </c>
      <c r="N312" s="240" t="str">
        <f t="shared" si="63"/>
        <v/>
      </c>
      <c r="O312" s="359">
        <f>IFERROR(VLOOKUP($G312,融外自投!$A:$J,7,0),"無")</f>
        <v>1100</v>
      </c>
      <c r="P312" s="79" t="str">
        <f>IFERROR(VLOOKUP($G312,融外自投!$A:$J,9,0),"無")</f>
        <v>無</v>
      </c>
      <c r="Q312" s="342">
        <f>IFERROR(VLOOKUP($G312,融外自投!$A:$J,8,0),"無")</f>
        <v>490</v>
      </c>
      <c r="R312" s="81" t="str">
        <f>IFERROR(VLOOKUP($G312,融外自投!$A:$J,10,0),"無")</f>
        <v>無</v>
      </c>
      <c r="S312" s="324" t="str">
        <f>IFERROR(VLOOKUP($G312,'321買'!$A:$E,4,0),"'沒有資料'")</f>
        <v>'沒有資料'</v>
      </c>
      <c r="T312" s="186">
        <f>IFERROR(VLOOKUP($G312,基本資料!$A:$J,9,0),"無")</f>
        <v>1.9</v>
      </c>
      <c r="U312" s="307">
        <f t="shared" si="64"/>
        <v>6.4735945485519586E-2</v>
      </c>
      <c r="V312" s="94">
        <f>IFERROR(VLOOKUP($G312,基本資料!$A:$J,10,0),"無")</f>
        <v>2.1</v>
      </c>
      <c r="W312" s="36">
        <f>RTD("money.excel",,"3118","Price")</f>
        <v>29.35</v>
      </c>
      <c r="X312" s="66"/>
      <c r="Y312" s="15">
        <f t="shared" si="65"/>
        <v>29.35</v>
      </c>
      <c r="Z312" s="3" t="e">
        <f t="shared" si="66"/>
        <v>#DIV/0!</v>
      </c>
      <c r="AA312" s="340">
        <f>IFERROR(VLOOKUP($G312,基本資料!$A:$M,11,0),"無")</f>
        <v>-15.54</v>
      </c>
      <c r="AB312" s="389">
        <f>IFERROR(VLOOKUP($G312,基本資料!$A:$M,12,0),"無")</f>
        <v>18.13</v>
      </c>
      <c r="AC312" s="16" t="s">
        <v>3704</v>
      </c>
      <c r="AF312" s="33">
        <f t="shared" si="67"/>
        <v>0</v>
      </c>
      <c r="AG312" s="43" t="s">
        <v>3705</v>
      </c>
      <c r="AH312" s="66">
        <f t="shared" si="59"/>
        <v>6.3610851262862492E-2</v>
      </c>
      <c r="AI312" s="283">
        <f>RTD("money.excel",,$G312,"PredictVolume")</f>
        <v>17</v>
      </c>
      <c r="AJ312" s="391">
        <f>IFERROR(VLOOKUP($G312,基本資料!$A:$M,13,0),"無")</f>
        <v>267.25</v>
      </c>
      <c r="AR312" s="245" t="str">
        <f>INDEX(基本資料!N:N,MATCH($G312,基本資料!A:A,0))</f>
        <v>低</v>
      </c>
    </row>
    <row r="313" spans="1:44">
      <c r="A313" s="343">
        <f>IFERROR(VLOOKUP($G313,基本資料!$A:$J,3,0),"無")</f>
        <v>8.6300000000000008</v>
      </c>
      <c r="B313" s="79">
        <f>IFERROR(VLOOKUP($G313,基本資料!$A:$J,4,0),"無")</f>
        <v>82</v>
      </c>
      <c r="C313" s="79">
        <f>IFERROR(VLOOKUP($G313,基本資料!$A:$J,5,0),"無")</f>
        <v>76</v>
      </c>
      <c r="D313" s="79">
        <f>IFERROR(VLOOKUP($G313,基本資料!$A:$J,6,0),"無")</f>
        <v>-32</v>
      </c>
      <c r="E313" s="79">
        <f>IFERROR(VLOOKUP($G313,基本資料!$A:$J,7,0),"無")</f>
        <v>-21</v>
      </c>
      <c r="F313" s="6">
        <f>IFERROR(VLOOKUP($G313,基本資料!$A:$J,8,0),"無")</f>
        <v>29.22</v>
      </c>
      <c r="G313" s="79">
        <v>3164</v>
      </c>
      <c r="H313" s="192" t="s">
        <v>309</v>
      </c>
      <c r="I313" s="22" t="s">
        <v>3706</v>
      </c>
      <c r="J313" s="8">
        <f>IFERROR(VLOOKUP($G313,今日總結!$A:$AN,39,0),"")</f>
        <v>0</v>
      </c>
      <c r="K313" s="5">
        <f>IFERROR(VLOOKUP($G313,今日總結!$A:$AN,40,0),"")</f>
        <v>0</v>
      </c>
      <c r="L313" s="156">
        <f>IFERROR(VLOOKUP($G313,今日總結!$A:$AN,37,0),"")</f>
        <v>0</v>
      </c>
      <c r="M313" s="337">
        <f>IFERROR(VLOOKUP($G313,今日總結!$A:$AN,38,0),"")</f>
        <v>0</v>
      </c>
      <c r="N313" s="240">
        <f t="shared" si="63"/>
        <v>0</v>
      </c>
      <c r="O313" s="359">
        <f>IFERROR(VLOOKUP($G313,融外自投!$A:$J,7,0),"無")</f>
        <v>982</v>
      </c>
      <c r="P313" s="79">
        <f>IFERROR(VLOOKUP($G313,融外自投!$A:$J,9,0),"無")</f>
        <v>946</v>
      </c>
      <c r="Q313" s="342">
        <f>IFERROR(VLOOKUP($G313,融外自投!$A:$J,8,0),"無")</f>
        <v>1247</v>
      </c>
      <c r="R313" s="81" t="str">
        <f>IFERROR(VLOOKUP($G313,融外自投!$A:$J,10,0),"無")</f>
        <v>無</v>
      </c>
      <c r="S313" s="324">
        <f>IFERROR(VLOOKUP($G313,'321買'!$A:$E,4,0),"'沒有資料'")</f>
        <v>1002</v>
      </c>
      <c r="T313" s="186">
        <f>IFERROR(VLOOKUP($G313,基本資料!$A:$J,9,0),"無")</f>
        <v>1.1000000000000001</v>
      </c>
      <c r="U313" s="307">
        <f t="shared" si="64"/>
        <v>4.5454545454545463E-2</v>
      </c>
      <c r="V313" s="94">
        <f>IFERROR(VLOOKUP($G313,基本資料!$A:$J,10,0),"無")</f>
        <v>1.31</v>
      </c>
      <c r="W313" s="36">
        <f>RTD("money.excel",,"3164","Price")</f>
        <v>24.2</v>
      </c>
      <c r="X313" s="66"/>
      <c r="Y313" s="15">
        <f t="shared" si="65"/>
        <v>24.2</v>
      </c>
      <c r="Z313" s="3" t="e">
        <f t="shared" si="66"/>
        <v>#DIV/0!</v>
      </c>
      <c r="AA313" s="340">
        <f>IFERROR(VLOOKUP($G313,基本資料!$A:$M,11,0),"無")</f>
        <v>-13.57</v>
      </c>
      <c r="AB313" s="389">
        <f>IFERROR(VLOOKUP($G313,基本資料!$A:$M,12,0),"無")</f>
        <v>36.979999999999997</v>
      </c>
      <c r="AC313" s="22" t="s">
        <v>3706</v>
      </c>
      <c r="AF313" s="33">
        <f t="shared" si="67"/>
        <v>0</v>
      </c>
      <c r="AG313" s="43" t="s">
        <v>3707</v>
      </c>
      <c r="AH313" s="66">
        <f t="shared" si="59"/>
        <v>0.16942474389282899</v>
      </c>
      <c r="AI313" s="283">
        <f>RTD("money.excel",,$G313,"PredictVolume")</f>
        <v>43</v>
      </c>
      <c r="AJ313" s="391">
        <f>IFERROR(VLOOKUP($G313,基本資料!$A:$M,13,0),"無")</f>
        <v>253.8</v>
      </c>
      <c r="AR313" s="245" t="str">
        <f>INDEX(基本資料!N:N,MATCH($G313,基本資料!A:A,0))</f>
        <v>低</v>
      </c>
    </row>
    <row r="314" spans="1:44">
      <c r="A314" s="343">
        <f>IFERROR(VLOOKUP($G314,基本資料!$A:$J,3,0),"無")</f>
        <v>13.94</v>
      </c>
      <c r="B314" s="79">
        <f>IFERROR(VLOOKUP($G314,基本資料!$A:$J,4,0),"無")</f>
        <v>226</v>
      </c>
      <c r="C314" s="79">
        <f>IFERROR(VLOOKUP($G314,基本資料!$A:$J,5,0),"無")</f>
        <v>186</v>
      </c>
      <c r="D314" s="79">
        <f>IFERROR(VLOOKUP($G314,基本資料!$A:$J,6,0),"無")</f>
        <v>-66</v>
      </c>
      <c r="E314" s="79">
        <f>IFERROR(VLOOKUP($G314,基本資料!$A:$J,7,0),"無")</f>
        <v>-15</v>
      </c>
      <c r="F314" s="6">
        <f>IFERROR(VLOOKUP($G314,基本資料!$A:$J,8,0),"無")</f>
        <v>20.12</v>
      </c>
      <c r="G314" s="79">
        <v>3176</v>
      </c>
      <c r="H314" s="8" t="s">
        <v>309</v>
      </c>
      <c r="I314" s="16" t="s">
        <v>3708</v>
      </c>
      <c r="J314" s="8" t="str">
        <f>IFERROR(VLOOKUP($G314,今日總結!$A:$AN,39,0),"")</f>
        <v/>
      </c>
      <c r="K314" s="5" t="str">
        <f>IFERROR(VLOOKUP($G314,今日總結!$A:$AN,40,0),"")</f>
        <v/>
      </c>
      <c r="L314" s="156" t="str">
        <f>IFERROR(VLOOKUP($G314,今日總結!$A:$AN,37,0),"")</f>
        <v/>
      </c>
      <c r="M314" s="337" t="str">
        <f>IFERROR(VLOOKUP($G314,今日總結!$A:$AN,38,0),"")</f>
        <v/>
      </c>
      <c r="N314" s="240" t="str">
        <f t="shared" si="63"/>
        <v/>
      </c>
      <c r="O314" s="359" t="str">
        <f>IFERROR(VLOOKUP($G314,融外自投!$A:$J,7,0),"無")</f>
        <v>無</v>
      </c>
      <c r="P314" s="79" t="str">
        <f>IFERROR(VLOOKUP($G314,融外自投!$A:$J,9,0),"無")</f>
        <v>無</v>
      </c>
      <c r="Q314" s="342" t="str">
        <f>IFERROR(VLOOKUP($G314,融外自投!$A:$J,8,0),"無")</f>
        <v>無</v>
      </c>
      <c r="R314" s="81" t="str">
        <f>IFERROR(VLOOKUP($G314,融外自投!$A:$J,10,0),"無")</f>
        <v>無</v>
      </c>
      <c r="S314" s="324" t="str">
        <f>IFERROR(VLOOKUP($G314,'321買'!$A:$E,4,0),"'沒有資料'")</f>
        <v>'沒有資料'</v>
      </c>
      <c r="T314" s="186">
        <f>IFERROR(VLOOKUP($G314,基本資料!$A:$J,9,0),"無")</f>
        <v>0</v>
      </c>
      <c r="U314" s="307">
        <f t="shared" si="64"/>
        <v>0</v>
      </c>
      <c r="V314" s="94">
        <f>IFERROR(VLOOKUP($G314,基本資料!$A:$J,10,0),"無")</f>
        <v>-0.38</v>
      </c>
      <c r="W314" s="36">
        <f>RTD("money.excel",,"3176","Price")</f>
        <v>48.7</v>
      </c>
      <c r="X314" s="66"/>
      <c r="Y314" s="15">
        <f t="shared" si="65"/>
        <v>48.7</v>
      </c>
      <c r="Z314" s="3" t="e">
        <f t="shared" si="66"/>
        <v>#DIV/0!</v>
      </c>
      <c r="AA314" s="340">
        <f>IFERROR(VLOOKUP($G314,基本資料!$A:$M,11,0),"無")</f>
        <v>-45.89</v>
      </c>
      <c r="AB314" s="389">
        <f>IFERROR(VLOOKUP($G314,基本資料!$A:$M,12,0),"無")</f>
        <v>33.6</v>
      </c>
      <c r="AC314" s="16" t="s">
        <v>3708</v>
      </c>
      <c r="AF314" s="33">
        <f t="shared" si="67"/>
        <v>0</v>
      </c>
      <c r="AG314" s="43" t="s">
        <v>3709</v>
      </c>
      <c r="AH314" s="66">
        <f t="shared" si="59"/>
        <v>2.2850557682018358</v>
      </c>
      <c r="AI314" s="283">
        <f>RTD("money.excel",,$G314,"PredictVolume")</f>
        <v>2776</v>
      </c>
      <c r="AJ314" s="391">
        <f>IFERROR(VLOOKUP($G314,基本資料!$A:$M,13,0),"無")</f>
        <v>1214.8499999999999</v>
      </c>
      <c r="AR314" s="245" t="str">
        <f>INDEX(基本資料!N:N,MATCH($G314,基本資料!A:A,0))</f>
        <v>低</v>
      </c>
    </row>
    <row r="315" spans="1:44">
      <c r="A315" s="343">
        <f>IFERROR(VLOOKUP($G315,基本資料!$A:$J,3,0),"無")</f>
        <v>3.27</v>
      </c>
      <c r="B315" s="79">
        <f>IFERROR(VLOOKUP($G315,基本資料!$A:$J,4,0),"無")</f>
        <v>-17</v>
      </c>
      <c r="C315" s="79">
        <f>IFERROR(VLOOKUP($G315,基本資料!$A:$J,5,0),"無")</f>
        <v>-25</v>
      </c>
      <c r="D315" s="79">
        <f>IFERROR(VLOOKUP($G315,基本資料!$A:$J,6,0),"無")</f>
        <v>3</v>
      </c>
      <c r="E315" s="79">
        <f>IFERROR(VLOOKUP($G315,基本資料!$A:$J,7,0),"無")</f>
        <v>-15</v>
      </c>
      <c r="F315" s="6">
        <f>IFERROR(VLOOKUP($G315,基本資料!$A:$J,8,0),"無")</f>
        <v>-15.32</v>
      </c>
      <c r="G315" s="79">
        <v>3205</v>
      </c>
      <c r="H315" s="8" t="s">
        <v>309</v>
      </c>
      <c r="I315" s="16" t="s">
        <v>3710</v>
      </c>
      <c r="J315" s="8">
        <f>IFERROR(VLOOKUP($G315,今日總結!$A:$AN,39,0),"")</f>
        <v>0</v>
      </c>
      <c r="K315" s="5">
        <f>IFERROR(VLOOKUP($G315,今日總結!$A:$AN,40,0),"")</f>
        <v>0</v>
      </c>
      <c r="L315" s="156">
        <f>IFERROR(VLOOKUP($G315,今日總結!$A:$AN,37,0),"")</f>
        <v>0</v>
      </c>
      <c r="M315" s="337">
        <f>IFERROR(VLOOKUP($G315,今日總結!$A:$AN,38,0),"")</f>
        <v>0</v>
      </c>
      <c r="N315" s="240">
        <f t="shared" si="63"/>
        <v>0</v>
      </c>
      <c r="O315" s="359">
        <f>IFERROR(VLOOKUP($G315,融外自投!$A:$J,7,0),"無")</f>
        <v>603</v>
      </c>
      <c r="P315" s="79">
        <f>IFERROR(VLOOKUP($G315,融外自投!$A:$J,9,0),"無")</f>
        <v>696</v>
      </c>
      <c r="Q315" s="342">
        <f>IFERROR(VLOOKUP($G315,融外自投!$A:$J,8,0),"無")</f>
        <v>523</v>
      </c>
      <c r="R315" s="81" t="str">
        <f>IFERROR(VLOOKUP($G315,融外自投!$A:$J,10,0),"無")</f>
        <v>無</v>
      </c>
      <c r="S315" s="324">
        <f>IFERROR(VLOOKUP($G315,'321買'!$A:$E,4,0),"'沒有資料'")</f>
        <v>801</v>
      </c>
      <c r="T315" s="186">
        <f>IFERROR(VLOOKUP($G315,基本資料!$A:$J,9,0),"無")</f>
        <v>0</v>
      </c>
      <c r="U315" s="307">
        <f t="shared" si="64"/>
        <v>0</v>
      </c>
      <c r="V315" s="94">
        <f>IFERROR(VLOOKUP($G315,基本資料!$A:$J,10,0),"無")</f>
        <v>-2.66</v>
      </c>
      <c r="W315" s="36">
        <f>RTD("money.excel",,"3205","Price")</f>
        <v>20.95</v>
      </c>
      <c r="X315" s="66"/>
      <c r="Y315" s="15">
        <f t="shared" si="65"/>
        <v>20.95</v>
      </c>
      <c r="Z315" s="3" t="e">
        <f t="shared" si="66"/>
        <v>#DIV/0!</v>
      </c>
      <c r="AA315" s="340">
        <f>IFERROR(VLOOKUP($G315,基本資料!$A:$M,11,0),"無")</f>
        <v>-29.22</v>
      </c>
      <c r="AB315" s="389">
        <f>IFERROR(VLOOKUP($G315,基本資料!$A:$M,12,0),"無")</f>
        <v>18.28</v>
      </c>
      <c r="AC315" s="16" t="s">
        <v>3710</v>
      </c>
      <c r="AF315" s="33">
        <f t="shared" si="67"/>
        <v>0</v>
      </c>
      <c r="AG315" s="43" t="s">
        <v>3711</v>
      </c>
      <c r="AH315" s="66">
        <f t="shared" si="59"/>
        <v>0.18336162988115451</v>
      </c>
      <c r="AI315" s="283">
        <f>RTD("money.excel",,$G315,"PredictVolume")</f>
        <v>27</v>
      </c>
      <c r="AJ315" s="391">
        <f>IFERROR(VLOOKUP($G315,基本資料!$A:$M,13,0),"無")</f>
        <v>147.25</v>
      </c>
      <c r="AR315" s="245" t="str">
        <f>INDEX(基本資料!N:N,MATCH($G315,基本資料!A:A,0))</f>
        <v>低</v>
      </c>
    </row>
    <row r="316" spans="1:44">
      <c r="A316" s="343">
        <f>IFERROR(VLOOKUP($G316,基本資料!$A:$J,3,0),"無")</f>
        <v>7.61</v>
      </c>
      <c r="B316" s="79">
        <f>IFERROR(VLOOKUP($G316,基本資料!$A:$J,4,0),"無")</f>
        <v>26</v>
      </c>
      <c r="C316" s="79">
        <f>IFERROR(VLOOKUP($G316,基本資料!$A:$J,5,0),"無")</f>
        <v>28</v>
      </c>
      <c r="D316" s="79">
        <f>IFERROR(VLOOKUP($G316,基本資料!$A:$J,6,0),"無")</f>
        <v>3</v>
      </c>
      <c r="E316" s="79">
        <f>IFERROR(VLOOKUP($G316,基本資料!$A:$J,7,0),"無")</f>
        <v>23</v>
      </c>
      <c r="F316" s="6">
        <f>IFERROR(VLOOKUP($G316,基本資料!$A:$J,8,0),"無")</f>
        <v>29.2</v>
      </c>
      <c r="G316" s="79">
        <v>3218</v>
      </c>
      <c r="H316" s="8" t="s">
        <v>309</v>
      </c>
      <c r="I316" s="16" t="s">
        <v>3712</v>
      </c>
      <c r="J316" s="8">
        <f>IFERROR(VLOOKUP($G316,今日總結!$A:$AN,39,0),"")</f>
        <v>0</v>
      </c>
      <c r="K316" s="5">
        <f>IFERROR(VLOOKUP($G316,今日總結!$A:$AN,40,0),"")</f>
        <v>0</v>
      </c>
      <c r="L316" s="156">
        <f>IFERROR(VLOOKUP($G316,今日總結!$A:$AN,37,0),"")</f>
        <v>0</v>
      </c>
      <c r="M316" s="337">
        <f>IFERROR(VLOOKUP($G316,今日總結!$A:$AN,38,0),"")</f>
        <v>0</v>
      </c>
      <c r="N316" s="240">
        <f t="shared" si="63"/>
        <v>0</v>
      </c>
      <c r="O316" s="359">
        <f>IFERROR(VLOOKUP($G316,融外自投!$A:$J,7,0),"無")</f>
        <v>885</v>
      </c>
      <c r="P316" s="79">
        <f>IFERROR(VLOOKUP($G316,融外自投!$A:$J,9,0),"無")</f>
        <v>414</v>
      </c>
      <c r="Q316" s="342">
        <f>IFERROR(VLOOKUP($G316,融外自投!$A:$J,8,0),"無")</f>
        <v>159</v>
      </c>
      <c r="R316" s="81">
        <f>IFERROR(VLOOKUP($G316,融外自投!$A:$J,10,0),"無")</f>
        <v>297</v>
      </c>
      <c r="S316" s="324">
        <f>IFERROR(VLOOKUP($G316,'321買'!$A:$E,4,0),"'沒有資料'")</f>
        <v>696</v>
      </c>
      <c r="T316" s="186">
        <f>IFERROR(VLOOKUP($G316,基本資料!$A:$J,9,0),"無")</f>
        <v>5.5</v>
      </c>
      <c r="U316" s="307">
        <f t="shared" si="64"/>
        <v>2.2357723577235773E-2</v>
      </c>
      <c r="V316" s="94">
        <f>IFERROR(VLOOKUP($G316,基本資料!$A:$J,10,0),"無")</f>
        <v>7.82</v>
      </c>
      <c r="W316" s="36">
        <f>RTD("money.excel",,"3218","Price")</f>
        <v>246</v>
      </c>
      <c r="X316" s="66"/>
      <c r="Y316" s="15">
        <f t="shared" si="65"/>
        <v>246</v>
      </c>
      <c r="Z316" s="3" t="e">
        <f t="shared" si="66"/>
        <v>#DIV/0!</v>
      </c>
      <c r="AA316" s="340">
        <f>IFERROR(VLOOKUP($G316,基本資料!$A:$M,11,0),"無")</f>
        <v>-45.33</v>
      </c>
      <c r="AB316" s="389">
        <f>IFERROR(VLOOKUP($G316,基本資料!$A:$M,12,0),"無")</f>
        <v>29.04</v>
      </c>
      <c r="AC316" s="16" t="s">
        <v>3712</v>
      </c>
      <c r="AF316" s="33">
        <f t="shared" si="67"/>
        <v>0</v>
      </c>
      <c r="AG316" s="43" t="s">
        <v>3713</v>
      </c>
      <c r="AH316" s="66">
        <f t="shared" si="59"/>
        <v>0.99245369311685339</v>
      </c>
      <c r="AI316" s="283">
        <f>RTD("money.excel",,$G316,"PredictVolume")</f>
        <v>434</v>
      </c>
      <c r="AJ316" s="391">
        <f>IFERROR(VLOOKUP($G316,基本資料!$A:$M,13,0),"無")</f>
        <v>437.3</v>
      </c>
      <c r="AR316" s="245" t="str">
        <f>INDEX(基本資料!N:N,MATCH($G316,基本資料!A:A,0))</f>
        <v>低</v>
      </c>
    </row>
    <row r="317" spans="1:44">
      <c r="A317" s="343">
        <f>IFERROR(VLOOKUP($G317,基本資料!$A:$J,3,0),"無")</f>
        <v>26.64</v>
      </c>
      <c r="B317" s="79">
        <f>IFERROR(VLOOKUP($G317,基本資料!$A:$J,4,0),"無")</f>
        <v>-3</v>
      </c>
      <c r="C317" s="79">
        <f>IFERROR(VLOOKUP($G317,基本資料!$A:$J,5,0),"無")</f>
        <v>0</v>
      </c>
      <c r="D317" s="79">
        <f>IFERROR(VLOOKUP($G317,基本資料!$A:$J,6,0),"無")</f>
        <v>-15</v>
      </c>
      <c r="E317" s="79">
        <f>IFERROR(VLOOKUP($G317,基本資料!$A:$J,7,0),"無")</f>
        <v>2</v>
      </c>
      <c r="F317" s="6">
        <f>IFERROR(VLOOKUP($G317,基本資料!$A:$J,8,0),"無")</f>
        <v>12.27</v>
      </c>
      <c r="G317" s="79">
        <v>3705</v>
      </c>
      <c r="H317" s="192" t="s">
        <v>309</v>
      </c>
      <c r="I317" s="22" t="s">
        <v>3714</v>
      </c>
      <c r="J317" s="8">
        <f>IFERROR(VLOOKUP($G317,今日總結!$A:$AN,39,0),"")</f>
        <v>0</v>
      </c>
      <c r="K317" s="5" t="str">
        <f>IFERROR(VLOOKUP($G317,今日總結!$A:$AN,40,0),"")</f>
        <v>借</v>
      </c>
      <c r="L317" s="156">
        <f>IFERROR(VLOOKUP($G317,今日總結!$A:$AN,37,0),"")</f>
        <v>0</v>
      </c>
      <c r="M317" s="337">
        <f>IFERROR(VLOOKUP($G317,今日總結!$A:$AN,38,0),"")</f>
        <v>1</v>
      </c>
      <c r="N317" s="240">
        <f t="shared" si="63"/>
        <v>-1</v>
      </c>
      <c r="O317" s="359">
        <f>IFERROR(VLOOKUP($G317,融外自投!$A:$J,7,0),"無")</f>
        <v>1291</v>
      </c>
      <c r="P317" s="79">
        <f>IFERROR(VLOOKUP($G317,融外自投!$A:$J,9,0),"無")</f>
        <v>383</v>
      </c>
      <c r="Q317" s="342">
        <f>IFERROR(VLOOKUP($G317,融外自投!$A:$J,8,0),"無")</f>
        <v>448</v>
      </c>
      <c r="R317" s="81" t="str">
        <f>IFERROR(VLOOKUP($G317,融外自投!$A:$J,10,0),"無")</f>
        <v>無</v>
      </c>
      <c r="S317" s="324">
        <f>IFERROR(VLOOKUP($G317,'321買'!$A:$E,4,0),"'沒有資料'")</f>
        <v>1002</v>
      </c>
      <c r="T317" s="186">
        <f>IFERROR(VLOOKUP($G317,基本資料!$A:$J,9,0),"無")</f>
        <v>1.7</v>
      </c>
      <c r="U317" s="307">
        <f t="shared" si="64"/>
        <v>0.04</v>
      </c>
      <c r="V317" s="94">
        <f>IFERROR(VLOOKUP($G317,基本資料!$A:$J,10,0),"無")</f>
        <v>2.77</v>
      </c>
      <c r="W317" s="36">
        <f>RTD("money.excel",,"3705","Price")</f>
        <v>42.5</v>
      </c>
      <c r="X317" s="66"/>
      <c r="Y317" s="15">
        <f t="shared" si="65"/>
        <v>42.5</v>
      </c>
      <c r="Z317" s="3" t="e">
        <f t="shared" si="66"/>
        <v>#DIV/0!</v>
      </c>
      <c r="AA317" s="340">
        <f>IFERROR(VLOOKUP($G317,基本資料!$A:$M,11,0),"無")</f>
        <v>-6.49</v>
      </c>
      <c r="AB317" s="389">
        <f>IFERROR(VLOOKUP($G317,基本資料!$A:$M,12,0),"無")</f>
        <v>21.2</v>
      </c>
      <c r="AC317" s="22" t="s">
        <v>3714</v>
      </c>
      <c r="AF317" s="33">
        <f t="shared" si="67"/>
        <v>0</v>
      </c>
      <c r="AG317" s="43" t="s">
        <v>3715</v>
      </c>
      <c r="AH317" s="66">
        <f t="shared" si="59"/>
        <v>0.2264711342119918</v>
      </c>
      <c r="AI317" s="283">
        <f>RTD("money.excel",,$G317,"PredictVolume")</f>
        <v>122</v>
      </c>
      <c r="AJ317" s="391">
        <f>IFERROR(VLOOKUP($G317,基本資料!$A:$M,13,0),"無")</f>
        <v>538.70000000000005</v>
      </c>
      <c r="AR317" s="245" t="str">
        <f>INDEX(基本資料!N:N,MATCH($G317,基本資料!A:A,0))</f>
        <v>低</v>
      </c>
    </row>
    <row r="318" spans="1:44">
      <c r="A318" s="343">
        <f>IFERROR(VLOOKUP($G318,基本資料!$A:$J,3,0),"無")</f>
        <v>4.2300000000000004</v>
      </c>
      <c r="B318" s="79">
        <f>IFERROR(VLOOKUP($G318,基本資料!$A:$J,4,0),"無")</f>
        <v>-73</v>
      </c>
      <c r="C318" s="79">
        <f>IFERROR(VLOOKUP($G318,基本資料!$A:$J,5,0),"無")</f>
        <v>-75</v>
      </c>
      <c r="D318" s="79">
        <f>IFERROR(VLOOKUP($G318,基本資料!$A:$J,6,0),"無")</f>
        <v>46</v>
      </c>
      <c r="E318" s="79">
        <f>IFERROR(VLOOKUP($G318,基本資料!$A:$J,7,0),"無")</f>
        <v>2</v>
      </c>
      <c r="F318" s="6">
        <f>IFERROR(VLOOKUP($G318,基本資料!$A:$J,8,0),"無")</f>
        <v>1.51</v>
      </c>
      <c r="G318" s="79">
        <v>4102</v>
      </c>
      <c r="H318" s="8" t="s">
        <v>309</v>
      </c>
      <c r="I318" s="16" t="s">
        <v>3716</v>
      </c>
      <c r="J318" s="8">
        <f>IFERROR(VLOOKUP($G318,今日總結!$A:$AN,39,0),"")</f>
        <v>0</v>
      </c>
      <c r="K318" s="5">
        <f>IFERROR(VLOOKUP($G318,今日總結!$A:$AN,40,0),"")</f>
        <v>0</v>
      </c>
      <c r="L318" s="156">
        <f>IFERROR(VLOOKUP($G318,今日總結!$A:$AN,37,0),"")</f>
        <v>0</v>
      </c>
      <c r="M318" s="337">
        <f>IFERROR(VLOOKUP($G318,今日總結!$A:$AN,38,0),"")</f>
        <v>0</v>
      </c>
      <c r="N318" s="240">
        <f t="shared" si="63"/>
        <v>0</v>
      </c>
      <c r="O318" s="359">
        <f>IFERROR(VLOOKUP($G318,融外自投!$A:$J,7,0),"無")</f>
        <v>117</v>
      </c>
      <c r="P318" s="79">
        <f>IFERROR(VLOOKUP($G318,融外自投!$A:$J,9,0),"無")</f>
        <v>671</v>
      </c>
      <c r="Q318" s="342">
        <f>IFERROR(VLOOKUP($G318,融外自投!$A:$J,8,0),"無")</f>
        <v>979</v>
      </c>
      <c r="R318" s="81" t="str">
        <f>IFERROR(VLOOKUP($G318,融外自投!$A:$J,10,0),"無")</f>
        <v>無</v>
      </c>
      <c r="S318" s="324">
        <f>IFERROR(VLOOKUP($G318,'321買'!$A:$E,4,0),"'沒有資料'")</f>
        <v>565</v>
      </c>
      <c r="T318" s="186">
        <f>IFERROR(VLOOKUP($G318,基本資料!$A:$J,9,0),"無")</f>
        <v>0.1</v>
      </c>
      <c r="U318" s="307">
        <f t="shared" si="64"/>
        <v>4.7619047619047623E-3</v>
      </c>
      <c r="V318" s="94">
        <f>IFERROR(VLOOKUP($G318,基本資料!$A:$J,10,0),"無")</f>
        <v>0.14000000000000001</v>
      </c>
      <c r="W318" s="36">
        <f>RTD("money.excel",,"4102","Price")</f>
        <v>21</v>
      </c>
      <c r="X318" s="66"/>
      <c r="Y318" s="15">
        <f t="shared" si="65"/>
        <v>21</v>
      </c>
      <c r="Z318" s="3" t="e">
        <f t="shared" si="66"/>
        <v>#DIV/0!</v>
      </c>
      <c r="AA318" s="340">
        <f>IFERROR(VLOOKUP($G318,基本資料!$A:$M,11,0),"無")</f>
        <v>-27.08</v>
      </c>
      <c r="AB318" s="389">
        <f>IFERROR(VLOOKUP($G318,基本資料!$A:$M,12,0),"無")</f>
        <v>30.53</v>
      </c>
      <c r="AC318" s="16" t="s">
        <v>3716</v>
      </c>
      <c r="AF318" s="33">
        <f t="shared" si="67"/>
        <v>0</v>
      </c>
      <c r="AG318" s="43" t="s">
        <v>3717</v>
      </c>
      <c r="AH318" s="66">
        <f t="shared" si="59"/>
        <v>0.18788983290125516</v>
      </c>
      <c r="AI318" s="283">
        <f>RTD("money.excel",,$G318,"PredictVolume")</f>
        <v>732</v>
      </c>
      <c r="AJ318" s="391">
        <f>IFERROR(VLOOKUP($G318,基本資料!$A:$M,13,0),"無")</f>
        <v>3895.9</v>
      </c>
      <c r="AR318" s="245" t="str">
        <f>INDEX(基本資料!N:N,MATCH($G318,基本資料!A:A,0))</f>
        <v>中</v>
      </c>
    </row>
    <row r="319" spans="1:44">
      <c r="A319" s="343">
        <f>IFERROR(VLOOKUP($G319,基本資料!$A:$J,3,0),"無")</f>
        <v>14.11</v>
      </c>
      <c r="B319" s="79">
        <f>IFERROR(VLOOKUP($G319,基本資料!$A:$J,4,0),"無")</f>
        <v>7</v>
      </c>
      <c r="C319" s="79">
        <f>IFERROR(VLOOKUP($G319,基本資料!$A:$J,5,0),"無")</f>
        <v>12</v>
      </c>
      <c r="D319" s="79">
        <f>IFERROR(VLOOKUP($G319,基本資料!$A:$J,6,0),"無")</f>
        <v>3</v>
      </c>
      <c r="E319" s="79">
        <f>IFERROR(VLOOKUP($G319,基本資料!$A:$J,7,0),"無")</f>
        <v>9</v>
      </c>
      <c r="F319" s="6">
        <f>IFERROR(VLOOKUP($G319,基本資料!$A:$J,8,0),"無")</f>
        <v>9.0500000000000007</v>
      </c>
      <c r="G319" s="79">
        <v>4104</v>
      </c>
      <c r="H319" s="192" t="s">
        <v>309</v>
      </c>
      <c r="I319" s="22" t="s">
        <v>3718</v>
      </c>
      <c r="J319" s="8">
        <f>IFERROR(VLOOKUP($G319,今日總結!$A:$AN,39,0),"")</f>
        <v>0</v>
      </c>
      <c r="K319" s="5">
        <f>IFERROR(VLOOKUP($G319,今日總結!$A:$AN,40,0),"")</f>
        <v>0</v>
      </c>
      <c r="L319" s="156">
        <f>IFERROR(VLOOKUP($G319,今日總結!$A:$AN,37,0),"")</f>
        <v>0</v>
      </c>
      <c r="M319" s="337">
        <f>IFERROR(VLOOKUP($G319,今日總結!$A:$AN,38,0),"")</f>
        <v>0</v>
      </c>
      <c r="N319" s="240">
        <f t="shared" si="63"/>
        <v>0</v>
      </c>
      <c r="O319" s="359">
        <f>IFERROR(VLOOKUP($G319,融外自投!$A:$J,7,0),"無")</f>
        <v>1297</v>
      </c>
      <c r="P319" s="79">
        <f>IFERROR(VLOOKUP($G319,融外自投!$A:$J,9,0),"無")</f>
        <v>565</v>
      </c>
      <c r="Q319" s="342">
        <f>IFERROR(VLOOKUP($G319,融外自投!$A:$J,8,0),"無")</f>
        <v>557</v>
      </c>
      <c r="R319" s="81" t="str">
        <f>IFERROR(VLOOKUP($G319,融外自投!$A:$J,10,0),"無")</f>
        <v>無</v>
      </c>
      <c r="S319" s="324">
        <f>IFERROR(VLOOKUP($G319,'321買'!$A:$E,4,0),"'沒有資料'")</f>
        <v>1002</v>
      </c>
      <c r="T319" s="186">
        <f>IFERROR(VLOOKUP($G319,基本資料!$A:$J,9,0),"無")</f>
        <v>4</v>
      </c>
      <c r="U319" s="307">
        <f t="shared" si="64"/>
        <v>6.0331825037707391E-2</v>
      </c>
      <c r="V319" s="94">
        <f>IFERROR(VLOOKUP($G319,基本資料!$A:$J,10,0),"無")</f>
        <v>4.3</v>
      </c>
      <c r="W319" s="36">
        <f>RTD("money.excel",,"4104","Price")</f>
        <v>66.3</v>
      </c>
      <c r="X319" s="66"/>
      <c r="Y319" s="15">
        <f t="shared" si="65"/>
        <v>66.3</v>
      </c>
      <c r="Z319" s="3" t="e">
        <f t="shared" si="66"/>
        <v>#DIV/0!</v>
      </c>
      <c r="AA319" s="340">
        <f>IFERROR(VLOOKUP($G319,基本資料!$A:$M,11,0),"無")</f>
        <v>-6.88</v>
      </c>
      <c r="AB319" s="389">
        <f>IFERROR(VLOOKUP($G319,基本資料!$A:$M,12,0),"無")</f>
        <v>58.35</v>
      </c>
      <c r="AC319" s="22" t="s">
        <v>3718</v>
      </c>
      <c r="AF319" s="33">
        <f t="shared" si="67"/>
        <v>0</v>
      </c>
      <c r="AG319" s="43" t="s">
        <v>3719</v>
      </c>
      <c r="AH319" s="66">
        <f t="shared" si="59"/>
        <v>0.44633204633204632</v>
      </c>
      <c r="AI319" s="283">
        <f>RTD("money.excel",,$G319,"PredictVolume")</f>
        <v>289</v>
      </c>
      <c r="AJ319" s="391">
        <f>IFERROR(VLOOKUP($G319,基本資料!$A:$M,13,0),"無")</f>
        <v>647.5</v>
      </c>
      <c r="AR319" s="245" t="str">
        <f>INDEX(基本資料!N:N,MATCH($G319,基本資料!A:A,0))</f>
        <v>高</v>
      </c>
    </row>
    <row r="320" spans="1:44">
      <c r="A320" s="343">
        <f>IFERROR(VLOOKUP($G320,基本資料!$A:$J,3,0),"無")</f>
        <v>24.86</v>
      </c>
      <c r="B320" s="79">
        <f>IFERROR(VLOOKUP($G320,基本資料!$A:$J,4,0),"無")</f>
        <v>-15</v>
      </c>
      <c r="C320" s="79">
        <f>IFERROR(VLOOKUP($G320,基本資料!$A:$J,5,0),"無")</f>
        <v>19</v>
      </c>
      <c r="D320" s="79">
        <f>IFERROR(VLOOKUP($G320,基本資料!$A:$J,6,0),"無")</f>
        <v>1</v>
      </c>
      <c r="E320" s="79">
        <f>IFERROR(VLOOKUP($G320,基本資料!$A:$J,7,0),"無")</f>
        <v>5</v>
      </c>
      <c r="F320" s="6">
        <f>IFERROR(VLOOKUP($G320,基本資料!$A:$J,8,0),"無")</f>
        <v>25.15</v>
      </c>
      <c r="G320" s="79">
        <v>4105</v>
      </c>
      <c r="H320" s="8" t="s">
        <v>309</v>
      </c>
      <c r="I320" s="16" t="s">
        <v>3720</v>
      </c>
      <c r="J320" s="8">
        <f>IFERROR(VLOOKUP($G320,今日總結!$A:$AN,39,0),"")</f>
        <v>0</v>
      </c>
      <c r="K320" s="5" t="str">
        <f>IFERROR(VLOOKUP($G320,今日總結!$A:$AN,40,0),"")</f>
        <v>主外</v>
      </c>
      <c r="L320" s="156">
        <f>IFERROR(VLOOKUP($G320,今日總結!$A:$AN,37,0),"")</f>
        <v>0</v>
      </c>
      <c r="M320" s="337">
        <f>IFERROR(VLOOKUP($G320,今日總結!$A:$AN,38,0),"")</f>
        <v>10</v>
      </c>
      <c r="N320" s="240">
        <f t="shared" si="63"/>
        <v>-10</v>
      </c>
      <c r="O320" s="359">
        <f>IFERROR(VLOOKUP($G320,融外自投!$A:$J,7,0),"無")</f>
        <v>878</v>
      </c>
      <c r="P320" s="79">
        <f>IFERROR(VLOOKUP($G320,融外自投!$A:$J,9,0),"無")</f>
        <v>577</v>
      </c>
      <c r="Q320" s="342">
        <f>IFERROR(VLOOKUP($G320,融外自投!$A:$J,8,0),"無")</f>
        <v>371</v>
      </c>
      <c r="R320" s="81">
        <f>IFERROR(VLOOKUP($G320,融外自投!$A:$J,10,0),"無")</f>
        <v>177</v>
      </c>
      <c r="S320" s="324">
        <f>IFERROR(VLOOKUP($G320,'321買'!$A:$E,4,0),"'沒有資料'")</f>
        <v>565</v>
      </c>
      <c r="T320" s="186">
        <f>IFERROR(VLOOKUP($G320,基本資料!$A:$J,9,0),"無")</f>
        <v>3</v>
      </c>
      <c r="U320" s="307">
        <f t="shared" si="64"/>
        <v>4.4182621502209127E-2</v>
      </c>
      <c r="V320" s="94">
        <f>IFERROR(VLOOKUP($G320,基本資料!$A:$J,10,0),"無")</f>
        <v>3.35</v>
      </c>
      <c r="W320" s="36">
        <f>RTD("money.excel",,"4105","Price")</f>
        <v>67.900000000000006</v>
      </c>
      <c r="X320" s="66"/>
      <c r="Y320" s="15">
        <f t="shared" si="65"/>
        <v>67.900000000000006</v>
      </c>
      <c r="Z320" s="3" t="e">
        <f t="shared" si="66"/>
        <v>#DIV/0!</v>
      </c>
      <c r="AA320" s="340">
        <f>IFERROR(VLOOKUP($G320,基本資料!$A:$M,11,0),"無")</f>
        <v>-23.96</v>
      </c>
      <c r="AB320" s="389">
        <f>IFERROR(VLOOKUP($G320,基本資料!$A:$M,12,0),"無")</f>
        <v>29.39</v>
      </c>
      <c r="AC320" s="16" t="s">
        <v>3720</v>
      </c>
      <c r="AF320" s="33">
        <f t="shared" si="67"/>
        <v>0</v>
      </c>
      <c r="AG320" s="117" t="s">
        <v>3721</v>
      </c>
      <c r="AH320" s="66">
        <f t="shared" si="59"/>
        <v>0.23853962762325309</v>
      </c>
      <c r="AI320" s="283">
        <f>RTD("money.excel",,$G320,"PredictVolume")</f>
        <v>524</v>
      </c>
      <c r="AJ320" s="391">
        <f>IFERROR(VLOOKUP($G320,基本資料!$A:$M,13,0),"無")</f>
        <v>2196.6999999999998</v>
      </c>
      <c r="AR320" s="245" t="str">
        <f>INDEX(基本資料!N:N,MATCH($G320,基本資料!A:A,0))</f>
        <v>低</v>
      </c>
    </row>
    <row r="321" spans="1:44">
      <c r="A321" s="343">
        <f>IFERROR(VLOOKUP($G321,基本資料!$A:$J,3,0),"無")</f>
        <v>10.09</v>
      </c>
      <c r="B321" s="79">
        <f>IFERROR(VLOOKUP($G321,基本資料!$A:$J,4,0),"無")</f>
        <v>-1</v>
      </c>
      <c r="C321" s="79">
        <f>IFERROR(VLOOKUP($G321,基本資料!$A:$J,5,0),"無")</f>
        <v>5</v>
      </c>
      <c r="D321" s="79">
        <f>IFERROR(VLOOKUP($G321,基本資料!$A:$J,6,0),"無")</f>
        <v>-4</v>
      </c>
      <c r="E321" s="79">
        <f>IFERROR(VLOOKUP($G321,基本資料!$A:$J,7,0),"無")</f>
        <v>14</v>
      </c>
      <c r="F321" s="6">
        <f>IFERROR(VLOOKUP($G321,基本資料!$A:$J,8,0),"無")</f>
        <v>4.3899999999999997</v>
      </c>
      <c r="G321" s="79">
        <v>4106</v>
      </c>
      <c r="H321" s="192" t="s">
        <v>309</v>
      </c>
      <c r="I321" s="22" t="s">
        <v>3722</v>
      </c>
      <c r="J321" s="8">
        <f>IFERROR(VLOOKUP($G321,今日總結!$A:$AN,39,0),"")</f>
        <v>0</v>
      </c>
      <c r="K321" s="5">
        <f>IFERROR(VLOOKUP($G321,今日總結!$A:$AN,40,0),"")</f>
        <v>0</v>
      </c>
      <c r="L321" s="156">
        <f>IFERROR(VLOOKUP($G321,今日總結!$A:$AN,37,0),"")</f>
        <v>0</v>
      </c>
      <c r="M321" s="337">
        <f>IFERROR(VLOOKUP($G321,今日總結!$A:$AN,38,0),"")</f>
        <v>0</v>
      </c>
      <c r="N321" s="240">
        <f t="shared" si="63"/>
        <v>0</v>
      </c>
      <c r="O321" s="359">
        <f>IFERROR(VLOOKUP($G321,融外自投!$A:$J,7,0),"無")</f>
        <v>213</v>
      </c>
      <c r="P321" s="79">
        <f>IFERROR(VLOOKUP($G321,融外自投!$A:$J,9,0),"無")</f>
        <v>260</v>
      </c>
      <c r="Q321" s="342">
        <f>IFERROR(VLOOKUP($G321,融外自投!$A:$J,8,0),"無")</f>
        <v>932</v>
      </c>
      <c r="R321" s="81" t="str">
        <f>IFERROR(VLOOKUP($G321,融外自投!$A:$J,10,0),"無")</f>
        <v>無</v>
      </c>
      <c r="S321" s="324">
        <f>IFERROR(VLOOKUP($G321,'321買'!$A:$E,4,0),"'沒有資料'")</f>
        <v>411</v>
      </c>
      <c r="T321" s="186">
        <f>IFERROR(VLOOKUP($G321,基本資料!$A:$J,9,0),"無")</f>
        <v>0.55000000000000004</v>
      </c>
      <c r="U321" s="307">
        <f t="shared" si="64"/>
        <v>1.9197207678883076E-2</v>
      </c>
      <c r="V321" s="94">
        <f>IFERROR(VLOOKUP($G321,基本資料!$A:$J,10,0),"無")</f>
        <v>1.01</v>
      </c>
      <c r="W321" s="36">
        <f>RTD("money.excel",,"4106","Price")</f>
        <v>28.65</v>
      </c>
      <c r="X321" s="66"/>
      <c r="Y321" s="15">
        <f t="shared" si="65"/>
        <v>28.65</v>
      </c>
      <c r="Z321" s="3" t="e">
        <f t="shared" si="66"/>
        <v>#DIV/0!</v>
      </c>
      <c r="AA321" s="340">
        <f>IFERROR(VLOOKUP($G321,基本資料!$A:$M,11,0),"無")</f>
        <v>-37.92</v>
      </c>
      <c r="AB321" s="389">
        <f>IFERROR(VLOOKUP($G321,基本資料!$A:$M,12,0),"無")</f>
        <v>30.33</v>
      </c>
      <c r="AC321" s="22" t="s">
        <v>630</v>
      </c>
      <c r="AF321" s="33">
        <f t="shared" si="67"/>
        <v>0</v>
      </c>
      <c r="AG321" s="43" t="s">
        <v>3723</v>
      </c>
      <c r="AH321" s="66">
        <f t="shared" si="59"/>
        <v>0.19465283660497174</v>
      </c>
      <c r="AI321" s="283">
        <f>RTD("money.excel",,$G321,"PredictVolume")</f>
        <v>1597</v>
      </c>
      <c r="AJ321" s="391">
        <f>IFERROR(VLOOKUP($G321,基本資料!$A:$M,13,0),"無")</f>
        <v>8204.35</v>
      </c>
      <c r="AR321" s="245" t="str">
        <f>INDEX(基本資料!N:N,MATCH($G321,基本資料!A:A,0))</f>
        <v>低</v>
      </c>
    </row>
    <row r="322" spans="1:44">
      <c r="A322" s="343">
        <f>IFERROR(VLOOKUP($G322,基本資料!$A:$J,3,0),"無")</f>
        <v>6.92</v>
      </c>
      <c r="B322" s="79">
        <f>IFERROR(VLOOKUP($G322,基本資料!$A:$J,4,0),"無")</f>
        <v>-11</v>
      </c>
      <c r="C322" s="79">
        <f>IFERROR(VLOOKUP($G322,基本資料!$A:$J,5,0),"無")</f>
        <v>-9</v>
      </c>
      <c r="D322" s="79">
        <f>IFERROR(VLOOKUP($G322,基本資料!$A:$J,6,0),"無")</f>
        <v>1</v>
      </c>
      <c r="E322" s="79">
        <f>IFERROR(VLOOKUP($G322,基本資料!$A:$J,7,0),"無")</f>
        <v>17</v>
      </c>
      <c r="F322" s="6">
        <f>IFERROR(VLOOKUP($G322,基本資料!$A:$J,8,0),"無")</f>
        <v>30.02</v>
      </c>
      <c r="G322" s="79">
        <v>4107</v>
      </c>
      <c r="H322" s="8" t="s">
        <v>309</v>
      </c>
      <c r="I322" s="16" t="s">
        <v>3724</v>
      </c>
      <c r="J322" s="8">
        <f>IFERROR(VLOOKUP($G322,今日總結!$A:$AN,39,0),"")</f>
        <v>0</v>
      </c>
      <c r="K322" s="5">
        <f>IFERROR(VLOOKUP($G322,今日總結!$A:$AN,40,0),"")</f>
        <v>0</v>
      </c>
      <c r="L322" s="156">
        <f>IFERROR(VLOOKUP($G322,今日總結!$A:$AN,37,0),"")</f>
        <v>0</v>
      </c>
      <c r="M322" s="337">
        <f>IFERROR(VLOOKUP($G322,今日總結!$A:$AN,38,0),"")</f>
        <v>0</v>
      </c>
      <c r="N322" s="240">
        <f t="shared" si="63"/>
        <v>0</v>
      </c>
      <c r="O322" s="359">
        <f>IFERROR(VLOOKUP($G322,融外自投!$A:$J,7,0),"無")</f>
        <v>1258</v>
      </c>
      <c r="P322" s="79">
        <f>IFERROR(VLOOKUP($G322,融外自投!$A:$J,9,0),"無")</f>
        <v>649</v>
      </c>
      <c r="Q322" s="342">
        <f>IFERROR(VLOOKUP($G322,融外自投!$A:$J,8,0),"無")</f>
        <v>182</v>
      </c>
      <c r="R322" s="81" t="str">
        <f>IFERROR(VLOOKUP($G322,融外自投!$A:$J,10,0),"無")</f>
        <v>無</v>
      </c>
      <c r="S322" s="324">
        <f>IFERROR(VLOOKUP($G322,'321買'!$A:$E,4,0),"'沒有資料'")</f>
        <v>1002</v>
      </c>
      <c r="T322" s="186">
        <f>IFERROR(VLOOKUP($G322,基本資料!$A:$J,9,0),"無")</f>
        <v>4.5</v>
      </c>
      <c r="U322" s="307">
        <f t="shared" si="64"/>
        <v>4.2253521126760563E-2</v>
      </c>
      <c r="V322" s="94">
        <f>IFERROR(VLOOKUP($G322,基本資料!$A:$J,10,0),"無")</f>
        <v>6.22</v>
      </c>
      <c r="W322" s="36">
        <f>RTD("money.excel",,"4107","Price")</f>
        <v>106.5</v>
      </c>
      <c r="X322" s="66"/>
      <c r="Y322" s="15">
        <f t="shared" si="65"/>
        <v>106.5</v>
      </c>
      <c r="Z322" s="3" t="e">
        <f t="shared" si="66"/>
        <v>#DIV/0!</v>
      </c>
      <c r="AA322" s="340">
        <f>IFERROR(VLOOKUP($G322,基本資料!$A:$M,11,0),"無")</f>
        <v>-13.41</v>
      </c>
      <c r="AB322" s="389">
        <f>IFERROR(VLOOKUP($G322,基本資料!$A:$M,12,0),"無")</f>
        <v>46.11</v>
      </c>
      <c r="AC322" s="16" t="s">
        <v>3724</v>
      </c>
      <c r="AF322" s="33">
        <f t="shared" si="67"/>
        <v>0</v>
      </c>
      <c r="AG322" s="43" t="s">
        <v>3725</v>
      </c>
      <c r="AH322" s="66">
        <f t="shared" si="59"/>
        <v>0.64039408866995073</v>
      </c>
      <c r="AI322" s="283">
        <f>RTD("money.excel",,$G322,"PredictVolume")</f>
        <v>39</v>
      </c>
      <c r="AJ322" s="391">
        <f>IFERROR(VLOOKUP($G322,基本資料!$A:$M,13,0),"無")</f>
        <v>60.9</v>
      </c>
      <c r="AR322" s="245" t="str">
        <f>INDEX(基本資料!N:N,MATCH($G322,基本資料!A:A,0))</f>
        <v>中</v>
      </c>
    </row>
    <row r="323" spans="1:44">
      <c r="A323" s="343">
        <f>IFERROR(VLOOKUP($G323,基本資料!$A:$J,3,0),"無")</f>
        <v>19.86</v>
      </c>
      <c r="B323" s="79">
        <f>IFERROR(VLOOKUP($G323,基本資料!$A:$J,4,0),"無")</f>
        <v>19</v>
      </c>
      <c r="C323" s="79">
        <f>IFERROR(VLOOKUP($G323,基本資料!$A:$J,5,0),"無")</f>
        <v>22</v>
      </c>
      <c r="D323" s="79">
        <f>IFERROR(VLOOKUP($G323,基本資料!$A:$J,6,0),"無")</f>
        <v>-24</v>
      </c>
      <c r="E323" s="79">
        <f>IFERROR(VLOOKUP($G323,基本資料!$A:$J,7,0),"無")</f>
        <v>-43</v>
      </c>
      <c r="F323" s="6">
        <f>IFERROR(VLOOKUP($G323,基本資料!$A:$J,8,0),"無")</f>
        <v>-78.2</v>
      </c>
      <c r="G323" s="79">
        <v>4108</v>
      </c>
      <c r="H323" s="192" t="s">
        <v>309</v>
      </c>
      <c r="I323" s="22" t="s">
        <v>3726</v>
      </c>
      <c r="J323" s="8">
        <f>IFERROR(VLOOKUP($G323,今日總結!$A:$AN,39,0),"")</f>
        <v>0</v>
      </c>
      <c r="K323" s="5">
        <f>IFERROR(VLOOKUP($G323,今日總結!$A:$AN,40,0),"")</f>
        <v>0</v>
      </c>
      <c r="L323" s="156">
        <f>IFERROR(VLOOKUP($G323,今日總結!$A:$AN,37,0),"")</f>
        <v>0</v>
      </c>
      <c r="M323" s="337">
        <f>IFERROR(VLOOKUP($G323,今日總結!$A:$AN,38,0),"")</f>
        <v>0</v>
      </c>
      <c r="N323" s="240">
        <f t="shared" si="63"/>
        <v>0</v>
      </c>
      <c r="O323" s="359" t="str">
        <f>IFERROR(VLOOKUP($G323,融外自投!$A:$J,7,0),"無")</f>
        <v>無</v>
      </c>
      <c r="P323" s="79" t="str">
        <f>IFERROR(VLOOKUP($G323,融外自投!$A:$J,9,0),"無")</f>
        <v>無</v>
      </c>
      <c r="Q323" s="342" t="str">
        <f>IFERROR(VLOOKUP($G323,融外自投!$A:$J,8,0),"無")</f>
        <v>無</v>
      </c>
      <c r="R323" s="81" t="str">
        <f>IFERROR(VLOOKUP($G323,融外自投!$A:$J,10,0),"無")</f>
        <v>無</v>
      </c>
      <c r="S323" s="324">
        <f>IFERROR(VLOOKUP($G323,'321買'!$A:$E,4,0),"'沒有資料'")</f>
        <v>1002</v>
      </c>
      <c r="T323" s="186">
        <f>IFERROR(VLOOKUP($G323,基本資料!$A:$J,9,0),"無")</f>
        <v>0</v>
      </c>
      <c r="U323" s="307">
        <f t="shared" si="64"/>
        <v>0</v>
      </c>
      <c r="V323" s="94">
        <f>IFERROR(VLOOKUP($G323,基本資料!$A:$J,10,0),"無")</f>
        <v>-0.4</v>
      </c>
      <c r="W323" s="36">
        <f>RTD("money.excel",,"4108","Price")</f>
        <v>19.3</v>
      </c>
      <c r="X323" s="66"/>
      <c r="Y323" s="15">
        <f t="shared" si="65"/>
        <v>19.3</v>
      </c>
      <c r="Z323" s="3" t="e">
        <f t="shared" si="66"/>
        <v>#DIV/0!</v>
      </c>
      <c r="AA323" s="340">
        <f>IFERROR(VLOOKUP($G323,基本資料!$A:$M,11,0),"無")</f>
        <v>-24.9</v>
      </c>
      <c r="AB323" s="389">
        <f>IFERROR(VLOOKUP($G323,基本資料!$A:$M,12,0),"無")</f>
        <v>20.76</v>
      </c>
      <c r="AC323" s="22" t="s">
        <v>3726</v>
      </c>
      <c r="AF323" s="33">
        <f t="shared" si="67"/>
        <v>0</v>
      </c>
      <c r="AG323" s="43" t="s">
        <v>2337</v>
      </c>
      <c r="AH323" s="66">
        <f t="shared" si="59"/>
        <v>0.36776527331189707</v>
      </c>
      <c r="AI323" s="283">
        <f>RTD("money.excel",,$G323,"PredictVolume")</f>
        <v>183</v>
      </c>
      <c r="AJ323" s="391">
        <f>IFERROR(VLOOKUP($G323,基本資料!$A:$M,13,0),"無")</f>
        <v>497.6</v>
      </c>
      <c r="AR323" s="245" t="str">
        <f>INDEX(基本資料!N:N,MATCH($G323,基本資料!A:A,0))</f>
        <v>低</v>
      </c>
    </row>
    <row r="324" spans="1:44">
      <c r="A324" s="343">
        <f>IFERROR(VLOOKUP($G324,基本資料!$A:$J,3,0),"無")</f>
        <v>8.89</v>
      </c>
      <c r="B324" s="79">
        <f>IFERROR(VLOOKUP($G324,基本資料!$A:$J,4,0),"無")</f>
        <v>115</v>
      </c>
      <c r="C324" s="79">
        <f>IFERROR(VLOOKUP($G324,基本資料!$A:$J,5,0),"無")</f>
        <v>98</v>
      </c>
      <c r="D324" s="79">
        <f>IFERROR(VLOOKUP($G324,基本資料!$A:$J,6,0),"無")</f>
        <v>-19</v>
      </c>
      <c r="E324" s="79">
        <f>IFERROR(VLOOKUP($G324,基本資料!$A:$J,7,0),"無")</f>
        <v>22</v>
      </c>
      <c r="F324" s="6">
        <f>IFERROR(VLOOKUP($G324,基本資料!$A:$J,8,0),"無")</f>
        <v>-0.38</v>
      </c>
      <c r="G324" s="79">
        <v>4109</v>
      </c>
      <c r="H324" s="8" t="s">
        <v>309</v>
      </c>
      <c r="I324" s="16" t="s">
        <v>3727</v>
      </c>
      <c r="J324" s="8">
        <f>IFERROR(VLOOKUP($G324,今日總結!$A:$AN,39,0),"")</f>
        <v>0</v>
      </c>
      <c r="K324" s="5">
        <f>IFERROR(VLOOKUP($G324,今日總結!$A:$AN,40,0),"")</f>
        <v>0</v>
      </c>
      <c r="L324" s="156">
        <f>IFERROR(VLOOKUP($G324,今日總結!$A:$AN,37,0),"")</f>
        <v>0</v>
      </c>
      <c r="M324" s="337">
        <f>IFERROR(VLOOKUP($G324,今日總結!$A:$AN,38,0),"")</f>
        <v>0</v>
      </c>
      <c r="N324" s="240">
        <f t="shared" si="63"/>
        <v>0</v>
      </c>
      <c r="O324" s="359">
        <f>IFERROR(VLOOKUP($G324,融外自投!$A:$J,7,0),"無")</f>
        <v>738</v>
      </c>
      <c r="P324" s="79">
        <f>IFERROR(VLOOKUP($G324,融外自投!$A:$J,9,0),"無")</f>
        <v>565</v>
      </c>
      <c r="Q324" s="342">
        <f>IFERROR(VLOOKUP($G324,融外自投!$A:$J,8,0),"無")</f>
        <v>1431</v>
      </c>
      <c r="R324" s="81" t="str">
        <f>IFERROR(VLOOKUP($G324,融外自投!$A:$J,10,0),"無")</f>
        <v>無</v>
      </c>
      <c r="S324" s="324">
        <f>IFERROR(VLOOKUP($G324,'321買'!$A:$E,4,0),"'沒有資料'")</f>
        <v>1002</v>
      </c>
      <c r="T324" s="186">
        <f>IFERROR(VLOOKUP($G324,基本資料!$A:$J,9,0),"無")</f>
        <v>0</v>
      </c>
      <c r="U324" s="307">
        <f t="shared" si="64"/>
        <v>0</v>
      </c>
      <c r="V324" s="94">
        <f>IFERROR(VLOOKUP($G324,基本資料!$A:$J,10,0),"無")</f>
        <v>0.06</v>
      </c>
      <c r="W324" s="36">
        <f>RTD("money.excel",,"4109","Price")</f>
        <v>14.3</v>
      </c>
      <c r="X324" s="66"/>
      <c r="Y324" s="15">
        <f t="shared" si="65"/>
        <v>14.3</v>
      </c>
      <c r="Z324" s="3" t="e">
        <f t="shared" si="66"/>
        <v>#DIV/0!</v>
      </c>
      <c r="AA324" s="340">
        <f>IFERROR(VLOOKUP($G324,基本資料!$A:$M,11,0),"無")</f>
        <v>-10.62</v>
      </c>
      <c r="AB324" s="389">
        <f>IFERROR(VLOOKUP($G324,基本資料!$A:$M,12,0),"無")</f>
        <v>51.98</v>
      </c>
      <c r="AC324" s="16" t="s">
        <v>3727</v>
      </c>
      <c r="AF324" s="33">
        <f t="shared" si="67"/>
        <v>0</v>
      </c>
      <c r="AG324" s="43" t="s">
        <v>3728</v>
      </c>
      <c r="AH324" s="66">
        <f t="shared" si="59"/>
        <v>0.21610317183687694</v>
      </c>
      <c r="AI324" s="283">
        <f>RTD("money.excel",,$G324,"PredictVolume")</f>
        <v>186</v>
      </c>
      <c r="AJ324" s="391">
        <f>IFERROR(VLOOKUP($G324,基本資料!$A:$M,13,0),"無")</f>
        <v>860.7</v>
      </c>
      <c r="AR324" s="245" t="str">
        <f>INDEX(基本資料!N:N,MATCH($G324,基本資料!A:A,0))</f>
        <v>中</v>
      </c>
    </row>
    <row r="325" spans="1:44">
      <c r="A325" s="343">
        <f>IFERROR(VLOOKUP($G325,基本資料!$A:$J,3,0),"無")</f>
        <v>5.69</v>
      </c>
      <c r="B325" s="79">
        <f>IFERROR(VLOOKUP($G325,基本資料!$A:$J,4,0),"無")</f>
        <v>36</v>
      </c>
      <c r="C325" s="79">
        <f>IFERROR(VLOOKUP($G325,基本資料!$A:$J,5,0),"無")</f>
        <v>21</v>
      </c>
      <c r="D325" s="79">
        <f>IFERROR(VLOOKUP($G325,基本資料!$A:$J,6,0),"無")</f>
        <v>-7</v>
      </c>
      <c r="E325" s="79">
        <f>IFERROR(VLOOKUP($G325,基本資料!$A:$J,7,0),"無")</f>
        <v>8</v>
      </c>
      <c r="F325" s="6">
        <f>IFERROR(VLOOKUP($G325,基本資料!$A:$J,8,0),"無")</f>
        <v>8.81</v>
      </c>
      <c r="G325" s="79">
        <v>4111</v>
      </c>
      <c r="H325" s="8" t="s">
        <v>309</v>
      </c>
      <c r="I325" s="16" t="s">
        <v>3729</v>
      </c>
      <c r="J325" s="8" t="str">
        <f>IFERROR(VLOOKUP($G325,今日總結!$A:$AN,39,0),"")</f>
        <v/>
      </c>
      <c r="K325" s="5" t="str">
        <f>IFERROR(VLOOKUP($G325,今日總結!$A:$AN,40,0),"")</f>
        <v/>
      </c>
      <c r="L325" s="156" t="str">
        <f>IFERROR(VLOOKUP($G325,今日總結!$A:$AN,37,0),"")</f>
        <v/>
      </c>
      <c r="M325" s="337" t="str">
        <f>IFERROR(VLOOKUP($G325,今日總結!$A:$AN,38,0),"")</f>
        <v/>
      </c>
      <c r="N325" s="240" t="str">
        <f t="shared" si="63"/>
        <v/>
      </c>
      <c r="O325" s="359">
        <f>IFERROR(VLOOKUP($G325,融外自投!$A:$J,7,0),"無")</f>
        <v>1137</v>
      </c>
      <c r="P325" s="79">
        <f>IFERROR(VLOOKUP($G325,融外自投!$A:$J,9,0),"無")</f>
        <v>1123</v>
      </c>
      <c r="Q325" s="342">
        <f>IFERROR(VLOOKUP($G325,融外自投!$A:$J,8,0),"無")</f>
        <v>1147</v>
      </c>
      <c r="R325" s="81" t="str">
        <f>IFERROR(VLOOKUP($G325,融外自投!$A:$J,10,0),"無")</f>
        <v>無</v>
      </c>
      <c r="S325" s="324" t="str">
        <f>IFERROR(VLOOKUP($G325,'321買'!$A:$E,4,0),"'沒有資料'")</f>
        <v>'沒有資料'</v>
      </c>
      <c r="T325" s="186">
        <f>IFERROR(VLOOKUP($G325,基本資料!$A:$J,9,0),"無")</f>
        <v>1</v>
      </c>
      <c r="U325" s="307">
        <f t="shared" si="64"/>
        <v>4.3383947939262472E-2</v>
      </c>
      <c r="V325" s="94">
        <f>IFERROR(VLOOKUP($G325,基本資料!$A:$J,10,0),"無")</f>
        <v>1.42</v>
      </c>
      <c r="W325" s="36">
        <f>RTD("money.excel",,"4111","Price")</f>
        <v>23.05</v>
      </c>
      <c r="X325" s="66"/>
      <c r="Y325" s="15">
        <f t="shared" si="65"/>
        <v>23.05</v>
      </c>
      <c r="Z325" s="3" t="e">
        <f t="shared" si="66"/>
        <v>#DIV/0!</v>
      </c>
      <c r="AA325" s="340">
        <f>IFERROR(VLOOKUP($G325,基本資料!$A:$M,11,0),"無")</f>
        <v>-13.02</v>
      </c>
      <c r="AB325" s="389">
        <f>IFERROR(VLOOKUP($G325,基本資料!$A:$M,12,0),"無")</f>
        <v>30.69</v>
      </c>
      <c r="AC325" s="16" t="s">
        <v>3729</v>
      </c>
      <c r="AF325" s="33">
        <f t="shared" si="67"/>
        <v>0</v>
      </c>
      <c r="AG325" s="43" t="s">
        <v>3730</v>
      </c>
      <c r="AH325" s="66">
        <f t="shared" ref="AH325:AH388" si="68">AI325/AJ325</f>
        <v>0.10388982846098092</v>
      </c>
      <c r="AI325" s="283">
        <f>RTD("money.excel",,$G325,"PredictVolume")</f>
        <v>43</v>
      </c>
      <c r="AJ325" s="391">
        <f>IFERROR(VLOOKUP($G325,基本資料!$A:$M,13,0),"無")</f>
        <v>413.9</v>
      </c>
      <c r="AR325" s="245" t="str">
        <f>INDEX(基本資料!N:N,MATCH($G325,基本資料!A:A,0))</f>
        <v>低</v>
      </c>
    </row>
    <row r="326" spans="1:44">
      <c r="A326" s="343">
        <f>IFERROR(VLOOKUP($G326,基本資料!$A:$J,3,0),"無")</f>
        <v>31.36</v>
      </c>
      <c r="B326" s="79">
        <f>IFERROR(VLOOKUP($G326,基本資料!$A:$J,4,0),"無")</f>
        <v>-75</v>
      </c>
      <c r="C326" s="79">
        <f>IFERROR(VLOOKUP($G326,基本資料!$A:$J,5,0),"無")</f>
        <v>63</v>
      </c>
      <c r="D326" s="79">
        <f>IFERROR(VLOOKUP($G326,基本資料!$A:$J,6,0),"無")</f>
        <v>-1</v>
      </c>
      <c r="E326" s="79">
        <f>IFERROR(VLOOKUP($G326,基本資料!$A:$J,7,0),"無")</f>
        <v>33</v>
      </c>
      <c r="F326" s="6">
        <f>IFERROR(VLOOKUP($G326,基本資料!$A:$J,8,0),"無")</f>
        <v>5.7</v>
      </c>
      <c r="G326" s="79">
        <v>4114</v>
      </c>
      <c r="H326" s="8" t="s">
        <v>309</v>
      </c>
      <c r="I326" s="16" t="s">
        <v>3731</v>
      </c>
      <c r="J326" s="8">
        <f>IFERROR(VLOOKUP($G326,今日總結!$A:$AN,39,0),"")</f>
        <v>0</v>
      </c>
      <c r="K326" s="5">
        <f>IFERROR(VLOOKUP($G326,今日總結!$A:$AN,40,0),"")</f>
        <v>0</v>
      </c>
      <c r="L326" s="156">
        <f>IFERROR(VLOOKUP($G326,今日總結!$A:$AN,37,0),"")</f>
        <v>0</v>
      </c>
      <c r="M326" s="337">
        <f>IFERROR(VLOOKUP($G326,今日總結!$A:$AN,38,0),"")</f>
        <v>0</v>
      </c>
      <c r="N326" s="240">
        <f t="shared" si="63"/>
        <v>0</v>
      </c>
      <c r="O326" s="359">
        <f>IFERROR(VLOOKUP($G326,融外自投!$A:$J,7,0),"無")</f>
        <v>1012</v>
      </c>
      <c r="P326" s="79">
        <f>IFERROR(VLOOKUP($G326,融外自投!$A:$J,9,0),"無")</f>
        <v>946</v>
      </c>
      <c r="Q326" s="342">
        <f>IFERROR(VLOOKUP($G326,融外自投!$A:$J,8,0),"無")</f>
        <v>829</v>
      </c>
      <c r="R326" s="81" t="str">
        <f>IFERROR(VLOOKUP($G326,融外自投!$A:$J,10,0),"無")</f>
        <v>無</v>
      </c>
      <c r="S326" s="324">
        <f>IFERROR(VLOOKUP($G326,'321買'!$A:$E,4,0),"'沒有資料'")</f>
        <v>1002</v>
      </c>
      <c r="T326" s="186">
        <f>IFERROR(VLOOKUP($G326,基本資料!$A:$J,9,0),"無")</f>
        <v>1.5</v>
      </c>
      <c r="U326" s="307">
        <f t="shared" si="64"/>
        <v>5.6179775280898875E-2</v>
      </c>
      <c r="V326" s="94">
        <f>IFERROR(VLOOKUP($G326,基本資料!$A:$J,10,0),"無")</f>
        <v>1.02</v>
      </c>
      <c r="W326" s="36">
        <f>RTD("money.excel",,"4114","Price")</f>
        <v>26.7</v>
      </c>
      <c r="X326" s="66"/>
      <c r="Y326" s="15">
        <f t="shared" si="65"/>
        <v>26.7</v>
      </c>
      <c r="Z326" s="3" t="e">
        <f t="shared" si="66"/>
        <v>#DIV/0!</v>
      </c>
      <c r="AA326" s="340">
        <f>IFERROR(VLOOKUP($G326,基本資料!$A:$M,11,0),"無")</f>
        <v>-8.8699999999999992</v>
      </c>
      <c r="AB326" s="389">
        <f>IFERROR(VLOOKUP($G326,基本資料!$A:$M,12,0),"無")</f>
        <v>54.06</v>
      </c>
      <c r="AC326" s="16" t="s">
        <v>3731</v>
      </c>
      <c r="AF326" s="33">
        <f t="shared" si="67"/>
        <v>0</v>
      </c>
      <c r="AG326" s="43" t="s">
        <v>3732</v>
      </c>
      <c r="AH326" s="66">
        <f t="shared" si="68"/>
        <v>1.0948478930520043</v>
      </c>
      <c r="AI326" s="283">
        <f>RTD("money.excel",,$G326,"PredictVolume")</f>
        <v>2719</v>
      </c>
      <c r="AJ326" s="391">
        <f>IFERROR(VLOOKUP($G326,基本資料!$A:$M,13,0),"無")</f>
        <v>2483.4499999999998</v>
      </c>
      <c r="AR326" s="245" t="str">
        <f>INDEX(基本資料!N:N,MATCH($G326,基本資料!A:A,0))</f>
        <v>中</v>
      </c>
    </row>
    <row r="327" spans="1:44">
      <c r="A327" s="343">
        <f>IFERROR(VLOOKUP($G327,基本資料!$A:$J,3,0),"無")</f>
        <v>4.45</v>
      </c>
      <c r="B327" s="79">
        <f>IFERROR(VLOOKUP($G327,基本資料!$A:$J,4,0),"無")</f>
        <v>-41</v>
      </c>
      <c r="C327" s="79">
        <f>IFERROR(VLOOKUP($G327,基本資料!$A:$J,5,0),"無")</f>
        <v>-52</v>
      </c>
      <c r="D327" s="79">
        <f>IFERROR(VLOOKUP($G327,基本資料!$A:$J,6,0),"無")</f>
        <v>5</v>
      </c>
      <c r="E327" s="79">
        <f>IFERROR(VLOOKUP($G327,基本資料!$A:$J,7,0),"無")</f>
        <v>149</v>
      </c>
      <c r="F327" s="6">
        <f>IFERROR(VLOOKUP($G327,基本資料!$A:$J,8,0),"無")</f>
        <v>3.17</v>
      </c>
      <c r="G327" s="79">
        <v>4116</v>
      </c>
      <c r="H327" s="8" t="s">
        <v>309</v>
      </c>
      <c r="I327" s="16" t="s">
        <v>3733</v>
      </c>
      <c r="J327" s="8" t="str">
        <f>IFERROR(VLOOKUP($G327,今日總結!$A:$AN,39,0),"")</f>
        <v/>
      </c>
      <c r="K327" s="5" t="str">
        <f>IFERROR(VLOOKUP($G327,今日總結!$A:$AN,40,0),"")</f>
        <v/>
      </c>
      <c r="L327" s="156" t="str">
        <f>IFERROR(VLOOKUP($G327,今日總結!$A:$AN,37,0),"")</f>
        <v/>
      </c>
      <c r="M327" s="337" t="str">
        <f>IFERROR(VLOOKUP($G327,今日總結!$A:$AN,38,0),"")</f>
        <v/>
      </c>
      <c r="N327" s="240" t="str">
        <f t="shared" ref="N327:N334" si="69">IFERROR(L327-M327,"")</f>
        <v/>
      </c>
      <c r="O327" s="359">
        <f>IFERROR(VLOOKUP($G327,融外自投!$A:$J,7,0),"無")</f>
        <v>203</v>
      </c>
      <c r="P327" s="79">
        <f>IFERROR(VLOOKUP($G327,融外自投!$A:$J,9,0),"無")</f>
        <v>649</v>
      </c>
      <c r="Q327" s="342">
        <f>IFERROR(VLOOKUP($G327,融外自投!$A:$J,8,0),"無")</f>
        <v>1387</v>
      </c>
      <c r="R327" s="81" t="str">
        <f>IFERROR(VLOOKUP($G327,融外自投!$A:$J,10,0),"無")</f>
        <v>無</v>
      </c>
      <c r="S327" s="324" t="str">
        <f>IFERROR(VLOOKUP($G327,'321買'!$A:$E,4,0),"'沒有資料'")</f>
        <v>'沒有資料'</v>
      </c>
      <c r="T327" s="186">
        <f>IFERROR(VLOOKUP($G327,基本資料!$A:$J,9,0),"無")</f>
        <v>0.5</v>
      </c>
      <c r="U327" s="307">
        <f t="shared" si="64"/>
        <v>1.1001100110011E-2</v>
      </c>
      <c r="V327" s="94">
        <f>IFERROR(VLOOKUP($G327,基本資料!$A:$J,10,0),"無")</f>
        <v>0.65</v>
      </c>
      <c r="W327" s="36">
        <f>RTD("money.excel",,"4116","Price")</f>
        <v>45.45</v>
      </c>
      <c r="X327" s="66"/>
      <c r="Y327" s="15">
        <f t="shared" si="65"/>
        <v>45.45</v>
      </c>
      <c r="Z327" s="3" t="e">
        <f t="shared" si="66"/>
        <v>#DIV/0!</v>
      </c>
      <c r="AA327" s="340">
        <f>IFERROR(VLOOKUP($G327,基本資料!$A:$M,11,0),"無")</f>
        <v>-27.63</v>
      </c>
      <c r="AB327" s="389">
        <f>IFERROR(VLOOKUP($G327,基本資料!$A:$M,12,0),"無")</f>
        <v>59.07</v>
      </c>
      <c r="AC327" s="16" t="s">
        <v>3733</v>
      </c>
      <c r="AF327" s="33">
        <f t="shared" si="67"/>
        <v>0</v>
      </c>
      <c r="AG327" s="43" t="s">
        <v>3734</v>
      </c>
      <c r="AH327" s="66">
        <f t="shared" si="68"/>
        <v>0.18570025046009936</v>
      </c>
      <c r="AI327" s="283">
        <f>RTD("money.excel",,$G327,"PredictVolume")</f>
        <v>1342</v>
      </c>
      <c r="AJ327" s="391">
        <f>IFERROR(VLOOKUP($G327,基本資料!$A:$M,13,0),"無")</f>
        <v>7226.7</v>
      </c>
      <c r="AR327" s="245" t="str">
        <f>INDEX(基本資料!N:N,MATCH($G327,基本資料!A:A,0))</f>
        <v>中</v>
      </c>
    </row>
    <row r="328" spans="1:44">
      <c r="A328" s="343">
        <f>IFERROR(VLOOKUP($G328,基本資料!$A:$J,3,0),"無")</f>
        <v>9.5299999999999994</v>
      </c>
      <c r="B328" s="79">
        <f>IFERROR(VLOOKUP($G328,基本資料!$A:$J,4,0),"無")</f>
        <v>-84</v>
      </c>
      <c r="C328" s="79">
        <f>IFERROR(VLOOKUP($G328,基本資料!$A:$J,5,0),"無")</f>
        <v>-93</v>
      </c>
      <c r="D328" s="79">
        <f>IFERROR(VLOOKUP($G328,基本資料!$A:$J,6,0),"無")</f>
        <v>-50</v>
      </c>
      <c r="E328" s="79">
        <f>IFERROR(VLOOKUP($G328,基本資料!$A:$J,7,0),"無")</f>
        <v>3</v>
      </c>
      <c r="F328" s="6">
        <f>IFERROR(VLOOKUP($G328,基本資料!$A:$J,8,0),"無")</f>
        <v>8.52</v>
      </c>
      <c r="G328" s="79">
        <v>4119</v>
      </c>
      <c r="H328" s="192" t="s">
        <v>309</v>
      </c>
      <c r="I328" s="22" t="s">
        <v>3735</v>
      </c>
      <c r="J328" s="8">
        <f>IFERROR(VLOOKUP($G328,今日總結!$A:$AN,39,0),"")</f>
        <v>0</v>
      </c>
      <c r="K328" s="5">
        <f>IFERROR(VLOOKUP($G328,今日總結!$A:$AN,40,0),"")</f>
        <v>0</v>
      </c>
      <c r="L328" s="156">
        <f>IFERROR(VLOOKUP($G328,今日總結!$A:$AN,37,0),"")</f>
        <v>0</v>
      </c>
      <c r="M328" s="337">
        <f>IFERROR(VLOOKUP($G328,今日總結!$A:$AN,38,0),"")</f>
        <v>0</v>
      </c>
      <c r="N328" s="240">
        <f t="shared" si="69"/>
        <v>0</v>
      </c>
      <c r="O328" s="359">
        <f>IFERROR(VLOOKUP($G328,融外自投!$A:$J,7,0),"無")</f>
        <v>950</v>
      </c>
      <c r="P328" s="79">
        <f>IFERROR(VLOOKUP($G328,融外自投!$A:$J,9,0),"無")</f>
        <v>741</v>
      </c>
      <c r="Q328" s="342">
        <f>IFERROR(VLOOKUP($G328,融外自投!$A:$J,8,0),"無")</f>
        <v>1039</v>
      </c>
      <c r="R328" s="81">
        <f>IFERROR(VLOOKUP($G328,融外自投!$A:$J,10,0),"無")</f>
        <v>459</v>
      </c>
      <c r="S328" s="324">
        <f>IFERROR(VLOOKUP($G328,'321買'!$A:$E,4,0),"'沒有資料'")</f>
        <v>696</v>
      </c>
      <c r="T328" s="186">
        <f>IFERROR(VLOOKUP($G328,基本資料!$A:$J,9,0),"無")</f>
        <v>0</v>
      </c>
      <c r="U328" s="307">
        <f t="shared" si="64"/>
        <v>0</v>
      </c>
      <c r="V328" s="94">
        <f>IFERROR(VLOOKUP($G328,基本資料!$A:$J,10,0),"無")</f>
        <v>0.57999999999999996</v>
      </c>
      <c r="W328" s="36">
        <f>RTD("money.excel",,"4119","Price")</f>
        <v>81.3</v>
      </c>
      <c r="X328" s="66"/>
      <c r="Y328" s="15">
        <f t="shared" si="65"/>
        <v>81.3</v>
      </c>
      <c r="Z328" s="3" t="e">
        <f t="shared" si="66"/>
        <v>#DIV/0!</v>
      </c>
      <c r="AA328" s="340">
        <f>IFERROR(VLOOKUP($G328,基本資料!$A:$M,11,0),"無")</f>
        <v>-13.23</v>
      </c>
      <c r="AB328" s="389">
        <f>IFERROR(VLOOKUP($G328,基本資料!$A:$M,12,0),"無")</f>
        <v>16.329999999999998</v>
      </c>
      <c r="AC328" s="22" t="s">
        <v>3735</v>
      </c>
      <c r="AF328" s="33">
        <f t="shared" si="67"/>
        <v>0</v>
      </c>
      <c r="AG328" s="117" t="s">
        <v>2449</v>
      </c>
      <c r="AH328" s="66">
        <f t="shared" si="68"/>
        <v>0.41687849517031011</v>
      </c>
      <c r="AI328" s="283">
        <f>RTD("money.excel",,$G328,"PredictVolume")</f>
        <v>82</v>
      </c>
      <c r="AJ328" s="391">
        <f>IFERROR(VLOOKUP($G328,基本資料!$A:$M,13,0),"無")</f>
        <v>196.7</v>
      </c>
      <c r="AR328" s="245" t="str">
        <f>INDEX(基本資料!N:N,MATCH($G328,基本資料!A:A,0))</f>
        <v>低</v>
      </c>
    </row>
    <row r="329" spans="1:44">
      <c r="A329" s="343">
        <f>IFERROR(VLOOKUP($G329,基本資料!$A:$J,3,0),"無")</f>
        <v>8.67</v>
      </c>
      <c r="B329" s="79">
        <f>IFERROR(VLOOKUP($G329,基本資料!$A:$J,4,0),"無")</f>
        <v>-30</v>
      </c>
      <c r="C329" s="79">
        <f>IFERROR(VLOOKUP($G329,基本資料!$A:$J,5,0),"無")</f>
        <v>-181</v>
      </c>
      <c r="D329" s="79">
        <f>IFERROR(VLOOKUP($G329,基本資料!$A:$J,6,0),"無")</f>
        <v>-14</v>
      </c>
      <c r="E329" s="79">
        <f>IFERROR(VLOOKUP($G329,基本資料!$A:$J,7,0),"無")</f>
        <v>4</v>
      </c>
      <c r="F329" s="6">
        <f>IFERROR(VLOOKUP($G329,基本資料!$A:$J,8,0),"無")</f>
        <v>-2.0099999999999998</v>
      </c>
      <c r="G329" s="79">
        <v>4120</v>
      </c>
      <c r="H329" s="8" t="s">
        <v>309</v>
      </c>
      <c r="I329" s="16" t="s">
        <v>3736</v>
      </c>
      <c r="J329" s="8">
        <f>IFERROR(VLOOKUP($G329,今日總結!$A:$AN,39,0),"")</f>
        <v>0</v>
      </c>
      <c r="K329" s="5">
        <f>IFERROR(VLOOKUP($G329,今日總結!$A:$AN,40,0),"")</f>
        <v>0</v>
      </c>
      <c r="L329" s="156">
        <f>IFERROR(VLOOKUP($G329,今日總結!$A:$AN,37,0),"")</f>
        <v>0</v>
      </c>
      <c r="M329" s="337">
        <f>IFERROR(VLOOKUP($G329,今日總結!$A:$AN,38,0),"")</f>
        <v>0</v>
      </c>
      <c r="N329" s="240">
        <f t="shared" si="69"/>
        <v>0</v>
      </c>
      <c r="O329" s="359">
        <f>IFERROR(VLOOKUP($G329,融外自投!$A:$J,7,0),"無")</f>
        <v>1183</v>
      </c>
      <c r="P329" s="79">
        <f>IFERROR(VLOOKUP($G329,融外自投!$A:$J,9,0),"無")</f>
        <v>825</v>
      </c>
      <c r="Q329" s="342">
        <f>IFERROR(VLOOKUP($G329,融外自投!$A:$J,8,0),"無")</f>
        <v>685</v>
      </c>
      <c r="R329" s="81" t="str">
        <f>IFERROR(VLOOKUP($G329,融外自投!$A:$J,10,0),"無")</f>
        <v>無</v>
      </c>
      <c r="S329" s="324">
        <f>IFERROR(VLOOKUP($G329,'321買'!$A:$E,4,0),"'沒有資料'")</f>
        <v>1002</v>
      </c>
      <c r="T329" s="186">
        <f>IFERROR(VLOOKUP($G329,基本資料!$A:$J,9,0),"無")</f>
        <v>0.85</v>
      </c>
      <c r="U329" s="307">
        <f t="shared" si="64"/>
        <v>2.4926686217008796E-2</v>
      </c>
      <c r="V329" s="94">
        <f>IFERROR(VLOOKUP($G329,基本資料!$A:$J,10,0),"無")</f>
        <v>1.39</v>
      </c>
      <c r="W329" s="36">
        <f>RTD("money.excel",,"4120","Price")</f>
        <v>34.1</v>
      </c>
      <c r="X329" s="66"/>
      <c r="Y329" s="15">
        <f t="shared" si="65"/>
        <v>34.1</v>
      </c>
      <c r="Z329" s="3" t="e">
        <f t="shared" si="66"/>
        <v>#DIV/0!</v>
      </c>
      <c r="AA329" s="340">
        <f>IFERROR(VLOOKUP($G329,基本資料!$A:$M,11,0),"無")</f>
        <v>-24.22</v>
      </c>
      <c r="AB329" s="389">
        <f>IFERROR(VLOOKUP($G329,基本資料!$A:$M,12,0),"無")</f>
        <v>23.52</v>
      </c>
      <c r="AC329" s="16" t="s">
        <v>3736</v>
      </c>
      <c r="AF329" s="33">
        <f t="shared" si="67"/>
        <v>0</v>
      </c>
      <c r="AG329" s="117" t="s">
        <v>3694</v>
      </c>
      <c r="AH329" s="66">
        <f t="shared" si="68"/>
        <v>1.1694915254237288</v>
      </c>
      <c r="AI329" s="283">
        <f>RTD("money.excel",,$G329,"PredictVolume")</f>
        <v>69</v>
      </c>
      <c r="AJ329" s="391">
        <f>IFERROR(VLOOKUP($G329,基本資料!$A:$M,13,0),"無")</f>
        <v>59</v>
      </c>
      <c r="AR329" s="245" t="str">
        <f>INDEX(基本資料!N:N,MATCH($G329,基本資料!A:A,0))</f>
        <v>低</v>
      </c>
    </row>
    <row r="330" spans="1:44">
      <c r="A330" s="343">
        <f>IFERROR(VLOOKUP($G330,基本資料!$A:$J,3,0),"無")</f>
        <v>8.44</v>
      </c>
      <c r="B330" s="79">
        <f>IFERROR(VLOOKUP($G330,基本資料!$A:$J,4,0),"無")</f>
        <v>-17</v>
      </c>
      <c r="C330" s="79">
        <f>IFERROR(VLOOKUP($G330,基本資料!$A:$J,5,0),"無")</f>
        <v>-9</v>
      </c>
      <c r="D330" s="79">
        <f>IFERROR(VLOOKUP($G330,基本資料!$A:$J,6,0),"無")</f>
        <v>51</v>
      </c>
      <c r="E330" s="79">
        <f>IFERROR(VLOOKUP($G330,基本資料!$A:$J,7,0),"無")</f>
        <v>51</v>
      </c>
      <c r="F330" s="6">
        <f>IFERROR(VLOOKUP($G330,基本資料!$A:$J,8,0),"無")</f>
        <v>3.4</v>
      </c>
      <c r="G330" s="79">
        <v>4121</v>
      </c>
      <c r="H330" s="8" t="s">
        <v>309</v>
      </c>
      <c r="I330" s="16" t="s">
        <v>3737</v>
      </c>
      <c r="J330" s="8">
        <f>IFERROR(VLOOKUP($G330,今日總結!$A:$AN,39,0),"")</f>
        <v>24</v>
      </c>
      <c r="K330" s="5">
        <f>IFERROR(VLOOKUP($G330,今日總結!$A:$AN,40,0),"")</f>
        <v>0</v>
      </c>
      <c r="L330" s="156">
        <f>IFERROR(VLOOKUP($G330,今日總結!$A:$AN,37,0),"")</f>
        <v>2</v>
      </c>
      <c r="M330" s="337">
        <f>IFERROR(VLOOKUP($G330,今日總結!$A:$AN,38,0),"")</f>
        <v>0</v>
      </c>
      <c r="N330" s="240">
        <f t="shared" si="69"/>
        <v>2</v>
      </c>
      <c r="O330" s="359">
        <f>IFERROR(VLOOKUP($G330,融外自投!$A:$J,7,0),"無")</f>
        <v>154</v>
      </c>
      <c r="P330" s="79">
        <f>IFERROR(VLOOKUP($G330,融外自投!$A:$J,9,0),"無")</f>
        <v>111</v>
      </c>
      <c r="Q330" s="342">
        <f>IFERROR(VLOOKUP($G330,融外自投!$A:$J,8,0),"無")</f>
        <v>829</v>
      </c>
      <c r="R330" s="81" t="str">
        <f>IFERROR(VLOOKUP($G330,融外自投!$A:$J,10,0),"無")</f>
        <v>無</v>
      </c>
      <c r="S330" s="324">
        <f>IFERROR(VLOOKUP($G330,'321買'!$A:$E,4,0),"'沒有資料'")</f>
        <v>231</v>
      </c>
      <c r="T330" s="186">
        <f>IFERROR(VLOOKUP($G330,基本資料!$A:$J,9,0),"無")</f>
        <v>1.1000000000000001</v>
      </c>
      <c r="U330" s="307">
        <f t="shared" si="64"/>
        <v>4.6709129511677286E-2</v>
      </c>
      <c r="V330" s="94">
        <f>IFERROR(VLOOKUP($G330,基本資料!$A:$J,10,0),"無")</f>
        <v>1.35</v>
      </c>
      <c r="W330" s="36">
        <f>RTD("money.excel",,"4121","Price")</f>
        <v>23.55</v>
      </c>
      <c r="X330" s="66"/>
      <c r="Y330" s="15">
        <f t="shared" si="65"/>
        <v>23.55</v>
      </c>
      <c r="Z330" s="3" t="e">
        <f t="shared" si="66"/>
        <v>#DIV/0!</v>
      </c>
      <c r="AA330" s="340">
        <f>IFERROR(VLOOKUP($G330,基本資料!$A:$M,11,0),"無")</f>
        <v>-31.64</v>
      </c>
      <c r="AB330" s="389">
        <f>IFERROR(VLOOKUP($G330,基本資料!$A:$M,12,0),"無")</f>
        <v>39.85</v>
      </c>
      <c r="AC330" s="16" t="s">
        <v>3737</v>
      </c>
      <c r="AF330" s="33">
        <f t="shared" si="67"/>
        <v>0</v>
      </c>
      <c r="AG330" s="43" t="s">
        <v>3688</v>
      </c>
      <c r="AH330" s="66">
        <f t="shared" si="68"/>
        <v>0.20687197846102595</v>
      </c>
      <c r="AI330" s="283">
        <f>RTD("money.excel",,$G330,"PredictVolume")</f>
        <v>4906</v>
      </c>
      <c r="AJ330" s="391">
        <f>IFERROR(VLOOKUP($G330,基本資料!$A:$M,13,0),"無")</f>
        <v>23715.15</v>
      </c>
      <c r="AR330" s="245" t="str">
        <f>INDEX(基本資料!N:N,MATCH($G330,基本資料!A:A,0))</f>
        <v>低</v>
      </c>
    </row>
    <row r="331" spans="1:44">
      <c r="A331" s="343">
        <f>IFERROR(VLOOKUP($G331,基本資料!$A:$J,3,0),"無")</f>
        <v>50.5</v>
      </c>
      <c r="B331" s="79">
        <f>IFERROR(VLOOKUP($G331,基本資料!$A:$J,4,0),"無")</f>
        <v>-55</v>
      </c>
      <c r="C331" s="79">
        <f>IFERROR(VLOOKUP($G331,基本資料!$A:$J,5,0),"無")</f>
        <v>46</v>
      </c>
      <c r="D331" s="79">
        <f>IFERROR(VLOOKUP($G331,基本資料!$A:$J,6,0),"無")</f>
        <v>16</v>
      </c>
      <c r="E331" s="79">
        <f>IFERROR(VLOOKUP($G331,基本資料!$A:$J,7,0),"無")</f>
        <v>28</v>
      </c>
      <c r="F331" s="6">
        <f>IFERROR(VLOOKUP($G331,基本資料!$A:$J,8,0),"無")</f>
        <v>-50.82</v>
      </c>
      <c r="G331" s="79">
        <v>4123</v>
      </c>
      <c r="H331" s="8" t="s">
        <v>309</v>
      </c>
      <c r="I331" s="16" t="s">
        <v>3738</v>
      </c>
      <c r="J331" s="8">
        <f>IFERROR(VLOOKUP($G331,今日總結!$A:$AN,39,0),"")</f>
        <v>0</v>
      </c>
      <c r="K331" s="5">
        <f>IFERROR(VLOOKUP($G331,今日總結!$A:$AN,40,0),"")</f>
        <v>0</v>
      </c>
      <c r="L331" s="156">
        <f>IFERROR(VLOOKUP($G331,今日總結!$A:$AN,37,0),"")</f>
        <v>0</v>
      </c>
      <c r="M331" s="337">
        <f>IFERROR(VLOOKUP($G331,今日總結!$A:$AN,38,0),"")</f>
        <v>0</v>
      </c>
      <c r="N331" s="240">
        <f t="shared" si="69"/>
        <v>0</v>
      </c>
      <c r="O331" s="359">
        <f>IFERROR(VLOOKUP($G331,融外自投!$A:$J,7,0),"無")</f>
        <v>760</v>
      </c>
      <c r="P331" s="79">
        <f>IFERROR(VLOOKUP($G331,融外自投!$A:$J,9,0),"無")</f>
        <v>990</v>
      </c>
      <c r="Q331" s="342">
        <f>IFERROR(VLOOKUP($G331,融外自投!$A:$J,8,0),"無")</f>
        <v>646</v>
      </c>
      <c r="R331" s="81">
        <f>IFERROR(VLOOKUP($G331,融外自投!$A:$J,10,0),"無")</f>
        <v>495</v>
      </c>
      <c r="S331" s="324">
        <f>IFERROR(VLOOKUP($G331,'321買'!$A:$E,4,0),"'沒有資料'")</f>
        <v>891</v>
      </c>
      <c r="T331" s="186">
        <f>IFERROR(VLOOKUP($G331,基本資料!$A:$J,9,0),"無")</f>
        <v>4</v>
      </c>
      <c r="U331" s="307">
        <f t="shared" si="64"/>
        <v>6.8376068376068383E-2</v>
      </c>
      <c r="V331" s="94">
        <f>IFERROR(VLOOKUP($G331,基本資料!$A:$J,10,0),"無")</f>
        <v>3.6</v>
      </c>
      <c r="W331" s="36">
        <f>RTD("money.excel",,"4123","Price")</f>
        <v>58.5</v>
      </c>
      <c r="X331" s="66"/>
      <c r="Y331" s="15">
        <f t="shared" si="65"/>
        <v>58.5</v>
      </c>
      <c r="Z331" s="3" t="e">
        <f t="shared" si="66"/>
        <v>#DIV/0!</v>
      </c>
      <c r="AA331" s="340">
        <f>IFERROR(VLOOKUP($G331,基本資料!$A:$M,11,0),"無")</f>
        <v>-20.73</v>
      </c>
      <c r="AB331" s="389">
        <f>IFERROR(VLOOKUP($G331,基本資料!$A:$M,12,0),"無")</f>
        <v>38.270000000000003</v>
      </c>
      <c r="AC331" s="16" t="s">
        <v>3738</v>
      </c>
      <c r="AF331" s="33">
        <f t="shared" si="67"/>
        <v>0</v>
      </c>
      <c r="AG331" s="117" t="s">
        <v>3739</v>
      </c>
      <c r="AH331" s="66">
        <f t="shared" si="68"/>
        <v>0.25007104290991761</v>
      </c>
      <c r="AI331" s="283">
        <f>RTD("money.excel",,$G331,"PredictVolume")</f>
        <v>528</v>
      </c>
      <c r="AJ331" s="391">
        <f>IFERROR(VLOOKUP($G331,基本資料!$A:$M,13,0),"無")</f>
        <v>2111.4</v>
      </c>
      <c r="AR331" s="245" t="str">
        <f>INDEX(基本資料!N:N,MATCH($G331,基本資料!A:A,0))</f>
        <v>低</v>
      </c>
    </row>
    <row r="332" spans="1:44">
      <c r="A332" s="343">
        <f>IFERROR(VLOOKUP($G332,基本資料!$A:$J,3,0),"無")</f>
        <v>7.26</v>
      </c>
      <c r="B332" s="79">
        <f>IFERROR(VLOOKUP($G332,基本資料!$A:$J,4,0),"無")</f>
        <v>17</v>
      </c>
      <c r="C332" s="79">
        <f>IFERROR(VLOOKUP($G332,基本資料!$A:$J,5,0),"無")</f>
        <v>-28</v>
      </c>
      <c r="D332" s="79">
        <f>IFERROR(VLOOKUP($G332,基本資料!$A:$J,6,0),"無")</f>
        <v>-22</v>
      </c>
      <c r="E332" s="79">
        <f>IFERROR(VLOOKUP($G332,基本資料!$A:$J,7,0),"無")</f>
        <v>-11</v>
      </c>
      <c r="F332" s="6">
        <f>IFERROR(VLOOKUP($G332,基本資料!$A:$J,8,0),"無")</f>
        <v>15.52</v>
      </c>
      <c r="G332" s="79">
        <v>4126</v>
      </c>
      <c r="H332" s="8" t="s">
        <v>309</v>
      </c>
      <c r="I332" s="16" t="s">
        <v>3740</v>
      </c>
      <c r="J332" s="8">
        <f>IFERROR(VLOOKUP($G332,今日總結!$A:$AN,39,0),"")</f>
        <v>0</v>
      </c>
      <c r="K332" s="5">
        <f>IFERROR(VLOOKUP($G332,今日總結!$A:$AN,40,0),"")</f>
        <v>0</v>
      </c>
      <c r="L332" s="156">
        <f>IFERROR(VLOOKUP($G332,今日總結!$A:$AN,37,0),"")</f>
        <v>0</v>
      </c>
      <c r="M332" s="337">
        <f>IFERROR(VLOOKUP($G332,今日總結!$A:$AN,38,0),"")</f>
        <v>0</v>
      </c>
      <c r="N332" s="240">
        <f t="shared" si="69"/>
        <v>0</v>
      </c>
      <c r="O332" s="359">
        <f>IFERROR(VLOOKUP($G332,融外自投!$A:$J,7,0),"無")</f>
        <v>854</v>
      </c>
      <c r="P332" s="79">
        <f>IFERROR(VLOOKUP($G332,融外自投!$A:$J,9,0),"無")</f>
        <v>577</v>
      </c>
      <c r="Q332" s="342">
        <f>IFERROR(VLOOKUP($G332,融外自投!$A:$J,8,0),"無")</f>
        <v>513</v>
      </c>
      <c r="R332" s="81" t="str">
        <f>IFERROR(VLOOKUP($G332,融外自投!$A:$J,10,0),"無")</f>
        <v>無</v>
      </c>
      <c r="S332" s="324">
        <f>IFERROR(VLOOKUP($G332,'321買'!$A:$E,4,0),"'沒有資料'")</f>
        <v>1002</v>
      </c>
      <c r="T332" s="186">
        <f>IFERROR(VLOOKUP($G332,基本資料!$A:$J,9,0),"無")</f>
        <v>4.5</v>
      </c>
      <c r="U332" s="307">
        <f t="shared" si="64"/>
        <v>6.311360448807854E-2</v>
      </c>
      <c r="V332" s="94">
        <f>IFERROR(VLOOKUP($G332,基本資料!$A:$J,10,0),"無")</f>
        <v>5.32</v>
      </c>
      <c r="W332" s="36">
        <f>RTD("money.excel",,"4126","Price")</f>
        <v>71.3</v>
      </c>
      <c r="X332" s="66"/>
      <c r="Y332" s="15">
        <f t="shared" si="65"/>
        <v>71.3</v>
      </c>
      <c r="Z332" s="3" t="e">
        <f t="shared" si="66"/>
        <v>#DIV/0!</v>
      </c>
      <c r="AA332" s="340">
        <f>IFERROR(VLOOKUP($G332,基本資料!$A:$M,11,0),"無")</f>
        <v>-8.59</v>
      </c>
      <c r="AB332" s="389">
        <f>IFERROR(VLOOKUP($G332,基本資料!$A:$M,12,0),"無")</f>
        <v>21.7</v>
      </c>
      <c r="AC332" s="16" t="s">
        <v>3740</v>
      </c>
      <c r="AF332" s="33">
        <f t="shared" si="67"/>
        <v>0</v>
      </c>
      <c r="AG332" s="117" t="s">
        <v>3741</v>
      </c>
      <c r="AH332" s="66">
        <f t="shared" si="68"/>
        <v>0.81868131868131866</v>
      </c>
      <c r="AI332" s="283">
        <f>RTD("money.excel",,$G332,"PredictVolume")</f>
        <v>149</v>
      </c>
      <c r="AJ332" s="391">
        <f>IFERROR(VLOOKUP($G332,基本資料!$A:$M,13,0),"無")</f>
        <v>182</v>
      </c>
      <c r="AR332" s="245" t="str">
        <f>INDEX(基本資料!N:N,MATCH($G332,基本資料!A:A,0))</f>
        <v>中</v>
      </c>
    </row>
    <row r="333" spans="1:44">
      <c r="A333" s="343">
        <f>IFERROR(VLOOKUP($G333,基本資料!$A:$J,3,0),"無")</f>
        <v>4.57</v>
      </c>
      <c r="B333" s="79">
        <f>IFERROR(VLOOKUP($G333,基本資料!$A:$J,4,0),"無")</f>
        <v>190</v>
      </c>
      <c r="C333" s="79">
        <f>IFERROR(VLOOKUP($G333,基本資料!$A:$J,5,0),"無")</f>
        <v>184</v>
      </c>
      <c r="D333" s="79">
        <f>IFERROR(VLOOKUP($G333,基本資料!$A:$J,6,0),"無")</f>
        <v>-6</v>
      </c>
      <c r="E333" s="79">
        <f>IFERROR(VLOOKUP($G333,基本資料!$A:$J,7,0),"無")</f>
        <v>10</v>
      </c>
      <c r="F333" s="6">
        <f>IFERROR(VLOOKUP($G333,基本資料!$A:$J,8,0),"無")</f>
        <v>7.52</v>
      </c>
      <c r="G333" s="79">
        <v>4127</v>
      </c>
      <c r="H333" s="8" t="s">
        <v>309</v>
      </c>
      <c r="I333" s="16" t="s">
        <v>3742</v>
      </c>
      <c r="J333" s="8" t="str">
        <f>IFERROR(VLOOKUP($G333,今日總結!$A:$AN,39,0),"")</f>
        <v/>
      </c>
      <c r="K333" s="5" t="str">
        <f>IFERROR(VLOOKUP($G333,今日總結!$A:$AN,40,0),"")</f>
        <v/>
      </c>
      <c r="L333" s="156" t="str">
        <f>IFERROR(VLOOKUP($G333,今日總結!$A:$AN,37,0),"")</f>
        <v/>
      </c>
      <c r="M333" s="337" t="str">
        <f>IFERROR(VLOOKUP($G333,今日總結!$A:$AN,38,0),"")</f>
        <v/>
      </c>
      <c r="N333" s="240" t="str">
        <f t="shared" si="69"/>
        <v/>
      </c>
      <c r="O333" s="359" t="str">
        <f>IFERROR(VLOOKUP($G333,融外自投!$A:$J,7,0),"無")</f>
        <v>無</v>
      </c>
      <c r="P333" s="79" t="str">
        <f>IFERROR(VLOOKUP($G333,融外自投!$A:$J,9,0),"無")</f>
        <v>無</v>
      </c>
      <c r="Q333" s="342" t="str">
        <f>IFERROR(VLOOKUP($G333,融外自投!$A:$J,8,0),"無")</f>
        <v>無</v>
      </c>
      <c r="R333" s="81" t="str">
        <f>IFERROR(VLOOKUP($G333,融外自投!$A:$J,10,0),"無")</f>
        <v>無</v>
      </c>
      <c r="S333" s="324" t="str">
        <f>IFERROR(VLOOKUP($G333,'321買'!$A:$E,4,0),"'沒有資料'")</f>
        <v>'沒有資料'</v>
      </c>
      <c r="T333" s="186">
        <f>IFERROR(VLOOKUP($G333,基本資料!$A:$J,9,0),"無")</f>
        <v>0</v>
      </c>
      <c r="U333" s="307">
        <f t="shared" si="64"/>
        <v>0</v>
      </c>
      <c r="V333" s="94">
        <f>IFERROR(VLOOKUP($G333,基本資料!$A:$J,10,0),"無")</f>
        <v>1.02</v>
      </c>
      <c r="W333" s="36">
        <f>RTD("money.excel",,"4127","Price")</f>
        <v>14.6</v>
      </c>
      <c r="X333" s="66"/>
      <c r="Y333" s="15">
        <f t="shared" si="65"/>
        <v>14.6</v>
      </c>
      <c r="Z333" s="3" t="e">
        <f t="shared" si="66"/>
        <v>#DIV/0!</v>
      </c>
      <c r="AA333" s="340">
        <f>IFERROR(VLOOKUP($G333,基本資料!$A:$M,11,0),"無")</f>
        <v>-27.9</v>
      </c>
      <c r="AB333" s="389">
        <f>IFERROR(VLOOKUP($G333,基本資料!$A:$M,12,0),"無")</f>
        <v>37.36</v>
      </c>
      <c r="AC333" s="16" t="s">
        <v>3742</v>
      </c>
      <c r="AF333" s="33">
        <f t="shared" si="67"/>
        <v>0</v>
      </c>
      <c r="AG333" s="43" t="s">
        <v>2450</v>
      </c>
      <c r="AH333" s="66">
        <f t="shared" si="68"/>
        <v>0.24790471989413321</v>
      </c>
      <c r="AI333" s="283">
        <f>RTD("money.excel",,$G333,"PredictVolume")</f>
        <v>562</v>
      </c>
      <c r="AJ333" s="391">
        <f>IFERROR(VLOOKUP($G333,基本資料!$A:$M,13,0),"無")</f>
        <v>2267</v>
      </c>
      <c r="AR333" s="245" t="str">
        <f>INDEX(基本資料!N:N,MATCH($G333,基本資料!A:A,0))</f>
        <v>中</v>
      </c>
    </row>
    <row r="334" spans="1:44">
      <c r="A334" s="343">
        <f>IFERROR(VLOOKUP($G334,基本資料!$A:$J,3,0),"無")</f>
        <v>46.63</v>
      </c>
      <c r="B334" s="79">
        <f>IFERROR(VLOOKUP($G334,基本資料!$A:$J,4,0),"無")</f>
        <v>-144</v>
      </c>
      <c r="C334" s="79">
        <f>IFERROR(VLOOKUP($G334,基本資料!$A:$J,5,0),"無")</f>
        <v>-5</v>
      </c>
      <c r="D334" s="79">
        <f>IFERROR(VLOOKUP($G334,基本資料!$A:$J,6,0),"無")</f>
        <v>49</v>
      </c>
      <c r="E334" s="79">
        <f>IFERROR(VLOOKUP($G334,基本資料!$A:$J,7,0),"無")</f>
        <v>61</v>
      </c>
      <c r="F334" s="6">
        <f>IFERROR(VLOOKUP($G334,基本資料!$A:$J,8,0),"無")</f>
        <v>-65.17</v>
      </c>
      <c r="G334" s="79">
        <v>4128</v>
      </c>
      <c r="H334" s="8" t="s">
        <v>309</v>
      </c>
      <c r="I334" s="16" t="s">
        <v>3743</v>
      </c>
      <c r="J334" s="8">
        <f>IFERROR(VLOOKUP($G334,今日總結!$A:$AN,39,0),"")</f>
        <v>0</v>
      </c>
      <c r="K334" s="5">
        <f>IFERROR(VLOOKUP($G334,今日總結!$A:$AN,40,0),"")</f>
        <v>0</v>
      </c>
      <c r="L334" s="156">
        <f>IFERROR(VLOOKUP($G334,今日總結!$A:$AN,37,0),"")</f>
        <v>0</v>
      </c>
      <c r="M334" s="337">
        <f>IFERROR(VLOOKUP($G334,今日總結!$A:$AN,38,0),"")</f>
        <v>0</v>
      </c>
      <c r="N334" s="240">
        <f t="shared" si="69"/>
        <v>0</v>
      </c>
      <c r="O334" s="359">
        <f>IFERROR(VLOOKUP($G334,融外自投!$A:$J,7,0),"無")</f>
        <v>371</v>
      </c>
      <c r="P334" s="79">
        <f>IFERROR(VLOOKUP($G334,融外自投!$A:$J,9,0),"無")</f>
        <v>649</v>
      </c>
      <c r="Q334" s="342">
        <f>IFERROR(VLOOKUP($G334,融外自投!$A:$J,8,0),"無")</f>
        <v>712</v>
      </c>
      <c r="R334" s="81">
        <f>IFERROR(VLOOKUP($G334,融外自投!$A:$J,10,0),"無")</f>
        <v>476</v>
      </c>
      <c r="S334" s="324">
        <f>IFERROR(VLOOKUP($G334,'321買'!$A:$E,4,0),"'沒有資料'")</f>
        <v>743</v>
      </c>
      <c r="T334" s="186">
        <f>IFERROR(VLOOKUP($G334,基本資料!$A:$J,9,0),"無")</f>
        <v>1</v>
      </c>
      <c r="U334" s="307">
        <f t="shared" si="64"/>
        <v>1.7605633802816902E-2</v>
      </c>
      <c r="V334" s="94">
        <f>IFERROR(VLOOKUP($G334,基本資料!$A:$J,10,0),"無")</f>
        <v>0.11</v>
      </c>
      <c r="W334" s="36">
        <f>RTD("money.excel",,"4128","Price")</f>
        <v>56.8</v>
      </c>
      <c r="X334" s="66"/>
      <c r="Y334" s="15">
        <f t="shared" si="65"/>
        <v>56.8</v>
      </c>
      <c r="Z334" s="3" t="e">
        <f t="shared" si="66"/>
        <v>#DIV/0!</v>
      </c>
      <c r="AA334" s="340">
        <f>IFERROR(VLOOKUP($G334,基本資料!$A:$M,11,0),"無")</f>
        <v>-24.57</v>
      </c>
      <c r="AB334" s="389">
        <f>IFERROR(VLOOKUP($G334,基本資料!$A:$M,12,0),"無")</f>
        <v>22.43</v>
      </c>
      <c r="AC334" s="16" t="s">
        <v>3743</v>
      </c>
      <c r="AF334" s="33">
        <f t="shared" si="67"/>
        <v>0</v>
      </c>
      <c r="AG334" s="43" t="s">
        <v>3744</v>
      </c>
      <c r="AH334" s="66">
        <f t="shared" si="68"/>
        <v>0.35041282541019353</v>
      </c>
      <c r="AI334" s="283">
        <f>RTD("money.excel",,$G334,"PredictVolume")</f>
        <v>1165</v>
      </c>
      <c r="AJ334" s="391">
        <f>IFERROR(VLOOKUP($G334,基本資料!$A:$M,13,0),"無")</f>
        <v>3324.65</v>
      </c>
      <c r="AR334" s="245" t="str">
        <f>INDEX(基本資料!N:N,MATCH($G334,基本資料!A:A,0))</f>
        <v>低</v>
      </c>
    </row>
    <row r="335" spans="1:44">
      <c r="A335" s="343">
        <f>IFERROR(VLOOKUP($G335,基本資料!$A:$J,3,0),"無")</f>
        <v>7.81</v>
      </c>
      <c r="B335" s="79">
        <f>IFERROR(VLOOKUP($G335,基本資料!$A:$J,4,0),"無")</f>
        <v>-47</v>
      </c>
      <c r="C335" s="79">
        <f>IFERROR(VLOOKUP($G335,基本資料!$A:$J,5,0),"無")</f>
        <v>79</v>
      </c>
      <c r="D335" s="79">
        <f>IFERROR(VLOOKUP($G335,基本資料!$A:$J,6,0),"無")</f>
        <v>-18</v>
      </c>
      <c r="E335" s="79">
        <f>IFERROR(VLOOKUP($G335,基本資料!$A:$J,7,0),"無")</f>
        <v>1</v>
      </c>
      <c r="F335" s="6">
        <f>IFERROR(VLOOKUP($G335,基本資料!$A:$J,8,0),"無")</f>
        <v>6.28</v>
      </c>
      <c r="G335" s="79">
        <v>4129</v>
      </c>
      <c r="H335" s="8" t="s">
        <v>309</v>
      </c>
      <c r="I335" s="16" t="s">
        <v>3745</v>
      </c>
      <c r="J335" s="8">
        <f>IFERROR(VLOOKUP($G335,今日總結!$A:$AN,39,0),"")</f>
        <v>0</v>
      </c>
      <c r="K335" s="5">
        <f>IFERROR(VLOOKUP($G335,今日總結!$A:$AN,40,0),"")</f>
        <v>0</v>
      </c>
      <c r="L335" s="156">
        <f>IFERROR(VLOOKUP($G335,今日總結!$A:$AN,37,0),"")</f>
        <v>0</v>
      </c>
      <c r="M335" s="337">
        <f>IFERROR(VLOOKUP($G335,今日總結!$A:$AN,38,0),"")</f>
        <v>0</v>
      </c>
      <c r="N335" s="240">
        <f t="shared" ref="N335:N395" si="70">IFERROR(L335-M335,"")</f>
        <v>0</v>
      </c>
      <c r="O335" s="359">
        <f>IFERROR(VLOOKUP($G335,融外自投!$A:$J,7,0),"無")</f>
        <v>1049</v>
      </c>
      <c r="P335" s="79">
        <f>IFERROR(VLOOKUP($G335,融外自投!$A:$J,9,0),"無")</f>
        <v>869</v>
      </c>
      <c r="Q335" s="342">
        <f>IFERROR(VLOOKUP($G335,融外自投!$A:$J,8,0),"無")</f>
        <v>578</v>
      </c>
      <c r="R335" s="81">
        <f>IFERROR(VLOOKUP($G335,融外自投!$A:$J,10,0),"無")</f>
        <v>238</v>
      </c>
      <c r="S335" s="324">
        <f>IFERROR(VLOOKUP($G335,'321買'!$A:$E,4,0),"'沒有資料'")</f>
        <v>1002</v>
      </c>
      <c r="T335" s="186">
        <f>IFERROR(VLOOKUP($G335,基本資料!$A:$J,9,0),"無")</f>
        <v>0</v>
      </c>
      <c r="U335" s="307">
        <f t="shared" si="64"/>
        <v>0</v>
      </c>
      <c r="V335" s="94">
        <f>IFERROR(VLOOKUP($G335,基本資料!$A:$J,10,0),"無")</f>
        <v>0.37</v>
      </c>
      <c r="W335" s="36">
        <f>RTD("money.excel",,"4129","Price")</f>
        <v>28</v>
      </c>
      <c r="X335" s="66"/>
      <c r="Y335" s="15">
        <f t="shared" si="65"/>
        <v>28</v>
      </c>
      <c r="Z335" s="3" t="e">
        <f t="shared" si="66"/>
        <v>#DIV/0!</v>
      </c>
      <c r="AA335" s="340">
        <f>IFERROR(VLOOKUP($G335,基本資料!$A:$M,11,0),"無")</f>
        <v>-19.309999999999999</v>
      </c>
      <c r="AB335" s="389">
        <f>IFERROR(VLOOKUP($G335,基本資料!$A:$M,12,0),"無")</f>
        <v>28.83</v>
      </c>
      <c r="AC335" s="16" t="s">
        <v>3745</v>
      </c>
      <c r="AF335" s="33">
        <f t="shared" si="67"/>
        <v>0</v>
      </c>
      <c r="AG335" s="43" t="s">
        <v>3746</v>
      </c>
      <c r="AH335" s="66">
        <f t="shared" si="68"/>
        <v>0.81556303778525996</v>
      </c>
      <c r="AI335" s="283">
        <f>RTD("money.excel",,$G335,"PredictVolume")</f>
        <v>109</v>
      </c>
      <c r="AJ335" s="391">
        <f>IFERROR(VLOOKUP($G335,基本資料!$A:$M,13,0),"無")</f>
        <v>133.65</v>
      </c>
      <c r="AR335" s="245" t="str">
        <f>INDEX(基本資料!N:N,MATCH($G335,基本資料!A:A,0))</f>
        <v>低</v>
      </c>
    </row>
    <row r="336" spans="1:44">
      <c r="A336" s="343">
        <f>IFERROR(VLOOKUP($G336,基本資料!$A:$J,3,0),"無")</f>
        <v>10.93</v>
      </c>
      <c r="B336" s="79">
        <f>IFERROR(VLOOKUP($G336,基本資料!$A:$J,4,0),"無")</f>
        <v>-99</v>
      </c>
      <c r="C336" s="79">
        <f>IFERROR(VLOOKUP($G336,基本資料!$A:$J,5,0),"無")</f>
        <v>-102</v>
      </c>
      <c r="D336" s="79">
        <f>IFERROR(VLOOKUP($G336,基本資料!$A:$J,6,0),"無")</f>
        <v>-2</v>
      </c>
      <c r="E336" s="79">
        <f>IFERROR(VLOOKUP($G336,基本資料!$A:$J,7,0),"無")</f>
        <v>10</v>
      </c>
      <c r="F336" s="6">
        <f>IFERROR(VLOOKUP($G336,基本資料!$A:$J,8,0),"無")</f>
        <v>-0.27</v>
      </c>
      <c r="G336" s="79">
        <v>4130</v>
      </c>
      <c r="H336" s="8" t="s">
        <v>309</v>
      </c>
      <c r="I336" s="16" t="s">
        <v>3747</v>
      </c>
      <c r="J336" s="8">
        <f>IFERROR(VLOOKUP($G336,今日總結!$A:$AN,39,0),"")</f>
        <v>0</v>
      </c>
      <c r="K336" s="5" t="str">
        <f>IFERROR(VLOOKUP($G336,今日總結!$A:$AN,40,0),"")</f>
        <v>融借</v>
      </c>
      <c r="L336" s="156">
        <f>IFERROR(VLOOKUP($G336,今日總結!$A:$AN,37,0),"")</f>
        <v>0</v>
      </c>
      <c r="M336" s="337">
        <f>IFERROR(VLOOKUP($G336,今日總結!$A:$AN,38,0),"")</f>
        <v>10</v>
      </c>
      <c r="N336" s="240">
        <f t="shared" si="70"/>
        <v>-10</v>
      </c>
      <c r="O336" s="359">
        <f>IFERROR(VLOOKUP($G336,融外自投!$A:$J,7,0),"無")</f>
        <v>667</v>
      </c>
      <c r="P336" s="79">
        <f>IFERROR(VLOOKUP($G336,融外自投!$A:$J,9,0),"無")</f>
        <v>433</v>
      </c>
      <c r="Q336" s="342">
        <f>IFERROR(VLOOKUP($G336,融外自投!$A:$J,8,0),"無")</f>
        <v>1305</v>
      </c>
      <c r="R336" s="81" t="str">
        <f>IFERROR(VLOOKUP($G336,融外自投!$A:$J,10,0),"無")</f>
        <v>無</v>
      </c>
      <c r="S336" s="324">
        <f>IFERROR(VLOOKUP($G336,'321買'!$A:$E,4,0),"'沒有資料'")</f>
        <v>743</v>
      </c>
      <c r="T336" s="186">
        <f>IFERROR(VLOOKUP($G336,基本資料!$A:$J,9,0),"無")</f>
        <v>0.35</v>
      </c>
      <c r="U336" s="307">
        <f t="shared" si="64"/>
        <v>1.4403292181069957E-2</v>
      </c>
      <c r="V336" s="94">
        <f>IFERROR(VLOOKUP($G336,基本資料!$A:$J,10,0),"無")</f>
        <v>0</v>
      </c>
      <c r="W336" s="36">
        <f>RTD("money.excel",,"4130","Price")</f>
        <v>24.3</v>
      </c>
      <c r="X336" s="66"/>
      <c r="Y336" s="15">
        <f t="shared" si="65"/>
        <v>24.3</v>
      </c>
      <c r="Z336" s="3" t="e">
        <f t="shared" si="66"/>
        <v>#DIV/0!</v>
      </c>
      <c r="AA336" s="340">
        <f>IFERROR(VLOOKUP($G336,基本資料!$A:$M,11,0),"無")</f>
        <v>-26.03</v>
      </c>
      <c r="AB336" s="389">
        <f>IFERROR(VLOOKUP($G336,基本資料!$A:$M,12,0),"無")</f>
        <v>23.1</v>
      </c>
      <c r="AC336" s="16" t="s">
        <v>3747</v>
      </c>
      <c r="AF336" s="33">
        <f t="shared" si="67"/>
        <v>0</v>
      </c>
      <c r="AG336" s="43" t="s">
        <v>3748</v>
      </c>
      <c r="AH336" s="66">
        <f t="shared" si="68"/>
        <v>7.6115446696974634E-2</v>
      </c>
      <c r="AI336" s="283">
        <f>RTD("money.excel",,$G336,"PredictVolume")</f>
        <v>257</v>
      </c>
      <c r="AJ336" s="391">
        <f>IFERROR(VLOOKUP($G336,基本資料!$A:$M,13,0),"無")</f>
        <v>3376.45</v>
      </c>
      <c r="AR336" s="245" t="str">
        <f>INDEX(基本資料!N:N,MATCH($G336,基本資料!A:A,0))</f>
        <v>低</v>
      </c>
    </row>
    <row r="337" spans="1:44">
      <c r="A337" s="343">
        <f>IFERROR(VLOOKUP($G337,基本資料!$A:$J,3,0),"無")</f>
        <v>1.9</v>
      </c>
      <c r="B337" s="79">
        <f>IFERROR(VLOOKUP($G337,基本資料!$A:$J,4,0),"無")</f>
        <v>17</v>
      </c>
      <c r="C337" s="79">
        <f>IFERROR(VLOOKUP($G337,基本資料!$A:$J,5,0),"無")</f>
        <v>15</v>
      </c>
      <c r="D337" s="79">
        <f>IFERROR(VLOOKUP($G337,基本資料!$A:$J,6,0),"無")</f>
        <v>-51</v>
      </c>
      <c r="E337" s="79">
        <f>IFERROR(VLOOKUP($G337,基本資料!$A:$J,7,0),"無")</f>
        <v>-43</v>
      </c>
      <c r="F337" s="6">
        <f>IFERROR(VLOOKUP($G337,基本資料!$A:$J,8,0),"無")</f>
        <v>-31.85</v>
      </c>
      <c r="G337" s="79">
        <v>4131</v>
      </c>
      <c r="H337" s="8" t="s">
        <v>309</v>
      </c>
      <c r="I337" s="16" t="s">
        <v>3749</v>
      </c>
      <c r="J337" s="8" t="str">
        <f>IFERROR(VLOOKUP($G337,今日總結!$A:$AN,39,0),"")</f>
        <v/>
      </c>
      <c r="K337" s="5" t="str">
        <f>IFERROR(VLOOKUP($G337,今日總結!$A:$AN,40,0),"")</f>
        <v/>
      </c>
      <c r="L337" s="156" t="str">
        <f>IFERROR(VLOOKUP($G337,今日總結!$A:$AN,37,0),"")</f>
        <v/>
      </c>
      <c r="M337" s="337" t="str">
        <f>IFERROR(VLOOKUP($G337,今日總結!$A:$AN,38,0),"")</f>
        <v/>
      </c>
      <c r="N337" s="240" t="str">
        <f t="shared" si="70"/>
        <v/>
      </c>
      <c r="O337" s="359" t="str">
        <f>IFERROR(VLOOKUP($G337,融外自投!$A:$J,7,0),"無")</f>
        <v>無</v>
      </c>
      <c r="P337" s="79" t="str">
        <f>IFERROR(VLOOKUP($G337,融外自投!$A:$J,9,0),"無")</f>
        <v>無</v>
      </c>
      <c r="Q337" s="342" t="str">
        <f>IFERROR(VLOOKUP($G337,融外自投!$A:$J,8,0),"無")</f>
        <v>無</v>
      </c>
      <c r="R337" s="81" t="str">
        <f>IFERROR(VLOOKUP($G337,融外自投!$A:$J,10,0),"無")</f>
        <v>無</v>
      </c>
      <c r="S337" s="324" t="str">
        <f>IFERROR(VLOOKUP($G337,'321買'!$A:$E,4,0),"'沒有資料'")</f>
        <v>'沒有資料'</v>
      </c>
      <c r="T337" s="186">
        <f>IFERROR(VLOOKUP($G337,基本資料!$A:$J,9,0),"無")</f>
        <v>0</v>
      </c>
      <c r="U337" s="307">
        <f t="shared" si="64"/>
        <v>0</v>
      </c>
      <c r="V337" s="94">
        <f>IFERROR(VLOOKUP($G337,基本資料!$A:$J,10,0),"無")</f>
        <v>-0.91</v>
      </c>
      <c r="W337" s="36">
        <f>RTD("money.excel",,"4131","Price")</f>
        <v>14.2</v>
      </c>
      <c r="X337" s="66"/>
      <c r="Y337" s="15">
        <f t="shared" si="65"/>
        <v>14.2</v>
      </c>
      <c r="Z337" s="3" t="e">
        <f t="shared" si="66"/>
        <v>#DIV/0!</v>
      </c>
      <c r="AA337" s="340">
        <f>IFERROR(VLOOKUP($G337,基本資料!$A:$M,11,0),"無")</f>
        <v>-21.76</v>
      </c>
      <c r="AB337" s="389">
        <f>IFERROR(VLOOKUP($G337,基本資料!$A:$M,12,0),"無")</f>
        <v>29.87</v>
      </c>
      <c r="AC337" s="16" t="s">
        <v>3749</v>
      </c>
      <c r="AF337" s="33">
        <f t="shared" si="67"/>
        <v>0</v>
      </c>
      <c r="AG337" s="43" t="s">
        <v>3750</v>
      </c>
      <c r="AH337" s="66">
        <f t="shared" si="68"/>
        <v>2.0779220779220777</v>
      </c>
      <c r="AI337" s="283">
        <f>RTD("money.excel",,$G337,"PredictVolume")</f>
        <v>8</v>
      </c>
      <c r="AJ337" s="391">
        <f>IFERROR(VLOOKUP($G337,基本資料!$A:$M,13,0),"無")</f>
        <v>3.85</v>
      </c>
      <c r="AR337" s="245" t="str">
        <f>INDEX(基本資料!N:N,MATCH($G337,基本資料!A:A,0))</f>
        <v>高</v>
      </c>
    </row>
    <row r="338" spans="1:44">
      <c r="A338" s="343">
        <f>IFERROR(VLOOKUP($G338,基本資料!$A:$J,3,0),"無")</f>
        <v>6.05</v>
      </c>
      <c r="B338" s="79">
        <f>IFERROR(VLOOKUP($G338,基本資料!$A:$J,4,0),"無")</f>
        <v>-22</v>
      </c>
      <c r="C338" s="79">
        <f>IFERROR(VLOOKUP($G338,基本資料!$A:$J,5,0),"無")</f>
        <v>-24</v>
      </c>
      <c r="D338" s="79">
        <f>IFERROR(VLOOKUP($G338,基本資料!$A:$J,6,0),"無")</f>
        <v>0</v>
      </c>
      <c r="E338" s="79">
        <f>IFERROR(VLOOKUP($G338,基本資料!$A:$J,7,0),"無")</f>
        <v>13</v>
      </c>
      <c r="F338" s="6">
        <f>IFERROR(VLOOKUP($G338,基本資料!$A:$J,8,0),"無")</f>
        <v>9.7100000000000009</v>
      </c>
      <c r="G338" s="79">
        <v>4133</v>
      </c>
      <c r="H338" s="8" t="s">
        <v>309</v>
      </c>
      <c r="I338" s="22" t="s">
        <v>3751</v>
      </c>
      <c r="J338" s="8" t="str">
        <f>IFERROR(VLOOKUP($G338,今日總結!$A:$AN,39,0),"")</f>
        <v>24外</v>
      </c>
      <c r="K338" s="5">
        <f>IFERROR(VLOOKUP($G338,今日總結!$A:$AN,40,0),"")</f>
        <v>0</v>
      </c>
      <c r="L338" s="156">
        <f>IFERROR(VLOOKUP($G338,今日總結!$A:$AN,37,0),"")</f>
        <v>3</v>
      </c>
      <c r="M338" s="337">
        <f>IFERROR(VLOOKUP($G338,今日總結!$A:$AN,38,0),"")</f>
        <v>0</v>
      </c>
      <c r="N338" s="240">
        <f t="shared" si="70"/>
        <v>3</v>
      </c>
      <c r="O338" s="359">
        <f>IFERROR(VLOOKUP($G338,融外自投!$A:$J,7,0),"無")</f>
        <v>151</v>
      </c>
      <c r="P338" s="79">
        <f>IFERROR(VLOOKUP($G338,融外自投!$A:$J,9,0),"無")</f>
        <v>37</v>
      </c>
      <c r="Q338" s="342">
        <f>IFERROR(VLOOKUP($G338,融外自投!$A:$J,8,0),"無")</f>
        <v>273</v>
      </c>
      <c r="R338" s="81" t="str">
        <f>IFERROR(VLOOKUP($G338,融外自投!$A:$J,10,0),"無")</f>
        <v>無</v>
      </c>
      <c r="S338" s="324">
        <f>IFERROR(VLOOKUP($G338,'321買'!$A:$E,4,0),"'沒有資料'")</f>
        <v>86</v>
      </c>
      <c r="T338" s="186">
        <f>IFERROR(VLOOKUP($G338,基本資料!$A:$J,9,0),"無")</f>
        <v>0.46</v>
      </c>
      <c r="U338" s="307">
        <f t="shared" si="64"/>
        <v>9.5634095634095639E-3</v>
      </c>
      <c r="V338" s="94">
        <f>IFERROR(VLOOKUP($G338,基本資料!$A:$J,10,0),"無")</f>
        <v>0.47</v>
      </c>
      <c r="W338" s="36">
        <f>RTD("money.excel",,"4133","Price")</f>
        <v>48.1</v>
      </c>
      <c r="X338" s="66"/>
      <c r="Y338" s="15">
        <f t="shared" si="65"/>
        <v>48.1</v>
      </c>
      <c r="Z338" s="3" t="e">
        <f t="shared" si="66"/>
        <v>#DIV/0!</v>
      </c>
      <c r="AA338" s="340">
        <f>IFERROR(VLOOKUP($G338,基本資料!$A:$M,11,0),"無")</f>
        <v>-43.35</v>
      </c>
      <c r="AB338" s="389">
        <f>IFERROR(VLOOKUP($G338,基本資料!$A:$M,12,0),"無")</f>
        <v>41.15</v>
      </c>
      <c r="AC338" s="22" t="s">
        <v>3751</v>
      </c>
      <c r="AF338" s="33">
        <f t="shared" si="67"/>
        <v>0</v>
      </c>
      <c r="AG338" s="43" t="s">
        <v>3752</v>
      </c>
      <c r="AH338" s="66">
        <f t="shared" si="68"/>
        <v>0.8387439052118334</v>
      </c>
      <c r="AI338" s="283">
        <f>RTD("money.excel",,$G338,"PredictVolume")</f>
        <v>8300</v>
      </c>
      <c r="AJ338" s="391">
        <f>IFERROR(VLOOKUP($G338,基本資料!$A:$M,13,0),"無")</f>
        <v>9895.75</v>
      </c>
      <c r="AR338" s="245" t="str">
        <f>INDEX(基本資料!N:N,MATCH($G338,基本資料!A:A,0))</f>
        <v>低</v>
      </c>
    </row>
    <row r="339" spans="1:44">
      <c r="A339" s="343">
        <f>IFERROR(VLOOKUP($G339,基本資料!$A:$J,3,0),"無")</f>
        <v>7.94</v>
      </c>
      <c r="B339" s="79">
        <f>IFERROR(VLOOKUP($G339,基本資料!$A:$J,4,0),"無")</f>
        <v>41</v>
      </c>
      <c r="C339" s="79">
        <f>IFERROR(VLOOKUP($G339,基本資料!$A:$J,5,0),"無")</f>
        <v>58</v>
      </c>
      <c r="D339" s="79">
        <f>IFERROR(VLOOKUP($G339,基本資料!$A:$J,6,0),"無")</f>
        <v>-72</v>
      </c>
      <c r="E339" s="79">
        <f>IFERROR(VLOOKUP($G339,基本資料!$A:$J,7,0),"無")</f>
        <v>-73</v>
      </c>
      <c r="F339" s="6">
        <f>IFERROR(VLOOKUP($G339,基本資料!$A:$J,8,0),"無")</f>
        <v>33.61</v>
      </c>
      <c r="G339" s="79">
        <v>4137</v>
      </c>
      <c r="H339" s="8" t="s">
        <v>309</v>
      </c>
      <c r="I339" s="22" t="s">
        <v>3753</v>
      </c>
      <c r="J339" s="8">
        <f>IFERROR(VLOOKUP($G339,今日總結!$A:$AN,39,0),"")</f>
        <v>0</v>
      </c>
      <c r="K339" s="5">
        <f>IFERROR(VLOOKUP($G339,今日總結!$A:$AN,40,0),"")</f>
        <v>0</v>
      </c>
      <c r="L339" s="156">
        <f>IFERROR(VLOOKUP($G339,今日總結!$A:$AN,37,0),"")</f>
        <v>0</v>
      </c>
      <c r="M339" s="337">
        <f>IFERROR(VLOOKUP($G339,今日總結!$A:$AN,38,0),"")</f>
        <v>0</v>
      </c>
      <c r="N339" s="240">
        <f t="shared" si="70"/>
        <v>0</v>
      </c>
      <c r="O339" s="359">
        <f>IFERROR(VLOOKUP($G339,融外自投!$A:$J,7,0),"無")</f>
        <v>1119</v>
      </c>
      <c r="P339" s="79">
        <f>IFERROR(VLOOKUP($G339,融外自投!$A:$J,9,0),"無")</f>
        <v>234</v>
      </c>
      <c r="Q339" s="342">
        <f>IFERROR(VLOOKUP($G339,融外自投!$A:$J,8,0),"無")</f>
        <v>31</v>
      </c>
      <c r="R339" s="81">
        <f>IFERROR(VLOOKUP($G339,融外自投!$A:$J,10,0),"無")</f>
        <v>495</v>
      </c>
      <c r="S339" s="324">
        <f>IFERROR(VLOOKUP($G339,'321買'!$A:$E,4,0),"'沒有資料'")</f>
        <v>606</v>
      </c>
      <c r="T339" s="186">
        <f>IFERROR(VLOOKUP($G339,基本資料!$A:$J,9,0),"無")</f>
        <v>12</v>
      </c>
      <c r="U339" s="307">
        <f t="shared" si="64"/>
        <v>6.6666666666666666E-2</v>
      </c>
      <c r="V339" s="94">
        <f>IFERROR(VLOOKUP($G339,基本資料!$A:$J,10,0),"無")</f>
        <v>17.05</v>
      </c>
      <c r="W339" s="36">
        <f>RTD("money.excel",,"4137","Price")</f>
        <v>180</v>
      </c>
      <c r="X339" s="66"/>
      <c r="Y339" s="15">
        <f t="shared" si="65"/>
        <v>180</v>
      </c>
      <c r="Z339" s="3" t="e">
        <f t="shared" si="66"/>
        <v>#DIV/0!</v>
      </c>
      <c r="AA339" s="340">
        <f>IFERROR(VLOOKUP($G339,基本資料!$A:$M,11,0),"無")</f>
        <v>-31.56</v>
      </c>
      <c r="AB339" s="389">
        <f>IFERROR(VLOOKUP($G339,基本資料!$A:$M,12,0),"無")</f>
        <v>10.8</v>
      </c>
      <c r="AC339" s="22" t="s">
        <v>3753</v>
      </c>
      <c r="AF339" s="33">
        <f t="shared" si="67"/>
        <v>0</v>
      </c>
      <c r="AG339" s="117" t="s">
        <v>3754</v>
      </c>
      <c r="AH339" s="66">
        <f t="shared" si="68"/>
        <v>0.83534136546184734</v>
      </c>
      <c r="AI339" s="283">
        <f>RTD("money.excel",,$G339,"PredictVolume")</f>
        <v>104</v>
      </c>
      <c r="AJ339" s="391">
        <f>IFERROR(VLOOKUP($G339,基本資料!$A:$M,13,0),"無")</f>
        <v>124.5</v>
      </c>
      <c r="AR339" s="245" t="str">
        <f>INDEX(基本資料!N:N,MATCH($G339,基本資料!A:A,0))</f>
        <v>低</v>
      </c>
    </row>
    <row r="340" spans="1:44">
      <c r="A340" s="343">
        <f>IFERROR(VLOOKUP($G340,基本資料!$A:$J,3,0),"無")</f>
        <v>3</v>
      </c>
      <c r="B340" s="79">
        <f>IFERROR(VLOOKUP($G340,基本資料!$A:$J,4,0),"無")</f>
        <v>21</v>
      </c>
      <c r="C340" s="79">
        <f>IFERROR(VLOOKUP($G340,基本資料!$A:$J,5,0),"無")</f>
        <v>13</v>
      </c>
      <c r="D340" s="79">
        <f>IFERROR(VLOOKUP($G340,基本資料!$A:$J,6,0),"無")</f>
        <v>4</v>
      </c>
      <c r="E340" s="79">
        <f>IFERROR(VLOOKUP($G340,基本資料!$A:$J,7,0),"無")</f>
        <v>0</v>
      </c>
      <c r="F340" s="6">
        <f>IFERROR(VLOOKUP($G340,基本資料!$A:$J,8,0),"無")</f>
        <v>15.6</v>
      </c>
      <c r="G340" s="79">
        <v>4138</v>
      </c>
      <c r="H340" s="8" t="s">
        <v>309</v>
      </c>
      <c r="I340" s="16" t="s">
        <v>3755</v>
      </c>
      <c r="J340" s="8" t="str">
        <f>IFERROR(VLOOKUP($G340,今日總結!$A:$AN,39,0),"")</f>
        <v/>
      </c>
      <c r="K340" s="5" t="str">
        <f>IFERROR(VLOOKUP($G340,今日總結!$A:$AN,40,0),"")</f>
        <v/>
      </c>
      <c r="L340" s="156" t="str">
        <f>IFERROR(VLOOKUP($G340,今日總結!$A:$AN,37,0),"")</f>
        <v/>
      </c>
      <c r="M340" s="337" t="str">
        <f>IFERROR(VLOOKUP($G340,今日總結!$A:$AN,38,0),"")</f>
        <v/>
      </c>
      <c r="N340" s="240" t="str">
        <f t="shared" si="70"/>
        <v/>
      </c>
      <c r="O340" s="359">
        <f>IFERROR(VLOOKUP($G340,融外自投!$A:$J,7,0),"無")</f>
        <v>1323</v>
      </c>
      <c r="P340" s="79" t="str">
        <f>IFERROR(VLOOKUP($G340,融外自投!$A:$J,9,0),"無")</f>
        <v>無</v>
      </c>
      <c r="Q340" s="342">
        <f>IFERROR(VLOOKUP($G340,融外自投!$A:$J,8,0),"無")</f>
        <v>1200</v>
      </c>
      <c r="R340" s="81" t="str">
        <f>IFERROR(VLOOKUP($G340,融外自投!$A:$J,10,0),"無")</f>
        <v>無</v>
      </c>
      <c r="S340" s="324" t="str">
        <f>IFERROR(VLOOKUP($G340,'321買'!$A:$E,4,0),"'沒有資料'")</f>
        <v>'沒有資料'</v>
      </c>
      <c r="T340" s="186">
        <f>IFERROR(VLOOKUP($G340,基本資料!$A:$J,9,0),"無")</f>
        <v>3.7</v>
      </c>
      <c r="U340" s="307">
        <f t="shared" si="64"/>
        <v>6.6787003610108309E-2</v>
      </c>
      <c r="V340" s="94">
        <f>IFERROR(VLOOKUP($G340,基本資料!$A:$J,10,0),"無")</f>
        <v>4.1100000000000003</v>
      </c>
      <c r="W340" s="36">
        <f>RTD("money.excel",,"4138","Price")</f>
        <v>55.4</v>
      </c>
      <c r="X340" s="66"/>
      <c r="Y340" s="15">
        <f t="shared" si="65"/>
        <v>55.4</v>
      </c>
      <c r="Z340" s="3" t="e">
        <f t="shared" si="66"/>
        <v>#DIV/0!</v>
      </c>
      <c r="AA340" s="340">
        <f>IFERROR(VLOOKUP($G340,基本資料!$A:$M,11,0),"無")</f>
        <v>-4.8099999999999996</v>
      </c>
      <c r="AB340" s="389">
        <f>IFERROR(VLOOKUP($G340,基本資料!$A:$M,12,0),"無")</f>
        <v>42.44</v>
      </c>
      <c r="AC340" s="16" t="s">
        <v>3755</v>
      </c>
      <c r="AF340" s="33">
        <f t="shared" si="67"/>
        <v>0</v>
      </c>
      <c r="AG340" s="117" t="s">
        <v>3756</v>
      </c>
      <c r="AH340" s="66">
        <f t="shared" si="68"/>
        <v>0.69597069597069594</v>
      </c>
      <c r="AI340" s="283">
        <f>RTD("money.excel",,$G340,"PredictVolume")</f>
        <v>19</v>
      </c>
      <c r="AJ340" s="391">
        <f>IFERROR(VLOOKUP($G340,基本資料!$A:$M,13,0),"無")</f>
        <v>27.3</v>
      </c>
      <c r="AR340" s="245" t="str">
        <f>INDEX(基本資料!N:N,MATCH($G340,基本資料!A:A,0))</f>
        <v>高</v>
      </c>
    </row>
    <row r="341" spans="1:44">
      <c r="A341" s="343">
        <f>IFERROR(VLOOKUP($G341,基本資料!$A:$J,3,0),"無")</f>
        <v>4.25</v>
      </c>
      <c r="B341" s="79">
        <f>IFERROR(VLOOKUP($G341,基本資料!$A:$J,4,0),"無")</f>
        <v>-57</v>
      </c>
      <c r="C341" s="79">
        <f>IFERROR(VLOOKUP($G341,基本資料!$A:$J,5,0),"無")</f>
        <v>-25</v>
      </c>
      <c r="D341" s="79">
        <f>IFERROR(VLOOKUP($G341,基本資料!$A:$J,6,0),"無")</f>
        <v>0</v>
      </c>
      <c r="E341" s="79">
        <f>IFERROR(VLOOKUP($G341,基本資料!$A:$J,7,0),"無")</f>
        <v>7</v>
      </c>
      <c r="F341" s="6">
        <f>IFERROR(VLOOKUP($G341,基本資料!$A:$J,8,0),"無")</f>
        <v>4.76</v>
      </c>
      <c r="G341" s="79">
        <v>4139</v>
      </c>
      <c r="H341" s="8" t="s">
        <v>309</v>
      </c>
      <c r="I341" s="16" t="s">
        <v>3757</v>
      </c>
      <c r="J341" s="8" t="str">
        <f>IFERROR(VLOOKUP($G341,今日總結!$A:$AN,39,0),"")</f>
        <v/>
      </c>
      <c r="K341" s="5" t="str">
        <f>IFERROR(VLOOKUP($G341,今日總結!$A:$AN,40,0),"")</f>
        <v/>
      </c>
      <c r="L341" s="156" t="str">
        <f>IFERROR(VLOOKUP($G341,今日總結!$A:$AN,37,0),"")</f>
        <v/>
      </c>
      <c r="M341" s="337" t="str">
        <f>IFERROR(VLOOKUP($G341,今日總結!$A:$AN,38,0),"")</f>
        <v/>
      </c>
      <c r="N341" s="240" t="str">
        <f t="shared" si="70"/>
        <v/>
      </c>
      <c r="O341" s="359">
        <f>IFERROR(VLOOKUP($G341,融外自投!$A:$J,7,0),"無")</f>
        <v>205</v>
      </c>
      <c r="P341" s="79">
        <f>IFERROR(VLOOKUP($G341,融外自投!$A:$J,9,0),"無")</f>
        <v>269</v>
      </c>
      <c r="Q341" s="342">
        <f>IFERROR(VLOOKUP($G341,融外自投!$A:$J,8,0),"無")</f>
        <v>237</v>
      </c>
      <c r="R341" s="81" t="str">
        <f>IFERROR(VLOOKUP($G341,融外自投!$A:$J,10,0),"無")</f>
        <v>無</v>
      </c>
      <c r="S341" s="324" t="str">
        <f>IFERROR(VLOOKUP($G341,'321買'!$A:$E,4,0),"'沒有資料'")</f>
        <v>'沒有資料'</v>
      </c>
      <c r="T341" s="186">
        <f>IFERROR(VLOOKUP($G341,基本資料!$A:$J,9,0),"無")</f>
        <v>0</v>
      </c>
      <c r="U341" s="307">
        <f t="shared" si="64"/>
        <v>0</v>
      </c>
      <c r="V341" s="94">
        <f>IFERROR(VLOOKUP($G341,基本資料!$A:$J,10,0),"無")</f>
        <v>0.91</v>
      </c>
      <c r="W341" s="36">
        <f>RTD("money.excel",,"4139","Price")</f>
        <v>44.65</v>
      </c>
      <c r="X341" s="66"/>
      <c r="Y341" s="15">
        <f t="shared" si="65"/>
        <v>44.65</v>
      </c>
      <c r="Z341" s="3" t="e">
        <f t="shared" si="66"/>
        <v>#DIV/0!</v>
      </c>
      <c r="AA341" s="340">
        <f>IFERROR(VLOOKUP($G341,基本資料!$A:$M,11,0),"無")</f>
        <v>-16.54</v>
      </c>
      <c r="AB341" s="389">
        <f>IFERROR(VLOOKUP($G341,基本資料!$A:$M,12,0),"無")</f>
        <v>45.75</v>
      </c>
      <c r="AC341" s="16" t="s">
        <v>3757</v>
      </c>
      <c r="AF341" s="33">
        <f t="shared" si="67"/>
        <v>0</v>
      </c>
      <c r="AG341" s="43" t="s">
        <v>3758</v>
      </c>
      <c r="AH341" s="66">
        <f t="shared" si="68"/>
        <v>0.50980392156862742</v>
      </c>
      <c r="AI341" s="283">
        <f>RTD("money.excel",,$G341,"PredictVolume")</f>
        <v>52</v>
      </c>
      <c r="AJ341" s="391">
        <f>IFERROR(VLOOKUP($G341,基本資料!$A:$M,13,0),"無")</f>
        <v>102</v>
      </c>
      <c r="AR341" s="245" t="str">
        <f>INDEX(基本資料!N:N,MATCH($G341,基本資料!A:A,0))</f>
        <v>低</v>
      </c>
    </row>
    <row r="342" spans="1:44">
      <c r="A342" s="343" t="str">
        <f>IFERROR(VLOOKUP($G342,基本資料!$A:$J,3,0),"無")</f>
        <v>無</v>
      </c>
      <c r="B342" s="79" t="str">
        <f>IFERROR(VLOOKUP($G342,基本資料!$A:$J,4,0),"無")</f>
        <v>無</v>
      </c>
      <c r="C342" s="79" t="str">
        <f>IFERROR(VLOOKUP($G342,基本資料!$A:$J,5,0),"無")</f>
        <v>無</v>
      </c>
      <c r="D342" s="79" t="str">
        <f>IFERROR(VLOOKUP($G342,基本資料!$A:$J,6,0),"無")</f>
        <v>無</v>
      </c>
      <c r="E342" s="79" t="str">
        <f>IFERROR(VLOOKUP($G342,基本資料!$A:$J,7,0),"無")</f>
        <v>無</v>
      </c>
      <c r="F342" s="6" t="str">
        <f>IFERROR(VLOOKUP($G342,基本資料!$A:$J,8,0),"無")</f>
        <v>無</v>
      </c>
      <c r="G342" s="79">
        <v>4141</v>
      </c>
      <c r="H342" s="8" t="s">
        <v>309</v>
      </c>
      <c r="I342" s="22" t="s">
        <v>3759</v>
      </c>
      <c r="J342" s="8" t="str">
        <f>IFERROR(VLOOKUP($G342,今日總結!$A:$AN,39,0),"")</f>
        <v/>
      </c>
      <c r="K342" s="5" t="str">
        <f>IFERROR(VLOOKUP($G342,今日總結!$A:$AN,40,0),"")</f>
        <v/>
      </c>
      <c r="L342" s="156" t="str">
        <f>IFERROR(VLOOKUP($G342,今日總結!$A:$AN,37,0),"")</f>
        <v/>
      </c>
      <c r="M342" s="337" t="str">
        <f>IFERROR(VLOOKUP($G342,今日總結!$A:$AN,38,0),"")</f>
        <v/>
      </c>
      <c r="N342" s="240" t="str">
        <f t="shared" si="70"/>
        <v/>
      </c>
      <c r="O342" s="359" t="str">
        <f>IFERROR(VLOOKUP($G342,融外自投!$A:$J,7,0),"無")</f>
        <v>無</v>
      </c>
      <c r="P342" s="79" t="str">
        <f>IFERROR(VLOOKUP($G342,融外自投!$A:$J,9,0),"無")</f>
        <v>無</v>
      </c>
      <c r="Q342" s="342" t="str">
        <f>IFERROR(VLOOKUP($G342,融外自投!$A:$J,8,0),"無")</f>
        <v>無</v>
      </c>
      <c r="R342" s="81" t="str">
        <f>IFERROR(VLOOKUP($G342,融外自投!$A:$J,10,0),"無")</f>
        <v>無</v>
      </c>
      <c r="S342" s="324" t="str">
        <f>IFERROR(VLOOKUP($G342,'321買'!$A:$E,4,0),"'沒有資料'")</f>
        <v>'沒有資料'</v>
      </c>
      <c r="T342" s="186" t="str">
        <f>IFERROR(VLOOKUP($G342,基本資料!$A:$J,9,0),"無")</f>
        <v>無</v>
      </c>
      <c r="U342" s="307" t="e">
        <f t="shared" si="64"/>
        <v>#VALUE!</v>
      </c>
      <c r="V342" s="94" t="str">
        <f>IFERROR(VLOOKUP($G342,基本資料!$A:$J,10,0),"無")</f>
        <v>無</v>
      </c>
      <c r="W342" s="36" t="str">
        <f>RTD("money.excel",,"4141","Price")</f>
        <v>商品錯誤</v>
      </c>
      <c r="X342" s="66"/>
      <c r="Y342" s="15" t="e">
        <f t="shared" si="65"/>
        <v>#VALUE!</v>
      </c>
      <c r="Z342" s="3" t="e">
        <f t="shared" si="66"/>
        <v>#VALUE!</v>
      </c>
      <c r="AA342" s="340" t="str">
        <f>IFERROR(VLOOKUP($G342,基本資料!$A:$M,11,0),"無")</f>
        <v>無</v>
      </c>
      <c r="AB342" s="389" t="str">
        <f>IFERROR(VLOOKUP($G342,基本資料!$A:$M,12,0),"無")</f>
        <v>無</v>
      </c>
      <c r="AC342" s="22" t="s">
        <v>3759</v>
      </c>
      <c r="AF342" s="33">
        <f t="shared" si="67"/>
        <v>0</v>
      </c>
      <c r="AG342" s="43" t="s">
        <v>3760</v>
      </c>
      <c r="AH342" s="66" t="e">
        <f t="shared" si="68"/>
        <v>#VALUE!</v>
      </c>
      <c r="AI342" s="283" t="str">
        <f>RTD("money.excel",,$G342,"PredictVolume")</f>
        <v>商品錯誤</v>
      </c>
      <c r="AJ342" s="391" t="str">
        <f>IFERROR(VLOOKUP($G342,基本資料!$A:$M,13,0),"無")</f>
        <v>無</v>
      </c>
      <c r="AR342" s="245" t="e">
        <f>INDEX(基本資料!N:N,MATCH($G342,基本資料!A:A,0))</f>
        <v>#N/A</v>
      </c>
    </row>
    <row r="343" spans="1:44">
      <c r="A343" s="343">
        <f>IFERROR(VLOOKUP($G343,基本資料!$A:$J,3,0),"無")</f>
        <v>42.95</v>
      </c>
      <c r="B343" s="79">
        <f>IFERROR(VLOOKUP($G343,基本資料!$A:$J,4,0),"無")</f>
        <v>-98</v>
      </c>
      <c r="C343" s="79">
        <f>IFERROR(VLOOKUP($G343,基本資料!$A:$J,5,0),"無")</f>
        <v>-701</v>
      </c>
      <c r="D343" s="79">
        <f>IFERROR(VLOOKUP($G343,基本資料!$A:$J,6,0),"無")</f>
        <v>-22</v>
      </c>
      <c r="E343" s="79">
        <f>IFERROR(VLOOKUP($G343,基本資料!$A:$J,7,0),"無")</f>
        <v>673</v>
      </c>
      <c r="F343" s="6">
        <f>IFERROR(VLOOKUP($G343,基本資料!$A:$J,8,0),"無")</f>
        <v>-12.6</v>
      </c>
      <c r="G343" s="79">
        <v>4142</v>
      </c>
      <c r="H343" s="8" t="s">
        <v>309</v>
      </c>
      <c r="I343" s="22" t="s">
        <v>3761</v>
      </c>
      <c r="J343" s="8">
        <f>IFERROR(VLOOKUP($G343,今日總結!$A:$AN,39,0),"")</f>
        <v>0</v>
      </c>
      <c r="K343" s="5">
        <f>IFERROR(VLOOKUP($G343,今日總結!$A:$AN,40,0),"")</f>
        <v>0</v>
      </c>
      <c r="L343" s="156">
        <f>IFERROR(VLOOKUP($G343,今日總結!$A:$AN,37,0),"")</f>
        <v>0</v>
      </c>
      <c r="M343" s="337">
        <f>IFERROR(VLOOKUP($G343,今日總結!$A:$AN,38,0),"")</f>
        <v>0</v>
      </c>
      <c r="N343" s="240">
        <f t="shared" si="70"/>
        <v>0</v>
      </c>
      <c r="O343" s="359">
        <f>IFERROR(VLOOKUP($G343,融外自投!$A:$J,7,0),"無")</f>
        <v>412</v>
      </c>
      <c r="P343" s="79">
        <f>IFERROR(VLOOKUP($G343,融外自投!$A:$J,9,0),"無")</f>
        <v>171</v>
      </c>
      <c r="Q343" s="342">
        <f>IFERROR(VLOOKUP($G343,融外自投!$A:$J,8,0),"無")</f>
        <v>610</v>
      </c>
      <c r="R343" s="81">
        <f>IFERROR(VLOOKUP($G343,融外自投!$A:$J,10,0),"無")</f>
        <v>358</v>
      </c>
      <c r="S343" s="324">
        <f>IFERROR(VLOOKUP($G343,'321買'!$A:$E,4,0),"'沒有資料'")</f>
        <v>497</v>
      </c>
      <c r="T343" s="186">
        <f>IFERROR(VLOOKUP($G343,基本資料!$A:$J,9,0),"無")</f>
        <v>0</v>
      </c>
      <c r="U343" s="307">
        <f t="shared" si="64"/>
        <v>0</v>
      </c>
      <c r="V343" s="94">
        <f>IFERROR(VLOOKUP($G343,基本資料!$A:$J,10,0),"無")</f>
        <v>0.1</v>
      </c>
      <c r="W343" s="36">
        <f>RTD("money.excel",,"4142","Price")</f>
        <v>35.85</v>
      </c>
      <c r="X343" s="66"/>
      <c r="Y343" s="15">
        <f t="shared" si="65"/>
        <v>35.85</v>
      </c>
      <c r="Z343" s="3" t="e">
        <f t="shared" si="66"/>
        <v>#DIV/0!</v>
      </c>
      <c r="AA343" s="340">
        <f>IFERROR(VLOOKUP($G343,基本資料!$A:$M,11,0),"無")</f>
        <v>-36.21</v>
      </c>
      <c r="AB343" s="389">
        <f>IFERROR(VLOOKUP($G343,基本資料!$A:$M,12,0),"無")</f>
        <v>23.73</v>
      </c>
      <c r="AC343" s="22" t="s">
        <v>3761</v>
      </c>
      <c r="AF343" s="33">
        <f t="shared" si="67"/>
        <v>0</v>
      </c>
      <c r="AG343" s="43" t="s">
        <v>3762</v>
      </c>
      <c r="AH343" s="66">
        <f t="shared" si="68"/>
        <v>0.39156724955058014</v>
      </c>
      <c r="AI343" s="283">
        <f>RTD("money.excel",,$G343,"PredictVolume")</f>
        <v>1198</v>
      </c>
      <c r="AJ343" s="391">
        <f>IFERROR(VLOOKUP($G343,基本資料!$A:$M,13,0),"無")</f>
        <v>3059.5</v>
      </c>
      <c r="AR343" s="245" t="str">
        <f>INDEX(基本資料!N:N,MATCH($G343,基本資料!A:A,0))</f>
        <v>低</v>
      </c>
    </row>
    <row r="344" spans="1:44">
      <c r="A344" s="343">
        <f>IFERROR(VLOOKUP($G344,基本資料!$A:$J,3,0),"無")</f>
        <v>25.23</v>
      </c>
      <c r="B344" s="79">
        <f>IFERROR(VLOOKUP($G344,基本資料!$A:$J,4,0),"無")</f>
        <v>-156</v>
      </c>
      <c r="C344" s="79">
        <f>IFERROR(VLOOKUP($G344,基本資料!$A:$J,5,0),"無")</f>
        <v>-266</v>
      </c>
      <c r="D344" s="79">
        <f>IFERROR(VLOOKUP($G344,基本資料!$A:$J,6,0),"無")</f>
        <v>214</v>
      </c>
      <c r="E344" s="79">
        <f>IFERROR(VLOOKUP($G344,基本資料!$A:$J,7,0),"無")</f>
        <v>-28</v>
      </c>
      <c r="F344" s="6">
        <f>IFERROR(VLOOKUP($G344,基本資料!$A:$J,8,0),"無")</f>
        <v>-117.64</v>
      </c>
      <c r="G344" s="79">
        <v>4147</v>
      </c>
      <c r="H344" s="8" t="s">
        <v>309</v>
      </c>
      <c r="I344" s="16" t="s">
        <v>3763</v>
      </c>
      <c r="J344" s="8" t="str">
        <f>IFERROR(VLOOKUP($G344,今日總結!$A:$AN,39,0),"")</f>
        <v>融</v>
      </c>
      <c r="K344" s="5" t="str">
        <f>IFERROR(VLOOKUP($G344,今日總結!$A:$AN,40,0),"")</f>
        <v>主</v>
      </c>
      <c r="L344" s="156">
        <f>IFERROR(VLOOKUP($G344,今日總結!$A:$AN,37,0),"")</f>
        <v>1</v>
      </c>
      <c r="M344" s="337">
        <f>IFERROR(VLOOKUP($G344,今日總結!$A:$AN,38,0),"")</f>
        <v>3</v>
      </c>
      <c r="N344" s="240">
        <f t="shared" si="70"/>
        <v>-2</v>
      </c>
      <c r="O344" s="359">
        <f>IFERROR(VLOOKUP($G344,融外自投!$A:$J,7,0),"無")</f>
        <v>896</v>
      </c>
      <c r="P344" s="79">
        <f>IFERROR(VLOOKUP($G344,融外自投!$A:$J,9,0),"無")</f>
        <v>990</v>
      </c>
      <c r="Q344" s="342">
        <f>IFERROR(VLOOKUP($G344,融外自投!$A:$J,8,0),"無")</f>
        <v>667</v>
      </c>
      <c r="R344" s="81">
        <f>IFERROR(VLOOKUP($G344,融外自投!$A:$J,10,0),"無")</f>
        <v>348</v>
      </c>
      <c r="S344" s="324">
        <f>IFERROR(VLOOKUP($G344,'321買'!$A:$E,4,0),"'沒有資料'")</f>
        <v>891</v>
      </c>
      <c r="T344" s="186">
        <f>IFERROR(VLOOKUP($G344,基本資料!$A:$J,9,0),"無")</f>
        <v>0</v>
      </c>
      <c r="U344" s="307">
        <f t="shared" si="64"/>
        <v>0</v>
      </c>
      <c r="V344" s="94">
        <f>IFERROR(VLOOKUP($G344,基本資料!$A:$J,10,0),"無")</f>
        <v>-1.87</v>
      </c>
      <c r="W344" s="36">
        <f>RTD("money.excel",,"4147","Price")</f>
        <v>59</v>
      </c>
      <c r="X344" s="66"/>
      <c r="Y344" s="15">
        <f t="shared" si="65"/>
        <v>59</v>
      </c>
      <c r="Z344" s="3" t="e">
        <f t="shared" si="66"/>
        <v>#DIV/0!</v>
      </c>
      <c r="AA344" s="340">
        <f>IFERROR(VLOOKUP($G344,基本資料!$A:$M,11,0),"無")</f>
        <v>-30.59</v>
      </c>
      <c r="AB344" s="389">
        <f>IFERROR(VLOOKUP($G344,基本資料!$A:$M,12,0),"無")</f>
        <v>10.99</v>
      </c>
      <c r="AC344" s="16" t="s">
        <v>3763</v>
      </c>
      <c r="AF344" s="33">
        <f t="shared" si="67"/>
        <v>0</v>
      </c>
      <c r="AG344" s="117" t="s">
        <v>3764</v>
      </c>
      <c r="AH344" s="66">
        <f t="shared" si="68"/>
        <v>0.28776978417266186</v>
      </c>
      <c r="AI344" s="283">
        <f>RTD("money.excel",,$G344,"PredictVolume")</f>
        <v>224</v>
      </c>
      <c r="AJ344" s="391">
        <f>IFERROR(VLOOKUP($G344,基本資料!$A:$M,13,0),"無")</f>
        <v>778.4</v>
      </c>
      <c r="AR344" s="245" t="str">
        <f>INDEX(基本資料!N:N,MATCH($G344,基本資料!A:A,0))</f>
        <v>低</v>
      </c>
    </row>
    <row r="345" spans="1:44">
      <c r="A345" s="343">
        <f>IFERROR(VLOOKUP($G345,基本資料!$A:$J,3,0),"無")</f>
        <v>6.4</v>
      </c>
      <c r="B345" s="79">
        <f>IFERROR(VLOOKUP($G345,基本資料!$A:$J,4,0),"無")</f>
        <v>141</v>
      </c>
      <c r="C345" s="79">
        <f>IFERROR(VLOOKUP($G345,基本資料!$A:$J,5,0),"無")</f>
        <v>166</v>
      </c>
      <c r="D345" s="79">
        <f>IFERROR(VLOOKUP($G345,基本資料!$A:$J,6,0),"無")</f>
        <v>-2</v>
      </c>
      <c r="E345" s="79">
        <f>IFERROR(VLOOKUP($G345,基本資料!$A:$J,7,0),"無")</f>
        <v>59</v>
      </c>
      <c r="F345" s="6">
        <f>IFERROR(VLOOKUP($G345,基本資料!$A:$J,8,0),"無")</f>
        <v>12.44</v>
      </c>
      <c r="G345" s="79">
        <v>4148</v>
      </c>
      <c r="H345" s="8" t="s">
        <v>309</v>
      </c>
      <c r="I345" s="22" t="s">
        <v>3765</v>
      </c>
      <c r="J345" s="8">
        <f>IFERROR(VLOOKUP($G345,今日總結!$A:$AN,39,0),"")</f>
        <v>0</v>
      </c>
      <c r="K345" s="5">
        <f>IFERROR(VLOOKUP($G345,今日總結!$A:$AN,40,0),"")</f>
        <v>0</v>
      </c>
      <c r="L345" s="156">
        <f>IFERROR(VLOOKUP($G345,今日總結!$A:$AN,37,0),"")</f>
        <v>0</v>
      </c>
      <c r="M345" s="337">
        <f>IFERROR(VLOOKUP($G345,今日總結!$A:$AN,38,0),"")</f>
        <v>0</v>
      </c>
      <c r="N345" s="240">
        <f t="shared" si="70"/>
        <v>0</v>
      </c>
      <c r="O345" s="359">
        <f>IFERROR(VLOOKUP($G345,融外自投!$A:$J,7,0),"無")</f>
        <v>781</v>
      </c>
      <c r="P345" s="79">
        <f>IFERROR(VLOOKUP($G345,融外自投!$A:$J,9,0),"無")</f>
        <v>825</v>
      </c>
      <c r="Q345" s="342">
        <f>IFERROR(VLOOKUP($G345,融外自投!$A:$J,8,0),"無")</f>
        <v>16</v>
      </c>
      <c r="R345" s="81">
        <f>IFERROR(VLOOKUP($G345,融外自投!$A:$J,10,0),"無")</f>
        <v>413</v>
      </c>
      <c r="S345" s="324">
        <f>IFERROR(VLOOKUP($G345,'321買'!$A:$E,4,0),"'沒有資料'")</f>
        <v>530</v>
      </c>
      <c r="T345" s="186">
        <f>IFERROR(VLOOKUP($G345,基本資料!$A:$J,9,0),"無")</f>
        <v>1.5</v>
      </c>
      <c r="U345" s="307">
        <f t="shared" si="64"/>
        <v>2.2761760242792108E-2</v>
      </c>
      <c r="V345" s="94">
        <f>IFERROR(VLOOKUP($G345,基本資料!$A:$J,10,0),"無")</f>
        <v>3.09</v>
      </c>
      <c r="W345" s="36">
        <f>RTD("money.excel",,"4148","Price")</f>
        <v>65.900000000000006</v>
      </c>
      <c r="X345" s="66"/>
      <c r="Y345" s="15">
        <f t="shared" si="65"/>
        <v>65.900000000000006</v>
      </c>
      <c r="Z345" s="3" t="e">
        <f t="shared" si="66"/>
        <v>#DIV/0!</v>
      </c>
      <c r="AA345" s="340">
        <f>IFERROR(VLOOKUP($G345,基本資料!$A:$M,11,0),"無")</f>
        <v>-33.299999999999997</v>
      </c>
      <c r="AB345" s="389">
        <f>IFERROR(VLOOKUP($G345,基本資料!$A:$M,12,0),"無")</f>
        <v>38.369999999999997</v>
      </c>
      <c r="AC345" s="22" t="s">
        <v>3765</v>
      </c>
      <c r="AF345" s="33">
        <f t="shared" si="67"/>
        <v>0</v>
      </c>
      <c r="AG345" s="43" t="s">
        <v>2809</v>
      </c>
      <c r="AH345" s="66">
        <f t="shared" si="68"/>
        <v>0.70204738046638215</v>
      </c>
      <c r="AI345" s="283">
        <f>RTD("money.excel",,$G345,"PredictVolume")</f>
        <v>1135</v>
      </c>
      <c r="AJ345" s="391">
        <f>IFERROR(VLOOKUP($G345,基本資料!$A:$M,13,0),"無")</f>
        <v>1616.7</v>
      </c>
      <c r="AR345" s="245" t="str">
        <f>INDEX(基本資料!N:N,MATCH($G345,基本資料!A:A,0))</f>
        <v>中</v>
      </c>
    </row>
    <row r="346" spans="1:44">
      <c r="A346" s="343">
        <f>IFERROR(VLOOKUP($G346,基本資料!$A:$J,3,0),"無")</f>
        <v>6.17</v>
      </c>
      <c r="B346" s="79">
        <f>IFERROR(VLOOKUP($G346,基本資料!$A:$J,4,0),"無")</f>
        <v>25</v>
      </c>
      <c r="C346" s="79">
        <f>IFERROR(VLOOKUP($G346,基本資料!$A:$J,5,0),"無")</f>
        <v>-67</v>
      </c>
      <c r="D346" s="79">
        <f>IFERROR(VLOOKUP($G346,基本資料!$A:$J,6,0),"無")</f>
        <v>-14</v>
      </c>
      <c r="E346" s="79">
        <f>IFERROR(VLOOKUP($G346,基本資料!$A:$J,7,0),"無")</f>
        <v>21</v>
      </c>
      <c r="F346" s="6">
        <f>IFERROR(VLOOKUP($G346,基本資料!$A:$J,8,0),"無")</f>
        <v>3.17</v>
      </c>
      <c r="G346" s="79">
        <v>4153</v>
      </c>
      <c r="H346" s="8" t="s">
        <v>309</v>
      </c>
      <c r="I346" s="16" t="s">
        <v>3766</v>
      </c>
      <c r="J346" s="8">
        <f>IFERROR(VLOOKUP($G346,今日總結!$A:$AN,39,0),"")</f>
        <v>0</v>
      </c>
      <c r="K346" s="5" t="str">
        <f>IFERROR(VLOOKUP($G346,今日總結!$A:$AN,40,0),"")</f>
        <v>融</v>
      </c>
      <c r="L346" s="156">
        <f>IFERROR(VLOOKUP($G346,今日總結!$A:$AN,37,0),"")</f>
        <v>0</v>
      </c>
      <c r="M346" s="337">
        <f>IFERROR(VLOOKUP($G346,今日總結!$A:$AN,38,0),"")</f>
        <v>1</v>
      </c>
      <c r="N346" s="240">
        <f t="shared" si="70"/>
        <v>-1</v>
      </c>
      <c r="O346" s="359">
        <f>IFERROR(VLOOKUP($G346,融外自投!$A:$J,7,0),"無")</f>
        <v>132</v>
      </c>
      <c r="P346" s="79">
        <f>IFERROR(VLOOKUP($G346,融外自投!$A:$J,9,0),"無")</f>
        <v>869</v>
      </c>
      <c r="Q346" s="342">
        <f>IFERROR(VLOOKUP($G346,融外自投!$A:$J,8,0),"無")</f>
        <v>1431</v>
      </c>
      <c r="R346" s="81" t="str">
        <f>IFERROR(VLOOKUP($G346,融外自投!$A:$J,10,0),"無")</f>
        <v>無</v>
      </c>
      <c r="S346" s="324">
        <f>IFERROR(VLOOKUP($G346,'321買'!$A:$E,4,0),"'沒有資料'")</f>
        <v>801</v>
      </c>
      <c r="T346" s="186">
        <f>IFERROR(VLOOKUP($G346,基本資料!$A:$J,9,0),"無")</f>
        <v>0.37</v>
      </c>
      <c r="U346" s="307">
        <f t="shared" si="64"/>
        <v>1.4041745730550283E-2</v>
      </c>
      <c r="V346" s="94">
        <f>IFERROR(VLOOKUP($G346,基本資料!$A:$J,10,0),"無")</f>
        <v>0.37</v>
      </c>
      <c r="W346" s="36">
        <f>RTD("money.excel",,"4153","Price")</f>
        <v>26.35</v>
      </c>
      <c r="X346" s="66"/>
      <c r="Y346" s="15">
        <f t="shared" si="65"/>
        <v>26.35</v>
      </c>
      <c r="Z346" s="3" t="e">
        <f t="shared" si="66"/>
        <v>#DIV/0!</v>
      </c>
      <c r="AA346" s="340">
        <f>IFERROR(VLOOKUP($G346,基本資料!$A:$M,11,0),"無")</f>
        <v>-19.66</v>
      </c>
      <c r="AB346" s="389">
        <f>IFERROR(VLOOKUP($G346,基本資料!$A:$M,12,0),"無")</f>
        <v>36.659999999999997</v>
      </c>
      <c r="AC346" s="16" t="s">
        <v>3766</v>
      </c>
      <c r="AF346" s="33">
        <f t="shared" si="67"/>
        <v>0</v>
      </c>
      <c r="AG346" s="43" t="s">
        <v>3767</v>
      </c>
      <c r="AH346" s="66">
        <f t="shared" si="68"/>
        <v>0.46274971881527505</v>
      </c>
      <c r="AI346" s="283">
        <f>RTD("money.excel",,$G346,"PredictVolume")</f>
        <v>432</v>
      </c>
      <c r="AJ346" s="391">
        <f>IFERROR(VLOOKUP($G346,基本資料!$A:$M,13,0),"無")</f>
        <v>933.55</v>
      </c>
      <c r="AR346" s="245" t="str">
        <f>INDEX(基本資料!N:N,MATCH($G346,基本資料!A:A,0))</f>
        <v>中</v>
      </c>
    </row>
    <row r="347" spans="1:44">
      <c r="A347" s="343">
        <f>IFERROR(VLOOKUP($G347,基本資料!$A:$J,3,0),"無")</f>
        <v>3.57</v>
      </c>
      <c r="B347" s="79">
        <f>IFERROR(VLOOKUP($G347,基本資料!$A:$J,4,0),"無")</f>
        <v>-171</v>
      </c>
      <c r="C347" s="79">
        <f>IFERROR(VLOOKUP($G347,基本資料!$A:$J,5,0),"無")</f>
        <v>-188</v>
      </c>
      <c r="D347" s="79">
        <f>IFERROR(VLOOKUP($G347,基本資料!$A:$J,6,0),"無")</f>
        <v>32</v>
      </c>
      <c r="E347" s="79">
        <f>IFERROR(VLOOKUP($G347,基本資料!$A:$J,7,0),"無")</f>
        <v>66</v>
      </c>
      <c r="F347" s="6">
        <f>IFERROR(VLOOKUP($G347,基本資料!$A:$J,8,0),"無")</f>
        <v>-25.14</v>
      </c>
      <c r="G347" s="79">
        <v>4154</v>
      </c>
      <c r="H347" s="8" t="s">
        <v>309</v>
      </c>
      <c r="I347" s="16" t="s">
        <v>3768</v>
      </c>
      <c r="J347" s="8" t="str">
        <f>IFERROR(VLOOKUP($G347,今日總結!$A:$AN,39,0),"")</f>
        <v/>
      </c>
      <c r="K347" s="5" t="str">
        <f>IFERROR(VLOOKUP($G347,今日總結!$A:$AN,40,0),"")</f>
        <v/>
      </c>
      <c r="L347" s="156" t="str">
        <f>IFERROR(VLOOKUP($G347,今日總結!$A:$AN,37,0),"")</f>
        <v/>
      </c>
      <c r="M347" s="337" t="str">
        <f>IFERROR(VLOOKUP($G347,今日總結!$A:$AN,38,0),"")</f>
        <v/>
      </c>
      <c r="N347" s="240" t="str">
        <f t="shared" si="70"/>
        <v/>
      </c>
      <c r="O347" s="359" t="str">
        <f>IFERROR(VLOOKUP($G347,融外自投!$A:$J,7,0),"無")</f>
        <v>無</v>
      </c>
      <c r="P347" s="79" t="str">
        <f>IFERROR(VLOOKUP($G347,融外自投!$A:$J,9,0),"無")</f>
        <v>無</v>
      </c>
      <c r="Q347" s="342" t="str">
        <f>IFERROR(VLOOKUP($G347,融外自投!$A:$J,8,0),"無")</f>
        <v>無</v>
      </c>
      <c r="R347" s="81" t="str">
        <f>IFERROR(VLOOKUP($G347,融外自投!$A:$J,10,0),"無")</f>
        <v>無</v>
      </c>
      <c r="S347" s="324" t="str">
        <f>IFERROR(VLOOKUP($G347,'321買'!$A:$E,4,0),"'沒有資料'")</f>
        <v>'沒有資料'</v>
      </c>
      <c r="T347" s="186">
        <f>IFERROR(VLOOKUP($G347,基本資料!$A:$J,9,0),"無")</f>
        <v>0</v>
      </c>
      <c r="U347" s="307">
        <f t="shared" si="64"/>
        <v>0</v>
      </c>
      <c r="V347" s="94">
        <f>IFERROR(VLOOKUP($G347,基本資料!$A:$J,10,0),"無")</f>
        <v>-2.1800000000000002</v>
      </c>
      <c r="W347" s="36">
        <f>RTD("money.excel",,"4154","Price")</f>
        <v>41</v>
      </c>
      <c r="X347" s="66"/>
      <c r="Y347" s="15">
        <f t="shared" si="65"/>
        <v>41</v>
      </c>
      <c r="Z347" s="3" t="e">
        <f t="shared" si="66"/>
        <v>#DIV/0!</v>
      </c>
      <c r="AA347" s="340">
        <f>IFERROR(VLOOKUP($G347,基本資料!$A:$M,11,0),"無")</f>
        <v>-35.53</v>
      </c>
      <c r="AB347" s="389">
        <f>IFERROR(VLOOKUP($G347,基本資料!$A:$M,12,0),"無")</f>
        <v>34.65</v>
      </c>
      <c r="AC347" s="16" t="s">
        <v>3768</v>
      </c>
      <c r="AF347" s="33">
        <f t="shared" si="67"/>
        <v>0</v>
      </c>
      <c r="AG347" s="43" t="s">
        <v>3769</v>
      </c>
      <c r="AH347" s="66">
        <f t="shared" si="68"/>
        <v>0.74369189907038513</v>
      </c>
      <c r="AI347" s="283">
        <f>RTD("money.excel",,$G347,"PredictVolume")</f>
        <v>28</v>
      </c>
      <c r="AJ347" s="391">
        <f>IFERROR(VLOOKUP($G347,基本資料!$A:$M,13,0),"無")</f>
        <v>37.65</v>
      </c>
      <c r="AR347" s="245" t="str">
        <f>INDEX(基本資料!N:N,MATCH($G347,基本資料!A:A,0))</f>
        <v>中</v>
      </c>
    </row>
    <row r="348" spans="1:44">
      <c r="A348" s="343">
        <f>IFERROR(VLOOKUP($G348,基本資料!$A:$J,3,0),"無")</f>
        <v>9.49</v>
      </c>
      <c r="B348" s="79">
        <f>IFERROR(VLOOKUP($G348,基本資料!$A:$J,4,0),"無")</f>
        <v>-74</v>
      </c>
      <c r="C348" s="79">
        <f>IFERROR(VLOOKUP($G348,基本資料!$A:$J,5,0),"無")</f>
        <v>-93</v>
      </c>
      <c r="D348" s="79">
        <f>IFERROR(VLOOKUP($G348,基本資料!$A:$J,6,0),"無")</f>
        <v>-32</v>
      </c>
      <c r="E348" s="79">
        <f>IFERROR(VLOOKUP($G348,基本資料!$A:$J,7,0),"無")</f>
        <v>36</v>
      </c>
      <c r="F348" s="6">
        <f>IFERROR(VLOOKUP($G348,基本資料!$A:$J,8,0),"無")</f>
        <v>0.64</v>
      </c>
      <c r="G348" s="79">
        <v>4155</v>
      </c>
      <c r="H348" s="8" t="s">
        <v>309</v>
      </c>
      <c r="I348" s="22" t="s">
        <v>3770</v>
      </c>
      <c r="J348" s="8">
        <f>IFERROR(VLOOKUP($G348,今日總結!$A:$AN,39,0),"")</f>
        <v>0</v>
      </c>
      <c r="K348" s="5" t="str">
        <f>IFERROR(VLOOKUP($G348,今日總結!$A:$AN,40,0),"")</f>
        <v>融</v>
      </c>
      <c r="L348" s="156">
        <f>IFERROR(VLOOKUP($G348,今日總結!$A:$AN,37,0),"")</f>
        <v>0</v>
      </c>
      <c r="M348" s="337">
        <f>IFERROR(VLOOKUP($G348,今日總結!$A:$AN,38,0),"")</f>
        <v>8</v>
      </c>
      <c r="N348" s="240">
        <f t="shared" si="70"/>
        <v>-8</v>
      </c>
      <c r="O348" s="359">
        <f>IFERROR(VLOOKUP($G348,融外自投!$A:$J,7,0),"無")</f>
        <v>924</v>
      </c>
      <c r="P348" s="79">
        <f>IFERROR(VLOOKUP($G348,融外自投!$A:$J,9,0),"無")</f>
        <v>671</v>
      </c>
      <c r="Q348" s="342">
        <f>IFERROR(VLOOKUP($G348,融外自投!$A:$J,8,0),"無")</f>
        <v>1108</v>
      </c>
      <c r="R348" s="81" t="str">
        <f>IFERROR(VLOOKUP($G348,融外自投!$A:$J,10,0),"無")</f>
        <v>無</v>
      </c>
      <c r="S348" s="324">
        <f>IFERROR(VLOOKUP($G348,'321買'!$A:$E,4,0),"'沒有資料'")</f>
        <v>891</v>
      </c>
      <c r="T348" s="186">
        <f>IFERROR(VLOOKUP($G348,基本資料!$A:$J,9,0),"無")</f>
        <v>1</v>
      </c>
      <c r="U348" s="307">
        <f t="shared" si="64"/>
        <v>4.3478260869565216E-2</v>
      </c>
      <c r="V348" s="94">
        <f>IFERROR(VLOOKUP($G348,基本資料!$A:$J,10,0),"無")</f>
        <v>0.46</v>
      </c>
      <c r="W348" s="36">
        <f>RTD("money.excel",,"4155","Price")</f>
        <v>23</v>
      </c>
      <c r="X348" s="66"/>
      <c r="Y348" s="15">
        <f t="shared" si="65"/>
        <v>23</v>
      </c>
      <c r="Z348" s="3" t="e">
        <f t="shared" si="66"/>
        <v>#DIV/0!</v>
      </c>
      <c r="AA348" s="340">
        <f>IFERROR(VLOOKUP($G348,基本資料!$A:$M,11,0),"無")</f>
        <v>-12.71</v>
      </c>
      <c r="AB348" s="389">
        <f>IFERROR(VLOOKUP($G348,基本資料!$A:$M,12,0),"無")</f>
        <v>26.66</v>
      </c>
      <c r="AC348" s="22" t="s">
        <v>3770</v>
      </c>
      <c r="AF348" s="33">
        <f t="shared" si="67"/>
        <v>0</v>
      </c>
      <c r="AG348" s="43" t="s">
        <v>3679</v>
      </c>
      <c r="AH348" s="66">
        <f t="shared" si="68"/>
        <v>0.17764618800888232</v>
      </c>
      <c r="AI348" s="283">
        <f>RTD("money.excel",,$G348,"PredictVolume")</f>
        <v>204</v>
      </c>
      <c r="AJ348" s="391">
        <f>IFERROR(VLOOKUP($G348,基本資料!$A:$M,13,0),"無")</f>
        <v>1148.3499999999999</v>
      </c>
      <c r="AR348" s="245" t="str">
        <f>INDEX(基本資料!N:N,MATCH($G348,基本資料!A:A,0))</f>
        <v>低</v>
      </c>
    </row>
    <row r="349" spans="1:44">
      <c r="A349" s="343">
        <f>IFERROR(VLOOKUP($G349,基本資料!$A:$J,3,0),"無")</f>
        <v>0</v>
      </c>
      <c r="B349" s="79">
        <f>IFERROR(VLOOKUP($G349,基本資料!$A:$J,4,0),"無")</f>
        <v>291</v>
      </c>
      <c r="C349" s="79">
        <f>IFERROR(VLOOKUP($G349,基本資料!$A:$J,5,0),"無")</f>
        <v>392</v>
      </c>
      <c r="D349" s="79">
        <f>IFERROR(VLOOKUP($G349,基本資料!$A:$J,6,0),"無")</f>
        <v>0</v>
      </c>
      <c r="E349" s="79">
        <f>IFERROR(VLOOKUP($G349,基本資料!$A:$J,7,0),"無")</f>
        <v>-99</v>
      </c>
      <c r="F349" s="6">
        <f>IFERROR(VLOOKUP($G349,基本資料!$A:$J,8,0),"無")</f>
        <v>69.48</v>
      </c>
      <c r="G349" s="79">
        <v>4157</v>
      </c>
      <c r="H349" s="8" t="s">
        <v>309</v>
      </c>
      <c r="I349" s="16" t="s">
        <v>3771</v>
      </c>
      <c r="J349" s="8">
        <f>IFERROR(VLOOKUP($G349,今日總結!$A:$AN,39,0),"")</f>
        <v>23</v>
      </c>
      <c r="K349" s="5" t="str">
        <f>IFERROR(VLOOKUP($G349,今日總結!$A:$AN,40,0),"")</f>
        <v>4597自</v>
      </c>
      <c r="L349" s="156">
        <f>IFERROR(VLOOKUP($G349,今日總結!$A:$AN,37,0),"")</f>
        <v>2</v>
      </c>
      <c r="M349" s="337">
        <f>IFERROR(VLOOKUP($G349,今日總結!$A:$AN,38,0),"")</f>
        <v>9</v>
      </c>
      <c r="N349" s="240">
        <f t="shared" si="70"/>
        <v>-7</v>
      </c>
      <c r="O349" s="359">
        <f>IFERROR(VLOOKUP($G349,融外自投!$A:$J,7,0),"無")</f>
        <v>1035</v>
      </c>
      <c r="P349" s="79">
        <f>IFERROR(VLOOKUP($G349,融外自投!$A:$J,9,0),"無")</f>
        <v>615</v>
      </c>
      <c r="Q349" s="342">
        <f>IFERROR(VLOOKUP($G349,融外自投!$A:$J,8,0),"無")</f>
        <v>873</v>
      </c>
      <c r="R349" s="81" t="str">
        <f>IFERROR(VLOOKUP($G349,融外自投!$A:$J,10,0),"無")</f>
        <v>無</v>
      </c>
      <c r="S349" s="324">
        <f>IFERROR(VLOOKUP($G349,'321買'!$A:$E,4,0),"'沒有資料'")</f>
        <v>1</v>
      </c>
      <c r="T349" s="186">
        <f>IFERROR(VLOOKUP($G349,基本資料!$A:$J,9,0),"無")</f>
        <v>0</v>
      </c>
      <c r="U349" s="307">
        <f t="shared" si="64"/>
        <v>0</v>
      </c>
      <c r="V349" s="94">
        <f>IFERROR(VLOOKUP($G349,基本資料!$A:$J,10,0),"無")</f>
        <v>1.08</v>
      </c>
      <c r="W349" s="36">
        <f>RTD("money.excel",,"4157","Price")</f>
        <v>15.45</v>
      </c>
      <c r="X349" s="66"/>
      <c r="Y349" s="15">
        <f t="shared" si="65"/>
        <v>15.45</v>
      </c>
      <c r="Z349" s="3" t="e">
        <f t="shared" si="66"/>
        <v>#DIV/0!</v>
      </c>
      <c r="AA349" s="340">
        <f>IFERROR(VLOOKUP($G349,基本資料!$A:$M,11,0),"無")</f>
        <v>-28.31</v>
      </c>
      <c r="AB349" s="389">
        <f>IFERROR(VLOOKUP($G349,基本資料!$A:$M,12,0),"無")</f>
        <v>25.14</v>
      </c>
      <c r="AC349" s="16" t="s">
        <v>3771</v>
      </c>
      <c r="AF349" s="33">
        <f t="shared" si="67"/>
        <v>0</v>
      </c>
      <c r="AG349" s="43" t="s">
        <v>3772</v>
      </c>
      <c r="AH349" s="66">
        <f t="shared" si="68"/>
        <v>0.3740285172266079</v>
      </c>
      <c r="AI349" s="283">
        <f>RTD("money.excel",,$G349,"PredictVolume")</f>
        <v>1528</v>
      </c>
      <c r="AJ349" s="391">
        <f>IFERROR(VLOOKUP($G349,基本資料!$A:$M,13,0),"無")</f>
        <v>4085.25</v>
      </c>
      <c r="AR349" s="245" t="str">
        <f>INDEX(基本資料!N:N,MATCH($G349,基本資料!A:A,0))</f>
        <v>中</v>
      </c>
    </row>
    <row r="350" spans="1:44">
      <c r="A350" s="343">
        <f>IFERROR(VLOOKUP($G350,基本資料!$A:$J,3,0),"無")</f>
        <v>2.42</v>
      </c>
      <c r="B350" s="79">
        <f>IFERROR(VLOOKUP($G350,基本資料!$A:$J,4,0),"無")</f>
        <v>151</v>
      </c>
      <c r="C350" s="79">
        <f>IFERROR(VLOOKUP($G350,基本資料!$A:$J,5,0),"無")</f>
        <v>79</v>
      </c>
      <c r="D350" s="79">
        <f>IFERROR(VLOOKUP($G350,基本資料!$A:$J,6,0),"無")</f>
        <v>-11</v>
      </c>
      <c r="E350" s="79">
        <f>IFERROR(VLOOKUP($G350,基本資料!$A:$J,7,0),"無")</f>
        <v>17</v>
      </c>
      <c r="F350" s="6">
        <f>IFERROR(VLOOKUP($G350,基本資料!$A:$J,8,0),"無")</f>
        <v>-0.87</v>
      </c>
      <c r="G350" s="79">
        <v>4160</v>
      </c>
      <c r="H350" s="8" t="s">
        <v>309</v>
      </c>
      <c r="I350" s="16" t="s">
        <v>3773</v>
      </c>
      <c r="J350" s="8" t="str">
        <f>IFERROR(VLOOKUP($G350,今日總結!$A:$AN,39,0),"")</f>
        <v/>
      </c>
      <c r="K350" s="5" t="str">
        <f>IFERROR(VLOOKUP($G350,今日總結!$A:$AN,40,0),"")</f>
        <v/>
      </c>
      <c r="L350" s="156" t="str">
        <f>IFERROR(VLOOKUP($G350,今日總結!$A:$AN,37,0),"")</f>
        <v/>
      </c>
      <c r="M350" s="337" t="str">
        <f>IFERROR(VLOOKUP($G350,今日總結!$A:$AN,38,0),"")</f>
        <v/>
      </c>
      <c r="N350" s="240" t="str">
        <f t="shared" si="70"/>
        <v/>
      </c>
      <c r="O350" s="359" t="str">
        <f>IFERROR(VLOOKUP($G350,融外自投!$A:$J,7,0),"無")</f>
        <v>無</v>
      </c>
      <c r="P350" s="79" t="str">
        <f>IFERROR(VLOOKUP($G350,融外自投!$A:$J,9,0),"無")</f>
        <v>無</v>
      </c>
      <c r="Q350" s="342" t="str">
        <f>IFERROR(VLOOKUP($G350,融外自投!$A:$J,8,0),"無")</f>
        <v>無</v>
      </c>
      <c r="R350" s="81" t="str">
        <f>IFERROR(VLOOKUP($G350,融外自投!$A:$J,10,0),"無")</f>
        <v>無</v>
      </c>
      <c r="S350" s="324" t="str">
        <f>IFERROR(VLOOKUP($G350,'321買'!$A:$E,4,0),"'沒有資料'")</f>
        <v>'沒有資料'</v>
      </c>
      <c r="T350" s="186">
        <f>IFERROR(VLOOKUP($G350,基本資料!$A:$J,9,0),"無")</f>
        <v>0.28999999999999998</v>
      </c>
      <c r="U350" s="307">
        <f t="shared" si="64"/>
        <v>1.1788617886178861E-2</v>
      </c>
      <c r="V350" s="94">
        <f>IFERROR(VLOOKUP($G350,基本資料!$A:$J,10,0),"無")</f>
        <v>0.32</v>
      </c>
      <c r="W350" s="36">
        <f>RTD("money.excel",,"4160","Price")</f>
        <v>24.6</v>
      </c>
      <c r="X350" s="66"/>
      <c r="Y350" s="15">
        <f t="shared" si="65"/>
        <v>24.6</v>
      </c>
      <c r="Z350" s="3" t="e">
        <f t="shared" si="66"/>
        <v>#DIV/0!</v>
      </c>
      <c r="AA350" s="340">
        <f>IFERROR(VLOOKUP($G350,基本資料!$A:$M,11,0),"無")</f>
        <v>-6.46</v>
      </c>
      <c r="AB350" s="389">
        <f>IFERROR(VLOOKUP($G350,基本資料!$A:$M,12,0),"無")</f>
        <v>31.98</v>
      </c>
      <c r="AC350" s="16" t="s">
        <v>3773</v>
      </c>
      <c r="AF350" s="33">
        <f t="shared" si="67"/>
        <v>0</v>
      </c>
      <c r="AG350" s="43" t="s">
        <v>3774</v>
      </c>
      <c r="AH350" s="66">
        <f t="shared" si="68"/>
        <v>0.26602176541717049</v>
      </c>
      <c r="AI350" s="283">
        <f>RTD("money.excel",,$G350,"PredictVolume")</f>
        <v>11</v>
      </c>
      <c r="AJ350" s="391">
        <f>IFERROR(VLOOKUP($G350,基本資料!$A:$M,13,0),"無")</f>
        <v>41.35</v>
      </c>
      <c r="AR350" s="245" t="str">
        <f>INDEX(基本資料!N:N,MATCH($G350,基本資料!A:A,0))</f>
        <v>中</v>
      </c>
    </row>
    <row r="351" spans="1:44">
      <c r="A351" s="343">
        <f>IFERROR(VLOOKUP($G351,基本資料!$A:$J,3,0),"無")</f>
        <v>5.26</v>
      </c>
      <c r="B351" s="79">
        <f>IFERROR(VLOOKUP($G351,基本資料!$A:$J,4,0),"無")</f>
        <v>133</v>
      </c>
      <c r="C351" s="79">
        <f>IFERROR(VLOOKUP($G351,基本資料!$A:$J,5,0),"無")</f>
        <v>184</v>
      </c>
      <c r="D351" s="79">
        <f>IFERROR(VLOOKUP($G351,基本資料!$A:$J,6,0),"無")</f>
        <v>-31</v>
      </c>
      <c r="E351" s="79">
        <f>IFERROR(VLOOKUP($G351,基本資料!$A:$J,7,0),"無")</f>
        <v>-37</v>
      </c>
      <c r="F351" s="6">
        <f>IFERROR(VLOOKUP($G351,基本資料!$A:$J,8,0),"無")</f>
        <v>4.84</v>
      </c>
      <c r="G351" s="79">
        <v>4161</v>
      </c>
      <c r="H351" s="8" t="s">
        <v>309</v>
      </c>
      <c r="I351" s="16" t="s">
        <v>3775</v>
      </c>
      <c r="J351" s="8">
        <f>IFERROR(VLOOKUP($G351,今日總結!$A:$AN,39,0),"")</f>
        <v>0</v>
      </c>
      <c r="K351" s="5">
        <f>IFERROR(VLOOKUP($G351,今日總結!$A:$AN,40,0),"")</f>
        <v>0</v>
      </c>
      <c r="L351" s="156">
        <f>IFERROR(VLOOKUP($G351,今日總結!$A:$AN,37,0),"")</f>
        <v>0</v>
      </c>
      <c r="M351" s="337">
        <f>IFERROR(VLOOKUP($G351,今日總結!$A:$AN,38,0),"")</f>
        <v>0</v>
      </c>
      <c r="N351" s="240">
        <f t="shared" si="70"/>
        <v>0</v>
      </c>
      <c r="O351" s="359">
        <f>IFERROR(VLOOKUP($G351,融外自投!$A:$J,7,0),"無")</f>
        <v>866</v>
      </c>
      <c r="P351" s="79" t="str">
        <f>IFERROR(VLOOKUP($G351,融外自投!$A:$J,9,0),"無")</f>
        <v>無</v>
      </c>
      <c r="Q351" s="342">
        <f>IFERROR(VLOOKUP($G351,融外自投!$A:$J,8,0),"無")</f>
        <v>1440</v>
      </c>
      <c r="R351" s="81" t="str">
        <f>IFERROR(VLOOKUP($G351,融外自投!$A:$J,10,0),"無")</f>
        <v>無</v>
      </c>
      <c r="S351" s="324">
        <f>IFERROR(VLOOKUP($G351,'321買'!$A:$E,4,0),"'沒有資料'")</f>
        <v>1002</v>
      </c>
      <c r="T351" s="186">
        <f>IFERROR(VLOOKUP($G351,基本資料!$A:$J,9,0),"無")</f>
        <v>0.3</v>
      </c>
      <c r="U351" s="307">
        <f t="shared" si="64"/>
        <v>1.2244897959183673E-2</v>
      </c>
      <c r="V351" s="94">
        <f>IFERROR(VLOOKUP($G351,基本資料!$A:$J,10,0),"無")</f>
        <v>0.47</v>
      </c>
      <c r="W351" s="36">
        <f>RTD("money.excel",,"4161","Price")</f>
        <v>24.5</v>
      </c>
      <c r="X351" s="66"/>
      <c r="Y351" s="15">
        <f t="shared" si="65"/>
        <v>24.5</v>
      </c>
      <c r="Z351" s="3" t="e">
        <f t="shared" si="66"/>
        <v>#DIV/0!</v>
      </c>
      <c r="AA351" s="340">
        <f>IFERROR(VLOOKUP($G351,基本資料!$A:$M,11,0),"無")</f>
        <v>-23.2</v>
      </c>
      <c r="AB351" s="389">
        <f>IFERROR(VLOOKUP($G351,基本資料!$A:$M,12,0),"無")</f>
        <v>18.2</v>
      </c>
      <c r="AC351" s="16" t="s">
        <v>3775</v>
      </c>
      <c r="AF351" s="33">
        <f t="shared" si="67"/>
        <v>0</v>
      </c>
      <c r="AG351" s="43" t="s">
        <v>3776</v>
      </c>
      <c r="AH351" s="66">
        <f t="shared" si="68"/>
        <v>0.12121212121212122</v>
      </c>
      <c r="AI351" s="283">
        <f>RTD("money.excel",,$G351,"PredictVolume")</f>
        <v>38</v>
      </c>
      <c r="AJ351" s="391">
        <f>IFERROR(VLOOKUP($G351,基本資料!$A:$M,13,0),"無")</f>
        <v>313.5</v>
      </c>
      <c r="AR351" s="245" t="str">
        <f>INDEX(基本資料!N:N,MATCH($G351,基本資料!A:A,0))</f>
        <v>低</v>
      </c>
    </row>
    <row r="352" spans="1:44">
      <c r="A352" s="343">
        <f>IFERROR(VLOOKUP($G352,基本資料!$A:$J,3,0),"無")</f>
        <v>14.55</v>
      </c>
      <c r="B352" s="79">
        <f>IFERROR(VLOOKUP($G352,基本資料!$A:$J,4,0),"無")</f>
        <v>-29</v>
      </c>
      <c r="C352" s="79">
        <f>IFERROR(VLOOKUP($G352,基本資料!$A:$J,5,0),"無")</f>
        <v>-55</v>
      </c>
      <c r="D352" s="79">
        <f>IFERROR(VLOOKUP($G352,基本資料!$A:$J,6,0),"無")</f>
        <v>-85</v>
      </c>
      <c r="E352" s="79">
        <f>IFERROR(VLOOKUP($G352,基本資料!$A:$J,7,0),"無")</f>
        <v>-2</v>
      </c>
      <c r="F352" s="6">
        <f>IFERROR(VLOOKUP($G352,基本資料!$A:$J,8,0),"無")</f>
        <v>55.39</v>
      </c>
      <c r="G352" s="79">
        <v>4162</v>
      </c>
      <c r="H352" s="8" t="s">
        <v>309</v>
      </c>
      <c r="I352" s="16" t="s">
        <v>37</v>
      </c>
      <c r="J352" s="8" t="str">
        <f>IFERROR(VLOOKUP($G352,今日總結!$A:$AN,39,0),"")</f>
        <v>外</v>
      </c>
      <c r="K352" s="5">
        <f>IFERROR(VLOOKUP($G352,今日總結!$A:$AN,40,0),"")</f>
        <v>0</v>
      </c>
      <c r="L352" s="156">
        <f>IFERROR(VLOOKUP($G352,今日總結!$A:$AN,37,0),"")</f>
        <v>4</v>
      </c>
      <c r="M352" s="337">
        <f>IFERROR(VLOOKUP($G352,今日總結!$A:$AN,38,0),"")</f>
        <v>0</v>
      </c>
      <c r="N352" s="240">
        <f t="shared" si="70"/>
        <v>4</v>
      </c>
      <c r="O352" s="359">
        <f>IFERROR(VLOOKUP($G352,融外自投!$A:$J,7,0),"無")</f>
        <v>299</v>
      </c>
      <c r="P352" s="79">
        <f>IFERROR(VLOOKUP($G352,融外自投!$A:$J,9,0),"無")</f>
        <v>403</v>
      </c>
      <c r="Q352" s="342">
        <f>IFERROR(VLOOKUP($G352,融外自投!$A:$J,8,0),"無")</f>
        <v>649</v>
      </c>
      <c r="R352" s="81">
        <f>IFERROR(VLOOKUP($G352,融外自投!$A:$J,10,0),"無")</f>
        <v>297</v>
      </c>
      <c r="S352" s="324">
        <f>IFERROR(VLOOKUP($G352,'321買'!$A:$E,4,0),"'沒有資料'")</f>
        <v>272</v>
      </c>
      <c r="T352" s="186">
        <f>IFERROR(VLOOKUP($G352,基本資料!$A:$J,9,0),"無")</f>
        <v>2.7</v>
      </c>
      <c r="U352" s="307">
        <f t="shared" si="64"/>
        <v>3.4928848641655887E-2</v>
      </c>
      <c r="V352" s="94">
        <f>IFERROR(VLOOKUP($G352,基本資料!$A:$J,10,0),"無")</f>
        <v>2.95</v>
      </c>
      <c r="W352" s="36">
        <f>RTD("money.excel",,"4162","Price")</f>
        <v>77.3</v>
      </c>
      <c r="X352" s="66"/>
      <c r="Y352" s="15">
        <f t="shared" si="65"/>
        <v>77.3</v>
      </c>
      <c r="Z352" s="3" t="e">
        <f t="shared" si="66"/>
        <v>#DIV/0!</v>
      </c>
      <c r="AA352" s="340">
        <f>IFERROR(VLOOKUP($G352,基本資料!$A:$M,11,0),"無")</f>
        <v>-25.67</v>
      </c>
      <c r="AB352" s="389">
        <f>IFERROR(VLOOKUP($G352,基本資料!$A:$M,12,0),"無")</f>
        <v>24.72</v>
      </c>
      <c r="AC352" s="16" t="s">
        <v>37</v>
      </c>
      <c r="AF352" s="33">
        <f t="shared" si="67"/>
        <v>0</v>
      </c>
      <c r="AG352" s="117" t="s">
        <v>3777</v>
      </c>
      <c r="AH352" s="66">
        <f t="shared" si="68"/>
        <v>0.32089248993362968</v>
      </c>
      <c r="AI352" s="283">
        <f>RTD("money.excel",,$G352,"PredictVolume")</f>
        <v>1303</v>
      </c>
      <c r="AJ352" s="391">
        <f>IFERROR(VLOOKUP($G352,基本資料!$A:$M,13,0),"無")</f>
        <v>4060.55</v>
      </c>
      <c r="AR352" s="245" t="str">
        <f>INDEX(基本資料!N:N,MATCH($G352,基本資料!A:A,0))</f>
        <v>中</v>
      </c>
    </row>
    <row r="353" spans="1:44">
      <c r="A353" s="343">
        <f>IFERROR(VLOOKUP($G353,基本資料!$A:$J,3,0),"無")</f>
        <v>4.82</v>
      </c>
      <c r="B353" s="79">
        <f>IFERROR(VLOOKUP($G353,基本資料!$A:$J,4,0),"無")</f>
        <v>-8</v>
      </c>
      <c r="C353" s="79">
        <f>IFERROR(VLOOKUP($G353,基本資料!$A:$J,5,0),"無")</f>
        <v>-32</v>
      </c>
      <c r="D353" s="79">
        <f>IFERROR(VLOOKUP($G353,基本資料!$A:$J,6,0),"無")</f>
        <v>-15</v>
      </c>
      <c r="E353" s="79">
        <f>IFERROR(VLOOKUP($G353,基本資料!$A:$J,7,0),"無")</f>
        <v>-7</v>
      </c>
      <c r="F353" s="6">
        <f>IFERROR(VLOOKUP($G353,基本資料!$A:$J,8,0),"無")</f>
        <v>11.25</v>
      </c>
      <c r="G353" s="79">
        <v>4163</v>
      </c>
      <c r="H353" s="8" t="s">
        <v>309</v>
      </c>
      <c r="I353" s="16" t="s">
        <v>3778</v>
      </c>
      <c r="J353" s="8">
        <f>IFERROR(VLOOKUP($G353,今日總結!$A:$AN,39,0),"")</f>
        <v>0</v>
      </c>
      <c r="K353" s="5">
        <f>IFERROR(VLOOKUP($G353,今日總結!$A:$AN,40,0),"")</f>
        <v>0</v>
      </c>
      <c r="L353" s="156">
        <f>IFERROR(VLOOKUP($G353,今日總結!$A:$AN,37,0),"")</f>
        <v>0</v>
      </c>
      <c r="M353" s="337">
        <f>IFERROR(VLOOKUP($G353,今日總結!$A:$AN,38,0),"")</f>
        <v>0</v>
      </c>
      <c r="N353" s="240">
        <f t="shared" si="70"/>
        <v>0</v>
      </c>
      <c r="O353" s="359">
        <f>IFERROR(VLOOKUP($G353,融外自投!$A:$J,7,0),"無")</f>
        <v>1129</v>
      </c>
      <c r="P353" s="79">
        <f>IFERROR(VLOOKUP($G353,融外自投!$A:$J,9,0),"無")</f>
        <v>649</v>
      </c>
      <c r="Q353" s="342">
        <f>IFERROR(VLOOKUP($G353,融外自投!$A:$J,8,0),"無")</f>
        <v>988</v>
      </c>
      <c r="R353" s="81" t="str">
        <f>IFERROR(VLOOKUP($G353,融外自投!$A:$J,10,0),"無")</f>
        <v>無</v>
      </c>
      <c r="S353" s="324">
        <f>IFERROR(VLOOKUP($G353,'321買'!$A:$E,4,0),"'沒有資料'")</f>
        <v>1002</v>
      </c>
      <c r="T353" s="186">
        <f>IFERROR(VLOOKUP($G353,基本資料!$A:$J,9,0),"無")</f>
        <v>2.5</v>
      </c>
      <c r="U353" s="307">
        <f t="shared" ref="U353:U414" si="71">$T353/$W353</f>
        <v>3.0339805825242715E-2</v>
      </c>
      <c r="V353" s="94">
        <f>IFERROR(VLOOKUP($G353,基本資料!$A:$J,10,0),"無")</f>
        <v>4.7300000000000004</v>
      </c>
      <c r="W353" s="36">
        <f>RTD("money.excel",,"4163","Price")</f>
        <v>82.4</v>
      </c>
      <c r="X353" s="66"/>
      <c r="Y353" s="15">
        <f t="shared" ref="Y353:Y414" si="72">W353-X353</f>
        <v>82.4</v>
      </c>
      <c r="Z353" s="3" t="e">
        <f t="shared" ref="Z353:Z414" si="73">Y353/X353</f>
        <v>#DIV/0!</v>
      </c>
      <c r="AA353" s="340">
        <f>IFERROR(VLOOKUP($G353,基本資料!$A:$M,11,0),"無")</f>
        <v>-11.11</v>
      </c>
      <c r="AB353" s="389">
        <f>IFERROR(VLOOKUP($G353,基本資料!$A:$M,12,0),"無")</f>
        <v>43.6</v>
      </c>
      <c r="AC353" s="16" t="s">
        <v>3778</v>
      </c>
      <c r="AF353" s="33">
        <f t="shared" ref="AF353:AF414" si="74">AE353-AD353</f>
        <v>0</v>
      </c>
      <c r="AG353" s="117" t="s">
        <v>3779</v>
      </c>
      <c r="AH353" s="66">
        <f t="shared" si="68"/>
        <v>0.30855539971949508</v>
      </c>
      <c r="AI353" s="283">
        <f>RTD("money.excel",,$G353,"PredictVolume")</f>
        <v>11</v>
      </c>
      <c r="AJ353" s="391">
        <f>IFERROR(VLOOKUP($G353,基本資料!$A:$M,13,0),"無")</f>
        <v>35.65</v>
      </c>
      <c r="AR353" s="245" t="str">
        <f>INDEX(基本資料!N:N,MATCH($G353,基本資料!A:A,0))</f>
        <v>低</v>
      </c>
    </row>
    <row r="354" spans="1:44">
      <c r="A354" s="343">
        <f>IFERROR(VLOOKUP($G354,基本資料!$A:$J,3,0),"無")</f>
        <v>16.149999999999999</v>
      </c>
      <c r="B354" s="79">
        <f>IFERROR(VLOOKUP($G354,基本資料!$A:$J,4,0),"無")</f>
        <v>4</v>
      </c>
      <c r="C354" s="79">
        <f>IFERROR(VLOOKUP($G354,基本資料!$A:$J,5,0),"無")</f>
        <v>-3</v>
      </c>
      <c r="D354" s="79">
        <f>IFERROR(VLOOKUP($G354,基本資料!$A:$J,6,0),"無")</f>
        <v>-3</v>
      </c>
      <c r="E354" s="79">
        <f>IFERROR(VLOOKUP($G354,基本資料!$A:$J,7,0),"無")</f>
        <v>37</v>
      </c>
      <c r="F354" s="6">
        <f>IFERROR(VLOOKUP($G354,基本資料!$A:$J,8,0),"無")</f>
        <v>20.22</v>
      </c>
      <c r="G354" s="79">
        <v>4164</v>
      </c>
      <c r="H354" s="8" t="s">
        <v>309</v>
      </c>
      <c r="I354" s="22" t="s">
        <v>3780</v>
      </c>
      <c r="J354" s="8">
        <f>IFERROR(VLOOKUP($G354,今日總結!$A:$AN,39,0),"")</f>
        <v>0</v>
      </c>
      <c r="K354" s="5" t="str">
        <f>IFERROR(VLOOKUP($G354,今日總結!$A:$AN,40,0),"")</f>
        <v>主外</v>
      </c>
      <c r="L354" s="156">
        <f>IFERROR(VLOOKUP($G354,今日總結!$A:$AN,37,0),"")</f>
        <v>0</v>
      </c>
      <c r="M354" s="337">
        <f>IFERROR(VLOOKUP($G354,今日總結!$A:$AN,38,0),"")</f>
        <v>10</v>
      </c>
      <c r="N354" s="240">
        <f t="shared" si="70"/>
        <v>-10</v>
      </c>
      <c r="O354" s="359">
        <f>IFERROR(VLOOKUP($G354,融外自投!$A:$J,7,0),"無")</f>
        <v>920</v>
      </c>
      <c r="P354" s="79">
        <f>IFERROR(VLOOKUP($G354,融外自投!$A:$J,9,0),"無")</f>
        <v>596</v>
      </c>
      <c r="Q354" s="342">
        <f>IFERROR(VLOOKUP($G354,融外自投!$A:$J,8,0),"無")</f>
        <v>194</v>
      </c>
      <c r="R354" s="81">
        <f>IFERROR(VLOOKUP($G354,融外自投!$A:$J,10,0),"無")</f>
        <v>256</v>
      </c>
      <c r="S354" s="324">
        <f>IFERROR(VLOOKUP($G354,'321買'!$A:$E,4,0),"'沒有資料'")</f>
        <v>696</v>
      </c>
      <c r="T354" s="186">
        <f>IFERROR(VLOOKUP($G354,基本資料!$A:$J,9,0),"無")</f>
        <v>2.0099999999999998</v>
      </c>
      <c r="U354" s="307">
        <f t="shared" si="71"/>
        <v>5.2005174644243202E-2</v>
      </c>
      <c r="V354" s="94">
        <f>IFERROR(VLOOKUP($G354,基本資料!$A:$J,10,0),"無")</f>
        <v>2.4300000000000002</v>
      </c>
      <c r="W354" s="36">
        <f>RTD("money.excel",,"4164","Price")</f>
        <v>38.65</v>
      </c>
      <c r="X354" s="66"/>
      <c r="Y354" s="15">
        <f t="shared" si="72"/>
        <v>38.65</v>
      </c>
      <c r="Z354" s="3" t="e">
        <f t="shared" si="73"/>
        <v>#DIV/0!</v>
      </c>
      <c r="AA354" s="340">
        <f>IFERROR(VLOOKUP($G354,基本資料!$A:$M,11,0),"無")</f>
        <v>-23.16</v>
      </c>
      <c r="AB354" s="389">
        <f>IFERROR(VLOOKUP($G354,基本資料!$A:$M,12,0),"無")</f>
        <v>31.47</v>
      </c>
      <c r="AC354" s="22" t="s">
        <v>3780</v>
      </c>
      <c r="AF354" s="33">
        <f t="shared" si="74"/>
        <v>0</v>
      </c>
      <c r="AG354" s="43" t="s">
        <v>3781</v>
      </c>
      <c r="AH354" s="66">
        <f t="shared" si="68"/>
        <v>0.45773063323690133</v>
      </c>
      <c r="AI354" s="283">
        <f>RTD("money.excel",,$G354,"PredictVolume")</f>
        <v>356</v>
      </c>
      <c r="AJ354" s="391">
        <f>IFERROR(VLOOKUP($G354,基本資料!$A:$M,13,0),"無")</f>
        <v>777.75</v>
      </c>
      <c r="AR354" s="245" t="str">
        <f>INDEX(基本資料!N:N,MATCH($G354,基本資料!A:A,0))</f>
        <v>低</v>
      </c>
    </row>
    <row r="355" spans="1:44">
      <c r="A355" s="343">
        <f>IFERROR(VLOOKUP($G355,基本資料!$A:$J,3,0),"無")</f>
        <v>31.7</v>
      </c>
      <c r="B355" s="79">
        <f>IFERROR(VLOOKUP($G355,基本資料!$A:$J,4,0),"無")</f>
        <v>-96</v>
      </c>
      <c r="C355" s="79">
        <f>IFERROR(VLOOKUP($G355,基本資料!$A:$J,5,0),"無")</f>
        <v>-87</v>
      </c>
      <c r="D355" s="79">
        <f>IFERROR(VLOOKUP($G355,基本資料!$A:$J,6,0),"無")</f>
        <v>-9</v>
      </c>
      <c r="E355" s="79">
        <f>IFERROR(VLOOKUP($G355,基本資料!$A:$J,7,0),"無")</f>
        <v>-10</v>
      </c>
      <c r="F355" s="6">
        <f>IFERROR(VLOOKUP($G355,基本資料!$A:$J,8,0),"無")</f>
        <v>1.68</v>
      </c>
      <c r="G355" s="79">
        <v>4167</v>
      </c>
      <c r="H355" s="8" t="s">
        <v>309</v>
      </c>
      <c r="I355" s="16" t="s">
        <v>3782</v>
      </c>
      <c r="J355" s="8">
        <f>IFERROR(VLOOKUP($G355,今日總結!$A:$AN,39,0),"")</f>
        <v>0</v>
      </c>
      <c r="K355" s="5">
        <f>IFERROR(VLOOKUP($G355,今日總結!$A:$AN,40,0),"")</f>
        <v>0</v>
      </c>
      <c r="L355" s="156">
        <f>IFERROR(VLOOKUP($G355,今日總結!$A:$AN,37,0),"")</f>
        <v>0</v>
      </c>
      <c r="M355" s="337">
        <f>IFERROR(VLOOKUP($G355,今日總結!$A:$AN,38,0),"")</f>
        <v>0</v>
      </c>
      <c r="N355" s="240">
        <f t="shared" si="70"/>
        <v>0</v>
      </c>
      <c r="O355" s="359">
        <f>IFERROR(VLOOKUP($G355,融外自投!$A:$J,7,0),"無")</f>
        <v>1126</v>
      </c>
      <c r="P355" s="79" t="str">
        <f>IFERROR(VLOOKUP($G355,融外自投!$A:$J,9,0),"無")</f>
        <v>無</v>
      </c>
      <c r="Q355" s="342">
        <f>IFERROR(VLOOKUP($G355,融外自投!$A:$J,8,0),"無")</f>
        <v>508</v>
      </c>
      <c r="R355" s="81" t="str">
        <f>IFERROR(VLOOKUP($G355,融外自投!$A:$J,10,0),"無")</f>
        <v>無</v>
      </c>
      <c r="S355" s="324">
        <f>IFERROR(VLOOKUP($G355,'321買'!$A:$E,4,0),"'沒有資料'")</f>
        <v>1002</v>
      </c>
      <c r="T355" s="186">
        <f>IFERROR(VLOOKUP($G355,基本資料!$A:$J,9,0),"無")</f>
        <v>0</v>
      </c>
      <c r="U355" s="307">
        <f t="shared" si="71"/>
        <v>0</v>
      </c>
      <c r="V355" s="94">
        <f>IFERROR(VLOOKUP($G355,基本資料!$A:$J,10,0),"無")</f>
        <v>0.03</v>
      </c>
      <c r="W355" s="36">
        <f>RTD("money.excel",,"4167","Price")</f>
        <v>16.350000000000001</v>
      </c>
      <c r="X355" s="66"/>
      <c r="Y355" s="15">
        <f t="shared" si="72"/>
        <v>16.350000000000001</v>
      </c>
      <c r="Z355" s="3" t="e">
        <f t="shared" si="73"/>
        <v>#DIV/0!</v>
      </c>
      <c r="AA355" s="340">
        <f>IFERROR(VLOOKUP($G355,基本資料!$A:$M,11,0),"無")</f>
        <v>-42.43</v>
      </c>
      <c r="AB355" s="389">
        <f>IFERROR(VLOOKUP($G355,基本資料!$A:$M,12,0),"無")</f>
        <v>27.72</v>
      </c>
      <c r="AC355" s="16" t="s">
        <v>3782</v>
      </c>
      <c r="AF355" s="33">
        <f t="shared" si="74"/>
        <v>0</v>
      </c>
      <c r="AG355" s="43" t="s">
        <v>2449</v>
      </c>
      <c r="AH355" s="66">
        <f t="shared" si="68"/>
        <v>9.6971914737901385E-2</v>
      </c>
      <c r="AI355" s="283">
        <f>RTD("money.excel",,$G355,"PredictVolume")</f>
        <v>265</v>
      </c>
      <c r="AJ355" s="391">
        <f>IFERROR(VLOOKUP($G355,基本資料!$A:$M,13,0),"無")</f>
        <v>2732.75</v>
      </c>
      <c r="AR355" s="245" t="str">
        <f>INDEX(基本資料!N:N,MATCH($G355,基本資料!A:A,0))</f>
        <v>低</v>
      </c>
    </row>
    <row r="356" spans="1:44">
      <c r="A356" s="343">
        <f>IFERROR(VLOOKUP($G356,基本資料!$A:$J,3,0),"無")</f>
        <v>9.74</v>
      </c>
      <c r="B356" s="79">
        <f>IFERROR(VLOOKUP($G356,基本資料!$A:$J,4,0),"無")</f>
        <v>-6</v>
      </c>
      <c r="C356" s="79">
        <f>IFERROR(VLOOKUP($G356,基本資料!$A:$J,5,0),"無")</f>
        <v>8</v>
      </c>
      <c r="D356" s="79">
        <f>IFERROR(VLOOKUP($G356,基本資料!$A:$J,6,0),"無")</f>
        <v>-26</v>
      </c>
      <c r="E356" s="79">
        <f>IFERROR(VLOOKUP($G356,基本資料!$A:$J,7,0),"無")</f>
        <v>0</v>
      </c>
      <c r="F356" s="6">
        <f>IFERROR(VLOOKUP($G356,基本資料!$A:$J,8,0),"無")</f>
        <v>-3560.33</v>
      </c>
      <c r="G356" s="79">
        <v>4168</v>
      </c>
      <c r="H356" s="8" t="s">
        <v>309</v>
      </c>
      <c r="I356" s="16" t="s">
        <v>3783</v>
      </c>
      <c r="J356" s="8" t="str">
        <f>IFERROR(VLOOKUP($G356,今日總結!$A:$AN,39,0),"")</f>
        <v>融</v>
      </c>
      <c r="K356" s="5" t="str">
        <f>IFERROR(VLOOKUP($G356,今日總結!$A:$AN,40,0),"")</f>
        <v>主</v>
      </c>
      <c r="L356" s="156">
        <f>IFERROR(VLOOKUP($G356,今日總結!$A:$AN,37,0),"")</f>
        <v>4</v>
      </c>
      <c r="M356" s="337">
        <f>IFERROR(VLOOKUP($G356,今日總結!$A:$AN,38,0),"")</f>
        <v>6</v>
      </c>
      <c r="N356" s="240">
        <f t="shared" si="70"/>
        <v>-2</v>
      </c>
      <c r="O356" s="359">
        <f>IFERROR(VLOOKUP($G356,融外自投!$A:$J,7,0),"無")</f>
        <v>59</v>
      </c>
      <c r="P356" s="79" t="str">
        <f>IFERROR(VLOOKUP($G356,融外自投!$A:$J,9,0),"無")</f>
        <v>無</v>
      </c>
      <c r="Q356" s="342">
        <f>IFERROR(VLOOKUP($G356,融外自投!$A:$J,8,0),"無")</f>
        <v>742</v>
      </c>
      <c r="R356" s="81" t="str">
        <f>IFERROR(VLOOKUP($G356,融外自投!$A:$J,10,0),"無")</f>
        <v>無</v>
      </c>
      <c r="S356" s="324">
        <f>IFERROR(VLOOKUP($G356,'321買'!$A:$E,4,0),"'沒有資料'")</f>
        <v>891</v>
      </c>
      <c r="T356" s="186">
        <f>IFERROR(VLOOKUP($G356,基本資料!$A:$J,9,0),"無")</f>
        <v>0</v>
      </c>
      <c r="U356" s="307">
        <f t="shared" si="71"/>
        <v>0</v>
      </c>
      <c r="V356" s="94">
        <f>IFERROR(VLOOKUP($G356,基本資料!$A:$J,10,0),"無")</f>
        <v>-1.78</v>
      </c>
      <c r="W356" s="36">
        <f>RTD("money.excel",,"4168","Price")</f>
        <v>25.65</v>
      </c>
      <c r="X356" s="66"/>
      <c r="Y356" s="15">
        <f t="shared" si="72"/>
        <v>25.65</v>
      </c>
      <c r="Z356" s="3" t="e">
        <f t="shared" si="73"/>
        <v>#DIV/0!</v>
      </c>
      <c r="AA356" s="340">
        <f>IFERROR(VLOOKUP($G356,基本資料!$A:$M,11,0),"無")</f>
        <v>-25</v>
      </c>
      <c r="AB356" s="389">
        <f>IFERROR(VLOOKUP($G356,基本資料!$A:$M,12,0),"無")</f>
        <v>19.53</v>
      </c>
      <c r="AC356" s="16" t="s">
        <v>3783</v>
      </c>
      <c r="AF356" s="33">
        <f t="shared" si="74"/>
        <v>0</v>
      </c>
      <c r="AG356" s="43" t="s">
        <v>1446</v>
      </c>
      <c r="AH356" s="66">
        <f t="shared" si="68"/>
        <v>0.34788010560646065</v>
      </c>
      <c r="AI356" s="283">
        <f>RTD("money.excel",,$G356,"PredictVolume")</f>
        <v>448</v>
      </c>
      <c r="AJ356" s="391">
        <f>IFERROR(VLOOKUP($G356,基本資料!$A:$M,13,0),"無")</f>
        <v>1287.8</v>
      </c>
      <c r="AR356" s="245" t="str">
        <f>INDEX(基本資料!N:N,MATCH($G356,基本資料!A:A,0))</f>
        <v>低</v>
      </c>
    </row>
    <row r="357" spans="1:44">
      <c r="A357" s="343">
        <f>IFERROR(VLOOKUP($G357,基本資料!$A:$J,3,0),"無")</f>
        <v>7.45</v>
      </c>
      <c r="B357" s="79">
        <f>IFERROR(VLOOKUP($G357,基本資料!$A:$J,4,0),"無")</f>
        <v>17</v>
      </c>
      <c r="C357" s="79">
        <f>IFERROR(VLOOKUP($G357,基本資料!$A:$J,5,0),"無")</f>
        <v>12</v>
      </c>
      <c r="D357" s="79">
        <f>IFERROR(VLOOKUP($G357,基本資料!$A:$J,6,0),"無")</f>
        <v>-18</v>
      </c>
      <c r="E357" s="79">
        <f>IFERROR(VLOOKUP($G357,基本資料!$A:$J,7,0),"無")</f>
        <v>4</v>
      </c>
      <c r="F357" s="6">
        <f>IFERROR(VLOOKUP($G357,基本資料!$A:$J,8,0),"無")</f>
        <v>5.76</v>
      </c>
      <c r="G357" s="79">
        <v>4173</v>
      </c>
      <c r="H357" s="8" t="s">
        <v>309</v>
      </c>
      <c r="I357" s="16" t="s">
        <v>3784</v>
      </c>
      <c r="J357" s="8" t="str">
        <f>IFERROR(VLOOKUP($G357,今日總結!$A:$AN,39,0),"")</f>
        <v>外</v>
      </c>
      <c r="K357" s="5">
        <f>IFERROR(VLOOKUP($G357,今日總結!$A:$AN,40,0),"")</f>
        <v>0</v>
      </c>
      <c r="L357" s="156">
        <f>IFERROR(VLOOKUP($G357,今日總結!$A:$AN,37,0),"")</f>
        <v>1</v>
      </c>
      <c r="M357" s="337">
        <f>IFERROR(VLOOKUP($G357,今日總結!$A:$AN,38,0),"")</f>
        <v>0</v>
      </c>
      <c r="N357" s="240">
        <f t="shared" si="70"/>
        <v>1</v>
      </c>
      <c r="O357" s="359">
        <f>IFERROR(VLOOKUP($G357,融外自投!$A:$J,7,0),"無")</f>
        <v>523</v>
      </c>
      <c r="P357" s="79" t="str">
        <f>IFERROR(VLOOKUP($G357,融外自投!$A:$J,9,0),"無")</f>
        <v>無</v>
      </c>
      <c r="Q357" s="342">
        <f>IFERROR(VLOOKUP($G357,融外自投!$A:$J,8,0),"無")</f>
        <v>1314</v>
      </c>
      <c r="R357" s="81" t="str">
        <f>IFERROR(VLOOKUP($G357,融外自投!$A:$J,10,0),"無")</f>
        <v>無</v>
      </c>
      <c r="S357" s="324">
        <f>IFERROR(VLOOKUP($G357,'321買'!$A:$E,4,0),"'沒有資料'")</f>
        <v>891</v>
      </c>
      <c r="T357" s="186">
        <f>IFERROR(VLOOKUP($G357,基本資料!$A:$J,9,0),"無")</f>
        <v>0.5</v>
      </c>
      <c r="U357" s="307">
        <f t="shared" si="71"/>
        <v>2.8901734104046242E-2</v>
      </c>
      <c r="V357" s="94">
        <f>IFERROR(VLOOKUP($G357,基本資料!$A:$J,10,0),"無")</f>
        <v>0.74</v>
      </c>
      <c r="W357" s="36">
        <f>RTD("money.excel",,"4173","Price")</f>
        <v>17.3</v>
      </c>
      <c r="X357" s="66"/>
      <c r="Y357" s="15">
        <f t="shared" si="72"/>
        <v>17.3</v>
      </c>
      <c r="Z357" s="3" t="e">
        <f t="shared" si="73"/>
        <v>#DIV/0!</v>
      </c>
      <c r="AA357" s="340">
        <f>IFERROR(VLOOKUP($G357,基本資料!$A:$M,11,0),"無")</f>
        <v>-40.96</v>
      </c>
      <c r="AB357" s="389">
        <f>IFERROR(VLOOKUP($G357,基本資料!$A:$M,12,0),"無")</f>
        <v>25.46</v>
      </c>
      <c r="AC357" s="16" t="s">
        <v>3784</v>
      </c>
      <c r="AF357" s="33">
        <f t="shared" si="74"/>
        <v>0</v>
      </c>
      <c r="AG357" s="43" t="s">
        <v>3785</v>
      </c>
      <c r="AH357" s="66">
        <f t="shared" si="68"/>
        <v>7.123198963898332E-2</v>
      </c>
      <c r="AI357" s="283">
        <f>RTD("money.excel",,$G357,"PredictVolume")</f>
        <v>198</v>
      </c>
      <c r="AJ357" s="391">
        <f>IFERROR(VLOOKUP($G357,基本資料!$A:$M,13,0),"無")</f>
        <v>2779.65</v>
      </c>
      <c r="AR357" s="245" t="str">
        <f>INDEX(基本資料!N:N,MATCH($G357,基本資料!A:A,0))</f>
        <v>低</v>
      </c>
    </row>
    <row r="358" spans="1:44">
      <c r="A358" s="343">
        <f>IFERROR(VLOOKUP($G358,基本資料!$A:$J,3,0),"無")</f>
        <v>22.92</v>
      </c>
      <c r="B358" s="79">
        <f>IFERROR(VLOOKUP($G358,基本資料!$A:$J,4,0),"無")</f>
        <v>-15</v>
      </c>
      <c r="C358" s="79">
        <f>IFERROR(VLOOKUP($G358,基本資料!$A:$J,5,0),"無")</f>
        <v>-17</v>
      </c>
      <c r="D358" s="79">
        <f>IFERROR(VLOOKUP($G358,基本資料!$A:$J,6,0),"無")</f>
        <v>-84</v>
      </c>
      <c r="E358" s="79">
        <f>IFERROR(VLOOKUP($G358,基本資料!$A:$J,7,0),"無")</f>
        <v>-84</v>
      </c>
      <c r="F358" s="6">
        <f>IFERROR(VLOOKUP($G358,基本資料!$A:$J,8,0),"無")</f>
        <v>-9141.35</v>
      </c>
      <c r="G358" s="79">
        <v>4174</v>
      </c>
      <c r="H358" s="8" t="s">
        <v>309</v>
      </c>
      <c r="I358" s="16" t="s">
        <v>3786</v>
      </c>
      <c r="J358" s="8" t="str">
        <f>IFERROR(VLOOKUP($G358,今日總結!$A:$AN,39,0),"")</f>
        <v>融</v>
      </c>
      <c r="K358" s="5">
        <f>IFERROR(VLOOKUP($G358,今日總結!$A:$AN,40,0),"")</f>
        <v>0</v>
      </c>
      <c r="L358" s="156">
        <f>IFERROR(VLOOKUP($G358,今日總結!$A:$AN,37,0),"")</f>
        <v>7</v>
      </c>
      <c r="M358" s="337">
        <f>IFERROR(VLOOKUP($G358,今日總結!$A:$AN,38,0),"")</f>
        <v>0</v>
      </c>
      <c r="N358" s="240">
        <f t="shared" si="70"/>
        <v>7</v>
      </c>
      <c r="O358" s="359">
        <f>IFERROR(VLOOKUP($G358,融外自投!$A:$J,7,0),"無")</f>
        <v>282</v>
      </c>
      <c r="P358" s="79">
        <f>IFERROR(VLOOKUP($G358,融外自投!$A:$J,9,0),"無")</f>
        <v>1123</v>
      </c>
      <c r="Q358" s="342">
        <f>IFERROR(VLOOKUP($G358,融外自投!$A:$J,8,0),"無")</f>
        <v>453</v>
      </c>
      <c r="R358" s="81" t="str">
        <f>IFERROR(VLOOKUP($G358,融外自投!$A:$J,10,0),"無")</f>
        <v>無</v>
      </c>
      <c r="S358" s="324">
        <f>IFERROR(VLOOKUP($G358,'321買'!$A:$E,4,0),"'沒有資料'")</f>
        <v>650</v>
      </c>
      <c r="T358" s="186">
        <f>IFERROR(VLOOKUP($G358,基本資料!$A:$J,9,0),"無")</f>
        <v>0</v>
      </c>
      <c r="U358" s="307">
        <f t="shared" si="71"/>
        <v>0</v>
      </c>
      <c r="V358" s="94">
        <f>IFERROR(VLOOKUP($G358,基本資料!$A:$J,10,0),"無")</f>
        <v>-7.69</v>
      </c>
      <c r="W358" s="36">
        <f>RTD("money.excel",,"4174","Price")</f>
        <v>110.5</v>
      </c>
      <c r="X358" s="66"/>
      <c r="Y358" s="15">
        <f t="shared" si="72"/>
        <v>110.5</v>
      </c>
      <c r="Z358" s="3" t="e">
        <f t="shared" si="73"/>
        <v>#DIV/0!</v>
      </c>
      <c r="AA358" s="340">
        <f>IFERROR(VLOOKUP($G358,基本資料!$A:$M,11,0),"無")</f>
        <v>-19.64</v>
      </c>
      <c r="AB358" s="389">
        <f>IFERROR(VLOOKUP($G358,基本資料!$A:$M,12,0),"無")</f>
        <v>44.26</v>
      </c>
      <c r="AC358" s="16" t="s">
        <v>3786</v>
      </c>
      <c r="AF358" s="33">
        <f t="shared" si="74"/>
        <v>0</v>
      </c>
      <c r="AG358" s="43" t="s">
        <v>3787</v>
      </c>
      <c r="AH358" s="66">
        <f t="shared" si="68"/>
        <v>0.36392692405477062</v>
      </c>
      <c r="AI358" s="283">
        <f>RTD("money.excel",,$G358,"PredictVolume")</f>
        <v>501</v>
      </c>
      <c r="AJ358" s="391">
        <f>IFERROR(VLOOKUP($G358,基本資料!$A:$M,13,0),"無")</f>
        <v>1376.65</v>
      </c>
      <c r="AR358" s="245" t="str">
        <f>INDEX(基本資料!N:N,MATCH($G358,基本資料!A:A,0))</f>
        <v>中</v>
      </c>
    </row>
    <row r="359" spans="1:44">
      <c r="A359" s="343">
        <f>IFERROR(VLOOKUP($G359,基本資料!$A:$J,3,0),"無")</f>
        <v>3.52</v>
      </c>
      <c r="B359" s="79">
        <f>IFERROR(VLOOKUP($G359,基本資料!$A:$J,4,0),"無")</f>
        <v>-36</v>
      </c>
      <c r="C359" s="79">
        <f>IFERROR(VLOOKUP($G359,基本資料!$A:$J,5,0),"無")</f>
        <v>-25</v>
      </c>
      <c r="D359" s="79">
        <f>IFERROR(VLOOKUP($G359,基本資料!$A:$J,6,0),"無")</f>
        <v>14</v>
      </c>
      <c r="E359" s="79">
        <f>IFERROR(VLOOKUP($G359,基本資料!$A:$J,7,0),"無")</f>
        <v>30</v>
      </c>
      <c r="F359" s="6">
        <f>IFERROR(VLOOKUP($G359,基本資料!$A:$J,8,0),"無")</f>
        <v>1.73</v>
      </c>
      <c r="G359" s="79">
        <v>4175</v>
      </c>
      <c r="H359" s="8" t="s">
        <v>309</v>
      </c>
      <c r="I359" s="16" t="s">
        <v>3788</v>
      </c>
      <c r="J359" s="8">
        <f>IFERROR(VLOOKUP($G359,今日總結!$A:$AN,39,0),"")</f>
        <v>0</v>
      </c>
      <c r="K359" s="5">
        <f>IFERROR(VLOOKUP($G359,今日總結!$A:$AN,40,0),"")</f>
        <v>0</v>
      </c>
      <c r="L359" s="156">
        <f>IFERROR(VLOOKUP($G359,今日總結!$A:$AN,37,0),"")</f>
        <v>0</v>
      </c>
      <c r="M359" s="337">
        <f>IFERROR(VLOOKUP($G359,今日總結!$A:$AN,38,0),"")</f>
        <v>0</v>
      </c>
      <c r="N359" s="240">
        <f t="shared" si="70"/>
        <v>0</v>
      </c>
      <c r="O359" s="359">
        <f>IFERROR(VLOOKUP($G359,融外自投!$A:$J,7,0),"無")</f>
        <v>703</v>
      </c>
      <c r="P359" s="79">
        <f>IFERROR(VLOOKUP($G359,融外自投!$A:$J,9,0),"無")</f>
        <v>762</v>
      </c>
      <c r="Q359" s="342">
        <f>IFERROR(VLOOKUP($G359,融外自投!$A:$J,8,0),"無")</f>
        <v>1369</v>
      </c>
      <c r="R359" s="81">
        <f>IFERROR(VLOOKUP($G359,融外自投!$A:$J,10,0),"無")</f>
        <v>297</v>
      </c>
      <c r="S359" s="324">
        <f>IFERROR(VLOOKUP($G359,'321買'!$A:$E,4,0),"'沒有資料'")</f>
        <v>394</v>
      </c>
      <c r="T359" s="186">
        <f>IFERROR(VLOOKUP($G359,基本資料!$A:$J,9,0),"無")</f>
        <v>1.6</v>
      </c>
      <c r="U359" s="307">
        <f t="shared" si="71"/>
        <v>2.1248339973439577E-2</v>
      </c>
      <c r="V359" s="94">
        <f>IFERROR(VLOOKUP($G359,基本資料!$A:$J,10,0),"無")</f>
        <v>1.97</v>
      </c>
      <c r="W359" s="36">
        <f>RTD("money.excel",,"4175","Price")</f>
        <v>75.3</v>
      </c>
      <c r="X359" s="66"/>
      <c r="Y359" s="15">
        <f t="shared" si="72"/>
        <v>75.3</v>
      </c>
      <c r="Z359" s="3" t="e">
        <f t="shared" si="73"/>
        <v>#DIV/0!</v>
      </c>
      <c r="AA359" s="340">
        <f>IFERROR(VLOOKUP($G359,基本資料!$A:$M,11,0),"無")</f>
        <v>-32.159999999999997</v>
      </c>
      <c r="AB359" s="389">
        <f>IFERROR(VLOOKUP($G359,基本資料!$A:$M,12,0),"無")</f>
        <v>38.85</v>
      </c>
      <c r="AC359" s="16" t="s">
        <v>3788</v>
      </c>
      <c r="AF359" s="33">
        <f t="shared" si="74"/>
        <v>0</v>
      </c>
      <c r="AG359" s="43" t="s">
        <v>3789</v>
      </c>
      <c r="AH359" s="66">
        <f t="shared" si="68"/>
        <v>0.44678571428571429</v>
      </c>
      <c r="AI359" s="283">
        <f>RTD("money.excel",,$G359,"PredictVolume")</f>
        <v>1251</v>
      </c>
      <c r="AJ359" s="391">
        <f>IFERROR(VLOOKUP($G359,基本資料!$A:$M,13,0),"無")</f>
        <v>2800</v>
      </c>
      <c r="AR359" s="245" t="str">
        <f>INDEX(基本資料!N:N,MATCH($G359,基本資料!A:A,0))</f>
        <v>低</v>
      </c>
    </row>
    <row r="360" spans="1:44">
      <c r="A360" s="343">
        <f>IFERROR(VLOOKUP($G360,基本資料!$A:$J,3,0),"無")</f>
        <v>2.38</v>
      </c>
      <c r="B360" s="79">
        <f>IFERROR(VLOOKUP($G360,基本資料!$A:$J,4,0),"無")</f>
        <v>-41</v>
      </c>
      <c r="C360" s="79">
        <f>IFERROR(VLOOKUP($G360,基本資料!$A:$J,5,0),"無")</f>
        <v>-25</v>
      </c>
      <c r="D360" s="79">
        <f>IFERROR(VLOOKUP($G360,基本資料!$A:$J,6,0),"無")</f>
        <v>41</v>
      </c>
      <c r="E360" s="79">
        <f>IFERROR(VLOOKUP($G360,基本資料!$A:$J,7,0),"無")</f>
        <v>0</v>
      </c>
      <c r="F360" s="6">
        <f>IFERROR(VLOOKUP($G360,基本資料!$A:$J,8,0),"無")</f>
        <v>6.88</v>
      </c>
      <c r="G360" s="79">
        <v>4183</v>
      </c>
      <c r="H360" s="8" t="s">
        <v>309</v>
      </c>
      <c r="I360" s="16" t="s">
        <v>3790</v>
      </c>
      <c r="J360" s="8" t="str">
        <f>IFERROR(VLOOKUP($G360,今日總結!$A:$AN,39,0),"")</f>
        <v/>
      </c>
      <c r="K360" s="5" t="str">
        <f>IFERROR(VLOOKUP($G360,今日總結!$A:$AN,40,0),"")</f>
        <v/>
      </c>
      <c r="L360" s="156" t="str">
        <f>IFERROR(VLOOKUP($G360,今日總結!$A:$AN,37,0),"")</f>
        <v/>
      </c>
      <c r="M360" s="337" t="str">
        <f>IFERROR(VLOOKUP($G360,今日總結!$A:$AN,38,0),"")</f>
        <v/>
      </c>
      <c r="N360" s="240" t="str">
        <f t="shared" si="70"/>
        <v/>
      </c>
      <c r="O360" s="359" t="str">
        <f>IFERROR(VLOOKUP($G360,融外自投!$A:$J,7,0),"無")</f>
        <v>無</v>
      </c>
      <c r="P360" s="79" t="str">
        <f>IFERROR(VLOOKUP($G360,融外自投!$A:$J,9,0),"無")</f>
        <v>無</v>
      </c>
      <c r="Q360" s="342" t="str">
        <f>IFERROR(VLOOKUP($G360,融外自投!$A:$J,8,0),"無")</f>
        <v>無</v>
      </c>
      <c r="R360" s="81" t="str">
        <f>IFERROR(VLOOKUP($G360,融外自投!$A:$J,10,0),"無")</f>
        <v>無</v>
      </c>
      <c r="S360" s="324" t="str">
        <f>IFERROR(VLOOKUP($G360,'321買'!$A:$E,4,0),"'沒有資料'")</f>
        <v>'沒有資料'</v>
      </c>
      <c r="T360" s="186">
        <f>IFERROR(VLOOKUP($G360,基本資料!$A:$J,9,0),"無")</f>
        <v>0.7</v>
      </c>
      <c r="U360" s="307">
        <f t="shared" si="71"/>
        <v>3.7234042553191488E-2</v>
      </c>
      <c r="V360" s="94">
        <f>IFERROR(VLOOKUP($G360,基本資料!$A:$J,10,0),"無")</f>
        <v>0.78</v>
      </c>
      <c r="W360" s="36">
        <f>RTD("money.excel",,"4183","Price")</f>
        <v>18.8</v>
      </c>
      <c r="X360" s="66"/>
      <c r="Y360" s="15">
        <f t="shared" si="72"/>
        <v>18.8</v>
      </c>
      <c r="Z360" s="3" t="e">
        <f t="shared" si="73"/>
        <v>#DIV/0!</v>
      </c>
      <c r="AA360" s="340">
        <f>IFERROR(VLOOKUP($G360,基本資料!$A:$M,11,0),"無")</f>
        <v>-10.050000000000001</v>
      </c>
      <c r="AB360" s="389">
        <f>IFERROR(VLOOKUP($G360,基本資料!$A:$M,12,0),"無")</f>
        <v>33.92</v>
      </c>
      <c r="AC360" s="16" t="s">
        <v>3790</v>
      </c>
      <c r="AF360" s="33">
        <f t="shared" si="74"/>
        <v>0</v>
      </c>
      <c r="AG360" s="43" t="s">
        <v>3776</v>
      </c>
      <c r="AH360" s="66">
        <f t="shared" si="68"/>
        <v>1.5607580824972129</v>
      </c>
      <c r="AI360" s="283">
        <f>RTD("money.excel",,$G360,"PredictVolume")</f>
        <v>70</v>
      </c>
      <c r="AJ360" s="391">
        <f>IFERROR(VLOOKUP($G360,基本資料!$A:$M,13,0),"無")</f>
        <v>44.85</v>
      </c>
      <c r="AR360" s="245" t="str">
        <f>INDEX(基本資料!N:N,MATCH($G360,基本資料!A:A,0))</f>
        <v>中</v>
      </c>
    </row>
    <row r="361" spans="1:44">
      <c r="A361" s="343">
        <f>IFERROR(VLOOKUP($G361,基本資料!$A:$J,3,0),"無")</f>
        <v>5.32</v>
      </c>
      <c r="B361" s="79">
        <f>IFERROR(VLOOKUP($G361,基本資料!$A:$J,4,0),"無")</f>
        <v>37</v>
      </c>
      <c r="C361" s="79">
        <f>IFERROR(VLOOKUP($G361,基本資料!$A:$J,5,0),"無")</f>
        <v>34</v>
      </c>
      <c r="D361" s="79">
        <f>IFERROR(VLOOKUP($G361,基本資料!$A:$J,6,0),"無")</f>
        <v>10</v>
      </c>
      <c r="E361" s="79">
        <f>IFERROR(VLOOKUP($G361,基本資料!$A:$J,7,0),"無")</f>
        <v>14</v>
      </c>
      <c r="F361" s="6">
        <f>IFERROR(VLOOKUP($G361,基本資料!$A:$J,8,0),"無")</f>
        <v>-42.86</v>
      </c>
      <c r="G361" s="79">
        <v>4188</v>
      </c>
      <c r="H361" s="8" t="s">
        <v>309</v>
      </c>
      <c r="I361" s="16" t="s">
        <v>3791</v>
      </c>
      <c r="J361" s="8" t="str">
        <f>IFERROR(VLOOKUP($G361,今日總結!$A:$AN,39,0),"")</f>
        <v/>
      </c>
      <c r="K361" s="5" t="str">
        <f>IFERROR(VLOOKUP($G361,今日總結!$A:$AN,40,0),"")</f>
        <v/>
      </c>
      <c r="L361" s="156" t="str">
        <f>IFERROR(VLOOKUP($G361,今日總結!$A:$AN,37,0),"")</f>
        <v/>
      </c>
      <c r="M361" s="337" t="str">
        <f>IFERROR(VLOOKUP($G361,今日總結!$A:$AN,38,0),"")</f>
        <v/>
      </c>
      <c r="N361" s="240" t="str">
        <f t="shared" si="70"/>
        <v/>
      </c>
      <c r="O361" s="359" t="str">
        <f>IFERROR(VLOOKUP($G361,融外自投!$A:$J,7,0),"無")</f>
        <v>無</v>
      </c>
      <c r="P361" s="79" t="str">
        <f>IFERROR(VLOOKUP($G361,融外自投!$A:$J,9,0),"無")</f>
        <v>無</v>
      </c>
      <c r="Q361" s="342" t="str">
        <f>IFERROR(VLOOKUP($G361,融外自投!$A:$J,8,0),"無")</f>
        <v>無</v>
      </c>
      <c r="R361" s="81" t="str">
        <f>IFERROR(VLOOKUP($G361,融外自投!$A:$J,10,0),"無")</f>
        <v>無</v>
      </c>
      <c r="S361" s="324" t="str">
        <f>IFERROR(VLOOKUP($G361,'321買'!$A:$E,4,0),"'沒有資料'")</f>
        <v>'沒有資料'</v>
      </c>
      <c r="T361" s="186">
        <f>IFERROR(VLOOKUP($G361,基本資料!$A:$J,9,0),"無")</f>
        <v>0</v>
      </c>
      <c r="U361" s="307">
        <f t="shared" si="71"/>
        <v>0</v>
      </c>
      <c r="V361" s="94">
        <f>IFERROR(VLOOKUP($G361,基本資料!$A:$J,10,0),"無")</f>
        <v>-0.48</v>
      </c>
      <c r="W361" s="36">
        <f>RTD("money.excel",,"4188","Price")</f>
        <v>17</v>
      </c>
      <c r="X361" s="66"/>
      <c r="Y361" s="15">
        <f t="shared" si="72"/>
        <v>17</v>
      </c>
      <c r="Z361" s="3" t="e">
        <f t="shared" si="73"/>
        <v>#DIV/0!</v>
      </c>
      <c r="AA361" s="340">
        <f>IFERROR(VLOOKUP($G361,基本資料!$A:$M,11,0),"無")</f>
        <v>-19.05</v>
      </c>
      <c r="AB361" s="389">
        <f>IFERROR(VLOOKUP($G361,基本資料!$A:$M,12,0),"無")</f>
        <v>26.84</v>
      </c>
      <c r="AC361" s="16" t="s">
        <v>3791</v>
      </c>
      <c r="AF361" s="33">
        <f t="shared" si="74"/>
        <v>0</v>
      </c>
      <c r="AG361" s="43" t="s">
        <v>3792</v>
      </c>
      <c r="AH361" s="66">
        <f t="shared" si="68"/>
        <v>0.16438356164383561</v>
      </c>
      <c r="AI361" s="283">
        <f>RTD("money.excel",,$G361,"PredictVolume")</f>
        <v>9</v>
      </c>
      <c r="AJ361" s="391">
        <f>IFERROR(VLOOKUP($G361,基本資料!$A:$M,13,0),"無")</f>
        <v>54.75</v>
      </c>
      <c r="AR361" s="245" t="str">
        <f>INDEX(基本資料!N:N,MATCH($G361,基本資料!A:A,0))</f>
        <v>低</v>
      </c>
    </row>
    <row r="362" spans="1:44">
      <c r="A362" s="343">
        <f>IFERROR(VLOOKUP($G362,基本資料!$A:$J,3,0),"無")</f>
        <v>6.08</v>
      </c>
      <c r="B362" s="79">
        <f>IFERROR(VLOOKUP($G362,基本資料!$A:$J,4,0),"無")</f>
        <v>13</v>
      </c>
      <c r="C362" s="79">
        <f>IFERROR(VLOOKUP($G362,基本資料!$A:$J,5,0),"無")</f>
        <v>-14</v>
      </c>
      <c r="D362" s="79">
        <f>IFERROR(VLOOKUP($G362,基本資料!$A:$J,6,0),"無")</f>
        <v>-3</v>
      </c>
      <c r="E362" s="79">
        <f>IFERROR(VLOOKUP($G362,基本資料!$A:$J,7,0),"無")</f>
        <v>-12</v>
      </c>
      <c r="F362" s="6">
        <f>IFERROR(VLOOKUP($G362,基本資料!$A:$J,8,0),"無")</f>
        <v>12</v>
      </c>
      <c r="G362" s="79">
        <v>4190</v>
      </c>
      <c r="H362" s="8" t="s">
        <v>309</v>
      </c>
      <c r="I362" s="22" t="s">
        <v>3793</v>
      </c>
      <c r="J362" s="8">
        <f>IFERROR(VLOOKUP($G362,今日總結!$A:$AN,39,0),"")</f>
        <v>0</v>
      </c>
      <c r="K362" s="5">
        <f>IFERROR(VLOOKUP($G362,今日總結!$A:$AN,40,0),"")</f>
        <v>0</v>
      </c>
      <c r="L362" s="156">
        <f>IFERROR(VLOOKUP($G362,今日總結!$A:$AN,37,0),"")</f>
        <v>0</v>
      </c>
      <c r="M362" s="337">
        <f>IFERROR(VLOOKUP($G362,今日總結!$A:$AN,38,0),"")</f>
        <v>0</v>
      </c>
      <c r="N362" s="240">
        <f t="shared" si="70"/>
        <v>0</v>
      </c>
      <c r="O362" s="359">
        <f>IFERROR(VLOOKUP($G362,融外自投!$A:$J,7,0),"無")</f>
        <v>695</v>
      </c>
      <c r="P362" s="79">
        <f>IFERROR(VLOOKUP($G362,融外自投!$A:$J,9,0),"無")</f>
        <v>615</v>
      </c>
      <c r="Q362" s="342">
        <f>IFERROR(VLOOKUP($G362,融外自投!$A:$J,8,0),"無")</f>
        <v>40</v>
      </c>
      <c r="R362" s="81" t="str">
        <f>IFERROR(VLOOKUP($G362,融外自投!$A:$J,10,0),"無")</f>
        <v>無</v>
      </c>
      <c r="S362" s="324">
        <f>IFERROR(VLOOKUP($G362,'321買'!$A:$E,4,0),"'沒有資料'")</f>
        <v>1002</v>
      </c>
      <c r="T362" s="186">
        <f>IFERROR(VLOOKUP($G362,基本資料!$A:$J,9,0),"無")</f>
        <v>3.5</v>
      </c>
      <c r="U362" s="307">
        <f t="shared" si="71"/>
        <v>5.6910569105691054E-2</v>
      </c>
      <c r="V362" s="94">
        <f>IFERROR(VLOOKUP($G362,基本資料!$A:$J,10,0),"無")</f>
        <v>4.9800000000000004</v>
      </c>
      <c r="W362" s="36">
        <f>RTD("money.excel",,"4190","Price")</f>
        <v>61.5</v>
      </c>
      <c r="X362" s="66"/>
      <c r="Y362" s="15">
        <f>W362-X362</f>
        <v>61.5</v>
      </c>
      <c r="Z362" s="3" t="e">
        <f>Y362/X362</f>
        <v>#DIV/0!</v>
      </c>
      <c r="AA362" s="340">
        <f>IFERROR(VLOOKUP($G362,基本資料!$A:$M,11,0),"無")</f>
        <v>-25.99</v>
      </c>
      <c r="AB362" s="389">
        <f>IFERROR(VLOOKUP($G362,基本資料!$A:$M,12,0),"無")</f>
        <v>26.53</v>
      </c>
      <c r="AC362" s="22" t="s">
        <v>3793</v>
      </c>
      <c r="AF362" s="33">
        <f>AE362-AD362</f>
        <v>0</v>
      </c>
      <c r="AG362" s="43" t="s">
        <v>3794</v>
      </c>
      <c r="AH362" s="66">
        <f t="shared" si="68"/>
        <v>1.933387489845654</v>
      </c>
      <c r="AI362" s="283">
        <f>RTD("money.excel",,$G362,"PredictVolume")</f>
        <v>119</v>
      </c>
      <c r="AJ362" s="391">
        <f>IFERROR(VLOOKUP($G362,基本資料!$A:$M,13,0),"無")</f>
        <v>61.55</v>
      </c>
      <c r="AR362" s="245" t="str">
        <f>INDEX(基本資料!N:N,MATCH($G362,基本資料!A:A,0))</f>
        <v>低</v>
      </c>
    </row>
    <row r="363" spans="1:44">
      <c r="A363" s="343">
        <f>IFERROR(VLOOKUP($G363,基本資料!$A:$J,3,0),"無")</f>
        <v>11.5</v>
      </c>
      <c r="B363" s="79">
        <f>IFERROR(VLOOKUP($G363,基本資料!$A:$J,4,0),"無")</f>
        <v>-14</v>
      </c>
      <c r="C363" s="79">
        <f>IFERROR(VLOOKUP($G363,基本資料!$A:$J,5,0),"無")</f>
        <v>-15</v>
      </c>
      <c r="D363" s="79">
        <f>IFERROR(VLOOKUP($G363,基本資料!$A:$J,6,0),"無")</f>
        <v>-27</v>
      </c>
      <c r="E363" s="79">
        <f>IFERROR(VLOOKUP($G363,基本資料!$A:$J,7,0),"無")</f>
        <v>119</v>
      </c>
      <c r="F363" s="6">
        <f>IFERROR(VLOOKUP($G363,基本資料!$A:$J,8,0),"無")</f>
        <v>-6609.3</v>
      </c>
      <c r="G363" s="79">
        <v>4192</v>
      </c>
      <c r="H363" s="8" t="s">
        <v>309</v>
      </c>
      <c r="I363" s="16" t="s">
        <v>3795</v>
      </c>
      <c r="J363" s="8" t="str">
        <f>IFERROR(VLOOKUP($G363,今日總結!$A:$AN,39,0),"")</f>
        <v/>
      </c>
      <c r="K363" s="5" t="str">
        <f>IFERROR(VLOOKUP($G363,今日總結!$A:$AN,40,0),"")</f>
        <v/>
      </c>
      <c r="L363" s="156" t="str">
        <f>IFERROR(VLOOKUP($G363,今日總結!$A:$AN,37,0),"")</f>
        <v/>
      </c>
      <c r="M363" s="337" t="str">
        <f>IFERROR(VLOOKUP($G363,今日總結!$A:$AN,38,0),"")</f>
        <v/>
      </c>
      <c r="N363" s="240" t="str">
        <f t="shared" si="70"/>
        <v/>
      </c>
      <c r="O363" s="359" t="str">
        <f>IFERROR(VLOOKUP($G363,融外自投!$A:$J,7,0),"無")</f>
        <v>無</v>
      </c>
      <c r="P363" s="79" t="str">
        <f>IFERROR(VLOOKUP($G363,融外自投!$A:$J,9,0),"無")</f>
        <v>無</v>
      </c>
      <c r="Q363" s="342" t="str">
        <f>IFERROR(VLOOKUP($G363,融外自投!$A:$J,8,0),"無")</f>
        <v>無</v>
      </c>
      <c r="R363" s="81" t="str">
        <f>IFERROR(VLOOKUP($G363,融外自投!$A:$J,10,0),"無")</f>
        <v>無</v>
      </c>
      <c r="S363" s="324" t="str">
        <f>IFERROR(VLOOKUP($G363,'321買'!$A:$E,4,0),"'沒有資料'")</f>
        <v>'沒有資料'</v>
      </c>
      <c r="T363" s="186">
        <f>IFERROR(VLOOKUP($G363,基本資料!$A:$J,9,0),"無")</f>
        <v>0</v>
      </c>
      <c r="U363" s="307">
        <f t="shared" si="71"/>
        <v>0</v>
      </c>
      <c r="V363" s="94">
        <f>IFERROR(VLOOKUP($G363,基本資料!$A:$J,10,0),"無")</f>
        <v>-4.04</v>
      </c>
      <c r="W363" s="36">
        <f>RTD("money.excel",,"4192","Price")</f>
        <v>34.85</v>
      </c>
      <c r="X363" s="66"/>
      <c r="Y363" s="15">
        <f t="shared" si="72"/>
        <v>34.85</v>
      </c>
      <c r="Z363" s="3" t="e">
        <f t="shared" si="73"/>
        <v>#DIV/0!</v>
      </c>
      <c r="AA363" s="340">
        <f>IFERROR(VLOOKUP($G363,基本資料!$A:$M,11,0),"無")</f>
        <v>-76.290000000000006</v>
      </c>
      <c r="AB363" s="389">
        <f>IFERROR(VLOOKUP($G363,基本資料!$A:$M,12,0),"無")</f>
        <v>21.41</v>
      </c>
      <c r="AC363" s="16" t="s">
        <v>3795</v>
      </c>
      <c r="AF363" s="33">
        <f t="shared" si="74"/>
        <v>0</v>
      </c>
      <c r="AG363" s="43" t="s">
        <v>3796</v>
      </c>
      <c r="AH363" s="66">
        <f t="shared" si="68"/>
        <v>0.50093258726352252</v>
      </c>
      <c r="AI363" s="283">
        <f>RTD("money.excel",,$G363,"PredictVolume")</f>
        <v>94</v>
      </c>
      <c r="AJ363" s="391">
        <f>IFERROR(VLOOKUP($G363,基本資料!$A:$M,13,0),"無")</f>
        <v>187.65</v>
      </c>
      <c r="AR363" s="245" t="str">
        <f>INDEX(基本資料!N:N,MATCH($G363,基本資料!A:A,0))</f>
        <v>低</v>
      </c>
    </row>
    <row r="364" spans="1:44">
      <c r="A364" s="343">
        <f>IFERROR(VLOOKUP($G364,基本資料!$A:$J,3,0),"無")</f>
        <v>8.0500000000000007</v>
      </c>
      <c r="B364" s="79">
        <f>IFERROR(VLOOKUP($G364,基本資料!$A:$J,4,0),"無")</f>
        <v>16</v>
      </c>
      <c r="C364" s="79">
        <f>IFERROR(VLOOKUP($G364,基本資料!$A:$J,5,0),"無")</f>
        <v>23</v>
      </c>
      <c r="D364" s="79">
        <f>IFERROR(VLOOKUP($G364,基本資料!$A:$J,6,0),"無")</f>
        <v>-33</v>
      </c>
      <c r="E364" s="79">
        <f>IFERROR(VLOOKUP($G364,基本資料!$A:$J,7,0),"無")</f>
        <v>96</v>
      </c>
      <c r="F364" s="6">
        <f>IFERROR(VLOOKUP($G364,基本資料!$A:$J,8,0),"無")</f>
        <v>-84.42</v>
      </c>
      <c r="G364" s="79">
        <v>4198</v>
      </c>
      <c r="H364" s="8" t="s">
        <v>309</v>
      </c>
      <c r="I364" s="16" t="s">
        <v>3797</v>
      </c>
      <c r="J364" s="8" t="str">
        <f>IFERROR(VLOOKUP($G364,今日總結!$A:$AN,39,0),"")</f>
        <v/>
      </c>
      <c r="K364" s="5" t="str">
        <f>IFERROR(VLOOKUP($G364,今日總結!$A:$AN,40,0),"")</f>
        <v/>
      </c>
      <c r="L364" s="156" t="str">
        <f>IFERROR(VLOOKUP($G364,今日總結!$A:$AN,37,0),"")</f>
        <v/>
      </c>
      <c r="M364" s="337" t="str">
        <f>IFERROR(VLOOKUP($G364,今日總結!$A:$AN,38,0),"")</f>
        <v/>
      </c>
      <c r="N364" s="240" t="str">
        <f t="shared" si="70"/>
        <v/>
      </c>
      <c r="O364" s="359" t="str">
        <f>IFERROR(VLOOKUP($G364,融外自投!$A:$J,7,0),"無")</f>
        <v>無</v>
      </c>
      <c r="P364" s="79" t="str">
        <f>IFERROR(VLOOKUP($G364,融外自投!$A:$J,9,0),"無")</f>
        <v>無</v>
      </c>
      <c r="Q364" s="342" t="str">
        <f>IFERROR(VLOOKUP($G364,融外自投!$A:$J,8,0),"無")</f>
        <v>無</v>
      </c>
      <c r="R364" s="81" t="str">
        <f>IFERROR(VLOOKUP($G364,融外自投!$A:$J,10,0),"無")</f>
        <v>無</v>
      </c>
      <c r="S364" s="324" t="str">
        <f>IFERROR(VLOOKUP($G364,'321買'!$A:$E,4,0),"'沒有資料'")</f>
        <v>'沒有資料'</v>
      </c>
      <c r="T364" s="186">
        <f>IFERROR(VLOOKUP($G364,基本資料!$A:$J,9,0),"無")</f>
        <v>0</v>
      </c>
      <c r="U364" s="307">
        <f t="shared" si="71"/>
        <v>0</v>
      </c>
      <c r="V364" s="94">
        <f>IFERROR(VLOOKUP($G364,基本資料!$A:$J,10,0),"無")</f>
        <v>-1.3</v>
      </c>
      <c r="W364" s="36">
        <f>RTD("money.excel",,"4198","Price")</f>
        <v>5.08</v>
      </c>
      <c r="X364" s="66"/>
      <c r="Y364" s="15">
        <f t="shared" si="72"/>
        <v>5.08</v>
      </c>
      <c r="Z364" s="3" t="e">
        <f t="shared" si="73"/>
        <v>#DIV/0!</v>
      </c>
      <c r="AA364" s="340">
        <f>IFERROR(VLOOKUP($G364,基本資料!$A:$M,11,0),"無")</f>
        <v>-30.22</v>
      </c>
      <c r="AB364" s="389">
        <f>IFERROR(VLOOKUP($G364,基本資料!$A:$M,12,0),"無")</f>
        <v>38.450000000000003</v>
      </c>
      <c r="AC364" s="16" t="s">
        <v>3797</v>
      </c>
      <c r="AF364" s="33">
        <f t="shared" si="74"/>
        <v>0</v>
      </c>
      <c r="AG364" s="43" t="s">
        <v>3798</v>
      </c>
      <c r="AH364" s="66">
        <f t="shared" si="68"/>
        <v>1.5245009074410163</v>
      </c>
      <c r="AI364" s="283">
        <f>RTD("money.excel",,$G364,"PredictVolume")</f>
        <v>42</v>
      </c>
      <c r="AJ364" s="391">
        <f>IFERROR(VLOOKUP($G364,基本資料!$A:$M,13,0),"無")</f>
        <v>27.55</v>
      </c>
      <c r="AR364" s="245" t="str">
        <f>INDEX(基本資料!N:N,MATCH($G364,基本資料!A:A,0))</f>
        <v>低</v>
      </c>
    </row>
    <row r="365" spans="1:44">
      <c r="A365" s="343">
        <f>IFERROR(VLOOKUP($G365,基本資料!$A:$J,3,0),"無")</f>
        <v>15.41</v>
      </c>
      <c r="B365" s="79">
        <f>IFERROR(VLOOKUP($G365,基本資料!$A:$J,4,0),"無")</f>
        <v>-390</v>
      </c>
      <c r="C365" s="79">
        <f>IFERROR(VLOOKUP($G365,基本資料!$A:$J,5,0),"無")</f>
        <v>-341</v>
      </c>
      <c r="D365" s="79">
        <f>IFERROR(VLOOKUP($G365,基本資料!$A:$J,6,0),"無")</f>
        <v>-64</v>
      </c>
      <c r="E365" s="79">
        <f>IFERROR(VLOOKUP($G365,基本資料!$A:$J,7,0),"無")</f>
        <v>61</v>
      </c>
      <c r="F365" s="6">
        <f>IFERROR(VLOOKUP($G365,基本資料!$A:$J,8,0),"無")</f>
        <v>-11.02</v>
      </c>
      <c r="G365" s="79">
        <v>4726</v>
      </c>
      <c r="H365" s="8" t="s">
        <v>309</v>
      </c>
      <c r="I365" s="16" t="s">
        <v>3799</v>
      </c>
      <c r="J365" s="8" t="str">
        <f>IFERROR(VLOOKUP($G365,今日總結!$A:$AN,39,0),"")</f>
        <v/>
      </c>
      <c r="K365" s="5" t="str">
        <f>IFERROR(VLOOKUP($G365,今日總結!$A:$AN,40,0),"")</f>
        <v/>
      </c>
      <c r="L365" s="156" t="str">
        <f>IFERROR(VLOOKUP($G365,今日總結!$A:$AN,37,0),"")</f>
        <v/>
      </c>
      <c r="M365" s="337" t="str">
        <f>IFERROR(VLOOKUP($G365,今日總結!$A:$AN,38,0),"")</f>
        <v/>
      </c>
      <c r="N365" s="240" t="str">
        <f t="shared" si="70"/>
        <v/>
      </c>
      <c r="O365" s="359" t="str">
        <f>IFERROR(VLOOKUP($G365,融外自投!$A:$J,7,0),"無")</f>
        <v>無</v>
      </c>
      <c r="P365" s="79" t="str">
        <f>IFERROR(VLOOKUP($G365,融外自投!$A:$J,9,0),"無")</f>
        <v>無</v>
      </c>
      <c r="Q365" s="342" t="str">
        <f>IFERROR(VLOOKUP($G365,融外自投!$A:$J,8,0),"無")</f>
        <v>無</v>
      </c>
      <c r="R365" s="81" t="str">
        <f>IFERROR(VLOOKUP($G365,融外自投!$A:$J,10,0),"無")</f>
        <v>無</v>
      </c>
      <c r="S365" s="324" t="str">
        <f>IFERROR(VLOOKUP($G365,'321買'!$A:$E,4,0),"'沒有資料'")</f>
        <v>'沒有資料'</v>
      </c>
      <c r="T365" s="186">
        <f>IFERROR(VLOOKUP($G365,基本資料!$A:$J,9,0),"無")</f>
        <v>0</v>
      </c>
      <c r="U365" s="307">
        <f t="shared" si="71"/>
        <v>0</v>
      </c>
      <c r="V365" s="94">
        <f>IFERROR(VLOOKUP($G365,基本資料!$A:$J,10,0),"無")</f>
        <v>-0.61</v>
      </c>
      <c r="W365" s="36">
        <f>RTD("money.excel",,"4726","Price")</f>
        <v>35.5</v>
      </c>
      <c r="X365" s="66"/>
      <c r="Y365" s="15">
        <f t="shared" si="72"/>
        <v>35.5</v>
      </c>
      <c r="Z365" s="3" t="e">
        <f t="shared" si="73"/>
        <v>#DIV/0!</v>
      </c>
      <c r="AA365" s="340">
        <f>IFERROR(VLOOKUP($G365,基本資料!$A:$M,11,0),"無")</f>
        <v>-30.8</v>
      </c>
      <c r="AB365" s="389">
        <f>IFERROR(VLOOKUP($G365,基本資料!$A:$M,12,0),"無")</f>
        <v>13.97</v>
      </c>
      <c r="AC365" s="16" t="s">
        <v>3799</v>
      </c>
      <c r="AF365" s="33">
        <f t="shared" si="74"/>
        <v>0</v>
      </c>
      <c r="AG365" s="43" t="s">
        <v>2981</v>
      </c>
      <c r="AH365" s="66">
        <f t="shared" si="68"/>
        <v>0.46793596665719428</v>
      </c>
      <c r="AI365" s="283">
        <f>RTD("money.excel",,$G365,"PredictVolume")</f>
        <v>247</v>
      </c>
      <c r="AJ365" s="391">
        <f>IFERROR(VLOOKUP($G365,基本資料!$A:$M,13,0),"無")</f>
        <v>527.85</v>
      </c>
      <c r="AR365" s="245" t="str">
        <f>INDEX(基本資料!N:N,MATCH($G365,基本資料!A:A,0))</f>
        <v>低</v>
      </c>
    </row>
    <row r="366" spans="1:44">
      <c r="A366" s="343">
        <f>IFERROR(VLOOKUP($G366,基本資料!$A:$J,3,0),"無")</f>
        <v>5.44</v>
      </c>
      <c r="B366" s="79">
        <f>IFERROR(VLOOKUP($G366,基本資料!$A:$J,4,0),"無")</f>
        <v>3</v>
      </c>
      <c r="C366" s="79">
        <f>IFERROR(VLOOKUP($G366,基本資料!$A:$J,5,0),"無")</f>
        <v>10</v>
      </c>
      <c r="D366" s="79">
        <f>IFERROR(VLOOKUP($G366,基本資料!$A:$J,6,0),"無")</f>
        <v>0</v>
      </c>
      <c r="E366" s="79">
        <f>IFERROR(VLOOKUP($G366,基本資料!$A:$J,7,0),"無")</f>
        <v>11</v>
      </c>
      <c r="F366" s="6">
        <f>IFERROR(VLOOKUP($G366,基本資料!$A:$J,8,0),"無")</f>
        <v>35.47</v>
      </c>
      <c r="G366" s="79">
        <v>4728</v>
      </c>
      <c r="H366" s="8" t="s">
        <v>309</v>
      </c>
      <c r="I366" s="16" t="s">
        <v>3800</v>
      </c>
      <c r="J366" s="8">
        <f>IFERROR(VLOOKUP($G366,今日總結!$A:$AN,39,0),"")</f>
        <v>0</v>
      </c>
      <c r="K366" s="5" t="str">
        <f>IFERROR(VLOOKUP($G366,今日總結!$A:$AN,40,0),"")</f>
        <v>外</v>
      </c>
      <c r="L366" s="156">
        <f>IFERROR(VLOOKUP($G366,今日總結!$A:$AN,37,0),"")</f>
        <v>0</v>
      </c>
      <c r="M366" s="337">
        <f>IFERROR(VLOOKUP($G366,今日總結!$A:$AN,38,0),"")</f>
        <v>2</v>
      </c>
      <c r="N366" s="240">
        <f t="shared" si="70"/>
        <v>-2</v>
      </c>
      <c r="O366" s="359">
        <f>IFERROR(VLOOKUP($G366,融外自投!$A:$J,7,0),"無")</f>
        <v>88</v>
      </c>
      <c r="P366" s="79">
        <f>IFERROR(VLOOKUP($G366,融外自投!$A:$J,9,0),"無")</f>
        <v>442</v>
      </c>
      <c r="Q366" s="342">
        <f>IFERROR(VLOOKUP($G366,融外自投!$A:$J,8,0),"無")</f>
        <v>361</v>
      </c>
      <c r="R366" s="81" t="str">
        <f>IFERROR(VLOOKUP($G366,融外自投!$A:$J,10,0),"無")</f>
        <v>無</v>
      </c>
      <c r="S366" s="324">
        <f>IFERROR(VLOOKUP($G366,'321買'!$A:$E,4,0),"'沒有資料'")</f>
        <v>891</v>
      </c>
      <c r="T366" s="186">
        <f>IFERROR(VLOOKUP($G366,基本資料!$A:$J,9,0),"無")</f>
        <v>4.4000000000000004</v>
      </c>
      <c r="U366" s="307">
        <f t="shared" si="71"/>
        <v>4.4760935910478132E-2</v>
      </c>
      <c r="V366" s="94">
        <f>IFERROR(VLOOKUP($G366,基本資料!$A:$J,10,0),"無")</f>
        <v>4.51</v>
      </c>
      <c r="W366" s="36">
        <f>RTD("money.excel",,"4728","Price")</f>
        <v>98.3</v>
      </c>
      <c r="X366" s="66"/>
      <c r="Y366" s="15">
        <f t="shared" si="72"/>
        <v>98.3</v>
      </c>
      <c r="Z366" s="3" t="e">
        <f t="shared" si="73"/>
        <v>#DIV/0!</v>
      </c>
      <c r="AA366" s="340">
        <f>IFERROR(VLOOKUP($G366,基本資料!$A:$M,11,0),"無")</f>
        <v>-30.77</v>
      </c>
      <c r="AB366" s="389">
        <f>IFERROR(VLOOKUP($G366,基本資料!$A:$M,12,0),"無")</f>
        <v>27</v>
      </c>
      <c r="AC366" s="16" t="s">
        <v>3800</v>
      </c>
      <c r="AF366" s="33">
        <f t="shared" si="74"/>
        <v>0</v>
      </c>
      <c r="AG366" s="43" t="s">
        <v>3690</v>
      </c>
      <c r="AH366" s="66">
        <f t="shared" si="68"/>
        <v>1.1775362318840579</v>
      </c>
      <c r="AI366" s="283">
        <f>RTD("money.excel",,$G366,"PredictVolume")</f>
        <v>65</v>
      </c>
      <c r="AJ366" s="391">
        <f>IFERROR(VLOOKUP($G366,基本資料!$A:$M,13,0),"無")</f>
        <v>55.2</v>
      </c>
      <c r="AR366" s="245" t="str">
        <f>INDEX(基本資料!N:N,MATCH($G366,基本資料!A:A,0))</f>
        <v>中</v>
      </c>
    </row>
    <row r="367" spans="1:44">
      <c r="A367" s="343">
        <f>IFERROR(VLOOKUP($G367,基本資料!$A:$J,3,0),"無")</f>
        <v>3.67</v>
      </c>
      <c r="B367" s="79">
        <f>IFERROR(VLOOKUP($G367,基本資料!$A:$J,4,0),"無")</f>
        <v>-39</v>
      </c>
      <c r="C367" s="79">
        <f>IFERROR(VLOOKUP($G367,基本資料!$A:$J,5,0),"無")</f>
        <v>-41</v>
      </c>
      <c r="D367" s="79">
        <f>IFERROR(VLOOKUP($G367,基本資料!$A:$J,6,0),"無")</f>
        <v>-4</v>
      </c>
      <c r="E367" s="79">
        <f>IFERROR(VLOOKUP($G367,基本資料!$A:$J,7,0),"無")</f>
        <v>-71</v>
      </c>
      <c r="F367" s="6">
        <f>IFERROR(VLOOKUP($G367,基本資料!$A:$J,8,0),"無")</f>
        <v>16.8</v>
      </c>
      <c r="G367" s="79">
        <v>4735</v>
      </c>
      <c r="H367" s="8" t="s">
        <v>309</v>
      </c>
      <c r="I367" s="16" t="s">
        <v>3801</v>
      </c>
      <c r="J367" s="8">
        <f>IFERROR(VLOOKUP($G367,今日總結!$A:$AN,39,0),"")</f>
        <v>0</v>
      </c>
      <c r="K367" s="5" t="str">
        <f>IFERROR(VLOOKUP($G367,今日總結!$A:$AN,40,0),"")</f>
        <v>融</v>
      </c>
      <c r="L367" s="156">
        <f>IFERROR(VLOOKUP($G367,今日總結!$A:$AN,37,0),"")</f>
        <v>0</v>
      </c>
      <c r="M367" s="337">
        <f>IFERROR(VLOOKUP($G367,今日總結!$A:$AN,38,0),"")</f>
        <v>1</v>
      </c>
      <c r="N367" s="240">
        <f t="shared" si="70"/>
        <v>-1</v>
      </c>
      <c r="O367" s="359">
        <f>IFERROR(VLOOKUP($G367,融外自投!$A:$J,7,0),"無")</f>
        <v>724</v>
      </c>
      <c r="P367" s="79">
        <f>IFERROR(VLOOKUP($G367,融外自投!$A:$J,9,0),"無")</f>
        <v>392</v>
      </c>
      <c r="Q367" s="342">
        <f>IFERROR(VLOOKUP($G367,融外自投!$A:$J,8,0),"無")</f>
        <v>1259</v>
      </c>
      <c r="R367" s="81" t="str">
        <f>IFERROR(VLOOKUP($G367,融外自投!$A:$J,10,0),"無")</f>
        <v>無</v>
      </c>
      <c r="S367" s="324">
        <f>IFERROR(VLOOKUP($G367,'321買'!$A:$E,4,0),"'沒有資料'")</f>
        <v>801</v>
      </c>
      <c r="T367" s="186">
        <f>IFERROR(VLOOKUP($G367,基本資料!$A:$J,9,0),"無")</f>
        <v>6.2</v>
      </c>
      <c r="U367" s="307">
        <f t="shared" si="71"/>
        <v>0.15656565656565657</v>
      </c>
      <c r="V367" s="94">
        <f>IFERROR(VLOOKUP($G367,基本資料!$A:$J,10,0),"無")</f>
        <v>8.65</v>
      </c>
      <c r="W367" s="36">
        <f>RTD("money.excel",,"4735","Price")</f>
        <v>39.6</v>
      </c>
      <c r="X367" s="66"/>
      <c r="Y367" s="15">
        <f t="shared" si="72"/>
        <v>39.6</v>
      </c>
      <c r="Z367" s="3" t="e">
        <f t="shared" si="73"/>
        <v>#DIV/0!</v>
      </c>
      <c r="AA367" s="340">
        <f>IFERROR(VLOOKUP($G367,基本資料!$A:$M,11,0),"無")</f>
        <v>-49.75</v>
      </c>
      <c r="AB367" s="389">
        <f>IFERROR(VLOOKUP($G367,基本資料!$A:$M,12,0),"無")</f>
        <v>6.05</v>
      </c>
      <c r="AC367" s="16" t="s">
        <v>3801</v>
      </c>
      <c r="AF367" s="33">
        <f t="shared" si="74"/>
        <v>0</v>
      </c>
      <c r="AG367" s="43" t="s">
        <v>3802</v>
      </c>
      <c r="AH367" s="66">
        <f t="shared" si="68"/>
        <v>0.390290337934317</v>
      </c>
      <c r="AI367" s="283">
        <f>RTD("money.excel",,$G367,"PredictVolume")</f>
        <v>41</v>
      </c>
      <c r="AJ367" s="391">
        <f>IFERROR(VLOOKUP($G367,基本資料!$A:$M,13,0),"無")</f>
        <v>105.05</v>
      </c>
      <c r="AR367" s="245" t="str">
        <f>INDEX(基本資料!N:N,MATCH($G367,基本資料!A:A,0))</f>
        <v>低</v>
      </c>
    </row>
    <row r="368" spans="1:44">
      <c r="A368" s="343">
        <f>IFERROR(VLOOKUP($G368,基本資料!$A:$J,3,0),"無")</f>
        <v>9.31</v>
      </c>
      <c r="B368" s="79">
        <f>IFERROR(VLOOKUP($G368,基本資料!$A:$J,4,0),"無")</f>
        <v>29</v>
      </c>
      <c r="C368" s="79">
        <f>IFERROR(VLOOKUP($G368,基本資料!$A:$J,5,0),"無")</f>
        <v>5</v>
      </c>
      <c r="D368" s="79">
        <f>IFERROR(VLOOKUP($G368,基本資料!$A:$J,6,0),"無")</f>
        <v>118</v>
      </c>
      <c r="E368" s="79">
        <f>IFERROR(VLOOKUP($G368,基本資料!$A:$J,7,0),"無")</f>
        <v>275</v>
      </c>
      <c r="F368" s="6">
        <f>IFERROR(VLOOKUP($G368,基本資料!$A:$J,8,0),"無")</f>
        <v>32.270000000000003</v>
      </c>
      <c r="G368" s="79">
        <v>4736</v>
      </c>
      <c r="H368" s="8" t="s">
        <v>309</v>
      </c>
      <c r="I368" s="166" t="s">
        <v>3803</v>
      </c>
      <c r="J368" s="8">
        <f>IFERROR(VLOOKUP($G368,今日總結!$A:$AN,39,0),"")</f>
        <v>0</v>
      </c>
      <c r="K368" s="5">
        <f>IFERROR(VLOOKUP($G368,今日總結!$A:$AN,40,0),"")</f>
        <v>0</v>
      </c>
      <c r="L368" s="156">
        <f>IFERROR(VLOOKUP($G368,今日總結!$A:$AN,37,0),"")</f>
        <v>0</v>
      </c>
      <c r="M368" s="337">
        <f>IFERROR(VLOOKUP($G368,今日總結!$A:$AN,38,0),"")</f>
        <v>0</v>
      </c>
      <c r="N368" s="240">
        <f t="shared" si="70"/>
        <v>0</v>
      </c>
      <c r="O368" s="359">
        <f>IFERROR(VLOOKUP($G368,融外自投!$A:$J,7,0),"無")</f>
        <v>269</v>
      </c>
      <c r="P368" s="79">
        <f>IFERROR(VLOOKUP($G368,融外自投!$A:$J,9,0),"無")</f>
        <v>294</v>
      </c>
      <c r="Q368" s="342">
        <f>IFERROR(VLOOKUP($G368,融外自投!$A:$J,8,0),"無")</f>
        <v>370</v>
      </c>
      <c r="R368" s="81">
        <f>IFERROR(VLOOKUP($G368,融外自投!$A:$J,10,0),"無")</f>
        <v>348</v>
      </c>
      <c r="S368" s="324">
        <f>IFERROR(VLOOKUP($G368,'321買'!$A:$E,4,0),"'沒有資料'")</f>
        <v>272</v>
      </c>
      <c r="T368" s="186">
        <f>IFERROR(VLOOKUP($G368,基本資料!$A:$J,9,0),"無")</f>
        <v>15</v>
      </c>
      <c r="U368" s="307">
        <f t="shared" si="71"/>
        <v>6.6666666666666666E-2</v>
      </c>
      <c r="V368" s="94">
        <f>IFERROR(VLOOKUP($G368,基本資料!$A:$J,10,0),"無")</f>
        <v>21.35</v>
      </c>
      <c r="W368" s="161">
        <f>RTD("money.excel",,"4736","Price")</f>
        <v>225</v>
      </c>
      <c r="X368" s="66"/>
      <c r="Y368" s="15">
        <f t="shared" si="72"/>
        <v>225</v>
      </c>
      <c r="Z368" s="3" t="e">
        <f t="shared" si="73"/>
        <v>#DIV/0!</v>
      </c>
      <c r="AA368" s="340">
        <f>IFERROR(VLOOKUP($G368,基本資料!$A:$M,11,0),"無")</f>
        <v>-27.42</v>
      </c>
      <c r="AB368" s="389">
        <f>IFERROR(VLOOKUP($G368,基本資料!$A:$M,12,0),"無")</f>
        <v>51.65</v>
      </c>
      <c r="AC368" s="16" t="s">
        <v>3803</v>
      </c>
      <c r="AF368" s="33">
        <f t="shared" si="74"/>
        <v>0</v>
      </c>
      <c r="AG368" s="117" t="s">
        <v>3804</v>
      </c>
      <c r="AH368" s="66">
        <f t="shared" si="68"/>
        <v>0.75012100145201743</v>
      </c>
      <c r="AI368" s="283">
        <f>RTD("money.excel",,$G368,"PredictVolume")</f>
        <v>4262</v>
      </c>
      <c r="AJ368" s="391">
        <f>IFERROR(VLOOKUP($G368,基本資料!$A:$M,13,0),"無")</f>
        <v>5681.75</v>
      </c>
      <c r="AR368" s="245" t="str">
        <f>INDEX(基本資料!N:N,MATCH($G368,基本資料!A:A,0))</f>
        <v>中</v>
      </c>
    </row>
    <row r="369" spans="1:44">
      <c r="A369" s="343">
        <f>IFERROR(VLOOKUP($G369,基本資料!$A:$J,3,0),"無")</f>
        <v>6.06</v>
      </c>
      <c r="B369" s="79">
        <f>IFERROR(VLOOKUP($G369,基本資料!$A:$J,4,0),"無")</f>
        <v>40</v>
      </c>
      <c r="C369" s="79">
        <f>IFERROR(VLOOKUP($G369,基本資料!$A:$J,5,0),"無")</f>
        <v>256</v>
      </c>
      <c r="D369" s="79">
        <f>IFERROR(VLOOKUP($G369,基本資料!$A:$J,6,0),"無")</f>
        <v>-32</v>
      </c>
      <c r="E369" s="79">
        <f>IFERROR(VLOOKUP($G369,基本資料!$A:$J,7,0),"無")</f>
        <v>34</v>
      </c>
      <c r="F369" s="6">
        <f>IFERROR(VLOOKUP($G369,基本資料!$A:$J,8,0),"無")</f>
        <v>4.07</v>
      </c>
      <c r="G369" s="79">
        <v>4737</v>
      </c>
      <c r="H369" s="8" t="s">
        <v>309</v>
      </c>
      <c r="I369" s="22" t="s">
        <v>3805</v>
      </c>
      <c r="J369" s="8">
        <f>IFERROR(VLOOKUP($G369,今日總結!$A:$AN,39,0),"")</f>
        <v>0</v>
      </c>
      <c r="K369" s="5">
        <f>IFERROR(VLOOKUP($G369,今日總結!$A:$AN,40,0),"")</f>
        <v>0</v>
      </c>
      <c r="L369" s="156">
        <f>IFERROR(VLOOKUP($G369,今日總結!$A:$AN,37,0),"")</f>
        <v>0</v>
      </c>
      <c r="M369" s="337">
        <f>IFERROR(VLOOKUP($G369,今日總結!$A:$AN,38,0),"")</f>
        <v>0</v>
      </c>
      <c r="N369" s="240">
        <f t="shared" si="70"/>
        <v>0</v>
      </c>
      <c r="O369" s="359">
        <f>IFERROR(VLOOKUP($G369,融外自投!$A:$J,7,0),"無")</f>
        <v>773</v>
      </c>
      <c r="P369" s="79">
        <f>IFERROR(VLOOKUP($G369,融外自投!$A:$J,9,0),"無")</f>
        <v>946</v>
      </c>
      <c r="Q369" s="342">
        <f>IFERROR(VLOOKUP($G369,融外自投!$A:$J,8,0),"無")</f>
        <v>241</v>
      </c>
      <c r="R369" s="81" t="str">
        <f>IFERROR(VLOOKUP($G369,融外自投!$A:$J,10,0),"無")</f>
        <v>無</v>
      </c>
      <c r="S369" s="324">
        <f>IFERROR(VLOOKUP($G369,'321買'!$A:$E,4,0),"'沒有資料'")</f>
        <v>1002</v>
      </c>
      <c r="T369" s="186">
        <f>IFERROR(VLOOKUP($G369,基本資料!$A:$J,9,0),"無")</f>
        <v>2</v>
      </c>
      <c r="U369" s="307">
        <f t="shared" si="71"/>
        <v>2.7855153203342621E-2</v>
      </c>
      <c r="V369" s="94">
        <f>IFERROR(VLOOKUP($G369,基本資料!$A:$J,10,0),"無")</f>
        <v>1.45</v>
      </c>
      <c r="W369" s="36">
        <f>RTD("money.excel",,"4737","Price")</f>
        <v>71.8</v>
      </c>
      <c r="X369" s="66"/>
      <c r="Y369" s="15">
        <f t="shared" si="72"/>
        <v>71.8</v>
      </c>
      <c r="Z369" s="3" t="e">
        <f t="shared" si="73"/>
        <v>#DIV/0!</v>
      </c>
      <c r="AA369" s="340">
        <f>IFERROR(VLOOKUP($G369,基本資料!$A:$M,11,0),"無")</f>
        <v>-7.12</v>
      </c>
      <c r="AB369" s="389">
        <f>IFERROR(VLOOKUP($G369,基本資料!$A:$M,12,0),"無")</f>
        <v>53.27</v>
      </c>
      <c r="AC369" s="22" t="s">
        <v>3805</v>
      </c>
      <c r="AF369" s="33">
        <f t="shared" si="74"/>
        <v>0</v>
      </c>
      <c r="AG369" s="43" t="s">
        <v>3679</v>
      </c>
      <c r="AH369" s="66">
        <f t="shared" si="68"/>
        <v>1.0105263157894737</v>
      </c>
      <c r="AI369" s="283">
        <f>RTD("money.excel",,$G369,"PredictVolume")</f>
        <v>24</v>
      </c>
      <c r="AJ369" s="391">
        <f>IFERROR(VLOOKUP($G369,基本資料!$A:$M,13,0),"無")</f>
        <v>23.75</v>
      </c>
      <c r="AR369" s="245" t="str">
        <f>INDEX(基本資料!N:N,MATCH($G369,基本資料!A:A,0))</f>
        <v>中</v>
      </c>
    </row>
    <row r="370" spans="1:44">
      <c r="A370" s="343">
        <f>IFERROR(VLOOKUP($G370,基本資料!$A:$J,3,0),"無")</f>
        <v>38.81</v>
      </c>
      <c r="B370" s="79">
        <f>IFERROR(VLOOKUP($G370,基本資料!$A:$J,4,0),"無")</f>
        <v>-64</v>
      </c>
      <c r="C370" s="79">
        <f>IFERROR(VLOOKUP($G370,基本資料!$A:$J,5,0),"無")</f>
        <v>-30</v>
      </c>
      <c r="D370" s="79">
        <f>IFERROR(VLOOKUP($G370,基本資料!$A:$J,6,0),"無")</f>
        <v>-20</v>
      </c>
      <c r="E370" s="79">
        <f>IFERROR(VLOOKUP($G370,基本資料!$A:$J,7,0),"無")</f>
        <v>308</v>
      </c>
      <c r="F370" s="6">
        <f>IFERROR(VLOOKUP($G370,基本資料!$A:$J,8,0),"無")</f>
        <v>-1335.27</v>
      </c>
      <c r="G370" s="79">
        <v>4743</v>
      </c>
      <c r="H370" s="8" t="s">
        <v>309</v>
      </c>
      <c r="I370" s="16" t="s">
        <v>286</v>
      </c>
      <c r="J370" s="8" t="str">
        <f>IFERROR(VLOOKUP($G370,今日總結!$A:$AN,39,0),"")</f>
        <v/>
      </c>
      <c r="K370" s="5" t="str">
        <f>IFERROR(VLOOKUP($G370,今日總結!$A:$AN,40,0),"")</f>
        <v/>
      </c>
      <c r="L370" s="156" t="str">
        <f>IFERROR(VLOOKUP($G370,今日總結!$A:$AN,37,0),"")</f>
        <v/>
      </c>
      <c r="M370" s="337" t="str">
        <f>IFERROR(VLOOKUP($G370,今日總結!$A:$AN,38,0),"")</f>
        <v/>
      </c>
      <c r="N370" s="240" t="str">
        <f t="shared" si="70"/>
        <v/>
      </c>
      <c r="O370" s="359" t="str">
        <f>IFERROR(VLOOKUP($G370,融外自投!$A:$J,7,0),"無")</f>
        <v>無</v>
      </c>
      <c r="P370" s="79" t="str">
        <f>IFERROR(VLOOKUP($G370,融外自投!$A:$J,9,0),"無")</f>
        <v>無</v>
      </c>
      <c r="Q370" s="342" t="str">
        <f>IFERROR(VLOOKUP($G370,融外自投!$A:$J,8,0),"無")</f>
        <v>無</v>
      </c>
      <c r="R370" s="81" t="str">
        <f>IFERROR(VLOOKUP($G370,融外自投!$A:$J,10,0),"無")</f>
        <v>無</v>
      </c>
      <c r="S370" s="324" t="str">
        <f>IFERROR(VLOOKUP($G370,'321買'!$A:$E,4,0),"'沒有資料'")</f>
        <v>'沒有資料'</v>
      </c>
      <c r="T370" s="186">
        <f>IFERROR(VLOOKUP($G370,基本資料!$A:$J,9,0),"無")</f>
        <v>0</v>
      </c>
      <c r="U370" s="307">
        <f t="shared" si="71"/>
        <v>0</v>
      </c>
      <c r="V370" s="94">
        <f>IFERROR(VLOOKUP($G370,基本資料!$A:$J,10,0),"無")</f>
        <v>-1.06</v>
      </c>
      <c r="W370" s="36">
        <f>RTD("money.excel",,"4743","Price")</f>
        <v>184.5</v>
      </c>
      <c r="X370" s="66"/>
      <c r="Y370" s="15">
        <f t="shared" si="72"/>
        <v>184.5</v>
      </c>
      <c r="Z370" s="3" t="e">
        <f t="shared" si="73"/>
        <v>#DIV/0!</v>
      </c>
      <c r="AA370" s="340">
        <f>IFERROR(VLOOKUP($G370,基本資料!$A:$M,11,0),"無")</f>
        <v>-45.41</v>
      </c>
      <c r="AB370" s="389">
        <f>IFERROR(VLOOKUP($G370,基本資料!$A:$M,12,0),"無")</f>
        <v>7.66</v>
      </c>
      <c r="AC370" s="16" t="s">
        <v>286</v>
      </c>
      <c r="AF370" s="33">
        <f t="shared" si="74"/>
        <v>0</v>
      </c>
      <c r="AG370" s="43" t="s">
        <v>3806</v>
      </c>
      <c r="AH370" s="66">
        <f t="shared" si="68"/>
        <v>0.69331222793826675</v>
      </c>
      <c r="AI370" s="283">
        <f>RTD("money.excel",,$G370,"PredictVolume")</f>
        <v>1752</v>
      </c>
      <c r="AJ370" s="391">
        <f>IFERROR(VLOOKUP($G370,基本資料!$A:$M,13,0),"無")</f>
        <v>2527</v>
      </c>
      <c r="AR370" s="245" t="str">
        <f>INDEX(基本資料!N:N,MATCH($G370,基本資料!A:A,0))</f>
        <v>低</v>
      </c>
    </row>
    <row r="371" spans="1:44">
      <c r="A371" s="343">
        <f>IFERROR(VLOOKUP($G371,基本資料!$A:$J,3,0),"無")</f>
        <v>4.59</v>
      </c>
      <c r="B371" s="79">
        <f>IFERROR(VLOOKUP($G371,基本資料!$A:$J,4,0),"無")</f>
        <v>12</v>
      </c>
      <c r="C371" s="79">
        <f>IFERROR(VLOOKUP($G371,基本資料!$A:$J,5,0),"無")</f>
        <v>-23</v>
      </c>
      <c r="D371" s="79">
        <f>IFERROR(VLOOKUP($G371,基本資料!$A:$J,6,0),"無")</f>
        <v>-67</v>
      </c>
      <c r="E371" s="79">
        <f>IFERROR(VLOOKUP($G371,基本資料!$A:$J,7,0),"無")</f>
        <v>-51</v>
      </c>
      <c r="F371" s="6">
        <f>IFERROR(VLOOKUP($G371,基本資料!$A:$J,8,0),"無")</f>
        <v>7.32</v>
      </c>
      <c r="G371" s="79">
        <v>4744</v>
      </c>
      <c r="H371" s="8" t="s">
        <v>309</v>
      </c>
      <c r="I371" s="16" t="s">
        <v>3807</v>
      </c>
      <c r="J371" s="8">
        <f>IFERROR(VLOOKUP($G371,今日總結!$A:$AN,39,0),"")</f>
        <v>0</v>
      </c>
      <c r="K371" s="5">
        <f>IFERROR(VLOOKUP($G371,今日總結!$A:$AN,40,0),"")</f>
        <v>0</v>
      </c>
      <c r="L371" s="156">
        <f>IFERROR(VLOOKUP($G371,今日總結!$A:$AN,37,0),"")</f>
        <v>0</v>
      </c>
      <c r="M371" s="337">
        <f>IFERROR(VLOOKUP($G371,今日總結!$A:$AN,38,0),"")</f>
        <v>0</v>
      </c>
      <c r="N371" s="240">
        <f t="shared" si="70"/>
        <v>0</v>
      </c>
      <c r="O371" s="359">
        <f>IFERROR(VLOOKUP($G371,融外自投!$A:$J,7,0),"無")</f>
        <v>92</v>
      </c>
      <c r="P371" s="79">
        <f>IFERROR(VLOOKUP($G371,融外自投!$A:$J,9,0),"無")</f>
        <v>825</v>
      </c>
      <c r="Q371" s="342">
        <f>IFERROR(VLOOKUP($G371,融外自投!$A:$J,8,0),"無")</f>
        <v>955</v>
      </c>
      <c r="R371" s="81">
        <f>IFERROR(VLOOKUP($G371,融外自投!$A:$J,10,0),"無")</f>
        <v>476</v>
      </c>
      <c r="S371" s="324">
        <f>IFERROR(VLOOKUP($G371,'321買'!$A:$E,4,0),"'沒有資料'")</f>
        <v>565</v>
      </c>
      <c r="T371" s="186">
        <f>IFERROR(VLOOKUP($G371,基本資料!$A:$J,9,0),"無")</f>
        <v>1.2</v>
      </c>
      <c r="U371" s="307">
        <f t="shared" si="71"/>
        <v>4.3557168784029036E-2</v>
      </c>
      <c r="V371" s="94">
        <f>IFERROR(VLOOKUP($G371,基本資料!$A:$J,10,0),"無")</f>
        <v>1.71</v>
      </c>
      <c r="W371" s="36">
        <f>RTD("money.excel",,"4744","Price")</f>
        <v>27.55</v>
      </c>
      <c r="X371" s="66"/>
      <c r="Y371" s="15">
        <f t="shared" si="72"/>
        <v>27.55</v>
      </c>
      <c r="Z371" s="3" t="e">
        <f t="shared" si="73"/>
        <v>#DIV/0!</v>
      </c>
      <c r="AA371" s="340">
        <f>IFERROR(VLOOKUP($G371,基本資料!$A:$M,11,0),"無")</f>
        <v>-35.33</v>
      </c>
      <c r="AB371" s="389">
        <f>IFERROR(VLOOKUP($G371,基本資料!$A:$M,12,0),"無")</f>
        <v>18.13</v>
      </c>
      <c r="AC371" s="16" t="s">
        <v>3807</v>
      </c>
      <c r="AF371" s="33">
        <f t="shared" si="74"/>
        <v>0</v>
      </c>
      <c r="AG371" s="43" t="s">
        <v>3808</v>
      </c>
      <c r="AH371" s="66">
        <f t="shared" si="68"/>
        <v>0.15486725663716816</v>
      </c>
      <c r="AI371" s="283">
        <f>RTD("money.excel",,$G371,"PredictVolume")</f>
        <v>42</v>
      </c>
      <c r="AJ371" s="391">
        <f>IFERROR(VLOOKUP($G371,基本資料!$A:$M,13,0),"無")</f>
        <v>271.2</v>
      </c>
      <c r="AR371" s="245" t="str">
        <f>INDEX(基本資料!N:N,MATCH($G371,基本資料!A:A,0))</f>
        <v>低</v>
      </c>
    </row>
    <row r="372" spans="1:44">
      <c r="A372" s="343">
        <f>IFERROR(VLOOKUP($G372,基本資料!$A:$J,3,0),"無")</f>
        <v>7.74</v>
      </c>
      <c r="B372" s="79">
        <f>IFERROR(VLOOKUP($G372,基本資料!$A:$J,4,0),"無")</f>
        <v>3</v>
      </c>
      <c r="C372" s="79">
        <f>IFERROR(VLOOKUP($G372,基本資料!$A:$J,5,0),"無")</f>
        <v>0</v>
      </c>
      <c r="D372" s="79">
        <f>IFERROR(VLOOKUP($G372,基本資料!$A:$J,6,0),"無")</f>
        <v>-25</v>
      </c>
      <c r="E372" s="79">
        <f>IFERROR(VLOOKUP($G372,基本資料!$A:$J,7,0),"無")</f>
        <v>4</v>
      </c>
      <c r="F372" s="6">
        <f>IFERROR(VLOOKUP($G372,基本資料!$A:$J,8,0),"無")</f>
        <v>6.63</v>
      </c>
      <c r="G372" s="79">
        <v>4745</v>
      </c>
      <c r="H372" s="8" t="s">
        <v>309</v>
      </c>
      <c r="I372" s="16" t="s">
        <v>3809</v>
      </c>
      <c r="J372" s="8">
        <f>IFERROR(VLOOKUP($G372,今日總結!$A:$AN,39,0),"")</f>
        <v>0</v>
      </c>
      <c r="K372" s="5">
        <f>IFERROR(VLOOKUP($G372,今日總結!$A:$AN,40,0),"")</f>
        <v>0</v>
      </c>
      <c r="L372" s="156">
        <f>IFERROR(VLOOKUP($G372,今日總結!$A:$AN,37,0),"")</f>
        <v>0</v>
      </c>
      <c r="M372" s="337">
        <f>IFERROR(VLOOKUP($G372,今日總結!$A:$AN,38,0),"")</f>
        <v>0</v>
      </c>
      <c r="N372" s="240">
        <f t="shared" si="70"/>
        <v>0</v>
      </c>
      <c r="O372" s="359">
        <f>IFERROR(VLOOKUP($G372,融外自投!$A:$J,7,0),"無")</f>
        <v>906</v>
      </c>
      <c r="P372" s="79" t="str">
        <f>IFERROR(VLOOKUP($G372,融外自投!$A:$J,9,0),"無")</f>
        <v>無</v>
      </c>
      <c r="Q372" s="342">
        <f>IFERROR(VLOOKUP($G372,融外自投!$A:$J,8,0),"無")</f>
        <v>346</v>
      </c>
      <c r="R372" s="81" t="str">
        <f>IFERROR(VLOOKUP($G372,融外自投!$A:$J,10,0),"無")</f>
        <v>無</v>
      </c>
      <c r="S372" s="324">
        <f>IFERROR(VLOOKUP($G372,'321買'!$A:$E,4,0),"'沒有資料'")</f>
        <v>1002</v>
      </c>
      <c r="T372" s="186">
        <f>IFERROR(VLOOKUP($G372,基本資料!$A:$J,9,0),"無")</f>
        <v>1.5</v>
      </c>
      <c r="U372" s="307">
        <f t="shared" si="71"/>
        <v>5.2447552447552448E-2</v>
      </c>
      <c r="V372" s="94">
        <f>IFERROR(VLOOKUP($G372,基本資料!$A:$J,10,0),"無")</f>
        <v>1.8</v>
      </c>
      <c r="W372" s="36">
        <f>RTD("money.excel",,"4745","Price")</f>
        <v>28.6</v>
      </c>
      <c r="X372" s="66"/>
      <c r="Y372" s="15">
        <f t="shared" si="72"/>
        <v>28.6</v>
      </c>
      <c r="Z372" s="3" t="e">
        <f t="shared" si="73"/>
        <v>#DIV/0!</v>
      </c>
      <c r="AA372" s="340">
        <f>IFERROR(VLOOKUP($G372,基本資料!$A:$M,11,0),"無")</f>
        <v>-26.67</v>
      </c>
      <c r="AB372" s="389">
        <f>IFERROR(VLOOKUP($G372,基本資料!$A:$M,12,0),"無")</f>
        <v>18.75</v>
      </c>
      <c r="AC372" s="16" t="s">
        <v>3809</v>
      </c>
      <c r="AF372" s="33">
        <f t="shared" si="74"/>
        <v>0</v>
      </c>
      <c r="AG372" s="43" t="s">
        <v>3810</v>
      </c>
      <c r="AH372" s="66">
        <f t="shared" si="68"/>
        <v>0.34677069787602949</v>
      </c>
      <c r="AI372" s="283">
        <f>RTD("money.excel",,$G372,"PredictVolume")</f>
        <v>80</v>
      </c>
      <c r="AJ372" s="391">
        <f>IFERROR(VLOOKUP($G372,基本資料!$A:$M,13,0),"無")</f>
        <v>230.7</v>
      </c>
      <c r="AR372" s="245" t="str">
        <f>INDEX(基本資料!N:N,MATCH($G372,基本資料!A:A,0))</f>
        <v>中</v>
      </c>
    </row>
    <row r="373" spans="1:44">
      <c r="A373" s="343">
        <f>IFERROR(VLOOKUP($G373,基本資料!$A:$J,3,0),"無")</f>
        <v>12.02</v>
      </c>
      <c r="B373" s="79">
        <f>IFERROR(VLOOKUP($G373,基本資料!$A:$J,4,0),"無")</f>
        <v>217</v>
      </c>
      <c r="C373" s="79">
        <f>IFERROR(VLOOKUP($G373,基本資料!$A:$J,5,0),"無")</f>
        <v>-699</v>
      </c>
      <c r="D373" s="79">
        <f>IFERROR(VLOOKUP($G373,基本資料!$A:$J,6,0),"無")</f>
        <v>-15</v>
      </c>
      <c r="E373" s="79">
        <f>IFERROR(VLOOKUP($G373,基本資料!$A:$J,7,0),"無")</f>
        <v>-2</v>
      </c>
      <c r="F373" s="6">
        <f>IFERROR(VLOOKUP($G373,基本資料!$A:$J,8,0),"無")</f>
        <v>-5.35</v>
      </c>
      <c r="G373" s="79">
        <v>4746</v>
      </c>
      <c r="H373" s="8" t="s">
        <v>309</v>
      </c>
      <c r="I373" s="22" t="s">
        <v>3811</v>
      </c>
      <c r="J373" s="8">
        <f>IFERROR(VLOOKUP($G373,今日總結!$A:$AN,39,0),"")</f>
        <v>0</v>
      </c>
      <c r="K373" s="5">
        <f>IFERROR(VLOOKUP($G373,今日總結!$A:$AN,40,0),"")</f>
        <v>0</v>
      </c>
      <c r="L373" s="156">
        <f>IFERROR(VLOOKUP($G373,今日總結!$A:$AN,37,0),"")</f>
        <v>0</v>
      </c>
      <c r="M373" s="337">
        <f>IFERROR(VLOOKUP($G373,今日總結!$A:$AN,38,0),"")</f>
        <v>0</v>
      </c>
      <c r="N373" s="240">
        <f t="shared" si="70"/>
        <v>0</v>
      </c>
      <c r="O373" s="359">
        <f>IFERROR(VLOOKUP($G373,融外自投!$A:$J,7,0),"無")</f>
        <v>137</v>
      </c>
      <c r="P373" s="79">
        <f>IFERROR(VLOOKUP($G373,融外自投!$A:$J,9,0),"無")</f>
        <v>154</v>
      </c>
      <c r="Q373" s="342">
        <f>IFERROR(VLOOKUP($G373,融外自投!$A:$J,8,0),"無")</f>
        <v>950</v>
      </c>
      <c r="R373" s="81" t="str">
        <f>IFERROR(VLOOKUP($G373,融外自投!$A:$J,10,0),"無")</f>
        <v>無</v>
      </c>
      <c r="S373" s="324">
        <f>IFERROR(VLOOKUP($G373,'321買'!$A:$E,4,0),"'沒有資料'")</f>
        <v>465</v>
      </c>
      <c r="T373" s="186">
        <f>IFERROR(VLOOKUP($G373,基本資料!$A:$J,9,0),"無")</f>
        <v>2</v>
      </c>
      <c r="U373" s="307">
        <f t="shared" si="71"/>
        <v>3.9292730844793712E-2</v>
      </c>
      <c r="V373" s="94">
        <f>IFERROR(VLOOKUP($G373,基本資料!$A:$J,10,0),"無")</f>
        <v>10.92</v>
      </c>
      <c r="W373" s="36">
        <f>RTD("money.excel",,"4746","Price")</f>
        <v>50.9</v>
      </c>
      <c r="X373" s="66"/>
      <c r="Y373" s="15">
        <f t="shared" si="72"/>
        <v>50.9</v>
      </c>
      <c r="Z373" s="3" t="e">
        <f t="shared" si="73"/>
        <v>#DIV/0!</v>
      </c>
      <c r="AA373" s="340">
        <f>IFERROR(VLOOKUP($G373,基本資料!$A:$M,11,0),"無")</f>
        <v>-47.25</v>
      </c>
      <c r="AB373" s="389">
        <f>IFERROR(VLOOKUP($G373,基本資料!$A:$M,12,0),"無")</f>
        <v>25.9</v>
      </c>
      <c r="AC373" s="22" t="s">
        <v>3811</v>
      </c>
      <c r="AF373" s="33">
        <f t="shared" si="74"/>
        <v>0</v>
      </c>
      <c r="AG373" s="43" t="s">
        <v>3812</v>
      </c>
      <c r="AH373" s="66">
        <f t="shared" si="68"/>
        <v>0.28703540743348105</v>
      </c>
      <c r="AI373" s="283">
        <f>RTD("money.excel",,$G373,"PredictVolume")</f>
        <v>897</v>
      </c>
      <c r="AJ373" s="391">
        <f>IFERROR(VLOOKUP($G373,基本資料!$A:$M,13,0),"無")</f>
        <v>3125.05</v>
      </c>
      <c r="AR373" s="245" t="str">
        <f>INDEX(基本資料!N:N,MATCH($G373,基本資料!A:A,0))</f>
        <v>低</v>
      </c>
    </row>
    <row r="374" spans="1:44">
      <c r="A374" s="343">
        <f>IFERROR(VLOOKUP($G374,基本資料!$A:$J,3,0),"無")</f>
        <v>3</v>
      </c>
      <c r="B374" s="79">
        <f>IFERROR(VLOOKUP($G374,基本資料!$A:$J,4,0),"無")</f>
        <v>-22</v>
      </c>
      <c r="C374" s="79">
        <f>IFERROR(VLOOKUP($G374,基本資料!$A:$J,5,0),"無")</f>
        <v>-18</v>
      </c>
      <c r="D374" s="79">
        <f>IFERROR(VLOOKUP($G374,基本資料!$A:$J,6,0),"無")</f>
        <v>1</v>
      </c>
      <c r="E374" s="79">
        <f>IFERROR(VLOOKUP($G374,基本資料!$A:$J,7,0),"無")</f>
        <v>14</v>
      </c>
      <c r="F374" s="6">
        <f>IFERROR(VLOOKUP($G374,基本資料!$A:$J,8,0),"無")</f>
        <v>15.14</v>
      </c>
      <c r="G374" s="79">
        <v>4747</v>
      </c>
      <c r="H374" s="8" t="s">
        <v>309</v>
      </c>
      <c r="I374" s="16" t="s">
        <v>3813</v>
      </c>
      <c r="J374" s="8" t="str">
        <f>IFERROR(VLOOKUP($G374,今日總結!$A:$AN,39,0),"")</f>
        <v/>
      </c>
      <c r="K374" s="5" t="str">
        <f>IFERROR(VLOOKUP($G374,今日總結!$A:$AN,40,0),"")</f>
        <v/>
      </c>
      <c r="L374" s="156" t="str">
        <f>IFERROR(VLOOKUP($G374,今日總結!$A:$AN,37,0),"")</f>
        <v/>
      </c>
      <c r="M374" s="337" t="str">
        <f>IFERROR(VLOOKUP($G374,今日總結!$A:$AN,38,0),"")</f>
        <v/>
      </c>
      <c r="N374" s="240" t="str">
        <f t="shared" si="70"/>
        <v/>
      </c>
      <c r="O374" s="359">
        <f>IFERROR(VLOOKUP($G374,融外自投!$A:$J,7,0),"無")</f>
        <v>1270</v>
      </c>
      <c r="P374" s="79" t="str">
        <f>IFERROR(VLOOKUP($G374,融外自投!$A:$J,9,0),"無")</f>
        <v>無</v>
      </c>
      <c r="Q374" s="342">
        <f>IFERROR(VLOOKUP($G374,融外自投!$A:$J,8,0),"無")</f>
        <v>1126</v>
      </c>
      <c r="R374" s="81" t="str">
        <f>IFERROR(VLOOKUP($G374,融外自投!$A:$J,10,0),"無")</f>
        <v>無</v>
      </c>
      <c r="S374" s="324" t="str">
        <f>IFERROR(VLOOKUP($G374,'321買'!$A:$E,4,0),"'沒有資料'")</f>
        <v>'沒有資料'</v>
      </c>
      <c r="T374" s="186">
        <f>IFERROR(VLOOKUP($G374,基本資料!$A:$J,9,0),"無")</f>
        <v>1.45</v>
      </c>
      <c r="U374" s="307">
        <f t="shared" si="71"/>
        <v>4.3413173652694613E-2</v>
      </c>
      <c r="V374" s="94">
        <f>IFERROR(VLOOKUP($G374,基本資料!$A:$J,10,0),"無")</f>
        <v>1.64</v>
      </c>
      <c r="W374" s="36">
        <f>RTD("money.excel",,"4747","Price")</f>
        <v>33.4</v>
      </c>
      <c r="X374" s="66"/>
      <c r="Y374" s="15">
        <f t="shared" si="72"/>
        <v>33.4</v>
      </c>
      <c r="Z374" s="3" t="e">
        <f t="shared" si="73"/>
        <v>#DIV/0!</v>
      </c>
      <c r="AA374" s="340">
        <f>IFERROR(VLOOKUP($G374,基本資料!$A:$M,11,0),"無")</f>
        <v>-11.64</v>
      </c>
      <c r="AB374" s="389">
        <f>IFERROR(VLOOKUP($G374,基本資料!$A:$M,12,0),"無")</f>
        <v>15.25</v>
      </c>
      <c r="AC374" s="16" t="s">
        <v>3813</v>
      </c>
      <c r="AF374" s="33">
        <f t="shared" si="74"/>
        <v>0</v>
      </c>
      <c r="AG374" s="43" t="s">
        <v>3675</v>
      </c>
      <c r="AH374" s="66">
        <f t="shared" si="68"/>
        <v>5.4945054945054944E-2</v>
      </c>
      <c r="AI374" s="283">
        <f>RTD("money.excel",,$G374,"PredictVolume")</f>
        <v>2</v>
      </c>
      <c r="AJ374" s="391">
        <f>IFERROR(VLOOKUP($G374,基本資料!$A:$M,13,0),"無")</f>
        <v>36.4</v>
      </c>
      <c r="AR374" s="245" t="str">
        <f>INDEX(基本資料!N:N,MATCH($G374,基本資料!A:A,0))</f>
        <v>低</v>
      </c>
    </row>
    <row r="375" spans="1:44">
      <c r="A375" s="343">
        <f>IFERROR(VLOOKUP($G375,基本資料!$A:$J,3,0),"無")</f>
        <v>5.56</v>
      </c>
      <c r="B375" s="79">
        <f>IFERROR(VLOOKUP($G375,基本資料!$A:$J,4,0),"無")</f>
        <v>-39</v>
      </c>
      <c r="C375" s="79">
        <f>IFERROR(VLOOKUP($G375,基本資料!$A:$J,5,0),"無")</f>
        <v>-26</v>
      </c>
      <c r="D375" s="79">
        <f>IFERROR(VLOOKUP($G375,基本資料!$A:$J,6,0),"無")</f>
        <v>-50</v>
      </c>
      <c r="E375" s="79">
        <f>IFERROR(VLOOKUP($G375,基本資料!$A:$J,7,0),"無")</f>
        <v>-2</v>
      </c>
      <c r="F375" s="6">
        <f>IFERROR(VLOOKUP($G375,基本資料!$A:$J,8,0),"無")</f>
        <v>-79.61</v>
      </c>
      <c r="G375" s="79">
        <v>4911</v>
      </c>
      <c r="H375" s="8" t="s">
        <v>309</v>
      </c>
      <c r="I375" s="16" t="s">
        <v>3814</v>
      </c>
      <c r="J375" s="8" t="str">
        <f>IFERROR(VLOOKUP($G375,今日總結!$A:$AN,39,0),"")</f>
        <v/>
      </c>
      <c r="K375" s="5" t="str">
        <f>IFERROR(VLOOKUP($G375,今日總結!$A:$AN,40,0),"")</f>
        <v/>
      </c>
      <c r="L375" s="156" t="str">
        <f>IFERROR(VLOOKUP($G375,今日總結!$A:$AN,37,0),"")</f>
        <v/>
      </c>
      <c r="M375" s="337" t="str">
        <f>IFERROR(VLOOKUP($G375,今日總結!$A:$AN,38,0),"")</f>
        <v/>
      </c>
      <c r="N375" s="240" t="str">
        <f t="shared" si="70"/>
        <v/>
      </c>
      <c r="O375" s="359" t="str">
        <f>IFERROR(VLOOKUP($G375,融外自投!$A:$J,7,0),"無")</f>
        <v>無</v>
      </c>
      <c r="P375" s="79" t="str">
        <f>IFERROR(VLOOKUP($G375,融外自投!$A:$J,9,0),"無")</f>
        <v>無</v>
      </c>
      <c r="Q375" s="342" t="str">
        <f>IFERROR(VLOOKUP($G375,融外自投!$A:$J,8,0),"無")</f>
        <v>無</v>
      </c>
      <c r="R375" s="81" t="str">
        <f>IFERROR(VLOOKUP($G375,融外自投!$A:$J,10,0),"無")</f>
        <v>無</v>
      </c>
      <c r="S375" s="324" t="str">
        <f>IFERROR(VLOOKUP($G375,'321買'!$A:$E,4,0),"'沒有資料'")</f>
        <v>'沒有資料'</v>
      </c>
      <c r="T375" s="186">
        <f>IFERROR(VLOOKUP($G375,基本資料!$A:$J,9,0),"無")</f>
        <v>0</v>
      </c>
      <c r="U375" s="307">
        <f t="shared" si="71"/>
        <v>0</v>
      </c>
      <c r="V375" s="94">
        <f>IFERROR(VLOOKUP($G375,基本資料!$A:$J,10,0),"無")</f>
        <v>-0.36</v>
      </c>
      <c r="W375" s="36">
        <f>RTD("money.excel",,"4911","Price")</f>
        <v>23</v>
      </c>
      <c r="X375" s="66"/>
      <c r="Y375" s="15">
        <f t="shared" si="72"/>
        <v>23</v>
      </c>
      <c r="Z375" s="3" t="e">
        <f t="shared" si="73"/>
        <v>#DIV/0!</v>
      </c>
      <c r="AA375" s="340">
        <f>IFERROR(VLOOKUP($G375,基本資料!$A:$M,11,0),"無")</f>
        <v>-25.81</v>
      </c>
      <c r="AB375" s="389">
        <f>IFERROR(VLOOKUP($G375,基本資料!$A:$M,12,0),"無")</f>
        <v>18.7</v>
      </c>
      <c r="AC375" s="16" t="s">
        <v>3814</v>
      </c>
      <c r="AF375" s="33">
        <f t="shared" si="74"/>
        <v>0</v>
      </c>
      <c r="AG375" s="43" t="s">
        <v>3815</v>
      </c>
      <c r="AH375" s="66">
        <f t="shared" si="68"/>
        <v>0.20869565217391303</v>
      </c>
      <c r="AI375" s="283">
        <f>RTD("money.excel",,$G375,"PredictVolume")</f>
        <v>6</v>
      </c>
      <c r="AJ375" s="391">
        <f>IFERROR(VLOOKUP($G375,基本資料!$A:$M,13,0),"無")</f>
        <v>28.75</v>
      </c>
      <c r="AR375" s="245" t="str">
        <f>INDEX(基本資料!N:N,MATCH($G375,基本資料!A:A,0))</f>
        <v>低</v>
      </c>
    </row>
    <row r="376" spans="1:44">
      <c r="A376" s="343">
        <f>IFERROR(VLOOKUP($G376,基本資料!$A:$J,3,0),"無")</f>
        <v>6</v>
      </c>
      <c r="B376" s="79">
        <f>IFERROR(VLOOKUP($G376,基本資料!$A:$J,4,0),"無")</f>
        <v>-6</v>
      </c>
      <c r="C376" s="79">
        <f>IFERROR(VLOOKUP($G376,基本資料!$A:$J,5,0),"無")</f>
        <v>-46</v>
      </c>
      <c r="D376" s="79">
        <f>IFERROR(VLOOKUP($G376,基本資料!$A:$J,6,0),"無")</f>
        <v>-7</v>
      </c>
      <c r="E376" s="79">
        <f>IFERROR(VLOOKUP($G376,基本資料!$A:$J,7,0),"無")</f>
        <v>4</v>
      </c>
      <c r="F376" s="6">
        <f>IFERROR(VLOOKUP($G376,基本資料!$A:$J,8,0),"無")</f>
        <v>2.34</v>
      </c>
      <c r="G376" s="79">
        <v>5312</v>
      </c>
      <c r="H376" s="8" t="s">
        <v>309</v>
      </c>
      <c r="I376" s="16" t="s">
        <v>3816</v>
      </c>
      <c r="J376" s="8" t="str">
        <f>IFERROR(VLOOKUP($G376,今日總結!$A:$AN,39,0),"")</f>
        <v/>
      </c>
      <c r="K376" s="5" t="str">
        <f>IFERROR(VLOOKUP($G376,今日總結!$A:$AN,40,0),"")</f>
        <v/>
      </c>
      <c r="L376" s="156" t="str">
        <f>IFERROR(VLOOKUP($G376,今日總結!$A:$AN,37,0),"")</f>
        <v/>
      </c>
      <c r="M376" s="337" t="str">
        <f>IFERROR(VLOOKUP($G376,今日總結!$A:$AN,38,0),"")</f>
        <v/>
      </c>
      <c r="N376" s="240" t="str">
        <f t="shared" si="70"/>
        <v/>
      </c>
      <c r="O376" s="359">
        <f>IFERROR(VLOOKUP($G376,融外自投!$A:$J,7,0),"無")</f>
        <v>1310</v>
      </c>
      <c r="P376" s="79" t="str">
        <f>IFERROR(VLOOKUP($G376,融外自投!$A:$J,9,0),"無")</f>
        <v>無</v>
      </c>
      <c r="Q376" s="342">
        <f>IFERROR(VLOOKUP($G376,融外自投!$A:$J,8,0),"無")</f>
        <v>452</v>
      </c>
      <c r="R376" s="81" t="str">
        <f>IFERROR(VLOOKUP($G376,融外自投!$A:$J,10,0),"無")</f>
        <v>無</v>
      </c>
      <c r="S376" s="324" t="str">
        <f>IFERROR(VLOOKUP($G376,'321買'!$A:$E,4,0),"'沒有資料'")</f>
        <v>'沒有資料'</v>
      </c>
      <c r="T376" s="186">
        <f>IFERROR(VLOOKUP($G376,基本資料!$A:$J,9,0),"無")</f>
        <v>4.3</v>
      </c>
      <c r="U376" s="307">
        <f t="shared" si="71"/>
        <v>6.9131832797427642E-2</v>
      </c>
      <c r="V376" s="94">
        <f>IFERROR(VLOOKUP($G376,基本資料!$A:$J,10,0),"無")</f>
        <v>4.83</v>
      </c>
      <c r="W376" s="36">
        <f>RTD("money.excel",,"5312","Price")</f>
        <v>62.2</v>
      </c>
      <c r="X376" s="66"/>
      <c r="Y376" s="15">
        <f t="shared" si="72"/>
        <v>62.2</v>
      </c>
      <c r="Z376" s="3" t="e">
        <f t="shared" si="73"/>
        <v>#DIV/0!</v>
      </c>
      <c r="AA376" s="340">
        <f>IFERROR(VLOOKUP($G376,基本資料!$A:$M,11,0),"無")</f>
        <v>-11.02</v>
      </c>
      <c r="AB376" s="389">
        <f>IFERROR(VLOOKUP($G376,基本資料!$A:$M,12,0),"無")</f>
        <v>55.44</v>
      </c>
      <c r="AC376" s="16" t="s">
        <v>3816</v>
      </c>
      <c r="AF376" s="33">
        <f t="shared" si="74"/>
        <v>0</v>
      </c>
      <c r="AG376" s="43" t="s">
        <v>3817</v>
      </c>
      <c r="AH376" s="66">
        <f t="shared" si="68"/>
        <v>1.2932330827067668</v>
      </c>
      <c r="AI376" s="283">
        <f>RTD("money.excel",,$G376,"PredictVolume")</f>
        <v>43</v>
      </c>
      <c r="AJ376" s="391">
        <f>IFERROR(VLOOKUP($G376,基本資料!$A:$M,13,0),"無")</f>
        <v>33.25</v>
      </c>
      <c r="AR376" s="245" t="str">
        <f>INDEX(基本資料!N:N,MATCH($G376,基本資料!A:A,0))</f>
        <v>中</v>
      </c>
    </row>
    <row r="377" spans="1:44">
      <c r="A377" s="343">
        <f>IFERROR(VLOOKUP($G377,基本資料!$A:$J,3,0),"無")</f>
        <v>4.43</v>
      </c>
      <c r="B377" s="79">
        <f>IFERROR(VLOOKUP($G377,基本資料!$A:$J,4,0),"無")</f>
        <v>292</v>
      </c>
      <c r="C377" s="79">
        <f>IFERROR(VLOOKUP($G377,基本資料!$A:$J,5,0),"無")</f>
        <v>120</v>
      </c>
      <c r="D377" s="79">
        <f>IFERROR(VLOOKUP($G377,基本資料!$A:$J,6,0),"無")</f>
        <v>-32</v>
      </c>
      <c r="E377" s="79">
        <f>IFERROR(VLOOKUP($G377,基本資料!$A:$J,7,0),"無")</f>
        <v>-59</v>
      </c>
      <c r="F377" s="6">
        <f>IFERROR(VLOOKUP($G377,基本資料!$A:$J,8,0),"無")</f>
        <v>1.63</v>
      </c>
      <c r="G377" s="79">
        <v>6130</v>
      </c>
      <c r="H377" s="8" t="s">
        <v>309</v>
      </c>
      <c r="I377" s="16" t="s">
        <v>3818</v>
      </c>
      <c r="J377" s="8" t="str">
        <f>IFERROR(VLOOKUP($G377,今日總結!$A:$AN,39,0),"")</f>
        <v/>
      </c>
      <c r="K377" s="5" t="str">
        <f>IFERROR(VLOOKUP($G377,今日總結!$A:$AN,40,0),"")</f>
        <v/>
      </c>
      <c r="L377" s="156" t="str">
        <f>IFERROR(VLOOKUP($G377,今日總結!$A:$AN,37,0),"")</f>
        <v/>
      </c>
      <c r="M377" s="337" t="str">
        <f>IFERROR(VLOOKUP($G377,今日總結!$A:$AN,38,0),"")</f>
        <v/>
      </c>
      <c r="N377" s="240" t="str">
        <f t="shared" si="70"/>
        <v/>
      </c>
      <c r="O377" s="359" t="str">
        <f>IFERROR(VLOOKUP($G377,融外自投!$A:$J,7,0),"無")</f>
        <v>無</v>
      </c>
      <c r="P377" s="79" t="str">
        <f>IFERROR(VLOOKUP($G377,融外自投!$A:$J,9,0),"無")</f>
        <v>無</v>
      </c>
      <c r="Q377" s="342" t="str">
        <f>IFERROR(VLOOKUP($G377,融外自投!$A:$J,8,0),"無")</f>
        <v>無</v>
      </c>
      <c r="R377" s="81" t="str">
        <f>IFERROR(VLOOKUP($G377,融外自投!$A:$J,10,0),"無")</f>
        <v>無</v>
      </c>
      <c r="S377" s="324" t="str">
        <f>IFERROR(VLOOKUP($G377,'321買'!$A:$E,4,0),"'沒有資料'")</f>
        <v>'沒有資料'</v>
      </c>
      <c r="T377" s="186">
        <f>IFERROR(VLOOKUP($G377,基本資料!$A:$J,9,0),"無")</f>
        <v>0</v>
      </c>
      <c r="U377" s="307">
        <f t="shared" si="71"/>
        <v>0</v>
      </c>
      <c r="V377" s="94">
        <f>IFERROR(VLOOKUP($G377,基本資料!$A:$J,10,0),"無")</f>
        <v>1.06</v>
      </c>
      <c r="W377" s="36">
        <f>RTD("money.excel",,"6130","Price")</f>
        <v>35.799999999999997</v>
      </c>
      <c r="X377" s="66"/>
      <c r="Y377" s="15">
        <f t="shared" si="72"/>
        <v>35.799999999999997</v>
      </c>
      <c r="Z377" s="3" t="e">
        <f t="shared" si="73"/>
        <v>#DIV/0!</v>
      </c>
      <c r="AA377" s="340">
        <f>IFERROR(VLOOKUP($G377,基本資料!$A:$M,11,0),"無")</f>
        <v>-35.380000000000003</v>
      </c>
      <c r="AB377" s="389">
        <f>IFERROR(VLOOKUP($G377,基本資料!$A:$M,12,0),"無")</f>
        <v>16.04</v>
      </c>
      <c r="AC377" s="16" t="s">
        <v>3818</v>
      </c>
      <c r="AF377" s="33">
        <f t="shared" si="74"/>
        <v>0</v>
      </c>
      <c r="AG377" s="43" t="s">
        <v>3512</v>
      </c>
      <c r="AH377" s="66">
        <f t="shared" si="68"/>
        <v>0.21034556771839452</v>
      </c>
      <c r="AI377" s="283">
        <f>RTD("money.excel",,$G377,"PredictVolume")</f>
        <v>49</v>
      </c>
      <c r="AJ377" s="391">
        <f>IFERROR(VLOOKUP($G377,基本資料!$A:$M,13,0),"無")</f>
        <v>232.95</v>
      </c>
      <c r="AR377" s="245" t="str">
        <f>INDEX(基本資料!N:N,MATCH($G377,基本資料!A:A,0))</f>
        <v>中</v>
      </c>
    </row>
    <row r="378" spans="1:44">
      <c r="A378" s="343">
        <f>IFERROR(VLOOKUP($G378,基本資料!$A:$J,3,0),"無")</f>
        <v>2.2200000000000002</v>
      </c>
      <c r="B378" s="79">
        <f>IFERROR(VLOOKUP($G378,基本資料!$A:$J,4,0),"無")</f>
        <v>-25</v>
      </c>
      <c r="C378" s="79">
        <f>IFERROR(VLOOKUP($G378,基本資料!$A:$J,5,0),"無")</f>
        <v>-29</v>
      </c>
      <c r="D378" s="79">
        <f>IFERROR(VLOOKUP($G378,基本資料!$A:$J,6,0),"無")</f>
        <v>4</v>
      </c>
      <c r="E378" s="79">
        <f>IFERROR(VLOOKUP($G378,基本資料!$A:$J,7,0),"無")</f>
        <v>-7</v>
      </c>
      <c r="F378" s="6">
        <f>IFERROR(VLOOKUP($G378,基本資料!$A:$J,8,0),"無")</f>
        <v>14.79</v>
      </c>
      <c r="G378" s="79">
        <v>6242</v>
      </c>
      <c r="H378" s="8" t="s">
        <v>309</v>
      </c>
      <c r="I378" s="16" t="s">
        <v>3819</v>
      </c>
      <c r="J378" s="8" t="str">
        <f>IFERROR(VLOOKUP($G378,今日總結!$A:$AN,39,0),"")</f>
        <v/>
      </c>
      <c r="K378" s="5" t="str">
        <f>IFERROR(VLOOKUP($G378,今日總結!$A:$AN,40,0),"")</f>
        <v/>
      </c>
      <c r="L378" s="156" t="str">
        <f>IFERROR(VLOOKUP($G378,今日總結!$A:$AN,37,0),"")</f>
        <v/>
      </c>
      <c r="M378" s="337" t="str">
        <f>IFERROR(VLOOKUP($G378,今日總結!$A:$AN,38,0),"")</f>
        <v/>
      </c>
      <c r="N378" s="240" t="str">
        <f t="shared" si="70"/>
        <v/>
      </c>
      <c r="O378" s="359" t="str">
        <f>IFERROR(VLOOKUP($G378,融外自投!$A:$J,7,0),"無")</f>
        <v>無</v>
      </c>
      <c r="P378" s="79" t="str">
        <f>IFERROR(VLOOKUP($G378,融外自投!$A:$J,9,0),"無")</f>
        <v>無</v>
      </c>
      <c r="Q378" s="342" t="str">
        <f>IFERROR(VLOOKUP($G378,融外自投!$A:$J,8,0),"無")</f>
        <v>無</v>
      </c>
      <c r="R378" s="81" t="str">
        <f>IFERROR(VLOOKUP($G378,融外自投!$A:$J,10,0),"無")</f>
        <v>無</v>
      </c>
      <c r="S378" s="324" t="str">
        <f>IFERROR(VLOOKUP($G378,'321買'!$A:$E,4,0),"'沒有資料'")</f>
        <v>'沒有資料'</v>
      </c>
      <c r="T378" s="186">
        <f>IFERROR(VLOOKUP($G378,基本資料!$A:$J,9,0),"無")</f>
        <v>2</v>
      </c>
      <c r="U378" s="307">
        <f t="shared" si="71"/>
        <v>3.8834951456310676E-2</v>
      </c>
      <c r="V378" s="94">
        <f>IFERROR(VLOOKUP($G378,基本資料!$A:$J,10,0),"無")</f>
        <v>2.3199999999999998</v>
      </c>
      <c r="W378" s="36">
        <f>RTD("money.excel",,"6242","Price")</f>
        <v>51.5</v>
      </c>
      <c r="X378" s="66"/>
      <c r="Y378" s="15">
        <f t="shared" si="72"/>
        <v>51.5</v>
      </c>
      <c r="Z378" s="3" t="e">
        <f t="shared" si="73"/>
        <v>#DIV/0!</v>
      </c>
      <c r="AA378" s="340">
        <f>IFERROR(VLOOKUP($G378,基本資料!$A:$M,11,0),"無")</f>
        <v>-37.58</v>
      </c>
      <c r="AB378" s="389">
        <f>IFERROR(VLOOKUP($G378,基本資料!$A:$M,12,0),"無")</f>
        <v>53.08</v>
      </c>
      <c r="AC378" s="16" t="s">
        <v>3819</v>
      </c>
      <c r="AF378" s="33">
        <f t="shared" si="74"/>
        <v>0</v>
      </c>
      <c r="AG378" s="43" t="s">
        <v>3820</v>
      </c>
      <c r="AH378" s="66">
        <f t="shared" si="68"/>
        <v>0.34838076545632973</v>
      </c>
      <c r="AI378" s="283">
        <f>RTD("money.excel",,$G378,"PredictVolume")</f>
        <v>213</v>
      </c>
      <c r="AJ378" s="391">
        <f>IFERROR(VLOOKUP($G378,基本資料!$A:$M,13,0),"無")</f>
        <v>611.4</v>
      </c>
      <c r="AR378" s="245" t="str">
        <f>INDEX(基本資料!N:N,MATCH($G378,基本資料!A:A,0))</f>
        <v>低</v>
      </c>
    </row>
    <row r="379" spans="1:44">
      <c r="A379" s="343">
        <f>IFERROR(VLOOKUP($G379,基本資料!$A:$J,3,0),"無")</f>
        <v>28.49</v>
      </c>
      <c r="B379" s="79">
        <f>IFERROR(VLOOKUP($G379,基本資料!$A:$J,4,0),"無")</f>
        <v>-44</v>
      </c>
      <c r="C379" s="79">
        <f>IFERROR(VLOOKUP($G379,基本資料!$A:$J,5,0),"無")</f>
        <v>-64</v>
      </c>
      <c r="D379" s="79">
        <f>IFERROR(VLOOKUP($G379,基本資料!$A:$J,6,0),"無")</f>
        <v>167</v>
      </c>
      <c r="E379" s="79">
        <f>IFERROR(VLOOKUP($G379,基本資料!$A:$J,7,0),"無")</f>
        <v>1078</v>
      </c>
      <c r="F379" s="6">
        <f>IFERROR(VLOOKUP($G379,基本資料!$A:$J,8,0),"無")</f>
        <v>-429.91</v>
      </c>
      <c r="G379" s="79">
        <v>6446</v>
      </c>
      <c r="H379" s="8" t="s">
        <v>309</v>
      </c>
      <c r="I379" s="16" t="s">
        <v>618</v>
      </c>
      <c r="J379" s="8" t="str">
        <f>IFERROR(VLOOKUP($G379,今日總結!$A:$AN,39,0),"")</f>
        <v/>
      </c>
      <c r="K379" s="5" t="str">
        <f>IFERROR(VLOOKUP($G379,今日總結!$A:$AN,40,0),"")</f>
        <v/>
      </c>
      <c r="L379" s="156" t="str">
        <f>IFERROR(VLOOKUP($G379,今日總結!$A:$AN,37,0),"")</f>
        <v/>
      </c>
      <c r="M379" s="337" t="str">
        <f>IFERROR(VLOOKUP($G379,今日總結!$A:$AN,38,0),"")</f>
        <v/>
      </c>
      <c r="N379" s="240" t="str">
        <f t="shared" si="70"/>
        <v/>
      </c>
      <c r="O379" s="359" t="str">
        <f>IFERROR(VLOOKUP($G379,融外自投!$A:$J,7,0),"無")</f>
        <v>無</v>
      </c>
      <c r="P379" s="79" t="str">
        <f>IFERROR(VLOOKUP($G379,融外自投!$A:$J,9,0),"無")</f>
        <v>無</v>
      </c>
      <c r="Q379" s="342" t="str">
        <f>IFERROR(VLOOKUP($G379,融外自投!$A:$J,8,0),"無")</f>
        <v>無</v>
      </c>
      <c r="R379" s="81" t="str">
        <f>IFERROR(VLOOKUP($G379,融外自投!$A:$J,10,0),"無")</f>
        <v>無</v>
      </c>
      <c r="S379" s="324" t="str">
        <f>IFERROR(VLOOKUP($G379,'321買'!$A:$E,4,0),"'沒有資料'")</f>
        <v>'沒有資料'</v>
      </c>
      <c r="T379" s="186">
        <f>IFERROR(VLOOKUP($G379,基本資料!$A:$J,9,0),"無")</f>
        <v>0</v>
      </c>
      <c r="U379" s="307">
        <f t="shared" si="71"/>
        <v>0</v>
      </c>
      <c r="V379" s="94">
        <f>IFERROR(VLOOKUP($G379,基本資料!$A:$J,10,0),"無")</f>
        <v>-10.8</v>
      </c>
      <c r="W379" s="36">
        <f>RTD("money.excel",,"6446","Price")</f>
        <v>380.5</v>
      </c>
      <c r="X379" s="66"/>
      <c r="Y379" s="15">
        <f t="shared" si="72"/>
        <v>380.5</v>
      </c>
      <c r="Z379" s="3" t="e">
        <f t="shared" si="73"/>
        <v>#DIV/0!</v>
      </c>
      <c r="AA379" s="340">
        <f>IFERROR(VLOOKUP($G379,基本資料!$A:$M,11,0),"無")</f>
        <v>-9.83</v>
      </c>
      <c r="AB379" s="389">
        <f>IFERROR(VLOOKUP($G379,基本資料!$A:$M,12,0),"無")</f>
        <v>83.46</v>
      </c>
      <c r="AC379" s="16" t="s">
        <v>618</v>
      </c>
      <c r="AF379" s="33">
        <f t="shared" si="74"/>
        <v>0</v>
      </c>
      <c r="AG379" s="43" t="s">
        <v>3821</v>
      </c>
      <c r="AH379" s="66">
        <f t="shared" si="68"/>
        <v>1.3323244552058111</v>
      </c>
      <c r="AI379" s="283">
        <f>RTD("money.excel",,$G379,"PredictVolume")</f>
        <v>2201</v>
      </c>
      <c r="AJ379" s="391">
        <f>IFERROR(VLOOKUP($G379,基本資料!$A:$M,13,0),"無")</f>
        <v>1652</v>
      </c>
      <c r="AR379" s="245" t="str">
        <f>INDEX(基本資料!N:N,MATCH($G379,基本資料!A:A,0))</f>
        <v>高</v>
      </c>
    </row>
    <row r="380" spans="1:44">
      <c r="A380" s="343">
        <f>IFERROR(VLOOKUP($G380,基本資料!$A:$J,3,0),"無")</f>
        <v>11.62</v>
      </c>
      <c r="B380" s="79">
        <f>IFERROR(VLOOKUP($G380,基本資料!$A:$J,4,0),"無")</f>
        <v>-20</v>
      </c>
      <c r="C380" s="79">
        <f>IFERROR(VLOOKUP($G380,基本資料!$A:$J,5,0),"無")</f>
        <v>-22</v>
      </c>
      <c r="D380" s="79">
        <f>IFERROR(VLOOKUP($G380,基本資料!$A:$J,6,0),"無")</f>
        <v>-66</v>
      </c>
      <c r="E380" s="79">
        <f>IFERROR(VLOOKUP($G380,基本資料!$A:$J,7,0),"無")</f>
        <v>-47</v>
      </c>
      <c r="F380" s="6">
        <f>IFERROR(VLOOKUP($G380,基本資料!$A:$J,8,0),"無")</f>
        <v>-755.76</v>
      </c>
      <c r="G380" s="79">
        <v>6461</v>
      </c>
      <c r="H380" s="8" t="s">
        <v>309</v>
      </c>
      <c r="I380" s="16" t="s">
        <v>3822</v>
      </c>
      <c r="J380" s="8">
        <f>IFERROR(VLOOKUP($G380,今日總結!$A:$AN,39,0),"")</f>
        <v>0</v>
      </c>
      <c r="K380" s="5">
        <f>IFERROR(VLOOKUP($G380,今日總結!$A:$AN,40,0),"")</f>
        <v>0</v>
      </c>
      <c r="L380" s="156">
        <f>IFERROR(VLOOKUP($G380,今日總結!$A:$AN,37,0),"")</f>
        <v>0</v>
      </c>
      <c r="M380" s="337">
        <f>IFERROR(VLOOKUP($G380,今日總結!$A:$AN,38,0),"")</f>
        <v>0</v>
      </c>
      <c r="N380" s="240">
        <f t="shared" si="70"/>
        <v>0</v>
      </c>
      <c r="O380" s="359">
        <f>IFERROR(VLOOKUP($G380,融外自投!$A:$J,7,0),"無")</f>
        <v>609</v>
      </c>
      <c r="P380" s="79" t="str">
        <f>IFERROR(VLOOKUP($G380,融外自投!$A:$J,9,0),"無")</f>
        <v>無</v>
      </c>
      <c r="Q380" s="342">
        <f>IFERROR(VLOOKUP($G380,融外自投!$A:$J,8,0),"無")</f>
        <v>1290</v>
      </c>
      <c r="R380" s="81" t="str">
        <f>IFERROR(VLOOKUP($G380,融外自投!$A:$J,10,0),"無")</f>
        <v>無</v>
      </c>
      <c r="S380" s="324">
        <f>IFERROR(VLOOKUP($G380,'321買'!$A:$E,4,0),"'沒有資料'")</f>
        <v>650</v>
      </c>
      <c r="T380" s="186">
        <f>IFERROR(VLOOKUP($G380,基本資料!$A:$J,9,0),"無")</f>
        <v>0</v>
      </c>
      <c r="U380" s="307">
        <f t="shared" si="71"/>
        <v>0</v>
      </c>
      <c r="V380" s="94">
        <f>IFERROR(VLOOKUP($G380,基本資料!$A:$J,10,0),"無")</f>
        <v>-2.97</v>
      </c>
      <c r="W380" s="36">
        <f>RTD("money.excel",,"6461","Price")</f>
        <v>19.600000000000001</v>
      </c>
      <c r="X380" s="66"/>
      <c r="Y380" s="15">
        <f t="shared" si="72"/>
        <v>19.600000000000001</v>
      </c>
      <c r="Z380" s="3" t="e">
        <f t="shared" si="73"/>
        <v>#DIV/0!</v>
      </c>
      <c r="AA380" s="340">
        <f>IFERROR(VLOOKUP($G380,基本資料!$A:$M,11,0),"無")</f>
        <v>-24.62</v>
      </c>
      <c r="AB380" s="389">
        <f>IFERROR(VLOOKUP($G380,基本資料!$A:$M,12,0),"無")</f>
        <v>38.94</v>
      </c>
      <c r="AC380" s="16" t="s">
        <v>3822</v>
      </c>
      <c r="AF380" s="33">
        <f t="shared" si="74"/>
        <v>0</v>
      </c>
      <c r="AG380" s="43" t="s">
        <v>2451</v>
      </c>
      <c r="AH380" s="66">
        <f t="shared" si="68"/>
        <v>0.10348909069959883</v>
      </c>
      <c r="AI380" s="283">
        <f>RTD("money.excel",,$G380,"PredictVolume")</f>
        <v>494</v>
      </c>
      <c r="AJ380" s="391">
        <f>IFERROR(VLOOKUP($G380,基本資料!$A:$M,13,0),"無")</f>
        <v>4773.45</v>
      </c>
      <c r="AR380" s="245" t="str">
        <f>INDEX(基本資料!N:N,MATCH($G380,基本資料!A:A,0))</f>
        <v>低</v>
      </c>
    </row>
    <row r="381" spans="1:44">
      <c r="A381" s="343">
        <f>IFERROR(VLOOKUP($G381,基本資料!$A:$J,3,0),"無")</f>
        <v>7.87</v>
      </c>
      <c r="B381" s="79">
        <f>IFERROR(VLOOKUP($G381,基本資料!$A:$J,4,0),"無")</f>
        <v>111</v>
      </c>
      <c r="C381" s="79">
        <f>IFERROR(VLOOKUP($G381,基本資料!$A:$J,5,0),"無")</f>
        <v>118</v>
      </c>
      <c r="D381" s="79">
        <f>IFERROR(VLOOKUP($G381,基本資料!$A:$J,6,0),"無")</f>
        <v>20</v>
      </c>
      <c r="E381" s="79">
        <f>IFERROR(VLOOKUP($G381,基本資料!$A:$J,7,0),"無")</f>
        <v>60</v>
      </c>
      <c r="F381" s="6">
        <f>IFERROR(VLOOKUP($G381,基本資料!$A:$J,8,0),"無")</f>
        <v>4.3600000000000003</v>
      </c>
      <c r="G381" s="79">
        <v>6469</v>
      </c>
      <c r="H381" s="8" t="s">
        <v>309</v>
      </c>
      <c r="I381" s="16" t="s">
        <v>3823</v>
      </c>
      <c r="J381" s="8">
        <f>IFERROR(VLOOKUP($G381,今日總結!$A:$AN,39,0),"")</f>
        <v>0</v>
      </c>
      <c r="K381" s="5">
        <f>IFERROR(VLOOKUP($G381,今日總結!$A:$AN,40,0),"")</f>
        <v>0</v>
      </c>
      <c r="L381" s="156">
        <f>IFERROR(VLOOKUP($G381,今日總結!$A:$AN,37,0),"")</f>
        <v>0</v>
      </c>
      <c r="M381" s="337">
        <f>IFERROR(VLOOKUP($G381,今日總結!$A:$AN,38,0),"")</f>
        <v>0</v>
      </c>
      <c r="N381" s="240">
        <f t="shared" si="70"/>
        <v>0</v>
      </c>
      <c r="O381" s="359">
        <f>IFERROR(VLOOKUP($G381,融外自投!$A:$J,7,0),"無")</f>
        <v>602</v>
      </c>
      <c r="P381" s="79">
        <f>IFERROR(VLOOKUP($G381,融外自投!$A:$J,9,0),"無")</f>
        <v>671</v>
      </c>
      <c r="Q381" s="342">
        <f>IFERROR(VLOOKUP($G381,融外自投!$A:$J,8,0),"無")</f>
        <v>766</v>
      </c>
      <c r="R381" s="81">
        <f>IFERROR(VLOOKUP($G381,融外自投!$A:$J,10,0),"無")</f>
        <v>166</v>
      </c>
      <c r="S381" s="324">
        <f>IFERROR(VLOOKUP($G381,'321買'!$A:$E,4,0),"'沒有資料'")</f>
        <v>497</v>
      </c>
      <c r="T381" s="186">
        <f>IFERROR(VLOOKUP($G381,基本資料!$A:$J,9,0),"無")</f>
        <v>5.14</v>
      </c>
      <c r="U381" s="307">
        <f t="shared" si="71"/>
        <v>1.9543726235741445E-2</v>
      </c>
      <c r="V381" s="94">
        <f>IFERROR(VLOOKUP($G381,基本資料!$A:$J,10,0),"無")</f>
        <v>5.83</v>
      </c>
      <c r="W381" s="36">
        <f>RTD("money.excel",,"6469","Price")</f>
        <v>263</v>
      </c>
      <c r="X381" s="66"/>
      <c r="Y381" s="15">
        <f t="shared" si="72"/>
        <v>263</v>
      </c>
      <c r="Z381" s="3" t="e">
        <f t="shared" si="73"/>
        <v>#DIV/0!</v>
      </c>
      <c r="AA381" s="340">
        <f>IFERROR(VLOOKUP($G381,基本資料!$A:$M,11,0),"無")</f>
        <v>-26.54</v>
      </c>
      <c r="AB381" s="389">
        <f>IFERROR(VLOOKUP($G381,基本資料!$A:$M,12,0),"無")</f>
        <v>27.54</v>
      </c>
      <c r="AC381" s="16" t="s">
        <v>3823</v>
      </c>
      <c r="AF381" s="33">
        <f t="shared" si="74"/>
        <v>0</v>
      </c>
      <c r="AG381" s="43" t="s">
        <v>3824</v>
      </c>
      <c r="AH381" s="66">
        <f t="shared" si="68"/>
        <v>0.22260273972602737</v>
      </c>
      <c r="AI381" s="283">
        <f>RTD("money.excel",,$G381,"PredictVolume")</f>
        <v>611</v>
      </c>
      <c r="AJ381" s="391">
        <f>IFERROR(VLOOKUP($G381,基本資料!$A:$M,13,0),"無")</f>
        <v>2744.8</v>
      </c>
      <c r="AR381" s="245" t="str">
        <f>INDEX(基本資料!N:N,MATCH($G381,基本資料!A:A,0))</f>
        <v>中</v>
      </c>
    </row>
    <row r="382" spans="1:44">
      <c r="A382" s="343">
        <f>IFERROR(VLOOKUP($G382,基本資料!$A:$J,3,0),"無")</f>
        <v>6.85</v>
      </c>
      <c r="B382" s="79">
        <f>IFERROR(VLOOKUP($G382,基本資料!$A:$J,4,0),"無")</f>
        <v>29</v>
      </c>
      <c r="C382" s="79">
        <f>IFERROR(VLOOKUP($G382,基本資料!$A:$J,5,0),"無")</f>
        <v>362</v>
      </c>
      <c r="D382" s="79">
        <f>IFERROR(VLOOKUP($G382,基本資料!$A:$J,6,0),"無")</f>
        <v>9</v>
      </c>
      <c r="E382" s="79">
        <f>IFERROR(VLOOKUP($G382,基本資料!$A:$J,7,0),"無")</f>
        <v>8</v>
      </c>
      <c r="F382" s="6">
        <f>IFERROR(VLOOKUP($G382,基本資料!$A:$J,8,0),"無")</f>
        <v>21.35</v>
      </c>
      <c r="G382" s="79">
        <v>6472</v>
      </c>
      <c r="H382" s="8" t="s">
        <v>309</v>
      </c>
      <c r="I382" s="16" t="s">
        <v>3825</v>
      </c>
      <c r="J382" s="8">
        <f>IFERROR(VLOOKUP($G382,今日總結!$A:$AN,39,0),"")</f>
        <v>0</v>
      </c>
      <c r="K382" s="5">
        <f>IFERROR(VLOOKUP($G382,今日總結!$A:$AN,40,0),"")</f>
        <v>0</v>
      </c>
      <c r="L382" s="156">
        <f>IFERROR(VLOOKUP($G382,今日總結!$A:$AN,37,0),"")</f>
        <v>0</v>
      </c>
      <c r="M382" s="337">
        <f>IFERROR(VLOOKUP($G382,今日總結!$A:$AN,38,0),"")</f>
        <v>0</v>
      </c>
      <c r="N382" s="240">
        <f t="shared" si="70"/>
        <v>0</v>
      </c>
      <c r="O382" s="359">
        <f>IFERROR(VLOOKUP($G382,融外自投!$A:$J,7,0),"無")</f>
        <v>762</v>
      </c>
      <c r="P382" s="79">
        <f>IFERROR(VLOOKUP($G382,融外自投!$A:$J,9,0),"無")</f>
        <v>397</v>
      </c>
      <c r="Q382" s="342">
        <f>IFERROR(VLOOKUP($G382,融外自投!$A:$J,8,0),"無")</f>
        <v>696</v>
      </c>
      <c r="R382" s="81">
        <f>IFERROR(VLOOKUP($G382,融外自投!$A:$J,10,0),"無")</f>
        <v>203</v>
      </c>
      <c r="S382" s="324">
        <f>IFERROR(VLOOKUP($G382,'321買'!$A:$E,4,0),"'沒有資料'")</f>
        <v>743</v>
      </c>
      <c r="T382" s="186">
        <f>IFERROR(VLOOKUP($G382,基本資料!$A:$J,9,0),"無")</f>
        <v>4.5</v>
      </c>
      <c r="U382" s="307">
        <f t="shared" si="71"/>
        <v>2.7950310559006212E-2</v>
      </c>
      <c r="V382" s="94">
        <f>IFERROR(VLOOKUP($G382,基本資料!$A:$J,10,0),"無")</f>
        <v>11.04</v>
      </c>
      <c r="W382" s="36">
        <f>RTD("money.excel",,"6472","Price")</f>
        <v>161</v>
      </c>
      <c r="X382" s="66"/>
      <c r="Y382" s="15">
        <f t="shared" si="72"/>
        <v>161</v>
      </c>
      <c r="Z382" s="3" t="e">
        <f t="shared" si="73"/>
        <v>#DIV/0!</v>
      </c>
      <c r="AA382" s="340">
        <f>IFERROR(VLOOKUP($G382,基本資料!$A:$M,11,0),"無")</f>
        <v>-48.23</v>
      </c>
      <c r="AB382" s="389">
        <f>IFERROR(VLOOKUP($G382,基本資料!$A:$M,12,0),"無")</f>
        <v>30.64</v>
      </c>
      <c r="AC382" s="16" t="s">
        <v>3825</v>
      </c>
      <c r="AF382" s="33">
        <f t="shared" si="74"/>
        <v>0</v>
      </c>
      <c r="AG382" s="43" t="s">
        <v>3671</v>
      </c>
      <c r="AH382" s="66">
        <f t="shared" si="68"/>
        <v>1.2936046511627906</v>
      </c>
      <c r="AI382" s="283">
        <f>RTD("money.excel",,$G382,"PredictVolume")</f>
        <v>267</v>
      </c>
      <c r="AJ382" s="391">
        <f>IFERROR(VLOOKUP($G382,基本資料!$A:$M,13,0),"無")</f>
        <v>206.4</v>
      </c>
      <c r="AR382" s="245" t="str">
        <f>INDEX(基本資料!N:N,MATCH($G382,基本資料!A:A,0))</f>
        <v>低</v>
      </c>
    </row>
    <row r="383" spans="1:44">
      <c r="A383" s="343">
        <f>IFERROR(VLOOKUP($G383,基本資料!$A:$J,3,0),"無")</f>
        <v>7</v>
      </c>
      <c r="B383" s="79">
        <f>IFERROR(VLOOKUP($G383,基本資料!$A:$J,4,0),"無")</f>
        <v>74</v>
      </c>
      <c r="C383" s="79">
        <f>IFERROR(VLOOKUP($G383,基本資料!$A:$J,5,0),"無")</f>
        <v>70</v>
      </c>
      <c r="D383" s="79">
        <f>IFERROR(VLOOKUP($G383,基本資料!$A:$J,6,0),"無")</f>
        <v>-6</v>
      </c>
      <c r="E383" s="79">
        <f>IFERROR(VLOOKUP($G383,基本資料!$A:$J,7,0),"無")</f>
        <v>0</v>
      </c>
      <c r="F383" s="6">
        <f>IFERROR(VLOOKUP($G383,基本資料!$A:$J,8,0),"無")</f>
        <v>26.09</v>
      </c>
      <c r="G383" s="79">
        <v>6491</v>
      </c>
      <c r="H383" s="192" t="s">
        <v>309</v>
      </c>
      <c r="I383" s="22" t="s">
        <v>3826</v>
      </c>
      <c r="J383" s="8">
        <f>IFERROR(VLOOKUP($G383,今日總結!$A:$AN,39,0),"")</f>
        <v>0</v>
      </c>
      <c r="K383" s="5">
        <f>IFERROR(VLOOKUP($G383,今日總結!$A:$AN,40,0),"")</f>
        <v>0</v>
      </c>
      <c r="L383" s="156">
        <f>IFERROR(VLOOKUP($G383,今日總結!$A:$AN,37,0),"")</f>
        <v>0</v>
      </c>
      <c r="M383" s="337">
        <f>IFERROR(VLOOKUP($G383,今日總結!$A:$AN,38,0),"")</f>
        <v>0</v>
      </c>
      <c r="N383" s="240">
        <f t="shared" si="70"/>
        <v>0</v>
      </c>
      <c r="O383" s="359">
        <f>IFERROR(VLOOKUP($G383,融外自投!$A:$J,7,0),"無")</f>
        <v>1001</v>
      </c>
      <c r="P383" s="79">
        <f>IFERROR(VLOOKUP($G383,融外自投!$A:$J,9,0),"無")</f>
        <v>946</v>
      </c>
      <c r="Q383" s="342">
        <f>IFERROR(VLOOKUP($G383,融外自投!$A:$J,8,0),"無")</f>
        <v>385</v>
      </c>
      <c r="R383" s="81">
        <f>IFERROR(VLOOKUP($G383,融外自投!$A:$J,10,0),"無")</f>
        <v>74</v>
      </c>
      <c r="S383" s="324">
        <f>IFERROR(VLOOKUP($G383,'321買'!$A:$E,4,0),"'沒有資料'")</f>
        <v>343</v>
      </c>
      <c r="T383" s="186">
        <f>IFERROR(VLOOKUP($G383,基本資料!$A:$J,9,0),"無")</f>
        <v>8.5</v>
      </c>
      <c r="U383" s="307">
        <f t="shared" si="71"/>
        <v>2.1822849807445442E-2</v>
      </c>
      <c r="V383" s="94">
        <f>IFERROR(VLOOKUP($G383,基本資料!$A:$J,10,0),"無")</f>
        <v>17.84</v>
      </c>
      <c r="W383" s="36">
        <f>RTD("money.excel",,"6491","Price")</f>
        <v>389.5</v>
      </c>
      <c r="X383" s="66"/>
      <c r="Y383" s="15">
        <f t="shared" si="72"/>
        <v>389.5</v>
      </c>
      <c r="Z383" s="3" t="e">
        <f t="shared" si="73"/>
        <v>#DIV/0!</v>
      </c>
      <c r="AA383" s="340">
        <f>IFERROR(VLOOKUP($G383,基本資料!$A:$M,11,0),"無")</f>
        <v>-42.55</v>
      </c>
      <c r="AB383" s="389">
        <f>IFERROR(VLOOKUP($G383,基本資料!$A:$M,12,0),"無")</f>
        <v>19.3</v>
      </c>
      <c r="AC383" s="22" t="s">
        <v>3826</v>
      </c>
      <c r="AF383" s="33">
        <f t="shared" si="74"/>
        <v>0</v>
      </c>
      <c r="AG383" s="117" t="s">
        <v>3827</v>
      </c>
      <c r="AH383" s="66">
        <f t="shared" si="68"/>
        <v>0.49033236446354106</v>
      </c>
      <c r="AI383" s="283">
        <f>RTD("money.excel",,$G383,"PredictVolume")</f>
        <v>194</v>
      </c>
      <c r="AJ383" s="391">
        <f>IFERROR(VLOOKUP($G383,基本資料!$A:$M,13,0),"無")</f>
        <v>395.65</v>
      </c>
      <c r="AR383" s="245" t="str">
        <f>INDEX(基本資料!N:N,MATCH($G383,基本資料!A:A,0))</f>
        <v>低</v>
      </c>
    </row>
    <row r="384" spans="1:44">
      <c r="A384" s="343">
        <f>IFERROR(VLOOKUP($G384,基本資料!$A:$J,3,0),"無")</f>
        <v>8.9700000000000006</v>
      </c>
      <c r="B384" s="79">
        <f>IFERROR(VLOOKUP($G384,基本資料!$A:$J,4,0),"無")</f>
        <v>7</v>
      </c>
      <c r="C384" s="79">
        <f>IFERROR(VLOOKUP($G384,基本資料!$A:$J,5,0),"無")</f>
        <v>3</v>
      </c>
      <c r="D384" s="79">
        <f>IFERROR(VLOOKUP($G384,基本資料!$A:$J,6,0),"無")</f>
        <v>0</v>
      </c>
      <c r="E384" s="79">
        <f>IFERROR(VLOOKUP($G384,基本資料!$A:$J,7,0),"無")</f>
        <v>66</v>
      </c>
      <c r="F384" s="6">
        <f>IFERROR(VLOOKUP($G384,基本資料!$A:$J,8,0),"無")</f>
        <v>-62966.55</v>
      </c>
      <c r="G384" s="79">
        <v>6492</v>
      </c>
      <c r="H384" s="8" t="s">
        <v>309</v>
      </c>
      <c r="I384" s="16" t="s">
        <v>3828</v>
      </c>
      <c r="J384" s="8" t="str">
        <f>IFERROR(VLOOKUP($G384,今日總結!$A:$AN,39,0),"")</f>
        <v/>
      </c>
      <c r="K384" s="5" t="str">
        <f>IFERROR(VLOOKUP($G384,今日總結!$A:$AN,40,0),"")</f>
        <v/>
      </c>
      <c r="L384" s="156" t="str">
        <f>IFERROR(VLOOKUP($G384,今日總結!$A:$AN,37,0),"")</f>
        <v/>
      </c>
      <c r="M384" s="337" t="str">
        <f>IFERROR(VLOOKUP($G384,今日總結!$A:$AN,38,0),"")</f>
        <v/>
      </c>
      <c r="N384" s="240" t="str">
        <f t="shared" si="70"/>
        <v/>
      </c>
      <c r="O384" s="359" t="str">
        <f>IFERROR(VLOOKUP($G384,融外自投!$A:$J,7,0),"無")</f>
        <v>無</v>
      </c>
      <c r="P384" s="79" t="str">
        <f>IFERROR(VLOOKUP($G384,融外自投!$A:$J,9,0),"無")</f>
        <v>無</v>
      </c>
      <c r="Q384" s="342" t="str">
        <f>IFERROR(VLOOKUP($G384,融外自投!$A:$J,8,0),"無")</f>
        <v>無</v>
      </c>
      <c r="R384" s="81" t="str">
        <f>IFERROR(VLOOKUP($G384,融外自投!$A:$J,10,0),"無")</f>
        <v>無</v>
      </c>
      <c r="S384" s="324" t="str">
        <f>IFERROR(VLOOKUP($G384,'321買'!$A:$E,4,0),"'沒有資料'")</f>
        <v>'沒有資料'</v>
      </c>
      <c r="T384" s="186">
        <f>IFERROR(VLOOKUP($G384,基本資料!$A:$J,9,0),"無")</f>
        <v>0</v>
      </c>
      <c r="U384" s="307">
        <f t="shared" si="71"/>
        <v>0</v>
      </c>
      <c r="V384" s="94">
        <f>IFERROR(VLOOKUP($G384,基本資料!$A:$J,10,0),"無")</f>
        <v>-3.67</v>
      </c>
      <c r="W384" s="36">
        <f>RTD("money.excel",,"6492","Price")</f>
        <v>84.5</v>
      </c>
      <c r="X384" s="66"/>
      <c r="Y384" s="15">
        <f t="shared" si="72"/>
        <v>84.5</v>
      </c>
      <c r="Z384" s="154" t="e">
        <f t="shared" si="73"/>
        <v>#DIV/0!</v>
      </c>
      <c r="AA384" s="340">
        <f>IFERROR(VLOOKUP($G384,基本資料!$A:$M,11,0),"無")</f>
        <v>-58.98</v>
      </c>
      <c r="AB384" s="389">
        <f>IFERROR(VLOOKUP($G384,基本資料!$A:$M,12,0),"無")</f>
        <v>27.86</v>
      </c>
      <c r="AC384" s="16" t="s">
        <v>3828</v>
      </c>
      <c r="AF384" s="33">
        <f t="shared" si="74"/>
        <v>0</v>
      </c>
      <c r="AG384" s="43" t="s">
        <v>3829</v>
      </c>
      <c r="AH384" s="66">
        <f t="shared" si="68"/>
        <v>0.52100964015012141</v>
      </c>
      <c r="AI384" s="283">
        <f>RTD("money.excel",,$G384,"PredictVolume")</f>
        <v>708</v>
      </c>
      <c r="AJ384" s="391">
        <f>IFERROR(VLOOKUP($G384,基本資料!$A:$M,13,0),"無")</f>
        <v>1358.9</v>
      </c>
      <c r="AR384" s="245" t="str">
        <f>INDEX(基本資料!N:N,MATCH($G384,基本資料!A:A,0))</f>
        <v>低</v>
      </c>
    </row>
    <row r="385" spans="1:44">
      <c r="A385" s="343">
        <f>IFERROR(VLOOKUP($G385,基本資料!$A:$J,3,0),"無")</f>
        <v>4.66</v>
      </c>
      <c r="B385" s="79">
        <f>IFERROR(VLOOKUP($G385,基本資料!$A:$J,4,0),"無")</f>
        <v>-144</v>
      </c>
      <c r="C385" s="79">
        <f>IFERROR(VLOOKUP($G385,基本資料!$A:$J,5,0),"無")</f>
        <v>-121</v>
      </c>
      <c r="D385" s="79">
        <f>IFERROR(VLOOKUP($G385,基本資料!$A:$J,6,0),"無")</f>
        <v>-21</v>
      </c>
      <c r="E385" s="79">
        <f>IFERROR(VLOOKUP($G385,基本資料!$A:$J,7,0),"無")</f>
        <v>-53</v>
      </c>
      <c r="F385" s="6">
        <f>IFERROR(VLOOKUP($G385,基本資料!$A:$J,8,0),"無")</f>
        <v>-0.66</v>
      </c>
      <c r="G385" s="79">
        <v>6496</v>
      </c>
      <c r="H385" s="8" t="s">
        <v>309</v>
      </c>
      <c r="I385" s="16" t="s">
        <v>3830</v>
      </c>
      <c r="J385" s="8">
        <f>IFERROR(VLOOKUP($G385,今日總結!$A:$AN,39,0),"")</f>
        <v>0</v>
      </c>
      <c r="K385" s="5" t="str">
        <f>IFERROR(VLOOKUP($G385,今日總結!$A:$AN,40,0),"")</f>
        <v>主融</v>
      </c>
      <c r="L385" s="156">
        <f>IFERROR(VLOOKUP($G385,今日總結!$A:$AN,37,0),"")</f>
        <v>0</v>
      </c>
      <c r="M385" s="337">
        <f>IFERROR(VLOOKUP($G385,今日總結!$A:$AN,38,0),"")</f>
        <v>7</v>
      </c>
      <c r="N385" s="240">
        <f t="shared" si="70"/>
        <v>-7</v>
      </c>
      <c r="O385" s="359">
        <f>IFERROR(VLOOKUP($G385,融外自投!$A:$J,7,0),"無")</f>
        <v>1254</v>
      </c>
      <c r="P385" s="79" t="str">
        <f>IFERROR(VLOOKUP($G385,融外自投!$A:$J,9,0),"無")</f>
        <v>無</v>
      </c>
      <c r="Q385" s="342">
        <f>IFERROR(VLOOKUP($G385,融外自投!$A:$J,8,0),"無")</f>
        <v>1300</v>
      </c>
      <c r="R385" s="81" t="str">
        <f>IFERROR(VLOOKUP($G385,融外自投!$A:$J,10,0),"無")</f>
        <v>無</v>
      </c>
      <c r="S385" s="324">
        <f>IFERROR(VLOOKUP($G385,'321買'!$A:$E,4,0),"'沒有資料'")</f>
        <v>1002</v>
      </c>
      <c r="T385" s="186">
        <f>IFERROR(VLOOKUP($G385,基本資料!$A:$J,9,0),"無")</f>
        <v>0</v>
      </c>
      <c r="U385" s="307">
        <f t="shared" si="71"/>
        <v>0</v>
      </c>
      <c r="V385" s="94">
        <f>IFERROR(VLOOKUP($G385,基本資料!$A:$J,10,0),"無")</f>
        <v>-0.34</v>
      </c>
      <c r="W385" s="36">
        <f>RTD("money.excel",,"6496","Price")</f>
        <v>27.05</v>
      </c>
      <c r="X385" s="66"/>
      <c r="Y385" s="15">
        <f t="shared" si="72"/>
        <v>27.05</v>
      </c>
      <c r="Z385" s="3" t="e">
        <f t="shared" si="73"/>
        <v>#DIV/0!</v>
      </c>
      <c r="AA385" s="340">
        <f>IFERROR(VLOOKUP($G385,基本資料!$A:$M,11,0),"無")</f>
        <v>-11.46</v>
      </c>
      <c r="AB385" s="389">
        <f>IFERROR(VLOOKUP($G385,基本資料!$A:$M,12,0),"無")</f>
        <v>11.2</v>
      </c>
      <c r="AC385" s="16" t="s">
        <v>3830</v>
      </c>
      <c r="AF385" s="33">
        <f t="shared" si="74"/>
        <v>0</v>
      </c>
      <c r="AG385" s="43" t="s">
        <v>3831</v>
      </c>
      <c r="AH385" s="66">
        <f t="shared" si="68"/>
        <v>1.3354037267080745</v>
      </c>
      <c r="AI385" s="283">
        <f>RTD("money.excel",,$G385,"PredictVolume")</f>
        <v>43</v>
      </c>
      <c r="AJ385" s="391">
        <f>IFERROR(VLOOKUP($G385,基本資料!$A:$M,13,0),"無")</f>
        <v>32.200000000000003</v>
      </c>
      <c r="AR385" s="245" t="str">
        <f>INDEX(基本資料!N:N,MATCH($G385,基本資料!A:A,0))</f>
        <v>低</v>
      </c>
    </row>
    <row r="386" spans="1:44">
      <c r="A386" s="343">
        <f>IFERROR(VLOOKUP($G386,基本資料!$A:$J,3,0),"無")</f>
        <v>7.32</v>
      </c>
      <c r="B386" s="79">
        <f>IFERROR(VLOOKUP($G386,基本資料!$A:$J,4,0),"無")</f>
        <v>1297</v>
      </c>
      <c r="C386" s="79">
        <f>IFERROR(VLOOKUP($G386,基本資料!$A:$J,5,0),"無")</f>
        <v>-412</v>
      </c>
      <c r="D386" s="79">
        <f>IFERROR(VLOOKUP($G386,基本資料!$A:$J,6,0),"無")</f>
        <v>56</v>
      </c>
      <c r="E386" s="79">
        <f>IFERROR(VLOOKUP($G386,基本資料!$A:$J,7,0),"無")</f>
        <v>78</v>
      </c>
      <c r="F386" s="6">
        <f>IFERROR(VLOOKUP($G386,基本資料!$A:$J,8,0),"無")</f>
        <v>-718.69</v>
      </c>
      <c r="G386" s="79">
        <v>6499</v>
      </c>
      <c r="H386" s="8" t="s">
        <v>309</v>
      </c>
      <c r="I386" s="16" t="s">
        <v>3832</v>
      </c>
      <c r="J386" s="8">
        <f>IFERROR(VLOOKUP($G386,今日總結!$A:$AN,39,0),"")</f>
        <v>0</v>
      </c>
      <c r="K386" s="5">
        <f>IFERROR(VLOOKUP($G386,今日總結!$A:$AN,40,0),"")</f>
        <v>0</v>
      </c>
      <c r="L386" s="156">
        <f>IFERROR(VLOOKUP($G386,今日總結!$A:$AN,37,0),"")</f>
        <v>0</v>
      </c>
      <c r="M386" s="337">
        <f>IFERROR(VLOOKUP($G386,今日總結!$A:$AN,38,0),"")</f>
        <v>0</v>
      </c>
      <c r="N386" s="240">
        <f t="shared" si="70"/>
        <v>0</v>
      </c>
      <c r="O386" s="359">
        <f>IFERROR(VLOOKUP($G386,融外自投!$A:$J,7,0),"無")</f>
        <v>817</v>
      </c>
      <c r="P386" s="79">
        <f>IFERROR(VLOOKUP($G386,融外自投!$A:$J,9,0),"無")</f>
        <v>825</v>
      </c>
      <c r="Q386" s="342">
        <f>IFERROR(VLOOKUP($G386,融外自投!$A:$J,8,0),"無")</f>
        <v>418</v>
      </c>
      <c r="R386" s="81">
        <f>IFERROR(VLOOKUP($G386,融外自投!$A:$J,10,0),"無")</f>
        <v>207</v>
      </c>
      <c r="S386" s="324">
        <f>IFERROR(VLOOKUP($G386,'321買'!$A:$E,4,0),"'沒有資料'")</f>
        <v>801</v>
      </c>
      <c r="T386" s="186">
        <f>IFERROR(VLOOKUP($G386,基本資料!$A:$J,9,0),"無")</f>
        <v>3</v>
      </c>
      <c r="U386" s="307">
        <f t="shared" si="71"/>
        <v>4.4576523031203567E-2</v>
      </c>
      <c r="V386" s="94">
        <f>IFERROR(VLOOKUP($G386,基本資料!$A:$J,10,0),"無")</f>
        <v>28.54</v>
      </c>
      <c r="W386" s="36">
        <f>RTD("money.excel",,"6499","Price")</f>
        <v>67.3</v>
      </c>
      <c r="X386" s="66"/>
      <c r="Y386" s="15">
        <f t="shared" si="72"/>
        <v>67.3</v>
      </c>
      <c r="Z386" s="3" t="e">
        <f t="shared" si="73"/>
        <v>#DIV/0!</v>
      </c>
      <c r="AA386" s="340">
        <f>IFERROR(VLOOKUP($G386,基本資料!$A:$M,11,0),"無")</f>
        <v>-33.369999999999997</v>
      </c>
      <c r="AB386" s="389">
        <f>IFERROR(VLOOKUP($G386,基本資料!$A:$M,12,0),"無")</f>
        <v>14.03</v>
      </c>
      <c r="AC386" s="16" t="s">
        <v>3832</v>
      </c>
      <c r="AF386" s="33">
        <f t="shared" si="74"/>
        <v>0</v>
      </c>
      <c r="AG386" s="43" t="s">
        <v>3833</v>
      </c>
      <c r="AH386" s="66">
        <f t="shared" si="68"/>
        <v>0.32258064516129031</v>
      </c>
      <c r="AI386" s="283">
        <f>RTD("money.excel",,$G386,"PredictVolume")</f>
        <v>91</v>
      </c>
      <c r="AJ386" s="391">
        <f>IFERROR(VLOOKUP($G386,基本資料!$A:$M,13,0),"無")</f>
        <v>282.10000000000002</v>
      </c>
      <c r="AR386" s="245" t="str">
        <f>INDEX(基本資料!N:N,MATCH($G386,基本資料!A:A,0))</f>
        <v>低</v>
      </c>
    </row>
    <row r="387" spans="1:44">
      <c r="A387" s="343">
        <f>IFERROR(VLOOKUP($G387,基本資料!$A:$J,3,0),"無")</f>
        <v>4.5</v>
      </c>
      <c r="B387" s="79">
        <f>IFERROR(VLOOKUP($G387,基本資料!$A:$J,4,0),"無")</f>
        <v>-55</v>
      </c>
      <c r="C387" s="79">
        <f>IFERROR(VLOOKUP($G387,基本資料!$A:$J,5,0),"無")</f>
        <v>58</v>
      </c>
      <c r="D387" s="79">
        <f>IFERROR(VLOOKUP($G387,基本資料!$A:$J,6,0),"無")</f>
        <v>-45</v>
      </c>
      <c r="E387" s="79">
        <f>IFERROR(VLOOKUP($G387,基本資料!$A:$J,7,0),"無")</f>
        <v>-52</v>
      </c>
      <c r="F387" s="6">
        <f>IFERROR(VLOOKUP($G387,基本資料!$A:$J,8,0),"無")</f>
        <v>34.03</v>
      </c>
      <c r="G387" s="79">
        <v>6523</v>
      </c>
      <c r="H387" s="8" t="s">
        <v>309</v>
      </c>
      <c r="I387" s="16" t="s">
        <v>3834</v>
      </c>
      <c r="J387" s="8">
        <f>IFERROR(VLOOKUP($G387,今日總結!$A:$AN,39,0),"")</f>
        <v>0</v>
      </c>
      <c r="K387" s="5">
        <f>IFERROR(VLOOKUP($G387,今日總結!$A:$AN,40,0),"")</f>
        <v>0</v>
      </c>
      <c r="L387" s="156">
        <f>IFERROR(VLOOKUP($G387,今日總結!$A:$AN,37,0),"")</f>
        <v>0</v>
      </c>
      <c r="M387" s="337">
        <f>IFERROR(VLOOKUP($G387,今日總結!$A:$AN,38,0),"")</f>
        <v>0</v>
      </c>
      <c r="N387" s="240">
        <f t="shared" si="70"/>
        <v>0</v>
      </c>
      <c r="O387" s="359">
        <f>IFERROR(VLOOKUP($G387,融外自投!$A:$J,7,0),"無")</f>
        <v>777</v>
      </c>
      <c r="P387" s="79">
        <f>IFERROR(VLOOKUP($G387,融外自投!$A:$J,9,0),"無")</f>
        <v>717</v>
      </c>
      <c r="Q387" s="342">
        <f>IFERROR(VLOOKUP($G387,融外自投!$A:$J,8,0),"無")</f>
        <v>955</v>
      </c>
      <c r="R387" s="81" t="str">
        <f>IFERROR(VLOOKUP($G387,融外自投!$A:$J,10,0),"無")</f>
        <v>無</v>
      </c>
      <c r="S387" s="324">
        <f>IFERROR(VLOOKUP($G387,'321買'!$A:$E,4,0),"'沒有資料'")</f>
        <v>530</v>
      </c>
      <c r="T387" s="186">
        <f>IFERROR(VLOOKUP($G387,基本資料!$A:$J,9,0),"無")</f>
        <v>15.22</v>
      </c>
      <c r="U387" s="307">
        <f t="shared" si="71"/>
        <v>0.19048811013767208</v>
      </c>
      <c r="V387" s="94">
        <f>IFERROR(VLOOKUP($G387,基本資料!$A:$J,10,0),"無")</f>
        <v>6.58</v>
      </c>
      <c r="W387" s="36">
        <f>RTD("money.excel",,"6523","Price")</f>
        <v>79.900000000000006</v>
      </c>
      <c r="X387" s="66"/>
      <c r="Y387" s="15">
        <f t="shared" si="72"/>
        <v>79.900000000000006</v>
      </c>
      <c r="Z387" s="3" t="e">
        <f t="shared" si="73"/>
        <v>#DIV/0!</v>
      </c>
      <c r="AA387" s="340">
        <f>IFERROR(VLOOKUP($G387,基本資料!$A:$M,11,0),"無")</f>
        <v>-47.61</v>
      </c>
      <c r="AB387" s="389">
        <f>IFERROR(VLOOKUP($G387,基本資料!$A:$M,12,0),"無")</f>
        <v>16.52</v>
      </c>
      <c r="AC387" s="16" t="s">
        <v>3834</v>
      </c>
      <c r="AF387" s="33">
        <f t="shared" si="74"/>
        <v>0</v>
      </c>
      <c r="AG387" s="43" t="s">
        <v>2452</v>
      </c>
      <c r="AH387" s="66">
        <f t="shared" si="68"/>
        <v>0.36844213055666802</v>
      </c>
      <c r="AI387" s="283">
        <f>RTD("money.excel",,$G387,"PredictVolume")</f>
        <v>46</v>
      </c>
      <c r="AJ387" s="391">
        <f>IFERROR(VLOOKUP($G387,基本資料!$A:$M,13,0),"無")</f>
        <v>124.85</v>
      </c>
      <c r="AR387" s="245" t="str">
        <f>INDEX(基本資料!N:N,MATCH($G387,基本資料!A:A,0))</f>
        <v>低</v>
      </c>
    </row>
    <row r="388" spans="1:44">
      <c r="A388" s="343">
        <f>IFERROR(VLOOKUP($G388,基本資料!$A:$J,3,0),"無")</f>
        <v>2.42</v>
      </c>
      <c r="B388" s="79">
        <f>IFERROR(VLOOKUP($G388,基本資料!$A:$J,4,0),"無")</f>
        <v>36</v>
      </c>
      <c r="C388" s="79">
        <f>IFERROR(VLOOKUP($G388,基本資料!$A:$J,5,0),"無")</f>
        <v>53</v>
      </c>
      <c r="D388" s="79">
        <f>IFERROR(VLOOKUP($G388,基本資料!$A:$J,6,0),"無")</f>
        <v>43</v>
      </c>
      <c r="E388" s="79">
        <f>IFERROR(VLOOKUP($G388,基本資料!$A:$J,7,0),"無")</f>
        <v>20</v>
      </c>
      <c r="F388" s="6">
        <f>IFERROR(VLOOKUP($G388,基本資料!$A:$J,8,0),"無")</f>
        <v>12.26</v>
      </c>
      <c r="G388" s="79">
        <v>6527</v>
      </c>
      <c r="H388" s="8" t="s">
        <v>309</v>
      </c>
      <c r="I388" s="16" t="s">
        <v>3835</v>
      </c>
      <c r="J388" s="8" t="str">
        <f>IFERROR(VLOOKUP($G388,今日總結!$A:$AN,39,0),"")</f>
        <v/>
      </c>
      <c r="K388" s="5" t="str">
        <f>IFERROR(VLOOKUP($G388,今日總結!$A:$AN,40,0),"")</f>
        <v/>
      </c>
      <c r="L388" s="156" t="str">
        <f>IFERROR(VLOOKUP($G388,今日總結!$A:$AN,37,0),"")</f>
        <v/>
      </c>
      <c r="M388" s="337" t="str">
        <f>IFERROR(VLOOKUP($G388,今日總結!$A:$AN,38,0),"")</f>
        <v/>
      </c>
      <c r="N388" s="240" t="str">
        <f t="shared" si="70"/>
        <v/>
      </c>
      <c r="O388" s="359" t="str">
        <f>IFERROR(VLOOKUP($G388,融外自投!$A:$J,7,0),"無")</f>
        <v>無</v>
      </c>
      <c r="P388" s="79" t="str">
        <f>IFERROR(VLOOKUP($G388,融外自投!$A:$J,9,0),"無")</f>
        <v>無</v>
      </c>
      <c r="Q388" s="342" t="str">
        <f>IFERROR(VLOOKUP($G388,融外自投!$A:$J,8,0),"無")</f>
        <v>無</v>
      </c>
      <c r="R388" s="81" t="str">
        <f>IFERROR(VLOOKUP($G388,融外自投!$A:$J,10,0),"無")</f>
        <v>無</v>
      </c>
      <c r="S388" s="324" t="str">
        <f>IFERROR(VLOOKUP($G388,'321買'!$A:$E,4,0),"'沒有資料'")</f>
        <v>'沒有資料'</v>
      </c>
      <c r="T388" s="186">
        <f>IFERROR(VLOOKUP($G388,基本資料!$A:$J,9,0),"無")</f>
        <v>1.94</v>
      </c>
      <c r="U388" s="307">
        <f t="shared" si="71"/>
        <v>4.1991341991341989E-2</v>
      </c>
      <c r="V388" s="94">
        <f>IFERROR(VLOOKUP($G388,基本資料!$A:$J,10,0),"無")</f>
        <v>3.24</v>
      </c>
      <c r="W388" s="36">
        <f>RTD("money.excel",,"6527","Price")</f>
        <v>46.2</v>
      </c>
      <c r="X388" s="66"/>
      <c r="Y388" s="15">
        <f t="shared" si="72"/>
        <v>46.2</v>
      </c>
      <c r="Z388" s="3" t="e">
        <f t="shared" si="73"/>
        <v>#DIV/0!</v>
      </c>
      <c r="AA388" s="340">
        <f>IFERROR(VLOOKUP($G388,基本資料!$A:$M,11,0),"無")</f>
        <v>-9.41</v>
      </c>
      <c r="AB388" s="389">
        <f>IFERROR(VLOOKUP($G388,基本資料!$A:$M,12,0),"無")</f>
        <v>48.39</v>
      </c>
      <c r="AC388" s="16" t="s">
        <v>3835</v>
      </c>
      <c r="AF388" s="33">
        <f t="shared" si="74"/>
        <v>0</v>
      </c>
      <c r="AG388" s="43" t="s">
        <v>3836</v>
      </c>
      <c r="AH388" s="66">
        <f t="shared" si="68"/>
        <v>0.46511627906976744</v>
      </c>
      <c r="AI388" s="283">
        <f>RTD("money.excel",,$G388,"PredictVolume")</f>
        <v>12</v>
      </c>
      <c r="AJ388" s="391">
        <f>IFERROR(VLOOKUP($G388,基本資料!$A:$M,13,0),"無")</f>
        <v>25.8</v>
      </c>
      <c r="AR388" s="245" t="str">
        <f>INDEX(基本資料!N:N,MATCH($G388,基本資料!A:A,0))</f>
        <v>低</v>
      </c>
    </row>
    <row r="389" spans="1:44">
      <c r="A389" s="343">
        <f>IFERROR(VLOOKUP($G389,基本資料!$A:$J,3,0),"無")</f>
        <v>16.32</v>
      </c>
      <c r="B389" s="79">
        <f>IFERROR(VLOOKUP($G389,基本資料!$A:$J,4,0),"無")</f>
        <v>129</v>
      </c>
      <c r="C389" s="79">
        <f>IFERROR(VLOOKUP($G389,基本資料!$A:$J,5,0),"無")</f>
        <v>-25</v>
      </c>
      <c r="D389" s="79">
        <f>IFERROR(VLOOKUP($G389,基本資料!$A:$J,6,0),"無")</f>
        <v>1673</v>
      </c>
      <c r="E389" s="79">
        <f>IFERROR(VLOOKUP($G389,基本資料!$A:$J,7,0),"無")</f>
        <v>14</v>
      </c>
      <c r="F389" s="6">
        <f>IFERROR(VLOOKUP($G389,基本資料!$A:$J,8,0),"無")</f>
        <v>-2478.27</v>
      </c>
      <c r="G389" s="79">
        <v>6535</v>
      </c>
      <c r="H389" s="8" t="s">
        <v>309</v>
      </c>
      <c r="I389" s="16" t="s">
        <v>623</v>
      </c>
      <c r="J389" s="8" t="str">
        <f>IFERROR(VLOOKUP($G389,今日總結!$A:$AN,39,0),"")</f>
        <v/>
      </c>
      <c r="K389" s="5" t="str">
        <f>IFERROR(VLOOKUP($G389,今日總結!$A:$AN,40,0),"")</f>
        <v/>
      </c>
      <c r="L389" s="156" t="str">
        <f>IFERROR(VLOOKUP($G389,今日總結!$A:$AN,37,0),"")</f>
        <v/>
      </c>
      <c r="M389" s="337" t="str">
        <f>IFERROR(VLOOKUP($G389,今日總結!$A:$AN,38,0),"")</f>
        <v/>
      </c>
      <c r="N389" s="240" t="str">
        <f t="shared" si="70"/>
        <v/>
      </c>
      <c r="O389" s="359" t="str">
        <f>IFERROR(VLOOKUP($G389,融外自投!$A:$J,7,0),"無")</f>
        <v>無</v>
      </c>
      <c r="P389" s="79" t="str">
        <f>IFERROR(VLOOKUP($G389,融外自投!$A:$J,9,0),"無")</f>
        <v>無</v>
      </c>
      <c r="Q389" s="342" t="str">
        <f>IFERROR(VLOOKUP($G389,融外自投!$A:$J,8,0),"無")</f>
        <v>無</v>
      </c>
      <c r="R389" s="81" t="str">
        <f>IFERROR(VLOOKUP($G389,融外自投!$A:$J,10,0),"無")</f>
        <v>無</v>
      </c>
      <c r="S389" s="324" t="str">
        <f>IFERROR(VLOOKUP($G389,'321買'!$A:$E,4,0),"'沒有資料'")</f>
        <v>'沒有資料'</v>
      </c>
      <c r="T389" s="186">
        <f>IFERROR(VLOOKUP($G389,基本資料!$A:$J,9,0),"無")</f>
        <v>0</v>
      </c>
      <c r="U389" s="307">
        <f t="shared" si="71"/>
        <v>0</v>
      </c>
      <c r="V389" s="94">
        <f>IFERROR(VLOOKUP($G389,基本資料!$A:$J,10,0),"無")</f>
        <v>0.64</v>
      </c>
      <c r="W389" s="36">
        <f>RTD("money.excel",,"6535","Price")</f>
        <v>33.700000000000003</v>
      </c>
      <c r="X389" s="66"/>
      <c r="Y389" s="15">
        <f t="shared" si="72"/>
        <v>33.700000000000003</v>
      </c>
      <c r="Z389" s="3" t="e">
        <f t="shared" si="73"/>
        <v>#DIV/0!</v>
      </c>
      <c r="AA389" s="340">
        <f>IFERROR(VLOOKUP($G389,基本資料!$A:$M,11,0),"無")</f>
        <v>-23.23</v>
      </c>
      <c r="AB389" s="389">
        <f>IFERROR(VLOOKUP($G389,基本資料!$A:$M,12,0),"無")</f>
        <v>10.98</v>
      </c>
      <c r="AC389" s="16" t="s">
        <v>3837</v>
      </c>
      <c r="AF389" s="33">
        <f t="shared" si="74"/>
        <v>0</v>
      </c>
      <c r="AG389" s="43" t="s">
        <v>2150</v>
      </c>
      <c r="AH389" s="66">
        <f t="shared" ref="AH389:AH452" si="75">AI389/AJ389</f>
        <v>0.11419753086419752</v>
      </c>
      <c r="AI389" s="283">
        <f>RTD("money.excel",,$G389,"PredictVolume")</f>
        <v>185</v>
      </c>
      <c r="AJ389" s="391">
        <f>IFERROR(VLOOKUP($G389,基本資料!$A:$M,13,0),"無")</f>
        <v>1620</v>
      </c>
      <c r="AR389" s="245" t="str">
        <f>INDEX(基本資料!N:N,MATCH($G389,基本資料!A:A,0))</f>
        <v>低</v>
      </c>
    </row>
    <row r="390" spans="1:44">
      <c r="A390" s="343">
        <f>IFERROR(VLOOKUP($G390,基本資料!$A:$J,3,0),"無")</f>
        <v>35.25</v>
      </c>
      <c r="B390" s="79">
        <f>IFERROR(VLOOKUP($G390,基本資料!$A:$J,4,0),"無")</f>
        <v>26</v>
      </c>
      <c r="C390" s="79">
        <f>IFERROR(VLOOKUP($G390,基本資料!$A:$J,5,0),"無")</f>
        <v>23</v>
      </c>
      <c r="D390" s="79">
        <f>IFERROR(VLOOKUP($G390,基本資料!$A:$J,6,0),"無")</f>
        <v>0</v>
      </c>
      <c r="E390" s="79">
        <f>IFERROR(VLOOKUP($G390,基本資料!$A:$J,7,0),"無")</f>
        <v>0</v>
      </c>
      <c r="F390" s="6">
        <f>IFERROR(VLOOKUP($G390,基本資料!$A:$J,8,0),"無")</f>
        <v>-29581.65</v>
      </c>
      <c r="G390" s="79">
        <v>6541</v>
      </c>
      <c r="H390" s="8" t="s">
        <v>309</v>
      </c>
      <c r="I390" s="22" t="s">
        <v>3838</v>
      </c>
      <c r="J390" s="8" t="str">
        <f>IFERROR(VLOOKUP($G390,今日總結!$A:$AN,39,0),"")</f>
        <v/>
      </c>
      <c r="K390" s="5" t="str">
        <f>IFERROR(VLOOKUP($G390,今日總結!$A:$AN,40,0),"")</f>
        <v/>
      </c>
      <c r="L390" s="156" t="str">
        <f>IFERROR(VLOOKUP($G390,今日總結!$A:$AN,37,0),"")</f>
        <v/>
      </c>
      <c r="M390" s="337" t="str">
        <f>IFERROR(VLOOKUP($G390,今日總結!$A:$AN,38,0),"")</f>
        <v/>
      </c>
      <c r="N390" s="240" t="str">
        <f t="shared" si="70"/>
        <v/>
      </c>
      <c r="O390" s="359" t="str">
        <f>IFERROR(VLOOKUP($G390,融外自投!$A:$J,7,0),"無")</f>
        <v>無</v>
      </c>
      <c r="P390" s="79" t="str">
        <f>IFERROR(VLOOKUP($G390,融外自投!$A:$J,9,0),"無")</f>
        <v>無</v>
      </c>
      <c r="Q390" s="342" t="str">
        <f>IFERROR(VLOOKUP($G390,融外自投!$A:$J,8,0),"無")</f>
        <v>無</v>
      </c>
      <c r="R390" s="81" t="str">
        <f>IFERROR(VLOOKUP($G390,融外自投!$A:$J,10,0),"無")</f>
        <v>無</v>
      </c>
      <c r="S390" s="324" t="str">
        <f>IFERROR(VLOOKUP($G390,'321買'!$A:$E,4,0),"'沒有資料'")</f>
        <v>'沒有資料'</v>
      </c>
      <c r="T390" s="186">
        <f>IFERROR(VLOOKUP($G390,基本資料!$A:$J,9,0),"無")</f>
        <v>0</v>
      </c>
      <c r="U390" s="307">
        <f t="shared" si="71"/>
        <v>0</v>
      </c>
      <c r="V390" s="94">
        <f>IFERROR(VLOOKUP($G390,基本資料!$A:$J,10,0),"無")</f>
        <v>-4.74</v>
      </c>
      <c r="W390" s="36">
        <f>RTD("money.excel",,"6541","Price")</f>
        <v>53.2</v>
      </c>
      <c r="X390" s="66"/>
      <c r="Y390" s="15">
        <f t="shared" si="72"/>
        <v>53.2</v>
      </c>
      <c r="Z390" s="3" t="e">
        <f t="shared" si="73"/>
        <v>#DIV/0!</v>
      </c>
      <c r="AA390" s="340">
        <f>IFERROR(VLOOKUP($G390,基本資料!$A:$M,11,0),"無")</f>
        <v>-34.96</v>
      </c>
      <c r="AB390" s="389">
        <f>IFERROR(VLOOKUP($G390,基本資料!$A:$M,12,0),"無")</f>
        <v>28.35</v>
      </c>
      <c r="AC390" s="22" t="s">
        <v>3838</v>
      </c>
      <c r="AF390" s="33">
        <f t="shared" si="74"/>
        <v>0</v>
      </c>
      <c r="AG390" s="43" t="s">
        <v>2124</v>
      </c>
      <c r="AH390" s="66">
        <f t="shared" si="75"/>
        <v>0.40140548137737175</v>
      </c>
      <c r="AI390" s="283">
        <f>RTD("money.excel",,$G390,"PredictVolume")</f>
        <v>714</v>
      </c>
      <c r="AJ390" s="391">
        <f>IFERROR(VLOOKUP($G390,基本資料!$A:$M,13,0),"無")</f>
        <v>1778.75</v>
      </c>
      <c r="AR390" s="245" t="str">
        <f>INDEX(基本資料!N:N,MATCH($G390,基本資料!A:A,0))</f>
        <v>低</v>
      </c>
    </row>
    <row r="391" spans="1:44">
      <c r="A391" s="343">
        <f>IFERROR(VLOOKUP($G391,基本資料!$A:$J,3,0),"無")</f>
        <v>22.04</v>
      </c>
      <c r="B391" s="79">
        <f>IFERROR(VLOOKUP($G391,基本資料!$A:$J,4,0),"無")</f>
        <v>309</v>
      </c>
      <c r="C391" s="79">
        <f>IFERROR(VLOOKUP($G391,基本資料!$A:$J,5,0),"無")</f>
        <v>226</v>
      </c>
      <c r="D391" s="79">
        <f>IFERROR(VLOOKUP($G391,基本資料!$A:$J,6,0),"無")</f>
        <v>-90</v>
      </c>
      <c r="E391" s="79">
        <f>IFERROR(VLOOKUP($G391,基本資料!$A:$J,7,0),"無")</f>
        <v>0</v>
      </c>
      <c r="F391" s="6">
        <f>IFERROR(VLOOKUP($G391,基本資料!$A:$J,8,0),"無")</f>
        <v>29.37</v>
      </c>
      <c r="G391" s="79">
        <v>6547</v>
      </c>
      <c r="H391" s="8" t="s">
        <v>309</v>
      </c>
      <c r="I391" s="16" t="s">
        <v>3839</v>
      </c>
      <c r="J391" s="8" t="str">
        <f>IFERROR(VLOOKUP($G391,今日總結!$A:$AN,39,0),"")</f>
        <v/>
      </c>
      <c r="K391" s="5" t="str">
        <f>IFERROR(VLOOKUP($G391,今日總結!$A:$AN,40,0),"")</f>
        <v/>
      </c>
      <c r="L391" s="156" t="str">
        <f>IFERROR(VLOOKUP($G391,今日總結!$A:$AN,37,0),"")</f>
        <v/>
      </c>
      <c r="M391" s="337" t="str">
        <f>IFERROR(VLOOKUP($G391,今日總結!$A:$AN,38,0),"")</f>
        <v/>
      </c>
      <c r="N391" s="240" t="str">
        <f t="shared" si="70"/>
        <v/>
      </c>
      <c r="O391" s="359" t="str">
        <f>IFERROR(VLOOKUP($G391,融外自投!$A:$J,7,0),"無")</f>
        <v>無</v>
      </c>
      <c r="P391" s="79" t="str">
        <f>IFERROR(VLOOKUP($G391,融外自投!$A:$J,9,0),"無")</f>
        <v>無</v>
      </c>
      <c r="Q391" s="342" t="str">
        <f>IFERROR(VLOOKUP($G391,融外自投!$A:$J,8,0),"無")</f>
        <v>無</v>
      </c>
      <c r="R391" s="81" t="str">
        <f>IFERROR(VLOOKUP($G391,融外自投!$A:$J,10,0),"無")</f>
        <v>無</v>
      </c>
      <c r="S391" s="324" t="str">
        <f>IFERROR(VLOOKUP($G391,'321買'!$A:$E,4,0),"'沒有資料'")</f>
        <v>'沒有資料'</v>
      </c>
      <c r="T391" s="186">
        <f>IFERROR(VLOOKUP($G391,基本資料!$A:$J,9,0),"無")</f>
        <v>5</v>
      </c>
      <c r="U391" s="307">
        <f t="shared" si="71"/>
        <v>2.1367521367521368E-2</v>
      </c>
      <c r="V391" s="94">
        <f>IFERROR(VLOOKUP($G391,基本資料!$A:$J,10,0),"無")</f>
        <v>6.65</v>
      </c>
      <c r="W391" s="36">
        <f>RTD("money.excel",,"6547","Price")</f>
        <v>234</v>
      </c>
      <c r="X391" s="66"/>
      <c r="Y391" s="15">
        <f t="shared" si="72"/>
        <v>234</v>
      </c>
      <c r="Z391" s="3" t="e">
        <f t="shared" si="73"/>
        <v>#DIV/0!</v>
      </c>
      <c r="AA391" s="340">
        <f>IFERROR(VLOOKUP($G391,基本資料!$A:$M,11,0),"無")</f>
        <v>-37.270000000000003</v>
      </c>
      <c r="AB391" s="389">
        <f>IFERROR(VLOOKUP($G391,基本資料!$A:$M,12,0),"無")</f>
        <v>35.04</v>
      </c>
      <c r="AC391" s="16" t="s">
        <v>3839</v>
      </c>
      <c r="AF391" s="33">
        <f t="shared" si="74"/>
        <v>0</v>
      </c>
      <c r="AG391" s="43" t="s">
        <v>3840</v>
      </c>
      <c r="AH391" s="66">
        <f t="shared" si="75"/>
        <v>3.0545467183345787</v>
      </c>
      <c r="AI391" s="283">
        <f>RTD("money.excel",,$G391,"PredictVolume")</f>
        <v>8789</v>
      </c>
      <c r="AJ391" s="391">
        <f>IFERROR(VLOOKUP($G391,基本資料!$A:$M,13,0),"無")</f>
        <v>2877.35</v>
      </c>
      <c r="AR391" s="245" t="str">
        <f>INDEX(基本資料!N:N,MATCH($G391,基本資料!A:A,0))</f>
        <v>低</v>
      </c>
    </row>
    <row r="392" spans="1:44">
      <c r="A392" s="343">
        <f>IFERROR(VLOOKUP($G392,基本資料!$A:$J,3,0),"無")</f>
        <v>3.32</v>
      </c>
      <c r="B392" s="79">
        <f>IFERROR(VLOOKUP($G392,基本資料!$A:$J,4,0),"無")</f>
        <v>-23</v>
      </c>
      <c r="C392" s="79">
        <f>IFERROR(VLOOKUP($G392,基本資料!$A:$J,5,0),"無")</f>
        <v>-53</v>
      </c>
      <c r="D392" s="79">
        <f>IFERROR(VLOOKUP($G392,基本資料!$A:$J,6,0),"無")</f>
        <v>-25</v>
      </c>
      <c r="E392" s="79">
        <f>IFERROR(VLOOKUP($G392,基本資料!$A:$J,7,0),"無")</f>
        <v>73</v>
      </c>
      <c r="F392" s="6">
        <f>IFERROR(VLOOKUP($G392,基本資料!$A:$J,8,0),"無")</f>
        <v>6.2</v>
      </c>
      <c r="G392" s="79">
        <v>6569</v>
      </c>
      <c r="H392" s="8" t="s">
        <v>309</v>
      </c>
      <c r="I392" s="16" t="s">
        <v>3841</v>
      </c>
      <c r="J392" s="8" t="str">
        <f>IFERROR(VLOOKUP($G392,今日總結!$A:$AN,39,0),"")</f>
        <v/>
      </c>
      <c r="K392" s="5" t="str">
        <f>IFERROR(VLOOKUP($G392,今日總結!$A:$AN,40,0),"")</f>
        <v/>
      </c>
      <c r="L392" s="156" t="str">
        <f>IFERROR(VLOOKUP($G392,今日總結!$A:$AN,37,0),"")</f>
        <v/>
      </c>
      <c r="M392" s="337" t="str">
        <f>IFERROR(VLOOKUP($G392,今日總結!$A:$AN,38,0),"")</f>
        <v/>
      </c>
      <c r="N392" s="240" t="str">
        <f t="shared" si="70"/>
        <v/>
      </c>
      <c r="O392" s="359" t="str">
        <f>IFERROR(VLOOKUP($G392,融外自投!$A:$J,7,0),"無")</f>
        <v>無</v>
      </c>
      <c r="P392" s="79" t="str">
        <f>IFERROR(VLOOKUP($G392,融外自投!$A:$J,9,0),"無")</f>
        <v>無</v>
      </c>
      <c r="Q392" s="342" t="str">
        <f>IFERROR(VLOOKUP($G392,融外自投!$A:$J,8,0),"無")</f>
        <v>無</v>
      </c>
      <c r="R392" s="81" t="str">
        <f>IFERROR(VLOOKUP($G392,融外自投!$A:$J,10,0),"無")</f>
        <v>無</v>
      </c>
      <c r="S392" s="324" t="str">
        <f>IFERROR(VLOOKUP($G392,'321買'!$A:$E,4,0),"'沒有資料'")</f>
        <v>'沒有資料'</v>
      </c>
      <c r="T392" s="186">
        <f>IFERROR(VLOOKUP($G392,基本資料!$A:$J,9,0),"無")</f>
        <v>4</v>
      </c>
      <c r="U392" s="307">
        <f t="shared" si="71"/>
        <v>3.9603960396039604E-2</v>
      </c>
      <c r="V392" s="94">
        <f>IFERROR(VLOOKUP($G392,基本資料!$A:$J,10,0),"無")</f>
        <v>4.22</v>
      </c>
      <c r="W392" s="36">
        <f>RTD("money.excel",,"6569","Price")</f>
        <v>101</v>
      </c>
      <c r="X392" s="66"/>
      <c r="Y392" s="15">
        <f t="shared" si="72"/>
        <v>101</v>
      </c>
      <c r="Z392" s="3" t="e">
        <f t="shared" si="73"/>
        <v>#DIV/0!</v>
      </c>
      <c r="AA392" s="340">
        <f>IFERROR(VLOOKUP($G392,基本資料!$A:$M,11,0),"無")</f>
        <v>-26.28</v>
      </c>
      <c r="AB392" s="389">
        <f>IFERROR(VLOOKUP($G392,基本資料!$A:$M,12,0),"無")</f>
        <v>32.35</v>
      </c>
      <c r="AC392" s="16" t="s">
        <v>3841</v>
      </c>
      <c r="AF392" s="33">
        <f t="shared" si="74"/>
        <v>0</v>
      </c>
      <c r="AG392" s="43" t="s">
        <v>3842</v>
      </c>
      <c r="AH392" s="66">
        <f t="shared" si="75"/>
        <v>0.24442846872753415</v>
      </c>
      <c r="AI392" s="283">
        <f>RTD("money.excel",,$G392,"PredictVolume")</f>
        <v>17</v>
      </c>
      <c r="AJ392" s="391">
        <f>IFERROR(VLOOKUP($G392,基本資料!$A:$M,13,0),"無")</f>
        <v>69.55</v>
      </c>
      <c r="AR392" s="245" t="str">
        <f>INDEX(基本資料!N:N,MATCH($G392,基本資料!A:A,0))</f>
        <v>低</v>
      </c>
    </row>
    <row r="393" spans="1:44">
      <c r="A393" s="343">
        <f>IFERROR(VLOOKUP($G393,基本資料!$A:$J,3,0),"無")</f>
        <v>2.19</v>
      </c>
      <c r="B393" s="79">
        <f>IFERROR(VLOOKUP($G393,基本資料!$A:$J,4,0),"無")</f>
        <v>-68</v>
      </c>
      <c r="C393" s="79">
        <f>IFERROR(VLOOKUP($G393,基本資料!$A:$J,5,0),"無")</f>
        <v>-107</v>
      </c>
      <c r="D393" s="79">
        <f>IFERROR(VLOOKUP($G393,基本資料!$A:$J,6,0),"無")</f>
        <v>10</v>
      </c>
      <c r="E393" s="79">
        <f>IFERROR(VLOOKUP($G393,基本資料!$A:$J,7,0),"無")</f>
        <v>-7</v>
      </c>
      <c r="F393" s="6">
        <f>IFERROR(VLOOKUP($G393,基本資料!$A:$J,8,0),"無")</f>
        <v>-0.71</v>
      </c>
      <c r="G393" s="79">
        <v>6574</v>
      </c>
      <c r="H393" s="8" t="s">
        <v>309</v>
      </c>
      <c r="I393" s="16" t="s">
        <v>624</v>
      </c>
      <c r="J393" s="8" t="str">
        <f>IFERROR(VLOOKUP($G393,今日總結!$A:$AN,39,0),"")</f>
        <v/>
      </c>
      <c r="K393" s="5" t="str">
        <f>IFERROR(VLOOKUP($G393,今日總結!$A:$AN,40,0),"")</f>
        <v/>
      </c>
      <c r="L393" s="156" t="str">
        <f>IFERROR(VLOOKUP($G393,今日總結!$A:$AN,37,0),"")</f>
        <v/>
      </c>
      <c r="M393" s="337" t="str">
        <f>IFERROR(VLOOKUP($G393,今日總結!$A:$AN,38,0),"")</f>
        <v/>
      </c>
      <c r="N393" s="240" t="str">
        <f t="shared" si="70"/>
        <v/>
      </c>
      <c r="O393" s="359" t="str">
        <f>IFERROR(VLOOKUP($G393,融外自投!$A:$J,7,0),"無")</f>
        <v>無</v>
      </c>
      <c r="P393" s="79" t="str">
        <f>IFERROR(VLOOKUP($G393,融外自投!$A:$J,9,0),"無")</f>
        <v>無</v>
      </c>
      <c r="Q393" s="342" t="str">
        <f>IFERROR(VLOOKUP($G393,融外自投!$A:$J,8,0),"無")</f>
        <v>無</v>
      </c>
      <c r="R393" s="81" t="str">
        <f>IFERROR(VLOOKUP($G393,融外自投!$A:$J,10,0),"無")</f>
        <v>無</v>
      </c>
      <c r="S393" s="324" t="str">
        <f>IFERROR(VLOOKUP($G393,'321買'!$A:$E,4,0),"'沒有資料'")</f>
        <v>'沒有資料'</v>
      </c>
      <c r="T393" s="186">
        <f>IFERROR(VLOOKUP($G393,基本資料!$A:$J,9,0),"無")</f>
        <v>1.1399999999999999</v>
      </c>
      <c r="U393" s="307" t="e">
        <f t="shared" si="71"/>
        <v>#VALUE!</v>
      </c>
      <c r="V393" s="94">
        <f>IFERROR(VLOOKUP($G393,基本資料!$A:$J,10,0),"無")</f>
        <v>0.63</v>
      </c>
      <c r="W393" s="36" t="str">
        <f>RTD("money.excel",,"6574","Price")</f>
        <v>無資料</v>
      </c>
      <c r="X393" s="66"/>
      <c r="Y393" s="15" t="e">
        <f t="shared" si="72"/>
        <v>#VALUE!</v>
      </c>
      <c r="Z393" s="3" t="e">
        <f t="shared" si="73"/>
        <v>#VALUE!</v>
      </c>
      <c r="AA393" s="340">
        <f>IFERROR(VLOOKUP($G393,基本資料!$A:$M,11,0),"無")</f>
        <v>-17.309999999999999</v>
      </c>
      <c r="AB393" s="389">
        <f>IFERROR(VLOOKUP($G393,基本資料!$A:$M,12,0),"無")</f>
        <v>44.65</v>
      </c>
      <c r="AC393" s="16" t="s">
        <v>624</v>
      </c>
      <c r="AF393" s="33">
        <f t="shared" si="74"/>
        <v>0</v>
      </c>
      <c r="AG393" s="43" t="s">
        <v>3843</v>
      </c>
      <c r="AH393" s="66">
        <f t="shared" si="75"/>
        <v>0</v>
      </c>
      <c r="AI393" s="283">
        <f>RTD("money.excel",,$G393,"PredictVolume")</f>
        <v>0</v>
      </c>
      <c r="AJ393" s="391">
        <f>IFERROR(VLOOKUP($G393,基本資料!$A:$M,13,0),"無")</f>
        <v>4.55</v>
      </c>
      <c r="AR393" s="245" t="str">
        <f>INDEX(基本資料!N:N,MATCH($G393,基本資料!A:A,0))</f>
        <v>中</v>
      </c>
    </row>
    <row r="394" spans="1:44">
      <c r="A394" s="343">
        <f>IFERROR(VLOOKUP($G394,基本資料!$A:$J,3,0),"無")</f>
        <v>11.8</v>
      </c>
      <c r="B394" s="79">
        <f>IFERROR(VLOOKUP($G394,基本資料!$A:$J,4,0),"無")</f>
        <v>-11</v>
      </c>
      <c r="C394" s="79">
        <f>IFERROR(VLOOKUP($G394,基本資料!$A:$J,5,0),"無")</f>
        <v>-11</v>
      </c>
      <c r="D394" s="79">
        <f>IFERROR(VLOOKUP($G394,基本資料!$A:$J,6,0),"無")</f>
        <v>143</v>
      </c>
      <c r="E394" s="79">
        <f>IFERROR(VLOOKUP($G394,基本資料!$A:$J,7,0),"無")</f>
        <v>176333</v>
      </c>
      <c r="F394" s="6">
        <f>IFERROR(VLOOKUP($G394,基本資料!$A:$J,8,0),"無")</f>
        <v>-238.3</v>
      </c>
      <c r="G394" s="79">
        <v>6576</v>
      </c>
      <c r="H394" s="8" t="s">
        <v>309</v>
      </c>
      <c r="I394" s="16" t="s">
        <v>3844</v>
      </c>
      <c r="J394" s="8" t="str">
        <f>IFERROR(VLOOKUP($G394,今日總結!$A:$AN,39,0),"")</f>
        <v/>
      </c>
      <c r="K394" s="5" t="str">
        <f>IFERROR(VLOOKUP($G394,今日總結!$A:$AN,40,0),"")</f>
        <v/>
      </c>
      <c r="L394" s="156" t="str">
        <f>IFERROR(VLOOKUP($G394,今日總結!$A:$AN,37,0),"")</f>
        <v/>
      </c>
      <c r="M394" s="337" t="str">
        <f>IFERROR(VLOOKUP($G394,今日總結!$A:$AN,38,0),"")</f>
        <v/>
      </c>
      <c r="N394" s="240" t="str">
        <f t="shared" si="70"/>
        <v/>
      </c>
      <c r="O394" s="359" t="str">
        <f>IFERROR(VLOOKUP($G394,融外自投!$A:$J,7,0),"無")</f>
        <v>無</v>
      </c>
      <c r="P394" s="79" t="str">
        <f>IFERROR(VLOOKUP($G394,融外自投!$A:$J,9,0),"無")</f>
        <v>無</v>
      </c>
      <c r="Q394" s="342" t="str">
        <f>IFERROR(VLOOKUP($G394,融外自投!$A:$J,8,0),"無")</f>
        <v>無</v>
      </c>
      <c r="R394" s="81" t="str">
        <f>IFERROR(VLOOKUP($G394,融外自投!$A:$J,10,0),"無")</f>
        <v>無</v>
      </c>
      <c r="S394" s="324" t="str">
        <f>IFERROR(VLOOKUP($G394,'321買'!$A:$E,4,0),"'沒有資料'")</f>
        <v>'沒有資料'</v>
      </c>
      <c r="T394" s="186">
        <f>IFERROR(VLOOKUP($G394,基本資料!$A:$J,9,0),"無")</f>
        <v>0</v>
      </c>
      <c r="U394" s="307">
        <f t="shared" si="71"/>
        <v>0</v>
      </c>
      <c r="V394" s="94">
        <f>IFERROR(VLOOKUP($G394,基本資料!$A:$J,10,0),"無")</f>
        <v>-4.8499999999999996</v>
      </c>
      <c r="W394" s="36">
        <f>RTD("money.excel",,"6576","Price")</f>
        <v>112.5</v>
      </c>
      <c r="X394" s="66"/>
      <c r="Y394" s="15">
        <f t="shared" si="72"/>
        <v>112.5</v>
      </c>
      <c r="Z394" s="3" t="e">
        <f t="shared" si="73"/>
        <v>#DIV/0!</v>
      </c>
      <c r="AA394" s="340">
        <f>IFERROR(VLOOKUP($G394,基本資料!$A:$M,11,0),"無")</f>
        <v>-20.21</v>
      </c>
      <c r="AB394" s="389">
        <f>IFERROR(VLOOKUP($G394,基本資料!$A:$M,12,0),"無")</f>
        <v>18.37</v>
      </c>
      <c r="AC394" s="16" t="s">
        <v>3844</v>
      </c>
      <c r="AF394" s="33">
        <f t="shared" si="74"/>
        <v>0</v>
      </c>
      <c r="AG394" s="43" t="s">
        <v>3772</v>
      </c>
      <c r="AH394" s="66">
        <f t="shared" si="75"/>
        <v>0.39000215470803706</v>
      </c>
      <c r="AI394" s="283">
        <f>RTD("money.excel",,$G394,"PredictVolume")</f>
        <v>181</v>
      </c>
      <c r="AJ394" s="391">
        <f>IFERROR(VLOOKUP($G394,基本資料!$A:$M,13,0),"無")</f>
        <v>464.1</v>
      </c>
      <c r="AR394" s="245" t="str">
        <f>INDEX(基本資料!N:N,MATCH($G394,基本資料!A:A,0))</f>
        <v>中</v>
      </c>
    </row>
    <row r="395" spans="1:44">
      <c r="A395" s="343">
        <f>IFERROR(VLOOKUP($G395,基本資料!$A:$J,3,0),"無")</f>
        <v>30.44</v>
      </c>
      <c r="B395" s="79">
        <f>IFERROR(VLOOKUP($G395,基本資料!$A:$J,4,0),"無")</f>
        <v>95</v>
      </c>
      <c r="C395" s="79">
        <f>IFERROR(VLOOKUP($G395,基本資料!$A:$J,5,0),"無")</f>
        <v>94</v>
      </c>
      <c r="D395" s="79">
        <f>IFERROR(VLOOKUP($G395,基本資料!$A:$J,6,0),"無")</f>
        <v>46</v>
      </c>
      <c r="E395" s="79">
        <f>IFERROR(VLOOKUP($G395,基本資料!$A:$J,7,0),"無")</f>
        <v>-5</v>
      </c>
      <c r="F395" s="6">
        <f>IFERROR(VLOOKUP($G395,基本資料!$A:$J,8,0),"無")</f>
        <v>-3.44</v>
      </c>
      <c r="G395" s="79">
        <v>6589</v>
      </c>
      <c r="H395" s="8" t="s">
        <v>309</v>
      </c>
      <c r="I395" s="16" t="s">
        <v>3845</v>
      </c>
      <c r="J395" s="8" t="str">
        <f>IFERROR(VLOOKUP($G395,今日總結!$A:$AN,39,0),"")</f>
        <v/>
      </c>
      <c r="K395" s="5" t="str">
        <f>IFERROR(VLOOKUP($G395,今日總結!$A:$AN,40,0),"")</f>
        <v/>
      </c>
      <c r="L395" s="156" t="str">
        <f>IFERROR(VLOOKUP($G395,今日總結!$A:$AN,37,0),"")</f>
        <v/>
      </c>
      <c r="M395" s="337" t="str">
        <f>IFERROR(VLOOKUP($G395,今日總結!$A:$AN,38,0),"")</f>
        <v/>
      </c>
      <c r="N395" s="240" t="str">
        <f t="shared" si="70"/>
        <v/>
      </c>
      <c r="O395" s="359" t="str">
        <f>IFERROR(VLOOKUP($G395,融外自投!$A:$J,7,0),"無")</f>
        <v>無</v>
      </c>
      <c r="P395" s="79" t="str">
        <f>IFERROR(VLOOKUP($G395,融外自投!$A:$J,9,0),"無")</f>
        <v>無</v>
      </c>
      <c r="Q395" s="342" t="str">
        <f>IFERROR(VLOOKUP($G395,融外自投!$A:$J,8,0),"無")</f>
        <v>無</v>
      </c>
      <c r="R395" s="81" t="str">
        <f>IFERROR(VLOOKUP($G395,融外自投!$A:$J,10,0),"無")</f>
        <v>無</v>
      </c>
      <c r="S395" s="324" t="str">
        <f>IFERROR(VLOOKUP($G395,'321買'!$A:$E,4,0),"'沒有資料'")</f>
        <v>'沒有資料'</v>
      </c>
      <c r="T395" s="186">
        <f>IFERROR(VLOOKUP($G395,基本資料!$A:$J,9,0),"無")</f>
        <v>0</v>
      </c>
      <c r="U395" s="307">
        <f t="shared" si="71"/>
        <v>0</v>
      </c>
      <c r="V395" s="94">
        <f>IFERROR(VLOOKUP($G395,基本資料!$A:$J,10,0),"無")</f>
        <v>-0.18</v>
      </c>
      <c r="W395" s="36">
        <f>RTD("money.excel",,"6589","Price")</f>
        <v>83.7</v>
      </c>
      <c r="X395" s="66"/>
      <c r="Y395" s="15">
        <f t="shared" si="72"/>
        <v>83.7</v>
      </c>
      <c r="Z395" s="3" t="e">
        <f t="shared" si="73"/>
        <v>#DIV/0!</v>
      </c>
      <c r="AA395" s="340">
        <f>IFERROR(VLOOKUP($G395,基本資料!$A:$M,11,0),"無")</f>
        <v>-53.88</v>
      </c>
      <c r="AB395" s="389">
        <f>IFERROR(VLOOKUP($G395,基本資料!$A:$M,12,0),"無")</f>
        <v>24.15</v>
      </c>
      <c r="AC395" s="16" t="s">
        <v>3845</v>
      </c>
      <c r="AF395" s="33">
        <f t="shared" si="74"/>
        <v>0</v>
      </c>
      <c r="AG395" s="43" t="s">
        <v>2453</v>
      </c>
      <c r="AH395" s="66">
        <f t="shared" si="75"/>
        <v>2.2154026011983046</v>
      </c>
      <c r="AI395" s="283">
        <f>RTD("money.excel",,$G395,"PredictVolume")</f>
        <v>2274</v>
      </c>
      <c r="AJ395" s="391">
        <f>IFERROR(VLOOKUP($G395,基本資料!$A:$M,13,0),"無")</f>
        <v>1026.45</v>
      </c>
      <c r="AR395" s="245" t="str">
        <f>INDEX(基本資料!N:N,MATCH($G395,基本資料!A:A,0))</f>
        <v>低</v>
      </c>
    </row>
    <row r="396" spans="1:44">
      <c r="A396" s="343">
        <f>IFERROR(VLOOKUP($G396,基本資料!$A:$J,3,0),"無")</f>
        <v>8.17</v>
      </c>
      <c r="B396" s="79">
        <f>IFERROR(VLOOKUP($G396,基本資料!$A:$J,4,0),"無")</f>
        <v>-59</v>
      </c>
      <c r="C396" s="79">
        <f>IFERROR(VLOOKUP($G396,基本資料!$A:$J,5,0),"無")</f>
        <v>-23</v>
      </c>
      <c r="D396" s="79">
        <f>IFERROR(VLOOKUP($G396,基本資料!$A:$J,6,0),"無")</f>
        <v>54</v>
      </c>
      <c r="E396" s="79">
        <f>IFERROR(VLOOKUP($G396,基本資料!$A:$J,7,0),"無")</f>
        <v>232</v>
      </c>
      <c r="F396" s="6">
        <f>IFERROR(VLOOKUP($G396,基本資料!$A:$J,8,0),"無")</f>
        <v>-51.55</v>
      </c>
      <c r="G396" s="79">
        <v>6598</v>
      </c>
      <c r="H396" s="8" t="s">
        <v>309</v>
      </c>
      <c r="I396" s="22" t="s">
        <v>3846</v>
      </c>
      <c r="J396" s="8" t="str">
        <f>IFERROR(VLOOKUP($G396,今日總結!$A:$AN,39,0),"")</f>
        <v>券</v>
      </c>
      <c r="K396" s="5">
        <f>IFERROR(VLOOKUP($G396,今日總結!$A:$AN,40,0),"")</f>
        <v>0</v>
      </c>
      <c r="L396" s="156">
        <f>IFERROR(VLOOKUP($G396,今日總結!$A:$AN,37,0),"")</f>
        <v>1</v>
      </c>
      <c r="M396" s="337">
        <f>IFERROR(VLOOKUP($G396,今日總結!$A:$AN,38,0),"")</f>
        <v>0</v>
      </c>
      <c r="N396" s="240">
        <f t="shared" ref="N396:N414" si="76">IFERROR(L396-M396,"")</f>
        <v>1</v>
      </c>
      <c r="O396" s="359">
        <f>IFERROR(VLOOKUP($G396,融外自投!$A:$J,7,0),"無")</f>
        <v>585</v>
      </c>
      <c r="P396" s="79">
        <f>IFERROR(VLOOKUP($G396,融外自投!$A:$J,9,0),"無")</f>
        <v>383</v>
      </c>
      <c r="Q396" s="342">
        <f>IFERROR(VLOOKUP($G396,融外自投!$A:$J,8,0),"無")</f>
        <v>144</v>
      </c>
      <c r="R396" s="81" t="str">
        <f>IFERROR(VLOOKUP($G396,融外自投!$A:$J,10,0),"無")</f>
        <v>無</v>
      </c>
      <c r="S396" s="324">
        <f>IFERROR(VLOOKUP($G396,'321買'!$A:$E,4,0),"'沒有資料'")</f>
        <v>465</v>
      </c>
      <c r="T396" s="186">
        <f>IFERROR(VLOOKUP($G396,基本資料!$A:$J,9,0),"無")</f>
        <v>0</v>
      </c>
      <c r="U396" s="307">
        <f t="shared" si="71"/>
        <v>0</v>
      </c>
      <c r="V396" s="94">
        <f>IFERROR(VLOOKUP($G396,基本資料!$A:$J,10,0),"無")</f>
        <v>-2.02</v>
      </c>
      <c r="W396" s="36">
        <f>RTD("money.excel",,"6598","Price")</f>
        <v>35.1</v>
      </c>
      <c r="X396" s="66"/>
      <c r="Y396" s="15">
        <f t="shared" si="72"/>
        <v>35.1</v>
      </c>
      <c r="Z396" s="3" t="e">
        <f t="shared" si="73"/>
        <v>#DIV/0!</v>
      </c>
      <c r="AA396" s="340">
        <f>IFERROR(VLOOKUP($G396,基本資料!$A:$M,11,0),"無")</f>
        <v>-42.17</v>
      </c>
      <c r="AB396" s="389">
        <f>IFERROR(VLOOKUP($G396,基本資料!$A:$M,12,0),"無")</f>
        <v>28.01</v>
      </c>
      <c r="AC396" s="22" t="s">
        <v>3846</v>
      </c>
      <c r="AF396" s="33">
        <f t="shared" si="74"/>
        <v>0</v>
      </c>
      <c r="AG396" s="43" t="s">
        <v>1920</v>
      </c>
      <c r="AH396" s="66">
        <f t="shared" si="75"/>
        <v>0.24179823748462434</v>
      </c>
      <c r="AI396" s="283">
        <f>RTD("money.excel",,$G396,"PredictVolume")</f>
        <v>1435</v>
      </c>
      <c r="AJ396" s="391">
        <f>IFERROR(VLOOKUP($G396,基本資料!$A:$M,13,0),"無")</f>
        <v>5934.7</v>
      </c>
      <c r="AR396" s="245" t="str">
        <f>INDEX(基本資料!N:N,MATCH($G396,基本資料!A:A,0))</f>
        <v>低</v>
      </c>
    </row>
    <row r="397" spans="1:44">
      <c r="A397" s="343">
        <f>IFERROR(VLOOKUP($G397,基本資料!$A:$J,3,0),"無")</f>
        <v>3.39</v>
      </c>
      <c r="B397" s="79">
        <f>IFERROR(VLOOKUP($G397,基本資料!$A:$J,4,0),"無")</f>
        <v>1</v>
      </c>
      <c r="C397" s="79">
        <f>IFERROR(VLOOKUP($G397,基本資料!$A:$J,5,0),"無")</f>
        <v>11</v>
      </c>
      <c r="D397" s="79">
        <f>IFERROR(VLOOKUP($G397,基本資料!$A:$J,6,0),"無")</f>
        <v>-15</v>
      </c>
      <c r="E397" s="79">
        <f>IFERROR(VLOOKUP($G397,基本資料!$A:$J,7,0),"無")</f>
        <v>15</v>
      </c>
      <c r="F397" s="6">
        <f>IFERROR(VLOOKUP($G397,基本資料!$A:$J,8,0),"無")</f>
        <v>22.3</v>
      </c>
      <c r="G397" s="79">
        <v>6612</v>
      </c>
      <c r="H397" s="8" t="s">
        <v>309</v>
      </c>
      <c r="I397" s="16" t="s">
        <v>3847</v>
      </c>
      <c r="J397" s="8">
        <f>IFERROR(VLOOKUP($G397,今日總結!$A:$AN,39,0),"")</f>
        <v>0</v>
      </c>
      <c r="K397" s="5">
        <f>IFERROR(VLOOKUP($G397,今日總結!$A:$AN,40,0),"")</f>
        <v>0</v>
      </c>
      <c r="L397" s="156">
        <f>IFERROR(VLOOKUP($G397,今日總結!$A:$AN,37,0),"")</f>
        <v>0</v>
      </c>
      <c r="M397" s="337">
        <f>IFERROR(VLOOKUP($G397,今日總結!$A:$AN,38,0),"")</f>
        <v>0</v>
      </c>
      <c r="N397" s="240">
        <f t="shared" si="76"/>
        <v>0</v>
      </c>
      <c r="O397" s="359">
        <f>IFERROR(VLOOKUP($G397,融外自投!$A:$J,7,0),"無")</f>
        <v>1007</v>
      </c>
      <c r="P397" s="79">
        <f>IFERROR(VLOOKUP($G397,融外自投!$A:$J,9,0),"無")</f>
        <v>442</v>
      </c>
      <c r="Q397" s="342">
        <f>IFERROR(VLOOKUP($G397,融外自投!$A:$J,8,0),"無")</f>
        <v>181</v>
      </c>
      <c r="R397" s="81">
        <f>IFERROR(VLOOKUP($G397,融外自投!$A:$J,10,0),"無")</f>
        <v>300</v>
      </c>
      <c r="S397" s="324">
        <f>IFERROR(VLOOKUP($G397,'321買'!$A:$E,4,0),"'沒有資料'")</f>
        <v>801</v>
      </c>
      <c r="T397" s="186">
        <f>IFERROR(VLOOKUP($G397,基本資料!$A:$J,9,0),"無")</f>
        <v>0.5</v>
      </c>
      <c r="U397" s="307">
        <f t="shared" si="71"/>
        <v>6.4599483204134363E-3</v>
      </c>
      <c r="V397" s="94">
        <f>IFERROR(VLOOKUP($G397,基本資料!$A:$J,10,0),"無")</f>
        <v>1.74</v>
      </c>
      <c r="W397" s="36">
        <f>RTD("money.excel",,"6612","Price")</f>
        <v>77.400000000000006</v>
      </c>
      <c r="X397" s="66"/>
      <c r="Y397" s="15">
        <f t="shared" si="72"/>
        <v>77.400000000000006</v>
      </c>
      <c r="Z397" s="3" t="e">
        <f t="shared" si="73"/>
        <v>#DIV/0!</v>
      </c>
      <c r="AA397" s="340">
        <f>IFERROR(VLOOKUP($G397,基本資料!$A:$M,11,0),"無")</f>
        <v>-24.85</v>
      </c>
      <c r="AB397" s="389">
        <f>IFERROR(VLOOKUP($G397,基本資料!$A:$M,12,0),"無")</f>
        <v>28.43</v>
      </c>
      <c r="AC397" s="16" t="s">
        <v>3847</v>
      </c>
      <c r="AF397" s="33">
        <f t="shared" si="74"/>
        <v>0</v>
      </c>
      <c r="AG397" s="43" t="s">
        <v>3848</v>
      </c>
      <c r="AH397" s="66">
        <f t="shared" si="75"/>
        <v>0.37439161362785472</v>
      </c>
      <c r="AI397" s="283">
        <f>RTD("money.excel",,$G397,"PredictVolume")</f>
        <v>50</v>
      </c>
      <c r="AJ397" s="391">
        <f>IFERROR(VLOOKUP($G397,基本資料!$A:$M,13,0),"無")</f>
        <v>133.55000000000001</v>
      </c>
      <c r="AR397" s="245" t="str">
        <f>INDEX(基本資料!N:N,MATCH($G397,基本資料!A:A,0))</f>
        <v>中</v>
      </c>
    </row>
    <row r="398" spans="1:44">
      <c r="A398" s="343">
        <f>IFERROR(VLOOKUP($G398,基本資料!$A:$J,3,0),"無")</f>
        <v>2.13</v>
      </c>
      <c r="B398" s="79">
        <f>IFERROR(VLOOKUP($G398,基本資料!$A:$J,4,0),"無")</f>
        <v>65</v>
      </c>
      <c r="C398" s="79">
        <f>IFERROR(VLOOKUP($G398,基本資料!$A:$J,5,0),"無")</f>
        <v>68</v>
      </c>
      <c r="D398" s="79">
        <f>IFERROR(VLOOKUP($G398,基本資料!$A:$J,6,0),"無")</f>
        <v>-8</v>
      </c>
      <c r="E398" s="79">
        <f>IFERROR(VLOOKUP($G398,基本資料!$A:$J,7,0),"無")</f>
        <v>7</v>
      </c>
      <c r="F398" s="6">
        <f>IFERROR(VLOOKUP($G398,基本資料!$A:$J,8,0),"無")</f>
        <v>6.93</v>
      </c>
      <c r="G398" s="79">
        <v>6615</v>
      </c>
      <c r="H398" s="8" t="s">
        <v>309</v>
      </c>
      <c r="I398" s="16" t="s">
        <v>3849</v>
      </c>
      <c r="J398" s="8" t="str">
        <f>IFERROR(VLOOKUP($G398,今日總結!$A:$AN,39,0),"")</f>
        <v/>
      </c>
      <c r="K398" s="5" t="str">
        <f>IFERROR(VLOOKUP($G398,今日總結!$A:$AN,40,0),"")</f>
        <v/>
      </c>
      <c r="L398" s="156" t="str">
        <f>IFERROR(VLOOKUP($G398,今日總結!$A:$AN,37,0),"")</f>
        <v/>
      </c>
      <c r="M398" s="337" t="str">
        <f>IFERROR(VLOOKUP($G398,今日總結!$A:$AN,38,0),"")</f>
        <v/>
      </c>
      <c r="N398" s="240" t="str">
        <f t="shared" si="76"/>
        <v/>
      </c>
      <c r="O398" s="359" t="str">
        <f>IFERROR(VLOOKUP($G398,融外自投!$A:$J,7,0),"無")</f>
        <v>無</v>
      </c>
      <c r="P398" s="79" t="str">
        <f>IFERROR(VLOOKUP($G398,融外自投!$A:$J,9,0),"無")</f>
        <v>無</v>
      </c>
      <c r="Q398" s="342" t="str">
        <f>IFERROR(VLOOKUP($G398,融外自投!$A:$J,8,0),"無")</f>
        <v>無</v>
      </c>
      <c r="R398" s="81" t="str">
        <f>IFERROR(VLOOKUP($G398,融外自投!$A:$J,10,0),"無")</f>
        <v>無</v>
      </c>
      <c r="S398" s="324" t="str">
        <f>IFERROR(VLOOKUP($G398,'321買'!$A:$E,4,0),"'沒有資料'")</f>
        <v>'沒有資料'</v>
      </c>
      <c r="T398" s="186">
        <f>IFERROR(VLOOKUP($G398,基本資料!$A:$J,9,0),"無")</f>
        <v>2</v>
      </c>
      <c r="U398" s="307">
        <f t="shared" si="71"/>
        <v>4.5146726862302484E-2</v>
      </c>
      <c r="V398" s="94">
        <f>IFERROR(VLOOKUP($G398,基本資料!$A:$J,10,0),"無")</f>
        <v>2.68</v>
      </c>
      <c r="W398" s="36">
        <f>RTD("money.excel",,"6615","Price")</f>
        <v>44.3</v>
      </c>
      <c r="X398" s="66"/>
      <c r="Y398" s="15">
        <f t="shared" si="72"/>
        <v>44.3</v>
      </c>
      <c r="Z398" s="3" t="e">
        <f t="shared" si="73"/>
        <v>#DIV/0!</v>
      </c>
      <c r="AA398" s="340">
        <f>IFERROR(VLOOKUP($G398,基本資料!$A:$M,11,0),"無")</f>
        <v>-20.61</v>
      </c>
      <c r="AB398" s="389">
        <f>IFERROR(VLOOKUP($G398,基本資料!$A:$M,12,0),"無")</f>
        <v>34.619999999999997</v>
      </c>
      <c r="AC398" s="16" t="s">
        <v>3849</v>
      </c>
      <c r="AF398" s="33">
        <f t="shared" si="74"/>
        <v>0</v>
      </c>
      <c r="AG398" s="43" t="s">
        <v>3850</v>
      </c>
      <c r="AH398" s="66">
        <f t="shared" si="75"/>
        <v>0.3380281690140845</v>
      </c>
      <c r="AI398" s="283">
        <f>RTD("money.excel",,$G398,"PredictVolume")</f>
        <v>6</v>
      </c>
      <c r="AJ398" s="391">
        <f>IFERROR(VLOOKUP($G398,基本資料!$A:$M,13,0),"無")</f>
        <v>17.75</v>
      </c>
      <c r="AR398" s="245" t="str">
        <f>INDEX(基本資料!N:N,MATCH($G398,基本資料!A:A,0))</f>
        <v>低</v>
      </c>
    </row>
    <row r="399" spans="1:44">
      <c r="A399" s="343">
        <f>IFERROR(VLOOKUP($G399,基本資料!$A:$J,3,0),"無")</f>
        <v>4.2</v>
      </c>
      <c r="B399" s="79">
        <f>IFERROR(VLOOKUP($G399,基本資料!$A:$J,4,0),"無")</f>
        <v>14</v>
      </c>
      <c r="C399" s="79">
        <f>IFERROR(VLOOKUP($G399,基本資料!$A:$J,5,0),"無")</f>
        <v>12</v>
      </c>
      <c r="D399" s="79">
        <f>IFERROR(VLOOKUP($G399,基本資料!$A:$J,6,0),"無")</f>
        <v>-20</v>
      </c>
      <c r="E399" s="79">
        <f>IFERROR(VLOOKUP($G399,基本資料!$A:$J,7,0),"無")</f>
        <v>106</v>
      </c>
      <c r="F399" s="6">
        <f>IFERROR(VLOOKUP($G399,基本資料!$A:$J,8,0),"無")</f>
        <v>-136.1</v>
      </c>
      <c r="G399" s="79">
        <v>6649</v>
      </c>
      <c r="H399" s="8" t="s">
        <v>309</v>
      </c>
      <c r="I399" s="16" t="s">
        <v>3851</v>
      </c>
      <c r="J399" s="8" t="str">
        <f>IFERROR(VLOOKUP($G399,今日總結!$A:$AN,39,0),"")</f>
        <v/>
      </c>
      <c r="K399" s="5" t="str">
        <f>IFERROR(VLOOKUP($G399,今日總結!$A:$AN,40,0),"")</f>
        <v/>
      </c>
      <c r="L399" s="156" t="str">
        <f>IFERROR(VLOOKUP($G399,今日總結!$A:$AN,37,0),"")</f>
        <v/>
      </c>
      <c r="M399" s="337" t="str">
        <f>IFERROR(VLOOKUP($G399,今日總結!$A:$AN,38,0),"")</f>
        <v/>
      </c>
      <c r="N399" s="240" t="str">
        <f t="shared" si="76"/>
        <v/>
      </c>
      <c r="O399" s="359" t="str">
        <f>IFERROR(VLOOKUP($G399,融外自投!$A:$J,7,0),"無")</f>
        <v>無</v>
      </c>
      <c r="P399" s="79" t="str">
        <f>IFERROR(VLOOKUP($G399,融外自投!$A:$J,9,0),"無")</f>
        <v>無</v>
      </c>
      <c r="Q399" s="342" t="str">
        <f>IFERROR(VLOOKUP($G399,融外自投!$A:$J,8,0),"無")</f>
        <v>無</v>
      </c>
      <c r="R399" s="81" t="str">
        <f>IFERROR(VLOOKUP($G399,融外自投!$A:$J,10,0),"無")</f>
        <v>無</v>
      </c>
      <c r="S399" s="324" t="str">
        <f>IFERROR(VLOOKUP($G399,'321買'!$A:$E,4,0),"'沒有資料'")</f>
        <v>'沒有資料'</v>
      </c>
      <c r="T399" s="186">
        <f>IFERROR(VLOOKUP($G399,基本資料!$A:$J,9,0),"無")</f>
        <v>0</v>
      </c>
      <c r="U399" s="307">
        <f t="shared" si="71"/>
        <v>0</v>
      </c>
      <c r="V399" s="94">
        <f>IFERROR(VLOOKUP($G399,基本資料!$A:$J,10,0),"無")</f>
        <v>-1.44</v>
      </c>
      <c r="W399" s="36">
        <f>RTD("money.excel",,"6649","Price")</f>
        <v>23</v>
      </c>
      <c r="X399" s="66"/>
      <c r="Y399" s="15">
        <f t="shared" si="72"/>
        <v>23</v>
      </c>
      <c r="Z399" s="3" t="e">
        <f t="shared" si="73"/>
        <v>#DIV/0!</v>
      </c>
      <c r="AA399" s="340">
        <f>IFERROR(VLOOKUP($G399,基本資料!$A:$M,11,0),"無")</f>
        <v>-23.59</v>
      </c>
      <c r="AB399" s="389">
        <f>IFERROR(VLOOKUP($G399,基本資料!$A:$M,12,0),"無")</f>
        <v>36.39</v>
      </c>
      <c r="AC399" s="16" t="s">
        <v>3851</v>
      </c>
      <c r="AF399" s="33">
        <f t="shared" si="74"/>
        <v>0</v>
      </c>
      <c r="AG399" s="43" t="s">
        <v>3852</v>
      </c>
      <c r="AH399" s="66">
        <f t="shared" si="75"/>
        <v>0.90625</v>
      </c>
      <c r="AI399" s="283">
        <f>RTD("money.excel",,$G399,"PredictVolume")</f>
        <v>29</v>
      </c>
      <c r="AJ399" s="391">
        <f>IFERROR(VLOOKUP($G399,基本資料!$A:$M,13,0),"無")</f>
        <v>32</v>
      </c>
      <c r="AR399" s="245" t="str">
        <f>INDEX(基本資料!N:N,MATCH($G399,基本資料!A:A,0))</f>
        <v>低</v>
      </c>
    </row>
    <row r="400" spans="1:44">
      <c r="A400" s="343">
        <f>IFERROR(VLOOKUP($G400,基本資料!$A:$J,3,0),"無")</f>
        <v>2.33</v>
      </c>
      <c r="B400" s="79">
        <f>IFERROR(VLOOKUP($G400,基本資料!$A:$J,4,0),"無")</f>
        <v>-53</v>
      </c>
      <c r="C400" s="79">
        <f>IFERROR(VLOOKUP($G400,基本資料!$A:$J,5,0),"無")</f>
        <v>-59</v>
      </c>
      <c r="D400" s="79">
        <f>IFERROR(VLOOKUP($G400,基本資料!$A:$J,6,0),"無")</f>
        <v>26</v>
      </c>
      <c r="E400" s="79">
        <f>IFERROR(VLOOKUP($G400,基本資料!$A:$J,7,0),"無")</f>
        <v>60</v>
      </c>
      <c r="F400" s="6">
        <f>IFERROR(VLOOKUP($G400,基本資料!$A:$J,8,0),"無")</f>
        <v>4.6399999999999997</v>
      </c>
      <c r="G400" s="79">
        <v>6661</v>
      </c>
      <c r="H400" s="8" t="s">
        <v>309</v>
      </c>
      <c r="I400" s="16" t="s">
        <v>3853</v>
      </c>
      <c r="J400" s="8" t="str">
        <f>IFERROR(VLOOKUP($G400,今日總結!$A:$AN,39,0),"")</f>
        <v/>
      </c>
      <c r="K400" s="5" t="str">
        <f>IFERROR(VLOOKUP($G400,今日總結!$A:$AN,40,0),"")</f>
        <v/>
      </c>
      <c r="L400" s="156" t="str">
        <f>IFERROR(VLOOKUP($G400,今日總結!$A:$AN,37,0),"")</f>
        <v/>
      </c>
      <c r="M400" s="337" t="str">
        <f>IFERROR(VLOOKUP($G400,今日總結!$A:$AN,38,0),"")</f>
        <v/>
      </c>
      <c r="N400" s="240" t="str">
        <f t="shared" si="76"/>
        <v/>
      </c>
      <c r="O400" s="359" t="str">
        <f>IFERROR(VLOOKUP($G400,融外自投!$A:$J,7,0),"無")</f>
        <v>無</v>
      </c>
      <c r="P400" s="79" t="str">
        <f>IFERROR(VLOOKUP($G400,融外自投!$A:$J,9,0),"無")</f>
        <v>無</v>
      </c>
      <c r="Q400" s="342" t="str">
        <f>IFERROR(VLOOKUP($G400,融外自投!$A:$J,8,0),"無")</f>
        <v>無</v>
      </c>
      <c r="R400" s="81" t="str">
        <f>IFERROR(VLOOKUP($G400,融外自投!$A:$J,10,0),"無")</f>
        <v>無</v>
      </c>
      <c r="S400" s="324" t="str">
        <f>IFERROR(VLOOKUP($G400,'321買'!$A:$E,4,0),"'沒有資料'")</f>
        <v>'沒有資料'</v>
      </c>
      <c r="T400" s="186">
        <f>IFERROR(VLOOKUP($G400,基本資料!$A:$J,9,0),"無")</f>
        <v>0.48</v>
      </c>
      <c r="U400" s="307">
        <f t="shared" si="71"/>
        <v>2.2018348623853209E-2</v>
      </c>
      <c r="V400" s="94">
        <f>IFERROR(VLOOKUP($G400,基本資料!$A:$J,10,0),"無")</f>
        <v>0.59</v>
      </c>
      <c r="W400" s="36">
        <f>RTD("money.excel",,"6661","Price")</f>
        <v>21.8</v>
      </c>
      <c r="X400" s="66"/>
      <c r="Y400" s="15">
        <f t="shared" si="72"/>
        <v>21.8</v>
      </c>
      <c r="Z400" s="3" t="e">
        <f t="shared" si="73"/>
        <v>#DIV/0!</v>
      </c>
      <c r="AA400" s="340">
        <f>IFERROR(VLOOKUP($G400,基本資料!$A:$M,11,0),"無")</f>
        <v>-19.850000000000001</v>
      </c>
      <c r="AB400" s="389">
        <f>IFERROR(VLOOKUP($G400,基本資料!$A:$M,12,0),"無")</f>
        <v>36.75</v>
      </c>
      <c r="AC400" s="16" t="s">
        <v>3853</v>
      </c>
      <c r="AF400" s="33">
        <f t="shared" si="74"/>
        <v>0</v>
      </c>
      <c r="AG400" s="43" t="s">
        <v>2288</v>
      </c>
      <c r="AH400" s="66">
        <f t="shared" si="75"/>
        <v>0.60836501901140683</v>
      </c>
      <c r="AI400" s="283">
        <f>RTD("money.excel",,$G400,"PredictVolume")</f>
        <v>8</v>
      </c>
      <c r="AJ400" s="391">
        <f>IFERROR(VLOOKUP($G400,基本資料!$A:$M,13,0),"無")</f>
        <v>13.15</v>
      </c>
      <c r="AR400" s="245" t="str">
        <f>INDEX(基本資料!N:N,MATCH($G400,基本資料!A:A,0))</f>
        <v>低</v>
      </c>
    </row>
    <row r="401" spans="1:44">
      <c r="A401" s="343">
        <f>IFERROR(VLOOKUP($G401,基本資料!$A:$J,3,0),"無")</f>
        <v>2.56</v>
      </c>
      <c r="B401" s="79">
        <f>IFERROR(VLOOKUP($G401,基本資料!$A:$J,4,0),"無")</f>
        <v>-28</v>
      </c>
      <c r="C401" s="79">
        <f>IFERROR(VLOOKUP($G401,基本資料!$A:$J,5,0),"無")</f>
        <v>-30</v>
      </c>
      <c r="D401" s="79">
        <f>IFERROR(VLOOKUP($G401,基本資料!$A:$J,6,0),"無")</f>
        <v>-28</v>
      </c>
      <c r="E401" s="79">
        <f>IFERROR(VLOOKUP($G401,基本資料!$A:$J,7,0),"無")</f>
        <v>-37</v>
      </c>
      <c r="F401" s="6">
        <f>IFERROR(VLOOKUP($G401,基本資料!$A:$J,8,0),"無")</f>
        <v>23.68</v>
      </c>
      <c r="G401" s="79">
        <v>6662</v>
      </c>
      <c r="H401" s="8" t="s">
        <v>309</v>
      </c>
      <c r="I401" s="16" t="s">
        <v>3854</v>
      </c>
      <c r="J401" s="8" t="str">
        <f>IFERROR(VLOOKUP($G401,今日總結!$A:$AN,39,0),"")</f>
        <v/>
      </c>
      <c r="K401" s="5" t="str">
        <f>IFERROR(VLOOKUP($G401,今日總結!$A:$AN,40,0),"")</f>
        <v/>
      </c>
      <c r="L401" s="156" t="str">
        <f>IFERROR(VLOOKUP($G401,今日總結!$A:$AN,37,0),"")</f>
        <v/>
      </c>
      <c r="M401" s="337" t="str">
        <f>IFERROR(VLOOKUP($G401,今日總結!$A:$AN,38,0),"")</f>
        <v/>
      </c>
      <c r="N401" s="240" t="str">
        <f t="shared" si="76"/>
        <v/>
      </c>
      <c r="O401" s="359" t="str">
        <f>IFERROR(VLOOKUP($G401,融外自投!$A:$J,7,0),"無")</f>
        <v>無</v>
      </c>
      <c r="P401" s="79" t="str">
        <f>IFERROR(VLOOKUP($G401,融外自投!$A:$J,9,0),"無")</f>
        <v>無</v>
      </c>
      <c r="Q401" s="342" t="str">
        <f>IFERROR(VLOOKUP($G401,融外自投!$A:$J,8,0),"無")</f>
        <v>無</v>
      </c>
      <c r="R401" s="81" t="str">
        <f>IFERROR(VLOOKUP($G401,融外自投!$A:$J,10,0),"無")</f>
        <v>無</v>
      </c>
      <c r="S401" s="324" t="str">
        <f>IFERROR(VLOOKUP($G401,'321買'!$A:$E,4,0),"'沒有資料'")</f>
        <v>'沒有資料'</v>
      </c>
      <c r="T401" s="186">
        <f>IFERROR(VLOOKUP($G401,基本資料!$A:$J,9,0),"無")</f>
        <v>1.6</v>
      </c>
      <c r="U401" s="307">
        <f t="shared" si="71"/>
        <v>3.611738148984199E-2</v>
      </c>
      <c r="V401" s="94">
        <f>IFERROR(VLOOKUP($G401,基本資料!$A:$J,10,0),"無")</f>
        <v>1.76</v>
      </c>
      <c r="W401" s="36">
        <f>RTD("money.excel",,"6615","Price")</f>
        <v>44.3</v>
      </c>
      <c r="X401" s="66"/>
      <c r="Y401" s="15">
        <f t="shared" si="72"/>
        <v>44.3</v>
      </c>
      <c r="Z401" s="3" t="e">
        <f t="shared" si="73"/>
        <v>#DIV/0!</v>
      </c>
      <c r="AA401" s="340">
        <f>IFERROR(VLOOKUP($G401,基本資料!$A:$M,11,0),"無")</f>
        <v>-19.149999999999999</v>
      </c>
      <c r="AB401" s="389">
        <f>IFERROR(VLOOKUP($G401,基本資料!$A:$M,12,0),"無")</f>
        <v>20.420000000000002</v>
      </c>
      <c r="AC401" s="16" t="s">
        <v>3854</v>
      </c>
      <c r="AF401" s="33">
        <f t="shared" si="74"/>
        <v>0</v>
      </c>
      <c r="AG401" s="43" t="s">
        <v>3855</v>
      </c>
      <c r="AH401" s="66">
        <f t="shared" si="75"/>
        <v>0.10175763182238669</v>
      </c>
      <c r="AI401" s="283">
        <f>RTD("money.excel",,$G401,"PredictVolume")</f>
        <v>11</v>
      </c>
      <c r="AJ401" s="391">
        <f>IFERROR(VLOOKUP($G401,基本資料!$A:$M,13,0),"無")</f>
        <v>108.1</v>
      </c>
      <c r="AR401" s="245" t="str">
        <f>INDEX(基本資料!N:N,MATCH($G401,基本資料!A:A,0))</f>
        <v>低</v>
      </c>
    </row>
    <row r="402" spans="1:44">
      <c r="A402" s="343">
        <f>IFERROR(VLOOKUP($G402,基本資料!$A:$J,3,0),"無")</f>
        <v>4.7300000000000004</v>
      </c>
      <c r="B402" s="79">
        <f>IFERROR(VLOOKUP($G402,基本資料!$A:$J,4,0),"無")</f>
        <v>-33</v>
      </c>
      <c r="C402" s="79">
        <f>IFERROR(VLOOKUP($G402,基本資料!$A:$J,5,0),"無")</f>
        <v>-10</v>
      </c>
      <c r="D402" s="79">
        <f>IFERROR(VLOOKUP($G402,基本資料!$A:$J,6,0),"無")</f>
        <v>4</v>
      </c>
      <c r="E402" s="79">
        <f>IFERROR(VLOOKUP($G402,基本資料!$A:$J,7,0),"無")</f>
        <v>-6</v>
      </c>
      <c r="F402" s="6">
        <f>IFERROR(VLOOKUP($G402,基本資料!$A:$J,8,0),"無")</f>
        <v>5.8</v>
      </c>
      <c r="G402" s="79">
        <v>6666</v>
      </c>
      <c r="H402" s="8" t="s">
        <v>309</v>
      </c>
      <c r="I402" s="22" t="s">
        <v>3856</v>
      </c>
      <c r="J402" s="8">
        <f>IFERROR(VLOOKUP($G402,今日總結!$A:$AN,39,0),"")</f>
        <v>0</v>
      </c>
      <c r="K402" s="5">
        <f>IFERROR(VLOOKUP($G402,今日總結!$A:$AN,40,0),"")</f>
        <v>0</v>
      </c>
      <c r="L402" s="156">
        <f>IFERROR(VLOOKUP($G402,今日總結!$A:$AN,37,0),"")</f>
        <v>0</v>
      </c>
      <c r="M402" s="337">
        <f>IFERROR(VLOOKUP($G402,今日總結!$A:$AN,38,0),"")</f>
        <v>0</v>
      </c>
      <c r="N402" s="240">
        <f t="shared" si="76"/>
        <v>0</v>
      </c>
      <c r="O402" s="359">
        <f>IFERROR(VLOOKUP($G402,融外自投!$A:$J,7,0),"無")</f>
        <v>1187</v>
      </c>
      <c r="P402" s="79">
        <f>IFERROR(VLOOKUP($G402,融外自投!$A:$J,9,0),"無")</f>
        <v>990</v>
      </c>
      <c r="Q402" s="342">
        <f>IFERROR(VLOOKUP($G402,融外自投!$A:$J,8,0),"無")</f>
        <v>9</v>
      </c>
      <c r="R402" s="81" t="str">
        <f>IFERROR(VLOOKUP($G402,融外自投!$A:$J,10,0),"無")</f>
        <v>無</v>
      </c>
      <c r="S402" s="324">
        <f>IFERROR(VLOOKUP($G402,'321買'!$A:$E,4,0),"'沒有資料'")</f>
        <v>1002</v>
      </c>
      <c r="T402" s="186">
        <f>IFERROR(VLOOKUP($G402,基本資料!$A:$J,9,0),"無")</f>
        <v>1.5</v>
      </c>
      <c r="U402" s="307">
        <f t="shared" si="71"/>
        <v>2.9013539651837523E-2</v>
      </c>
      <c r="V402" s="94">
        <f>IFERROR(VLOOKUP($G402,基本資料!$A:$J,10,0),"無")</f>
        <v>1.48</v>
      </c>
      <c r="W402" s="36">
        <f>RTD("money.excel",,"6666","Price")</f>
        <v>51.7</v>
      </c>
      <c r="X402" s="66"/>
      <c r="Y402" s="15">
        <f t="shared" si="72"/>
        <v>51.7</v>
      </c>
      <c r="Z402" s="3" t="e">
        <f t="shared" si="73"/>
        <v>#DIV/0!</v>
      </c>
      <c r="AA402" s="340">
        <f>IFERROR(VLOOKUP($G402,基本資料!$A:$M,11,0),"無")</f>
        <v>-37.64</v>
      </c>
      <c r="AB402" s="389">
        <f>IFERROR(VLOOKUP($G402,基本資料!$A:$M,12,0),"無")</f>
        <v>12.84</v>
      </c>
      <c r="AC402" s="22" t="s">
        <v>3856</v>
      </c>
      <c r="AF402" s="33">
        <f t="shared" si="74"/>
        <v>0</v>
      </c>
      <c r="AG402" s="43" t="s">
        <v>3857</v>
      </c>
      <c r="AH402" s="66">
        <f t="shared" si="75"/>
        <v>1.2687813021702838</v>
      </c>
      <c r="AI402" s="283">
        <f>RTD("money.excel",,$G402,"PredictVolume")</f>
        <v>38</v>
      </c>
      <c r="AJ402" s="391">
        <f>IFERROR(VLOOKUP($G402,基本資料!$A:$M,13,0),"無")</f>
        <v>29.95</v>
      </c>
      <c r="AR402" s="245" t="str">
        <f>INDEX(基本資料!N:N,MATCH($G402,基本資料!A:A,0))</f>
        <v>低</v>
      </c>
    </row>
    <row r="403" spans="1:44">
      <c r="A403" s="343">
        <f>IFERROR(VLOOKUP($G403,基本資料!$A:$J,3,0),"無")</f>
        <v>2.08</v>
      </c>
      <c r="B403" s="79">
        <f>IFERROR(VLOOKUP($G403,基本資料!$A:$J,4,0),"無")</f>
        <v>17</v>
      </c>
      <c r="C403" s="79">
        <f>IFERROR(VLOOKUP($G403,基本資料!$A:$J,5,0),"無")</f>
        <v>18</v>
      </c>
      <c r="D403" s="79">
        <f>IFERROR(VLOOKUP($G403,基本資料!$A:$J,6,0),"無")</f>
        <v>2</v>
      </c>
      <c r="E403" s="79">
        <f>IFERROR(VLOOKUP($G403,基本資料!$A:$J,7,0),"無")</f>
        <v>26</v>
      </c>
      <c r="F403" s="6">
        <f>IFERROR(VLOOKUP($G403,基本資料!$A:$J,8,0),"無")</f>
        <v>13.83</v>
      </c>
      <c r="G403" s="79">
        <v>6703</v>
      </c>
      <c r="H403" s="8" t="s">
        <v>309</v>
      </c>
      <c r="I403" s="16" t="s">
        <v>3858</v>
      </c>
      <c r="J403" s="8" t="str">
        <f>IFERROR(VLOOKUP($G403,今日總結!$A:$AN,39,0),"")</f>
        <v/>
      </c>
      <c r="K403" s="5" t="str">
        <f>IFERROR(VLOOKUP($G403,今日總結!$A:$AN,40,0),"")</f>
        <v/>
      </c>
      <c r="L403" s="156" t="str">
        <f>IFERROR(VLOOKUP($G403,今日總結!$A:$AN,37,0),"")</f>
        <v/>
      </c>
      <c r="M403" s="337" t="str">
        <f>IFERROR(VLOOKUP($G403,今日總結!$A:$AN,38,0),"")</f>
        <v/>
      </c>
      <c r="N403" s="240" t="str">
        <f t="shared" si="76"/>
        <v/>
      </c>
      <c r="O403" s="359" t="str">
        <f>IFERROR(VLOOKUP($G403,融外自投!$A:$J,7,0),"無")</f>
        <v>無</v>
      </c>
      <c r="P403" s="79" t="str">
        <f>IFERROR(VLOOKUP($G403,融外自投!$A:$J,9,0),"無")</f>
        <v>無</v>
      </c>
      <c r="Q403" s="342" t="str">
        <f>IFERROR(VLOOKUP($G403,融外自投!$A:$J,8,0),"無")</f>
        <v>無</v>
      </c>
      <c r="R403" s="81" t="str">
        <f>IFERROR(VLOOKUP($G403,融外自投!$A:$J,10,0),"無")</f>
        <v>無</v>
      </c>
      <c r="S403" s="324" t="str">
        <f>IFERROR(VLOOKUP($G403,'321買'!$A:$E,4,0),"'沒有資料'")</f>
        <v>'沒有資料'</v>
      </c>
      <c r="T403" s="186">
        <f>IFERROR(VLOOKUP($G403,基本資料!$A:$J,9,0),"無")</f>
        <v>8.5</v>
      </c>
      <c r="U403" s="307">
        <f t="shared" si="71"/>
        <v>8.5255767301905719E-2</v>
      </c>
      <c r="V403" s="94">
        <f>IFERROR(VLOOKUP($G403,基本資料!$A:$J,10,0),"無")</f>
        <v>6.84</v>
      </c>
      <c r="W403" s="36">
        <f>RTD("money.excel",,"6703","Price")</f>
        <v>99.7</v>
      </c>
      <c r="X403" s="66"/>
      <c r="Y403" s="15">
        <f t="shared" si="72"/>
        <v>99.7</v>
      </c>
      <c r="Z403" s="3" t="e">
        <f t="shared" si="73"/>
        <v>#DIV/0!</v>
      </c>
      <c r="AA403" s="340">
        <f>IFERROR(VLOOKUP($G403,基本資料!$A:$M,11,0),"無")</f>
        <v>-14.79</v>
      </c>
      <c r="AB403" s="389">
        <f>IFERROR(VLOOKUP($G403,基本資料!$A:$M,12,0),"無")</f>
        <v>56.01</v>
      </c>
      <c r="AC403" s="16" t="s">
        <v>3858</v>
      </c>
      <c r="AF403" s="33">
        <f t="shared" si="74"/>
        <v>0</v>
      </c>
      <c r="AG403" s="43" t="s">
        <v>2038</v>
      </c>
      <c r="AH403" s="66">
        <f t="shared" si="75"/>
        <v>0.41988950276243092</v>
      </c>
      <c r="AI403" s="283">
        <f>RTD("money.excel",,$G403,"PredictVolume")</f>
        <v>19</v>
      </c>
      <c r="AJ403" s="391">
        <f>IFERROR(VLOOKUP($G403,基本資料!$A:$M,13,0),"無")</f>
        <v>45.25</v>
      </c>
      <c r="AR403" s="245" t="str">
        <f>INDEX(基本資料!N:N,MATCH($G403,基本資料!A:A,0))</f>
        <v>中</v>
      </c>
    </row>
    <row r="404" spans="1:44">
      <c r="A404" s="343">
        <f>IFERROR(VLOOKUP($G404,基本資料!$A:$J,3,0),"無")</f>
        <v>6.18</v>
      </c>
      <c r="B404" s="79">
        <f>IFERROR(VLOOKUP($G404,基本資料!$A:$J,4,0),"無")</f>
        <v>445</v>
      </c>
      <c r="C404" s="79">
        <f>IFERROR(VLOOKUP($G404,基本資料!$A:$J,5,0),"無")</f>
        <v>173</v>
      </c>
      <c r="D404" s="79">
        <f>IFERROR(VLOOKUP($G404,基本資料!$A:$J,6,0),"無")</f>
        <v>14</v>
      </c>
      <c r="E404" s="79">
        <f>IFERROR(VLOOKUP($G404,基本資料!$A:$J,7,0),"無")</f>
        <v>83</v>
      </c>
      <c r="F404" s="6">
        <f>IFERROR(VLOOKUP($G404,基本資料!$A:$J,8,0),"無")</f>
        <v>26.48</v>
      </c>
      <c r="G404" s="79">
        <v>6712</v>
      </c>
      <c r="H404" s="8" t="s">
        <v>309</v>
      </c>
      <c r="I404" s="16" t="s">
        <v>3859</v>
      </c>
      <c r="J404" s="8" t="str">
        <f>IFERROR(VLOOKUP($G404,今日總結!$A:$AN,39,0),"")</f>
        <v>融</v>
      </c>
      <c r="K404" s="5" t="str">
        <f>IFERROR(VLOOKUP($G404,今日總結!$A:$AN,40,0),"")</f>
        <v>自</v>
      </c>
      <c r="L404" s="156">
        <f>IFERROR(VLOOKUP($G404,今日總結!$A:$AN,37,0),"")</f>
        <v>3</v>
      </c>
      <c r="M404" s="337">
        <f>IFERROR(VLOOKUP($G404,今日總結!$A:$AN,38,0),"")</f>
        <v>1</v>
      </c>
      <c r="N404" s="240">
        <f t="shared" si="76"/>
        <v>2</v>
      </c>
      <c r="O404" s="359">
        <f>IFERROR(VLOOKUP($G404,融外自投!$A:$J,7,0),"無")</f>
        <v>1093</v>
      </c>
      <c r="P404" s="79">
        <f>IFERROR(VLOOKUP($G404,融外自投!$A:$J,9,0),"無")</f>
        <v>266</v>
      </c>
      <c r="Q404" s="342">
        <f>IFERROR(VLOOKUP($G404,融外自投!$A:$J,8,0),"無")</f>
        <v>960</v>
      </c>
      <c r="R404" s="81">
        <f>IFERROR(VLOOKUP($G404,融外自投!$A:$J,10,0),"無")</f>
        <v>238</v>
      </c>
      <c r="S404" s="324">
        <f>IFERROR(VLOOKUP($G404,'321買'!$A:$E,4,0),"'沒有資料'")</f>
        <v>497</v>
      </c>
      <c r="T404" s="186">
        <f>IFERROR(VLOOKUP($G404,基本資料!$A:$J,9,0),"無")</f>
        <v>6</v>
      </c>
      <c r="U404" s="307">
        <f t="shared" si="71"/>
        <v>3.1746031746031744E-2</v>
      </c>
      <c r="V404" s="94">
        <f>IFERROR(VLOOKUP($G404,基本資料!$A:$J,10,0),"無")</f>
        <v>6</v>
      </c>
      <c r="W404" s="36">
        <f>RTD("money.excel",,"6712","Price")</f>
        <v>189</v>
      </c>
      <c r="X404" s="66"/>
      <c r="Y404" s="15">
        <f t="shared" si="72"/>
        <v>189</v>
      </c>
      <c r="Z404" s="3" t="e">
        <f t="shared" si="73"/>
        <v>#DIV/0!</v>
      </c>
      <c r="AA404" s="340">
        <f>IFERROR(VLOOKUP($G404,基本資料!$A:$M,11,0),"無")</f>
        <v>-58.37</v>
      </c>
      <c r="AB404" s="389">
        <f>IFERROR(VLOOKUP($G404,基本資料!$A:$M,12,0),"無")</f>
        <v>26.23</v>
      </c>
      <c r="AC404" s="16" t="s">
        <v>3859</v>
      </c>
      <c r="AF404" s="33">
        <f t="shared" si="74"/>
        <v>0</v>
      </c>
      <c r="AG404" s="43" t="s">
        <v>2180</v>
      </c>
      <c r="AH404" s="66">
        <f t="shared" si="75"/>
        <v>0.56716974100987516</v>
      </c>
      <c r="AI404" s="283">
        <f>RTD("money.excel",,$G404,"PredictVolume")</f>
        <v>761</v>
      </c>
      <c r="AJ404" s="391">
        <f>IFERROR(VLOOKUP($G404,基本資料!$A:$M,13,0),"無")</f>
        <v>1341.75</v>
      </c>
      <c r="AR404" s="245" t="str">
        <f>INDEX(基本資料!N:N,MATCH($G404,基本資料!A:A,0))</f>
        <v>低</v>
      </c>
    </row>
    <row r="405" spans="1:44">
      <c r="A405" s="343">
        <f>IFERROR(VLOOKUP($G405,基本資料!$A:$J,3,0),"無")</f>
        <v>10.3</v>
      </c>
      <c r="B405" s="79">
        <f>IFERROR(VLOOKUP($G405,基本資料!$A:$J,4,0),"無")</f>
        <v>0</v>
      </c>
      <c r="C405" s="79">
        <f>IFERROR(VLOOKUP($G405,基本資料!$A:$J,5,0),"無")</f>
        <v>-22</v>
      </c>
      <c r="D405" s="79">
        <f>IFERROR(VLOOKUP($G405,基本資料!$A:$J,6,0),"無")</f>
        <v>23</v>
      </c>
      <c r="E405" s="79">
        <f>IFERROR(VLOOKUP($G405,基本資料!$A:$J,7,0),"無")</f>
        <v>153</v>
      </c>
      <c r="F405" s="6">
        <f>IFERROR(VLOOKUP($G405,基本資料!$A:$J,8,0),"無")</f>
        <v>-1772.67</v>
      </c>
      <c r="G405" s="79">
        <v>6733</v>
      </c>
      <c r="H405" s="8" t="s">
        <v>309</v>
      </c>
      <c r="I405" s="16" t="s">
        <v>3860</v>
      </c>
      <c r="J405" s="8" t="str">
        <f>IFERROR(VLOOKUP($G405,今日總結!$A:$AN,39,0),"")</f>
        <v/>
      </c>
      <c r="K405" s="5" t="str">
        <f>IFERROR(VLOOKUP($G405,今日總結!$A:$AN,40,0),"")</f>
        <v/>
      </c>
      <c r="L405" s="156" t="str">
        <f>IFERROR(VLOOKUP($G405,今日總結!$A:$AN,37,0),"")</f>
        <v/>
      </c>
      <c r="M405" s="337" t="str">
        <f>IFERROR(VLOOKUP($G405,今日總結!$A:$AN,38,0),"")</f>
        <v/>
      </c>
      <c r="N405" s="240" t="str">
        <f t="shared" si="76"/>
        <v/>
      </c>
      <c r="O405" s="359" t="str">
        <f>IFERROR(VLOOKUP($G405,融外自投!$A:$J,7,0),"無")</f>
        <v>無</v>
      </c>
      <c r="P405" s="79" t="str">
        <f>IFERROR(VLOOKUP($G405,融外自投!$A:$J,9,0),"無")</f>
        <v>無</v>
      </c>
      <c r="Q405" s="342" t="str">
        <f>IFERROR(VLOOKUP($G405,融外自投!$A:$J,8,0),"無")</f>
        <v>無</v>
      </c>
      <c r="R405" s="81" t="str">
        <f>IFERROR(VLOOKUP($G405,融外自投!$A:$J,10,0),"無")</f>
        <v>無</v>
      </c>
      <c r="S405" s="324" t="str">
        <f>IFERROR(VLOOKUP($G405,'321買'!$A:$E,4,0),"'沒有資料'")</f>
        <v>'沒有資料'</v>
      </c>
      <c r="T405" s="186">
        <f>IFERROR(VLOOKUP($G405,基本資料!$A:$J,9,0),"無")</f>
        <v>0</v>
      </c>
      <c r="U405" s="307">
        <f t="shared" si="71"/>
        <v>0</v>
      </c>
      <c r="V405" s="94">
        <f>IFERROR(VLOOKUP($G405,基本資料!$A:$J,10,0),"無")</f>
        <v>-1.37</v>
      </c>
      <c r="W405" s="36">
        <f>RTD("money.excel",,"6733","Price")</f>
        <v>23.65</v>
      </c>
      <c r="X405" s="66"/>
      <c r="Y405" s="15">
        <f t="shared" si="72"/>
        <v>23.65</v>
      </c>
      <c r="Z405" s="3" t="e">
        <f t="shared" si="73"/>
        <v>#DIV/0!</v>
      </c>
      <c r="AA405" s="340">
        <f>IFERROR(VLOOKUP($G405,基本資料!$A:$M,11,0),"無")</f>
        <v>-16.73</v>
      </c>
      <c r="AB405" s="389">
        <f>IFERROR(VLOOKUP($G405,基本資料!$A:$M,12,0),"無")</f>
        <v>14.89</v>
      </c>
      <c r="AC405" s="16" t="s">
        <v>3860</v>
      </c>
      <c r="AF405" s="33">
        <f t="shared" si="74"/>
        <v>0</v>
      </c>
      <c r="AG405" s="43" t="s">
        <v>2293</v>
      </c>
      <c r="AH405" s="66">
        <f t="shared" si="75"/>
        <v>0.64848931466470161</v>
      </c>
      <c r="AI405" s="283">
        <f>RTD("money.excel",,$G405,"PredictVolume")</f>
        <v>44</v>
      </c>
      <c r="AJ405" s="391">
        <f>IFERROR(VLOOKUP($G405,基本資料!$A:$M,13,0),"無")</f>
        <v>67.849999999999994</v>
      </c>
      <c r="AR405" s="245" t="str">
        <f>INDEX(基本資料!N:N,MATCH($G405,基本資料!A:A,0))</f>
        <v>低</v>
      </c>
    </row>
    <row r="406" spans="1:44">
      <c r="A406" s="343">
        <f>IFERROR(VLOOKUP($G406,基本資料!$A:$J,3,0),"無")</f>
        <v>2.41</v>
      </c>
      <c r="B406" s="79">
        <f>IFERROR(VLOOKUP($G406,基本資料!$A:$J,4,0),"無")</f>
        <v>93</v>
      </c>
      <c r="C406" s="79">
        <f>IFERROR(VLOOKUP($G406,基本資料!$A:$J,5,0),"無")</f>
        <v>49</v>
      </c>
      <c r="D406" s="79">
        <f>IFERROR(VLOOKUP($G406,基本資料!$A:$J,6,0),"無")</f>
        <v>-43</v>
      </c>
      <c r="E406" s="79">
        <f>IFERROR(VLOOKUP($G406,基本資料!$A:$J,7,0),"無")</f>
        <v>-9</v>
      </c>
      <c r="F406" s="6">
        <f>IFERROR(VLOOKUP($G406,基本資料!$A:$J,8,0),"無")</f>
        <v>34.840000000000003</v>
      </c>
      <c r="G406" s="79">
        <v>6747</v>
      </c>
      <c r="H406" s="8" t="s">
        <v>309</v>
      </c>
      <c r="I406" s="16" t="s">
        <v>3861</v>
      </c>
      <c r="J406" s="8" t="str">
        <f>IFERROR(VLOOKUP($G406,今日總結!$A:$AN,39,0),"")</f>
        <v/>
      </c>
      <c r="K406" s="5" t="str">
        <f>IFERROR(VLOOKUP($G406,今日總結!$A:$AN,40,0),"")</f>
        <v/>
      </c>
      <c r="L406" s="156" t="str">
        <f>IFERROR(VLOOKUP($G406,今日總結!$A:$AN,37,0),"")</f>
        <v/>
      </c>
      <c r="M406" s="337" t="str">
        <f>IFERROR(VLOOKUP($G406,今日總結!$A:$AN,38,0),"")</f>
        <v/>
      </c>
      <c r="N406" s="240" t="str">
        <f t="shared" si="76"/>
        <v/>
      </c>
      <c r="O406" s="359" t="str">
        <f>IFERROR(VLOOKUP($G406,融外自投!$A:$J,7,0),"無")</f>
        <v>無</v>
      </c>
      <c r="P406" s="79" t="str">
        <f>IFERROR(VLOOKUP($G406,融外自投!$A:$J,9,0),"無")</f>
        <v>無</v>
      </c>
      <c r="Q406" s="342" t="str">
        <f>IFERROR(VLOOKUP($G406,融外自投!$A:$J,8,0),"無")</f>
        <v>無</v>
      </c>
      <c r="R406" s="81" t="str">
        <f>IFERROR(VLOOKUP($G406,融外自投!$A:$J,10,0),"無")</f>
        <v>無</v>
      </c>
      <c r="S406" s="324" t="str">
        <f>IFERROR(VLOOKUP($G406,'321買'!$A:$E,4,0),"'沒有資料'")</f>
        <v>'沒有資料'</v>
      </c>
      <c r="T406" s="186">
        <f>IFERROR(VLOOKUP($G406,基本資料!$A:$J,9,0),"無")</f>
        <v>8.68</v>
      </c>
      <c r="U406" s="307">
        <f t="shared" si="71"/>
        <v>3.7821350762527232E-2</v>
      </c>
      <c r="V406" s="94">
        <f>IFERROR(VLOOKUP($G406,基本資料!$A:$J,10,0),"無")</f>
        <v>10.01</v>
      </c>
      <c r="W406" s="36">
        <f>RTD("money.excel",,"6747","Price")</f>
        <v>229.5</v>
      </c>
      <c r="X406" s="66"/>
      <c r="Y406" s="15">
        <f t="shared" si="72"/>
        <v>229.5</v>
      </c>
      <c r="Z406" s="3" t="e">
        <f t="shared" si="73"/>
        <v>#DIV/0!</v>
      </c>
      <c r="AA406" s="340">
        <f>IFERROR(VLOOKUP($G406,基本資料!$A:$M,11,0),"無")</f>
        <v>-52.14</v>
      </c>
      <c r="AB406" s="389">
        <f>IFERROR(VLOOKUP($G406,基本資料!$A:$M,12,0),"無")</f>
        <v>45.22</v>
      </c>
      <c r="AC406" s="16" t="s">
        <v>3861</v>
      </c>
      <c r="AF406" s="33">
        <f t="shared" si="74"/>
        <v>0</v>
      </c>
      <c r="AG406" s="43" t="s">
        <v>2280</v>
      </c>
      <c r="AH406" s="66">
        <f t="shared" si="75"/>
        <v>0.52173913043478259</v>
      </c>
      <c r="AI406" s="283">
        <f>RTD("money.excel",,$G406,"PredictVolume")</f>
        <v>6</v>
      </c>
      <c r="AJ406" s="391">
        <f>IFERROR(VLOOKUP($G406,基本資料!$A:$M,13,0),"無")</f>
        <v>11.5</v>
      </c>
      <c r="AR406" s="245" t="str">
        <f>INDEX(基本資料!N:N,MATCH($G406,基本資料!A:A,0))</f>
        <v>低</v>
      </c>
    </row>
    <row r="407" spans="1:44">
      <c r="A407" s="343">
        <f>IFERROR(VLOOKUP($G407,基本資料!$A:$J,3,0),"無")</f>
        <v>2.15</v>
      </c>
      <c r="B407" s="79">
        <f>IFERROR(VLOOKUP($G407,基本資料!$A:$J,4,0),"無")</f>
        <v>-34</v>
      </c>
      <c r="C407" s="79">
        <f>IFERROR(VLOOKUP($G407,基本資料!$A:$J,5,0),"無")</f>
        <v>-31</v>
      </c>
      <c r="D407" s="79">
        <f>IFERROR(VLOOKUP($G407,基本資料!$A:$J,6,0),"無")</f>
        <v>19</v>
      </c>
      <c r="E407" s="79">
        <f>IFERROR(VLOOKUP($G407,基本資料!$A:$J,7,0),"無")</f>
        <v>-21</v>
      </c>
      <c r="F407" s="6">
        <f>IFERROR(VLOOKUP($G407,基本資料!$A:$J,8,0),"無")</f>
        <v>34.020000000000003</v>
      </c>
      <c r="G407" s="79">
        <v>6762</v>
      </c>
      <c r="H407" s="8" t="s">
        <v>309</v>
      </c>
      <c r="I407" s="16" t="s">
        <v>3862</v>
      </c>
      <c r="J407" s="8" t="str">
        <f>IFERROR(VLOOKUP($G407,今日總結!$A:$AN,39,0),"")</f>
        <v/>
      </c>
      <c r="K407" s="5" t="str">
        <f>IFERROR(VLOOKUP($G407,今日總結!$A:$AN,40,0),"")</f>
        <v/>
      </c>
      <c r="L407" s="156" t="str">
        <f>IFERROR(VLOOKUP($G407,今日總結!$A:$AN,37,0),"")</f>
        <v/>
      </c>
      <c r="M407" s="337" t="str">
        <f>IFERROR(VLOOKUP($G407,今日總結!$A:$AN,38,0),"")</f>
        <v/>
      </c>
      <c r="N407" s="240" t="str">
        <f t="shared" si="76"/>
        <v/>
      </c>
      <c r="O407" s="359" t="str">
        <f>IFERROR(VLOOKUP($G407,融外自投!$A:$J,7,0),"無")</f>
        <v>無</v>
      </c>
      <c r="P407" s="79" t="str">
        <f>IFERROR(VLOOKUP($G407,融外自投!$A:$J,9,0),"無")</f>
        <v>無</v>
      </c>
      <c r="Q407" s="342" t="str">
        <f>IFERROR(VLOOKUP($G407,融外自投!$A:$J,8,0),"無")</f>
        <v>無</v>
      </c>
      <c r="R407" s="81" t="str">
        <f>IFERROR(VLOOKUP($G407,融外自投!$A:$J,10,0),"無")</f>
        <v>無</v>
      </c>
      <c r="S407" s="324" t="str">
        <f>IFERROR(VLOOKUP($G407,'321買'!$A:$E,4,0),"'沒有資料'")</f>
        <v>'沒有資料'</v>
      </c>
      <c r="T407" s="186">
        <f>IFERROR(VLOOKUP($G407,基本資料!$A:$J,9,0),"無")</f>
        <v>5</v>
      </c>
      <c r="U407" s="307">
        <f t="shared" si="71"/>
        <v>1.9305019305019305E-2</v>
      </c>
      <c r="V407" s="94">
        <f>IFERROR(VLOOKUP($G407,基本資料!$A:$J,10,0),"無")</f>
        <v>6.04</v>
      </c>
      <c r="W407" s="36">
        <f>RTD("money.excel",,"6762","Price")</f>
        <v>259</v>
      </c>
      <c r="X407" s="66"/>
      <c r="Y407" s="15">
        <f t="shared" si="72"/>
        <v>259</v>
      </c>
      <c r="Z407" s="3" t="e">
        <f t="shared" si="73"/>
        <v>#DIV/0!</v>
      </c>
      <c r="AA407" s="340">
        <f>IFERROR(VLOOKUP($G407,基本資料!$A:$M,11,0),"無")</f>
        <v>-25.47</v>
      </c>
      <c r="AB407" s="389">
        <f>IFERROR(VLOOKUP($G407,基本資料!$A:$M,12,0),"無")</f>
        <v>15.24</v>
      </c>
      <c r="AC407" s="16" t="s">
        <v>3862</v>
      </c>
      <c r="AF407" s="33">
        <f t="shared" si="74"/>
        <v>0</v>
      </c>
      <c r="AG407" s="43" t="s">
        <v>2121</v>
      </c>
      <c r="AH407" s="66">
        <f t="shared" si="75"/>
        <v>0.59405940594059403</v>
      </c>
      <c r="AI407" s="283">
        <f>RTD("money.excel",,$G407,"PredictVolume")</f>
        <v>3</v>
      </c>
      <c r="AJ407" s="391">
        <f>IFERROR(VLOOKUP($G407,基本資料!$A:$M,13,0),"無")</f>
        <v>5.05</v>
      </c>
      <c r="AR407" s="245" t="str">
        <f>INDEX(基本資料!N:N,MATCH($G407,基本資料!A:A,0))</f>
        <v>低</v>
      </c>
    </row>
    <row r="408" spans="1:44">
      <c r="A408" s="343">
        <f>IFERROR(VLOOKUP($G408,基本資料!$A:$J,3,0),"無")</f>
        <v>2.91</v>
      </c>
      <c r="B408" s="79">
        <f>IFERROR(VLOOKUP($G408,基本資料!$A:$J,4,0),"無")</f>
        <v>-255</v>
      </c>
      <c r="C408" s="79">
        <f>IFERROR(VLOOKUP($G408,基本資料!$A:$J,5,0),"無")</f>
        <v>23</v>
      </c>
      <c r="D408" s="79">
        <f>IFERROR(VLOOKUP($G408,基本資料!$A:$J,6,0),"無")</f>
        <v>-19</v>
      </c>
      <c r="E408" s="79">
        <f>IFERROR(VLOOKUP($G408,基本資料!$A:$J,7,0),"無")</f>
        <v>13</v>
      </c>
      <c r="F408" s="6">
        <f>IFERROR(VLOOKUP($G408,基本資料!$A:$J,8,0),"無")</f>
        <v>-24.15</v>
      </c>
      <c r="G408" s="79">
        <v>6767</v>
      </c>
      <c r="H408" s="8" t="s">
        <v>309</v>
      </c>
      <c r="I408" s="16" t="s">
        <v>3863</v>
      </c>
      <c r="J408" s="8" t="str">
        <f>IFERROR(VLOOKUP($G408,今日總結!$A:$AN,39,0),"")</f>
        <v/>
      </c>
      <c r="K408" s="5" t="str">
        <f>IFERROR(VLOOKUP($G408,今日總結!$A:$AN,40,0),"")</f>
        <v/>
      </c>
      <c r="L408" s="156" t="str">
        <f>IFERROR(VLOOKUP($G408,今日總結!$A:$AN,37,0),"")</f>
        <v/>
      </c>
      <c r="M408" s="337" t="str">
        <f>IFERROR(VLOOKUP($G408,今日總結!$A:$AN,38,0),"")</f>
        <v/>
      </c>
      <c r="N408" s="240" t="str">
        <f t="shared" si="76"/>
        <v/>
      </c>
      <c r="O408" s="359" t="str">
        <f>IFERROR(VLOOKUP($G408,融外自投!$A:$J,7,0),"無")</f>
        <v>無</v>
      </c>
      <c r="P408" s="79" t="str">
        <f>IFERROR(VLOOKUP($G408,融外自投!$A:$J,9,0),"無")</f>
        <v>無</v>
      </c>
      <c r="Q408" s="342" t="str">
        <f>IFERROR(VLOOKUP($G408,融外自投!$A:$J,8,0),"無")</f>
        <v>無</v>
      </c>
      <c r="R408" s="81" t="str">
        <f>IFERROR(VLOOKUP($G408,融外自投!$A:$J,10,0),"無")</f>
        <v>無</v>
      </c>
      <c r="S408" s="324" t="str">
        <f>IFERROR(VLOOKUP($G408,'321買'!$A:$E,4,0),"'沒有資料'")</f>
        <v>'沒有資料'</v>
      </c>
      <c r="T408" s="186">
        <f>IFERROR(VLOOKUP($G408,基本資料!$A:$J,9,0),"無")</f>
        <v>0</v>
      </c>
      <c r="U408" s="307">
        <f t="shared" si="71"/>
        <v>0</v>
      </c>
      <c r="V408" s="94">
        <f>IFERROR(VLOOKUP($G408,基本資料!$A:$J,10,0),"無")</f>
        <v>-1.64</v>
      </c>
      <c r="W408" s="36">
        <f>RTD("money.excel",,"6767","Price")</f>
        <v>29.8</v>
      </c>
      <c r="X408" s="66"/>
      <c r="Y408" s="15">
        <f t="shared" si="72"/>
        <v>29.8</v>
      </c>
      <c r="Z408" s="3" t="e">
        <f t="shared" si="73"/>
        <v>#DIV/0!</v>
      </c>
      <c r="AA408" s="340">
        <f>IFERROR(VLOOKUP($G408,基本資料!$A:$M,11,0),"無")</f>
        <v>-15.46</v>
      </c>
      <c r="AB408" s="389">
        <f>IFERROR(VLOOKUP($G408,基本資料!$A:$M,12,0),"無")</f>
        <v>20.3</v>
      </c>
      <c r="AC408" s="16" t="s">
        <v>3863</v>
      </c>
      <c r="AF408" s="33">
        <f t="shared" si="74"/>
        <v>0</v>
      </c>
      <c r="AG408" s="43" t="s">
        <v>3864</v>
      </c>
      <c r="AH408" s="66">
        <f t="shared" si="75"/>
        <v>2.5196850393700787</v>
      </c>
      <c r="AI408" s="283">
        <f>RTD("money.excel",,$G408,"PredictVolume")</f>
        <v>32</v>
      </c>
      <c r="AJ408" s="391">
        <f>IFERROR(VLOOKUP($G408,基本資料!$A:$M,13,0),"無")</f>
        <v>12.7</v>
      </c>
      <c r="AR408" s="245" t="str">
        <f>INDEX(基本資料!N:N,MATCH($G408,基本資料!A:A,0))</f>
        <v>低</v>
      </c>
    </row>
    <row r="409" spans="1:44">
      <c r="A409" s="343">
        <f>IFERROR(VLOOKUP($G409,基本資料!$A:$J,3,0),"無")</f>
        <v>2.71</v>
      </c>
      <c r="B409" s="79">
        <f>IFERROR(VLOOKUP($G409,基本資料!$A:$J,4,0),"無")</f>
        <v>10</v>
      </c>
      <c r="C409" s="79">
        <f>IFERROR(VLOOKUP($G409,基本資料!$A:$J,5,0),"無")</f>
        <v>8</v>
      </c>
      <c r="D409" s="79">
        <f>IFERROR(VLOOKUP($G409,基本資料!$A:$J,6,0),"無")</f>
        <v>-2</v>
      </c>
      <c r="E409" s="79">
        <f>IFERROR(VLOOKUP($G409,基本資料!$A:$J,7,0),"無")</f>
        <v>6</v>
      </c>
      <c r="F409" s="6">
        <f>IFERROR(VLOOKUP($G409,基本資料!$A:$J,8,0),"無")</f>
        <v>19.13</v>
      </c>
      <c r="G409" s="79">
        <v>8279</v>
      </c>
      <c r="H409" s="8" t="s">
        <v>309</v>
      </c>
      <c r="I409" s="16" t="s">
        <v>3865</v>
      </c>
      <c r="J409" s="8" t="str">
        <f>IFERROR(VLOOKUP($G409,今日總結!$A:$AN,39,0),"")</f>
        <v/>
      </c>
      <c r="K409" s="5" t="str">
        <f>IFERROR(VLOOKUP($G409,今日總結!$A:$AN,40,0),"")</f>
        <v/>
      </c>
      <c r="L409" s="156" t="str">
        <f>IFERROR(VLOOKUP($G409,今日總結!$A:$AN,37,0),"")</f>
        <v/>
      </c>
      <c r="M409" s="337" t="str">
        <f>IFERROR(VLOOKUP($G409,今日總結!$A:$AN,38,0),"")</f>
        <v/>
      </c>
      <c r="N409" s="240" t="str">
        <f t="shared" si="76"/>
        <v/>
      </c>
      <c r="O409" s="359" t="str">
        <f>IFERROR(VLOOKUP($G409,融外自投!$A:$J,7,0),"無")</f>
        <v>無</v>
      </c>
      <c r="P409" s="79" t="str">
        <f>IFERROR(VLOOKUP($G409,融外自投!$A:$J,9,0),"無")</f>
        <v>無</v>
      </c>
      <c r="Q409" s="342" t="str">
        <f>IFERROR(VLOOKUP($G409,融外自投!$A:$J,8,0),"無")</f>
        <v>無</v>
      </c>
      <c r="R409" s="81" t="str">
        <f>IFERROR(VLOOKUP($G409,融外自投!$A:$J,10,0),"無")</f>
        <v>無</v>
      </c>
      <c r="S409" s="324" t="str">
        <f>IFERROR(VLOOKUP($G409,'321買'!$A:$E,4,0),"'沒有資料'")</f>
        <v>'沒有資料'</v>
      </c>
      <c r="T409" s="186">
        <f>IFERROR(VLOOKUP($G409,基本資料!$A:$J,9,0),"無")</f>
        <v>4</v>
      </c>
      <c r="U409" s="307">
        <f t="shared" si="71"/>
        <v>3.1496062992125984E-2</v>
      </c>
      <c r="V409" s="94">
        <f>IFERROR(VLOOKUP($G409,基本資料!$A:$J,10,0),"無")</f>
        <v>8.77</v>
      </c>
      <c r="W409" s="36">
        <f>RTD("money.excel",,"8279","Price")</f>
        <v>127</v>
      </c>
      <c r="X409" s="66"/>
      <c r="Y409" s="15">
        <f t="shared" si="72"/>
        <v>127</v>
      </c>
      <c r="Z409" s="3" t="e">
        <f t="shared" si="73"/>
        <v>#DIV/0!</v>
      </c>
      <c r="AA409" s="340">
        <f>IFERROR(VLOOKUP($G409,基本資料!$A:$M,11,0),"無")</f>
        <v>-6.62</v>
      </c>
      <c r="AB409" s="389">
        <f>IFERROR(VLOOKUP($G409,基本資料!$A:$M,12,0),"無")</f>
        <v>58.18</v>
      </c>
      <c r="AC409" s="16" t="s">
        <v>3865</v>
      </c>
      <c r="AF409" s="33">
        <f t="shared" si="74"/>
        <v>0</v>
      </c>
      <c r="AG409" s="43" t="s">
        <v>3866</v>
      </c>
      <c r="AH409" s="66">
        <f t="shared" si="75"/>
        <v>0.24669603524229075</v>
      </c>
      <c r="AI409" s="283">
        <f>RTD("money.excel",,$G409,"PredictVolume")</f>
        <v>14</v>
      </c>
      <c r="AJ409" s="391">
        <f>IFERROR(VLOOKUP($G409,基本資料!$A:$M,13,0),"無")</f>
        <v>56.75</v>
      </c>
      <c r="AR409" s="245" t="str">
        <f>INDEX(基本資料!N:N,MATCH($G409,基本資料!A:A,0))</f>
        <v>高</v>
      </c>
    </row>
    <row r="410" spans="1:44">
      <c r="A410" s="343">
        <f>IFERROR(VLOOKUP($G410,基本資料!$A:$J,3,0),"無")</f>
        <v>11.43</v>
      </c>
      <c r="B410" s="79">
        <f>IFERROR(VLOOKUP($G410,基本資料!$A:$J,4,0),"無")</f>
        <v>-46</v>
      </c>
      <c r="C410" s="79">
        <f>IFERROR(VLOOKUP($G410,基本資料!$A:$J,5,0),"無")</f>
        <v>-49</v>
      </c>
      <c r="D410" s="79">
        <f>IFERROR(VLOOKUP($G410,基本資料!$A:$J,6,0),"無")</f>
        <v>-11</v>
      </c>
      <c r="E410" s="79">
        <f>IFERROR(VLOOKUP($G410,基本資料!$A:$J,7,0),"無")</f>
        <v>22</v>
      </c>
      <c r="F410" s="6">
        <f>IFERROR(VLOOKUP($G410,基本資料!$A:$J,8,0),"無")</f>
        <v>6.71</v>
      </c>
      <c r="G410" s="79">
        <v>8403</v>
      </c>
      <c r="H410" s="8" t="s">
        <v>309</v>
      </c>
      <c r="I410" s="16" t="s">
        <v>3867</v>
      </c>
      <c r="J410" s="8">
        <f>IFERROR(VLOOKUP($G410,今日總結!$A:$AN,39,0),"")</f>
        <v>2</v>
      </c>
      <c r="K410" s="5" t="str">
        <f>IFERROR(VLOOKUP($G410,今日總結!$A:$AN,40,0),"")</f>
        <v>借</v>
      </c>
      <c r="L410" s="156">
        <f>IFERROR(VLOOKUP($G410,今日總結!$A:$AN,37,0),"")</f>
        <v>1</v>
      </c>
      <c r="M410" s="337">
        <f>IFERROR(VLOOKUP($G410,今日總結!$A:$AN,38,0),"")</f>
        <v>3</v>
      </c>
      <c r="N410" s="240">
        <f t="shared" si="76"/>
        <v>-2</v>
      </c>
      <c r="O410" s="359">
        <f>IFERROR(VLOOKUP($G410,融外自投!$A:$J,7,0),"無")</f>
        <v>582</v>
      </c>
      <c r="P410" s="79">
        <f>IFERROR(VLOOKUP($G410,融外自投!$A:$J,9,0),"無")</f>
        <v>762</v>
      </c>
      <c r="Q410" s="342">
        <f>IFERROR(VLOOKUP($G410,融外自投!$A:$J,8,0),"無")</f>
        <v>1063</v>
      </c>
      <c r="R410" s="81" t="str">
        <f>IFERROR(VLOOKUP($G410,融外自投!$A:$J,10,0),"無")</f>
        <v>無</v>
      </c>
      <c r="S410" s="324">
        <f>IFERROR(VLOOKUP($G410,'321買'!$A:$E,4,0),"'沒有資料'")</f>
        <v>891</v>
      </c>
      <c r="T410" s="186">
        <f>IFERROR(VLOOKUP($G410,基本資料!$A:$J,9,0),"無")</f>
        <v>0</v>
      </c>
      <c r="U410" s="307">
        <f t="shared" si="71"/>
        <v>0</v>
      </c>
      <c r="V410" s="94">
        <f>IFERROR(VLOOKUP($G410,基本資料!$A:$J,10,0),"無")</f>
        <v>2.04</v>
      </c>
      <c r="W410" s="36">
        <f>RTD("money.excel",,"8403","Price")</f>
        <v>31.15</v>
      </c>
      <c r="X410" s="66"/>
      <c r="Y410" s="15">
        <f t="shared" si="72"/>
        <v>31.15</v>
      </c>
      <c r="Z410" s="3" t="e">
        <f t="shared" si="73"/>
        <v>#DIV/0!</v>
      </c>
      <c r="AA410" s="340">
        <f>IFERROR(VLOOKUP($G410,基本資料!$A:$M,11,0),"無")</f>
        <v>-10.1</v>
      </c>
      <c r="AB410" s="389">
        <f>IFERROR(VLOOKUP($G410,基本資料!$A:$M,12,0),"無")</f>
        <v>45.78</v>
      </c>
      <c r="AC410" s="16" t="s">
        <v>3867</v>
      </c>
      <c r="AF410" s="33">
        <f t="shared" si="74"/>
        <v>0</v>
      </c>
      <c r="AG410" s="117" t="s">
        <v>3868</v>
      </c>
      <c r="AH410" s="66">
        <f t="shared" si="75"/>
        <v>1.6823834094458612</v>
      </c>
      <c r="AI410" s="283">
        <f>RTD("money.excel",,$G410,"PredictVolume")</f>
        <v>4255</v>
      </c>
      <c r="AJ410" s="391">
        <f>IFERROR(VLOOKUP($G410,基本資料!$A:$M,13,0),"無")</f>
        <v>2529.15</v>
      </c>
      <c r="AR410" s="245" t="str">
        <f>INDEX(基本資料!N:N,MATCH($G410,基本資料!A:A,0))</f>
        <v>中</v>
      </c>
    </row>
    <row r="411" spans="1:44">
      <c r="A411" s="343" t="str">
        <f>IFERROR(VLOOKUP($G411,基本資料!$A:$J,3,0),"無")</f>
        <v>無</v>
      </c>
      <c r="B411" s="79" t="str">
        <f>IFERROR(VLOOKUP($G411,基本資料!$A:$J,4,0),"無")</f>
        <v>無</v>
      </c>
      <c r="C411" s="79" t="str">
        <f>IFERROR(VLOOKUP($G411,基本資料!$A:$J,5,0),"無")</f>
        <v>無</v>
      </c>
      <c r="D411" s="79" t="str">
        <f>IFERROR(VLOOKUP($G411,基本資料!$A:$J,6,0),"無")</f>
        <v>無</v>
      </c>
      <c r="E411" s="79" t="str">
        <f>IFERROR(VLOOKUP($G411,基本資料!$A:$J,7,0),"無")</f>
        <v>無</v>
      </c>
      <c r="F411" s="6" t="str">
        <f>IFERROR(VLOOKUP($G411,基本資料!$A:$J,8,0),"無")</f>
        <v>無</v>
      </c>
      <c r="G411" s="79">
        <v>8406</v>
      </c>
      <c r="H411" s="8" t="s">
        <v>309</v>
      </c>
      <c r="I411" s="16" t="s">
        <v>3869</v>
      </c>
      <c r="J411" s="8" t="str">
        <f>IFERROR(VLOOKUP($G411,今日總結!$A:$AN,39,0),"")</f>
        <v/>
      </c>
      <c r="K411" s="5" t="str">
        <f>IFERROR(VLOOKUP($G411,今日總結!$A:$AN,40,0),"")</f>
        <v/>
      </c>
      <c r="L411" s="156" t="str">
        <f>IFERROR(VLOOKUP($G411,今日總結!$A:$AN,37,0),"")</f>
        <v/>
      </c>
      <c r="M411" s="337" t="str">
        <f>IFERROR(VLOOKUP($G411,今日總結!$A:$AN,38,0),"")</f>
        <v/>
      </c>
      <c r="N411" s="240" t="str">
        <f t="shared" si="76"/>
        <v/>
      </c>
      <c r="O411" s="359" t="str">
        <f>IFERROR(VLOOKUP($G411,融外自投!$A:$J,7,0),"無")</f>
        <v>無</v>
      </c>
      <c r="P411" s="79" t="str">
        <f>IFERROR(VLOOKUP($G411,融外自投!$A:$J,9,0),"無")</f>
        <v>無</v>
      </c>
      <c r="Q411" s="342" t="str">
        <f>IFERROR(VLOOKUP($G411,融外自投!$A:$J,8,0),"無")</f>
        <v>無</v>
      </c>
      <c r="R411" s="81" t="str">
        <f>IFERROR(VLOOKUP($G411,融外自投!$A:$J,10,0),"無")</f>
        <v>無</v>
      </c>
      <c r="S411" s="324" t="str">
        <f>IFERROR(VLOOKUP($G411,'321買'!$A:$E,4,0),"'沒有資料'")</f>
        <v>'沒有資料'</v>
      </c>
      <c r="T411" s="186" t="str">
        <f>IFERROR(VLOOKUP($G411,基本資料!$A:$J,9,0),"無")</f>
        <v>無</v>
      </c>
      <c r="U411" s="307" t="e">
        <f t="shared" si="71"/>
        <v>#VALUE!</v>
      </c>
      <c r="V411" s="94" t="str">
        <f>IFERROR(VLOOKUP($G411,基本資料!$A:$J,10,0),"無")</f>
        <v>無</v>
      </c>
      <c r="W411" s="36" t="str">
        <f>RTD("money.excel",,"8406","Price")</f>
        <v>商品錯誤</v>
      </c>
      <c r="X411" s="66"/>
      <c r="Y411" s="15" t="e">
        <f t="shared" si="72"/>
        <v>#VALUE!</v>
      </c>
      <c r="Z411" s="3" t="e">
        <f t="shared" si="73"/>
        <v>#VALUE!</v>
      </c>
      <c r="AA411" s="340" t="str">
        <f>IFERROR(VLOOKUP($G411,基本資料!$A:$M,11,0),"無")</f>
        <v>無</v>
      </c>
      <c r="AB411" s="389" t="str">
        <f>IFERROR(VLOOKUP($G411,基本資料!$A:$M,12,0),"無")</f>
        <v>無</v>
      </c>
      <c r="AC411" s="16" t="s">
        <v>3869</v>
      </c>
      <c r="AF411" s="33">
        <f t="shared" si="74"/>
        <v>0</v>
      </c>
      <c r="AG411" s="117" t="s">
        <v>3666</v>
      </c>
      <c r="AH411" s="66" t="e">
        <f t="shared" si="75"/>
        <v>#VALUE!</v>
      </c>
      <c r="AI411" s="283" t="str">
        <f>RTD("money.excel",,$G411,"PredictVolume")</f>
        <v>商品錯誤</v>
      </c>
      <c r="AJ411" s="391" t="str">
        <f>IFERROR(VLOOKUP($G411,基本資料!$A:$M,13,0),"無")</f>
        <v>無</v>
      </c>
      <c r="AR411" s="245" t="e">
        <f>INDEX(基本資料!N:N,MATCH($G411,基本資料!A:A,0))</f>
        <v>#N/A</v>
      </c>
    </row>
    <row r="412" spans="1:44">
      <c r="A412" s="343">
        <f>IFERROR(VLOOKUP($G412,基本資料!$A:$J,3,0),"無")</f>
        <v>3.2</v>
      </c>
      <c r="B412" s="79">
        <f>IFERROR(VLOOKUP($G412,基本資料!$A:$J,4,0),"無")</f>
        <v>29</v>
      </c>
      <c r="C412" s="79">
        <f>IFERROR(VLOOKUP($G412,基本資料!$A:$J,5,0),"無")</f>
        <v>6</v>
      </c>
      <c r="D412" s="79">
        <f>IFERROR(VLOOKUP($G412,基本資料!$A:$J,6,0),"無")</f>
        <v>-93</v>
      </c>
      <c r="E412" s="79">
        <f>IFERROR(VLOOKUP($G412,基本資料!$A:$J,7,0),"無")</f>
        <v>22</v>
      </c>
      <c r="F412" s="6">
        <f>IFERROR(VLOOKUP($G412,基本資料!$A:$J,8,0),"無")</f>
        <v>-18.16</v>
      </c>
      <c r="G412" s="79">
        <v>8409</v>
      </c>
      <c r="H412" s="8" t="s">
        <v>309</v>
      </c>
      <c r="I412" s="16" t="s">
        <v>3870</v>
      </c>
      <c r="J412" s="8" t="str">
        <f>IFERROR(VLOOKUP($G412,今日總結!$A:$AN,39,0),"")</f>
        <v/>
      </c>
      <c r="K412" s="5" t="str">
        <f>IFERROR(VLOOKUP($G412,今日總結!$A:$AN,40,0),"")</f>
        <v/>
      </c>
      <c r="L412" s="156" t="str">
        <f>IFERROR(VLOOKUP($G412,今日總結!$A:$AN,37,0),"")</f>
        <v/>
      </c>
      <c r="M412" s="337" t="str">
        <f>IFERROR(VLOOKUP($G412,今日總結!$A:$AN,38,0),"")</f>
        <v/>
      </c>
      <c r="N412" s="240" t="str">
        <f t="shared" si="76"/>
        <v/>
      </c>
      <c r="O412" s="359" t="str">
        <f>IFERROR(VLOOKUP($G412,融外自投!$A:$J,7,0),"無")</f>
        <v>無</v>
      </c>
      <c r="P412" s="79" t="str">
        <f>IFERROR(VLOOKUP($G412,融外自投!$A:$J,9,0),"無")</f>
        <v>無</v>
      </c>
      <c r="Q412" s="342" t="str">
        <f>IFERROR(VLOOKUP($G412,融外自投!$A:$J,8,0),"無")</f>
        <v>無</v>
      </c>
      <c r="R412" s="81" t="str">
        <f>IFERROR(VLOOKUP($G412,融外自投!$A:$J,10,0),"無")</f>
        <v>無</v>
      </c>
      <c r="S412" s="324" t="str">
        <f>IFERROR(VLOOKUP($G412,'321買'!$A:$E,4,0),"'沒有資料'")</f>
        <v>'沒有資料'</v>
      </c>
      <c r="T412" s="186">
        <f>IFERROR(VLOOKUP($G412,基本資料!$A:$J,9,0),"無")</f>
        <v>0</v>
      </c>
      <c r="U412" s="307">
        <f t="shared" si="71"/>
        <v>0</v>
      </c>
      <c r="V412" s="94">
        <f>IFERROR(VLOOKUP($G412,基本資料!$A:$J,10,0),"無")</f>
        <v>-0.73</v>
      </c>
      <c r="W412" s="36">
        <f>RTD("money.excel",,"8409","Price")</f>
        <v>21.85</v>
      </c>
      <c r="X412" s="66"/>
      <c r="Y412" s="15">
        <f t="shared" si="72"/>
        <v>21.85</v>
      </c>
      <c r="Z412" s="3" t="e">
        <f t="shared" si="73"/>
        <v>#DIV/0!</v>
      </c>
      <c r="AA412" s="340">
        <f>IFERROR(VLOOKUP($G412,基本資料!$A:$M,11,0),"無")</f>
        <v>-33.89</v>
      </c>
      <c r="AB412" s="389">
        <f>IFERROR(VLOOKUP($G412,基本資料!$A:$M,12,0),"無")</f>
        <v>50.99</v>
      </c>
      <c r="AC412" s="16" t="s">
        <v>3870</v>
      </c>
      <c r="AF412" s="33">
        <f t="shared" si="74"/>
        <v>0</v>
      </c>
      <c r="AG412" s="43" t="s">
        <v>2454</v>
      </c>
      <c r="AH412" s="66">
        <f t="shared" si="75"/>
        <v>0.62718034278780532</v>
      </c>
      <c r="AI412" s="283">
        <f>RTD("money.excel",,$G412,"PredictVolume")</f>
        <v>827</v>
      </c>
      <c r="AJ412" s="391">
        <f>IFERROR(VLOOKUP($G412,基本資料!$A:$M,13,0),"無")</f>
        <v>1318.6</v>
      </c>
      <c r="AR412" s="245" t="str">
        <f>INDEX(基本資料!N:N,MATCH($G412,基本資料!A:A,0))</f>
        <v>中</v>
      </c>
    </row>
    <row r="413" spans="1:44">
      <c r="A413" s="343">
        <f>IFERROR(VLOOKUP($G413,基本資料!$A:$J,3,0),"無")</f>
        <v>3.83</v>
      </c>
      <c r="B413" s="79">
        <f>IFERROR(VLOOKUP($G413,基本資料!$A:$J,4,0),"無")</f>
        <v>-23</v>
      </c>
      <c r="C413" s="79">
        <f>IFERROR(VLOOKUP($G413,基本資料!$A:$J,5,0),"無")</f>
        <v>-25</v>
      </c>
      <c r="D413" s="79">
        <f>IFERROR(VLOOKUP($G413,基本資料!$A:$J,6,0),"無")</f>
        <v>-12</v>
      </c>
      <c r="E413" s="79">
        <f>IFERROR(VLOOKUP($G413,基本資料!$A:$J,7,0),"無")</f>
        <v>5</v>
      </c>
      <c r="F413" s="6">
        <f>IFERROR(VLOOKUP($G413,基本資料!$A:$J,8,0),"無")</f>
        <v>13.45</v>
      </c>
      <c r="G413" s="79">
        <v>8432</v>
      </c>
      <c r="H413" s="8" t="s">
        <v>309</v>
      </c>
      <c r="I413" s="16" t="s">
        <v>3871</v>
      </c>
      <c r="J413" s="8">
        <f>IFERROR(VLOOKUP($G413,今日總結!$A:$AN,39,0),"")</f>
        <v>0</v>
      </c>
      <c r="K413" s="5">
        <f>IFERROR(VLOOKUP($G413,今日總結!$A:$AN,40,0),"")</f>
        <v>0</v>
      </c>
      <c r="L413" s="156">
        <f>IFERROR(VLOOKUP($G413,今日總結!$A:$AN,37,0),"")</f>
        <v>0</v>
      </c>
      <c r="M413" s="337">
        <f>IFERROR(VLOOKUP($G413,今日總結!$A:$AN,38,0),"")</f>
        <v>0</v>
      </c>
      <c r="N413" s="240">
        <f t="shared" si="76"/>
        <v>0</v>
      </c>
      <c r="O413" s="359">
        <f>IFERROR(VLOOKUP($G413,融外自投!$A:$J,7,0),"無")</f>
        <v>981</v>
      </c>
      <c r="P413" s="79">
        <f>IFERROR(VLOOKUP($G413,融外自投!$A:$J,9,0),"無")</f>
        <v>762</v>
      </c>
      <c r="Q413" s="342">
        <f>IFERROR(VLOOKUP($G413,融外自投!$A:$J,8,0),"無")</f>
        <v>1330</v>
      </c>
      <c r="R413" s="81" t="str">
        <f>IFERROR(VLOOKUP($G413,融外自投!$A:$J,10,0),"無")</f>
        <v>無</v>
      </c>
      <c r="S413" s="324">
        <f>IFERROR(VLOOKUP($G413,'321買'!$A:$E,4,0),"'沒有資料'")</f>
        <v>1002</v>
      </c>
      <c r="T413" s="186">
        <f>IFERROR(VLOOKUP($G413,基本資料!$A:$J,9,0),"無")</f>
        <v>1.5</v>
      </c>
      <c r="U413" s="307">
        <f t="shared" si="71"/>
        <v>3.614457831325301E-2</v>
      </c>
      <c r="V413" s="94">
        <f>IFERROR(VLOOKUP($G413,基本資料!$A:$J,10,0),"無")</f>
        <v>1.23</v>
      </c>
      <c r="W413" s="36">
        <f>RTD("money.excel",,"8432","Price")</f>
        <v>41.5</v>
      </c>
      <c r="X413" s="66"/>
      <c r="Y413" s="15">
        <f t="shared" si="72"/>
        <v>41.5</v>
      </c>
      <c r="Z413" s="3" t="e">
        <f t="shared" si="73"/>
        <v>#DIV/0!</v>
      </c>
      <c r="AA413" s="340">
        <f>IFERROR(VLOOKUP($G413,基本資料!$A:$M,11,0),"無")</f>
        <v>-14.43</v>
      </c>
      <c r="AB413" s="389">
        <f>IFERROR(VLOOKUP($G413,基本資料!$A:$M,12,0),"無")</f>
        <v>20.98</v>
      </c>
      <c r="AC413" s="16" t="s">
        <v>3871</v>
      </c>
      <c r="AF413" s="33">
        <f t="shared" si="74"/>
        <v>0</v>
      </c>
      <c r="AG413" s="43" t="s">
        <v>3872</v>
      </c>
      <c r="AH413" s="66">
        <f t="shared" si="75"/>
        <v>0.81210191082802552</v>
      </c>
      <c r="AI413" s="283">
        <f>RTD("money.excel",,$G413,"PredictVolume")</f>
        <v>51</v>
      </c>
      <c r="AJ413" s="391">
        <f>IFERROR(VLOOKUP($G413,基本資料!$A:$M,13,0),"無")</f>
        <v>62.8</v>
      </c>
      <c r="AR413" s="245" t="str">
        <f>INDEX(基本資料!N:N,MATCH($G413,基本資料!A:A,0))</f>
        <v>低</v>
      </c>
    </row>
    <row r="414" spans="1:44">
      <c r="A414" s="343">
        <f>IFERROR(VLOOKUP($G414,基本資料!$A:$J,3,0),"無")</f>
        <v>11.82</v>
      </c>
      <c r="B414" s="79">
        <f>IFERROR(VLOOKUP($G414,基本資料!$A:$J,4,0),"無")</f>
        <v>-12</v>
      </c>
      <c r="C414" s="79">
        <f>IFERROR(VLOOKUP($G414,基本資料!$A:$J,5,0),"無")</f>
        <v>-14</v>
      </c>
      <c r="D414" s="79">
        <f>IFERROR(VLOOKUP($G414,基本資料!$A:$J,6,0),"無")</f>
        <v>3</v>
      </c>
      <c r="E414" s="79">
        <f>IFERROR(VLOOKUP($G414,基本資料!$A:$J,7,0),"無")</f>
        <v>-28</v>
      </c>
      <c r="F414" s="6">
        <f>IFERROR(VLOOKUP($G414,基本資料!$A:$J,8,0),"無")</f>
        <v>20.16</v>
      </c>
      <c r="G414" s="79">
        <v>8436</v>
      </c>
      <c r="H414" s="145" t="s">
        <v>309</v>
      </c>
      <c r="I414" s="16" t="s">
        <v>3873</v>
      </c>
      <c r="J414" s="8">
        <f>IFERROR(VLOOKUP($G414,今日總結!$A:$AN,39,0),"")</f>
        <v>0</v>
      </c>
      <c r="K414" s="5">
        <f>IFERROR(VLOOKUP($G414,今日總結!$A:$AN,40,0),"")</f>
        <v>0</v>
      </c>
      <c r="L414" s="156">
        <f>IFERROR(VLOOKUP($G414,今日總結!$A:$AN,37,0),"")</f>
        <v>0</v>
      </c>
      <c r="M414" s="337">
        <f>IFERROR(VLOOKUP($G414,今日總結!$A:$AN,38,0),"")</f>
        <v>0</v>
      </c>
      <c r="N414" s="240">
        <f t="shared" si="76"/>
        <v>0</v>
      </c>
      <c r="O414" s="359">
        <f>IFERROR(VLOOKUP($G414,融外自投!$A:$J,7,0),"無")</f>
        <v>566</v>
      </c>
      <c r="P414" s="79">
        <f>IFERROR(VLOOKUP($G414,融外自投!$A:$J,9,0),"無")</f>
        <v>253</v>
      </c>
      <c r="Q414" s="342">
        <f>IFERROR(VLOOKUP($G414,融外自投!$A:$J,8,0),"無")</f>
        <v>163</v>
      </c>
      <c r="R414" s="81">
        <f>IFERROR(VLOOKUP($G414,融外自投!$A:$J,10,0),"無")</f>
        <v>302</v>
      </c>
      <c r="S414" s="324">
        <f>IFERROR(VLOOKUP($G414,'321買'!$A:$E,4,0),"'沒有資料'")</f>
        <v>343</v>
      </c>
      <c r="T414" s="186">
        <f>IFERROR(VLOOKUP($G414,基本資料!$A:$J,9,0),"無")</f>
        <v>8.8800000000000008</v>
      </c>
      <c r="U414" s="307">
        <f t="shared" si="71"/>
        <v>6.1666666666666675E-2</v>
      </c>
      <c r="V414" s="94">
        <f>IFERROR(VLOOKUP($G414,基本資料!$A:$J,10,0),"無")</f>
        <v>13.17</v>
      </c>
      <c r="W414" s="36">
        <f>RTD("money.excel",,"8436","Price")</f>
        <v>144</v>
      </c>
      <c r="X414" s="66"/>
      <c r="Y414" s="15">
        <f t="shared" si="72"/>
        <v>144</v>
      </c>
      <c r="Z414" s="3" t="e">
        <f t="shared" si="73"/>
        <v>#DIV/0!</v>
      </c>
      <c r="AA414" s="340">
        <f>IFERROR(VLOOKUP($G414,基本資料!$A:$M,11,0),"無")</f>
        <v>-58.86</v>
      </c>
      <c r="AB414" s="389">
        <f>IFERROR(VLOOKUP($G414,基本資料!$A:$M,12,0),"無")</f>
        <v>7.91</v>
      </c>
      <c r="AC414" s="16" t="s">
        <v>3873</v>
      </c>
      <c r="AF414" s="33">
        <f t="shared" si="74"/>
        <v>0</v>
      </c>
      <c r="AG414" s="117" t="s">
        <v>3874</v>
      </c>
      <c r="AH414" s="66">
        <f t="shared" si="75"/>
        <v>0.57653022622380268</v>
      </c>
      <c r="AI414" s="283">
        <f>RTD("money.excel",,$G414,"PredictVolume")</f>
        <v>381</v>
      </c>
      <c r="AJ414" s="391">
        <f>IFERROR(VLOOKUP($G414,基本資料!$A:$M,13,0),"無")</f>
        <v>660.85</v>
      </c>
      <c r="AR414" s="245" t="str">
        <f>INDEX(基本資料!N:N,MATCH($G414,基本資料!A:A,0))</f>
        <v>低</v>
      </c>
    </row>
    <row r="415" spans="1:44">
      <c r="B415" s="80"/>
      <c r="C415" s="80"/>
      <c r="D415" s="79"/>
      <c r="E415" s="79"/>
      <c r="F415" s="57"/>
      <c r="G415" s="79"/>
      <c r="H415" s="145"/>
      <c r="I415" s="16"/>
      <c r="L415" s="2"/>
      <c r="R415" s="26"/>
      <c r="T415" s="66"/>
      <c r="V415" s="94"/>
      <c r="W415" s="36"/>
      <c r="X415" s="66"/>
      <c r="Y415" s="15"/>
      <c r="Z415" s="3"/>
      <c r="AC415" s="16"/>
      <c r="AF415" s="33"/>
      <c r="AG415" s="117"/>
      <c r="AH415" s="66" t="e">
        <f t="shared" si="75"/>
        <v>#DIV/0!</v>
      </c>
      <c r="AI415" s="283"/>
    </row>
    <row r="416" spans="1:44">
      <c r="A416" s="127" t="s">
        <v>3875</v>
      </c>
      <c r="B416" s="90" t="s">
        <v>3876</v>
      </c>
      <c r="C416" s="90" t="s">
        <v>3877</v>
      </c>
      <c r="D416" s="90" t="s">
        <v>3878</v>
      </c>
      <c r="E416" s="90" t="s">
        <v>3879</v>
      </c>
      <c r="F416" s="8" t="s">
        <v>3880</v>
      </c>
      <c r="G416" s="27" t="s">
        <v>3881</v>
      </c>
      <c r="H416" s="55" t="s">
        <v>320</v>
      </c>
      <c r="I416" s="8" t="s">
        <v>3882</v>
      </c>
      <c r="J416" s="8" t="s">
        <v>6211</v>
      </c>
      <c r="K416" s="5" t="s">
        <v>6212</v>
      </c>
      <c r="L416" s="334" t="s">
        <v>6197</v>
      </c>
      <c r="M416" s="335" t="s">
        <v>6198</v>
      </c>
      <c r="N416" s="336" t="s">
        <v>6199</v>
      </c>
      <c r="O416" s="89" t="s">
        <v>6275</v>
      </c>
      <c r="P416" s="292" t="s">
        <v>6274</v>
      </c>
      <c r="Q416" s="350" t="s">
        <v>6273</v>
      </c>
      <c r="R416" s="26" t="s">
        <v>6276</v>
      </c>
      <c r="S416" s="318" t="s">
        <v>4715</v>
      </c>
      <c r="T416" s="10" t="s">
        <v>3883</v>
      </c>
      <c r="U416" s="305" t="s">
        <v>4728</v>
      </c>
      <c r="V416" s="68" t="s">
        <v>3272</v>
      </c>
      <c r="W416" s="28" t="s">
        <v>2</v>
      </c>
      <c r="X416" s="17" t="s">
        <v>3884</v>
      </c>
      <c r="Y416" s="14" t="s">
        <v>3885</v>
      </c>
      <c r="Z416" s="21" t="s">
        <v>3886</v>
      </c>
      <c r="AA416" s="96" t="s">
        <v>6166</v>
      </c>
      <c r="AB416" s="378" t="s">
        <v>6404</v>
      </c>
      <c r="AC416" s="8" t="s">
        <v>3882</v>
      </c>
      <c r="AD416" s="71" t="s">
        <v>3887</v>
      </c>
      <c r="AE416" s="72" t="s">
        <v>3888</v>
      </c>
      <c r="AF416" s="32" t="s">
        <v>3889</v>
      </c>
      <c r="AG416" s="25" t="s">
        <v>6200</v>
      </c>
      <c r="AH416" s="8" t="s">
        <v>6696</v>
      </c>
      <c r="AI416" s="50" t="s">
        <v>3360</v>
      </c>
      <c r="AJ416" s="22" t="s">
        <v>6695</v>
      </c>
    </row>
    <row r="417" spans="1:44">
      <c r="A417" s="343">
        <f>IFERROR(VLOOKUP($G417,基本資料!$A:$J,3,0),"無")</f>
        <v>290</v>
      </c>
      <c r="B417" s="79">
        <f>IFERROR(VLOOKUP($G417,基本資料!$A:$J,4,0),"無")</f>
        <v>397</v>
      </c>
      <c r="C417" s="79">
        <f>IFERROR(VLOOKUP($G417,基本資料!$A:$J,5,0),"無")</f>
        <v>359</v>
      </c>
      <c r="D417" s="79">
        <f>IFERROR(VLOOKUP($G417,基本資料!$A:$J,6,0),"無")</f>
        <v>3</v>
      </c>
      <c r="E417" s="79">
        <f>IFERROR(VLOOKUP($G417,基本資料!$A:$J,7,0),"無")</f>
        <v>-20</v>
      </c>
      <c r="F417" s="6">
        <f>IFERROR(VLOOKUP($G417,基本資料!$A:$J,8,0),"無")</f>
        <v>20.62</v>
      </c>
      <c r="G417" s="79">
        <v>1802</v>
      </c>
      <c r="H417" s="8" t="s">
        <v>297</v>
      </c>
      <c r="I417" s="22" t="s">
        <v>3890</v>
      </c>
      <c r="J417" s="8">
        <f>IFERROR(VLOOKUP($G417,今日總結!$A:$AN,39,0),"")</f>
        <v>0</v>
      </c>
      <c r="K417" s="5" t="str">
        <f>IFERROR(VLOOKUP($G417,今日總結!$A:$AN,40,0),"")</f>
        <v>融</v>
      </c>
      <c r="L417" s="156">
        <f>IFERROR(VLOOKUP($G417,今日總結!$A:$AN,37,0),"")</f>
        <v>0</v>
      </c>
      <c r="M417" s="337">
        <f>IFERROR(VLOOKUP($G417,今日總結!$A:$AN,38,0),"")</f>
        <v>3</v>
      </c>
      <c r="N417" s="240">
        <f t="shared" ref="N417" si="77">IFERROR(L417-M417,"")</f>
        <v>-3</v>
      </c>
      <c r="O417" s="359">
        <f>IFERROR(VLOOKUP($G417,融外自投!$A:$J,7,0),"無")</f>
        <v>1050</v>
      </c>
      <c r="P417" s="79">
        <f>IFERROR(VLOOKUP($G417,融外自投!$A:$J,9,0),"無")</f>
        <v>696</v>
      </c>
      <c r="Q417" s="342">
        <f>IFERROR(VLOOKUP($G417,融外自投!$A:$J,8,0),"無")</f>
        <v>584</v>
      </c>
      <c r="R417" s="81">
        <f>IFERROR(VLOOKUP($G417,融外自投!$A:$J,10,0),"無")</f>
        <v>275</v>
      </c>
      <c r="S417" s="324">
        <f>IFERROR(VLOOKUP($G417,'321買'!$A:$E,4,0),"'沒有資料'")</f>
        <v>565</v>
      </c>
      <c r="T417" s="186">
        <f>IFERROR(VLOOKUP($G417,基本資料!$A:$J,9,0),"無")</f>
        <v>1.82</v>
      </c>
      <c r="U417" s="307">
        <f t="shared" ref="U417:U421" si="78">$T417/$W417</f>
        <v>8.8135593220338995E-2</v>
      </c>
      <c r="V417" s="94">
        <f>IFERROR(VLOOKUP($G417,基本資料!$A:$J,10,0),"無")</f>
        <v>3.95</v>
      </c>
      <c r="W417" s="36">
        <f>RTD("money.excel",,"1802","Price")</f>
        <v>20.65</v>
      </c>
      <c r="X417" s="66"/>
      <c r="Y417" s="15">
        <f>W417-X417</f>
        <v>20.65</v>
      </c>
      <c r="Z417" s="3" t="e">
        <f>Y417/X417</f>
        <v>#DIV/0!</v>
      </c>
      <c r="AA417" s="340">
        <f>IFERROR(VLOOKUP($G417,基本資料!$A:$M,11,0),"無")</f>
        <v>-56.89</v>
      </c>
      <c r="AB417" s="389">
        <f>IFERROR(VLOOKUP($G417,基本資料!$A:$M,12,0),"無")</f>
        <v>18.510000000000002</v>
      </c>
      <c r="AC417" s="22" t="s">
        <v>3890</v>
      </c>
      <c r="AF417" s="33">
        <f>AE417-AD417</f>
        <v>0</v>
      </c>
      <c r="AG417" s="117" t="s">
        <v>3891</v>
      </c>
      <c r="AH417" s="66">
        <f t="shared" si="75"/>
        <v>0.62462893053579638</v>
      </c>
      <c r="AI417" s="283">
        <f>RTD("money.excel",,$G417,"PredictVolume")</f>
        <v>2788</v>
      </c>
      <c r="AJ417" s="391">
        <f>IFERROR(VLOOKUP($G417,基本資料!$A:$M,13,0),"無")</f>
        <v>4463.45</v>
      </c>
      <c r="AR417" s="245" t="str">
        <f>INDEX(基本資料!N:N,MATCH($G417,基本資料!A:A,0))</f>
        <v>低</v>
      </c>
    </row>
    <row r="418" spans="1:44">
      <c r="A418" s="343">
        <f>IFERROR(VLOOKUP($G418,基本資料!$A:$J,3,0),"無")</f>
        <v>43.37</v>
      </c>
      <c r="B418" s="79">
        <f>IFERROR(VLOOKUP($G418,基本資料!$A:$J,4,0),"無")</f>
        <v>346</v>
      </c>
      <c r="C418" s="79">
        <f>IFERROR(VLOOKUP($G418,基本資料!$A:$J,5,0),"無")</f>
        <v>106</v>
      </c>
      <c r="D418" s="79">
        <f>IFERROR(VLOOKUP($G418,基本資料!$A:$J,6,0),"無")</f>
        <v>-3</v>
      </c>
      <c r="E418" s="79">
        <f>IFERROR(VLOOKUP($G418,基本資料!$A:$J,7,0),"無")</f>
        <v>9</v>
      </c>
      <c r="F418" s="6">
        <f>IFERROR(VLOOKUP($G418,基本資料!$A:$J,8,0),"無")</f>
        <v>0.67</v>
      </c>
      <c r="G418" s="79">
        <v>1806</v>
      </c>
      <c r="H418" s="8" t="s">
        <v>297</v>
      </c>
      <c r="I418" s="22" t="s">
        <v>3892</v>
      </c>
      <c r="J418" s="8">
        <f>IFERROR(VLOOKUP($G418,今日總結!$A:$AN,39,0),"")</f>
        <v>0</v>
      </c>
      <c r="K418" s="5">
        <f>IFERROR(VLOOKUP($G418,今日總結!$A:$AN,40,0),"")</f>
        <v>0</v>
      </c>
      <c r="L418" s="156">
        <f>IFERROR(VLOOKUP($G418,今日總結!$A:$AN,37,0),"")</f>
        <v>0</v>
      </c>
      <c r="M418" s="337">
        <f>IFERROR(VLOOKUP($G418,今日總結!$A:$AN,38,0),"")</f>
        <v>0</v>
      </c>
      <c r="N418" s="240">
        <f t="shared" ref="N418:N421" si="79">IFERROR(L418-M418,"")</f>
        <v>0</v>
      </c>
      <c r="O418" s="359">
        <f>IFERROR(VLOOKUP($G418,融外自投!$A:$J,7,0),"無")</f>
        <v>706</v>
      </c>
      <c r="P418" s="79">
        <f>IFERROR(VLOOKUP($G418,融外自投!$A:$J,9,0),"無")</f>
        <v>1051</v>
      </c>
      <c r="Q418" s="342">
        <f>IFERROR(VLOOKUP($G418,融外自投!$A:$J,8,0),"無")</f>
        <v>515</v>
      </c>
      <c r="R418" s="81">
        <f>IFERROR(VLOOKUP($G418,融外自投!$A:$J,10,0),"無")</f>
        <v>358</v>
      </c>
      <c r="S418" s="324">
        <f>IFERROR(VLOOKUP($G418,'321買'!$A:$E,4,0),"'沒有資料'")</f>
        <v>1002</v>
      </c>
      <c r="T418" s="186">
        <f>IFERROR(VLOOKUP($G418,基本資料!$A:$J,9,0),"無")</f>
        <v>1</v>
      </c>
      <c r="U418" s="307">
        <f t="shared" si="78"/>
        <v>9.0909090909090912E-2</v>
      </c>
      <c r="V418" s="94">
        <f>IFERROR(VLOOKUP($G418,基本資料!$A:$J,10,0),"無")</f>
        <v>2.29</v>
      </c>
      <c r="W418" s="36">
        <f>RTD("money.excel",,"1806","Price")</f>
        <v>11</v>
      </c>
      <c r="X418" s="66"/>
      <c r="Y418" s="15">
        <f>W418-X418</f>
        <v>11</v>
      </c>
      <c r="Z418" s="3" t="e">
        <f>Y418/X418</f>
        <v>#DIV/0!</v>
      </c>
      <c r="AA418" s="340">
        <f>IFERROR(VLOOKUP($G418,基本資料!$A:$M,11,0),"無")</f>
        <v>-24.14</v>
      </c>
      <c r="AB418" s="389">
        <f>IFERROR(VLOOKUP($G418,基本資料!$A:$M,12,0),"無")</f>
        <v>26.95</v>
      </c>
      <c r="AC418" s="22" t="s">
        <v>3892</v>
      </c>
      <c r="AF418" s="33">
        <f>AE418-AD418</f>
        <v>0</v>
      </c>
      <c r="AG418" s="43" t="s">
        <v>3893</v>
      </c>
      <c r="AH418" s="66">
        <f t="shared" si="75"/>
        <v>0.57224606580829762</v>
      </c>
      <c r="AI418" s="283">
        <f>RTD("money.excel",,$G418,"PredictVolume")</f>
        <v>480</v>
      </c>
      <c r="AJ418" s="391">
        <f>IFERROR(VLOOKUP($G418,基本資料!$A:$M,13,0),"無")</f>
        <v>838.8</v>
      </c>
      <c r="AR418" s="245" t="str">
        <f>INDEX(基本資料!N:N,MATCH($G418,基本資料!A:A,0))</f>
        <v>低</v>
      </c>
    </row>
    <row r="419" spans="1:44">
      <c r="A419" s="343">
        <f>IFERROR(VLOOKUP($G419,基本資料!$A:$J,3,0),"無")</f>
        <v>16.7</v>
      </c>
      <c r="B419" s="79">
        <f>IFERROR(VLOOKUP($G419,基本資料!$A:$J,4,0),"無")</f>
        <v>130</v>
      </c>
      <c r="C419" s="79">
        <f>IFERROR(VLOOKUP($G419,基本資料!$A:$J,5,0),"無")</f>
        <v>86</v>
      </c>
      <c r="D419" s="79">
        <f>IFERROR(VLOOKUP($G419,基本資料!$A:$J,6,0),"無")</f>
        <v>-8</v>
      </c>
      <c r="E419" s="79">
        <f>IFERROR(VLOOKUP($G419,基本資料!$A:$J,7,0),"無")</f>
        <v>26</v>
      </c>
      <c r="F419" s="6">
        <f>IFERROR(VLOOKUP($G419,基本資料!$A:$J,8,0),"無")</f>
        <v>-0.63</v>
      </c>
      <c r="G419" s="79">
        <v>1809</v>
      </c>
      <c r="H419" s="8" t="s">
        <v>297</v>
      </c>
      <c r="I419" s="22" t="s">
        <v>3894</v>
      </c>
      <c r="J419" s="8">
        <f>IFERROR(VLOOKUP($G419,今日總結!$A:$AN,39,0),"")</f>
        <v>0</v>
      </c>
      <c r="K419" s="5" t="str">
        <f>IFERROR(VLOOKUP($G419,今日總結!$A:$AN,40,0),"")</f>
        <v>融</v>
      </c>
      <c r="L419" s="156">
        <f>IFERROR(VLOOKUP($G419,今日總結!$A:$AN,37,0),"")</f>
        <v>0</v>
      </c>
      <c r="M419" s="337">
        <f>IFERROR(VLOOKUP($G419,今日總結!$A:$AN,38,0),"")</f>
        <v>2</v>
      </c>
      <c r="N419" s="240">
        <f t="shared" si="79"/>
        <v>-2</v>
      </c>
      <c r="O419" s="359">
        <f>IFERROR(VLOOKUP($G419,融外自投!$A:$J,7,0),"無")</f>
        <v>402</v>
      </c>
      <c r="P419" s="79">
        <f>IFERROR(VLOOKUP($G419,融外自投!$A:$J,9,0),"無")</f>
        <v>990</v>
      </c>
      <c r="Q419" s="342">
        <f>IFERROR(VLOOKUP($G419,融外自投!$A:$J,8,0),"無")</f>
        <v>997</v>
      </c>
      <c r="R419" s="81" t="str">
        <f>IFERROR(VLOOKUP($G419,融外自投!$A:$J,10,0),"無")</f>
        <v>無</v>
      </c>
      <c r="S419" s="324">
        <f>IFERROR(VLOOKUP($G419,'321買'!$A:$E,4,0),"'沒有資料'")</f>
        <v>411</v>
      </c>
      <c r="T419" s="186">
        <f>IFERROR(VLOOKUP($G419,基本資料!$A:$J,9,0),"無")</f>
        <v>0.25</v>
      </c>
      <c r="U419" s="307">
        <f t="shared" si="78"/>
        <v>2.0408163265306121E-2</v>
      </c>
      <c r="V419" s="94">
        <f>IFERROR(VLOOKUP($G419,基本資料!$A:$J,10,0),"無")</f>
        <v>0.25</v>
      </c>
      <c r="W419" s="36">
        <f>RTD("money.excel",,"1809","Price")</f>
        <v>12.25</v>
      </c>
      <c r="X419" s="66"/>
      <c r="Y419" s="15">
        <f>W419-X419</f>
        <v>12.25</v>
      </c>
      <c r="Z419" s="3" t="e">
        <f>Y419/X419</f>
        <v>#DIV/0!</v>
      </c>
      <c r="AA419" s="340">
        <f>IFERROR(VLOOKUP($G419,基本資料!$A:$M,11,0),"無")</f>
        <v>-30</v>
      </c>
      <c r="AB419" s="389">
        <f>IFERROR(VLOOKUP($G419,基本資料!$A:$M,12,0),"無")</f>
        <v>12.22</v>
      </c>
      <c r="AC419" s="22" t="s">
        <v>3894</v>
      </c>
      <c r="AF419" s="33">
        <f>AE419-AD419</f>
        <v>0</v>
      </c>
      <c r="AG419" s="43" t="s">
        <v>3895</v>
      </c>
      <c r="AH419" s="66">
        <f t="shared" si="75"/>
        <v>0.39879879879879881</v>
      </c>
      <c r="AI419" s="283">
        <f>RTD("money.excel",,$G419,"PredictVolume")</f>
        <v>166</v>
      </c>
      <c r="AJ419" s="391">
        <f>IFERROR(VLOOKUP($G419,基本資料!$A:$M,13,0),"無")</f>
        <v>416.25</v>
      </c>
      <c r="AR419" s="245" t="str">
        <f>INDEX(基本資料!N:N,MATCH($G419,基本資料!A:A,0))</f>
        <v>低</v>
      </c>
    </row>
    <row r="420" spans="1:44">
      <c r="A420" s="343">
        <f>IFERROR(VLOOKUP($G420,基本資料!$A:$J,3,0),"無")</f>
        <v>36.979999999999997</v>
      </c>
      <c r="B420" s="79">
        <f>IFERROR(VLOOKUP($G420,基本資料!$A:$J,4,0),"無")</f>
        <v>2098</v>
      </c>
      <c r="C420" s="79">
        <f>IFERROR(VLOOKUP($G420,基本資料!$A:$J,5,0),"無")</f>
        <v>35940</v>
      </c>
      <c r="D420" s="79">
        <f>IFERROR(VLOOKUP($G420,基本資料!$A:$J,6,0),"無")</f>
        <v>-14</v>
      </c>
      <c r="E420" s="79">
        <f>IFERROR(VLOOKUP($G420,基本資料!$A:$J,7,0),"無")</f>
        <v>-13</v>
      </c>
      <c r="F420" s="6">
        <f>IFERROR(VLOOKUP($G420,基本資料!$A:$J,8,0),"無")</f>
        <v>1.25</v>
      </c>
      <c r="G420" s="79">
        <v>1810</v>
      </c>
      <c r="H420" s="8" t="s">
        <v>297</v>
      </c>
      <c r="I420" s="22" t="s">
        <v>3896</v>
      </c>
      <c r="J420" s="8">
        <f>IFERROR(VLOOKUP($G420,今日總結!$A:$AN,39,0),"")</f>
        <v>0</v>
      </c>
      <c r="K420" s="5" t="str">
        <f>IFERROR(VLOOKUP($G420,今日總結!$A:$AN,40,0),"")</f>
        <v>借</v>
      </c>
      <c r="L420" s="156">
        <f>IFERROR(VLOOKUP($G420,今日總結!$A:$AN,37,0),"")</f>
        <v>0</v>
      </c>
      <c r="M420" s="337">
        <f>IFERROR(VLOOKUP($G420,今日總結!$A:$AN,38,0),"")</f>
        <v>6</v>
      </c>
      <c r="N420" s="240">
        <f t="shared" si="79"/>
        <v>-6</v>
      </c>
      <c r="O420" s="359">
        <f>IFERROR(VLOOKUP($G420,融外自投!$A:$J,7,0),"無")</f>
        <v>99</v>
      </c>
      <c r="P420" s="79" t="str">
        <f>IFERROR(VLOOKUP($G420,融外自投!$A:$J,9,0),"無")</f>
        <v>無</v>
      </c>
      <c r="Q420" s="342">
        <f>IFERROR(VLOOKUP($G420,融外自投!$A:$J,8,0),"無")</f>
        <v>758</v>
      </c>
      <c r="R420" s="81" t="str">
        <f>IFERROR(VLOOKUP($G420,融外自投!$A:$J,10,0),"無")</f>
        <v>無</v>
      </c>
      <c r="S420" s="324">
        <f>IFERROR(VLOOKUP($G420,'321買'!$A:$E,4,0),"'沒有資料'")</f>
        <v>743</v>
      </c>
      <c r="T420" s="186">
        <f>IFERROR(VLOOKUP($G420,基本資料!$A:$J,9,0),"無")</f>
        <v>0.2</v>
      </c>
      <c r="U420" s="307">
        <f t="shared" si="78"/>
        <v>1.5936254980079681E-2</v>
      </c>
      <c r="V420" s="94">
        <f>IFERROR(VLOOKUP($G420,基本資料!$A:$J,10,0),"無")</f>
        <v>3.33</v>
      </c>
      <c r="W420" s="36">
        <f>RTD("money.excel",,"1810","Price")</f>
        <v>12.55</v>
      </c>
      <c r="X420" s="66"/>
      <c r="Y420" s="15">
        <f>W420-X420</f>
        <v>12.55</v>
      </c>
      <c r="Z420" s="3" t="e">
        <f>Y420/X420</f>
        <v>#DIV/0!</v>
      </c>
      <c r="AA420" s="340">
        <f>IFERROR(VLOOKUP($G420,基本資料!$A:$M,11,0),"無")</f>
        <v>-31.42</v>
      </c>
      <c r="AB420" s="389">
        <f>IFERROR(VLOOKUP($G420,基本資料!$A:$M,12,0),"無")</f>
        <v>13.5</v>
      </c>
      <c r="AC420" s="22" t="s">
        <v>3896</v>
      </c>
      <c r="AF420" s="33">
        <f>AE420-AD420</f>
        <v>0</v>
      </c>
      <c r="AG420" s="43" t="s">
        <v>3897</v>
      </c>
      <c r="AH420" s="66">
        <f t="shared" si="75"/>
        <v>0.53070507960576196</v>
      </c>
      <c r="AI420" s="283">
        <f>RTD("money.excel",,$G420,"PredictVolume")</f>
        <v>490</v>
      </c>
      <c r="AJ420" s="391">
        <f>IFERROR(VLOOKUP($G420,基本資料!$A:$M,13,0),"無")</f>
        <v>923.3</v>
      </c>
      <c r="AR420" s="245" t="str">
        <f>INDEX(基本資料!N:N,MATCH($G420,基本資料!A:A,0))</f>
        <v>低</v>
      </c>
    </row>
    <row r="421" spans="1:44">
      <c r="A421" s="343">
        <f>IFERROR(VLOOKUP($G421,基本資料!$A:$J,3,0),"無")</f>
        <v>7.26</v>
      </c>
      <c r="B421" s="79">
        <f>IFERROR(VLOOKUP($G421,基本資料!$A:$J,4,0),"無")</f>
        <v>2</v>
      </c>
      <c r="C421" s="79">
        <f>IFERROR(VLOOKUP($G421,基本資料!$A:$J,5,0),"無")</f>
        <v>-1</v>
      </c>
      <c r="D421" s="79">
        <f>IFERROR(VLOOKUP($G421,基本資料!$A:$J,6,0),"無")</f>
        <v>-11</v>
      </c>
      <c r="E421" s="79">
        <f>IFERROR(VLOOKUP($G421,基本資料!$A:$J,7,0),"無")</f>
        <v>16</v>
      </c>
      <c r="F421" s="6">
        <f>IFERROR(VLOOKUP($G421,基本資料!$A:$J,8,0),"無")</f>
        <v>12.01</v>
      </c>
      <c r="G421" s="79">
        <v>1817</v>
      </c>
      <c r="H421" s="8" t="s">
        <v>297</v>
      </c>
      <c r="I421" s="22" t="s">
        <v>3898</v>
      </c>
      <c r="J421" s="8">
        <f>IFERROR(VLOOKUP($G421,今日總結!$A:$AN,39,0),"")</f>
        <v>0</v>
      </c>
      <c r="K421" s="5">
        <f>IFERROR(VLOOKUP($G421,今日總結!$A:$AN,40,0),"")</f>
        <v>0</v>
      </c>
      <c r="L421" s="156">
        <f>IFERROR(VLOOKUP($G421,今日總結!$A:$AN,37,0),"")</f>
        <v>0</v>
      </c>
      <c r="M421" s="337">
        <f>IFERROR(VLOOKUP($G421,今日總結!$A:$AN,38,0),"")</f>
        <v>0</v>
      </c>
      <c r="N421" s="240">
        <f t="shared" si="79"/>
        <v>0</v>
      </c>
      <c r="O421" s="359">
        <f>IFERROR(VLOOKUP($G421,融外自投!$A:$J,7,0),"無")</f>
        <v>281</v>
      </c>
      <c r="P421" s="79">
        <f>IFERROR(VLOOKUP($G421,融外自投!$A:$J,9,0),"無")</f>
        <v>451</v>
      </c>
      <c r="Q421" s="342">
        <f>IFERROR(VLOOKUP($G421,融外自投!$A:$J,8,0),"無")</f>
        <v>1035</v>
      </c>
      <c r="R421" s="81">
        <f>IFERROR(VLOOKUP($G421,融外自投!$A:$J,10,0),"無")</f>
        <v>348</v>
      </c>
      <c r="S421" s="324">
        <f>IFERROR(VLOOKUP($G421,'321買'!$A:$E,4,0),"'沒有資料'")</f>
        <v>743</v>
      </c>
      <c r="T421" s="186">
        <f>IFERROR(VLOOKUP($G421,基本資料!$A:$J,9,0),"無")</f>
        <v>2</v>
      </c>
      <c r="U421" s="307">
        <f t="shared" si="78"/>
        <v>5.7553956834532377E-2</v>
      </c>
      <c r="V421" s="94">
        <f>IFERROR(VLOOKUP($G421,基本資料!$A:$J,10,0),"無")</f>
        <v>3.07</v>
      </c>
      <c r="W421" s="36">
        <f>RTD("money.excel",,"1817","Price")</f>
        <v>34.75</v>
      </c>
      <c r="X421" s="66"/>
      <c r="Y421" s="15">
        <f>W421-X421</f>
        <v>34.75</v>
      </c>
      <c r="Z421" s="3" t="e">
        <f>Y421/X421</f>
        <v>#DIV/0!</v>
      </c>
      <c r="AA421" s="340">
        <f>IFERROR(VLOOKUP($G421,基本資料!$A:$M,11,0),"無")</f>
        <v>-17.36</v>
      </c>
      <c r="AB421" s="389">
        <f>IFERROR(VLOOKUP($G421,基本資料!$A:$M,12,0),"無")</f>
        <v>14.8</v>
      </c>
      <c r="AC421" s="22" t="s">
        <v>3898</v>
      </c>
      <c r="AF421" s="33">
        <f>AE421-AD421</f>
        <v>0</v>
      </c>
      <c r="AG421" s="43" t="s">
        <v>3897</v>
      </c>
      <c r="AH421" s="66">
        <f t="shared" si="75"/>
        <v>1.1846250787649655</v>
      </c>
      <c r="AI421" s="283">
        <f>RTD("money.excel",,$G421,"PredictVolume")</f>
        <v>94</v>
      </c>
      <c r="AJ421" s="391">
        <f>IFERROR(VLOOKUP($G421,基本資料!$A:$M,13,0),"無")</f>
        <v>79.349999999999994</v>
      </c>
      <c r="AR421" s="245" t="str">
        <f>INDEX(基本資料!N:N,MATCH($G421,基本資料!A:A,0))</f>
        <v>低</v>
      </c>
    </row>
    <row r="422" spans="1:44">
      <c r="B422" s="90"/>
      <c r="C422" s="90"/>
      <c r="D422" s="90"/>
      <c r="E422" s="90"/>
      <c r="F422" s="57"/>
      <c r="G422" s="79"/>
      <c r="H422" s="8"/>
      <c r="I422" s="22"/>
      <c r="L422" s="2"/>
      <c r="O422" s="359"/>
      <c r="P422" s="79"/>
      <c r="Q422" s="342"/>
      <c r="R422" s="81"/>
      <c r="T422" s="34"/>
      <c r="V422" s="94"/>
      <c r="W422" s="36"/>
      <c r="X422" s="66"/>
      <c r="Y422" s="15"/>
      <c r="Z422" s="3"/>
      <c r="AC422" s="22"/>
      <c r="AF422" s="33"/>
      <c r="AG422" s="43"/>
      <c r="AH422" s="66" t="e">
        <f t="shared" si="75"/>
        <v>#DIV/0!</v>
      </c>
      <c r="AI422" s="283"/>
    </row>
    <row r="423" spans="1:44">
      <c r="A423" s="127" t="s">
        <v>3875</v>
      </c>
      <c r="B423" s="90" t="s">
        <v>3876</v>
      </c>
      <c r="C423" s="90" t="s">
        <v>3877</v>
      </c>
      <c r="D423" s="90" t="s">
        <v>3878</v>
      </c>
      <c r="E423" s="90" t="s">
        <v>3879</v>
      </c>
      <c r="F423" s="8" t="s">
        <v>3880</v>
      </c>
      <c r="G423" s="27" t="s">
        <v>1867</v>
      </c>
      <c r="H423" s="55" t="s">
        <v>320</v>
      </c>
      <c r="I423" s="8" t="s">
        <v>3899</v>
      </c>
      <c r="J423" s="8" t="s">
        <v>6211</v>
      </c>
      <c r="K423" s="5" t="s">
        <v>6212</v>
      </c>
      <c r="L423" s="334" t="s">
        <v>6197</v>
      </c>
      <c r="M423" s="335" t="s">
        <v>6198</v>
      </c>
      <c r="N423" s="336" t="s">
        <v>6199</v>
      </c>
      <c r="O423" s="89" t="s">
        <v>6275</v>
      </c>
      <c r="P423" s="292" t="s">
        <v>6274</v>
      </c>
      <c r="Q423" s="350" t="s">
        <v>6273</v>
      </c>
      <c r="R423" s="26" t="s">
        <v>6276</v>
      </c>
      <c r="S423" s="318" t="s">
        <v>4715</v>
      </c>
      <c r="T423" s="10" t="s">
        <v>3883</v>
      </c>
      <c r="U423" s="305" t="s">
        <v>4728</v>
      </c>
      <c r="V423" s="68" t="s">
        <v>3272</v>
      </c>
      <c r="W423" s="28" t="s">
        <v>2</v>
      </c>
      <c r="X423" s="17" t="s">
        <v>3884</v>
      </c>
      <c r="Y423" s="14" t="s">
        <v>3885</v>
      </c>
      <c r="Z423" s="21" t="s">
        <v>3886</v>
      </c>
      <c r="AA423" s="96" t="s">
        <v>6166</v>
      </c>
      <c r="AB423" s="378" t="s">
        <v>6404</v>
      </c>
      <c r="AC423" s="8" t="s">
        <v>3899</v>
      </c>
      <c r="AD423" s="71" t="s">
        <v>3887</v>
      </c>
      <c r="AE423" s="72" t="s">
        <v>3888</v>
      </c>
      <c r="AF423" s="32" t="s">
        <v>3889</v>
      </c>
      <c r="AG423" s="25" t="s">
        <v>6200</v>
      </c>
      <c r="AH423" s="8" t="s">
        <v>6696</v>
      </c>
      <c r="AI423" s="50" t="s">
        <v>3360</v>
      </c>
      <c r="AJ423" s="22" t="s">
        <v>6695</v>
      </c>
    </row>
    <row r="424" spans="1:44">
      <c r="A424" s="343">
        <f>IFERROR(VLOOKUP($G424,基本資料!$A:$J,3,0),"無")</f>
        <v>26</v>
      </c>
      <c r="B424" s="79">
        <f>IFERROR(VLOOKUP($G424,基本資料!$A:$J,4,0),"無")</f>
        <v>162</v>
      </c>
      <c r="C424" s="79">
        <f>IFERROR(VLOOKUP($G424,基本資料!$A:$J,5,0),"無")</f>
        <v>82</v>
      </c>
      <c r="D424" s="79">
        <f>IFERROR(VLOOKUP($G424,基本資料!$A:$J,6,0),"無")</f>
        <v>-30</v>
      </c>
      <c r="E424" s="79">
        <f>IFERROR(VLOOKUP($G424,基本資料!$A:$J,7,0),"無")</f>
        <v>-15</v>
      </c>
      <c r="F424" s="6">
        <f>IFERROR(VLOOKUP($G424,基本資料!$A:$J,8,0),"無")</f>
        <v>-8.15</v>
      </c>
      <c r="G424" s="79">
        <v>1903</v>
      </c>
      <c r="H424" s="8" t="s">
        <v>298</v>
      </c>
      <c r="I424" s="22" t="s">
        <v>3900</v>
      </c>
      <c r="J424" s="8">
        <f>IFERROR(VLOOKUP($G424,今日總結!$A:$AN,39,0),"")</f>
        <v>0</v>
      </c>
      <c r="K424" s="5" t="str">
        <f>IFERROR(VLOOKUP($G424,今日總結!$A:$AN,40,0),"")</f>
        <v>借</v>
      </c>
      <c r="L424" s="156">
        <f>IFERROR(VLOOKUP($G424,今日總結!$A:$AN,37,0),"")</f>
        <v>0</v>
      </c>
      <c r="M424" s="337">
        <f>IFERROR(VLOOKUP($G424,今日總結!$A:$AN,38,0),"")</f>
        <v>9</v>
      </c>
      <c r="N424" s="240">
        <f t="shared" ref="N424" si="80">IFERROR(L424-M424,"")</f>
        <v>-9</v>
      </c>
      <c r="O424" s="359">
        <f>IFERROR(VLOOKUP($G424,融外自投!$A:$J,7,0),"無")</f>
        <v>928</v>
      </c>
      <c r="P424" s="79" t="str">
        <f>IFERROR(VLOOKUP($G424,融外自投!$A:$J,9,0),"無")</f>
        <v>無</v>
      </c>
      <c r="Q424" s="342">
        <f>IFERROR(VLOOKUP($G424,融外自投!$A:$J,8,0),"無")</f>
        <v>297</v>
      </c>
      <c r="R424" s="81" t="str">
        <f>IFERROR(VLOOKUP($G424,融外自投!$A:$J,10,0),"無")</f>
        <v>無</v>
      </c>
      <c r="S424" s="324">
        <f>IFERROR(VLOOKUP($G424,'321買'!$A:$E,4,0),"'沒有資料'")</f>
        <v>1002</v>
      </c>
      <c r="T424" s="186">
        <f>IFERROR(VLOOKUP($G424,基本資料!$A:$J,9,0),"無")</f>
        <v>0</v>
      </c>
      <c r="U424" s="307">
        <f t="shared" ref="U424:U429" si="81">$T424/$W424</f>
        <v>0</v>
      </c>
      <c r="V424" s="94">
        <f>IFERROR(VLOOKUP($G424,基本資料!$A:$J,10,0),"無")</f>
        <v>0.32</v>
      </c>
      <c r="W424" s="36">
        <f>RTD("money.excel",,"1903","Price")</f>
        <v>55.9</v>
      </c>
      <c r="X424" s="66"/>
      <c r="Y424" s="15">
        <f t="shared" ref="Y424:Y429" si="82">W424-X424</f>
        <v>55.9</v>
      </c>
      <c r="Z424" s="3" t="e">
        <f t="shared" ref="Z424:Z429" si="83">Y424/X424</f>
        <v>#DIV/0!</v>
      </c>
      <c r="AA424" s="340">
        <f>IFERROR(VLOOKUP($G424,基本資料!$A:$M,11,0),"無")</f>
        <v>-29.06</v>
      </c>
      <c r="AB424" s="389">
        <f>IFERROR(VLOOKUP($G424,基本資料!$A:$M,12,0),"無")</f>
        <v>15.83</v>
      </c>
      <c r="AC424" s="22" t="s">
        <v>3900</v>
      </c>
      <c r="AF424" s="33">
        <f t="shared" ref="AF424:AF429" si="84">AE424-AD424</f>
        <v>0</v>
      </c>
      <c r="AG424" s="43" t="s">
        <v>3901</v>
      </c>
      <c r="AH424" s="66">
        <f t="shared" si="75"/>
        <v>1.5591985428051003</v>
      </c>
      <c r="AI424" s="283">
        <f>RTD("money.excel",,$G424,"PredictVolume")</f>
        <v>214</v>
      </c>
      <c r="AJ424" s="391">
        <f>IFERROR(VLOOKUP($G424,基本資料!$A:$M,13,0),"無")</f>
        <v>137.25</v>
      </c>
      <c r="AR424" s="245" t="str">
        <f>INDEX(基本資料!N:N,MATCH($G424,基本資料!A:A,0))</f>
        <v>低</v>
      </c>
    </row>
    <row r="425" spans="1:44">
      <c r="A425" s="343">
        <f>IFERROR(VLOOKUP($G425,基本資料!$A:$J,3,0),"無")</f>
        <v>110</v>
      </c>
      <c r="B425" s="79">
        <f>IFERROR(VLOOKUP($G425,基本資料!$A:$J,4,0),"無")</f>
        <v>7</v>
      </c>
      <c r="C425" s="79">
        <f>IFERROR(VLOOKUP($G425,基本資料!$A:$J,5,0),"無")</f>
        <v>-8</v>
      </c>
      <c r="D425" s="79">
        <f>IFERROR(VLOOKUP($G425,基本資料!$A:$J,6,0),"無")</f>
        <v>-5</v>
      </c>
      <c r="E425" s="79">
        <f>IFERROR(VLOOKUP($G425,基本資料!$A:$J,7,0),"無")</f>
        <v>3</v>
      </c>
      <c r="F425" s="6">
        <f>IFERROR(VLOOKUP($G425,基本資料!$A:$J,8,0),"無")</f>
        <v>10.17</v>
      </c>
      <c r="G425" s="79">
        <v>1904</v>
      </c>
      <c r="H425" s="8" t="s">
        <v>298</v>
      </c>
      <c r="I425" s="22" t="s">
        <v>3902</v>
      </c>
      <c r="J425" s="8">
        <f>IFERROR(VLOOKUP($G425,今日總結!$A:$AN,39,0),"")</f>
        <v>0</v>
      </c>
      <c r="K425" s="5" t="str">
        <f>IFERROR(VLOOKUP($G425,今日總結!$A:$AN,40,0),"")</f>
        <v>主券</v>
      </c>
      <c r="L425" s="156">
        <f>IFERROR(VLOOKUP($G425,今日總結!$A:$AN,37,0),"")</f>
        <v>0</v>
      </c>
      <c r="M425" s="337">
        <f>IFERROR(VLOOKUP($G425,今日總結!$A:$AN,38,0),"")</f>
        <v>9</v>
      </c>
      <c r="N425" s="240">
        <f t="shared" ref="N425:N429" si="85">IFERROR(L425-M425,"")</f>
        <v>-9</v>
      </c>
      <c r="O425" s="359">
        <f>IFERROR(VLOOKUP($G425,融外自投!$A:$J,7,0),"無")</f>
        <v>1191</v>
      </c>
      <c r="P425" s="79">
        <f>IFERROR(VLOOKUP($G425,融外自投!$A:$J,9,0),"無")</f>
        <v>908</v>
      </c>
      <c r="Q425" s="342">
        <f>IFERROR(VLOOKUP($G425,融外自投!$A:$J,8,0),"無")</f>
        <v>596</v>
      </c>
      <c r="R425" s="81">
        <f>IFERROR(VLOOKUP($G425,融外自投!$A:$J,10,0),"無")</f>
        <v>281</v>
      </c>
      <c r="S425" s="324">
        <f>IFERROR(VLOOKUP($G425,'321買'!$A:$E,4,0),"'沒有資料'")</f>
        <v>606</v>
      </c>
      <c r="T425" s="186">
        <f>IFERROR(VLOOKUP($G425,基本資料!$A:$J,9,0),"無")</f>
        <v>1.9</v>
      </c>
      <c r="U425" s="307">
        <f t="shared" si="81"/>
        <v>6.3018242122719739E-2</v>
      </c>
      <c r="V425" s="94">
        <f>IFERROR(VLOOKUP($G425,基本資料!$A:$J,10,0),"無")</f>
        <v>3.58</v>
      </c>
      <c r="W425" s="36">
        <f>RTD("money.excel",,"1904","Price")</f>
        <v>30.15</v>
      </c>
      <c r="X425" s="66"/>
      <c r="Y425" s="15">
        <f t="shared" si="82"/>
        <v>30.15</v>
      </c>
      <c r="Z425" s="3" t="e">
        <f t="shared" si="83"/>
        <v>#DIV/0!</v>
      </c>
      <c r="AA425" s="340">
        <f>IFERROR(VLOOKUP($G425,基本資料!$A:$M,11,0),"無")</f>
        <v>-41.46</v>
      </c>
      <c r="AB425" s="389">
        <f>IFERROR(VLOOKUP($G425,基本資料!$A:$M,12,0),"無")</f>
        <v>12.33</v>
      </c>
      <c r="AC425" s="22" t="s">
        <v>3902</v>
      </c>
      <c r="AF425" s="33">
        <f t="shared" si="84"/>
        <v>0</v>
      </c>
      <c r="AG425" s="117" t="s">
        <v>3903</v>
      </c>
      <c r="AH425" s="66">
        <f t="shared" si="75"/>
        <v>1.0856963106098054</v>
      </c>
      <c r="AI425" s="283">
        <f>RTD("money.excel",,$G425,"PredictVolume")</f>
        <v>2416</v>
      </c>
      <c r="AJ425" s="391">
        <f>IFERROR(VLOOKUP($G425,基本資料!$A:$M,13,0),"無")</f>
        <v>2225.3000000000002</v>
      </c>
      <c r="AR425" s="245" t="str">
        <f>INDEX(基本資料!N:N,MATCH($G425,基本資料!A:A,0))</f>
        <v>低</v>
      </c>
    </row>
    <row r="426" spans="1:44">
      <c r="A426" s="343">
        <f>IFERROR(VLOOKUP($G426,基本資料!$A:$J,3,0),"無")</f>
        <v>110</v>
      </c>
      <c r="B426" s="79">
        <f>IFERROR(VLOOKUP($G426,基本資料!$A:$J,4,0),"無")</f>
        <v>248</v>
      </c>
      <c r="C426" s="79">
        <f>IFERROR(VLOOKUP($G426,基本資料!$A:$J,5,0),"無")</f>
        <v>169</v>
      </c>
      <c r="D426" s="79">
        <f>IFERROR(VLOOKUP($G426,基本資料!$A:$J,6,0),"無")</f>
        <v>-13</v>
      </c>
      <c r="E426" s="79">
        <f>IFERROR(VLOOKUP($G426,基本資料!$A:$J,7,0),"無")</f>
        <v>-1</v>
      </c>
      <c r="F426" s="6">
        <f>IFERROR(VLOOKUP($G426,基本資料!$A:$J,8,0),"無")</f>
        <v>1.24</v>
      </c>
      <c r="G426" s="79">
        <v>1905</v>
      </c>
      <c r="H426" s="8" t="s">
        <v>298</v>
      </c>
      <c r="I426" s="22" t="s">
        <v>3904</v>
      </c>
      <c r="J426" s="8">
        <f>IFERROR(VLOOKUP($G426,今日總結!$A:$AN,39,0),"")</f>
        <v>0</v>
      </c>
      <c r="K426" s="5" t="str">
        <f>IFERROR(VLOOKUP($G426,今日總結!$A:$AN,40,0),"")</f>
        <v>主</v>
      </c>
      <c r="L426" s="156">
        <f>IFERROR(VLOOKUP($G426,今日總結!$A:$AN,37,0),"")</f>
        <v>0</v>
      </c>
      <c r="M426" s="337">
        <f>IFERROR(VLOOKUP($G426,今日總結!$A:$AN,38,0),"")</f>
        <v>1</v>
      </c>
      <c r="N426" s="240">
        <f t="shared" si="85"/>
        <v>-1</v>
      </c>
      <c r="O426" s="359">
        <f>IFERROR(VLOOKUP($G426,融外自投!$A:$J,7,0),"無")</f>
        <v>915</v>
      </c>
      <c r="P426" s="79">
        <f>IFERROR(VLOOKUP($G426,融外自投!$A:$J,9,0),"無")</f>
        <v>825</v>
      </c>
      <c r="Q426" s="342">
        <f>IFERROR(VLOOKUP($G426,融外自投!$A:$J,8,0),"無")</f>
        <v>962</v>
      </c>
      <c r="R426" s="81" t="str">
        <f>IFERROR(VLOOKUP($G426,融外自投!$A:$J,10,0),"無")</f>
        <v>無</v>
      </c>
      <c r="S426" s="324">
        <f>IFERROR(VLOOKUP($G426,'321買'!$A:$E,4,0),"'沒有資料'")</f>
        <v>743</v>
      </c>
      <c r="T426" s="186">
        <f>IFERROR(VLOOKUP($G426,基本資料!$A:$J,9,0),"無")</f>
        <v>0.4</v>
      </c>
      <c r="U426" s="307">
        <f t="shared" si="81"/>
        <v>2.1164021164021166E-2</v>
      </c>
      <c r="V426" s="94">
        <f>IFERROR(VLOOKUP($G426,基本資料!$A:$J,10,0),"無")</f>
        <v>0.45</v>
      </c>
      <c r="W426" s="36">
        <f>RTD("money.excel",,"1905","Price")</f>
        <v>18.899999999999999</v>
      </c>
      <c r="X426" s="66"/>
      <c r="Y426" s="15">
        <f t="shared" si="82"/>
        <v>18.899999999999999</v>
      </c>
      <c r="Z426" s="3" t="e">
        <f t="shared" si="83"/>
        <v>#DIV/0!</v>
      </c>
      <c r="AA426" s="340">
        <f>IFERROR(VLOOKUP($G426,基本資料!$A:$M,11,0),"無")</f>
        <v>-43.75</v>
      </c>
      <c r="AB426" s="389">
        <f>IFERROR(VLOOKUP($G426,基本資料!$A:$M,12,0),"無")</f>
        <v>17.93</v>
      </c>
      <c r="AC426" s="22" t="s">
        <v>3904</v>
      </c>
      <c r="AF426" s="33">
        <f t="shared" si="84"/>
        <v>0</v>
      </c>
      <c r="AG426" s="43" t="s">
        <v>3905</v>
      </c>
      <c r="AH426" s="66">
        <f t="shared" si="75"/>
        <v>0.44057868558588131</v>
      </c>
      <c r="AI426" s="283">
        <f>RTD("money.excel",,$G426,"PredictVolume")</f>
        <v>1745</v>
      </c>
      <c r="AJ426" s="391">
        <f>IFERROR(VLOOKUP($G426,基本資料!$A:$M,13,0),"無")</f>
        <v>3960.7</v>
      </c>
      <c r="AR426" s="245" t="str">
        <f>INDEX(基本資料!N:N,MATCH($G426,基本資料!A:A,0))</f>
        <v>低</v>
      </c>
    </row>
    <row r="427" spans="1:44">
      <c r="A427" s="343">
        <f>IFERROR(VLOOKUP($G427,基本資料!$A:$J,3,0),"無")</f>
        <v>15.1</v>
      </c>
      <c r="B427" s="79">
        <f>IFERROR(VLOOKUP($G427,基本資料!$A:$J,4,0),"無")</f>
        <v>97</v>
      </c>
      <c r="C427" s="79">
        <f>IFERROR(VLOOKUP($G427,基本資料!$A:$J,5,0),"無")</f>
        <v>-80</v>
      </c>
      <c r="D427" s="79">
        <f>IFERROR(VLOOKUP($G427,基本資料!$A:$J,6,0),"無")</f>
        <v>3</v>
      </c>
      <c r="E427" s="79">
        <f>IFERROR(VLOOKUP($G427,基本資料!$A:$J,7,0),"無")</f>
        <v>3734</v>
      </c>
      <c r="F427" s="6">
        <f>IFERROR(VLOOKUP($G427,基本資料!$A:$J,8,0),"無")</f>
        <v>0.1</v>
      </c>
      <c r="G427" s="79">
        <v>1906</v>
      </c>
      <c r="H427" s="8" t="s">
        <v>298</v>
      </c>
      <c r="I427" s="22" t="s">
        <v>3906</v>
      </c>
      <c r="J427" s="8">
        <f>IFERROR(VLOOKUP($G427,今日總結!$A:$AN,39,0),"")</f>
        <v>0</v>
      </c>
      <c r="K427" s="5" t="str">
        <f>IFERROR(VLOOKUP($G427,今日總結!$A:$AN,40,0),"")</f>
        <v>外</v>
      </c>
      <c r="L427" s="156">
        <f>IFERROR(VLOOKUP($G427,今日總結!$A:$AN,37,0),"")</f>
        <v>0</v>
      </c>
      <c r="M427" s="337">
        <f>IFERROR(VLOOKUP($G427,今日總結!$A:$AN,38,0),"")</f>
        <v>2</v>
      </c>
      <c r="N427" s="240">
        <f t="shared" si="85"/>
        <v>-2</v>
      </c>
      <c r="O427" s="359">
        <f>IFERROR(VLOOKUP($G427,融外自投!$A:$J,7,0),"無")</f>
        <v>798</v>
      </c>
      <c r="P427" s="79">
        <f>IFERROR(VLOOKUP($G427,融外自投!$A:$J,9,0),"無")</f>
        <v>946</v>
      </c>
      <c r="Q427" s="342">
        <f>IFERROR(VLOOKUP($G427,融外自投!$A:$J,8,0),"無")</f>
        <v>1180</v>
      </c>
      <c r="R427" s="81" t="str">
        <f>IFERROR(VLOOKUP($G427,融外自投!$A:$J,10,0),"無")</f>
        <v>無</v>
      </c>
      <c r="S427" s="324">
        <f>IFERROR(VLOOKUP($G427,'321買'!$A:$E,4,0),"'沒有資料'")</f>
        <v>366</v>
      </c>
      <c r="T427" s="186">
        <f>IFERROR(VLOOKUP($G427,基本資料!$A:$J,9,0),"無")</f>
        <v>0.6</v>
      </c>
      <c r="U427" s="307">
        <f t="shared" si="81"/>
        <v>3.3333333333333333E-2</v>
      </c>
      <c r="V427" s="94">
        <f>IFERROR(VLOOKUP($G427,基本資料!$A:$J,10,0),"無")</f>
        <v>1.22</v>
      </c>
      <c r="W427" s="36">
        <f>RTD("money.excel",,"1906","Price")</f>
        <v>18</v>
      </c>
      <c r="X427" s="66"/>
      <c r="Y427" s="15">
        <f t="shared" si="82"/>
        <v>18</v>
      </c>
      <c r="Z427" s="3" t="e">
        <f t="shared" si="83"/>
        <v>#DIV/0!</v>
      </c>
      <c r="AA427" s="340">
        <f>IFERROR(VLOOKUP($G427,基本資料!$A:$M,11,0),"無")</f>
        <v>-25.47</v>
      </c>
      <c r="AB427" s="389">
        <f>IFERROR(VLOOKUP($G427,基本資料!$A:$M,12,0),"無")</f>
        <v>24.97</v>
      </c>
      <c r="AC427" s="22" t="s">
        <v>3906</v>
      </c>
      <c r="AF427" s="33">
        <f t="shared" si="84"/>
        <v>0</v>
      </c>
      <c r="AG427" s="43" t="s">
        <v>3907</v>
      </c>
      <c r="AH427" s="66">
        <f t="shared" si="75"/>
        <v>0.19056220365771054</v>
      </c>
      <c r="AI427" s="283">
        <f>RTD("money.excel",,$G427,"PredictVolume")</f>
        <v>211</v>
      </c>
      <c r="AJ427" s="391">
        <f>IFERROR(VLOOKUP($G427,基本資料!$A:$M,13,0),"無")</f>
        <v>1107.25</v>
      </c>
      <c r="AR427" s="245" t="str">
        <f>INDEX(基本資料!N:N,MATCH($G427,基本資料!A:A,0))</f>
        <v>低</v>
      </c>
    </row>
    <row r="428" spans="1:44">
      <c r="A428" s="343">
        <f>IFERROR(VLOOKUP($G428,基本資料!$A:$J,3,0),"無")</f>
        <v>166</v>
      </c>
      <c r="B428" s="79">
        <f>IFERROR(VLOOKUP($G428,基本資料!$A:$J,4,0),"無")</f>
        <v>17</v>
      </c>
      <c r="C428" s="79">
        <f>IFERROR(VLOOKUP($G428,基本資料!$A:$J,5,0),"無")</f>
        <v>42</v>
      </c>
      <c r="D428" s="79">
        <f>IFERROR(VLOOKUP($G428,基本資料!$A:$J,6,0),"無")</f>
        <v>-14</v>
      </c>
      <c r="E428" s="79">
        <f>IFERROR(VLOOKUP($G428,基本資料!$A:$J,7,0),"無")</f>
        <v>-14</v>
      </c>
      <c r="F428" s="6">
        <f>IFERROR(VLOOKUP($G428,基本資料!$A:$J,8,0),"無")</f>
        <v>9.39</v>
      </c>
      <c r="G428" s="79">
        <v>1907</v>
      </c>
      <c r="H428" s="8" t="s">
        <v>298</v>
      </c>
      <c r="I428" s="22" t="s">
        <v>3908</v>
      </c>
      <c r="J428" s="8">
        <f>IFERROR(VLOOKUP($G428,今日總結!$A:$AN,39,0),"")</f>
        <v>0</v>
      </c>
      <c r="K428" s="5" t="str">
        <f>IFERROR(VLOOKUP($G428,今日總結!$A:$AN,40,0),"")</f>
        <v>主借券</v>
      </c>
      <c r="L428" s="156">
        <f>IFERROR(VLOOKUP($G428,今日總結!$A:$AN,37,0),"")</f>
        <v>0</v>
      </c>
      <c r="M428" s="337">
        <f>IFERROR(VLOOKUP($G428,今日總結!$A:$AN,38,0),"")</f>
        <v>11</v>
      </c>
      <c r="N428" s="240">
        <f t="shared" si="85"/>
        <v>-11</v>
      </c>
      <c r="O428" s="359">
        <f>IFERROR(VLOOKUP($G428,融外自投!$A:$J,7,0),"無")</f>
        <v>962</v>
      </c>
      <c r="P428" s="79">
        <f>IFERROR(VLOOKUP($G428,融外自投!$A:$J,9,0),"無")</f>
        <v>908</v>
      </c>
      <c r="Q428" s="342">
        <f>IFERROR(VLOOKUP($G428,融外自投!$A:$J,8,0),"無")</f>
        <v>351</v>
      </c>
      <c r="R428" s="81">
        <f>IFERROR(VLOOKUP($G428,融外自投!$A:$J,10,0),"無")</f>
        <v>495</v>
      </c>
      <c r="S428" s="324">
        <f>IFERROR(VLOOKUP($G428,'321買'!$A:$E,4,0),"'沒有資料'")</f>
        <v>696</v>
      </c>
      <c r="T428" s="186">
        <f>IFERROR(VLOOKUP($G428,基本資料!$A:$J,9,0),"無")</f>
        <v>1.5</v>
      </c>
      <c r="U428" s="307">
        <f t="shared" si="81"/>
        <v>5.7142857142857141E-2</v>
      </c>
      <c r="V428" s="94">
        <f>IFERROR(VLOOKUP($G428,基本資料!$A:$J,10,0),"無")</f>
        <v>3.13</v>
      </c>
      <c r="W428" s="36">
        <f>RTD("money.excel",,"1907","Price")</f>
        <v>26.25</v>
      </c>
      <c r="X428" s="66"/>
      <c r="Y428" s="15">
        <f t="shared" si="82"/>
        <v>26.25</v>
      </c>
      <c r="Z428" s="3" t="e">
        <f t="shared" si="83"/>
        <v>#DIV/0!</v>
      </c>
      <c r="AA428" s="340">
        <f>IFERROR(VLOOKUP($G428,基本資料!$A:$M,11,0),"無")</f>
        <v>-45.2</v>
      </c>
      <c r="AB428" s="389">
        <f>IFERROR(VLOOKUP($G428,基本資料!$A:$M,12,0),"無")</f>
        <v>9.82</v>
      </c>
      <c r="AC428" s="22" t="s">
        <v>3908</v>
      </c>
      <c r="AF428" s="33">
        <f t="shared" si="84"/>
        <v>0</v>
      </c>
      <c r="AG428" s="117" t="s">
        <v>3903</v>
      </c>
      <c r="AH428" s="66">
        <f t="shared" si="75"/>
        <v>4.2122436685826159</v>
      </c>
      <c r="AI428" s="283">
        <f>RTD("money.excel",,$G428,"PredictVolume")</f>
        <v>8391</v>
      </c>
      <c r="AJ428" s="391">
        <f>IFERROR(VLOOKUP($G428,基本資料!$A:$M,13,0),"無")</f>
        <v>1992.05</v>
      </c>
      <c r="AR428" s="245" t="str">
        <f>INDEX(基本資料!N:N,MATCH($G428,基本資料!A:A,0))</f>
        <v>低</v>
      </c>
    </row>
    <row r="429" spans="1:44">
      <c r="A429" s="343">
        <f>IFERROR(VLOOKUP($G429,基本資料!$A:$J,3,0),"無")</f>
        <v>127</v>
      </c>
      <c r="B429" s="79">
        <f>IFERROR(VLOOKUP($G429,基本資料!$A:$J,4,0),"無")</f>
        <v>153</v>
      </c>
      <c r="C429" s="79">
        <f>IFERROR(VLOOKUP($G429,基本資料!$A:$J,5,0),"無")</f>
        <v>80</v>
      </c>
      <c r="D429" s="79">
        <f>IFERROR(VLOOKUP($G429,基本資料!$A:$J,6,0),"無")</f>
        <v>-19</v>
      </c>
      <c r="E429" s="79">
        <f>IFERROR(VLOOKUP($G429,基本資料!$A:$J,7,0),"無")</f>
        <v>14</v>
      </c>
      <c r="F429" s="6">
        <f>IFERROR(VLOOKUP($G429,基本資料!$A:$J,8,0),"無")</f>
        <v>7.34</v>
      </c>
      <c r="G429" s="79">
        <v>1909</v>
      </c>
      <c r="H429" s="192" t="s">
        <v>298</v>
      </c>
      <c r="I429" s="22" t="s">
        <v>3909</v>
      </c>
      <c r="J429" s="8">
        <f>IFERROR(VLOOKUP($G429,今日總結!$A:$AN,39,0),"")</f>
        <v>0</v>
      </c>
      <c r="K429" s="5" t="str">
        <f>IFERROR(VLOOKUP($G429,今日總結!$A:$AN,40,0),"")</f>
        <v>融借</v>
      </c>
      <c r="L429" s="156">
        <f>IFERROR(VLOOKUP($G429,今日總結!$A:$AN,37,0),"")</f>
        <v>0</v>
      </c>
      <c r="M429" s="337">
        <f>IFERROR(VLOOKUP($G429,今日總結!$A:$AN,38,0),"")</f>
        <v>4</v>
      </c>
      <c r="N429" s="240">
        <f t="shared" si="85"/>
        <v>-4</v>
      </c>
      <c r="O429" s="359">
        <f>IFERROR(VLOOKUP($G429,融外自投!$A:$J,7,0),"無")</f>
        <v>728</v>
      </c>
      <c r="P429" s="79">
        <f>IFERROR(VLOOKUP($G429,融外自投!$A:$J,9,0),"無")</f>
        <v>1051</v>
      </c>
      <c r="Q429" s="342">
        <f>IFERROR(VLOOKUP($G429,融外自投!$A:$J,8,0),"無")</f>
        <v>488</v>
      </c>
      <c r="R429" s="81" t="str">
        <f>IFERROR(VLOOKUP($G429,融外自投!$A:$J,10,0),"無")</f>
        <v>無</v>
      </c>
      <c r="S429" s="324">
        <f>IFERROR(VLOOKUP($G429,'321買'!$A:$E,4,0),"'沒有資料'")</f>
        <v>497</v>
      </c>
      <c r="T429" s="186">
        <f>IFERROR(VLOOKUP($G429,基本資料!$A:$J,9,0),"無")</f>
        <v>1.2</v>
      </c>
      <c r="U429" s="307">
        <f t="shared" si="81"/>
        <v>6.8376068376068369E-2</v>
      </c>
      <c r="V429" s="94">
        <f>IFERROR(VLOOKUP($G429,基本資料!$A:$J,10,0),"無")</f>
        <v>1.84</v>
      </c>
      <c r="W429" s="36">
        <f>RTD("money.excel",,"1909","Price")</f>
        <v>17.55</v>
      </c>
      <c r="X429" s="66"/>
      <c r="Y429" s="15">
        <f t="shared" si="82"/>
        <v>17.55</v>
      </c>
      <c r="Z429" s="3" t="e">
        <f t="shared" si="83"/>
        <v>#DIV/0!</v>
      </c>
      <c r="AA429" s="340">
        <f>IFERROR(VLOOKUP($G429,基本資料!$A:$M,11,0),"無")</f>
        <v>-47.77</v>
      </c>
      <c r="AB429" s="389">
        <f>IFERROR(VLOOKUP($G429,基本資料!$A:$M,12,0),"無")</f>
        <v>20.92</v>
      </c>
      <c r="AC429" s="22" t="s">
        <v>3909</v>
      </c>
      <c r="AF429" s="33">
        <f t="shared" si="84"/>
        <v>0</v>
      </c>
      <c r="AG429" s="117" t="s">
        <v>3903</v>
      </c>
      <c r="AH429" s="66">
        <f t="shared" si="75"/>
        <v>0.99699303703259701</v>
      </c>
      <c r="AI429" s="283">
        <f>RTD("money.excel",,$G429,"PredictVolume")</f>
        <v>4990</v>
      </c>
      <c r="AJ429" s="391">
        <f>IFERROR(VLOOKUP($G429,基本資料!$A:$M,13,0),"無")</f>
        <v>5005.05</v>
      </c>
      <c r="AR429" s="245" t="str">
        <f>INDEX(基本資料!N:N,MATCH($G429,基本資料!A:A,0))</f>
        <v>低</v>
      </c>
    </row>
    <row r="430" spans="1:44">
      <c r="A430" s="142"/>
      <c r="B430" s="92"/>
      <c r="C430" s="79"/>
      <c r="D430" s="79"/>
      <c r="E430" s="80"/>
      <c r="F430" s="6"/>
      <c r="G430" s="79"/>
      <c r="H430" s="192"/>
      <c r="I430" s="22"/>
      <c r="L430" s="2"/>
      <c r="R430" s="26"/>
      <c r="T430" s="34"/>
      <c r="V430" s="94"/>
      <c r="W430" s="36"/>
      <c r="X430" s="66"/>
      <c r="Y430" s="15"/>
      <c r="Z430" s="3"/>
      <c r="AC430" s="22"/>
      <c r="AF430" s="33"/>
      <c r="AG430" s="117"/>
      <c r="AH430" s="66" t="e">
        <f t="shared" si="75"/>
        <v>#DIV/0!</v>
      </c>
      <c r="AI430" s="283"/>
    </row>
    <row r="431" spans="1:44">
      <c r="A431" s="127" t="s">
        <v>3875</v>
      </c>
      <c r="B431" s="90" t="s">
        <v>3876</v>
      </c>
      <c r="C431" s="90" t="s">
        <v>3877</v>
      </c>
      <c r="D431" s="90" t="s">
        <v>3878</v>
      </c>
      <c r="E431" s="90" t="s">
        <v>3879</v>
      </c>
      <c r="F431" s="8" t="s">
        <v>3880</v>
      </c>
      <c r="G431" s="27" t="s">
        <v>3910</v>
      </c>
      <c r="H431" s="55" t="s">
        <v>320</v>
      </c>
      <c r="I431" s="8" t="s">
        <v>3911</v>
      </c>
      <c r="J431" s="8" t="s">
        <v>6211</v>
      </c>
      <c r="K431" s="5" t="s">
        <v>6212</v>
      </c>
      <c r="L431" s="334" t="s">
        <v>6197</v>
      </c>
      <c r="M431" s="335" t="s">
        <v>6198</v>
      </c>
      <c r="N431" s="336" t="s">
        <v>6199</v>
      </c>
      <c r="O431" s="89" t="s">
        <v>6275</v>
      </c>
      <c r="P431" s="292" t="s">
        <v>6274</v>
      </c>
      <c r="Q431" s="350" t="s">
        <v>6273</v>
      </c>
      <c r="R431" s="26" t="s">
        <v>6276</v>
      </c>
      <c r="S431" s="318" t="s">
        <v>4715</v>
      </c>
      <c r="T431" s="10" t="s">
        <v>3883</v>
      </c>
      <c r="U431" s="305" t="s">
        <v>4728</v>
      </c>
      <c r="V431" s="68" t="s">
        <v>3272</v>
      </c>
      <c r="W431" s="28" t="s">
        <v>2</v>
      </c>
      <c r="X431" s="17" t="s">
        <v>3884</v>
      </c>
      <c r="Y431" s="14" t="s">
        <v>3885</v>
      </c>
      <c r="Z431" s="21" t="s">
        <v>3886</v>
      </c>
      <c r="AA431" s="96" t="s">
        <v>6166</v>
      </c>
      <c r="AB431" s="378" t="s">
        <v>6404</v>
      </c>
      <c r="AC431" s="8" t="s">
        <v>3911</v>
      </c>
      <c r="AD431" s="71" t="s">
        <v>3887</v>
      </c>
      <c r="AE431" s="72" t="s">
        <v>3888</v>
      </c>
      <c r="AF431" s="32" t="s">
        <v>3889</v>
      </c>
      <c r="AG431" s="25" t="s">
        <v>6200</v>
      </c>
      <c r="AH431" s="8" t="s">
        <v>6696</v>
      </c>
      <c r="AI431" s="50" t="s">
        <v>3360</v>
      </c>
      <c r="AJ431" s="22" t="s">
        <v>6695</v>
      </c>
    </row>
    <row r="432" spans="1:44">
      <c r="A432" s="343">
        <f>IFERROR(VLOOKUP($G432,基本資料!$A:$J,3,0),"無")</f>
        <v>1573</v>
      </c>
      <c r="B432" s="79">
        <f>IFERROR(VLOOKUP($G432,基本資料!$A:$J,4,0),"無")</f>
        <v>2951</v>
      </c>
      <c r="C432" s="79">
        <f>IFERROR(VLOOKUP($G432,基本資料!$A:$J,5,0),"無")</f>
        <v>3373</v>
      </c>
      <c r="D432" s="79">
        <f>IFERROR(VLOOKUP($G432,基本資料!$A:$J,6,0),"無")</f>
        <v>8</v>
      </c>
      <c r="E432" s="79">
        <f>IFERROR(VLOOKUP($G432,基本資料!$A:$J,7,0),"無")</f>
        <v>23</v>
      </c>
      <c r="F432" s="6">
        <f>IFERROR(VLOOKUP($G432,基本資料!$A:$J,8,0),"無")</f>
        <v>17.03</v>
      </c>
      <c r="G432" s="79">
        <v>2002</v>
      </c>
      <c r="H432" s="8" t="s">
        <v>299</v>
      </c>
      <c r="I432" s="22" t="s">
        <v>3912</v>
      </c>
      <c r="J432" s="8">
        <f>IFERROR(VLOOKUP($G432,今日總結!$A:$AN,39,0),"")</f>
        <v>0</v>
      </c>
      <c r="K432" s="5" t="str">
        <f>IFERROR(VLOOKUP($G432,今日總結!$A:$AN,40,0),"")</f>
        <v>主外投</v>
      </c>
      <c r="L432" s="156">
        <f>IFERROR(VLOOKUP($G432,今日總結!$A:$AN,37,0),"")</f>
        <v>0</v>
      </c>
      <c r="M432" s="337">
        <f>IFERROR(VLOOKUP($G432,今日總結!$A:$AN,38,0),"")</f>
        <v>20</v>
      </c>
      <c r="N432" s="240">
        <f t="shared" ref="N432" si="86">IFERROR(L432-M432,"")</f>
        <v>-20</v>
      </c>
      <c r="O432" s="359">
        <f>IFERROR(VLOOKUP($G432,融外自投!$A:$J,7,0),"無")</f>
        <v>1206</v>
      </c>
      <c r="P432" s="79">
        <f>IFERROR(VLOOKUP($G432,融外自投!$A:$J,9,0),"無")</f>
        <v>221</v>
      </c>
      <c r="Q432" s="342">
        <f>IFERROR(VLOOKUP($G432,融外自投!$A:$J,8,0),"無")</f>
        <v>282</v>
      </c>
      <c r="R432" s="81">
        <f>IFERROR(VLOOKUP($G432,融外自投!$A:$J,10,0),"無")</f>
        <v>117</v>
      </c>
      <c r="S432" s="324">
        <f>IFERROR(VLOOKUP($G432,'321買'!$A:$E,4,0),"'沒有資料'")</f>
        <v>253</v>
      </c>
      <c r="T432" s="186">
        <f>IFERROR(VLOOKUP($G432,基本資料!$A:$J,9,0),"無")</f>
        <v>3.1</v>
      </c>
      <c r="U432" s="307">
        <f t="shared" ref="U432:U477" si="87">$T432/$W432</f>
        <v>9.337349397590361E-2</v>
      </c>
      <c r="V432" s="94">
        <f>IFERROR(VLOOKUP($G432,基本資料!$A:$J,10,0),"無")</f>
        <v>4.0199999999999996</v>
      </c>
      <c r="W432" s="36">
        <f>RTD("money.excel",,"2002","Price")</f>
        <v>33.200000000000003</v>
      </c>
      <c r="X432" s="66"/>
      <c r="Y432" s="15">
        <f t="shared" ref="Y432" si="88">W432-X432</f>
        <v>33.200000000000003</v>
      </c>
      <c r="Z432" s="3" t="e">
        <f t="shared" ref="Z432" si="89">Y432/X432</f>
        <v>#DIV/0!</v>
      </c>
      <c r="AA432" s="340">
        <f>IFERROR(VLOOKUP($G432,基本資料!$A:$M,11,0),"無")</f>
        <v>-19.71</v>
      </c>
      <c r="AB432" s="389">
        <f>IFERROR(VLOOKUP($G432,基本資料!$A:$M,12,0),"無")</f>
        <v>18.63</v>
      </c>
      <c r="AC432" s="22" t="s">
        <v>3912</v>
      </c>
      <c r="AF432" s="33">
        <f t="shared" ref="AF432" si="90">AE432-AD432</f>
        <v>0</v>
      </c>
      <c r="AG432" s="117" t="s">
        <v>299</v>
      </c>
      <c r="AH432" s="66">
        <f t="shared" si="75"/>
        <v>0.71032847242635155</v>
      </c>
      <c r="AI432" s="283">
        <f>RTD("money.excel",,$G432,"PredictVolume")</f>
        <v>28515</v>
      </c>
      <c r="AJ432" s="391">
        <f>IFERROR(VLOOKUP($G432,基本資料!$A:$M,13,0),"無")</f>
        <v>40143.4</v>
      </c>
      <c r="AR432" s="245" t="str">
        <f>INDEX(基本資料!N:N,MATCH($G432,基本資料!A:A,0))</f>
        <v>低</v>
      </c>
    </row>
    <row r="433" spans="1:44">
      <c r="A433" s="343">
        <f>IFERROR(VLOOKUP($G433,基本資料!$A:$J,3,0),"無")</f>
        <v>73.02</v>
      </c>
      <c r="B433" s="79">
        <f>IFERROR(VLOOKUP($G433,基本資料!$A:$J,4,0),"無")</f>
        <v>66</v>
      </c>
      <c r="C433" s="79">
        <f>IFERROR(VLOOKUP($G433,基本資料!$A:$J,5,0),"無")</f>
        <v>59</v>
      </c>
      <c r="D433" s="79">
        <f>IFERROR(VLOOKUP($G433,基本資料!$A:$J,6,0),"無")</f>
        <v>-6</v>
      </c>
      <c r="E433" s="79">
        <f>IFERROR(VLOOKUP($G433,基本資料!$A:$J,7,0),"無")</f>
        <v>12</v>
      </c>
      <c r="F433" s="6">
        <f>IFERROR(VLOOKUP($G433,基本資料!$A:$J,8,0),"無")</f>
        <v>12.01</v>
      </c>
      <c r="G433" s="79">
        <v>2006</v>
      </c>
      <c r="H433" s="8" t="s">
        <v>299</v>
      </c>
      <c r="I433" s="22" t="s">
        <v>3913</v>
      </c>
      <c r="J433" s="8">
        <f>IFERROR(VLOOKUP($G433,今日總結!$A:$AN,39,0),"")</f>
        <v>0</v>
      </c>
      <c r="K433" s="5">
        <f>IFERROR(VLOOKUP($G433,今日總結!$A:$AN,40,0),"")</f>
        <v>0</v>
      </c>
      <c r="L433" s="156">
        <f>IFERROR(VLOOKUP($G433,今日總結!$A:$AN,37,0),"")</f>
        <v>0</v>
      </c>
      <c r="M433" s="337">
        <f>IFERROR(VLOOKUP($G433,今日總結!$A:$AN,38,0),"")</f>
        <v>0</v>
      </c>
      <c r="N433" s="240">
        <f t="shared" ref="N433:N453" si="91">IFERROR(L433-M433,"")</f>
        <v>0</v>
      </c>
      <c r="O433" s="359">
        <f>IFERROR(VLOOKUP($G433,融外自投!$A:$J,7,0),"無")</f>
        <v>968</v>
      </c>
      <c r="P433" s="79">
        <f>IFERROR(VLOOKUP($G433,融外自投!$A:$J,9,0),"無")</f>
        <v>150</v>
      </c>
      <c r="Q433" s="342">
        <f>IFERROR(VLOOKUP($G433,融外自投!$A:$J,8,0),"無")</f>
        <v>415</v>
      </c>
      <c r="R433" s="81">
        <f>IFERROR(VLOOKUP($G433,融外自投!$A:$J,10,0),"無")</f>
        <v>109</v>
      </c>
      <c r="S433" s="324">
        <f>IFERROR(VLOOKUP($G433,'321買'!$A:$E,4,0),"'沒有資料'")</f>
        <v>343</v>
      </c>
      <c r="T433" s="186">
        <f>IFERROR(VLOOKUP($G433,基本資料!$A:$J,9,0),"無")</f>
        <v>6.4</v>
      </c>
      <c r="U433" s="307">
        <f t="shared" si="87"/>
        <v>0.11034482758620691</v>
      </c>
      <c r="V433" s="94">
        <f>IFERROR(VLOOKUP($G433,基本資料!$A:$J,10,0),"無")</f>
        <v>5.95</v>
      </c>
      <c r="W433" s="36">
        <f>RTD("money.excel",,"2006","Price")</f>
        <v>58</v>
      </c>
      <c r="X433" s="66"/>
      <c r="Y433" s="15">
        <f t="shared" ref="Y433:Y477" si="92">W433-X433</f>
        <v>58</v>
      </c>
      <c r="Z433" s="3" t="e">
        <f t="shared" ref="Z433:Z477" si="93">Y433/X433</f>
        <v>#DIV/0!</v>
      </c>
      <c r="AA433" s="340">
        <f>IFERROR(VLOOKUP($G433,基本資料!$A:$M,11,0),"無")</f>
        <v>-30.12</v>
      </c>
      <c r="AB433" s="389">
        <f>IFERROR(VLOOKUP($G433,基本資料!$A:$M,12,0),"無")</f>
        <v>8.02</v>
      </c>
      <c r="AC433" s="22" t="s">
        <v>3913</v>
      </c>
      <c r="AF433" s="33">
        <f t="shared" ref="AF433:AF477" si="94">AE433-AD433</f>
        <v>0</v>
      </c>
      <c r="AG433" s="43" t="s">
        <v>3914</v>
      </c>
      <c r="AH433" s="66">
        <f t="shared" si="75"/>
        <v>0.36354056902002108</v>
      </c>
      <c r="AI433" s="283">
        <f>RTD("money.excel",,$G433,"PredictVolume")</f>
        <v>1311</v>
      </c>
      <c r="AJ433" s="391">
        <f>IFERROR(VLOOKUP($G433,基本資料!$A:$M,13,0),"無")</f>
        <v>3606.2</v>
      </c>
      <c r="AR433" s="245" t="str">
        <f>INDEX(基本資料!N:N,MATCH($G433,基本資料!A:A,0))</f>
        <v>中</v>
      </c>
    </row>
    <row r="434" spans="1:44">
      <c r="A434" s="343">
        <f>IFERROR(VLOOKUP($G434,基本資料!$A:$J,3,0),"無")</f>
        <v>53.06</v>
      </c>
      <c r="B434" s="79">
        <f>IFERROR(VLOOKUP($G434,基本資料!$A:$J,4,0),"無")</f>
        <v>102</v>
      </c>
      <c r="C434" s="79">
        <f>IFERROR(VLOOKUP($G434,基本資料!$A:$J,5,0),"無")</f>
        <v>207</v>
      </c>
      <c r="D434" s="79">
        <f>IFERROR(VLOOKUP($G434,基本資料!$A:$J,6,0),"無")</f>
        <v>8</v>
      </c>
      <c r="E434" s="79">
        <f>IFERROR(VLOOKUP($G434,基本資料!$A:$J,7,0),"無")</f>
        <v>48</v>
      </c>
      <c r="F434" s="6">
        <f>IFERROR(VLOOKUP($G434,基本資料!$A:$J,8,0),"無")</f>
        <v>5.42</v>
      </c>
      <c r="G434" s="79">
        <v>2007</v>
      </c>
      <c r="H434" s="8" t="s">
        <v>299</v>
      </c>
      <c r="I434" s="22" t="s">
        <v>3915</v>
      </c>
      <c r="J434" s="8">
        <f>IFERROR(VLOOKUP($G434,今日總結!$A:$AN,39,0),"")</f>
        <v>0</v>
      </c>
      <c r="K434" s="5" t="str">
        <f>IFERROR(VLOOKUP($G434,今日總結!$A:$AN,40,0),"")</f>
        <v>融</v>
      </c>
      <c r="L434" s="156">
        <f>IFERROR(VLOOKUP($G434,今日總結!$A:$AN,37,0),"")</f>
        <v>0</v>
      </c>
      <c r="M434" s="337">
        <f>IFERROR(VLOOKUP($G434,今日總結!$A:$AN,38,0),"")</f>
        <v>2</v>
      </c>
      <c r="N434" s="240">
        <f t="shared" si="91"/>
        <v>-2</v>
      </c>
      <c r="O434" s="359">
        <f>IFERROR(VLOOKUP($G434,融外自投!$A:$J,7,0),"無")</f>
        <v>354</v>
      </c>
      <c r="P434" s="79">
        <f>IFERROR(VLOOKUP($G434,融外自投!$A:$J,9,0),"無")</f>
        <v>717</v>
      </c>
      <c r="Q434" s="342">
        <f>IFERROR(VLOOKUP($G434,融外自投!$A:$J,8,0),"無")</f>
        <v>1285</v>
      </c>
      <c r="R434" s="81" t="str">
        <f>IFERROR(VLOOKUP($G434,融外自投!$A:$J,10,0),"無")</f>
        <v>無</v>
      </c>
      <c r="S434" s="324">
        <f>IFERROR(VLOOKUP($G434,'321買'!$A:$E,4,0),"'沒有資料'")</f>
        <v>606</v>
      </c>
      <c r="T434" s="186">
        <f>IFERROR(VLOOKUP($G434,基本資料!$A:$J,9,0),"無")</f>
        <v>0</v>
      </c>
      <c r="U434" s="307">
        <f t="shared" si="87"/>
        <v>0</v>
      </c>
      <c r="V434" s="94">
        <f>IFERROR(VLOOKUP($G434,基本資料!$A:$J,10,0),"無")</f>
        <v>0.02</v>
      </c>
      <c r="W434" s="36">
        <f>RTD("money.excel",,"2007","Price")</f>
        <v>14.75</v>
      </c>
      <c r="X434" s="66"/>
      <c r="Y434" s="15">
        <f t="shared" si="92"/>
        <v>14.75</v>
      </c>
      <c r="Z434" s="3" t="e">
        <f t="shared" si="93"/>
        <v>#DIV/0!</v>
      </c>
      <c r="AA434" s="340">
        <f>IFERROR(VLOOKUP($G434,基本資料!$A:$M,11,0),"無")</f>
        <v>-57.74</v>
      </c>
      <c r="AB434" s="389">
        <f>IFERROR(VLOOKUP($G434,基本資料!$A:$M,12,0),"無")</f>
        <v>12.64</v>
      </c>
      <c r="AC434" s="22" t="s">
        <v>3915</v>
      </c>
      <c r="AF434" s="33">
        <f t="shared" si="94"/>
        <v>0</v>
      </c>
      <c r="AG434" s="43" t="s">
        <v>3916</v>
      </c>
      <c r="AH434" s="66">
        <f t="shared" si="75"/>
        <v>0.71823387283619633</v>
      </c>
      <c r="AI434" s="283">
        <f>RTD("money.excel",,$G434,"PredictVolume")</f>
        <v>1085</v>
      </c>
      <c r="AJ434" s="391">
        <f>IFERROR(VLOOKUP($G434,基本資料!$A:$M,13,0),"無")</f>
        <v>1510.65</v>
      </c>
      <c r="AR434" s="245" t="str">
        <f>INDEX(基本資料!N:N,MATCH($G434,基本資料!A:A,0))</f>
        <v>低</v>
      </c>
    </row>
    <row r="435" spans="1:44">
      <c r="A435" s="343">
        <f>IFERROR(VLOOKUP($G435,基本資料!$A:$J,3,0),"無")</f>
        <v>20.079999999999998</v>
      </c>
      <c r="B435" s="79">
        <f>IFERROR(VLOOKUP($G435,基本資料!$A:$J,4,0),"無")</f>
        <v>228</v>
      </c>
      <c r="C435" s="79">
        <f>IFERROR(VLOOKUP($G435,基本資料!$A:$J,5,0),"無")</f>
        <v>241</v>
      </c>
      <c r="D435" s="79">
        <f>IFERROR(VLOOKUP($G435,基本資料!$A:$J,6,0),"無")</f>
        <v>83</v>
      </c>
      <c r="E435" s="79">
        <f>IFERROR(VLOOKUP($G435,基本資料!$A:$J,7,0),"無")</f>
        <v>86</v>
      </c>
      <c r="F435" s="6">
        <f>IFERROR(VLOOKUP($G435,基本資料!$A:$J,8,0),"無")</f>
        <v>6.25</v>
      </c>
      <c r="G435" s="79">
        <v>2008</v>
      </c>
      <c r="H435" s="8" t="s">
        <v>299</v>
      </c>
      <c r="I435" s="22" t="s">
        <v>3917</v>
      </c>
      <c r="J435" s="8">
        <f>IFERROR(VLOOKUP($G435,今日總結!$A:$AN,39,0),"")</f>
        <v>0</v>
      </c>
      <c r="K435" s="5">
        <f>IFERROR(VLOOKUP($G435,今日總結!$A:$AN,40,0),"")</f>
        <v>0</v>
      </c>
      <c r="L435" s="156">
        <f>IFERROR(VLOOKUP($G435,今日總結!$A:$AN,37,0),"")</f>
        <v>0</v>
      </c>
      <c r="M435" s="337">
        <f>IFERROR(VLOOKUP($G435,今日總結!$A:$AN,38,0),"")</f>
        <v>0</v>
      </c>
      <c r="N435" s="240">
        <f t="shared" si="91"/>
        <v>0</v>
      </c>
      <c r="O435" s="359">
        <f>IFERROR(VLOOKUP($G435,融外自投!$A:$J,7,0),"無")</f>
        <v>1173</v>
      </c>
      <c r="P435" s="79">
        <f>IFERROR(VLOOKUP($G435,融外自投!$A:$J,9,0),"無")</f>
        <v>671</v>
      </c>
      <c r="Q435" s="342">
        <f>IFERROR(VLOOKUP($G435,融外自投!$A:$J,8,0),"無")</f>
        <v>608</v>
      </c>
      <c r="R435" s="81" t="str">
        <f>IFERROR(VLOOKUP($G435,融外自投!$A:$J,10,0),"無")</f>
        <v>無</v>
      </c>
      <c r="S435" s="324">
        <f>IFERROR(VLOOKUP($G435,'321買'!$A:$E,4,0),"'沒有資料'")</f>
        <v>891</v>
      </c>
      <c r="T435" s="186">
        <f>IFERROR(VLOOKUP($G435,基本資料!$A:$J,9,0),"無")</f>
        <v>0</v>
      </c>
      <c r="U435" s="307">
        <f t="shared" si="87"/>
        <v>0</v>
      </c>
      <c r="V435" s="94">
        <f>IFERROR(VLOOKUP($G435,基本資料!$A:$J,10,0),"無")</f>
        <v>0.21</v>
      </c>
      <c r="W435" s="36">
        <f>RTD("money.excel",,"2008","Price")</f>
        <v>15.9</v>
      </c>
      <c r="X435" s="66"/>
      <c r="Y435" s="15">
        <f t="shared" si="92"/>
        <v>15.9</v>
      </c>
      <c r="Z435" s="3" t="e">
        <f t="shared" si="93"/>
        <v>#DIV/0!</v>
      </c>
      <c r="AA435" s="340">
        <f>IFERROR(VLOOKUP($G435,基本資料!$A:$M,11,0),"無")</f>
        <v>-46.37</v>
      </c>
      <c r="AB435" s="389">
        <f>IFERROR(VLOOKUP($G435,基本資料!$A:$M,12,0),"無")</f>
        <v>13.31</v>
      </c>
      <c r="AC435" s="22" t="s">
        <v>3917</v>
      </c>
      <c r="AF435" s="33">
        <f t="shared" si="94"/>
        <v>0</v>
      </c>
      <c r="AG435" s="43" t="s">
        <v>3918</v>
      </c>
      <c r="AH435" s="66">
        <f t="shared" si="75"/>
        <v>0.55644729802033166</v>
      </c>
      <c r="AI435" s="283">
        <f>RTD("money.excel",,$G435,"PredictVolume")</f>
        <v>52</v>
      </c>
      <c r="AJ435" s="391">
        <f>IFERROR(VLOOKUP($G435,基本資料!$A:$M,13,0),"無")</f>
        <v>93.45</v>
      </c>
      <c r="AR435" s="245" t="str">
        <f>INDEX(基本資料!N:N,MATCH($G435,基本資料!A:A,0))</f>
        <v>低</v>
      </c>
    </row>
    <row r="436" spans="1:44">
      <c r="A436" s="343">
        <f>IFERROR(VLOOKUP($G436,基本資料!$A:$J,3,0),"無")</f>
        <v>35.96</v>
      </c>
      <c r="B436" s="79">
        <f>IFERROR(VLOOKUP($G436,基本資料!$A:$J,4,0),"無")</f>
        <v>433</v>
      </c>
      <c r="C436" s="79">
        <f>IFERROR(VLOOKUP($G436,基本資料!$A:$J,5,0),"無")</f>
        <v>437</v>
      </c>
      <c r="D436" s="79">
        <f>IFERROR(VLOOKUP($G436,基本資料!$A:$J,6,0),"無")</f>
        <v>-6</v>
      </c>
      <c r="E436" s="79">
        <f>IFERROR(VLOOKUP($G436,基本資料!$A:$J,7,0),"無")</f>
        <v>8</v>
      </c>
      <c r="F436" s="6">
        <f>IFERROR(VLOOKUP($G436,基本資料!$A:$J,8,0),"無")</f>
        <v>7.97</v>
      </c>
      <c r="G436" s="79">
        <v>2009</v>
      </c>
      <c r="H436" s="8" t="s">
        <v>299</v>
      </c>
      <c r="I436" s="22" t="s">
        <v>3919</v>
      </c>
      <c r="J436" s="8">
        <f>IFERROR(VLOOKUP($G436,今日總結!$A:$AN,39,0),"")</f>
        <v>0</v>
      </c>
      <c r="K436" s="5" t="str">
        <f>IFERROR(VLOOKUP($G436,今日總結!$A:$AN,40,0),"")</f>
        <v>借</v>
      </c>
      <c r="L436" s="156">
        <f>IFERROR(VLOOKUP($G436,今日總結!$A:$AN,37,0),"")</f>
        <v>0</v>
      </c>
      <c r="M436" s="337">
        <f>IFERROR(VLOOKUP($G436,今日總結!$A:$AN,38,0),"")</f>
        <v>1</v>
      </c>
      <c r="N436" s="240">
        <f t="shared" si="91"/>
        <v>-1</v>
      </c>
      <c r="O436" s="359">
        <f>IFERROR(VLOOKUP($G436,融外自投!$A:$J,7,0),"無")</f>
        <v>587</v>
      </c>
      <c r="P436" s="79">
        <f>IFERROR(VLOOKUP($G436,融外自投!$A:$J,9,0),"無")</f>
        <v>258</v>
      </c>
      <c r="Q436" s="342">
        <f>IFERROR(VLOOKUP($G436,融外自投!$A:$J,8,0),"無")</f>
        <v>1110</v>
      </c>
      <c r="R436" s="81" t="str">
        <f>IFERROR(VLOOKUP($G436,融外自投!$A:$J,10,0),"無")</f>
        <v>無</v>
      </c>
      <c r="S436" s="324">
        <f>IFERROR(VLOOKUP($G436,'321買'!$A:$E,4,0),"'沒有資料'")</f>
        <v>321</v>
      </c>
      <c r="T436" s="186">
        <f>IFERROR(VLOOKUP($G436,基本資料!$A:$J,9,0),"無")</f>
        <v>1</v>
      </c>
      <c r="U436" s="307">
        <f t="shared" si="87"/>
        <v>3.0581039755351678E-2</v>
      </c>
      <c r="V436" s="94">
        <f>IFERROR(VLOOKUP($G436,基本資料!$A:$J,10,0),"無")</f>
        <v>1.18</v>
      </c>
      <c r="W436" s="36">
        <f>RTD("money.excel",,"2009","Price")</f>
        <v>32.700000000000003</v>
      </c>
      <c r="X436" s="66"/>
      <c r="Y436" s="15">
        <f t="shared" si="92"/>
        <v>32.700000000000003</v>
      </c>
      <c r="Z436" s="3" t="e">
        <f t="shared" si="93"/>
        <v>#DIV/0!</v>
      </c>
      <c r="AA436" s="340">
        <f>IFERROR(VLOOKUP($G436,基本資料!$A:$M,11,0),"無")</f>
        <v>-52.95</v>
      </c>
      <c r="AB436" s="389">
        <f>IFERROR(VLOOKUP($G436,基本資料!$A:$M,12,0),"無")</f>
        <v>9.4499999999999993</v>
      </c>
      <c r="AC436" s="22" t="s">
        <v>3919</v>
      </c>
      <c r="AF436" s="33">
        <f t="shared" si="94"/>
        <v>0</v>
      </c>
      <c r="AG436" s="43" t="s">
        <v>3920</v>
      </c>
      <c r="AH436" s="66">
        <f t="shared" si="75"/>
        <v>0.53723952960594179</v>
      </c>
      <c r="AI436" s="283">
        <f>RTD("money.excel",,$G436,"PredictVolume")</f>
        <v>1302</v>
      </c>
      <c r="AJ436" s="391">
        <f>IFERROR(VLOOKUP($G436,基本資料!$A:$M,13,0),"無")</f>
        <v>2423.5</v>
      </c>
      <c r="AR436" s="245" t="str">
        <f>INDEX(基本資料!N:N,MATCH($G436,基本資料!A:A,0))</f>
        <v>低</v>
      </c>
    </row>
    <row r="437" spans="1:44">
      <c r="A437" s="343">
        <f>IFERROR(VLOOKUP($G437,基本資料!$A:$J,3,0),"無")</f>
        <v>64.760000000000005</v>
      </c>
      <c r="B437" s="79">
        <f>IFERROR(VLOOKUP($G437,基本資料!$A:$J,4,0),"無")</f>
        <v>138</v>
      </c>
      <c r="C437" s="79">
        <f>IFERROR(VLOOKUP($G437,基本資料!$A:$J,5,0),"無")</f>
        <v>151</v>
      </c>
      <c r="D437" s="79">
        <f>IFERROR(VLOOKUP($G437,基本資料!$A:$J,6,0),"無")</f>
        <v>-10</v>
      </c>
      <c r="E437" s="79">
        <f>IFERROR(VLOOKUP($G437,基本資料!$A:$J,7,0),"無")</f>
        <v>-1</v>
      </c>
      <c r="F437" s="6">
        <f>IFERROR(VLOOKUP($G437,基本資料!$A:$J,8,0),"無")</f>
        <v>5.18</v>
      </c>
      <c r="G437" s="79">
        <v>2010</v>
      </c>
      <c r="H437" s="8" t="s">
        <v>299</v>
      </c>
      <c r="I437" s="22" t="s">
        <v>3921</v>
      </c>
      <c r="J437" s="8">
        <f>IFERROR(VLOOKUP($G437,今日總結!$A:$AN,39,0),"")</f>
        <v>0</v>
      </c>
      <c r="K437" s="5">
        <f>IFERROR(VLOOKUP($G437,今日總結!$A:$AN,40,0),"")</f>
        <v>0</v>
      </c>
      <c r="L437" s="156">
        <f>IFERROR(VLOOKUP($G437,今日總結!$A:$AN,37,0),"")</f>
        <v>0</v>
      </c>
      <c r="M437" s="337">
        <f>IFERROR(VLOOKUP($G437,今日總結!$A:$AN,38,0),"")</f>
        <v>0</v>
      </c>
      <c r="N437" s="240">
        <f t="shared" si="91"/>
        <v>0</v>
      </c>
      <c r="O437" s="359">
        <f>IFERROR(VLOOKUP($G437,融外自投!$A:$J,7,0),"無")</f>
        <v>829</v>
      </c>
      <c r="P437" s="79">
        <f>IFERROR(VLOOKUP($G437,融外自投!$A:$J,9,0),"無")</f>
        <v>1123</v>
      </c>
      <c r="Q437" s="342">
        <f>IFERROR(VLOOKUP($G437,融外自投!$A:$J,8,0),"無")</f>
        <v>763</v>
      </c>
      <c r="R437" s="81" t="str">
        <f>IFERROR(VLOOKUP($G437,融外自投!$A:$J,10,0),"無")</f>
        <v>無</v>
      </c>
      <c r="S437" s="324">
        <f>IFERROR(VLOOKUP($G437,'321買'!$A:$E,4,0),"'沒有資料'")</f>
        <v>696</v>
      </c>
      <c r="T437" s="186">
        <f>IFERROR(VLOOKUP($G437,基本資料!$A:$J,9,0),"無")</f>
        <v>1.3</v>
      </c>
      <c r="U437" s="307">
        <f t="shared" si="87"/>
        <v>6.8421052631578952E-2</v>
      </c>
      <c r="V437" s="94">
        <f>IFERROR(VLOOKUP($G437,基本資料!$A:$J,10,0),"無")</f>
        <v>1.88</v>
      </c>
      <c r="W437" s="36">
        <f>RTD("money.excel",,"2010","Price")</f>
        <v>19</v>
      </c>
      <c r="X437" s="66"/>
      <c r="Y437" s="15">
        <f t="shared" si="92"/>
        <v>19</v>
      </c>
      <c r="Z437" s="3" t="e">
        <f t="shared" si="93"/>
        <v>#DIV/0!</v>
      </c>
      <c r="AA437" s="340">
        <f>IFERROR(VLOOKUP($G437,基本資料!$A:$M,11,0),"無")</f>
        <v>-49.4</v>
      </c>
      <c r="AB437" s="389">
        <f>IFERROR(VLOOKUP($G437,基本資料!$A:$M,12,0),"無")</f>
        <v>16.47</v>
      </c>
      <c r="AC437" s="22" t="s">
        <v>3921</v>
      </c>
      <c r="AF437" s="33">
        <f t="shared" si="94"/>
        <v>0</v>
      </c>
      <c r="AG437" s="43" t="s">
        <v>3922</v>
      </c>
      <c r="AH437" s="66">
        <f t="shared" si="75"/>
        <v>0.38240764815296308</v>
      </c>
      <c r="AI437" s="283">
        <f>RTD("money.excel",,$G437,"PredictVolume")</f>
        <v>956</v>
      </c>
      <c r="AJ437" s="391">
        <f>IFERROR(VLOOKUP($G437,基本資料!$A:$M,13,0),"無")</f>
        <v>2499.9499999999998</v>
      </c>
      <c r="AR437" s="245" t="str">
        <f>INDEX(基本資料!N:N,MATCH($G437,基本資料!A:A,0))</f>
        <v>低</v>
      </c>
    </row>
    <row r="438" spans="1:44">
      <c r="A438" s="343">
        <f>IFERROR(VLOOKUP($G438,基本資料!$A:$J,3,0),"無")</f>
        <v>28.77</v>
      </c>
      <c r="B438" s="79">
        <f>IFERROR(VLOOKUP($G438,基本資料!$A:$J,4,0),"無")</f>
        <v>232</v>
      </c>
      <c r="C438" s="79">
        <f>IFERROR(VLOOKUP($G438,基本資料!$A:$J,5,0),"無")</f>
        <v>214</v>
      </c>
      <c r="D438" s="79">
        <f>IFERROR(VLOOKUP($G438,基本資料!$A:$J,6,0),"無")</f>
        <v>-24</v>
      </c>
      <c r="E438" s="79">
        <f>IFERROR(VLOOKUP($G438,基本資料!$A:$J,7,0),"無")</f>
        <v>4</v>
      </c>
      <c r="F438" s="6">
        <f>IFERROR(VLOOKUP($G438,基本資料!$A:$J,8,0),"無")</f>
        <v>9.33</v>
      </c>
      <c r="G438" s="79">
        <v>2012</v>
      </c>
      <c r="H438" s="8" t="s">
        <v>299</v>
      </c>
      <c r="I438" s="22" t="s">
        <v>3923</v>
      </c>
      <c r="J438" s="8">
        <f>IFERROR(VLOOKUP($G438,今日總結!$A:$AN,39,0),"")</f>
        <v>0</v>
      </c>
      <c r="K438" s="5" t="str">
        <f>IFERROR(VLOOKUP($G438,今日總結!$A:$AN,40,0),"")</f>
        <v>外</v>
      </c>
      <c r="L438" s="156">
        <f>IFERROR(VLOOKUP($G438,今日總結!$A:$AN,37,0),"")</f>
        <v>0</v>
      </c>
      <c r="M438" s="337">
        <f>IFERROR(VLOOKUP($G438,今日總結!$A:$AN,38,0),"")</f>
        <v>11</v>
      </c>
      <c r="N438" s="240">
        <f t="shared" si="91"/>
        <v>-11</v>
      </c>
      <c r="O438" s="359">
        <f>IFERROR(VLOOKUP($G438,融外自投!$A:$J,7,0),"無")</f>
        <v>1048</v>
      </c>
      <c r="P438" s="79">
        <f>IFERROR(VLOOKUP($G438,融外自投!$A:$J,9,0),"無")</f>
        <v>990</v>
      </c>
      <c r="Q438" s="342">
        <f>IFERROR(VLOOKUP($G438,融外自投!$A:$J,8,0),"無")</f>
        <v>1097</v>
      </c>
      <c r="R438" s="81" t="str">
        <f>IFERROR(VLOOKUP($G438,融外自投!$A:$J,10,0),"無")</f>
        <v>無</v>
      </c>
      <c r="S438" s="324">
        <f>IFERROR(VLOOKUP($G438,'321買'!$A:$E,4,0),"'沒有資料'")</f>
        <v>801</v>
      </c>
      <c r="T438" s="186">
        <f>IFERROR(VLOOKUP($G438,基本資料!$A:$J,9,0),"無")</f>
        <v>2</v>
      </c>
      <c r="U438" s="307">
        <f t="shared" si="87"/>
        <v>7.2727272727272724E-2</v>
      </c>
      <c r="V438" s="94">
        <f>IFERROR(VLOOKUP($G438,基本資料!$A:$J,10,0),"無")</f>
        <v>2.81</v>
      </c>
      <c r="W438" s="36">
        <f>RTD("money.excel",,"2012","Price")</f>
        <v>27.5</v>
      </c>
      <c r="X438" s="66"/>
      <c r="Y438" s="15">
        <f t="shared" si="92"/>
        <v>27.5</v>
      </c>
      <c r="Z438" s="3" t="e">
        <f t="shared" si="93"/>
        <v>#DIV/0!</v>
      </c>
      <c r="AA438" s="340">
        <f>IFERROR(VLOOKUP($G438,基本資料!$A:$M,11,0),"無")</f>
        <v>-35.29</v>
      </c>
      <c r="AB438" s="389">
        <f>IFERROR(VLOOKUP($G438,基本資料!$A:$M,12,0),"無")</f>
        <v>17.88</v>
      </c>
      <c r="AC438" s="22" t="s">
        <v>3923</v>
      </c>
      <c r="AF438" s="33">
        <f t="shared" si="94"/>
        <v>0</v>
      </c>
      <c r="AG438" s="43" t="s">
        <v>3924</v>
      </c>
      <c r="AH438" s="66">
        <f t="shared" si="75"/>
        <v>0.31656114628457177</v>
      </c>
      <c r="AI438" s="283">
        <f>RTD("money.excel",,$G438,"PredictVolume")</f>
        <v>95</v>
      </c>
      <c r="AJ438" s="391">
        <f>IFERROR(VLOOKUP($G438,基本資料!$A:$M,13,0),"無")</f>
        <v>300.10000000000002</v>
      </c>
      <c r="AR438" s="245" t="str">
        <f>INDEX(基本資料!N:N,MATCH($G438,基本資料!A:A,0))</f>
        <v>低</v>
      </c>
    </row>
    <row r="439" spans="1:44">
      <c r="A439" s="343">
        <f>IFERROR(VLOOKUP($G439,基本資料!$A:$J,3,0),"無")</f>
        <v>20</v>
      </c>
      <c r="B439" s="79">
        <f>IFERROR(VLOOKUP($G439,基本資料!$A:$J,4,0),"無")</f>
        <v>-21</v>
      </c>
      <c r="C439" s="79">
        <f>IFERROR(VLOOKUP($G439,基本資料!$A:$J,5,0),"無")</f>
        <v>70</v>
      </c>
      <c r="D439" s="79">
        <f>IFERROR(VLOOKUP($G439,基本資料!$A:$J,6,0),"無")</f>
        <v>-5</v>
      </c>
      <c r="E439" s="79">
        <f>IFERROR(VLOOKUP($G439,基本資料!$A:$J,7,0),"無")</f>
        <v>42</v>
      </c>
      <c r="F439" s="6">
        <f>IFERROR(VLOOKUP($G439,基本資料!$A:$J,8,0),"無")</f>
        <v>2.96</v>
      </c>
      <c r="G439" s="79">
        <v>2013</v>
      </c>
      <c r="H439" s="8" t="s">
        <v>299</v>
      </c>
      <c r="I439" s="22" t="s">
        <v>3925</v>
      </c>
      <c r="J439" s="8">
        <f>IFERROR(VLOOKUP($G439,今日總結!$A:$AN,39,0),"")</f>
        <v>0</v>
      </c>
      <c r="K439" s="5" t="str">
        <f>IFERROR(VLOOKUP($G439,今日總結!$A:$AN,40,0),"")</f>
        <v>融借</v>
      </c>
      <c r="L439" s="156">
        <f>IFERROR(VLOOKUP($G439,今日總結!$A:$AN,37,0),"")</f>
        <v>0</v>
      </c>
      <c r="M439" s="337">
        <f>IFERROR(VLOOKUP($G439,今日總結!$A:$AN,38,0),"")</f>
        <v>11</v>
      </c>
      <c r="N439" s="240">
        <f t="shared" si="91"/>
        <v>-11</v>
      </c>
      <c r="O439" s="359">
        <f>IFERROR(VLOOKUP($G439,融外自投!$A:$J,7,0),"無")</f>
        <v>229</v>
      </c>
      <c r="P439" s="79">
        <f>IFERROR(VLOOKUP($G439,融外自投!$A:$J,9,0),"無")</f>
        <v>261</v>
      </c>
      <c r="Q439" s="342">
        <f>IFERROR(VLOOKUP($G439,融外自投!$A:$J,8,0),"無")</f>
        <v>608</v>
      </c>
      <c r="R439" s="81" t="str">
        <f>IFERROR(VLOOKUP($G439,融外自投!$A:$J,10,0),"無")</f>
        <v>無</v>
      </c>
      <c r="S439" s="324">
        <f>IFERROR(VLOOKUP($G439,'321買'!$A:$E,4,0),"'沒有資料'")</f>
        <v>202</v>
      </c>
      <c r="T439" s="186">
        <f>IFERROR(VLOOKUP($G439,基本資料!$A:$J,9,0),"無")</f>
        <v>2</v>
      </c>
      <c r="U439" s="307">
        <f t="shared" si="87"/>
        <v>3.937007874015748E-2</v>
      </c>
      <c r="V439" s="94">
        <f>IFERROR(VLOOKUP($G439,基本資料!$A:$J,10,0),"無")</f>
        <v>2.4900000000000002</v>
      </c>
      <c r="W439" s="36">
        <f>RTD("money.excel",,"2013","Price")</f>
        <v>50.8</v>
      </c>
      <c r="X439" s="66"/>
      <c r="Y439" s="15">
        <f t="shared" si="92"/>
        <v>50.8</v>
      </c>
      <c r="Z439" s="3" t="e">
        <f t="shared" si="93"/>
        <v>#DIV/0!</v>
      </c>
      <c r="AA439" s="340">
        <f>IFERROR(VLOOKUP($G439,基本資料!$A:$M,11,0),"無")</f>
        <v>-37.82</v>
      </c>
      <c r="AB439" s="389">
        <f>IFERROR(VLOOKUP($G439,基本資料!$A:$M,12,0),"無")</f>
        <v>20.55</v>
      </c>
      <c r="AC439" s="22" t="s">
        <v>3925</v>
      </c>
      <c r="AF439" s="33">
        <f t="shared" si="94"/>
        <v>0</v>
      </c>
      <c r="AG439" s="117" t="s">
        <v>3926</v>
      </c>
      <c r="AH439" s="66">
        <f t="shared" si="75"/>
        <v>0.16058394160583941</v>
      </c>
      <c r="AI439" s="283">
        <f>RTD("money.excel",,$G439,"PredictVolume")</f>
        <v>440</v>
      </c>
      <c r="AJ439" s="391">
        <f>IFERROR(VLOOKUP($G439,基本資料!$A:$M,13,0),"無")</f>
        <v>2740</v>
      </c>
      <c r="AR439" s="245" t="str">
        <f>INDEX(基本資料!N:N,MATCH($G439,基本資料!A:A,0))</f>
        <v>低</v>
      </c>
    </row>
    <row r="440" spans="1:44">
      <c r="A440" s="343">
        <f>IFERROR(VLOOKUP($G440,基本資料!$A:$J,3,0),"無")</f>
        <v>143</v>
      </c>
      <c r="B440" s="79">
        <f>IFERROR(VLOOKUP($G440,基本資料!$A:$J,4,0),"無")</f>
        <v>1102</v>
      </c>
      <c r="C440" s="79">
        <f>IFERROR(VLOOKUP($G440,基本資料!$A:$J,5,0),"無")</f>
        <v>1828</v>
      </c>
      <c r="D440" s="79">
        <f>IFERROR(VLOOKUP($G440,基本資料!$A:$J,6,0),"無")</f>
        <v>20</v>
      </c>
      <c r="E440" s="79">
        <f>IFERROR(VLOOKUP($G440,基本資料!$A:$J,7,0),"無")</f>
        <v>46</v>
      </c>
      <c r="F440" s="6">
        <f>IFERROR(VLOOKUP($G440,基本資料!$A:$J,8,0),"無")</f>
        <v>12.14</v>
      </c>
      <c r="G440" s="79">
        <v>2014</v>
      </c>
      <c r="H440" s="8" t="s">
        <v>299</v>
      </c>
      <c r="I440" s="22" t="s">
        <v>3927</v>
      </c>
      <c r="J440" s="8" t="str">
        <f>IFERROR(VLOOKUP($G440,今日總結!$A:$AN,39,0),"")</f>
        <v>自</v>
      </c>
      <c r="K440" s="5" t="str">
        <f>IFERROR(VLOOKUP($G440,今日總結!$A:$AN,40,0),"")</f>
        <v>投</v>
      </c>
      <c r="L440" s="156">
        <f>IFERROR(VLOOKUP($G440,今日總結!$A:$AN,37,0),"")</f>
        <v>1</v>
      </c>
      <c r="M440" s="337">
        <f>IFERROR(VLOOKUP($G440,今日總結!$A:$AN,38,0),"")</f>
        <v>1</v>
      </c>
      <c r="N440" s="240">
        <f t="shared" si="91"/>
        <v>0</v>
      </c>
      <c r="O440" s="359">
        <f>IFERROR(VLOOKUP($G440,融外自投!$A:$J,7,0),"無")</f>
        <v>615</v>
      </c>
      <c r="P440" s="79">
        <f>IFERROR(VLOOKUP($G440,融外自投!$A:$J,9,0),"無")</f>
        <v>164</v>
      </c>
      <c r="Q440" s="342">
        <f>IFERROR(VLOOKUP($G440,融外自投!$A:$J,8,0),"無")</f>
        <v>774</v>
      </c>
      <c r="R440" s="81">
        <f>IFERROR(VLOOKUP($G440,融外自投!$A:$J,10,0),"無")</f>
        <v>34</v>
      </c>
      <c r="S440" s="324">
        <f>IFERROR(VLOOKUP($G440,'321買'!$A:$E,4,0),"'沒有資料'")</f>
        <v>144</v>
      </c>
      <c r="T440" s="186">
        <f>IFERROR(VLOOKUP($G440,基本資料!$A:$J,9,0),"無")</f>
        <v>2.8</v>
      </c>
      <c r="U440" s="307">
        <f t="shared" si="87"/>
        <v>8.5106382978723402E-2</v>
      </c>
      <c r="V440" s="94">
        <f>IFERROR(VLOOKUP($G440,基本資料!$A:$J,10,0),"無")</f>
        <v>4.42</v>
      </c>
      <c r="W440" s="36">
        <f>RTD("money.excel",,"2014","Price")</f>
        <v>32.9</v>
      </c>
      <c r="X440" s="66"/>
      <c r="Y440" s="15">
        <f t="shared" si="92"/>
        <v>32.9</v>
      </c>
      <c r="Z440" s="3" t="e">
        <f t="shared" si="93"/>
        <v>#DIV/0!</v>
      </c>
      <c r="AA440" s="340">
        <f>IFERROR(VLOOKUP($G440,基本資料!$A:$M,11,0),"無")</f>
        <v>-49.15</v>
      </c>
      <c r="AB440" s="389">
        <f>IFERROR(VLOOKUP($G440,基本資料!$A:$M,12,0),"無")</f>
        <v>16.059999999999999</v>
      </c>
      <c r="AC440" s="22" t="s">
        <v>3927</v>
      </c>
      <c r="AF440" s="33">
        <f t="shared" si="94"/>
        <v>0</v>
      </c>
      <c r="AG440" s="43" t="s">
        <v>3928</v>
      </c>
      <c r="AH440" s="66">
        <f t="shared" si="75"/>
        <v>0.41051875910424668</v>
      </c>
      <c r="AI440" s="283">
        <f>RTD("money.excel",,$G440,"PredictVolume")</f>
        <v>5890</v>
      </c>
      <c r="AJ440" s="391">
        <f>IFERROR(VLOOKUP($G440,基本資料!$A:$M,13,0),"無")</f>
        <v>14347.7</v>
      </c>
      <c r="AR440" s="245" t="str">
        <f>INDEX(基本資料!N:N,MATCH($G440,基本資料!A:A,0))</f>
        <v>低</v>
      </c>
    </row>
    <row r="441" spans="1:44">
      <c r="A441" s="343">
        <f>IFERROR(VLOOKUP($G441,基本資料!$A:$J,3,0),"無")</f>
        <v>58.15</v>
      </c>
      <c r="B441" s="79">
        <f>IFERROR(VLOOKUP($G441,基本資料!$A:$J,4,0),"無")</f>
        <v>54</v>
      </c>
      <c r="C441" s="79">
        <f>IFERROR(VLOOKUP($G441,基本資料!$A:$J,5,0),"無")</f>
        <v>52</v>
      </c>
      <c r="D441" s="79">
        <f>IFERROR(VLOOKUP($G441,基本資料!$A:$J,6,0),"無")</f>
        <v>-9</v>
      </c>
      <c r="E441" s="79">
        <f>IFERROR(VLOOKUP($G441,基本資料!$A:$J,7,0),"無")</f>
        <v>23</v>
      </c>
      <c r="F441" s="6">
        <f>IFERROR(VLOOKUP($G441,基本資料!$A:$J,8,0),"無")</f>
        <v>12.31</v>
      </c>
      <c r="G441" s="79">
        <v>2015</v>
      </c>
      <c r="H441" s="8" t="s">
        <v>299</v>
      </c>
      <c r="I441" s="22" t="s">
        <v>3929</v>
      </c>
      <c r="J441" s="8">
        <f>IFERROR(VLOOKUP($G441,今日總結!$A:$AN,39,0),"")</f>
        <v>0</v>
      </c>
      <c r="K441" s="5" t="str">
        <f>IFERROR(VLOOKUP($G441,今日總結!$A:$AN,40,0),"")</f>
        <v>主</v>
      </c>
      <c r="L441" s="156">
        <f>IFERROR(VLOOKUP($G441,今日總結!$A:$AN,37,0),"")</f>
        <v>0</v>
      </c>
      <c r="M441" s="337">
        <f>IFERROR(VLOOKUP($G441,今日總結!$A:$AN,38,0),"")</f>
        <v>3</v>
      </c>
      <c r="N441" s="240">
        <f t="shared" si="91"/>
        <v>-3</v>
      </c>
      <c r="O441" s="359">
        <f>IFERROR(VLOOKUP($G441,融外自投!$A:$J,7,0),"無")</f>
        <v>1446</v>
      </c>
      <c r="P441" s="79">
        <f>IFERROR(VLOOKUP($G441,融外自投!$A:$J,9,0),"無")</f>
        <v>584</v>
      </c>
      <c r="Q441" s="342">
        <f>IFERROR(VLOOKUP($G441,融外自投!$A:$J,8,0),"無")</f>
        <v>420</v>
      </c>
      <c r="R441" s="81">
        <f>IFERROR(VLOOKUP($G441,融外自投!$A:$J,10,0),"無")</f>
        <v>324</v>
      </c>
      <c r="S441" s="324">
        <f>IFERROR(VLOOKUP($G441,'321買'!$A:$E,4,0),"'沒有資料'")</f>
        <v>565</v>
      </c>
      <c r="T441" s="186">
        <f>IFERROR(VLOOKUP($G441,基本資料!$A:$J,9,0),"無")</f>
        <v>5</v>
      </c>
      <c r="U441" s="307">
        <f t="shared" si="87"/>
        <v>6.7567567567567571E-2</v>
      </c>
      <c r="V441" s="94">
        <f>IFERROR(VLOOKUP($G441,基本資料!$A:$J,10,0),"無")</f>
        <v>6.94</v>
      </c>
      <c r="W441" s="36">
        <f>RTD("money.excel",,"2015","Price")</f>
        <v>74</v>
      </c>
      <c r="X441" s="66"/>
      <c r="Y441" s="15">
        <f t="shared" si="92"/>
        <v>74</v>
      </c>
      <c r="Z441" s="3" t="e">
        <f t="shared" si="93"/>
        <v>#DIV/0!</v>
      </c>
      <c r="AA441" s="340">
        <f>IFERROR(VLOOKUP($G441,基本資料!$A:$M,11,0),"無")</f>
        <v>-25.25</v>
      </c>
      <c r="AB441" s="389">
        <f>IFERROR(VLOOKUP($G441,基本資料!$A:$M,12,0),"無")</f>
        <v>11.8</v>
      </c>
      <c r="AC441" s="22" t="s">
        <v>3929</v>
      </c>
      <c r="AF441" s="33">
        <f t="shared" si="94"/>
        <v>0</v>
      </c>
      <c r="AG441" s="117" t="s">
        <v>2659</v>
      </c>
      <c r="AH441" s="66">
        <f t="shared" si="75"/>
        <v>0.89194769442532695</v>
      </c>
      <c r="AI441" s="283">
        <f>RTD("money.excel",,$G441,"PredictVolume")</f>
        <v>324</v>
      </c>
      <c r="AJ441" s="391">
        <f>IFERROR(VLOOKUP($G441,基本資料!$A:$M,13,0),"無")</f>
        <v>363.25</v>
      </c>
      <c r="AR441" s="245" t="str">
        <f>INDEX(基本資料!N:N,MATCH($G441,基本資料!A:A,0))</f>
        <v>低</v>
      </c>
    </row>
    <row r="442" spans="1:44">
      <c r="A442" s="343">
        <f>IFERROR(VLOOKUP($G442,基本資料!$A:$J,3,0),"無")</f>
        <v>34.18</v>
      </c>
      <c r="B442" s="79">
        <f>IFERROR(VLOOKUP($G442,基本資料!$A:$J,4,0),"無")</f>
        <v>853</v>
      </c>
      <c r="C442" s="79">
        <f>IFERROR(VLOOKUP($G442,基本資料!$A:$J,5,0),"無")</f>
        <v>4096</v>
      </c>
      <c r="D442" s="79">
        <f>IFERROR(VLOOKUP($G442,基本資料!$A:$J,6,0),"無")</f>
        <v>-4</v>
      </c>
      <c r="E442" s="79">
        <f>IFERROR(VLOOKUP($G442,基本資料!$A:$J,7,0),"無")</f>
        <v>-1</v>
      </c>
      <c r="F442" s="6">
        <f>IFERROR(VLOOKUP($G442,基本資料!$A:$J,8,0),"無")</f>
        <v>13.53</v>
      </c>
      <c r="G442" s="79">
        <v>2017</v>
      </c>
      <c r="H442" s="8" t="s">
        <v>299</v>
      </c>
      <c r="I442" s="22" t="s">
        <v>3930</v>
      </c>
      <c r="J442" s="8">
        <f>IFERROR(VLOOKUP($G442,今日總結!$A:$AN,39,0),"")</f>
        <v>0</v>
      </c>
      <c r="K442" s="5" t="str">
        <f>IFERROR(VLOOKUP($G442,今日總結!$A:$AN,40,0),"")</f>
        <v>融</v>
      </c>
      <c r="L442" s="156">
        <f>IFERROR(VLOOKUP($G442,今日總結!$A:$AN,37,0),"")</f>
        <v>0</v>
      </c>
      <c r="M442" s="337">
        <f>IFERROR(VLOOKUP($G442,今日總結!$A:$AN,38,0),"")</f>
        <v>3</v>
      </c>
      <c r="N442" s="240">
        <f t="shared" si="91"/>
        <v>-3</v>
      </c>
      <c r="O442" s="359">
        <f>IFERROR(VLOOKUP($G442,融外自投!$A:$J,7,0),"無")</f>
        <v>747</v>
      </c>
      <c r="P442" s="79">
        <f>IFERROR(VLOOKUP($G442,融外自投!$A:$J,9,0),"無")</f>
        <v>3</v>
      </c>
      <c r="Q442" s="342">
        <f>IFERROR(VLOOKUP($G442,融外自投!$A:$J,8,0),"無")</f>
        <v>1179</v>
      </c>
      <c r="R442" s="81" t="str">
        <f>IFERROR(VLOOKUP($G442,融外自投!$A:$J,10,0),"無")</f>
        <v>無</v>
      </c>
      <c r="S442" s="324">
        <f>IFERROR(VLOOKUP($G442,'321買'!$A:$E,4,0),"'沒有資料'")</f>
        <v>743</v>
      </c>
      <c r="T442" s="186">
        <f>IFERROR(VLOOKUP($G442,基本資料!$A:$J,9,0),"無")</f>
        <v>1.2</v>
      </c>
      <c r="U442" s="307">
        <f t="shared" si="87"/>
        <v>7.792207792207792E-2</v>
      </c>
      <c r="V442" s="94">
        <f>IFERROR(VLOOKUP($G442,基本資料!$A:$J,10,0),"無")</f>
        <v>1.98</v>
      </c>
      <c r="W442" s="36">
        <f>RTD("money.excel",,"2017","Price")</f>
        <v>15.4</v>
      </c>
      <c r="X442" s="66"/>
      <c r="Y442" s="15">
        <f t="shared" si="92"/>
        <v>15.4</v>
      </c>
      <c r="Z442" s="3" t="e">
        <f t="shared" si="93"/>
        <v>#DIV/0!</v>
      </c>
      <c r="AA442" s="340">
        <f>IFERROR(VLOOKUP($G442,基本資料!$A:$M,11,0),"無")</f>
        <v>-58.15</v>
      </c>
      <c r="AB442" s="389">
        <f>IFERROR(VLOOKUP($G442,基本資料!$A:$M,12,0),"無")</f>
        <v>15.88</v>
      </c>
      <c r="AC442" s="22" t="s">
        <v>3930</v>
      </c>
      <c r="AF442" s="33">
        <f t="shared" si="94"/>
        <v>0</v>
      </c>
      <c r="AG442" s="43" t="s">
        <v>3931</v>
      </c>
      <c r="AH442" s="66">
        <f t="shared" si="75"/>
        <v>0.43957485894239601</v>
      </c>
      <c r="AI442" s="283">
        <f>RTD("money.excel",,$G442,"PredictVolume")</f>
        <v>670</v>
      </c>
      <c r="AJ442" s="391">
        <f>IFERROR(VLOOKUP($G442,基本資料!$A:$M,13,0),"無")</f>
        <v>1524.2</v>
      </c>
      <c r="AR442" s="245" t="str">
        <f>INDEX(基本資料!N:N,MATCH($G442,基本資料!A:A,0))</f>
        <v>低</v>
      </c>
    </row>
    <row r="443" spans="1:44">
      <c r="A443" s="343">
        <f>IFERROR(VLOOKUP($G443,基本資料!$A:$J,3,0),"無")</f>
        <v>22.25</v>
      </c>
      <c r="B443" s="79">
        <f>IFERROR(VLOOKUP($G443,基本資料!$A:$J,4,0),"無")</f>
        <v>98</v>
      </c>
      <c r="C443" s="79">
        <f>IFERROR(VLOOKUP($G443,基本資料!$A:$J,5,0),"無")</f>
        <v>95</v>
      </c>
      <c r="D443" s="79">
        <f>IFERROR(VLOOKUP($G443,基本資料!$A:$J,6,0),"無")</f>
        <v>-2</v>
      </c>
      <c r="E443" s="79">
        <f>IFERROR(VLOOKUP($G443,基本資料!$A:$J,7,0),"無")</f>
        <v>20</v>
      </c>
      <c r="F443" s="6">
        <f>IFERROR(VLOOKUP($G443,基本資料!$A:$J,8,0),"無")</f>
        <v>7.97</v>
      </c>
      <c r="G443" s="79">
        <v>2020</v>
      </c>
      <c r="H443" s="8" t="s">
        <v>299</v>
      </c>
      <c r="I443" s="22" t="s">
        <v>3932</v>
      </c>
      <c r="J443" s="8">
        <f>IFERROR(VLOOKUP($G443,今日總結!$A:$AN,39,0),"")</f>
        <v>0</v>
      </c>
      <c r="K443" s="5" t="str">
        <f>IFERROR(VLOOKUP($G443,今日總結!$A:$AN,40,0),"")</f>
        <v>主外借</v>
      </c>
      <c r="L443" s="156">
        <f>IFERROR(VLOOKUP($G443,今日總結!$A:$AN,37,0),"")</f>
        <v>0</v>
      </c>
      <c r="M443" s="337">
        <f>IFERROR(VLOOKUP($G443,今日總結!$A:$AN,38,0),"")</f>
        <v>6</v>
      </c>
      <c r="N443" s="240">
        <f t="shared" si="91"/>
        <v>-6</v>
      </c>
      <c r="O443" s="359">
        <f>IFERROR(VLOOKUP($G443,融外自投!$A:$J,7,0),"無")</f>
        <v>832</v>
      </c>
      <c r="P443" s="79">
        <f>IFERROR(VLOOKUP($G443,融外自投!$A:$J,9,0),"無")</f>
        <v>280</v>
      </c>
      <c r="Q443" s="342">
        <f>IFERROR(VLOOKUP($G443,融外自投!$A:$J,8,0),"無")</f>
        <v>979</v>
      </c>
      <c r="R443" s="81" t="str">
        <f>IFERROR(VLOOKUP($G443,融外自投!$A:$J,10,0),"無")</f>
        <v>無</v>
      </c>
      <c r="S443" s="324">
        <f>IFERROR(VLOOKUP($G443,'321買'!$A:$E,4,0),"'沒有資料'")</f>
        <v>891</v>
      </c>
      <c r="T443" s="186">
        <f>IFERROR(VLOOKUP($G443,基本資料!$A:$J,9,0),"無")</f>
        <v>3</v>
      </c>
      <c r="U443" s="307">
        <f t="shared" si="87"/>
        <v>9.950248756218906E-2</v>
      </c>
      <c r="V443" s="94">
        <f>IFERROR(VLOOKUP($G443,基本資料!$A:$J,10,0),"無")</f>
        <v>3.52</v>
      </c>
      <c r="W443" s="36">
        <f>RTD("money.excel",,"2020","Price")</f>
        <v>30.15</v>
      </c>
      <c r="X443" s="66"/>
      <c r="Y443" s="15">
        <f t="shared" si="92"/>
        <v>30.15</v>
      </c>
      <c r="Z443" s="3" t="e">
        <f t="shared" si="93"/>
        <v>#DIV/0!</v>
      </c>
      <c r="AA443" s="340">
        <f>IFERROR(VLOOKUP($G443,基本資料!$A:$M,11,0),"無")</f>
        <v>-31.86</v>
      </c>
      <c r="AB443" s="389">
        <f>IFERROR(VLOOKUP($G443,基本資料!$A:$M,12,0),"無")</f>
        <v>25.13</v>
      </c>
      <c r="AC443" s="22" t="s">
        <v>3932</v>
      </c>
      <c r="AF443" s="33">
        <f t="shared" si="94"/>
        <v>0</v>
      </c>
      <c r="AG443" s="43" t="s">
        <v>3918</v>
      </c>
      <c r="AH443" s="66">
        <f t="shared" si="75"/>
        <v>0.69714459295261244</v>
      </c>
      <c r="AI443" s="283">
        <f>RTD("money.excel",,$G443,"PredictVolume")</f>
        <v>459</v>
      </c>
      <c r="AJ443" s="391">
        <f>IFERROR(VLOOKUP($G443,基本資料!$A:$M,13,0),"無")</f>
        <v>658.4</v>
      </c>
      <c r="AR443" s="245" t="str">
        <f>INDEX(基本資料!N:N,MATCH($G443,基本資料!A:A,0))</f>
        <v>低</v>
      </c>
    </row>
    <row r="444" spans="1:44">
      <c r="A444" s="343">
        <f>IFERROR(VLOOKUP($G444,基本資料!$A:$J,3,0),"無")</f>
        <v>47.97</v>
      </c>
      <c r="B444" s="79">
        <f>IFERROR(VLOOKUP($G444,基本資料!$A:$J,4,0),"無")</f>
        <v>315</v>
      </c>
      <c r="C444" s="79">
        <f>IFERROR(VLOOKUP($G444,基本資料!$A:$J,5,0),"無")</f>
        <v>681</v>
      </c>
      <c r="D444" s="79">
        <f>IFERROR(VLOOKUP($G444,基本資料!$A:$J,6,0),"無")</f>
        <v>25</v>
      </c>
      <c r="E444" s="79">
        <f>IFERROR(VLOOKUP($G444,基本資料!$A:$J,7,0),"無")</f>
        <v>11</v>
      </c>
      <c r="F444" s="6">
        <f>IFERROR(VLOOKUP($G444,基本資料!$A:$J,8,0),"無")</f>
        <v>8.59</v>
      </c>
      <c r="G444" s="79">
        <v>2022</v>
      </c>
      <c r="H444" s="8" t="s">
        <v>299</v>
      </c>
      <c r="I444" s="22" t="s">
        <v>3933</v>
      </c>
      <c r="J444" s="8" t="str">
        <f>IFERROR(VLOOKUP($G444,今日總結!$A:$AN,39,0),"")</f>
        <v/>
      </c>
      <c r="K444" s="5" t="str">
        <f>IFERROR(VLOOKUP($G444,今日總結!$A:$AN,40,0),"")</f>
        <v/>
      </c>
      <c r="L444" s="156" t="str">
        <f>IFERROR(VLOOKUP($G444,今日總結!$A:$AN,37,0),"")</f>
        <v/>
      </c>
      <c r="M444" s="337" t="str">
        <f>IFERROR(VLOOKUP($G444,今日總結!$A:$AN,38,0),"")</f>
        <v/>
      </c>
      <c r="N444" s="240" t="str">
        <f t="shared" si="91"/>
        <v/>
      </c>
      <c r="O444" s="359" t="str">
        <f>IFERROR(VLOOKUP($G444,融外自投!$A:$J,7,0),"無")</f>
        <v>無</v>
      </c>
      <c r="P444" s="79" t="str">
        <f>IFERROR(VLOOKUP($G444,融外自投!$A:$J,9,0),"無")</f>
        <v>無</v>
      </c>
      <c r="Q444" s="342" t="str">
        <f>IFERROR(VLOOKUP($G444,融外自投!$A:$J,8,0),"無")</f>
        <v>無</v>
      </c>
      <c r="R444" s="81" t="str">
        <f>IFERROR(VLOOKUP($G444,融外自投!$A:$J,10,0),"無")</f>
        <v>無</v>
      </c>
      <c r="S444" s="324" t="str">
        <f>IFERROR(VLOOKUP($G444,'321買'!$A:$E,4,0),"'沒有資料'")</f>
        <v>'沒有資料'</v>
      </c>
      <c r="T444" s="186">
        <f>IFERROR(VLOOKUP($G444,基本資料!$A:$J,9,0),"無")</f>
        <v>0</v>
      </c>
      <c r="U444" s="307">
        <f t="shared" si="87"/>
        <v>0</v>
      </c>
      <c r="V444" s="94">
        <f>IFERROR(VLOOKUP($G444,基本資料!$A:$J,10,0),"無")</f>
        <v>0.89</v>
      </c>
      <c r="W444" s="36">
        <f>RTD("money.excel",,"2022","Price")</f>
        <v>9.98</v>
      </c>
      <c r="X444" s="66"/>
      <c r="Y444" s="15">
        <f t="shared" si="92"/>
        <v>9.98</v>
      </c>
      <c r="Z444" s="3" t="e">
        <f t="shared" si="93"/>
        <v>#DIV/0!</v>
      </c>
      <c r="AA444" s="340">
        <f>IFERROR(VLOOKUP($G444,基本資料!$A:$M,11,0),"無")</f>
        <v>-63.84</v>
      </c>
      <c r="AB444" s="389">
        <f>IFERROR(VLOOKUP($G444,基本資料!$A:$M,12,0),"無")</f>
        <v>7.86</v>
      </c>
      <c r="AC444" s="22" t="s">
        <v>3933</v>
      </c>
      <c r="AF444" s="33">
        <f t="shared" si="94"/>
        <v>0</v>
      </c>
      <c r="AG444" s="43" t="s">
        <v>3934</v>
      </c>
      <c r="AH444" s="66">
        <f t="shared" si="75"/>
        <v>0.63148295907899232</v>
      </c>
      <c r="AI444" s="283">
        <f>RTD("money.excel",,$G444,"PredictVolume")</f>
        <v>831</v>
      </c>
      <c r="AJ444" s="391">
        <f>IFERROR(VLOOKUP($G444,基本資料!$A:$M,13,0),"無")</f>
        <v>1315.95</v>
      </c>
      <c r="AR444" s="245" t="str">
        <f>INDEX(基本資料!N:N,MATCH($G444,基本資料!A:A,0))</f>
        <v>低</v>
      </c>
    </row>
    <row r="445" spans="1:44">
      <c r="A445" s="343">
        <f>IFERROR(VLOOKUP($G445,基本資料!$A:$J,3,0),"無")</f>
        <v>189</v>
      </c>
      <c r="B445" s="79">
        <f>IFERROR(VLOOKUP($G445,基本資料!$A:$J,4,0),"無")</f>
        <v>908</v>
      </c>
      <c r="C445" s="79">
        <f>IFERROR(VLOOKUP($G445,基本資料!$A:$J,5,0),"無")</f>
        <v>344</v>
      </c>
      <c r="D445" s="79">
        <f>IFERROR(VLOOKUP($G445,基本資料!$A:$J,6,0),"無")</f>
        <v>3</v>
      </c>
      <c r="E445" s="79">
        <f>IFERROR(VLOOKUP($G445,基本資料!$A:$J,7,0),"無")</f>
        <v>15</v>
      </c>
      <c r="F445" s="6">
        <f>IFERROR(VLOOKUP($G445,基本資料!$A:$J,8,0),"無")</f>
        <v>5.59</v>
      </c>
      <c r="G445" s="79">
        <v>2023</v>
      </c>
      <c r="H445" s="8" t="s">
        <v>299</v>
      </c>
      <c r="I445" s="22" t="s">
        <v>3935</v>
      </c>
      <c r="J445" s="8">
        <f>IFERROR(VLOOKUP($G445,今日總結!$A:$AN,39,0),"")</f>
        <v>0</v>
      </c>
      <c r="K445" s="5">
        <f>IFERROR(VLOOKUP($G445,今日總結!$A:$AN,40,0),"")</f>
        <v>0</v>
      </c>
      <c r="L445" s="156">
        <f>IFERROR(VLOOKUP($G445,今日總結!$A:$AN,37,0),"")</f>
        <v>0</v>
      </c>
      <c r="M445" s="337">
        <f>IFERROR(VLOOKUP($G445,今日總結!$A:$AN,38,0),"")</f>
        <v>0</v>
      </c>
      <c r="N445" s="240">
        <f t="shared" si="91"/>
        <v>0</v>
      </c>
      <c r="O445" s="359">
        <f>IFERROR(VLOOKUP($G445,融外自投!$A:$J,7,0),"無")</f>
        <v>767</v>
      </c>
      <c r="P445" s="79">
        <f>IFERROR(VLOOKUP($G445,融外自投!$A:$J,9,0),"無")</f>
        <v>869</v>
      </c>
      <c r="Q445" s="342">
        <f>IFERROR(VLOOKUP($G445,融外自投!$A:$J,8,0),"無")</f>
        <v>756</v>
      </c>
      <c r="R445" s="81">
        <f>IFERROR(VLOOKUP($G445,融外自投!$A:$J,10,0),"無")</f>
        <v>495</v>
      </c>
      <c r="S445" s="324">
        <f>IFERROR(VLOOKUP($G445,'321買'!$A:$E,4,0),"'沒有資料'")</f>
        <v>565</v>
      </c>
      <c r="T445" s="186">
        <f>IFERROR(VLOOKUP($G445,基本資料!$A:$J,9,0),"無")</f>
        <v>1</v>
      </c>
      <c r="U445" s="307">
        <f t="shared" si="87"/>
        <v>5.0761421319796954E-2</v>
      </c>
      <c r="V445" s="94">
        <f>IFERROR(VLOOKUP($G445,基本資料!$A:$J,10,0),"無")</f>
        <v>2.75</v>
      </c>
      <c r="W445" s="36">
        <f>RTD("money.excel",,"2023","Price")</f>
        <v>19.7</v>
      </c>
      <c r="X445" s="66"/>
      <c r="Y445" s="15">
        <f t="shared" si="92"/>
        <v>19.7</v>
      </c>
      <c r="Z445" s="3" t="e">
        <f t="shared" si="93"/>
        <v>#DIV/0!</v>
      </c>
      <c r="AA445" s="340">
        <f>IFERROR(VLOOKUP($G445,基本資料!$A:$M,11,0),"無")</f>
        <v>-52.64</v>
      </c>
      <c r="AB445" s="389">
        <f>IFERROR(VLOOKUP($G445,基本資料!$A:$M,12,0),"無")</f>
        <v>16.72</v>
      </c>
      <c r="AC445" s="22" t="s">
        <v>3935</v>
      </c>
      <c r="AF445" s="33">
        <f t="shared" si="94"/>
        <v>0</v>
      </c>
      <c r="AG445" s="117" t="s">
        <v>3936</v>
      </c>
      <c r="AH445" s="66">
        <f t="shared" si="75"/>
        <v>0.45990043242850392</v>
      </c>
      <c r="AI445" s="283">
        <f>RTD("money.excel",,$G445,"PredictVolume")</f>
        <v>3164</v>
      </c>
      <c r="AJ445" s="391">
        <f>IFERROR(VLOOKUP($G445,基本資料!$A:$M,13,0),"無")</f>
        <v>6879.75</v>
      </c>
      <c r="AR445" s="245" t="str">
        <f>INDEX(基本資料!N:N,MATCH($G445,基本資料!A:A,0))</f>
        <v>低</v>
      </c>
    </row>
    <row r="446" spans="1:44">
      <c r="A446" s="343">
        <f>IFERROR(VLOOKUP($G446,基本資料!$A:$J,3,0),"無")</f>
        <v>9.75</v>
      </c>
      <c r="B446" s="79">
        <f>IFERROR(VLOOKUP($G446,基本資料!$A:$J,4,0),"無")</f>
        <v>434</v>
      </c>
      <c r="C446" s="79">
        <f>IFERROR(VLOOKUP($G446,基本資料!$A:$J,5,0),"無")</f>
        <v>402</v>
      </c>
      <c r="D446" s="79">
        <f>IFERROR(VLOOKUP($G446,基本資料!$A:$J,6,0),"無")</f>
        <v>-31</v>
      </c>
      <c r="E446" s="79">
        <f>IFERROR(VLOOKUP($G446,基本資料!$A:$J,7,0),"無")</f>
        <v>-21</v>
      </c>
      <c r="F446" s="6">
        <f>IFERROR(VLOOKUP($G446,基本資料!$A:$J,8,0),"無")</f>
        <v>11.95</v>
      </c>
      <c r="G446" s="79">
        <v>2024</v>
      </c>
      <c r="H446" s="8" t="s">
        <v>299</v>
      </c>
      <c r="I446" s="22" t="s">
        <v>3937</v>
      </c>
      <c r="J446" s="8" t="str">
        <f>IFERROR(VLOOKUP($G446,今日總結!$A:$AN,39,0),"")</f>
        <v>外</v>
      </c>
      <c r="K446" s="5">
        <f>IFERROR(VLOOKUP($G446,今日總結!$A:$AN,40,0),"")</f>
        <v>0</v>
      </c>
      <c r="L446" s="156">
        <f>IFERROR(VLOOKUP($G446,今日總結!$A:$AN,37,0),"")</f>
        <v>1</v>
      </c>
      <c r="M446" s="337">
        <f>IFERROR(VLOOKUP($G446,今日總結!$A:$AN,38,0),"")</f>
        <v>0</v>
      </c>
      <c r="N446" s="240">
        <f t="shared" si="91"/>
        <v>1</v>
      </c>
      <c r="O446" s="359">
        <f>IFERROR(VLOOKUP($G446,融外自投!$A:$J,7,0),"無")</f>
        <v>954</v>
      </c>
      <c r="P446" s="79">
        <f>IFERROR(VLOOKUP($G446,融外自投!$A:$J,9,0),"無")</f>
        <v>908</v>
      </c>
      <c r="Q446" s="342">
        <f>IFERROR(VLOOKUP($G446,融外自投!$A:$J,8,0),"無")</f>
        <v>1366</v>
      </c>
      <c r="R446" s="81" t="str">
        <f>IFERROR(VLOOKUP($G446,融外自投!$A:$J,10,0),"無")</f>
        <v>無</v>
      </c>
      <c r="S446" s="324">
        <f>IFERROR(VLOOKUP($G446,'321買'!$A:$E,4,0),"'沒有資料'")</f>
        <v>696</v>
      </c>
      <c r="T446" s="186">
        <f>IFERROR(VLOOKUP($G446,基本資料!$A:$J,9,0),"無")</f>
        <v>1.2</v>
      </c>
      <c r="U446" s="307">
        <f t="shared" si="87"/>
        <v>5.8394160583941604E-2</v>
      </c>
      <c r="V446" s="94">
        <f>IFERROR(VLOOKUP($G446,基本資料!$A:$J,10,0),"無")</f>
        <v>1.47</v>
      </c>
      <c r="W446" s="36">
        <f>RTD("money.excel",,"2024","Price")</f>
        <v>20.55</v>
      </c>
      <c r="X446" s="66"/>
      <c r="Y446" s="15">
        <f t="shared" si="92"/>
        <v>20.55</v>
      </c>
      <c r="Z446" s="3" t="e">
        <f t="shared" si="93"/>
        <v>#DIV/0!</v>
      </c>
      <c r="AA446" s="340">
        <f>IFERROR(VLOOKUP($G446,基本資料!$A:$M,11,0),"無")</f>
        <v>-39.29</v>
      </c>
      <c r="AB446" s="389">
        <f>IFERROR(VLOOKUP($G446,基本資料!$A:$M,12,0),"無")</f>
        <v>15.93</v>
      </c>
      <c r="AC446" s="22" t="s">
        <v>3937</v>
      </c>
      <c r="AF446" s="33">
        <f t="shared" si="94"/>
        <v>0</v>
      </c>
      <c r="AG446" s="43" t="s">
        <v>3938</v>
      </c>
      <c r="AH446" s="66">
        <f t="shared" si="75"/>
        <v>8.7452261028394304E-2</v>
      </c>
      <c r="AI446" s="283">
        <f>RTD("money.excel",,$G446,"PredictVolume")</f>
        <v>79</v>
      </c>
      <c r="AJ446" s="391">
        <f>IFERROR(VLOOKUP($G446,基本資料!$A:$M,13,0),"無")</f>
        <v>903.35</v>
      </c>
      <c r="AR446" s="245" t="str">
        <f>INDEX(基本資料!N:N,MATCH($G446,基本資料!A:A,0))</f>
        <v>低</v>
      </c>
    </row>
    <row r="447" spans="1:44">
      <c r="A447" s="343">
        <f>IFERROR(VLOOKUP($G447,基本資料!$A:$J,3,0),"無")</f>
        <v>28.11</v>
      </c>
      <c r="B447" s="79">
        <f>IFERROR(VLOOKUP($G447,基本資料!$A:$J,4,0),"無")</f>
        <v>231</v>
      </c>
      <c r="C447" s="79">
        <f>IFERROR(VLOOKUP($G447,基本資料!$A:$J,5,0),"無")</f>
        <v>219</v>
      </c>
      <c r="D447" s="79">
        <f>IFERROR(VLOOKUP($G447,基本資料!$A:$J,6,0),"無")</f>
        <v>1</v>
      </c>
      <c r="E447" s="79">
        <f>IFERROR(VLOOKUP($G447,基本資料!$A:$J,7,0),"無")</f>
        <v>104</v>
      </c>
      <c r="F447" s="6">
        <f>IFERROR(VLOOKUP($G447,基本資料!$A:$J,8,0),"無")</f>
        <v>10.75</v>
      </c>
      <c r="G447" s="79">
        <v>2025</v>
      </c>
      <c r="H447" s="8" t="s">
        <v>299</v>
      </c>
      <c r="I447" s="22" t="s">
        <v>3939</v>
      </c>
      <c r="J447" s="8" t="str">
        <f>IFERROR(VLOOKUP($G447,今日總結!$A:$AN,39,0),"")</f>
        <v/>
      </c>
      <c r="K447" s="5" t="str">
        <f>IFERROR(VLOOKUP($G447,今日總結!$A:$AN,40,0),"")</f>
        <v/>
      </c>
      <c r="L447" s="156" t="str">
        <f>IFERROR(VLOOKUP($G447,今日總結!$A:$AN,37,0),"")</f>
        <v/>
      </c>
      <c r="M447" s="337" t="str">
        <f>IFERROR(VLOOKUP($G447,今日總結!$A:$AN,38,0),"")</f>
        <v/>
      </c>
      <c r="N447" s="240" t="str">
        <f t="shared" si="91"/>
        <v/>
      </c>
      <c r="O447" s="359" t="str">
        <f>IFERROR(VLOOKUP($G447,融外自投!$A:$J,7,0),"無")</f>
        <v>無</v>
      </c>
      <c r="P447" s="79" t="str">
        <f>IFERROR(VLOOKUP($G447,融外自投!$A:$J,9,0),"無")</f>
        <v>無</v>
      </c>
      <c r="Q447" s="342" t="str">
        <f>IFERROR(VLOOKUP($G447,融外自投!$A:$J,8,0),"無")</f>
        <v>無</v>
      </c>
      <c r="R447" s="81" t="str">
        <f>IFERROR(VLOOKUP($G447,融外自投!$A:$J,10,0),"無")</f>
        <v>無</v>
      </c>
      <c r="S447" s="324" t="str">
        <f>IFERROR(VLOOKUP($G447,'321買'!$A:$E,4,0),"'沒有資料'")</f>
        <v>'沒有資料'</v>
      </c>
      <c r="T447" s="186">
        <f>IFERROR(VLOOKUP($G447,基本資料!$A:$J,9,0),"無")</f>
        <v>0</v>
      </c>
      <c r="U447" s="307">
        <f t="shared" si="87"/>
        <v>0</v>
      </c>
      <c r="V447" s="94">
        <f>IFERROR(VLOOKUP($G447,基本資料!$A:$J,10,0),"無")</f>
        <v>0.98</v>
      </c>
      <c r="W447" s="36">
        <f>RTD("money.excel",,"2025","Price")</f>
        <v>5.69</v>
      </c>
      <c r="X447" s="66"/>
      <c r="Y447" s="15">
        <f t="shared" si="92"/>
        <v>5.69</v>
      </c>
      <c r="Z447" s="3" t="e">
        <f t="shared" si="93"/>
        <v>#DIV/0!</v>
      </c>
      <c r="AA447" s="340">
        <f>IFERROR(VLOOKUP($G447,基本資料!$A:$M,11,0),"無")</f>
        <v>-31.45</v>
      </c>
      <c r="AB447" s="389">
        <f>IFERROR(VLOOKUP($G447,基本資料!$A:$M,12,0),"無")</f>
        <v>49.45</v>
      </c>
      <c r="AC447" s="22" t="s">
        <v>3939</v>
      </c>
      <c r="AF447" s="33">
        <f t="shared" si="94"/>
        <v>0</v>
      </c>
      <c r="AG447" s="43" t="s">
        <v>3940</v>
      </c>
      <c r="AH447" s="66">
        <f t="shared" si="75"/>
        <v>1.064822261540936</v>
      </c>
      <c r="AI447" s="283">
        <f>RTD("money.excel",,$G447,"PredictVolume")</f>
        <v>662</v>
      </c>
      <c r="AJ447" s="391">
        <f>IFERROR(VLOOKUP($G447,基本資料!$A:$M,13,0),"無")</f>
        <v>621.70000000000005</v>
      </c>
      <c r="AR447" s="245" t="str">
        <f>INDEX(基本資料!N:N,MATCH($G447,基本資料!A:A,0))</f>
        <v>中</v>
      </c>
    </row>
    <row r="448" spans="1:44">
      <c r="A448" s="343">
        <f>IFERROR(VLOOKUP($G448,基本資料!$A:$J,3,0),"無")</f>
        <v>200</v>
      </c>
      <c r="B448" s="79">
        <f>IFERROR(VLOOKUP($G448,基本資料!$A:$J,4,0),"無")</f>
        <v>11496</v>
      </c>
      <c r="C448" s="79">
        <f>IFERROR(VLOOKUP($G448,基本資料!$A:$J,5,0),"無")</f>
        <v>938</v>
      </c>
      <c r="D448" s="79">
        <f>IFERROR(VLOOKUP($G448,基本資料!$A:$J,6,0),"無")</f>
        <v>-6</v>
      </c>
      <c r="E448" s="79">
        <f>IFERROR(VLOOKUP($G448,基本資料!$A:$J,7,0),"無")</f>
        <v>33</v>
      </c>
      <c r="F448" s="6">
        <f>IFERROR(VLOOKUP($G448,基本資料!$A:$J,8,0),"無")</f>
        <v>19.55</v>
      </c>
      <c r="G448" s="79">
        <v>2027</v>
      </c>
      <c r="H448" s="8" t="s">
        <v>299</v>
      </c>
      <c r="I448" s="22" t="s">
        <v>3941</v>
      </c>
      <c r="J448" s="8">
        <f>IFERROR(VLOOKUP($G448,今日總結!$A:$AN,39,0),"")</f>
        <v>0</v>
      </c>
      <c r="K448" s="5">
        <f>IFERROR(VLOOKUP($G448,今日總結!$A:$AN,40,0),"")</f>
        <v>0</v>
      </c>
      <c r="L448" s="156">
        <f>IFERROR(VLOOKUP($G448,今日總結!$A:$AN,37,0),"")</f>
        <v>0</v>
      </c>
      <c r="M448" s="337">
        <f>IFERROR(VLOOKUP($G448,今日總結!$A:$AN,38,0),"")</f>
        <v>0</v>
      </c>
      <c r="N448" s="240">
        <f t="shared" si="91"/>
        <v>0</v>
      </c>
      <c r="O448" s="359">
        <f>IFERROR(VLOOKUP($G448,融外自投!$A:$J,7,0),"無")</f>
        <v>430</v>
      </c>
      <c r="P448" s="79">
        <f>IFERROR(VLOOKUP($G448,融外自投!$A:$J,9,0),"無")</f>
        <v>54</v>
      </c>
      <c r="Q448" s="342">
        <f>IFERROR(VLOOKUP($G448,融外自投!$A:$J,8,0),"無")</f>
        <v>342</v>
      </c>
      <c r="R448" s="81">
        <f>IFERROR(VLOOKUP($G448,融外自投!$A:$J,10,0),"無")</f>
        <v>227</v>
      </c>
      <c r="S448" s="324">
        <f>IFERROR(VLOOKUP($G448,'321買'!$A:$E,4,0),"'沒有資料'")</f>
        <v>192</v>
      </c>
      <c r="T448" s="186">
        <f>IFERROR(VLOOKUP($G448,基本資料!$A:$J,9,0),"無")</f>
        <v>1.9</v>
      </c>
      <c r="U448" s="307">
        <f t="shared" si="87"/>
        <v>4.377880184331797E-2</v>
      </c>
      <c r="V448" s="94">
        <f>IFERROR(VLOOKUP($G448,基本資料!$A:$J,10,0),"無")</f>
        <v>5.76</v>
      </c>
      <c r="W448" s="36">
        <f>RTD("money.excel",,"2027","Price")</f>
        <v>43.4</v>
      </c>
      <c r="X448" s="66"/>
      <c r="Y448" s="15">
        <f t="shared" si="92"/>
        <v>43.4</v>
      </c>
      <c r="Z448" s="3" t="e">
        <f t="shared" si="93"/>
        <v>#DIV/0!</v>
      </c>
      <c r="AA448" s="340">
        <f>IFERROR(VLOOKUP($G448,基本資料!$A:$M,11,0),"無")</f>
        <v>-31.87</v>
      </c>
      <c r="AB448" s="389">
        <f>IFERROR(VLOOKUP($G448,基本資料!$A:$M,12,0),"無")</f>
        <v>19.739999999999998</v>
      </c>
      <c r="AC448" s="22" t="s">
        <v>3941</v>
      </c>
      <c r="AF448" s="33">
        <f t="shared" si="94"/>
        <v>0</v>
      </c>
      <c r="AG448" s="117" t="s">
        <v>3260</v>
      </c>
      <c r="AH448" s="66">
        <f t="shared" si="75"/>
        <v>0.44772297168255293</v>
      </c>
      <c r="AI448" s="283">
        <f>RTD("money.excel",,$G448,"PredictVolume")</f>
        <v>10315</v>
      </c>
      <c r="AJ448" s="391">
        <f>IFERROR(VLOOKUP($G448,基本資料!$A:$M,13,0),"無")</f>
        <v>23038.799999999999</v>
      </c>
      <c r="AR448" s="245" t="str">
        <f>INDEX(基本資料!N:N,MATCH($G448,基本資料!A:A,0))</f>
        <v>低</v>
      </c>
    </row>
    <row r="449" spans="1:44">
      <c r="A449" s="343">
        <f>IFERROR(VLOOKUP($G449,基本資料!$A:$J,3,0),"無")</f>
        <v>32.57</v>
      </c>
      <c r="B449" s="79">
        <f>IFERROR(VLOOKUP($G449,基本資料!$A:$J,4,0),"無")</f>
        <v>176</v>
      </c>
      <c r="C449" s="79">
        <f>IFERROR(VLOOKUP($G449,基本資料!$A:$J,5,0),"無")</f>
        <v>228</v>
      </c>
      <c r="D449" s="79">
        <f>IFERROR(VLOOKUP($G449,基本資料!$A:$J,6,0),"無")</f>
        <v>-13</v>
      </c>
      <c r="E449" s="79">
        <f>IFERROR(VLOOKUP($G449,基本資料!$A:$J,7,0),"無")</f>
        <v>33</v>
      </c>
      <c r="F449" s="6">
        <f>IFERROR(VLOOKUP($G449,基本資料!$A:$J,8,0),"無")</f>
        <v>14.46</v>
      </c>
      <c r="G449" s="79">
        <v>2028</v>
      </c>
      <c r="H449" s="8" t="s">
        <v>299</v>
      </c>
      <c r="I449" s="22" t="s">
        <v>3942</v>
      </c>
      <c r="J449" s="8">
        <f>IFERROR(VLOOKUP($G449,今日總結!$A:$AN,39,0),"")</f>
        <v>0</v>
      </c>
      <c r="K449" s="5" t="str">
        <f>IFERROR(VLOOKUP($G449,今日總結!$A:$AN,40,0),"")</f>
        <v>融</v>
      </c>
      <c r="L449" s="156">
        <f>IFERROR(VLOOKUP($G449,今日總結!$A:$AN,37,0),"")</f>
        <v>0</v>
      </c>
      <c r="M449" s="337">
        <f>IFERROR(VLOOKUP($G449,今日總結!$A:$AN,38,0),"")</f>
        <v>3</v>
      </c>
      <c r="N449" s="240">
        <f t="shared" si="91"/>
        <v>-3</v>
      </c>
      <c r="O449" s="359">
        <f>IFERROR(VLOOKUP($G449,融外自投!$A:$J,7,0),"無")</f>
        <v>381</v>
      </c>
      <c r="P449" s="79">
        <f>IFERROR(VLOOKUP($G449,融外自投!$A:$J,9,0),"無")</f>
        <v>741</v>
      </c>
      <c r="Q449" s="342">
        <f>IFERROR(VLOOKUP($G449,融外自投!$A:$J,8,0),"無")</f>
        <v>1287</v>
      </c>
      <c r="R449" s="81" t="str">
        <f>IFERROR(VLOOKUP($G449,融外自投!$A:$J,10,0),"無")</f>
        <v>無</v>
      </c>
      <c r="S449" s="324">
        <f>IFERROR(VLOOKUP($G449,'321買'!$A:$E,4,0),"'沒有資料'")</f>
        <v>606</v>
      </c>
      <c r="T449" s="186">
        <f>IFERROR(VLOOKUP($G449,基本資料!$A:$J,9,0),"無")</f>
        <v>2.5</v>
      </c>
      <c r="U449" s="307">
        <f t="shared" si="87"/>
        <v>7.7160493827160503E-2</v>
      </c>
      <c r="V449" s="94">
        <f>IFERROR(VLOOKUP($G449,基本資料!$A:$J,10,0),"無")</f>
        <v>5.1100000000000003</v>
      </c>
      <c r="W449" s="36">
        <f>RTD("money.excel",,"2028","Price")</f>
        <v>32.4</v>
      </c>
      <c r="X449" s="66"/>
      <c r="Y449" s="15">
        <f t="shared" si="92"/>
        <v>32.4</v>
      </c>
      <c r="Z449" s="3" t="e">
        <f t="shared" si="93"/>
        <v>#DIV/0!</v>
      </c>
      <c r="AA449" s="340">
        <f>IFERROR(VLOOKUP($G449,基本資料!$A:$M,11,0),"無")</f>
        <v>-52.21</v>
      </c>
      <c r="AB449" s="389">
        <f>IFERROR(VLOOKUP($G449,基本資料!$A:$M,12,0),"無")</f>
        <v>13.11</v>
      </c>
      <c r="AC449" s="22" t="s">
        <v>3942</v>
      </c>
      <c r="AF449" s="33">
        <f t="shared" si="94"/>
        <v>0</v>
      </c>
      <c r="AG449" s="43" t="s">
        <v>2659</v>
      </c>
      <c r="AH449" s="66">
        <f t="shared" si="75"/>
        <v>0.4001870032725573</v>
      </c>
      <c r="AI449" s="283">
        <f>RTD("money.excel",,$G449,"PredictVolume")</f>
        <v>642</v>
      </c>
      <c r="AJ449" s="391">
        <f>IFERROR(VLOOKUP($G449,基本資料!$A:$M,13,0),"無")</f>
        <v>1604.25</v>
      </c>
      <c r="AR449" s="245" t="str">
        <f>INDEX(基本資料!N:N,MATCH($G449,基本資料!A:A,0))</f>
        <v>低</v>
      </c>
    </row>
    <row r="450" spans="1:44">
      <c r="A450" s="343">
        <f>IFERROR(VLOOKUP($G450,基本資料!$A:$J,3,0),"無")</f>
        <v>32.11</v>
      </c>
      <c r="B450" s="79">
        <f>IFERROR(VLOOKUP($G450,基本資料!$A:$J,4,0),"無")</f>
        <v>405</v>
      </c>
      <c r="C450" s="79">
        <f>IFERROR(VLOOKUP($G450,基本資料!$A:$J,5,0),"無")</f>
        <v>312</v>
      </c>
      <c r="D450" s="79">
        <f>IFERROR(VLOOKUP($G450,基本資料!$A:$J,6,0),"無")</f>
        <v>-9</v>
      </c>
      <c r="E450" s="79">
        <f>IFERROR(VLOOKUP($G450,基本資料!$A:$J,7,0),"無")</f>
        <v>17</v>
      </c>
      <c r="F450" s="6">
        <f>IFERROR(VLOOKUP($G450,基本資料!$A:$J,8,0),"無")</f>
        <v>10.86</v>
      </c>
      <c r="G450" s="79">
        <v>2029</v>
      </c>
      <c r="H450" s="8" t="s">
        <v>299</v>
      </c>
      <c r="I450" s="22" t="s">
        <v>3943</v>
      </c>
      <c r="J450" s="8">
        <f>IFERROR(VLOOKUP($G450,今日總結!$A:$AN,39,0),"")</f>
        <v>0</v>
      </c>
      <c r="K450" s="5">
        <f>IFERROR(VLOOKUP($G450,今日總結!$A:$AN,40,0),"")</f>
        <v>0</v>
      </c>
      <c r="L450" s="156">
        <f>IFERROR(VLOOKUP($G450,今日總結!$A:$AN,37,0),"")</f>
        <v>0</v>
      </c>
      <c r="M450" s="337">
        <f>IFERROR(VLOOKUP($G450,今日總結!$A:$AN,38,0),"")</f>
        <v>0</v>
      </c>
      <c r="N450" s="240">
        <f t="shared" si="91"/>
        <v>0</v>
      </c>
      <c r="O450" s="359">
        <f>IFERROR(VLOOKUP($G450,融外自投!$A:$J,7,0),"無")</f>
        <v>712</v>
      </c>
      <c r="P450" s="79">
        <f>IFERROR(VLOOKUP($G450,融外自投!$A:$J,9,0),"無")</f>
        <v>460</v>
      </c>
      <c r="Q450" s="342">
        <f>IFERROR(VLOOKUP($G450,融外自投!$A:$J,8,0),"無")</f>
        <v>25</v>
      </c>
      <c r="R450" s="81" t="str">
        <f>IFERROR(VLOOKUP($G450,融外自投!$A:$J,10,0),"無")</f>
        <v>無</v>
      </c>
      <c r="S450" s="324">
        <f>IFERROR(VLOOKUP($G450,'321買'!$A:$E,4,0),"'沒有資料'")</f>
        <v>650</v>
      </c>
      <c r="T450" s="186">
        <f>IFERROR(VLOOKUP($G450,基本資料!$A:$J,9,0),"無")</f>
        <v>2.5499999999999998</v>
      </c>
      <c r="U450" s="307">
        <f t="shared" si="87"/>
        <v>8.4437086092715233E-2</v>
      </c>
      <c r="V450" s="94">
        <f>IFERROR(VLOOKUP($G450,基本資料!$A:$J,10,0),"無")</f>
        <v>3.94</v>
      </c>
      <c r="W450" s="36">
        <f>RTD("money.excel",,"2029","Price")</f>
        <v>30.2</v>
      </c>
      <c r="X450" s="66"/>
      <c r="Y450" s="15">
        <f t="shared" si="92"/>
        <v>30.2</v>
      </c>
      <c r="Z450" s="3" t="e">
        <f t="shared" si="93"/>
        <v>#DIV/0!</v>
      </c>
      <c r="AA450" s="340">
        <f>IFERROR(VLOOKUP($G450,基本資料!$A:$M,11,0),"無")</f>
        <v>-47.93</v>
      </c>
      <c r="AB450" s="389">
        <f>IFERROR(VLOOKUP($G450,基本資料!$A:$M,12,0),"無")</f>
        <v>22.88</v>
      </c>
      <c r="AC450" s="22" t="s">
        <v>3943</v>
      </c>
      <c r="AF450" s="33">
        <f t="shared" si="94"/>
        <v>0</v>
      </c>
      <c r="AG450" s="117" t="s">
        <v>3944</v>
      </c>
      <c r="AH450" s="66">
        <f t="shared" si="75"/>
        <v>0.38172353961827649</v>
      </c>
      <c r="AI450" s="283">
        <f>RTD("money.excel",,$G450,"PredictVolume")</f>
        <v>858</v>
      </c>
      <c r="AJ450" s="391">
        <f>IFERROR(VLOOKUP($G450,基本資料!$A:$M,13,0),"無")</f>
        <v>2247.6999999999998</v>
      </c>
      <c r="AR450" s="245" t="str">
        <f>INDEX(基本資料!N:N,MATCH($G450,基本資料!A:A,0))</f>
        <v>低</v>
      </c>
    </row>
    <row r="451" spans="1:44">
      <c r="A451" s="343">
        <f>IFERROR(VLOOKUP($G451,基本資料!$A:$J,3,0),"無")</f>
        <v>28.05</v>
      </c>
      <c r="B451" s="79">
        <f>IFERROR(VLOOKUP($G451,基本資料!$A:$J,4,0),"無")</f>
        <v>1011</v>
      </c>
      <c r="C451" s="79">
        <f>IFERROR(VLOOKUP($G451,基本資料!$A:$J,5,0),"無")</f>
        <v>635</v>
      </c>
      <c r="D451" s="79">
        <f>IFERROR(VLOOKUP($G451,基本資料!$A:$J,6,0),"無")</f>
        <v>-22</v>
      </c>
      <c r="E451" s="79">
        <f>IFERROR(VLOOKUP($G451,基本資料!$A:$J,7,0),"無")</f>
        <v>32</v>
      </c>
      <c r="F451" s="6">
        <f>IFERROR(VLOOKUP($G451,基本資料!$A:$J,8,0),"無")</f>
        <v>11.33</v>
      </c>
      <c r="G451" s="79">
        <v>2030</v>
      </c>
      <c r="H451" s="8" t="s">
        <v>299</v>
      </c>
      <c r="I451" s="22" t="s">
        <v>3945</v>
      </c>
      <c r="J451" s="8">
        <f>IFERROR(VLOOKUP($G451,今日總結!$A:$AN,39,0),"")</f>
        <v>0</v>
      </c>
      <c r="K451" s="5" t="str">
        <f>IFERROR(VLOOKUP($G451,今日總結!$A:$AN,40,0),"")</f>
        <v>自</v>
      </c>
      <c r="L451" s="156">
        <f>IFERROR(VLOOKUP($G451,今日總結!$A:$AN,37,0),"")</f>
        <v>0</v>
      </c>
      <c r="M451" s="337">
        <f>IFERROR(VLOOKUP($G451,今日總結!$A:$AN,38,0),"")</f>
        <v>4</v>
      </c>
      <c r="N451" s="240">
        <f t="shared" si="91"/>
        <v>-4</v>
      </c>
      <c r="O451" s="359">
        <f>IFERROR(VLOOKUP($G451,融外自投!$A:$J,7,0),"無")</f>
        <v>184</v>
      </c>
      <c r="P451" s="79">
        <f>IFERROR(VLOOKUP($G451,融外自投!$A:$J,9,0),"無")</f>
        <v>240</v>
      </c>
      <c r="Q451" s="342">
        <f>IFERROR(VLOOKUP($G451,融外自投!$A:$J,8,0),"無")</f>
        <v>789</v>
      </c>
      <c r="R451" s="81">
        <f>IFERROR(VLOOKUP($G451,融外自投!$A:$J,10,0),"無")</f>
        <v>459</v>
      </c>
      <c r="S451" s="324">
        <f>IFERROR(VLOOKUP($G451,'321買'!$A:$E,4,0),"'沒有資料'")</f>
        <v>91</v>
      </c>
      <c r="T451" s="186">
        <f>IFERROR(VLOOKUP($G451,基本資料!$A:$J,9,0),"無")</f>
        <v>2</v>
      </c>
      <c r="U451" s="307">
        <f t="shared" si="87"/>
        <v>6.8965517241379309E-2</v>
      </c>
      <c r="V451" s="94">
        <f>IFERROR(VLOOKUP($G451,基本資料!$A:$J,10,0),"無")</f>
        <v>4.29</v>
      </c>
      <c r="W451" s="36">
        <f>RTD("money.excel",,"2030","Price")</f>
        <v>29</v>
      </c>
      <c r="X451" s="66"/>
      <c r="Y451" s="15">
        <f t="shared" si="92"/>
        <v>29</v>
      </c>
      <c r="Z451" s="3" t="e">
        <f t="shared" si="93"/>
        <v>#DIV/0!</v>
      </c>
      <c r="AA451" s="340">
        <f>IFERROR(VLOOKUP($G451,基本資料!$A:$M,11,0),"無")</f>
        <v>-45.08</v>
      </c>
      <c r="AB451" s="389">
        <f>IFERROR(VLOOKUP($G451,基本資料!$A:$M,12,0),"無")</f>
        <v>17.79</v>
      </c>
      <c r="AC451" s="22" t="s">
        <v>3945</v>
      </c>
      <c r="AF451" s="33">
        <f t="shared" si="94"/>
        <v>0</v>
      </c>
      <c r="AG451" s="43" t="s">
        <v>3260</v>
      </c>
      <c r="AH451" s="66">
        <f t="shared" si="75"/>
        <v>0.42694450216193214</v>
      </c>
      <c r="AI451" s="283">
        <f>RTD("money.excel",,$G451,"PredictVolume")</f>
        <v>4315</v>
      </c>
      <c r="AJ451" s="391">
        <f>IFERROR(VLOOKUP($G451,基本資料!$A:$M,13,0),"無")</f>
        <v>10106.700000000001</v>
      </c>
      <c r="AR451" s="245" t="str">
        <f>INDEX(基本資料!N:N,MATCH($G451,基本資料!A:A,0))</f>
        <v>低</v>
      </c>
    </row>
    <row r="452" spans="1:44">
      <c r="A452" s="343">
        <f>IFERROR(VLOOKUP($G452,基本資料!$A:$J,3,0),"無")</f>
        <v>32.11</v>
      </c>
      <c r="B452" s="79">
        <f>IFERROR(VLOOKUP($G452,基本資料!$A:$J,4,0),"無")</f>
        <v>227</v>
      </c>
      <c r="C452" s="79">
        <f>IFERROR(VLOOKUP($G452,基本資料!$A:$J,5,0),"無")</f>
        <v>461</v>
      </c>
      <c r="D452" s="79">
        <f>IFERROR(VLOOKUP($G452,基本資料!$A:$J,6,0),"無")</f>
        <v>-25</v>
      </c>
      <c r="E452" s="79">
        <f>IFERROR(VLOOKUP($G452,基本資料!$A:$J,7,0),"無")</f>
        <v>29</v>
      </c>
      <c r="F452" s="6">
        <f>IFERROR(VLOOKUP($G452,基本資料!$A:$J,8,0),"無")</f>
        <v>18.7</v>
      </c>
      <c r="G452" s="79">
        <v>2031</v>
      </c>
      <c r="H452" s="8" t="s">
        <v>299</v>
      </c>
      <c r="I452" s="22" t="s">
        <v>3946</v>
      </c>
      <c r="J452" s="8">
        <f>IFERROR(VLOOKUP($G452,今日總結!$A:$AN,39,0),"")</f>
        <v>0</v>
      </c>
      <c r="K452" s="5" t="str">
        <f>IFERROR(VLOOKUP($G452,今日總結!$A:$AN,40,0),"")</f>
        <v>主</v>
      </c>
      <c r="L452" s="156">
        <f>IFERROR(VLOOKUP($G452,今日總結!$A:$AN,37,0),"")</f>
        <v>0</v>
      </c>
      <c r="M452" s="337">
        <f>IFERROR(VLOOKUP($G452,今日總結!$A:$AN,38,0),"")</f>
        <v>6</v>
      </c>
      <c r="N452" s="240">
        <f t="shared" si="91"/>
        <v>-6</v>
      </c>
      <c r="O452" s="359">
        <f>IFERROR(VLOOKUP($G452,融外自投!$A:$J,7,0),"無")</f>
        <v>332</v>
      </c>
      <c r="P452" s="79">
        <f>IFERROR(VLOOKUP($G452,融外自投!$A:$J,9,0),"無")</f>
        <v>340</v>
      </c>
      <c r="Q452" s="342">
        <f>IFERROR(VLOOKUP($G452,融外自投!$A:$J,8,0),"無")</f>
        <v>461</v>
      </c>
      <c r="R452" s="81">
        <f>IFERROR(VLOOKUP($G452,融外自投!$A:$J,10,0),"無")</f>
        <v>197</v>
      </c>
      <c r="S452" s="324">
        <f>IFERROR(VLOOKUP($G452,'321買'!$A:$E,4,0),"'沒有資料'")</f>
        <v>231</v>
      </c>
      <c r="T452" s="186">
        <f>IFERROR(VLOOKUP($G452,基本資料!$A:$J,9,0),"無")</f>
        <v>4</v>
      </c>
      <c r="U452" s="307">
        <f t="shared" si="87"/>
        <v>8.1799591002044994E-2</v>
      </c>
      <c r="V452" s="94">
        <f>IFERROR(VLOOKUP($G452,基本資料!$A:$J,10,0),"無")</f>
        <v>8.6199999999999992</v>
      </c>
      <c r="W452" s="36">
        <f>RTD("money.excel",,"2031","Price")</f>
        <v>48.9</v>
      </c>
      <c r="X452" s="66"/>
      <c r="Y452" s="15">
        <f t="shared" si="92"/>
        <v>48.9</v>
      </c>
      <c r="Z452" s="3" t="e">
        <f t="shared" si="93"/>
        <v>#DIV/0!</v>
      </c>
      <c r="AA452" s="340">
        <f>IFERROR(VLOOKUP($G452,基本資料!$A:$M,11,0),"無")</f>
        <v>-48.31</v>
      </c>
      <c r="AB452" s="389">
        <f>IFERROR(VLOOKUP($G452,基本資料!$A:$M,12,0),"無")</f>
        <v>19.600000000000001</v>
      </c>
      <c r="AC452" s="22" t="s">
        <v>3946</v>
      </c>
      <c r="AF452" s="33">
        <f t="shared" si="94"/>
        <v>0</v>
      </c>
      <c r="AG452" s="43" t="s">
        <v>3947</v>
      </c>
      <c r="AH452" s="66">
        <f t="shared" si="75"/>
        <v>0.76798154415893882</v>
      </c>
      <c r="AI452" s="283">
        <f>RTD("money.excel",,$G452,"PredictVolume")</f>
        <v>5060</v>
      </c>
      <c r="AJ452" s="391">
        <f>IFERROR(VLOOKUP($G452,基本資料!$A:$M,13,0),"無")</f>
        <v>6588.7</v>
      </c>
      <c r="AR452" s="245" t="str">
        <f>INDEX(基本資料!N:N,MATCH($G452,基本資料!A:A,0))</f>
        <v>低</v>
      </c>
    </row>
    <row r="453" spans="1:44">
      <c r="A453" s="343">
        <f>IFERROR(VLOOKUP($G453,基本資料!$A:$J,3,0),"無")</f>
        <v>13.05</v>
      </c>
      <c r="B453" s="79">
        <f>IFERROR(VLOOKUP($G453,基本資料!$A:$J,4,0),"無")</f>
        <v>119</v>
      </c>
      <c r="C453" s="79">
        <f>IFERROR(VLOOKUP($G453,基本資料!$A:$J,5,0),"無")</f>
        <v>114</v>
      </c>
      <c r="D453" s="79">
        <f>IFERROR(VLOOKUP($G453,基本資料!$A:$J,6,0),"無")</f>
        <v>-28</v>
      </c>
      <c r="E453" s="79">
        <f>IFERROR(VLOOKUP($G453,基本資料!$A:$J,7,0),"無")</f>
        <v>7</v>
      </c>
      <c r="F453" s="6">
        <f>IFERROR(VLOOKUP($G453,基本資料!$A:$J,8,0),"無")</f>
        <v>5.45</v>
      </c>
      <c r="G453" s="79">
        <v>2032</v>
      </c>
      <c r="H453" s="8" t="s">
        <v>299</v>
      </c>
      <c r="I453" s="22" t="s">
        <v>3948</v>
      </c>
      <c r="J453" s="8">
        <f>IFERROR(VLOOKUP($G453,今日總結!$A:$AN,39,0),"")</f>
        <v>0</v>
      </c>
      <c r="K453" s="5">
        <f>IFERROR(VLOOKUP($G453,今日總結!$A:$AN,40,0),"")</f>
        <v>0</v>
      </c>
      <c r="L453" s="156">
        <f>IFERROR(VLOOKUP($G453,今日總結!$A:$AN,37,0),"")</f>
        <v>0</v>
      </c>
      <c r="M453" s="337">
        <f>IFERROR(VLOOKUP($G453,今日總結!$A:$AN,38,0),"")</f>
        <v>0</v>
      </c>
      <c r="N453" s="240">
        <f t="shared" si="91"/>
        <v>0</v>
      </c>
      <c r="O453" s="359">
        <f>IFERROR(VLOOKUP($G453,融外自投!$A:$J,7,0),"無")</f>
        <v>498</v>
      </c>
      <c r="P453" s="79">
        <f>IFERROR(VLOOKUP($G453,融外自投!$A:$J,9,0),"無")</f>
        <v>762</v>
      </c>
      <c r="Q453" s="342">
        <f>IFERROR(VLOOKUP($G453,融外自投!$A:$J,8,0),"無")</f>
        <v>1023</v>
      </c>
      <c r="R453" s="81" t="str">
        <f>IFERROR(VLOOKUP($G453,融外自投!$A:$J,10,0),"無")</f>
        <v>無</v>
      </c>
      <c r="S453" s="324">
        <f>IFERROR(VLOOKUP($G453,'321買'!$A:$E,4,0),"'沒有資料'")</f>
        <v>192</v>
      </c>
      <c r="T453" s="186">
        <f>IFERROR(VLOOKUP($G453,基本資料!$A:$J,9,0),"無")</f>
        <v>1.18</v>
      </c>
      <c r="U453" s="307">
        <f t="shared" si="87"/>
        <v>4.5825242718446603E-2</v>
      </c>
      <c r="V453" s="94">
        <f>IFERROR(VLOOKUP($G453,基本資料!$A:$J,10,0),"無")</f>
        <v>1.28</v>
      </c>
      <c r="W453" s="36">
        <f>RTD("money.excel",,"2032","Price")</f>
        <v>25.75</v>
      </c>
      <c r="X453" s="66"/>
      <c r="Y453" s="15">
        <f t="shared" si="92"/>
        <v>25.75</v>
      </c>
      <c r="Z453" s="3" t="e">
        <f t="shared" si="93"/>
        <v>#DIV/0!</v>
      </c>
      <c r="AA453" s="340">
        <f>IFERROR(VLOOKUP($G453,基本資料!$A:$M,11,0),"無")</f>
        <v>-44.62</v>
      </c>
      <c r="AB453" s="389">
        <f>IFERROR(VLOOKUP($G453,基本資料!$A:$M,12,0),"無")</f>
        <v>17.82</v>
      </c>
      <c r="AC453" s="22" t="s">
        <v>3948</v>
      </c>
      <c r="AF453" s="33">
        <f t="shared" si="94"/>
        <v>0</v>
      </c>
      <c r="AG453" s="43" t="s">
        <v>3949</v>
      </c>
      <c r="AH453" s="66">
        <f t="shared" ref="AH453:AH516" si="95">AI453/AJ453</f>
        <v>0.47341749644381226</v>
      </c>
      <c r="AI453" s="283">
        <f>RTD("money.excel",,$G453,"PredictVolume")</f>
        <v>1065</v>
      </c>
      <c r="AJ453" s="391">
        <f>IFERROR(VLOOKUP($G453,基本資料!$A:$M,13,0),"無")</f>
        <v>2249.6</v>
      </c>
      <c r="AR453" s="245" t="str">
        <f>INDEX(基本資料!N:N,MATCH($G453,基本資料!A:A,0))</f>
        <v>低</v>
      </c>
    </row>
    <row r="454" spans="1:44">
      <c r="A454" s="343">
        <f>IFERROR(VLOOKUP($G454,基本資料!$A:$J,3,0),"無")</f>
        <v>8.06</v>
      </c>
      <c r="B454" s="79">
        <f>IFERROR(VLOOKUP($G454,基本資料!$A:$J,4,0),"無")</f>
        <v>-25</v>
      </c>
      <c r="C454" s="79">
        <f>IFERROR(VLOOKUP($G454,基本資料!$A:$J,5,0),"無")</f>
        <v>-32</v>
      </c>
      <c r="D454" s="79">
        <f>IFERROR(VLOOKUP($G454,基本資料!$A:$J,6,0),"無")</f>
        <v>-30</v>
      </c>
      <c r="E454" s="79">
        <f>IFERROR(VLOOKUP($G454,基本資料!$A:$J,7,0),"無")</f>
        <v>4</v>
      </c>
      <c r="F454" s="6">
        <f>IFERROR(VLOOKUP($G454,基本資料!$A:$J,8,0),"無")</f>
        <v>1.7</v>
      </c>
      <c r="G454" s="79">
        <v>2033</v>
      </c>
      <c r="H454" s="8" t="s">
        <v>299</v>
      </c>
      <c r="I454" s="22" t="s">
        <v>3950</v>
      </c>
      <c r="J454" s="8">
        <f>IFERROR(VLOOKUP($G454,今日總結!$A:$AN,39,0),"")</f>
        <v>0</v>
      </c>
      <c r="K454" s="5" t="str">
        <f>IFERROR(VLOOKUP($G454,今日總結!$A:$AN,40,0),"")</f>
        <v>融</v>
      </c>
      <c r="L454" s="156">
        <f>IFERROR(VLOOKUP($G454,今日總結!$A:$AN,37,0),"")</f>
        <v>0</v>
      </c>
      <c r="M454" s="337">
        <f>IFERROR(VLOOKUP($G454,今日總結!$A:$AN,38,0),"")</f>
        <v>3</v>
      </c>
      <c r="N454" s="240">
        <f t="shared" ref="N454:N477" si="96">IFERROR(L454-M454,"")</f>
        <v>-3</v>
      </c>
      <c r="O454" s="359">
        <f>IFERROR(VLOOKUP($G454,融外自投!$A:$J,7,0),"無")</f>
        <v>584</v>
      </c>
      <c r="P454" s="79">
        <f>IFERROR(VLOOKUP($G454,融外自投!$A:$J,9,0),"無")</f>
        <v>696</v>
      </c>
      <c r="Q454" s="342">
        <f>IFERROR(VLOOKUP($G454,融外自投!$A:$J,8,0),"無")</f>
        <v>1196</v>
      </c>
      <c r="R454" s="81" t="str">
        <f>IFERROR(VLOOKUP($G454,融外自投!$A:$J,10,0),"無")</f>
        <v>無</v>
      </c>
      <c r="S454" s="324">
        <f>IFERROR(VLOOKUP($G454,'321買'!$A:$E,4,0),"'沒有資料'")</f>
        <v>321</v>
      </c>
      <c r="T454" s="186">
        <f>IFERROR(VLOOKUP($G454,基本資料!$A:$J,9,0),"無")</f>
        <v>0.2</v>
      </c>
      <c r="U454" s="307">
        <f t="shared" si="87"/>
        <v>1.038961038961039E-2</v>
      </c>
      <c r="V454" s="94">
        <f>IFERROR(VLOOKUP($G454,基本資料!$A:$J,10,0),"無")</f>
        <v>0.18</v>
      </c>
      <c r="W454" s="36">
        <f>RTD("money.excel",,"2033","Price")</f>
        <v>19.25</v>
      </c>
      <c r="X454" s="66"/>
      <c r="Y454" s="15">
        <f t="shared" si="92"/>
        <v>19.25</v>
      </c>
      <c r="Z454" s="3" t="e">
        <f t="shared" si="93"/>
        <v>#DIV/0!</v>
      </c>
      <c r="AA454" s="340">
        <f>IFERROR(VLOOKUP($G454,基本資料!$A:$M,11,0),"無")</f>
        <v>-38.69</v>
      </c>
      <c r="AB454" s="389">
        <f>IFERROR(VLOOKUP($G454,基本資料!$A:$M,12,0),"無")</f>
        <v>25.69</v>
      </c>
      <c r="AC454" s="22" t="s">
        <v>3950</v>
      </c>
      <c r="AF454" s="33">
        <f t="shared" si="94"/>
        <v>0</v>
      </c>
      <c r="AG454" s="43" t="s">
        <v>3951</v>
      </c>
      <c r="AH454" s="66">
        <f t="shared" si="95"/>
        <v>0.18785476169024234</v>
      </c>
      <c r="AI454" s="283">
        <f>RTD("money.excel",,$G454,"PredictVolume")</f>
        <v>417</v>
      </c>
      <c r="AJ454" s="391">
        <f>IFERROR(VLOOKUP($G454,基本資料!$A:$M,13,0),"無")</f>
        <v>2219.8000000000002</v>
      </c>
      <c r="AR454" s="245" t="str">
        <f>INDEX(基本資料!N:N,MATCH($G454,基本資料!A:A,0))</f>
        <v>中</v>
      </c>
    </row>
    <row r="455" spans="1:44">
      <c r="A455" s="343">
        <f>IFERROR(VLOOKUP($G455,基本資料!$A:$J,3,0),"無")</f>
        <v>44.53</v>
      </c>
      <c r="B455" s="79">
        <f>IFERROR(VLOOKUP($G455,基本資料!$A:$J,4,0),"無")</f>
        <v>197</v>
      </c>
      <c r="C455" s="79">
        <f>IFERROR(VLOOKUP($G455,基本資料!$A:$J,5,0),"無")</f>
        <v>199</v>
      </c>
      <c r="D455" s="79">
        <f>IFERROR(VLOOKUP($G455,基本資料!$A:$J,6,0),"無")</f>
        <v>19</v>
      </c>
      <c r="E455" s="79">
        <f>IFERROR(VLOOKUP($G455,基本資料!$A:$J,7,0),"無")</f>
        <v>33</v>
      </c>
      <c r="F455" s="6">
        <f>IFERROR(VLOOKUP($G455,基本資料!$A:$J,8,0),"無")</f>
        <v>7.81</v>
      </c>
      <c r="G455" s="79">
        <v>2034</v>
      </c>
      <c r="H455" s="8" t="s">
        <v>299</v>
      </c>
      <c r="I455" s="22" t="s">
        <v>3952</v>
      </c>
      <c r="J455" s="8">
        <f>IFERROR(VLOOKUP($G455,今日總結!$A:$AN,39,0),"")</f>
        <v>0</v>
      </c>
      <c r="K455" s="5" t="str">
        <f>IFERROR(VLOOKUP($G455,今日總結!$A:$AN,40,0),"")</f>
        <v>融</v>
      </c>
      <c r="L455" s="156">
        <f>IFERROR(VLOOKUP($G455,今日總結!$A:$AN,37,0),"")</f>
        <v>0</v>
      </c>
      <c r="M455" s="337">
        <f>IFERROR(VLOOKUP($G455,今日總結!$A:$AN,38,0),"")</f>
        <v>3</v>
      </c>
      <c r="N455" s="240">
        <f t="shared" si="96"/>
        <v>-3</v>
      </c>
      <c r="O455" s="359">
        <f>IFERROR(VLOOKUP($G455,融外自投!$A:$J,7,0),"無")</f>
        <v>575</v>
      </c>
      <c r="P455" s="79">
        <f>IFERROR(VLOOKUP($G455,融外自投!$A:$J,9,0),"無")</f>
        <v>946</v>
      </c>
      <c r="Q455" s="342">
        <f>IFERROR(VLOOKUP($G455,融外自投!$A:$J,8,0),"無")</f>
        <v>552</v>
      </c>
      <c r="R455" s="81">
        <f>IFERROR(VLOOKUP($G455,融外自投!$A:$J,10,0),"無")</f>
        <v>248</v>
      </c>
      <c r="S455" s="324">
        <f>IFERROR(VLOOKUP($G455,'321買'!$A:$E,4,0),"'沒有資料'")</f>
        <v>366</v>
      </c>
      <c r="T455" s="186">
        <f>IFERROR(VLOOKUP($G455,基本資料!$A:$J,9,0),"無")</f>
        <v>1.5</v>
      </c>
      <c r="U455" s="307">
        <f t="shared" si="87"/>
        <v>4.9180327868852458E-2</v>
      </c>
      <c r="V455" s="94">
        <f>IFERROR(VLOOKUP($G455,基本資料!$A:$J,10,0),"無")</f>
        <v>2.86</v>
      </c>
      <c r="W455" s="36">
        <f>RTD("money.excel",,"2034","Price")</f>
        <v>30.5</v>
      </c>
      <c r="X455" s="66"/>
      <c r="Y455" s="15">
        <f t="shared" si="92"/>
        <v>30.5</v>
      </c>
      <c r="Z455" s="3" t="e">
        <f t="shared" si="93"/>
        <v>#DIV/0!</v>
      </c>
      <c r="AA455" s="340">
        <f>IFERROR(VLOOKUP($G455,基本資料!$A:$M,11,0),"無")</f>
        <v>-35.520000000000003</v>
      </c>
      <c r="AB455" s="389">
        <f>IFERROR(VLOOKUP($G455,基本資料!$A:$M,12,0),"無")</f>
        <v>20.81</v>
      </c>
      <c r="AC455" s="22" t="s">
        <v>3952</v>
      </c>
      <c r="AF455" s="33">
        <f t="shared" si="94"/>
        <v>0</v>
      </c>
      <c r="AG455" s="117" t="s">
        <v>3260</v>
      </c>
      <c r="AH455" s="66">
        <f t="shared" si="95"/>
        <v>0.31049543770631227</v>
      </c>
      <c r="AI455" s="283">
        <f>RTD("money.excel",,$G455,"PredictVolume")</f>
        <v>1077</v>
      </c>
      <c r="AJ455" s="391">
        <f>IFERROR(VLOOKUP($G455,基本資料!$A:$M,13,0),"無")</f>
        <v>3468.65</v>
      </c>
      <c r="AR455" s="245" t="str">
        <f>INDEX(基本資料!N:N,MATCH($G455,基本資料!A:A,0))</f>
        <v>低</v>
      </c>
    </row>
    <row r="456" spans="1:44">
      <c r="A456" s="343">
        <f>IFERROR(VLOOKUP($G456,基本資料!$A:$J,3,0),"無")</f>
        <v>35</v>
      </c>
      <c r="B456" s="79">
        <f>IFERROR(VLOOKUP($G456,基本資料!$A:$J,4,0),"無")</f>
        <v>338</v>
      </c>
      <c r="C456" s="79">
        <f>IFERROR(VLOOKUP($G456,基本資料!$A:$J,5,0),"無")</f>
        <v>307</v>
      </c>
      <c r="D456" s="79">
        <f>IFERROR(VLOOKUP($G456,基本資料!$A:$J,6,0),"無")</f>
        <v>-9</v>
      </c>
      <c r="E456" s="79">
        <f>IFERROR(VLOOKUP($G456,基本資料!$A:$J,7,0),"無")</f>
        <v>22</v>
      </c>
      <c r="F456" s="6">
        <f>IFERROR(VLOOKUP($G456,基本資料!$A:$J,8,0),"無")</f>
        <v>9.58</v>
      </c>
      <c r="G456" s="79">
        <v>2035</v>
      </c>
      <c r="H456" s="8" t="s">
        <v>299</v>
      </c>
      <c r="I456" s="16" t="s">
        <v>3953</v>
      </c>
      <c r="J456" s="8">
        <f>IFERROR(VLOOKUP($G456,今日總結!$A:$AN,39,0),"")</f>
        <v>0</v>
      </c>
      <c r="K456" s="5">
        <f>IFERROR(VLOOKUP($G456,今日總結!$A:$AN,40,0),"")</f>
        <v>0</v>
      </c>
      <c r="L456" s="156">
        <f>IFERROR(VLOOKUP($G456,今日總結!$A:$AN,37,0),"")</f>
        <v>0</v>
      </c>
      <c r="M456" s="337">
        <f>IFERROR(VLOOKUP($G456,今日總結!$A:$AN,38,0),"")</f>
        <v>0</v>
      </c>
      <c r="N456" s="240">
        <f t="shared" si="96"/>
        <v>0</v>
      </c>
      <c r="O456" s="359">
        <f>IFERROR(VLOOKUP($G456,融外自投!$A:$J,7,0),"無")</f>
        <v>1286</v>
      </c>
      <c r="P456" s="79">
        <f>IFERROR(VLOOKUP($G456,融外自投!$A:$J,9,0),"無")</f>
        <v>1123</v>
      </c>
      <c r="Q456" s="342">
        <f>IFERROR(VLOOKUP($G456,融外自投!$A:$J,8,0),"無")</f>
        <v>1454</v>
      </c>
      <c r="R456" s="81" t="str">
        <f>IFERROR(VLOOKUP($G456,融外自投!$A:$J,10,0),"無")</f>
        <v>無</v>
      </c>
      <c r="S456" s="324">
        <f>IFERROR(VLOOKUP($G456,'321買'!$A:$E,4,0),"'沒有資料'")</f>
        <v>1002</v>
      </c>
      <c r="T456" s="186">
        <f>IFERROR(VLOOKUP($G456,基本資料!$A:$J,9,0),"無")</f>
        <v>0</v>
      </c>
      <c r="U456" s="307">
        <f t="shared" si="87"/>
        <v>0</v>
      </c>
      <c r="V456" s="94">
        <f>IFERROR(VLOOKUP($G456,基本資料!$A:$J,10,0),"無")</f>
        <v>4.53</v>
      </c>
      <c r="W456" s="36">
        <f>RTD("money.excel",,"2035","Price")</f>
        <v>33.200000000000003</v>
      </c>
      <c r="X456" s="66"/>
      <c r="Y456" s="15">
        <f t="shared" si="92"/>
        <v>33.200000000000003</v>
      </c>
      <c r="Z456" s="3" t="e">
        <f t="shared" si="93"/>
        <v>#DIV/0!</v>
      </c>
      <c r="AA456" s="340">
        <f>IFERROR(VLOOKUP($G456,基本資料!$A:$M,11,0),"無")</f>
        <v>-34.770000000000003</v>
      </c>
      <c r="AB456" s="389">
        <f>IFERROR(VLOOKUP($G456,基本資料!$A:$M,12,0),"無")</f>
        <v>9.68</v>
      </c>
      <c r="AC456" s="16" t="s">
        <v>3953</v>
      </c>
      <c r="AF456" s="33">
        <f t="shared" si="94"/>
        <v>0</v>
      </c>
      <c r="AG456" s="43" t="s">
        <v>3954</v>
      </c>
      <c r="AH456" s="66">
        <f t="shared" si="95"/>
        <v>0.11212814645308924</v>
      </c>
      <c r="AI456" s="283">
        <f>RTD("money.excel",,$G456,"PredictVolume")</f>
        <v>49</v>
      </c>
      <c r="AJ456" s="391">
        <f>IFERROR(VLOOKUP($G456,基本資料!$A:$M,13,0),"無")</f>
        <v>437</v>
      </c>
      <c r="AR456" s="245" t="str">
        <f>INDEX(基本資料!N:N,MATCH($G456,基本資料!A:A,0))</f>
        <v>低</v>
      </c>
    </row>
    <row r="457" spans="1:44">
      <c r="A457" s="343">
        <f>IFERROR(VLOOKUP($G457,基本資料!$A:$J,3,0),"無")</f>
        <v>18.12</v>
      </c>
      <c r="B457" s="79">
        <f>IFERROR(VLOOKUP($G457,基本資料!$A:$J,4,0),"無")</f>
        <v>196</v>
      </c>
      <c r="C457" s="79">
        <f>IFERROR(VLOOKUP($G457,基本資料!$A:$J,5,0),"無")</f>
        <v>190</v>
      </c>
      <c r="D457" s="79">
        <f>IFERROR(VLOOKUP($G457,基本資料!$A:$J,6,0),"無")</f>
        <v>-12</v>
      </c>
      <c r="E457" s="79">
        <f>IFERROR(VLOOKUP($G457,基本資料!$A:$J,7,0),"無")</f>
        <v>11</v>
      </c>
      <c r="F457" s="6">
        <f>IFERROR(VLOOKUP($G457,基本資料!$A:$J,8,0),"無")</f>
        <v>5.09</v>
      </c>
      <c r="G457" s="79">
        <v>2038</v>
      </c>
      <c r="H457" s="8" t="s">
        <v>299</v>
      </c>
      <c r="I457" s="22" t="s">
        <v>3955</v>
      </c>
      <c r="J457" s="8">
        <f>IFERROR(VLOOKUP($G457,今日總結!$A:$AN,39,0),"")</f>
        <v>0</v>
      </c>
      <c r="K457" s="5">
        <f>IFERROR(VLOOKUP($G457,今日總結!$A:$AN,40,0),"")</f>
        <v>0</v>
      </c>
      <c r="L457" s="156">
        <f>IFERROR(VLOOKUP($G457,今日總結!$A:$AN,37,0),"")</f>
        <v>0</v>
      </c>
      <c r="M457" s="337">
        <f>IFERROR(VLOOKUP($G457,今日總結!$A:$AN,38,0),"")</f>
        <v>0</v>
      </c>
      <c r="N457" s="240">
        <f t="shared" si="96"/>
        <v>0</v>
      </c>
      <c r="O457" s="359">
        <f>IFERROR(VLOOKUP($G457,融外自投!$A:$J,7,0),"無")</f>
        <v>247</v>
      </c>
      <c r="P457" s="79">
        <f>IFERROR(VLOOKUP($G457,融外自投!$A:$J,9,0),"無")</f>
        <v>383</v>
      </c>
      <c r="Q457" s="342">
        <f>IFERROR(VLOOKUP($G457,融外自投!$A:$J,8,0),"無")</f>
        <v>1087</v>
      </c>
      <c r="R457" s="81" t="str">
        <f>IFERROR(VLOOKUP($G457,融外自投!$A:$J,10,0),"無")</f>
        <v>無</v>
      </c>
      <c r="S457" s="324">
        <f>IFERROR(VLOOKUP($G457,'321買'!$A:$E,4,0),"'沒有資料'")</f>
        <v>123</v>
      </c>
      <c r="T457" s="186">
        <f>IFERROR(VLOOKUP($G457,基本資料!$A:$J,9,0),"無")</f>
        <v>1.5</v>
      </c>
      <c r="U457" s="307">
        <f t="shared" si="87"/>
        <v>5.8139534883720929E-2</v>
      </c>
      <c r="V457" s="94">
        <f>IFERROR(VLOOKUP($G457,基本資料!$A:$J,10,0),"無")</f>
        <v>2.54</v>
      </c>
      <c r="W457" s="36">
        <f>RTD("money.excel",,"2038","Price")</f>
        <v>25.8</v>
      </c>
      <c r="X457" s="66"/>
      <c r="Y457" s="15">
        <f t="shared" si="92"/>
        <v>25.8</v>
      </c>
      <c r="Z457" s="3" t="e">
        <f t="shared" si="93"/>
        <v>#DIV/0!</v>
      </c>
      <c r="AA457" s="340">
        <f>IFERROR(VLOOKUP($G457,基本資料!$A:$M,11,0),"無")</f>
        <v>-62.77</v>
      </c>
      <c r="AB457" s="389">
        <f>IFERROR(VLOOKUP($G457,基本資料!$A:$M,12,0),"無")</f>
        <v>15.89</v>
      </c>
      <c r="AC457" s="22" t="s">
        <v>3955</v>
      </c>
      <c r="AF457" s="33">
        <f t="shared" si="94"/>
        <v>0</v>
      </c>
      <c r="AG457" s="43" t="s">
        <v>2659</v>
      </c>
      <c r="AH457" s="66">
        <f t="shared" si="95"/>
        <v>0.4452858142310383</v>
      </c>
      <c r="AI457" s="283">
        <f>RTD("money.excel",,$G457,"PredictVolume")</f>
        <v>541</v>
      </c>
      <c r="AJ457" s="391">
        <f>IFERROR(VLOOKUP($G457,基本資料!$A:$M,13,0),"無")</f>
        <v>1214.95</v>
      </c>
      <c r="AR457" s="245" t="str">
        <f>INDEX(基本資料!N:N,MATCH($G457,基本資料!A:A,0))</f>
        <v>低</v>
      </c>
    </row>
    <row r="458" spans="1:44">
      <c r="A458" s="343">
        <f>IFERROR(VLOOKUP($G458,基本資料!$A:$J,3,0),"無")</f>
        <v>4.5</v>
      </c>
      <c r="B458" s="79">
        <f>IFERROR(VLOOKUP($G458,基本資料!$A:$J,4,0),"無")</f>
        <v>39</v>
      </c>
      <c r="C458" s="79">
        <f>IFERROR(VLOOKUP($G458,基本資料!$A:$J,5,0),"無")</f>
        <v>41</v>
      </c>
      <c r="D458" s="79">
        <f>IFERROR(VLOOKUP($G458,基本資料!$A:$J,6,0),"無")</f>
        <v>14</v>
      </c>
      <c r="E458" s="79">
        <f>IFERROR(VLOOKUP($G458,基本資料!$A:$J,7,0),"無")</f>
        <v>37</v>
      </c>
      <c r="F458" s="6">
        <f>IFERROR(VLOOKUP($G458,基本資料!$A:$J,8,0),"無")</f>
        <v>14.07</v>
      </c>
      <c r="G458" s="79">
        <v>2063</v>
      </c>
      <c r="H458" s="8" t="s">
        <v>299</v>
      </c>
      <c r="I458" s="16" t="s">
        <v>3956</v>
      </c>
      <c r="J458" s="8">
        <f>IFERROR(VLOOKUP($G458,今日總結!$A:$AN,39,0),"")</f>
        <v>0</v>
      </c>
      <c r="K458" s="5">
        <f>IFERROR(VLOOKUP($G458,今日總結!$A:$AN,40,0),"")</f>
        <v>0</v>
      </c>
      <c r="L458" s="156">
        <f>IFERROR(VLOOKUP($G458,今日總結!$A:$AN,37,0),"")</f>
        <v>0</v>
      </c>
      <c r="M458" s="337">
        <f>IFERROR(VLOOKUP($G458,今日總結!$A:$AN,38,0),"")</f>
        <v>0</v>
      </c>
      <c r="N458" s="240">
        <f t="shared" si="96"/>
        <v>0</v>
      </c>
      <c r="O458" s="359">
        <f>IFERROR(VLOOKUP($G458,融外自投!$A:$J,7,0),"無")</f>
        <v>1077</v>
      </c>
      <c r="P458" s="79">
        <f>IFERROR(VLOOKUP($G458,融外自投!$A:$J,9,0),"無")</f>
        <v>908</v>
      </c>
      <c r="Q458" s="342">
        <f>IFERROR(VLOOKUP($G458,融外自投!$A:$J,8,0),"無")</f>
        <v>1256</v>
      </c>
      <c r="R458" s="81" t="str">
        <f>IFERROR(VLOOKUP($G458,融外自投!$A:$J,10,0),"無")</f>
        <v>無</v>
      </c>
      <c r="S458" s="324">
        <f>IFERROR(VLOOKUP($G458,'321買'!$A:$E,4,0),"'沒有資料'")</f>
        <v>1002</v>
      </c>
      <c r="T458" s="186">
        <f>IFERROR(VLOOKUP($G458,基本資料!$A:$J,9,0),"無")</f>
        <v>3</v>
      </c>
      <c r="U458" s="307">
        <f t="shared" si="87"/>
        <v>8.5106382978723402E-2</v>
      </c>
      <c r="V458" s="94">
        <f>IFERROR(VLOOKUP($G458,基本資料!$A:$J,10,0),"無")</f>
        <v>3.31</v>
      </c>
      <c r="W458" s="36">
        <f>RTD("money.excel",,"2063","Price")</f>
        <v>35.25</v>
      </c>
      <c r="X458" s="66"/>
      <c r="Y458" s="15">
        <f t="shared" si="92"/>
        <v>35.25</v>
      </c>
      <c r="Z458" s="3" t="e">
        <f t="shared" si="93"/>
        <v>#DIV/0!</v>
      </c>
      <c r="AA458" s="340">
        <f>IFERROR(VLOOKUP($G458,基本資料!$A:$M,11,0),"無")</f>
        <v>-11.88</v>
      </c>
      <c r="AB458" s="389">
        <f>IFERROR(VLOOKUP($G458,基本資料!$A:$M,12,0),"無")</f>
        <v>23.27</v>
      </c>
      <c r="AC458" s="16" t="s">
        <v>3956</v>
      </c>
      <c r="AF458" s="33">
        <f t="shared" si="94"/>
        <v>0</v>
      </c>
      <c r="AG458" s="43" t="s">
        <v>3957</v>
      </c>
      <c r="AH458" s="66">
        <f t="shared" si="95"/>
        <v>9.793253536452666E-2</v>
      </c>
      <c r="AI458" s="283">
        <f>RTD("money.excel",,$G458,"PredictVolume")</f>
        <v>9</v>
      </c>
      <c r="AJ458" s="391">
        <f>IFERROR(VLOOKUP($G458,基本資料!$A:$M,13,0),"無")</f>
        <v>91.9</v>
      </c>
      <c r="AR458" s="245" t="str">
        <f>INDEX(基本資料!N:N,MATCH($G458,基本資料!A:A,0))</f>
        <v>低</v>
      </c>
    </row>
    <row r="459" spans="1:44">
      <c r="A459" s="343">
        <f>IFERROR(VLOOKUP($G459,基本資料!$A:$J,3,0),"無")</f>
        <v>6.96</v>
      </c>
      <c r="B459" s="79">
        <f>IFERROR(VLOOKUP($G459,基本資料!$A:$J,4,0),"無")</f>
        <v>221</v>
      </c>
      <c r="C459" s="79">
        <f>IFERROR(VLOOKUP($G459,基本資料!$A:$J,5,0),"無")</f>
        <v>291</v>
      </c>
      <c r="D459" s="79">
        <f>IFERROR(VLOOKUP($G459,基本資料!$A:$J,6,0),"無")</f>
        <v>-24</v>
      </c>
      <c r="E459" s="79">
        <f>IFERROR(VLOOKUP($G459,基本資料!$A:$J,7,0),"無")</f>
        <v>1</v>
      </c>
      <c r="F459" s="6">
        <f>IFERROR(VLOOKUP($G459,基本資料!$A:$J,8,0),"無")</f>
        <v>5.48</v>
      </c>
      <c r="G459" s="79">
        <v>2064</v>
      </c>
      <c r="H459" s="8" t="s">
        <v>299</v>
      </c>
      <c r="I459" s="16" t="s">
        <v>3958</v>
      </c>
      <c r="J459" s="8">
        <f>IFERROR(VLOOKUP($G459,今日總結!$A:$AN,39,0),"")</f>
        <v>0</v>
      </c>
      <c r="K459" s="5" t="str">
        <f>IFERROR(VLOOKUP($G459,今日總結!$A:$AN,40,0),"")</f>
        <v>融</v>
      </c>
      <c r="L459" s="156">
        <f>IFERROR(VLOOKUP($G459,今日總結!$A:$AN,37,0),"")</f>
        <v>0</v>
      </c>
      <c r="M459" s="337">
        <f>IFERROR(VLOOKUP($G459,今日總結!$A:$AN,38,0),"")</f>
        <v>3</v>
      </c>
      <c r="N459" s="240">
        <f t="shared" si="96"/>
        <v>-3</v>
      </c>
      <c r="O459" s="359">
        <f>IFERROR(VLOOKUP($G459,融外自投!$A:$J,7,0),"無")</f>
        <v>861</v>
      </c>
      <c r="P459" s="79">
        <f>IFERROR(VLOOKUP($G459,融外自投!$A:$J,9,0),"無")</f>
        <v>946</v>
      </c>
      <c r="Q459" s="342">
        <f>IFERROR(VLOOKUP($G459,融外自投!$A:$J,8,0),"無")</f>
        <v>1218</v>
      </c>
      <c r="R459" s="81" t="str">
        <f>IFERROR(VLOOKUP($G459,融外自投!$A:$J,10,0),"無")</f>
        <v>無</v>
      </c>
      <c r="S459" s="324">
        <f>IFERROR(VLOOKUP($G459,'321買'!$A:$E,4,0),"'沒有資料'")</f>
        <v>497</v>
      </c>
      <c r="T459" s="186">
        <f>IFERROR(VLOOKUP($G459,基本資料!$A:$J,9,0),"無")</f>
        <v>1</v>
      </c>
      <c r="U459" s="307">
        <f t="shared" si="87"/>
        <v>4.6511627906976744E-2</v>
      </c>
      <c r="V459" s="94">
        <f>IFERROR(VLOOKUP($G459,基本資料!$A:$J,10,0),"無")</f>
        <v>1.81</v>
      </c>
      <c r="W459" s="36">
        <f>RTD("money.excel",,"2064","Price")</f>
        <v>21.5</v>
      </c>
      <c r="X459" s="66"/>
      <c r="Y459" s="15">
        <f t="shared" si="92"/>
        <v>21.5</v>
      </c>
      <c r="Z459" s="3" t="e">
        <f t="shared" si="93"/>
        <v>#DIV/0!</v>
      </c>
      <c r="AA459" s="340">
        <f>IFERROR(VLOOKUP($G459,基本資料!$A:$M,11,0),"無")</f>
        <v>-36.200000000000003</v>
      </c>
      <c r="AB459" s="389">
        <f>IFERROR(VLOOKUP($G459,基本資料!$A:$M,12,0),"無")</f>
        <v>26.27</v>
      </c>
      <c r="AC459" s="16" t="s">
        <v>3958</v>
      </c>
      <c r="AF459" s="33">
        <f t="shared" si="94"/>
        <v>0</v>
      </c>
      <c r="AG459" s="43" t="s">
        <v>3959</v>
      </c>
      <c r="AH459" s="66">
        <f t="shared" si="95"/>
        <v>0.2398510242085661</v>
      </c>
      <c r="AI459" s="283">
        <f>RTD("money.excel",,$G459,"PredictVolume")</f>
        <v>161</v>
      </c>
      <c r="AJ459" s="391">
        <f>IFERROR(VLOOKUP($G459,基本資料!$A:$M,13,0),"無")</f>
        <v>671.25</v>
      </c>
      <c r="AR459" s="245" t="str">
        <f>INDEX(基本資料!N:N,MATCH($G459,基本資料!A:A,0))</f>
        <v>低</v>
      </c>
    </row>
    <row r="460" spans="1:44">
      <c r="A460" s="343">
        <f>IFERROR(VLOOKUP($G460,基本資料!$A:$J,3,0),"無")</f>
        <v>5.43</v>
      </c>
      <c r="B460" s="79">
        <f>IFERROR(VLOOKUP($G460,基本資料!$A:$J,4,0),"無")</f>
        <v>81</v>
      </c>
      <c r="C460" s="79">
        <f>IFERROR(VLOOKUP($G460,基本資料!$A:$J,5,0),"無")</f>
        <v>72</v>
      </c>
      <c r="D460" s="79">
        <f>IFERROR(VLOOKUP($G460,基本資料!$A:$J,6,0),"無")</f>
        <v>-3</v>
      </c>
      <c r="E460" s="79">
        <f>IFERROR(VLOOKUP($G460,基本資料!$A:$J,7,0),"無")</f>
        <v>-9</v>
      </c>
      <c r="F460" s="6">
        <f>IFERROR(VLOOKUP($G460,基本資料!$A:$J,8,0),"無")</f>
        <v>12.2</v>
      </c>
      <c r="G460" s="79">
        <v>2065</v>
      </c>
      <c r="H460" s="8" t="s">
        <v>299</v>
      </c>
      <c r="I460" s="16" t="s">
        <v>3961</v>
      </c>
      <c r="J460" s="8">
        <f>IFERROR(VLOOKUP($G460,今日總結!$A:$AN,39,0),"")</f>
        <v>0</v>
      </c>
      <c r="K460" s="5">
        <f>IFERROR(VLOOKUP($G460,今日總結!$A:$AN,40,0),"")</f>
        <v>0</v>
      </c>
      <c r="L460" s="156">
        <f>IFERROR(VLOOKUP($G460,今日總結!$A:$AN,37,0),"")</f>
        <v>0</v>
      </c>
      <c r="M460" s="337">
        <f>IFERROR(VLOOKUP($G460,今日總結!$A:$AN,38,0),"")</f>
        <v>0</v>
      </c>
      <c r="N460" s="240">
        <f t="shared" si="96"/>
        <v>0</v>
      </c>
      <c r="O460" s="359">
        <f>IFERROR(VLOOKUP($G460,融外自投!$A:$J,7,0),"無")</f>
        <v>1201</v>
      </c>
      <c r="P460" s="79" t="str">
        <f>IFERROR(VLOOKUP($G460,融外自投!$A:$J,9,0),"無")</f>
        <v>無</v>
      </c>
      <c r="Q460" s="342">
        <f>IFERROR(VLOOKUP($G460,融外自投!$A:$J,8,0),"無")</f>
        <v>1112</v>
      </c>
      <c r="R460" s="81" t="str">
        <f>IFERROR(VLOOKUP($G460,融外自投!$A:$J,10,0),"無")</f>
        <v>無</v>
      </c>
      <c r="S460" s="324">
        <f>IFERROR(VLOOKUP($G460,'321買'!$A:$E,4,0),"'沒有資料'")</f>
        <v>1002</v>
      </c>
      <c r="T460" s="186">
        <f>IFERROR(VLOOKUP($G460,基本資料!$A:$J,9,0),"無")</f>
        <v>5.14</v>
      </c>
      <c r="U460" s="307">
        <f t="shared" si="87"/>
        <v>0.11125541125541125</v>
      </c>
      <c r="V460" s="94">
        <f>IFERROR(VLOOKUP($G460,基本資料!$A:$J,10,0),"無")</f>
        <v>5.42</v>
      </c>
      <c r="W460" s="36">
        <f>RTD("money.excel",,"2065","Price")</f>
        <v>46.2</v>
      </c>
      <c r="X460" s="66"/>
      <c r="Y460" s="15">
        <f t="shared" si="92"/>
        <v>46.2</v>
      </c>
      <c r="Z460" s="3" t="e">
        <f t="shared" si="93"/>
        <v>#DIV/0!</v>
      </c>
      <c r="AA460" s="340">
        <f>IFERROR(VLOOKUP($G460,基本資料!$A:$M,11,0),"無")</f>
        <v>-17.2</v>
      </c>
      <c r="AB460" s="389">
        <f>IFERROR(VLOOKUP($G460,基本資料!$A:$M,12,0),"無")</f>
        <v>13.19</v>
      </c>
      <c r="AC460" s="16" t="s">
        <v>3961</v>
      </c>
      <c r="AF460" s="33">
        <f t="shared" si="94"/>
        <v>0</v>
      </c>
      <c r="AG460" s="43" t="s">
        <v>3957</v>
      </c>
      <c r="AH460" s="66">
        <f t="shared" si="95"/>
        <v>0.25744167337087692</v>
      </c>
      <c r="AI460" s="283">
        <f>RTD("money.excel",,$G460,"PredictVolume")</f>
        <v>32</v>
      </c>
      <c r="AJ460" s="391">
        <f>IFERROR(VLOOKUP($G460,基本資料!$A:$M,13,0),"無")</f>
        <v>124.3</v>
      </c>
      <c r="AR460" s="245" t="str">
        <f>INDEX(基本資料!N:N,MATCH($G460,基本資料!A:A,0))</f>
        <v>低</v>
      </c>
    </row>
    <row r="461" spans="1:44">
      <c r="A461" s="343">
        <f>IFERROR(VLOOKUP($G461,基本資料!$A:$J,3,0),"無")</f>
        <v>16.63</v>
      </c>
      <c r="B461" s="79">
        <f>IFERROR(VLOOKUP($G461,基本資料!$A:$J,4,0),"無")</f>
        <v>1744</v>
      </c>
      <c r="C461" s="79">
        <f>IFERROR(VLOOKUP($G461,基本資料!$A:$J,5,0),"無")</f>
        <v>762</v>
      </c>
      <c r="D461" s="79">
        <f>IFERROR(VLOOKUP($G461,基本資料!$A:$J,6,0),"無")</f>
        <v>7</v>
      </c>
      <c r="E461" s="79">
        <f>IFERROR(VLOOKUP($G461,基本資料!$A:$J,7,0),"無")</f>
        <v>40</v>
      </c>
      <c r="F461" s="6">
        <f>IFERROR(VLOOKUP($G461,基本資料!$A:$J,8,0),"無")</f>
        <v>6.72</v>
      </c>
      <c r="G461" s="79">
        <v>2069</v>
      </c>
      <c r="H461" s="8" t="s">
        <v>299</v>
      </c>
      <c r="I461" s="22" t="s">
        <v>3962</v>
      </c>
      <c r="J461" s="8">
        <f>IFERROR(VLOOKUP($G461,今日總結!$A:$AN,39,0),"")</f>
        <v>0</v>
      </c>
      <c r="K461" s="5" t="str">
        <f>IFERROR(VLOOKUP($G461,今日總結!$A:$AN,40,0),"")</f>
        <v>融</v>
      </c>
      <c r="L461" s="156">
        <f>IFERROR(VLOOKUP($G461,今日總結!$A:$AN,37,0),"")</f>
        <v>0</v>
      </c>
      <c r="M461" s="337">
        <f>IFERROR(VLOOKUP($G461,今日總結!$A:$AN,38,0),"")</f>
        <v>3</v>
      </c>
      <c r="N461" s="240">
        <f t="shared" si="96"/>
        <v>-3</v>
      </c>
      <c r="O461" s="359">
        <f>IFERROR(VLOOKUP($G461,融外自投!$A:$J,7,0),"無")</f>
        <v>337</v>
      </c>
      <c r="P461" s="79">
        <f>IFERROR(VLOOKUP($G461,融外自投!$A:$J,9,0),"無")</f>
        <v>596</v>
      </c>
      <c r="Q461" s="342">
        <f>IFERROR(VLOOKUP($G461,融外自投!$A:$J,8,0),"無")</f>
        <v>1198</v>
      </c>
      <c r="R461" s="81" t="str">
        <f>IFERROR(VLOOKUP($G461,融外自投!$A:$J,10,0),"無")</f>
        <v>無</v>
      </c>
      <c r="S461" s="324">
        <f>IFERROR(VLOOKUP($G461,'321買'!$A:$E,4,0),"'沒有資料'")</f>
        <v>214</v>
      </c>
      <c r="T461" s="186">
        <f>IFERROR(VLOOKUP($G461,基本資料!$A:$J,9,0),"無")</f>
        <v>2.2000000000000002</v>
      </c>
      <c r="U461" s="307">
        <f t="shared" si="87"/>
        <v>8.2089552238805971E-2</v>
      </c>
      <c r="V461" s="94">
        <f>IFERROR(VLOOKUP($G461,基本資料!$A:$J,10,0),"無")</f>
        <v>4.7300000000000004</v>
      </c>
      <c r="W461" s="36">
        <f>RTD("money.excel",,"2069","Price")</f>
        <v>26.8</v>
      </c>
      <c r="X461" s="66"/>
      <c r="Y461" s="15">
        <f t="shared" si="92"/>
        <v>26.8</v>
      </c>
      <c r="Z461" s="3" t="e">
        <f t="shared" si="93"/>
        <v>#DIV/0!</v>
      </c>
      <c r="AA461" s="340">
        <f>IFERROR(VLOOKUP($G461,基本資料!$A:$M,11,0),"無")</f>
        <v>-45.08</v>
      </c>
      <c r="AB461" s="389">
        <f>IFERROR(VLOOKUP($G461,基本資料!$A:$M,12,0),"無")</f>
        <v>15.89</v>
      </c>
      <c r="AC461" s="22" t="s">
        <v>3962</v>
      </c>
      <c r="AF461" s="33">
        <f t="shared" si="94"/>
        <v>0</v>
      </c>
      <c r="AG461" s="43" t="s">
        <v>1999</v>
      </c>
      <c r="AH461" s="66">
        <f t="shared" si="95"/>
        <v>0.32913393147691877</v>
      </c>
      <c r="AI461" s="283">
        <f>RTD("money.excel",,$G461,"PredictVolume")</f>
        <v>708</v>
      </c>
      <c r="AJ461" s="391">
        <f>IFERROR(VLOOKUP($G461,基本資料!$A:$M,13,0),"無")</f>
        <v>2151.1</v>
      </c>
      <c r="AR461" s="245" t="str">
        <f>INDEX(基本資料!N:N,MATCH($G461,基本資料!A:A,0))</f>
        <v>低</v>
      </c>
    </row>
    <row r="462" spans="1:44">
      <c r="A462" s="343">
        <f>IFERROR(VLOOKUP($G462,基本資料!$A:$J,3,0),"無")</f>
        <v>41.99</v>
      </c>
      <c r="B462" s="79">
        <f>IFERROR(VLOOKUP($G462,基本資料!$A:$J,4,0),"無")</f>
        <v>14</v>
      </c>
      <c r="C462" s="79">
        <f>IFERROR(VLOOKUP($G462,基本資料!$A:$J,5,0),"無")</f>
        <v>14</v>
      </c>
      <c r="D462" s="79">
        <f>IFERROR(VLOOKUP($G462,基本資料!$A:$J,6,0),"無")</f>
        <v>2</v>
      </c>
      <c r="E462" s="79">
        <f>IFERROR(VLOOKUP($G462,基本資料!$A:$J,7,0),"無")</f>
        <v>46</v>
      </c>
      <c r="F462" s="6">
        <f>IFERROR(VLOOKUP($G462,基本資料!$A:$J,8,0),"無")</f>
        <v>12.89</v>
      </c>
      <c r="G462" s="79">
        <v>2211</v>
      </c>
      <c r="H462" s="8" t="s">
        <v>299</v>
      </c>
      <c r="I462" s="22" t="s">
        <v>3963</v>
      </c>
      <c r="J462" s="8" t="str">
        <f>IFERROR(VLOOKUP($G462,今日總結!$A:$AN,39,0),"")</f>
        <v>主</v>
      </c>
      <c r="K462" s="5">
        <f>IFERROR(VLOOKUP($G462,今日總結!$A:$AN,40,0),"")</f>
        <v>0</v>
      </c>
      <c r="L462" s="156">
        <f>IFERROR(VLOOKUP($G462,今日總結!$A:$AN,37,0),"")</f>
        <v>4</v>
      </c>
      <c r="M462" s="337">
        <f>IFERROR(VLOOKUP($G462,今日總結!$A:$AN,38,0),"")</f>
        <v>0</v>
      </c>
      <c r="N462" s="240">
        <f t="shared" si="96"/>
        <v>4</v>
      </c>
      <c r="O462" s="359">
        <f>IFERROR(VLOOKUP($G462,融外自投!$A:$J,7,0),"無")</f>
        <v>1259</v>
      </c>
      <c r="P462" s="79">
        <f>IFERROR(VLOOKUP($G462,融外自投!$A:$J,9,0),"無")</f>
        <v>1123</v>
      </c>
      <c r="Q462" s="342">
        <f>IFERROR(VLOOKUP($G462,融外自投!$A:$J,8,0),"無")</f>
        <v>1026</v>
      </c>
      <c r="R462" s="81" t="str">
        <f>IFERROR(VLOOKUP($G462,融外自投!$A:$J,10,0),"無")</f>
        <v>無</v>
      </c>
      <c r="S462" s="324">
        <f>IFERROR(VLOOKUP($G462,'321買'!$A:$E,4,0),"'沒有資料'")</f>
        <v>1002</v>
      </c>
      <c r="T462" s="186">
        <f>IFERROR(VLOOKUP($G462,基本資料!$A:$J,9,0),"無")</f>
        <v>3</v>
      </c>
      <c r="U462" s="307">
        <f t="shared" si="87"/>
        <v>4.8543689320388349E-2</v>
      </c>
      <c r="V462" s="94">
        <f>IFERROR(VLOOKUP($G462,基本資料!$A:$J,10,0),"無")</f>
        <v>3.11</v>
      </c>
      <c r="W462" s="36">
        <f>RTD("money.excel",,"2211","Price")</f>
        <v>61.8</v>
      </c>
      <c r="X462" s="66"/>
      <c r="Y462" s="15">
        <f t="shared" si="92"/>
        <v>61.8</v>
      </c>
      <c r="Z462" s="3" t="e">
        <f t="shared" si="93"/>
        <v>#DIV/0!</v>
      </c>
      <c r="AA462" s="340">
        <f>IFERROR(VLOOKUP($G462,基本資料!$A:$M,11,0),"無")</f>
        <v>-16.260000000000002</v>
      </c>
      <c r="AB462" s="389">
        <f>IFERROR(VLOOKUP($G462,基本資料!$A:$M,12,0),"無")</f>
        <v>50.82</v>
      </c>
      <c r="AC462" s="22" t="s">
        <v>3963</v>
      </c>
      <c r="AF462" s="33">
        <f t="shared" si="94"/>
        <v>0</v>
      </c>
      <c r="AG462" s="43" t="s">
        <v>3106</v>
      </c>
      <c r="AH462" s="66">
        <f t="shared" si="95"/>
        <v>2.0022260697501855</v>
      </c>
      <c r="AI462" s="283">
        <f>RTD("money.excel",,$G462,"PredictVolume")</f>
        <v>1619</v>
      </c>
      <c r="AJ462" s="391">
        <f>IFERROR(VLOOKUP($G462,基本資料!$A:$M,13,0),"無")</f>
        <v>808.6</v>
      </c>
      <c r="AR462" s="245" t="str">
        <f>INDEX(基本資料!N:N,MATCH($G462,基本資料!A:A,0))</f>
        <v>高</v>
      </c>
    </row>
    <row r="463" spans="1:44">
      <c r="A463" s="343">
        <f>IFERROR(VLOOKUP($G463,基本資料!$A:$J,3,0),"無")</f>
        <v>5.26</v>
      </c>
      <c r="B463" s="79">
        <f>IFERROR(VLOOKUP($G463,基本資料!$A:$J,4,0),"無")</f>
        <v>-261</v>
      </c>
      <c r="C463" s="79">
        <f>IFERROR(VLOOKUP($G463,基本資料!$A:$J,5,0),"無")</f>
        <v>-448</v>
      </c>
      <c r="D463" s="79">
        <f>IFERROR(VLOOKUP($G463,基本資料!$A:$J,6,0),"無")</f>
        <v>-17</v>
      </c>
      <c r="E463" s="79">
        <f>IFERROR(VLOOKUP($G463,基本資料!$A:$J,7,0),"無")</f>
        <v>35</v>
      </c>
      <c r="F463" s="6">
        <f>IFERROR(VLOOKUP($G463,基本資料!$A:$J,8,0),"無")</f>
        <v>-8.2200000000000006</v>
      </c>
      <c r="G463" s="79">
        <v>3004</v>
      </c>
      <c r="H463" s="8" t="s">
        <v>299</v>
      </c>
      <c r="I463" s="22" t="s">
        <v>3964</v>
      </c>
      <c r="J463" s="8">
        <f>IFERROR(VLOOKUP($G463,今日總結!$A:$AN,39,0),"")</f>
        <v>0</v>
      </c>
      <c r="K463" s="5">
        <f>IFERROR(VLOOKUP($G463,今日總結!$A:$AN,40,0),"")</f>
        <v>0</v>
      </c>
      <c r="L463" s="156">
        <f>IFERROR(VLOOKUP($G463,今日總結!$A:$AN,37,0),"")</f>
        <v>0</v>
      </c>
      <c r="M463" s="337">
        <f>IFERROR(VLOOKUP($G463,今日總結!$A:$AN,38,0),"")</f>
        <v>0</v>
      </c>
      <c r="N463" s="240">
        <f t="shared" si="96"/>
        <v>0</v>
      </c>
      <c r="O463" s="359">
        <f>IFERROR(VLOOKUP($G463,融外自投!$A:$J,7,0),"無")</f>
        <v>623</v>
      </c>
      <c r="P463" s="79">
        <f>IFERROR(VLOOKUP($G463,融外自投!$A:$J,9,0),"無")</f>
        <v>1051</v>
      </c>
      <c r="Q463" s="342">
        <f>IFERROR(VLOOKUP($G463,融外自投!$A:$J,8,0),"無")</f>
        <v>1144</v>
      </c>
      <c r="R463" s="81" t="str">
        <f>IFERROR(VLOOKUP($G463,融外自投!$A:$J,10,0),"無")</f>
        <v>無</v>
      </c>
      <c r="S463" s="324">
        <f>IFERROR(VLOOKUP($G463,'321買'!$A:$E,4,0),"'沒有資料'")</f>
        <v>1002</v>
      </c>
      <c r="T463" s="186">
        <f>IFERROR(VLOOKUP($G463,基本資料!$A:$J,9,0),"無")</f>
        <v>0</v>
      </c>
      <c r="U463" s="307">
        <f t="shared" si="87"/>
        <v>0</v>
      </c>
      <c r="V463" s="94">
        <f>IFERROR(VLOOKUP($G463,基本資料!$A:$J,10,0),"無")</f>
        <v>-1.84</v>
      </c>
      <c r="W463" s="36">
        <f>RTD("money.excel",,"3004","Price")</f>
        <v>51.1</v>
      </c>
      <c r="X463" s="66"/>
      <c r="Y463" s="15">
        <f t="shared" si="92"/>
        <v>51.1</v>
      </c>
      <c r="Z463" s="3" t="e">
        <f t="shared" si="93"/>
        <v>#DIV/0!</v>
      </c>
      <c r="AA463" s="340">
        <f>IFERROR(VLOOKUP($G463,基本資料!$A:$M,11,0),"無")</f>
        <v>-20.78</v>
      </c>
      <c r="AB463" s="389">
        <f>IFERROR(VLOOKUP($G463,基本資料!$A:$M,12,0),"無")</f>
        <v>20.02</v>
      </c>
      <c r="AC463" s="22" t="s">
        <v>3964</v>
      </c>
      <c r="AF463" s="33">
        <f t="shared" si="94"/>
        <v>0</v>
      </c>
      <c r="AG463" s="43" t="s">
        <v>3965</v>
      </c>
      <c r="AH463" s="66">
        <f t="shared" si="95"/>
        <v>0.38147138964577654</v>
      </c>
      <c r="AI463" s="283">
        <f>RTD("money.excel",,$G463,"PredictVolume")</f>
        <v>28</v>
      </c>
      <c r="AJ463" s="391">
        <f>IFERROR(VLOOKUP($G463,基本資料!$A:$M,13,0),"無")</f>
        <v>73.400000000000006</v>
      </c>
      <c r="AR463" s="245" t="str">
        <f>INDEX(基本資料!N:N,MATCH($G463,基本資料!A:A,0))</f>
        <v>低</v>
      </c>
    </row>
    <row r="464" spans="1:44">
      <c r="A464" s="343">
        <f>IFERROR(VLOOKUP($G464,基本資料!$A:$J,3,0),"無")</f>
        <v>29.49</v>
      </c>
      <c r="B464" s="79">
        <f>IFERROR(VLOOKUP($G464,基本資料!$A:$J,4,0),"無")</f>
        <v>63</v>
      </c>
      <c r="C464" s="79">
        <f>IFERROR(VLOOKUP($G464,基本資料!$A:$J,5,0),"無")</f>
        <v>87</v>
      </c>
      <c r="D464" s="79">
        <f>IFERROR(VLOOKUP($G464,基本資料!$A:$J,6,0),"無")</f>
        <v>-20</v>
      </c>
      <c r="E464" s="79">
        <f>IFERROR(VLOOKUP($G464,基本資料!$A:$J,7,0),"無")</f>
        <v>-7</v>
      </c>
      <c r="F464" s="6">
        <f>IFERROR(VLOOKUP($G464,基本資料!$A:$J,8,0),"無")</f>
        <v>17.3</v>
      </c>
      <c r="G464" s="79">
        <v>5007</v>
      </c>
      <c r="H464" s="8" t="s">
        <v>299</v>
      </c>
      <c r="I464" s="22" t="s">
        <v>3966</v>
      </c>
      <c r="J464" s="8">
        <f>IFERROR(VLOOKUP($G464,今日總結!$A:$AN,39,0),"")</f>
        <v>0</v>
      </c>
      <c r="K464" s="5">
        <f>IFERROR(VLOOKUP($G464,今日總結!$A:$AN,40,0),"")</f>
        <v>0</v>
      </c>
      <c r="L464" s="156">
        <f>IFERROR(VLOOKUP($G464,今日總結!$A:$AN,37,0),"")</f>
        <v>0</v>
      </c>
      <c r="M464" s="337">
        <f>IFERROR(VLOOKUP($G464,今日總結!$A:$AN,38,0),"")</f>
        <v>0</v>
      </c>
      <c r="N464" s="240">
        <f t="shared" si="96"/>
        <v>0</v>
      </c>
      <c r="O464" s="359">
        <f>IFERROR(VLOOKUP($G464,融外自投!$A:$J,7,0),"無")</f>
        <v>1313</v>
      </c>
      <c r="P464" s="79">
        <f>IFERROR(VLOOKUP($G464,融外自投!$A:$J,9,0),"無")</f>
        <v>1123</v>
      </c>
      <c r="Q464" s="342">
        <f>IFERROR(VLOOKUP($G464,融外自投!$A:$J,8,0),"無")</f>
        <v>905</v>
      </c>
      <c r="R464" s="81" t="str">
        <f>IFERROR(VLOOKUP($G464,融外自投!$A:$J,10,0),"無")</f>
        <v>無</v>
      </c>
      <c r="S464" s="324">
        <f>IFERROR(VLOOKUP($G464,'321買'!$A:$E,4,0),"'沒有資料'")</f>
        <v>1002</v>
      </c>
      <c r="T464" s="186">
        <f>IFERROR(VLOOKUP($G464,基本資料!$A:$J,9,0),"無")</f>
        <v>3</v>
      </c>
      <c r="U464" s="307">
        <f t="shared" si="87"/>
        <v>5.3763440860215055E-2</v>
      </c>
      <c r="V464" s="94">
        <f>IFERROR(VLOOKUP($G464,基本資料!$A:$J,10,0),"無")</f>
        <v>3.33</v>
      </c>
      <c r="W464" s="36">
        <f>RTD("money.excel",,"5007","Price")</f>
        <v>55.8</v>
      </c>
      <c r="X464" s="66"/>
      <c r="Y464" s="15">
        <f t="shared" si="92"/>
        <v>55.8</v>
      </c>
      <c r="Z464" s="3" t="e">
        <f t="shared" si="93"/>
        <v>#DIV/0!</v>
      </c>
      <c r="AA464" s="340">
        <f>IFERROR(VLOOKUP($G464,基本資料!$A:$M,11,0),"無")</f>
        <v>-10.72</v>
      </c>
      <c r="AB464" s="389">
        <f>IFERROR(VLOOKUP($G464,基本資料!$A:$M,12,0),"無")</f>
        <v>57.24</v>
      </c>
      <c r="AC464" s="22" t="s">
        <v>3966</v>
      </c>
      <c r="AF464" s="33">
        <f t="shared" si="94"/>
        <v>0</v>
      </c>
      <c r="AG464" s="43" t="s">
        <v>3967</v>
      </c>
      <c r="AH464" s="66">
        <f t="shared" si="95"/>
        <v>0.48531289910600256</v>
      </c>
      <c r="AI464" s="283">
        <f>RTD("money.excel",,$G464,"PredictVolume")</f>
        <v>19</v>
      </c>
      <c r="AJ464" s="391">
        <f>IFERROR(VLOOKUP($G464,基本資料!$A:$M,13,0),"無")</f>
        <v>39.15</v>
      </c>
      <c r="AR464" s="245" t="str">
        <f>INDEX(基本資料!N:N,MATCH($G464,基本資料!A:A,0))</f>
        <v>中</v>
      </c>
    </row>
    <row r="465" spans="1:44">
      <c r="A465" s="343">
        <f>IFERROR(VLOOKUP($G465,基本資料!$A:$J,3,0),"無")</f>
        <v>45.67</v>
      </c>
      <c r="B465" s="79">
        <f>IFERROR(VLOOKUP($G465,基本資料!$A:$J,4,0),"無")</f>
        <v>224</v>
      </c>
      <c r="C465" s="79">
        <f>IFERROR(VLOOKUP($G465,基本資料!$A:$J,5,0),"無")</f>
        <v>720</v>
      </c>
      <c r="D465" s="79">
        <f>IFERROR(VLOOKUP($G465,基本資料!$A:$J,6,0),"無")</f>
        <v>-1</v>
      </c>
      <c r="E465" s="79">
        <f>IFERROR(VLOOKUP($G465,基本資料!$A:$J,7,0),"無")</f>
        <v>69</v>
      </c>
      <c r="F465" s="6">
        <f>IFERROR(VLOOKUP($G465,基本資料!$A:$J,8,0),"無")</f>
        <v>12.25</v>
      </c>
      <c r="G465" s="79">
        <v>5009</v>
      </c>
      <c r="H465" s="8" t="s">
        <v>299</v>
      </c>
      <c r="I465" s="16" t="s">
        <v>3968</v>
      </c>
      <c r="J465" s="8">
        <f>IFERROR(VLOOKUP($G465,今日總結!$A:$AN,39,0),"")</f>
        <v>2</v>
      </c>
      <c r="K465" s="5">
        <f>IFERROR(VLOOKUP($G465,今日總結!$A:$AN,40,0),"")</f>
        <v>0</v>
      </c>
      <c r="L465" s="156">
        <f>IFERROR(VLOOKUP($G465,今日總結!$A:$AN,37,0),"")</f>
        <v>1</v>
      </c>
      <c r="M465" s="337">
        <f>IFERROR(VLOOKUP($G465,今日總結!$A:$AN,38,0),"")</f>
        <v>0</v>
      </c>
      <c r="N465" s="240">
        <f t="shared" si="96"/>
        <v>1</v>
      </c>
      <c r="O465" s="359">
        <f>IFERROR(VLOOKUP($G465,融外自投!$A:$J,7,0),"無")</f>
        <v>256</v>
      </c>
      <c r="P465" s="79">
        <f>IFERROR(VLOOKUP($G465,融外自投!$A:$J,9,0),"無")</f>
        <v>144</v>
      </c>
      <c r="Q465" s="342">
        <f>IFERROR(VLOOKUP($G465,融外自投!$A:$J,8,0),"無")</f>
        <v>411</v>
      </c>
      <c r="R465" s="81">
        <f>IFERROR(VLOOKUP($G465,融外自投!$A:$J,10,0),"無")</f>
        <v>25</v>
      </c>
      <c r="S465" s="324">
        <f>IFERROR(VLOOKUP($G465,'321買'!$A:$E,4,0),"'沒有資料'")</f>
        <v>108</v>
      </c>
      <c r="T465" s="186">
        <f>IFERROR(VLOOKUP($G465,基本資料!$A:$J,9,0),"無")</f>
        <v>1.4</v>
      </c>
      <c r="U465" s="307">
        <f t="shared" si="87"/>
        <v>4.6589018302828612E-2</v>
      </c>
      <c r="V465" s="94">
        <f>IFERROR(VLOOKUP($G465,基本資料!$A:$J,10,0),"無")</f>
        <v>1.7</v>
      </c>
      <c r="W465" s="36">
        <f>RTD("money.excel",,"5009","Price")</f>
        <v>30.05</v>
      </c>
      <c r="X465" s="66"/>
      <c r="Y465" s="15">
        <f t="shared" si="92"/>
        <v>30.05</v>
      </c>
      <c r="Z465" s="3" t="e">
        <f t="shared" si="93"/>
        <v>#DIV/0!</v>
      </c>
      <c r="AA465" s="340">
        <f>IFERROR(VLOOKUP($G465,基本資料!$A:$M,11,0),"無")</f>
        <v>-13.15</v>
      </c>
      <c r="AB465" s="389">
        <f>IFERROR(VLOOKUP($G465,基本資料!$A:$M,12,0),"無")</f>
        <v>59.03</v>
      </c>
      <c r="AC465" s="16" t="s">
        <v>3968</v>
      </c>
      <c r="AF465" s="33">
        <f t="shared" si="94"/>
        <v>0</v>
      </c>
      <c r="AG465" s="117" t="s">
        <v>3969</v>
      </c>
      <c r="AH465" s="66">
        <f t="shared" si="95"/>
        <v>0.43326435759922988</v>
      </c>
      <c r="AI465" s="283">
        <f>RTD("money.excel",,$G465,"PredictVolume")</f>
        <v>16719</v>
      </c>
      <c r="AJ465" s="391">
        <f>IFERROR(VLOOKUP($G465,基本資料!$A:$M,13,0),"無")</f>
        <v>38588.449999999997</v>
      </c>
      <c r="AR465" s="245" t="str">
        <f>INDEX(基本資料!N:N,MATCH($G465,基本資料!A:A,0))</f>
        <v>高</v>
      </c>
    </row>
    <row r="466" spans="1:44">
      <c r="A466" s="343">
        <f>IFERROR(VLOOKUP($G466,基本資料!$A:$J,3,0),"無")</f>
        <v>8.94</v>
      </c>
      <c r="B466" s="79">
        <f>IFERROR(VLOOKUP($G466,基本資料!$A:$J,4,0),"無")</f>
        <v>303</v>
      </c>
      <c r="C466" s="79">
        <f>IFERROR(VLOOKUP($G466,基本資料!$A:$J,5,0),"無")</f>
        <v>340</v>
      </c>
      <c r="D466" s="79">
        <f>IFERROR(VLOOKUP($G466,基本資料!$A:$J,6,0),"無")</f>
        <v>-25</v>
      </c>
      <c r="E466" s="79">
        <f>IFERROR(VLOOKUP($G466,基本資料!$A:$J,7,0),"無")</f>
        <v>37</v>
      </c>
      <c r="F466" s="6">
        <f>IFERROR(VLOOKUP($G466,基本資料!$A:$J,8,0),"無")</f>
        <v>3.78</v>
      </c>
      <c r="G466" s="79">
        <v>5011</v>
      </c>
      <c r="H466" s="8" t="s">
        <v>299</v>
      </c>
      <c r="I466" s="16" t="s">
        <v>3970</v>
      </c>
      <c r="J466" s="8">
        <f>IFERROR(VLOOKUP($G466,今日總結!$A:$AN,39,0),"")</f>
        <v>0</v>
      </c>
      <c r="K466" s="5" t="str">
        <f>IFERROR(VLOOKUP($G466,今日總結!$A:$AN,40,0),"")</f>
        <v>自</v>
      </c>
      <c r="L466" s="156">
        <f>IFERROR(VLOOKUP($G466,今日總結!$A:$AN,37,0),"")</f>
        <v>0</v>
      </c>
      <c r="M466" s="337">
        <f>IFERROR(VLOOKUP($G466,今日總結!$A:$AN,38,0),"")</f>
        <v>3</v>
      </c>
      <c r="N466" s="240">
        <f t="shared" si="96"/>
        <v>-3</v>
      </c>
      <c r="O466" s="359">
        <f>IFERROR(VLOOKUP($G466,融外自投!$A:$J,7,0),"無")</f>
        <v>33</v>
      </c>
      <c r="P466" s="79">
        <f>IFERROR(VLOOKUP($G466,融外自投!$A:$J,9,0),"無")</f>
        <v>280</v>
      </c>
      <c r="Q466" s="342">
        <f>IFERROR(VLOOKUP($G466,融外自投!$A:$J,8,0),"無")</f>
        <v>1043</v>
      </c>
      <c r="R466" s="81" t="str">
        <f>IFERROR(VLOOKUP($G466,融外自投!$A:$J,10,0),"無")</f>
        <v>無</v>
      </c>
      <c r="S466" s="324">
        <f>IFERROR(VLOOKUP($G466,'321買'!$A:$E,4,0),"'沒有資料'")</f>
        <v>108</v>
      </c>
      <c r="T466" s="186">
        <f>IFERROR(VLOOKUP($G466,基本資料!$A:$J,9,0),"無")</f>
        <v>0.95</v>
      </c>
      <c r="U466" s="307">
        <f t="shared" si="87"/>
        <v>2.9051987767584095E-2</v>
      </c>
      <c r="V466" s="94">
        <f>IFERROR(VLOOKUP($G466,基本資料!$A:$J,10,0),"無")</f>
        <v>1.74</v>
      </c>
      <c r="W466" s="36">
        <f>RTD("money.excel",,"5011","Price")</f>
        <v>32.700000000000003</v>
      </c>
      <c r="X466" s="66"/>
      <c r="Y466" s="15">
        <f t="shared" si="92"/>
        <v>32.700000000000003</v>
      </c>
      <c r="Z466" s="3" t="e">
        <f t="shared" si="93"/>
        <v>#DIV/0!</v>
      </c>
      <c r="AA466" s="340">
        <f>IFERROR(VLOOKUP($G466,基本資料!$A:$M,11,0),"無")</f>
        <v>-26.52</v>
      </c>
      <c r="AB466" s="389">
        <f>IFERROR(VLOOKUP($G466,基本資料!$A:$M,12,0),"無")</f>
        <v>16.8</v>
      </c>
      <c r="AC466" s="16" t="s">
        <v>3970</v>
      </c>
      <c r="AF466" s="33">
        <f t="shared" si="94"/>
        <v>0</v>
      </c>
      <c r="AG466" s="43" t="s">
        <v>3971</v>
      </c>
      <c r="AH466" s="66">
        <f t="shared" si="95"/>
        <v>0.38080771043947409</v>
      </c>
      <c r="AI466" s="283">
        <f>RTD("money.excel",,$G466,"PredictVolume")</f>
        <v>727</v>
      </c>
      <c r="AJ466" s="391">
        <f>IFERROR(VLOOKUP($G466,基本資料!$A:$M,13,0),"無")</f>
        <v>1909.1</v>
      </c>
      <c r="AR466" s="245" t="str">
        <f>INDEX(基本資料!N:N,MATCH($G466,基本資料!A:A,0))</f>
        <v>中</v>
      </c>
    </row>
    <row r="467" spans="1:44">
      <c r="A467" s="343">
        <f>IFERROR(VLOOKUP($G467,基本資料!$A:$J,3,0),"無")</f>
        <v>13.34</v>
      </c>
      <c r="B467" s="79">
        <f>IFERROR(VLOOKUP($G467,基本資料!$A:$J,4,0),"無")</f>
        <v>140</v>
      </c>
      <c r="C467" s="79">
        <f>IFERROR(VLOOKUP($G467,基本資料!$A:$J,5,0),"無")</f>
        <v>138</v>
      </c>
      <c r="D467" s="79">
        <f>IFERROR(VLOOKUP($G467,基本資料!$A:$J,6,0),"無")</f>
        <v>-30</v>
      </c>
      <c r="E467" s="79">
        <f>IFERROR(VLOOKUP($G467,基本資料!$A:$J,7,0),"無")</f>
        <v>-13</v>
      </c>
      <c r="F467" s="6">
        <f>IFERROR(VLOOKUP($G467,基本資料!$A:$J,8,0),"無")</f>
        <v>11.91</v>
      </c>
      <c r="G467" s="79">
        <v>5013</v>
      </c>
      <c r="H467" s="8" t="s">
        <v>299</v>
      </c>
      <c r="I467" s="16" t="s">
        <v>3972</v>
      </c>
      <c r="J467" s="8">
        <f>IFERROR(VLOOKUP($G467,今日總結!$A:$AN,39,0),"")</f>
        <v>0</v>
      </c>
      <c r="K467" s="5">
        <f>IFERROR(VLOOKUP($G467,今日總結!$A:$AN,40,0),"")</f>
        <v>0</v>
      </c>
      <c r="L467" s="156">
        <f>IFERROR(VLOOKUP($G467,今日總結!$A:$AN,37,0),"")</f>
        <v>0</v>
      </c>
      <c r="M467" s="337">
        <f>IFERROR(VLOOKUP($G467,今日總結!$A:$AN,38,0),"")</f>
        <v>0</v>
      </c>
      <c r="N467" s="240">
        <f t="shared" si="96"/>
        <v>0</v>
      </c>
      <c r="O467" s="359">
        <f>IFERROR(VLOOKUP($G467,融外自投!$A:$J,7,0),"無")</f>
        <v>1250</v>
      </c>
      <c r="P467" s="79" t="str">
        <f>IFERROR(VLOOKUP($G467,融外自投!$A:$J,9,0),"無")</f>
        <v>無</v>
      </c>
      <c r="Q467" s="342">
        <f>IFERROR(VLOOKUP($G467,融外自投!$A:$J,8,0),"無")</f>
        <v>925</v>
      </c>
      <c r="R467" s="81" t="str">
        <f>IFERROR(VLOOKUP($G467,融外自投!$A:$J,10,0),"無")</f>
        <v>無</v>
      </c>
      <c r="S467" s="324">
        <f>IFERROR(VLOOKUP($G467,'321買'!$A:$E,4,0),"'沒有資料'")</f>
        <v>1002</v>
      </c>
      <c r="T467" s="186">
        <f>IFERROR(VLOOKUP($G467,基本資料!$A:$J,9,0),"無")</f>
        <v>2</v>
      </c>
      <c r="U467" s="307">
        <f t="shared" si="87"/>
        <v>5.7553956834532377E-2</v>
      </c>
      <c r="V467" s="94">
        <f>IFERROR(VLOOKUP($G467,基本資料!$A:$J,10,0),"無")</f>
        <v>4.41</v>
      </c>
      <c r="W467" s="36">
        <f>RTD("money.excel",,"5013","Price")</f>
        <v>34.75</v>
      </c>
      <c r="X467" s="66"/>
      <c r="Y467" s="15">
        <f t="shared" si="92"/>
        <v>34.75</v>
      </c>
      <c r="Z467" s="3" t="e">
        <f t="shared" si="93"/>
        <v>#DIV/0!</v>
      </c>
      <c r="AA467" s="340">
        <f>IFERROR(VLOOKUP($G467,基本資料!$A:$M,11,0),"無")</f>
        <v>-35.770000000000003</v>
      </c>
      <c r="AB467" s="389">
        <f>IFERROR(VLOOKUP($G467,基本資料!$A:$M,12,0),"無")</f>
        <v>22.08</v>
      </c>
      <c r="AC467" s="16" t="s">
        <v>3972</v>
      </c>
      <c r="AF467" s="33">
        <f t="shared" si="94"/>
        <v>0</v>
      </c>
      <c r="AG467" s="117" t="s">
        <v>3973</v>
      </c>
      <c r="AH467" s="66">
        <f t="shared" si="95"/>
        <v>0.2652519893899204</v>
      </c>
      <c r="AI467" s="283">
        <f>RTD("money.excel",,$G467,"PredictVolume")</f>
        <v>10</v>
      </c>
      <c r="AJ467" s="391">
        <f>IFERROR(VLOOKUP($G467,基本資料!$A:$M,13,0),"無")</f>
        <v>37.700000000000003</v>
      </c>
      <c r="AR467" s="245" t="str">
        <f>INDEX(基本資料!N:N,MATCH($G467,基本資料!A:A,0))</f>
        <v>低</v>
      </c>
    </row>
    <row r="468" spans="1:44">
      <c r="A468" s="343">
        <f>IFERROR(VLOOKUP($G468,基本資料!$A:$J,3,0),"無")</f>
        <v>18.53</v>
      </c>
      <c r="B468" s="79">
        <f>IFERROR(VLOOKUP($G468,基本資料!$A:$J,4,0),"無")</f>
        <v>204</v>
      </c>
      <c r="C468" s="79">
        <f>IFERROR(VLOOKUP($G468,基本資料!$A:$J,5,0),"無")</f>
        <v>641</v>
      </c>
      <c r="D468" s="79">
        <f>IFERROR(VLOOKUP($G468,基本資料!$A:$J,6,0),"無")</f>
        <v>-11</v>
      </c>
      <c r="E468" s="79">
        <f>IFERROR(VLOOKUP($G468,基本資料!$A:$J,7,0),"無")</f>
        <v>5</v>
      </c>
      <c r="F468" s="6">
        <f>IFERROR(VLOOKUP($G468,基本資料!$A:$J,8,0),"無")</f>
        <v>4.1500000000000004</v>
      </c>
      <c r="G468" s="79">
        <v>5014</v>
      </c>
      <c r="H468" s="8" t="s">
        <v>299</v>
      </c>
      <c r="I468" s="16" t="s">
        <v>3974</v>
      </c>
      <c r="J468" s="8">
        <f>IFERROR(VLOOKUP($G468,今日總結!$A:$AN,39,0),"")</f>
        <v>5</v>
      </c>
      <c r="K468" s="5">
        <f>IFERROR(VLOOKUP($G468,今日總結!$A:$AN,40,0),"")</f>
        <v>0</v>
      </c>
      <c r="L468" s="156">
        <f>IFERROR(VLOOKUP($G468,今日總結!$A:$AN,37,0),"")</f>
        <v>1</v>
      </c>
      <c r="M468" s="337">
        <f>IFERROR(VLOOKUP($G468,今日總結!$A:$AN,38,0),"")</f>
        <v>0</v>
      </c>
      <c r="N468" s="240">
        <f t="shared" si="96"/>
        <v>1</v>
      </c>
      <c r="O468" s="359">
        <f>IFERROR(VLOOKUP($G468,融外自投!$A:$J,7,0),"無")</f>
        <v>48</v>
      </c>
      <c r="P468" s="79">
        <f>IFERROR(VLOOKUP($G468,融外自投!$A:$J,9,0),"無")</f>
        <v>283</v>
      </c>
      <c r="Q468" s="342">
        <f>IFERROR(VLOOKUP($G468,融外自投!$A:$J,8,0),"無")</f>
        <v>1117</v>
      </c>
      <c r="R468" s="81" t="str">
        <f>IFERROR(VLOOKUP($G468,融外自投!$A:$J,10,0),"無")</f>
        <v>無</v>
      </c>
      <c r="S468" s="324">
        <f>IFERROR(VLOOKUP($G468,'321買'!$A:$E,4,0),"'沒有資料'")</f>
        <v>164</v>
      </c>
      <c r="T468" s="186">
        <f>IFERROR(VLOOKUP($G468,基本資料!$A:$J,9,0),"無")</f>
        <v>1.2</v>
      </c>
      <c r="U468" s="307">
        <f t="shared" si="87"/>
        <v>6.0453400503778329E-2</v>
      </c>
      <c r="V468" s="94">
        <f>IFERROR(VLOOKUP($G468,基本資料!$A:$J,10,0),"無")</f>
        <v>3.14</v>
      </c>
      <c r="W468" s="36">
        <f>RTD("money.excel",,"5014","Price")</f>
        <v>19.850000000000001</v>
      </c>
      <c r="X468" s="66"/>
      <c r="Y468" s="15">
        <f t="shared" si="92"/>
        <v>19.850000000000001</v>
      </c>
      <c r="Z468" s="3" t="e">
        <f t="shared" si="93"/>
        <v>#DIV/0!</v>
      </c>
      <c r="AA468" s="340">
        <f>IFERROR(VLOOKUP($G468,基本資料!$A:$M,11,0),"無")</f>
        <v>-33.83</v>
      </c>
      <c r="AB468" s="389">
        <f>IFERROR(VLOOKUP($G468,基本資料!$A:$M,12,0),"無")</f>
        <v>30.88</v>
      </c>
      <c r="AC468" s="16" t="s">
        <v>3974</v>
      </c>
      <c r="AF468" s="33">
        <f t="shared" si="94"/>
        <v>0</v>
      </c>
      <c r="AG468" s="43" t="s">
        <v>3975</v>
      </c>
      <c r="AH468" s="66">
        <f t="shared" si="95"/>
        <v>0.72583909745322706</v>
      </c>
      <c r="AI468" s="283">
        <f>RTD("money.excel",,$G468,"PredictVolume")</f>
        <v>2062</v>
      </c>
      <c r="AJ468" s="391">
        <f>IFERROR(VLOOKUP($G468,基本資料!$A:$M,13,0),"無")</f>
        <v>2840.85</v>
      </c>
      <c r="AR468" s="245" t="str">
        <f>INDEX(基本資料!N:N,MATCH($G468,基本資料!A:A,0))</f>
        <v>低</v>
      </c>
    </row>
    <row r="469" spans="1:44">
      <c r="A469" s="343">
        <f>IFERROR(VLOOKUP($G469,基本資料!$A:$J,3,0),"無")</f>
        <v>6.06</v>
      </c>
      <c r="B469" s="79">
        <f>IFERROR(VLOOKUP($G469,基本資料!$A:$J,4,0),"無")</f>
        <v>111</v>
      </c>
      <c r="C469" s="79">
        <f>IFERROR(VLOOKUP($G469,基本資料!$A:$J,5,0),"無")</f>
        <v>105</v>
      </c>
      <c r="D469" s="79">
        <f>IFERROR(VLOOKUP($G469,基本資料!$A:$J,6,0),"無")</f>
        <v>0</v>
      </c>
      <c r="E469" s="79">
        <f>IFERROR(VLOOKUP($G469,基本資料!$A:$J,7,0),"無")</f>
        <v>9</v>
      </c>
      <c r="F469" s="6">
        <f>IFERROR(VLOOKUP($G469,基本資料!$A:$J,8,0),"無")</f>
        <v>13.94</v>
      </c>
      <c r="G469" s="79">
        <v>5015</v>
      </c>
      <c r="H469" s="8" t="s">
        <v>299</v>
      </c>
      <c r="I469" s="16" t="s">
        <v>3976</v>
      </c>
      <c r="J469" s="8">
        <f>IFERROR(VLOOKUP($G469,今日總結!$A:$AN,39,0),"")</f>
        <v>0</v>
      </c>
      <c r="K469" s="5">
        <f>IFERROR(VLOOKUP($G469,今日總結!$A:$AN,40,0),"")</f>
        <v>0</v>
      </c>
      <c r="L469" s="156">
        <f>IFERROR(VLOOKUP($G469,今日總結!$A:$AN,37,0),"")</f>
        <v>0</v>
      </c>
      <c r="M469" s="337">
        <f>IFERROR(VLOOKUP($G469,今日總結!$A:$AN,38,0),"")</f>
        <v>0</v>
      </c>
      <c r="N469" s="240">
        <f t="shared" si="96"/>
        <v>0</v>
      </c>
      <c r="O469" s="359">
        <f>IFERROR(VLOOKUP($G469,融外自投!$A:$J,7,0),"無")</f>
        <v>1157</v>
      </c>
      <c r="P469" s="79" t="str">
        <f>IFERROR(VLOOKUP($G469,融外自投!$A:$J,9,0),"無")</f>
        <v>無</v>
      </c>
      <c r="Q469" s="342">
        <f>IFERROR(VLOOKUP($G469,融外自投!$A:$J,8,0),"無")</f>
        <v>576</v>
      </c>
      <c r="R469" s="81" t="str">
        <f>IFERROR(VLOOKUP($G469,融外自投!$A:$J,10,0),"無")</f>
        <v>無</v>
      </c>
      <c r="S469" s="324">
        <f>IFERROR(VLOOKUP($G469,'321買'!$A:$E,4,0),"'沒有資料'")</f>
        <v>1002</v>
      </c>
      <c r="T469" s="186">
        <f>IFERROR(VLOOKUP($G469,基本資料!$A:$J,9,0),"無")</f>
        <v>3.5</v>
      </c>
      <c r="U469" s="307">
        <f t="shared" si="87"/>
        <v>7.874015748031496E-2</v>
      </c>
      <c r="V469" s="94">
        <f>IFERROR(VLOOKUP($G469,基本資料!$A:$J,10,0),"無")</f>
        <v>4.0999999999999996</v>
      </c>
      <c r="W469" s="36">
        <f>RTD("money.excel",,"5015","Price")</f>
        <v>44.45</v>
      </c>
      <c r="X469" s="66"/>
      <c r="Y469" s="15">
        <f t="shared" si="92"/>
        <v>44.45</v>
      </c>
      <c r="Z469" s="3" t="e">
        <f t="shared" si="93"/>
        <v>#DIV/0!</v>
      </c>
      <c r="AA469" s="340">
        <f>IFERROR(VLOOKUP($G469,基本資料!$A:$M,11,0),"無")</f>
        <v>-4.2</v>
      </c>
      <c r="AB469" s="389">
        <f>IFERROR(VLOOKUP($G469,基本資料!$A:$M,12,0),"無")</f>
        <v>70.63</v>
      </c>
      <c r="AC469" s="16" t="s">
        <v>3976</v>
      </c>
      <c r="AF469" s="33">
        <f t="shared" si="94"/>
        <v>0</v>
      </c>
      <c r="AG469" s="43" t="s">
        <v>3957</v>
      </c>
      <c r="AH469" s="66">
        <f t="shared" si="95"/>
        <v>0.50290135396518376</v>
      </c>
      <c r="AI469" s="283">
        <f>RTD("money.excel",,$G469,"PredictVolume")</f>
        <v>91</v>
      </c>
      <c r="AJ469" s="391">
        <f>IFERROR(VLOOKUP($G469,基本資料!$A:$M,13,0),"無")</f>
        <v>180.95</v>
      </c>
      <c r="AR469" s="245" t="str">
        <f>INDEX(基本資料!N:N,MATCH($G469,基本資料!A:A,0))</f>
        <v>高</v>
      </c>
    </row>
    <row r="470" spans="1:44">
      <c r="A470" s="343">
        <f>IFERROR(VLOOKUP($G470,基本資料!$A:$J,3,0),"無")</f>
        <v>4.96</v>
      </c>
      <c r="B470" s="79">
        <f>IFERROR(VLOOKUP($G470,基本資料!$A:$J,4,0),"無")</f>
        <v>50</v>
      </c>
      <c r="C470" s="79">
        <f>IFERROR(VLOOKUP($G470,基本資料!$A:$J,5,0),"無")</f>
        <v>55</v>
      </c>
      <c r="D470" s="79">
        <f>IFERROR(VLOOKUP($G470,基本資料!$A:$J,6,0),"無")</f>
        <v>-1</v>
      </c>
      <c r="E470" s="79">
        <f>IFERROR(VLOOKUP($G470,基本資料!$A:$J,7,0),"無")</f>
        <v>17</v>
      </c>
      <c r="F470" s="6">
        <f>IFERROR(VLOOKUP($G470,基本資料!$A:$J,8,0),"無")</f>
        <v>10.68</v>
      </c>
      <c r="G470" s="79">
        <v>5016</v>
      </c>
      <c r="H470" s="8" t="s">
        <v>299</v>
      </c>
      <c r="I470" s="16" t="s">
        <v>3977</v>
      </c>
      <c r="J470" s="8" t="str">
        <f>IFERROR(VLOOKUP($G470,今日總結!$A:$AN,39,0),"")</f>
        <v/>
      </c>
      <c r="K470" s="5" t="str">
        <f>IFERROR(VLOOKUP($G470,今日總結!$A:$AN,40,0),"")</f>
        <v/>
      </c>
      <c r="L470" s="156" t="str">
        <f>IFERROR(VLOOKUP($G470,今日總結!$A:$AN,37,0),"")</f>
        <v/>
      </c>
      <c r="M470" s="337" t="str">
        <f>IFERROR(VLOOKUP($G470,今日總結!$A:$AN,38,0),"")</f>
        <v/>
      </c>
      <c r="N470" s="240" t="str">
        <f t="shared" si="96"/>
        <v/>
      </c>
      <c r="O470" s="359">
        <f>IFERROR(VLOOKUP($G470,融外自投!$A:$J,7,0),"無")</f>
        <v>1177</v>
      </c>
      <c r="P470" s="79" t="str">
        <f>IFERROR(VLOOKUP($G470,融外自投!$A:$J,9,0),"無")</f>
        <v>無</v>
      </c>
      <c r="Q470" s="342">
        <f>IFERROR(VLOOKUP($G470,融外自投!$A:$J,8,0),"無")</f>
        <v>1319</v>
      </c>
      <c r="R470" s="81" t="str">
        <f>IFERROR(VLOOKUP($G470,融外自投!$A:$J,10,0),"無")</f>
        <v>無</v>
      </c>
      <c r="S470" s="324" t="str">
        <f>IFERROR(VLOOKUP($G470,'321買'!$A:$E,4,0),"'沒有資料'")</f>
        <v>'沒有資料'</v>
      </c>
      <c r="T470" s="186">
        <f>IFERROR(VLOOKUP($G470,基本資料!$A:$J,9,0),"無")</f>
        <v>3.3</v>
      </c>
      <c r="U470" s="307">
        <f t="shared" si="87"/>
        <v>8.8471849865951746E-2</v>
      </c>
      <c r="V470" s="94">
        <f>IFERROR(VLOOKUP($G470,基本資料!$A:$J,10,0),"無")</f>
        <v>4.75</v>
      </c>
      <c r="W470" s="36">
        <f>RTD("money.excel",,"5016","Price")</f>
        <v>37.299999999999997</v>
      </c>
      <c r="X470" s="66"/>
      <c r="Y470" s="15">
        <f t="shared" si="92"/>
        <v>37.299999999999997</v>
      </c>
      <c r="Z470" s="3" t="e">
        <f t="shared" si="93"/>
        <v>#DIV/0!</v>
      </c>
      <c r="AA470" s="340">
        <f>IFERROR(VLOOKUP($G470,基本資料!$A:$M,11,0),"無")</f>
        <v>-18.11</v>
      </c>
      <c r="AB470" s="389">
        <f>IFERROR(VLOOKUP($G470,基本資料!$A:$M,12,0),"無")</f>
        <v>22.71</v>
      </c>
      <c r="AC470" s="16" t="s">
        <v>3977</v>
      </c>
      <c r="AF470" s="33">
        <f t="shared" si="94"/>
        <v>0</v>
      </c>
      <c r="AG470" s="43" t="s">
        <v>3978</v>
      </c>
      <c r="AH470" s="66">
        <f t="shared" si="95"/>
        <v>0.4281345565749235</v>
      </c>
      <c r="AI470" s="283">
        <f>RTD("money.excel",,$G470,"PredictVolume")</f>
        <v>14</v>
      </c>
      <c r="AJ470" s="391">
        <f>IFERROR(VLOOKUP($G470,基本資料!$A:$M,13,0),"無")</f>
        <v>32.700000000000003</v>
      </c>
      <c r="AR470" s="245" t="str">
        <f>INDEX(基本資料!N:N,MATCH($G470,基本資料!A:A,0))</f>
        <v>低</v>
      </c>
    </row>
    <row r="471" spans="1:44">
      <c r="A471" s="343">
        <f>IFERROR(VLOOKUP($G471,基本資料!$A:$J,3,0),"無")</f>
        <v>20.12</v>
      </c>
      <c r="B471" s="79">
        <f>IFERROR(VLOOKUP($G471,基本資料!$A:$J,4,0),"無")</f>
        <v>192</v>
      </c>
      <c r="C471" s="79">
        <f>IFERROR(VLOOKUP($G471,基本資料!$A:$J,5,0),"無")</f>
        <v>183</v>
      </c>
      <c r="D471" s="79">
        <f>IFERROR(VLOOKUP($G471,基本資料!$A:$J,6,0),"無")</f>
        <v>-19</v>
      </c>
      <c r="E471" s="79">
        <f>IFERROR(VLOOKUP($G471,基本資料!$A:$J,7,0),"無")</f>
        <v>18</v>
      </c>
      <c r="F471" s="6">
        <f>IFERROR(VLOOKUP($G471,基本資料!$A:$J,8,0),"無")</f>
        <v>14.84</v>
      </c>
      <c r="G471" s="79">
        <v>5538</v>
      </c>
      <c r="H471" s="8" t="s">
        <v>299</v>
      </c>
      <c r="I471" s="22" t="s">
        <v>3979</v>
      </c>
      <c r="J471" s="8">
        <f>IFERROR(VLOOKUP($G471,今日總結!$A:$AN,39,0),"")</f>
        <v>0</v>
      </c>
      <c r="K471" s="5">
        <f>IFERROR(VLOOKUP($G471,今日總結!$A:$AN,40,0),"")</f>
        <v>0</v>
      </c>
      <c r="L471" s="156">
        <f>IFERROR(VLOOKUP($G471,今日總結!$A:$AN,37,0),"")</f>
        <v>0</v>
      </c>
      <c r="M471" s="337">
        <f>IFERROR(VLOOKUP($G471,今日總結!$A:$AN,38,0),"")</f>
        <v>0</v>
      </c>
      <c r="N471" s="240">
        <f t="shared" si="96"/>
        <v>0</v>
      </c>
      <c r="O471" s="359">
        <f>IFERROR(VLOOKUP($G471,融外自投!$A:$J,7,0),"無")</f>
        <v>1327</v>
      </c>
      <c r="P471" s="79">
        <f>IFERROR(VLOOKUP($G471,融外自投!$A:$J,9,0),"無")</f>
        <v>1051</v>
      </c>
      <c r="Q471" s="342">
        <f>IFERROR(VLOOKUP($G471,融外自投!$A:$J,8,0),"無")</f>
        <v>37</v>
      </c>
      <c r="R471" s="81">
        <f>IFERROR(VLOOKUP($G471,融外自投!$A:$J,10,0),"無")</f>
        <v>495</v>
      </c>
      <c r="S471" s="324">
        <f>IFERROR(VLOOKUP($G471,'321買'!$A:$E,4,0),"'沒有資料'")</f>
        <v>1002</v>
      </c>
      <c r="T471" s="186">
        <f>IFERROR(VLOOKUP($G471,基本資料!$A:$J,9,0),"無")</f>
        <v>3.2</v>
      </c>
      <c r="U471" s="307">
        <f t="shared" si="87"/>
        <v>6.4908722109533482E-2</v>
      </c>
      <c r="V471" s="94">
        <f>IFERROR(VLOOKUP($G471,基本資料!$A:$J,10,0),"無")</f>
        <v>8</v>
      </c>
      <c r="W471" s="36">
        <f>RTD("money.excel",,"5538","Price")</f>
        <v>49.3</v>
      </c>
      <c r="X471" s="66"/>
      <c r="Y471" s="15">
        <f t="shared" si="92"/>
        <v>49.3</v>
      </c>
      <c r="Z471" s="3" t="e">
        <f t="shared" si="93"/>
        <v>#DIV/0!</v>
      </c>
      <c r="AA471" s="340">
        <f>IFERROR(VLOOKUP($G471,基本資料!$A:$M,11,0),"無")</f>
        <v>-27.39</v>
      </c>
      <c r="AB471" s="389">
        <f>IFERROR(VLOOKUP($G471,基本資料!$A:$M,12,0),"無")</f>
        <v>10.91</v>
      </c>
      <c r="AC471" s="22" t="s">
        <v>3979</v>
      </c>
      <c r="AF471" s="33">
        <f t="shared" si="94"/>
        <v>0</v>
      </c>
      <c r="AG471" s="43" t="s">
        <v>3261</v>
      </c>
      <c r="AH471" s="66">
        <f t="shared" si="95"/>
        <v>0.61202185792349728</v>
      </c>
      <c r="AI471" s="283">
        <f>RTD("money.excel",,$G471,"PredictVolume")</f>
        <v>84</v>
      </c>
      <c r="AJ471" s="391">
        <f>IFERROR(VLOOKUP($G471,基本資料!$A:$M,13,0),"無")</f>
        <v>137.25</v>
      </c>
      <c r="AR471" s="245" t="str">
        <f>INDEX(基本資料!N:N,MATCH($G471,基本資料!A:A,0))</f>
        <v>中</v>
      </c>
    </row>
    <row r="472" spans="1:44">
      <c r="A472" s="343">
        <f>IFERROR(VLOOKUP($G472,基本資料!$A:$J,3,0),"無")</f>
        <v>4.57</v>
      </c>
      <c r="B472" s="79">
        <f>IFERROR(VLOOKUP($G472,基本資料!$A:$J,4,0),"無")</f>
        <v>8</v>
      </c>
      <c r="C472" s="79">
        <f>IFERROR(VLOOKUP($G472,基本資料!$A:$J,5,0),"無")</f>
        <v>4</v>
      </c>
      <c r="D472" s="79">
        <f>IFERROR(VLOOKUP($G472,基本資料!$A:$J,6,0),"無")</f>
        <v>-1</v>
      </c>
      <c r="E472" s="79">
        <f>IFERROR(VLOOKUP($G472,基本資料!$A:$J,7,0),"無")</f>
        <v>37</v>
      </c>
      <c r="F472" s="6">
        <f>IFERROR(VLOOKUP($G472,基本資料!$A:$J,8,0),"無")</f>
        <v>1.68</v>
      </c>
      <c r="G472" s="79">
        <v>6248</v>
      </c>
      <c r="H472" s="8" t="s">
        <v>299</v>
      </c>
      <c r="I472" s="16" t="s">
        <v>3980</v>
      </c>
      <c r="J472" s="8">
        <f>IFERROR(VLOOKUP($G472,今日總結!$A:$AN,39,0),"")</f>
        <v>0</v>
      </c>
      <c r="K472" s="5" t="str">
        <f>IFERROR(VLOOKUP($G472,今日總結!$A:$AN,40,0),"")</f>
        <v>融</v>
      </c>
      <c r="L472" s="156">
        <f>IFERROR(VLOOKUP($G472,今日總結!$A:$AN,37,0),"")</f>
        <v>0</v>
      </c>
      <c r="M472" s="337">
        <f>IFERROR(VLOOKUP($G472,今日總結!$A:$AN,38,0),"")</f>
        <v>7</v>
      </c>
      <c r="N472" s="240">
        <f t="shared" si="96"/>
        <v>-7</v>
      </c>
      <c r="O472" s="359">
        <f>IFERROR(VLOOKUP($G472,融外自投!$A:$J,7,0),"無")</f>
        <v>784</v>
      </c>
      <c r="P472" s="79">
        <f>IFERROR(VLOOKUP($G472,融外自投!$A:$J,9,0),"無")</f>
        <v>357</v>
      </c>
      <c r="Q472" s="342">
        <f>IFERROR(VLOOKUP($G472,融外自投!$A:$J,8,0),"無")</f>
        <v>1240</v>
      </c>
      <c r="R472" s="81" t="str">
        <f>IFERROR(VLOOKUP($G472,融外自投!$A:$J,10,0),"無")</f>
        <v>無</v>
      </c>
      <c r="S472" s="324">
        <f>IFERROR(VLOOKUP($G472,'321買'!$A:$E,4,0),"'沒有資料'")</f>
        <v>801</v>
      </c>
      <c r="T472" s="186">
        <f>IFERROR(VLOOKUP($G472,基本資料!$A:$J,9,0),"無")</f>
        <v>1.2</v>
      </c>
      <c r="U472" s="307">
        <f t="shared" si="87"/>
        <v>5.6074766355140186E-2</v>
      </c>
      <c r="V472" s="94">
        <f>IFERROR(VLOOKUP($G472,基本資料!$A:$J,10,0),"無")</f>
        <v>1.62</v>
      </c>
      <c r="W472" s="36">
        <f>RTD("money.excel",,"6248","Price")</f>
        <v>21.4</v>
      </c>
      <c r="X472" s="66"/>
      <c r="Y472" s="15">
        <f t="shared" si="92"/>
        <v>21.4</v>
      </c>
      <c r="Z472" s="3" t="e">
        <f t="shared" si="93"/>
        <v>#DIV/0!</v>
      </c>
      <c r="AA472" s="340">
        <f>IFERROR(VLOOKUP($G472,基本資料!$A:$M,11,0),"無")</f>
        <v>-33.020000000000003</v>
      </c>
      <c r="AB472" s="389">
        <f>IFERROR(VLOOKUP($G472,基本資料!$A:$M,12,0),"無")</f>
        <v>21.72</v>
      </c>
      <c r="AC472" s="16" t="s">
        <v>3980</v>
      </c>
      <c r="AF472" s="33">
        <f t="shared" si="94"/>
        <v>0</v>
      </c>
      <c r="AG472" s="43" t="s">
        <v>2659</v>
      </c>
      <c r="AH472" s="66">
        <f t="shared" si="95"/>
        <v>0.57835820895522383</v>
      </c>
      <c r="AI472" s="283">
        <f>RTD("money.excel",,$G472,"PredictVolume")</f>
        <v>62</v>
      </c>
      <c r="AJ472" s="391">
        <f>IFERROR(VLOOKUP($G472,基本資料!$A:$M,13,0),"無")</f>
        <v>107.2</v>
      </c>
      <c r="AR472" s="245" t="str">
        <f>INDEX(基本資料!N:N,MATCH($G472,基本資料!A:A,0))</f>
        <v>低</v>
      </c>
    </row>
    <row r="473" spans="1:44">
      <c r="A473" s="343">
        <f>IFERROR(VLOOKUP($G473,基本資料!$A:$J,3,0),"無")</f>
        <v>11.92</v>
      </c>
      <c r="B473" s="79">
        <f>IFERROR(VLOOKUP($G473,基本資料!$A:$J,4,0),"無")</f>
        <v>27</v>
      </c>
      <c r="C473" s="79">
        <f>IFERROR(VLOOKUP($G473,基本資料!$A:$J,5,0),"無")</f>
        <v>30</v>
      </c>
      <c r="D473" s="79">
        <f>IFERROR(VLOOKUP($G473,基本資料!$A:$J,6,0),"無")</f>
        <v>-23</v>
      </c>
      <c r="E473" s="79">
        <f>IFERROR(VLOOKUP($G473,基本資料!$A:$J,7,0),"無")</f>
        <v>-10</v>
      </c>
      <c r="F473" s="6">
        <f>IFERROR(VLOOKUP($G473,基本資料!$A:$J,8,0),"無")</f>
        <v>4.3899999999999997</v>
      </c>
      <c r="G473" s="79">
        <v>8349</v>
      </c>
      <c r="H473" s="8" t="s">
        <v>299</v>
      </c>
      <c r="I473" s="16" t="s">
        <v>3981</v>
      </c>
      <c r="J473" s="8" t="str">
        <f>IFERROR(VLOOKUP($G473,今日總結!$A:$AN,39,0),"")</f>
        <v>外</v>
      </c>
      <c r="K473" s="5">
        <f>IFERROR(VLOOKUP($G473,今日總結!$A:$AN,40,0),"")</f>
        <v>0</v>
      </c>
      <c r="L473" s="156">
        <f>IFERROR(VLOOKUP($G473,今日總結!$A:$AN,37,0),"")</f>
        <v>1</v>
      </c>
      <c r="M473" s="337">
        <f>IFERROR(VLOOKUP($G473,今日總結!$A:$AN,38,0),"")</f>
        <v>0</v>
      </c>
      <c r="N473" s="240">
        <f t="shared" si="96"/>
        <v>1</v>
      </c>
      <c r="O473" s="359">
        <f>IFERROR(VLOOKUP($G473,融外自投!$A:$J,7,0),"無")</f>
        <v>920</v>
      </c>
      <c r="P473" s="79">
        <f>IFERROR(VLOOKUP($G473,融外自投!$A:$J,9,0),"無")</f>
        <v>1123</v>
      </c>
      <c r="Q473" s="342">
        <f>IFERROR(VLOOKUP($G473,融外自投!$A:$J,8,0),"無")</f>
        <v>1126</v>
      </c>
      <c r="R473" s="81" t="str">
        <f>IFERROR(VLOOKUP($G473,融外自投!$A:$J,10,0),"無")</f>
        <v>無</v>
      </c>
      <c r="S473" s="324">
        <f>IFERROR(VLOOKUP($G473,'321買'!$A:$E,4,0),"'沒有資料'")</f>
        <v>1002</v>
      </c>
      <c r="T473" s="186">
        <f>IFERROR(VLOOKUP($G473,基本資料!$A:$J,9,0),"無")</f>
        <v>2.2000000000000002</v>
      </c>
      <c r="U473" s="307">
        <f t="shared" si="87"/>
        <v>3.8596491228070177E-2</v>
      </c>
      <c r="V473" s="94">
        <f>IFERROR(VLOOKUP($G473,基本資料!$A:$J,10,0),"無")</f>
        <v>3.03</v>
      </c>
      <c r="W473" s="36">
        <f>RTD("money.excel",,"8349","Price")</f>
        <v>57</v>
      </c>
      <c r="X473" s="66"/>
      <c r="Y473" s="15">
        <f t="shared" si="92"/>
        <v>57</v>
      </c>
      <c r="Z473" s="3" t="e">
        <f t="shared" si="93"/>
        <v>#DIV/0!</v>
      </c>
      <c r="AA473" s="340">
        <f>IFERROR(VLOOKUP($G473,基本資料!$A:$M,11,0),"無")</f>
        <v>-22.97</v>
      </c>
      <c r="AB473" s="389">
        <f>IFERROR(VLOOKUP($G473,基本資料!$A:$M,12,0),"無")</f>
        <v>32.700000000000003</v>
      </c>
      <c r="AC473" s="16" t="s">
        <v>3981</v>
      </c>
      <c r="AF473" s="33">
        <f t="shared" si="94"/>
        <v>0</v>
      </c>
      <c r="AG473" s="117" t="s">
        <v>3982</v>
      </c>
      <c r="AH473" s="66">
        <f t="shared" si="95"/>
        <v>0.68965517241379315</v>
      </c>
      <c r="AI473" s="283">
        <f>RTD("money.excel",,$G473,"PredictVolume")</f>
        <v>11</v>
      </c>
      <c r="AJ473" s="391">
        <f>IFERROR(VLOOKUP($G473,基本資料!$A:$M,13,0),"無")</f>
        <v>15.95</v>
      </c>
      <c r="AR473" s="245" t="str">
        <f>INDEX(基本資料!N:N,MATCH($G473,基本資料!A:A,0))</f>
        <v>低</v>
      </c>
    </row>
    <row r="474" spans="1:44">
      <c r="A474" s="343">
        <f>IFERROR(VLOOKUP($G474,基本資料!$A:$J,3,0),"無")</f>
        <v>103</v>
      </c>
      <c r="B474" s="79">
        <f>IFERROR(VLOOKUP($G474,基本資料!$A:$J,4,0),"無")</f>
        <v>281</v>
      </c>
      <c r="C474" s="79">
        <f>IFERROR(VLOOKUP($G474,基本資料!$A:$J,5,0),"無")</f>
        <v>197</v>
      </c>
      <c r="D474" s="79">
        <f>IFERROR(VLOOKUP($G474,基本資料!$A:$J,6,0),"無")</f>
        <v>-8</v>
      </c>
      <c r="E474" s="79">
        <f>IFERROR(VLOOKUP($G474,基本資料!$A:$J,7,0),"無")</f>
        <v>35</v>
      </c>
      <c r="F474" s="6">
        <f>IFERROR(VLOOKUP($G474,基本資料!$A:$J,8,0),"無")</f>
        <v>21.23</v>
      </c>
      <c r="G474" s="79">
        <v>8415</v>
      </c>
      <c r="H474" s="8" t="s">
        <v>299</v>
      </c>
      <c r="I474" s="16" t="s">
        <v>3983</v>
      </c>
      <c r="J474" s="8">
        <f>IFERROR(VLOOKUP($G474,今日總結!$A:$AN,39,0),"")</f>
        <v>0</v>
      </c>
      <c r="K474" s="5">
        <f>IFERROR(VLOOKUP($G474,今日總結!$A:$AN,40,0),"")</f>
        <v>0</v>
      </c>
      <c r="L474" s="156">
        <f>IFERROR(VLOOKUP($G474,今日總結!$A:$AN,37,0),"")</f>
        <v>0</v>
      </c>
      <c r="M474" s="337">
        <f>IFERROR(VLOOKUP($G474,今日總結!$A:$AN,38,0),"")</f>
        <v>0</v>
      </c>
      <c r="N474" s="240">
        <f t="shared" si="96"/>
        <v>0</v>
      </c>
      <c r="O474" s="359">
        <f>IFERROR(VLOOKUP($G474,融外自投!$A:$J,7,0),"無")</f>
        <v>970</v>
      </c>
      <c r="P474" s="79">
        <f>IFERROR(VLOOKUP($G474,融外自投!$A:$J,9,0),"無")</f>
        <v>825</v>
      </c>
      <c r="Q474" s="342">
        <f>IFERROR(VLOOKUP($G474,融外自投!$A:$J,8,0),"無")</f>
        <v>491</v>
      </c>
      <c r="R474" s="81" t="str">
        <f>IFERROR(VLOOKUP($G474,融外自投!$A:$J,10,0),"無")</f>
        <v>無</v>
      </c>
      <c r="S474" s="324">
        <f>IFERROR(VLOOKUP($G474,'321買'!$A:$E,4,0),"'沒有資料'")</f>
        <v>696</v>
      </c>
      <c r="T474" s="186">
        <f>IFERROR(VLOOKUP($G474,基本資料!$A:$J,9,0),"無")</f>
        <v>1.8</v>
      </c>
      <c r="U474" s="307">
        <f t="shared" si="87"/>
        <v>5.0847457627118647E-2</v>
      </c>
      <c r="V474" s="94">
        <f>IFERROR(VLOOKUP($G474,基本資料!$A:$J,10,0),"無")</f>
        <v>3.5</v>
      </c>
      <c r="W474" s="36">
        <f>RTD("money.excel",,"8415","Price")</f>
        <v>35.4</v>
      </c>
      <c r="X474" s="66"/>
      <c r="Y474" s="15">
        <f t="shared" si="92"/>
        <v>35.4</v>
      </c>
      <c r="Z474" s="3" t="e">
        <f t="shared" si="93"/>
        <v>#DIV/0!</v>
      </c>
      <c r="AA474" s="340">
        <f>IFERROR(VLOOKUP($G474,基本資料!$A:$M,11,0),"無")</f>
        <v>-21.94</v>
      </c>
      <c r="AB474" s="389">
        <f>IFERROR(VLOOKUP($G474,基本資料!$A:$M,12,0),"無")</f>
        <v>16.149999999999999</v>
      </c>
      <c r="AC474" s="16" t="s">
        <v>3983</v>
      </c>
      <c r="AF474" s="33">
        <f t="shared" si="94"/>
        <v>0</v>
      </c>
      <c r="AG474" s="43" t="s">
        <v>3984</v>
      </c>
      <c r="AH474" s="66">
        <f t="shared" si="95"/>
        <v>0.26916475513706867</v>
      </c>
      <c r="AI474" s="283">
        <f>RTD("money.excel",,$G474,"PredictVolume")</f>
        <v>839</v>
      </c>
      <c r="AJ474" s="391">
        <f>IFERROR(VLOOKUP($G474,基本資料!$A:$M,13,0),"無")</f>
        <v>3117.05</v>
      </c>
      <c r="AR474" s="245" t="str">
        <f>INDEX(基本資料!N:N,MATCH($G474,基本資料!A:A,0))</f>
        <v>低</v>
      </c>
    </row>
    <row r="475" spans="1:44">
      <c r="A475" s="343">
        <f>IFERROR(VLOOKUP($G475,基本資料!$A:$J,3,0),"無")</f>
        <v>8.18</v>
      </c>
      <c r="B475" s="79">
        <f>IFERROR(VLOOKUP($G475,基本資料!$A:$J,4,0),"無")</f>
        <v>220</v>
      </c>
      <c r="C475" s="79">
        <f>IFERROR(VLOOKUP($G475,基本資料!$A:$J,5,0),"無")</f>
        <v>48</v>
      </c>
      <c r="D475" s="79">
        <f>IFERROR(VLOOKUP($G475,基本資料!$A:$J,6,0),"無")</f>
        <v>-15</v>
      </c>
      <c r="E475" s="79">
        <f>IFERROR(VLOOKUP($G475,基本資料!$A:$J,7,0),"無")</f>
        <v>26</v>
      </c>
      <c r="F475" s="6">
        <f>IFERROR(VLOOKUP($G475,基本資料!$A:$J,8,0),"無")</f>
        <v>10.32</v>
      </c>
      <c r="G475" s="79">
        <v>8930</v>
      </c>
      <c r="H475" s="8" t="s">
        <v>299</v>
      </c>
      <c r="I475" s="16" t="s">
        <v>3985</v>
      </c>
      <c r="J475" s="8">
        <f>IFERROR(VLOOKUP($G475,今日總結!$A:$AN,39,0),"")</f>
        <v>0</v>
      </c>
      <c r="K475" s="5">
        <f>IFERROR(VLOOKUP($G475,今日總結!$A:$AN,40,0),"")</f>
        <v>0</v>
      </c>
      <c r="L475" s="156">
        <f>IFERROR(VLOOKUP($G475,今日總結!$A:$AN,37,0),"")</f>
        <v>0</v>
      </c>
      <c r="M475" s="337">
        <f>IFERROR(VLOOKUP($G475,今日總結!$A:$AN,38,0),"")</f>
        <v>0</v>
      </c>
      <c r="N475" s="240">
        <f t="shared" si="96"/>
        <v>0</v>
      </c>
      <c r="O475" s="359">
        <f>IFERROR(VLOOKUP($G475,融外自投!$A:$J,7,0),"無")</f>
        <v>514</v>
      </c>
      <c r="P475" s="79" t="str">
        <f>IFERROR(VLOOKUP($G475,融外自投!$A:$J,9,0),"無")</f>
        <v>無</v>
      </c>
      <c r="Q475" s="342">
        <f>IFERROR(VLOOKUP($G475,融外自投!$A:$J,8,0),"無")</f>
        <v>962</v>
      </c>
      <c r="R475" s="81" t="str">
        <f>IFERROR(VLOOKUP($G475,融外自投!$A:$J,10,0),"無")</f>
        <v>無</v>
      </c>
      <c r="S475" s="324">
        <f>IFERROR(VLOOKUP($G475,'321買'!$A:$E,4,0),"'沒有資料'")</f>
        <v>743</v>
      </c>
      <c r="T475" s="186">
        <f>IFERROR(VLOOKUP($G475,基本資料!$A:$J,9,0),"無")</f>
        <v>0.8</v>
      </c>
      <c r="U475" s="307">
        <f t="shared" si="87"/>
        <v>5.1446945337620578E-2</v>
      </c>
      <c r="V475" s="94">
        <f>IFERROR(VLOOKUP($G475,基本資料!$A:$J,10,0),"無")</f>
        <v>1</v>
      </c>
      <c r="W475" s="36">
        <f>RTD("money.excel",,"8930","Price")</f>
        <v>15.55</v>
      </c>
      <c r="X475" s="66"/>
      <c r="Y475" s="15">
        <f t="shared" si="92"/>
        <v>15.55</v>
      </c>
      <c r="Z475" s="3" t="e">
        <f t="shared" si="93"/>
        <v>#DIV/0!</v>
      </c>
      <c r="AA475" s="340">
        <f>IFERROR(VLOOKUP($G475,基本資料!$A:$M,11,0),"無")</f>
        <v>-31.19</v>
      </c>
      <c r="AB475" s="389">
        <f>IFERROR(VLOOKUP($G475,基本資料!$A:$M,12,0),"無")</f>
        <v>17.809999999999999</v>
      </c>
      <c r="AC475" s="16" t="s">
        <v>3985</v>
      </c>
      <c r="AF475" s="33">
        <f t="shared" si="94"/>
        <v>0</v>
      </c>
      <c r="AG475" s="43" t="s">
        <v>3986</v>
      </c>
      <c r="AH475" s="66">
        <f t="shared" si="95"/>
        <v>0.38915913829047949</v>
      </c>
      <c r="AI475" s="283">
        <f>RTD("money.excel",,$G475,"PredictVolume")</f>
        <v>168</v>
      </c>
      <c r="AJ475" s="391">
        <f>IFERROR(VLOOKUP($G475,基本資料!$A:$M,13,0),"無")</f>
        <v>431.7</v>
      </c>
      <c r="AR475" s="245" t="str">
        <f>INDEX(基本資料!N:N,MATCH($G475,基本資料!A:A,0))</f>
        <v>低</v>
      </c>
    </row>
    <row r="476" spans="1:44">
      <c r="A476" s="343">
        <f>IFERROR(VLOOKUP($G476,基本資料!$A:$J,3,0),"無")</f>
        <v>23.23</v>
      </c>
      <c r="B476" s="79">
        <f>IFERROR(VLOOKUP($G476,基本資料!$A:$J,4,0),"無")</f>
        <v>77</v>
      </c>
      <c r="C476" s="79">
        <f>IFERROR(VLOOKUP($G476,基本資料!$A:$J,5,0),"無")</f>
        <v>55</v>
      </c>
      <c r="D476" s="79">
        <f>IFERROR(VLOOKUP($G476,基本資料!$A:$J,6,0),"無")</f>
        <v>15</v>
      </c>
      <c r="E476" s="79">
        <f>IFERROR(VLOOKUP($G476,基本資料!$A:$J,7,0),"無")</f>
        <v>25</v>
      </c>
      <c r="F476" s="6">
        <f>IFERROR(VLOOKUP($G476,基本資料!$A:$J,8,0),"無")</f>
        <v>17.600000000000001</v>
      </c>
      <c r="G476" s="79">
        <v>9958</v>
      </c>
      <c r="H476" s="8" t="s">
        <v>299</v>
      </c>
      <c r="I476" s="22" t="s">
        <v>3987</v>
      </c>
      <c r="J476" s="8" t="str">
        <f>IFERROR(VLOOKUP($G476,今日總結!$A:$AN,39,0),"")</f>
        <v>同</v>
      </c>
      <c r="K476" s="5" t="str">
        <f>IFERROR(VLOOKUP($G476,今日總結!$A:$AN,40,0),"")</f>
        <v>借</v>
      </c>
      <c r="L476" s="156">
        <f>IFERROR(VLOOKUP($G476,今日總結!$A:$AN,37,0),"")</f>
        <v>1</v>
      </c>
      <c r="M476" s="337">
        <f>IFERROR(VLOOKUP($G476,今日總結!$A:$AN,38,0),"")</f>
        <v>11</v>
      </c>
      <c r="N476" s="240">
        <f t="shared" si="96"/>
        <v>-10</v>
      </c>
      <c r="O476" s="359">
        <f>IFERROR(VLOOKUP($G476,融外自投!$A:$J,7,0),"無")</f>
        <v>179</v>
      </c>
      <c r="P476" s="79">
        <f>IFERROR(VLOOKUP($G476,融外自投!$A:$J,9,0),"無")</f>
        <v>350</v>
      </c>
      <c r="Q476" s="342">
        <f>IFERROR(VLOOKUP($G476,融外自投!$A:$J,8,0),"無")</f>
        <v>509</v>
      </c>
      <c r="R476" s="81">
        <f>IFERROR(VLOOKUP($G476,融外自投!$A:$J,10,0),"無")</f>
        <v>59</v>
      </c>
      <c r="S476" s="324">
        <f>IFERROR(VLOOKUP($G476,'321買'!$A:$E,4,0),"'沒有資料'")</f>
        <v>192</v>
      </c>
      <c r="T476" s="186">
        <f>IFERROR(VLOOKUP($G476,基本資料!$A:$J,9,0),"無")</f>
        <v>3</v>
      </c>
      <c r="U476" s="307">
        <f t="shared" si="87"/>
        <v>2.5316455696202531E-2</v>
      </c>
      <c r="V476" s="94">
        <f>IFERROR(VLOOKUP($G476,基本資料!$A:$J,10,0),"無")</f>
        <v>5.45</v>
      </c>
      <c r="W476" s="36">
        <f>RTD("money.excel",,"9958","Price")</f>
        <v>118.5</v>
      </c>
      <c r="X476" s="66"/>
      <c r="Y476" s="15">
        <f t="shared" si="92"/>
        <v>118.5</v>
      </c>
      <c r="Z476" s="3" t="e">
        <f t="shared" si="93"/>
        <v>#DIV/0!</v>
      </c>
      <c r="AA476" s="340">
        <f>IFERROR(VLOOKUP($G476,基本資料!$A:$M,11,0),"無")</f>
        <v>-17.71</v>
      </c>
      <c r="AB476" s="389">
        <f>IFERROR(VLOOKUP($G476,基本資料!$A:$M,12,0),"無")</f>
        <v>45.22</v>
      </c>
      <c r="AC476" s="22" t="s">
        <v>3987</v>
      </c>
      <c r="AF476" s="33">
        <f t="shared" si="94"/>
        <v>0</v>
      </c>
      <c r="AG476" s="43" t="s">
        <v>3988</v>
      </c>
      <c r="AH476" s="66">
        <f t="shared" si="95"/>
        <v>0.47734012413048027</v>
      </c>
      <c r="AI476" s="283">
        <f>RTD("money.excel",,$G476,"PredictVolume")</f>
        <v>4330</v>
      </c>
      <c r="AJ476" s="391">
        <f>IFERROR(VLOOKUP($G476,基本資料!$A:$M,13,0),"無")</f>
        <v>9071.1</v>
      </c>
      <c r="AR476" s="245" t="str">
        <f>INDEX(基本資料!N:N,MATCH($G476,基本資料!A:A,0))</f>
        <v>中</v>
      </c>
    </row>
    <row r="477" spans="1:44">
      <c r="A477" s="343">
        <f>IFERROR(VLOOKUP($G477,基本資料!$A:$J,3,0),"無")</f>
        <v>9.02</v>
      </c>
      <c r="B477" s="79">
        <f>IFERROR(VLOOKUP($G477,基本資料!$A:$J,4,0),"無")</f>
        <v>11658</v>
      </c>
      <c r="C477" s="79">
        <f>IFERROR(VLOOKUP($G477,基本資料!$A:$J,5,0),"無")</f>
        <v>2358</v>
      </c>
      <c r="D477" s="79">
        <f>IFERROR(VLOOKUP($G477,基本資料!$A:$J,6,0),"無")</f>
        <v>-32</v>
      </c>
      <c r="E477" s="79">
        <f>IFERROR(VLOOKUP($G477,基本資料!$A:$J,7,0),"無")</f>
        <v>56</v>
      </c>
      <c r="F477" s="6">
        <f>IFERROR(VLOOKUP($G477,基本資料!$A:$J,8,0),"無")</f>
        <v>6.32</v>
      </c>
      <c r="G477" s="79">
        <v>9962</v>
      </c>
      <c r="H477" s="8" t="s">
        <v>299</v>
      </c>
      <c r="I477" s="16" t="s">
        <v>3989</v>
      </c>
      <c r="J477" s="8">
        <f>IFERROR(VLOOKUP($G477,今日總結!$A:$AN,39,0),"")</f>
        <v>0</v>
      </c>
      <c r="K477" s="5">
        <f>IFERROR(VLOOKUP($G477,今日總結!$A:$AN,40,0),"")</f>
        <v>0</v>
      </c>
      <c r="L477" s="156">
        <f>IFERROR(VLOOKUP($G477,今日總結!$A:$AN,37,0),"")</f>
        <v>0</v>
      </c>
      <c r="M477" s="337">
        <f>IFERROR(VLOOKUP($G477,今日總結!$A:$AN,38,0),"")</f>
        <v>0</v>
      </c>
      <c r="N477" s="240">
        <f t="shared" si="96"/>
        <v>0</v>
      </c>
      <c r="O477" s="359">
        <f>IFERROR(VLOOKUP($G477,融外自投!$A:$J,7,0),"無")</f>
        <v>305</v>
      </c>
      <c r="P477" s="79">
        <f>IFERROR(VLOOKUP($G477,融外自投!$A:$J,9,0),"無")</f>
        <v>70</v>
      </c>
      <c r="Q477" s="342">
        <f>IFERROR(VLOOKUP($G477,融外自投!$A:$J,8,0),"無")</f>
        <v>903</v>
      </c>
      <c r="R477" s="81" t="str">
        <f>IFERROR(VLOOKUP($G477,融外自投!$A:$J,10,0),"無")</f>
        <v>無</v>
      </c>
      <c r="S477" s="324">
        <f>IFERROR(VLOOKUP($G477,'321買'!$A:$E,4,0),"'沒有資料'")</f>
        <v>123</v>
      </c>
      <c r="T477" s="186">
        <f>IFERROR(VLOOKUP($G477,基本資料!$A:$J,9,0),"無")</f>
        <v>1.1000000000000001</v>
      </c>
      <c r="U477" s="307">
        <f t="shared" si="87"/>
        <v>6.4705882352941183E-2</v>
      </c>
      <c r="V477" s="94">
        <f>IFERROR(VLOOKUP($G477,基本資料!$A:$J,10,0),"無")</f>
        <v>1.55</v>
      </c>
      <c r="W477" s="36">
        <f>RTD("money.excel",,"9962","Price")</f>
        <v>17</v>
      </c>
      <c r="X477" s="66"/>
      <c r="Y477" s="15">
        <f t="shared" si="92"/>
        <v>17</v>
      </c>
      <c r="Z477" s="3" t="e">
        <f t="shared" si="93"/>
        <v>#DIV/0!</v>
      </c>
      <c r="AA477" s="340">
        <f>IFERROR(VLOOKUP($G477,基本資料!$A:$M,11,0),"無")</f>
        <v>-34.619999999999997</v>
      </c>
      <c r="AB477" s="389">
        <f>IFERROR(VLOOKUP($G477,基本資料!$A:$M,12,0),"無")</f>
        <v>22.63</v>
      </c>
      <c r="AC477" s="16" t="s">
        <v>3989</v>
      </c>
      <c r="AF477" s="33">
        <f t="shared" si="94"/>
        <v>0</v>
      </c>
      <c r="AG477" s="43" t="s">
        <v>3990</v>
      </c>
      <c r="AH477" s="66">
        <f t="shared" si="95"/>
        <v>0.2970974808324206</v>
      </c>
      <c r="AI477" s="283">
        <f>RTD("money.excel",,$G477,"PredictVolume")</f>
        <v>434</v>
      </c>
      <c r="AJ477" s="391">
        <f>IFERROR(VLOOKUP($G477,基本資料!$A:$M,13,0),"無")</f>
        <v>1460.8</v>
      </c>
      <c r="AR477" s="245" t="str">
        <f>INDEX(基本資料!N:N,MATCH($G477,基本資料!A:A,0))</f>
        <v>低</v>
      </c>
    </row>
    <row r="478" spans="1:44">
      <c r="A478" s="142"/>
      <c r="B478" s="194"/>
      <c r="C478" s="90"/>
      <c r="D478" s="90"/>
      <c r="E478" s="90"/>
      <c r="F478" s="6"/>
      <c r="G478" s="79"/>
      <c r="H478" s="8"/>
      <c r="I478" s="16"/>
      <c r="L478" s="2"/>
      <c r="R478" s="26"/>
      <c r="T478" s="34"/>
      <c r="V478" s="94"/>
      <c r="W478" s="36"/>
      <c r="X478" s="66"/>
      <c r="Y478" s="15"/>
      <c r="Z478" s="3"/>
      <c r="AC478" s="16"/>
      <c r="AF478" s="33"/>
      <c r="AG478" s="43"/>
      <c r="AH478" s="66" t="e">
        <f t="shared" si="95"/>
        <v>#DIV/0!</v>
      </c>
      <c r="AI478" s="283"/>
    </row>
    <row r="479" spans="1:44">
      <c r="A479" s="127" t="s">
        <v>3875</v>
      </c>
      <c r="B479" s="90" t="s">
        <v>3876</v>
      </c>
      <c r="C479" s="90" t="s">
        <v>3877</v>
      </c>
      <c r="D479" s="90" t="s">
        <v>3878</v>
      </c>
      <c r="E479" s="90" t="s">
        <v>3879</v>
      </c>
      <c r="F479" s="8" t="s">
        <v>3880</v>
      </c>
      <c r="G479" s="27" t="s">
        <v>940</v>
      </c>
      <c r="H479" s="55" t="s">
        <v>320</v>
      </c>
      <c r="I479" s="8" t="s">
        <v>3991</v>
      </c>
      <c r="J479" s="8" t="s">
        <v>6211</v>
      </c>
      <c r="K479" s="5" t="s">
        <v>6212</v>
      </c>
      <c r="L479" s="334" t="s">
        <v>6197</v>
      </c>
      <c r="M479" s="335" t="s">
        <v>6198</v>
      </c>
      <c r="N479" s="336" t="s">
        <v>6199</v>
      </c>
      <c r="O479" s="89" t="s">
        <v>6275</v>
      </c>
      <c r="P479" s="292" t="s">
        <v>6274</v>
      </c>
      <c r="Q479" s="350" t="s">
        <v>6273</v>
      </c>
      <c r="R479" s="26" t="s">
        <v>6276</v>
      </c>
      <c r="S479" s="318" t="s">
        <v>4715</v>
      </c>
      <c r="T479" s="10" t="s">
        <v>3883</v>
      </c>
      <c r="U479" s="305" t="s">
        <v>4728</v>
      </c>
      <c r="V479" s="68" t="s">
        <v>3272</v>
      </c>
      <c r="W479" s="28" t="s">
        <v>2</v>
      </c>
      <c r="X479" s="17" t="s">
        <v>3884</v>
      </c>
      <c r="Y479" s="14" t="s">
        <v>3885</v>
      </c>
      <c r="Z479" s="21" t="s">
        <v>3886</v>
      </c>
      <c r="AA479" s="96" t="s">
        <v>6166</v>
      </c>
      <c r="AB479" s="378" t="s">
        <v>6404</v>
      </c>
      <c r="AC479" s="8" t="s">
        <v>3991</v>
      </c>
      <c r="AD479" s="71" t="s">
        <v>3887</v>
      </c>
      <c r="AE479" s="72" t="s">
        <v>3888</v>
      </c>
      <c r="AF479" s="32" t="s">
        <v>3889</v>
      </c>
      <c r="AG479" s="25" t="s">
        <v>6200</v>
      </c>
      <c r="AH479" s="8" t="s">
        <v>6696</v>
      </c>
      <c r="AI479" s="50" t="s">
        <v>3360</v>
      </c>
      <c r="AJ479" s="22" t="s">
        <v>6695</v>
      </c>
    </row>
    <row r="480" spans="1:44">
      <c r="A480" s="343">
        <f>IFERROR(VLOOKUP($G480,基本資料!$A:$J,3,0),"無")</f>
        <v>83.39</v>
      </c>
      <c r="B480" s="79">
        <f>IFERROR(VLOOKUP($G480,基本資料!$A:$J,4,0),"無")</f>
        <v>-128</v>
      </c>
      <c r="C480" s="79">
        <f>IFERROR(VLOOKUP($G480,基本資料!$A:$J,5,0),"無")</f>
        <v>-180</v>
      </c>
      <c r="D480" s="79">
        <f>IFERROR(VLOOKUP($G480,基本資料!$A:$J,6,0),"無")</f>
        <v>13</v>
      </c>
      <c r="E480" s="79">
        <f>IFERROR(VLOOKUP($G480,基本資料!$A:$J,7,0),"無")</f>
        <v>20</v>
      </c>
      <c r="F480" s="6">
        <f>IFERROR(VLOOKUP($G480,基本資料!$A:$J,8,0),"無")</f>
        <v>-10.29</v>
      </c>
      <c r="G480" s="79">
        <v>2101</v>
      </c>
      <c r="H480" s="8" t="s">
        <v>300</v>
      </c>
      <c r="I480" s="22" t="s">
        <v>3992</v>
      </c>
      <c r="J480" s="8" t="str">
        <f>IFERROR(VLOOKUP($G480,今日總結!$A:$AN,39,0),"")</f>
        <v>外</v>
      </c>
      <c r="K480" s="5">
        <f>IFERROR(VLOOKUP($G480,今日總結!$A:$AN,40,0),"")</f>
        <v>0</v>
      </c>
      <c r="L480" s="156">
        <f>IFERROR(VLOOKUP($G480,今日總結!$A:$AN,37,0),"")</f>
        <v>1</v>
      </c>
      <c r="M480" s="337">
        <f>IFERROR(VLOOKUP($G480,今日總結!$A:$AN,38,0),"")</f>
        <v>0</v>
      </c>
      <c r="N480" s="240">
        <f t="shared" ref="N480" si="97">IFERROR(L480-M480,"")</f>
        <v>1</v>
      </c>
      <c r="O480" s="359">
        <f>IFERROR(VLOOKUP($G480,融外自投!$A:$J,7,0),"無")</f>
        <v>637</v>
      </c>
      <c r="P480" s="79">
        <f>IFERROR(VLOOKUP($G480,融外自投!$A:$J,9,0),"無")</f>
        <v>825</v>
      </c>
      <c r="Q480" s="342">
        <f>IFERROR(VLOOKUP($G480,融外自投!$A:$J,8,0),"無")</f>
        <v>743</v>
      </c>
      <c r="R480" s="81" t="str">
        <f>IFERROR(VLOOKUP($G480,融外自投!$A:$J,10,0),"無")</f>
        <v>無</v>
      </c>
      <c r="S480" s="324">
        <f>IFERROR(VLOOKUP($G480,'321買'!$A:$E,4,0),"'沒有資料'")</f>
        <v>801</v>
      </c>
      <c r="T480" s="186">
        <f>IFERROR(VLOOKUP($G480,基本資料!$A:$J,9,0),"無")</f>
        <v>0</v>
      </c>
      <c r="U480" s="307">
        <f t="shared" ref="U480:U491" si="98">$T480/$W480</f>
        <v>0</v>
      </c>
      <c r="V480" s="94">
        <f>IFERROR(VLOOKUP($G480,基本資料!$A:$J,10,0),"無")</f>
        <v>-0.28999999999999998</v>
      </c>
      <c r="W480" s="36">
        <f>RTD("money.excel",,"2101","Price")</f>
        <v>39.1</v>
      </c>
      <c r="X480" s="66"/>
      <c r="Y480" s="15">
        <f t="shared" ref="Y480:Y491" si="99">W480-X480</f>
        <v>39.1</v>
      </c>
      <c r="Z480" s="3" t="e">
        <f t="shared" ref="Z480:Z491" si="100">Y480/X480</f>
        <v>#DIV/0!</v>
      </c>
      <c r="AA480" s="340">
        <f>IFERROR(VLOOKUP($G480,基本資料!$A:$M,11,0),"無")</f>
        <v>-20.69</v>
      </c>
      <c r="AB480" s="389">
        <f>IFERROR(VLOOKUP($G480,基本資料!$A:$M,12,0),"無")</f>
        <v>25.22</v>
      </c>
      <c r="AC480" s="22" t="s">
        <v>3992</v>
      </c>
      <c r="AF480" s="33">
        <f t="shared" ref="AF480:AF491" si="101">AE480-AD480</f>
        <v>0</v>
      </c>
      <c r="AG480" s="117" t="s">
        <v>3993</v>
      </c>
      <c r="AH480" s="66">
        <f t="shared" si="95"/>
        <v>0.66768035141071125</v>
      </c>
      <c r="AI480" s="283">
        <f>RTD("money.excel",,$G480,"PredictVolume")</f>
        <v>988</v>
      </c>
      <c r="AJ480" s="391">
        <f>IFERROR(VLOOKUP($G480,基本資料!$A:$M,13,0),"無")</f>
        <v>1479.75</v>
      </c>
      <c r="AR480" s="245" t="str">
        <f>INDEX(基本資料!N:N,MATCH($G480,基本資料!A:A,0))</f>
        <v>低</v>
      </c>
    </row>
    <row r="481" spans="1:44">
      <c r="A481" s="343">
        <f>IFERROR(VLOOKUP($G481,基本資料!$A:$J,3,0),"無")</f>
        <v>47.33</v>
      </c>
      <c r="B481" s="79">
        <f>IFERROR(VLOOKUP($G481,基本資料!$A:$J,4,0),"無")</f>
        <v>-2208</v>
      </c>
      <c r="C481" s="79">
        <f>IFERROR(VLOOKUP($G481,基本資料!$A:$J,5,0),"無")</f>
        <v>-847</v>
      </c>
      <c r="D481" s="79">
        <f>IFERROR(VLOOKUP($G481,基本資料!$A:$J,6,0),"無")</f>
        <v>-7</v>
      </c>
      <c r="E481" s="79">
        <f>IFERROR(VLOOKUP($G481,基本資料!$A:$J,7,0),"無")</f>
        <v>11</v>
      </c>
      <c r="F481" s="6">
        <f>IFERROR(VLOOKUP($G481,基本資料!$A:$J,8,0),"無")</f>
        <v>-118.38</v>
      </c>
      <c r="G481" s="79">
        <v>2102</v>
      </c>
      <c r="H481" s="8" t="s">
        <v>300</v>
      </c>
      <c r="I481" s="22" t="s">
        <v>3994</v>
      </c>
      <c r="J481" s="8" t="str">
        <f>IFERROR(VLOOKUP($G481,今日總結!$A:$AN,39,0),"")</f>
        <v>融</v>
      </c>
      <c r="K481" s="5" t="str">
        <f>IFERROR(VLOOKUP($G481,今日總結!$A:$AN,40,0),"")</f>
        <v>主</v>
      </c>
      <c r="L481" s="156">
        <f>IFERROR(VLOOKUP($G481,今日總結!$A:$AN,37,0),"")</f>
        <v>2</v>
      </c>
      <c r="M481" s="337">
        <f>IFERROR(VLOOKUP($G481,今日總結!$A:$AN,38,0),"")</f>
        <v>6</v>
      </c>
      <c r="N481" s="240">
        <f t="shared" ref="N481:N491" si="102">IFERROR(L481-M481,"")</f>
        <v>-4</v>
      </c>
      <c r="O481" s="359">
        <f>IFERROR(VLOOKUP($G481,融外自投!$A:$J,7,0),"無")</f>
        <v>709</v>
      </c>
      <c r="P481" s="79">
        <f>IFERROR(VLOOKUP($G481,融外自投!$A:$J,9,0),"無")</f>
        <v>508</v>
      </c>
      <c r="Q481" s="342">
        <f>IFERROR(VLOOKUP($G481,融外自投!$A:$J,8,0),"無")</f>
        <v>707</v>
      </c>
      <c r="R481" s="81" t="str">
        <f>IFERROR(VLOOKUP($G481,融外自投!$A:$J,10,0),"無")</f>
        <v>無</v>
      </c>
      <c r="S481" s="324">
        <f>IFERROR(VLOOKUP($G481,'321買'!$A:$E,4,0),"'沒有資料'")</f>
        <v>801</v>
      </c>
      <c r="T481" s="186">
        <f>IFERROR(VLOOKUP($G481,基本資料!$A:$J,9,0),"無")</f>
        <v>0</v>
      </c>
      <c r="U481" s="307">
        <f t="shared" si="98"/>
        <v>0</v>
      </c>
      <c r="V481" s="94">
        <f>IFERROR(VLOOKUP($G481,基本資料!$A:$J,10,0),"無")</f>
        <v>-5.1100000000000003</v>
      </c>
      <c r="W481" s="36">
        <f>RTD("money.excel",,"2102","Price")</f>
        <v>22.7</v>
      </c>
      <c r="X481" s="66"/>
      <c r="Y481" s="15">
        <f t="shared" si="99"/>
        <v>22.7</v>
      </c>
      <c r="Z481" s="3" t="e">
        <f t="shared" si="100"/>
        <v>#DIV/0!</v>
      </c>
      <c r="AA481" s="340">
        <f>IFERROR(VLOOKUP($G481,基本資料!$A:$M,11,0),"無")</f>
        <v>-30.15</v>
      </c>
      <c r="AB481" s="389">
        <f>IFERROR(VLOOKUP($G481,基本資料!$A:$M,12,0),"無")</f>
        <v>18.559999999999999</v>
      </c>
      <c r="AC481" s="22" t="s">
        <v>3994</v>
      </c>
      <c r="AF481" s="33">
        <f t="shared" si="101"/>
        <v>0</v>
      </c>
      <c r="AG481" s="43" t="s">
        <v>3995</v>
      </c>
      <c r="AH481" s="66">
        <f t="shared" si="95"/>
        <v>0.4835644400647568</v>
      </c>
      <c r="AI481" s="283">
        <f>RTD("money.excel",,$G481,"PredictVolume")</f>
        <v>687</v>
      </c>
      <c r="AJ481" s="391">
        <f>IFERROR(VLOOKUP($G481,基本資料!$A:$M,13,0),"無")</f>
        <v>1420.7</v>
      </c>
      <c r="AR481" s="245" t="str">
        <f>INDEX(基本資料!N:N,MATCH($G481,基本資料!A:A,0))</f>
        <v>低</v>
      </c>
    </row>
    <row r="482" spans="1:44">
      <c r="A482" s="343">
        <f>IFERROR(VLOOKUP($G482,基本資料!$A:$J,3,0),"無")</f>
        <v>82.57</v>
      </c>
      <c r="B482" s="79">
        <f>IFERROR(VLOOKUP($G482,基本資料!$A:$J,4,0),"無")</f>
        <v>1973</v>
      </c>
      <c r="C482" s="79">
        <f>IFERROR(VLOOKUP($G482,基本資料!$A:$J,5,0),"無")</f>
        <v>377</v>
      </c>
      <c r="D482" s="79">
        <f>IFERROR(VLOOKUP($G482,基本資料!$A:$J,6,0),"無")</f>
        <v>-2</v>
      </c>
      <c r="E482" s="79">
        <f>IFERROR(VLOOKUP($G482,基本資料!$A:$J,7,0),"無")</f>
        <v>0</v>
      </c>
      <c r="F482" s="6">
        <f>IFERROR(VLOOKUP($G482,基本資料!$A:$J,8,0),"無")</f>
        <v>12.07</v>
      </c>
      <c r="G482" s="79">
        <v>2103</v>
      </c>
      <c r="H482" s="8" t="s">
        <v>300</v>
      </c>
      <c r="I482" s="153" t="s">
        <v>3996</v>
      </c>
      <c r="J482" s="8">
        <f>IFERROR(VLOOKUP($G482,今日總結!$A:$AN,39,0),"")</f>
        <v>0</v>
      </c>
      <c r="K482" s="5">
        <f>IFERROR(VLOOKUP($G482,今日總結!$A:$AN,40,0),"")</f>
        <v>0</v>
      </c>
      <c r="L482" s="156">
        <f>IFERROR(VLOOKUP($G482,今日總結!$A:$AN,37,0),"")</f>
        <v>0</v>
      </c>
      <c r="M482" s="337">
        <f>IFERROR(VLOOKUP($G482,今日總結!$A:$AN,38,0),"")</f>
        <v>0</v>
      </c>
      <c r="N482" s="240">
        <f t="shared" si="102"/>
        <v>0</v>
      </c>
      <c r="O482" s="359">
        <f>IFERROR(VLOOKUP($G482,融外自投!$A:$J,7,0),"無")</f>
        <v>1003</v>
      </c>
      <c r="P482" s="79">
        <f>IFERROR(VLOOKUP($G482,融外自投!$A:$J,9,0),"無")</f>
        <v>790</v>
      </c>
      <c r="Q482" s="342">
        <f>IFERROR(VLOOKUP($G482,融外自投!$A:$J,8,0),"無")</f>
        <v>184</v>
      </c>
      <c r="R482" s="81" t="str">
        <f>IFERROR(VLOOKUP($G482,融外自投!$A:$J,10,0),"無")</f>
        <v>無</v>
      </c>
      <c r="S482" s="324">
        <f>IFERROR(VLOOKUP($G482,'321買'!$A:$E,4,0),"'沒有資料'")</f>
        <v>497</v>
      </c>
      <c r="T482" s="186">
        <f>IFERROR(VLOOKUP($G482,基本資料!$A:$J,9,0),"無")</f>
        <v>2.4</v>
      </c>
      <c r="U482" s="307">
        <f t="shared" si="98"/>
        <v>8.247422680412371E-2</v>
      </c>
      <c r="V482" s="94">
        <f>IFERROR(VLOOKUP($G482,基本資料!$A:$J,10,0),"無")</f>
        <v>4.76</v>
      </c>
      <c r="W482" s="36">
        <f>RTD("money.excel",,"2103","Price")</f>
        <v>29.1</v>
      </c>
      <c r="X482" s="66"/>
      <c r="Y482" s="15">
        <f t="shared" si="99"/>
        <v>29.1</v>
      </c>
      <c r="Z482" s="3" t="e">
        <f t="shared" si="100"/>
        <v>#DIV/0!</v>
      </c>
      <c r="AA482" s="340">
        <f>IFERROR(VLOOKUP($G482,基本資料!$A:$M,11,0),"無")</f>
        <v>-33.71</v>
      </c>
      <c r="AB482" s="389">
        <f>IFERROR(VLOOKUP($G482,基本資料!$A:$M,12,0),"無")</f>
        <v>12.53</v>
      </c>
      <c r="AC482" s="22" t="s">
        <v>3996</v>
      </c>
      <c r="AF482" s="33">
        <f t="shared" si="101"/>
        <v>0</v>
      </c>
      <c r="AG482" s="117" t="s">
        <v>3134</v>
      </c>
      <c r="AH482" s="66">
        <f t="shared" si="95"/>
        <v>0.76436954559133319</v>
      </c>
      <c r="AI482" s="283">
        <f>RTD("money.excel",,$G482,"PredictVolume")</f>
        <v>1651</v>
      </c>
      <c r="AJ482" s="391">
        <f>IFERROR(VLOOKUP($G482,基本資料!$A:$M,13,0),"無")</f>
        <v>2159.9499999999998</v>
      </c>
      <c r="AR482" s="245" t="str">
        <f>INDEX(基本資料!N:N,MATCH($G482,基本資料!A:A,0))</f>
        <v>低</v>
      </c>
    </row>
    <row r="483" spans="1:44">
      <c r="A483" s="343">
        <f>IFERROR(VLOOKUP($G483,基本資料!$A:$J,3,0),"無")</f>
        <v>98.47</v>
      </c>
      <c r="B483" s="79">
        <f>IFERROR(VLOOKUP($G483,基本資料!$A:$J,4,0),"無")</f>
        <v>407</v>
      </c>
      <c r="C483" s="79">
        <f>IFERROR(VLOOKUP($G483,基本資料!$A:$J,5,0),"無")</f>
        <v>268</v>
      </c>
      <c r="D483" s="79">
        <f>IFERROR(VLOOKUP($G483,基本資料!$A:$J,6,0),"無")</f>
        <v>8</v>
      </c>
      <c r="E483" s="79">
        <f>IFERROR(VLOOKUP($G483,基本資料!$A:$J,7,0),"無")</f>
        <v>-2</v>
      </c>
      <c r="F483" s="6">
        <f>IFERROR(VLOOKUP($G483,基本資料!$A:$J,8,0),"無")</f>
        <v>21.03</v>
      </c>
      <c r="G483" s="79">
        <v>2104</v>
      </c>
      <c r="H483" s="8" t="s">
        <v>300</v>
      </c>
      <c r="I483" s="22" t="s">
        <v>3997</v>
      </c>
      <c r="J483" s="8">
        <f>IFERROR(VLOOKUP($G483,今日總結!$A:$AN,39,0),"")</f>
        <v>0</v>
      </c>
      <c r="K483" s="5" t="str">
        <f>IFERROR(VLOOKUP($G483,今日總結!$A:$AN,40,0),"")</f>
        <v>自</v>
      </c>
      <c r="L483" s="156">
        <f>IFERROR(VLOOKUP($G483,今日總結!$A:$AN,37,0),"")</f>
        <v>0</v>
      </c>
      <c r="M483" s="337">
        <f>IFERROR(VLOOKUP($G483,今日總結!$A:$AN,38,0),"")</f>
        <v>3</v>
      </c>
      <c r="N483" s="240">
        <f t="shared" si="102"/>
        <v>-3</v>
      </c>
      <c r="O483" s="359">
        <f>IFERROR(VLOOKUP($G483,融外自投!$A:$J,7,0),"無")</f>
        <v>1047</v>
      </c>
      <c r="P483" s="79">
        <f>IFERROR(VLOOKUP($G483,融外自投!$A:$J,9,0),"無")</f>
        <v>790</v>
      </c>
      <c r="Q483" s="342">
        <f>IFERROR(VLOOKUP($G483,融外自投!$A:$J,8,0),"無")</f>
        <v>427</v>
      </c>
      <c r="R483" s="81">
        <f>IFERROR(VLOOKUP($G483,融外自投!$A:$J,10,0),"無")</f>
        <v>427</v>
      </c>
      <c r="S483" s="324">
        <f>IFERROR(VLOOKUP($G483,'321買'!$A:$E,4,0),"'沒有資料'")</f>
        <v>696</v>
      </c>
      <c r="T483" s="186">
        <f>IFERROR(VLOOKUP($G483,基本資料!$A:$J,9,0),"無")</f>
        <v>0.2</v>
      </c>
      <c r="U483" s="307">
        <f t="shared" si="98"/>
        <v>9.6385542168674707E-3</v>
      </c>
      <c r="V483" s="94">
        <f>IFERROR(VLOOKUP($G483,基本資料!$A:$J,10,0),"無")</f>
        <v>3.5</v>
      </c>
      <c r="W483" s="36">
        <f>RTD("money.excel",,"2104","Price")</f>
        <v>20.75</v>
      </c>
      <c r="X483" s="66"/>
      <c r="Y483" s="15">
        <f t="shared" si="99"/>
        <v>20.75</v>
      </c>
      <c r="Z483" s="3" t="e">
        <f t="shared" si="100"/>
        <v>#DIV/0!</v>
      </c>
      <c r="AA483" s="340">
        <f>IFERROR(VLOOKUP($G483,基本資料!$A:$M,11,0),"無")</f>
        <v>-30.13</v>
      </c>
      <c r="AB483" s="389">
        <f>IFERROR(VLOOKUP($G483,基本資料!$A:$M,12,0),"無")</f>
        <v>9.51</v>
      </c>
      <c r="AC483" s="22" t="s">
        <v>3997</v>
      </c>
      <c r="AF483" s="33">
        <f t="shared" si="101"/>
        <v>0</v>
      </c>
      <c r="AG483" s="43" t="s">
        <v>3998</v>
      </c>
      <c r="AH483" s="66">
        <f t="shared" si="95"/>
        <v>1.8602377668767347</v>
      </c>
      <c r="AI483" s="283">
        <f>RTD("money.excel",,$G483,"PredictVolume")</f>
        <v>5328</v>
      </c>
      <c r="AJ483" s="391">
        <f>IFERROR(VLOOKUP($G483,基本資料!$A:$M,13,0),"無")</f>
        <v>2864.15</v>
      </c>
      <c r="AR483" s="245" t="str">
        <f>INDEX(基本資料!N:N,MATCH($G483,基本資料!A:A,0))</f>
        <v>低</v>
      </c>
    </row>
    <row r="484" spans="1:44">
      <c r="A484" s="343">
        <f>IFERROR(VLOOKUP($G484,基本資料!$A:$J,3,0),"無")</f>
        <v>324</v>
      </c>
      <c r="B484" s="79">
        <f>IFERROR(VLOOKUP($G484,基本資料!$A:$J,4,0),"無")</f>
        <v>-11</v>
      </c>
      <c r="C484" s="79">
        <f>IFERROR(VLOOKUP($G484,基本資料!$A:$J,5,0),"無")</f>
        <v>-10</v>
      </c>
      <c r="D484" s="79">
        <f>IFERROR(VLOOKUP($G484,基本資料!$A:$J,6,0),"無")</f>
        <v>-25</v>
      </c>
      <c r="E484" s="79">
        <f>IFERROR(VLOOKUP($G484,基本資料!$A:$J,7,0),"無")</f>
        <v>-16</v>
      </c>
      <c r="F484" s="6">
        <f>IFERROR(VLOOKUP($G484,基本資料!$A:$J,8,0),"無")</f>
        <v>7.54</v>
      </c>
      <c r="G484" s="79">
        <v>2105</v>
      </c>
      <c r="H484" s="8" t="s">
        <v>300</v>
      </c>
      <c r="I484" s="22" t="s">
        <v>3999</v>
      </c>
      <c r="J484" s="8">
        <f>IFERROR(VLOOKUP($G484,今日總結!$A:$AN,39,0),"")</f>
        <v>0</v>
      </c>
      <c r="K484" s="5">
        <f>IFERROR(VLOOKUP($G484,今日總結!$A:$AN,40,0),"")</f>
        <v>0</v>
      </c>
      <c r="L484" s="156">
        <f>IFERROR(VLOOKUP($G484,今日總結!$A:$AN,37,0),"")</f>
        <v>0</v>
      </c>
      <c r="M484" s="337">
        <f>IFERROR(VLOOKUP($G484,今日總結!$A:$AN,38,0),"")</f>
        <v>0</v>
      </c>
      <c r="N484" s="240">
        <f t="shared" si="102"/>
        <v>0</v>
      </c>
      <c r="O484" s="359">
        <f>IFERROR(VLOOKUP($G484,融外自投!$A:$J,7,0),"無")</f>
        <v>1271</v>
      </c>
      <c r="P484" s="79">
        <f>IFERROR(VLOOKUP($G484,融外自投!$A:$J,9,0),"無")</f>
        <v>1123</v>
      </c>
      <c r="Q484" s="342">
        <f>IFERROR(VLOOKUP($G484,融外自投!$A:$J,8,0),"無")</f>
        <v>390</v>
      </c>
      <c r="R484" s="81">
        <f>IFERROR(VLOOKUP($G484,融外自投!$A:$J,10,0),"無")</f>
        <v>369</v>
      </c>
      <c r="S484" s="324">
        <f>IFERROR(VLOOKUP($G484,'321買'!$A:$E,4,0),"'沒有資料'")</f>
        <v>440</v>
      </c>
      <c r="T484" s="186">
        <f>IFERROR(VLOOKUP($G484,基本資料!$A:$J,9,0),"無")</f>
        <v>1.2</v>
      </c>
      <c r="U484" s="307">
        <f t="shared" si="98"/>
        <v>3.5714285714285712E-2</v>
      </c>
      <c r="V484" s="94">
        <f>IFERROR(VLOOKUP($G484,基本資料!$A:$J,10,0),"無")</f>
        <v>1.63</v>
      </c>
      <c r="W484" s="36">
        <f>RTD("money.excel",,"2105","Price")</f>
        <v>33.6</v>
      </c>
      <c r="X484" s="66"/>
      <c r="Y484" s="15">
        <f t="shared" si="99"/>
        <v>33.6</v>
      </c>
      <c r="Z484" s="3" t="e">
        <f t="shared" si="100"/>
        <v>#DIV/0!</v>
      </c>
      <c r="AA484" s="340">
        <f>IFERROR(VLOOKUP($G484,基本資料!$A:$M,11,0),"無")</f>
        <v>-30</v>
      </c>
      <c r="AB484" s="389">
        <f>IFERROR(VLOOKUP($G484,基本資料!$A:$M,12,0),"無")</f>
        <v>22.44</v>
      </c>
      <c r="AC484" s="22" t="s">
        <v>3999</v>
      </c>
      <c r="AF484" s="33">
        <f t="shared" si="101"/>
        <v>0</v>
      </c>
      <c r="AG484" s="117" t="s">
        <v>3995</v>
      </c>
      <c r="AH484" s="66">
        <f t="shared" si="95"/>
        <v>0.75070873679172345</v>
      </c>
      <c r="AI484" s="283">
        <f>RTD("money.excel",,$G484,"PredictVolume")</f>
        <v>2039</v>
      </c>
      <c r="AJ484" s="391">
        <f>IFERROR(VLOOKUP($G484,基本資料!$A:$M,13,0),"無")</f>
        <v>2716.1</v>
      </c>
      <c r="AR484" s="245" t="str">
        <f>INDEX(基本資料!N:N,MATCH($G484,基本資料!A:A,0))</f>
        <v>低</v>
      </c>
    </row>
    <row r="485" spans="1:44">
      <c r="A485" s="343">
        <f>IFERROR(VLOOKUP($G485,基本資料!$A:$J,3,0),"無")</f>
        <v>90.94</v>
      </c>
      <c r="B485" s="79">
        <f>IFERROR(VLOOKUP($G485,基本資料!$A:$J,4,0),"無")</f>
        <v>-5</v>
      </c>
      <c r="C485" s="79">
        <f>IFERROR(VLOOKUP($G485,基本資料!$A:$J,5,0),"無")</f>
        <v>13</v>
      </c>
      <c r="D485" s="79">
        <f>IFERROR(VLOOKUP($G485,基本資料!$A:$J,6,0),"無")</f>
        <v>-23</v>
      </c>
      <c r="E485" s="79">
        <f>IFERROR(VLOOKUP($G485,基本資料!$A:$J,7,0),"無")</f>
        <v>-5</v>
      </c>
      <c r="F485" s="6">
        <f>IFERROR(VLOOKUP($G485,基本資料!$A:$J,8,0),"無")</f>
        <v>4.99</v>
      </c>
      <c r="G485" s="79">
        <v>2106</v>
      </c>
      <c r="H485" s="8" t="s">
        <v>300</v>
      </c>
      <c r="I485" s="22" t="s">
        <v>4000</v>
      </c>
      <c r="J485" s="8">
        <f>IFERROR(VLOOKUP($G485,今日總結!$A:$AN,39,0),"")</f>
        <v>0</v>
      </c>
      <c r="K485" s="5">
        <f>IFERROR(VLOOKUP($G485,今日總結!$A:$AN,40,0),"")</f>
        <v>0</v>
      </c>
      <c r="L485" s="156">
        <f>IFERROR(VLOOKUP($G485,今日總結!$A:$AN,37,0),"")</f>
        <v>0</v>
      </c>
      <c r="M485" s="337">
        <f>IFERROR(VLOOKUP($G485,今日總結!$A:$AN,38,0),"")</f>
        <v>0</v>
      </c>
      <c r="N485" s="240">
        <f t="shared" si="102"/>
        <v>0</v>
      </c>
      <c r="O485" s="359">
        <f>IFERROR(VLOOKUP($G485,融外自投!$A:$J,7,0),"無")</f>
        <v>1227</v>
      </c>
      <c r="P485" s="79">
        <f>IFERROR(VLOOKUP($G485,融外自投!$A:$J,9,0),"無")</f>
        <v>825</v>
      </c>
      <c r="Q485" s="342">
        <f>IFERROR(VLOOKUP($G485,融外自投!$A:$J,8,0),"無")</f>
        <v>685</v>
      </c>
      <c r="R485" s="81">
        <f>IFERROR(VLOOKUP($G485,融外自投!$A:$J,10,0),"無")</f>
        <v>476</v>
      </c>
      <c r="S485" s="324">
        <f>IFERROR(VLOOKUP($G485,'321買'!$A:$E,4,0),"'沒有資料'")</f>
        <v>891</v>
      </c>
      <c r="T485" s="186">
        <f>IFERROR(VLOOKUP($G485,基本資料!$A:$J,9,0),"無")</f>
        <v>1</v>
      </c>
      <c r="U485" s="307">
        <f t="shared" si="98"/>
        <v>3.316749585406302E-2</v>
      </c>
      <c r="V485" s="94">
        <f>IFERROR(VLOOKUP($G485,基本資料!$A:$J,10,0),"無")</f>
        <v>1.01</v>
      </c>
      <c r="W485" s="36">
        <f>RTD("money.excel",,"2106","Price")</f>
        <v>30.15</v>
      </c>
      <c r="X485" s="66"/>
      <c r="Y485" s="15">
        <f t="shared" si="99"/>
        <v>30.15</v>
      </c>
      <c r="Z485" s="3" t="e">
        <f t="shared" si="100"/>
        <v>#DIV/0!</v>
      </c>
      <c r="AA485" s="340">
        <f>IFERROR(VLOOKUP($G485,基本資料!$A:$M,11,0),"無")</f>
        <v>-27.44</v>
      </c>
      <c r="AB485" s="389">
        <f>IFERROR(VLOOKUP($G485,基本資料!$A:$M,12,0),"無")</f>
        <v>34.44</v>
      </c>
      <c r="AC485" s="22" t="s">
        <v>4000</v>
      </c>
      <c r="AF485" s="33">
        <f t="shared" si="101"/>
        <v>0</v>
      </c>
      <c r="AG485" s="117" t="s">
        <v>3995</v>
      </c>
      <c r="AH485" s="66">
        <f t="shared" si="95"/>
        <v>1.3635907219600363</v>
      </c>
      <c r="AI485" s="283">
        <f>RTD("money.excel",,$G485,"PredictVolume")</f>
        <v>1358</v>
      </c>
      <c r="AJ485" s="391">
        <f>IFERROR(VLOOKUP($G485,基本資料!$A:$M,13,0),"無")</f>
        <v>995.9</v>
      </c>
      <c r="AR485" s="245" t="str">
        <f>INDEX(基本資料!N:N,MATCH($G485,基本資料!A:A,0))</f>
        <v>低</v>
      </c>
    </row>
    <row r="486" spans="1:44">
      <c r="A486" s="343">
        <f>IFERROR(VLOOKUP($G486,基本資料!$A:$J,3,0),"無")</f>
        <v>34.229999999999997</v>
      </c>
      <c r="B486" s="79">
        <f>IFERROR(VLOOKUP($G486,基本資料!$A:$J,4,0),"無")</f>
        <v>-13</v>
      </c>
      <c r="C486" s="79">
        <f>IFERROR(VLOOKUP($G486,基本資料!$A:$J,5,0),"無")</f>
        <v>-22</v>
      </c>
      <c r="D486" s="79">
        <f>IFERROR(VLOOKUP($G486,基本資料!$A:$J,6,0),"無")</f>
        <v>25</v>
      </c>
      <c r="E486" s="79">
        <f>IFERROR(VLOOKUP($G486,基本資料!$A:$J,7,0),"無")</f>
        <v>-2</v>
      </c>
      <c r="F486" s="6">
        <f>IFERROR(VLOOKUP($G486,基本資料!$A:$J,8,0),"無")</f>
        <v>22.44</v>
      </c>
      <c r="G486" s="79">
        <v>2107</v>
      </c>
      <c r="H486" s="8" t="s">
        <v>300</v>
      </c>
      <c r="I486" s="22" t="s">
        <v>4001</v>
      </c>
      <c r="J486" s="8" t="str">
        <f>IFERROR(VLOOKUP($G486,今日總結!$A:$AN,39,0),"")</f>
        <v>融</v>
      </c>
      <c r="K486" s="5" t="str">
        <f>IFERROR(VLOOKUP($G486,今日總結!$A:$AN,40,0),"")</f>
        <v>外</v>
      </c>
      <c r="L486" s="156">
        <f>IFERROR(VLOOKUP($G486,今日總結!$A:$AN,37,0),"")</f>
        <v>1</v>
      </c>
      <c r="M486" s="337">
        <f>IFERROR(VLOOKUP($G486,今日總結!$A:$AN,38,0),"")</f>
        <v>6</v>
      </c>
      <c r="N486" s="240">
        <f t="shared" si="102"/>
        <v>-5</v>
      </c>
      <c r="O486" s="359">
        <f>IFERROR(VLOOKUP($G486,融外自投!$A:$J,7,0),"無")</f>
        <v>1099</v>
      </c>
      <c r="P486" s="79">
        <f>IFERROR(VLOOKUP($G486,融外自投!$A:$J,9,0),"無")</f>
        <v>414</v>
      </c>
      <c r="Q486" s="342">
        <f>IFERROR(VLOOKUP($G486,融外自投!$A:$J,8,0),"無")</f>
        <v>551</v>
      </c>
      <c r="R486" s="81" t="str">
        <f>IFERROR(VLOOKUP($G486,融外自投!$A:$J,10,0),"無")</f>
        <v>無</v>
      </c>
      <c r="S486" s="324">
        <f>IFERROR(VLOOKUP($G486,'321買'!$A:$E,4,0),"'沒有資料'")</f>
        <v>1002</v>
      </c>
      <c r="T486" s="186">
        <f>IFERROR(VLOOKUP($G486,基本資料!$A:$J,9,0),"無")</f>
        <v>1.2</v>
      </c>
      <c r="U486" s="307">
        <f t="shared" si="98"/>
        <v>5.5555555555555552E-2</v>
      </c>
      <c r="V486" s="94">
        <f>IFERROR(VLOOKUP($G486,基本資料!$A:$J,10,0),"無")</f>
        <v>2.27</v>
      </c>
      <c r="W486" s="36">
        <f>RTD("money.excel",,"2107","Price")</f>
        <v>21.6</v>
      </c>
      <c r="X486" s="66"/>
      <c r="Y486" s="15">
        <f t="shared" si="99"/>
        <v>21.6</v>
      </c>
      <c r="Z486" s="3" t="e">
        <f t="shared" si="100"/>
        <v>#DIV/0!</v>
      </c>
      <c r="AA486" s="340">
        <f>IFERROR(VLOOKUP($G486,基本資料!$A:$M,11,0),"無")</f>
        <v>-15.95</v>
      </c>
      <c r="AB486" s="389">
        <f>IFERROR(VLOOKUP($G486,基本資料!$A:$M,12,0),"無")</f>
        <v>50.1</v>
      </c>
      <c r="AC486" s="22" t="s">
        <v>4001</v>
      </c>
      <c r="AF486" s="33">
        <f t="shared" si="101"/>
        <v>0</v>
      </c>
      <c r="AG486" s="43" t="s">
        <v>4002</v>
      </c>
      <c r="AH486" s="66">
        <f t="shared" si="95"/>
        <v>0.53333333333333333</v>
      </c>
      <c r="AI486" s="283">
        <f>RTD("money.excel",,$G486,"PredictVolume")</f>
        <v>162</v>
      </c>
      <c r="AJ486" s="391">
        <f>IFERROR(VLOOKUP($G486,基本資料!$A:$M,13,0),"無")</f>
        <v>303.75</v>
      </c>
      <c r="AR486" s="245" t="str">
        <f>INDEX(基本資料!N:N,MATCH($G486,基本資料!A:A,0))</f>
        <v>低</v>
      </c>
    </row>
    <row r="487" spans="1:44">
      <c r="A487" s="343">
        <f>IFERROR(VLOOKUP($G487,基本資料!$A:$J,3,0),"無")</f>
        <v>49.24</v>
      </c>
      <c r="B487" s="79">
        <f>IFERROR(VLOOKUP($G487,基本資料!$A:$J,4,0),"無")</f>
        <v>107</v>
      </c>
      <c r="C487" s="79">
        <f>IFERROR(VLOOKUP($G487,基本資料!$A:$J,5,0),"無")</f>
        <v>105</v>
      </c>
      <c r="D487" s="79">
        <f>IFERROR(VLOOKUP($G487,基本資料!$A:$J,6,0),"無")</f>
        <v>-6</v>
      </c>
      <c r="E487" s="79">
        <f>IFERROR(VLOOKUP($G487,基本資料!$A:$J,7,0),"無")</f>
        <v>-52</v>
      </c>
      <c r="F487" s="6">
        <f>IFERROR(VLOOKUP($G487,基本資料!$A:$J,8,0),"無")</f>
        <v>42.15</v>
      </c>
      <c r="G487" s="79">
        <v>2108</v>
      </c>
      <c r="H487" s="8" t="s">
        <v>300</v>
      </c>
      <c r="I487" s="22" t="s">
        <v>4003</v>
      </c>
      <c r="J487" s="8">
        <f>IFERROR(VLOOKUP($G487,今日總結!$A:$AN,39,0),"")</f>
        <v>0</v>
      </c>
      <c r="K487" s="5">
        <f>IFERROR(VLOOKUP($G487,今日總結!$A:$AN,40,0),"")</f>
        <v>0</v>
      </c>
      <c r="L487" s="156">
        <f>IFERROR(VLOOKUP($G487,今日總結!$A:$AN,37,0),"")</f>
        <v>0</v>
      </c>
      <c r="M487" s="337">
        <f>IFERROR(VLOOKUP($G487,今日總結!$A:$AN,38,0),"")</f>
        <v>0</v>
      </c>
      <c r="N487" s="240">
        <f t="shared" si="102"/>
        <v>0</v>
      </c>
      <c r="O487" s="359">
        <f>IFERROR(VLOOKUP($G487,融外自投!$A:$J,7,0),"無")</f>
        <v>843</v>
      </c>
      <c r="P487" s="79">
        <f>IFERROR(VLOOKUP($G487,融外自投!$A:$J,9,0),"無")</f>
        <v>71</v>
      </c>
      <c r="Q487" s="342">
        <f>IFERROR(VLOOKUP($G487,融外自投!$A:$J,8,0),"無")</f>
        <v>567</v>
      </c>
      <c r="R487" s="81">
        <f>IFERROR(VLOOKUP($G487,融外自投!$A:$J,10,0),"無")</f>
        <v>318</v>
      </c>
      <c r="S487" s="324">
        <f>IFERROR(VLOOKUP($G487,'321買'!$A:$E,4,0),"'沒有資料'")</f>
        <v>411</v>
      </c>
      <c r="T487" s="186">
        <f>IFERROR(VLOOKUP($G487,基本資料!$A:$J,9,0),"無")</f>
        <v>7</v>
      </c>
      <c r="U487" s="307">
        <f t="shared" si="98"/>
        <v>0.14583333333333334</v>
      </c>
      <c r="V487" s="94">
        <f>IFERROR(VLOOKUP($G487,基本資料!$A:$J,10,0),"無")</f>
        <v>14.92</v>
      </c>
      <c r="W487" s="36">
        <f>RTD("money.excel",,"2108","Price")</f>
        <v>48</v>
      </c>
      <c r="X487" s="66"/>
      <c r="Y487" s="15">
        <f t="shared" si="99"/>
        <v>48</v>
      </c>
      <c r="Z487" s="3" t="e">
        <f t="shared" si="100"/>
        <v>#DIV/0!</v>
      </c>
      <c r="AA487" s="340">
        <f>IFERROR(VLOOKUP($G487,基本資料!$A:$M,11,0),"無")</f>
        <v>-72.73</v>
      </c>
      <c r="AB487" s="389">
        <f>IFERROR(VLOOKUP($G487,基本資料!$A:$M,12,0),"無")</f>
        <v>2.99</v>
      </c>
      <c r="AC487" s="22" t="s">
        <v>4003</v>
      </c>
      <c r="AF487" s="33">
        <f t="shared" si="101"/>
        <v>0</v>
      </c>
      <c r="AG487" s="43" t="s">
        <v>4004</v>
      </c>
      <c r="AH487" s="66">
        <f t="shared" si="95"/>
        <v>0.2820360038278894</v>
      </c>
      <c r="AI487" s="283">
        <f>RTD("money.excel",,$G487,"PredictVolume")</f>
        <v>781</v>
      </c>
      <c r="AJ487" s="391">
        <f>IFERROR(VLOOKUP($G487,基本資料!$A:$M,13,0),"無")</f>
        <v>2769.15</v>
      </c>
      <c r="AR487" s="245" t="str">
        <f>INDEX(基本資料!N:N,MATCH($G487,基本資料!A:A,0))</f>
        <v>低</v>
      </c>
    </row>
    <row r="488" spans="1:44">
      <c r="A488" s="343">
        <f>IFERROR(VLOOKUP($G488,基本資料!$A:$J,3,0),"無")</f>
        <v>27.93</v>
      </c>
      <c r="B488" s="79">
        <f>IFERROR(VLOOKUP($G488,基本資料!$A:$J,4,0),"無")</f>
        <v>0</v>
      </c>
      <c r="C488" s="79">
        <f>IFERROR(VLOOKUP($G488,基本資料!$A:$J,5,0),"無")</f>
        <v>15</v>
      </c>
      <c r="D488" s="79">
        <f>IFERROR(VLOOKUP($G488,基本資料!$A:$J,6,0),"無")</f>
        <v>-15</v>
      </c>
      <c r="E488" s="79">
        <f>IFERROR(VLOOKUP($G488,基本資料!$A:$J,7,0),"無")</f>
        <v>-1</v>
      </c>
      <c r="F488" s="6">
        <f>IFERROR(VLOOKUP($G488,基本資料!$A:$J,8,0),"無")</f>
        <v>12.63</v>
      </c>
      <c r="G488" s="79">
        <v>2109</v>
      </c>
      <c r="H488" s="8" t="s">
        <v>300</v>
      </c>
      <c r="I488" s="22" t="s">
        <v>4005</v>
      </c>
      <c r="J488" s="8">
        <f>IFERROR(VLOOKUP($G488,今日總結!$A:$AN,39,0),"")</f>
        <v>0</v>
      </c>
      <c r="K488" s="5">
        <f>IFERROR(VLOOKUP($G488,今日總結!$A:$AN,40,0),"")</f>
        <v>0</v>
      </c>
      <c r="L488" s="156">
        <f>IFERROR(VLOOKUP($G488,今日總結!$A:$AN,37,0),"")</f>
        <v>0</v>
      </c>
      <c r="M488" s="337">
        <f>IFERROR(VLOOKUP($G488,今日總結!$A:$AN,38,0),"")</f>
        <v>0</v>
      </c>
      <c r="N488" s="240">
        <f t="shared" si="102"/>
        <v>0</v>
      </c>
      <c r="O488" s="359">
        <f>IFERROR(VLOOKUP($G488,融外自投!$A:$J,7,0),"無")</f>
        <v>1077</v>
      </c>
      <c r="P488" s="79">
        <f>IFERROR(VLOOKUP($G488,融外自投!$A:$J,9,0),"無")</f>
        <v>1051</v>
      </c>
      <c r="Q488" s="342">
        <f>IFERROR(VLOOKUP($G488,融外自投!$A:$J,8,0),"無")</f>
        <v>373</v>
      </c>
      <c r="R488" s="81" t="str">
        <f>IFERROR(VLOOKUP($G488,融外自投!$A:$J,10,0),"無")</f>
        <v>無</v>
      </c>
      <c r="S488" s="324">
        <f>IFERROR(VLOOKUP($G488,'321買'!$A:$E,4,0),"'沒有資料'")</f>
        <v>1002</v>
      </c>
      <c r="T488" s="186">
        <f>IFERROR(VLOOKUP($G488,基本資料!$A:$J,9,0),"無")</f>
        <v>1</v>
      </c>
      <c r="U488" s="307">
        <f t="shared" si="98"/>
        <v>6.8965517241379309E-2</v>
      </c>
      <c r="V488" s="94">
        <f>IFERROR(VLOOKUP($G488,基本資料!$A:$J,10,0),"無")</f>
        <v>1.3</v>
      </c>
      <c r="W488" s="36">
        <f>RTD("money.excel",,"2109","Price")</f>
        <v>14.5</v>
      </c>
      <c r="X488" s="66"/>
      <c r="Y488" s="15">
        <f t="shared" si="99"/>
        <v>14.5</v>
      </c>
      <c r="Z488" s="3" t="e">
        <f t="shared" si="100"/>
        <v>#DIV/0!</v>
      </c>
      <c r="AA488" s="340">
        <f>IFERROR(VLOOKUP($G488,基本資料!$A:$M,11,0),"無")</f>
        <v>-32.4</v>
      </c>
      <c r="AB488" s="389">
        <f>IFERROR(VLOOKUP($G488,基本資料!$A:$M,12,0),"無")</f>
        <v>19.78</v>
      </c>
      <c r="AC488" s="22" t="s">
        <v>4005</v>
      </c>
      <c r="AF488" s="33">
        <f t="shared" si="101"/>
        <v>0</v>
      </c>
      <c r="AG488" s="43" t="s">
        <v>3995</v>
      </c>
      <c r="AH488" s="66">
        <f t="shared" si="95"/>
        <v>0.82813386273397616</v>
      </c>
      <c r="AI488" s="283">
        <f>RTD("money.excel",,$G488,"PredictVolume")</f>
        <v>73</v>
      </c>
      <c r="AJ488" s="391">
        <f>IFERROR(VLOOKUP($G488,基本資料!$A:$M,13,0),"無")</f>
        <v>88.15</v>
      </c>
      <c r="AR488" s="245" t="str">
        <f>INDEX(基本資料!N:N,MATCH($G488,基本資料!A:A,0))</f>
        <v>低</v>
      </c>
    </row>
    <row r="489" spans="1:44">
      <c r="A489" s="343">
        <f>IFERROR(VLOOKUP($G489,基本資料!$A:$J,3,0),"無")</f>
        <v>7.79</v>
      </c>
      <c r="B489" s="79">
        <f>IFERROR(VLOOKUP($G489,基本資料!$A:$J,4,0),"無")</f>
        <v>84</v>
      </c>
      <c r="C489" s="79">
        <f>IFERROR(VLOOKUP($G489,基本資料!$A:$J,5,0),"無")</f>
        <v>2</v>
      </c>
      <c r="D489" s="79">
        <f>IFERROR(VLOOKUP($G489,基本資料!$A:$J,6,0),"無")</f>
        <v>0</v>
      </c>
      <c r="E489" s="79">
        <f>IFERROR(VLOOKUP($G489,基本資料!$A:$J,7,0),"無")</f>
        <v>2</v>
      </c>
      <c r="F489" s="6">
        <f>IFERROR(VLOOKUP($G489,基本資料!$A:$J,8,0),"無")</f>
        <v>26.97</v>
      </c>
      <c r="G489" s="79">
        <v>2114</v>
      </c>
      <c r="H489" s="8" t="s">
        <v>300</v>
      </c>
      <c r="I489" s="22" t="s">
        <v>4006</v>
      </c>
      <c r="J489" s="8">
        <f>IFERROR(VLOOKUP($G489,今日總結!$A:$AN,39,0),"")</f>
        <v>0</v>
      </c>
      <c r="K489" s="5">
        <f>IFERROR(VLOOKUP($G489,今日總結!$A:$AN,40,0),"")</f>
        <v>0</v>
      </c>
      <c r="L489" s="156">
        <f>IFERROR(VLOOKUP($G489,今日總結!$A:$AN,37,0),"")</f>
        <v>0</v>
      </c>
      <c r="M489" s="337">
        <f>IFERROR(VLOOKUP($G489,今日總結!$A:$AN,38,0),"")</f>
        <v>0</v>
      </c>
      <c r="N489" s="240">
        <f t="shared" si="102"/>
        <v>0</v>
      </c>
      <c r="O489" s="359">
        <f>IFERROR(VLOOKUP($G489,融外自投!$A:$J,7,0),"無")</f>
        <v>1082</v>
      </c>
      <c r="P489" s="79">
        <f>IFERROR(VLOOKUP($G489,融外自投!$A:$J,9,0),"無")</f>
        <v>1123</v>
      </c>
      <c r="Q489" s="342">
        <f>IFERROR(VLOOKUP($G489,融外自投!$A:$J,8,0),"無")</f>
        <v>1108</v>
      </c>
      <c r="R489" s="81">
        <f>IFERROR(VLOOKUP($G489,融外自投!$A:$J,10,0),"無")</f>
        <v>495</v>
      </c>
      <c r="S489" s="324">
        <f>IFERROR(VLOOKUP($G489,'321買'!$A:$E,4,0),"'沒有資料'")</f>
        <v>743</v>
      </c>
      <c r="T489" s="186">
        <f>IFERROR(VLOOKUP($G489,基本資料!$A:$J,9,0),"無")</f>
        <v>7</v>
      </c>
      <c r="U489" s="307">
        <f t="shared" si="98"/>
        <v>5.8333333333333334E-2</v>
      </c>
      <c r="V489" s="94">
        <f>IFERROR(VLOOKUP($G489,基本資料!$A:$J,10,0),"無")</f>
        <v>12.42</v>
      </c>
      <c r="W489" s="36">
        <f>RTD("money.excel",,"2114","Price")</f>
        <v>120</v>
      </c>
      <c r="X489" s="66"/>
      <c r="Y489" s="15">
        <f t="shared" si="99"/>
        <v>120</v>
      </c>
      <c r="Z489" s="3" t="e">
        <f t="shared" si="100"/>
        <v>#DIV/0!</v>
      </c>
      <c r="AA489" s="340">
        <f>IFERROR(VLOOKUP($G489,基本資料!$A:$M,11,0),"無")</f>
        <v>-26.38</v>
      </c>
      <c r="AB489" s="389">
        <f>IFERROR(VLOOKUP($G489,基本資料!$A:$M,12,0),"無")</f>
        <v>17.63</v>
      </c>
      <c r="AC489" s="22" t="s">
        <v>4006</v>
      </c>
      <c r="AF489" s="33">
        <f t="shared" si="101"/>
        <v>0</v>
      </c>
      <c r="AG489" s="43" t="s">
        <v>4007</v>
      </c>
      <c r="AH489" s="66">
        <f t="shared" si="95"/>
        <v>0.55329536208299424</v>
      </c>
      <c r="AI489" s="283">
        <f>RTD("money.excel",,$G489,"PredictVolume")</f>
        <v>34</v>
      </c>
      <c r="AJ489" s="391">
        <f>IFERROR(VLOOKUP($G489,基本資料!$A:$M,13,0),"無")</f>
        <v>61.45</v>
      </c>
      <c r="AR489" s="245" t="str">
        <f>INDEX(基本資料!N:N,MATCH($G489,基本資料!A:A,0))</f>
        <v>低</v>
      </c>
    </row>
    <row r="490" spans="1:44">
      <c r="A490" s="343">
        <f>IFERROR(VLOOKUP($G490,基本資料!$A:$J,3,0),"無")</f>
        <v>6.4</v>
      </c>
      <c r="B490" s="79">
        <f>IFERROR(VLOOKUP($G490,基本資料!$A:$J,4,0),"無")</f>
        <v>25</v>
      </c>
      <c r="C490" s="79">
        <f>IFERROR(VLOOKUP($G490,基本資料!$A:$J,5,0),"無")</f>
        <v>117</v>
      </c>
      <c r="D490" s="79">
        <f>IFERROR(VLOOKUP($G490,基本資料!$A:$J,6,0),"無")</f>
        <v>-22</v>
      </c>
      <c r="E490" s="79">
        <f>IFERROR(VLOOKUP($G490,基本資料!$A:$J,7,0),"無")</f>
        <v>-19</v>
      </c>
      <c r="F490" s="6">
        <f>IFERROR(VLOOKUP($G490,基本資料!$A:$J,8,0),"無")</f>
        <v>7.55</v>
      </c>
      <c r="G490" s="79">
        <v>5102</v>
      </c>
      <c r="H490" s="8" t="s">
        <v>300</v>
      </c>
      <c r="I490" s="16" t="s">
        <v>4008</v>
      </c>
      <c r="J490" s="8" t="str">
        <f>IFERROR(VLOOKUP($G490,今日總結!$A:$AN,39,0),"")</f>
        <v/>
      </c>
      <c r="K490" s="5" t="str">
        <f>IFERROR(VLOOKUP($G490,今日總結!$A:$AN,40,0),"")</f>
        <v/>
      </c>
      <c r="L490" s="156" t="str">
        <f>IFERROR(VLOOKUP($G490,今日總結!$A:$AN,37,0),"")</f>
        <v/>
      </c>
      <c r="M490" s="337" t="str">
        <f>IFERROR(VLOOKUP($G490,今日總結!$A:$AN,38,0),"")</f>
        <v/>
      </c>
      <c r="N490" s="240" t="str">
        <f t="shared" si="102"/>
        <v/>
      </c>
      <c r="O490" s="359">
        <f>IFERROR(VLOOKUP($G490,融外自投!$A:$J,7,0),"無")</f>
        <v>1407</v>
      </c>
      <c r="P490" s="79" t="str">
        <f>IFERROR(VLOOKUP($G490,融外自投!$A:$J,9,0),"無")</f>
        <v>無</v>
      </c>
      <c r="Q490" s="342">
        <f>IFERROR(VLOOKUP($G490,融外自投!$A:$J,8,0),"無")</f>
        <v>1467</v>
      </c>
      <c r="R490" s="81" t="str">
        <f>IFERROR(VLOOKUP($G490,融外自投!$A:$J,10,0),"無")</f>
        <v>無</v>
      </c>
      <c r="S490" s="324" t="str">
        <f>IFERROR(VLOOKUP($G490,'321買'!$A:$E,4,0),"'沒有資料'")</f>
        <v>'沒有資料'</v>
      </c>
      <c r="T490" s="186">
        <f>IFERROR(VLOOKUP($G490,基本資料!$A:$J,9,0),"無")</f>
        <v>0.5</v>
      </c>
      <c r="U490" s="307">
        <f t="shared" si="98"/>
        <v>2.0283975659229209E-2</v>
      </c>
      <c r="V490" s="94">
        <f>IFERROR(VLOOKUP($G490,基本資料!$A:$J,10,0),"無")</f>
        <v>0.99</v>
      </c>
      <c r="W490" s="36">
        <f>RTD("money.excel",,"5102","Price")</f>
        <v>24.65</v>
      </c>
      <c r="X490" s="66"/>
      <c r="Y490" s="15">
        <f t="shared" si="99"/>
        <v>24.65</v>
      </c>
      <c r="Z490" s="3" t="e">
        <f t="shared" si="100"/>
        <v>#DIV/0!</v>
      </c>
      <c r="AA490" s="340">
        <f>IFERROR(VLOOKUP($G490,基本資料!$A:$M,11,0),"無")</f>
        <v>-2.95</v>
      </c>
      <c r="AB490" s="389">
        <f>IFERROR(VLOOKUP($G490,基本資料!$A:$M,12,0),"無")</f>
        <v>38.79</v>
      </c>
      <c r="AC490" s="16" t="s">
        <v>4008</v>
      </c>
      <c r="AF490" s="33">
        <f t="shared" si="101"/>
        <v>0</v>
      </c>
      <c r="AG490" s="43" t="s">
        <v>4009</v>
      </c>
      <c r="AH490" s="66">
        <f t="shared" si="95"/>
        <v>0.70769230769230773</v>
      </c>
      <c r="AI490" s="283">
        <f>RTD("money.excel",,$G490,"PredictVolume")</f>
        <v>23</v>
      </c>
      <c r="AJ490" s="391">
        <f>IFERROR(VLOOKUP($G490,基本資料!$A:$M,13,0),"無")</f>
        <v>32.5</v>
      </c>
      <c r="AR490" s="245" t="str">
        <f>INDEX(基本資料!N:N,MATCH($G490,基本資料!A:A,0))</f>
        <v>高</v>
      </c>
    </row>
    <row r="491" spans="1:44">
      <c r="A491" s="343">
        <f>IFERROR(VLOOKUP($G491,基本資料!$A:$J,3,0),"無")</f>
        <v>10.61</v>
      </c>
      <c r="B491" s="79">
        <f>IFERROR(VLOOKUP($G491,基本資料!$A:$J,4,0),"無")</f>
        <v>95</v>
      </c>
      <c r="C491" s="79">
        <f>IFERROR(VLOOKUP($G491,基本資料!$A:$J,5,0),"無")</f>
        <v>98</v>
      </c>
      <c r="D491" s="79">
        <f>IFERROR(VLOOKUP($G491,基本資料!$A:$J,6,0),"無")</f>
        <v>-42</v>
      </c>
      <c r="E491" s="79">
        <f>IFERROR(VLOOKUP($G491,基本資料!$A:$J,7,0),"無")</f>
        <v>-84</v>
      </c>
      <c r="F491" s="6">
        <f>IFERROR(VLOOKUP($G491,基本資料!$A:$J,8,0),"無")</f>
        <v>53.5</v>
      </c>
      <c r="G491" s="79">
        <v>6582</v>
      </c>
      <c r="H491" s="8" t="s">
        <v>300</v>
      </c>
      <c r="I491" s="22" t="s">
        <v>4010</v>
      </c>
      <c r="J491" s="8">
        <f>IFERROR(VLOOKUP($G491,今日總結!$A:$AN,39,0),"")</f>
        <v>0</v>
      </c>
      <c r="K491" s="5" t="str">
        <f>IFERROR(VLOOKUP($G491,今日總結!$A:$AN,40,0),"")</f>
        <v>券</v>
      </c>
      <c r="L491" s="156">
        <f>IFERROR(VLOOKUP($G491,今日總結!$A:$AN,37,0),"")</f>
        <v>0</v>
      </c>
      <c r="M491" s="337">
        <f>IFERROR(VLOOKUP($G491,今日總結!$A:$AN,38,0),"")</f>
        <v>8</v>
      </c>
      <c r="N491" s="240">
        <f t="shared" si="102"/>
        <v>-8</v>
      </c>
      <c r="O491" s="359">
        <f>IFERROR(VLOOKUP($G491,融外自投!$A:$J,7,0),"無")</f>
        <v>912</v>
      </c>
      <c r="P491" s="79">
        <f>IFERROR(VLOOKUP($G491,融外自投!$A:$J,9,0),"無")</f>
        <v>550</v>
      </c>
      <c r="Q491" s="342">
        <f>IFERROR(VLOOKUP($G491,融外自投!$A:$J,8,0),"無")</f>
        <v>325</v>
      </c>
      <c r="R491" s="81">
        <f>IFERROR(VLOOKUP($G491,融外自投!$A:$J,10,0),"無")</f>
        <v>495</v>
      </c>
      <c r="S491" s="324">
        <f>IFERROR(VLOOKUP($G491,'321買'!$A:$E,4,0),"'沒有資料'")</f>
        <v>1002</v>
      </c>
      <c r="T491" s="186">
        <f>IFERROR(VLOOKUP($G491,基本資料!$A:$J,9,0),"無")</f>
        <v>15</v>
      </c>
      <c r="U491" s="307">
        <f t="shared" si="98"/>
        <v>0.15400410677618068</v>
      </c>
      <c r="V491" s="94">
        <f>IFERROR(VLOOKUP($G491,基本資料!$A:$J,10,0),"無")</f>
        <v>32.74</v>
      </c>
      <c r="W491" s="36">
        <f>RTD("money.excel",,"6582","Price")</f>
        <v>97.4</v>
      </c>
      <c r="X491" s="66"/>
      <c r="Y491" s="15">
        <f t="shared" si="99"/>
        <v>97.4</v>
      </c>
      <c r="Z491" s="3" t="e">
        <f t="shared" si="100"/>
        <v>#DIV/0!</v>
      </c>
      <c r="AA491" s="340">
        <f>IFERROR(VLOOKUP($G491,基本資料!$A:$M,11,0),"無")</f>
        <v>-70.12</v>
      </c>
      <c r="AB491" s="389">
        <f>IFERROR(VLOOKUP($G491,基本資料!$A:$M,12,0),"無")</f>
        <v>9.48</v>
      </c>
      <c r="AC491" s="22" t="s">
        <v>4010</v>
      </c>
      <c r="AF491" s="33">
        <f t="shared" si="101"/>
        <v>0</v>
      </c>
      <c r="AG491" s="43" t="s">
        <v>4011</v>
      </c>
      <c r="AH491" s="66">
        <f t="shared" si="95"/>
        <v>0.51143451143451146</v>
      </c>
      <c r="AI491" s="283">
        <f>RTD("money.excel",,$G491,"PredictVolume")</f>
        <v>246</v>
      </c>
      <c r="AJ491" s="391">
        <f>IFERROR(VLOOKUP($G491,基本資料!$A:$M,13,0),"無")</f>
        <v>481</v>
      </c>
      <c r="AR491" s="245" t="str">
        <f>INDEX(基本資料!N:N,MATCH($G491,基本資料!A:A,0))</f>
        <v>低</v>
      </c>
    </row>
    <row r="492" spans="1:44">
      <c r="B492" s="79"/>
      <c r="C492" s="79"/>
      <c r="D492" s="80"/>
      <c r="E492" s="80"/>
      <c r="F492" s="57"/>
      <c r="G492" s="79"/>
      <c r="H492" s="8"/>
      <c r="I492" s="22"/>
      <c r="L492" s="2"/>
      <c r="R492" s="26"/>
      <c r="T492" s="66"/>
      <c r="V492" s="94"/>
      <c r="W492" s="36"/>
      <c r="X492" s="66"/>
      <c r="Y492" s="15"/>
      <c r="Z492" s="3"/>
      <c r="AC492" s="22"/>
      <c r="AF492" s="33"/>
      <c r="AG492" s="43"/>
      <c r="AH492" s="66" t="e">
        <f t="shared" si="95"/>
        <v>#DIV/0!</v>
      </c>
      <c r="AI492" s="283"/>
    </row>
    <row r="493" spans="1:44">
      <c r="A493" s="127" t="s">
        <v>3875</v>
      </c>
      <c r="B493" s="90" t="s">
        <v>3876</v>
      </c>
      <c r="C493" s="90" t="s">
        <v>3877</v>
      </c>
      <c r="D493" s="90" t="s">
        <v>3878</v>
      </c>
      <c r="E493" s="90" t="s">
        <v>3879</v>
      </c>
      <c r="F493" s="8" t="s">
        <v>3880</v>
      </c>
      <c r="G493" s="27" t="s">
        <v>4012</v>
      </c>
      <c r="H493" s="55" t="s">
        <v>320</v>
      </c>
      <c r="I493" s="8" t="s">
        <v>4013</v>
      </c>
      <c r="J493" s="8" t="s">
        <v>6211</v>
      </c>
      <c r="K493" s="5" t="s">
        <v>6212</v>
      </c>
      <c r="L493" s="334" t="s">
        <v>6197</v>
      </c>
      <c r="M493" s="335" t="s">
        <v>6198</v>
      </c>
      <c r="N493" s="336" t="s">
        <v>6199</v>
      </c>
      <c r="O493" s="89" t="s">
        <v>6275</v>
      </c>
      <c r="P493" s="292" t="s">
        <v>6274</v>
      </c>
      <c r="Q493" s="350" t="s">
        <v>6273</v>
      </c>
      <c r="R493" s="26" t="s">
        <v>6276</v>
      </c>
      <c r="S493" s="318" t="s">
        <v>4715</v>
      </c>
      <c r="T493" s="10" t="s">
        <v>3883</v>
      </c>
      <c r="U493" s="305" t="s">
        <v>4728</v>
      </c>
      <c r="V493" s="68" t="s">
        <v>3272</v>
      </c>
      <c r="W493" s="28" t="s">
        <v>2</v>
      </c>
      <c r="X493" s="17" t="s">
        <v>3884</v>
      </c>
      <c r="Y493" s="14" t="s">
        <v>3885</v>
      </c>
      <c r="Z493" s="21" t="s">
        <v>3886</v>
      </c>
      <c r="AA493" s="96" t="s">
        <v>6166</v>
      </c>
      <c r="AB493" s="378" t="s">
        <v>6404</v>
      </c>
      <c r="AC493" s="8" t="s">
        <v>4013</v>
      </c>
      <c r="AD493" s="71" t="s">
        <v>3887</v>
      </c>
      <c r="AE493" s="72" t="s">
        <v>3888</v>
      </c>
      <c r="AF493" s="32" t="s">
        <v>3889</v>
      </c>
      <c r="AG493" s="43"/>
      <c r="AH493" s="8" t="s">
        <v>6696</v>
      </c>
      <c r="AI493" s="50" t="s">
        <v>3360</v>
      </c>
      <c r="AJ493" s="22" t="s">
        <v>6695</v>
      </c>
    </row>
    <row r="494" spans="1:44">
      <c r="A494" s="343">
        <f>IFERROR(VLOOKUP($G494,基本資料!$A:$J,3,0),"無")</f>
        <v>59.14</v>
      </c>
      <c r="B494" s="79">
        <f>IFERROR(VLOOKUP($G494,基本資料!$A:$J,4,0),"無")</f>
        <v>-14</v>
      </c>
      <c r="C494" s="79">
        <f>IFERROR(VLOOKUP($G494,基本資料!$A:$J,5,0),"無")</f>
        <v>0</v>
      </c>
      <c r="D494" s="79">
        <f>IFERROR(VLOOKUP($G494,基本資料!$A:$J,6,0),"無")</f>
        <v>-5</v>
      </c>
      <c r="E494" s="79">
        <f>IFERROR(VLOOKUP($G494,基本資料!$A:$J,7,0),"無")</f>
        <v>22</v>
      </c>
      <c r="F494" s="6">
        <f>IFERROR(VLOOKUP($G494,基本資料!$A:$J,8,0),"無")</f>
        <v>2.95</v>
      </c>
      <c r="G494" s="79">
        <v>1319</v>
      </c>
      <c r="H494" s="8" t="s">
        <v>301</v>
      </c>
      <c r="I494" s="22" t="s">
        <v>4014</v>
      </c>
      <c r="J494" s="8">
        <f>IFERROR(VLOOKUP($G494,今日總結!$A:$AN,39,0),"")</f>
        <v>0</v>
      </c>
      <c r="K494" s="5">
        <f>IFERROR(VLOOKUP($G494,今日總結!$A:$AN,40,0),"")</f>
        <v>0</v>
      </c>
      <c r="L494" s="156">
        <f>IFERROR(VLOOKUP($G494,今日總結!$A:$AN,37,0),"")</f>
        <v>0</v>
      </c>
      <c r="M494" s="337">
        <f>IFERROR(VLOOKUP($G494,今日總結!$A:$AN,38,0),"")</f>
        <v>0</v>
      </c>
      <c r="N494" s="240">
        <f t="shared" ref="N494:N505" si="103">IFERROR(L494-M494,"")</f>
        <v>0</v>
      </c>
      <c r="O494" s="359">
        <f>IFERROR(VLOOKUP($G494,融外自投!$A:$J,7,0),"無")</f>
        <v>1111</v>
      </c>
      <c r="P494" s="79">
        <f>IFERROR(VLOOKUP($G494,融外自投!$A:$J,9,0),"無")</f>
        <v>584</v>
      </c>
      <c r="Q494" s="342">
        <f>IFERROR(VLOOKUP($G494,融外自投!$A:$J,8,0),"無")</f>
        <v>387</v>
      </c>
      <c r="R494" s="81">
        <f>IFERROR(VLOOKUP($G494,融外自投!$A:$J,10,0),"無")</f>
        <v>459</v>
      </c>
      <c r="S494" s="324">
        <f>IFERROR(VLOOKUP($G494,'321買'!$A:$E,4,0),"'沒有資料'")</f>
        <v>891</v>
      </c>
      <c r="T494" s="186">
        <f>IFERROR(VLOOKUP($G494,基本資料!$A:$J,9,0),"無")</f>
        <v>0.85</v>
      </c>
      <c r="U494" s="307">
        <f t="shared" ref="U494:U526" si="104">$T494/$W494</f>
        <v>2.5525525525525526E-2</v>
      </c>
      <c r="V494" s="94">
        <f>IFERROR(VLOOKUP($G494,基本資料!$A:$J,10,0),"無")</f>
        <v>1.1599999999999999</v>
      </c>
      <c r="W494" s="36">
        <f>RTD("money.excel",,"1319","Price")</f>
        <v>33.299999999999997</v>
      </c>
      <c r="X494" s="66"/>
      <c r="Y494" s="15">
        <f t="shared" ref="Y494:Y526" si="105">W494-X494</f>
        <v>33.299999999999997</v>
      </c>
      <c r="Z494" s="3" t="e">
        <f t="shared" ref="Z494:Z526" si="106">Y494/X494</f>
        <v>#DIV/0!</v>
      </c>
      <c r="AA494" s="340">
        <f>IFERROR(VLOOKUP($G494,基本資料!$A:$M,11,0),"無")</f>
        <v>-15.16</v>
      </c>
      <c r="AB494" s="389">
        <f>IFERROR(VLOOKUP($G494,基本資料!$A:$M,12,0),"無")</f>
        <v>62.1</v>
      </c>
      <c r="AC494" s="22" t="s">
        <v>4014</v>
      </c>
      <c r="AF494" s="33">
        <f t="shared" ref="AF494:AF526" si="107">AE494-AD494</f>
        <v>0</v>
      </c>
      <c r="AG494" s="117" t="s">
        <v>4015</v>
      </c>
      <c r="AH494" s="66">
        <f t="shared" si="95"/>
        <v>0.94982526210683971</v>
      </c>
      <c r="AI494" s="283">
        <f>RTD("money.excel",,$G494,"PredictVolume")</f>
        <v>761</v>
      </c>
      <c r="AJ494" s="391">
        <f>IFERROR(VLOOKUP($G494,基本資料!$A:$M,13,0),"無")</f>
        <v>801.2</v>
      </c>
      <c r="AR494" s="245" t="str">
        <f>INDEX(基本資料!N:N,MATCH($G494,基本資料!A:A,0))</f>
        <v>低</v>
      </c>
    </row>
    <row r="495" spans="1:44">
      <c r="A495" s="343">
        <f>IFERROR(VLOOKUP($G495,基本資料!$A:$J,3,0),"無")</f>
        <v>8.3800000000000008</v>
      </c>
      <c r="B495" s="79">
        <f>IFERROR(VLOOKUP($G495,基本資料!$A:$J,4,0),"無")</f>
        <v>22</v>
      </c>
      <c r="C495" s="79">
        <f>IFERROR(VLOOKUP($G495,基本資料!$A:$J,5,0),"無")</f>
        <v>0</v>
      </c>
      <c r="D495" s="79">
        <f>IFERROR(VLOOKUP($G495,基本資料!$A:$J,6,0),"無")</f>
        <v>-42</v>
      </c>
      <c r="E495" s="79">
        <f>IFERROR(VLOOKUP($G495,基本資料!$A:$J,7,0),"無")</f>
        <v>-25</v>
      </c>
      <c r="F495" s="6">
        <f>IFERROR(VLOOKUP($G495,基本資料!$A:$J,8,0),"無")</f>
        <v>3.47</v>
      </c>
      <c r="G495" s="79">
        <v>1338</v>
      </c>
      <c r="H495" s="8" t="s">
        <v>301</v>
      </c>
      <c r="I495" s="22" t="s">
        <v>4016</v>
      </c>
      <c r="J495" s="8" t="str">
        <f>IFERROR(VLOOKUP($G495,今日總結!$A:$AN,39,0),"")</f>
        <v>外</v>
      </c>
      <c r="K495" s="5">
        <f>IFERROR(VLOOKUP($G495,今日總結!$A:$AN,40,0),"")</f>
        <v>0</v>
      </c>
      <c r="L495" s="156">
        <f>IFERROR(VLOOKUP($G495,今日總結!$A:$AN,37,0),"")</f>
        <v>1</v>
      </c>
      <c r="M495" s="337">
        <f>IFERROR(VLOOKUP($G495,今日總結!$A:$AN,38,0),"")</f>
        <v>0</v>
      </c>
      <c r="N495" s="240">
        <f t="shared" si="103"/>
        <v>1</v>
      </c>
      <c r="O495" s="359">
        <f>IFERROR(VLOOKUP($G495,融外自投!$A:$J,7,0),"無")</f>
        <v>348</v>
      </c>
      <c r="P495" s="79">
        <f>IFERROR(VLOOKUP($G495,融外自投!$A:$J,9,0),"無")</f>
        <v>741</v>
      </c>
      <c r="Q495" s="342">
        <f>IFERROR(VLOOKUP($G495,融外自投!$A:$J,8,0),"無")</f>
        <v>558</v>
      </c>
      <c r="R495" s="81" t="str">
        <f>IFERROR(VLOOKUP($G495,融外自投!$A:$J,10,0),"無")</f>
        <v>無</v>
      </c>
      <c r="S495" s="324">
        <f>IFERROR(VLOOKUP($G495,'321買'!$A:$E,4,0),"'沒有資料'")</f>
        <v>1002</v>
      </c>
      <c r="T495" s="186">
        <f>IFERROR(VLOOKUP($G495,基本資料!$A:$J,9,0),"無")</f>
        <v>2.5</v>
      </c>
      <c r="U495" s="307">
        <f t="shared" si="104"/>
        <v>4.9212598425196853E-2</v>
      </c>
      <c r="V495" s="94">
        <f>IFERROR(VLOOKUP($G495,基本資料!$A:$J,10,0),"無")</f>
        <v>4.04</v>
      </c>
      <c r="W495" s="36">
        <f>RTD("money.excel",,"1338","Price")</f>
        <v>50.8</v>
      </c>
      <c r="X495" s="66"/>
      <c r="Y495" s="15">
        <f t="shared" si="105"/>
        <v>50.8</v>
      </c>
      <c r="Z495" s="3" t="e">
        <f t="shared" si="106"/>
        <v>#DIV/0!</v>
      </c>
      <c r="AA495" s="340">
        <f>IFERROR(VLOOKUP($G495,基本資料!$A:$M,11,0),"無")</f>
        <v>-27.32</v>
      </c>
      <c r="AB495" s="389">
        <f>IFERROR(VLOOKUP($G495,基本資料!$A:$M,12,0),"無")</f>
        <v>24.14</v>
      </c>
      <c r="AC495" s="22" t="s">
        <v>4016</v>
      </c>
      <c r="AF495" s="33">
        <f t="shared" si="107"/>
        <v>0</v>
      </c>
      <c r="AG495" s="43" t="s">
        <v>4017</v>
      </c>
      <c r="AH495" s="66">
        <f t="shared" si="95"/>
        <v>0.62577447335811642</v>
      </c>
      <c r="AI495" s="283">
        <f>RTD("money.excel",,$G495,"PredictVolume")</f>
        <v>101</v>
      </c>
      <c r="AJ495" s="391">
        <f>IFERROR(VLOOKUP($G495,基本資料!$A:$M,13,0),"無")</f>
        <v>161.4</v>
      </c>
      <c r="AR495" s="245" t="str">
        <f>INDEX(基本資料!N:N,MATCH($G495,基本資料!A:A,0))</f>
        <v>低</v>
      </c>
    </row>
    <row r="496" spans="1:44">
      <c r="A496" s="343">
        <f>IFERROR(VLOOKUP($G496,基本資料!$A:$J,3,0),"無")</f>
        <v>7.41</v>
      </c>
      <c r="B496" s="79">
        <f>IFERROR(VLOOKUP($G496,基本資料!$A:$J,4,0),"無")</f>
        <v>6</v>
      </c>
      <c r="C496" s="79">
        <f>IFERROR(VLOOKUP($G496,基本資料!$A:$J,5,0),"無")</f>
        <v>-50</v>
      </c>
      <c r="D496" s="79">
        <f>IFERROR(VLOOKUP($G496,基本資料!$A:$J,6,0),"無")</f>
        <v>10</v>
      </c>
      <c r="E496" s="79">
        <f>IFERROR(VLOOKUP($G496,基本資料!$A:$J,7,0),"無")</f>
        <v>4</v>
      </c>
      <c r="F496" s="6">
        <f>IFERROR(VLOOKUP($G496,基本資料!$A:$J,8,0),"無")</f>
        <v>9.1</v>
      </c>
      <c r="G496" s="79">
        <v>1339</v>
      </c>
      <c r="H496" s="8" t="s">
        <v>301</v>
      </c>
      <c r="I496" s="22" t="s">
        <v>4018</v>
      </c>
      <c r="J496" s="8">
        <f>IFERROR(VLOOKUP($G496,今日總結!$A:$AN,39,0),"")</f>
        <v>0</v>
      </c>
      <c r="K496" s="5">
        <f>IFERROR(VLOOKUP($G496,今日總結!$A:$AN,40,0),"")</f>
        <v>0</v>
      </c>
      <c r="L496" s="156">
        <f>IFERROR(VLOOKUP($G496,今日總結!$A:$AN,37,0),"")</f>
        <v>0</v>
      </c>
      <c r="M496" s="337">
        <f>IFERROR(VLOOKUP($G496,今日總結!$A:$AN,38,0),"")</f>
        <v>0</v>
      </c>
      <c r="N496" s="240">
        <f t="shared" si="103"/>
        <v>0</v>
      </c>
      <c r="O496" s="359">
        <f>IFERROR(VLOOKUP($G496,融外自投!$A:$J,7,0),"無")</f>
        <v>1037</v>
      </c>
      <c r="P496" s="79">
        <f>IFERROR(VLOOKUP($G496,融外自投!$A:$J,9,0),"無")</f>
        <v>869</v>
      </c>
      <c r="Q496" s="342">
        <f>IFERROR(VLOOKUP($G496,融外自投!$A:$J,8,0),"無")</f>
        <v>1256</v>
      </c>
      <c r="R496" s="81" t="str">
        <f>IFERROR(VLOOKUP($G496,融外自投!$A:$J,10,0),"無")</f>
        <v>無</v>
      </c>
      <c r="S496" s="324">
        <f>IFERROR(VLOOKUP($G496,'321買'!$A:$E,4,0),"'沒有資料'")</f>
        <v>1002</v>
      </c>
      <c r="T496" s="186">
        <f>IFERROR(VLOOKUP($G496,基本資料!$A:$J,9,0),"無")</f>
        <v>2</v>
      </c>
      <c r="U496" s="307">
        <f t="shared" si="104"/>
        <v>5.4570259208731244E-2</v>
      </c>
      <c r="V496" s="94">
        <f>IFERROR(VLOOKUP($G496,基本資料!$A:$J,10,0),"無")</f>
        <v>1.83</v>
      </c>
      <c r="W496" s="36">
        <f>RTD("money.excel",,"1339","Price")</f>
        <v>36.65</v>
      </c>
      <c r="X496" s="66"/>
      <c r="Y496" s="15">
        <f t="shared" si="105"/>
        <v>36.65</v>
      </c>
      <c r="Z496" s="3" t="e">
        <f t="shared" si="106"/>
        <v>#DIV/0!</v>
      </c>
      <c r="AA496" s="340">
        <f>IFERROR(VLOOKUP($G496,基本資料!$A:$M,11,0),"無")</f>
        <v>-10.39</v>
      </c>
      <c r="AB496" s="389">
        <f>IFERROR(VLOOKUP($G496,基本資料!$A:$M,12,0),"無")</f>
        <v>77.989999999999995</v>
      </c>
      <c r="AC496" s="22" t="s">
        <v>4018</v>
      </c>
      <c r="AF496" s="33">
        <f t="shared" si="107"/>
        <v>0</v>
      </c>
      <c r="AG496" s="43" t="s">
        <v>4015</v>
      </c>
      <c r="AH496" s="66">
        <f t="shared" si="95"/>
        <v>1.8171806167400881</v>
      </c>
      <c r="AI496" s="283">
        <f>RTD("money.excel",,$G496,"PredictVolume")</f>
        <v>165</v>
      </c>
      <c r="AJ496" s="391">
        <f>IFERROR(VLOOKUP($G496,基本資料!$A:$M,13,0),"無")</f>
        <v>90.8</v>
      </c>
      <c r="AR496" s="245" t="str">
        <f>INDEX(基本資料!N:N,MATCH($G496,基本資料!A:A,0))</f>
        <v>中</v>
      </c>
    </row>
    <row r="497" spans="1:44">
      <c r="A497" s="343">
        <f>IFERROR(VLOOKUP($G497,基本資料!$A:$J,3,0),"無")</f>
        <v>25.33</v>
      </c>
      <c r="B497" s="79">
        <f>IFERROR(VLOOKUP($G497,基本資料!$A:$J,4,0),"無")</f>
        <v>-20</v>
      </c>
      <c r="C497" s="79">
        <f>IFERROR(VLOOKUP($G497,基本資料!$A:$J,5,0),"無")</f>
        <v>-16</v>
      </c>
      <c r="D497" s="79">
        <f>IFERROR(VLOOKUP($G497,基本資料!$A:$J,6,0),"無")</f>
        <v>-14</v>
      </c>
      <c r="E497" s="79">
        <f>IFERROR(VLOOKUP($G497,基本資料!$A:$J,7,0),"無")</f>
        <v>-46</v>
      </c>
      <c r="F497" s="6">
        <f>IFERROR(VLOOKUP($G497,基本資料!$A:$J,8,0),"無")</f>
        <v>-16.27</v>
      </c>
      <c r="G497" s="79">
        <v>1512</v>
      </c>
      <c r="H497" s="8" t="s">
        <v>301</v>
      </c>
      <c r="I497" s="22" t="s">
        <v>4019</v>
      </c>
      <c r="J497" s="8" t="str">
        <f>IFERROR(VLOOKUP($G497,今日總結!$A:$AN,39,0),"")</f>
        <v/>
      </c>
      <c r="K497" s="5" t="str">
        <f>IFERROR(VLOOKUP($G497,今日總結!$A:$AN,40,0),"")</f>
        <v/>
      </c>
      <c r="L497" s="156" t="str">
        <f>IFERROR(VLOOKUP($G497,今日總結!$A:$AN,37,0),"")</f>
        <v/>
      </c>
      <c r="M497" s="337" t="str">
        <f>IFERROR(VLOOKUP($G497,今日總結!$A:$AN,38,0),"")</f>
        <v/>
      </c>
      <c r="N497" s="240" t="str">
        <f t="shared" si="103"/>
        <v/>
      </c>
      <c r="O497" s="359" t="str">
        <f>IFERROR(VLOOKUP($G497,融外自投!$A:$J,7,0),"無")</f>
        <v>無</v>
      </c>
      <c r="P497" s="79" t="str">
        <f>IFERROR(VLOOKUP($G497,融外自投!$A:$J,9,0),"無")</f>
        <v>無</v>
      </c>
      <c r="Q497" s="342" t="str">
        <f>IFERROR(VLOOKUP($G497,融外自投!$A:$J,8,0),"無")</f>
        <v>無</v>
      </c>
      <c r="R497" s="81" t="str">
        <f>IFERROR(VLOOKUP($G497,融外自投!$A:$J,10,0),"無")</f>
        <v>無</v>
      </c>
      <c r="S497" s="324" t="str">
        <f>IFERROR(VLOOKUP($G497,'321買'!$A:$E,4,0),"'沒有資料'")</f>
        <v>'沒有資料'</v>
      </c>
      <c r="T497" s="186">
        <f>IFERROR(VLOOKUP($G497,基本資料!$A:$J,9,0),"無")</f>
        <v>0</v>
      </c>
      <c r="U497" s="307">
        <f t="shared" si="104"/>
        <v>0</v>
      </c>
      <c r="V497" s="94">
        <f>IFERROR(VLOOKUP($G497,基本資料!$A:$J,10,0),"無")</f>
        <v>-0.65</v>
      </c>
      <c r="W497" s="36">
        <f>RTD("money.excel",,"1512","Price")</f>
        <v>3.22</v>
      </c>
      <c r="X497" s="66"/>
      <c r="Y497" s="15">
        <f t="shared" si="105"/>
        <v>3.22</v>
      </c>
      <c r="Z497" s="3" t="e">
        <f t="shared" si="106"/>
        <v>#DIV/0!</v>
      </c>
      <c r="AA497" s="340">
        <f>IFERROR(VLOOKUP($G497,基本資料!$A:$M,11,0),"無")</f>
        <v>-45.05</v>
      </c>
      <c r="AB497" s="389">
        <f>IFERROR(VLOOKUP($G497,基本資料!$A:$M,12,0),"無")</f>
        <v>3.65</v>
      </c>
      <c r="AC497" s="22" t="s">
        <v>4019</v>
      </c>
      <c r="AF497" s="33">
        <f t="shared" si="107"/>
        <v>0</v>
      </c>
      <c r="AG497" s="43" t="s">
        <v>4020</v>
      </c>
      <c r="AH497" s="66">
        <f t="shared" si="95"/>
        <v>0.59076262083780884</v>
      </c>
      <c r="AI497" s="283">
        <f>RTD("money.excel",,$G497,"PredictVolume")</f>
        <v>55</v>
      </c>
      <c r="AJ497" s="391">
        <f>IFERROR(VLOOKUP($G497,基本資料!$A:$M,13,0),"無")</f>
        <v>93.1</v>
      </c>
      <c r="AR497" s="245" t="str">
        <f>INDEX(基本資料!N:N,MATCH($G497,基本資料!A:A,0))</f>
        <v>低</v>
      </c>
    </row>
    <row r="498" spans="1:44">
      <c r="A498" s="343">
        <f>IFERROR(VLOOKUP($G498,基本資料!$A:$J,3,0),"無")</f>
        <v>7.62</v>
      </c>
      <c r="B498" s="79">
        <f>IFERROR(VLOOKUP($G498,基本資料!$A:$J,4,0),"無")</f>
        <v>-48</v>
      </c>
      <c r="C498" s="79">
        <f>IFERROR(VLOOKUP($G498,基本資料!$A:$J,5,0),"無")</f>
        <v>-31</v>
      </c>
      <c r="D498" s="79">
        <f>IFERROR(VLOOKUP($G498,基本資料!$A:$J,6,0),"無")</f>
        <v>-14</v>
      </c>
      <c r="E498" s="79">
        <f>IFERROR(VLOOKUP($G498,基本資料!$A:$J,7,0),"無")</f>
        <v>-3</v>
      </c>
      <c r="F498" s="6">
        <f>IFERROR(VLOOKUP($G498,基本資料!$A:$J,8,0),"無")</f>
        <v>2.5499999999999998</v>
      </c>
      <c r="G498" s="79">
        <v>1521</v>
      </c>
      <c r="H498" s="8" t="s">
        <v>301</v>
      </c>
      <c r="I498" s="22" t="s">
        <v>4021</v>
      </c>
      <c r="J498" s="8">
        <f>IFERROR(VLOOKUP($G498,今日總結!$A:$AN,39,0),"")</f>
        <v>0</v>
      </c>
      <c r="K498" s="5">
        <f>IFERROR(VLOOKUP($G498,今日總結!$A:$AN,40,0),"")</f>
        <v>0</v>
      </c>
      <c r="L498" s="156">
        <f>IFERROR(VLOOKUP($G498,今日總結!$A:$AN,37,0),"")</f>
        <v>0</v>
      </c>
      <c r="M498" s="337">
        <f>IFERROR(VLOOKUP($G498,今日總結!$A:$AN,38,0),"")</f>
        <v>0</v>
      </c>
      <c r="N498" s="240">
        <f t="shared" si="103"/>
        <v>0</v>
      </c>
      <c r="O498" s="359">
        <f>IFERROR(VLOOKUP($G498,融外自投!$A:$J,7,0),"無")</f>
        <v>1295</v>
      </c>
      <c r="P498" s="79">
        <f>IFERROR(VLOOKUP($G498,融外自投!$A:$J,9,0),"無")</f>
        <v>1051</v>
      </c>
      <c r="Q498" s="342">
        <f>IFERROR(VLOOKUP($G498,融外自投!$A:$J,8,0),"無")</f>
        <v>155</v>
      </c>
      <c r="R498" s="81" t="str">
        <f>IFERROR(VLOOKUP($G498,融外自投!$A:$J,10,0),"無")</f>
        <v>無</v>
      </c>
      <c r="S498" s="324">
        <f>IFERROR(VLOOKUP($G498,'321買'!$A:$E,4,0),"'沒有資料'")</f>
        <v>1002</v>
      </c>
      <c r="T498" s="186">
        <f>IFERROR(VLOOKUP($G498,基本資料!$A:$J,9,0),"無")</f>
        <v>0.6</v>
      </c>
      <c r="U498" s="307">
        <f t="shared" si="104"/>
        <v>1.7751479289940829E-2</v>
      </c>
      <c r="V498" s="94">
        <f>IFERROR(VLOOKUP($G498,基本資料!$A:$J,10,0),"無")</f>
        <v>1.08</v>
      </c>
      <c r="W498" s="36">
        <f>RTD("money.excel",,"1521","Price")</f>
        <v>33.799999999999997</v>
      </c>
      <c r="X498" s="66"/>
      <c r="Y498" s="15">
        <f t="shared" si="105"/>
        <v>33.799999999999997</v>
      </c>
      <c r="Z498" s="3" t="e">
        <f t="shared" si="106"/>
        <v>#DIV/0!</v>
      </c>
      <c r="AA498" s="340">
        <f>IFERROR(VLOOKUP($G498,基本資料!$A:$M,11,0),"無")</f>
        <v>-29.73</v>
      </c>
      <c r="AB498" s="389">
        <f>IFERROR(VLOOKUP($G498,基本資料!$A:$M,12,0),"無")</f>
        <v>7.04</v>
      </c>
      <c r="AC498" s="22" t="s">
        <v>4021</v>
      </c>
      <c r="AF498" s="33">
        <f t="shared" si="107"/>
        <v>0</v>
      </c>
      <c r="AG498" s="43" t="s">
        <v>2088</v>
      </c>
      <c r="AH498" s="66">
        <f t="shared" si="95"/>
        <v>1.3025780189959293</v>
      </c>
      <c r="AI498" s="283">
        <f>RTD("money.excel",,$G498,"PredictVolume")</f>
        <v>48</v>
      </c>
      <c r="AJ498" s="391">
        <f>IFERROR(VLOOKUP($G498,基本資料!$A:$M,13,0),"無")</f>
        <v>36.85</v>
      </c>
      <c r="AR498" s="245" t="str">
        <f>INDEX(基本資料!N:N,MATCH($G498,基本資料!A:A,0))</f>
        <v>低</v>
      </c>
    </row>
    <row r="499" spans="1:44">
      <c r="A499" s="343">
        <f>IFERROR(VLOOKUP($G499,基本資料!$A:$J,3,0),"無")</f>
        <v>31.28</v>
      </c>
      <c r="B499" s="79">
        <f>IFERROR(VLOOKUP($G499,基本資料!$A:$J,4,0),"無")</f>
        <v>-17</v>
      </c>
      <c r="C499" s="79">
        <f>IFERROR(VLOOKUP($G499,基本資料!$A:$J,5,0),"無")</f>
        <v>60</v>
      </c>
      <c r="D499" s="79">
        <f>IFERROR(VLOOKUP($G499,基本資料!$A:$J,6,0),"無")</f>
        <v>-7</v>
      </c>
      <c r="E499" s="79">
        <f>IFERROR(VLOOKUP($G499,基本資料!$A:$J,7,0),"無")</f>
        <v>19</v>
      </c>
      <c r="F499" s="6">
        <f>IFERROR(VLOOKUP($G499,基本資料!$A:$J,8,0),"無")</f>
        <v>2.59</v>
      </c>
      <c r="G499" s="79">
        <v>1522</v>
      </c>
      <c r="H499" s="8" t="s">
        <v>301</v>
      </c>
      <c r="I499" s="23" t="s">
        <v>4022</v>
      </c>
      <c r="J499" s="8">
        <f>IFERROR(VLOOKUP($G499,今日總結!$A:$AN,39,0),"")</f>
        <v>4</v>
      </c>
      <c r="K499" s="5">
        <f>IFERROR(VLOOKUP($G499,今日總結!$A:$AN,40,0),"")</f>
        <v>0</v>
      </c>
      <c r="L499" s="156">
        <f>IFERROR(VLOOKUP($G499,今日總結!$A:$AN,37,0),"")</f>
        <v>1</v>
      </c>
      <c r="M499" s="337">
        <f>IFERROR(VLOOKUP($G499,今日總結!$A:$AN,38,0),"")</f>
        <v>0</v>
      </c>
      <c r="N499" s="240">
        <f t="shared" si="103"/>
        <v>1</v>
      </c>
      <c r="O499" s="359">
        <f>IFERROR(VLOOKUP($G499,融外自投!$A:$J,7,0),"無")</f>
        <v>965</v>
      </c>
      <c r="P499" s="79" t="str">
        <f>IFERROR(VLOOKUP($G499,融外自投!$A:$J,9,0),"無")</f>
        <v>無</v>
      </c>
      <c r="Q499" s="342">
        <f>IFERROR(VLOOKUP($G499,融外自投!$A:$J,8,0),"無")</f>
        <v>704</v>
      </c>
      <c r="R499" s="81">
        <f>IFERROR(VLOOKUP($G499,融外自投!$A:$J,10,0),"無")</f>
        <v>377</v>
      </c>
      <c r="S499" s="324">
        <f>IFERROR(VLOOKUP($G499,'321買'!$A:$E,4,0),"'沒有資料'")</f>
        <v>743</v>
      </c>
      <c r="T499" s="186">
        <f>IFERROR(VLOOKUP($G499,基本資料!$A:$J,9,0),"無")</f>
        <v>0.5</v>
      </c>
      <c r="U499" s="307">
        <f t="shared" si="104"/>
        <v>2.3201856148491878E-2</v>
      </c>
      <c r="V499" s="94">
        <f>IFERROR(VLOOKUP($G499,基本資料!$A:$J,10,0),"無")</f>
        <v>0.62</v>
      </c>
      <c r="W499" s="36">
        <f>RTD("money.excel",,"1522","Price")</f>
        <v>21.55</v>
      </c>
      <c r="X499" s="66"/>
      <c r="Y499" s="15">
        <f t="shared" si="105"/>
        <v>21.55</v>
      </c>
      <c r="Z499" s="3" t="e">
        <f t="shared" si="106"/>
        <v>#DIV/0!</v>
      </c>
      <c r="AA499" s="340">
        <f>IFERROR(VLOOKUP($G499,基本資料!$A:$M,11,0),"無")</f>
        <v>-9.26</v>
      </c>
      <c r="AB499" s="389">
        <f>IFERROR(VLOOKUP($G499,基本資料!$A:$M,12,0),"無")</f>
        <v>78.290000000000006</v>
      </c>
      <c r="AC499" s="23" t="s">
        <v>4022</v>
      </c>
      <c r="AF499" s="33">
        <f t="shared" si="107"/>
        <v>0</v>
      </c>
      <c r="AG499" s="119" t="s">
        <v>2088</v>
      </c>
      <c r="AH499" s="66">
        <f t="shared" si="95"/>
        <v>5.0232174182230933</v>
      </c>
      <c r="AI499" s="283">
        <f>RTD("money.excel",,$G499,"PredictVolume")</f>
        <v>7302</v>
      </c>
      <c r="AJ499" s="391">
        <f>IFERROR(VLOOKUP($G499,基本資料!$A:$M,13,0),"無")</f>
        <v>1453.65</v>
      </c>
      <c r="AR499" s="245" t="str">
        <f>INDEX(基本資料!N:N,MATCH($G499,基本資料!A:A,0))</f>
        <v>高</v>
      </c>
    </row>
    <row r="500" spans="1:44">
      <c r="A500" s="343">
        <f>IFERROR(VLOOKUP($G500,基本資料!$A:$J,3,0),"無")</f>
        <v>16.53</v>
      </c>
      <c r="B500" s="79">
        <f>IFERROR(VLOOKUP($G500,基本資料!$A:$J,4,0),"無")</f>
        <v>69</v>
      </c>
      <c r="C500" s="79">
        <f>IFERROR(VLOOKUP($G500,基本資料!$A:$J,5,0),"無")</f>
        <v>51</v>
      </c>
      <c r="D500" s="79">
        <f>IFERROR(VLOOKUP($G500,基本資料!$A:$J,6,0),"無")</f>
        <v>3</v>
      </c>
      <c r="E500" s="79">
        <f>IFERROR(VLOOKUP($G500,基本資料!$A:$J,7,0),"無")</f>
        <v>89</v>
      </c>
      <c r="F500" s="6">
        <f>IFERROR(VLOOKUP($G500,基本資料!$A:$J,8,0),"無")</f>
        <v>4.26</v>
      </c>
      <c r="G500" s="79">
        <v>1524</v>
      </c>
      <c r="H500" s="8" t="s">
        <v>301</v>
      </c>
      <c r="I500" s="22" t="s">
        <v>4023</v>
      </c>
      <c r="J500" s="8">
        <f>IFERROR(VLOOKUP($G500,今日總結!$A:$AN,39,0),"")</f>
        <v>0</v>
      </c>
      <c r="K500" s="5">
        <f>IFERROR(VLOOKUP($G500,今日總結!$A:$AN,40,0),"")</f>
        <v>234</v>
      </c>
      <c r="L500" s="156">
        <f>IFERROR(VLOOKUP($G500,今日總結!$A:$AN,37,0),"")</f>
        <v>0</v>
      </c>
      <c r="M500" s="337">
        <f>IFERROR(VLOOKUP($G500,今日總結!$A:$AN,38,0),"")</f>
        <v>3</v>
      </c>
      <c r="N500" s="240">
        <f t="shared" si="103"/>
        <v>-3</v>
      </c>
      <c r="O500" s="359">
        <f>IFERROR(VLOOKUP($G500,融外自投!$A:$J,7,0),"無")</f>
        <v>226</v>
      </c>
      <c r="P500" s="79">
        <f>IFERROR(VLOOKUP($G500,融外自投!$A:$J,9,0),"無")</f>
        <v>825</v>
      </c>
      <c r="Q500" s="342">
        <f>IFERROR(VLOOKUP($G500,融外自投!$A:$J,8,0),"無")</f>
        <v>1276</v>
      </c>
      <c r="R500" s="81" t="str">
        <f>IFERROR(VLOOKUP($G500,融外自投!$A:$J,10,0),"無")</f>
        <v>無</v>
      </c>
      <c r="S500" s="324">
        <f>IFERROR(VLOOKUP($G500,'321買'!$A:$E,4,0),"'沒有資料'")</f>
        <v>650</v>
      </c>
      <c r="T500" s="186">
        <f>IFERROR(VLOOKUP($G500,基本資料!$A:$J,9,0),"無")</f>
        <v>0.3</v>
      </c>
      <c r="U500" s="307">
        <f t="shared" si="104"/>
        <v>2.1201413427561835E-2</v>
      </c>
      <c r="V500" s="94">
        <f>IFERROR(VLOOKUP($G500,基本資料!$A:$J,10,0),"無")</f>
        <v>0.38</v>
      </c>
      <c r="W500" s="36">
        <f>RTD("money.excel",,"1524","Price")</f>
        <v>14.15</v>
      </c>
      <c r="X500" s="66"/>
      <c r="Y500" s="15">
        <f t="shared" si="105"/>
        <v>14.15</v>
      </c>
      <c r="Z500" s="3" t="e">
        <f t="shared" si="106"/>
        <v>#DIV/0!</v>
      </c>
      <c r="AA500" s="340">
        <f>IFERROR(VLOOKUP($G500,基本資料!$A:$M,11,0),"無")</f>
        <v>-8.7100000000000009</v>
      </c>
      <c r="AB500" s="389">
        <f>IFERROR(VLOOKUP($G500,基本資料!$A:$M,12,0),"無")</f>
        <v>74.55</v>
      </c>
      <c r="AC500" s="22" t="s">
        <v>4023</v>
      </c>
      <c r="AF500" s="33">
        <f t="shared" si="107"/>
        <v>0</v>
      </c>
      <c r="AG500" s="119" t="s">
        <v>4024</v>
      </c>
      <c r="AH500" s="66">
        <f t="shared" si="95"/>
        <v>1.9228698751660365</v>
      </c>
      <c r="AI500" s="283">
        <f>RTD("money.excel",,$G500,"PredictVolume")</f>
        <v>30183</v>
      </c>
      <c r="AJ500" s="391">
        <f>IFERROR(VLOOKUP($G500,基本資料!$A:$M,13,0),"無")</f>
        <v>15696.85</v>
      </c>
      <c r="AR500" s="245" t="str">
        <f>INDEX(基本資料!N:N,MATCH($G500,基本資料!A:A,0))</f>
        <v>高</v>
      </c>
    </row>
    <row r="501" spans="1:44">
      <c r="A501" s="343">
        <f>IFERROR(VLOOKUP($G501,基本資料!$A:$J,3,0),"無")</f>
        <v>7.34</v>
      </c>
      <c r="B501" s="79">
        <f>IFERROR(VLOOKUP($G501,基本資料!$A:$J,4,0),"無")</f>
        <v>-5</v>
      </c>
      <c r="C501" s="79">
        <f>IFERROR(VLOOKUP($G501,基本資料!$A:$J,5,0),"無")</f>
        <v>130</v>
      </c>
      <c r="D501" s="79">
        <f>IFERROR(VLOOKUP($G501,基本資料!$A:$J,6,0),"無")</f>
        <v>-8</v>
      </c>
      <c r="E501" s="79">
        <f>IFERROR(VLOOKUP($G501,基本資料!$A:$J,7,0),"無")</f>
        <v>0</v>
      </c>
      <c r="F501" s="6">
        <f>IFERROR(VLOOKUP($G501,基本資料!$A:$J,8,0),"無")</f>
        <v>1.1399999999999999</v>
      </c>
      <c r="G501" s="79">
        <v>1525</v>
      </c>
      <c r="H501" s="8" t="s">
        <v>301</v>
      </c>
      <c r="I501" s="22" t="s">
        <v>4025</v>
      </c>
      <c r="J501" s="8">
        <f>IFERROR(VLOOKUP($G501,今日總結!$A:$AN,39,0),"")</f>
        <v>0</v>
      </c>
      <c r="K501" s="5">
        <f>IFERROR(VLOOKUP($G501,今日總結!$A:$AN,40,0),"")</f>
        <v>0</v>
      </c>
      <c r="L501" s="156">
        <f>IFERROR(VLOOKUP($G501,今日總結!$A:$AN,37,0),"")</f>
        <v>0</v>
      </c>
      <c r="M501" s="337">
        <f>IFERROR(VLOOKUP($G501,今日總結!$A:$AN,38,0),"")</f>
        <v>0</v>
      </c>
      <c r="N501" s="240">
        <f t="shared" si="103"/>
        <v>0</v>
      </c>
      <c r="O501" s="359">
        <f>IFERROR(VLOOKUP($G501,融外自投!$A:$J,7,0),"無")</f>
        <v>726</v>
      </c>
      <c r="P501" s="79" t="str">
        <f>IFERROR(VLOOKUP($G501,融外自投!$A:$J,9,0),"無")</f>
        <v>無</v>
      </c>
      <c r="Q501" s="342">
        <f>IFERROR(VLOOKUP($G501,融外自投!$A:$J,8,0),"無")</f>
        <v>1387</v>
      </c>
      <c r="R501" s="81" t="str">
        <f>IFERROR(VLOOKUP($G501,融外自投!$A:$J,10,0),"無")</f>
        <v>無</v>
      </c>
      <c r="S501" s="324">
        <f>IFERROR(VLOOKUP($G501,'321買'!$A:$E,4,0),"'沒有資料'")</f>
        <v>1002</v>
      </c>
      <c r="T501" s="186">
        <f>IFERROR(VLOOKUP($G501,基本資料!$A:$J,9,0),"無")</f>
        <v>2.1</v>
      </c>
      <c r="U501" s="307">
        <f t="shared" si="104"/>
        <v>3.6777583187390543E-2</v>
      </c>
      <c r="V501" s="94">
        <f>IFERROR(VLOOKUP($G501,基本資料!$A:$J,10,0),"無")</f>
        <v>4.18</v>
      </c>
      <c r="W501" s="36">
        <f>RTD("money.excel",,"1525","Price")</f>
        <v>57.1</v>
      </c>
      <c r="X501" s="66"/>
      <c r="Y501" s="15">
        <f t="shared" si="105"/>
        <v>57.1</v>
      </c>
      <c r="Z501" s="3" t="e">
        <f t="shared" si="106"/>
        <v>#DIV/0!</v>
      </c>
      <c r="AA501" s="340">
        <f>IFERROR(VLOOKUP($G501,基本資料!$A:$M,11,0),"無")</f>
        <v>-25.75</v>
      </c>
      <c r="AB501" s="389">
        <f>IFERROR(VLOOKUP($G501,基本資料!$A:$M,12,0),"無")</f>
        <v>25.72</v>
      </c>
      <c r="AC501" s="22" t="s">
        <v>4025</v>
      </c>
      <c r="AD501" s="110"/>
      <c r="AF501" s="33">
        <f t="shared" si="107"/>
        <v>0</v>
      </c>
      <c r="AG501" s="43" t="s">
        <v>4026</v>
      </c>
      <c r="AH501" s="66">
        <f t="shared" si="95"/>
        <v>0.71599045346062051</v>
      </c>
      <c r="AI501" s="283">
        <f>RTD("money.excel",,$G501,"PredictVolume")</f>
        <v>15</v>
      </c>
      <c r="AJ501" s="391">
        <f>IFERROR(VLOOKUP($G501,基本資料!$A:$M,13,0),"無")</f>
        <v>20.95</v>
      </c>
      <c r="AR501" s="245" t="str">
        <f>INDEX(基本資料!N:N,MATCH($G501,基本資料!A:A,0))</f>
        <v>低</v>
      </c>
    </row>
    <row r="502" spans="1:44">
      <c r="A502" s="343">
        <f>IFERROR(VLOOKUP($G502,基本資料!$A:$J,3,0),"無")</f>
        <v>9.85</v>
      </c>
      <c r="B502" s="79">
        <f>IFERROR(VLOOKUP($G502,基本資料!$A:$J,4,0),"無")</f>
        <v>357</v>
      </c>
      <c r="C502" s="79">
        <f>IFERROR(VLOOKUP($G502,基本資料!$A:$J,5,0),"無")</f>
        <v>-54</v>
      </c>
      <c r="D502" s="79">
        <f>IFERROR(VLOOKUP($G502,基本資料!$A:$J,6,0),"無")</f>
        <v>-7</v>
      </c>
      <c r="E502" s="79">
        <f>IFERROR(VLOOKUP($G502,基本資料!$A:$J,7,0),"無")</f>
        <v>-7</v>
      </c>
      <c r="F502" s="6">
        <f>IFERROR(VLOOKUP($G502,基本資料!$A:$J,8,0),"無")</f>
        <v>0.99</v>
      </c>
      <c r="G502" s="79">
        <v>1533</v>
      </c>
      <c r="H502" s="8" t="s">
        <v>301</v>
      </c>
      <c r="I502" s="23" t="s">
        <v>4027</v>
      </c>
      <c r="J502" s="8">
        <f>IFERROR(VLOOKUP($G502,今日總結!$A:$AN,39,0),"")</f>
        <v>0</v>
      </c>
      <c r="K502" s="5">
        <f>IFERROR(VLOOKUP($G502,今日總結!$A:$AN,40,0),"")</f>
        <v>0</v>
      </c>
      <c r="L502" s="156">
        <f>IFERROR(VLOOKUP($G502,今日總結!$A:$AN,37,0),"")</f>
        <v>0</v>
      </c>
      <c r="M502" s="337">
        <f>IFERROR(VLOOKUP($G502,今日總結!$A:$AN,38,0),"")</f>
        <v>0</v>
      </c>
      <c r="N502" s="240">
        <f t="shared" si="103"/>
        <v>0</v>
      </c>
      <c r="O502" s="359">
        <f>IFERROR(VLOOKUP($G502,融外自投!$A:$J,7,0),"無")</f>
        <v>539</v>
      </c>
      <c r="P502" s="79" t="str">
        <f>IFERROR(VLOOKUP($G502,融外自投!$A:$J,9,0),"無")</f>
        <v>無</v>
      </c>
      <c r="Q502" s="342">
        <f>IFERROR(VLOOKUP($G502,融外自投!$A:$J,8,0),"無")</f>
        <v>710</v>
      </c>
      <c r="R502" s="81" t="str">
        <f>IFERROR(VLOOKUP($G502,融外自投!$A:$J,10,0),"無")</f>
        <v>無</v>
      </c>
      <c r="S502" s="324">
        <f>IFERROR(VLOOKUP($G502,'321買'!$A:$E,4,0),"'沒有資料'")</f>
        <v>465</v>
      </c>
      <c r="T502" s="186">
        <f>IFERROR(VLOOKUP($G502,基本資料!$A:$J,9,0),"無")</f>
        <v>0.3</v>
      </c>
      <c r="U502" s="307">
        <f t="shared" si="104"/>
        <v>5.3571428571428572E-3</v>
      </c>
      <c r="V502" s="94">
        <f>IFERROR(VLOOKUP($G502,基本資料!$A:$J,10,0),"無")</f>
        <v>0.88</v>
      </c>
      <c r="W502" s="36">
        <f>RTD("money.excel",,"1533","Price")</f>
        <v>56</v>
      </c>
      <c r="X502" s="66"/>
      <c r="Y502" s="15">
        <f t="shared" si="105"/>
        <v>56</v>
      </c>
      <c r="Z502" s="3" t="e">
        <f t="shared" si="106"/>
        <v>#DIV/0!</v>
      </c>
      <c r="AA502" s="340">
        <f>IFERROR(VLOOKUP($G502,基本資料!$A:$M,11,0),"無")</f>
        <v>-27.37</v>
      </c>
      <c r="AB502" s="389">
        <f>IFERROR(VLOOKUP($G502,基本資料!$A:$M,12,0),"無")</f>
        <v>27.15</v>
      </c>
      <c r="AC502" s="23" t="s">
        <v>4027</v>
      </c>
      <c r="AF502" s="33">
        <f t="shared" si="107"/>
        <v>0</v>
      </c>
      <c r="AG502" s="119" t="s">
        <v>4028</v>
      </c>
      <c r="AH502" s="66">
        <f t="shared" si="95"/>
        <v>0.21982464562751095</v>
      </c>
      <c r="AI502" s="283">
        <f>RTD("money.excel",,$G502,"PredictVolume")</f>
        <v>870</v>
      </c>
      <c r="AJ502" s="391">
        <f>IFERROR(VLOOKUP($G502,基本資料!$A:$M,13,0),"無")</f>
        <v>3957.7</v>
      </c>
      <c r="AR502" s="245" t="str">
        <f>INDEX(基本資料!N:N,MATCH($G502,基本資料!A:A,0))</f>
        <v>中</v>
      </c>
    </row>
    <row r="503" spans="1:44">
      <c r="A503" s="343">
        <f>IFERROR(VLOOKUP($G503,基本資料!$A:$J,3,0),"無")</f>
        <v>27.95</v>
      </c>
      <c r="B503" s="79">
        <f>IFERROR(VLOOKUP($G503,基本資料!$A:$J,4,0),"無")</f>
        <v>19</v>
      </c>
      <c r="C503" s="79">
        <f>IFERROR(VLOOKUP($G503,基本資料!$A:$J,5,0),"無")</f>
        <v>13</v>
      </c>
      <c r="D503" s="79">
        <f>IFERROR(VLOOKUP($G503,基本資料!$A:$J,6,0),"無")</f>
        <v>1</v>
      </c>
      <c r="E503" s="79">
        <f>IFERROR(VLOOKUP($G503,基本資料!$A:$J,7,0),"無")</f>
        <v>13</v>
      </c>
      <c r="F503" s="6">
        <f>IFERROR(VLOOKUP($G503,基本資料!$A:$J,8,0),"無")</f>
        <v>6.75</v>
      </c>
      <c r="G503" s="79">
        <v>1536</v>
      </c>
      <c r="H503" s="8" t="s">
        <v>301</v>
      </c>
      <c r="I503" s="22" t="s">
        <v>4029</v>
      </c>
      <c r="J503" s="8">
        <f>IFERROR(VLOOKUP($G503,今日總結!$A:$AN,39,0),"")</f>
        <v>0</v>
      </c>
      <c r="K503" s="5">
        <f>IFERROR(VLOOKUP($G503,今日總結!$A:$AN,40,0),"")</f>
        <v>0</v>
      </c>
      <c r="L503" s="156">
        <f>IFERROR(VLOOKUP($G503,今日總結!$A:$AN,37,0),"")</f>
        <v>0</v>
      </c>
      <c r="M503" s="337">
        <f>IFERROR(VLOOKUP($G503,今日總結!$A:$AN,38,0),"")</f>
        <v>0</v>
      </c>
      <c r="N503" s="240">
        <f t="shared" si="103"/>
        <v>0</v>
      </c>
      <c r="O503" s="359">
        <f>IFERROR(VLOOKUP($G503,融外自投!$A:$J,7,0),"無")</f>
        <v>735</v>
      </c>
      <c r="P503" s="79">
        <f>IFERROR(VLOOKUP($G503,融外自投!$A:$J,9,0),"無")</f>
        <v>331</v>
      </c>
      <c r="Q503" s="342">
        <f>IFERROR(VLOOKUP($G503,融外自投!$A:$J,8,0),"無")</f>
        <v>447</v>
      </c>
      <c r="R503" s="81">
        <f>IFERROR(VLOOKUP($G503,融外自投!$A:$J,10,0),"無")</f>
        <v>495</v>
      </c>
      <c r="S503" s="324">
        <f>IFERROR(VLOOKUP($G503,'321買'!$A:$E,4,0),"'沒有資料'")</f>
        <v>1002</v>
      </c>
      <c r="T503" s="186">
        <f>IFERROR(VLOOKUP($G503,基本資料!$A:$J,9,0),"無")</f>
        <v>1.36</v>
      </c>
      <c r="U503" s="307">
        <f t="shared" si="104"/>
        <v>1.9681620839363246E-2</v>
      </c>
      <c r="V503" s="94">
        <f>IFERROR(VLOOKUP($G503,基本資料!$A:$J,10,0),"無")</f>
        <v>1.23</v>
      </c>
      <c r="W503" s="36">
        <f>RTD("money.excel",,"1536","Price")</f>
        <v>69.099999999999994</v>
      </c>
      <c r="X503" s="66"/>
      <c r="Y503" s="15">
        <f t="shared" si="105"/>
        <v>69.099999999999994</v>
      </c>
      <c r="Z503" s="3" t="e">
        <f t="shared" si="106"/>
        <v>#DIV/0!</v>
      </c>
      <c r="AA503" s="340">
        <f>IFERROR(VLOOKUP($G503,基本資料!$A:$M,11,0),"無")</f>
        <v>-39.909999999999997</v>
      </c>
      <c r="AB503" s="389">
        <f>IFERROR(VLOOKUP($G503,基本資料!$A:$M,12,0),"無")</f>
        <v>22.8</v>
      </c>
      <c r="AC503" s="22" t="s">
        <v>4029</v>
      </c>
      <c r="AF503" s="33">
        <f t="shared" si="107"/>
        <v>0</v>
      </c>
      <c r="AG503" s="117" t="s">
        <v>4030</v>
      </c>
      <c r="AH503" s="66">
        <f t="shared" si="95"/>
        <v>1.0137924975841166</v>
      </c>
      <c r="AI503" s="283">
        <f>RTD("money.excel",,$G503,"PredictVolume")</f>
        <v>577</v>
      </c>
      <c r="AJ503" s="391">
        <f>IFERROR(VLOOKUP($G503,基本資料!$A:$M,13,0),"無")</f>
        <v>569.15</v>
      </c>
      <c r="AR503" s="245" t="str">
        <f>INDEX(基本資料!N:N,MATCH($G503,基本資料!A:A,0))</f>
        <v>低</v>
      </c>
    </row>
    <row r="504" spans="1:44">
      <c r="A504" s="343">
        <f>IFERROR(VLOOKUP($G504,基本資料!$A:$J,3,0),"無")</f>
        <v>10.3</v>
      </c>
      <c r="B504" s="79">
        <f>IFERROR(VLOOKUP($G504,基本資料!$A:$J,4,0),"無")</f>
        <v>187</v>
      </c>
      <c r="C504" s="79">
        <f>IFERROR(VLOOKUP($G504,基本資料!$A:$J,5,0),"無")</f>
        <v>259</v>
      </c>
      <c r="D504" s="79">
        <f>IFERROR(VLOOKUP($G504,基本資料!$A:$J,6,0),"無")</f>
        <v>-27</v>
      </c>
      <c r="E504" s="79">
        <f>IFERROR(VLOOKUP($G504,基本資料!$A:$J,7,0),"無")</f>
        <v>-16</v>
      </c>
      <c r="F504" s="6">
        <f>IFERROR(VLOOKUP($G504,基本資料!$A:$J,8,0),"無")</f>
        <v>1.8</v>
      </c>
      <c r="G504" s="79">
        <v>1568</v>
      </c>
      <c r="H504" s="8" t="s">
        <v>301</v>
      </c>
      <c r="I504" s="22" t="s">
        <v>4031</v>
      </c>
      <c r="J504" s="8">
        <f>IFERROR(VLOOKUP($G504,今日總結!$A:$AN,39,0),"")</f>
        <v>0</v>
      </c>
      <c r="K504" s="5">
        <f>IFERROR(VLOOKUP($G504,今日總結!$A:$AN,40,0),"")</f>
        <v>0</v>
      </c>
      <c r="L504" s="156">
        <f>IFERROR(VLOOKUP($G504,今日總結!$A:$AN,37,0),"")</f>
        <v>0</v>
      </c>
      <c r="M504" s="337">
        <f>IFERROR(VLOOKUP($G504,今日總結!$A:$AN,38,0),"")</f>
        <v>0</v>
      </c>
      <c r="N504" s="240">
        <f t="shared" si="103"/>
        <v>0</v>
      </c>
      <c r="O504" s="359">
        <f>IFERROR(VLOOKUP($G504,融外自投!$A:$J,7,0),"無")</f>
        <v>829</v>
      </c>
      <c r="P504" s="79">
        <f>IFERROR(VLOOKUP($G504,融外自投!$A:$J,9,0),"無")</f>
        <v>790</v>
      </c>
      <c r="Q504" s="342">
        <f>IFERROR(VLOOKUP($G504,融外自投!$A:$J,8,0),"無")</f>
        <v>1186</v>
      </c>
      <c r="R504" s="81" t="str">
        <f>IFERROR(VLOOKUP($G504,融外自投!$A:$J,10,0),"無")</f>
        <v>無</v>
      </c>
      <c r="S504" s="324">
        <f>IFERROR(VLOOKUP($G504,'321買'!$A:$E,4,0),"'沒有資料'")</f>
        <v>1002</v>
      </c>
      <c r="T504" s="186">
        <f>IFERROR(VLOOKUP($G504,基本資料!$A:$J,9,0),"無")</f>
        <v>0.3</v>
      </c>
      <c r="U504" s="307">
        <f t="shared" si="104"/>
        <v>1.5748031496062992E-2</v>
      </c>
      <c r="V504" s="94">
        <f>IFERROR(VLOOKUP($G504,基本資料!$A:$J,10,0),"無")</f>
        <v>0.28999999999999998</v>
      </c>
      <c r="W504" s="36">
        <f>RTD("money.excel",,"1568","Price")</f>
        <v>19.05</v>
      </c>
      <c r="X504" s="66"/>
      <c r="Y504" s="15">
        <f t="shared" si="105"/>
        <v>19.05</v>
      </c>
      <c r="Z504" s="3" t="e">
        <f t="shared" si="106"/>
        <v>#DIV/0!</v>
      </c>
      <c r="AA504" s="340">
        <f>IFERROR(VLOOKUP($G504,基本資料!$A:$M,11,0),"無")</f>
        <v>-38.35</v>
      </c>
      <c r="AB504" s="389">
        <f>IFERROR(VLOOKUP($G504,基本資料!$A:$M,12,0),"無")</f>
        <v>14.61</v>
      </c>
      <c r="AC504" s="22" t="s">
        <v>4031</v>
      </c>
      <c r="AF504" s="33">
        <f t="shared" si="107"/>
        <v>0</v>
      </c>
      <c r="AG504" s="43" t="s">
        <v>4032</v>
      </c>
      <c r="AH504" s="66">
        <f t="shared" si="95"/>
        <v>0.71782178217821779</v>
      </c>
      <c r="AI504" s="283">
        <f>RTD("money.excel",,$G504,"PredictVolume")</f>
        <v>58</v>
      </c>
      <c r="AJ504" s="391">
        <f>IFERROR(VLOOKUP($G504,基本資料!$A:$M,13,0),"無")</f>
        <v>80.8</v>
      </c>
      <c r="AR504" s="245" t="str">
        <f>INDEX(基本資料!N:N,MATCH($G504,基本資料!A:A,0))</f>
        <v>低</v>
      </c>
    </row>
    <row r="505" spans="1:44">
      <c r="A505" s="343">
        <f>IFERROR(VLOOKUP($G505,基本資料!$A:$J,3,0),"無")</f>
        <v>6.86</v>
      </c>
      <c r="B505" s="79">
        <f>IFERROR(VLOOKUP($G505,基本資料!$A:$J,4,0),"無")</f>
        <v>-40</v>
      </c>
      <c r="C505" s="79">
        <f>IFERROR(VLOOKUP($G505,基本資料!$A:$J,5,0),"無")</f>
        <v>19</v>
      </c>
      <c r="D505" s="79">
        <f>IFERROR(VLOOKUP($G505,基本資料!$A:$J,6,0),"無")</f>
        <v>-3</v>
      </c>
      <c r="E505" s="79">
        <f>IFERROR(VLOOKUP($G505,基本資料!$A:$J,7,0),"無")</f>
        <v>1</v>
      </c>
      <c r="F505" s="6">
        <f>IFERROR(VLOOKUP($G505,基本資料!$A:$J,8,0),"無")</f>
        <v>6.66</v>
      </c>
      <c r="G505" s="79">
        <v>1587</v>
      </c>
      <c r="H505" s="8" t="s">
        <v>301</v>
      </c>
      <c r="I505" s="22" t="s">
        <v>4033</v>
      </c>
      <c r="J505" s="8">
        <f>IFERROR(VLOOKUP($G505,今日總結!$A:$AN,39,0),"")</f>
        <v>0</v>
      </c>
      <c r="K505" s="5">
        <f>IFERROR(VLOOKUP($G505,今日總結!$A:$AN,40,0),"")</f>
        <v>0</v>
      </c>
      <c r="L505" s="156">
        <f>IFERROR(VLOOKUP($G505,今日總結!$A:$AN,37,0),"")</f>
        <v>0</v>
      </c>
      <c r="M505" s="337">
        <f>IFERROR(VLOOKUP($G505,今日總結!$A:$AN,38,0),"")</f>
        <v>0</v>
      </c>
      <c r="N505" s="240">
        <f t="shared" si="103"/>
        <v>0</v>
      </c>
      <c r="O505" s="359">
        <f>IFERROR(VLOOKUP($G505,融外自投!$A:$J,7,0),"無")</f>
        <v>868</v>
      </c>
      <c r="P505" s="79">
        <f>IFERROR(VLOOKUP($G505,融外自投!$A:$J,9,0),"無")</f>
        <v>990</v>
      </c>
      <c r="Q505" s="342">
        <f>IFERROR(VLOOKUP($G505,融外自投!$A:$J,8,0),"無")</f>
        <v>267</v>
      </c>
      <c r="R505" s="81" t="str">
        <f>IFERROR(VLOOKUP($G505,融外自投!$A:$J,10,0),"無")</f>
        <v>無</v>
      </c>
      <c r="S505" s="324">
        <f>IFERROR(VLOOKUP($G505,'321買'!$A:$E,4,0),"'沒有資料'")</f>
        <v>1002</v>
      </c>
      <c r="T505" s="186">
        <f>IFERROR(VLOOKUP($G505,基本資料!$A:$J,9,0),"無")</f>
        <v>1</v>
      </c>
      <c r="U505" s="307">
        <f t="shared" si="104"/>
        <v>4.4247787610619468E-2</v>
      </c>
      <c r="V505" s="94">
        <f>IFERROR(VLOOKUP($G505,基本資料!$A:$J,10,0),"無")</f>
        <v>1.49</v>
      </c>
      <c r="W505" s="36">
        <f>RTD("money.excel",,"1587","Price")</f>
        <v>22.6</v>
      </c>
      <c r="X505" s="66"/>
      <c r="Y505" s="15">
        <f t="shared" si="105"/>
        <v>22.6</v>
      </c>
      <c r="Z505" s="3" t="e">
        <f t="shared" si="106"/>
        <v>#DIV/0!</v>
      </c>
      <c r="AA505" s="340">
        <f>IFERROR(VLOOKUP($G505,基本資料!$A:$M,11,0),"無")</f>
        <v>-28.03</v>
      </c>
      <c r="AB505" s="389">
        <f>IFERROR(VLOOKUP($G505,基本資料!$A:$M,12,0),"無")</f>
        <v>11.13</v>
      </c>
      <c r="AC505" s="22" t="s">
        <v>4033</v>
      </c>
      <c r="AF505" s="33">
        <f t="shared" si="107"/>
        <v>0</v>
      </c>
      <c r="AG505" s="43" t="s">
        <v>4034</v>
      </c>
      <c r="AH505" s="66">
        <f t="shared" si="95"/>
        <v>1.3579049466537343</v>
      </c>
      <c r="AI505" s="283">
        <f>RTD("money.excel",,$G505,"PredictVolume")</f>
        <v>70</v>
      </c>
      <c r="AJ505" s="391">
        <f>IFERROR(VLOOKUP($G505,基本資料!$A:$M,13,0),"無")</f>
        <v>51.55</v>
      </c>
      <c r="AR505" s="245" t="str">
        <f>INDEX(基本資料!N:N,MATCH($G505,基本資料!A:A,0))</f>
        <v>低</v>
      </c>
    </row>
    <row r="506" spans="1:44">
      <c r="A506" s="343">
        <f>IFERROR(VLOOKUP($G506,基本資料!$A:$J,3,0),"無")</f>
        <v>9.94</v>
      </c>
      <c r="B506" s="79">
        <f>IFERROR(VLOOKUP($G506,基本資料!$A:$J,4,0),"無")</f>
        <v>-32</v>
      </c>
      <c r="C506" s="79">
        <f>IFERROR(VLOOKUP($G506,基本資料!$A:$J,5,0),"無")</f>
        <v>43</v>
      </c>
      <c r="D506" s="79">
        <f>IFERROR(VLOOKUP($G506,基本資料!$A:$J,6,0),"無")</f>
        <v>-1</v>
      </c>
      <c r="E506" s="79">
        <f>IFERROR(VLOOKUP($G506,基本資料!$A:$J,7,0),"無")</f>
        <v>-5</v>
      </c>
      <c r="F506" s="6">
        <f>IFERROR(VLOOKUP($G506,基本資料!$A:$J,8,0),"無")</f>
        <v>13.88</v>
      </c>
      <c r="G506" s="79">
        <v>2115</v>
      </c>
      <c r="H506" s="8" t="s">
        <v>301</v>
      </c>
      <c r="I506" s="22" t="s">
        <v>242</v>
      </c>
      <c r="J506" s="8" t="str">
        <f>IFERROR(VLOOKUP($G506,今日總結!$A:$AN,39,0),"")</f>
        <v>外</v>
      </c>
      <c r="K506" s="5">
        <f>IFERROR(VLOOKUP($G506,今日總結!$A:$AN,40,0),"")</f>
        <v>0</v>
      </c>
      <c r="L506" s="156">
        <f>IFERROR(VLOOKUP($G506,今日總結!$A:$AN,37,0),"")</f>
        <v>5</v>
      </c>
      <c r="M506" s="337">
        <f>IFERROR(VLOOKUP($G506,今日總結!$A:$AN,38,0),"")</f>
        <v>0</v>
      </c>
      <c r="N506" s="240">
        <f t="shared" ref="N506:N526" si="108">IFERROR(L506-M506,"")</f>
        <v>5</v>
      </c>
      <c r="O506" s="359">
        <f>IFERROR(VLOOKUP($G506,融外自投!$A:$J,7,0),"無")</f>
        <v>1352</v>
      </c>
      <c r="P506" s="79">
        <f>IFERROR(VLOOKUP($G506,融外自投!$A:$J,9,0),"無")</f>
        <v>869</v>
      </c>
      <c r="Q506" s="342">
        <f>IFERROR(VLOOKUP($G506,融外自投!$A:$J,8,0),"無")</f>
        <v>92</v>
      </c>
      <c r="R506" s="81" t="str">
        <f>IFERROR(VLOOKUP($G506,融外自投!$A:$J,10,0),"無")</f>
        <v>無</v>
      </c>
      <c r="S506" s="324">
        <f>IFERROR(VLOOKUP($G506,'321買'!$A:$E,4,0),"'沒有資料'")</f>
        <v>1002</v>
      </c>
      <c r="T506" s="186">
        <f>IFERROR(VLOOKUP($G506,基本資料!$A:$J,9,0),"無")</f>
        <v>1.6</v>
      </c>
      <c r="U506" s="307">
        <f t="shared" si="104"/>
        <v>4.6376811594202899E-2</v>
      </c>
      <c r="V506" s="94">
        <f>IFERROR(VLOOKUP($G506,基本資料!$A:$J,10,0),"無")</f>
        <v>4.0199999999999996</v>
      </c>
      <c r="W506" s="36">
        <f>RTD("money.excel",,"2115","Price")</f>
        <v>34.5</v>
      </c>
      <c r="X506" s="66"/>
      <c r="Y506" s="15">
        <f t="shared" si="105"/>
        <v>34.5</v>
      </c>
      <c r="Z506" s="3" t="e">
        <f t="shared" si="106"/>
        <v>#DIV/0!</v>
      </c>
      <c r="AA506" s="340">
        <f>IFERROR(VLOOKUP($G506,基本資料!$A:$M,11,0),"無")</f>
        <v>-32.35</v>
      </c>
      <c r="AB506" s="389">
        <f>IFERROR(VLOOKUP($G506,基本資料!$A:$M,12,0),"無")</f>
        <v>6.62</v>
      </c>
      <c r="AC506" s="22" t="s">
        <v>242</v>
      </c>
      <c r="AF506" s="33">
        <f t="shared" si="107"/>
        <v>0</v>
      </c>
      <c r="AG506" s="119" t="s">
        <v>2784</v>
      </c>
      <c r="AH506" s="66">
        <f t="shared" si="95"/>
        <v>1.0424028268551238</v>
      </c>
      <c r="AI506" s="283">
        <f>RTD("money.excel",,$G506,"PredictVolume")</f>
        <v>59</v>
      </c>
      <c r="AJ506" s="391">
        <f>IFERROR(VLOOKUP($G506,基本資料!$A:$M,13,0),"無")</f>
        <v>56.6</v>
      </c>
      <c r="AR506" s="245" t="str">
        <f>INDEX(基本資料!N:N,MATCH($G506,基本資料!A:A,0))</f>
        <v>低</v>
      </c>
    </row>
    <row r="507" spans="1:44">
      <c r="A507" s="343">
        <f>IFERROR(VLOOKUP($G507,基本資料!$A:$J,3,0),"無")</f>
        <v>100</v>
      </c>
      <c r="B507" s="79">
        <f>IFERROR(VLOOKUP($G507,基本資料!$A:$J,4,0),"無")</f>
        <v>59</v>
      </c>
      <c r="C507" s="79">
        <f>IFERROR(VLOOKUP($G507,基本資料!$A:$J,5,0),"無")</f>
        <v>685</v>
      </c>
      <c r="D507" s="79">
        <f>IFERROR(VLOOKUP($G507,基本資料!$A:$J,6,0),"無")</f>
        <v>-12</v>
      </c>
      <c r="E507" s="79">
        <f>IFERROR(VLOOKUP($G507,基本資料!$A:$J,7,0),"無")</f>
        <v>-4</v>
      </c>
      <c r="F507" s="6">
        <f>IFERROR(VLOOKUP($G507,基本資料!$A:$J,8,0),"無")</f>
        <v>9.14</v>
      </c>
      <c r="G507" s="79">
        <v>2201</v>
      </c>
      <c r="H507" s="8" t="s">
        <v>301</v>
      </c>
      <c r="I507" s="22" t="s">
        <v>30</v>
      </c>
      <c r="J507" s="8">
        <f>IFERROR(VLOOKUP($G507,今日總結!$A:$AN,39,0),"")</f>
        <v>4</v>
      </c>
      <c r="K507" s="5" t="str">
        <f>IFERROR(VLOOKUP($G507,今日總結!$A:$AN,40,0),"")</f>
        <v>借券</v>
      </c>
      <c r="L507" s="156">
        <f>IFERROR(VLOOKUP($G507,今日總結!$A:$AN,37,0),"")</f>
        <v>1</v>
      </c>
      <c r="M507" s="337">
        <f>IFERROR(VLOOKUP($G507,今日總結!$A:$AN,38,0),"")</f>
        <v>3</v>
      </c>
      <c r="N507" s="240">
        <f t="shared" si="108"/>
        <v>-2</v>
      </c>
      <c r="O507" s="359">
        <f>IFERROR(VLOOKUP($G507,融外自投!$A:$J,7,0),"無")</f>
        <v>900</v>
      </c>
      <c r="P507" s="79">
        <f>IFERROR(VLOOKUP($G507,融外自投!$A:$J,9,0),"無")</f>
        <v>190</v>
      </c>
      <c r="Q507" s="342">
        <f>IFERROR(VLOOKUP($G507,融外自投!$A:$J,8,0),"無")</f>
        <v>574</v>
      </c>
      <c r="R507" s="81">
        <f>IFERROR(VLOOKUP($G507,融外自投!$A:$J,10,0),"無")</f>
        <v>459</v>
      </c>
      <c r="S507" s="324">
        <f>IFERROR(VLOOKUP($G507,'321買'!$A:$E,4,0),"'沒有資料'")</f>
        <v>530</v>
      </c>
      <c r="T507" s="186">
        <f>IFERROR(VLOOKUP($G507,基本資料!$A:$J,9,0),"無")</f>
        <v>1.5</v>
      </c>
      <c r="U507" s="307">
        <f t="shared" si="104"/>
        <v>3.5714285714285712E-2</v>
      </c>
      <c r="V507" s="94">
        <f>IFERROR(VLOOKUP($G507,基本資料!$A:$J,10,0),"無")</f>
        <v>4.82</v>
      </c>
      <c r="W507" s="36">
        <f>RTD("money.excel",,"2201","Price")</f>
        <v>42</v>
      </c>
      <c r="X507" s="66"/>
      <c r="Y507" s="15">
        <f t="shared" si="105"/>
        <v>42</v>
      </c>
      <c r="Z507" s="3" t="e">
        <f t="shared" si="106"/>
        <v>#DIV/0!</v>
      </c>
      <c r="AA507" s="340">
        <f>IFERROR(VLOOKUP($G507,基本資料!$A:$M,11,0),"無")</f>
        <v>-7.39</v>
      </c>
      <c r="AB507" s="389">
        <f>IFERROR(VLOOKUP($G507,基本資料!$A:$M,12,0),"無")</f>
        <v>62.24</v>
      </c>
      <c r="AC507" s="22" t="s">
        <v>30</v>
      </c>
      <c r="AF507" s="33">
        <f t="shared" si="107"/>
        <v>0</v>
      </c>
      <c r="AG507" s="117" t="s">
        <v>1412</v>
      </c>
      <c r="AH507" s="66">
        <f t="shared" si="95"/>
        <v>5.1267822078032959</v>
      </c>
      <c r="AI507" s="283">
        <f>RTD("money.excel",,$G507,"PredictVolume")</f>
        <v>12010</v>
      </c>
      <c r="AJ507" s="391">
        <f>IFERROR(VLOOKUP($G507,基本資料!$A:$M,13,0),"無")</f>
        <v>2342.6</v>
      </c>
      <c r="AR507" s="245" t="str">
        <f>INDEX(基本資料!N:N,MATCH($G507,基本資料!A:A,0))</f>
        <v>中</v>
      </c>
    </row>
    <row r="508" spans="1:44">
      <c r="A508" s="343">
        <f>IFERROR(VLOOKUP($G508,基本資料!$A:$J,3,0),"無")</f>
        <v>55.36</v>
      </c>
      <c r="B508" s="79">
        <f>IFERROR(VLOOKUP($G508,基本資料!$A:$J,4,0),"無")</f>
        <v>24</v>
      </c>
      <c r="C508" s="79">
        <f>IFERROR(VLOOKUP($G508,基本資料!$A:$J,5,0),"無")</f>
        <v>14</v>
      </c>
      <c r="D508" s="79">
        <f>IFERROR(VLOOKUP($G508,基本資料!$A:$J,6,0),"無")</f>
        <v>0</v>
      </c>
      <c r="E508" s="79">
        <f>IFERROR(VLOOKUP($G508,基本資料!$A:$J,7,0),"無")</f>
        <v>-3</v>
      </c>
      <c r="F508" s="6">
        <f>IFERROR(VLOOKUP($G508,基本資料!$A:$J,8,0),"無")</f>
        <v>6.55</v>
      </c>
      <c r="G508" s="79">
        <v>2204</v>
      </c>
      <c r="H508" s="8" t="s">
        <v>301</v>
      </c>
      <c r="I508" s="22" t="s">
        <v>164</v>
      </c>
      <c r="J508" s="8">
        <f>IFERROR(VLOOKUP($G508,今日總結!$A:$AN,39,0),"")</f>
        <v>0</v>
      </c>
      <c r="K508" s="5">
        <f>IFERROR(VLOOKUP($G508,今日總結!$A:$AN,40,0),"")</f>
        <v>0</v>
      </c>
      <c r="L508" s="156">
        <f>IFERROR(VLOOKUP($G508,今日總結!$A:$AN,37,0),"")</f>
        <v>0</v>
      </c>
      <c r="M508" s="337">
        <f>IFERROR(VLOOKUP($G508,今日總結!$A:$AN,38,0),"")</f>
        <v>0</v>
      </c>
      <c r="N508" s="240">
        <f t="shared" si="108"/>
        <v>0</v>
      </c>
      <c r="O508" s="359">
        <f>IFERROR(VLOOKUP($G508,融外自投!$A:$J,7,0),"無")</f>
        <v>1218</v>
      </c>
      <c r="P508" s="79">
        <f>IFERROR(VLOOKUP($G508,融外自投!$A:$J,9,0),"無")</f>
        <v>350</v>
      </c>
      <c r="Q508" s="342">
        <f>IFERROR(VLOOKUP($G508,融外自投!$A:$J,8,0),"無")</f>
        <v>187</v>
      </c>
      <c r="R508" s="81">
        <f>IFERROR(VLOOKUP($G508,融外自投!$A:$J,10,0),"無")</f>
        <v>336</v>
      </c>
      <c r="S508" s="324">
        <f>IFERROR(VLOOKUP($G508,'321買'!$A:$E,4,0),"'沒有資料'")</f>
        <v>650</v>
      </c>
      <c r="T508" s="186">
        <f>IFERROR(VLOOKUP($G508,基本資料!$A:$J,9,0),"無")</f>
        <v>5.5</v>
      </c>
      <c r="U508" s="307">
        <f t="shared" si="104"/>
        <v>9.105960264900663E-2</v>
      </c>
      <c r="V508" s="94">
        <f>IFERROR(VLOOKUP($G508,基本資料!$A:$J,10,0),"無")</f>
        <v>7.67</v>
      </c>
      <c r="W508" s="36">
        <f>RTD("money.excel",,"2204","Price")</f>
        <v>60.4</v>
      </c>
      <c r="X508" s="66"/>
      <c r="Y508" s="15">
        <f t="shared" si="105"/>
        <v>60.4</v>
      </c>
      <c r="Z508" s="3" t="e">
        <f t="shared" si="106"/>
        <v>#DIV/0!</v>
      </c>
      <c r="AA508" s="340">
        <f>IFERROR(VLOOKUP($G508,基本資料!$A:$M,11,0),"無")</f>
        <v>-22.06</v>
      </c>
      <c r="AB508" s="389">
        <f>IFERROR(VLOOKUP($G508,基本資料!$A:$M,12,0),"無")</f>
        <v>44.9</v>
      </c>
      <c r="AC508" s="22" t="s">
        <v>164</v>
      </c>
      <c r="AF508" s="33">
        <f t="shared" si="107"/>
        <v>0</v>
      </c>
      <c r="AG508" s="117" t="s">
        <v>2785</v>
      </c>
      <c r="AH508" s="66">
        <f t="shared" si="95"/>
        <v>1.2129703763010409</v>
      </c>
      <c r="AI508" s="283">
        <f>RTD("money.excel",,$G508,"PredictVolume")</f>
        <v>1212</v>
      </c>
      <c r="AJ508" s="391">
        <f>IFERROR(VLOOKUP($G508,基本資料!$A:$M,13,0),"無")</f>
        <v>999.2</v>
      </c>
      <c r="AR508" s="245" t="str">
        <f>INDEX(基本資料!N:N,MATCH($G508,基本資料!A:A,0))</f>
        <v>低</v>
      </c>
    </row>
    <row r="509" spans="1:44">
      <c r="A509" s="343">
        <f>IFERROR(VLOOKUP($G509,基本資料!$A:$J,3,0),"無")</f>
        <v>79.760000000000005</v>
      </c>
      <c r="B509" s="79">
        <f>IFERROR(VLOOKUP($G509,基本資料!$A:$J,4,0),"無")</f>
        <v>-4</v>
      </c>
      <c r="C509" s="79">
        <f>IFERROR(VLOOKUP($G509,基本資料!$A:$J,5,0),"無")</f>
        <v>13</v>
      </c>
      <c r="D509" s="79">
        <f>IFERROR(VLOOKUP($G509,基本資料!$A:$J,6,0),"無")</f>
        <v>-4</v>
      </c>
      <c r="E509" s="79">
        <f>IFERROR(VLOOKUP($G509,基本資料!$A:$J,7,0),"無")</f>
        <v>7</v>
      </c>
      <c r="F509" s="6">
        <f>IFERROR(VLOOKUP($G509,基本資料!$A:$J,8,0),"無")</f>
        <v>5.34</v>
      </c>
      <c r="G509" s="79">
        <v>2206</v>
      </c>
      <c r="H509" s="8" t="s">
        <v>301</v>
      </c>
      <c r="I509" s="22" t="s">
        <v>1118</v>
      </c>
      <c r="J509" s="8" t="str">
        <f>IFERROR(VLOOKUP($G509,今日總結!$A:$AN,39,0),"")</f>
        <v>融</v>
      </c>
      <c r="K509" s="5">
        <f>IFERROR(VLOOKUP($G509,今日總結!$A:$AN,40,0),"")</f>
        <v>0</v>
      </c>
      <c r="L509" s="156">
        <f>IFERROR(VLOOKUP($G509,今日總結!$A:$AN,37,0),"")</f>
        <v>4</v>
      </c>
      <c r="M509" s="337">
        <f>IFERROR(VLOOKUP($G509,今日總結!$A:$AN,38,0),"")</f>
        <v>0</v>
      </c>
      <c r="N509" s="240">
        <f t="shared" si="108"/>
        <v>4</v>
      </c>
      <c r="O509" s="359">
        <f>IFERROR(VLOOKUP($G509,融外自投!$A:$J,7,0),"無")</f>
        <v>920</v>
      </c>
      <c r="P509" s="79">
        <f>IFERROR(VLOOKUP($G509,融外自投!$A:$J,9,0),"無")</f>
        <v>378</v>
      </c>
      <c r="Q509" s="342">
        <f>IFERROR(VLOOKUP($G509,融外自投!$A:$J,8,0),"無")</f>
        <v>582</v>
      </c>
      <c r="R509" s="81" t="str">
        <f>IFERROR(VLOOKUP($G509,融外自投!$A:$J,10,0),"無")</f>
        <v>無</v>
      </c>
      <c r="S509" s="324">
        <f>IFERROR(VLOOKUP($G509,'321買'!$A:$E,4,0),"'沒有資料'")</f>
        <v>1002</v>
      </c>
      <c r="T509" s="186">
        <f>IFERROR(VLOOKUP($G509,基本資料!$A:$J,9,0),"無")</f>
        <v>1.3</v>
      </c>
      <c r="U509" s="307">
        <f t="shared" si="104"/>
        <v>4.4982698961937718E-2</v>
      </c>
      <c r="V509" s="94">
        <f>IFERROR(VLOOKUP($G509,基本資料!$A:$J,10,0),"無")</f>
        <v>2.2999999999999998</v>
      </c>
      <c r="W509" s="36">
        <f>RTD("money.excel",,"2206","Price")</f>
        <v>28.9</v>
      </c>
      <c r="X509" s="66"/>
      <c r="Y509" s="15">
        <f t="shared" si="105"/>
        <v>28.9</v>
      </c>
      <c r="Z509" s="3" t="e">
        <f t="shared" si="106"/>
        <v>#DIV/0!</v>
      </c>
      <c r="AA509" s="340">
        <f>IFERROR(VLOOKUP($G509,基本資料!$A:$M,11,0),"無")</f>
        <v>-7.37</v>
      </c>
      <c r="AB509" s="389">
        <f>IFERROR(VLOOKUP($G509,基本資料!$A:$M,12,0),"無")</f>
        <v>49.69</v>
      </c>
      <c r="AC509" s="22" t="s">
        <v>1118</v>
      </c>
      <c r="AF509" s="33">
        <f t="shared" si="107"/>
        <v>0</v>
      </c>
      <c r="AG509" s="43" t="s">
        <v>2786</v>
      </c>
      <c r="AH509" s="66">
        <f t="shared" si="95"/>
        <v>5.0586093920640698</v>
      </c>
      <c r="AI509" s="283">
        <f>RTD("money.excel",,$G509,"PredictVolume")</f>
        <v>3474</v>
      </c>
      <c r="AJ509" s="391">
        <f>IFERROR(VLOOKUP($G509,基本資料!$A:$M,13,0),"無")</f>
        <v>686.75</v>
      </c>
      <c r="AR509" s="245" t="str">
        <f>INDEX(基本資料!N:N,MATCH($G509,基本資料!A:A,0))</f>
        <v>高</v>
      </c>
    </row>
    <row r="510" spans="1:44">
      <c r="A510" s="343">
        <f>IFERROR(VLOOKUP($G510,基本資料!$A:$J,3,0),"無")</f>
        <v>54.61</v>
      </c>
      <c r="B510" s="79">
        <f>IFERROR(VLOOKUP($G510,基本資料!$A:$J,4,0),"無")</f>
        <v>18</v>
      </c>
      <c r="C510" s="79">
        <f>IFERROR(VLOOKUP($G510,基本資料!$A:$J,5,0),"無")</f>
        <v>15</v>
      </c>
      <c r="D510" s="79">
        <f>IFERROR(VLOOKUP($G510,基本資料!$A:$J,6,0),"無")</f>
        <v>-13</v>
      </c>
      <c r="E510" s="79">
        <f>IFERROR(VLOOKUP($G510,基本資料!$A:$J,7,0),"無")</f>
        <v>-12</v>
      </c>
      <c r="F510" s="6">
        <f>IFERROR(VLOOKUP($G510,基本資料!$A:$J,8,0),"無")</f>
        <v>10.81</v>
      </c>
      <c r="G510" s="79">
        <v>2207</v>
      </c>
      <c r="H510" s="8" t="s">
        <v>301</v>
      </c>
      <c r="I510" s="22" t="s">
        <v>14</v>
      </c>
      <c r="J510" s="8" t="str">
        <f>IFERROR(VLOOKUP($G510,今日總結!$A:$AN,39,0),"")</f>
        <v>借</v>
      </c>
      <c r="K510" s="5">
        <f>IFERROR(VLOOKUP($G510,今日總結!$A:$AN,40,0),"")</f>
        <v>0</v>
      </c>
      <c r="L510" s="156">
        <f>IFERROR(VLOOKUP($G510,今日總結!$A:$AN,37,0),"")</f>
        <v>1</v>
      </c>
      <c r="M510" s="337">
        <f>IFERROR(VLOOKUP($G510,今日總結!$A:$AN,38,0),"")</f>
        <v>0</v>
      </c>
      <c r="N510" s="240">
        <f t="shared" si="108"/>
        <v>1</v>
      </c>
      <c r="O510" s="359">
        <f>IFERROR(VLOOKUP($G510,融外自投!$A:$J,7,0),"無")</f>
        <v>1450</v>
      </c>
      <c r="P510" s="79">
        <f>IFERROR(VLOOKUP($G510,融外自投!$A:$J,9,0),"無")</f>
        <v>741</v>
      </c>
      <c r="Q510" s="342">
        <f>IFERROR(VLOOKUP($G510,融外自投!$A:$J,8,0),"無")</f>
        <v>229</v>
      </c>
      <c r="R510" s="81">
        <f>IFERROR(VLOOKUP($G510,融外自投!$A:$J,10,0),"無")</f>
        <v>249</v>
      </c>
      <c r="S510" s="324">
        <f>IFERROR(VLOOKUP($G510,'321買'!$A:$E,4,0),"'沒有資料'")</f>
        <v>743</v>
      </c>
      <c r="T510" s="186">
        <f>IFERROR(VLOOKUP($G510,基本資料!$A:$J,9,0),"無")</f>
        <v>20</v>
      </c>
      <c r="U510" s="307">
        <f t="shared" si="104"/>
        <v>3.5778175313059032E-2</v>
      </c>
      <c r="V510" s="94">
        <f>IFERROR(VLOOKUP($G510,基本資料!$A:$J,10,0),"無")</f>
        <v>29.68</v>
      </c>
      <c r="W510" s="36">
        <f>RTD("money.excel",,"2207","Price")</f>
        <v>559</v>
      </c>
      <c r="X510" s="66"/>
      <c r="Y510" s="15">
        <f t="shared" si="105"/>
        <v>559</v>
      </c>
      <c r="Z510" s="3" t="e">
        <f t="shared" si="106"/>
        <v>#DIV/0!</v>
      </c>
      <c r="AA510" s="340">
        <f>IFERROR(VLOOKUP($G510,基本資料!$A:$M,11,0),"無")</f>
        <v>-16.440000000000001</v>
      </c>
      <c r="AB510" s="389">
        <f>IFERROR(VLOOKUP($G510,基本資料!$A:$M,12,0),"無")</f>
        <v>22.76</v>
      </c>
      <c r="AC510" s="22" t="s">
        <v>14</v>
      </c>
      <c r="AF510" s="33">
        <f t="shared" si="107"/>
        <v>0</v>
      </c>
      <c r="AG510" s="117" t="s">
        <v>2620</v>
      </c>
      <c r="AH510" s="66">
        <f t="shared" si="95"/>
        <v>0.77526534379326262</v>
      </c>
      <c r="AI510" s="283">
        <f>RTD("money.excel",,$G510,"PredictVolume")</f>
        <v>168</v>
      </c>
      <c r="AJ510" s="391">
        <f>IFERROR(VLOOKUP($G510,基本資料!$A:$M,13,0),"無")</f>
        <v>216.7</v>
      </c>
      <c r="AR510" s="245" t="str">
        <f>INDEX(基本資料!N:N,MATCH($G510,基本資料!A:A,0))</f>
        <v>低</v>
      </c>
    </row>
    <row r="511" spans="1:44">
      <c r="A511" s="343">
        <f>IFERROR(VLOOKUP($G511,基本資料!$A:$J,3,0),"無")</f>
        <v>30</v>
      </c>
      <c r="B511" s="79">
        <f>IFERROR(VLOOKUP($G511,基本資料!$A:$J,4,0),"無")</f>
        <v>-53</v>
      </c>
      <c r="C511" s="79">
        <f>IFERROR(VLOOKUP($G511,基本資料!$A:$J,5,0),"無")</f>
        <v>-58</v>
      </c>
      <c r="D511" s="79">
        <f>IFERROR(VLOOKUP($G511,基本資料!$A:$J,6,0),"無")</f>
        <v>-35</v>
      </c>
      <c r="E511" s="79">
        <f>IFERROR(VLOOKUP($G511,基本資料!$A:$J,7,0),"無")</f>
        <v>-38</v>
      </c>
      <c r="F511" s="6">
        <f>IFERROR(VLOOKUP($G511,基本資料!$A:$J,8,0),"無")</f>
        <v>0.5</v>
      </c>
      <c r="G511" s="79">
        <v>2227</v>
      </c>
      <c r="H511" s="8" t="s">
        <v>301</v>
      </c>
      <c r="I511" s="22" t="s">
        <v>111</v>
      </c>
      <c r="J511" s="8" t="str">
        <f>IFERROR(VLOOKUP($G511,今日總結!$A:$AN,39,0),"")</f>
        <v/>
      </c>
      <c r="K511" s="5" t="str">
        <f>IFERROR(VLOOKUP($G511,今日總結!$A:$AN,40,0),"")</f>
        <v/>
      </c>
      <c r="L511" s="156" t="str">
        <f>IFERROR(VLOOKUP($G511,今日總結!$A:$AN,37,0),"")</f>
        <v/>
      </c>
      <c r="M511" s="337" t="str">
        <f>IFERROR(VLOOKUP($G511,今日總結!$A:$AN,38,0),"")</f>
        <v/>
      </c>
      <c r="N511" s="240" t="str">
        <f t="shared" si="108"/>
        <v/>
      </c>
      <c r="O511" s="359" t="str">
        <f>IFERROR(VLOOKUP($G511,融外自投!$A:$J,7,0),"無")</f>
        <v>無</v>
      </c>
      <c r="P511" s="79" t="str">
        <f>IFERROR(VLOOKUP($G511,融外自投!$A:$J,9,0),"無")</f>
        <v>無</v>
      </c>
      <c r="Q511" s="342" t="str">
        <f>IFERROR(VLOOKUP($G511,融外自投!$A:$J,8,0),"無")</f>
        <v>無</v>
      </c>
      <c r="R511" s="81" t="str">
        <f>IFERROR(VLOOKUP($G511,融外自投!$A:$J,10,0),"無")</f>
        <v>無</v>
      </c>
      <c r="S511" s="324" t="str">
        <f>IFERROR(VLOOKUP($G511,'321買'!$A:$E,4,0),"'沒有資料'")</f>
        <v>'沒有資料'</v>
      </c>
      <c r="T511" s="186">
        <f>IFERROR(VLOOKUP($G511,基本資料!$A:$J,9,0),"無")</f>
        <v>9.06</v>
      </c>
      <c r="U511" s="307">
        <f t="shared" si="104"/>
        <v>3.9391304347826089E-2</v>
      </c>
      <c r="V511" s="94">
        <f>IFERROR(VLOOKUP($G511,基本資料!$A:$J,10,0),"無")</f>
        <v>10.09</v>
      </c>
      <c r="W511" s="36">
        <f>RTD("money.excel",,"2227","Price")</f>
        <v>230</v>
      </c>
      <c r="X511" s="66"/>
      <c r="Y511" s="15">
        <f t="shared" si="105"/>
        <v>230</v>
      </c>
      <c r="Z511" s="3" t="e">
        <f t="shared" si="106"/>
        <v>#DIV/0!</v>
      </c>
      <c r="AA511" s="340">
        <f>IFERROR(VLOOKUP($G511,基本資料!$A:$M,11,0),"無")</f>
        <v>-18.73</v>
      </c>
      <c r="AB511" s="389">
        <f>IFERROR(VLOOKUP($G511,基本資料!$A:$M,12,0),"無")</f>
        <v>49.65</v>
      </c>
      <c r="AC511" s="22" t="s">
        <v>111</v>
      </c>
      <c r="AF511" s="33">
        <f t="shared" si="107"/>
        <v>0</v>
      </c>
      <c r="AG511" s="117" t="s">
        <v>2787</v>
      </c>
      <c r="AH511" s="66">
        <f t="shared" si="95"/>
        <v>1.095890410958904</v>
      </c>
      <c r="AI511" s="283">
        <f>RTD("money.excel",,$G511,"PredictVolume")</f>
        <v>60</v>
      </c>
      <c r="AJ511" s="391">
        <f>IFERROR(VLOOKUP($G511,基本資料!$A:$M,13,0),"無")</f>
        <v>54.75</v>
      </c>
      <c r="AR511" s="245" t="str">
        <f>INDEX(基本資料!N:N,MATCH($G511,基本資料!A:A,0))</f>
        <v>低</v>
      </c>
    </row>
    <row r="512" spans="1:44">
      <c r="A512" s="343">
        <f>IFERROR(VLOOKUP($G512,基本資料!$A:$J,3,0),"無")</f>
        <v>7.57</v>
      </c>
      <c r="B512" s="79">
        <f>IFERROR(VLOOKUP($G512,基本資料!$A:$J,4,0),"無")</f>
        <v>141</v>
      </c>
      <c r="C512" s="79">
        <f>IFERROR(VLOOKUP($G512,基本資料!$A:$J,5,0),"無")</f>
        <v>8</v>
      </c>
      <c r="D512" s="79">
        <f>IFERROR(VLOOKUP($G512,基本資料!$A:$J,6,0),"無")</f>
        <v>-25</v>
      </c>
      <c r="E512" s="79">
        <f>IFERROR(VLOOKUP($G512,基本資料!$A:$J,7,0),"無")</f>
        <v>1</v>
      </c>
      <c r="F512" s="6">
        <f>IFERROR(VLOOKUP($G512,基本資料!$A:$J,8,0),"無")</f>
        <v>4.08</v>
      </c>
      <c r="G512" s="79">
        <v>2228</v>
      </c>
      <c r="H512" s="8" t="s">
        <v>301</v>
      </c>
      <c r="I512" s="22" t="s">
        <v>575</v>
      </c>
      <c r="J512" s="8">
        <f>IFERROR(VLOOKUP($G512,今日總結!$A:$AN,39,0),"")</f>
        <v>0</v>
      </c>
      <c r="K512" s="5">
        <f>IFERROR(VLOOKUP($G512,今日總結!$A:$AN,40,0),"")</f>
        <v>0</v>
      </c>
      <c r="L512" s="156">
        <f>IFERROR(VLOOKUP($G512,今日總結!$A:$AN,37,0),"")</f>
        <v>0</v>
      </c>
      <c r="M512" s="337">
        <f>IFERROR(VLOOKUP($G512,今日總結!$A:$AN,38,0),"")</f>
        <v>0</v>
      </c>
      <c r="N512" s="240">
        <f t="shared" si="108"/>
        <v>0</v>
      </c>
      <c r="O512" s="359">
        <f>IFERROR(VLOOKUP($G512,融外自投!$A:$J,7,0),"無")</f>
        <v>963</v>
      </c>
      <c r="P512" s="79">
        <f>IFERROR(VLOOKUP($G512,融外自投!$A:$J,9,0),"無")</f>
        <v>261</v>
      </c>
      <c r="Q512" s="342">
        <f>IFERROR(VLOOKUP($G512,融外自投!$A:$J,8,0),"無")</f>
        <v>772</v>
      </c>
      <c r="R512" s="81" t="str">
        <f>IFERROR(VLOOKUP($G512,融外自投!$A:$J,10,0),"無")</f>
        <v>無</v>
      </c>
      <c r="S512" s="324">
        <f>IFERROR(VLOOKUP($G512,'321買'!$A:$E,4,0),"'沒有資料'")</f>
        <v>1002</v>
      </c>
      <c r="T512" s="186">
        <f>IFERROR(VLOOKUP($G512,基本資料!$A:$J,9,0),"無")</f>
        <v>2</v>
      </c>
      <c r="U512" s="307">
        <f t="shared" si="104"/>
        <v>3.1847133757961783E-2</v>
      </c>
      <c r="V512" s="94">
        <f>IFERROR(VLOOKUP($G512,基本資料!$A:$J,10,0),"無")</f>
        <v>3.15</v>
      </c>
      <c r="W512" s="36">
        <f>RTD("money.excel",,"2228","Price")</f>
        <v>62.8</v>
      </c>
      <c r="X512" s="66"/>
      <c r="Y512" s="15">
        <f t="shared" si="105"/>
        <v>62.8</v>
      </c>
      <c r="Z512" s="3" t="e">
        <f t="shared" si="106"/>
        <v>#DIV/0!</v>
      </c>
      <c r="AA512" s="340">
        <f>IFERROR(VLOOKUP($G512,基本資料!$A:$M,11,0),"無")</f>
        <v>-24.79</v>
      </c>
      <c r="AB512" s="389">
        <f>IFERROR(VLOOKUP($G512,基本資料!$A:$M,12,0),"無")</f>
        <v>14.45</v>
      </c>
      <c r="AC512" s="22" t="s">
        <v>575</v>
      </c>
      <c r="AF512" s="33">
        <f t="shared" si="107"/>
        <v>0</v>
      </c>
      <c r="AG512" s="43" t="s">
        <v>2788</v>
      </c>
      <c r="AH512" s="66">
        <f t="shared" si="95"/>
        <v>0.75349838536060276</v>
      </c>
      <c r="AI512" s="283">
        <f>RTD("money.excel",,$G512,"PredictVolume")</f>
        <v>35</v>
      </c>
      <c r="AJ512" s="391">
        <f>IFERROR(VLOOKUP($G512,基本資料!$A:$M,13,0),"無")</f>
        <v>46.45</v>
      </c>
      <c r="AR512" s="245" t="str">
        <f>INDEX(基本資料!N:N,MATCH($G512,基本資料!A:A,0))</f>
        <v>低</v>
      </c>
    </row>
    <row r="513" spans="1:44">
      <c r="A513" s="343">
        <f>IFERROR(VLOOKUP($G513,基本資料!$A:$J,3,0),"無")</f>
        <v>12.19</v>
      </c>
      <c r="B513" s="79">
        <f>IFERROR(VLOOKUP($G513,基本資料!$A:$J,4,0),"無")</f>
        <v>94</v>
      </c>
      <c r="C513" s="79">
        <f>IFERROR(VLOOKUP($G513,基本資料!$A:$J,5,0),"無")</f>
        <v>53</v>
      </c>
      <c r="D513" s="79">
        <f>IFERROR(VLOOKUP($G513,基本資料!$A:$J,6,0),"無")</f>
        <v>-26</v>
      </c>
      <c r="E513" s="79">
        <f>IFERROR(VLOOKUP($G513,基本資料!$A:$J,7,0),"無")</f>
        <v>-36</v>
      </c>
      <c r="F513" s="6">
        <f>IFERROR(VLOOKUP($G513,基本資料!$A:$J,8,0),"無")</f>
        <v>14.52</v>
      </c>
      <c r="G513" s="79">
        <v>2231</v>
      </c>
      <c r="H513" s="8" t="s">
        <v>301</v>
      </c>
      <c r="I513" s="22" t="s">
        <v>165</v>
      </c>
      <c r="J513" s="8" t="str">
        <f>IFERROR(VLOOKUP($G513,今日總結!$A:$AN,39,0),"")</f>
        <v>主</v>
      </c>
      <c r="K513" s="5">
        <f>IFERROR(VLOOKUP($G513,今日總結!$A:$AN,40,0),"")</f>
        <v>0</v>
      </c>
      <c r="L513" s="156">
        <f>IFERROR(VLOOKUP($G513,今日總結!$A:$AN,37,0),"")</f>
        <v>1</v>
      </c>
      <c r="M513" s="337">
        <f>IFERROR(VLOOKUP($G513,今日總結!$A:$AN,38,0),"")</f>
        <v>0</v>
      </c>
      <c r="N513" s="240">
        <f t="shared" si="108"/>
        <v>1</v>
      </c>
      <c r="O513" s="359">
        <f>IFERROR(VLOOKUP($G513,融外自投!$A:$J,7,0),"無")</f>
        <v>109</v>
      </c>
      <c r="P513" s="79">
        <f>IFERROR(VLOOKUP($G513,融外自投!$A:$J,9,0),"無")</f>
        <v>946</v>
      </c>
      <c r="Q513" s="342">
        <f>IFERROR(VLOOKUP($G513,融外自投!$A:$J,8,0),"無")</f>
        <v>601</v>
      </c>
      <c r="R513" s="81">
        <f>IFERROR(VLOOKUP($G513,融外自投!$A:$J,10,0),"無")</f>
        <v>427</v>
      </c>
      <c r="S513" s="324">
        <f>IFERROR(VLOOKUP($G513,'321買'!$A:$E,4,0),"'沒有資料'")</f>
        <v>565</v>
      </c>
      <c r="T513" s="186">
        <f>IFERROR(VLOOKUP($G513,基本資料!$A:$J,9,0),"無")</f>
        <v>2</v>
      </c>
      <c r="U513" s="307">
        <f t="shared" si="104"/>
        <v>1.3888888888888888E-2</v>
      </c>
      <c r="V513" s="94">
        <f>IFERROR(VLOOKUP($G513,基本資料!$A:$J,10,0),"無")</f>
        <v>4.2300000000000004</v>
      </c>
      <c r="W513" s="36">
        <f>RTD("money.excel",,"2231","Price")</f>
        <v>144</v>
      </c>
      <c r="X513" s="66"/>
      <c r="Y513" s="15">
        <f t="shared" si="105"/>
        <v>144</v>
      </c>
      <c r="Z513" s="3" t="e">
        <f t="shared" si="106"/>
        <v>#DIV/0!</v>
      </c>
      <c r="AA513" s="340">
        <f>IFERROR(VLOOKUP($G513,基本資料!$A:$M,11,0),"無")</f>
        <v>-36.700000000000003</v>
      </c>
      <c r="AB513" s="389">
        <f>IFERROR(VLOOKUP($G513,基本資料!$A:$M,12,0),"無")</f>
        <v>31.57</v>
      </c>
      <c r="AC513" s="22" t="s">
        <v>165</v>
      </c>
      <c r="AF513" s="33">
        <f t="shared" si="107"/>
        <v>0</v>
      </c>
      <c r="AG513" s="117" t="s">
        <v>2789</v>
      </c>
      <c r="AH513" s="66">
        <f t="shared" si="95"/>
        <v>0.99821746880570406</v>
      </c>
      <c r="AI513" s="283">
        <f>RTD("money.excel",,$G513,"PredictVolume")</f>
        <v>224</v>
      </c>
      <c r="AJ513" s="391">
        <f>IFERROR(VLOOKUP($G513,基本資料!$A:$M,13,0),"無")</f>
        <v>224.4</v>
      </c>
      <c r="AR513" s="245" t="str">
        <f>INDEX(基本資料!N:N,MATCH($G513,基本資料!A:A,0))</f>
        <v>低</v>
      </c>
    </row>
    <row r="514" spans="1:44">
      <c r="A514" s="343">
        <f>IFERROR(VLOOKUP($G514,基本資料!$A:$J,3,0),"無")</f>
        <v>6.02</v>
      </c>
      <c r="B514" s="79">
        <f>IFERROR(VLOOKUP($G514,基本資料!$A:$J,4,0),"無")</f>
        <v>47</v>
      </c>
      <c r="C514" s="79">
        <f>IFERROR(VLOOKUP($G514,基本資料!$A:$J,5,0),"無")</f>
        <v>60</v>
      </c>
      <c r="D514" s="79">
        <f>IFERROR(VLOOKUP($G514,基本資料!$A:$J,6,0),"無")</f>
        <v>-16</v>
      </c>
      <c r="E514" s="79">
        <f>IFERROR(VLOOKUP($G514,基本資料!$A:$J,7,0),"無")</f>
        <v>-11</v>
      </c>
      <c r="F514" s="6">
        <f>IFERROR(VLOOKUP($G514,基本資料!$A:$J,8,0),"無")</f>
        <v>20.079999999999998</v>
      </c>
      <c r="G514" s="79">
        <v>2233</v>
      </c>
      <c r="H514" s="8" t="s">
        <v>301</v>
      </c>
      <c r="I514" s="22" t="s">
        <v>154</v>
      </c>
      <c r="J514" s="8">
        <f>IFERROR(VLOOKUP($G514,今日總結!$A:$AN,39,0),"")</f>
        <v>0</v>
      </c>
      <c r="K514" s="5" t="str">
        <f>IFERROR(VLOOKUP($G514,今日總結!$A:$AN,40,0),"")</f>
        <v>主</v>
      </c>
      <c r="L514" s="156">
        <f>IFERROR(VLOOKUP($G514,今日總結!$A:$AN,37,0),"")</f>
        <v>0</v>
      </c>
      <c r="M514" s="337">
        <f>IFERROR(VLOOKUP($G514,今日總結!$A:$AN,38,0),"")</f>
        <v>4</v>
      </c>
      <c r="N514" s="240">
        <f t="shared" si="108"/>
        <v>-4</v>
      </c>
      <c r="O514" s="359">
        <f>IFERROR(VLOOKUP($G514,融外自投!$A:$J,7,0),"無")</f>
        <v>79</v>
      </c>
      <c r="P514" s="79">
        <f>IFERROR(VLOOKUP($G514,融外自投!$A:$J,9,0),"無")</f>
        <v>340</v>
      </c>
      <c r="Q514" s="342">
        <f>IFERROR(VLOOKUP($G514,融外自投!$A:$J,8,0),"無")</f>
        <v>511</v>
      </c>
      <c r="R514" s="81">
        <f>IFERROR(VLOOKUP($G514,融外自投!$A:$J,10,0),"無")</f>
        <v>97</v>
      </c>
      <c r="S514" s="324">
        <f>IFERROR(VLOOKUP($G514,'321買'!$A:$E,4,0),"'沒有資料'")</f>
        <v>164</v>
      </c>
      <c r="T514" s="186">
        <f>IFERROR(VLOOKUP($G514,基本資料!$A:$J,9,0),"無")</f>
        <v>5.4</v>
      </c>
      <c r="U514" s="307">
        <f t="shared" si="104"/>
        <v>5.3731343283582096E-2</v>
      </c>
      <c r="V514" s="94">
        <f>IFERROR(VLOOKUP($G514,基本資料!$A:$J,10,0),"無")</f>
        <v>9.01</v>
      </c>
      <c r="W514" s="36">
        <f>RTD("money.excel",,"2233","Price")</f>
        <v>100.5</v>
      </c>
      <c r="X514" s="66"/>
      <c r="Y514" s="15">
        <f t="shared" si="105"/>
        <v>100.5</v>
      </c>
      <c r="Z514" s="3" t="e">
        <f t="shared" si="106"/>
        <v>#DIV/0!</v>
      </c>
      <c r="AA514" s="340">
        <f>IFERROR(VLOOKUP($G514,基本資料!$A:$M,11,0),"無")</f>
        <v>-29.72</v>
      </c>
      <c r="AB514" s="389">
        <f>IFERROR(VLOOKUP($G514,基本資料!$A:$M,12,0),"無")</f>
        <v>18.260000000000002</v>
      </c>
      <c r="AC514" s="22" t="s">
        <v>154</v>
      </c>
      <c r="AF514" s="33">
        <f t="shared" si="107"/>
        <v>0</v>
      </c>
      <c r="AG514" s="117" t="s">
        <v>2790</v>
      </c>
      <c r="AH514" s="66">
        <f t="shared" si="95"/>
        <v>0.95502553676798729</v>
      </c>
      <c r="AI514" s="283">
        <f>RTD("money.excel",,$G514,"PredictVolume")</f>
        <v>963</v>
      </c>
      <c r="AJ514" s="391">
        <f>IFERROR(VLOOKUP($G514,基本資料!$A:$M,13,0),"無")</f>
        <v>1008.35</v>
      </c>
      <c r="AR514" s="245" t="str">
        <f>INDEX(基本資料!N:N,MATCH($G514,基本資料!A:A,0))</f>
        <v>低</v>
      </c>
    </row>
    <row r="515" spans="1:44">
      <c r="A515" s="343">
        <f>IFERROR(VLOOKUP($G515,基本資料!$A:$J,3,0),"無")</f>
        <v>4.57</v>
      </c>
      <c r="B515" s="79">
        <f>IFERROR(VLOOKUP($G515,基本資料!$A:$J,4,0),"無")</f>
        <v>158</v>
      </c>
      <c r="C515" s="79">
        <f>IFERROR(VLOOKUP($G515,基本資料!$A:$J,5,0),"無")</f>
        <v>64</v>
      </c>
      <c r="D515" s="79">
        <f>IFERROR(VLOOKUP($G515,基本資料!$A:$J,6,0),"無")</f>
        <v>-18</v>
      </c>
      <c r="E515" s="79">
        <f>IFERROR(VLOOKUP($G515,基本資料!$A:$J,7,0),"無")</f>
        <v>-1</v>
      </c>
      <c r="F515" s="6">
        <f>IFERROR(VLOOKUP($G515,基本資料!$A:$J,8,0),"無")</f>
        <v>6.56</v>
      </c>
      <c r="G515" s="79">
        <v>2236</v>
      </c>
      <c r="H515" s="8" t="s">
        <v>301</v>
      </c>
      <c r="I515" s="22" t="s">
        <v>576</v>
      </c>
      <c r="J515" s="8">
        <f>IFERROR(VLOOKUP($G515,今日總結!$A:$AN,39,0),"")</f>
        <v>0</v>
      </c>
      <c r="K515" s="5">
        <f>IFERROR(VLOOKUP($G515,今日總結!$A:$AN,40,0),"")</f>
        <v>0</v>
      </c>
      <c r="L515" s="156">
        <f>IFERROR(VLOOKUP($G515,今日總結!$A:$AN,37,0),"")</f>
        <v>0</v>
      </c>
      <c r="M515" s="337">
        <f>IFERROR(VLOOKUP($G515,今日總結!$A:$AN,38,0),"")</f>
        <v>0</v>
      </c>
      <c r="N515" s="240">
        <f t="shared" si="108"/>
        <v>0</v>
      </c>
      <c r="O515" s="359">
        <f>IFERROR(VLOOKUP($G515,融外自投!$A:$J,7,0),"無")</f>
        <v>1166</v>
      </c>
      <c r="P515" s="79">
        <f>IFERROR(VLOOKUP($G515,融外自投!$A:$J,9,0),"無")</f>
        <v>946</v>
      </c>
      <c r="Q515" s="342">
        <f>IFERROR(VLOOKUP($G515,融外自投!$A:$J,8,0),"無")</f>
        <v>151</v>
      </c>
      <c r="R515" s="81">
        <f>IFERROR(VLOOKUP($G515,融外自投!$A:$J,10,0),"無")</f>
        <v>377</v>
      </c>
      <c r="S515" s="324">
        <f>IFERROR(VLOOKUP($G515,'321買'!$A:$E,4,0),"'沒有資料'")</f>
        <v>1002</v>
      </c>
      <c r="T515" s="186">
        <f>IFERROR(VLOOKUP($G515,基本資料!$A:$J,9,0),"無")</f>
        <v>4.5</v>
      </c>
      <c r="U515" s="307">
        <f t="shared" si="104"/>
        <v>0.17578125</v>
      </c>
      <c r="V515" s="94">
        <f>IFERROR(VLOOKUP($G515,基本資料!$A:$J,10,0),"無")</f>
        <v>1.47</v>
      </c>
      <c r="W515" s="36">
        <f>RTD("money.excel",,"2236","Price")</f>
        <v>25.6</v>
      </c>
      <c r="X515" s="66"/>
      <c r="Y515" s="15">
        <f t="shared" si="105"/>
        <v>25.6</v>
      </c>
      <c r="Z515" s="3" t="e">
        <f t="shared" si="106"/>
        <v>#DIV/0!</v>
      </c>
      <c r="AA515" s="340">
        <f>IFERROR(VLOOKUP($G515,基本資料!$A:$M,11,0),"無")</f>
        <v>-21.95</v>
      </c>
      <c r="AB515" s="389">
        <f>IFERROR(VLOOKUP($G515,基本資料!$A:$M,12,0),"無")</f>
        <v>19.329999999999998</v>
      </c>
      <c r="AC515" s="22" t="s">
        <v>576</v>
      </c>
      <c r="AF515" s="33">
        <f t="shared" si="107"/>
        <v>0</v>
      </c>
      <c r="AG515" s="43" t="s">
        <v>2791</v>
      </c>
      <c r="AH515" s="66">
        <f t="shared" si="95"/>
        <v>3.4965034965034961E-2</v>
      </c>
      <c r="AI515" s="283">
        <f>RTD("money.excel",,$G515,"PredictVolume")</f>
        <v>2</v>
      </c>
      <c r="AJ515" s="391">
        <f>IFERROR(VLOOKUP($G515,基本資料!$A:$M,13,0),"無")</f>
        <v>57.2</v>
      </c>
      <c r="AR515" s="245" t="str">
        <f>INDEX(基本資料!N:N,MATCH($G515,基本資料!A:A,0))</f>
        <v>低</v>
      </c>
    </row>
    <row r="516" spans="1:44">
      <c r="A516" s="343">
        <f>IFERROR(VLOOKUP($G516,基本資料!$A:$J,3,0),"無")</f>
        <v>11.81</v>
      </c>
      <c r="B516" s="79">
        <f>IFERROR(VLOOKUP($G516,基本資料!$A:$J,4,0),"無")</f>
        <v>18</v>
      </c>
      <c r="C516" s="79">
        <f>IFERROR(VLOOKUP($G516,基本資料!$A:$J,5,0),"無")</f>
        <v>-46</v>
      </c>
      <c r="D516" s="79">
        <f>IFERROR(VLOOKUP($G516,基本資料!$A:$J,6,0),"無")</f>
        <v>3</v>
      </c>
      <c r="E516" s="79">
        <f>IFERROR(VLOOKUP($G516,基本資料!$A:$J,7,0),"無")</f>
        <v>-30</v>
      </c>
      <c r="F516" s="6">
        <f>IFERROR(VLOOKUP($G516,基本資料!$A:$J,8,0),"無")</f>
        <v>3.33</v>
      </c>
      <c r="G516" s="79">
        <v>2239</v>
      </c>
      <c r="H516" s="8" t="s">
        <v>301</v>
      </c>
      <c r="I516" s="22" t="s">
        <v>955</v>
      </c>
      <c r="J516" s="8">
        <f>IFERROR(VLOOKUP($G516,今日總結!$A:$AN,39,0),"")</f>
        <v>0</v>
      </c>
      <c r="K516" s="5">
        <f>IFERROR(VLOOKUP($G516,今日總結!$A:$AN,40,0),"")</f>
        <v>6</v>
      </c>
      <c r="L516" s="156">
        <f>IFERROR(VLOOKUP($G516,今日總結!$A:$AN,37,0),"")</f>
        <v>0</v>
      </c>
      <c r="M516" s="337">
        <f>IFERROR(VLOOKUP($G516,今日總結!$A:$AN,38,0),"")</f>
        <v>1</v>
      </c>
      <c r="N516" s="240">
        <f t="shared" si="108"/>
        <v>-1</v>
      </c>
      <c r="O516" s="359">
        <f>IFERROR(VLOOKUP($G516,融外自投!$A:$J,7,0),"無")</f>
        <v>845</v>
      </c>
      <c r="P516" s="79">
        <f>IFERROR(VLOOKUP($G516,融外自投!$A:$J,9,0),"無")</f>
        <v>946</v>
      </c>
      <c r="Q516" s="342">
        <f>IFERROR(VLOOKUP($G516,融外自投!$A:$J,8,0),"無")</f>
        <v>15</v>
      </c>
      <c r="R516" s="81" t="str">
        <f>IFERROR(VLOOKUP($G516,融外自投!$A:$J,10,0),"無")</f>
        <v>無</v>
      </c>
      <c r="S516" s="324">
        <f>IFERROR(VLOOKUP($G516,'321買'!$A:$E,4,0),"'沒有資料'")</f>
        <v>1002</v>
      </c>
      <c r="T516" s="186">
        <f>IFERROR(VLOOKUP($G516,基本資料!$A:$J,9,0),"無")</f>
        <v>2.5</v>
      </c>
      <c r="U516" s="307">
        <f t="shared" si="104"/>
        <v>4.6296296296296294E-2</v>
      </c>
      <c r="V516" s="94">
        <f>IFERROR(VLOOKUP($G516,基本資料!$A:$J,10,0),"無")</f>
        <v>5.64</v>
      </c>
      <c r="W516" s="36">
        <f>RTD("money.excel",,"2239","Price")</f>
        <v>54</v>
      </c>
      <c r="X516" s="66"/>
      <c r="Y516" s="15">
        <f t="shared" si="105"/>
        <v>54</v>
      </c>
      <c r="Z516" s="3" t="e">
        <f t="shared" si="106"/>
        <v>#DIV/0!</v>
      </c>
      <c r="AA516" s="340">
        <f>IFERROR(VLOOKUP($G516,基本資料!$A:$M,11,0),"無")</f>
        <v>-43.63</v>
      </c>
      <c r="AB516" s="389">
        <f>IFERROR(VLOOKUP($G516,基本資料!$A:$M,12,0),"無")</f>
        <v>14.79</v>
      </c>
      <c r="AC516" s="22" t="s">
        <v>955</v>
      </c>
      <c r="AF516" s="33">
        <f t="shared" si="107"/>
        <v>0</v>
      </c>
      <c r="AG516" s="43" t="s">
        <v>1994</v>
      </c>
      <c r="AH516" s="66">
        <f t="shared" si="95"/>
        <v>5.142555438225977</v>
      </c>
      <c r="AI516" s="283">
        <f>RTD("money.excel",,$G516,"PredictVolume")</f>
        <v>487</v>
      </c>
      <c r="AJ516" s="391">
        <f>IFERROR(VLOOKUP($G516,基本資料!$A:$M,13,0),"無")</f>
        <v>94.7</v>
      </c>
      <c r="AR516" s="245" t="str">
        <f>INDEX(基本資料!N:N,MATCH($G516,基本資料!A:A,0))</f>
        <v>低</v>
      </c>
    </row>
    <row r="517" spans="1:44">
      <c r="A517" s="343">
        <f>IFERROR(VLOOKUP($G517,基本資料!$A:$J,3,0),"無")</f>
        <v>4.59</v>
      </c>
      <c r="B517" s="79">
        <f>IFERROR(VLOOKUP($G517,基本資料!$A:$J,4,0),"無")</f>
        <v>72</v>
      </c>
      <c r="C517" s="79">
        <f>IFERROR(VLOOKUP($G517,基本資料!$A:$J,5,0),"無")</f>
        <v>97</v>
      </c>
      <c r="D517" s="79">
        <f>IFERROR(VLOOKUP($G517,基本資料!$A:$J,6,0),"無")</f>
        <v>-31</v>
      </c>
      <c r="E517" s="79">
        <f>IFERROR(VLOOKUP($G517,基本資料!$A:$J,7,0),"無")</f>
        <v>286</v>
      </c>
      <c r="F517" s="6">
        <f>IFERROR(VLOOKUP($G517,基本資料!$A:$J,8,0),"無")</f>
        <v>-0.69</v>
      </c>
      <c r="G517" s="79">
        <v>2243</v>
      </c>
      <c r="H517" s="8" t="s">
        <v>301</v>
      </c>
      <c r="I517" s="22" t="s">
        <v>956</v>
      </c>
      <c r="J517" s="8">
        <f>IFERROR(VLOOKUP($G517,今日總結!$A:$AN,39,0),"")</f>
        <v>0</v>
      </c>
      <c r="K517" s="5">
        <f>IFERROR(VLOOKUP($G517,今日總結!$A:$AN,40,0),"")</f>
        <v>0</v>
      </c>
      <c r="L517" s="156">
        <f>IFERROR(VLOOKUP($G517,今日總結!$A:$AN,37,0),"")</f>
        <v>0</v>
      </c>
      <c r="M517" s="337">
        <f>IFERROR(VLOOKUP($G517,今日總結!$A:$AN,38,0),"")</f>
        <v>0</v>
      </c>
      <c r="N517" s="240">
        <f t="shared" si="108"/>
        <v>0</v>
      </c>
      <c r="O517" s="359">
        <f>IFERROR(VLOOKUP($G517,融外自投!$A:$J,7,0),"無")</f>
        <v>900</v>
      </c>
      <c r="P517" s="79">
        <f>IFERROR(VLOOKUP($G517,融外自投!$A:$J,9,0),"無")</f>
        <v>671</v>
      </c>
      <c r="Q517" s="342">
        <f>IFERROR(VLOOKUP($G517,融外自投!$A:$J,8,0),"無")</f>
        <v>105</v>
      </c>
      <c r="R517" s="81" t="str">
        <f>IFERROR(VLOOKUP($G517,融外自投!$A:$J,10,0),"無")</f>
        <v>無</v>
      </c>
      <c r="S517" s="324">
        <f>IFERROR(VLOOKUP($G517,'321買'!$A:$E,4,0),"'沒有資料'")</f>
        <v>530</v>
      </c>
      <c r="T517" s="186">
        <f>IFERROR(VLOOKUP($G517,基本資料!$A:$J,9,0),"無")</f>
        <v>0</v>
      </c>
      <c r="U517" s="307">
        <f t="shared" si="104"/>
        <v>0</v>
      </c>
      <c r="V517" s="94">
        <f>IFERROR(VLOOKUP($G517,基本資料!$A:$J,10,0),"無")</f>
        <v>-1.81</v>
      </c>
      <c r="W517" s="36">
        <f>RTD("money.excel",,"2243","Price")</f>
        <v>15.55</v>
      </c>
      <c r="X517" s="66"/>
      <c r="Y517" s="15">
        <f t="shared" si="105"/>
        <v>15.55</v>
      </c>
      <c r="Z517" s="3" t="e">
        <f t="shared" si="106"/>
        <v>#DIV/0!</v>
      </c>
      <c r="AA517" s="340">
        <f>IFERROR(VLOOKUP($G517,基本資料!$A:$M,11,0),"無")</f>
        <v>-37.68</v>
      </c>
      <c r="AB517" s="389">
        <f>IFERROR(VLOOKUP($G517,基本資料!$A:$M,12,0),"無")</f>
        <v>27.34</v>
      </c>
      <c r="AC517" s="22" t="s">
        <v>956</v>
      </c>
      <c r="AF517" s="33">
        <f t="shared" si="107"/>
        <v>0</v>
      </c>
      <c r="AG517" s="43" t="s">
        <v>2792</v>
      </c>
      <c r="AH517" s="66">
        <f t="shared" ref="AH517:AH580" si="109">AI517/AJ517</f>
        <v>0.12796169404771734</v>
      </c>
      <c r="AI517" s="283">
        <f>RTD("money.excel",,$G517,"PredictVolume")</f>
        <v>155</v>
      </c>
      <c r="AJ517" s="391">
        <f>IFERROR(VLOOKUP($G517,基本資料!$A:$M,13,0),"無")</f>
        <v>1211.3</v>
      </c>
      <c r="AR517" s="245" t="str">
        <f>INDEX(基本資料!N:N,MATCH($G517,基本資料!A:A,0))</f>
        <v>中</v>
      </c>
    </row>
    <row r="518" spans="1:44">
      <c r="A518" s="343">
        <f>IFERROR(VLOOKUP($G518,基本資料!$A:$J,3,0),"無")</f>
        <v>8.07</v>
      </c>
      <c r="B518" s="79">
        <f>IFERROR(VLOOKUP($G518,基本資料!$A:$J,4,0),"無")</f>
        <v>15</v>
      </c>
      <c r="C518" s="79">
        <f>IFERROR(VLOOKUP($G518,基本資料!$A:$J,5,0),"無")</f>
        <v>20</v>
      </c>
      <c r="D518" s="79">
        <f>IFERROR(VLOOKUP($G518,基本資料!$A:$J,6,0),"無")</f>
        <v>35</v>
      </c>
      <c r="E518" s="79">
        <f>IFERROR(VLOOKUP($G518,基本資料!$A:$J,7,0),"無")</f>
        <v>13</v>
      </c>
      <c r="F518" s="6">
        <f>IFERROR(VLOOKUP($G518,基本資料!$A:$J,8,0),"無")</f>
        <v>3.69</v>
      </c>
      <c r="G518" s="79">
        <v>2247</v>
      </c>
      <c r="H518" s="8" t="s">
        <v>301</v>
      </c>
      <c r="I518" s="22" t="s">
        <v>2031</v>
      </c>
      <c r="J518" s="8">
        <f>IFERROR(VLOOKUP($G518,今日總結!$A:$AN,39,0),"")</f>
        <v>0</v>
      </c>
      <c r="K518" s="5">
        <f>IFERROR(VLOOKUP($G518,今日總結!$A:$AN,40,0),"")</f>
        <v>0</v>
      </c>
      <c r="L518" s="156">
        <f>IFERROR(VLOOKUP($G518,今日總結!$A:$AN,37,0),"")</f>
        <v>0</v>
      </c>
      <c r="M518" s="337">
        <f>IFERROR(VLOOKUP($G518,今日總結!$A:$AN,38,0),"")</f>
        <v>0</v>
      </c>
      <c r="N518" s="240">
        <f t="shared" si="108"/>
        <v>0</v>
      </c>
      <c r="O518" s="359">
        <f>IFERROR(VLOOKUP($G518,融外自投!$A:$J,7,0),"無")</f>
        <v>1400</v>
      </c>
      <c r="P518" s="79" t="str">
        <f>IFERROR(VLOOKUP($G518,融外自投!$A:$J,9,0),"無")</f>
        <v>無</v>
      </c>
      <c r="Q518" s="342">
        <f>IFERROR(VLOOKUP($G518,融外自投!$A:$J,8,0),"無")</f>
        <v>1294</v>
      </c>
      <c r="R518" s="81" t="str">
        <f>IFERROR(VLOOKUP($G518,融外自投!$A:$J,10,0),"無")</f>
        <v>無</v>
      </c>
      <c r="S518" s="324">
        <f>IFERROR(VLOOKUP($G518,'321買'!$A:$E,4,0),"'沒有資料'")</f>
        <v>1002</v>
      </c>
      <c r="T518" s="186">
        <f>IFERROR(VLOOKUP($G518,基本資料!$A:$J,9,0),"無")</f>
        <v>12</v>
      </c>
      <c r="U518" s="307">
        <f t="shared" si="104"/>
        <v>5.8536585365853662E-2</v>
      </c>
      <c r="V518" s="94">
        <f>IFERROR(VLOOKUP($G518,基本資料!$A:$J,10,0),"無")</f>
        <v>15.36</v>
      </c>
      <c r="W518" s="36">
        <f>RTD("money.excel",,"2247","Price")</f>
        <v>205</v>
      </c>
      <c r="X518" s="66"/>
      <c r="Y518" s="15">
        <f t="shared" si="105"/>
        <v>205</v>
      </c>
      <c r="Z518" s="3" t="e">
        <f t="shared" si="106"/>
        <v>#DIV/0!</v>
      </c>
      <c r="AA518" s="340">
        <f>IFERROR(VLOOKUP($G518,基本資料!$A:$M,11,0),"無")</f>
        <v>-12.02</v>
      </c>
      <c r="AB518" s="389">
        <f>IFERROR(VLOOKUP($G518,基本資料!$A:$M,12,0),"無")</f>
        <v>29.04</v>
      </c>
      <c r="AC518" s="22" t="s">
        <v>2031</v>
      </c>
      <c r="AF518" s="33">
        <f t="shared" si="107"/>
        <v>0</v>
      </c>
      <c r="AG518" s="43" t="s">
        <v>2032</v>
      </c>
      <c r="AH518" s="66">
        <f t="shared" si="109"/>
        <v>1.1740890688259109</v>
      </c>
      <c r="AI518" s="283">
        <f>RTD("money.excel",,$G518,"PredictVolume")</f>
        <v>29</v>
      </c>
      <c r="AJ518" s="391">
        <f>IFERROR(VLOOKUP($G518,基本資料!$A:$M,13,0),"無")</f>
        <v>24.7</v>
      </c>
      <c r="AR518" s="245" t="str">
        <f>INDEX(基本資料!N:N,MATCH($G518,基本資料!A:A,0))</f>
        <v>低</v>
      </c>
    </row>
    <row r="519" spans="1:44">
      <c r="A519" s="343">
        <f>IFERROR(VLOOKUP($G519,基本資料!$A:$J,3,0),"無")</f>
        <v>2.7</v>
      </c>
      <c r="B519" s="79">
        <f>IFERROR(VLOOKUP($G519,基本資料!$A:$J,4,0),"無")</f>
        <v>40</v>
      </c>
      <c r="C519" s="79">
        <f>IFERROR(VLOOKUP($G519,基本資料!$A:$J,5,0),"無")</f>
        <v>22</v>
      </c>
      <c r="D519" s="79">
        <f>IFERROR(VLOOKUP($G519,基本資料!$A:$J,6,0),"無")</f>
        <v>-22</v>
      </c>
      <c r="E519" s="79">
        <f>IFERROR(VLOOKUP($G519,基本資料!$A:$J,7,0),"無")</f>
        <v>-27</v>
      </c>
      <c r="F519" s="6">
        <f>IFERROR(VLOOKUP($G519,基本資料!$A:$J,8,0),"無")</f>
        <v>5.33</v>
      </c>
      <c r="G519" s="79">
        <v>2250</v>
      </c>
      <c r="H519" s="8" t="s">
        <v>301</v>
      </c>
      <c r="I519" s="22" t="s">
        <v>3348</v>
      </c>
      <c r="J519" s="8">
        <f>IFERROR(VLOOKUP($G519,今日總結!$A:$AN,39,0),"")</f>
        <v>0</v>
      </c>
      <c r="K519" s="5">
        <f>IFERROR(VLOOKUP($G519,今日總結!$A:$AN,40,0),"")</f>
        <v>0</v>
      </c>
      <c r="L519" s="156">
        <f>IFERROR(VLOOKUP($G519,今日總結!$A:$AN,37,0),"")</f>
        <v>0</v>
      </c>
      <c r="M519" s="337">
        <f>IFERROR(VLOOKUP($G519,今日總結!$A:$AN,38,0),"")</f>
        <v>0</v>
      </c>
      <c r="N519" s="240">
        <f t="shared" si="108"/>
        <v>0</v>
      </c>
      <c r="O519" s="359">
        <f>IFERROR(VLOOKUP($G519,融外自投!$A:$J,7,0),"無")</f>
        <v>782</v>
      </c>
      <c r="P519" s="79" t="str">
        <f>IFERROR(VLOOKUP($G519,融外自投!$A:$J,9,0),"無")</f>
        <v>無</v>
      </c>
      <c r="Q519" s="342">
        <f>IFERROR(VLOOKUP($G519,融外自投!$A:$J,8,0),"無")</f>
        <v>737</v>
      </c>
      <c r="R519" s="81">
        <f>IFERROR(VLOOKUP($G519,融外自投!$A:$J,10,0),"無")</f>
        <v>427</v>
      </c>
      <c r="S519" s="324">
        <f>IFERROR(VLOOKUP($G519,'321買'!$A:$E,4,0),"'沒有資料'")</f>
        <v>801</v>
      </c>
      <c r="T519" s="186">
        <f>IFERROR(VLOOKUP($G519,基本資料!$A:$J,9,0),"無")</f>
        <v>3.22</v>
      </c>
      <c r="U519" s="307">
        <f t="shared" si="104"/>
        <v>3.8935912938331319E-2</v>
      </c>
      <c r="V519" s="94">
        <f>IFERROR(VLOOKUP($G519,基本資料!$A:$J,10,0),"無")</f>
        <v>6.06</v>
      </c>
      <c r="W519" s="36">
        <f>RTD("money.excel",,"2250","Price")</f>
        <v>82.7</v>
      </c>
      <c r="X519" s="66"/>
      <c r="Y519" s="15">
        <f t="shared" si="105"/>
        <v>82.7</v>
      </c>
      <c r="Z519" s="154" t="e">
        <f t="shared" si="106"/>
        <v>#DIV/0!</v>
      </c>
      <c r="AA519" s="340">
        <f>IFERROR(VLOOKUP($G519,基本資料!$A:$M,11,0),"無")</f>
        <v>-62.41</v>
      </c>
      <c r="AB519" s="389">
        <f>IFERROR(VLOOKUP($G519,基本資料!$A:$M,12,0),"無")</f>
        <v>29.04</v>
      </c>
      <c r="AC519" s="22" t="s">
        <v>3348</v>
      </c>
      <c r="AF519" s="33">
        <f t="shared" si="107"/>
        <v>0</v>
      </c>
      <c r="AG519" s="43" t="s">
        <v>3345</v>
      </c>
      <c r="AH519" s="66">
        <f t="shared" si="109"/>
        <v>1.1502029769959403</v>
      </c>
      <c r="AI519" s="283">
        <f>RTD("money.excel",,$G519,"PredictVolume")</f>
        <v>85</v>
      </c>
      <c r="AJ519" s="391">
        <f>IFERROR(VLOOKUP($G519,基本資料!$A:$M,13,0),"無")</f>
        <v>73.900000000000006</v>
      </c>
      <c r="AR519" s="245" t="str">
        <f>INDEX(基本資料!N:N,MATCH($G519,基本資料!A:A,0))</f>
        <v>低</v>
      </c>
    </row>
    <row r="520" spans="1:44">
      <c r="A520" s="343">
        <f>IFERROR(VLOOKUP($G520,基本資料!$A:$J,3,0),"無")</f>
        <v>11.87</v>
      </c>
      <c r="B520" s="79">
        <f>IFERROR(VLOOKUP($G520,基本資料!$A:$J,4,0),"無")</f>
        <v>217</v>
      </c>
      <c r="C520" s="79">
        <f>IFERROR(VLOOKUP($G520,基本資料!$A:$J,5,0),"無")</f>
        <v>294</v>
      </c>
      <c r="D520" s="79">
        <f>IFERROR(VLOOKUP($G520,基本資料!$A:$J,6,0),"無")</f>
        <v>-29</v>
      </c>
      <c r="E520" s="79">
        <f>IFERROR(VLOOKUP($G520,基本資料!$A:$J,7,0),"無")</f>
        <v>3</v>
      </c>
      <c r="F520" s="6">
        <f>IFERROR(VLOOKUP($G520,基本資料!$A:$J,8,0),"無")</f>
        <v>6.92</v>
      </c>
      <c r="G520" s="79">
        <v>2497</v>
      </c>
      <c r="H520" s="8" t="s">
        <v>301</v>
      </c>
      <c r="I520" s="22" t="s">
        <v>243</v>
      </c>
      <c r="J520" s="8">
        <f>IFERROR(VLOOKUP($G520,今日總結!$A:$AN,39,0),"")</f>
        <v>0</v>
      </c>
      <c r="K520" s="5">
        <f>IFERROR(VLOOKUP($G520,今日總結!$A:$AN,40,0),"")</f>
        <v>0</v>
      </c>
      <c r="L520" s="156">
        <f>IFERROR(VLOOKUP($G520,今日總結!$A:$AN,37,0),"")</f>
        <v>0</v>
      </c>
      <c r="M520" s="337">
        <f>IFERROR(VLOOKUP($G520,今日總結!$A:$AN,38,0),"")</f>
        <v>0</v>
      </c>
      <c r="N520" s="240">
        <f t="shared" si="108"/>
        <v>0</v>
      </c>
      <c r="O520" s="359">
        <f>IFERROR(VLOOKUP($G520,融外自投!$A:$J,7,0),"無")</f>
        <v>98</v>
      </c>
      <c r="P520" s="79">
        <f>IFERROR(VLOOKUP($G520,融外自投!$A:$J,9,0),"無")</f>
        <v>414</v>
      </c>
      <c r="Q520" s="342">
        <f>IFERROR(VLOOKUP($G520,融外自投!$A:$J,8,0),"無")</f>
        <v>851</v>
      </c>
      <c r="R520" s="81" t="str">
        <f>IFERROR(VLOOKUP($G520,融外自投!$A:$J,10,0),"無")</f>
        <v>無</v>
      </c>
      <c r="S520" s="324">
        <f>IFERROR(VLOOKUP($G520,'321買'!$A:$E,4,0),"'沒有資料'")</f>
        <v>59</v>
      </c>
      <c r="T520" s="186">
        <f>IFERROR(VLOOKUP($G520,基本資料!$A:$J,9,0),"無")</f>
        <v>0</v>
      </c>
      <c r="U520" s="307">
        <f t="shared" si="104"/>
        <v>0</v>
      </c>
      <c r="V520" s="94">
        <f>IFERROR(VLOOKUP($G520,基本資料!$A:$J,10,0),"無")</f>
        <v>0.81</v>
      </c>
      <c r="W520" s="36">
        <f>RTD("money.excel",,"2497","Price")</f>
        <v>75</v>
      </c>
      <c r="X520" s="66"/>
      <c r="Y520" s="15">
        <f t="shared" si="105"/>
        <v>75</v>
      </c>
      <c r="Z520" s="3" t="e">
        <f t="shared" si="106"/>
        <v>#DIV/0!</v>
      </c>
      <c r="AA520" s="340">
        <f>IFERROR(VLOOKUP($G520,基本資料!$A:$M,11,0),"無")</f>
        <v>-36.17</v>
      </c>
      <c r="AB520" s="389">
        <f>IFERROR(VLOOKUP($G520,基本資料!$A:$M,12,0),"無")</f>
        <v>14.91</v>
      </c>
      <c r="AC520" s="22" t="s">
        <v>243</v>
      </c>
      <c r="AF520" s="33">
        <f t="shared" si="107"/>
        <v>0</v>
      </c>
      <c r="AG520" s="119" t="s">
        <v>2136</v>
      </c>
      <c r="AH520" s="66">
        <f t="shared" si="109"/>
        <v>0.85276531044867765</v>
      </c>
      <c r="AI520" s="283">
        <f>RTD("money.excel",,$G520,"PredictVolume")</f>
        <v>5833</v>
      </c>
      <c r="AJ520" s="391">
        <f>IFERROR(VLOOKUP($G520,基本資料!$A:$M,13,0),"無")</f>
        <v>6840.1</v>
      </c>
      <c r="AR520" s="245" t="str">
        <f>INDEX(基本資料!N:N,MATCH($G520,基本資料!A:A,0))</f>
        <v>中</v>
      </c>
    </row>
    <row r="521" spans="1:44">
      <c r="A521" s="343">
        <f>IFERROR(VLOOKUP($G521,基本資料!$A:$J,3,0),"無")</f>
        <v>10.66</v>
      </c>
      <c r="B521" s="79">
        <f>IFERROR(VLOOKUP($G521,基本資料!$A:$J,4,0),"無")</f>
        <v>680</v>
      </c>
      <c r="C521" s="79">
        <f>IFERROR(VLOOKUP($G521,基本資料!$A:$J,5,0),"無")</f>
        <v>1465</v>
      </c>
      <c r="D521" s="79">
        <f>IFERROR(VLOOKUP($G521,基本資料!$A:$J,6,0),"無")</f>
        <v>-35</v>
      </c>
      <c r="E521" s="79">
        <f>IFERROR(VLOOKUP($G521,基本資料!$A:$J,7,0),"無")</f>
        <v>-13</v>
      </c>
      <c r="F521" s="6">
        <f>IFERROR(VLOOKUP($G521,基本資料!$A:$J,8,0),"無")</f>
        <v>1.62</v>
      </c>
      <c r="G521" s="79">
        <v>3346</v>
      </c>
      <c r="H521" s="8" t="s">
        <v>301</v>
      </c>
      <c r="I521" s="22" t="s">
        <v>577</v>
      </c>
      <c r="J521" s="8">
        <f>IFERROR(VLOOKUP($G521,今日總結!$A:$AN,39,0),"")</f>
        <v>0</v>
      </c>
      <c r="K521" s="5" t="str">
        <f>IFERROR(VLOOKUP($G521,今日總結!$A:$AN,40,0),"")</f>
        <v>融</v>
      </c>
      <c r="L521" s="156">
        <f>IFERROR(VLOOKUP($G521,今日總結!$A:$AN,37,0),"")</f>
        <v>0</v>
      </c>
      <c r="M521" s="337">
        <f>IFERROR(VLOOKUP($G521,今日總結!$A:$AN,38,0),"")</f>
        <v>2</v>
      </c>
      <c r="N521" s="240">
        <f t="shared" si="108"/>
        <v>-2</v>
      </c>
      <c r="O521" s="359">
        <f>IFERROR(VLOOKUP($G521,融外自投!$A:$J,7,0),"無")</f>
        <v>232</v>
      </c>
      <c r="P521" s="79" t="str">
        <f>IFERROR(VLOOKUP($G521,融外自投!$A:$J,9,0),"無")</f>
        <v>無</v>
      </c>
      <c r="Q521" s="342">
        <f>IFERROR(VLOOKUP($G521,融外自投!$A:$J,8,0),"無")</f>
        <v>901</v>
      </c>
      <c r="R521" s="81" t="str">
        <f>IFERROR(VLOOKUP($G521,融外自投!$A:$J,10,0),"無")</f>
        <v>無</v>
      </c>
      <c r="S521" s="324">
        <f>IFERROR(VLOOKUP($G521,'321買'!$A:$E,4,0),"'沒有資料'")</f>
        <v>696</v>
      </c>
      <c r="T521" s="186">
        <f>IFERROR(VLOOKUP($G521,基本資料!$A:$J,9,0),"無")</f>
        <v>0.62</v>
      </c>
      <c r="U521" s="307">
        <f t="shared" si="104"/>
        <v>2.1232876712328767E-2</v>
      </c>
      <c r="V521" s="94">
        <f>IFERROR(VLOOKUP($G521,基本資料!$A:$J,10,0),"無")</f>
        <v>1.03</v>
      </c>
      <c r="W521" s="36">
        <f>RTD("money.excel",,"3346","Price")</f>
        <v>29.2</v>
      </c>
      <c r="X521" s="66"/>
      <c r="Y521" s="15">
        <f t="shared" si="105"/>
        <v>29.2</v>
      </c>
      <c r="Z521" s="3" t="e">
        <f t="shared" si="106"/>
        <v>#DIV/0!</v>
      </c>
      <c r="AA521" s="340">
        <f>IFERROR(VLOOKUP($G521,基本資料!$A:$M,11,0),"無")</f>
        <v>-47.39</v>
      </c>
      <c r="AB521" s="389">
        <f>IFERROR(VLOOKUP($G521,基本資料!$A:$M,12,0),"無")</f>
        <v>11.82</v>
      </c>
      <c r="AC521" s="22" t="s">
        <v>577</v>
      </c>
      <c r="AF521" s="33">
        <f t="shared" si="107"/>
        <v>0</v>
      </c>
      <c r="AG521" s="43" t="s">
        <v>2088</v>
      </c>
      <c r="AH521" s="66">
        <f t="shared" si="109"/>
        <v>0.47079087125017938</v>
      </c>
      <c r="AI521" s="283">
        <f>RTD("money.excel",,$G521,"PredictVolume")</f>
        <v>164</v>
      </c>
      <c r="AJ521" s="391">
        <f>IFERROR(VLOOKUP($G521,基本資料!$A:$M,13,0),"無")</f>
        <v>348.35</v>
      </c>
      <c r="AR521" s="245" t="str">
        <f>INDEX(基本資料!N:N,MATCH($G521,基本資料!A:A,0))</f>
        <v>低</v>
      </c>
    </row>
    <row r="522" spans="1:44">
      <c r="A522" s="343">
        <f>IFERROR(VLOOKUP($G522,基本資料!$A:$J,3,0),"無")</f>
        <v>11.77</v>
      </c>
      <c r="B522" s="79">
        <f>IFERROR(VLOOKUP($G522,基本資料!$A:$J,4,0),"無")</f>
        <v>55</v>
      </c>
      <c r="C522" s="79">
        <f>IFERROR(VLOOKUP($G522,基本資料!$A:$J,5,0),"無")</f>
        <v>31</v>
      </c>
      <c r="D522" s="79">
        <f>IFERROR(VLOOKUP($G522,基本資料!$A:$J,6,0),"無")</f>
        <v>-2</v>
      </c>
      <c r="E522" s="79">
        <f>IFERROR(VLOOKUP($G522,基本資料!$A:$J,7,0),"無")</f>
        <v>2</v>
      </c>
      <c r="F522" s="6">
        <f>IFERROR(VLOOKUP($G522,基本資料!$A:$J,8,0),"無")</f>
        <v>17.61</v>
      </c>
      <c r="G522" s="79">
        <v>4551</v>
      </c>
      <c r="H522" s="8" t="s">
        <v>301</v>
      </c>
      <c r="I522" s="23" t="s">
        <v>240</v>
      </c>
      <c r="J522" s="8">
        <f>IFERROR(VLOOKUP($G522,今日總結!$A:$AN,39,0),"")</f>
        <v>0</v>
      </c>
      <c r="K522" s="5">
        <f>IFERROR(VLOOKUP($G522,今日總結!$A:$AN,40,0),"")</f>
        <v>0</v>
      </c>
      <c r="L522" s="156">
        <f>IFERROR(VLOOKUP($G522,今日總結!$A:$AN,37,0),"")</f>
        <v>0</v>
      </c>
      <c r="M522" s="337">
        <f>IFERROR(VLOOKUP($G522,今日總結!$A:$AN,38,0),"")</f>
        <v>0</v>
      </c>
      <c r="N522" s="240">
        <f t="shared" si="108"/>
        <v>0</v>
      </c>
      <c r="O522" s="359">
        <f>IFERROR(VLOOKUP($G522,融外自投!$A:$J,7,0),"無")</f>
        <v>965</v>
      </c>
      <c r="P522" s="79" t="str">
        <f>IFERROR(VLOOKUP($G522,融外自投!$A:$J,9,0),"無")</f>
        <v>無</v>
      </c>
      <c r="Q522" s="342">
        <f>IFERROR(VLOOKUP($G522,融外自投!$A:$J,8,0),"無")</f>
        <v>67</v>
      </c>
      <c r="R522" s="81">
        <f>IFERROR(VLOOKUP($G522,融外自投!$A:$J,10,0),"無")</f>
        <v>144</v>
      </c>
      <c r="S522" s="324">
        <f>IFERROR(VLOOKUP($G522,'321買'!$A:$E,4,0),"'沒有資料'")</f>
        <v>801</v>
      </c>
      <c r="T522" s="186">
        <f>IFERROR(VLOOKUP($G522,基本資料!$A:$J,9,0),"無")</f>
        <v>5</v>
      </c>
      <c r="U522" s="307">
        <f t="shared" si="104"/>
        <v>3.9215686274509803E-2</v>
      </c>
      <c r="V522" s="94">
        <f>IFERROR(VLOOKUP($G522,基本資料!$A:$J,10,0),"無")</f>
        <v>10.47</v>
      </c>
      <c r="W522" s="36">
        <f>RTD("money.excel",,"4551","Price")</f>
        <v>127.5</v>
      </c>
      <c r="X522" s="66"/>
      <c r="Y522" s="15">
        <f t="shared" si="105"/>
        <v>127.5</v>
      </c>
      <c r="Z522" s="35" t="e">
        <f t="shared" si="106"/>
        <v>#DIV/0!</v>
      </c>
      <c r="AA522" s="340">
        <f>IFERROR(VLOOKUP($G522,基本資料!$A:$M,11,0),"無")</f>
        <v>-36.25</v>
      </c>
      <c r="AB522" s="389">
        <f>IFERROR(VLOOKUP($G522,基本資料!$A:$M,12,0),"無")</f>
        <v>16.59</v>
      </c>
      <c r="AC522" s="23" t="s">
        <v>240</v>
      </c>
      <c r="AF522" s="33">
        <f t="shared" si="107"/>
        <v>0</v>
      </c>
      <c r="AG522" s="119" t="s">
        <v>2791</v>
      </c>
      <c r="AH522" s="66">
        <f t="shared" si="109"/>
        <v>1.1304555211066063</v>
      </c>
      <c r="AI522" s="283">
        <f>RTD("money.excel",,$G522,"PredictVolume")</f>
        <v>237</v>
      </c>
      <c r="AJ522" s="391">
        <f>IFERROR(VLOOKUP($G522,基本資料!$A:$M,13,0),"無")</f>
        <v>209.65</v>
      </c>
      <c r="AR522" s="245" t="str">
        <f>INDEX(基本資料!N:N,MATCH($G522,基本資料!A:A,0))</f>
        <v>低</v>
      </c>
    </row>
    <row r="523" spans="1:44">
      <c r="A523" s="343">
        <f>IFERROR(VLOOKUP($G523,基本資料!$A:$J,3,0),"無")</f>
        <v>4.1900000000000004</v>
      </c>
      <c r="B523" s="79">
        <f>IFERROR(VLOOKUP($G523,基本資料!$A:$J,4,0),"無")</f>
        <v>46</v>
      </c>
      <c r="C523" s="79">
        <f>IFERROR(VLOOKUP($G523,基本資料!$A:$J,5,0),"無")</f>
        <v>16</v>
      </c>
      <c r="D523" s="79">
        <f>IFERROR(VLOOKUP($G523,基本資料!$A:$J,6,0),"無")</f>
        <v>-6</v>
      </c>
      <c r="E523" s="79">
        <f>IFERROR(VLOOKUP($G523,基本資料!$A:$J,7,0),"無")</f>
        <v>52</v>
      </c>
      <c r="F523" s="6">
        <f>IFERROR(VLOOKUP($G523,基本資料!$A:$J,8,0),"無")</f>
        <v>11.64</v>
      </c>
      <c r="G523" s="79">
        <v>4557</v>
      </c>
      <c r="H523" s="8" t="s">
        <v>301</v>
      </c>
      <c r="I523" s="22" t="s">
        <v>581</v>
      </c>
      <c r="J523" s="8">
        <f>IFERROR(VLOOKUP($G523,今日總結!$A:$AN,39,0),"")</f>
        <v>0</v>
      </c>
      <c r="K523" s="5">
        <f>IFERROR(VLOOKUP($G523,今日總結!$A:$AN,40,0),"")</f>
        <v>0</v>
      </c>
      <c r="L523" s="156">
        <f>IFERROR(VLOOKUP($G523,今日總結!$A:$AN,37,0),"")</f>
        <v>0</v>
      </c>
      <c r="M523" s="337">
        <f>IFERROR(VLOOKUP($G523,今日總結!$A:$AN,38,0),"")</f>
        <v>0</v>
      </c>
      <c r="N523" s="240">
        <f t="shared" si="108"/>
        <v>0</v>
      </c>
      <c r="O523" s="359">
        <f>IFERROR(VLOOKUP($G523,融外自投!$A:$J,7,0),"無")</f>
        <v>1369</v>
      </c>
      <c r="P523" s="79">
        <f>IFERROR(VLOOKUP($G523,融外自投!$A:$J,9,0),"無")</f>
        <v>825</v>
      </c>
      <c r="Q523" s="342">
        <f>IFERROR(VLOOKUP($G523,融外自投!$A:$J,8,0),"無")</f>
        <v>120</v>
      </c>
      <c r="R523" s="81" t="str">
        <f>IFERROR(VLOOKUP($G523,融外自投!$A:$J,10,0),"無")</f>
        <v>無</v>
      </c>
      <c r="S523" s="324">
        <f>IFERROR(VLOOKUP($G523,'321買'!$A:$E,4,0),"'沒有資料'")</f>
        <v>1002</v>
      </c>
      <c r="T523" s="186">
        <f>IFERROR(VLOOKUP($G523,基本資料!$A:$J,9,0),"無")</f>
        <v>4.5</v>
      </c>
      <c r="U523" s="307">
        <f t="shared" si="104"/>
        <v>0.06</v>
      </c>
      <c r="V523" s="94">
        <f>IFERROR(VLOOKUP($G523,基本資料!$A:$J,10,0),"無")</f>
        <v>5.16</v>
      </c>
      <c r="W523" s="36">
        <f>RTD("money.excel",,"4557","Price")</f>
        <v>75</v>
      </c>
      <c r="X523" s="66"/>
      <c r="Y523" s="15">
        <f t="shared" si="105"/>
        <v>75</v>
      </c>
      <c r="Z523" s="3" t="e">
        <f t="shared" si="106"/>
        <v>#DIV/0!</v>
      </c>
      <c r="AA523" s="340">
        <f>IFERROR(VLOOKUP($G523,基本資料!$A:$M,11,0),"無")</f>
        <v>-9.5299999999999994</v>
      </c>
      <c r="AB523" s="389">
        <f>IFERROR(VLOOKUP($G523,基本資料!$A:$M,12,0),"無")</f>
        <v>29.85</v>
      </c>
      <c r="AC523" s="22" t="s">
        <v>581</v>
      </c>
      <c r="AF523" s="33">
        <f t="shared" si="107"/>
        <v>0</v>
      </c>
      <c r="AG523" s="43" t="s">
        <v>2793</v>
      </c>
      <c r="AH523" s="66">
        <f t="shared" si="109"/>
        <v>2.4299065420560746</v>
      </c>
      <c r="AI523" s="283">
        <f>RTD("money.excel",,$G523,"PredictVolume")</f>
        <v>78</v>
      </c>
      <c r="AJ523" s="391">
        <f>IFERROR(VLOOKUP($G523,基本資料!$A:$M,13,0),"無")</f>
        <v>32.1</v>
      </c>
      <c r="AR523" s="245" t="str">
        <f>INDEX(基本資料!N:N,MATCH($G523,基本資料!A:A,0))</f>
        <v>中</v>
      </c>
    </row>
    <row r="524" spans="1:44">
      <c r="A524" s="343">
        <f>IFERROR(VLOOKUP($G524,基本資料!$A:$J,3,0),"無")</f>
        <v>3.38</v>
      </c>
      <c r="B524" s="79">
        <f>IFERROR(VLOOKUP($G524,基本資料!$A:$J,4,0),"無")</f>
        <v>17</v>
      </c>
      <c r="C524" s="79">
        <f>IFERROR(VLOOKUP($G524,基本資料!$A:$J,5,0),"無")</f>
        <v>24</v>
      </c>
      <c r="D524" s="79">
        <f>IFERROR(VLOOKUP($G524,基本資料!$A:$J,6,0),"無")</f>
        <v>-3</v>
      </c>
      <c r="E524" s="79">
        <f>IFERROR(VLOOKUP($G524,基本資料!$A:$J,7,0),"無")</f>
        <v>-9</v>
      </c>
      <c r="F524" s="6">
        <f>IFERROR(VLOOKUP($G524,基本資料!$A:$J,8,0),"無")</f>
        <v>9.76</v>
      </c>
      <c r="G524" s="79">
        <v>4581</v>
      </c>
      <c r="H524" s="8" t="s">
        <v>301</v>
      </c>
      <c r="I524" s="22" t="s">
        <v>1890</v>
      </c>
      <c r="J524" s="8">
        <f>IFERROR(VLOOKUP($G524,今日總結!$A:$AN,39,0),"")</f>
        <v>0</v>
      </c>
      <c r="K524" s="5">
        <f>IFERROR(VLOOKUP($G524,今日總結!$A:$AN,40,0),"")</f>
        <v>0</v>
      </c>
      <c r="L524" s="156">
        <f>IFERROR(VLOOKUP($G524,今日總結!$A:$AN,37,0),"")</f>
        <v>0</v>
      </c>
      <c r="M524" s="337">
        <f>IFERROR(VLOOKUP($G524,今日總結!$A:$AN,38,0),"")</f>
        <v>0</v>
      </c>
      <c r="N524" s="240">
        <f t="shared" si="108"/>
        <v>0</v>
      </c>
      <c r="O524" s="359">
        <f>IFERROR(VLOOKUP($G524,融外自投!$A:$J,7,0),"無")</f>
        <v>1271</v>
      </c>
      <c r="P524" s="79">
        <f>IFERROR(VLOOKUP($G524,融外自投!$A:$J,9,0),"無")</f>
        <v>1051</v>
      </c>
      <c r="Q524" s="342">
        <f>IFERROR(VLOOKUP($G524,融外自投!$A:$J,8,0),"無")</f>
        <v>208</v>
      </c>
      <c r="R524" s="81" t="str">
        <f>IFERROR(VLOOKUP($G524,融外自投!$A:$J,10,0),"無")</f>
        <v>無</v>
      </c>
      <c r="S524" s="324">
        <f>IFERROR(VLOOKUP($G524,'321買'!$A:$E,4,0),"'沒有資料'")</f>
        <v>1002</v>
      </c>
      <c r="T524" s="186">
        <f>IFERROR(VLOOKUP($G524,基本資料!$A:$J,9,0),"無")</f>
        <v>1.5</v>
      </c>
      <c r="U524" s="307">
        <f t="shared" si="104"/>
        <v>4.9423393739703454E-2</v>
      </c>
      <c r="V524" s="94">
        <f>IFERROR(VLOOKUP($G524,基本資料!$A:$J,10,0),"無")</f>
        <v>2.38</v>
      </c>
      <c r="W524" s="36">
        <f>RTD("money.excel",,"4581","Price")</f>
        <v>30.35</v>
      </c>
      <c r="X524" s="66"/>
      <c r="Y524" s="15">
        <f t="shared" si="105"/>
        <v>30.35</v>
      </c>
      <c r="Z524" s="35" t="e">
        <f t="shared" si="106"/>
        <v>#DIV/0!</v>
      </c>
      <c r="AA524" s="340">
        <f>IFERROR(VLOOKUP($G524,基本資料!$A:$M,11,0),"無")</f>
        <v>-26.6</v>
      </c>
      <c r="AB524" s="389">
        <f>IFERROR(VLOOKUP($G524,基本資料!$A:$M,12,0),"無")</f>
        <v>16.059999999999999</v>
      </c>
      <c r="AC524" s="22" t="s">
        <v>1890</v>
      </c>
      <c r="AF524" s="33">
        <f t="shared" si="107"/>
        <v>0</v>
      </c>
      <c r="AG524" s="119" t="s">
        <v>2794</v>
      </c>
      <c r="AH524" s="66">
        <f t="shared" si="109"/>
        <v>1.2322274881516586</v>
      </c>
      <c r="AI524" s="283">
        <f>RTD("money.excel",,$G524,"PredictVolume")</f>
        <v>13</v>
      </c>
      <c r="AJ524" s="391">
        <f>IFERROR(VLOOKUP($G524,基本資料!$A:$M,13,0),"無")</f>
        <v>10.55</v>
      </c>
      <c r="AR524" s="245" t="str">
        <f>INDEX(基本資料!N:N,MATCH($G524,基本資料!A:A,0))</f>
        <v>低</v>
      </c>
    </row>
    <row r="525" spans="1:44">
      <c r="A525" s="343">
        <f>IFERROR(VLOOKUP($G525,基本資料!$A:$J,3,0),"無")</f>
        <v>18.27</v>
      </c>
      <c r="B525" s="79">
        <f>IFERROR(VLOOKUP($G525,基本資料!$A:$J,4,0),"無")</f>
        <v>-92</v>
      </c>
      <c r="C525" s="79">
        <f>IFERROR(VLOOKUP($G525,基本資料!$A:$J,5,0),"無")</f>
        <v>-69</v>
      </c>
      <c r="D525" s="79">
        <f>IFERROR(VLOOKUP($G525,基本資料!$A:$J,6,0),"無")</f>
        <v>4</v>
      </c>
      <c r="E525" s="79">
        <f>IFERROR(VLOOKUP($G525,基本資料!$A:$J,7,0),"無")</f>
        <v>7</v>
      </c>
      <c r="F525" s="6">
        <f>IFERROR(VLOOKUP($G525,基本資料!$A:$J,8,0),"無")</f>
        <v>1.57</v>
      </c>
      <c r="G525" s="79">
        <v>6288</v>
      </c>
      <c r="H525" s="8" t="s">
        <v>301</v>
      </c>
      <c r="I525" s="22" t="s">
        <v>448</v>
      </c>
      <c r="J525" s="8" t="str">
        <f>IFERROR(VLOOKUP($G525,今日總結!$A:$AN,39,0),"")</f>
        <v>主外</v>
      </c>
      <c r="K525" s="5">
        <f>IFERROR(VLOOKUP($G525,今日總結!$A:$AN,40,0),"")</f>
        <v>0</v>
      </c>
      <c r="L525" s="156">
        <f>IFERROR(VLOOKUP($G525,今日總結!$A:$AN,37,0),"")</f>
        <v>2</v>
      </c>
      <c r="M525" s="337">
        <f>IFERROR(VLOOKUP($G525,今日總結!$A:$AN,38,0),"")</f>
        <v>0</v>
      </c>
      <c r="N525" s="240">
        <f t="shared" si="108"/>
        <v>2</v>
      </c>
      <c r="O525" s="359">
        <f>IFERROR(VLOOKUP($G525,融外自投!$A:$J,7,0),"無")</f>
        <v>526</v>
      </c>
      <c r="P525" s="79">
        <f>IFERROR(VLOOKUP($G525,融外自投!$A:$J,9,0),"無")</f>
        <v>365</v>
      </c>
      <c r="Q525" s="342">
        <f>IFERROR(VLOOKUP($G525,融外自投!$A:$J,8,0),"無")</f>
        <v>1248</v>
      </c>
      <c r="R525" s="81">
        <f>IFERROR(VLOOKUP($G525,融外自投!$A:$J,10,0),"無")</f>
        <v>246</v>
      </c>
      <c r="S525" s="324">
        <f>IFERROR(VLOOKUP($G525,'321買'!$A:$E,4,0),"'沒有資料'")</f>
        <v>696</v>
      </c>
      <c r="T525" s="186">
        <f>IFERROR(VLOOKUP($G525,基本資料!$A:$J,9,0),"無")</f>
        <v>0.4</v>
      </c>
      <c r="U525" s="307">
        <f t="shared" si="104"/>
        <v>1.6913319238900635E-2</v>
      </c>
      <c r="V525" s="94">
        <f>IFERROR(VLOOKUP($G525,基本資料!$A:$J,10,0),"無")</f>
        <v>0.06</v>
      </c>
      <c r="W525" s="36">
        <f>RTD("money.excel",,"6288","Price")</f>
        <v>23.65</v>
      </c>
      <c r="X525" s="66"/>
      <c r="Y525" s="15">
        <f t="shared" si="105"/>
        <v>23.65</v>
      </c>
      <c r="Z525" s="35" t="e">
        <f t="shared" si="106"/>
        <v>#DIV/0!</v>
      </c>
      <c r="AA525" s="340">
        <f>IFERROR(VLOOKUP($G525,基本資料!$A:$M,11,0),"無")</f>
        <v>-29.3</v>
      </c>
      <c r="AB525" s="389">
        <f>IFERROR(VLOOKUP($G525,基本資料!$A:$M,12,0),"無")</f>
        <v>29.67</v>
      </c>
      <c r="AC525" s="22" t="s">
        <v>448</v>
      </c>
      <c r="AF525" s="33">
        <f t="shared" si="107"/>
        <v>0</v>
      </c>
      <c r="AG525" s="43" t="s">
        <v>2024</v>
      </c>
      <c r="AH525" s="66">
        <f t="shared" si="109"/>
        <v>0.91548088462197852</v>
      </c>
      <c r="AI525" s="283">
        <f>RTD("money.excel",,$G525,"PredictVolume")</f>
        <v>267</v>
      </c>
      <c r="AJ525" s="391">
        <f>IFERROR(VLOOKUP($G525,基本資料!$A:$M,13,0),"無")</f>
        <v>291.64999999999998</v>
      </c>
      <c r="AR525" s="245" t="str">
        <f>INDEX(基本資料!N:N,MATCH($G525,基本資料!A:A,0))</f>
        <v>低</v>
      </c>
    </row>
    <row r="526" spans="1:44">
      <c r="A526" s="343">
        <f>IFERROR(VLOOKUP($G526,基本資料!$A:$J,3,0),"無")</f>
        <v>16.579999999999998</v>
      </c>
      <c r="B526" s="79">
        <f>IFERROR(VLOOKUP($G526,基本資料!$A:$J,4,0),"無")</f>
        <v>105</v>
      </c>
      <c r="C526" s="79">
        <f>IFERROR(VLOOKUP($G526,基本資料!$A:$J,5,0),"無")</f>
        <v>68</v>
      </c>
      <c r="D526" s="79">
        <f>IFERROR(VLOOKUP($G526,基本資料!$A:$J,6,0),"無")</f>
        <v>-11</v>
      </c>
      <c r="E526" s="79">
        <f>IFERROR(VLOOKUP($G526,基本資料!$A:$J,7,0),"無")</f>
        <v>-3</v>
      </c>
      <c r="F526" s="6">
        <f>IFERROR(VLOOKUP($G526,基本資料!$A:$J,8,0),"無")</f>
        <v>10.7</v>
      </c>
      <c r="G526" s="79">
        <v>6605</v>
      </c>
      <c r="H526" s="8" t="s">
        <v>301</v>
      </c>
      <c r="I526" s="22" t="s">
        <v>4035</v>
      </c>
      <c r="J526" s="8">
        <f>IFERROR(VLOOKUP($G526,今日總結!$A:$AN,39,0),"")</f>
        <v>0</v>
      </c>
      <c r="K526" s="5">
        <f>IFERROR(VLOOKUP($G526,今日總結!$A:$AN,40,0),"")</f>
        <v>0</v>
      </c>
      <c r="L526" s="156">
        <f>IFERROR(VLOOKUP($G526,今日總結!$A:$AN,37,0),"")</f>
        <v>0</v>
      </c>
      <c r="M526" s="337">
        <f>IFERROR(VLOOKUP($G526,今日總結!$A:$AN,38,0),"")</f>
        <v>0</v>
      </c>
      <c r="N526" s="240">
        <f t="shared" si="108"/>
        <v>0</v>
      </c>
      <c r="O526" s="359">
        <f>IFERROR(VLOOKUP($G526,融外自投!$A:$J,7,0),"無")</f>
        <v>1042</v>
      </c>
      <c r="P526" s="79">
        <f>IFERROR(VLOOKUP($G526,融外自投!$A:$J,9,0),"無")</f>
        <v>869</v>
      </c>
      <c r="Q526" s="342">
        <f>IFERROR(VLOOKUP($G526,融外自投!$A:$J,8,0),"無")</f>
        <v>436</v>
      </c>
      <c r="R526" s="81" t="str">
        <f>IFERROR(VLOOKUP($G526,融外自投!$A:$J,10,0),"無")</f>
        <v>無</v>
      </c>
      <c r="S526" s="324">
        <f>IFERROR(VLOOKUP($G526,'321買'!$A:$E,4,0),"'沒有資料'")</f>
        <v>1002</v>
      </c>
      <c r="T526" s="186">
        <f>IFERROR(VLOOKUP($G526,基本資料!$A:$J,9,0),"無")</f>
        <v>3</v>
      </c>
      <c r="U526" s="307">
        <f t="shared" si="104"/>
        <v>4.9916805324459232E-2</v>
      </c>
      <c r="V526" s="94">
        <f>IFERROR(VLOOKUP($G526,基本資料!$A:$J,10,0),"無")</f>
        <v>6.85</v>
      </c>
      <c r="W526" s="36">
        <f>RTD("money.excel",,"6605","Price")</f>
        <v>60.1</v>
      </c>
      <c r="X526" s="66"/>
      <c r="Y526" s="15">
        <f t="shared" si="105"/>
        <v>60.1</v>
      </c>
      <c r="Z526" s="3" t="e">
        <f t="shared" si="106"/>
        <v>#DIV/0!</v>
      </c>
      <c r="AA526" s="340">
        <f>IFERROR(VLOOKUP($G526,基本資料!$A:$M,11,0),"無")</f>
        <v>-6.09</v>
      </c>
      <c r="AB526" s="389">
        <f>IFERROR(VLOOKUP($G526,基本資料!$A:$M,12,0),"無")</f>
        <v>72.959999999999994</v>
      </c>
      <c r="AC526" s="22" t="s">
        <v>4035</v>
      </c>
      <c r="AF526" s="33">
        <f t="shared" si="107"/>
        <v>0</v>
      </c>
      <c r="AG526" s="117" t="s">
        <v>2088</v>
      </c>
      <c r="AH526" s="66">
        <f t="shared" si="109"/>
        <v>3.1264676283126467</v>
      </c>
      <c r="AI526" s="283">
        <f>RTD("money.excel",,$G526,"PredictVolume")</f>
        <v>466</v>
      </c>
      <c r="AJ526" s="391">
        <f>IFERROR(VLOOKUP($G526,基本資料!$A:$M,13,0),"無")</f>
        <v>149.05000000000001</v>
      </c>
      <c r="AR526" s="245" t="str">
        <f>INDEX(基本資料!N:N,MATCH($G526,基本資料!A:A,0))</f>
        <v>中</v>
      </c>
    </row>
    <row r="527" spans="1:44">
      <c r="A527" s="142"/>
      <c r="B527" s="80"/>
      <c r="C527" s="80"/>
      <c r="D527" s="79"/>
      <c r="E527" s="79"/>
      <c r="F527" s="6"/>
      <c r="G527" s="79"/>
      <c r="H527" s="8"/>
      <c r="I527" s="22"/>
      <c r="L527" s="2"/>
      <c r="R527" s="26"/>
      <c r="T527" s="34"/>
      <c r="V527" s="94"/>
      <c r="W527" s="36"/>
      <c r="X527" s="66"/>
      <c r="Y527" s="15"/>
      <c r="Z527" s="3"/>
      <c r="AC527" s="22"/>
      <c r="AF527" s="33"/>
      <c r="AG527" s="117"/>
      <c r="AH527" s="66" t="e">
        <f t="shared" si="109"/>
        <v>#DIV/0!</v>
      </c>
      <c r="AI527" s="283"/>
    </row>
    <row r="528" spans="1:44">
      <c r="A528" s="127" t="s">
        <v>1672</v>
      </c>
      <c r="B528" s="90" t="s">
        <v>1571</v>
      </c>
      <c r="C528" s="90" t="s">
        <v>1572</v>
      </c>
      <c r="D528" s="90" t="s">
        <v>1573</v>
      </c>
      <c r="E528" s="90" t="s">
        <v>1574</v>
      </c>
      <c r="F528" s="8" t="s">
        <v>1059</v>
      </c>
      <c r="G528" s="27" t="s">
        <v>426</v>
      </c>
      <c r="H528" s="55" t="s">
        <v>320</v>
      </c>
      <c r="I528" s="8" t="s">
        <v>343</v>
      </c>
      <c r="J528" s="8" t="s">
        <v>6211</v>
      </c>
      <c r="K528" s="5" t="s">
        <v>6212</v>
      </c>
      <c r="L528" s="334" t="s">
        <v>6197</v>
      </c>
      <c r="M528" s="335" t="s">
        <v>6198</v>
      </c>
      <c r="N528" s="336" t="s">
        <v>6199</v>
      </c>
      <c r="O528" s="89" t="s">
        <v>6275</v>
      </c>
      <c r="P528" s="292" t="s">
        <v>6274</v>
      </c>
      <c r="Q528" s="350" t="s">
        <v>6273</v>
      </c>
      <c r="R528" s="26" t="s">
        <v>6276</v>
      </c>
      <c r="S528" s="318" t="s">
        <v>4715</v>
      </c>
      <c r="T528" s="10" t="s">
        <v>66</v>
      </c>
      <c r="U528" s="305" t="s">
        <v>4728</v>
      </c>
      <c r="V528" s="68" t="s">
        <v>3272</v>
      </c>
      <c r="W528" s="28" t="s">
        <v>2</v>
      </c>
      <c r="X528" s="17" t="s">
        <v>1398</v>
      </c>
      <c r="Y528" s="14" t="s">
        <v>5</v>
      </c>
      <c r="Z528" s="21" t="s">
        <v>3</v>
      </c>
      <c r="AA528" s="96" t="s">
        <v>6166</v>
      </c>
      <c r="AB528" s="378" t="s">
        <v>6404</v>
      </c>
      <c r="AC528" s="8" t="s">
        <v>343</v>
      </c>
      <c r="AD528" s="71" t="s">
        <v>1399</v>
      </c>
      <c r="AE528" s="72" t="s">
        <v>1156</v>
      </c>
      <c r="AF528" s="32" t="s">
        <v>1157</v>
      </c>
      <c r="AG528" s="25" t="s">
        <v>6200</v>
      </c>
      <c r="AH528" s="8" t="s">
        <v>6696</v>
      </c>
      <c r="AI528" s="50" t="s">
        <v>3360</v>
      </c>
      <c r="AJ528" s="22" t="s">
        <v>6695</v>
      </c>
    </row>
    <row r="529" spans="1:44">
      <c r="A529" s="343">
        <f>IFERROR(VLOOKUP($G529,基本資料!$A:$J,3,0),"無")</f>
        <v>16.63</v>
      </c>
      <c r="B529" s="79">
        <f>IFERROR(VLOOKUP($G529,基本資料!$A:$J,4,0),"無")</f>
        <v>-19</v>
      </c>
      <c r="C529" s="79">
        <f>IFERROR(VLOOKUP($G529,基本資料!$A:$J,5,0),"無")</f>
        <v>-41</v>
      </c>
      <c r="D529" s="79">
        <f>IFERROR(VLOOKUP($G529,基本資料!$A:$J,6,0),"無")</f>
        <v>7</v>
      </c>
      <c r="E529" s="79">
        <f>IFERROR(VLOOKUP($G529,基本資料!$A:$J,7,0),"無")</f>
        <v>11</v>
      </c>
      <c r="F529" s="6">
        <f>IFERROR(VLOOKUP($G529,基本資料!$A:$J,8,0),"無")</f>
        <v>10.98</v>
      </c>
      <c r="G529" s="79">
        <v>2302</v>
      </c>
      <c r="H529" s="17" t="s">
        <v>3038</v>
      </c>
      <c r="I529" s="22" t="s">
        <v>4036</v>
      </c>
      <c r="J529" s="8">
        <f>IFERROR(VLOOKUP($G529,今日總結!$A:$AN,39,0),"")</f>
        <v>0</v>
      </c>
      <c r="K529" s="5" t="str">
        <f>IFERROR(VLOOKUP($G529,今日總結!$A:$AN,40,0),"")</f>
        <v>外</v>
      </c>
      <c r="L529" s="156">
        <f>IFERROR(VLOOKUP($G529,今日總結!$A:$AN,37,0),"")</f>
        <v>0</v>
      </c>
      <c r="M529" s="337">
        <f>IFERROR(VLOOKUP($G529,今日總結!$A:$AN,38,0),"")</f>
        <v>2</v>
      </c>
      <c r="N529" s="240">
        <f t="shared" ref="N529" si="110">IFERROR(L529-M529,"")</f>
        <v>-2</v>
      </c>
      <c r="O529" s="359">
        <f>IFERROR(VLOOKUP($G529,融外自投!$A:$J,7,0),"無")</f>
        <v>686</v>
      </c>
      <c r="P529" s="79">
        <f>IFERROR(VLOOKUP($G529,融外自投!$A:$J,9,0),"無")</f>
        <v>1051</v>
      </c>
      <c r="Q529" s="342">
        <f>IFERROR(VLOOKUP($G529,融外自投!$A:$J,8,0),"無")</f>
        <v>1106</v>
      </c>
      <c r="R529" s="81" t="str">
        <f>IFERROR(VLOOKUP($G529,融外自投!$A:$J,10,0),"無")</f>
        <v>無</v>
      </c>
      <c r="S529" s="324">
        <f>IFERROR(VLOOKUP($G529,'321買'!$A:$E,4,0),"'沒有資料'")</f>
        <v>1002</v>
      </c>
      <c r="T529" s="186">
        <f>IFERROR(VLOOKUP($G529,基本資料!$A:$J,9,0),"無")</f>
        <v>0.6</v>
      </c>
      <c r="U529" s="307">
        <f t="shared" ref="U529:U592" si="111">$T529/$W529</f>
        <v>3.6253776435045314E-2</v>
      </c>
      <c r="V529" s="94">
        <f>IFERROR(VLOOKUP($G529,基本資料!$A:$J,10,0),"無")</f>
        <v>0.51</v>
      </c>
      <c r="W529" s="36">
        <f>RTD("money.excel",,"2302","Price")</f>
        <v>16.55</v>
      </c>
      <c r="X529" s="66"/>
      <c r="Y529" s="15">
        <f t="shared" ref="Y529:Y592" si="112">W529-X529</f>
        <v>16.55</v>
      </c>
      <c r="Z529" s="3" t="e">
        <f t="shared" ref="Z529:Z592" si="113">Y529/X529</f>
        <v>#DIV/0!</v>
      </c>
      <c r="AA529" s="340">
        <f>IFERROR(VLOOKUP($G529,基本資料!$A:$M,11,0),"無")</f>
        <v>-28.35</v>
      </c>
      <c r="AB529" s="389">
        <f>IFERROR(VLOOKUP($G529,基本資料!$A:$M,12,0),"無")</f>
        <v>58.15</v>
      </c>
      <c r="AC529" s="22" t="s">
        <v>4036</v>
      </c>
      <c r="AF529" s="33">
        <f t="shared" ref="AF529:AF592" si="114">AE529-AD529</f>
        <v>0</v>
      </c>
      <c r="AG529" s="43" t="s">
        <v>2184</v>
      </c>
      <c r="AH529" s="66">
        <f t="shared" si="109"/>
        <v>0.89819348303224722</v>
      </c>
      <c r="AI529" s="283">
        <f>RTD("money.excel",,$G529,"PredictVolume")</f>
        <v>1064</v>
      </c>
      <c r="AJ529" s="391">
        <f>IFERROR(VLOOKUP($G529,基本資料!$A:$M,13,0),"無")</f>
        <v>1184.5999999999999</v>
      </c>
      <c r="AR529" s="245" t="str">
        <f>INDEX(基本資料!N:N,MATCH($G529,基本資料!A:A,0))</f>
        <v>低</v>
      </c>
    </row>
    <row r="530" spans="1:44">
      <c r="A530" s="343">
        <f>IFERROR(VLOOKUP($G530,基本資料!$A:$J,3,0),"無")</f>
        <v>1248</v>
      </c>
      <c r="B530" s="79">
        <f>IFERROR(VLOOKUP($G530,基本資料!$A:$J,4,0),"無")</f>
        <v>102</v>
      </c>
      <c r="C530" s="79">
        <f>IFERROR(VLOOKUP($G530,基本資料!$A:$J,5,0),"無")</f>
        <v>134</v>
      </c>
      <c r="D530" s="79">
        <f>IFERROR(VLOOKUP($G530,基本資料!$A:$J,6,0),"無")</f>
        <v>2</v>
      </c>
      <c r="E530" s="79">
        <f>IFERROR(VLOOKUP($G530,基本資料!$A:$J,7,0),"無")</f>
        <v>39</v>
      </c>
      <c r="F530" s="6">
        <f>IFERROR(VLOOKUP($G530,基本資料!$A:$J,8,0),"無")</f>
        <v>24.26</v>
      </c>
      <c r="G530" s="79">
        <v>2303</v>
      </c>
      <c r="H530" s="17" t="s">
        <v>3038</v>
      </c>
      <c r="I530" s="22" t="s">
        <v>1828</v>
      </c>
      <c r="J530" s="8" t="str">
        <f>IFERROR(VLOOKUP($G530,今日總結!$A:$AN,39,0),"")</f>
        <v>外</v>
      </c>
      <c r="K530" s="5">
        <f>IFERROR(VLOOKUP($G530,今日總結!$A:$AN,40,0),"")</f>
        <v>0</v>
      </c>
      <c r="L530" s="156">
        <f>IFERROR(VLOOKUP($G530,今日總結!$A:$AN,37,0),"")</f>
        <v>5</v>
      </c>
      <c r="M530" s="337">
        <f>IFERROR(VLOOKUP($G530,今日總結!$A:$AN,38,0),"")</f>
        <v>0</v>
      </c>
      <c r="N530" s="240">
        <f t="shared" ref="N530:N593" si="115">IFERROR(L530-M530,"")</f>
        <v>5</v>
      </c>
      <c r="O530" s="359">
        <f>IFERROR(VLOOKUP($G530,融外自投!$A:$J,7,0),"無")</f>
        <v>703</v>
      </c>
      <c r="P530" s="79">
        <f>IFERROR(VLOOKUP($G530,融外自投!$A:$J,9,0),"無")</f>
        <v>178</v>
      </c>
      <c r="Q530" s="342">
        <f>IFERROR(VLOOKUP($G530,融外自投!$A:$J,8,0),"無")</f>
        <v>166</v>
      </c>
      <c r="R530" s="81">
        <f>IFERROR(VLOOKUP($G530,融外自投!$A:$J,10,0),"無")</f>
        <v>92</v>
      </c>
      <c r="S530" s="324">
        <f>IFERROR(VLOOKUP($G530,'321買'!$A:$E,4,0),"'沒有資料'")</f>
        <v>286</v>
      </c>
      <c r="T530" s="186">
        <f>IFERROR(VLOOKUP($G530,基本資料!$A:$J,9,0),"無")</f>
        <v>3</v>
      </c>
      <c r="U530" s="307">
        <f t="shared" si="111"/>
        <v>6.0667340748230533E-2</v>
      </c>
      <c r="V530" s="94">
        <f>IFERROR(VLOOKUP($G530,基本資料!$A:$J,10,0),"無")</f>
        <v>4.57</v>
      </c>
      <c r="W530" s="36">
        <f>RTD("money.excel",,"2303","Price")</f>
        <v>49.45</v>
      </c>
      <c r="X530" s="66"/>
      <c r="Y530" s="15">
        <f t="shared" si="112"/>
        <v>49.45</v>
      </c>
      <c r="Z530" s="3" t="e">
        <f t="shared" si="113"/>
        <v>#DIV/0!</v>
      </c>
      <c r="AA530" s="340">
        <f>IFERROR(VLOOKUP($G530,基本資料!$A:$M,11,0),"無")</f>
        <v>-31.32</v>
      </c>
      <c r="AB530" s="389">
        <f>IFERROR(VLOOKUP($G530,基本資料!$A:$M,12,0),"無")</f>
        <v>41.94</v>
      </c>
      <c r="AC530" s="22" t="s">
        <v>1828</v>
      </c>
      <c r="AF530" s="33">
        <f t="shared" si="114"/>
        <v>0</v>
      </c>
      <c r="AG530" s="117" t="s">
        <v>2556</v>
      </c>
      <c r="AH530" s="66">
        <f t="shared" si="109"/>
        <v>1.2245363555279372</v>
      </c>
      <c r="AI530" s="314">
        <f>RTD("money.excel",,$G530,"PredictVolume")</f>
        <v>112716</v>
      </c>
      <c r="AJ530" s="391">
        <f>IFERROR(VLOOKUP($G530,基本資料!$A:$M,13,0),"無")</f>
        <v>92047.9</v>
      </c>
      <c r="AR530" s="245" t="str">
        <f>INDEX(基本資料!N:N,MATCH($G530,基本資料!A:A,0))</f>
        <v>低</v>
      </c>
    </row>
    <row r="531" spans="1:44">
      <c r="A531" s="343">
        <f>IFERROR(VLOOKUP($G531,基本資料!$A:$J,3,0),"無")</f>
        <v>55.54</v>
      </c>
      <c r="B531" s="79">
        <f>IFERROR(VLOOKUP($G531,基本資料!$A:$J,4,0),"無")</f>
        <v>675</v>
      </c>
      <c r="C531" s="79">
        <f>IFERROR(VLOOKUP($G531,基本資料!$A:$J,5,0),"無")</f>
        <v>1108</v>
      </c>
      <c r="D531" s="79">
        <f>IFERROR(VLOOKUP($G531,基本資料!$A:$J,6,0),"無")</f>
        <v>-2</v>
      </c>
      <c r="E531" s="79">
        <f>IFERROR(VLOOKUP($G531,基本資料!$A:$J,7,0),"無")</f>
        <v>6</v>
      </c>
      <c r="F531" s="6">
        <f>IFERROR(VLOOKUP($G531,基本資料!$A:$J,8,0),"無")</f>
        <v>11.76</v>
      </c>
      <c r="G531" s="79">
        <v>2329</v>
      </c>
      <c r="H531" s="17" t="s">
        <v>3038</v>
      </c>
      <c r="I531" s="22" t="s">
        <v>344</v>
      </c>
      <c r="J531" s="8">
        <f>IFERROR(VLOOKUP($G531,今日總結!$A:$AN,39,0),"")</f>
        <v>0</v>
      </c>
      <c r="K531" s="5" t="str">
        <f>IFERROR(VLOOKUP($G531,今日總結!$A:$AN,40,0),"")</f>
        <v>主外</v>
      </c>
      <c r="L531" s="156">
        <f>IFERROR(VLOOKUP($G531,今日總結!$A:$AN,37,0),"")</f>
        <v>0</v>
      </c>
      <c r="M531" s="337">
        <f>IFERROR(VLOOKUP($G531,今日總結!$A:$AN,38,0),"")</f>
        <v>5</v>
      </c>
      <c r="N531" s="240">
        <f t="shared" si="115"/>
        <v>-5</v>
      </c>
      <c r="O531" s="359">
        <f>IFERROR(VLOOKUP($G531,融外自投!$A:$J,7,0),"無")</f>
        <v>326</v>
      </c>
      <c r="P531" s="79">
        <f>IFERROR(VLOOKUP($G531,融外自投!$A:$J,9,0),"無")</f>
        <v>762</v>
      </c>
      <c r="Q531" s="342">
        <f>IFERROR(VLOOKUP($G531,融外自投!$A:$J,8,0),"無")</f>
        <v>550</v>
      </c>
      <c r="R531" s="81">
        <f>IFERROR(VLOOKUP($G531,融外自投!$A:$J,10,0),"無")</f>
        <v>476</v>
      </c>
      <c r="S531" s="324">
        <f>IFERROR(VLOOKUP($G531,'321買'!$A:$E,4,0),"'沒有資料'")</f>
        <v>244</v>
      </c>
      <c r="T531" s="186">
        <f>IFERROR(VLOOKUP($G531,基本資料!$A:$J,9,0),"無")</f>
        <v>1</v>
      </c>
      <c r="U531" s="307">
        <f t="shared" si="111"/>
        <v>0.05</v>
      </c>
      <c r="V531" s="94">
        <f>IFERROR(VLOOKUP($G531,基本資料!$A:$J,10,0),"無")</f>
        <v>2.2400000000000002</v>
      </c>
      <c r="W531" s="36">
        <f>RTD("money.excel",,"2329","Price")</f>
        <v>20</v>
      </c>
      <c r="X531" s="66"/>
      <c r="Y531" s="15">
        <f t="shared" si="112"/>
        <v>20</v>
      </c>
      <c r="Z531" s="3" t="e">
        <f t="shared" si="113"/>
        <v>#DIV/0!</v>
      </c>
      <c r="AA531" s="340">
        <f>IFERROR(VLOOKUP($G531,基本資料!$A:$M,11,0),"無")</f>
        <v>-39.94</v>
      </c>
      <c r="AB531" s="389">
        <f>IFERROR(VLOOKUP($G531,基本資料!$A:$M,12,0),"無")</f>
        <v>33.49</v>
      </c>
      <c r="AC531" s="22" t="s">
        <v>344</v>
      </c>
      <c r="AF531" s="33">
        <f t="shared" si="114"/>
        <v>0</v>
      </c>
      <c r="AG531" s="43" t="s">
        <v>3280</v>
      </c>
      <c r="AH531" s="66">
        <f t="shared" si="109"/>
        <v>1.6667967530440211</v>
      </c>
      <c r="AI531" s="283">
        <f>RTD("money.excel",,$G531,"PredictVolume")</f>
        <v>4271</v>
      </c>
      <c r="AJ531" s="391">
        <f>IFERROR(VLOOKUP($G531,基本資料!$A:$M,13,0),"無")</f>
        <v>2562.4</v>
      </c>
      <c r="AR531" s="245" t="str">
        <f>INDEX(基本資料!N:N,MATCH($G531,基本資料!A:A,0))</f>
        <v>低</v>
      </c>
    </row>
    <row r="532" spans="1:44">
      <c r="A532" s="343">
        <f>IFERROR(VLOOKUP($G532,基本資料!$A:$J,3,0),"無")</f>
        <v>2593</v>
      </c>
      <c r="B532" s="79">
        <f>IFERROR(VLOOKUP($G532,基本資料!$A:$J,4,0),"無")</f>
        <v>15</v>
      </c>
      <c r="C532" s="79">
        <f>IFERROR(VLOOKUP($G532,基本資料!$A:$J,5,0),"無")</f>
        <v>14</v>
      </c>
      <c r="D532" s="79">
        <f>IFERROR(VLOOKUP($G532,基本資料!$A:$J,6,0),"無")</f>
        <v>0</v>
      </c>
      <c r="E532" s="79">
        <f>IFERROR(VLOOKUP($G532,基本資料!$A:$J,7,0),"無")</f>
        <v>55</v>
      </c>
      <c r="F532" s="6">
        <f>IFERROR(VLOOKUP($G532,基本資料!$A:$J,8,0),"無")</f>
        <v>40.950000000000003</v>
      </c>
      <c r="G532" s="79">
        <v>2330</v>
      </c>
      <c r="H532" s="17" t="s">
        <v>3038</v>
      </c>
      <c r="I532" s="22" t="s">
        <v>8</v>
      </c>
      <c r="J532" s="8">
        <f>IFERROR(VLOOKUP($G532,今日總結!$A:$AN,39,0),"")</f>
        <v>0</v>
      </c>
      <c r="K532" s="5">
        <f>IFERROR(VLOOKUP($G532,今日總結!$A:$AN,40,0),"")</f>
        <v>0</v>
      </c>
      <c r="L532" s="156">
        <f>IFERROR(VLOOKUP($G532,今日總結!$A:$AN,37,0),"")</f>
        <v>0</v>
      </c>
      <c r="M532" s="337">
        <f>IFERROR(VLOOKUP($G532,今日總結!$A:$AN,38,0),"")</f>
        <v>0</v>
      </c>
      <c r="N532" s="240">
        <f t="shared" si="115"/>
        <v>0</v>
      </c>
      <c r="O532" s="359">
        <f>IFERROR(VLOOKUP($G532,融外自投!$A:$J,7,0),"無")</f>
        <v>1307</v>
      </c>
      <c r="P532" s="79">
        <f>IFERROR(VLOOKUP($G532,融外自投!$A:$J,9,0),"無")</f>
        <v>269</v>
      </c>
      <c r="Q532" s="342">
        <f>IFERROR(VLOOKUP($G532,融外自投!$A:$J,8,0),"無")</f>
        <v>20</v>
      </c>
      <c r="R532" s="81">
        <f>IFERROR(VLOOKUP($G532,融外自投!$A:$J,10,0),"無")</f>
        <v>168</v>
      </c>
      <c r="S532" s="324">
        <f>IFERROR(VLOOKUP($G532,'321買'!$A:$E,4,0),"'沒有資料'")</f>
        <v>565</v>
      </c>
      <c r="T532" s="186">
        <f>IFERROR(VLOOKUP($G532,基本資料!$A:$J,9,0),"無")</f>
        <v>11</v>
      </c>
      <c r="U532" s="307">
        <f t="shared" si="111"/>
        <v>2.1153846153846155E-2</v>
      </c>
      <c r="V532" s="94">
        <f>IFERROR(VLOOKUP($G532,基本資料!$A:$J,10,0),"無")</f>
        <v>23.01</v>
      </c>
      <c r="W532" s="36">
        <f>RTD("money.excel",,"2330","Price")</f>
        <v>520</v>
      </c>
      <c r="X532" s="65"/>
      <c r="Y532" s="15">
        <f t="shared" si="112"/>
        <v>520</v>
      </c>
      <c r="Z532" s="3" t="e">
        <f t="shared" si="113"/>
        <v>#DIV/0!</v>
      </c>
      <c r="AA532" s="340">
        <f>IFERROR(VLOOKUP($G532,基本資料!$A:$M,11,0),"無")</f>
        <v>-24.42</v>
      </c>
      <c r="AB532" s="389">
        <f>IFERROR(VLOOKUP($G532,基本資料!$A:$M,12,0),"無")</f>
        <v>12.11</v>
      </c>
      <c r="AC532" s="22" t="s">
        <v>8</v>
      </c>
      <c r="AF532" s="33">
        <f t="shared" si="114"/>
        <v>0</v>
      </c>
      <c r="AG532" s="43" t="s">
        <v>2555</v>
      </c>
      <c r="AH532" s="66">
        <f t="shared" si="109"/>
        <v>0.64390811672186687</v>
      </c>
      <c r="AI532" s="283">
        <f>RTD("money.excel",,$G532,"PredictVolume")</f>
        <v>21133</v>
      </c>
      <c r="AJ532" s="391">
        <f>IFERROR(VLOOKUP($G532,基本資料!$A:$M,13,0),"無")</f>
        <v>32819.9</v>
      </c>
      <c r="AR532" s="245" t="str">
        <f>INDEX(基本資料!N:N,MATCH($G532,基本資料!A:A,0))</f>
        <v>低</v>
      </c>
    </row>
    <row r="533" spans="1:44">
      <c r="A533" s="343">
        <f>IFERROR(VLOOKUP($G533,基本資料!$A:$J,3,0),"無")</f>
        <v>185</v>
      </c>
      <c r="B533" s="79">
        <f>IFERROR(VLOOKUP($G533,基本資料!$A:$J,4,0),"無")</f>
        <v>124</v>
      </c>
      <c r="C533" s="79">
        <f>IFERROR(VLOOKUP($G533,基本資料!$A:$J,5,0),"無")</f>
        <v>88</v>
      </c>
      <c r="D533" s="79">
        <f>IFERROR(VLOOKUP($G533,基本資料!$A:$J,6,0),"無")</f>
        <v>-8</v>
      </c>
      <c r="E533" s="79">
        <f>IFERROR(VLOOKUP($G533,基本資料!$A:$J,7,0),"無")</f>
        <v>1</v>
      </c>
      <c r="F533" s="6">
        <f>IFERROR(VLOOKUP($G533,基本資料!$A:$J,8,0),"無")</f>
        <v>21.88</v>
      </c>
      <c r="G533" s="79">
        <v>2337</v>
      </c>
      <c r="H533" s="17" t="s">
        <v>3038</v>
      </c>
      <c r="I533" s="22" t="s">
        <v>42</v>
      </c>
      <c r="J533" s="8">
        <f>IFERROR(VLOOKUP($G533,今日總結!$A:$AN,39,0),"")</f>
        <v>0</v>
      </c>
      <c r="K533" s="5" t="str">
        <f>IFERROR(VLOOKUP($G533,今日總結!$A:$AN,40,0),"")</f>
        <v>融</v>
      </c>
      <c r="L533" s="156">
        <f>IFERROR(VLOOKUP($G533,今日總結!$A:$AN,37,0),"")</f>
        <v>0</v>
      </c>
      <c r="M533" s="337">
        <f>IFERROR(VLOOKUP($G533,今日總結!$A:$AN,38,0),"")</f>
        <v>1</v>
      </c>
      <c r="N533" s="240">
        <f t="shared" si="115"/>
        <v>-1</v>
      </c>
      <c r="O533" s="359">
        <f>IFERROR(VLOOKUP($G533,融外自投!$A:$J,7,0),"無")</f>
        <v>570</v>
      </c>
      <c r="P533" s="79">
        <f>IFERROR(VLOOKUP($G533,融外自投!$A:$J,9,0),"無")</f>
        <v>102</v>
      </c>
      <c r="Q533" s="342">
        <f>IFERROR(VLOOKUP($G533,融外自投!$A:$J,8,0),"無")</f>
        <v>239</v>
      </c>
      <c r="R533" s="81">
        <f>IFERROR(VLOOKUP($G533,融外自投!$A:$J,10,0),"無")</f>
        <v>102</v>
      </c>
      <c r="S533" s="324">
        <f>IFERROR(VLOOKUP($G533,'321買'!$A:$E,4,0),"'沒有資料'")</f>
        <v>156</v>
      </c>
      <c r="T533" s="186">
        <f>IFERROR(VLOOKUP($G533,基本資料!$A:$J,9,0),"無")</f>
        <v>1.8</v>
      </c>
      <c r="U533" s="307">
        <f t="shared" si="111"/>
        <v>4.6936114732724903E-2</v>
      </c>
      <c r="V533" s="94">
        <f>IFERROR(VLOOKUP($G533,基本資料!$A:$J,10,0),"無")</f>
        <v>6.48</v>
      </c>
      <c r="W533" s="36">
        <f>RTD("money.excel",,"2337","Price")</f>
        <v>38.35</v>
      </c>
      <c r="X533" s="66"/>
      <c r="Y533" s="15">
        <f t="shared" si="112"/>
        <v>38.35</v>
      </c>
      <c r="Z533" s="3" t="e">
        <f t="shared" si="113"/>
        <v>#DIV/0!</v>
      </c>
      <c r="AA533" s="340">
        <f>IFERROR(VLOOKUP($G533,基本資料!$A:$M,11,0),"無")</f>
        <v>-20.100000000000001</v>
      </c>
      <c r="AB533" s="389">
        <f>IFERROR(VLOOKUP($G533,基本資料!$A:$M,12,0),"無")</f>
        <v>23.09</v>
      </c>
      <c r="AC533" s="22" t="s">
        <v>42</v>
      </c>
      <c r="AF533" s="33">
        <f t="shared" si="114"/>
        <v>0</v>
      </c>
      <c r="AG533" s="117" t="s">
        <v>1423</v>
      </c>
      <c r="AH533" s="66">
        <f t="shared" si="109"/>
        <v>0.65935844019254886</v>
      </c>
      <c r="AI533" s="283">
        <f>RTD("money.excel",,$G533,"PredictVolume")</f>
        <v>6520</v>
      </c>
      <c r="AJ533" s="391">
        <f>IFERROR(VLOOKUP($G533,基本資料!$A:$M,13,0),"無")</f>
        <v>9888.4</v>
      </c>
      <c r="AR533" s="245" t="str">
        <f>INDEX(基本資料!N:N,MATCH($G533,基本資料!A:A,0))</f>
        <v>低</v>
      </c>
    </row>
    <row r="534" spans="1:44">
      <c r="A534" s="343">
        <f>IFERROR(VLOOKUP($G534,基本資料!$A:$J,3,0),"無")</f>
        <v>25.56</v>
      </c>
      <c r="B534" s="79">
        <f>IFERROR(VLOOKUP($G534,基本資料!$A:$J,4,0),"無")</f>
        <v>82</v>
      </c>
      <c r="C534" s="79">
        <f>IFERROR(VLOOKUP($G534,基本資料!$A:$J,5,0),"無")</f>
        <v>26</v>
      </c>
      <c r="D534" s="79">
        <f>IFERROR(VLOOKUP($G534,基本資料!$A:$J,6,0),"無")</f>
        <v>14</v>
      </c>
      <c r="E534" s="79">
        <f>IFERROR(VLOOKUP($G534,基本資料!$A:$J,7,0),"無")</f>
        <v>45</v>
      </c>
      <c r="F534" s="6">
        <f>IFERROR(VLOOKUP($G534,基本資料!$A:$J,8,0),"無")</f>
        <v>7.14</v>
      </c>
      <c r="G534" s="79">
        <v>2338</v>
      </c>
      <c r="H534" s="17" t="s">
        <v>3038</v>
      </c>
      <c r="I534" s="22" t="s">
        <v>288</v>
      </c>
      <c r="J534" s="8">
        <f>IFERROR(VLOOKUP($G534,今日總結!$A:$AN,39,0),"")</f>
        <v>0</v>
      </c>
      <c r="K534" s="5">
        <f>IFERROR(VLOOKUP($G534,今日總結!$A:$AN,40,0),"")</f>
        <v>0</v>
      </c>
      <c r="L534" s="156">
        <f>IFERROR(VLOOKUP($G534,今日總結!$A:$AN,37,0),"")</f>
        <v>0</v>
      </c>
      <c r="M534" s="337">
        <f>IFERROR(VLOOKUP($G534,今日總結!$A:$AN,38,0),"")</f>
        <v>0</v>
      </c>
      <c r="N534" s="240">
        <f t="shared" si="115"/>
        <v>0</v>
      </c>
      <c r="O534" s="359">
        <f>IFERROR(VLOOKUP($G534,融外自投!$A:$J,7,0),"無")</f>
        <v>149</v>
      </c>
      <c r="P534" s="79">
        <f>IFERROR(VLOOKUP($G534,融外自投!$A:$J,9,0),"無")</f>
        <v>1123</v>
      </c>
      <c r="Q534" s="342">
        <f>IFERROR(VLOOKUP($G534,融外自投!$A:$J,8,0),"無")</f>
        <v>665</v>
      </c>
      <c r="R534" s="81">
        <f>IFERROR(VLOOKUP($G534,融外自投!$A:$J,10,0),"無")</f>
        <v>67</v>
      </c>
      <c r="S534" s="324">
        <f>IFERROR(VLOOKUP($G534,'321買'!$A:$E,4,0),"'沒有資料'")</f>
        <v>53</v>
      </c>
      <c r="T534" s="186">
        <f>IFERROR(VLOOKUP($G534,基本資料!$A:$J,9,0),"無")</f>
        <v>2</v>
      </c>
      <c r="U534" s="307">
        <f t="shared" si="111"/>
        <v>2.5125628140703519E-2</v>
      </c>
      <c r="V534" s="94">
        <f>IFERROR(VLOOKUP($G534,基本資料!$A:$J,10,0),"無")</f>
        <v>5.65</v>
      </c>
      <c r="W534" s="36">
        <f>RTD("money.excel",,"2338","Price")</f>
        <v>79.599999999999994</v>
      </c>
      <c r="X534" s="66"/>
      <c r="Y534" s="15">
        <f t="shared" si="112"/>
        <v>79.599999999999994</v>
      </c>
      <c r="Z534" s="3" t="e">
        <f t="shared" si="113"/>
        <v>#DIV/0!</v>
      </c>
      <c r="AA534" s="340">
        <f>IFERROR(VLOOKUP($G534,基本資料!$A:$M,11,0),"無")</f>
        <v>-31.97</v>
      </c>
      <c r="AB534" s="389">
        <f>IFERROR(VLOOKUP($G534,基本資料!$A:$M,12,0),"無")</f>
        <v>28.85</v>
      </c>
      <c r="AC534" s="22" t="s">
        <v>288</v>
      </c>
      <c r="AF534" s="33">
        <f t="shared" si="114"/>
        <v>0</v>
      </c>
      <c r="AG534" s="43" t="s">
        <v>288</v>
      </c>
      <c r="AH534" s="66">
        <f t="shared" si="109"/>
        <v>1.0349099919830917</v>
      </c>
      <c r="AI534" s="283">
        <f>RTD("money.excel",,$G534,"PredictVolume")</f>
        <v>5680</v>
      </c>
      <c r="AJ534" s="391">
        <f>IFERROR(VLOOKUP($G534,基本資料!$A:$M,13,0),"無")</f>
        <v>5488.4</v>
      </c>
      <c r="AR534" s="245" t="str">
        <f>INDEX(基本資料!N:N,MATCH($G534,基本資料!A:A,0))</f>
        <v>低</v>
      </c>
    </row>
    <row r="535" spans="1:44">
      <c r="A535" s="343">
        <f>IFERROR(VLOOKUP($G535,基本資料!$A:$J,3,0),"無")</f>
        <v>15.61</v>
      </c>
      <c r="B535" s="79">
        <f>IFERROR(VLOOKUP($G535,基本資料!$A:$J,4,0),"無")</f>
        <v>12</v>
      </c>
      <c r="C535" s="79">
        <f>IFERROR(VLOOKUP($G535,基本資料!$A:$J,5,0),"無")</f>
        <v>19</v>
      </c>
      <c r="D535" s="79">
        <f>IFERROR(VLOOKUP($G535,基本資料!$A:$J,6,0),"無")</f>
        <v>4</v>
      </c>
      <c r="E535" s="79">
        <f>IFERROR(VLOOKUP($G535,基本資料!$A:$J,7,0),"無")</f>
        <v>37</v>
      </c>
      <c r="F535" s="6">
        <f>IFERROR(VLOOKUP($G535,基本資料!$A:$J,8,0),"無")</f>
        <v>13.38</v>
      </c>
      <c r="G535" s="79">
        <v>2342</v>
      </c>
      <c r="H535" s="17" t="s">
        <v>3038</v>
      </c>
      <c r="I535" s="22" t="s">
        <v>4037</v>
      </c>
      <c r="J535" s="8">
        <f>IFERROR(VLOOKUP($G535,今日總結!$A:$AN,39,0),"")</f>
        <v>0</v>
      </c>
      <c r="K535" s="5">
        <f>IFERROR(VLOOKUP($G535,今日總結!$A:$AN,40,0),"")</f>
        <v>0</v>
      </c>
      <c r="L535" s="156">
        <f>IFERROR(VLOOKUP($G535,今日總結!$A:$AN,37,0),"")</f>
        <v>0</v>
      </c>
      <c r="M535" s="337">
        <f>IFERROR(VLOOKUP($G535,今日總結!$A:$AN,38,0),"")</f>
        <v>0</v>
      </c>
      <c r="N535" s="240">
        <f t="shared" si="115"/>
        <v>0</v>
      </c>
      <c r="O535" s="359">
        <f>IFERROR(VLOOKUP($G535,融外自投!$A:$J,7,0),"無")</f>
        <v>44</v>
      </c>
      <c r="P535" s="79">
        <f>IFERROR(VLOOKUP($G535,融外自投!$A:$J,9,0),"無")</f>
        <v>615</v>
      </c>
      <c r="Q535" s="342">
        <f>IFERROR(VLOOKUP($G535,融外自投!$A:$J,8,0),"無")</f>
        <v>765</v>
      </c>
      <c r="R535" s="81" t="str">
        <f>IFERROR(VLOOKUP($G535,融外自投!$A:$J,10,0),"無")</f>
        <v>無</v>
      </c>
      <c r="S535" s="324">
        <f>IFERROR(VLOOKUP($G535,'321買'!$A:$E,4,0),"'沒有資料'")</f>
        <v>134</v>
      </c>
      <c r="T535" s="186">
        <f>IFERROR(VLOOKUP($G535,基本資料!$A:$J,9,0),"無")</f>
        <v>0.5</v>
      </c>
      <c r="U535" s="307">
        <f t="shared" si="111"/>
        <v>1.1933174224343675E-2</v>
      </c>
      <c r="V535" s="94">
        <f>IFERROR(VLOOKUP($G535,基本資料!$A:$J,10,0),"無")</f>
        <v>1.58</v>
      </c>
      <c r="W535" s="36">
        <f>RTD("money.excel",,"2342","Price")</f>
        <v>41.9</v>
      </c>
      <c r="X535" s="66"/>
      <c r="Y535" s="15">
        <f t="shared" si="112"/>
        <v>41.9</v>
      </c>
      <c r="Z535" s="3" t="e">
        <f t="shared" si="113"/>
        <v>#DIV/0!</v>
      </c>
      <c r="AA535" s="340">
        <f>IFERROR(VLOOKUP($G535,基本資料!$A:$M,11,0),"無")</f>
        <v>-26.49</v>
      </c>
      <c r="AB535" s="389">
        <f>IFERROR(VLOOKUP($G535,基本資料!$A:$M,12,0),"無")</f>
        <v>48.32</v>
      </c>
      <c r="AC535" s="22" t="s">
        <v>4037</v>
      </c>
      <c r="AF535" s="33">
        <f t="shared" si="114"/>
        <v>0</v>
      </c>
      <c r="AG535" s="43" t="s">
        <v>1796</v>
      </c>
      <c r="AH535" s="66">
        <f t="shared" si="109"/>
        <v>5.1056932085083861</v>
      </c>
      <c r="AI535" s="283">
        <f>RTD("money.excel",,$G535,"PredictVolume")</f>
        <v>7717</v>
      </c>
      <c r="AJ535" s="391">
        <f>IFERROR(VLOOKUP($G535,基本資料!$A:$M,13,0),"無")</f>
        <v>1511.45</v>
      </c>
      <c r="AR535" s="245" t="str">
        <f>INDEX(基本資料!N:N,MATCH($G535,基本資料!A:A,0))</f>
        <v>中</v>
      </c>
    </row>
    <row r="536" spans="1:44">
      <c r="A536" s="343">
        <f>IFERROR(VLOOKUP($G536,基本資料!$A:$J,3,0),"無")</f>
        <v>398</v>
      </c>
      <c r="B536" s="79">
        <f>IFERROR(VLOOKUP($G536,基本資料!$A:$J,4,0),"無")</f>
        <v>887</v>
      </c>
      <c r="C536" s="79">
        <f>IFERROR(VLOOKUP($G536,基本資料!$A:$J,5,0),"無")</f>
        <v>1032</v>
      </c>
      <c r="D536" s="79">
        <f>IFERROR(VLOOKUP($G536,基本資料!$A:$J,6,0),"無")</f>
        <v>-3</v>
      </c>
      <c r="E536" s="79">
        <f>IFERROR(VLOOKUP($G536,基本資料!$A:$J,7,0),"無")</f>
        <v>7</v>
      </c>
      <c r="F536" s="6">
        <f>IFERROR(VLOOKUP($G536,基本資料!$A:$J,8,0),"無")</f>
        <v>18.510000000000002</v>
      </c>
      <c r="G536" s="79">
        <v>2344</v>
      </c>
      <c r="H536" s="17" t="s">
        <v>3038</v>
      </c>
      <c r="I536" s="22" t="s">
        <v>4038</v>
      </c>
      <c r="J536" s="8" t="str">
        <f>IFERROR(VLOOKUP($G536,今日總結!$A:$AN,39,0),"")</f>
        <v>主外</v>
      </c>
      <c r="K536" s="5">
        <f>IFERROR(VLOOKUP($G536,今日總結!$A:$AN,40,0),"")</f>
        <v>0</v>
      </c>
      <c r="L536" s="156">
        <f>IFERROR(VLOOKUP($G536,今日總結!$A:$AN,37,0),"")</f>
        <v>4</v>
      </c>
      <c r="M536" s="337">
        <f>IFERROR(VLOOKUP($G536,今日總結!$A:$AN,38,0),"")</f>
        <v>0</v>
      </c>
      <c r="N536" s="240">
        <f t="shared" si="115"/>
        <v>4</v>
      </c>
      <c r="O536" s="359">
        <f>IFERROR(VLOOKUP($G536,融外自投!$A:$J,7,0),"無")</f>
        <v>719</v>
      </c>
      <c r="P536" s="79">
        <f>IFERROR(VLOOKUP($G536,融外自投!$A:$J,9,0),"無")</f>
        <v>869</v>
      </c>
      <c r="Q536" s="342">
        <f>IFERROR(VLOOKUP($G536,融外自投!$A:$J,8,0),"無")</f>
        <v>214</v>
      </c>
      <c r="R536" s="81">
        <f>IFERROR(VLOOKUP($G536,融外自投!$A:$J,10,0),"無")</f>
        <v>254</v>
      </c>
      <c r="S536" s="324">
        <f>IFERROR(VLOOKUP($G536,'321買'!$A:$E,4,0),"'沒有資料'")</f>
        <v>253</v>
      </c>
      <c r="T536" s="186">
        <f>IFERROR(VLOOKUP($G536,基本資料!$A:$J,9,0),"無")</f>
        <v>1</v>
      </c>
      <c r="U536" s="307">
        <f t="shared" si="111"/>
        <v>3.5842293906810041E-2</v>
      </c>
      <c r="V536" s="94">
        <f>IFERROR(VLOOKUP($G536,基本資料!$A:$J,10,0),"無")</f>
        <v>3.42</v>
      </c>
      <c r="W536" s="36">
        <f>RTD("money.excel",,"2344","Price")</f>
        <v>27.9</v>
      </c>
      <c r="X536" s="66"/>
      <c r="Y536" s="15">
        <f t="shared" si="112"/>
        <v>27.9</v>
      </c>
      <c r="Z536" s="3" t="e">
        <f t="shared" si="113"/>
        <v>#DIV/0!</v>
      </c>
      <c r="AA536" s="340">
        <f>IFERROR(VLOOKUP($G536,基本資料!$A:$M,11,0),"無")</f>
        <v>-27.53</v>
      </c>
      <c r="AB536" s="389">
        <f>IFERROR(VLOOKUP($G536,基本資料!$A:$M,12,0),"無")</f>
        <v>20.66</v>
      </c>
      <c r="AC536" s="22" t="s">
        <v>4038</v>
      </c>
      <c r="AF536" s="33">
        <f t="shared" si="114"/>
        <v>0</v>
      </c>
      <c r="AG536" s="117" t="s">
        <v>1426</v>
      </c>
      <c r="AH536" s="66">
        <f t="shared" si="109"/>
        <v>1.1084782919506266</v>
      </c>
      <c r="AI536" s="283">
        <f>RTD("money.excel",,$G536,"PredictVolume")</f>
        <v>29074</v>
      </c>
      <c r="AJ536" s="391">
        <f>IFERROR(VLOOKUP($G536,基本資料!$A:$M,13,0),"無")</f>
        <v>26228.75</v>
      </c>
      <c r="AR536" s="245" t="str">
        <f>INDEX(基本資料!N:N,MATCH($G536,基本資料!A:A,0))</f>
        <v>低</v>
      </c>
    </row>
    <row r="537" spans="1:44">
      <c r="A537" s="343">
        <f>IFERROR(VLOOKUP($G537,基本資料!$A:$J,3,0),"無")</f>
        <v>18.21</v>
      </c>
      <c r="B537" s="79">
        <f>IFERROR(VLOOKUP($G537,基本資料!$A:$J,4,0),"無")</f>
        <v>126</v>
      </c>
      <c r="C537" s="79">
        <f>IFERROR(VLOOKUP($G537,基本資料!$A:$J,5,0),"無")</f>
        <v>103</v>
      </c>
      <c r="D537" s="79">
        <f>IFERROR(VLOOKUP($G537,基本資料!$A:$J,6,0),"無")</f>
        <v>4</v>
      </c>
      <c r="E537" s="79">
        <f>IFERROR(VLOOKUP($G537,基本資料!$A:$J,7,0),"無")</f>
        <v>11</v>
      </c>
      <c r="F537" s="6">
        <f>IFERROR(VLOOKUP($G537,基本資料!$A:$J,8,0),"無")</f>
        <v>10.99</v>
      </c>
      <c r="G537" s="79">
        <v>2351</v>
      </c>
      <c r="H537" s="192" t="s">
        <v>3038</v>
      </c>
      <c r="I537" s="22" t="s">
        <v>61</v>
      </c>
      <c r="J537" s="8" t="str">
        <f>IFERROR(VLOOKUP($G537,今日總結!$A:$AN,39,0),"")</f>
        <v>借</v>
      </c>
      <c r="K537" s="5">
        <f>IFERROR(VLOOKUP($G537,今日總結!$A:$AN,40,0),"")</f>
        <v>0</v>
      </c>
      <c r="L537" s="156">
        <f>IFERROR(VLOOKUP($G537,今日總結!$A:$AN,37,0),"")</f>
        <v>2</v>
      </c>
      <c r="M537" s="337">
        <f>IFERROR(VLOOKUP($G537,今日總結!$A:$AN,38,0),"")</f>
        <v>0</v>
      </c>
      <c r="N537" s="240">
        <f t="shared" si="115"/>
        <v>2</v>
      </c>
      <c r="O537" s="359">
        <f>IFERROR(VLOOKUP($G537,融外自投!$A:$J,7,0),"無")</f>
        <v>689</v>
      </c>
      <c r="P537" s="79">
        <f>IFERROR(VLOOKUP($G537,融外自投!$A:$J,9,0),"無")</f>
        <v>671</v>
      </c>
      <c r="Q537" s="342">
        <f>IFERROR(VLOOKUP($G537,融外自投!$A:$J,8,0),"無")</f>
        <v>298</v>
      </c>
      <c r="R537" s="81">
        <f>IFERROR(VLOOKUP($G537,融外自投!$A:$J,10,0),"無")</f>
        <v>20</v>
      </c>
      <c r="S537" s="324">
        <f>IFERROR(VLOOKUP($G537,'321買'!$A:$E,4,0),"'沒有資料'")</f>
        <v>91</v>
      </c>
      <c r="T537" s="186">
        <f>IFERROR(VLOOKUP($G537,基本資料!$A:$J,9,0),"無")</f>
        <v>3</v>
      </c>
      <c r="U537" s="307">
        <f t="shared" si="111"/>
        <v>2.2556390977443608E-2</v>
      </c>
      <c r="V537" s="94">
        <f>IFERROR(VLOOKUP($G537,基本資料!$A:$J,10,0),"無")</f>
        <v>4.68</v>
      </c>
      <c r="W537" s="36">
        <f>RTD("money.excel",,"2351","Price")</f>
        <v>133</v>
      </c>
      <c r="X537" s="66"/>
      <c r="Y537" s="15">
        <f t="shared" si="112"/>
        <v>133</v>
      </c>
      <c r="Z537" s="3" t="e">
        <f t="shared" si="113"/>
        <v>#DIV/0!</v>
      </c>
      <c r="AA537" s="340">
        <f>IFERROR(VLOOKUP($G537,基本資料!$A:$M,11,0),"無")</f>
        <v>-33.5</v>
      </c>
      <c r="AB537" s="389">
        <f>IFERROR(VLOOKUP($G537,基本資料!$A:$M,12,0),"無")</f>
        <v>24.1</v>
      </c>
      <c r="AC537" s="22" t="s">
        <v>61</v>
      </c>
      <c r="AF537" s="33">
        <f t="shared" si="114"/>
        <v>0</v>
      </c>
      <c r="AG537" s="117" t="s">
        <v>3367</v>
      </c>
      <c r="AH537" s="66">
        <f t="shared" si="109"/>
        <v>0.95107379299208783</v>
      </c>
      <c r="AI537" s="283">
        <f>RTD("money.excel",,$G537,"PredictVolume")</f>
        <v>1767</v>
      </c>
      <c r="AJ537" s="391">
        <f>IFERROR(VLOOKUP($G537,基本資料!$A:$M,13,0),"無")</f>
        <v>1857.9</v>
      </c>
      <c r="AR537" s="245" t="str">
        <f>INDEX(基本資料!N:N,MATCH($G537,基本資料!A:A,0))</f>
        <v>低</v>
      </c>
    </row>
    <row r="538" spans="1:44">
      <c r="A538" s="343">
        <f>IFERROR(VLOOKUP($G538,基本資料!$A:$J,3,0),"無")</f>
        <v>68.14</v>
      </c>
      <c r="B538" s="79">
        <f>IFERROR(VLOOKUP($G538,基本資料!$A:$J,4,0),"無")</f>
        <v>161</v>
      </c>
      <c r="C538" s="79">
        <f>IFERROR(VLOOKUP($G538,基本資料!$A:$J,5,0),"無")</f>
        <v>20</v>
      </c>
      <c r="D538" s="79">
        <f>IFERROR(VLOOKUP($G538,基本資料!$A:$J,6,0),"無")</f>
        <v>-15</v>
      </c>
      <c r="E538" s="79">
        <f>IFERROR(VLOOKUP($G538,基本資料!$A:$J,7,0),"無")</f>
        <v>12</v>
      </c>
      <c r="F538" s="6">
        <f>IFERROR(VLOOKUP($G538,基本資料!$A:$J,8,0),"無")</f>
        <v>-140.97</v>
      </c>
      <c r="G538" s="79">
        <v>2363</v>
      </c>
      <c r="H538" s="8" t="s">
        <v>3038</v>
      </c>
      <c r="I538" s="22" t="s">
        <v>321</v>
      </c>
      <c r="J538" s="8">
        <f>IFERROR(VLOOKUP($G538,今日總結!$A:$AN,39,0),"")</f>
        <v>0</v>
      </c>
      <c r="K538" s="5">
        <f>IFERROR(VLOOKUP($G538,今日總結!$A:$AN,40,0),"")</f>
        <v>0</v>
      </c>
      <c r="L538" s="156">
        <f>IFERROR(VLOOKUP($G538,今日總結!$A:$AN,37,0),"")</f>
        <v>0</v>
      </c>
      <c r="M538" s="337">
        <f>IFERROR(VLOOKUP($G538,今日總結!$A:$AN,38,0),"")</f>
        <v>0</v>
      </c>
      <c r="N538" s="240">
        <f t="shared" si="115"/>
        <v>0</v>
      </c>
      <c r="O538" s="359">
        <f>IFERROR(VLOOKUP($G538,融外自投!$A:$J,7,0),"無")</f>
        <v>640</v>
      </c>
      <c r="P538" s="79">
        <f>IFERROR(VLOOKUP($G538,融外自投!$A:$J,9,0),"無")</f>
        <v>50</v>
      </c>
      <c r="Q538" s="342">
        <f>IFERROR(VLOOKUP($G538,融外自投!$A:$J,8,0),"無")</f>
        <v>791</v>
      </c>
      <c r="R538" s="81" t="str">
        <f>IFERROR(VLOOKUP($G538,融外自投!$A:$J,10,0),"無")</f>
        <v>無</v>
      </c>
      <c r="S538" s="324">
        <f>IFERROR(VLOOKUP($G538,'321買'!$A:$E,4,0),"'沒有資料'")</f>
        <v>286</v>
      </c>
      <c r="T538" s="186">
        <f>IFERROR(VLOOKUP($G538,基本資料!$A:$J,9,0),"無")</f>
        <v>1.8</v>
      </c>
      <c r="U538" s="307">
        <f t="shared" si="111"/>
        <v>0.08</v>
      </c>
      <c r="V538" s="94">
        <f>IFERROR(VLOOKUP($G538,基本資料!$A:$J,10,0),"無")</f>
        <v>0.28999999999999998</v>
      </c>
      <c r="W538" s="36">
        <f>RTD("money.excel",,"2363","Price")</f>
        <v>22.5</v>
      </c>
      <c r="X538" s="66"/>
      <c r="Y538" s="15">
        <f t="shared" si="112"/>
        <v>22.5</v>
      </c>
      <c r="Z538" s="3" t="e">
        <f t="shared" si="113"/>
        <v>#DIV/0!</v>
      </c>
      <c r="AA538" s="340">
        <f>IFERROR(VLOOKUP($G538,基本資料!$A:$M,11,0),"無")</f>
        <v>-29.25</v>
      </c>
      <c r="AB538" s="389">
        <f>IFERROR(VLOOKUP($G538,基本資料!$A:$M,12,0),"無")</f>
        <v>44.86</v>
      </c>
      <c r="AC538" s="22" t="s">
        <v>321</v>
      </c>
      <c r="AF538" s="33">
        <f t="shared" si="114"/>
        <v>0</v>
      </c>
      <c r="AG538" s="43" t="s">
        <v>2343</v>
      </c>
      <c r="AH538" s="66">
        <f t="shared" si="109"/>
        <v>0.79009433962264142</v>
      </c>
      <c r="AI538" s="283">
        <f>RTD("money.excel",,$G538,"PredictVolume")</f>
        <v>2077</v>
      </c>
      <c r="AJ538" s="391">
        <f>IFERROR(VLOOKUP($G538,基本資料!$A:$M,13,0),"無")</f>
        <v>2628.8</v>
      </c>
      <c r="AR538" s="245" t="str">
        <f>INDEX(基本資料!N:N,MATCH($G538,基本資料!A:A,0))</f>
        <v>低</v>
      </c>
    </row>
    <row r="539" spans="1:44">
      <c r="A539" s="343">
        <f>IFERROR(VLOOKUP($G539,基本資料!$A:$J,3,0),"無")</f>
        <v>38.01</v>
      </c>
      <c r="B539" s="79">
        <f>IFERROR(VLOOKUP($G539,基本資料!$A:$J,4,0),"無")</f>
        <v>671</v>
      </c>
      <c r="C539" s="79">
        <f>IFERROR(VLOOKUP($G539,基本資料!$A:$J,5,0),"無")</f>
        <v>643</v>
      </c>
      <c r="D539" s="79">
        <f>IFERROR(VLOOKUP($G539,基本資料!$A:$J,6,0),"無")</f>
        <v>-9</v>
      </c>
      <c r="E539" s="79">
        <f>IFERROR(VLOOKUP($G539,基本資料!$A:$J,7,0),"無")</f>
        <v>-10</v>
      </c>
      <c r="F539" s="6">
        <f>IFERROR(VLOOKUP($G539,基本資料!$A:$J,8,0),"無")</f>
        <v>11.5</v>
      </c>
      <c r="G539" s="79">
        <v>2369</v>
      </c>
      <c r="H539" s="17" t="s">
        <v>3038</v>
      </c>
      <c r="I539" s="22" t="s">
        <v>4039</v>
      </c>
      <c r="J539" s="8">
        <f>IFERROR(VLOOKUP($G539,今日總結!$A:$AN,39,0),"")</f>
        <v>0</v>
      </c>
      <c r="K539" s="5">
        <f>IFERROR(VLOOKUP($G539,今日總結!$A:$AN,40,0),"")</f>
        <v>0</v>
      </c>
      <c r="L539" s="156">
        <f>IFERROR(VLOOKUP($G539,今日總結!$A:$AN,37,0),"")</f>
        <v>0</v>
      </c>
      <c r="M539" s="337">
        <f>IFERROR(VLOOKUP($G539,今日總結!$A:$AN,38,0),"")</f>
        <v>0</v>
      </c>
      <c r="N539" s="240">
        <f t="shared" si="115"/>
        <v>0</v>
      </c>
      <c r="O539" s="359">
        <f>IFERROR(VLOOKUP($G539,融外自投!$A:$J,7,0),"無")</f>
        <v>341</v>
      </c>
      <c r="P539" s="79">
        <f>IFERROR(VLOOKUP($G539,融外自投!$A:$J,9,0),"無")</f>
        <v>649</v>
      </c>
      <c r="Q539" s="342">
        <f>IFERROR(VLOOKUP($G539,融外自投!$A:$J,8,0),"無")</f>
        <v>362</v>
      </c>
      <c r="R539" s="81">
        <f>IFERROR(VLOOKUP($G539,融外自投!$A:$J,10,0),"無")</f>
        <v>495</v>
      </c>
      <c r="S539" s="324">
        <f>IFERROR(VLOOKUP($G539,'321買'!$A:$E,4,0),"'沒有資料'")</f>
        <v>108</v>
      </c>
      <c r="T539" s="186">
        <f>IFERROR(VLOOKUP($G539,基本資料!$A:$J,9,0),"無")</f>
        <v>1.29</v>
      </c>
      <c r="U539" s="307">
        <f t="shared" si="111"/>
        <v>6.339066339066339E-2</v>
      </c>
      <c r="V539" s="94">
        <f>IFERROR(VLOOKUP($G539,基本資料!$A:$J,10,0),"無")</f>
        <v>2.35</v>
      </c>
      <c r="W539" s="36">
        <f>RTD("money.excel",,"2369","Price")</f>
        <v>20.350000000000001</v>
      </c>
      <c r="X539" s="66"/>
      <c r="Y539" s="15">
        <f t="shared" si="112"/>
        <v>20.350000000000001</v>
      </c>
      <c r="Z539" s="3" t="e">
        <f t="shared" si="113"/>
        <v>#DIV/0!</v>
      </c>
      <c r="AA539" s="340">
        <f>IFERROR(VLOOKUP($G539,基本資料!$A:$M,11,0),"無")</f>
        <v>-37</v>
      </c>
      <c r="AB539" s="389">
        <f>IFERROR(VLOOKUP($G539,基本資料!$A:$M,12,0),"無")</f>
        <v>17.13</v>
      </c>
      <c r="AC539" s="22" t="s">
        <v>4039</v>
      </c>
      <c r="AF539" s="33">
        <f t="shared" si="114"/>
        <v>0</v>
      </c>
      <c r="AG539" s="117" t="s">
        <v>2334</v>
      </c>
      <c r="AH539" s="66">
        <f t="shared" si="109"/>
        <v>0.78008888888888894</v>
      </c>
      <c r="AI539" s="283">
        <f>RTD("money.excel",,$G539,"PredictVolume")</f>
        <v>1097</v>
      </c>
      <c r="AJ539" s="391">
        <f>IFERROR(VLOOKUP($G539,基本資料!$A:$M,13,0),"無")</f>
        <v>1406.25</v>
      </c>
      <c r="AR539" s="245" t="str">
        <f>INDEX(基本資料!N:N,MATCH($G539,基本資料!A:A,0))</f>
        <v>低</v>
      </c>
    </row>
    <row r="540" spans="1:44">
      <c r="A540" s="343">
        <f>IFERROR(VLOOKUP($G540,基本資料!$A:$J,3,0),"無")</f>
        <v>51.28</v>
      </c>
      <c r="B540" s="79">
        <f>IFERROR(VLOOKUP($G540,基本資料!$A:$J,4,0),"無")</f>
        <v>91</v>
      </c>
      <c r="C540" s="79">
        <f>IFERROR(VLOOKUP($G540,基本資料!$A:$J,5,0),"無")</f>
        <v>100</v>
      </c>
      <c r="D540" s="79">
        <f>IFERROR(VLOOKUP($G540,基本資料!$A:$J,6,0),"無")</f>
        <v>0</v>
      </c>
      <c r="E540" s="79">
        <f>IFERROR(VLOOKUP($G540,基本資料!$A:$J,7,0),"無")</f>
        <v>33</v>
      </c>
      <c r="F540" s="6">
        <f>IFERROR(VLOOKUP($G540,基本資料!$A:$J,8,0),"無")</f>
        <v>16.420000000000002</v>
      </c>
      <c r="G540" s="79">
        <v>2379</v>
      </c>
      <c r="H540" s="17" t="s">
        <v>3038</v>
      </c>
      <c r="I540" s="22" t="s">
        <v>26</v>
      </c>
      <c r="J540" s="8" t="str">
        <f>IFERROR(VLOOKUP($G540,今日總結!$A:$AN,39,0),"")</f>
        <v>自</v>
      </c>
      <c r="K540" s="5">
        <f>IFERROR(VLOOKUP($G540,今日總結!$A:$AN,40,0),"")</f>
        <v>0</v>
      </c>
      <c r="L540" s="156">
        <f>IFERROR(VLOOKUP($G540,今日總結!$A:$AN,37,0),"")</f>
        <v>1</v>
      </c>
      <c r="M540" s="337">
        <f>IFERROR(VLOOKUP($G540,今日總結!$A:$AN,38,0),"")</f>
        <v>0</v>
      </c>
      <c r="N540" s="240">
        <f t="shared" si="115"/>
        <v>1</v>
      </c>
      <c r="O540" s="359">
        <f>IFERROR(VLOOKUP($G540,融外自投!$A:$J,7,0),"無")</f>
        <v>1015</v>
      </c>
      <c r="P540" s="79">
        <f>IFERROR(VLOOKUP($G540,融外自投!$A:$J,9,0),"無")</f>
        <v>234</v>
      </c>
      <c r="Q540" s="342">
        <f>IFERROR(VLOOKUP($G540,融外自投!$A:$J,8,0),"無")</f>
        <v>75</v>
      </c>
      <c r="R540" s="81">
        <f>IFERROR(VLOOKUP($G540,融外自投!$A:$J,10,0),"無")</f>
        <v>89</v>
      </c>
      <c r="S540" s="324">
        <f>IFERROR(VLOOKUP($G540,'321買'!$A:$E,4,0),"'沒有資料'")</f>
        <v>650</v>
      </c>
      <c r="T540" s="186">
        <f>IFERROR(VLOOKUP($G540,基本資料!$A:$J,9,0),"無")</f>
        <v>27</v>
      </c>
      <c r="U540" s="307">
        <f t="shared" si="111"/>
        <v>6.323185011709602E-2</v>
      </c>
      <c r="V540" s="94">
        <f>IFERROR(VLOOKUP($G540,基本資料!$A:$J,10,0),"無")</f>
        <v>33</v>
      </c>
      <c r="W540" s="36">
        <f>RTD("money.excel",,"2379","Price")</f>
        <v>427</v>
      </c>
      <c r="X540" s="66"/>
      <c r="Y540" s="15">
        <f t="shared" si="112"/>
        <v>427</v>
      </c>
      <c r="Z540" s="3" t="e">
        <f t="shared" si="113"/>
        <v>#DIV/0!</v>
      </c>
      <c r="AA540" s="340">
        <f>IFERROR(VLOOKUP($G540,基本資料!$A:$M,11,0),"無")</f>
        <v>-31.24</v>
      </c>
      <c r="AB540" s="389">
        <f>IFERROR(VLOOKUP($G540,基本資料!$A:$M,12,0),"無")</f>
        <v>40.19</v>
      </c>
      <c r="AC540" s="22" t="s">
        <v>26</v>
      </c>
      <c r="AF540" s="33">
        <f t="shared" si="114"/>
        <v>0</v>
      </c>
      <c r="AG540" s="117" t="s">
        <v>2558</v>
      </c>
      <c r="AH540" s="66">
        <f t="shared" si="109"/>
        <v>1.727484160718582</v>
      </c>
      <c r="AI540" s="283">
        <f>RTD("money.excel",,$G540,"PredictVolume")</f>
        <v>4308</v>
      </c>
      <c r="AJ540" s="391">
        <f>IFERROR(VLOOKUP($G540,基本資料!$A:$M,13,0),"無")</f>
        <v>2493.8000000000002</v>
      </c>
      <c r="AR540" s="245" t="str">
        <f>INDEX(基本資料!N:N,MATCH($G540,基本資料!A:A,0))</f>
        <v>低</v>
      </c>
    </row>
    <row r="541" spans="1:44">
      <c r="A541" s="343">
        <f>IFERROR(VLOOKUP($G541,基本資料!$A:$J,3,0),"無")</f>
        <v>49.67</v>
      </c>
      <c r="B541" s="79">
        <f>IFERROR(VLOOKUP($G541,基本資料!$A:$J,4,0),"無")</f>
        <v>-10</v>
      </c>
      <c r="C541" s="79">
        <f>IFERROR(VLOOKUP($G541,基本資料!$A:$J,5,0),"無")</f>
        <v>-85</v>
      </c>
      <c r="D541" s="79">
        <f>IFERROR(VLOOKUP($G541,基本資料!$A:$J,6,0),"無")</f>
        <v>-23</v>
      </c>
      <c r="E541" s="79">
        <f>IFERROR(VLOOKUP($G541,基本資料!$A:$J,7,0),"無")</f>
        <v>53</v>
      </c>
      <c r="F541" s="6">
        <f>IFERROR(VLOOKUP($G541,基本資料!$A:$J,8,0),"無")</f>
        <v>-20.6</v>
      </c>
      <c r="G541" s="79">
        <v>2388</v>
      </c>
      <c r="H541" s="17" t="s">
        <v>3038</v>
      </c>
      <c r="I541" s="22" t="s">
        <v>285</v>
      </c>
      <c r="J541" s="8" t="str">
        <f>IFERROR(VLOOKUP($G541,今日總結!$A:$AN,39,0),"")</f>
        <v>主外</v>
      </c>
      <c r="K541" s="5" t="str">
        <f>IFERROR(VLOOKUP($G541,今日總結!$A:$AN,40,0),"")</f>
        <v>融</v>
      </c>
      <c r="L541" s="156">
        <f>IFERROR(VLOOKUP($G541,今日總結!$A:$AN,37,0),"")</f>
        <v>5</v>
      </c>
      <c r="M541" s="337">
        <f>IFERROR(VLOOKUP($G541,今日總結!$A:$AN,38,0),"")</f>
        <v>6</v>
      </c>
      <c r="N541" s="240">
        <f t="shared" si="115"/>
        <v>-1</v>
      </c>
      <c r="O541" s="359">
        <f>IFERROR(VLOOKUP($G541,融外自投!$A:$J,7,0),"無")</f>
        <v>795</v>
      </c>
      <c r="P541" s="79">
        <f>IFERROR(VLOOKUP($G541,融外自投!$A:$J,9,0),"無")</f>
        <v>397</v>
      </c>
      <c r="Q541" s="342">
        <f>IFERROR(VLOOKUP($G541,融外自投!$A:$J,8,0),"無")</f>
        <v>432</v>
      </c>
      <c r="R541" s="81">
        <f>IFERROR(VLOOKUP($G541,融外自投!$A:$J,10,0),"無")</f>
        <v>476</v>
      </c>
      <c r="S541" s="324">
        <f>IFERROR(VLOOKUP($G541,'321買'!$A:$E,4,0),"'沒有資料'")</f>
        <v>286</v>
      </c>
      <c r="T541" s="186">
        <f>IFERROR(VLOOKUP($G541,基本資料!$A:$J,9,0),"無")</f>
        <v>1</v>
      </c>
      <c r="U541" s="307">
        <f t="shared" si="111"/>
        <v>2.0576131687242798E-2</v>
      </c>
      <c r="V541" s="94">
        <f>IFERROR(VLOOKUP($G541,基本資料!$A:$J,10,0),"無")</f>
        <v>8.01</v>
      </c>
      <c r="W541" s="36">
        <f>RTD("money.excel",,"2388","Price")</f>
        <v>48.6</v>
      </c>
      <c r="X541" s="66"/>
      <c r="Y541" s="15">
        <f t="shared" si="112"/>
        <v>48.6</v>
      </c>
      <c r="Z541" s="3" t="e">
        <f t="shared" si="113"/>
        <v>#DIV/0!</v>
      </c>
      <c r="AA541" s="340">
        <f>IFERROR(VLOOKUP($G541,基本資料!$A:$M,11,0),"無")</f>
        <v>-53.04</v>
      </c>
      <c r="AB541" s="389">
        <f>IFERROR(VLOOKUP($G541,基本資料!$A:$M,12,0),"無")</f>
        <v>11.65</v>
      </c>
      <c r="AC541" s="22" t="s">
        <v>285</v>
      </c>
      <c r="AF541" s="33">
        <f t="shared" si="114"/>
        <v>0</v>
      </c>
      <c r="AG541" s="43" t="s">
        <v>2062</v>
      </c>
      <c r="AH541" s="66">
        <f t="shared" si="109"/>
        <v>0.71742232956416729</v>
      </c>
      <c r="AI541" s="283">
        <f>RTD("money.excel",,$G541,"PredictVolume")</f>
        <v>1307</v>
      </c>
      <c r="AJ541" s="391">
        <f>IFERROR(VLOOKUP($G541,基本資料!$A:$M,13,0),"無")</f>
        <v>1821.8</v>
      </c>
      <c r="AR541" s="245" t="str">
        <f>INDEX(基本資料!N:N,MATCH($G541,基本資料!A:A,0))</f>
        <v>低</v>
      </c>
    </row>
    <row r="542" spans="1:44">
      <c r="A542" s="343">
        <f>IFERROR(VLOOKUP($G542,基本資料!$A:$J,3,0),"無")</f>
        <v>59.19</v>
      </c>
      <c r="B542" s="79">
        <f>IFERROR(VLOOKUP($G542,基本資料!$A:$J,4,0),"無")</f>
        <v>183</v>
      </c>
      <c r="C542" s="79">
        <f>IFERROR(VLOOKUP($G542,基本資料!$A:$J,5,0),"無")</f>
        <v>78</v>
      </c>
      <c r="D542" s="79">
        <f>IFERROR(VLOOKUP($G542,基本資料!$A:$J,6,0),"無")</f>
        <v>0</v>
      </c>
      <c r="E542" s="79">
        <f>IFERROR(VLOOKUP($G542,基本資料!$A:$J,7,0),"無")</f>
        <v>14</v>
      </c>
      <c r="F542" s="6">
        <f>IFERROR(VLOOKUP($G542,基本資料!$A:$J,8,0),"無")</f>
        <v>11.6</v>
      </c>
      <c r="G542" s="79">
        <v>2401</v>
      </c>
      <c r="H542" s="17" t="s">
        <v>3038</v>
      </c>
      <c r="I542" s="22" t="s">
        <v>94</v>
      </c>
      <c r="J542" s="8" t="str">
        <f>IFERROR(VLOOKUP($G542,今日總結!$A:$AN,39,0),"")</f>
        <v>外</v>
      </c>
      <c r="K542" s="5">
        <f>IFERROR(VLOOKUP($G542,今日總結!$A:$AN,40,0),"")</f>
        <v>0</v>
      </c>
      <c r="L542" s="156">
        <f>IFERROR(VLOOKUP($G542,今日總結!$A:$AN,37,0),"")</f>
        <v>1</v>
      </c>
      <c r="M542" s="337">
        <f>IFERROR(VLOOKUP($G542,今日總結!$A:$AN,38,0),"")</f>
        <v>0</v>
      </c>
      <c r="N542" s="240">
        <f t="shared" si="115"/>
        <v>1</v>
      </c>
      <c r="O542" s="359">
        <f>IFERROR(VLOOKUP($G542,融外自投!$A:$J,7,0),"無")</f>
        <v>420</v>
      </c>
      <c r="P542" s="79">
        <f>IFERROR(VLOOKUP($G542,融外自投!$A:$J,9,0),"無")</f>
        <v>762</v>
      </c>
      <c r="Q542" s="342">
        <f>IFERROR(VLOOKUP($G542,融外自投!$A:$J,8,0),"無")</f>
        <v>409</v>
      </c>
      <c r="R542" s="81" t="str">
        <f>IFERROR(VLOOKUP($G542,融外自投!$A:$J,10,0),"無")</f>
        <v>無</v>
      </c>
      <c r="S542" s="324">
        <f>IFERROR(VLOOKUP($G542,'321買'!$A:$E,4,0),"'沒有資料'")</f>
        <v>231</v>
      </c>
      <c r="T542" s="186">
        <f>IFERROR(VLOOKUP($G542,基本資料!$A:$J,9,0),"無")</f>
        <v>2</v>
      </c>
      <c r="U542" s="307">
        <f t="shared" si="111"/>
        <v>5.6818181818181816E-2</v>
      </c>
      <c r="V542" s="94">
        <f>IFERROR(VLOOKUP($G542,基本資料!$A:$J,10,0),"無")</f>
        <v>2.0099999999999998</v>
      </c>
      <c r="W542" s="36">
        <f>RTD("money.excel",,"2401","Price")</f>
        <v>35.200000000000003</v>
      </c>
      <c r="X542" s="66"/>
      <c r="Y542" s="15">
        <f t="shared" si="112"/>
        <v>35.200000000000003</v>
      </c>
      <c r="Z542" s="3" t="e">
        <f t="shared" si="113"/>
        <v>#DIV/0!</v>
      </c>
      <c r="AA542" s="340">
        <f>IFERROR(VLOOKUP($G542,基本資料!$A:$M,11,0),"無")</f>
        <v>-25.97</v>
      </c>
      <c r="AB542" s="389">
        <f>IFERROR(VLOOKUP($G542,基本資料!$A:$M,12,0),"無")</f>
        <v>50.52</v>
      </c>
      <c r="AC542" s="22" t="s">
        <v>94</v>
      </c>
      <c r="AF542" s="33">
        <f t="shared" si="114"/>
        <v>0</v>
      </c>
      <c r="AG542" s="117" t="s">
        <v>1400</v>
      </c>
      <c r="AH542" s="66">
        <f t="shared" si="109"/>
        <v>1.7907971279296007</v>
      </c>
      <c r="AI542" s="283">
        <f>RTD("money.excel",,$G542,"PredictVolume")</f>
        <v>9066</v>
      </c>
      <c r="AJ542" s="391">
        <f>IFERROR(VLOOKUP($G542,基本資料!$A:$M,13,0),"無")</f>
        <v>5062.55</v>
      </c>
      <c r="AR542" s="245" t="str">
        <f>INDEX(基本資料!N:N,MATCH($G542,基本資料!A:A,0))</f>
        <v>低</v>
      </c>
    </row>
    <row r="543" spans="1:44">
      <c r="A543" s="343">
        <f>IFERROR(VLOOKUP($G543,基本資料!$A:$J,3,0),"無")</f>
        <v>309</v>
      </c>
      <c r="B543" s="79">
        <f>IFERROR(VLOOKUP($G543,基本資料!$A:$J,4,0),"無")</f>
        <v>197</v>
      </c>
      <c r="C543" s="79">
        <f>IFERROR(VLOOKUP($G543,基本資料!$A:$J,5,0),"無")</f>
        <v>222</v>
      </c>
      <c r="D543" s="79">
        <f>IFERROR(VLOOKUP($G543,基本資料!$A:$J,6,0),"無")</f>
        <v>-2</v>
      </c>
      <c r="E543" s="79">
        <f>IFERROR(VLOOKUP($G543,基本資料!$A:$J,7,0),"無")</f>
        <v>-10</v>
      </c>
      <c r="F543" s="6">
        <f>IFERROR(VLOOKUP($G543,基本資料!$A:$J,8,0),"無")</f>
        <v>31.76</v>
      </c>
      <c r="G543" s="79">
        <v>2408</v>
      </c>
      <c r="H543" s="17" t="s">
        <v>307</v>
      </c>
      <c r="I543" s="22" t="s">
        <v>209</v>
      </c>
      <c r="J543" s="8" t="str">
        <f>IFERROR(VLOOKUP($G543,今日總結!$A:$AN,39,0),"")</f>
        <v>投</v>
      </c>
      <c r="K543" s="5">
        <f>IFERROR(VLOOKUP($G543,今日總結!$A:$AN,40,0),"")</f>
        <v>0</v>
      </c>
      <c r="L543" s="156">
        <f>IFERROR(VLOOKUP($G543,今日總結!$A:$AN,37,0),"")</f>
        <v>17</v>
      </c>
      <c r="M543" s="337">
        <f>IFERROR(VLOOKUP($G543,今日總結!$A:$AN,38,0),"")</f>
        <v>0</v>
      </c>
      <c r="N543" s="240">
        <f t="shared" si="115"/>
        <v>17</v>
      </c>
      <c r="O543" s="359">
        <f>IFERROR(VLOOKUP($G543,融外自投!$A:$J,7,0),"無")</f>
        <v>1131</v>
      </c>
      <c r="P543" s="79">
        <f>IFERROR(VLOOKUP($G543,融外自投!$A:$J,9,0),"無")</f>
        <v>266</v>
      </c>
      <c r="Q543" s="342">
        <f>IFERROR(VLOOKUP($G543,融外自投!$A:$J,8,0),"無")</f>
        <v>314</v>
      </c>
      <c r="R543" s="81">
        <f>IFERROR(VLOOKUP($G543,融外自投!$A:$J,10,0),"無")</f>
        <v>106</v>
      </c>
      <c r="S543" s="324">
        <f>IFERROR(VLOOKUP($G543,'321買'!$A:$E,4,0),"'沒有資料'")</f>
        <v>411</v>
      </c>
      <c r="T543" s="186">
        <f>IFERROR(VLOOKUP($G543,基本資料!$A:$J,9,0),"無")</f>
        <v>3.7</v>
      </c>
      <c r="U543" s="307">
        <f t="shared" si="111"/>
        <v>5.5306427503736919E-2</v>
      </c>
      <c r="V543" s="94">
        <f>IFERROR(VLOOKUP($G543,基本資料!$A:$J,10,0),"無")</f>
        <v>7.4</v>
      </c>
      <c r="W543" s="36">
        <f>RTD("money.excel",,"2408","Price")</f>
        <v>66.900000000000006</v>
      </c>
      <c r="X543" s="66"/>
      <c r="Y543" s="15">
        <f t="shared" si="112"/>
        <v>66.900000000000006</v>
      </c>
      <c r="Z543" s="3" t="e">
        <f t="shared" si="113"/>
        <v>#DIV/0!</v>
      </c>
      <c r="AA543" s="340">
        <f>IFERROR(VLOOKUP($G543,基本資料!$A:$M,11,0),"無")</f>
        <v>-20.55</v>
      </c>
      <c r="AB543" s="389">
        <f>IFERROR(VLOOKUP($G543,基本資料!$A:$M,12,0),"無")</f>
        <v>27.88</v>
      </c>
      <c r="AC543" s="22" t="s">
        <v>209</v>
      </c>
      <c r="AF543" s="33">
        <f t="shared" si="114"/>
        <v>0</v>
      </c>
      <c r="AG543" s="117" t="s">
        <v>2557</v>
      </c>
      <c r="AH543" s="66">
        <f t="shared" si="109"/>
        <v>1.7942403804163229</v>
      </c>
      <c r="AI543" s="283">
        <f>RTD("money.excel",,$G543,"PredictVolume")</f>
        <v>14791</v>
      </c>
      <c r="AJ543" s="391">
        <f>IFERROR(VLOOKUP($G543,基本資料!$A:$M,13,0),"無")</f>
        <v>8243.6</v>
      </c>
      <c r="AR543" s="245" t="str">
        <f>INDEX(基本資料!N:N,MATCH($G543,基本資料!A:A,0))</f>
        <v>低</v>
      </c>
    </row>
    <row r="544" spans="1:44">
      <c r="A544" s="343">
        <f>IFERROR(VLOOKUP($G544,基本資料!$A:$J,3,0),"無")</f>
        <v>3.7</v>
      </c>
      <c r="B544" s="79">
        <f>IFERROR(VLOOKUP($G544,基本資料!$A:$J,4,0),"無")</f>
        <v>-200</v>
      </c>
      <c r="C544" s="79">
        <f>IFERROR(VLOOKUP($G544,基本資料!$A:$J,5,0),"無")</f>
        <v>62</v>
      </c>
      <c r="D544" s="79">
        <f>IFERROR(VLOOKUP($G544,基本資料!$A:$J,6,0),"無")</f>
        <v>37</v>
      </c>
      <c r="E544" s="79">
        <f>IFERROR(VLOOKUP($G544,基本資料!$A:$J,7,0),"無")</f>
        <v>-15</v>
      </c>
      <c r="F544" s="6">
        <f>IFERROR(VLOOKUP($G544,基本資料!$A:$J,8,0),"無")</f>
        <v>-18.95</v>
      </c>
      <c r="G544" s="79">
        <v>2434</v>
      </c>
      <c r="H544" s="17" t="s">
        <v>3038</v>
      </c>
      <c r="I544" s="22" t="s">
        <v>345</v>
      </c>
      <c r="J544" s="8">
        <f>IFERROR(VLOOKUP($G544,今日總結!$A:$AN,39,0),"")</f>
        <v>0</v>
      </c>
      <c r="K544" s="5">
        <f>IFERROR(VLOOKUP($G544,今日總結!$A:$AN,40,0),"")</f>
        <v>0</v>
      </c>
      <c r="L544" s="156">
        <f>IFERROR(VLOOKUP($G544,今日總結!$A:$AN,37,0),"")</f>
        <v>0</v>
      </c>
      <c r="M544" s="337">
        <f>IFERROR(VLOOKUP($G544,今日總結!$A:$AN,38,0),"")</f>
        <v>0</v>
      </c>
      <c r="N544" s="240">
        <f t="shared" si="115"/>
        <v>0</v>
      </c>
      <c r="O544" s="359">
        <f>IFERROR(VLOOKUP($G544,融外自投!$A:$J,7,0),"無")</f>
        <v>370</v>
      </c>
      <c r="P544" s="79">
        <f>IFERROR(VLOOKUP($G544,融外自投!$A:$J,9,0),"無")</f>
        <v>946</v>
      </c>
      <c r="Q544" s="342">
        <f>IFERROR(VLOOKUP($G544,融外自投!$A:$J,8,0),"無")</f>
        <v>1214</v>
      </c>
      <c r="R544" s="81" t="str">
        <f>IFERROR(VLOOKUP($G544,融外自投!$A:$J,10,0),"無")</f>
        <v>無</v>
      </c>
      <c r="S544" s="324">
        <f>IFERROR(VLOOKUP($G544,'321買'!$A:$E,4,0),"'沒有資料'")</f>
        <v>1002</v>
      </c>
      <c r="T544" s="186">
        <f>IFERROR(VLOOKUP($G544,基本資料!$A:$J,9,0),"無")</f>
        <v>0</v>
      </c>
      <c r="U544" s="307">
        <f t="shared" si="111"/>
        <v>0</v>
      </c>
      <c r="V544" s="94">
        <f>IFERROR(VLOOKUP($G544,基本資料!$A:$J,10,0),"無")</f>
        <v>-0.54</v>
      </c>
      <c r="W544" s="36">
        <f>RTD("money.excel",,"2434","Price")</f>
        <v>34.9</v>
      </c>
      <c r="X544" s="66"/>
      <c r="Y544" s="15">
        <f t="shared" si="112"/>
        <v>34.9</v>
      </c>
      <c r="Z544" s="3" t="e">
        <f t="shared" si="113"/>
        <v>#DIV/0!</v>
      </c>
      <c r="AA544" s="340">
        <f>IFERROR(VLOOKUP($G544,基本資料!$A:$M,11,0),"無")</f>
        <v>-34.770000000000003</v>
      </c>
      <c r="AB544" s="389">
        <f>IFERROR(VLOOKUP($G544,基本資料!$A:$M,12,0),"無")</f>
        <v>34.61</v>
      </c>
      <c r="AC544" s="22" t="s">
        <v>345</v>
      </c>
      <c r="AF544" s="33">
        <f t="shared" si="114"/>
        <v>0</v>
      </c>
      <c r="AG544" s="43" t="s">
        <v>2184</v>
      </c>
      <c r="AH544" s="66">
        <f t="shared" si="109"/>
        <v>3.2323232323232323</v>
      </c>
      <c r="AI544" s="283">
        <f>RTD("money.excel",,$G544,"PredictVolume")</f>
        <v>64</v>
      </c>
      <c r="AJ544" s="391">
        <f>IFERROR(VLOOKUP($G544,基本資料!$A:$M,13,0),"無")</f>
        <v>19.8</v>
      </c>
      <c r="AR544" s="245" t="str">
        <f>INDEX(基本資料!N:N,MATCH($G544,基本資料!A:A,0))</f>
        <v>低</v>
      </c>
    </row>
    <row r="545" spans="1:44">
      <c r="A545" s="343">
        <f>IFERROR(VLOOKUP($G545,基本資料!$A:$J,3,0),"無")</f>
        <v>17.8</v>
      </c>
      <c r="B545" s="79">
        <f>IFERROR(VLOOKUP($G545,基本資料!$A:$J,4,0),"無")</f>
        <v>120</v>
      </c>
      <c r="C545" s="79">
        <f>IFERROR(VLOOKUP($G545,基本資料!$A:$J,5,0),"無")</f>
        <v>264</v>
      </c>
      <c r="D545" s="79">
        <f>IFERROR(VLOOKUP($G545,基本資料!$A:$J,6,0),"無")</f>
        <v>-28</v>
      </c>
      <c r="E545" s="79">
        <f>IFERROR(VLOOKUP($G545,基本資料!$A:$J,7,0),"無")</f>
        <v>-13</v>
      </c>
      <c r="F545" s="6">
        <f>IFERROR(VLOOKUP($G545,基本資料!$A:$J,8,0),"無")</f>
        <v>12.77</v>
      </c>
      <c r="G545" s="79">
        <v>2436</v>
      </c>
      <c r="H545" s="17" t="s">
        <v>307</v>
      </c>
      <c r="I545" s="22" t="s">
        <v>112</v>
      </c>
      <c r="J545" s="8">
        <f>IFERROR(VLOOKUP($G545,今日總結!$A:$AN,39,0),"")</f>
        <v>0</v>
      </c>
      <c r="K545" s="5">
        <f>IFERROR(VLOOKUP($G545,今日總結!$A:$AN,40,0),"")</f>
        <v>0</v>
      </c>
      <c r="L545" s="156">
        <f>IFERROR(VLOOKUP($G545,今日總結!$A:$AN,37,0),"")</f>
        <v>0</v>
      </c>
      <c r="M545" s="337">
        <f>IFERROR(VLOOKUP($G545,今日總結!$A:$AN,38,0),"")</f>
        <v>0</v>
      </c>
      <c r="N545" s="240">
        <f t="shared" si="115"/>
        <v>0</v>
      </c>
      <c r="O545" s="359">
        <f>IFERROR(VLOOKUP($G545,融外自投!$A:$J,7,0),"無")</f>
        <v>57</v>
      </c>
      <c r="P545" s="79">
        <f>IFERROR(VLOOKUP($G545,融外自投!$A:$J,9,0),"無")</f>
        <v>383</v>
      </c>
      <c r="Q545" s="342">
        <f>IFERROR(VLOOKUP($G545,融外自投!$A:$J,8,0),"無")</f>
        <v>691</v>
      </c>
      <c r="R545" s="81">
        <f>IFERROR(VLOOKUP($G545,融外自投!$A:$J,10,0),"無")</f>
        <v>377</v>
      </c>
      <c r="S545" s="324">
        <f>IFERROR(VLOOKUP($G545,'321買'!$A:$E,4,0),"'沒有資料'")</f>
        <v>38</v>
      </c>
      <c r="T545" s="186">
        <f>IFERROR(VLOOKUP($G545,基本資料!$A:$J,9,0),"無")</f>
        <v>3</v>
      </c>
      <c r="U545" s="307">
        <f t="shared" si="111"/>
        <v>4.504504504504505E-2</v>
      </c>
      <c r="V545" s="94">
        <f>IFERROR(VLOOKUP($G545,基本資料!$A:$J,10,0),"無")</f>
        <v>4.25</v>
      </c>
      <c r="W545" s="36">
        <f>RTD("money.excel",,"2436","Price")</f>
        <v>66.599999999999994</v>
      </c>
      <c r="X545" s="66"/>
      <c r="Y545" s="15">
        <f t="shared" si="112"/>
        <v>66.599999999999994</v>
      </c>
      <c r="Z545" s="3" t="e">
        <f t="shared" si="113"/>
        <v>#DIV/0!</v>
      </c>
      <c r="AA545" s="340">
        <f>IFERROR(VLOOKUP($G545,基本資料!$A:$M,11,0),"無")</f>
        <v>-42.34</v>
      </c>
      <c r="AB545" s="389">
        <f>IFERROR(VLOOKUP($G545,基本資料!$A:$M,12,0),"無")</f>
        <v>11.96</v>
      </c>
      <c r="AC545" s="22" t="s">
        <v>112</v>
      </c>
      <c r="AF545" s="33">
        <f t="shared" si="114"/>
        <v>0</v>
      </c>
      <c r="AG545" s="43" t="s">
        <v>2193</v>
      </c>
      <c r="AH545" s="66">
        <f t="shared" si="109"/>
        <v>0.67708489857250187</v>
      </c>
      <c r="AI545" s="283">
        <f>RTD("money.excel",,$G545,"PredictVolume")</f>
        <v>2253</v>
      </c>
      <c r="AJ545" s="391">
        <f>IFERROR(VLOOKUP($G545,基本資料!$A:$M,13,0),"無")</f>
        <v>3327.5</v>
      </c>
      <c r="AR545" s="245" t="str">
        <f>INDEX(基本資料!N:N,MATCH($G545,基本資料!A:A,0))</f>
        <v>低</v>
      </c>
    </row>
    <row r="546" spans="1:44">
      <c r="A546" s="343">
        <f>IFERROR(VLOOKUP($G546,基本資料!$A:$J,3,0),"無")</f>
        <v>56.88</v>
      </c>
      <c r="B546" s="79">
        <f>IFERROR(VLOOKUP($G546,基本資料!$A:$J,4,0),"無")</f>
        <v>72</v>
      </c>
      <c r="C546" s="79">
        <f>IFERROR(VLOOKUP($G546,基本資料!$A:$J,5,0),"無")</f>
        <v>73</v>
      </c>
      <c r="D546" s="79">
        <f>IFERROR(VLOOKUP($G546,基本資料!$A:$J,6,0),"無")</f>
        <v>2</v>
      </c>
      <c r="E546" s="79">
        <f>IFERROR(VLOOKUP($G546,基本資料!$A:$J,7,0),"無")</f>
        <v>7</v>
      </c>
      <c r="F546" s="6">
        <f>IFERROR(VLOOKUP($G546,基本資料!$A:$J,8,0),"無")</f>
        <v>29.02</v>
      </c>
      <c r="G546" s="79">
        <v>2441</v>
      </c>
      <c r="H546" s="17" t="s">
        <v>3038</v>
      </c>
      <c r="I546" s="22" t="s">
        <v>275</v>
      </c>
      <c r="J546" s="8" t="str">
        <f>IFERROR(VLOOKUP($G546,今日總結!$A:$AN,39,0),"")</f>
        <v>主自</v>
      </c>
      <c r="K546" s="5">
        <f>IFERROR(VLOOKUP($G546,今日總結!$A:$AN,40,0),"")</f>
        <v>0</v>
      </c>
      <c r="L546" s="156">
        <f>IFERROR(VLOOKUP($G546,今日總結!$A:$AN,37,0),"")</f>
        <v>15</v>
      </c>
      <c r="M546" s="337">
        <f>IFERROR(VLOOKUP($G546,今日總結!$A:$AN,38,0),"")</f>
        <v>0</v>
      </c>
      <c r="N546" s="240">
        <f t="shared" si="115"/>
        <v>15</v>
      </c>
      <c r="O546" s="359">
        <f>IFERROR(VLOOKUP($G546,融外自投!$A:$J,7,0),"無")</f>
        <v>1167</v>
      </c>
      <c r="P546" s="79">
        <f>IFERROR(VLOOKUP($G546,融外自投!$A:$J,9,0),"無")</f>
        <v>49</v>
      </c>
      <c r="Q546" s="342">
        <f>IFERROR(VLOOKUP($G546,融外自投!$A:$J,8,0),"無")</f>
        <v>373</v>
      </c>
      <c r="R546" s="81">
        <f>IFERROR(VLOOKUP($G546,融外自投!$A:$J,10,0),"無")</f>
        <v>55</v>
      </c>
      <c r="S546" s="324">
        <f>IFERROR(VLOOKUP($G546,'321買'!$A:$E,4,0),"'沒有資料'")</f>
        <v>465</v>
      </c>
      <c r="T546" s="186">
        <f>IFERROR(VLOOKUP($G546,基本資料!$A:$J,9,0),"無")</f>
        <v>5</v>
      </c>
      <c r="U546" s="307">
        <f t="shared" si="111"/>
        <v>6.9735006973500699E-2</v>
      </c>
      <c r="V546" s="94">
        <f>IFERROR(VLOOKUP($G546,基本資料!$A:$J,10,0),"無")</f>
        <v>8.09</v>
      </c>
      <c r="W546" s="36">
        <f>RTD("money.excel",,"2441","Price")</f>
        <v>71.7</v>
      </c>
      <c r="X546" s="66"/>
      <c r="Y546" s="15">
        <f t="shared" si="112"/>
        <v>71.7</v>
      </c>
      <c r="Z546" s="3" t="e">
        <f t="shared" si="113"/>
        <v>#DIV/0!</v>
      </c>
      <c r="AA546" s="340">
        <f>IFERROR(VLOOKUP($G546,基本資料!$A:$M,11,0),"無")</f>
        <v>-27.94</v>
      </c>
      <c r="AB546" s="389">
        <f>IFERROR(VLOOKUP($G546,基本資料!$A:$M,12,0),"無")</f>
        <v>41.86</v>
      </c>
      <c r="AC546" s="22" t="s">
        <v>275</v>
      </c>
      <c r="AF546" s="33">
        <f t="shared" si="114"/>
        <v>0</v>
      </c>
      <c r="AG546" s="117" t="s">
        <v>3019</v>
      </c>
      <c r="AH546" s="66">
        <f t="shared" si="109"/>
        <v>1.3158069441678284</v>
      </c>
      <c r="AI546" s="283">
        <f>RTD("money.excel",,$G546,"PredictVolume")</f>
        <v>991</v>
      </c>
      <c r="AJ546" s="391">
        <f>IFERROR(VLOOKUP($G546,基本資料!$A:$M,13,0),"無")</f>
        <v>753.15</v>
      </c>
      <c r="AR546" s="245" t="str">
        <f>INDEX(基本資料!N:N,MATCH($G546,基本資料!A:A,0))</f>
        <v>低</v>
      </c>
    </row>
    <row r="547" spans="1:44">
      <c r="A547" s="343">
        <f>IFERROR(VLOOKUP($G547,基本資料!$A:$J,3,0),"無")</f>
        <v>122</v>
      </c>
      <c r="B547" s="79">
        <f>IFERROR(VLOOKUP($G547,基本資料!$A:$J,4,0),"無")</f>
        <v>43</v>
      </c>
      <c r="C547" s="79">
        <f>IFERROR(VLOOKUP($G547,基本資料!$A:$J,5,0),"無")</f>
        <v>42</v>
      </c>
      <c r="D547" s="79">
        <f>IFERROR(VLOOKUP($G547,基本資料!$A:$J,6,0),"無")</f>
        <v>2</v>
      </c>
      <c r="E547" s="79">
        <f>IFERROR(VLOOKUP($G547,基本資料!$A:$J,7,0),"無")</f>
        <v>22</v>
      </c>
      <c r="F547" s="6">
        <f>IFERROR(VLOOKUP($G547,基本資料!$A:$J,8,0),"無")</f>
        <v>19.57</v>
      </c>
      <c r="G547" s="79">
        <v>2449</v>
      </c>
      <c r="H547" s="17" t="s">
        <v>3038</v>
      </c>
      <c r="I547" s="22" t="s">
        <v>47</v>
      </c>
      <c r="J547" s="8" t="str">
        <f>IFERROR(VLOOKUP($G547,今日總結!$A:$AN,39,0),"")</f>
        <v>外</v>
      </c>
      <c r="K547" s="5">
        <f>IFERROR(VLOOKUP($G547,今日總結!$A:$AN,40,0),"")</f>
        <v>0</v>
      </c>
      <c r="L547" s="156">
        <f>IFERROR(VLOOKUP($G547,今日總結!$A:$AN,37,0),"")</f>
        <v>4</v>
      </c>
      <c r="M547" s="337">
        <f>IFERROR(VLOOKUP($G547,今日總結!$A:$AN,38,0),"")</f>
        <v>0</v>
      </c>
      <c r="N547" s="240">
        <f t="shared" si="115"/>
        <v>4</v>
      </c>
      <c r="O547" s="359">
        <f>IFERROR(VLOOKUP($G547,融外自投!$A:$J,7,0),"無")</f>
        <v>995</v>
      </c>
      <c r="P547" s="79">
        <f>IFERROR(VLOOKUP($G547,融外自投!$A:$J,9,0),"無")</f>
        <v>8</v>
      </c>
      <c r="Q547" s="342">
        <f>IFERROR(VLOOKUP($G547,融外自投!$A:$J,8,0),"無")</f>
        <v>142</v>
      </c>
      <c r="R547" s="81">
        <f>IFERROR(VLOOKUP($G547,融外自投!$A:$J,10,0),"無")</f>
        <v>53</v>
      </c>
      <c r="S547" s="324">
        <f>IFERROR(VLOOKUP($G547,'321買'!$A:$E,4,0),"'沒有資料'")</f>
        <v>366</v>
      </c>
      <c r="T547" s="186">
        <f>IFERROR(VLOOKUP($G547,基本資料!$A:$J,9,0),"無")</f>
        <v>3</v>
      </c>
      <c r="U547" s="307">
        <f t="shared" si="111"/>
        <v>6.9605568445475635E-2</v>
      </c>
      <c r="V547" s="94">
        <f>IFERROR(VLOOKUP($G547,基本資料!$A:$J,10,0),"無")</f>
        <v>4.2300000000000004</v>
      </c>
      <c r="W547" s="36">
        <f>RTD("money.excel",,"2449","Price")</f>
        <v>43.1</v>
      </c>
      <c r="X547" s="66"/>
      <c r="Y547" s="15">
        <f t="shared" si="112"/>
        <v>43.1</v>
      </c>
      <c r="Z547" s="3" t="e">
        <f t="shared" si="113"/>
        <v>#DIV/0!</v>
      </c>
      <c r="AA547" s="340">
        <f>IFERROR(VLOOKUP($G547,基本資料!$A:$M,11,0),"無")</f>
        <v>-16.149999999999999</v>
      </c>
      <c r="AB547" s="389">
        <f>IFERROR(VLOOKUP($G547,基本資料!$A:$M,12,0),"無")</f>
        <v>59.9</v>
      </c>
      <c r="AC547" s="22" t="s">
        <v>47</v>
      </c>
      <c r="AF547" s="33">
        <f t="shared" si="114"/>
        <v>0</v>
      </c>
      <c r="AG547" s="117" t="s">
        <v>2297</v>
      </c>
      <c r="AH547" s="66">
        <f t="shared" si="109"/>
        <v>0.97198253984367067</v>
      </c>
      <c r="AI547" s="283">
        <f>RTD("money.excel",,$G547,"PredictVolume")</f>
        <v>5745</v>
      </c>
      <c r="AJ547" s="391">
        <f>IFERROR(VLOOKUP($G547,基本資料!$A:$M,13,0),"無")</f>
        <v>5910.6</v>
      </c>
      <c r="AR547" s="245" t="str">
        <f>INDEX(基本資料!N:N,MATCH($G547,基本資料!A:A,0))</f>
        <v>中</v>
      </c>
    </row>
    <row r="548" spans="1:44">
      <c r="A548" s="343">
        <f>IFERROR(VLOOKUP($G548,基本資料!$A:$J,3,0),"無")</f>
        <v>42.9</v>
      </c>
      <c r="B548" s="79">
        <f>IFERROR(VLOOKUP($G548,基本資料!$A:$J,4,0),"無")</f>
        <v>111</v>
      </c>
      <c r="C548" s="79">
        <f>IFERROR(VLOOKUP($G548,基本資料!$A:$J,5,0),"無")</f>
        <v>138</v>
      </c>
      <c r="D548" s="79">
        <f>IFERROR(VLOOKUP($G548,基本資料!$A:$J,6,0),"無")</f>
        <v>-25</v>
      </c>
      <c r="E548" s="79">
        <f>IFERROR(VLOOKUP($G548,基本資料!$A:$J,7,0),"無")</f>
        <v>-29</v>
      </c>
      <c r="F548" s="6">
        <f>IFERROR(VLOOKUP($G548,基本資料!$A:$J,8,0),"無")</f>
        <v>20.2</v>
      </c>
      <c r="G548" s="79">
        <v>2451</v>
      </c>
      <c r="H548" s="17" t="s">
        <v>3038</v>
      </c>
      <c r="I548" s="22" t="s">
        <v>32</v>
      </c>
      <c r="J548" s="8">
        <f>IFERROR(VLOOKUP($G548,今日總結!$A:$AN,39,0),"")</f>
        <v>0</v>
      </c>
      <c r="K548" s="5" t="str">
        <f>IFERROR(VLOOKUP($G548,今日總結!$A:$AN,40,0),"")</f>
        <v>主外</v>
      </c>
      <c r="L548" s="156">
        <f>IFERROR(VLOOKUP($G548,今日總結!$A:$AN,37,0),"")</f>
        <v>0</v>
      </c>
      <c r="M548" s="337">
        <f>IFERROR(VLOOKUP($G548,今日總結!$A:$AN,38,0),"")</f>
        <v>6</v>
      </c>
      <c r="N548" s="240">
        <f t="shared" si="115"/>
        <v>-6</v>
      </c>
      <c r="O548" s="359">
        <f>IFERROR(VLOOKUP($G548,融外自投!$A:$J,7,0),"無")</f>
        <v>1112</v>
      </c>
      <c r="P548" s="79">
        <f>IFERROR(VLOOKUP($G548,融外自投!$A:$J,9,0),"無")</f>
        <v>28</v>
      </c>
      <c r="Q548" s="342">
        <f>IFERROR(VLOOKUP($G548,融外自投!$A:$J,8,0),"無")</f>
        <v>534</v>
      </c>
      <c r="R548" s="81">
        <f>IFERROR(VLOOKUP($G548,融外自投!$A:$J,10,0),"無")</f>
        <v>283</v>
      </c>
      <c r="S548" s="324">
        <f>IFERROR(VLOOKUP($G548,'321買'!$A:$E,4,0),"'沒有資料'")</f>
        <v>696</v>
      </c>
      <c r="T548" s="186">
        <f>IFERROR(VLOOKUP($G548,基本資料!$A:$J,9,0),"無")</f>
        <v>6</v>
      </c>
      <c r="U548" s="307">
        <f t="shared" si="111"/>
        <v>8.5470085470085472E-2</v>
      </c>
      <c r="V548" s="94">
        <f>IFERROR(VLOOKUP($G548,基本資料!$A:$J,10,0),"無")</f>
        <v>5.9</v>
      </c>
      <c r="W548" s="36">
        <f>RTD("money.excel",,"2451","Price")</f>
        <v>70.2</v>
      </c>
      <c r="X548" s="66"/>
      <c r="Y548" s="15">
        <f t="shared" si="112"/>
        <v>70.2</v>
      </c>
      <c r="Z548" s="3" t="e">
        <f t="shared" si="113"/>
        <v>#DIV/0!</v>
      </c>
      <c r="AA548" s="340">
        <f>IFERROR(VLOOKUP($G548,基本資料!$A:$M,11,0),"無")</f>
        <v>-11.14</v>
      </c>
      <c r="AB548" s="389">
        <f>IFERROR(VLOOKUP($G548,基本資料!$A:$M,12,0),"無")</f>
        <v>19.329999999999998</v>
      </c>
      <c r="AC548" s="22" t="s">
        <v>32</v>
      </c>
      <c r="AF548" s="33">
        <f t="shared" si="114"/>
        <v>0</v>
      </c>
      <c r="AG548" s="117" t="s">
        <v>1413</v>
      </c>
      <c r="AH548" s="66">
        <f t="shared" si="109"/>
        <v>0.64022836170863495</v>
      </c>
      <c r="AI548" s="283">
        <f>RTD("money.excel",,$G548,"PredictVolume")</f>
        <v>314</v>
      </c>
      <c r="AJ548" s="391">
        <f>IFERROR(VLOOKUP($G548,基本資料!$A:$M,13,0),"無")</f>
        <v>490.45</v>
      </c>
      <c r="AR548" s="245" t="str">
        <f>INDEX(基本資料!N:N,MATCH($G548,基本資料!A:A,0))</f>
        <v>中</v>
      </c>
    </row>
    <row r="549" spans="1:44">
      <c r="A549" s="343">
        <f>IFERROR(VLOOKUP($G549,基本資料!$A:$J,3,0),"無")</f>
        <v>159</v>
      </c>
      <c r="B549" s="79">
        <f>IFERROR(VLOOKUP($G549,基本資料!$A:$J,4,0),"無")</f>
        <v>169</v>
      </c>
      <c r="C549" s="79">
        <f>IFERROR(VLOOKUP($G549,基本資料!$A:$J,5,0),"無")</f>
        <v>149</v>
      </c>
      <c r="D549" s="79">
        <f>IFERROR(VLOOKUP($G549,基本資料!$A:$J,6,0),"無")</f>
        <v>-11</v>
      </c>
      <c r="E549" s="79">
        <f>IFERROR(VLOOKUP($G549,基本資料!$A:$J,7,0),"無")</f>
        <v>43</v>
      </c>
      <c r="F549" s="6">
        <f>IFERROR(VLOOKUP($G549,基本資料!$A:$J,8,0),"無")</f>
        <v>21.9</v>
      </c>
      <c r="G549" s="79">
        <v>2454</v>
      </c>
      <c r="H549" s="8" t="s">
        <v>3038</v>
      </c>
      <c r="I549" s="22" t="s">
        <v>1838</v>
      </c>
      <c r="J549" s="8">
        <f>IFERROR(VLOOKUP($G549,今日總結!$A:$AN,39,0),"")</f>
        <v>0</v>
      </c>
      <c r="K549" s="5">
        <f>IFERROR(VLOOKUP($G549,今日總結!$A:$AN,40,0),"")</f>
        <v>0</v>
      </c>
      <c r="L549" s="156">
        <f>IFERROR(VLOOKUP($G549,今日總結!$A:$AN,37,0),"")</f>
        <v>0</v>
      </c>
      <c r="M549" s="337">
        <f>IFERROR(VLOOKUP($G549,今日總結!$A:$AN,38,0),"")</f>
        <v>0</v>
      </c>
      <c r="N549" s="240">
        <f t="shared" si="115"/>
        <v>0</v>
      </c>
      <c r="O549" s="359">
        <f>IFERROR(VLOOKUP($G549,融外自投!$A:$J,7,0),"無")</f>
        <v>1081</v>
      </c>
      <c r="P549" s="79">
        <f>IFERROR(VLOOKUP($G549,融外自投!$A:$J,9,0),"無")</f>
        <v>151</v>
      </c>
      <c r="Q549" s="342">
        <f>IFERROR(VLOOKUP($G549,融外自投!$A:$J,8,0),"無")</f>
        <v>41</v>
      </c>
      <c r="R549" s="81">
        <f>IFERROR(VLOOKUP($G549,融外自投!$A:$J,10,0),"無")</f>
        <v>112</v>
      </c>
      <c r="S549" s="324">
        <f>IFERROR(VLOOKUP($G549,'321買'!$A:$E,4,0),"'沒有資料'")</f>
        <v>565</v>
      </c>
      <c r="T549" s="186">
        <f>IFERROR(VLOOKUP($G549,基本資料!$A:$J,9,0),"無")</f>
        <v>73</v>
      </c>
      <c r="U549" s="307">
        <f t="shared" si="111"/>
        <v>8.8484848484848486E-2</v>
      </c>
      <c r="V549" s="94">
        <f>IFERROR(VLOOKUP($G549,基本資料!$A:$J,10,0),"無")</f>
        <v>70.56</v>
      </c>
      <c r="W549" s="366">
        <f>RTD("money.excel",,"2454","Price")</f>
        <v>825</v>
      </c>
      <c r="X549" s="66"/>
      <c r="Y549" s="137">
        <f t="shared" si="112"/>
        <v>825</v>
      </c>
      <c r="Z549" s="3" t="e">
        <f t="shared" si="113"/>
        <v>#DIV/0!</v>
      </c>
      <c r="AA549" s="340">
        <f>IFERROR(VLOOKUP($G549,基本資料!$A:$M,11,0),"無")</f>
        <v>-32.1</v>
      </c>
      <c r="AB549" s="389">
        <f>IFERROR(VLOOKUP($G549,基本資料!$A:$M,12,0),"無")</f>
        <v>15.15</v>
      </c>
      <c r="AC549" s="22" t="s">
        <v>1838</v>
      </c>
      <c r="AF549" s="33">
        <f t="shared" si="114"/>
        <v>0</v>
      </c>
      <c r="AG549" s="117" t="s">
        <v>1050</v>
      </c>
      <c r="AH549" s="66">
        <f t="shared" si="109"/>
        <v>0.80724661335074266</v>
      </c>
      <c r="AI549" s="283">
        <f>RTD("money.excel",,$G549,"PredictVolume")</f>
        <v>4946</v>
      </c>
      <c r="AJ549" s="391">
        <f>IFERROR(VLOOKUP($G549,基本資料!$A:$M,13,0),"無")</f>
        <v>6127</v>
      </c>
      <c r="AR549" s="245" t="str">
        <f>INDEX(基本資料!N:N,MATCH($G549,基本資料!A:A,0))</f>
        <v>低</v>
      </c>
    </row>
    <row r="550" spans="1:44">
      <c r="A550" s="343">
        <f>IFERROR(VLOOKUP($G550,基本資料!$A:$J,3,0),"無")</f>
        <v>30.38</v>
      </c>
      <c r="B550" s="79">
        <f>IFERROR(VLOOKUP($G550,基本資料!$A:$J,4,0),"無")</f>
        <v>57</v>
      </c>
      <c r="C550" s="79">
        <f>IFERROR(VLOOKUP($G550,基本資料!$A:$J,5,0),"無")</f>
        <v>34</v>
      </c>
      <c r="D550" s="79">
        <f>IFERROR(VLOOKUP($G550,基本資料!$A:$J,6,0),"無")</f>
        <v>-23</v>
      </c>
      <c r="E550" s="79">
        <f>IFERROR(VLOOKUP($G550,基本資料!$A:$J,7,0),"無")</f>
        <v>-26</v>
      </c>
      <c r="F550" s="6">
        <f>IFERROR(VLOOKUP($G550,基本資料!$A:$J,8,0),"無")</f>
        <v>30.91</v>
      </c>
      <c r="G550" s="79">
        <v>2458</v>
      </c>
      <c r="H550" s="8" t="s">
        <v>3038</v>
      </c>
      <c r="I550" s="22" t="s">
        <v>57</v>
      </c>
      <c r="J550" s="8" t="str">
        <f>IFERROR(VLOOKUP($G550,今日總結!$A:$AN,39,0),"")</f>
        <v>自</v>
      </c>
      <c r="K550" s="5">
        <f>IFERROR(VLOOKUP($G550,今日總結!$A:$AN,40,0),"")</f>
        <v>0</v>
      </c>
      <c r="L550" s="156">
        <f>IFERROR(VLOOKUP($G550,今日總結!$A:$AN,37,0),"")</f>
        <v>2</v>
      </c>
      <c r="M550" s="337">
        <f>IFERROR(VLOOKUP($G550,今日總結!$A:$AN,38,0),"")</f>
        <v>0</v>
      </c>
      <c r="N550" s="240">
        <f t="shared" si="115"/>
        <v>2</v>
      </c>
      <c r="O550" s="359">
        <f>IFERROR(VLOOKUP($G550,融外自投!$A:$J,7,0),"無")</f>
        <v>757</v>
      </c>
      <c r="P550" s="79">
        <f>IFERROR(VLOOKUP($G550,融外自投!$A:$J,9,0),"無")</f>
        <v>13</v>
      </c>
      <c r="Q550" s="342">
        <f>IFERROR(VLOOKUP($G550,融外自投!$A:$J,8,0),"無")</f>
        <v>264</v>
      </c>
      <c r="R550" s="81">
        <f>IFERROR(VLOOKUP($G550,融外自投!$A:$J,10,0),"無")</f>
        <v>29</v>
      </c>
      <c r="S550" s="324">
        <f>IFERROR(VLOOKUP($G550,'321買'!$A:$E,4,0),"'沒有資料'")</f>
        <v>366</v>
      </c>
      <c r="T550" s="186">
        <f>IFERROR(VLOOKUP($G550,基本資料!$A:$J,9,0),"無")</f>
        <v>13.5</v>
      </c>
      <c r="U550" s="307">
        <f t="shared" si="111"/>
        <v>9.5070422535211266E-2</v>
      </c>
      <c r="V550" s="94">
        <f>IFERROR(VLOOKUP($G550,基本資料!$A:$J,10,0),"無")</f>
        <v>17.64</v>
      </c>
      <c r="W550" s="36">
        <f>RTD("money.excel",,"2458","Price")</f>
        <v>142</v>
      </c>
      <c r="X550" s="66"/>
      <c r="Y550" s="15">
        <f t="shared" si="112"/>
        <v>142</v>
      </c>
      <c r="Z550" s="3" t="e">
        <f t="shared" si="113"/>
        <v>#DIV/0!</v>
      </c>
      <c r="AA550" s="340">
        <f>IFERROR(VLOOKUP($G550,基本資料!$A:$M,11,0),"無")</f>
        <v>-33.64</v>
      </c>
      <c r="AB550" s="389">
        <f>IFERROR(VLOOKUP($G550,基本資料!$A:$M,12,0),"無")</f>
        <v>17.64</v>
      </c>
      <c r="AC550" s="22" t="s">
        <v>57</v>
      </c>
      <c r="AF550" s="33">
        <f t="shared" si="114"/>
        <v>0</v>
      </c>
      <c r="AG550" s="117" t="s">
        <v>2343</v>
      </c>
      <c r="AH550" s="66">
        <f t="shared" si="109"/>
        <v>0.51264793314263279</v>
      </c>
      <c r="AI550" s="283">
        <f>RTD("money.excel",,$G550,"PredictVolume")</f>
        <v>914</v>
      </c>
      <c r="AJ550" s="391">
        <f>IFERROR(VLOOKUP($G550,基本資料!$A:$M,13,0),"無")</f>
        <v>1782.9</v>
      </c>
      <c r="AR550" s="245" t="str">
        <f>INDEX(基本資料!N:N,MATCH($G550,基本資料!A:A,0))</f>
        <v>低</v>
      </c>
    </row>
    <row r="551" spans="1:44">
      <c r="A551" s="343">
        <f>IFERROR(VLOOKUP($G551,基本資料!$A:$J,3,0),"無")</f>
        <v>38.28</v>
      </c>
      <c r="B551" s="79">
        <f>IFERROR(VLOOKUP($G551,基本資料!$A:$J,4,0),"無")</f>
        <v>119</v>
      </c>
      <c r="C551" s="79">
        <f>IFERROR(VLOOKUP($G551,基本資料!$A:$J,5,0),"無")</f>
        <v>130</v>
      </c>
      <c r="D551" s="79">
        <f>IFERROR(VLOOKUP($G551,基本資料!$A:$J,6,0),"無")</f>
        <v>-12</v>
      </c>
      <c r="E551" s="79">
        <f>IFERROR(VLOOKUP($G551,基本資料!$A:$J,7,0),"無")</f>
        <v>-1</v>
      </c>
      <c r="F551" s="6">
        <f>IFERROR(VLOOKUP($G551,基本資料!$A:$J,8,0),"無")</f>
        <v>16.52</v>
      </c>
      <c r="G551" s="79">
        <v>2481</v>
      </c>
      <c r="H551" s="8" t="s">
        <v>307</v>
      </c>
      <c r="I551" s="22" t="s">
        <v>183</v>
      </c>
      <c r="J551" s="8">
        <f>IFERROR(VLOOKUP($G551,今日總結!$A:$AN,39,0),"")</f>
        <v>6</v>
      </c>
      <c r="K551" s="5">
        <f>IFERROR(VLOOKUP($G551,今日總結!$A:$AN,40,0),"")</f>
        <v>0</v>
      </c>
      <c r="L551" s="156">
        <f>IFERROR(VLOOKUP($G551,今日總結!$A:$AN,37,0),"")</f>
        <v>1</v>
      </c>
      <c r="M551" s="337">
        <f>IFERROR(VLOOKUP($G551,今日總結!$A:$AN,38,0),"")</f>
        <v>0</v>
      </c>
      <c r="N551" s="240">
        <f t="shared" si="115"/>
        <v>1</v>
      </c>
      <c r="O551" s="359">
        <f>IFERROR(VLOOKUP($G551,融外自投!$A:$J,7,0),"無")</f>
        <v>139</v>
      </c>
      <c r="P551" s="79">
        <f>IFERROR(VLOOKUP($G551,融外自投!$A:$J,9,0),"無")</f>
        <v>319</v>
      </c>
      <c r="Q551" s="342">
        <f>IFERROR(VLOOKUP($G551,融外自投!$A:$J,8,0),"無")</f>
        <v>429</v>
      </c>
      <c r="R551" s="81">
        <f>IFERROR(VLOOKUP($G551,融外自投!$A:$J,10,0),"無")</f>
        <v>161</v>
      </c>
      <c r="S551" s="324">
        <f>IFERROR(VLOOKUP($G551,'321買'!$A:$E,4,0),"'沒有資料'")</f>
        <v>21</v>
      </c>
      <c r="T551" s="186">
        <f>IFERROR(VLOOKUP($G551,基本資料!$A:$J,9,0),"無")</f>
        <v>3</v>
      </c>
      <c r="U551" s="307">
        <f t="shared" si="111"/>
        <v>3.8265306122448974E-2</v>
      </c>
      <c r="V551" s="94">
        <f>IFERROR(VLOOKUP($G551,基本資料!$A:$J,10,0),"無")</f>
        <v>5.66</v>
      </c>
      <c r="W551" s="36">
        <f>RTD("money.excel",,"2481","Price")</f>
        <v>78.400000000000006</v>
      </c>
      <c r="X551" s="66"/>
      <c r="Y551" s="15">
        <f t="shared" si="112"/>
        <v>78.400000000000006</v>
      </c>
      <c r="Z551" s="3" t="e">
        <f t="shared" si="113"/>
        <v>#DIV/0!</v>
      </c>
      <c r="AA551" s="340">
        <f>IFERROR(VLOOKUP($G551,基本資料!$A:$M,11,0),"無")</f>
        <v>-37.28</v>
      </c>
      <c r="AB551" s="389">
        <f>IFERROR(VLOOKUP($G551,基本資料!$A:$M,12,0),"無")</f>
        <v>19.05</v>
      </c>
      <c r="AC551" s="22" t="s">
        <v>183</v>
      </c>
      <c r="AF551" s="33">
        <f t="shared" si="114"/>
        <v>0</v>
      </c>
      <c r="AG551" s="119" t="s">
        <v>2184</v>
      </c>
      <c r="AH551" s="66">
        <f t="shared" si="109"/>
        <v>1.288468199621646</v>
      </c>
      <c r="AI551" s="283">
        <f>RTD("money.excel",,$G551,"PredictVolume")</f>
        <v>19343</v>
      </c>
      <c r="AJ551" s="391">
        <f>IFERROR(VLOOKUP($G551,基本資料!$A:$M,13,0),"無")</f>
        <v>15012.4</v>
      </c>
      <c r="AR551" s="245" t="str">
        <f>INDEX(基本資料!N:N,MATCH($G551,基本資料!A:A,0))</f>
        <v>低</v>
      </c>
    </row>
    <row r="552" spans="1:44">
      <c r="A552" s="343">
        <f>IFERROR(VLOOKUP($G552,基本資料!$A:$J,3,0),"無")</f>
        <v>28.61</v>
      </c>
      <c r="B552" s="79">
        <f>IFERROR(VLOOKUP($G552,基本資料!$A:$J,4,0),"無")</f>
        <v>364</v>
      </c>
      <c r="C552" s="79">
        <f>IFERROR(VLOOKUP($G552,基本資料!$A:$J,5,0),"無")</f>
        <v>408</v>
      </c>
      <c r="D552" s="79">
        <f>IFERROR(VLOOKUP($G552,基本資料!$A:$J,6,0),"無")</f>
        <v>-4</v>
      </c>
      <c r="E552" s="79">
        <f>IFERROR(VLOOKUP($G552,基本資料!$A:$J,7,0),"無")</f>
        <v>-13</v>
      </c>
      <c r="F552" s="6">
        <f>IFERROR(VLOOKUP($G552,基本資料!$A:$J,8,0),"無")</f>
        <v>24.64</v>
      </c>
      <c r="G552" s="79">
        <v>3006</v>
      </c>
      <c r="H552" s="8" t="s">
        <v>3038</v>
      </c>
      <c r="I552" s="22" t="s">
        <v>95</v>
      </c>
      <c r="J552" s="8" t="str">
        <f>IFERROR(VLOOKUP($G552,今日總結!$A:$AN,39,0),"")</f>
        <v>券</v>
      </c>
      <c r="K552" s="5">
        <f>IFERROR(VLOOKUP($G552,今日總結!$A:$AN,40,0),"")</f>
        <v>0</v>
      </c>
      <c r="L552" s="156">
        <f>IFERROR(VLOOKUP($G552,今日總結!$A:$AN,37,0),"")</f>
        <v>1</v>
      </c>
      <c r="M552" s="337">
        <f>IFERROR(VLOOKUP($G552,今日總結!$A:$AN,38,0),"")</f>
        <v>0</v>
      </c>
      <c r="N552" s="240">
        <f t="shared" si="115"/>
        <v>1</v>
      </c>
      <c r="O552" s="359">
        <f>IFERROR(VLOOKUP($G552,融外自投!$A:$J,7,0),"無")</f>
        <v>26</v>
      </c>
      <c r="P552" s="79">
        <f>IFERROR(VLOOKUP($G552,融外自投!$A:$J,9,0),"無")</f>
        <v>825</v>
      </c>
      <c r="Q552" s="342">
        <f>IFERROR(VLOOKUP($G552,融外自投!$A:$J,8,0),"無")</f>
        <v>369</v>
      </c>
      <c r="R552" s="81">
        <f>IFERROR(VLOOKUP($G552,融外自投!$A:$J,10,0),"無")</f>
        <v>188</v>
      </c>
      <c r="S552" s="324">
        <f>IFERROR(VLOOKUP($G552,'321買'!$A:$E,4,0),"'沒有資料'")</f>
        <v>15</v>
      </c>
      <c r="T552" s="186">
        <f>IFERROR(VLOOKUP($G552,基本資料!$A:$J,9,0),"無")</f>
        <v>8</v>
      </c>
      <c r="U552" s="307">
        <f t="shared" si="111"/>
        <v>6.8376068376068383E-2</v>
      </c>
      <c r="V552" s="94">
        <f>IFERROR(VLOOKUP($G552,基本資料!$A:$J,10,0),"無")</f>
        <v>17.760000000000002</v>
      </c>
      <c r="W552" s="36">
        <f>RTD("money.excel",,"3006","Price")</f>
        <v>117</v>
      </c>
      <c r="X552" s="66"/>
      <c r="Y552" s="15">
        <f t="shared" si="112"/>
        <v>117</v>
      </c>
      <c r="Z552" s="3" t="e">
        <f t="shared" si="113"/>
        <v>#DIV/0!</v>
      </c>
      <c r="AA552" s="340">
        <f>IFERROR(VLOOKUP($G552,基本資料!$A:$M,11,0),"無")</f>
        <v>-45.07</v>
      </c>
      <c r="AB552" s="389">
        <f>IFERROR(VLOOKUP($G552,基本資料!$A:$M,12,0),"無")</f>
        <v>14.34</v>
      </c>
      <c r="AC552" s="22" t="s">
        <v>95</v>
      </c>
      <c r="AF552" s="33">
        <f t="shared" si="114"/>
        <v>0</v>
      </c>
      <c r="AG552" s="117" t="s">
        <v>2128</v>
      </c>
      <c r="AH552" s="66">
        <f t="shared" si="109"/>
        <v>0.55565211124911507</v>
      </c>
      <c r="AI552" s="283">
        <f>RTD("money.excel",,$G552,"PredictVolume")</f>
        <v>6554</v>
      </c>
      <c r="AJ552" s="391">
        <f>IFERROR(VLOOKUP($G552,基本資料!$A:$M,13,0),"無")</f>
        <v>11795.15</v>
      </c>
      <c r="AR552" s="245" t="str">
        <f>INDEX(基本資料!N:N,MATCH($G552,基本資料!A:A,0))</f>
        <v>低</v>
      </c>
    </row>
    <row r="553" spans="1:44">
      <c r="A553" s="343">
        <f>IFERROR(VLOOKUP($G553,基本資料!$A:$J,3,0),"無")</f>
        <v>16.100000000000001</v>
      </c>
      <c r="B553" s="79">
        <f>IFERROR(VLOOKUP($G553,基本資料!$A:$J,4,0),"無")</f>
        <v>93</v>
      </c>
      <c r="C553" s="79">
        <f>IFERROR(VLOOKUP($G553,基本資料!$A:$J,5,0),"無")</f>
        <v>88</v>
      </c>
      <c r="D553" s="79">
        <f>IFERROR(VLOOKUP($G553,基本資料!$A:$J,6,0),"無")</f>
        <v>-6</v>
      </c>
      <c r="E553" s="79">
        <f>IFERROR(VLOOKUP($G553,基本資料!$A:$J,7,0),"無")</f>
        <v>-10</v>
      </c>
      <c r="F553" s="6">
        <f>IFERROR(VLOOKUP($G553,基本資料!$A:$J,8,0),"無")</f>
        <v>29.18</v>
      </c>
      <c r="G553" s="79">
        <v>3014</v>
      </c>
      <c r="H553" s="8" t="s">
        <v>3038</v>
      </c>
      <c r="I553" s="22" t="s">
        <v>97</v>
      </c>
      <c r="J553" s="8" t="str">
        <f>IFERROR(VLOOKUP($G553,今日總結!$A:$AN,39,0),"")</f>
        <v>借</v>
      </c>
      <c r="K553" s="5">
        <f>IFERROR(VLOOKUP($G553,今日總結!$A:$AN,40,0),"")</f>
        <v>0</v>
      </c>
      <c r="L553" s="156">
        <f>IFERROR(VLOOKUP($G553,今日總結!$A:$AN,37,0),"")</f>
        <v>3</v>
      </c>
      <c r="M553" s="337">
        <f>IFERROR(VLOOKUP($G553,今日總結!$A:$AN,38,0),"")</f>
        <v>0</v>
      </c>
      <c r="N553" s="240">
        <f t="shared" si="115"/>
        <v>3</v>
      </c>
      <c r="O553" s="359">
        <f>IFERROR(VLOOKUP($G553,融外自投!$A:$J,7,0),"無")</f>
        <v>556</v>
      </c>
      <c r="P553" s="79">
        <f>IFERROR(VLOOKUP($G553,融外自投!$A:$J,9,0),"無")</f>
        <v>615</v>
      </c>
      <c r="Q553" s="342">
        <f>IFERROR(VLOOKUP($G553,融外自投!$A:$J,8,0),"無")</f>
        <v>547</v>
      </c>
      <c r="R553" s="81">
        <f>IFERROR(VLOOKUP($G553,融外自投!$A:$J,10,0),"無")</f>
        <v>348</v>
      </c>
      <c r="S553" s="324">
        <f>IFERROR(VLOOKUP($G553,'321買'!$A:$E,4,0),"'沒有資料'")</f>
        <v>223</v>
      </c>
      <c r="T553" s="186">
        <f>IFERROR(VLOOKUP($G553,基本資料!$A:$J,9,0),"無")</f>
        <v>9</v>
      </c>
      <c r="U553" s="307">
        <f t="shared" si="111"/>
        <v>9.4836670179135926E-2</v>
      </c>
      <c r="V553" s="94">
        <f>IFERROR(VLOOKUP($G553,基本資料!$A:$J,10,0),"無")</f>
        <v>11.21</v>
      </c>
      <c r="W553" s="36">
        <f>RTD("money.excel",,"3014","Price")</f>
        <v>94.9</v>
      </c>
      <c r="X553" s="66"/>
      <c r="Y553" s="15">
        <f t="shared" si="112"/>
        <v>94.9</v>
      </c>
      <c r="Z553" s="3" t="e">
        <f t="shared" si="113"/>
        <v>#DIV/0!</v>
      </c>
      <c r="AA553" s="340">
        <f>IFERROR(VLOOKUP($G553,基本資料!$A:$M,11,0),"無")</f>
        <v>-33.869999999999997</v>
      </c>
      <c r="AB553" s="389">
        <f>IFERROR(VLOOKUP($G553,基本資料!$A:$M,12,0),"無")</f>
        <v>15.42</v>
      </c>
      <c r="AC553" s="22" t="s">
        <v>97</v>
      </c>
      <c r="AF553" s="33">
        <f t="shared" si="114"/>
        <v>0</v>
      </c>
      <c r="AG553" s="117" t="s">
        <v>1437</v>
      </c>
      <c r="AH553" s="66">
        <f t="shared" si="109"/>
        <v>0.52206641170400048</v>
      </c>
      <c r="AI553" s="283">
        <f>RTD("money.excel",,$G553,"PredictVolume")</f>
        <v>430</v>
      </c>
      <c r="AJ553" s="391">
        <f>IFERROR(VLOOKUP($G553,基本資料!$A:$M,13,0),"無")</f>
        <v>823.65</v>
      </c>
      <c r="AR553" s="245" t="str">
        <f>INDEX(基本資料!N:N,MATCH($G553,基本資料!A:A,0))</f>
        <v>低</v>
      </c>
    </row>
    <row r="554" spans="1:44">
      <c r="A554" s="343">
        <f>IFERROR(VLOOKUP($G554,基本資料!$A:$J,3,0),"無")</f>
        <v>28.8</v>
      </c>
      <c r="B554" s="79">
        <f>IFERROR(VLOOKUP($G554,基本資料!$A:$J,4,0),"無")</f>
        <v>1381</v>
      </c>
      <c r="C554" s="79">
        <f>IFERROR(VLOOKUP($G554,基本資料!$A:$J,5,0),"無")</f>
        <v>3939</v>
      </c>
      <c r="D554" s="79">
        <f>IFERROR(VLOOKUP($G554,基本資料!$A:$J,6,0),"無")</f>
        <v>0</v>
      </c>
      <c r="E554" s="79">
        <f>IFERROR(VLOOKUP($G554,基本資料!$A:$J,7,0),"無")</f>
        <v>28</v>
      </c>
      <c r="F554" s="6">
        <f>IFERROR(VLOOKUP($G554,基本資料!$A:$J,8,0),"無")</f>
        <v>9.1999999999999993</v>
      </c>
      <c r="G554" s="79">
        <v>3016</v>
      </c>
      <c r="H554" s="195" t="s">
        <v>3038</v>
      </c>
      <c r="I554" s="23" t="s">
        <v>246</v>
      </c>
      <c r="J554" s="8">
        <f>IFERROR(VLOOKUP($G554,今日總結!$A:$AN,39,0),"")</f>
        <v>0</v>
      </c>
      <c r="K554" s="5">
        <f>IFERROR(VLOOKUP($G554,今日總結!$A:$AN,40,0),"")</f>
        <v>0</v>
      </c>
      <c r="L554" s="156">
        <f>IFERROR(VLOOKUP($G554,今日總結!$A:$AN,37,0),"")</f>
        <v>0</v>
      </c>
      <c r="M554" s="337">
        <f>IFERROR(VLOOKUP($G554,今日總結!$A:$AN,38,0),"")</f>
        <v>0</v>
      </c>
      <c r="N554" s="240">
        <f t="shared" si="115"/>
        <v>0</v>
      </c>
      <c r="O554" s="359">
        <f>IFERROR(VLOOKUP($G554,融外自投!$A:$J,7,0),"無")</f>
        <v>442</v>
      </c>
      <c r="P554" s="79">
        <f>IFERROR(VLOOKUP($G554,融外自投!$A:$J,9,0),"無")</f>
        <v>671</v>
      </c>
      <c r="Q554" s="342">
        <f>IFERROR(VLOOKUP($G554,融外自投!$A:$J,8,0),"無")</f>
        <v>854</v>
      </c>
      <c r="R554" s="81">
        <f>IFERROR(VLOOKUP($G554,融外自投!$A:$J,10,0),"無")</f>
        <v>476</v>
      </c>
      <c r="S554" s="324">
        <f>IFERROR(VLOOKUP($G554,'321買'!$A:$E,4,0),"'沒有資料'")</f>
        <v>214</v>
      </c>
      <c r="T554" s="186">
        <f>IFERROR(VLOOKUP($G554,基本資料!$A:$J,9,0),"無")</f>
        <v>1.2</v>
      </c>
      <c r="U554" s="307">
        <f t="shared" si="111"/>
        <v>1.2486992715920915E-2</v>
      </c>
      <c r="V554" s="94">
        <f>IFERROR(VLOOKUP($G554,基本資料!$A:$J,10,0),"無")</f>
        <v>1.35</v>
      </c>
      <c r="W554" s="36">
        <f>RTD("money.excel",,"3016","Price")</f>
        <v>96.1</v>
      </c>
      <c r="X554" s="66"/>
      <c r="Y554" s="15">
        <f t="shared" si="112"/>
        <v>96.1</v>
      </c>
      <c r="Z554" s="3" t="e">
        <f t="shared" si="113"/>
        <v>#DIV/0!</v>
      </c>
      <c r="AA554" s="340">
        <f>IFERROR(VLOOKUP($G554,基本資料!$A:$M,11,0),"無")</f>
        <v>-37.799999999999997</v>
      </c>
      <c r="AB554" s="389">
        <f>IFERROR(VLOOKUP($G554,基本資料!$A:$M,12,0),"無")</f>
        <v>19.13</v>
      </c>
      <c r="AC554" s="23" t="s">
        <v>246</v>
      </c>
      <c r="AF554" s="33">
        <f t="shared" si="114"/>
        <v>0</v>
      </c>
      <c r="AG554" s="119" t="s">
        <v>2309</v>
      </c>
      <c r="AH554" s="66">
        <f t="shared" si="109"/>
        <v>1.9548693182784362</v>
      </c>
      <c r="AI554" s="283">
        <f>RTD("money.excel",,$G554,"PredictVolume")</f>
        <v>5748</v>
      </c>
      <c r="AJ554" s="391">
        <f>IFERROR(VLOOKUP($G554,基本資料!$A:$M,13,0),"無")</f>
        <v>2940.35</v>
      </c>
      <c r="AR554" s="245" t="str">
        <f>INDEX(基本資料!N:N,MATCH($G554,基本資料!A:A,0))</f>
        <v>低</v>
      </c>
    </row>
    <row r="555" spans="1:44">
      <c r="A555" s="343">
        <f>IFERROR(VLOOKUP($G555,基本資料!$A:$J,3,0),"無")</f>
        <v>60.85</v>
      </c>
      <c r="B555" s="79">
        <f>IFERROR(VLOOKUP($G555,基本資料!$A:$J,4,0),"無")</f>
        <v>228</v>
      </c>
      <c r="C555" s="79">
        <f>IFERROR(VLOOKUP($G555,基本資料!$A:$J,5,0),"無")</f>
        <v>223</v>
      </c>
      <c r="D555" s="79">
        <f>IFERROR(VLOOKUP($G555,基本資料!$A:$J,6,0),"無")</f>
        <v>-1</v>
      </c>
      <c r="E555" s="79">
        <f>IFERROR(VLOOKUP($G555,基本資料!$A:$J,7,0),"無")</f>
        <v>11</v>
      </c>
      <c r="F555" s="6">
        <f>IFERROR(VLOOKUP($G555,基本資料!$A:$J,8,0),"無")</f>
        <v>35.29</v>
      </c>
      <c r="G555" s="79">
        <v>3034</v>
      </c>
      <c r="H555" s="8" t="s">
        <v>3038</v>
      </c>
      <c r="I555" s="22" t="s">
        <v>4040</v>
      </c>
      <c r="J555" s="8" t="str">
        <f>IFERROR(VLOOKUP($G555,今日總結!$A:$AN,39,0),"")</f>
        <v>自</v>
      </c>
      <c r="K555" s="5">
        <f>IFERROR(VLOOKUP($G555,今日總結!$A:$AN,40,0),"")</f>
        <v>0</v>
      </c>
      <c r="L555" s="156">
        <f>IFERROR(VLOOKUP($G555,今日總結!$A:$AN,37,0),"")</f>
        <v>2</v>
      </c>
      <c r="M555" s="337">
        <f>IFERROR(VLOOKUP($G555,今日總結!$A:$AN,38,0),"")</f>
        <v>0</v>
      </c>
      <c r="N555" s="240">
        <f t="shared" si="115"/>
        <v>2</v>
      </c>
      <c r="O555" s="359">
        <f>IFERROR(VLOOKUP($G555,融外自投!$A:$J,7,0),"無")</f>
        <v>750</v>
      </c>
      <c r="P555" s="79">
        <f>IFERROR(VLOOKUP($G555,融外自投!$A:$J,9,0),"無")</f>
        <v>74</v>
      </c>
      <c r="Q555" s="342">
        <f>IFERROR(VLOOKUP($G555,融外自投!$A:$J,8,0),"無")</f>
        <v>82</v>
      </c>
      <c r="R555" s="81">
        <f>IFERROR(VLOOKUP($G555,融外自投!$A:$J,10,0),"無")</f>
        <v>50</v>
      </c>
      <c r="S555" s="324">
        <f>IFERROR(VLOOKUP($G555,'321買'!$A:$E,4,0),"'沒有資料'")</f>
        <v>223</v>
      </c>
      <c r="T555" s="186">
        <f>IFERROR(VLOOKUP($G555,基本資料!$A:$J,9,0),"無")</f>
        <v>51.5</v>
      </c>
      <c r="U555" s="307">
        <f t="shared" si="111"/>
        <v>0.13154533844189017</v>
      </c>
      <c r="V555" s="94">
        <f>IFERROR(VLOOKUP($G555,基本資料!$A:$J,10,0),"無")</f>
        <v>63.87</v>
      </c>
      <c r="W555" s="36">
        <f>RTD("money.excel",,"3034","Price")</f>
        <v>391.5</v>
      </c>
      <c r="X555" s="66"/>
      <c r="Y555" s="15">
        <f t="shared" si="112"/>
        <v>391.5</v>
      </c>
      <c r="Z555" s="3" t="e">
        <f t="shared" si="113"/>
        <v>#DIV/0!</v>
      </c>
      <c r="AA555" s="340">
        <f>IFERROR(VLOOKUP($G555,基本資料!$A:$M,11,0),"無")</f>
        <v>-32.729999999999997</v>
      </c>
      <c r="AB555" s="389">
        <f>IFERROR(VLOOKUP($G555,基本資料!$A:$M,12,0),"無")</f>
        <v>31.92</v>
      </c>
      <c r="AC555" s="22" t="s">
        <v>4040</v>
      </c>
      <c r="AF555" s="33">
        <f t="shared" si="114"/>
        <v>0</v>
      </c>
      <c r="AG555" s="117" t="s">
        <v>2559</v>
      </c>
      <c r="AH555" s="66">
        <f t="shared" si="109"/>
        <v>0.96542413826792084</v>
      </c>
      <c r="AI555" s="283">
        <f>RTD("money.excel",,$G555,"PredictVolume")</f>
        <v>5435</v>
      </c>
      <c r="AJ555" s="391">
        <f>IFERROR(VLOOKUP($G555,基本資料!$A:$M,13,0),"無")</f>
        <v>5629.65</v>
      </c>
      <c r="AR555" s="245" t="str">
        <f>INDEX(基本資料!N:N,MATCH($G555,基本資料!A:A,0))</f>
        <v>低</v>
      </c>
    </row>
    <row r="556" spans="1:44">
      <c r="A556" s="343">
        <f>IFERROR(VLOOKUP($G556,基本資料!$A:$J,3,0),"無")</f>
        <v>24.85</v>
      </c>
      <c r="B556" s="79">
        <f>IFERROR(VLOOKUP($G556,基本資料!$A:$J,4,0),"無")</f>
        <v>403</v>
      </c>
      <c r="C556" s="79">
        <f>IFERROR(VLOOKUP($G556,基本資料!$A:$J,5,0),"無")</f>
        <v>840</v>
      </c>
      <c r="D556" s="79">
        <f>IFERROR(VLOOKUP($G556,基本資料!$A:$J,6,0),"無")</f>
        <v>1</v>
      </c>
      <c r="E556" s="79">
        <f>IFERROR(VLOOKUP($G556,基本資料!$A:$J,7,0),"無")</f>
        <v>100</v>
      </c>
      <c r="F556" s="6">
        <f>IFERROR(VLOOKUP($G556,基本資料!$A:$J,8,0),"無")</f>
        <v>17.34</v>
      </c>
      <c r="G556" s="79">
        <v>3035</v>
      </c>
      <c r="H556" s="8" t="s">
        <v>307</v>
      </c>
      <c r="I556" s="22" t="s">
        <v>1825</v>
      </c>
      <c r="J556" s="8">
        <f>IFERROR(VLOOKUP($G556,今日總結!$A:$AN,39,0),"")</f>
        <v>0</v>
      </c>
      <c r="K556" s="5">
        <f>IFERROR(VLOOKUP($G556,今日總結!$A:$AN,40,0),"")</f>
        <v>24</v>
      </c>
      <c r="L556" s="156">
        <f>IFERROR(VLOOKUP($G556,今日總結!$A:$AN,37,0),"")</f>
        <v>0</v>
      </c>
      <c r="M556" s="337">
        <f>IFERROR(VLOOKUP($G556,今日總結!$A:$AN,38,0),"")</f>
        <v>2</v>
      </c>
      <c r="N556" s="240">
        <f t="shared" si="115"/>
        <v>-2</v>
      </c>
      <c r="O556" s="359">
        <f>IFERROR(VLOOKUP($G556,融外自投!$A:$J,7,0),"無")</f>
        <v>290</v>
      </c>
      <c r="P556" s="79">
        <f>IFERROR(VLOOKUP($G556,融外自投!$A:$J,9,0),"無")</f>
        <v>79</v>
      </c>
      <c r="Q556" s="342">
        <f>IFERROR(VLOOKUP($G556,融外自投!$A:$J,8,0),"無")</f>
        <v>188</v>
      </c>
      <c r="R556" s="81">
        <f>IFERROR(VLOOKUP($G556,融外自投!$A:$J,10,0),"無")</f>
        <v>2</v>
      </c>
      <c r="S556" s="324">
        <f>IFERROR(VLOOKUP($G556,'321買'!$A:$E,4,0),"'沒有資料'")</f>
        <v>4</v>
      </c>
      <c r="T556" s="186">
        <f>IFERROR(VLOOKUP($G556,基本資料!$A:$J,9,0),"無")</f>
        <v>3.3</v>
      </c>
      <c r="U556" s="307">
        <f t="shared" si="111"/>
        <v>1.3069306930693069E-2</v>
      </c>
      <c r="V556" s="94">
        <f>IFERROR(VLOOKUP($G556,基本資料!$A:$J,10,0),"無")</f>
        <v>4.6500000000000004</v>
      </c>
      <c r="W556" s="36">
        <f>RTD("money.excel",,"3035","Price")</f>
        <v>252.5</v>
      </c>
      <c r="X556" s="66"/>
      <c r="Y556" s="15">
        <f t="shared" si="112"/>
        <v>252.5</v>
      </c>
      <c r="Z556" s="3" t="e">
        <f t="shared" si="113"/>
        <v>#DIV/0!</v>
      </c>
      <c r="AA556" s="340">
        <f>IFERROR(VLOOKUP($G556,基本資料!$A:$M,11,0),"無")</f>
        <v>-23.83</v>
      </c>
      <c r="AB556" s="389">
        <f>IFERROR(VLOOKUP($G556,基本資料!$A:$M,12,0),"無")</f>
        <v>34.06</v>
      </c>
      <c r="AC556" s="22" t="s">
        <v>1825</v>
      </c>
      <c r="AF556" s="33">
        <f t="shared" si="114"/>
        <v>0</v>
      </c>
      <c r="AG556" s="117" t="s">
        <v>2314</v>
      </c>
      <c r="AH556" s="66">
        <f t="shared" si="109"/>
        <v>1.1957382216444306</v>
      </c>
      <c r="AI556" s="283">
        <f>RTD("money.excel",,$G556,"PredictVolume")</f>
        <v>32928</v>
      </c>
      <c r="AJ556" s="391">
        <f>IFERROR(VLOOKUP($G556,基本資料!$A:$M,13,0),"無")</f>
        <v>27537.8</v>
      </c>
      <c r="AR556" s="245" t="str">
        <f>INDEX(基本資料!N:N,MATCH($G556,基本資料!A:A,0))</f>
        <v>高</v>
      </c>
    </row>
    <row r="557" spans="1:44">
      <c r="A557" s="343">
        <f>IFERROR(VLOOKUP($G557,基本資料!$A:$J,3,0),"無")</f>
        <v>19.34</v>
      </c>
      <c r="B557" s="79">
        <f>IFERROR(VLOOKUP($G557,基本資料!$A:$J,4,0),"無")</f>
        <v>62</v>
      </c>
      <c r="C557" s="79">
        <f>IFERROR(VLOOKUP($G557,基本資料!$A:$J,5,0),"無")</f>
        <v>73</v>
      </c>
      <c r="D557" s="79">
        <f>IFERROR(VLOOKUP($G557,基本資料!$A:$J,6,0),"無")</f>
        <v>-9</v>
      </c>
      <c r="E557" s="79">
        <f>IFERROR(VLOOKUP($G557,基本資料!$A:$J,7,0),"無")</f>
        <v>-1</v>
      </c>
      <c r="F557" s="6">
        <f>IFERROR(VLOOKUP($G557,基本資料!$A:$J,8,0),"無")</f>
        <v>-3.31</v>
      </c>
      <c r="G557" s="79">
        <v>3041</v>
      </c>
      <c r="H557" s="8" t="s">
        <v>3038</v>
      </c>
      <c r="I557" s="22" t="s">
        <v>4041</v>
      </c>
      <c r="J557" s="8">
        <f>IFERROR(VLOOKUP($G557,今日總結!$A:$AN,39,0),"")</f>
        <v>0</v>
      </c>
      <c r="K557" s="5">
        <f>IFERROR(VLOOKUP($G557,今日總結!$A:$AN,40,0),"")</f>
        <v>0</v>
      </c>
      <c r="L557" s="156">
        <f>IFERROR(VLOOKUP($G557,今日總結!$A:$AN,37,0),"")</f>
        <v>0</v>
      </c>
      <c r="M557" s="337">
        <f>IFERROR(VLOOKUP($G557,今日總結!$A:$AN,38,0),"")</f>
        <v>0</v>
      </c>
      <c r="N557" s="240">
        <f t="shared" si="115"/>
        <v>0</v>
      </c>
      <c r="O557" s="359">
        <f>IFERROR(VLOOKUP($G557,融外自投!$A:$J,7,0),"無")</f>
        <v>123</v>
      </c>
      <c r="P557" s="79">
        <f>IFERROR(VLOOKUP($G557,融外自投!$A:$J,9,0),"無")</f>
        <v>286</v>
      </c>
      <c r="Q557" s="342">
        <f>IFERROR(VLOOKUP($G557,融外自投!$A:$J,8,0),"無")</f>
        <v>417</v>
      </c>
      <c r="R557" s="81">
        <f>IFERROR(VLOOKUP($G557,融外自投!$A:$J,10,0),"無")</f>
        <v>495</v>
      </c>
      <c r="S557" s="324">
        <f>IFERROR(VLOOKUP($G557,'321買'!$A:$E,4,0),"'沒有資料'")</f>
        <v>65</v>
      </c>
      <c r="T557" s="186">
        <f>IFERROR(VLOOKUP($G557,基本資料!$A:$J,9,0),"無")</f>
        <v>0</v>
      </c>
      <c r="U557" s="307">
        <f t="shared" si="111"/>
        <v>0</v>
      </c>
      <c r="V557" s="94">
        <f>IFERROR(VLOOKUP($G557,基本資料!$A:$J,10,0),"無")</f>
        <v>-0.47</v>
      </c>
      <c r="W557" s="36">
        <f>RTD("money.excel",,"3041","Price")</f>
        <v>28.05</v>
      </c>
      <c r="X557" s="66"/>
      <c r="Y557" s="15">
        <f t="shared" si="112"/>
        <v>28.05</v>
      </c>
      <c r="Z557" s="3" t="e">
        <f t="shared" si="113"/>
        <v>#DIV/0!</v>
      </c>
      <c r="AA557" s="340">
        <f>IFERROR(VLOOKUP($G557,基本資料!$A:$M,11,0),"無")</f>
        <v>-36.68</v>
      </c>
      <c r="AB557" s="389">
        <f>IFERROR(VLOOKUP($G557,基本資料!$A:$M,12,0),"無")</f>
        <v>27.72</v>
      </c>
      <c r="AC557" s="22" t="s">
        <v>4041</v>
      </c>
      <c r="AF557" s="33">
        <f t="shared" si="114"/>
        <v>0</v>
      </c>
      <c r="AG557" s="43" t="s">
        <v>1457</v>
      </c>
      <c r="AH557" s="66">
        <f t="shared" si="109"/>
        <v>0.8189022600528324</v>
      </c>
      <c r="AI557" s="283">
        <f>RTD("money.excel",,$G557,"PredictVolume")</f>
        <v>1674</v>
      </c>
      <c r="AJ557" s="391">
        <f>IFERROR(VLOOKUP($G557,基本資料!$A:$M,13,0),"無")</f>
        <v>2044.2</v>
      </c>
      <c r="AR557" s="245" t="str">
        <f>INDEX(基本資料!N:N,MATCH($G557,基本資料!A:A,0))</f>
        <v>低</v>
      </c>
    </row>
    <row r="558" spans="1:44">
      <c r="A558" s="343">
        <f>IFERROR(VLOOKUP($G558,基本資料!$A:$J,3,0),"無")</f>
        <v>8.34</v>
      </c>
      <c r="B558" s="79">
        <f>IFERROR(VLOOKUP($G558,基本資料!$A:$J,4,0),"無")</f>
        <v>434</v>
      </c>
      <c r="C558" s="79">
        <f>IFERROR(VLOOKUP($G558,基本資料!$A:$J,5,0),"無")</f>
        <v>52</v>
      </c>
      <c r="D558" s="79">
        <f>IFERROR(VLOOKUP($G558,基本資料!$A:$J,6,0),"無")</f>
        <v>-30</v>
      </c>
      <c r="E558" s="79">
        <f>IFERROR(VLOOKUP($G558,基本資料!$A:$J,7,0),"無")</f>
        <v>-35</v>
      </c>
      <c r="F558" s="6">
        <f>IFERROR(VLOOKUP($G558,基本資料!$A:$J,8,0),"無")</f>
        <v>-101.73</v>
      </c>
      <c r="G558" s="79">
        <v>3054</v>
      </c>
      <c r="H558" s="8" t="s">
        <v>3038</v>
      </c>
      <c r="I558" s="22" t="s">
        <v>4042</v>
      </c>
      <c r="J558" s="8">
        <f>IFERROR(VLOOKUP($G558,今日總結!$A:$AN,39,0),"")</f>
        <v>0</v>
      </c>
      <c r="K558" s="5">
        <f>IFERROR(VLOOKUP($G558,今日總結!$A:$AN,40,0),"")</f>
        <v>0</v>
      </c>
      <c r="L558" s="156">
        <f>IFERROR(VLOOKUP($G558,今日總結!$A:$AN,37,0),"")</f>
        <v>0</v>
      </c>
      <c r="M558" s="337">
        <f>IFERROR(VLOOKUP($G558,今日總結!$A:$AN,38,0),"")</f>
        <v>0</v>
      </c>
      <c r="N558" s="240">
        <f t="shared" si="115"/>
        <v>0</v>
      </c>
      <c r="O558" s="359">
        <f>IFERROR(VLOOKUP($G558,融外自投!$A:$J,7,0),"無")</f>
        <v>749</v>
      </c>
      <c r="P558" s="79">
        <f>IFERROR(VLOOKUP($G558,融外自投!$A:$J,9,0),"無")</f>
        <v>696</v>
      </c>
      <c r="Q558" s="342">
        <f>IFERROR(VLOOKUP($G558,融外自投!$A:$J,8,0),"無")</f>
        <v>1325</v>
      </c>
      <c r="R558" s="81">
        <f>IFERROR(VLOOKUP($G558,融外自投!$A:$J,10,0),"無")</f>
        <v>476</v>
      </c>
      <c r="S558" s="324">
        <f>IFERROR(VLOOKUP($G558,'321買'!$A:$E,4,0),"'沒有資料'")</f>
        <v>891</v>
      </c>
      <c r="T558" s="186">
        <f>IFERROR(VLOOKUP($G558,基本資料!$A:$J,9,0),"無")</f>
        <v>0</v>
      </c>
      <c r="U558" s="307">
        <f t="shared" si="111"/>
        <v>0</v>
      </c>
      <c r="V558" s="94">
        <f>IFERROR(VLOOKUP($G558,基本資料!$A:$J,10,0),"無")</f>
        <v>0.55000000000000004</v>
      </c>
      <c r="W558" s="36">
        <f>RTD("money.excel",,"3054","Price")</f>
        <v>18.850000000000001</v>
      </c>
      <c r="X558" s="66"/>
      <c r="Y558" s="15">
        <f t="shared" si="112"/>
        <v>18.850000000000001</v>
      </c>
      <c r="Z558" s="3" t="e">
        <f t="shared" si="113"/>
        <v>#DIV/0!</v>
      </c>
      <c r="AA558" s="340">
        <f>IFERROR(VLOOKUP($G558,基本資料!$A:$M,11,0),"無")</f>
        <v>-46.14</v>
      </c>
      <c r="AB558" s="389">
        <f>IFERROR(VLOOKUP($G558,基本資料!$A:$M,12,0),"無")</f>
        <v>10.7</v>
      </c>
      <c r="AC558" s="22" t="s">
        <v>4042</v>
      </c>
      <c r="AF558" s="33">
        <f t="shared" si="114"/>
        <v>0</v>
      </c>
      <c r="AG558" s="43" t="s">
        <v>1413</v>
      </c>
      <c r="AH558" s="66">
        <f t="shared" si="109"/>
        <v>0.2</v>
      </c>
      <c r="AI558" s="283">
        <f>RTD("money.excel",,$G558,"PredictVolume")</f>
        <v>6</v>
      </c>
      <c r="AJ558" s="391">
        <f>IFERROR(VLOOKUP($G558,基本資料!$A:$M,13,0),"無")</f>
        <v>30</v>
      </c>
      <c r="AR558" s="245" t="str">
        <f>INDEX(基本資料!N:N,MATCH($G558,基本資料!A:A,0))</f>
        <v>低</v>
      </c>
    </row>
    <row r="559" spans="1:44">
      <c r="A559" s="343">
        <f>IFERROR(VLOOKUP($G559,基本資料!$A:$J,3,0),"無")</f>
        <v>2.7</v>
      </c>
      <c r="B559" s="79">
        <f>IFERROR(VLOOKUP($G559,基本資料!$A:$J,4,0),"無")</f>
        <v>-696</v>
      </c>
      <c r="C559" s="79">
        <f>IFERROR(VLOOKUP($G559,基本資料!$A:$J,5,0),"無")</f>
        <v>-1291</v>
      </c>
      <c r="D559" s="79">
        <f>IFERROR(VLOOKUP($G559,基本資料!$A:$J,6,0),"無")</f>
        <v>-21</v>
      </c>
      <c r="E559" s="79">
        <f>IFERROR(VLOOKUP($G559,基本資料!$A:$J,7,0),"無")</f>
        <v>-2</v>
      </c>
      <c r="F559" s="6">
        <f>IFERROR(VLOOKUP($G559,基本資料!$A:$J,8,0),"無")</f>
        <v>-41.15</v>
      </c>
      <c r="G559" s="79">
        <v>3073</v>
      </c>
      <c r="H559" s="145" t="s">
        <v>3038</v>
      </c>
      <c r="I559" s="16" t="s">
        <v>3158</v>
      </c>
      <c r="J559" s="8" t="str">
        <f>IFERROR(VLOOKUP($G559,今日總結!$A:$AN,39,0),"")</f>
        <v/>
      </c>
      <c r="K559" s="5" t="str">
        <f>IFERROR(VLOOKUP($G559,今日總結!$A:$AN,40,0),"")</f>
        <v/>
      </c>
      <c r="L559" s="156" t="str">
        <f>IFERROR(VLOOKUP($G559,今日總結!$A:$AN,37,0),"")</f>
        <v/>
      </c>
      <c r="M559" s="337" t="str">
        <f>IFERROR(VLOOKUP($G559,今日總結!$A:$AN,38,0),"")</f>
        <v/>
      </c>
      <c r="N559" s="240" t="str">
        <f t="shared" si="115"/>
        <v/>
      </c>
      <c r="O559" s="359" t="str">
        <f>IFERROR(VLOOKUP($G559,融外自投!$A:$J,7,0),"無")</f>
        <v>無</v>
      </c>
      <c r="P559" s="79" t="str">
        <f>IFERROR(VLOOKUP($G559,融外自投!$A:$J,9,0),"無")</f>
        <v>無</v>
      </c>
      <c r="Q559" s="342" t="str">
        <f>IFERROR(VLOOKUP($G559,融外自投!$A:$J,8,0),"無")</f>
        <v>無</v>
      </c>
      <c r="R559" s="81" t="str">
        <f>IFERROR(VLOOKUP($G559,融外自投!$A:$J,10,0),"無")</f>
        <v>無</v>
      </c>
      <c r="S559" s="324" t="str">
        <f>IFERROR(VLOOKUP($G559,'321買'!$A:$E,4,0),"'沒有資料'")</f>
        <v>'沒有資料'</v>
      </c>
      <c r="T559" s="186">
        <f>IFERROR(VLOOKUP($G559,基本資料!$A:$J,9,0),"無")</f>
        <v>0</v>
      </c>
      <c r="U559" s="307">
        <f t="shared" si="111"/>
        <v>0</v>
      </c>
      <c r="V559" s="94">
        <f>IFERROR(VLOOKUP($G559,基本資料!$A:$J,10,0),"無")</f>
        <v>-3.16</v>
      </c>
      <c r="W559" s="36">
        <f>RTD("money.excel",,"3073","Price")</f>
        <v>23</v>
      </c>
      <c r="X559" s="66"/>
      <c r="Y559" s="15">
        <f t="shared" si="112"/>
        <v>23</v>
      </c>
      <c r="Z559" s="3" t="e">
        <f t="shared" si="113"/>
        <v>#DIV/0!</v>
      </c>
      <c r="AA559" s="340">
        <f>IFERROR(VLOOKUP($G559,基本資料!$A:$M,11,0),"無")</f>
        <v>-25.81</v>
      </c>
      <c r="AB559" s="389">
        <f>IFERROR(VLOOKUP($G559,基本資料!$A:$M,12,0),"無")</f>
        <v>21.93</v>
      </c>
      <c r="AC559" s="16" t="s">
        <v>3158</v>
      </c>
      <c r="AF559" s="33">
        <f t="shared" si="114"/>
        <v>0</v>
      </c>
      <c r="AG559" s="43" t="s">
        <v>3159</v>
      </c>
      <c r="AH559" s="66">
        <f t="shared" si="109"/>
        <v>0.20725388601036268</v>
      </c>
      <c r="AI559" s="283">
        <f>RTD("money.excel",,$G559,"PredictVolume")</f>
        <v>2</v>
      </c>
      <c r="AJ559" s="391">
        <f>IFERROR(VLOOKUP($G559,基本資料!$A:$M,13,0),"無")</f>
        <v>9.65</v>
      </c>
      <c r="AR559" s="245" t="str">
        <f>INDEX(基本資料!N:N,MATCH($G559,基本資料!A:A,0))</f>
        <v>低</v>
      </c>
    </row>
    <row r="560" spans="1:44">
      <c r="A560" s="343">
        <f>IFERROR(VLOOKUP($G560,基本資料!$A:$J,3,0),"無")</f>
        <v>8.31</v>
      </c>
      <c r="B560" s="79">
        <f>IFERROR(VLOOKUP($G560,基本資料!$A:$J,4,0),"無")</f>
        <v>108</v>
      </c>
      <c r="C560" s="79">
        <f>IFERROR(VLOOKUP($G560,基本資料!$A:$J,5,0),"無")</f>
        <v>179</v>
      </c>
      <c r="D560" s="79">
        <f>IFERROR(VLOOKUP($G560,基本資料!$A:$J,6,0),"無")</f>
        <v>0</v>
      </c>
      <c r="E560" s="79">
        <f>IFERROR(VLOOKUP($G560,基本資料!$A:$J,7,0),"無")</f>
        <v>-4</v>
      </c>
      <c r="F560" s="6">
        <f>IFERROR(VLOOKUP($G560,基本資料!$A:$J,8,0),"無")</f>
        <v>19.940000000000001</v>
      </c>
      <c r="G560" s="79">
        <v>3094</v>
      </c>
      <c r="H560" s="8" t="s">
        <v>3038</v>
      </c>
      <c r="I560" s="22" t="s">
        <v>346</v>
      </c>
      <c r="J560" s="8" t="str">
        <f>IFERROR(VLOOKUP($G560,今日總結!$A:$AN,39,0),"")</f>
        <v>外</v>
      </c>
      <c r="K560" s="5">
        <f>IFERROR(VLOOKUP($G560,今日總結!$A:$AN,40,0),"")</f>
        <v>0</v>
      </c>
      <c r="L560" s="156">
        <f>IFERROR(VLOOKUP($G560,今日總結!$A:$AN,37,0),"")</f>
        <v>1</v>
      </c>
      <c r="M560" s="337">
        <f>IFERROR(VLOOKUP($G560,今日總結!$A:$AN,38,0),"")</f>
        <v>0</v>
      </c>
      <c r="N560" s="240">
        <f t="shared" si="115"/>
        <v>1</v>
      </c>
      <c r="O560" s="359">
        <f>IFERROR(VLOOKUP($G560,融外自投!$A:$J,7,0),"無")</f>
        <v>191</v>
      </c>
      <c r="P560" s="79">
        <f>IFERROR(VLOOKUP($G560,融外自投!$A:$J,9,0),"無")</f>
        <v>696</v>
      </c>
      <c r="Q560" s="342">
        <f>IFERROR(VLOOKUP($G560,融外自投!$A:$J,8,0),"無")</f>
        <v>1021</v>
      </c>
      <c r="R560" s="81" t="str">
        <f>IFERROR(VLOOKUP($G560,融外自投!$A:$J,10,0),"無")</f>
        <v>無</v>
      </c>
      <c r="S560" s="324">
        <f>IFERROR(VLOOKUP($G560,'321買'!$A:$E,4,0),"'沒有資料'")</f>
        <v>231</v>
      </c>
      <c r="T560" s="186">
        <f>IFERROR(VLOOKUP($G560,基本資料!$A:$J,9,0),"無")</f>
        <v>1</v>
      </c>
      <c r="U560" s="307">
        <f t="shared" si="111"/>
        <v>3.4423407917383818E-2</v>
      </c>
      <c r="V560" s="94">
        <f>IFERROR(VLOOKUP($G560,基本資料!$A:$J,10,0),"無")</f>
        <v>0.85</v>
      </c>
      <c r="W560" s="36">
        <f>RTD("money.excel",,"3094","Price")</f>
        <v>29.05</v>
      </c>
      <c r="X560" s="66"/>
      <c r="Y560" s="15">
        <f t="shared" si="112"/>
        <v>29.05</v>
      </c>
      <c r="Z560" s="3" t="e">
        <f t="shared" si="113"/>
        <v>#DIV/0!</v>
      </c>
      <c r="AA560" s="340">
        <f>IFERROR(VLOOKUP($G560,基本資料!$A:$M,11,0),"無")</f>
        <v>-41.9</v>
      </c>
      <c r="AB560" s="389">
        <f>IFERROR(VLOOKUP($G560,基本資料!$A:$M,12,0),"無")</f>
        <v>24.77</v>
      </c>
      <c r="AC560" s="22" t="s">
        <v>346</v>
      </c>
      <c r="AF560" s="33">
        <f t="shared" si="114"/>
        <v>0</v>
      </c>
      <c r="AG560" s="43" t="s">
        <v>2143</v>
      </c>
      <c r="AH560" s="66">
        <f t="shared" si="109"/>
        <v>0.7970196432603297</v>
      </c>
      <c r="AI560" s="283">
        <f>RTD("money.excel",,$G560,"PredictVolume")</f>
        <v>353</v>
      </c>
      <c r="AJ560" s="391">
        <f>IFERROR(VLOOKUP($G560,基本資料!$A:$M,13,0),"無")</f>
        <v>442.9</v>
      </c>
      <c r="AR560" s="245" t="str">
        <f>INDEX(基本資料!N:N,MATCH($G560,基本資料!A:A,0))</f>
        <v>低</v>
      </c>
    </row>
    <row r="561" spans="1:44">
      <c r="A561" s="343">
        <f>IFERROR(VLOOKUP($G561,基本資料!$A:$J,3,0),"無")</f>
        <v>42.39</v>
      </c>
      <c r="B561" s="79">
        <f>IFERROR(VLOOKUP($G561,基本資料!$A:$J,4,0),"無")</f>
        <v>-19</v>
      </c>
      <c r="C561" s="79">
        <f>IFERROR(VLOOKUP($G561,基本資料!$A:$J,5,0),"無")</f>
        <v>-17</v>
      </c>
      <c r="D561" s="79">
        <f>IFERROR(VLOOKUP($G561,基本資料!$A:$J,6,0),"無")</f>
        <v>-2</v>
      </c>
      <c r="E561" s="79">
        <f>IFERROR(VLOOKUP($G561,基本資料!$A:$J,7,0),"無")</f>
        <v>-11</v>
      </c>
      <c r="F561" s="6">
        <f>IFERROR(VLOOKUP($G561,基本資料!$A:$J,8,0),"無")</f>
        <v>24.53</v>
      </c>
      <c r="G561" s="79">
        <v>3105</v>
      </c>
      <c r="H561" s="145" t="s">
        <v>3038</v>
      </c>
      <c r="I561" s="16" t="s">
        <v>258</v>
      </c>
      <c r="J561" s="8">
        <f>IFERROR(VLOOKUP($G561,今日總結!$A:$AN,39,0),"")</f>
        <v>0</v>
      </c>
      <c r="K561" s="5">
        <f>IFERROR(VLOOKUP($G561,今日總結!$A:$AN,40,0),"")</f>
        <v>0</v>
      </c>
      <c r="L561" s="156">
        <f>IFERROR(VLOOKUP($G561,今日總結!$A:$AN,37,0),"")</f>
        <v>0</v>
      </c>
      <c r="M561" s="337">
        <f>IFERROR(VLOOKUP($G561,今日總結!$A:$AN,38,0),"")</f>
        <v>0</v>
      </c>
      <c r="N561" s="240">
        <f t="shared" si="115"/>
        <v>0</v>
      </c>
      <c r="O561" s="359">
        <f>IFERROR(VLOOKUP($G561,融外自投!$A:$J,7,0),"無")</f>
        <v>853</v>
      </c>
      <c r="P561" s="79">
        <f>IFERROR(VLOOKUP($G561,融外自投!$A:$J,9,0),"無")</f>
        <v>104</v>
      </c>
      <c r="Q561" s="342">
        <f>IFERROR(VLOOKUP($G561,融外自投!$A:$J,8,0),"無")</f>
        <v>98</v>
      </c>
      <c r="R561" s="81">
        <f>IFERROR(VLOOKUP($G561,融外自投!$A:$J,10,0),"無")</f>
        <v>163</v>
      </c>
      <c r="S561" s="324">
        <f>IFERROR(VLOOKUP($G561,'321買'!$A:$E,4,0),"'沒有資料'")</f>
        <v>440</v>
      </c>
      <c r="T561" s="186">
        <f>IFERROR(VLOOKUP($G561,基本資料!$A:$J,9,0),"無")</f>
        <v>8</v>
      </c>
      <c r="U561" s="307">
        <f t="shared" si="111"/>
        <v>4.0712468193384227E-2</v>
      </c>
      <c r="V561" s="94">
        <f>IFERROR(VLOOKUP($G561,基本資料!$A:$J,10,0),"無")</f>
        <v>12.9</v>
      </c>
      <c r="W561" s="36">
        <f>RTD("money.excel",,"3105","Price")</f>
        <v>196.5</v>
      </c>
      <c r="X561" s="66"/>
      <c r="Y561" s="15">
        <f t="shared" si="112"/>
        <v>196.5</v>
      </c>
      <c r="Z561" s="3" t="e">
        <f t="shared" si="113"/>
        <v>#DIV/0!</v>
      </c>
      <c r="AA561" s="340">
        <f>IFERROR(VLOOKUP($G561,基本資料!$A:$M,11,0),"無")</f>
        <v>-51.12</v>
      </c>
      <c r="AB561" s="389">
        <f>IFERROR(VLOOKUP($G561,基本資料!$A:$M,12,0),"無")</f>
        <v>6.45</v>
      </c>
      <c r="AC561" s="16" t="s">
        <v>258</v>
      </c>
      <c r="AF561" s="33">
        <f t="shared" si="114"/>
        <v>0</v>
      </c>
      <c r="AG561" s="117" t="s">
        <v>2324</v>
      </c>
      <c r="AH561" s="66">
        <f t="shared" si="109"/>
        <v>0.66564073866815887</v>
      </c>
      <c r="AI561" s="283">
        <f>RTD("money.excel",,$G561,"PredictVolume")</f>
        <v>2379</v>
      </c>
      <c r="AJ561" s="391">
        <f>IFERROR(VLOOKUP($G561,基本資料!$A:$M,13,0),"無")</f>
        <v>3574</v>
      </c>
      <c r="AR561" s="245" t="str">
        <f>INDEX(基本資料!N:N,MATCH($G561,基本資料!A:A,0))</f>
        <v>低</v>
      </c>
    </row>
    <row r="562" spans="1:44">
      <c r="A562" s="343">
        <f>IFERROR(VLOOKUP($G562,基本資料!$A:$J,3,0),"無")</f>
        <v>3.9</v>
      </c>
      <c r="B562" s="79">
        <f>IFERROR(VLOOKUP($G562,基本資料!$A:$J,4,0),"無")</f>
        <v>1262</v>
      </c>
      <c r="C562" s="79">
        <f>IFERROR(VLOOKUP($G562,基本資料!$A:$J,5,0),"無")</f>
        <v>1058</v>
      </c>
      <c r="D562" s="79">
        <f>IFERROR(VLOOKUP($G562,基本資料!$A:$J,6,0),"無")</f>
        <v>-19</v>
      </c>
      <c r="E562" s="79">
        <f>IFERROR(VLOOKUP($G562,基本資料!$A:$J,7,0),"無")</f>
        <v>-14</v>
      </c>
      <c r="F562" s="6">
        <f>IFERROR(VLOOKUP($G562,基本資料!$A:$J,8,0),"無")</f>
        <v>17.05</v>
      </c>
      <c r="G562" s="79">
        <v>3122</v>
      </c>
      <c r="H562" s="145" t="s">
        <v>3038</v>
      </c>
      <c r="I562" s="16" t="s">
        <v>358</v>
      </c>
      <c r="J562" s="8">
        <f>IFERROR(VLOOKUP($G562,今日總結!$A:$AN,39,0),"")</f>
        <v>0</v>
      </c>
      <c r="K562" s="5">
        <f>IFERROR(VLOOKUP($G562,今日總結!$A:$AN,40,0),"")</f>
        <v>0</v>
      </c>
      <c r="L562" s="156">
        <f>IFERROR(VLOOKUP($G562,今日總結!$A:$AN,37,0),"")</f>
        <v>0</v>
      </c>
      <c r="M562" s="337">
        <f>IFERROR(VLOOKUP($G562,今日總結!$A:$AN,38,0),"")</f>
        <v>0</v>
      </c>
      <c r="N562" s="240">
        <f t="shared" si="115"/>
        <v>0</v>
      </c>
      <c r="O562" s="359">
        <f>IFERROR(VLOOKUP($G562,融外自投!$A:$J,7,0),"無")</f>
        <v>51</v>
      </c>
      <c r="P562" s="79">
        <f>IFERROR(VLOOKUP($G562,融外自投!$A:$J,9,0),"無")</f>
        <v>52</v>
      </c>
      <c r="Q562" s="342">
        <f>IFERROR(VLOOKUP($G562,融外自投!$A:$J,8,0),"無")</f>
        <v>1007</v>
      </c>
      <c r="R562" s="81" t="str">
        <f>IFERROR(VLOOKUP($G562,融外自投!$A:$J,10,0),"無")</f>
        <v>無</v>
      </c>
      <c r="S562" s="324">
        <f>IFERROR(VLOOKUP($G562,'321買'!$A:$E,4,0),"'沒有資料'")</f>
        <v>20</v>
      </c>
      <c r="T562" s="186">
        <f>IFERROR(VLOOKUP($G562,基本資料!$A:$J,9,0),"無")</f>
        <v>2.2000000000000002</v>
      </c>
      <c r="U562" s="307">
        <f t="shared" si="111"/>
        <v>4.4715447154471545E-2</v>
      </c>
      <c r="V562" s="94">
        <f>IFERROR(VLOOKUP($G562,基本資料!$A:$J,10,0),"無")</f>
        <v>3.38</v>
      </c>
      <c r="W562" s="36">
        <f>RTD("money.excel",,"3122","Price")</f>
        <v>49.2</v>
      </c>
      <c r="X562" s="66"/>
      <c r="Y562" s="15">
        <f t="shared" si="112"/>
        <v>49.2</v>
      </c>
      <c r="Z562" s="3" t="e">
        <f t="shared" si="113"/>
        <v>#DIV/0!</v>
      </c>
      <c r="AA562" s="340">
        <f>IFERROR(VLOOKUP($G562,基本資料!$A:$M,11,0),"無")</f>
        <v>-32.42</v>
      </c>
      <c r="AB562" s="389">
        <f>IFERROR(VLOOKUP($G562,基本資料!$A:$M,12,0),"無")</f>
        <v>16.41</v>
      </c>
      <c r="AC562" s="16" t="s">
        <v>358</v>
      </c>
      <c r="AF562" s="33">
        <f t="shared" si="114"/>
        <v>0</v>
      </c>
      <c r="AG562" s="43" t="s">
        <v>2351</v>
      </c>
      <c r="AH562" s="66">
        <f t="shared" si="109"/>
        <v>0.65192762114394842</v>
      </c>
      <c r="AI562" s="283">
        <f>RTD("money.excel",,$G562,"PredictVolume")</f>
        <v>1007</v>
      </c>
      <c r="AJ562" s="391">
        <f>IFERROR(VLOOKUP($G562,基本資料!$A:$M,13,0),"無")</f>
        <v>1544.65</v>
      </c>
      <c r="AR562" s="245" t="str">
        <f>INDEX(基本資料!N:N,MATCH($G562,基本資料!A:A,0))</f>
        <v>中</v>
      </c>
    </row>
    <row r="563" spans="1:44">
      <c r="A563" s="343">
        <f>IFERROR(VLOOKUP($G563,基本資料!$A:$J,3,0),"無")</f>
        <v>7.47</v>
      </c>
      <c r="B563" s="79">
        <f>IFERROR(VLOOKUP($G563,基本資料!$A:$J,4,0),"無")</f>
        <v>445</v>
      </c>
      <c r="C563" s="79">
        <f>IFERROR(VLOOKUP($G563,基本資料!$A:$J,5,0),"無")</f>
        <v>461</v>
      </c>
      <c r="D563" s="79">
        <f>IFERROR(VLOOKUP($G563,基本資料!$A:$J,6,0),"無")</f>
        <v>0</v>
      </c>
      <c r="E563" s="79">
        <f>IFERROR(VLOOKUP($G563,基本資料!$A:$J,7,0),"無")</f>
        <v>34</v>
      </c>
      <c r="F563" s="6">
        <f>IFERROR(VLOOKUP($G563,基本資料!$A:$J,8,0),"無")</f>
        <v>29.97</v>
      </c>
      <c r="G563" s="79">
        <v>3141</v>
      </c>
      <c r="H563" s="145" t="s">
        <v>307</v>
      </c>
      <c r="I563" s="16" t="s">
        <v>181</v>
      </c>
      <c r="J563" s="8">
        <f>IFERROR(VLOOKUP($G563,今日總結!$A:$AN,39,0),"")</f>
        <v>0</v>
      </c>
      <c r="K563" s="5">
        <f>IFERROR(VLOOKUP($G563,今日總結!$A:$AN,40,0),"")</f>
        <v>0</v>
      </c>
      <c r="L563" s="156">
        <f>IFERROR(VLOOKUP($G563,今日總結!$A:$AN,37,0),"")</f>
        <v>0</v>
      </c>
      <c r="M563" s="337">
        <f>IFERROR(VLOOKUP($G563,今日總結!$A:$AN,38,0),"")</f>
        <v>0</v>
      </c>
      <c r="N563" s="240">
        <f t="shared" si="115"/>
        <v>0</v>
      </c>
      <c r="O563" s="359">
        <f>IFERROR(VLOOKUP($G563,融外自投!$A:$J,7,0),"無")</f>
        <v>22</v>
      </c>
      <c r="P563" s="79">
        <f>IFERROR(VLOOKUP($G563,融外自投!$A:$J,9,0),"無")</f>
        <v>186</v>
      </c>
      <c r="Q563" s="342">
        <f>IFERROR(VLOOKUP($G563,融外自投!$A:$J,8,0),"無")</f>
        <v>688</v>
      </c>
      <c r="R563" s="81">
        <f>IFERROR(VLOOKUP($G563,融外自投!$A:$J,10,0),"無")</f>
        <v>192</v>
      </c>
      <c r="S563" s="324">
        <f>IFERROR(VLOOKUP($G563,'321買'!$A:$E,4,0),"'沒有資料'")</f>
        <v>3</v>
      </c>
      <c r="T563" s="186">
        <f>IFERROR(VLOOKUP($G563,基本資料!$A:$J,9,0),"無")</f>
        <v>4</v>
      </c>
      <c r="U563" s="307">
        <f t="shared" si="111"/>
        <v>2.6058631921824105E-2</v>
      </c>
      <c r="V563" s="94">
        <f>IFERROR(VLOOKUP($G563,基本資料!$A:$J,10,0),"無")</f>
        <v>9.8000000000000007</v>
      </c>
      <c r="W563" s="36">
        <f>RTD("money.excel",,"3141","Price")</f>
        <v>153.5</v>
      </c>
      <c r="X563" s="66"/>
      <c r="Y563" s="15">
        <f t="shared" si="112"/>
        <v>153.5</v>
      </c>
      <c r="Z563" s="3" t="e">
        <f t="shared" si="113"/>
        <v>#DIV/0!</v>
      </c>
      <c r="AA563" s="340">
        <f>IFERROR(VLOOKUP($G563,基本資料!$A:$M,11,0),"無")</f>
        <v>-47.52</v>
      </c>
      <c r="AB563" s="389">
        <f>IFERROR(VLOOKUP($G563,基本資料!$A:$M,12,0),"無")</f>
        <v>34.380000000000003</v>
      </c>
      <c r="AC563" s="16" t="s">
        <v>181</v>
      </c>
      <c r="AF563" s="33">
        <f t="shared" si="114"/>
        <v>0</v>
      </c>
      <c r="AG563" s="119" t="s">
        <v>2145</v>
      </c>
      <c r="AH563" s="66">
        <f t="shared" si="109"/>
        <v>0.98329367440015858</v>
      </c>
      <c r="AI563" s="283">
        <f>RTD("money.excel",,$G563,"PredictVolume")</f>
        <v>7934</v>
      </c>
      <c r="AJ563" s="391">
        <f>IFERROR(VLOOKUP($G563,基本資料!$A:$M,13,0),"無")</f>
        <v>8068.8</v>
      </c>
      <c r="AR563" s="245" t="str">
        <f>INDEX(基本資料!N:N,MATCH($G563,基本資料!A:A,0))</f>
        <v>低</v>
      </c>
    </row>
    <row r="564" spans="1:44">
      <c r="A564" s="343">
        <f>IFERROR(VLOOKUP($G564,基本資料!$A:$J,3,0),"無")</f>
        <v>6.21</v>
      </c>
      <c r="B564" s="79">
        <f>IFERROR(VLOOKUP($G564,基本資料!$A:$J,4,0),"無")</f>
        <v>141</v>
      </c>
      <c r="C564" s="79">
        <f>IFERROR(VLOOKUP($G564,基本資料!$A:$J,5,0),"無")</f>
        <v>145</v>
      </c>
      <c r="D564" s="79">
        <f>IFERROR(VLOOKUP($G564,基本資料!$A:$J,6,0),"無")</f>
        <v>0</v>
      </c>
      <c r="E564" s="79">
        <f>IFERROR(VLOOKUP($G564,基本資料!$A:$J,7,0),"無")</f>
        <v>52</v>
      </c>
      <c r="F564" s="6">
        <f>IFERROR(VLOOKUP($G564,基本資料!$A:$J,8,0),"無")</f>
        <v>34.74</v>
      </c>
      <c r="G564" s="79">
        <v>3169</v>
      </c>
      <c r="H564" s="145" t="s">
        <v>3038</v>
      </c>
      <c r="I564" s="16" t="s">
        <v>359</v>
      </c>
      <c r="J564" s="8">
        <f>IFERROR(VLOOKUP($G564,今日總結!$A:$AN,39,0),"")</f>
        <v>0</v>
      </c>
      <c r="K564" s="5" t="str">
        <f>IFERROR(VLOOKUP($G564,今日總結!$A:$AN,40,0),"")</f>
        <v>借</v>
      </c>
      <c r="L564" s="156">
        <f>IFERROR(VLOOKUP($G564,今日總結!$A:$AN,37,0),"")</f>
        <v>0</v>
      </c>
      <c r="M564" s="337">
        <f>IFERROR(VLOOKUP($G564,今日總結!$A:$AN,38,0),"")</f>
        <v>4</v>
      </c>
      <c r="N564" s="240">
        <f t="shared" si="115"/>
        <v>-4</v>
      </c>
      <c r="O564" s="359">
        <f>IFERROR(VLOOKUP($G564,融外自投!$A:$J,7,0),"無")</f>
        <v>19</v>
      </c>
      <c r="P564" s="79">
        <f>IFERROR(VLOOKUP($G564,融外自投!$A:$J,9,0),"無")</f>
        <v>216</v>
      </c>
      <c r="Q564" s="342">
        <f>IFERROR(VLOOKUP($G564,融外自投!$A:$J,8,0),"無")</f>
        <v>952</v>
      </c>
      <c r="R564" s="81">
        <f>IFERROR(VLOOKUP($G564,融外自投!$A:$J,10,0),"無")</f>
        <v>152</v>
      </c>
      <c r="S564" s="324">
        <f>IFERROR(VLOOKUP($G564,'321買'!$A:$E,4,0),"'沒有資料'")</f>
        <v>10</v>
      </c>
      <c r="T564" s="186">
        <f>IFERROR(VLOOKUP($G564,基本資料!$A:$J,9,0),"無")</f>
        <v>5</v>
      </c>
      <c r="U564" s="307">
        <f t="shared" si="111"/>
        <v>3.1545741324921134E-2</v>
      </c>
      <c r="V564" s="94">
        <f>IFERROR(VLOOKUP($G564,基本資料!$A:$J,10,0),"無")</f>
        <v>6.34</v>
      </c>
      <c r="W564" s="36">
        <f>RTD("money.excel",,"3169","Price")</f>
        <v>158.5</v>
      </c>
      <c r="X564" s="66"/>
      <c r="Y564" s="15">
        <f t="shared" si="112"/>
        <v>158.5</v>
      </c>
      <c r="Z564" s="3" t="e">
        <f t="shared" si="113"/>
        <v>#DIV/0!</v>
      </c>
      <c r="AA564" s="340">
        <f>IFERROR(VLOOKUP($G564,基本資料!$A:$M,11,0),"無")</f>
        <v>-47.08</v>
      </c>
      <c r="AB564" s="389">
        <f>IFERROR(VLOOKUP($G564,基本資料!$A:$M,12,0),"無")</f>
        <v>20.67</v>
      </c>
      <c r="AC564" s="16" t="s">
        <v>359</v>
      </c>
      <c r="AF564" s="33">
        <f t="shared" si="114"/>
        <v>0</v>
      </c>
      <c r="AG564" s="43" t="s">
        <v>2892</v>
      </c>
      <c r="AH564" s="66">
        <f t="shared" si="109"/>
        <v>0.79937977099236646</v>
      </c>
      <c r="AI564" s="283">
        <f>RTD("money.excel",,$G564,"PredictVolume")</f>
        <v>3351</v>
      </c>
      <c r="AJ564" s="391">
        <f>IFERROR(VLOOKUP($G564,基本資料!$A:$M,13,0),"無")</f>
        <v>4192</v>
      </c>
      <c r="AR564" s="245" t="str">
        <f>INDEX(基本資料!N:N,MATCH($G564,基本資料!A:A,0))</f>
        <v>低</v>
      </c>
    </row>
    <row r="565" spans="1:44">
      <c r="A565" s="343">
        <f>IFERROR(VLOOKUP($G565,基本資料!$A:$J,3,0),"無")</f>
        <v>45.08</v>
      </c>
      <c r="B565" s="79">
        <f>IFERROR(VLOOKUP($G565,基本資料!$A:$J,4,0),"無")</f>
        <v>383</v>
      </c>
      <c r="C565" s="79">
        <f>IFERROR(VLOOKUP($G565,基本資料!$A:$J,5,0),"無")</f>
        <v>273</v>
      </c>
      <c r="D565" s="79">
        <f>IFERROR(VLOOKUP($G565,基本資料!$A:$J,6,0),"無")</f>
        <v>0</v>
      </c>
      <c r="E565" s="79">
        <f>IFERROR(VLOOKUP($G565,基本資料!$A:$J,7,0),"無")</f>
        <v>37</v>
      </c>
      <c r="F565" s="6">
        <f>IFERROR(VLOOKUP($G565,基本資料!$A:$J,8,0),"無")</f>
        <v>14.03</v>
      </c>
      <c r="G565" s="79">
        <v>3189</v>
      </c>
      <c r="H565" s="8" t="s">
        <v>3038</v>
      </c>
      <c r="I565" s="22" t="s">
        <v>4043</v>
      </c>
      <c r="J565" s="8">
        <f>IFERROR(VLOOKUP($G565,今日總結!$A:$AN,39,0),"")</f>
        <v>0</v>
      </c>
      <c r="K565" s="5">
        <f>IFERROR(VLOOKUP($G565,今日總結!$A:$AN,40,0),"")</f>
        <v>0</v>
      </c>
      <c r="L565" s="156">
        <f>IFERROR(VLOOKUP($G565,今日總結!$A:$AN,37,0),"")</f>
        <v>0</v>
      </c>
      <c r="M565" s="337">
        <f>IFERROR(VLOOKUP($G565,今日總結!$A:$AN,38,0),"")</f>
        <v>0</v>
      </c>
      <c r="N565" s="240">
        <f t="shared" si="115"/>
        <v>0</v>
      </c>
      <c r="O565" s="359">
        <f>IFERROR(VLOOKUP($G565,融外自投!$A:$J,7,0),"無")</f>
        <v>394</v>
      </c>
      <c r="P565" s="79">
        <f>IFERROR(VLOOKUP($G565,融外自投!$A:$J,9,0),"無")</f>
        <v>190</v>
      </c>
      <c r="Q565" s="342">
        <f>IFERROR(VLOOKUP($G565,融外自投!$A:$J,8,0),"無")</f>
        <v>308</v>
      </c>
      <c r="R565" s="81">
        <f>IFERROR(VLOOKUP($G565,融外自投!$A:$J,10,0),"無")</f>
        <v>46</v>
      </c>
      <c r="S565" s="324">
        <f>IFERROR(VLOOKUP($G565,'321買'!$A:$E,4,0),"'沒有資料'")</f>
        <v>71</v>
      </c>
      <c r="T565" s="186">
        <f>IFERROR(VLOOKUP($G565,基本資料!$A:$J,9,0),"無")</f>
        <v>4.5</v>
      </c>
      <c r="U565" s="307">
        <f t="shared" si="111"/>
        <v>2.6548672566371681E-2</v>
      </c>
      <c r="V565" s="94">
        <f>IFERROR(VLOOKUP($G565,基本資料!$A:$J,10,0),"無")</f>
        <v>8.56</v>
      </c>
      <c r="W565" s="36">
        <f>RTD("money.excel",,"3189","Price")</f>
        <v>169.5</v>
      </c>
      <c r="X565" s="66"/>
      <c r="Y565" s="15">
        <f t="shared" si="112"/>
        <v>169.5</v>
      </c>
      <c r="Z565" s="3" t="e">
        <f t="shared" si="113"/>
        <v>#DIV/0!</v>
      </c>
      <c r="AA565" s="340">
        <f>IFERROR(VLOOKUP($G565,基本資料!$A:$M,11,0),"無")</f>
        <v>-34.17</v>
      </c>
      <c r="AB565" s="389">
        <f>IFERROR(VLOOKUP($G565,基本資料!$A:$M,12,0),"無")</f>
        <v>25.16</v>
      </c>
      <c r="AC565" s="22" t="s">
        <v>4043</v>
      </c>
      <c r="AF565" s="33">
        <f t="shared" si="114"/>
        <v>0</v>
      </c>
      <c r="AG565" s="117" t="s">
        <v>2302</v>
      </c>
      <c r="AH565" s="66">
        <f t="shared" si="109"/>
        <v>1.0245330462418796</v>
      </c>
      <c r="AI565" s="283">
        <f>RTD("money.excel",,$G565,"PredictVolume")</f>
        <v>13894</v>
      </c>
      <c r="AJ565" s="391">
        <f>IFERROR(VLOOKUP($G565,基本資料!$A:$M,13,0),"無")</f>
        <v>13561.3</v>
      </c>
      <c r="AR565" s="245" t="str">
        <f>INDEX(基本資料!N:N,MATCH($G565,基本資料!A:A,0))</f>
        <v>低</v>
      </c>
    </row>
    <row r="566" spans="1:44">
      <c r="A566" s="343">
        <f>IFERROR(VLOOKUP($G566,基本資料!$A:$J,3,0),"無")</f>
        <v>7.02</v>
      </c>
      <c r="B566" s="79">
        <f>IFERROR(VLOOKUP($G566,基本資料!$A:$J,4,0),"無")</f>
        <v>1606</v>
      </c>
      <c r="C566" s="79">
        <f>IFERROR(VLOOKUP($G566,基本資料!$A:$J,5,0),"無")</f>
        <v>799</v>
      </c>
      <c r="D566" s="79">
        <f>IFERROR(VLOOKUP($G566,基本資料!$A:$J,6,0),"無")</f>
        <v>20</v>
      </c>
      <c r="E566" s="79">
        <f>IFERROR(VLOOKUP($G566,基本資料!$A:$J,7,0),"無")</f>
        <v>-49</v>
      </c>
      <c r="F566" s="6">
        <f>IFERROR(VLOOKUP($G566,基本資料!$A:$J,8,0),"無")</f>
        <v>21.4</v>
      </c>
      <c r="G566" s="79">
        <v>3219</v>
      </c>
      <c r="H566" s="145" t="s">
        <v>3038</v>
      </c>
      <c r="I566" s="16" t="s">
        <v>2953</v>
      </c>
      <c r="J566" s="8">
        <f>IFERROR(VLOOKUP($G566,今日總結!$A:$AN,39,0),"")</f>
        <v>0</v>
      </c>
      <c r="K566" s="5">
        <f>IFERROR(VLOOKUP($G566,今日總結!$A:$AN,40,0),"")</f>
        <v>0</v>
      </c>
      <c r="L566" s="156">
        <f>IFERROR(VLOOKUP($G566,今日總結!$A:$AN,37,0),"")</f>
        <v>0</v>
      </c>
      <c r="M566" s="337">
        <f>IFERROR(VLOOKUP($G566,今日總結!$A:$AN,38,0),"")</f>
        <v>0</v>
      </c>
      <c r="N566" s="240">
        <f t="shared" si="115"/>
        <v>0</v>
      </c>
      <c r="O566" s="359">
        <f>IFERROR(VLOOKUP($G566,融外自投!$A:$J,7,0),"無")</f>
        <v>64</v>
      </c>
      <c r="P566" s="79">
        <f>IFERROR(VLOOKUP($G566,融外自投!$A:$J,9,0),"無")</f>
        <v>1123</v>
      </c>
      <c r="Q566" s="342">
        <f>IFERROR(VLOOKUP($G566,融外自投!$A:$J,8,0),"無")</f>
        <v>977</v>
      </c>
      <c r="R566" s="81" t="str">
        <f>IFERROR(VLOOKUP($G566,融外自投!$A:$J,10,0),"無")</f>
        <v>無</v>
      </c>
      <c r="S566" s="324">
        <f>IFERROR(VLOOKUP($G566,'321買'!$A:$E,4,0),"'沒有資料'")</f>
        <v>1002</v>
      </c>
      <c r="T566" s="186">
        <f>IFERROR(VLOOKUP($G566,基本資料!$A:$J,9,0),"無")</f>
        <v>2.5</v>
      </c>
      <c r="U566" s="307">
        <f t="shared" si="111"/>
        <v>2.8702640642939151E-2</v>
      </c>
      <c r="V566" s="94">
        <f>IFERROR(VLOOKUP($G566,基本資料!$A:$J,10,0),"無")</f>
        <v>6.33</v>
      </c>
      <c r="W566" s="36">
        <f>RTD("money.excel",,"3219","Price")</f>
        <v>87.1</v>
      </c>
      <c r="X566" s="66"/>
      <c r="Y566" s="15">
        <f t="shared" si="112"/>
        <v>87.1</v>
      </c>
      <c r="Z566" s="3" t="e">
        <f t="shared" si="113"/>
        <v>#DIV/0!</v>
      </c>
      <c r="AA566" s="340">
        <f>IFERROR(VLOOKUP($G566,基本資料!$A:$M,11,0),"無")</f>
        <v>-56.99</v>
      </c>
      <c r="AB566" s="389">
        <f>IFERROR(VLOOKUP($G566,基本資料!$A:$M,12,0),"無")</f>
        <v>6.69</v>
      </c>
      <c r="AC566" s="16" t="s">
        <v>2953</v>
      </c>
      <c r="AF566" s="33">
        <f t="shared" si="114"/>
        <v>0</v>
      </c>
      <c r="AG566" s="43" t="s">
        <v>1436</v>
      </c>
      <c r="AH566" s="66">
        <f t="shared" si="109"/>
        <v>0.61823802163833075</v>
      </c>
      <c r="AI566" s="283">
        <f>RTD("money.excel",,$G566,"PredictVolume")</f>
        <v>20</v>
      </c>
      <c r="AJ566" s="391">
        <f>IFERROR(VLOOKUP($G566,基本資料!$A:$M,13,0),"無")</f>
        <v>32.35</v>
      </c>
      <c r="AR566" s="245" t="str">
        <f>INDEX(基本資料!N:N,MATCH($G566,基本資料!A:A,0))</f>
        <v>低</v>
      </c>
    </row>
    <row r="567" spans="1:44">
      <c r="A567" s="343">
        <f>IFERROR(VLOOKUP($G567,基本資料!$A:$J,3,0),"無")</f>
        <v>14.45</v>
      </c>
      <c r="B567" s="79">
        <f>IFERROR(VLOOKUP($G567,基本資料!$A:$J,4,0),"無")</f>
        <v>9</v>
      </c>
      <c r="C567" s="79">
        <f>IFERROR(VLOOKUP($G567,基本資料!$A:$J,5,0),"無")</f>
        <v>0</v>
      </c>
      <c r="D567" s="79">
        <f>IFERROR(VLOOKUP($G567,基本資料!$A:$J,6,0),"無")</f>
        <v>11</v>
      </c>
      <c r="E567" s="79">
        <f>IFERROR(VLOOKUP($G567,基本資料!$A:$J,7,0),"無")</f>
        <v>-35</v>
      </c>
      <c r="F567" s="6">
        <f>IFERROR(VLOOKUP($G567,基本資料!$A:$J,8,0),"無")</f>
        <v>20.82</v>
      </c>
      <c r="G567" s="79">
        <v>3227</v>
      </c>
      <c r="H567" s="145" t="s">
        <v>3038</v>
      </c>
      <c r="I567" s="16" t="s">
        <v>4044</v>
      </c>
      <c r="J567" s="8">
        <f>IFERROR(VLOOKUP($G567,今日總結!$A:$AN,39,0),"")</f>
        <v>0</v>
      </c>
      <c r="K567" s="5">
        <f>IFERROR(VLOOKUP($G567,今日總結!$A:$AN,40,0),"")</f>
        <v>0</v>
      </c>
      <c r="L567" s="156">
        <f>IFERROR(VLOOKUP($G567,今日總結!$A:$AN,37,0),"")</f>
        <v>0</v>
      </c>
      <c r="M567" s="337">
        <f>IFERROR(VLOOKUP($G567,今日總結!$A:$AN,38,0),"")</f>
        <v>0</v>
      </c>
      <c r="N567" s="240">
        <f t="shared" si="115"/>
        <v>0</v>
      </c>
      <c r="O567" s="359">
        <f>IFERROR(VLOOKUP($G567,融外自投!$A:$J,7,0),"無")</f>
        <v>425</v>
      </c>
      <c r="P567" s="79">
        <f>IFERROR(VLOOKUP($G567,融外自投!$A:$J,9,0),"無")</f>
        <v>99</v>
      </c>
      <c r="Q567" s="342">
        <f>IFERROR(VLOOKUP($G567,融外自投!$A:$J,8,0),"無")</f>
        <v>349</v>
      </c>
      <c r="R567" s="81">
        <f>IFERROR(VLOOKUP($G567,融外自投!$A:$J,10,0),"無")</f>
        <v>377</v>
      </c>
      <c r="S567" s="324">
        <f>IFERROR(VLOOKUP($G567,'321買'!$A:$E,4,0),"'沒有資料'")</f>
        <v>343</v>
      </c>
      <c r="T567" s="186">
        <f>IFERROR(VLOOKUP($G567,基本資料!$A:$J,9,0),"無")</f>
        <v>9.14</v>
      </c>
      <c r="U567" s="307">
        <f t="shared" si="111"/>
        <v>8.197309417040359E-2</v>
      </c>
      <c r="V567" s="94">
        <f>IFERROR(VLOOKUP($G567,基本資料!$A:$J,10,0),"無")</f>
        <v>11.32</v>
      </c>
      <c r="W567" s="36">
        <f>RTD("money.excel",,"3227","Price")</f>
        <v>111.5</v>
      </c>
      <c r="X567" s="66"/>
      <c r="Y567" s="15">
        <f t="shared" si="112"/>
        <v>111.5</v>
      </c>
      <c r="Z567" s="3" t="e">
        <f t="shared" si="113"/>
        <v>#DIV/0!</v>
      </c>
      <c r="AA567" s="340">
        <f>IFERROR(VLOOKUP($G567,基本資料!$A:$M,11,0),"無")</f>
        <v>-49.43</v>
      </c>
      <c r="AB567" s="389">
        <f>IFERROR(VLOOKUP($G567,基本資料!$A:$M,12,0),"無")</f>
        <v>14.67</v>
      </c>
      <c r="AC567" s="16" t="s">
        <v>4044</v>
      </c>
      <c r="AF567" s="33">
        <f t="shared" si="114"/>
        <v>0</v>
      </c>
      <c r="AG567" s="117" t="s">
        <v>2311</v>
      </c>
      <c r="AH567" s="66">
        <f t="shared" si="109"/>
        <v>0.75192252919396185</v>
      </c>
      <c r="AI567" s="283">
        <f>RTD("money.excel",,$G567,"PredictVolume")</f>
        <v>396</v>
      </c>
      <c r="AJ567" s="391">
        <f>IFERROR(VLOOKUP($G567,基本資料!$A:$M,13,0),"無")</f>
        <v>526.65</v>
      </c>
      <c r="AR567" s="245" t="str">
        <f>INDEX(基本資料!N:N,MATCH($G567,基本資料!A:A,0))</f>
        <v>低</v>
      </c>
    </row>
    <row r="568" spans="1:44">
      <c r="A568" s="343">
        <f>IFERROR(VLOOKUP($G568,基本資料!$A:$J,3,0),"無")</f>
        <v>6.77</v>
      </c>
      <c r="B568" s="79">
        <f>IFERROR(VLOOKUP($G568,基本資料!$A:$J,4,0),"無")</f>
        <v>185</v>
      </c>
      <c r="C568" s="79">
        <f>IFERROR(VLOOKUP($G568,基本資料!$A:$J,5,0),"無")</f>
        <v>193</v>
      </c>
      <c r="D568" s="79">
        <f>IFERROR(VLOOKUP($G568,基本資料!$A:$J,6,0),"無")</f>
        <v>-16</v>
      </c>
      <c r="E568" s="79">
        <f>IFERROR(VLOOKUP($G568,基本資料!$A:$J,7,0),"無")</f>
        <v>-68</v>
      </c>
      <c r="F568" s="6">
        <f>IFERROR(VLOOKUP($G568,基本資料!$A:$J,8,0),"無")</f>
        <v>35.03</v>
      </c>
      <c r="G568" s="79">
        <v>3228</v>
      </c>
      <c r="H568" s="145" t="s">
        <v>3038</v>
      </c>
      <c r="I568" s="16" t="s">
        <v>4045</v>
      </c>
      <c r="J568" s="8">
        <f>IFERROR(VLOOKUP($G568,今日總結!$A:$AN,39,0),"")</f>
        <v>0</v>
      </c>
      <c r="K568" s="5" t="str">
        <f>IFERROR(VLOOKUP($G568,今日總結!$A:$AN,40,0),"")</f>
        <v>借</v>
      </c>
      <c r="L568" s="156">
        <f>IFERROR(VLOOKUP($G568,今日總結!$A:$AN,37,0),"")</f>
        <v>0</v>
      </c>
      <c r="M568" s="337">
        <f>IFERROR(VLOOKUP($G568,今日總結!$A:$AN,38,0),"")</f>
        <v>4</v>
      </c>
      <c r="N568" s="240">
        <f t="shared" si="115"/>
        <v>-4</v>
      </c>
      <c r="O568" s="359">
        <f>IFERROR(VLOOKUP($G568,融外自投!$A:$J,7,0),"無")</f>
        <v>651</v>
      </c>
      <c r="P568" s="79">
        <f>IFERROR(VLOOKUP($G568,融外自投!$A:$J,9,0),"無")</f>
        <v>403</v>
      </c>
      <c r="Q568" s="342">
        <f>IFERROR(VLOOKUP($G568,融外自投!$A:$J,8,0),"無")</f>
        <v>623</v>
      </c>
      <c r="R568" s="81">
        <f>IFERROR(VLOOKUP($G568,融外自投!$A:$J,10,0),"無")</f>
        <v>82</v>
      </c>
      <c r="S568" s="324">
        <f>IFERROR(VLOOKUP($G568,'321買'!$A:$E,4,0),"'沒有資料'")</f>
        <v>343</v>
      </c>
      <c r="T568" s="186">
        <f>IFERROR(VLOOKUP($G568,基本資料!$A:$J,9,0),"無")</f>
        <v>0</v>
      </c>
      <c r="U568" s="307">
        <f t="shared" si="111"/>
        <v>0</v>
      </c>
      <c r="V568" s="94">
        <f>IFERROR(VLOOKUP($G568,基本資料!$A:$J,10,0),"無")</f>
        <v>2.92</v>
      </c>
      <c r="W568" s="36">
        <f>RTD("money.excel",,"3228","Price")</f>
        <v>351.5</v>
      </c>
      <c r="X568" s="66"/>
      <c r="Y568" s="15">
        <f t="shared" si="112"/>
        <v>351.5</v>
      </c>
      <c r="Z568" s="3" t="e">
        <f t="shared" si="113"/>
        <v>#DIV/0!</v>
      </c>
      <c r="AA568" s="340">
        <f>IFERROR(VLOOKUP($G568,基本資料!$A:$M,11,0),"無")</f>
        <v>-34.909999999999997</v>
      </c>
      <c r="AB568" s="389">
        <f>IFERROR(VLOOKUP($G568,基本資料!$A:$M,12,0),"無")</f>
        <v>44.88</v>
      </c>
      <c r="AC568" s="16" t="s">
        <v>4045</v>
      </c>
      <c r="AF568" s="33">
        <f t="shared" si="114"/>
        <v>0</v>
      </c>
      <c r="AG568" s="43" t="s">
        <v>2036</v>
      </c>
      <c r="AH568" s="66">
        <f t="shared" si="109"/>
        <v>0.96030507886982153</v>
      </c>
      <c r="AI568" s="283">
        <f>RTD("money.excel",,$G568,"PredictVolume")</f>
        <v>1108</v>
      </c>
      <c r="AJ568" s="391">
        <f>IFERROR(VLOOKUP($G568,基本資料!$A:$M,13,0),"無")</f>
        <v>1153.8</v>
      </c>
      <c r="AR568" s="245" t="str">
        <f>INDEX(基本資料!N:N,MATCH($G568,基本資料!A:A,0))</f>
        <v>低</v>
      </c>
    </row>
    <row r="569" spans="1:44">
      <c r="A569" s="343">
        <f>IFERROR(VLOOKUP($G569,基本資料!$A:$J,3,0),"無")</f>
        <v>7.99</v>
      </c>
      <c r="B569" s="79">
        <f>IFERROR(VLOOKUP($G569,基本資料!$A:$J,4,0),"無")</f>
        <v>67</v>
      </c>
      <c r="C569" s="79">
        <f>IFERROR(VLOOKUP($G569,基本資料!$A:$J,5,0),"無")</f>
        <v>70</v>
      </c>
      <c r="D569" s="79">
        <f>IFERROR(VLOOKUP($G569,基本資料!$A:$J,6,0),"無")</f>
        <v>-6</v>
      </c>
      <c r="E569" s="79">
        <f>IFERROR(VLOOKUP($G569,基本資料!$A:$J,7,0),"無")</f>
        <v>-34</v>
      </c>
      <c r="F569" s="6">
        <f>IFERROR(VLOOKUP($G569,基本資料!$A:$J,8,0),"無")</f>
        <v>35.94</v>
      </c>
      <c r="G569" s="79">
        <v>3257</v>
      </c>
      <c r="H569" s="8" t="s">
        <v>3038</v>
      </c>
      <c r="I569" s="22" t="s">
        <v>4046</v>
      </c>
      <c r="J569" s="8" t="str">
        <f>IFERROR(VLOOKUP($G569,今日總結!$A:$AN,39,0),"")</f>
        <v>外</v>
      </c>
      <c r="K569" s="5">
        <f>IFERROR(VLOOKUP($G569,今日總結!$A:$AN,40,0),"")</f>
        <v>0</v>
      </c>
      <c r="L569" s="156">
        <f>IFERROR(VLOOKUP($G569,今日總結!$A:$AN,37,0),"")</f>
        <v>8</v>
      </c>
      <c r="M569" s="337">
        <f>IFERROR(VLOOKUP($G569,今日總結!$A:$AN,38,0),"")</f>
        <v>0</v>
      </c>
      <c r="N569" s="240">
        <f t="shared" si="115"/>
        <v>8</v>
      </c>
      <c r="O569" s="359">
        <f>IFERROR(VLOOKUP($G569,融外自投!$A:$J,7,0),"無")</f>
        <v>674</v>
      </c>
      <c r="P569" s="79">
        <f>IFERROR(VLOOKUP($G569,融外自投!$A:$J,9,0),"無")</f>
        <v>149</v>
      </c>
      <c r="Q569" s="342">
        <f>IFERROR(VLOOKUP($G569,融外自投!$A:$J,8,0),"無")</f>
        <v>673</v>
      </c>
      <c r="R569" s="81" t="str">
        <f>IFERROR(VLOOKUP($G569,融外自投!$A:$J,10,0),"無")</f>
        <v>無</v>
      </c>
      <c r="S569" s="324">
        <f>IFERROR(VLOOKUP($G569,'321買'!$A:$E,4,0),"'沒有資料'")</f>
        <v>440</v>
      </c>
      <c r="T569" s="186">
        <f>IFERROR(VLOOKUP($G569,基本資料!$A:$J,9,0),"無")</f>
        <v>5</v>
      </c>
      <c r="U569" s="307">
        <f t="shared" si="111"/>
        <v>7.0028011204481794E-2</v>
      </c>
      <c r="V569" s="94">
        <f>IFERROR(VLOOKUP($G569,基本資料!$A:$J,10,0),"無")</f>
        <v>5.03</v>
      </c>
      <c r="W569" s="36">
        <f>RTD("money.excel",,"3257","Price")</f>
        <v>71.400000000000006</v>
      </c>
      <c r="X569" s="66"/>
      <c r="Y569" s="15">
        <f t="shared" si="112"/>
        <v>71.400000000000006</v>
      </c>
      <c r="Z569" s="3" t="e">
        <f t="shared" si="113"/>
        <v>#DIV/0!</v>
      </c>
      <c r="AA569" s="340">
        <f>IFERROR(VLOOKUP($G569,基本資料!$A:$M,11,0),"無")</f>
        <v>-22.64</v>
      </c>
      <c r="AB569" s="389">
        <f>IFERROR(VLOOKUP($G569,基本資料!$A:$M,12,0),"無")</f>
        <v>42.44</v>
      </c>
      <c r="AC569" s="22" t="s">
        <v>4046</v>
      </c>
      <c r="AF569" s="33">
        <f t="shared" si="114"/>
        <v>0</v>
      </c>
      <c r="AG569" s="43" t="s">
        <v>1950</v>
      </c>
      <c r="AH569" s="66">
        <f t="shared" si="109"/>
        <v>0.98268600842302301</v>
      </c>
      <c r="AI569" s="283">
        <f>RTD("money.excel",,$G569,"PredictVolume")</f>
        <v>105</v>
      </c>
      <c r="AJ569" s="391">
        <f>IFERROR(VLOOKUP($G569,基本資料!$A:$M,13,0),"無")</f>
        <v>106.85</v>
      </c>
      <c r="AR569" s="245" t="str">
        <f>INDEX(基本資料!N:N,MATCH($G569,基本資料!A:A,0))</f>
        <v>中</v>
      </c>
    </row>
    <row r="570" spans="1:44">
      <c r="A570" s="343">
        <f>IFERROR(VLOOKUP($G570,基本資料!$A:$J,3,0),"無")</f>
        <v>7.46</v>
      </c>
      <c r="B570" s="79">
        <f>IFERROR(VLOOKUP($G570,基本資料!$A:$J,4,0),"無")</f>
        <v>101</v>
      </c>
      <c r="C570" s="79">
        <f>IFERROR(VLOOKUP($G570,基本資料!$A:$J,5,0),"無")</f>
        <v>97</v>
      </c>
      <c r="D570" s="79">
        <f>IFERROR(VLOOKUP($G570,基本資料!$A:$J,6,0),"無")</f>
        <v>-18</v>
      </c>
      <c r="E570" s="79">
        <f>IFERROR(VLOOKUP($G570,基本資料!$A:$J,7,0),"無")</f>
        <v>-38</v>
      </c>
      <c r="F570" s="6">
        <f>IFERROR(VLOOKUP($G570,基本資料!$A:$J,8,0),"無")</f>
        <v>-0.5</v>
      </c>
      <c r="G570" s="79">
        <v>3259</v>
      </c>
      <c r="H570" s="145" t="s">
        <v>3038</v>
      </c>
      <c r="I570" s="16" t="s">
        <v>4047</v>
      </c>
      <c r="J570" s="8" t="str">
        <f>IFERROR(VLOOKUP($G570,今日總結!$A:$AN,39,0),"")</f>
        <v/>
      </c>
      <c r="K570" s="5" t="str">
        <f>IFERROR(VLOOKUP($G570,今日總結!$A:$AN,40,0),"")</f>
        <v/>
      </c>
      <c r="L570" s="156" t="str">
        <f>IFERROR(VLOOKUP($G570,今日總結!$A:$AN,37,0),"")</f>
        <v/>
      </c>
      <c r="M570" s="337" t="str">
        <f>IFERROR(VLOOKUP($G570,今日總結!$A:$AN,38,0),"")</f>
        <v/>
      </c>
      <c r="N570" s="240" t="str">
        <f t="shared" si="115"/>
        <v/>
      </c>
      <c r="O570" s="359" t="str">
        <f>IFERROR(VLOOKUP($G570,融外自投!$A:$J,7,0),"無")</f>
        <v>無</v>
      </c>
      <c r="P570" s="79" t="str">
        <f>IFERROR(VLOOKUP($G570,融外自投!$A:$J,9,0),"無")</f>
        <v>無</v>
      </c>
      <c r="Q570" s="342" t="str">
        <f>IFERROR(VLOOKUP($G570,融外自投!$A:$J,8,0),"無")</f>
        <v>無</v>
      </c>
      <c r="R570" s="81" t="str">
        <f>IFERROR(VLOOKUP($G570,融外自投!$A:$J,10,0),"無")</f>
        <v>無</v>
      </c>
      <c r="S570" s="324" t="str">
        <f>IFERROR(VLOOKUP($G570,'321買'!$A:$E,4,0),"'沒有資料'")</f>
        <v>'沒有資料'</v>
      </c>
      <c r="T570" s="186">
        <f>IFERROR(VLOOKUP($G570,基本資料!$A:$J,9,0),"無")</f>
        <v>0</v>
      </c>
      <c r="U570" s="307">
        <f t="shared" si="111"/>
        <v>0</v>
      </c>
      <c r="V570" s="94">
        <f>IFERROR(VLOOKUP($G570,基本資料!$A:$J,10,0),"無")</f>
        <v>0.02</v>
      </c>
      <c r="W570" s="36">
        <f>RTD("money.excel",,"3259","Price")</f>
        <v>18.3</v>
      </c>
      <c r="X570" s="66"/>
      <c r="Y570" s="15">
        <f t="shared" si="112"/>
        <v>18.3</v>
      </c>
      <c r="Z570" s="3" t="e">
        <f t="shared" si="113"/>
        <v>#DIV/0!</v>
      </c>
      <c r="AA570" s="340">
        <f>IFERROR(VLOOKUP($G570,基本資料!$A:$M,11,0),"無")</f>
        <v>-61.8</v>
      </c>
      <c r="AB570" s="389">
        <f>IFERROR(VLOOKUP($G570,基本資料!$A:$M,12,0),"無")</f>
        <v>8.84</v>
      </c>
      <c r="AC570" s="16" t="s">
        <v>4047</v>
      </c>
      <c r="AF570" s="33">
        <f t="shared" si="114"/>
        <v>0</v>
      </c>
      <c r="AG570" s="43" t="s">
        <v>2352</v>
      </c>
      <c r="AH570" s="66">
        <f t="shared" si="109"/>
        <v>0.18404907975460122</v>
      </c>
      <c r="AI570" s="283">
        <f>RTD("money.excel",,$G570,"PredictVolume")</f>
        <v>9</v>
      </c>
      <c r="AJ570" s="391">
        <f>IFERROR(VLOOKUP($G570,基本資料!$A:$M,13,0),"無")</f>
        <v>48.9</v>
      </c>
      <c r="AR570" s="245" t="str">
        <f>INDEX(基本資料!N:N,MATCH($G570,基本資料!A:A,0))</f>
        <v>低</v>
      </c>
    </row>
    <row r="571" spans="1:44">
      <c r="A571" s="343">
        <f>IFERROR(VLOOKUP($G571,基本資料!$A:$J,3,0),"無")</f>
        <v>26.67</v>
      </c>
      <c r="B571" s="79">
        <f>IFERROR(VLOOKUP($G571,基本資料!$A:$J,4,0),"無")</f>
        <v>73</v>
      </c>
      <c r="C571" s="79">
        <f>IFERROR(VLOOKUP($G571,基本資料!$A:$J,5,0),"無")</f>
        <v>22</v>
      </c>
      <c r="D571" s="79">
        <f>IFERROR(VLOOKUP($G571,基本資料!$A:$J,6,0),"無")</f>
        <v>-10</v>
      </c>
      <c r="E571" s="79">
        <f>IFERROR(VLOOKUP($G571,基本資料!$A:$J,7,0),"無")</f>
        <v>-19</v>
      </c>
      <c r="F571" s="6">
        <f>IFERROR(VLOOKUP($G571,基本資料!$A:$J,8,0),"無")</f>
        <v>5.85</v>
      </c>
      <c r="G571" s="79">
        <v>3260</v>
      </c>
      <c r="H571" s="145" t="s">
        <v>3038</v>
      </c>
      <c r="I571" s="16" t="s">
        <v>215</v>
      </c>
      <c r="J571" s="8">
        <f>IFERROR(VLOOKUP($G571,今日總結!$A:$AN,39,0),"")</f>
        <v>0</v>
      </c>
      <c r="K571" s="5">
        <f>IFERROR(VLOOKUP($G571,今日總結!$A:$AN,40,0),"")</f>
        <v>0</v>
      </c>
      <c r="L571" s="156">
        <f>IFERROR(VLOOKUP($G571,今日總結!$A:$AN,37,0),"")</f>
        <v>0</v>
      </c>
      <c r="M571" s="337">
        <f>IFERROR(VLOOKUP($G571,今日總結!$A:$AN,38,0),"")</f>
        <v>0</v>
      </c>
      <c r="N571" s="240">
        <f t="shared" si="115"/>
        <v>0</v>
      </c>
      <c r="O571" s="359">
        <f>IFERROR(VLOOKUP($G571,融外自投!$A:$J,7,0),"無")</f>
        <v>183</v>
      </c>
      <c r="P571" s="79">
        <f>IFERROR(VLOOKUP($G571,融外自投!$A:$J,9,0),"無")</f>
        <v>302</v>
      </c>
      <c r="Q571" s="342">
        <f>IFERROR(VLOOKUP($G571,融外自投!$A:$J,8,0),"無")</f>
        <v>605</v>
      </c>
      <c r="R571" s="81">
        <f>IFERROR(VLOOKUP($G571,融外自投!$A:$J,10,0),"無")</f>
        <v>413</v>
      </c>
      <c r="S571" s="324">
        <f>IFERROR(VLOOKUP($G571,'321買'!$A:$E,4,0),"'沒有資料'")</f>
        <v>117</v>
      </c>
      <c r="T571" s="186">
        <f>IFERROR(VLOOKUP($G571,基本資料!$A:$J,9,0),"無")</f>
        <v>5.5</v>
      </c>
      <c r="U571" s="307">
        <f t="shared" si="111"/>
        <v>7.7903682719546744E-2</v>
      </c>
      <c r="V571" s="94">
        <f>IFERROR(VLOOKUP($G571,基本資料!$A:$J,10,0),"無")</f>
        <v>9.14</v>
      </c>
      <c r="W571" s="36">
        <f>RTD("money.excel",,"3260","Price")</f>
        <v>70.599999999999994</v>
      </c>
      <c r="X571" s="66"/>
      <c r="Y571" s="15">
        <f t="shared" si="112"/>
        <v>70.599999999999994</v>
      </c>
      <c r="Z571" s="3" t="e">
        <f t="shared" si="113"/>
        <v>#DIV/0!</v>
      </c>
      <c r="AA571" s="340">
        <f>IFERROR(VLOOKUP($G571,基本資料!$A:$M,11,0),"無")</f>
        <v>-46.52</v>
      </c>
      <c r="AB571" s="389">
        <f>IFERROR(VLOOKUP($G571,基本資料!$A:$M,12,0),"無")</f>
        <v>11.25</v>
      </c>
      <c r="AC571" s="16" t="s">
        <v>215</v>
      </c>
      <c r="AF571" s="33">
        <f t="shared" si="114"/>
        <v>0</v>
      </c>
      <c r="AG571" s="117" t="s">
        <v>1413</v>
      </c>
      <c r="AH571" s="66">
        <f t="shared" si="109"/>
        <v>0.75766536964980546</v>
      </c>
      <c r="AI571" s="283">
        <f>RTD("money.excel",,$G571,"PredictVolume")</f>
        <v>1217</v>
      </c>
      <c r="AJ571" s="391">
        <f>IFERROR(VLOOKUP($G571,基本資料!$A:$M,13,0),"無")</f>
        <v>1606.25</v>
      </c>
      <c r="AR571" s="245" t="str">
        <f>INDEX(基本資料!N:N,MATCH($G571,基本資料!A:A,0))</f>
        <v>低</v>
      </c>
    </row>
    <row r="572" spans="1:44">
      <c r="A572" s="343">
        <f>IFERROR(VLOOKUP($G572,基本資料!$A:$J,3,0),"無")</f>
        <v>49.01</v>
      </c>
      <c r="B572" s="79">
        <f>IFERROR(VLOOKUP($G572,基本資料!$A:$J,4,0),"無")</f>
        <v>44</v>
      </c>
      <c r="C572" s="79">
        <f>IFERROR(VLOOKUP($G572,基本資料!$A:$J,5,0),"無")</f>
        <v>37</v>
      </c>
      <c r="D572" s="79">
        <f>IFERROR(VLOOKUP($G572,基本資料!$A:$J,6,0),"無")</f>
        <v>1</v>
      </c>
      <c r="E572" s="79">
        <f>IFERROR(VLOOKUP($G572,基本資料!$A:$J,7,0),"無")</f>
        <v>18</v>
      </c>
      <c r="F572" s="6">
        <f>IFERROR(VLOOKUP($G572,基本資料!$A:$J,8,0),"無")</f>
        <v>25.7</v>
      </c>
      <c r="G572" s="79">
        <v>3264</v>
      </c>
      <c r="H572" s="145" t="s">
        <v>3038</v>
      </c>
      <c r="I572" s="16" t="s">
        <v>2912</v>
      </c>
      <c r="J572" s="8" t="str">
        <f>IFERROR(VLOOKUP($G572,今日總結!$A:$AN,39,0),"")</f>
        <v>外</v>
      </c>
      <c r="K572" s="5">
        <f>IFERROR(VLOOKUP($G572,今日總結!$A:$AN,40,0),"")</f>
        <v>0</v>
      </c>
      <c r="L572" s="156">
        <f>IFERROR(VLOOKUP($G572,今日總結!$A:$AN,37,0),"")</f>
        <v>1</v>
      </c>
      <c r="M572" s="337">
        <f>IFERROR(VLOOKUP($G572,今日總結!$A:$AN,38,0),"")</f>
        <v>0</v>
      </c>
      <c r="N572" s="240">
        <f t="shared" si="115"/>
        <v>1</v>
      </c>
      <c r="O572" s="359">
        <f>IFERROR(VLOOKUP($G572,融外自投!$A:$J,7,0),"無")</f>
        <v>629</v>
      </c>
      <c r="P572" s="79">
        <f>IFERROR(VLOOKUP($G572,融外自投!$A:$J,9,0),"無")</f>
        <v>340</v>
      </c>
      <c r="Q572" s="342">
        <f>IFERROR(VLOOKUP($G572,融外自投!$A:$J,8,0),"無")</f>
        <v>230</v>
      </c>
      <c r="R572" s="81">
        <f>IFERROR(VLOOKUP($G572,融外自投!$A:$J,10,0),"無")</f>
        <v>98</v>
      </c>
      <c r="S572" s="324">
        <f>IFERROR(VLOOKUP($G572,'321買'!$A:$E,4,0),"'沒有資料'")</f>
        <v>123</v>
      </c>
      <c r="T572" s="186">
        <f>IFERROR(VLOOKUP($G572,基本資料!$A:$J,9,0),"無")</f>
        <v>2.8</v>
      </c>
      <c r="U572" s="307">
        <f t="shared" si="111"/>
        <v>6.25E-2</v>
      </c>
      <c r="V572" s="94">
        <f>IFERROR(VLOOKUP($G572,基本資料!$A:$J,10,0),"無")</f>
        <v>5.46</v>
      </c>
      <c r="W572" s="36">
        <f>RTD("money.excel",,"3264","Price")</f>
        <v>44.8</v>
      </c>
      <c r="X572" s="66"/>
      <c r="Y572" s="15">
        <f t="shared" si="112"/>
        <v>44.8</v>
      </c>
      <c r="Z572" s="3" t="e">
        <f t="shared" si="113"/>
        <v>#DIV/0!</v>
      </c>
      <c r="AA572" s="340">
        <f>IFERROR(VLOOKUP($G572,基本資料!$A:$M,11,0),"無")</f>
        <v>-37.69</v>
      </c>
      <c r="AB572" s="389">
        <f>IFERROR(VLOOKUP($G572,基本資料!$A:$M,12,0),"無")</f>
        <v>26.4</v>
      </c>
      <c r="AC572" s="16" t="s">
        <v>2912</v>
      </c>
      <c r="AF572" s="33">
        <f t="shared" si="114"/>
        <v>0</v>
      </c>
      <c r="AG572" s="117" t="s">
        <v>2341</v>
      </c>
      <c r="AH572" s="66">
        <f t="shared" si="109"/>
        <v>1.1625848332841546</v>
      </c>
      <c r="AI572" s="283">
        <f>RTD("money.excel",,$G572,"PredictVolume")</f>
        <v>1773</v>
      </c>
      <c r="AJ572" s="391">
        <f>IFERROR(VLOOKUP($G572,基本資料!$A:$M,13,0),"無")</f>
        <v>1525.05</v>
      </c>
      <c r="AR572" s="245" t="str">
        <f>INDEX(基本資料!N:N,MATCH($G572,基本資料!A:A,0))</f>
        <v>低</v>
      </c>
    </row>
    <row r="573" spans="1:44">
      <c r="A573" s="343">
        <f>IFERROR(VLOOKUP($G573,基本資料!$A:$J,3,0),"無")</f>
        <v>13.62</v>
      </c>
      <c r="B573" s="79">
        <f>IFERROR(VLOOKUP($G573,基本資料!$A:$J,4,0),"無")</f>
        <v>88</v>
      </c>
      <c r="C573" s="79">
        <f>IFERROR(VLOOKUP($G573,基本資料!$A:$J,5,0),"無")</f>
        <v>111</v>
      </c>
      <c r="D573" s="79">
        <f>IFERROR(VLOOKUP($G573,基本資料!$A:$J,6,0),"無")</f>
        <v>-4</v>
      </c>
      <c r="E573" s="79">
        <f>IFERROR(VLOOKUP($G573,基本資料!$A:$J,7,0),"無")</f>
        <v>46</v>
      </c>
      <c r="F573" s="6">
        <f>IFERROR(VLOOKUP($G573,基本資料!$A:$J,8,0),"無")</f>
        <v>15.56</v>
      </c>
      <c r="G573" s="79">
        <v>3265</v>
      </c>
      <c r="H573" s="145" t="s">
        <v>3038</v>
      </c>
      <c r="I573" s="166" t="s">
        <v>78</v>
      </c>
      <c r="J573" s="8">
        <f>IFERROR(VLOOKUP($G573,今日總結!$A:$AN,39,0),"")</f>
        <v>0</v>
      </c>
      <c r="K573" s="5" t="str">
        <f>IFERROR(VLOOKUP($G573,今日總結!$A:$AN,40,0),"")</f>
        <v>券</v>
      </c>
      <c r="L573" s="156">
        <f>IFERROR(VLOOKUP($G573,今日總結!$A:$AN,37,0),"")</f>
        <v>0</v>
      </c>
      <c r="M573" s="337">
        <f>IFERROR(VLOOKUP($G573,今日總結!$A:$AN,38,0),"")</f>
        <v>1</v>
      </c>
      <c r="N573" s="240">
        <f t="shared" si="115"/>
        <v>-1</v>
      </c>
      <c r="O573" s="359">
        <f>IFERROR(VLOOKUP($G573,融外自投!$A:$J,7,0),"無")</f>
        <v>456</v>
      </c>
      <c r="P573" s="79">
        <f>IFERROR(VLOOKUP($G573,融外自投!$A:$J,9,0),"無")</f>
        <v>45</v>
      </c>
      <c r="Q573" s="342">
        <f>IFERROR(VLOOKUP($G573,融外自投!$A:$J,8,0),"無")</f>
        <v>735</v>
      </c>
      <c r="R573" s="81" t="str">
        <f>IFERROR(VLOOKUP($G573,融外自投!$A:$J,10,0),"無")</f>
        <v>無</v>
      </c>
      <c r="S573" s="324">
        <f>IFERROR(VLOOKUP($G573,'321買'!$A:$E,4,0),"'沒有資料'")</f>
        <v>650</v>
      </c>
      <c r="T573" s="186">
        <f>IFERROR(VLOOKUP($G573,基本資料!$A:$J,9,0),"無")</f>
        <v>2.2999999999999998</v>
      </c>
      <c r="U573" s="307">
        <f t="shared" si="111"/>
        <v>4.8625792811839326E-2</v>
      </c>
      <c r="V573" s="94">
        <f>IFERROR(VLOOKUP($G573,基本資料!$A:$J,10,0),"無")</f>
        <v>2.89</v>
      </c>
      <c r="W573" s="36">
        <f>RTD("money.excel",,"3265","Price")</f>
        <v>47.3</v>
      </c>
      <c r="X573" s="66"/>
      <c r="Y573" s="15">
        <f t="shared" si="112"/>
        <v>47.3</v>
      </c>
      <c r="Z573" s="3" t="e">
        <f t="shared" si="113"/>
        <v>#DIV/0!</v>
      </c>
      <c r="AA573" s="340">
        <f>IFERROR(VLOOKUP($G573,基本資料!$A:$M,11,0),"無")</f>
        <v>-3.76</v>
      </c>
      <c r="AB573" s="389">
        <f>IFERROR(VLOOKUP($G573,基本資料!$A:$M,12,0),"無")</f>
        <v>88.99</v>
      </c>
      <c r="AC573" s="16" t="s">
        <v>78</v>
      </c>
      <c r="AF573" s="33">
        <f t="shared" si="114"/>
        <v>0</v>
      </c>
      <c r="AG573" s="117" t="s">
        <v>3065</v>
      </c>
      <c r="AH573" s="66">
        <f t="shared" si="109"/>
        <v>1.4201069201069201</v>
      </c>
      <c r="AI573" s="283">
        <f>RTD("money.excel",,$G573,"PredictVolume")</f>
        <v>9563</v>
      </c>
      <c r="AJ573" s="391">
        <f>IFERROR(VLOOKUP($G573,基本資料!$A:$M,13,0),"無")</f>
        <v>6734</v>
      </c>
      <c r="AR573" s="245" t="str">
        <f>INDEX(基本資料!N:N,MATCH($G573,基本資料!A:A,0))</f>
        <v>高</v>
      </c>
    </row>
    <row r="574" spans="1:44">
      <c r="A574" s="343">
        <f>IFERROR(VLOOKUP($G574,基本資料!$A:$J,3,0),"無")</f>
        <v>3.34</v>
      </c>
      <c r="B574" s="79">
        <f>IFERROR(VLOOKUP($G574,基本資料!$A:$J,4,0),"無")</f>
        <v>5</v>
      </c>
      <c r="C574" s="79">
        <f>IFERROR(VLOOKUP($G574,基本資料!$A:$J,5,0),"無")</f>
        <v>269</v>
      </c>
      <c r="D574" s="79">
        <f>IFERROR(VLOOKUP($G574,基本資料!$A:$J,6,0),"無")</f>
        <v>-20</v>
      </c>
      <c r="E574" s="79">
        <f>IFERROR(VLOOKUP($G574,基本資料!$A:$J,7,0),"無")</f>
        <v>20</v>
      </c>
      <c r="F574" s="6">
        <f>IFERROR(VLOOKUP($G574,基本資料!$A:$J,8,0),"無")</f>
        <v>2.52</v>
      </c>
      <c r="G574" s="79">
        <v>3268</v>
      </c>
      <c r="H574" s="145" t="s">
        <v>3038</v>
      </c>
      <c r="I574" s="16" t="s">
        <v>361</v>
      </c>
      <c r="J574" s="8">
        <f>IFERROR(VLOOKUP($G574,今日總結!$A:$AN,39,0),"")</f>
        <v>0</v>
      </c>
      <c r="K574" s="5">
        <f>IFERROR(VLOOKUP($G574,今日總結!$A:$AN,40,0),"")</f>
        <v>0</v>
      </c>
      <c r="L574" s="156">
        <f>IFERROR(VLOOKUP($G574,今日總結!$A:$AN,37,0),"")</f>
        <v>0</v>
      </c>
      <c r="M574" s="337">
        <f>IFERROR(VLOOKUP($G574,今日總結!$A:$AN,38,0),"")</f>
        <v>0</v>
      </c>
      <c r="N574" s="240">
        <f t="shared" si="115"/>
        <v>0</v>
      </c>
      <c r="O574" s="359">
        <f>IFERROR(VLOOKUP($G574,融外自投!$A:$J,7,0),"無")</f>
        <v>852</v>
      </c>
      <c r="P574" s="79" t="str">
        <f>IFERROR(VLOOKUP($G574,融外自投!$A:$J,9,0),"無")</f>
        <v>無</v>
      </c>
      <c r="Q574" s="342">
        <f>IFERROR(VLOOKUP($G574,融外自投!$A:$J,8,0),"無")</f>
        <v>1354</v>
      </c>
      <c r="R574" s="81" t="str">
        <f>IFERROR(VLOOKUP($G574,融外自投!$A:$J,10,0),"無")</f>
        <v>無</v>
      </c>
      <c r="S574" s="324">
        <f>IFERROR(VLOOKUP($G574,'321買'!$A:$E,4,0),"'沒有資料'")</f>
        <v>743</v>
      </c>
      <c r="T574" s="186">
        <f>IFERROR(VLOOKUP($G574,基本資料!$A:$J,9,0),"無")</f>
        <v>0.6</v>
      </c>
      <c r="U574" s="307">
        <f t="shared" si="111"/>
        <v>2.6548672566371678E-2</v>
      </c>
      <c r="V574" s="94">
        <f>IFERROR(VLOOKUP($G574,基本資料!$A:$J,10,0),"無")</f>
        <v>0.95</v>
      </c>
      <c r="W574" s="36">
        <f>RTD("money.excel",,"3268","Price")</f>
        <v>22.6</v>
      </c>
      <c r="X574" s="66"/>
      <c r="Y574" s="15">
        <f t="shared" si="112"/>
        <v>22.6</v>
      </c>
      <c r="Z574" s="3" t="e">
        <f t="shared" si="113"/>
        <v>#DIV/0!</v>
      </c>
      <c r="AA574" s="340">
        <f>IFERROR(VLOOKUP($G574,基本資料!$A:$M,11,0),"無")</f>
        <v>-53.83</v>
      </c>
      <c r="AB574" s="389">
        <f>IFERROR(VLOOKUP($G574,基本資料!$A:$M,12,0),"無")</f>
        <v>25.84</v>
      </c>
      <c r="AC574" s="16" t="s">
        <v>361</v>
      </c>
      <c r="AF574" s="33">
        <f t="shared" si="114"/>
        <v>0</v>
      </c>
      <c r="AG574" s="43" t="s">
        <v>2353</v>
      </c>
      <c r="AH574" s="66">
        <f t="shared" si="109"/>
        <v>0.2229654403567447</v>
      </c>
      <c r="AI574" s="283">
        <f>RTD("money.excel",,$G574,"PredictVolume")</f>
        <v>10</v>
      </c>
      <c r="AJ574" s="391">
        <f>IFERROR(VLOOKUP($G574,基本資料!$A:$M,13,0),"無")</f>
        <v>44.85</v>
      </c>
      <c r="AR574" s="245" t="str">
        <f>INDEX(基本資料!N:N,MATCH($G574,基本資料!A:A,0))</f>
        <v>低</v>
      </c>
    </row>
    <row r="575" spans="1:44">
      <c r="A575" s="343">
        <f>IFERROR(VLOOKUP($G575,基本資料!$A:$J,3,0),"無")</f>
        <v>6.12</v>
      </c>
      <c r="B575" s="79">
        <f>IFERROR(VLOOKUP($G575,基本資料!$A:$J,4,0),"無")</f>
        <v>90</v>
      </c>
      <c r="C575" s="79">
        <f>IFERROR(VLOOKUP($G575,基本資料!$A:$J,5,0),"無")</f>
        <v>75</v>
      </c>
      <c r="D575" s="79">
        <f>IFERROR(VLOOKUP($G575,基本資料!$A:$J,6,0),"無")</f>
        <v>1</v>
      </c>
      <c r="E575" s="79">
        <f>IFERROR(VLOOKUP($G575,基本資料!$A:$J,7,0),"無")</f>
        <v>4</v>
      </c>
      <c r="F575" s="6">
        <f>IFERROR(VLOOKUP($G575,基本資料!$A:$J,8,0),"無")</f>
        <v>15.71</v>
      </c>
      <c r="G575" s="79">
        <v>3317</v>
      </c>
      <c r="H575" s="195" t="s">
        <v>3038</v>
      </c>
      <c r="I575" s="16" t="s">
        <v>168</v>
      </c>
      <c r="J575" s="8">
        <f>IFERROR(VLOOKUP($G575,今日總結!$A:$AN,39,0),"")</f>
        <v>0</v>
      </c>
      <c r="K575" s="5" t="str">
        <f>IFERROR(VLOOKUP($G575,今日總結!$A:$AN,40,0),"")</f>
        <v>借</v>
      </c>
      <c r="L575" s="156">
        <f>IFERROR(VLOOKUP($G575,今日總結!$A:$AN,37,0),"")</f>
        <v>0</v>
      </c>
      <c r="M575" s="337">
        <f>IFERROR(VLOOKUP($G575,今日總結!$A:$AN,38,0),"")</f>
        <v>3</v>
      </c>
      <c r="N575" s="240">
        <f t="shared" si="115"/>
        <v>-3</v>
      </c>
      <c r="O575" s="359">
        <f>IFERROR(VLOOKUP($G575,融外自投!$A:$J,7,0),"無")</f>
        <v>31</v>
      </c>
      <c r="P575" s="79">
        <f>IFERROR(VLOOKUP($G575,融外自投!$A:$J,9,0),"無")</f>
        <v>460</v>
      </c>
      <c r="Q575" s="342">
        <f>IFERROR(VLOOKUP($G575,融外自投!$A:$J,8,0),"無")</f>
        <v>960</v>
      </c>
      <c r="R575" s="81" t="str">
        <f>IFERROR(VLOOKUP($G575,融外自投!$A:$J,10,0),"無")</f>
        <v>無</v>
      </c>
      <c r="S575" s="324">
        <f>IFERROR(VLOOKUP($G575,'321買'!$A:$E,4,0),"'沒有資料'")</f>
        <v>71</v>
      </c>
      <c r="T575" s="186">
        <f>IFERROR(VLOOKUP($G575,基本資料!$A:$J,9,0),"無")</f>
        <v>1.2</v>
      </c>
      <c r="U575" s="307">
        <f t="shared" si="111"/>
        <v>1.9017432646592707E-2</v>
      </c>
      <c r="V575" s="94">
        <f>IFERROR(VLOOKUP($G575,基本資料!$A:$J,10,0),"無")</f>
        <v>5.78</v>
      </c>
      <c r="W575" s="36">
        <f>RTD("money.excel",,"3317","Price")</f>
        <v>63.1</v>
      </c>
      <c r="X575" s="66"/>
      <c r="Y575" s="15">
        <f t="shared" si="112"/>
        <v>63.1</v>
      </c>
      <c r="Z575" s="3" t="e">
        <f t="shared" si="113"/>
        <v>#DIV/0!</v>
      </c>
      <c r="AA575" s="340">
        <f>IFERROR(VLOOKUP($G575,基本資料!$A:$M,11,0),"無")</f>
        <v>-35.549999999999997</v>
      </c>
      <c r="AB575" s="389">
        <f>IFERROR(VLOOKUP($G575,基本資料!$A:$M,12,0),"無")</f>
        <v>43.55</v>
      </c>
      <c r="AC575" s="16" t="s">
        <v>168</v>
      </c>
      <c r="AF575" s="33">
        <f t="shared" si="114"/>
        <v>0</v>
      </c>
      <c r="AG575" s="117" t="s">
        <v>2175</v>
      </c>
      <c r="AH575" s="66">
        <f t="shared" si="109"/>
        <v>1.6624538207272022</v>
      </c>
      <c r="AI575" s="283">
        <f>RTD("money.excel",,$G575,"PredictVolume")</f>
        <v>1710</v>
      </c>
      <c r="AJ575" s="391">
        <f>IFERROR(VLOOKUP($G575,基本資料!$A:$M,13,0),"無")</f>
        <v>1028.5999999999999</v>
      </c>
      <c r="AR575" s="245" t="str">
        <f>INDEX(基本資料!N:N,MATCH($G575,基本資料!A:A,0))</f>
        <v>低</v>
      </c>
    </row>
    <row r="576" spans="1:44">
      <c r="A576" s="343">
        <f>IFERROR(VLOOKUP($G576,基本資料!$A:$J,3,0),"無")</f>
        <v>17.54</v>
      </c>
      <c r="B576" s="79">
        <f>IFERROR(VLOOKUP($G576,基本資料!$A:$J,4,0),"無")</f>
        <v>3828</v>
      </c>
      <c r="C576" s="79">
        <f>IFERROR(VLOOKUP($G576,基本資料!$A:$J,5,0),"無")</f>
        <v>4959</v>
      </c>
      <c r="D576" s="79">
        <f>IFERROR(VLOOKUP($G576,基本資料!$A:$J,6,0),"無")</f>
        <v>0</v>
      </c>
      <c r="E576" s="79">
        <f>IFERROR(VLOOKUP($G576,基本資料!$A:$J,7,0),"無")</f>
        <v>-15</v>
      </c>
      <c r="F576" s="6">
        <f>IFERROR(VLOOKUP($G576,基本資料!$A:$J,8,0),"無")</f>
        <v>21.31</v>
      </c>
      <c r="G576" s="79">
        <v>3372</v>
      </c>
      <c r="H576" s="145" t="s">
        <v>3038</v>
      </c>
      <c r="I576" s="16" t="s">
        <v>4048</v>
      </c>
      <c r="J576" s="8" t="str">
        <f>IFERROR(VLOOKUP($G576,今日總結!$A:$AN,39,0),"")</f>
        <v>主外</v>
      </c>
      <c r="K576" s="5">
        <f>IFERROR(VLOOKUP($G576,今日總結!$A:$AN,40,0),"")</f>
        <v>0</v>
      </c>
      <c r="L576" s="156">
        <f>IFERROR(VLOOKUP($G576,今日總結!$A:$AN,37,0),"")</f>
        <v>2</v>
      </c>
      <c r="M576" s="337">
        <f>IFERROR(VLOOKUP($G576,今日總結!$A:$AN,38,0),"")</f>
        <v>0</v>
      </c>
      <c r="N576" s="240">
        <f t="shared" si="115"/>
        <v>2</v>
      </c>
      <c r="O576" s="359">
        <f>IFERROR(VLOOKUP($G576,融外自投!$A:$J,7,0),"無")</f>
        <v>598</v>
      </c>
      <c r="P576" s="79">
        <f>IFERROR(VLOOKUP($G576,融外自投!$A:$J,9,0),"無")</f>
        <v>717</v>
      </c>
      <c r="Q576" s="342">
        <f>IFERROR(VLOOKUP($G576,融外自投!$A:$J,8,0),"無")</f>
        <v>1180</v>
      </c>
      <c r="R576" s="81">
        <f>IFERROR(VLOOKUP($G576,融外自投!$A:$J,10,0),"無")</f>
        <v>170</v>
      </c>
      <c r="S576" s="324">
        <f>IFERROR(VLOOKUP($G576,'321買'!$A:$E,4,0),"'沒有資料'")</f>
        <v>530</v>
      </c>
      <c r="T576" s="186">
        <f>IFERROR(VLOOKUP($G576,基本資料!$A:$J,9,0),"無")</f>
        <v>1</v>
      </c>
      <c r="U576" s="307">
        <f t="shared" si="111"/>
        <v>6.3897763578274758E-2</v>
      </c>
      <c r="V576" s="94">
        <f>IFERROR(VLOOKUP($G576,基本資料!$A:$J,10,0),"無")</f>
        <v>2.39</v>
      </c>
      <c r="W576" s="36">
        <f>RTD("money.excel",,"3372","Price")</f>
        <v>15.65</v>
      </c>
      <c r="X576" s="66"/>
      <c r="Y576" s="15">
        <f t="shared" si="112"/>
        <v>15.65</v>
      </c>
      <c r="Z576" s="3" t="e">
        <f t="shared" si="113"/>
        <v>#DIV/0!</v>
      </c>
      <c r="AA576" s="340">
        <f>IFERROR(VLOOKUP($G576,基本資料!$A:$M,11,0),"無")</f>
        <v>-52.58</v>
      </c>
      <c r="AB576" s="389">
        <f>IFERROR(VLOOKUP($G576,基本資料!$A:$M,12,0),"無")</f>
        <v>15</v>
      </c>
      <c r="AC576" s="16" t="s">
        <v>4048</v>
      </c>
      <c r="AF576" s="33">
        <f t="shared" si="114"/>
        <v>0</v>
      </c>
      <c r="AG576" s="43" t="s">
        <v>2354</v>
      </c>
      <c r="AH576" s="66">
        <f t="shared" si="109"/>
        <v>0.91517178473700223</v>
      </c>
      <c r="AI576" s="283">
        <f>RTD("money.excel",,$G576,"PredictVolume")</f>
        <v>301</v>
      </c>
      <c r="AJ576" s="391">
        <f>IFERROR(VLOOKUP($G576,基本資料!$A:$M,13,0),"無")</f>
        <v>328.9</v>
      </c>
      <c r="AR576" s="245" t="str">
        <f>INDEX(基本資料!N:N,MATCH($G576,基本資料!A:A,0))</f>
        <v>低</v>
      </c>
    </row>
    <row r="577" spans="1:44">
      <c r="A577" s="343">
        <f>IFERROR(VLOOKUP($G577,基本資料!$A:$J,3,0),"無")</f>
        <v>27.13</v>
      </c>
      <c r="B577" s="79">
        <f>IFERROR(VLOOKUP($G577,基本資料!$A:$J,4,0),"無")</f>
        <v>8</v>
      </c>
      <c r="C577" s="79">
        <f>IFERROR(VLOOKUP($G577,基本資料!$A:$J,5,0),"無")</f>
        <v>25</v>
      </c>
      <c r="D577" s="79">
        <f>IFERROR(VLOOKUP($G577,基本資料!$A:$J,6,0),"無")</f>
        <v>3</v>
      </c>
      <c r="E577" s="79">
        <f>IFERROR(VLOOKUP($G577,基本資料!$A:$J,7,0),"無")</f>
        <v>54</v>
      </c>
      <c r="F577" s="6">
        <f>IFERROR(VLOOKUP($G577,基本資料!$A:$J,8,0),"無")</f>
        <v>28.8</v>
      </c>
      <c r="G577" s="79">
        <v>3374</v>
      </c>
      <c r="H577" s="145" t="s">
        <v>307</v>
      </c>
      <c r="I577" s="16" t="s">
        <v>167</v>
      </c>
      <c r="J577" s="8">
        <f>IFERROR(VLOOKUP($G577,今日總結!$A:$AN,39,0),"")</f>
        <v>0</v>
      </c>
      <c r="K577" s="5">
        <f>IFERROR(VLOOKUP($G577,今日總結!$A:$AN,40,0),"")</f>
        <v>0</v>
      </c>
      <c r="L577" s="156">
        <f>IFERROR(VLOOKUP($G577,今日總結!$A:$AN,37,0),"")</f>
        <v>0</v>
      </c>
      <c r="M577" s="337">
        <f>IFERROR(VLOOKUP($G577,今日總結!$A:$AN,38,0),"")</f>
        <v>0</v>
      </c>
      <c r="N577" s="240">
        <f t="shared" si="115"/>
        <v>0</v>
      </c>
      <c r="O577" s="359">
        <f>IFERROR(VLOOKUP($G577,融外自投!$A:$J,7,0),"無")</f>
        <v>303</v>
      </c>
      <c r="P577" s="79">
        <f>IFERROR(VLOOKUP($G577,融外自投!$A:$J,9,0),"無")</f>
        <v>204</v>
      </c>
      <c r="Q577" s="342">
        <f>IFERROR(VLOOKUP($G577,融外自投!$A:$J,8,0),"無")</f>
        <v>689</v>
      </c>
      <c r="R577" s="81">
        <f>IFERROR(VLOOKUP($G577,融外自投!$A:$J,10,0),"無")</f>
        <v>71</v>
      </c>
      <c r="S577" s="324">
        <f>IFERROR(VLOOKUP($G577,'321買'!$A:$E,4,0),"'沒有資料'")</f>
        <v>272</v>
      </c>
      <c r="T577" s="186">
        <f>IFERROR(VLOOKUP($G577,基本資料!$A:$J,9,0),"無")</f>
        <v>3</v>
      </c>
      <c r="U577" s="307">
        <f t="shared" si="111"/>
        <v>2.2222222222222223E-2</v>
      </c>
      <c r="V577" s="94">
        <f>IFERROR(VLOOKUP($G577,基本資料!$A:$J,10,0),"無")</f>
        <v>6.92</v>
      </c>
      <c r="W577" s="36">
        <f>RTD("money.excel",,"3374","Price")</f>
        <v>135</v>
      </c>
      <c r="X577" s="66"/>
      <c r="Y577" s="15">
        <f t="shared" si="112"/>
        <v>135</v>
      </c>
      <c r="Z577" s="3" t="e">
        <f t="shared" si="113"/>
        <v>#DIV/0!</v>
      </c>
      <c r="AA577" s="340">
        <f>IFERROR(VLOOKUP($G577,基本資料!$A:$M,11,0),"無")</f>
        <v>-29.87</v>
      </c>
      <c r="AB577" s="389">
        <f>IFERROR(VLOOKUP($G577,基本資料!$A:$M,12,0),"無")</f>
        <v>63.95</v>
      </c>
      <c r="AC577" s="16" t="s">
        <v>167</v>
      </c>
      <c r="AF577" s="33">
        <f t="shared" si="114"/>
        <v>0</v>
      </c>
      <c r="AG577" s="117" t="s">
        <v>2321</v>
      </c>
      <c r="AH577" s="66">
        <f t="shared" si="109"/>
        <v>0.34814011247823229</v>
      </c>
      <c r="AI577" s="283">
        <f>RTD("money.excel",,$G577,"PredictVolume")</f>
        <v>2439</v>
      </c>
      <c r="AJ577" s="391">
        <f>IFERROR(VLOOKUP($G577,基本資料!$A:$M,13,0),"無")</f>
        <v>7005.8</v>
      </c>
      <c r="AR577" s="245" t="str">
        <f>INDEX(基本資料!N:N,MATCH($G577,基本資料!A:A,0))</f>
        <v>低</v>
      </c>
    </row>
    <row r="578" spans="1:44">
      <c r="A578" s="343">
        <f>IFERROR(VLOOKUP($G578,基本資料!$A:$J,3,0),"無")</f>
        <v>9.67</v>
      </c>
      <c r="B578" s="79">
        <f>IFERROR(VLOOKUP($G578,基本資料!$A:$J,4,0),"無")</f>
        <v>22</v>
      </c>
      <c r="C578" s="79">
        <f>IFERROR(VLOOKUP($G578,基本資料!$A:$J,5,0),"無")</f>
        <v>21</v>
      </c>
      <c r="D578" s="79">
        <f>IFERROR(VLOOKUP($G578,基本資料!$A:$J,6,0),"無")</f>
        <v>-25</v>
      </c>
      <c r="E578" s="79">
        <f>IFERROR(VLOOKUP($G578,基本資料!$A:$J,7,0),"無")</f>
        <v>-16</v>
      </c>
      <c r="F578" s="6">
        <f>IFERROR(VLOOKUP($G578,基本資料!$A:$J,8,0),"無")</f>
        <v>16.239999999999998</v>
      </c>
      <c r="G578" s="79">
        <v>3413</v>
      </c>
      <c r="H578" s="8" t="s">
        <v>3038</v>
      </c>
      <c r="I578" s="22" t="s">
        <v>59</v>
      </c>
      <c r="J578" s="8">
        <f>IFERROR(VLOOKUP($G578,今日總結!$A:$AN,39,0),"")</f>
        <v>0</v>
      </c>
      <c r="K578" s="5" t="str">
        <f>IFERROR(VLOOKUP($G578,今日總結!$A:$AN,40,0),"")</f>
        <v>融</v>
      </c>
      <c r="L578" s="156">
        <f>IFERROR(VLOOKUP($G578,今日總結!$A:$AN,37,0),"")</f>
        <v>0</v>
      </c>
      <c r="M578" s="337">
        <f>IFERROR(VLOOKUP($G578,今日總結!$A:$AN,38,0),"")</f>
        <v>1</v>
      </c>
      <c r="N578" s="240">
        <f t="shared" si="115"/>
        <v>-1</v>
      </c>
      <c r="O578" s="359">
        <f>IFERROR(VLOOKUP($G578,融外自投!$A:$J,7,0),"無")</f>
        <v>309</v>
      </c>
      <c r="P578" s="79">
        <f>IFERROR(VLOOKUP($G578,融外自投!$A:$J,9,0),"無")</f>
        <v>946</v>
      </c>
      <c r="Q578" s="342">
        <f>IFERROR(VLOOKUP($G578,融外自投!$A:$J,8,0),"無")</f>
        <v>248</v>
      </c>
      <c r="R578" s="81">
        <f>IFERROR(VLOOKUP($G578,融外自投!$A:$J,10,0),"無")</f>
        <v>148</v>
      </c>
      <c r="S578" s="324">
        <f>IFERROR(VLOOKUP($G578,'321買'!$A:$E,4,0),"'沒有資料'")</f>
        <v>300</v>
      </c>
      <c r="T578" s="186">
        <f>IFERROR(VLOOKUP($G578,基本資料!$A:$J,9,0),"無")</f>
        <v>9.5</v>
      </c>
      <c r="U578" s="307">
        <f t="shared" si="111"/>
        <v>4.4289044289044288E-2</v>
      </c>
      <c r="V578" s="94">
        <f>IFERROR(VLOOKUP($G578,基本資料!$A:$J,10,0),"無")</f>
        <v>17.010000000000002</v>
      </c>
      <c r="W578" s="36">
        <f>RTD("money.excel",,"3413","Price")</f>
        <v>214.5</v>
      </c>
      <c r="X578" s="66"/>
      <c r="Y578" s="15">
        <f t="shared" si="112"/>
        <v>214.5</v>
      </c>
      <c r="Z578" s="3" t="e">
        <f t="shared" si="113"/>
        <v>#DIV/0!</v>
      </c>
      <c r="AA578" s="340">
        <f>IFERROR(VLOOKUP($G578,基本資料!$A:$M,11,0),"無")</f>
        <v>-19.96</v>
      </c>
      <c r="AB578" s="389">
        <f>IFERROR(VLOOKUP($G578,基本資料!$A:$M,12,0),"無")</f>
        <v>42.9</v>
      </c>
      <c r="AC578" s="22" t="s">
        <v>59</v>
      </c>
      <c r="AF578" s="33">
        <f t="shared" si="114"/>
        <v>0</v>
      </c>
      <c r="AG578" s="117" t="s">
        <v>1434</v>
      </c>
      <c r="AH578" s="66">
        <f t="shared" si="109"/>
        <v>1.074097997600812</v>
      </c>
      <c r="AI578" s="283">
        <f>RTD("money.excel",,$G578,"PredictVolume")</f>
        <v>582</v>
      </c>
      <c r="AJ578" s="391">
        <f>IFERROR(VLOOKUP($G578,基本資料!$A:$M,13,0),"無")</f>
        <v>541.85</v>
      </c>
      <c r="AR578" s="245" t="str">
        <f>INDEX(基本資料!N:N,MATCH($G578,基本資料!A:A,0))</f>
        <v>中</v>
      </c>
    </row>
    <row r="579" spans="1:44">
      <c r="A579" s="343">
        <f>IFERROR(VLOOKUP($G579,基本資料!$A:$J,3,0),"無")</f>
        <v>4.71</v>
      </c>
      <c r="B579" s="79">
        <f>IFERROR(VLOOKUP($G579,基本資料!$A:$J,4,0),"無")</f>
        <v>121</v>
      </c>
      <c r="C579" s="79">
        <f>IFERROR(VLOOKUP($G579,基本資料!$A:$J,5,0),"無")</f>
        <v>135</v>
      </c>
      <c r="D579" s="79">
        <f>IFERROR(VLOOKUP($G579,基本資料!$A:$J,6,0),"無")</f>
        <v>-11</v>
      </c>
      <c r="E579" s="79">
        <f>IFERROR(VLOOKUP($G579,基本資料!$A:$J,7,0),"無")</f>
        <v>-13</v>
      </c>
      <c r="F579" s="6">
        <f>IFERROR(VLOOKUP($G579,基本資料!$A:$J,8,0),"無")</f>
        <v>19.690000000000001</v>
      </c>
      <c r="G579" s="79">
        <v>3438</v>
      </c>
      <c r="H579" s="145" t="s">
        <v>307</v>
      </c>
      <c r="I579" s="16" t="s">
        <v>362</v>
      </c>
      <c r="J579" s="8">
        <f>IFERROR(VLOOKUP($G579,今日總結!$A:$AN,39,0),"")</f>
        <v>0</v>
      </c>
      <c r="K579" s="5">
        <f>IFERROR(VLOOKUP($G579,今日總結!$A:$AN,40,0),"")</f>
        <v>0</v>
      </c>
      <c r="L579" s="156">
        <f>IFERROR(VLOOKUP($G579,今日總結!$A:$AN,37,0),"")</f>
        <v>0</v>
      </c>
      <c r="M579" s="337">
        <f>IFERROR(VLOOKUP($G579,今日總結!$A:$AN,38,0),"")</f>
        <v>0</v>
      </c>
      <c r="N579" s="240">
        <f t="shared" si="115"/>
        <v>0</v>
      </c>
      <c r="O579" s="359">
        <f>IFERROR(VLOOKUP($G579,融外自投!$A:$J,7,0),"無")</f>
        <v>332</v>
      </c>
      <c r="P579" s="79">
        <f>IFERROR(VLOOKUP($G579,融外自投!$A:$J,9,0),"無")</f>
        <v>29</v>
      </c>
      <c r="Q579" s="342">
        <f>IFERROR(VLOOKUP($G579,融外自投!$A:$J,8,0),"無")</f>
        <v>1055</v>
      </c>
      <c r="R579" s="81" t="str">
        <f>IFERROR(VLOOKUP($G579,融外自投!$A:$J,10,0),"無")</f>
        <v>無</v>
      </c>
      <c r="S579" s="324">
        <f>IFERROR(VLOOKUP($G579,'321買'!$A:$E,4,0),"'沒有資料'")</f>
        <v>530</v>
      </c>
      <c r="T579" s="186">
        <f>IFERROR(VLOOKUP($G579,基本資料!$A:$J,9,0),"無")</f>
        <v>3.6</v>
      </c>
      <c r="U579" s="307">
        <f t="shared" si="111"/>
        <v>5.3097345132743369E-2</v>
      </c>
      <c r="V579" s="94">
        <f>IFERROR(VLOOKUP($G579,基本資料!$A:$J,10,0),"無")</f>
        <v>5.14</v>
      </c>
      <c r="W579" s="36">
        <f>RTD("money.excel",,"3438","Price")</f>
        <v>67.8</v>
      </c>
      <c r="X579" s="66"/>
      <c r="Y579" s="15">
        <f t="shared" si="112"/>
        <v>67.8</v>
      </c>
      <c r="Z579" s="3" t="e">
        <f t="shared" si="113"/>
        <v>#DIV/0!</v>
      </c>
      <c r="AA579" s="340">
        <f>IFERROR(VLOOKUP($G579,基本資料!$A:$M,11,0),"無")</f>
        <v>-43.26</v>
      </c>
      <c r="AB579" s="389">
        <f>IFERROR(VLOOKUP($G579,基本資料!$A:$M,12,0),"無")</f>
        <v>28.41</v>
      </c>
      <c r="AC579" s="16" t="s">
        <v>362</v>
      </c>
      <c r="AF579" s="33">
        <f t="shared" si="114"/>
        <v>0</v>
      </c>
      <c r="AG579" s="43" t="s">
        <v>1437</v>
      </c>
      <c r="AH579" s="66">
        <f t="shared" si="109"/>
        <v>4.2080253431890178</v>
      </c>
      <c r="AI579" s="283">
        <f>RTD("money.excel",,$G579,"PredictVolume")</f>
        <v>797</v>
      </c>
      <c r="AJ579" s="391">
        <f>IFERROR(VLOOKUP($G579,基本資料!$A:$M,13,0),"無")</f>
        <v>189.4</v>
      </c>
      <c r="AR579" s="245" t="str">
        <f>INDEX(基本資料!N:N,MATCH($G579,基本資料!A:A,0))</f>
        <v>低</v>
      </c>
    </row>
    <row r="580" spans="1:44">
      <c r="A580" s="343">
        <f>IFERROR(VLOOKUP($G580,基本資料!$A:$J,3,0),"無")</f>
        <v>13.4</v>
      </c>
      <c r="B580" s="79">
        <f>IFERROR(VLOOKUP($G580,基本資料!$A:$J,4,0),"無")</f>
        <v>71</v>
      </c>
      <c r="C580" s="79">
        <f>IFERROR(VLOOKUP($G580,基本資料!$A:$J,5,0),"無")</f>
        <v>73</v>
      </c>
      <c r="D580" s="79">
        <f>IFERROR(VLOOKUP($G580,基本資料!$A:$J,6,0),"無")</f>
        <v>17</v>
      </c>
      <c r="E580" s="79">
        <f>IFERROR(VLOOKUP($G580,基本資料!$A:$J,7,0),"無")</f>
        <v>75</v>
      </c>
      <c r="F580" s="6">
        <f>IFERROR(VLOOKUP($G580,基本資料!$A:$J,8,0),"無")</f>
        <v>11.08</v>
      </c>
      <c r="G580" s="79">
        <v>3443</v>
      </c>
      <c r="H580" s="192" t="s">
        <v>307</v>
      </c>
      <c r="I580" s="22" t="s">
        <v>49</v>
      </c>
      <c r="J580" s="8" t="str">
        <f>IFERROR(VLOOKUP($G580,今日總結!$A:$AN,39,0),"")</f>
        <v>主</v>
      </c>
      <c r="K580" s="5" t="str">
        <f>IFERROR(VLOOKUP($G580,今日總結!$A:$AN,40,0),"")</f>
        <v>券</v>
      </c>
      <c r="L580" s="156">
        <f>IFERROR(VLOOKUP($G580,今日總結!$A:$AN,37,0),"")</f>
        <v>1</v>
      </c>
      <c r="M580" s="337">
        <f>IFERROR(VLOOKUP($G580,今日總結!$A:$AN,38,0),"")</f>
        <v>1</v>
      </c>
      <c r="N580" s="240">
        <f t="shared" si="115"/>
        <v>0</v>
      </c>
      <c r="O580" s="359">
        <f>IFERROR(VLOOKUP($G580,融外自投!$A:$J,7,0),"無")</f>
        <v>723</v>
      </c>
      <c r="P580" s="79">
        <f>IFERROR(VLOOKUP($G580,融外自投!$A:$J,9,0),"無")</f>
        <v>43</v>
      </c>
      <c r="Q580" s="342">
        <f>IFERROR(VLOOKUP($G580,融外自投!$A:$J,8,0),"無")</f>
        <v>132</v>
      </c>
      <c r="R580" s="81">
        <f>IFERROR(VLOOKUP($G580,融外自投!$A:$J,10,0),"無")</f>
        <v>33</v>
      </c>
      <c r="S580" s="324">
        <f>IFERROR(VLOOKUP($G580,'321買'!$A:$E,4,0),"'沒有資料'")</f>
        <v>86</v>
      </c>
      <c r="T580" s="186">
        <f>IFERROR(VLOOKUP($G580,基本資料!$A:$J,9,0),"無")</f>
        <v>7</v>
      </c>
      <c r="U580" s="307">
        <f t="shared" si="111"/>
        <v>1.3539651837524178E-2</v>
      </c>
      <c r="V580" s="94">
        <f>IFERROR(VLOOKUP($G580,基本資料!$A:$J,10,0),"無")</f>
        <v>10.9</v>
      </c>
      <c r="W580" s="36">
        <f>RTD("money.excel",,"3443","Price")</f>
        <v>517</v>
      </c>
      <c r="X580" s="66"/>
      <c r="Y580" s="15">
        <f t="shared" si="112"/>
        <v>517</v>
      </c>
      <c r="Z580" s="3" t="e">
        <f t="shared" si="113"/>
        <v>#DIV/0!</v>
      </c>
      <c r="AA580" s="340">
        <f>IFERROR(VLOOKUP($G580,基本資料!$A:$M,11,0),"無")</f>
        <v>-21.79</v>
      </c>
      <c r="AB580" s="389">
        <f>IFERROR(VLOOKUP($G580,基本資料!$A:$M,12,0),"無")</f>
        <v>70.05</v>
      </c>
      <c r="AC580" s="22" t="s">
        <v>49</v>
      </c>
      <c r="AF580" s="33">
        <f t="shared" si="114"/>
        <v>0</v>
      </c>
      <c r="AG580" s="117" t="s">
        <v>3314</v>
      </c>
      <c r="AH580" s="66">
        <f t="shared" si="109"/>
        <v>1.2173537081323551</v>
      </c>
      <c r="AI580" s="283">
        <f>RTD("money.excel",,$G580,"PredictVolume")</f>
        <v>4505</v>
      </c>
      <c r="AJ580" s="391">
        <f>IFERROR(VLOOKUP($G580,基本資料!$A:$M,13,0),"無")</f>
        <v>3700.65</v>
      </c>
      <c r="AR580" s="245" t="str">
        <f>INDEX(基本資料!N:N,MATCH($G580,基本資料!A:A,0))</f>
        <v>中</v>
      </c>
    </row>
    <row r="581" spans="1:44">
      <c r="A581" s="343">
        <f>IFERROR(VLOOKUP($G581,基本資料!$A:$J,3,0),"無")</f>
        <v>4.4400000000000004</v>
      </c>
      <c r="B581" s="79">
        <f>IFERROR(VLOOKUP($G581,基本資料!$A:$J,4,0),"無")</f>
        <v>730</v>
      </c>
      <c r="C581" s="79">
        <f>IFERROR(VLOOKUP($G581,基本資料!$A:$J,5,0),"無")</f>
        <v>2520</v>
      </c>
      <c r="D581" s="79">
        <f>IFERROR(VLOOKUP($G581,基本資料!$A:$J,6,0),"無")</f>
        <v>16</v>
      </c>
      <c r="E581" s="79">
        <f>IFERROR(VLOOKUP($G581,基本資料!$A:$J,7,0),"無")</f>
        <v>29</v>
      </c>
      <c r="F581" s="6">
        <f>IFERROR(VLOOKUP($G581,基本資料!$A:$J,8,0),"無")</f>
        <v>18.47</v>
      </c>
      <c r="G581" s="79">
        <v>3527</v>
      </c>
      <c r="H581" s="8" t="s">
        <v>3038</v>
      </c>
      <c r="I581" s="16" t="s">
        <v>326</v>
      </c>
      <c r="J581" s="8">
        <f>IFERROR(VLOOKUP($G581,今日總結!$A:$AN,39,0),"")</f>
        <v>0</v>
      </c>
      <c r="K581" s="5">
        <f>IFERROR(VLOOKUP($G581,今日總結!$A:$AN,40,0),"")</f>
        <v>0</v>
      </c>
      <c r="L581" s="156">
        <f>IFERROR(VLOOKUP($G581,今日總結!$A:$AN,37,0),"")</f>
        <v>0</v>
      </c>
      <c r="M581" s="337">
        <f>IFERROR(VLOOKUP($G581,今日總結!$A:$AN,38,0),"")</f>
        <v>0</v>
      </c>
      <c r="N581" s="240">
        <f t="shared" si="115"/>
        <v>0</v>
      </c>
      <c r="O581" s="359">
        <f>IFERROR(VLOOKUP($G581,融外自投!$A:$J,7,0),"無")</f>
        <v>105</v>
      </c>
      <c r="P581" s="79">
        <f>IFERROR(VLOOKUP($G581,融外自投!$A:$J,9,0),"無")</f>
        <v>313</v>
      </c>
      <c r="Q581" s="342">
        <f>IFERROR(VLOOKUP($G581,融外自投!$A:$J,8,0),"無")</f>
        <v>615</v>
      </c>
      <c r="R581" s="81">
        <f>IFERROR(VLOOKUP($G581,融外自投!$A:$J,10,0),"無")</f>
        <v>198</v>
      </c>
      <c r="S581" s="324">
        <f>IFERROR(VLOOKUP($G581,'321買'!$A:$E,4,0),"'沒有資料'")</f>
        <v>49</v>
      </c>
      <c r="T581" s="186">
        <f>IFERROR(VLOOKUP($G581,基本資料!$A:$J,9,0),"無")</f>
        <v>8</v>
      </c>
      <c r="U581" s="307">
        <f t="shared" si="111"/>
        <v>4.9689440993788817E-2</v>
      </c>
      <c r="V581" s="94">
        <f>IFERROR(VLOOKUP($G581,基本資料!$A:$J,10,0),"無")</f>
        <v>12.69</v>
      </c>
      <c r="W581" s="36">
        <f>RTD("money.excel",,"3527","Price")</f>
        <v>161</v>
      </c>
      <c r="X581" s="66"/>
      <c r="Y581" s="15">
        <f t="shared" si="112"/>
        <v>161</v>
      </c>
      <c r="Z581" s="3" t="e">
        <f t="shared" si="113"/>
        <v>#DIV/0!</v>
      </c>
      <c r="AA581" s="340">
        <f>IFERROR(VLOOKUP($G581,基本資料!$A:$M,11,0),"無")</f>
        <v>-42.29</v>
      </c>
      <c r="AB581" s="389">
        <f>IFERROR(VLOOKUP($G581,基本資料!$A:$M,12,0),"無")</f>
        <v>59.04</v>
      </c>
      <c r="AC581" s="16" t="s">
        <v>326</v>
      </c>
      <c r="AF581" s="33">
        <f t="shared" si="114"/>
        <v>0</v>
      </c>
      <c r="AG581" s="43" t="s">
        <v>2355</v>
      </c>
      <c r="AH581" s="66">
        <f t="shared" ref="AH581:AH644" si="116">AI581/AJ581</f>
        <v>1.5348492338111714</v>
      </c>
      <c r="AI581" s="283">
        <f>RTD("money.excel",,$G581,"PredictVolume")</f>
        <v>1242</v>
      </c>
      <c r="AJ581" s="391">
        <f>IFERROR(VLOOKUP($G581,基本資料!$A:$M,13,0),"無")</f>
        <v>809.2</v>
      </c>
      <c r="AR581" s="245" t="str">
        <f>INDEX(基本資料!N:N,MATCH($G581,基本資料!A:A,0))</f>
        <v>低</v>
      </c>
    </row>
    <row r="582" spans="1:44">
      <c r="A582" s="343">
        <f>IFERROR(VLOOKUP($G582,基本資料!$A:$J,3,0),"無")</f>
        <v>7.61</v>
      </c>
      <c r="B582" s="79">
        <f>IFERROR(VLOOKUP($G582,基本資料!$A:$J,4,0),"無")</f>
        <v>54</v>
      </c>
      <c r="C582" s="79">
        <f>IFERROR(VLOOKUP($G582,基本資料!$A:$J,5,0),"無")</f>
        <v>54</v>
      </c>
      <c r="D582" s="79">
        <f>IFERROR(VLOOKUP($G582,基本資料!$A:$J,6,0),"無")</f>
        <v>729</v>
      </c>
      <c r="E582" s="79">
        <f>IFERROR(VLOOKUP($G582,基本資料!$A:$J,7,0),"無")</f>
        <v>45</v>
      </c>
      <c r="F582" s="6">
        <f>IFERROR(VLOOKUP($G582,基本資料!$A:$J,8,0),"無")</f>
        <v>53.68</v>
      </c>
      <c r="G582" s="79">
        <v>3529</v>
      </c>
      <c r="H582" s="145" t="s">
        <v>3038</v>
      </c>
      <c r="I582" s="16" t="s">
        <v>36</v>
      </c>
      <c r="J582" s="8">
        <f>IFERROR(VLOOKUP($G582,今日總結!$A:$AN,39,0),"")</f>
        <v>0</v>
      </c>
      <c r="K582" s="5">
        <f>IFERROR(VLOOKUP($G582,今日總結!$A:$AN,40,0),"")</f>
        <v>0</v>
      </c>
      <c r="L582" s="156">
        <f>IFERROR(VLOOKUP($G582,今日總結!$A:$AN,37,0),"")</f>
        <v>0</v>
      </c>
      <c r="M582" s="337">
        <f>IFERROR(VLOOKUP($G582,今日總結!$A:$AN,38,0),"")</f>
        <v>0</v>
      </c>
      <c r="N582" s="240">
        <f t="shared" si="115"/>
        <v>0</v>
      </c>
      <c r="O582" s="359">
        <f>IFERROR(VLOOKUP($G582,融外自投!$A:$J,7,0),"無")</f>
        <v>859</v>
      </c>
      <c r="P582" s="79">
        <f>IFERROR(VLOOKUP($G582,融外自投!$A:$J,9,0),"無")</f>
        <v>14</v>
      </c>
      <c r="Q582" s="342">
        <f>IFERROR(VLOOKUP($G582,融外自投!$A:$J,8,0),"無")</f>
        <v>53</v>
      </c>
      <c r="R582" s="81">
        <f>IFERROR(VLOOKUP($G582,融外自投!$A:$J,10,0),"無")</f>
        <v>13</v>
      </c>
      <c r="S582" s="324">
        <f>IFERROR(VLOOKUP($G582,'321買'!$A:$E,4,0),"'沒有資料'")</f>
        <v>497</v>
      </c>
      <c r="T582" s="186">
        <f>IFERROR(VLOOKUP($G582,基本資料!$A:$J,9,0),"無")</f>
        <v>14</v>
      </c>
      <c r="U582" s="307">
        <f t="shared" si="111"/>
        <v>1.064638783269962E-2</v>
      </c>
      <c r="V582" s="94">
        <f>IFERROR(VLOOKUP($G582,基本資料!$A:$J,10,0),"無")</f>
        <v>14.78</v>
      </c>
      <c r="W582" s="366">
        <f>RTD("money.excel",,"3529","Price")</f>
        <v>1315</v>
      </c>
      <c r="X582" s="66"/>
      <c r="Y582" s="137">
        <f t="shared" si="112"/>
        <v>1315</v>
      </c>
      <c r="Z582" s="3" t="e">
        <f t="shared" si="113"/>
        <v>#DIV/0!</v>
      </c>
      <c r="AA582" s="340">
        <f>IFERROR(VLOOKUP($G582,基本資料!$A:$M,11,0),"無")</f>
        <v>-47.82</v>
      </c>
      <c r="AB582" s="389">
        <f>IFERROR(VLOOKUP($G582,基本資料!$A:$M,12,0),"無")</f>
        <v>28.8</v>
      </c>
      <c r="AC582" s="16" t="s">
        <v>36</v>
      </c>
      <c r="AF582" s="33">
        <f t="shared" si="114"/>
        <v>0</v>
      </c>
      <c r="AG582" s="117" t="s">
        <v>2923</v>
      </c>
      <c r="AH582" s="66">
        <f t="shared" si="116"/>
        <v>1.2441262027299171</v>
      </c>
      <c r="AI582" s="283">
        <f>RTD("money.excel",,$G582,"PredictVolume")</f>
        <v>1668</v>
      </c>
      <c r="AJ582" s="391">
        <f>IFERROR(VLOOKUP($G582,基本資料!$A:$M,13,0),"無")</f>
        <v>1340.7</v>
      </c>
      <c r="AR582" s="245" t="str">
        <f>INDEX(基本資料!N:N,MATCH($G582,基本資料!A:A,0))</f>
        <v>低</v>
      </c>
    </row>
    <row r="583" spans="1:44">
      <c r="A583" s="343">
        <f>IFERROR(VLOOKUP($G583,基本資料!$A:$J,3,0),"無")</f>
        <v>7.81</v>
      </c>
      <c r="B583" s="79">
        <f>IFERROR(VLOOKUP($G583,基本資料!$A:$J,4,0),"無")</f>
        <v>163</v>
      </c>
      <c r="C583" s="79">
        <f>IFERROR(VLOOKUP($G583,基本資料!$A:$J,5,0),"無")</f>
        <v>174</v>
      </c>
      <c r="D583" s="79">
        <f>IFERROR(VLOOKUP($G583,基本資料!$A:$J,6,0),"無")</f>
        <v>-11</v>
      </c>
      <c r="E583" s="79">
        <f>IFERROR(VLOOKUP($G583,基本資料!$A:$J,7,0),"無")</f>
        <v>-18</v>
      </c>
      <c r="F583" s="6">
        <f>IFERROR(VLOOKUP($G583,基本資料!$A:$J,8,0),"無")</f>
        <v>22.12</v>
      </c>
      <c r="G583" s="79">
        <v>3530</v>
      </c>
      <c r="H583" s="195" t="s">
        <v>3038</v>
      </c>
      <c r="I583" s="22" t="s">
        <v>515</v>
      </c>
      <c r="J583" s="8" t="str">
        <f>IFERROR(VLOOKUP($G583,今日總結!$A:$AN,39,0),"")</f>
        <v>主</v>
      </c>
      <c r="K583" s="5">
        <f>IFERROR(VLOOKUP($G583,今日總結!$A:$AN,40,0),"")</f>
        <v>0</v>
      </c>
      <c r="L583" s="156">
        <f>IFERROR(VLOOKUP($G583,今日總結!$A:$AN,37,0),"")</f>
        <v>6</v>
      </c>
      <c r="M583" s="337">
        <f>IFERROR(VLOOKUP($G583,今日總結!$A:$AN,38,0),"")</f>
        <v>0</v>
      </c>
      <c r="N583" s="240">
        <f t="shared" si="115"/>
        <v>6</v>
      </c>
      <c r="O583" s="359">
        <f>IFERROR(VLOOKUP($G583,融外自投!$A:$J,7,0),"無")</f>
        <v>247</v>
      </c>
      <c r="P583" s="79">
        <f>IFERROR(VLOOKUP($G583,融外自投!$A:$J,9,0),"無")</f>
        <v>261</v>
      </c>
      <c r="Q583" s="342">
        <f>IFERROR(VLOOKUP($G583,融外自投!$A:$J,8,0),"無")</f>
        <v>99</v>
      </c>
      <c r="R583" s="81">
        <f>IFERROR(VLOOKUP($G583,融外自投!$A:$J,10,0),"無")</f>
        <v>439</v>
      </c>
      <c r="S583" s="324">
        <f>IFERROR(VLOOKUP($G583,'321買'!$A:$E,4,0),"'沒有資料'")</f>
        <v>117</v>
      </c>
      <c r="T583" s="186">
        <f>IFERROR(VLOOKUP($G583,基本資料!$A:$J,9,0),"無")</f>
        <v>3.5</v>
      </c>
      <c r="U583" s="307">
        <f t="shared" si="111"/>
        <v>2.8688524590163935E-2</v>
      </c>
      <c r="V583" s="94">
        <f>IFERROR(VLOOKUP($G583,基本資料!$A:$J,10,0),"無")</f>
        <v>9.61</v>
      </c>
      <c r="W583" s="36">
        <f>RTD("money.excel",,"3530","Price")</f>
        <v>122</v>
      </c>
      <c r="X583" s="66"/>
      <c r="Y583" s="15">
        <f t="shared" si="112"/>
        <v>122</v>
      </c>
      <c r="Z583" s="3" t="e">
        <f t="shared" si="113"/>
        <v>#DIV/0!</v>
      </c>
      <c r="AA583" s="340">
        <f>IFERROR(VLOOKUP($G583,基本資料!$A:$M,11,0),"無")</f>
        <v>-49.69</v>
      </c>
      <c r="AB583" s="389">
        <f>IFERROR(VLOOKUP($G583,基本資料!$A:$M,12,0),"無")</f>
        <v>75.72</v>
      </c>
      <c r="AC583" s="22" t="s">
        <v>515</v>
      </c>
      <c r="AF583" s="33">
        <f t="shared" si="114"/>
        <v>0</v>
      </c>
      <c r="AG583" s="43" t="s">
        <v>2312</v>
      </c>
      <c r="AH583" s="66">
        <f t="shared" si="116"/>
        <v>0.18962564228040127</v>
      </c>
      <c r="AI583" s="283">
        <f>RTD("money.excel",,$G583,"PredictVolume")</f>
        <v>155</v>
      </c>
      <c r="AJ583" s="391">
        <f>IFERROR(VLOOKUP($G583,基本資料!$A:$M,13,0),"無")</f>
        <v>817.4</v>
      </c>
      <c r="AR583" s="245" t="str">
        <f>INDEX(基本資料!N:N,MATCH($G583,基本資料!A:A,0))</f>
        <v>低</v>
      </c>
    </row>
    <row r="584" spans="1:44">
      <c r="A584" s="343">
        <f>IFERROR(VLOOKUP($G584,基本資料!$A:$J,3,0),"無")</f>
        <v>38.78</v>
      </c>
      <c r="B584" s="79">
        <f>IFERROR(VLOOKUP($G584,基本資料!$A:$J,4,0),"無")</f>
        <v>7</v>
      </c>
      <c r="C584" s="79">
        <f>IFERROR(VLOOKUP($G584,基本資料!$A:$J,5,0),"無")</f>
        <v>-1</v>
      </c>
      <c r="D584" s="79">
        <f>IFERROR(VLOOKUP($G584,基本資料!$A:$J,6,0),"無")</f>
        <v>2</v>
      </c>
      <c r="E584" s="79">
        <f>IFERROR(VLOOKUP($G584,基本資料!$A:$J,7,0),"無")</f>
        <v>39</v>
      </c>
      <c r="F584" s="6">
        <f>IFERROR(VLOOKUP($G584,基本資料!$A:$J,8,0),"無")</f>
        <v>14.93</v>
      </c>
      <c r="G584" s="79">
        <v>3532</v>
      </c>
      <c r="H584" s="8" t="s">
        <v>3038</v>
      </c>
      <c r="I584" s="22" t="s">
        <v>43</v>
      </c>
      <c r="J584" s="8" t="str">
        <f>IFERROR(VLOOKUP($G584,今日總結!$A:$AN,39,0),"")</f>
        <v>6投</v>
      </c>
      <c r="K584" s="5">
        <f>IFERROR(VLOOKUP($G584,今日總結!$A:$AN,40,0),"")</f>
        <v>0</v>
      </c>
      <c r="L584" s="156">
        <f>IFERROR(VLOOKUP($G584,今日總結!$A:$AN,37,0),"")</f>
        <v>6</v>
      </c>
      <c r="M584" s="337">
        <f>IFERROR(VLOOKUP($G584,今日總結!$A:$AN,38,0),"")</f>
        <v>0</v>
      </c>
      <c r="N584" s="240">
        <f t="shared" si="115"/>
        <v>6</v>
      </c>
      <c r="O584" s="359">
        <f>IFERROR(VLOOKUP($G584,融外自投!$A:$J,7,0),"無")</f>
        <v>766</v>
      </c>
      <c r="P584" s="79">
        <f>IFERROR(VLOOKUP($G584,融外自投!$A:$J,9,0),"無")</f>
        <v>38</v>
      </c>
      <c r="Q584" s="342">
        <f>IFERROR(VLOOKUP($G584,融外自投!$A:$J,8,0),"無")</f>
        <v>80</v>
      </c>
      <c r="R584" s="81">
        <f>IFERROR(VLOOKUP($G584,融外自投!$A:$J,10,0),"無")</f>
        <v>83</v>
      </c>
      <c r="S584" s="324">
        <f>IFERROR(VLOOKUP($G584,'321買'!$A:$E,4,0),"'沒有資料'")</f>
        <v>253</v>
      </c>
      <c r="T584" s="186">
        <f>IFERROR(VLOOKUP($G584,基本資料!$A:$J,9,0),"無")</f>
        <v>2.2200000000000002</v>
      </c>
      <c r="U584" s="307">
        <f t="shared" si="111"/>
        <v>9.5689655172413804E-3</v>
      </c>
      <c r="V584" s="94">
        <f>IFERROR(VLOOKUP($G584,基本資料!$A:$J,10,0),"無")</f>
        <v>3.64</v>
      </c>
      <c r="W584" s="36">
        <f>RTD("money.excel",,"3532","Price")</f>
        <v>232</v>
      </c>
      <c r="X584" s="66"/>
      <c r="Y584" s="15">
        <f t="shared" si="112"/>
        <v>232</v>
      </c>
      <c r="Z584" s="3" t="e">
        <f t="shared" si="113"/>
        <v>#DIV/0!</v>
      </c>
      <c r="AA584" s="340">
        <f>IFERROR(VLOOKUP($G584,基本資料!$A:$M,11,0),"無")</f>
        <v>-38.299999999999997</v>
      </c>
      <c r="AB584" s="389">
        <f>IFERROR(VLOOKUP($G584,基本資料!$A:$M,12,0),"無")</f>
        <v>19.23</v>
      </c>
      <c r="AC584" s="22" t="s">
        <v>43</v>
      </c>
      <c r="AF584" s="33">
        <f t="shared" si="114"/>
        <v>0</v>
      </c>
      <c r="AG584" s="117" t="s">
        <v>2560</v>
      </c>
      <c r="AH584" s="66">
        <f t="shared" si="116"/>
        <v>2.9687965481121288</v>
      </c>
      <c r="AI584" s="283">
        <f>RTD("money.excel",,$G584,"PredictVolume")</f>
        <v>30893</v>
      </c>
      <c r="AJ584" s="391">
        <f>IFERROR(VLOOKUP($G584,基本資料!$A:$M,13,0),"無")</f>
        <v>10405.9</v>
      </c>
      <c r="AR584" s="245" t="str">
        <f>INDEX(基本資料!N:N,MATCH($G584,基本資料!A:A,0))</f>
        <v>中</v>
      </c>
    </row>
    <row r="585" spans="1:44">
      <c r="A585" s="343">
        <f>IFERROR(VLOOKUP($G585,基本資料!$A:$J,3,0),"無")</f>
        <v>10.68</v>
      </c>
      <c r="B585" s="79">
        <f>IFERROR(VLOOKUP($G585,基本資料!$A:$J,4,0),"無")</f>
        <v>21</v>
      </c>
      <c r="C585" s="79">
        <f>IFERROR(VLOOKUP($G585,基本資料!$A:$J,5,0),"無")</f>
        <v>10</v>
      </c>
      <c r="D585" s="79">
        <f>IFERROR(VLOOKUP($G585,基本資料!$A:$J,6,0),"無")</f>
        <v>-18</v>
      </c>
      <c r="E585" s="79">
        <f>IFERROR(VLOOKUP($G585,基本資料!$A:$J,7,0),"無")</f>
        <v>-30</v>
      </c>
      <c r="F585" s="6">
        <f>IFERROR(VLOOKUP($G585,基本資料!$A:$J,8,0),"無")</f>
        <v>-16.04</v>
      </c>
      <c r="G585" s="79">
        <v>3536</v>
      </c>
      <c r="H585" s="8" t="s">
        <v>3038</v>
      </c>
      <c r="I585" s="22" t="s">
        <v>4049</v>
      </c>
      <c r="J585" s="8" t="str">
        <f>IFERROR(VLOOKUP($G585,今日總結!$A:$AN,39,0),"")</f>
        <v/>
      </c>
      <c r="K585" s="5" t="str">
        <f>IFERROR(VLOOKUP($G585,今日總結!$A:$AN,40,0),"")</f>
        <v/>
      </c>
      <c r="L585" s="156" t="str">
        <f>IFERROR(VLOOKUP($G585,今日總結!$A:$AN,37,0),"")</f>
        <v/>
      </c>
      <c r="M585" s="337" t="str">
        <f>IFERROR(VLOOKUP($G585,今日總結!$A:$AN,38,0),"")</f>
        <v/>
      </c>
      <c r="N585" s="240" t="str">
        <f t="shared" si="115"/>
        <v/>
      </c>
      <c r="O585" s="359" t="str">
        <f>IFERROR(VLOOKUP($G585,融外自投!$A:$J,7,0),"無")</f>
        <v>無</v>
      </c>
      <c r="P585" s="79" t="str">
        <f>IFERROR(VLOOKUP($G585,融外自投!$A:$J,9,0),"無")</f>
        <v>無</v>
      </c>
      <c r="Q585" s="342" t="str">
        <f>IFERROR(VLOOKUP($G585,融外自投!$A:$J,8,0),"無")</f>
        <v>無</v>
      </c>
      <c r="R585" s="81" t="str">
        <f>IFERROR(VLOOKUP($G585,融外自投!$A:$J,10,0),"無")</f>
        <v>無</v>
      </c>
      <c r="S585" s="324" t="str">
        <f>IFERROR(VLOOKUP($G585,'321買'!$A:$E,4,0),"'沒有資料'")</f>
        <v>'沒有資料'</v>
      </c>
      <c r="T585" s="186">
        <f>IFERROR(VLOOKUP($G585,基本資料!$A:$J,9,0),"無")</f>
        <v>0</v>
      </c>
      <c r="U585" s="307">
        <f t="shared" si="111"/>
        <v>0</v>
      </c>
      <c r="V585" s="94">
        <f>IFERROR(VLOOKUP($G585,基本資料!$A:$J,10,0),"無")</f>
        <v>-0.88</v>
      </c>
      <c r="W585" s="36">
        <f>RTD("money.excel",,"3536","Price")</f>
        <v>4.83</v>
      </c>
      <c r="X585" s="66"/>
      <c r="Y585" s="15">
        <f t="shared" si="112"/>
        <v>4.83</v>
      </c>
      <c r="Z585" s="3" t="e">
        <f t="shared" si="113"/>
        <v>#DIV/0!</v>
      </c>
      <c r="AA585" s="340">
        <f>IFERROR(VLOOKUP($G585,基本資料!$A:$M,11,0),"無")</f>
        <v>-42.36</v>
      </c>
      <c r="AB585" s="389">
        <f>IFERROR(VLOOKUP($G585,基本資料!$A:$M,12,0),"無")</f>
        <v>22.39</v>
      </c>
      <c r="AC585" s="22" t="s">
        <v>4049</v>
      </c>
      <c r="AF585" s="33">
        <f t="shared" si="114"/>
        <v>0</v>
      </c>
      <c r="AG585" s="43" t="s">
        <v>2177</v>
      </c>
      <c r="AH585" s="66">
        <f t="shared" si="116"/>
        <v>0.13351134846461948</v>
      </c>
      <c r="AI585" s="283">
        <f>RTD("money.excel",,$G585,"PredictVolume")</f>
        <v>5</v>
      </c>
      <c r="AJ585" s="391">
        <f>IFERROR(VLOOKUP($G585,基本資料!$A:$M,13,0),"無")</f>
        <v>37.450000000000003</v>
      </c>
      <c r="AR585" s="245" t="str">
        <f>INDEX(基本資料!N:N,MATCH($G585,基本資料!A:A,0))</f>
        <v>低</v>
      </c>
    </row>
    <row r="586" spans="1:44">
      <c r="A586" s="343">
        <f>IFERROR(VLOOKUP($G586,基本資料!$A:$J,3,0),"無")</f>
        <v>21.65</v>
      </c>
      <c r="B586" s="79">
        <f>IFERROR(VLOOKUP($G586,基本資料!$A:$J,4,0),"無")</f>
        <v>519</v>
      </c>
      <c r="C586" s="79">
        <f>IFERROR(VLOOKUP($G586,基本資料!$A:$J,5,0),"無")</f>
        <v>591</v>
      </c>
      <c r="D586" s="79">
        <f>IFERROR(VLOOKUP($G586,基本資料!$A:$J,6,0),"無")</f>
        <v>-10</v>
      </c>
      <c r="E586" s="79">
        <f>IFERROR(VLOOKUP($G586,基本資料!$A:$J,7,0),"無")</f>
        <v>-40</v>
      </c>
      <c r="F586" s="6">
        <f>IFERROR(VLOOKUP($G586,基本資料!$A:$J,8,0),"無")</f>
        <v>32.42</v>
      </c>
      <c r="G586" s="79">
        <v>3545</v>
      </c>
      <c r="H586" s="8" t="s">
        <v>3038</v>
      </c>
      <c r="I586" s="22" t="s">
        <v>347</v>
      </c>
      <c r="J586" s="8">
        <f>IFERROR(VLOOKUP($G586,今日總結!$A:$AN,39,0),"")</f>
        <v>0</v>
      </c>
      <c r="K586" s="5">
        <f>IFERROR(VLOOKUP($G586,今日總結!$A:$AN,40,0),"")</f>
        <v>0</v>
      </c>
      <c r="L586" s="156">
        <f>IFERROR(VLOOKUP($G586,今日總結!$A:$AN,37,0),"")</f>
        <v>0</v>
      </c>
      <c r="M586" s="337">
        <f>IFERROR(VLOOKUP($G586,今日總結!$A:$AN,38,0),"")</f>
        <v>0</v>
      </c>
      <c r="N586" s="240">
        <f t="shared" si="115"/>
        <v>0</v>
      </c>
      <c r="O586" s="359">
        <f>IFERROR(VLOOKUP($G586,融外自投!$A:$J,7,0),"無")</f>
        <v>56</v>
      </c>
      <c r="P586" s="79">
        <f>IFERROR(VLOOKUP($G586,融外自投!$A:$J,9,0),"無")</f>
        <v>88</v>
      </c>
      <c r="Q586" s="342">
        <f>IFERROR(VLOOKUP($G586,融外自投!$A:$J,8,0),"無")</f>
        <v>397</v>
      </c>
      <c r="R586" s="81">
        <f>IFERROR(VLOOKUP($G586,融外自投!$A:$J,10,0),"無")</f>
        <v>495</v>
      </c>
      <c r="S586" s="324">
        <f>IFERROR(VLOOKUP($G586,'321買'!$A:$E,4,0),"'沒有資料'")</f>
        <v>65</v>
      </c>
      <c r="T586" s="186">
        <f>IFERROR(VLOOKUP($G586,基本資料!$A:$J,9,0),"無")</f>
        <v>15.71</v>
      </c>
      <c r="U586" s="307">
        <f t="shared" si="111"/>
        <v>0.13902654867256639</v>
      </c>
      <c r="V586" s="94">
        <f>IFERROR(VLOOKUP($G586,基本資料!$A:$J,10,0),"無")</f>
        <v>30.23</v>
      </c>
      <c r="W586" s="36">
        <f>RTD("money.excel",,"3545","Price")</f>
        <v>113</v>
      </c>
      <c r="X586" s="66"/>
      <c r="Y586" s="15">
        <f t="shared" si="112"/>
        <v>113</v>
      </c>
      <c r="Z586" s="3" t="e">
        <f t="shared" si="113"/>
        <v>#DIV/0!</v>
      </c>
      <c r="AA586" s="340">
        <f>IFERROR(VLOOKUP($G586,基本資料!$A:$M,11,0),"無")</f>
        <v>-62.08</v>
      </c>
      <c r="AB586" s="389">
        <f>IFERROR(VLOOKUP($G586,基本資料!$A:$M,12,0),"無")</f>
        <v>10.71</v>
      </c>
      <c r="AC586" s="22" t="s">
        <v>347</v>
      </c>
      <c r="AF586" s="33">
        <f t="shared" si="114"/>
        <v>0</v>
      </c>
      <c r="AG586" s="43" t="s">
        <v>2343</v>
      </c>
      <c r="AH586" s="66">
        <f t="shared" si="116"/>
        <v>0.66882943221590441</v>
      </c>
      <c r="AI586" s="283">
        <f>RTD("money.excel",,$G586,"PredictVolume")</f>
        <v>2876</v>
      </c>
      <c r="AJ586" s="391">
        <f>IFERROR(VLOOKUP($G586,基本資料!$A:$M,13,0),"無")</f>
        <v>4300.05</v>
      </c>
      <c r="AR586" s="245" t="str">
        <f>INDEX(基本資料!N:N,MATCH($G586,基本資料!A:A,0))</f>
        <v>低</v>
      </c>
    </row>
    <row r="587" spans="1:44">
      <c r="A587" s="343">
        <f>IFERROR(VLOOKUP($G587,基本資料!$A:$J,3,0),"無")</f>
        <v>2.57</v>
      </c>
      <c r="B587" s="79">
        <f>IFERROR(VLOOKUP($G587,基本資料!$A:$J,4,0),"無")</f>
        <v>137</v>
      </c>
      <c r="C587" s="79">
        <f>IFERROR(VLOOKUP($G587,基本資料!$A:$J,5,0),"無")</f>
        <v>-20</v>
      </c>
      <c r="D587" s="79">
        <f>IFERROR(VLOOKUP($G587,基本資料!$A:$J,6,0),"無")</f>
        <v>-65</v>
      </c>
      <c r="E587" s="79">
        <f>IFERROR(VLOOKUP($G587,基本資料!$A:$J,7,0),"無")</f>
        <v>104</v>
      </c>
      <c r="F587" s="6">
        <f>IFERROR(VLOOKUP($G587,基本資料!$A:$J,8,0),"無")</f>
        <v>-200.52</v>
      </c>
      <c r="G587" s="79">
        <v>3555</v>
      </c>
      <c r="H587" s="145" t="s">
        <v>3038</v>
      </c>
      <c r="I587" s="16" t="s">
        <v>2954</v>
      </c>
      <c r="J587" s="8" t="str">
        <f>IFERROR(VLOOKUP($G587,今日總結!$A:$AN,39,0),"")</f>
        <v/>
      </c>
      <c r="K587" s="5" t="str">
        <f>IFERROR(VLOOKUP($G587,今日總結!$A:$AN,40,0),"")</f>
        <v/>
      </c>
      <c r="L587" s="156" t="str">
        <f>IFERROR(VLOOKUP($G587,今日總結!$A:$AN,37,0),"")</f>
        <v/>
      </c>
      <c r="M587" s="337" t="str">
        <f>IFERROR(VLOOKUP($G587,今日總結!$A:$AN,38,0),"")</f>
        <v/>
      </c>
      <c r="N587" s="240" t="str">
        <f t="shared" si="115"/>
        <v/>
      </c>
      <c r="O587" s="359">
        <f>IFERROR(VLOOKUP($G587,融外自投!$A:$J,7,0),"無")</f>
        <v>1348</v>
      </c>
      <c r="P587" s="79">
        <f>IFERROR(VLOOKUP($G587,融外自投!$A:$J,9,0),"無")</f>
        <v>1123</v>
      </c>
      <c r="Q587" s="342">
        <f>IFERROR(VLOOKUP($G587,融外自投!$A:$J,8,0),"無")</f>
        <v>878</v>
      </c>
      <c r="R587" s="81" t="str">
        <f>IFERROR(VLOOKUP($G587,融外自投!$A:$J,10,0),"無")</f>
        <v>無</v>
      </c>
      <c r="S587" s="324" t="str">
        <f>IFERROR(VLOOKUP($G587,'321買'!$A:$E,4,0),"'沒有資料'")</f>
        <v>'沒有資料'</v>
      </c>
      <c r="T587" s="186">
        <f>IFERROR(VLOOKUP($G587,基本資料!$A:$J,9,0),"無")</f>
        <v>0.2</v>
      </c>
      <c r="U587" s="307">
        <f t="shared" si="111"/>
        <v>6.2305295950155761E-3</v>
      </c>
      <c r="V587" s="94">
        <f>IFERROR(VLOOKUP($G587,基本資料!$A:$J,10,0),"無")</f>
        <v>0.93</v>
      </c>
      <c r="W587" s="36">
        <f>RTD("money.excel",,"3555","Price")</f>
        <v>32.1</v>
      </c>
      <c r="X587" s="66"/>
      <c r="Y587" s="15">
        <f t="shared" si="112"/>
        <v>32.1</v>
      </c>
      <c r="Z587" s="3" t="e">
        <f t="shared" si="113"/>
        <v>#DIV/0!</v>
      </c>
      <c r="AA587" s="340">
        <f>IFERROR(VLOOKUP($G587,基本資料!$A:$M,11,0),"無")</f>
        <v>-35.409999999999997</v>
      </c>
      <c r="AB587" s="389">
        <f>IFERROR(VLOOKUP($G587,基本資料!$A:$M,12,0),"無")</f>
        <v>16.440000000000001</v>
      </c>
      <c r="AC587" s="16" t="s">
        <v>2954</v>
      </c>
      <c r="AF587" s="33">
        <f t="shared" si="114"/>
        <v>0</v>
      </c>
      <c r="AG587" s="43" t="s">
        <v>2398</v>
      </c>
      <c r="AH587" s="66">
        <f t="shared" si="116"/>
        <v>0.23809523809523808</v>
      </c>
      <c r="AI587" s="283">
        <f>RTD("money.excel",,$G587,"PredictVolume")</f>
        <v>2</v>
      </c>
      <c r="AJ587" s="391">
        <f>IFERROR(VLOOKUP($G587,基本資料!$A:$M,13,0),"無")</f>
        <v>8.4</v>
      </c>
      <c r="AR587" s="245" t="str">
        <f>INDEX(基本資料!N:N,MATCH($G587,基本資料!A:A,0))</f>
        <v>低</v>
      </c>
    </row>
    <row r="588" spans="1:44">
      <c r="A588" s="343">
        <f>IFERROR(VLOOKUP($G588,基本資料!$A:$J,3,0),"無")</f>
        <v>6.12</v>
      </c>
      <c r="B588" s="79">
        <f>IFERROR(VLOOKUP($G588,基本資料!$A:$J,4,0),"無")</f>
        <v>60</v>
      </c>
      <c r="C588" s="79">
        <f>IFERROR(VLOOKUP($G588,基本資料!$A:$J,5,0),"無")</f>
        <v>61</v>
      </c>
      <c r="D588" s="79">
        <f>IFERROR(VLOOKUP($G588,基本資料!$A:$J,6,0),"無")</f>
        <v>-19</v>
      </c>
      <c r="E588" s="79">
        <f>IFERROR(VLOOKUP($G588,基本資料!$A:$J,7,0),"無")</f>
        <v>8</v>
      </c>
      <c r="F588" s="6">
        <f>IFERROR(VLOOKUP($G588,基本資料!$A:$J,8,0),"無")</f>
        <v>26.95</v>
      </c>
      <c r="G588" s="79">
        <v>3556</v>
      </c>
      <c r="H588" s="145" t="s">
        <v>3038</v>
      </c>
      <c r="I588" s="16" t="s">
        <v>363</v>
      </c>
      <c r="J588" s="8">
        <f>IFERROR(VLOOKUP($G588,今日總結!$A:$AN,39,0),"")</f>
        <v>0</v>
      </c>
      <c r="K588" s="5">
        <f>IFERROR(VLOOKUP($G588,今日總結!$A:$AN,40,0),"")</f>
        <v>0</v>
      </c>
      <c r="L588" s="156">
        <f>IFERROR(VLOOKUP($G588,今日總結!$A:$AN,37,0),"")</f>
        <v>0</v>
      </c>
      <c r="M588" s="337">
        <f>IFERROR(VLOOKUP($G588,今日總結!$A:$AN,38,0),"")</f>
        <v>0</v>
      </c>
      <c r="N588" s="240">
        <f t="shared" si="115"/>
        <v>0</v>
      </c>
      <c r="O588" s="359">
        <f>IFERROR(VLOOKUP($G588,融外自投!$A:$J,7,0),"無")</f>
        <v>222</v>
      </c>
      <c r="P588" s="79">
        <f>IFERROR(VLOOKUP($G588,融外自投!$A:$J,9,0),"無")</f>
        <v>331</v>
      </c>
      <c r="Q588" s="342">
        <f>IFERROR(VLOOKUP($G588,融外自投!$A:$J,8,0),"無")</f>
        <v>654</v>
      </c>
      <c r="R588" s="81">
        <f>IFERROR(VLOOKUP($G588,融外自投!$A:$J,10,0),"無")</f>
        <v>300</v>
      </c>
      <c r="S588" s="324">
        <f>IFERROR(VLOOKUP($G588,'321買'!$A:$E,4,0),"'沒有資料'")</f>
        <v>79</v>
      </c>
      <c r="T588" s="186">
        <f>IFERROR(VLOOKUP($G588,基本資料!$A:$J,9,0),"無")</f>
        <v>5.4</v>
      </c>
      <c r="U588" s="307">
        <f t="shared" si="111"/>
        <v>7.040417209908735E-2</v>
      </c>
      <c r="V588" s="94">
        <f>IFERROR(VLOOKUP($G588,基本資料!$A:$J,10,0),"無")</f>
        <v>6.08</v>
      </c>
      <c r="W588" s="36">
        <f>RTD("money.excel",,"3556","Price")</f>
        <v>76.7</v>
      </c>
      <c r="X588" s="66"/>
      <c r="Y588" s="15">
        <f t="shared" si="112"/>
        <v>76.7</v>
      </c>
      <c r="Z588" s="3" t="e">
        <f t="shared" si="113"/>
        <v>#DIV/0!</v>
      </c>
      <c r="AA588" s="340">
        <f>IFERROR(VLOOKUP($G588,基本資料!$A:$M,11,0),"無")</f>
        <v>-36.08</v>
      </c>
      <c r="AB588" s="389">
        <f>IFERROR(VLOOKUP($G588,基本資料!$A:$M,12,0),"無")</f>
        <v>36.29</v>
      </c>
      <c r="AC588" s="16" t="s">
        <v>363</v>
      </c>
      <c r="AF588" s="33">
        <f t="shared" si="114"/>
        <v>0</v>
      </c>
      <c r="AG588" s="43" t="s">
        <v>2356</v>
      </c>
      <c r="AH588" s="66">
        <f t="shared" si="116"/>
        <v>0.47250509164969451</v>
      </c>
      <c r="AI588" s="283">
        <f>RTD("money.excel",,$G588,"PredictVolume")</f>
        <v>174</v>
      </c>
      <c r="AJ588" s="391">
        <f>IFERROR(VLOOKUP($G588,基本資料!$A:$M,13,0),"無")</f>
        <v>368.25</v>
      </c>
      <c r="AR588" s="245" t="str">
        <f>INDEX(基本資料!N:N,MATCH($G588,基本資料!A:A,0))</f>
        <v>低</v>
      </c>
    </row>
    <row r="589" spans="1:44">
      <c r="A589" s="343">
        <f>IFERROR(VLOOKUP($G589,基本資料!$A:$J,3,0),"無")</f>
        <v>3.41</v>
      </c>
      <c r="B589" s="79">
        <f>IFERROR(VLOOKUP($G589,基本資料!$A:$J,4,0),"無")</f>
        <v>31</v>
      </c>
      <c r="C589" s="79">
        <f>IFERROR(VLOOKUP($G589,基本資料!$A:$J,5,0),"無")</f>
        <v>22</v>
      </c>
      <c r="D589" s="79">
        <f>IFERROR(VLOOKUP($G589,基本資料!$A:$J,6,0),"無")</f>
        <v>-2</v>
      </c>
      <c r="E589" s="79">
        <f>IFERROR(VLOOKUP($G589,基本資料!$A:$J,7,0),"無")</f>
        <v>3</v>
      </c>
      <c r="F589" s="6">
        <f>IFERROR(VLOOKUP($G589,基本資料!$A:$J,8,0),"無")</f>
        <v>28.01</v>
      </c>
      <c r="G589" s="79">
        <v>3567</v>
      </c>
      <c r="H589" s="145" t="s">
        <v>3038</v>
      </c>
      <c r="I589" s="16" t="s">
        <v>4050</v>
      </c>
      <c r="J589" s="8">
        <f>IFERROR(VLOOKUP($G589,今日總結!$A:$AN,39,0),"")</f>
        <v>0</v>
      </c>
      <c r="K589" s="5">
        <f>IFERROR(VLOOKUP($G589,今日總結!$A:$AN,40,0),"")</f>
        <v>0</v>
      </c>
      <c r="L589" s="156">
        <f>IFERROR(VLOOKUP($G589,今日總結!$A:$AN,37,0),"")</f>
        <v>0</v>
      </c>
      <c r="M589" s="337">
        <f>IFERROR(VLOOKUP($G589,今日總結!$A:$AN,38,0),"")</f>
        <v>0</v>
      </c>
      <c r="N589" s="240">
        <f t="shared" si="115"/>
        <v>0</v>
      </c>
      <c r="O589" s="359">
        <f>IFERROR(VLOOKUP($G589,融外自投!$A:$J,7,0),"無")</f>
        <v>443</v>
      </c>
      <c r="P589" s="79" t="str">
        <f>IFERROR(VLOOKUP($G589,融外自投!$A:$J,9,0),"無")</f>
        <v>無</v>
      </c>
      <c r="Q589" s="342">
        <f>IFERROR(VLOOKUP($G589,融外自投!$A:$J,8,0),"無")</f>
        <v>1126</v>
      </c>
      <c r="R589" s="81">
        <f>IFERROR(VLOOKUP($G589,融外自投!$A:$J,10,0),"無")</f>
        <v>118</v>
      </c>
      <c r="S589" s="324">
        <f>IFERROR(VLOOKUP($G589,'321買'!$A:$E,4,0),"'沒有資料'")</f>
        <v>606</v>
      </c>
      <c r="T589" s="186">
        <f>IFERROR(VLOOKUP($G589,基本資料!$A:$J,9,0),"無")</f>
        <v>2.6</v>
      </c>
      <c r="U589" s="307">
        <f t="shared" si="111"/>
        <v>7.6246334310850442E-2</v>
      </c>
      <c r="V589" s="94">
        <f>IFERROR(VLOOKUP($G589,基本資料!$A:$J,10,0),"無")</f>
        <v>3.09</v>
      </c>
      <c r="W589" s="36">
        <f>RTD("money.excel",,"3567","Price")</f>
        <v>34.1</v>
      </c>
      <c r="X589" s="66"/>
      <c r="Y589" s="15">
        <f t="shared" si="112"/>
        <v>34.1</v>
      </c>
      <c r="Z589" s="3" t="e">
        <f t="shared" si="113"/>
        <v>#DIV/0!</v>
      </c>
      <c r="AA589" s="340">
        <f>IFERROR(VLOOKUP($G589,基本資料!$A:$M,11,0),"無")</f>
        <v>-17.829999999999998</v>
      </c>
      <c r="AB589" s="389">
        <f>IFERROR(VLOOKUP($G589,基本資料!$A:$M,12,0),"無")</f>
        <v>24.78</v>
      </c>
      <c r="AC589" s="16" t="s">
        <v>4050</v>
      </c>
      <c r="AF589" s="33">
        <f t="shared" si="114"/>
        <v>0</v>
      </c>
      <c r="AG589" s="43" t="s">
        <v>2334</v>
      </c>
      <c r="AH589" s="66">
        <f t="shared" si="116"/>
        <v>0.32047477744807124</v>
      </c>
      <c r="AI589" s="283">
        <f>RTD("money.excel",,$G589,"PredictVolume")</f>
        <v>27</v>
      </c>
      <c r="AJ589" s="391">
        <f>IFERROR(VLOOKUP($G589,基本資料!$A:$M,13,0),"無")</f>
        <v>84.25</v>
      </c>
      <c r="AR589" s="245" t="str">
        <f>INDEX(基本資料!N:N,MATCH($G589,基本資料!A:A,0))</f>
        <v>低</v>
      </c>
    </row>
    <row r="590" spans="1:44">
      <c r="A590" s="343">
        <f>IFERROR(VLOOKUP($G590,基本資料!$A:$J,3,0),"無")</f>
        <v>5.0999999999999996</v>
      </c>
      <c r="B590" s="79">
        <f>IFERROR(VLOOKUP($G590,基本資料!$A:$J,4,0),"無")</f>
        <v>9</v>
      </c>
      <c r="C590" s="79">
        <f>IFERROR(VLOOKUP($G590,基本資料!$A:$J,5,0),"無")</f>
        <v>19</v>
      </c>
      <c r="D590" s="79">
        <f>IFERROR(VLOOKUP($G590,基本資料!$A:$J,6,0),"無")</f>
        <v>0</v>
      </c>
      <c r="E590" s="79">
        <f>IFERROR(VLOOKUP($G590,基本資料!$A:$J,7,0),"無")</f>
        <v>-1</v>
      </c>
      <c r="F590" s="6">
        <f>IFERROR(VLOOKUP($G590,基本資料!$A:$J,8,0),"無")</f>
        <v>11.37</v>
      </c>
      <c r="G590" s="79">
        <v>3581</v>
      </c>
      <c r="H590" s="145" t="s">
        <v>3038</v>
      </c>
      <c r="I590" s="16" t="s">
        <v>364</v>
      </c>
      <c r="J590" s="8">
        <f>IFERROR(VLOOKUP($G590,今日總結!$A:$AN,39,0),"")</f>
        <v>0</v>
      </c>
      <c r="K590" s="5">
        <f>IFERROR(VLOOKUP($G590,今日總結!$A:$AN,40,0),"")</f>
        <v>0</v>
      </c>
      <c r="L590" s="156">
        <f>IFERROR(VLOOKUP($G590,今日總結!$A:$AN,37,0),"")</f>
        <v>0</v>
      </c>
      <c r="M590" s="337">
        <f>IFERROR(VLOOKUP($G590,今日總結!$A:$AN,38,0),"")</f>
        <v>0</v>
      </c>
      <c r="N590" s="240">
        <f t="shared" si="115"/>
        <v>0</v>
      </c>
      <c r="O590" s="359">
        <f>IFERROR(VLOOKUP($G590,融外自投!$A:$J,7,0),"無")</f>
        <v>659</v>
      </c>
      <c r="P590" s="79" t="str">
        <f>IFERROR(VLOOKUP($G590,融外自投!$A:$J,9,0),"無")</f>
        <v>無</v>
      </c>
      <c r="Q590" s="342">
        <f>IFERROR(VLOOKUP($G590,融外自投!$A:$J,8,0),"無")</f>
        <v>594</v>
      </c>
      <c r="R590" s="81" t="str">
        <f>IFERROR(VLOOKUP($G590,融外自投!$A:$J,10,0),"無")</f>
        <v>無</v>
      </c>
      <c r="S590" s="324">
        <f>IFERROR(VLOOKUP($G590,'321買'!$A:$E,4,0),"'沒有資料'")</f>
        <v>891</v>
      </c>
      <c r="T590" s="186">
        <f>IFERROR(VLOOKUP($G590,基本資料!$A:$J,9,0),"無")</f>
        <v>1</v>
      </c>
      <c r="U590" s="307">
        <f t="shared" si="111"/>
        <v>4.2826552462526764E-2</v>
      </c>
      <c r="V590" s="94">
        <f>IFERROR(VLOOKUP($G590,基本資料!$A:$J,10,0),"無")</f>
        <v>2.11</v>
      </c>
      <c r="W590" s="36">
        <f>RTD("money.excel",,"3581","Price")</f>
        <v>23.35</v>
      </c>
      <c r="X590" s="66"/>
      <c r="Y590" s="15">
        <f t="shared" si="112"/>
        <v>23.35</v>
      </c>
      <c r="Z590" s="3" t="e">
        <f t="shared" si="113"/>
        <v>#DIV/0!</v>
      </c>
      <c r="AA590" s="340">
        <f>IFERROR(VLOOKUP($G590,基本資料!$A:$M,11,0),"無")</f>
        <v>-28.92</v>
      </c>
      <c r="AB590" s="389">
        <f>IFERROR(VLOOKUP($G590,基本資料!$A:$M,12,0),"無")</f>
        <v>16.09</v>
      </c>
      <c r="AC590" s="16" t="s">
        <v>364</v>
      </c>
      <c r="AF590" s="33">
        <f t="shared" si="114"/>
        <v>0</v>
      </c>
      <c r="AG590" s="43" t="s">
        <v>2330</v>
      </c>
      <c r="AH590" s="66">
        <f t="shared" si="116"/>
        <v>0.41450777202072542</v>
      </c>
      <c r="AI590" s="283">
        <f>RTD("money.excel",,$G590,"PredictVolume")</f>
        <v>12</v>
      </c>
      <c r="AJ590" s="391">
        <f>IFERROR(VLOOKUP($G590,基本資料!$A:$M,13,0),"無")</f>
        <v>28.95</v>
      </c>
      <c r="AR590" s="245" t="str">
        <f>INDEX(基本資料!N:N,MATCH($G590,基本資料!A:A,0))</f>
        <v>低</v>
      </c>
    </row>
    <row r="591" spans="1:44">
      <c r="A591" s="343">
        <f>IFERROR(VLOOKUP($G591,基本資料!$A:$J,3,0),"無")</f>
        <v>8.11</v>
      </c>
      <c r="B591" s="79">
        <f>IFERROR(VLOOKUP($G591,基本資料!$A:$J,4,0),"無")</f>
        <v>37</v>
      </c>
      <c r="C591" s="79">
        <f>IFERROR(VLOOKUP($G591,基本資料!$A:$J,5,0),"無")</f>
        <v>19</v>
      </c>
      <c r="D591" s="79">
        <f>IFERROR(VLOOKUP($G591,基本資料!$A:$J,6,0),"無")</f>
        <v>19</v>
      </c>
      <c r="E591" s="79">
        <f>IFERROR(VLOOKUP($G591,基本資料!$A:$J,7,0),"無")</f>
        <v>14</v>
      </c>
      <c r="F591" s="6">
        <f>IFERROR(VLOOKUP($G591,基本資料!$A:$J,8,0),"無")</f>
        <v>11.85</v>
      </c>
      <c r="G591" s="79">
        <v>3583</v>
      </c>
      <c r="H591" s="8" t="s">
        <v>3038</v>
      </c>
      <c r="I591" s="22" t="s">
        <v>7</v>
      </c>
      <c r="J591" s="8" t="str">
        <f>IFERROR(VLOOKUP($G591,今日總結!$A:$AN,39,0),"")</f>
        <v>主外</v>
      </c>
      <c r="K591" s="5" t="str">
        <f>IFERROR(VLOOKUP($G591,今日總結!$A:$AN,40,0),"")</f>
        <v>借</v>
      </c>
      <c r="L591" s="156">
        <f>IFERROR(VLOOKUP($G591,今日總結!$A:$AN,37,0),"")</f>
        <v>17</v>
      </c>
      <c r="M591" s="337">
        <f>IFERROR(VLOOKUP($G591,今日總結!$A:$AN,38,0),"")</f>
        <v>2</v>
      </c>
      <c r="N591" s="240">
        <f t="shared" si="115"/>
        <v>15</v>
      </c>
      <c r="O591" s="359">
        <f>IFERROR(VLOOKUP($G591,融外自投!$A:$J,7,0),"無")</f>
        <v>335</v>
      </c>
      <c r="P591" s="79">
        <f>IFERROR(VLOOKUP($G591,融外自投!$A:$J,9,0),"無")</f>
        <v>762</v>
      </c>
      <c r="Q591" s="342">
        <f>IFERROR(VLOOKUP($G591,融外自投!$A:$J,8,0),"無")</f>
        <v>507</v>
      </c>
      <c r="R591" s="81" t="str">
        <f>IFERROR(VLOOKUP($G591,融外自投!$A:$J,10,0),"無")</f>
        <v>無</v>
      </c>
      <c r="S591" s="324">
        <f>IFERROR(VLOOKUP($G591,'321買'!$A:$E,4,0),"'沒有資料'")</f>
        <v>164</v>
      </c>
      <c r="T591" s="186">
        <f>IFERROR(VLOOKUP($G591,基本資料!$A:$J,9,0),"無")</f>
        <v>2.5</v>
      </c>
      <c r="U591" s="307">
        <f t="shared" si="111"/>
        <v>3.0450669914738125E-2</v>
      </c>
      <c r="V591" s="94">
        <f>IFERROR(VLOOKUP($G591,基本資料!$A:$J,10,0),"無")</f>
        <v>5.23</v>
      </c>
      <c r="W591" s="36">
        <f>RTD("money.excel",,"3583","Price")</f>
        <v>82.1</v>
      </c>
      <c r="X591" s="66"/>
      <c r="Y591" s="15">
        <f t="shared" si="112"/>
        <v>82.1</v>
      </c>
      <c r="Z591" s="3" t="e">
        <f t="shared" si="113"/>
        <v>#DIV/0!</v>
      </c>
      <c r="AA591" s="340">
        <f>IFERROR(VLOOKUP($G591,基本資料!$A:$M,11,0),"無")</f>
        <v>-28.61</v>
      </c>
      <c r="AB591" s="389">
        <f>IFERROR(VLOOKUP($G591,基本資料!$A:$M,12,0),"無")</f>
        <v>34.72</v>
      </c>
      <c r="AC591" s="22" t="s">
        <v>7</v>
      </c>
      <c r="AF591" s="33">
        <f t="shared" si="114"/>
        <v>0</v>
      </c>
      <c r="AG591" s="117" t="s">
        <v>2155</v>
      </c>
      <c r="AH591" s="66">
        <f t="shared" si="116"/>
        <v>1.5632608513139117</v>
      </c>
      <c r="AI591" s="283">
        <f>RTD("money.excel",,$G591,"PredictVolume")</f>
        <v>931</v>
      </c>
      <c r="AJ591" s="391">
        <f>IFERROR(VLOOKUP($G591,基本資料!$A:$M,13,0),"無")</f>
        <v>595.54999999999995</v>
      </c>
      <c r="AR591" s="245" t="str">
        <f>INDEX(基本資料!N:N,MATCH($G591,基本資料!A:A,0))</f>
        <v>中</v>
      </c>
    </row>
    <row r="592" spans="1:44">
      <c r="A592" s="343">
        <f>IFERROR(VLOOKUP($G592,基本資料!$A:$J,3,0),"無")</f>
        <v>5.28</v>
      </c>
      <c r="B592" s="79">
        <f>IFERROR(VLOOKUP($G592,基本資料!$A:$J,4,0),"無")</f>
        <v>443</v>
      </c>
      <c r="C592" s="79">
        <f>IFERROR(VLOOKUP($G592,基本資料!$A:$J,5,0),"無")</f>
        <v>369</v>
      </c>
      <c r="D592" s="79">
        <f>IFERROR(VLOOKUP($G592,基本資料!$A:$J,6,0),"無")</f>
        <v>-5</v>
      </c>
      <c r="E592" s="79">
        <f>IFERROR(VLOOKUP($G592,基本資料!$A:$J,7,0),"無")</f>
        <v>4</v>
      </c>
      <c r="F592" s="6">
        <f>IFERROR(VLOOKUP($G592,基本資料!$A:$J,8,0),"無")</f>
        <v>17.22</v>
      </c>
      <c r="G592" s="79">
        <v>3588</v>
      </c>
      <c r="H592" s="8" t="s">
        <v>3038</v>
      </c>
      <c r="I592" s="22" t="s">
        <v>348</v>
      </c>
      <c r="J592" s="8">
        <f>IFERROR(VLOOKUP($G592,今日總結!$A:$AN,39,0),"")</f>
        <v>0</v>
      </c>
      <c r="K592" s="5">
        <f>IFERROR(VLOOKUP($G592,今日總結!$A:$AN,40,0),"")</f>
        <v>0</v>
      </c>
      <c r="L592" s="156">
        <f>IFERROR(VLOOKUP($G592,今日總結!$A:$AN,37,0),"")</f>
        <v>0</v>
      </c>
      <c r="M592" s="337">
        <f>IFERROR(VLOOKUP($G592,今日總結!$A:$AN,38,0),"")</f>
        <v>0</v>
      </c>
      <c r="N592" s="240">
        <f t="shared" si="115"/>
        <v>0</v>
      </c>
      <c r="O592" s="359">
        <f>IFERROR(VLOOKUP($G592,融外自投!$A:$J,7,0),"無")</f>
        <v>112</v>
      </c>
      <c r="P592" s="79">
        <f>IFERROR(VLOOKUP($G592,融外自投!$A:$J,9,0),"無")</f>
        <v>565</v>
      </c>
      <c r="Q592" s="342">
        <f>IFERROR(VLOOKUP($G592,融外自投!$A:$J,8,0),"無")</f>
        <v>726</v>
      </c>
      <c r="R592" s="81">
        <f>IFERROR(VLOOKUP($G592,融外自投!$A:$J,10,0),"無")</f>
        <v>495</v>
      </c>
      <c r="S592" s="324">
        <f>IFERROR(VLOOKUP($G592,'321買'!$A:$E,4,0),"'沒有資料'")</f>
        <v>26</v>
      </c>
      <c r="T592" s="186">
        <f>IFERROR(VLOOKUP($G592,基本資料!$A:$J,9,0),"無")</f>
        <v>4</v>
      </c>
      <c r="U592" s="307">
        <f t="shared" si="111"/>
        <v>3.8277511961722487E-2</v>
      </c>
      <c r="V592" s="94">
        <f>IFERROR(VLOOKUP($G592,基本資料!$A:$J,10,0),"無")</f>
        <v>6.37</v>
      </c>
      <c r="W592" s="36">
        <f>RTD("money.excel",,"3588","Price")</f>
        <v>104.5</v>
      </c>
      <c r="X592" s="66"/>
      <c r="Y592" s="15">
        <f t="shared" si="112"/>
        <v>104.5</v>
      </c>
      <c r="Z592" s="3" t="e">
        <f t="shared" si="113"/>
        <v>#DIV/0!</v>
      </c>
      <c r="AA592" s="340">
        <f>IFERROR(VLOOKUP($G592,基本資料!$A:$M,11,0),"無")</f>
        <v>-40.11</v>
      </c>
      <c r="AB592" s="389">
        <f>IFERROR(VLOOKUP($G592,基本資料!$A:$M,12,0),"無")</f>
        <v>18.350000000000001</v>
      </c>
      <c r="AC592" s="22" t="s">
        <v>348</v>
      </c>
      <c r="AF592" s="33">
        <f t="shared" si="114"/>
        <v>0</v>
      </c>
      <c r="AG592" s="43" t="s">
        <v>3562</v>
      </c>
      <c r="AH592" s="66">
        <f t="shared" si="116"/>
        <v>1.2257869249394673</v>
      </c>
      <c r="AI592" s="283">
        <f>RTD("money.excel",,$G592,"PredictVolume")</f>
        <v>1215</v>
      </c>
      <c r="AJ592" s="391">
        <f>IFERROR(VLOOKUP($G592,基本資料!$A:$M,13,0),"無")</f>
        <v>991.2</v>
      </c>
      <c r="AR592" s="245" t="str">
        <f>INDEX(基本資料!N:N,MATCH($G592,基本資料!A:A,0))</f>
        <v>低</v>
      </c>
    </row>
    <row r="593" spans="1:44">
      <c r="A593" s="343" t="str">
        <f>IFERROR(VLOOKUP($G593,基本資料!$A:$J,3,0),"無")</f>
        <v>無</v>
      </c>
      <c r="B593" s="79" t="str">
        <f>IFERROR(VLOOKUP($G593,基本資料!$A:$J,4,0),"無")</f>
        <v>無</v>
      </c>
      <c r="C593" s="79" t="str">
        <f>IFERROR(VLOOKUP($G593,基本資料!$A:$J,5,0),"無")</f>
        <v>無</v>
      </c>
      <c r="D593" s="79" t="str">
        <f>IFERROR(VLOOKUP($G593,基本資料!$A:$J,6,0),"無")</f>
        <v>無</v>
      </c>
      <c r="E593" s="79" t="str">
        <f>IFERROR(VLOOKUP($G593,基本資料!$A:$J,7,0),"無")</f>
        <v>無</v>
      </c>
      <c r="F593" s="6" t="str">
        <f>IFERROR(VLOOKUP($G593,基本資料!$A:$J,8,0),"無")</f>
        <v>無</v>
      </c>
      <c r="G593" s="79">
        <v>3592</v>
      </c>
      <c r="H593" s="8" t="s">
        <v>3038</v>
      </c>
      <c r="I593" s="22" t="s">
        <v>3575</v>
      </c>
      <c r="J593" s="8" t="str">
        <f>IFERROR(VLOOKUP($G593,今日總結!$A:$AN,39,0),"")</f>
        <v/>
      </c>
      <c r="K593" s="5" t="str">
        <f>IFERROR(VLOOKUP($G593,今日總結!$A:$AN,40,0),"")</f>
        <v/>
      </c>
      <c r="L593" s="156" t="str">
        <f>IFERROR(VLOOKUP($G593,今日總結!$A:$AN,37,0),"")</f>
        <v/>
      </c>
      <c r="M593" s="337" t="str">
        <f>IFERROR(VLOOKUP($G593,今日總結!$A:$AN,38,0),"")</f>
        <v/>
      </c>
      <c r="N593" s="240" t="str">
        <f t="shared" si="115"/>
        <v/>
      </c>
      <c r="O593" s="359" t="str">
        <f>IFERROR(VLOOKUP($G593,融外自投!$A:$J,7,0),"無")</f>
        <v>無</v>
      </c>
      <c r="P593" s="79" t="str">
        <f>IFERROR(VLOOKUP($G593,融外自投!$A:$J,9,0),"無")</f>
        <v>無</v>
      </c>
      <c r="Q593" s="342" t="str">
        <f>IFERROR(VLOOKUP($G593,融外自投!$A:$J,8,0),"無")</f>
        <v>無</v>
      </c>
      <c r="R593" s="81" t="str">
        <f>IFERROR(VLOOKUP($G593,融外自投!$A:$J,10,0),"無")</f>
        <v>無</v>
      </c>
      <c r="S593" s="324" t="str">
        <f>IFERROR(VLOOKUP($G593,'321買'!$A:$E,4,0),"'沒有資料'")</f>
        <v>'沒有資料'</v>
      </c>
      <c r="T593" s="186" t="str">
        <f>IFERROR(VLOOKUP($G593,基本資料!$A:$J,9,0),"無")</f>
        <v>無</v>
      </c>
      <c r="U593" s="307" t="e">
        <f t="shared" ref="U593:U656" si="117">$T593/$W593</f>
        <v>#VALUE!</v>
      </c>
      <c r="V593" s="94" t="str">
        <f>IFERROR(VLOOKUP($G593,基本資料!$A:$J,10,0),"無")</f>
        <v>無</v>
      </c>
      <c r="W593" s="36">
        <f>RTD("money.excel",,"3592","Price")</f>
        <v>505</v>
      </c>
      <c r="X593" s="66"/>
      <c r="Y593" s="15">
        <f t="shared" ref="Y593:Y657" si="118">W593-X593</f>
        <v>505</v>
      </c>
      <c r="Z593" s="3" t="e">
        <f t="shared" ref="Z593:Z657" si="119">Y593/X593</f>
        <v>#DIV/0!</v>
      </c>
      <c r="AA593" s="340" t="str">
        <f>IFERROR(VLOOKUP($G593,基本資料!$A:$M,11,0),"無")</f>
        <v>無</v>
      </c>
      <c r="AB593" s="389" t="str">
        <f>IFERROR(VLOOKUP($G593,基本資料!$A:$M,12,0),"無")</f>
        <v>無</v>
      </c>
      <c r="AC593" s="22" t="s">
        <v>3575</v>
      </c>
      <c r="AF593" s="33">
        <f t="shared" ref="AF593:AF657" si="120">AE593-AD593</f>
        <v>0</v>
      </c>
      <c r="AG593" s="43" t="s">
        <v>3576</v>
      </c>
      <c r="AH593" s="66" t="e">
        <f t="shared" si="116"/>
        <v>#VALUE!</v>
      </c>
      <c r="AI593" s="283">
        <f>RTD("money.excel",,$G593,"PredictVolume")</f>
        <v>648</v>
      </c>
      <c r="AJ593" s="391" t="str">
        <f>IFERROR(VLOOKUP($G593,基本資料!$A:$M,13,0),"無")</f>
        <v>無</v>
      </c>
      <c r="AR593" s="245" t="e">
        <f>INDEX(基本資料!N:N,MATCH($G593,基本資料!A:A,0))</f>
        <v>#N/A</v>
      </c>
    </row>
    <row r="594" spans="1:44">
      <c r="A594" s="343">
        <f>IFERROR(VLOOKUP($G594,基本資料!$A:$J,3,0),"無")</f>
        <v>7.12</v>
      </c>
      <c r="B594" s="79">
        <f>IFERROR(VLOOKUP($G594,基本資料!$A:$J,4,0),"無")</f>
        <v>78</v>
      </c>
      <c r="C594" s="79">
        <f>IFERROR(VLOOKUP($G594,基本資料!$A:$J,5,0),"無")</f>
        <v>85</v>
      </c>
      <c r="D594" s="79">
        <f>IFERROR(VLOOKUP($G594,基本資料!$A:$J,6,0),"無")</f>
        <v>6</v>
      </c>
      <c r="E594" s="79">
        <f>IFERROR(VLOOKUP($G594,基本資料!$A:$J,7,0),"無")</f>
        <v>-9</v>
      </c>
      <c r="F594" s="6">
        <f>IFERROR(VLOOKUP($G594,基本資料!$A:$J,8,0),"無")</f>
        <v>17.53</v>
      </c>
      <c r="G594" s="79">
        <v>3661</v>
      </c>
      <c r="H594" s="8" t="s">
        <v>3038</v>
      </c>
      <c r="I594" s="22" t="s">
        <v>4051</v>
      </c>
      <c r="J594" s="8" t="str">
        <f>IFERROR(VLOOKUP($G594,今日總結!$A:$AN,39,0),"")</f>
        <v>9投</v>
      </c>
      <c r="K594" s="5">
        <f>IFERROR(VLOOKUP($G594,今日總結!$A:$AN,40,0),"")</f>
        <v>0</v>
      </c>
      <c r="L594" s="156">
        <f>IFERROR(VLOOKUP($G594,今日總結!$A:$AN,37,0),"")</f>
        <v>2</v>
      </c>
      <c r="M594" s="337">
        <f>IFERROR(VLOOKUP($G594,今日總結!$A:$AN,38,0),"")</f>
        <v>0</v>
      </c>
      <c r="N594" s="240">
        <f t="shared" ref="N594:N657" si="121">IFERROR(L594-M594,"")</f>
        <v>2</v>
      </c>
      <c r="O594" s="359">
        <f>IFERROR(VLOOKUP($G594,融外自投!$A:$J,7,0),"無")</f>
        <v>383</v>
      </c>
      <c r="P594" s="79">
        <f>IFERROR(VLOOKUP($G594,融外自投!$A:$J,9,0),"無")</f>
        <v>122</v>
      </c>
      <c r="Q594" s="342">
        <f>IFERROR(VLOOKUP($G594,融外自投!$A:$J,8,0),"無")</f>
        <v>54</v>
      </c>
      <c r="R594" s="81">
        <f>IFERROR(VLOOKUP($G594,融外自投!$A:$J,10,0),"無")</f>
        <v>4</v>
      </c>
      <c r="S594" s="324">
        <f>IFERROR(VLOOKUP($G594,'321買'!$A:$E,4,0),"'沒有資料'")</f>
        <v>39</v>
      </c>
      <c r="T594" s="186">
        <f>IFERROR(VLOOKUP($G594,基本資料!$A:$J,9,0),"無")</f>
        <v>10.59</v>
      </c>
      <c r="U594" s="307">
        <f t="shared" si="117"/>
        <v>1.1792873051224945E-2</v>
      </c>
      <c r="V594" s="94">
        <f>IFERROR(VLOOKUP($G594,基本資料!$A:$J,10,0),"無")</f>
        <v>21.34</v>
      </c>
      <c r="W594" s="366">
        <f>RTD("money.excel",,"3661","Price")</f>
        <v>898</v>
      </c>
      <c r="X594" s="66"/>
      <c r="Y594" s="137">
        <f t="shared" si="118"/>
        <v>898</v>
      </c>
      <c r="Z594" s="3" t="e">
        <f t="shared" si="119"/>
        <v>#DIV/0!</v>
      </c>
      <c r="AA594" s="340">
        <f>IFERROR(VLOOKUP($G594,基本資料!$A:$M,11,0),"無")</f>
        <v>-32.229999999999997</v>
      </c>
      <c r="AB594" s="389">
        <f>IFERROR(VLOOKUP($G594,基本資料!$A:$M,12,0),"無")</f>
        <v>32.83</v>
      </c>
      <c r="AC594" s="22" t="s">
        <v>4051</v>
      </c>
      <c r="AF594" s="33">
        <f t="shared" si="120"/>
        <v>0</v>
      </c>
      <c r="AG594" s="43" t="s">
        <v>3040</v>
      </c>
      <c r="AH594" s="66">
        <f t="shared" si="116"/>
        <v>0.84329148389048558</v>
      </c>
      <c r="AI594" s="283">
        <f>RTD("money.excel",,$G594,"PredictVolume")</f>
        <v>3345</v>
      </c>
      <c r="AJ594" s="391">
        <f>IFERROR(VLOOKUP($G594,基本資料!$A:$M,13,0),"無")</f>
        <v>3966.6</v>
      </c>
      <c r="AR594" s="245" t="str">
        <f>INDEX(基本資料!N:N,MATCH($G594,基本資料!A:A,0))</f>
        <v>中</v>
      </c>
    </row>
    <row r="595" spans="1:44">
      <c r="A595" s="343">
        <f>IFERROR(VLOOKUP($G595,基本資料!$A:$J,3,0),"無")</f>
        <v>4.4400000000000004</v>
      </c>
      <c r="B595" s="79">
        <f>IFERROR(VLOOKUP($G595,基本資料!$A:$J,4,0),"無")</f>
        <v>249</v>
      </c>
      <c r="C595" s="79">
        <f>IFERROR(VLOOKUP($G595,基本資料!$A:$J,5,0),"無")</f>
        <v>154</v>
      </c>
      <c r="D595" s="79">
        <f>IFERROR(VLOOKUP($G595,基本資料!$A:$J,6,0),"無")</f>
        <v>0</v>
      </c>
      <c r="E595" s="79">
        <f>IFERROR(VLOOKUP($G595,基本資料!$A:$J,7,0),"無")</f>
        <v>10</v>
      </c>
      <c r="F595" s="6">
        <f>IFERROR(VLOOKUP($G595,基本資料!$A:$J,8,0),"無")</f>
        <v>16.510000000000002</v>
      </c>
      <c r="G595" s="79">
        <v>3675</v>
      </c>
      <c r="H595" s="145" t="s">
        <v>3038</v>
      </c>
      <c r="I595" s="16" t="s">
        <v>365</v>
      </c>
      <c r="J595" s="8">
        <f>IFERROR(VLOOKUP($G595,今日總結!$A:$AN,39,0),"")</f>
        <v>5</v>
      </c>
      <c r="K595" s="5">
        <f>IFERROR(VLOOKUP($G595,今日總結!$A:$AN,40,0),"")</f>
        <v>0</v>
      </c>
      <c r="L595" s="156">
        <f>IFERROR(VLOOKUP($G595,今日總結!$A:$AN,37,0),"")</f>
        <v>1</v>
      </c>
      <c r="M595" s="337">
        <f>IFERROR(VLOOKUP($G595,今日總結!$A:$AN,38,0),"")</f>
        <v>0</v>
      </c>
      <c r="N595" s="240">
        <f t="shared" si="121"/>
        <v>1</v>
      </c>
      <c r="O595" s="359">
        <f>IFERROR(VLOOKUP($G595,融外自投!$A:$J,7,0),"無")</f>
        <v>322</v>
      </c>
      <c r="P595" s="79">
        <f>IFERROR(VLOOKUP($G595,融外自投!$A:$J,9,0),"無")</f>
        <v>224</v>
      </c>
      <c r="Q595" s="342">
        <f>IFERROR(VLOOKUP($G595,融外自投!$A:$J,8,0),"無")</f>
        <v>69</v>
      </c>
      <c r="R595" s="81">
        <f>IFERROR(VLOOKUP($G595,融外自投!$A:$J,10,0),"無")</f>
        <v>3</v>
      </c>
      <c r="S595" s="324">
        <f>IFERROR(VLOOKUP($G595,'321買'!$A:$E,4,0),"'沒有資料'")</f>
        <v>22</v>
      </c>
      <c r="T595" s="186">
        <f>IFERROR(VLOOKUP($G595,基本資料!$A:$J,9,0),"無")</f>
        <v>5</v>
      </c>
      <c r="U595" s="307">
        <f t="shared" si="117"/>
        <v>1.6129032258064516E-2</v>
      </c>
      <c r="V595" s="94">
        <f>IFERROR(VLOOKUP($G595,基本資料!$A:$J,10,0),"無")</f>
        <v>7.36</v>
      </c>
      <c r="W595" s="36">
        <f>RTD("money.excel",,"3675","Price")</f>
        <v>310</v>
      </c>
      <c r="X595" s="66"/>
      <c r="Y595" s="15">
        <f t="shared" si="118"/>
        <v>310</v>
      </c>
      <c r="Z595" s="3" t="e">
        <f t="shared" si="119"/>
        <v>#DIV/0!</v>
      </c>
      <c r="AA595" s="340">
        <f>IFERROR(VLOOKUP($G595,基本資料!$A:$M,11,0),"無")</f>
        <v>-15.53</v>
      </c>
      <c r="AB595" s="389">
        <f>IFERROR(VLOOKUP($G595,基本資料!$A:$M,12,0),"無")</f>
        <v>45.07</v>
      </c>
      <c r="AC595" s="16" t="s">
        <v>365</v>
      </c>
      <c r="AF595" s="33">
        <f t="shared" si="120"/>
        <v>0</v>
      </c>
      <c r="AG595" s="43" t="s">
        <v>2939</v>
      </c>
      <c r="AH595" s="66">
        <f t="shared" si="116"/>
        <v>1.2067006341409772</v>
      </c>
      <c r="AI595" s="283">
        <f>RTD("money.excel",,$G595,"PredictVolume")</f>
        <v>3292</v>
      </c>
      <c r="AJ595" s="391">
        <f>IFERROR(VLOOKUP($G595,基本資料!$A:$M,13,0),"無")</f>
        <v>2728.1</v>
      </c>
      <c r="AR595" s="245" t="str">
        <f>INDEX(基本資料!N:N,MATCH($G595,基本資料!A:A,0))</f>
        <v>高</v>
      </c>
    </row>
    <row r="596" spans="1:44">
      <c r="A596" s="343">
        <f>IFERROR(VLOOKUP($G596,基本資料!$A:$J,3,0),"無")</f>
        <v>8.4</v>
      </c>
      <c r="B596" s="79">
        <f>IFERROR(VLOOKUP($G596,基本資料!$A:$J,4,0),"無")</f>
        <v>-24</v>
      </c>
      <c r="C596" s="79">
        <f>IFERROR(VLOOKUP($G596,基本資料!$A:$J,5,0),"無")</f>
        <v>369</v>
      </c>
      <c r="D596" s="79">
        <f>IFERROR(VLOOKUP($G596,基本資料!$A:$J,6,0),"無")</f>
        <v>-10</v>
      </c>
      <c r="E596" s="79">
        <f>IFERROR(VLOOKUP($G596,基本資料!$A:$J,7,0),"無")</f>
        <v>120</v>
      </c>
      <c r="F596" s="6">
        <f>IFERROR(VLOOKUP($G596,基本資料!$A:$J,8,0),"無")</f>
        <v>14.74</v>
      </c>
      <c r="G596" s="79">
        <v>3680</v>
      </c>
      <c r="H596" s="145" t="s">
        <v>3038</v>
      </c>
      <c r="I596" s="16" t="s">
        <v>366</v>
      </c>
      <c r="J596" s="8">
        <f>IFERROR(VLOOKUP($G596,今日總結!$A:$AN,39,0),"")</f>
        <v>0</v>
      </c>
      <c r="K596" s="5">
        <f>IFERROR(VLOOKUP($G596,今日總結!$A:$AN,40,0),"")</f>
        <v>0</v>
      </c>
      <c r="L596" s="156">
        <f>IFERROR(VLOOKUP($G596,今日總結!$A:$AN,37,0),"")</f>
        <v>0</v>
      </c>
      <c r="M596" s="337">
        <f>IFERROR(VLOOKUP($G596,今日總結!$A:$AN,38,0),"")</f>
        <v>0</v>
      </c>
      <c r="N596" s="240">
        <f t="shared" si="121"/>
        <v>0</v>
      </c>
      <c r="O596" s="359">
        <f>IFERROR(VLOOKUP($G596,融外自投!$A:$J,7,0),"無")</f>
        <v>472</v>
      </c>
      <c r="P596" s="79">
        <f>IFERROR(VLOOKUP($G596,融外自投!$A:$J,9,0),"無")</f>
        <v>116</v>
      </c>
      <c r="Q596" s="342">
        <f>IFERROR(VLOOKUP($G596,融外自投!$A:$J,8,0),"無")</f>
        <v>555</v>
      </c>
      <c r="R596" s="81">
        <f>IFERROR(VLOOKUP($G596,融外自投!$A:$J,10,0),"無")</f>
        <v>69</v>
      </c>
      <c r="S596" s="324">
        <f>IFERROR(VLOOKUP($G596,'321買'!$A:$E,4,0),"'沒有資料'")</f>
        <v>465</v>
      </c>
      <c r="T596" s="186">
        <f>IFERROR(VLOOKUP($G596,基本資料!$A:$J,9,0),"無")</f>
        <v>2.8</v>
      </c>
      <c r="U596" s="307">
        <f t="shared" si="117"/>
        <v>1.3176470588235293E-2</v>
      </c>
      <c r="V596" s="94">
        <f>IFERROR(VLOOKUP($G596,基本資料!$A:$J,10,0),"無")</f>
        <v>4.03</v>
      </c>
      <c r="W596" s="36">
        <f>RTD("money.excel",,"3680","Price")</f>
        <v>212.5</v>
      </c>
      <c r="X596" s="66"/>
      <c r="Y596" s="15">
        <f t="shared" si="118"/>
        <v>212.5</v>
      </c>
      <c r="Z596" s="3" t="e">
        <f t="shared" si="119"/>
        <v>#DIV/0!</v>
      </c>
      <c r="AA596" s="340">
        <f>IFERROR(VLOOKUP($G596,基本資料!$A:$M,11,0),"無")</f>
        <v>-38.32</v>
      </c>
      <c r="AB596" s="389">
        <f>IFERROR(VLOOKUP($G596,基本資料!$A:$M,12,0),"無")</f>
        <v>23.09</v>
      </c>
      <c r="AC596" s="16" t="s">
        <v>366</v>
      </c>
      <c r="AF596" s="33">
        <f t="shared" si="120"/>
        <v>0</v>
      </c>
      <c r="AG596" s="43" t="s">
        <v>288</v>
      </c>
      <c r="AH596" s="66">
        <f t="shared" si="116"/>
        <v>1.3265737220109843</v>
      </c>
      <c r="AI596" s="283">
        <f>RTD("money.excel",,$G596,"PredictVolume")</f>
        <v>628</v>
      </c>
      <c r="AJ596" s="391">
        <f>IFERROR(VLOOKUP($G596,基本資料!$A:$M,13,0),"無")</f>
        <v>473.4</v>
      </c>
      <c r="AR596" s="245" t="str">
        <f>INDEX(基本資料!N:N,MATCH($G596,基本資料!A:A,0))</f>
        <v>低</v>
      </c>
    </row>
    <row r="597" spans="1:44">
      <c r="A597" s="343">
        <f>IFERROR(VLOOKUP($G597,基本資料!$A:$J,3,0),"無")</f>
        <v>11.35</v>
      </c>
      <c r="B597" s="79">
        <f>IFERROR(VLOOKUP($G597,基本資料!$A:$J,4,0),"無")</f>
        <v>86</v>
      </c>
      <c r="C597" s="79">
        <f>IFERROR(VLOOKUP($G597,基本資料!$A:$J,5,0),"無")</f>
        <v>239</v>
      </c>
      <c r="D597" s="79">
        <f>IFERROR(VLOOKUP($G597,基本資料!$A:$J,6,0),"無")</f>
        <v>-2</v>
      </c>
      <c r="E597" s="79">
        <f>IFERROR(VLOOKUP($G597,基本資料!$A:$J,7,0),"無")</f>
        <v>-91</v>
      </c>
      <c r="F597" s="6">
        <f>IFERROR(VLOOKUP($G597,基本資料!$A:$J,8,0),"無")</f>
        <v>36.21</v>
      </c>
      <c r="G597" s="79">
        <v>3686</v>
      </c>
      <c r="H597" s="8" t="s">
        <v>3038</v>
      </c>
      <c r="I597" s="22" t="s">
        <v>349</v>
      </c>
      <c r="J597" s="8" t="str">
        <f>IFERROR(VLOOKUP($G597,今日總結!$A:$AN,39,0),"")</f>
        <v/>
      </c>
      <c r="K597" s="5" t="str">
        <f>IFERROR(VLOOKUP($G597,今日總結!$A:$AN,40,0),"")</f>
        <v/>
      </c>
      <c r="L597" s="156" t="str">
        <f>IFERROR(VLOOKUP($G597,今日總結!$A:$AN,37,0),"")</f>
        <v/>
      </c>
      <c r="M597" s="337" t="str">
        <f>IFERROR(VLOOKUP($G597,今日總結!$A:$AN,38,0),"")</f>
        <v/>
      </c>
      <c r="N597" s="240" t="str">
        <f t="shared" si="121"/>
        <v/>
      </c>
      <c r="O597" s="359" t="str">
        <f>IFERROR(VLOOKUP($G597,融外自投!$A:$J,7,0),"無")</f>
        <v>無</v>
      </c>
      <c r="P597" s="79" t="str">
        <f>IFERROR(VLOOKUP($G597,融外自投!$A:$J,9,0),"無")</f>
        <v>無</v>
      </c>
      <c r="Q597" s="342" t="str">
        <f>IFERROR(VLOOKUP($G597,融外自投!$A:$J,8,0),"無")</f>
        <v>無</v>
      </c>
      <c r="R597" s="81" t="str">
        <f>IFERROR(VLOOKUP($G597,融外自投!$A:$J,10,0),"無")</f>
        <v>無</v>
      </c>
      <c r="S597" s="324" t="str">
        <f>IFERROR(VLOOKUP($G597,'321買'!$A:$E,4,0),"'沒有資料'")</f>
        <v>'沒有資料'</v>
      </c>
      <c r="T597" s="186">
        <f>IFERROR(VLOOKUP($G597,基本資料!$A:$J,9,0),"無")</f>
        <v>0</v>
      </c>
      <c r="U597" s="307">
        <f t="shared" si="117"/>
        <v>0</v>
      </c>
      <c r="V597" s="94">
        <f>IFERROR(VLOOKUP($G597,基本資料!$A:$J,10,0),"無")</f>
        <v>-0.18</v>
      </c>
      <c r="W597" s="36">
        <f>RTD("money.excel",,"3686","Price")</f>
        <v>12.7</v>
      </c>
      <c r="X597" s="66"/>
      <c r="Y597" s="15">
        <f t="shared" si="118"/>
        <v>12.7</v>
      </c>
      <c r="Z597" s="3" t="e">
        <f t="shared" si="119"/>
        <v>#DIV/0!</v>
      </c>
      <c r="AA597" s="340">
        <f>IFERROR(VLOOKUP($G597,基本資料!$A:$M,11,0),"無")</f>
        <v>-47.63</v>
      </c>
      <c r="AB597" s="389">
        <f>IFERROR(VLOOKUP($G597,基本資料!$A:$M,12,0),"無")</f>
        <v>19.13</v>
      </c>
      <c r="AC597" s="22" t="s">
        <v>349</v>
      </c>
      <c r="AF597" s="33">
        <f t="shared" si="120"/>
        <v>0</v>
      </c>
      <c r="AG597" s="43" t="s">
        <v>2166</v>
      </c>
      <c r="AH597" s="66">
        <f t="shared" si="116"/>
        <v>0.55748309320788003</v>
      </c>
      <c r="AI597" s="283">
        <f>RTD("money.excel",,$G597,"PredictVolume")</f>
        <v>474</v>
      </c>
      <c r="AJ597" s="391">
        <f>IFERROR(VLOOKUP($G597,基本資料!$A:$M,13,0),"無")</f>
        <v>850.25</v>
      </c>
      <c r="AR597" s="245" t="str">
        <f>INDEX(基本資料!N:N,MATCH($G597,基本資料!A:A,0))</f>
        <v>低</v>
      </c>
    </row>
    <row r="598" spans="1:44">
      <c r="A598" s="343">
        <f>IFERROR(VLOOKUP($G598,基本資料!$A:$J,3,0),"無")</f>
        <v>33.31</v>
      </c>
      <c r="B598" s="79">
        <f>IFERROR(VLOOKUP($G598,基本資料!$A:$J,4,0),"無")</f>
        <v>179</v>
      </c>
      <c r="C598" s="79">
        <f>IFERROR(VLOOKUP($G598,基本資料!$A:$J,5,0),"無")</f>
        <v>202</v>
      </c>
      <c r="D598" s="79">
        <f>IFERROR(VLOOKUP($G598,基本資料!$A:$J,6,0),"無")</f>
        <v>0</v>
      </c>
      <c r="E598" s="79">
        <f>IFERROR(VLOOKUP($G598,基本資料!$A:$J,7,0),"無")</f>
        <v>29</v>
      </c>
      <c r="F598" s="6">
        <f>IFERROR(VLOOKUP($G598,基本資料!$A:$J,8,0),"無")</f>
        <v>6.68</v>
      </c>
      <c r="G598" s="79">
        <v>3707</v>
      </c>
      <c r="H598" s="195" t="s">
        <v>3038</v>
      </c>
      <c r="I598" s="24" t="s">
        <v>4052</v>
      </c>
      <c r="J598" s="8">
        <f>IFERROR(VLOOKUP($G598,今日總結!$A:$AN,39,0),"")</f>
        <v>0</v>
      </c>
      <c r="K598" s="5">
        <f>IFERROR(VLOOKUP($G598,今日總結!$A:$AN,40,0),"")</f>
        <v>0</v>
      </c>
      <c r="L598" s="156">
        <f>IFERROR(VLOOKUP($G598,今日總結!$A:$AN,37,0),"")</f>
        <v>0</v>
      </c>
      <c r="M598" s="337">
        <f>IFERROR(VLOOKUP($G598,今日總結!$A:$AN,38,0),"")</f>
        <v>0</v>
      </c>
      <c r="N598" s="240">
        <f t="shared" si="121"/>
        <v>0</v>
      </c>
      <c r="O598" s="359">
        <f>IFERROR(VLOOKUP($G598,融外自投!$A:$J,7,0),"無")</f>
        <v>157</v>
      </c>
      <c r="P598" s="79">
        <f>IFERROR(VLOOKUP($G598,融外自投!$A:$J,9,0),"無")</f>
        <v>350</v>
      </c>
      <c r="Q598" s="342">
        <f>IFERROR(VLOOKUP($G598,融外自投!$A:$J,8,0),"無")</f>
        <v>493</v>
      </c>
      <c r="R598" s="81">
        <f>IFERROR(VLOOKUP($G598,融外自投!$A:$J,10,0),"無")</f>
        <v>54</v>
      </c>
      <c r="S598" s="324">
        <f>IFERROR(VLOOKUP($G598,'321買'!$A:$E,4,0),"'沒有資料'")</f>
        <v>14</v>
      </c>
      <c r="T598" s="186">
        <f>IFERROR(VLOOKUP($G598,基本資料!$A:$J,9,0),"無")</f>
        <v>0.35</v>
      </c>
      <c r="U598" s="307">
        <f t="shared" si="117"/>
        <v>3.0973451327433628E-3</v>
      </c>
      <c r="V598" s="94">
        <f>IFERROR(VLOOKUP($G598,基本資料!$A:$J,10,0),"無")</f>
        <v>0.73</v>
      </c>
      <c r="W598" s="36">
        <f>RTD("money.excel",,"3707","Price")</f>
        <v>113</v>
      </c>
      <c r="X598" s="66"/>
      <c r="Y598" s="15">
        <f t="shared" si="118"/>
        <v>113</v>
      </c>
      <c r="Z598" s="3" t="e">
        <f t="shared" si="119"/>
        <v>#DIV/0!</v>
      </c>
      <c r="AA598" s="340">
        <f>IFERROR(VLOOKUP($G598,基本資料!$A:$M,11,0),"無")</f>
        <v>-34.869999999999997</v>
      </c>
      <c r="AB598" s="389">
        <f>IFERROR(VLOOKUP($G598,基本資料!$A:$M,12,0),"無")</f>
        <v>34.340000000000003</v>
      </c>
      <c r="AC598" s="24" t="s">
        <v>4052</v>
      </c>
      <c r="AF598" s="33">
        <f t="shared" si="120"/>
        <v>0</v>
      </c>
      <c r="AG598" s="119" t="s">
        <v>2554</v>
      </c>
      <c r="AH598" s="66">
        <f t="shared" si="116"/>
        <v>0.99938019374684361</v>
      </c>
      <c r="AI598" s="283">
        <f>RTD("money.excel",,$G598,"PredictVolume")</f>
        <v>8707</v>
      </c>
      <c r="AJ598" s="391">
        <f>IFERROR(VLOOKUP($G598,基本資料!$A:$M,13,0),"無")</f>
        <v>8712.4</v>
      </c>
      <c r="AR598" s="245" t="str">
        <f>INDEX(基本資料!N:N,MATCH($G598,基本資料!A:A,0))</f>
        <v>中</v>
      </c>
    </row>
    <row r="599" spans="1:44">
      <c r="A599" s="343">
        <f>IFERROR(VLOOKUP($G599,基本資料!$A:$J,3,0),"無")</f>
        <v>435</v>
      </c>
      <c r="B599" s="79">
        <f>IFERROR(VLOOKUP($G599,基本資料!$A:$J,4,0),"無")</f>
        <v>125</v>
      </c>
      <c r="C599" s="79">
        <f>IFERROR(VLOOKUP($G599,基本資料!$A:$J,5,0),"無")</f>
        <v>78</v>
      </c>
      <c r="D599" s="79">
        <f>IFERROR(VLOOKUP($G599,基本資料!$A:$J,6,0),"無")</f>
        <v>-6</v>
      </c>
      <c r="E599" s="79">
        <f>IFERROR(VLOOKUP($G599,基本資料!$A:$J,7,0),"無")</f>
        <v>17</v>
      </c>
      <c r="F599" s="6">
        <f>IFERROR(VLOOKUP($G599,基本資料!$A:$J,8,0),"無")</f>
        <v>10.9</v>
      </c>
      <c r="G599" s="79">
        <v>3711</v>
      </c>
      <c r="H599" s="8" t="s">
        <v>307</v>
      </c>
      <c r="I599" s="22" t="s">
        <v>12</v>
      </c>
      <c r="J599" s="8">
        <f>IFERROR(VLOOKUP($G599,今日總結!$A:$AN,39,0),"")</f>
        <v>0</v>
      </c>
      <c r="K599" s="5">
        <f>IFERROR(VLOOKUP($G599,今日總結!$A:$AN,40,0),"")</f>
        <v>0</v>
      </c>
      <c r="L599" s="156">
        <f>IFERROR(VLOOKUP($G599,今日總結!$A:$AN,37,0),"")</f>
        <v>0</v>
      </c>
      <c r="M599" s="337">
        <f>IFERROR(VLOOKUP($G599,今日總結!$A:$AN,38,0),"")</f>
        <v>0</v>
      </c>
      <c r="N599" s="240">
        <f t="shared" si="121"/>
        <v>0</v>
      </c>
      <c r="O599" s="359">
        <f>IFERROR(VLOOKUP($G599,融外自投!$A:$J,7,0),"無")</f>
        <v>1214</v>
      </c>
      <c r="P599" s="79">
        <f>IFERROR(VLOOKUP($G599,融外自投!$A:$J,9,0),"無")</f>
        <v>478</v>
      </c>
      <c r="Q599" s="342">
        <f>IFERROR(VLOOKUP($G599,融外自投!$A:$J,8,0),"無")</f>
        <v>17</v>
      </c>
      <c r="R599" s="81">
        <f>IFERROR(VLOOKUP($G599,融外自投!$A:$J,10,0),"無")</f>
        <v>154</v>
      </c>
      <c r="S599" s="324">
        <f>IFERROR(VLOOKUP($G599,'321買'!$A:$E,4,0),"'沒有資料'")</f>
        <v>565</v>
      </c>
      <c r="T599" s="186">
        <f>IFERROR(VLOOKUP($G599,基本資料!$A:$J,9,0),"無")</f>
        <v>7</v>
      </c>
      <c r="U599" s="307">
        <f t="shared" si="117"/>
        <v>7.3917634635691662E-2</v>
      </c>
      <c r="V599" s="94">
        <f>IFERROR(VLOOKUP($G599,基本資料!$A:$J,10,0),"無")</f>
        <v>14.84</v>
      </c>
      <c r="W599" s="36">
        <f>RTD("money.excel",,"3711","Price")</f>
        <v>94.7</v>
      </c>
      <c r="X599" s="66"/>
      <c r="Y599" s="15">
        <f t="shared" si="118"/>
        <v>94.7</v>
      </c>
      <c r="Z599" s="3" t="e">
        <f t="shared" si="119"/>
        <v>#DIV/0!</v>
      </c>
      <c r="AA599" s="340">
        <f>IFERROR(VLOOKUP($G599,基本資料!$A:$M,11,0),"無")</f>
        <v>-29.06</v>
      </c>
      <c r="AB599" s="389">
        <f>IFERROR(VLOOKUP($G599,基本資料!$A:$M,12,0),"無")</f>
        <v>30.06</v>
      </c>
      <c r="AC599" s="22" t="s">
        <v>12</v>
      </c>
      <c r="AF599" s="33">
        <f t="shared" si="120"/>
        <v>0</v>
      </c>
      <c r="AG599" s="117" t="s">
        <v>2389</v>
      </c>
      <c r="AH599" s="66">
        <f t="shared" si="116"/>
        <v>0.58826704085487613</v>
      </c>
      <c r="AI599" s="283">
        <f>RTD("money.excel",,$G599,"PredictVolume")</f>
        <v>5995</v>
      </c>
      <c r="AJ599" s="391">
        <f>IFERROR(VLOOKUP($G599,基本資料!$A:$M,13,0),"無")</f>
        <v>10190.950000000001</v>
      </c>
      <c r="AR599" s="245" t="str">
        <f>INDEX(基本資料!N:N,MATCH($G599,基本資料!A:A,0))</f>
        <v>低</v>
      </c>
    </row>
    <row r="600" spans="1:44">
      <c r="A600" s="343">
        <f>IFERROR(VLOOKUP($G600,基本資料!$A:$J,3,0),"無")</f>
        <v>41.97</v>
      </c>
      <c r="B600" s="79">
        <f>IFERROR(VLOOKUP($G600,基本資料!$A:$J,4,0),"無")</f>
        <v>451</v>
      </c>
      <c r="C600" s="79">
        <f>IFERROR(VLOOKUP($G600,基本資料!$A:$J,5,0),"無")</f>
        <v>932</v>
      </c>
      <c r="D600" s="79">
        <f>IFERROR(VLOOKUP($G600,基本資料!$A:$J,6,0),"無")</f>
        <v>-2</v>
      </c>
      <c r="E600" s="79">
        <f>IFERROR(VLOOKUP($G600,基本資料!$A:$J,7,0),"無")</f>
        <v>6</v>
      </c>
      <c r="F600" s="6">
        <f>IFERROR(VLOOKUP($G600,基本資料!$A:$J,8,0),"無")</f>
        <v>8.0299999999999994</v>
      </c>
      <c r="G600" s="79">
        <v>4919</v>
      </c>
      <c r="H600" s="8" t="s">
        <v>307</v>
      </c>
      <c r="I600" s="22" t="s">
        <v>118</v>
      </c>
      <c r="J600" s="8" t="str">
        <f>IFERROR(VLOOKUP($G600,今日總結!$A:$AN,39,0),"")</f>
        <v>投</v>
      </c>
      <c r="K600" s="5" t="str">
        <f>IFERROR(VLOOKUP($G600,今日總結!$A:$AN,40,0),"")</f>
        <v>外</v>
      </c>
      <c r="L600" s="156">
        <f>IFERROR(VLOOKUP($G600,今日總結!$A:$AN,37,0),"")</f>
        <v>1</v>
      </c>
      <c r="M600" s="337">
        <f>IFERROR(VLOOKUP($G600,今日總結!$A:$AN,38,0),"")</f>
        <v>2</v>
      </c>
      <c r="N600" s="240">
        <f t="shared" si="121"/>
        <v>-1</v>
      </c>
      <c r="O600" s="359">
        <f>IFERROR(VLOOKUP($G600,融外自投!$A:$J,7,0),"無")</f>
        <v>293</v>
      </c>
      <c r="P600" s="79">
        <f>IFERROR(VLOOKUP($G600,融外自投!$A:$J,9,0),"無")</f>
        <v>225</v>
      </c>
      <c r="Q600" s="342">
        <f>IFERROR(VLOOKUP($G600,融外自投!$A:$J,8,0),"無")</f>
        <v>670</v>
      </c>
      <c r="R600" s="81">
        <f>IFERROR(VLOOKUP($G600,融外自投!$A:$J,10,0),"無")</f>
        <v>16</v>
      </c>
      <c r="S600" s="324">
        <f>IFERROR(VLOOKUP($G600,'321買'!$A:$E,4,0),"'沒有資料'")</f>
        <v>19</v>
      </c>
      <c r="T600" s="186">
        <f>IFERROR(VLOOKUP($G600,基本資料!$A:$J,9,0),"無")</f>
        <v>5</v>
      </c>
      <c r="U600" s="307">
        <f t="shared" si="117"/>
        <v>2.9850746268656716E-2</v>
      </c>
      <c r="V600" s="94">
        <f>IFERROR(VLOOKUP($G600,基本資料!$A:$J,10,0),"無")</f>
        <v>7.27</v>
      </c>
      <c r="W600" s="36">
        <f>RTD("money.excel",,"4919","Price")</f>
        <v>167.5</v>
      </c>
      <c r="X600" s="66"/>
      <c r="Y600" s="15">
        <f t="shared" si="118"/>
        <v>167.5</v>
      </c>
      <c r="Z600" s="3" t="e">
        <f t="shared" si="119"/>
        <v>#DIV/0!</v>
      </c>
      <c r="AA600" s="340">
        <f>IFERROR(VLOOKUP($G600,基本資料!$A:$M,11,0),"無")</f>
        <v>-18.29</v>
      </c>
      <c r="AB600" s="389">
        <f>IFERROR(VLOOKUP($G600,基本資料!$A:$M,12,0),"無")</f>
        <v>44.58</v>
      </c>
      <c r="AC600" s="22" t="s">
        <v>118</v>
      </c>
      <c r="AF600" s="33">
        <f t="shared" si="120"/>
        <v>0</v>
      </c>
      <c r="AG600" s="117" t="s">
        <v>3020</v>
      </c>
      <c r="AH600" s="66">
        <f t="shared" si="116"/>
        <v>1.4493035940391548</v>
      </c>
      <c r="AI600" s="283">
        <f>RTD("money.excel",,$G600,"PredictVolume")</f>
        <v>37944</v>
      </c>
      <c r="AJ600" s="391">
        <f>IFERROR(VLOOKUP($G600,基本資料!$A:$M,13,0),"無")</f>
        <v>26180.85</v>
      </c>
      <c r="AR600" s="245" t="str">
        <f>INDEX(基本資料!N:N,MATCH($G600,基本資料!A:A,0))</f>
        <v>中</v>
      </c>
    </row>
    <row r="601" spans="1:44">
      <c r="A601" s="343" t="str">
        <f>IFERROR(VLOOKUP($G601,基本資料!$A:$J,3,0),"無")</f>
        <v>無</v>
      </c>
      <c r="B601" s="79" t="str">
        <f>IFERROR(VLOOKUP($G601,基本資料!$A:$J,4,0),"無")</f>
        <v>無</v>
      </c>
      <c r="C601" s="79" t="str">
        <f>IFERROR(VLOOKUP($G601,基本資料!$A:$J,5,0),"無")</f>
        <v>無</v>
      </c>
      <c r="D601" s="79" t="str">
        <f>IFERROR(VLOOKUP($G601,基本資料!$A:$J,6,0),"無")</f>
        <v>無</v>
      </c>
      <c r="E601" s="79" t="str">
        <f>IFERROR(VLOOKUP($G601,基本資料!$A:$J,7,0),"無")</f>
        <v>無</v>
      </c>
      <c r="F601" s="6" t="str">
        <f>IFERROR(VLOOKUP($G601,基本資料!$A:$J,8,0),"無")</f>
        <v>無</v>
      </c>
      <c r="G601" s="79">
        <v>4923</v>
      </c>
      <c r="H601" s="145" t="s">
        <v>3038</v>
      </c>
      <c r="I601" s="16" t="s">
        <v>4758</v>
      </c>
      <c r="J601" s="8" t="str">
        <f>IFERROR(VLOOKUP($G601,今日總結!$A:$AN,39,0),"")</f>
        <v/>
      </c>
      <c r="K601" s="5" t="str">
        <f>IFERROR(VLOOKUP($G601,今日總結!$A:$AN,40,0),"")</f>
        <v/>
      </c>
      <c r="L601" s="156" t="str">
        <f>IFERROR(VLOOKUP($G601,今日總結!$A:$AN,37,0),"")</f>
        <v/>
      </c>
      <c r="M601" s="337" t="str">
        <f>IFERROR(VLOOKUP($G601,今日總結!$A:$AN,38,0),"")</f>
        <v/>
      </c>
      <c r="N601" s="240" t="str">
        <f t="shared" si="121"/>
        <v/>
      </c>
      <c r="O601" s="359" t="str">
        <f>IFERROR(VLOOKUP($G601,融外自投!$A:$J,7,0),"無")</f>
        <v>無</v>
      </c>
      <c r="P601" s="79" t="str">
        <f>IFERROR(VLOOKUP($G601,融外自投!$A:$J,9,0),"無")</f>
        <v>無</v>
      </c>
      <c r="Q601" s="342" t="str">
        <f>IFERROR(VLOOKUP($G601,融外自投!$A:$J,8,0),"無")</f>
        <v>無</v>
      </c>
      <c r="R601" s="81" t="str">
        <f>IFERROR(VLOOKUP($G601,融外自投!$A:$J,10,0),"無")</f>
        <v>無</v>
      </c>
      <c r="S601" s="324" t="str">
        <f>IFERROR(VLOOKUP($G601,'321買'!$A:$E,4,0),"'沒有資料'")</f>
        <v>'沒有資料'</v>
      </c>
      <c r="T601" s="186" t="str">
        <f>IFERROR(VLOOKUP($G601,基本資料!$A:$J,9,0),"無")</f>
        <v>無</v>
      </c>
      <c r="U601" s="307" t="e">
        <f t="shared" si="117"/>
        <v>#VALUE!</v>
      </c>
      <c r="V601" s="94" t="str">
        <f>IFERROR(VLOOKUP($G601,基本資料!$A:$J,10,0),"無")</f>
        <v>無</v>
      </c>
      <c r="W601" s="36">
        <f>RTD("money.excel",,"4923","Price")</f>
        <v>72.8</v>
      </c>
      <c r="X601" s="66"/>
      <c r="Y601" s="15">
        <f>W601-X601</f>
        <v>72.8</v>
      </c>
      <c r="Z601" s="3" t="e">
        <f>Y601/X601</f>
        <v>#DIV/0!</v>
      </c>
      <c r="AA601" s="340" t="str">
        <f>IFERROR(VLOOKUP($G601,基本資料!$A:$M,11,0),"無")</f>
        <v>無</v>
      </c>
      <c r="AB601" s="389" t="str">
        <f>IFERROR(VLOOKUP($G601,基本資料!$A:$M,12,0),"無")</f>
        <v>無</v>
      </c>
      <c r="AC601" s="16" t="s">
        <v>4758</v>
      </c>
      <c r="AF601" s="33">
        <f>AE601-AD601</f>
        <v>0</v>
      </c>
      <c r="AG601" s="123" t="s">
        <v>4761</v>
      </c>
      <c r="AH601" s="66" t="e">
        <f t="shared" si="116"/>
        <v>#VALUE!</v>
      </c>
      <c r="AI601" s="283">
        <f>RTD("money.excel",,$G601,"PredictVolume")</f>
        <v>202</v>
      </c>
      <c r="AJ601" s="391" t="str">
        <f>IFERROR(VLOOKUP($G601,基本資料!$A:$M,13,0),"無")</f>
        <v>無</v>
      </c>
      <c r="AR601" s="245" t="e">
        <f>INDEX(基本資料!N:N,MATCH($G601,基本資料!A:A,0))</f>
        <v>#N/A</v>
      </c>
    </row>
    <row r="602" spans="1:44">
      <c r="A602" s="343">
        <f>IFERROR(VLOOKUP($G602,基本資料!$A:$J,3,0),"無")</f>
        <v>3</v>
      </c>
      <c r="B602" s="79">
        <f>IFERROR(VLOOKUP($G602,基本資料!$A:$J,4,0),"無")</f>
        <v>93</v>
      </c>
      <c r="C602" s="79">
        <f>IFERROR(VLOOKUP($G602,基本資料!$A:$J,5,0),"無")</f>
        <v>73</v>
      </c>
      <c r="D602" s="79">
        <f>IFERROR(VLOOKUP($G602,基本資料!$A:$J,6,0),"無")</f>
        <v>-16</v>
      </c>
      <c r="E602" s="79">
        <f>IFERROR(VLOOKUP($G602,基本資料!$A:$J,7,0),"無")</f>
        <v>23</v>
      </c>
      <c r="F602" s="6">
        <f>IFERROR(VLOOKUP($G602,基本資料!$A:$J,8,0),"無")</f>
        <v>22.97</v>
      </c>
      <c r="G602" s="79">
        <v>4945</v>
      </c>
      <c r="H602" s="195" t="s">
        <v>3038</v>
      </c>
      <c r="I602" s="24" t="s">
        <v>2072</v>
      </c>
      <c r="J602" s="8">
        <f>IFERROR(VLOOKUP($G602,今日總結!$A:$AN,39,0),"")</f>
        <v>5</v>
      </c>
      <c r="K602" s="5">
        <f>IFERROR(VLOOKUP($G602,今日總結!$A:$AN,40,0),"")</f>
        <v>0</v>
      </c>
      <c r="L602" s="156">
        <f>IFERROR(VLOOKUP($G602,今日總結!$A:$AN,37,0),"")</f>
        <v>1</v>
      </c>
      <c r="M602" s="337">
        <f>IFERROR(VLOOKUP($G602,今日總結!$A:$AN,38,0),"")</f>
        <v>0</v>
      </c>
      <c r="N602" s="240">
        <f t="shared" si="121"/>
        <v>1</v>
      </c>
      <c r="O602" s="359">
        <f>IFERROR(VLOOKUP($G602,融外自投!$A:$J,7,0),"無")</f>
        <v>615</v>
      </c>
      <c r="P602" s="79">
        <f>IFERROR(VLOOKUP($G602,融外自投!$A:$J,9,0),"無")</f>
        <v>451</v>
      </c>
      <c r="Q602" s="342">
        <f>IFERROR(VLOOKUP($G602,融外自投!$A:$J,8,0),"無")</f>
        <v>799</v>
      </c>
      <c r="R602" s="81">
        <f>IFERROR(VLOOKUP($G602,融外自投!$A:$J,10,0),"無")</f>
        <v>213</v>
      </c>
      <c r="S602" s="324">
        <f>IFERROR(VLOOKUP($G602,'321買'!$A:$E,4,0),"'沒有資料'")</f>
        <v>366</v>
      </c>
      <c r="T602" s="186">
        <f>IFERROR(VLOOKUP($G602,基本資料!$A:$J,9,0),"無")</f>
        <v>3.2</v>
      </c>
      <c r="U602" s="307">
        <f t="shared" si="117"/>
        <v>4.2496679946879154E-2</v>
      </c>
      <c r="V602" s="94">
        <f>IFERROR(VLOOKUP($G602,基本資料!$A:$J,10,0),"無")</f>
        <v>3.51</v>
      </c>
      <c r="W602" s="36">
        <f>RTD("money.excel",,"4945","Price")</f>
        <v>75.3</v>
      </c>
      <c r="X602" s="66"/>
      <c r="Y602" s="15">
        <f t="shared" si="118"/>
        <v>75.3</v>
      </c>
      <c r="Z602" s="3" t="e">
        <f t="shared" si="119"/>
        <v>#DIV/0!</v>
      </c>
      <c r="AA602" s="340">
        <f>IFERROR(VLOOKUP($G602,基本資料!$A:$M,11,0),"無")</f>
        <v>-30.28</v>
      </c>
      <c r="AB602" s="389">
        <f>IFERROR(VLOOKUP($G602,基本資料!$A:$M,12,0),"無")</f>
        <v>25.66</v>
      </c>
      <c r="AC602" s="24" t="s">
        <v>2072</v>
      </c>
      <c r="AF602" s="33">
        <f t="shared" si="120"/>
        <v>0</v>
      </c>
      <c r="AG602" s="119" t="s">
        <v>2075</v>
      </c>
      <c r="AH602" s="66">
        <f t="shared" si="116"/>
        <v>1.2260765550239234</v>
      </c>
      <c r="AI602" s="283">
        <f>RTD("money.excel",,$G602,"PredictVolume")</f>
        <v>205</v>
      </c>
      <c r="AJ602" s="391">
        <f>IFERROR(VLOOKUP($G602,基本資料!$A:$M,13,0),"無")</f>
        <v>167.2</v>
      </c>
      <c r="AR602" s="245" t="str">
        <f>INDEX(基本資料!N:N,MATCH($G602,基本資料!A:A,0))</f>
        <v>中</v>
      </c>
    </row>
    <row r="603" spans="1:44">
      <c r="A603" s="343">
        <f>IFERROR(VLOOKUP($G603,基本資料!$A:$J,3,0),"無")</f>
        <v>10.88</v>
      </c>
      <c r="B603" s="79">
        <f>IFERROR(VLOOKUP($G603,基本資料!$A:$J,4,0),"無")</f>
        <v>133</v>
      </c>
      <c r="C603" s="79">
        <f>IFERROR(VLOOKUP($G603,基本資料!$A:$J,5,0),"無")</f>
        <v>144</v>
      </c>
      <c r="D603" s="79">
        <f>IFERROR(VLOOKUP($G603,基本資料!$A:$J,6,0),"無")</f>
        <v>0</v>
      </c>
      <c r="E603" s="79">
        <f>IFERROR(VLOOKUP($G603,基本資料!$A:$J,7,0),"無")</f>
        <v>22</v>
      </c>
      <c r="F603" s="6">
        <f>IFERROR(VLOOKUP($G603,基本資料!$A:$J,8,0),"無")</f>
        <v>22.08</v>
      </c>
      <c r="G603" s="79">
        <v>4952</v>
      </c>
      <c r="H603" s="8" t="s">
        <v>3038</v>
      </c>
      <c r="I603" s="22" t="s">
        <v>176</v>
      </c>
      <c r="J603" s="8">
        <f>IFERROR(VLOOKUP($G603,今日總結!$A:$AN,39,0),"")</f>
        <v>0</v>
      </c>
      <c r="K603" s="5">
        <f>IFERROR(VLOOKUP($G603,今日總結!$A:$AN,40,0),"")</f>
        <v>0</v>
      </c>
      <c r="L603" s="156">
        <f>IFERROR(VLOOKUP($G603,今日總結!$A:$AN,37,0),"")</f>
        <v>0</v>
      </c>
      <c r="M603" s="337">
        <f>IFERROR(VLOOKUP($G603,今日總結!$A:$AN,38,0),"")</f>
        <v>0</v>
      </c>
      <c r="N603" s="240">
        <f t="shared" si="121"/>
        <v>0</v>
      </c>
      <c r="O603" s="359">
        <f>IFERROR(VLOOKUP($G603,融外自投!$A:$J,7,0),"無")</f>
        <v>271</v>
      </c>
      <c r="P603" s="79">
        <f>IFERROR(VLOOKUP($G603,融外自投!$A:$J,9,0),"無")</f>
        <v>515</v>
      </c>
      <c r="Q603" s="342">
        <f>IFERROR(VLOOKUP($G603,融外自投!$A:$J,8,0),"無")</f>
        <v>662</v>
      </c>
      <c r="R603" s="81">
        <f>IFERROR(VLOOKUP($G603,融外自投!$A:$J,10,0),"無")</f>
        <v>395</v>
      </c>
      <c r="S603" s="324">
        <f>IFERROR(VLOOKUP($G603,'321買'!$A:$E,4,0),"'沒有資料'")</f>
        <v>286</v>
      </c>
      <c r="T603" s="186">
        <f>IFERROR(VLOOKUP($G603,基本資料!$A:$J,9,0),"無")</f>
        <v>5.4</v>
      </c>
      <c r="U603" s="307">
        <f t="shared" si="117"/>
        <v>7.0129870129870139E-2</v>
      </c>
      <c r="V603" s="94">
        <f>IFERROR(VLOOKUP($G603,基本資料!$A:$J,10,0),"無")</f>
        <v>6.05</v>
      </c>
      <c r="W603" s="36">
        <f>RTD("money.excel",,"4952","Price")</f>
        <v>77</v>
      </c>
      <c r="X603" s="66"/>
      <c r="Y603" s="15">
        <f t="shared" si="118"/>
        <v>77</v>
      </c>
      <c r="Z603" s="3" t="e">
        <f t="shared" si="119"/>
        <v>#DIV/0!</v>
      </c>
      <c r="AA603" s="340">
        <f>IFERROR(VLOOKUP($G603,基本資料!$A:$M,11,0),"無")</f>
        <v>-20.54</v>
      </c>
      <c r="AB603" s="389">
        <f>IFERROR(VLOOKUP($G603,基本資料!$A:$M,12,0),"無")</f>
        <v>47.16</v>
      </c>
      <c r="AC603" s="22" t="s">
        <v>176</v>
      </c>
      <c r="AF603" s="33">
        <f t="shared" si="120"/>
        <v>0</v>
      </c>
      <c r="AG603" s="117" t="s">
        <v>2104</v>
      </c>
      <c r="AH603" s="66">
        <f t="shared" si="116"/>
        <v>1.5621054150582632</v>
      </c>
      <c r="AI603" s="283">
        <f>RTD("money.excel",,$G603,"PredictVolume")</f>
        <v>4330</v>
      </c>
      <c r="AJ603" s="391">
        <f>IFERROR(VLOOKUP($G603,基本資料!$A:$M,13,0),"無")</f>
        <v>2771.9</v>
      </c>
      <c r="AR603" s="245" t="str">
        <f>INDEX(基本資料!N:N,MATCH($G603,基本資料!A:A,0))</f>
        <v>中</v>
      </c>
    </row>
    <row r="604" spans="1:44">
      <c r="A604" s="343">
        <f>IFERROR(VLOOKUP($G604,基本資料!$A:$J,3,0),"無")</f>
        <v>18.649999999999999</v>
      </c>
      <c r="B604" s="79">
        <f>IFERROR(VLOOKUP($G604,基本資料!$A:$J,4,0),"無")</f>
        <v>773</v>
      </c>
      <c r="C604" s="79">
        <f>IFERROR(VLOOKUP($G604,基本資料!$A:$J,5,0),"無")</f>
        <v>872</v>
      </c>
      <c r="D604" s="79">
        <f>IFERROR(VLOOKUP($G604,基本資料!$A:$J,6,0),"無")</f>
        <v>-10</v>
      </c>
      <c r="E604" s="79">
        <f>IFERROR(VLOOKUP($G604,基本資料!$A:$J,7,0),"無")</f>
        <v>15</v>
      </c>
      <c r="F604" s="6">
        <f>IFERROR(VLOOKUP($G604,基本資料!$A:$J,8,0),"無")</f>
        <v>33.75</v>
      </c>
      <c r="G604" s="79">
        <v>4961</v>
      </c>
      <c r="H604" s="8" t="s">
        <v>3038</v>
      </c>
      <c r="I604" s="22" t="s">
        <v>1061</v>
      </c>
      <c r="J604" s="8">
        <f>IFERROR(VLOOKUP($G604,今日總結!$A:$AN,39,0),"")</f>
        <v>0</v>
      </c>
      <c r="K604" s="5">
        <f>IFERROR(VLOOKUP($G604,今日總結!$A:$AN,40,0),"")</f>
        <v>0</v>
      </c>
      <c r="L604" s="156">
        <f>IFERROR(VLOOKUP($G604,今日總結!$A:$AN,37,0),"")</f>
        <v>0</v>
      </c>
      <c r="M604" s="337">
        <f>IFERROR(VLOOKUP($G604,今日總結!$A:$AN,38,0),"")</f>
        <v>0</v>
      </c>
      <c r="N604" s="240">
        <f t="shared" si="121"/>
        <v>0</v>
      </c>
      <c r="O604" s="359">
        <f>IFERROR(VLOOKUP($G604,融外自投!$A:$J,7,0),"無")</f>
        <v>167</v>
      </c>
      <c r="P604" s="79">
        <f>IFERROR(VLOOKUP($G604,融外自投!$A:$J,9,0),"無")</f>
        <v>174</v>
      </c>
      <c r="Q604" s="342">
        <f>IFERROR(VLOOKUP($G604,融外自投!$A:$J,8,0),"無")</f>
        <v>596</v>
      </c>
      <c r="R604" s="81">
        <f>IFERROR(VLOOKUP($G604,融外自投!$A:$J,10,0),"無")</f>
        <v>324</v>
      </c>
      <c r="S604" s="324">
        <f>IFERROR(VLOOKUP($G604,'321買'!$A:$E,4,0),"'沒有資料'")</f>
        <v>71</v>
      </c>
      <c r="T604" s="186">
        <f>IFERROR(VLOOKUP($G604,基本資料!$A:$J,9,0),"無")</f>
        <v>17</v>
      </c>
      <c r="U604" s="307">
        <f t="shared" si="117"/>
        <v>9.6317280453257784E-2</v>
      </c>
      <c r="V604" s="94">
        <f>IFERROR(VLOOKUP($G604,基本資料!$A:$J,10,0),"無")</f>
        <v>33.83</v>
      </c>
      <c r="W604" s="36">
        <f>RTD("money.excel",,"4961","Price")</f>
        <v>176.5</v>
      </c>
      <c r="X604" s="66"/>
      <c r="Y604" s="15">
        <f t="shared" si="118"/>
        <v>176.5</v>
      </c>
      <c r="Z604" s="3" t="e">
        <f t="shared" si="119"/>
        <v>#DIV/0!</v>
      </c>
      <c r="AA604" s="340">
        <f>IFERROR(VLOOKUP($G604,基本資料!$A:$M,11,0),"無")</f>
        <v>-49.28</v>
      </c>
      <c r="AB604" s="389">
        <f>IFERROR(VLOOKUP($G604,基本資料!$A:$M,12,0),"無")</f>
        <v>28.84</v>
      </c>
      <c r="AC604" s="22" t="s">
        <v>1061</v>
      </c>
      <c r="AF604" s="33">
        <f t="shared" si="120"/>
        <v>0</v>
      </c>
      <c r="AG604" s="43" t="s">
        <v>3411</v>
      </c>
      <c r="AH604" s="66">
        <f t="shared" si="116"/>
        <v>0.96264832171383719</v>
      </c>
      <c r="AI604" s="283">
        <f>RTD("money.excel",,$G604,"PredictVolume")</f>
        <v>2085</v>
      </c>
      <c r="AJ604" s="391">
        <f>IFERROR(VLOOKUP($G604,基本資料!$A:$M,13,0),"無")</f>
        <v>2165.9</v>
      </c>
      <c r="AR604" s="245" t="str">
        <f>INDEX(基本資料!N:N,MATCH($G604,基本資料!A:A,0))</f>
        <v>低</v>
      </c>
    </row>
    <row r="605" spans="1:44">
      <c r="A605" s="343">
        <f>IFERROR(VLOOKUP($G605,基本資料!$A:$J,3,0),"無")</f>
        <v>8.1199999999999992</v>
      </c>
      <c r="B605" s="79">
        <f>IFERROR(VLOOKUP($G605,基本資料!$A:$J,4,0),"無")</f>
        <v>49</v>
      </c>
      <c r="C605" s="79">
        <f>IFERROR(VLOOKUP($G605,基本資料!$A:$J,5,0),"無")</f>
        <v>58</v>
      </c>
      <c r="D605" s="79">
        <f>IFERROR(VLOOKUP($G605,基本資料!$A:$J,6,0),"無")</f>
        <v>0</v>
      </c>
      <c r="E605" s="79">
        <f>IFERROR(VLOOKUP($G605,基本資料!$A:$J,7,0),"無")</f>
        <v>18</v>
      </c>
      <c r="F605" s="6">
        <f>IFERROR(VLOOKUP($G605,基本資料!$A:$J,8,0),"無")</f>
        <v>29.16</v>
      </c>
      <c r="G605" s="79">
        <v>4966</v>
      </c>
      <c r="H605" s="145" t="s">
        <v>3038</v>
      </c>
      <c r="I605" s="16" t="s">
        <v>4053</v>
      </c>
      <c r="J605" s="8">
        <f>IFERROR(VLOOKUP($G605,今日總結!$A:$AN,39,0),"")</f>
        <v>0</v>
      </c>
      <c r="K605" s="5">
        <f>IFERROR(VLOOKUP($G605,今日總結!$A:$AN,40,0),"")</f>
        <v>0</v>
      </c>
      <c r="L605" s="156">
        <f>IFERROR(VLOOKUP($G605,今日總結!$A:$AN,37,0),"")</f>
        <v>0</v>
      </c>
      <c r="M605" s="337">
        <f>IFERROR(VLOOKUP($G605,今日總結!$A:$AN,38,0),"")</f>
        <v>0</v>
      </c>
      <c r="N605" s="240">
        <f t="shared" si="121"/>
        <v>0</v>
      </c>
      <c r="O605" s="359">
        <f>IFERROR(VLOOKUP($G605,融外自投!$A:$J,7,0),"無")</f>
        <v>938</v>
      </c>
      <c r="P605" s="79">
        <f>IFERROR(VLOOKUP($G605,融外自投!$A:$J,9,0),"無")</f>
        <v>313</v>
      </c>
      <c r="Q605" s="342">
        <f>IFERROR(VLOOKUP($G605,融外自投!$A:$J,8,0),"無")</f>
        <v>23</v>
      </c>
      <c r="R605" s="81">
        <f>IFERROR(VLOOKUP($G605,融外自投!$A:$J,10,0),"無")</f>
        <v>79</v>
      </c>
      <c r="S605" s="324">
        <f>IFERROR(VLOOKUP($G605,'321買'!$A:$E,4,0),"'沒有資料'")</f>
        <v>394</v>
      </c>
      <c r="T605" s="186">
        <f>IFERROR(VLOOKUP($G605,基本資料!$A:$J,9,0),"無")</f>
        <v>32.479999999999997</v>
      </c>
      <c r="U605" s="307">
        <f t="shared" si="117"/>
        <v>2.2555555555555554E-2</v>
      </c>
      <c r="V605" s="94">
        <f>IFERROR(VLOOKUP($G605,基本資料!$A:$J,10,0),"無")</f>
        <v>66.290000000000006</v>
      </c>
      <c r="W605" s="366">
        <f>RTD("money.excel",,"4966","Price")</f>
        <v>1440</v>
      </c>
      <c r="X605" s="66"/>
      <c r="Y605" s="137">
        <f t="shared" si="118"/>
        <v>1440</v>
      </c>
      <c r="Z605" s="3" t="e">
        <f t="shared" si="119"/>
        <v>#DIV/0!</v>
      </c>
      <c r="AA605" s="340">
        <f>IFERROR(VLOOKUP($G605,基本資料!$A:$M,11,0),"無")</f>
        <v>-35.71</v>
      </c>
      <c r="AB605" s="389">
        <f>IFERROR(VLOOKUP($G605,基本資料!$A:$M,12,0),"無")</f>
        <v>27.55</v>
      </c>
      <c r="AC605" s="16" t="s">
        <v>4053</v>
      </c>
      <c r="AF605" s="33">
        <f t="shared" si="120"/>
        <v>0</v>
      </c>
      <c r="AG605" s="117" t="s">
        <v>2359</v>
      </c>
      <c r="AH605" s="66">
        <f t="shared" si="116"/>
        <v>0.71827057182705722</v>
      </c>
      <c r="AI605" s="283">
        <f>RTD("money.excel",,$G605,"PredictVolume")</f>
        <v>515</v>
      </c>
      <c r="AJ605" s="391">
        <f>IFERROR(VLOOKUP($G605,基本資料!$A:$M,13,0),"無")</f>
        <v>717</v>
      </c>
      <c r="AR605" s="245" t="str">
        <f>INDEX(基本資料!N:N,MATCH($G605,基本資料!A:A,0))</f>
        <v>低</v>
      </c>
    </row>
    <row r="606" spans="1:44">
      <c r="A606" s="343">
        <f>IFERROR(VLOOKUP($G606,基本資料!$A:$J,3,0),"無")</f>
        <v>10.220000000000001</v>
      </c>
      <c r="B606" s="79">
        <f>IFERROR(VLOOKUP($G606,基本資料!$A:$J,4,0),"無")</f>
        <v>-164</v>
      </c>
      <c r="C606" s="79">
        <f>IFERROR(VLOOKUP($G606,基本資料!$A:$J,5,0),"無")</f>
        <v>-184</v>
      </c>
      <c r="D606" s="79">
        <f>IFERROR(VLOOKUP($G606,基本資料!$A:$J,6,0),"無")</f>
        <v>-31</v>
      </c>
      <c r="E606" s="79">
        <f>IFERROR(VLOOKUP($G606,基本資料!$A:$J,7,0),"無")</f>
        <v>-26</v>
      </c>
      <c r="F606" s="6">
        <f>IFERROR(VLOOKUP($G606,基本資料!$A:$J,8,0),"無")</f>
        <v>-2.1</v>
      </c>
      <c r="G606" s="79">
        <v>4967</v>
      </c>
      <c r="H606" s="8" t="s">
        <v>3038</v>
      </c>
      <c r="I606" s="22" t="s">
        <v>1725</v>
      </c>
      <c r="J606" s="8" t="str">
        <f>IFERROR(VLOOKUP($G606,今日總結!$A:$AN,39,0),"")</f>
        <v>券</v>
      </c>
      <c r="K606" s="5">
        <f>IFERROR(VLOOKUP($G606,今日總結!$A:$AN,40,0),"")</f>
        <v>0</v>
      </c>
      <c r="L606" s="156">
        <f>IFERROR(VLOOKUP($G606,今日總結!$A:$AN,37,0),"")</f>
        <v>1</v>
      </c>
      <c r="M606" s="337">
        <f>IFERROR(VLOOKUP($G606,今日總結!$A:$AN,38,0),"")</f>
        <v>0</v>
      </c>
      <c r="N606" s="240">
        <f t="shared" si="121"/>
        <v>1</v>
      </c>
      <c r="O606" s="359">
        <f>IFERROR(VLOOKUP($G606,融外自投!$A:$J,7,0),"無")</f>
        <v>38</v>
      </c>
      <c r="P606" s="79">
        <f>IFERROR(VLOOKUP($G606,融外自投!$A:$J,9,0),"無")</f>
        <v>537</v>
      </c>
      <c r="Q606" s="342">
        <f>IFERROR(VLOOKUP($G606,融外自投!$A:$J,8,0),"無")</f>
        <v>1030</v>
      </c>
      <c r="R606" s="81" t="str">
        <f>IFERROR(VLOOKUP($G606,融外自投!$A:$J,10,0),"無")</f>
        <v>無</v>
      </c>
      <c r="S606" s="324">
        <f>IFERROR(VLOOKUP($G606,'321買'!$A:$E,4,0),"'沒有資料'")</f>
        <v>56</v>
      </c>
      <c r="T606" s="186">
        <f>IFERROR(VLOOKUP($G606,基本資料!$A:$J,9,0),"無")</f>
        <v>0</v>
      </c>
      <c r="U606" s="307">
        <f t="shared" si="117"/>
        <v>0</v>
      </c>
      <c r="V606" s="94">
        <f>IFERROR(VLOOKUP($G606,基本資料!$A:$J,10,0),"無")</f>
        <v>-1.02</v>
      </c>
      <c r="W606" s="36">
        <f>RTD("money.excel",,"4967","Price")</f>
        <v>30.5</v>
      </c>
      <c r="X606" s="66"/>
      <c r="Y606" s="15">
        <f t="shared" si="118"/>
        <v>30.5</v>
      </c>
      <c r="Z606" s="3" t="e">
        <f t="shared" si="119"/>
        <v>#DIV/0!</v>
      </c>
      <c r="AA606" s="340">
        <f>IFERROR(VLOOKUP($G606,基本資料!$A:$M,11,0),"無")</f>
        <v>-61.29</v>
      </c>
      <c r="AB606" s="389">
        <f>IFERROR(VLOOKUP($G606,基本資料!$A:$M,12,0),"無")</f>
        <v>12.95</v>
      </c>
      <c r="AC606" s="22" t="s">
        <v>1725</v>
      </c>
      <c r="AF606" s="33">
        <f t="shared" si="120"/>
        <v>0</v>
      </c>
      <c r="AG606" s="43" t="s">
        <v>1413</v>
      </c>
      <c r="AH606" s="66">
        <f t="shared" si="116"/>
        <v>0.41959416302265024</v>
      </c>
      <c r="AI606" s="283">
        <f>RTD("money.excel",,$G606,"PredictVolume")</f>
        <v>427</v>
      </c>
      <c r="AJ606" s="391">
        <f>IFERROR(VLOOKUP($G606,基本資料!$A:$M,13,0),"無")</f>
        <v>1017.65</v>
      </c>
      <c r="AR606" s="245" t="str">
        <f>INDEX(基本資料!N:N,MATCH($G606,基本資料!A:A,0))</f>
        <v>低</v>
      </c>
    </row>
    <row r="607" spans="1:44">
      <c r="A607" s="343">
        <f>IFERROR(VLOOKUP($G607,基本資料!$A:$J,3,0),"無")</f>
        <v>8.84</v>
      </c>
      <c r="B607" s="79">
        <f>IFERROR(VLOOKUP($G607,基本資料!$A:$J,4,0),"無")</f>
        <v>-46</v>
      </c>
      <c r="C607" s="79">
        <f>IFERROR(VLOOKUP($G607,基本資料!$A:$J,5,0),"無")</f>
        <v>-47</v>
      </c>
      <c r="D607" s="79">
        <f>IFERROR(VLOOKUP($G607,基本資料!$A:$J,6,0),"無")</f>
        <v>-10</v>
      </c>
      <c r="E607" s="79">
        <f>IFERROR(VLOOKUP($G607,基本資料!$A:$J,7,0),"無")</f>
        <v>-51</v>
      </c>
      <c r="F607" s="6">
        <f>IFERROR(VLOOKUP($G607,基本資料!$A:$J,8,0),"無")</f>
        <v>10.039999999999999</v>
      </c>
      <c r="G607" s="79">
        <v>4968</v>
      </c>
      <c r="H607" s="8" t="s">
        <v>3038</v>
      </c>
      <c r="I607" s="22" t="s">
        <v>350</v>
      </c>
      <c r="J607" s="8">
        <f>IFERROR(VLOOKUP($G607,今日總結!$A:$AN,39,0),"")</f>
        <v>0</v>
      </c>
      <c r="K607" s="5">
        <f>IFERROR(VLOOKUP($G607,今日總結!$A:$AN,40,0),"")</f>
        <v>0</v>
      </c>
      <c r="L607" s="156">
        <f>IFERROR(VLOOKUP($G607,今日總結!$A:$AN,37,0),"")</f>
        <v>0</v>
      </c>
      <c r="M607" s="337">
        <f>IFERROR(VLOOKUP($G607,今日總結!$A:$AN,38,0),"")</f>
        <v>0</v>
      </c>
      <c r="N607" s="240">
        <f t="shared" si="121"/>
        <v>0</v>
      </c>
      <c r="O607" s="359">
        <f>IFERROR(VLOOKUP($G607,融外自投!$A:$J,7,0),"無")</f>
        <v>152</v>
      </c>
      <c r="P607" s="79">
        <f>IFERROR(VLOOKUP($G607,融外自投!$A:$J,9,0),"無")</f>
        <v>97</v>
      </c>
      <c r="Q607" s="342">
        <f>IFERROR(VLOOKUP($G607,融外自投!$A:$J,8,0),"無")</f>
        <v>175</v>
      </c>
      <c r="R607" s="81">
        <f>IFERROR(VLOOKUP($G607,融外自投!$A:$J,10,0),"無")</f>
        <v>96</v>
      </c>
      <c r="S607" s="324">
        <f>IFERROR(VLOOKUP($G607,'321買'!$A:$E,4,0),"'沒有資料'")</f>
        <v>114</v>
      </c>
      <c r="T607" s="186">
        <f>IFERROR(VLOOKUP($G607,基本資料!$A:$J,9,0),"無")</f>
        <v>3.5</v>
      </c>
      <c r="U607" s="307">
        <f t="shared" si="117"/>
        <v>1.6990291262135922E-2</v>
      </c>
      <c r="V607" s="94">
        <f>IFERROR(VLOOKUP($G607,基本資料!$A:$J,10,0),"無")</f>
        <v>5.26</v>
      </c>
      <c r="W607" s="36">
        <f>RTD("money.excel",,"4968","Price")</f>
        <v>206</v>
      </c>
      <c r="X607" s="66"/>
      <c r="Y607" s="15">
        <f t="shared" si="118"/>
        <v>206</v>
      </c>
      <c r="Z607" s="3" t="e">
        <f t="shared" si="119"/>
        <v>#DIV/0!</v>
      </c>
      <c r="AA607" s="340">
        <f>IFERROR(VLOOKUP($G607,基本資料!$A:$M,11,0),"無")</f>
        <v>-61.35</v>
      </c>
      <c r="AB607" s="389">
        <f>IFERROR(VLOOKUP($G607,基本資料!$A:$M,12,0),"無")</f>
        <v>62.55</v>
      </c>
      <c r="AC607" s="22" t="s">
        <v>350</v>
      </c>
      <c r="AF607" s="33">
        <f t="shared" si="120"/>
        <v>0</v>
      </c>
      <c r="AG607" s="43" t="s">
        <v>2007</v>
      </c>
      <c r="AH607" s="66">
        <f t="shared" si="116"/>
        <v>0.59469242421261781</v>
      </c>
      <c r="AI607" s="283">
        <f>RTD("money.excel",,$G607,"PredictVolume")</f>
        <v>3023</v>
      </c>
      <c r="AJ607" s="391">
        <f>IFERROR(VLOOKUP($G607,基本資料!$A:$M,13,0),"無")</f>
        <v>5083.3</v>
      </c>
      <c r="AR607" s="245" t="str">
        <f>INDEX(基本資料!N:N,MATCH($G607,基本資料!A:A,0))</f>
        <v>低</v>
      </c>
    </row>
    <row r="608" spans="1:44">
      <c r="A608" s="343">
        <f>IFERROR(VLOOKUP($G608,基本資料!$A:$J,3,0),"無")</f>
        <v>3.65</v>
      </c>
      <c r="B608" s="79">
        <f>IFERROR(VLOOKUP($G608,基本資料!$A:$J,4,0),"無")</f>
        <v>32</v>
      </c>
      <c r="C608" s="79">
        <f>IFERROR(VLOOKUP($G608,基本資料!$A:$J,5,0),"無")</f>
        <v>108</v>
      </c>
      <c r="D608" s="79">
        <f>IFERROR(VLOOKUP($G608,基本資料!$A:$J,6,0),"無")</f>
        <v>4</v>
      </c>
      <c r="E608" s="79">
        <f>IFERROR(VLOOKUP($G608,基本資料!$A:$J,7,0),"無")</f>
        <v>41</v>
      </c>
      <c r="F608" s="6">
        <f>IFERROR(VLOOKUP($G608,基本資料!$A:$J,8,0),"無")</f>
        <v>12.62</v>
      </c>
      <c r="G608" s="79">
        <v>4971</v>
      </c>
      <c r="H608" s="145" t="s">
        <v>3038</v>
      </c>
      <c r="I608" s="16" t="s">
        <v>4054</v>
      </c>
      <c r="J608" s="8" t="str">
        <f>IFERROR(VLOOKUP($G608,今日總結!$A:$AN,39,0),"")</f>
        <v>外</v>
      </c>
      <c r="K608" s="5" t="str">
        <f>IFERROR(VLOOKUP($G608,今日總結!$A:$AN,40,0),"")</f>
        <v>融</v>
      </c>
      <c r="L608" s="156">
        <f>IFERROR(VLOOKUP($G608,今日總結!$A:$AN,37,0),"")</f>
        <v>11</v>
      </c>
      <c r="M608" s="337">
        <f>IFERROR(VLOOKUP($G608,今日總結!$A:$AN,38,0),"")</f>
        <v>1</v>
      </c>
      <c r="N608" s="240">
        <f t="shared" si="121"/>
        <v>10</v>
      </c>
      <c r="O608" s="359">
        <f>IFERROR(VLOOKUP($G608,融外自投!$A:$J,7,0),"無")</f>
        <v>14</v>
      </c>
      <c r="P608" s="79">
        <f>IFERROR(VLOOKUP($G608,融外自投!$A:$J,9,0),"無")</f>
        <v>501</v>
      </c>
      <c r="Q608" s="342">
        <f>IFERROR(VLOOKUP($G608,融外自投!$A:$J,8,0),"無")</f>
        <v>354</v>
      </c>
      <c r="R608" s="81">
        <f>IFERROR(VLOOKUP($G608,融外自投!$A:$J,10,0),"無")</f>
        <v>268</v>
      </c>
      <c r="S608" s="324">
        <f>IFERROR(VLOOKUP($G608,'321買'!$A:$E,4,0),"'沒有資料'")</f>
        <v>343</v>
      </c>
      <c r="T608" s="186">
        <f>IFERROR(VLOOKUP($G608,基本資料!$A:$J,9,0),"無")</f>
        <v>1.5</v>
      </c>
      <c r="U608" s="307">
        <f t="shared" si="117"/>
        <v>1.9011406844106463E-2</v>
      </c>
      <c r="V608" s="94">
        <f>IFERROR(VLOOKUP($G608,基本資料!$A:$J,10,0),"無")</f>
        <v>2.4500000000000002</v>
      </c>
      <c r="W608" s="36">
        <f>RTD("money.excel",,"4971","Price")</f>
        <v>78.900000000000006</v>
      </c>
      <c r="X608" s="66"/>
      <c r="Y608" s="15">
        <f t="shared" si="118"/>
        <v>78.900000000000006</v>
      </c>
      <c r="Z608" s="3" t="e">
        <f t="shared" si="119"/>
        <v>#DIV/0!</v>
      </c>
      <c r="AA608" s="340">
        <f>IFERROR(VLOOKUP($G608,基本資料!$A:$M,11,0),"無")</f>
        <v>-11.84</v>
      </c>
      <c r="AB608" s="389">
        <f>IFERROR(VLOOKUP($G608,基本資料!$A:$M,12,0),"無")</f>
        <v>59.33</v>
      </c>
      <c r="AC608" s="16" t="s">
        <v>4054</v>
      </c>
      <c r="AF608" s="33">
        <f t="shared" si="120"/>
        <v>0</v>
      </c>
      <c r="AG608" s="117" t="s">
        <v>2163</v>
      </c>
      <c r="AH608" s="66">
        <f t="shared" si="116"/>
        <v>1.5809284818067753</v>
      </c>
      <c r="AI608" s="283">
        <f>RTD("money.excel",,$G608,"PredictVolume")</f>
        <v>252</v>
      </c>
      <c r="AJ608" s="391">
        <f>IFERROR(VLOOKUP($G608,基本資料!$A:$M,13,0),"無")</f>
        <v>159.4</v>
      </c>
      <c r="AR608" s="245" t="str">
        <f>INDEX(基本資料!N:N,MATCH($G608,基本資料!A:A,0))</f>
        <v>高</v>
      </c>
    </row>
    <row r="609" spans="1:44">
      <c r="A609" s="343">
        <f>IFERROR(VLOOKUP($G609,基本資料!$A:$J,3,0),"無")</f>
        <v>6.35</v>
      </c>
      <c r="B609" s="79">
        <f>IFERROR(VLOOKUP($G609,基本資料!$A:$J,4,0),"無")</f>
        <v>-69</v>
      </c>
      <c r="C609" s="79">
        <f>IFERROR(VLOOKUP($G609,基本資料!$A:$J,5,0),"無")</f>
        <v>-32</v>
      </c>
      <c r="D609" s="79">
        <f>IFERROR(VLOOKUP($G609,基本資料!$A:$J,6,0),"無")</f>
        <v>-18</v>
      </c>
      <c r="E609" s="79">
        <f>IFERROR(VLOOKUP($G609,基本資料!$A:$J,7,0),"無")</f>
        <v>4</v>
      </c>
      <c r="F609" s="6">
        <f>IFERROR(VLOOKUP($G609,基本資料!$A:$J,8,0),"無")</f>
        <v>0.8</v>
      </c>
      <c r="G609" s="79">
        <v>4973</v>
      </c>
      <c r="H609" s="145" t="s">
        <v>3038</v>
      </c>
      <c r="I609" s="16" t="s">
        <v>367</v>
      </c>
      <c r="J609" s="8">
        <f>IFERROR(VLOOKUP($G609,今日總結!$A:$AN,39,0),"")</f>
        <v>0</v>
      </c>
      <c r="K609" s="5" t="str">
        <f>IFERROR(VLOOKUP($G609,今日總結!$A:$AN,40,0),"")</f>
        <v>主</v>
      </c>
      <c r="L609" s="156">
        <f>IFERROR(VLOOKUP($G609,今日總結!$A:$AN,37,0),"")</f>
        <v>0</v>
      </c>
      <c r="M609" s="337">
        <f>IFERROR(VLOOKUP($G609,今日總結!$A:$AN,38,0),"")</f>
        <v>3</v>
      </c>
      <c r="N609" s="240">
        <f t="shared" si="121"/>
        <v>-3</v>
      </c>
      <c r="O609" s="359">
        <f>IFERROR(VLOOKUP($G609,融外自投!$A:$J,7,0),"無")</f>
        <v>385</v>
      </c>
      <c r="P609" s="79" t="str">
        <f>IFERROR(VLOOKUP($G609,融外自投!$A:$J,9,0),"無")</f>
        <v>無</v>
      </c>
      <c r="Q609" s="342">
        <f>IFERROR(VLOOKUP($G609,融外自投!$A:$J,8,0),"無")</f>
        <v>1376</v>
      </c>
      <c r="R609" s="81" t="str">
        <f>IFERROR(VLOOKUP($G609,融外自投!$A:$J,10,0),"無")</f>
        <v>無</v>
      </c>
      <c r="S609" s="324">
        <f>IFERROR(VLOOKUP($G609,'321買'!$A:$E,4,0),"'沒有資料'")</f>
        <v>743</v>
      </c>
      <c r="T609" s="186">
        <f>IFERROR(VLOOKUP($G609,基本資料!$A:$J,9,0),"無")</f>
        <v>1</v>
      </c>
      <c r="U609" s="307">
        <f t="shared" si="117"/>
        <v>4.8192771084337352E-2</v>
      </c>
      <c r="V609" s="94">
        <f>IFERROR(VLOOKUP($G609,基本資料!$A:$J,10,0),"無")</f>
        <v>0.35</v>
      </c>
      <c r="W609" s="36">
        <f>RTD("money.excel",,"4973","Price")</f>
        <v>20.75</v>
      </c>
      <c r="X609" s="66"/>
      <c r="Y609" s="15">
        <f t="shared" si="118"/>
        <v>20.75</v>
      </c>
      <c r="Z609" s="3" t="e">
        <f t="shared" si="119"/>
        <v>#DIV/0!</v>
      </c>
      <c r="AA609" s="340">
        <f>IFERROR(VLOOKUP($G609,基本資料!$A:$M,11,0),"無")</f>
        <v>-38.520000000000003</v>
      </c>
      <c r="AB609" s="389">
        <f>IFERROR(VLOOKUP($G609,基本資料!$A:$M,12,0),"無")</f>
        <v>10.220000000000001</v>
      </c>
      <c r="AC609" s="16" t="s">
        <v>367</v>
      </c>
      <c r="AF609" s="33">
        <f t="shared" si="120"/>
        <v>0</v>
      </c>
      <c r="AG609" s="43" t="s">
        <v>2358</v>
      </c>
      <c r="AH609" s="66">
        <f t="shared" si="116"/>
        <v>0.49924357034795769</v>
      </c>
      <c r="AI609" s="283">
        <f>RTD("money.excel",,$G609,"PredictVolume")</f>
        <v>33</v>
      </c>
      <c r="AJ609" s="391">
        <f>IFERROR(VLOOKUP($G609,基本資料!$A:$M,13,0),"無")</f>
        <v>66.099999999999994</v>
      </c>
      <c r="AR609" s="245" t="str">
        <f>INDEX(基本資料!N:N,MATCH($G609,基本資料!A:A,0))</f>
        <v>低</v>
      </c>
    </row>
    <row r="610" spans="1:44">
      <c r="A610" s="343">
        <f>IFERROR(VLOOKUP($G610,基本資料!$A:$J,3,0),"無")</f>
        <v>11.1</v>
      </c>
      <c r="B610" s="79">
        <f>IFERROR(VLOOKUP($G610,基本資料!$A:$J,4,0),"無")</f>
        <v>-232</v>
      </c>
      <c r="C610" s="79">
        <f>IFERROR(VLOOKUP($G610,基本資料!$A:$J,5,0),"無")</f>
        <v>-116</v>
      </c>
      <c r="D610" s="79">
        <f>IFERROR(VLOOKUP($G610,基本資料!$A:$J,6,0),"無")</f>
        <v>-44</v>
      </c>
      <c r="E610" s="79">
        <f>IFERROR(VLOOKUP($G610,基本資料!$A:$J,7,0),"無")</f>
        <v>-9</v>
      </c>
      <c r="F610" s="6">
        <f>IFERROR(VLOOKUP($G610,基本資料!$A:$J,8,0),"無")</f>
        <v>-2.4900000000000002</v>
      </c>
      <c r="G610" s="79">
        <v>4991</v>
      </c>
      <c r="H610" s="145" t="s">
        <v>3038</v>
      </c>
      <c r="I610" s="16" t="s">
        <v>177</v>
      </c>
      <c r="J610" s="8">
        <f>IFERROR(VLOOKUP($G610,今日總結!$A:$AN,39,0),"")</f>
        <v>0</v>
      </c>
      <c r="K610" s="5">
        <f>IFERROR(VLOOKUP($G610,今日總結!$A:$AN,40,0),"")</f>
        <v>0</v>
      </c>
      <c r="L610" s="156">
        <f>IFERROR(VLOOKUP($G610,今日總結!$A:$AN,37,0),"")</f>
        <v>0</v>
      </c>
      <c r="M610" s="337">
        <f>IFERROR(VLOOKUP($G610,今日總結!$A:$AN,38,0),"")</f>
        <v>0</v>
      </c>
      <c r="N610" s="240">
        <f t="shared" si="121"/>
        <v>0</v>
      </c>
      <c r="O610" s="359">
        <f>IFERROR(VLOOKUP($G610,融外自投!$A:$J,7,0),"無")</f>
        <v>590</v>
      </c>
      <c r="P610" s="79">
        <f>IFERROR(VLOOKUP($G610,融外自投!$A:$J,9,0),"無")</f>
        <v>946</v>
      </c>
      <c r="Q610" s="342">
        <f>IFERROR(VLOOKUP($G610,融外自投!$A:$J,8,0),"無")</f>
        <v>807</v>
      </c>
      <c r="R610" s="81">
        <f>IFERROR(VLOOKUP($G610,融外自投!$A:$J,10,0),"無")</f>
        <v>495</v>
      </c>
      <c r="S610" s="324">
        <f>IFERROR(VLOOKUP($G610,'321買'!$A:$E,4,0),"'沒有資料'")</f>
        <v>1002</v>
      </c>
      <c r="T610" s="186">
        <f>IFERROR(VLOOKUP($G610,基本資料!$A:$J,9,0),"無")</f>
        <v>0</v>
      </c>
      <c r="U610" s="307">
        <f t="shared" si="117"/>
        <v>0</v>
      </c>
      <c r="V610" s="94">
        <f>IFERROR(VLOOKUP($G610,基本資料!$A:$J,10,0),"無")</f>
        <v>-4.2</v>
      </c>
      <c r="W610" s="36">
        <f>RTD("money.excel",,"4991","Price")</f>
        <v>36.25</v>
      </c>
      <c r="X610" s="66"/>
      <c r="Y610" s="15">
        <f t="shared" si="118"/>
        <v>36.25</v>
      </c>
      <c r="Z610" s="3" t="e">
        <f t="shared" si="119"/>
        <v>#DIV/0!</v>
      </c>
      <c r="AA610" s="340">
        <f>IFERROR(VLOOKUP($G610,基本資料!$A:$M,11,0),"無")</f>
        <v>-35.840000000000003</v>
      </c>
      <c r="AB610" s="389">
        <f>IFERROR(VLOOKUP($G610,基本資料!$A:$M,12,0),"無")</f>
        <v>10.55</v>
      </c>
      <c r="AC610" s="16" t="s">
        <v>177</v>
      </c>
      <c r="AF610" s="33">
        <f t="shared" si="120"/>
        <v>0</v>
      </c>
      <c r="AG610" s="119" t="s">
        <v>1796</v>
      </c>
      <c r="AH610" s="66">
        <f t="shared" si="116"/>
        <v>0.24154589371980675</v>
      </c>
      <c r="AI610" s="283">
        <f>RTD("money.excel",,$G610,"PredictVolume")</f>
        <v>15</v>
      </c>
      <c r="AJ610" s="391">
        <f>IFERROR(VLOOKUP($G610,基本資料!$A:$M,13,0),"無")</f>
        <v>62.1</v>
      </c>
      <c r="AR610" s="245" t="str">
        <f>INDEX(基本資料!N:N,MATCH($G610,基本資料!A:A,0))</f>
        <v>低</v>
      </c>
    </row>
    <row r="611" spans="1:44">
      <c r="A611" s="343">
        <f>IFERROR(VLOOKUP($G611,基本資料!$A:$J,3,0),"無")</f>
        <v>6.78</v>
      </c>
      <c r="B611" s="79">
        <f>IFERROR(VLOOKUP($G611,基本資料!$A:$J,4,0),"無")</f>
        <v>50</v>
      </c>
      <c r="C611" s="79">
        <f>IFERROR(VLOOKUP($G611,基本資料!$A:$J,5,0),"無")</f>
        <v>51</v>
      </c>
      <c r="D611" s="79">
        <f>IFERROR(VLOOKUP($G611,基本資料!$A:$J,6,0),"無")</f>
        <v>36</v>
      </c>
      <c r="E611" s="79">
        <f>IFERROR(VLOOKUP($G611,基本資料!$A:$J,7,0),"無")</f>
        <v>4</v>
      </c>
      <c r="F611" s="6">
        <f>IFERROR(VLOOKUP($G611,基本資料!$A:$J,8,0),"無")</f>
        <v>34.07</v>
      </c>
      <c r="G611" s="79">
        <v>5222</v>
      </c>
      <c r="H611" s="8" t="s">
        <v>3038</v>
      </c>
      <c r="I611" s="22" t="s">
        <v>3488</v>
      </c>
      <c r="J611" s="8">
        <f>IFERROR(VLOOKUP($G611,今日總結!$A:$AN,39,0),"")</f>
        <v>0</v>
      </c>
      <c r="K611" s="5">
        <f>IFERROR(VLOOKUP($G611,今日總結!$A:$AN,40,0),"")</f>
        <v>0</v>
      </c>
      <c r="L611" s="156">
        <f>IFERROR(VLOOKUP($G611,今日總結!$A:$AN,37,0),"")</f>
        <v>0</v>
      </c>
      <c r="M611" s="337">
        <f>IFERROR(VLOOKUP($G611,今日總結!$A:$AN,38,0),"")</f>
        <v>0</v>
      </c>
      <c r="N611" s="240">
        <f t="shared" si="121"/>
        <v>0</v>
      </c>
      <c r="O611" s="359">
        <f>IFERROR(VLOOKUP($G611,融外自投!$A:$J,7,0),"無")</f>
        <v>1369</v>
      </c>
      <c r="P611" s="79">
        <f>IFERROR(VLOOKUP($G611,融外自投!$A:$J,9,0),"無")</f>
        <v>69</v>
      </c>
      <c r="Q611" s="342">
        <f>IFERROR(VLOOKUP($G611,融外自投!$A:$J,8,0),"無")</f>
        <v>896</v>
      </c>
      <c r="R611" s="81">
        <f>IFERROR(VLOOKUP($G611,融外自投!$A:$J,10,0),"無")</f>
        <v>439</v>
      </c>
      <c r="S611" s="324">
        <f>IFERROR(VLOOKUP($G611,'321買'!$A:$E,4,0),"'沒有資料'")</f>
        <v>411</v>
      </c>
      <c r="T611" s="186">
        <f>IFERROR(VLOOKUP($G611,基本資料!$A:$J,9,0),"無")</f>
        <v>3.5</v>
      </c>
      <c r="U611" s="307">
        <f t="shared" si="117"/>
        <v>2.8340080971659919E-2</v>
      </c>
      <c r="V611" s="94">
        <f>IFERROR(VLOOKUP($G611,基本資料!$A:$J,10,0),"無")</f>
        <v>4.04</v>
      </c>
      <c r="W611" s="36">
        <f>RTD("money.excel",,"5222","Price")</f>
        <v>123.5</v>
      </c>
      <c r="X611" s="66"/>
      <c r="Y611" s="15">
        <f t="shared" si="118"/>
        <v>123.5</v>
      </c>
      <c r="Z611" s="3" t="e">
        <f t="shared" si="119"/>
        <v>#DIV/0!</v>
      </c>
      <c r="AA611" s="340" t="str">
        <f>IFERROR(VLOOKUP($G611,基本資料!$A:$M,11,0),"無")</f>
        <v>無</v>
      </c>
      <c r="AB611" s="389" t="str">
        <f>IFERROR(VLOOKUP($G611,基本資料!$A:$M,12,0),"無")</f>
        <v>無</v>
      </c>
      <c r="AC611" s="22" t="s">
        <v>3488</v>
      </c>
      <c r="AF611" s="33">
        <f t="shared" si="120"/>
        <v>0</v>
      </c>
      <c r="AG611" s="43" t="s">
        <v>3490</v>
      </c>
      <c r="AH611" s="66" t="e">
        <f t="shared" si="116"/>
        <v>#VALUE!</v>
      </c>
      <c r="AI611" s="283">
        <f>RTD("money.excel",,$G611,"PredictVolume")</f>
        <v>211</v>
      </c>
      <c r="AJ611" s="391" t="str">
        <f>IFERROR(VLOOKUP($G611,基本資料!$A:$M,13,0),"無")</f>
        <v>無</v>
      </c>
      <c r="AR611" s="245" t="str">
        <f>INDEX(基本資料!N:N,MATCH($G611,基本資料!A:A,0))</f>
        <v>無</v>
      </c>
    </row>
    <row r="612" spans="1:44">
      <c r="A612" s="343">
        <f>IFERROR(VLOOKUP($G612,基本資料!$A:$J,3,0),"無")</f>
        <v>5.85</v>
      </c>
      <c r="B612" s="79">
        <f>IFERROR(VLOOKUP($G612,基本資料!$A:$J,4,0),"無")</f>
        <v>35</v>
      </c>
      <c r="C612" s="79">
        <f>IFERROR(VLOOKUP($G612,基本資料!$A:$J,5,0),"無")</f>
        <v>34</v>
      </c>
      <c r="D612" s="79">
        <f>IFERROR(VLOOKUP($G612,基本資料!$A:$J,6,0),"無")</f>
        <v>-8</v>
      </c>
      <c r="E612" s="79">
        <f>IFERROR(VLOOKUP($G612,基本資料!$A:$J,7,0),"無")</f>
        <v>-17</v>
      </c>
      <c r="F612" s="6">
        <f>IFERROR(VLOOKUP($G612,基本資料!$A:$J,8,0),"無")</f>
        <v>33.83</v>
      </c>
      <c r="G612" s="79">
        <v>5236</v>
      </c>
      <c r="H612" s="145" t="s">
        <v>3038</v>
      </c>
      <c r="I612" s="16" t="s">
        <v>3383</v>
      </c>
      <c r="J612" s="8" t="str">
        <f>IFERROR(VLOOKUP($G612,今日總結!$A:$AN,39,0),"")</f>
        <v>主</v>
      </c>
      <c r="K612" s="5">
        <f>IFERROR(VLOOKUP($G612,今日總結!$A:$AN,40,0),"")</f>
        <v>0</v>
      </c>
      <c r="L612" s="156">
        <f>IFERROR(VLOOKUP($G612,今日總結!$A:$AN,37,0),"")</f>
        <v>1</v>
      </c>
      <c r="M612" s="337">
        <f>IFERROR(VLOOKUP($G612,今日總結!$A:$AN,38,0),"")</f>
        <v>0</v>
      </c>
      <c r="N612" s="240">
        <f t="shared" si="121"/>
        <v>1</v>
      </c>
      <c r="O612" s="359">
        <f>IFERROR(VLOOKUP($G612,融外自投!$A:$J,7,0),"無")</f>
        <v>1062</v>
      </c>
      <c r="P612" s="79">
        <f>IFERROR(VLOOKUP($G612,融外自投!$A:$J,9,0),"無")</f>
        <v>825</v>
      </c>
      <c r="Q612" s="342">
        <f>IFERROR(VLOOKUP($G612,融外自投!$A:$J,8,0),"無")</f>
        <v>924</v>
      </c>
      <c r="R612" s="81" t="str">
        <f>IFERROR(VLOOKUP($G612,融外自投!$A:$J,10,0),"無")</f>
        <v>無</v>
      </c>
      <c r="S612" s="324">
        <f>IFERROR(VLOOKUP($G612,'321買'!$A:$E,4,0),"'沒有資料'")</f>
        <v>801</v>
      </c>
      <c r="T612" s="186">
        <f>IFERROR(VLOOKUP($G612,基本資料!$A:$J,9,0),"無")</f>
        <v>10</v>
      </c>
      <c r="U612" s="307">
        <f t="shared" si="117"/>
        <v>8.4745762711864403E-2</v>
      </c>
      <c r="V612" s="94">
        <f>IFERROR(VLOOKUP($G612,基本資料!$A:$J,10,0),"無")</f>
        <v>11.83</v>
      </c>
      <c r="W612" s="36">
        <f>RTD("money.excel",,"5236","Price")</f>
        <v>118</v>
      </c>
      <c r="X612" s="66"/>
      <c r="Y612" s="15">
        <f t="shared" si="118"/>
        <v>118</v>
      </c>
      <c r="Z612" s="3" t="e">
        <f t="shared" si="119"/>
        <v>#DIV/0!</v>
      </c>
      <c r="AA612" s="340" t="str">
        <f>IFERROR(VLOOKUP($G612,基本資料!$A:$M,11,0),"無")</f>
        <v>無</v>
      </c>
      <c r="AB612" s="389" t="str">
        <f>IFERROR(VLOOKUP($G612,基本資料!$A:$M,12,0),"無")</f>
        <v>無</v>
      </c>
      <c r="AC612" s="16" t="s">
        <v>3383</v>
      </c>
      <c r="AF612" s="33">
        <f t="shared" si="120"/>
        <v>0</v>
      </c>
      <c r="AG612" s="43" t="s">
        <v>3384</v>
      </c>
      <c r="AH612" s="66" t="e">
        <f t="shared" si="116"/>
        <v>#VALUE!</v>
      </c>
      <c r="AI612" s="283">
        <f>RTD("money.excel",,$G612,"PredictVolume")</f>
        <v>192</v>
      </c>
      <c r="AJ612" s="391" t="str">
        <f>IFERROR(VLOOKUP($G612,基本資料!$A:$M,13,0),"無")</f>
        <v>無</v>
      </c>
      <c r="AR612" s="245" t="str">
        <f>INDEX(基本資料!N:N,MATCH($G612,基本資料!A:A,0))</f>
        <v>無</v>
      </c>
    </row>
    <row r="613" spans="1:44">
      <c r="A613" s="343">
        <f>IFERROR(VLOOKUP($G613,基本資料!$A:$J,3,0),"無")</f>
        <v>6.92</v>
      </c>
      <c r="B613" s="79">
        <f>IFERROR(VLOOKUP($G613,基本資料!$A:$J,4,0),"無")</f>
        <v>9</v>
      </c>
      <c r="C613" s="79">
        <f>IFERROR(VLOOKUP($G613,基本資料!$A:$J,5,0),"無")</f>
        <v>-21</v>
      </c>
      <c r="D613" s="79">
        <f>IFERROR(VLOOKUP($G613,基本資料!$A:$J,6,0),"無")</f>
        <v>-10</v>
      </c>
      <c r="E613" s="79">
        <f>IFERROR(VLOOKUP($G613,基本資料!$A:$J,7,0),"無")</f>
        <v>-2</v>
      </c>
      <c r="F613" s="6">
        <f>IFERROR(VLOOKUP($G613,基本資料!$A:$J,8,0),"無")</f>
        <v>32.25</v>
      </c>
      <c r="G613" s="79">
        <v>5269</v>
      </c>
      <c r="H613" s="8" t="s">
        <v>3038</v>
      </c>
      <c r="I613" s="22" t="s">
        <v>53</v>
      </c>
      <c r="J613" s="8">
        <f>IFERROR(VLOOKUP($G613,今日總結!$A:$AN,39,0),"")</f>
        <v>0</v>
      </c>
      <c r="K613" s="5">
        <f>IFERROR(VLOOKUP($G613,今日總結!$A:$AN,40,0),"")</f>
        <v>0</v>
      </c>
      <c r="L613" s="156">
        <f>IFERROR(VLOOKUP($G613,今日總結!$A:$AN,37,0),"")</f>
        <v>0</v>
      </c>
      <c r="M613" s="337">
        <f>IFERROR(VLOOKUP($G613,今日總結!$A:$AN,38,0),"")</f>
        <v>0</v>
      </c>
      <c r="N613" s="240">
        <f t="shared" si="121"/>
        <v>0</v>
      </c>
      <c r="O613" s="359">
        <f>IFERROR(VLOOKUP($G613,融外自投!$A:$J,7,0),"無")</f>
        <v>904</v>
      </c>
      <c r="P613" s="79">
        <f>IFERROR(VLOOKUP($G613,融外自投!$A:$J,9,0),"無")</f>
        <v>166</v>
      </c>
      <c r="Q613" s="342">
        <f>IFERROR(VLOOKUP($G613,融外自投!$A:$J,8,0),"無")</f>
        <v>244</v>
      </c>
      <c r="R613" s="81">
        <f>IFERROR(VLOOKUP($G613,融外自投!$A:$J,10,0),"無")</f>
        <v>129</v>
      </c>
      <c r="S613" s="324">
        <f>IFERROR(VLOOKUP($G613,'321買'!$A:$E,4,0),"'沒有資料'")</f>
        <v>272</v>
      </c>
      <c r="T613" s="186">
        <f>IFERROR(VLOOKUP($G613,基本資料!$A:$J,9,0),"無")</f>
        <v>26</v>
      </c>
      <c r="U613" s="307">
        <f t="shared" si="117"/>
        <v>0.02</v>
      </c>
      <c r="V613" s="94">
        <f>IFERROR(VLOOKUP($G613,基本資料!$A:$J,10,0),"無")</f>
        <v>46.23</v>
      </c>
      <c r="W613" s="36">
        <f>RTD("money.excel",,"5269","Price")</f>
        <v>1300</v>
      </c>
      <c r="X613" s="66"/>
      <c r="Y613" s="137">
        <f t="shared" si="118"/>
        <v>1300</v>
      </c>
      <c r="Z613" s="35" t="e">
        <f t="shared" si="119"/>
        <v>#DIV/0!</v>
      </c>
      <c r="AA613" s="340">
        <f>IFERROR(VLOOKUP($G613,基本資料!$A:$M,11,0),"無")</f>
        <v>-47.05</v>
      </c>
      <c r="AB613" s="389">
        <f>IFERROR(VLOOKUP($G613,基本資料!$A:$M,12,0),"無")</f>
        <v>12.29</v>
      </c>
      <c r="AC613" s="22" t="s">
        <v>53</v>
      </c>
      <c r="AF613" s="33">
        <f t="shared" si="120"/>
        <v>0</v>
      </c>
      <c r="AG613" s="117" t="s">
        <v>2056</v>
      </c>
      <c r="AH613" s="66">
        <f t="shared" si="116"/>
        <v>1.1192131592335086</v>
      </c>
      <c r="AI613" s="283">
        <f>RTD("money.excel",,$G613,"PredictVolume")</f>
        <v>990</v>
      </c>
      <c r="AJ613" s="391">
        <f>IFERROR(VLOOKUP($G613,基本資料!$A:$M,13,0),"無")</f>
        <v>884.55</v>
      </c>
      <c r="AR613" s="245" t="str">
        <f>INDEX(基本資料!N:N,MATCH($G613,基本資料!A:A,0))</f>
        <v>低</v>
      </c>
    </row>
    <row r="614" spans="1:44">
      <c r="A614" s="343">
        <f>IFERROR(VLOOKUP($G614,基本資料!$A:$J,3,0),"無")</f>
        <v>5.59</v>
      </c>
      <c r="B614" s="79">
        <f>IFERROR(VLOOKUP($G614,基本資料!$A:$J,4,0),"無")</f>
        <v>257</v>
      </c>
      <c r="C614" s="79">
        <f>IFERROR(VLOOKUP($G614,基本資料!$A:$J,5,0),"無")</f>
        <v>204</v>
      </c>
      <c r="D614" s="79">
        <f>IFERROR(VLOOKUP($G614,基本資料!$A:$J,6,0),"無")</f>
        <v>6</v>
      </c>
      <c r="E614" s="79">
        <f>IFERROR(VLOOKUP($G614,基本資料!$A:$J,7,0),"無")</f>
        <v>24</v>
      </c>
      <c r="F614" s="6">
        <f>IFERROR(VLOOKUP($G614,基本資料!$A:$J,8,0),"無")</f>
        <v>7.18</v>
      </c>
      <c r="G614" s="79">
        <v>5272</v>
      </c>
      <c r="H614" s="145" t="s">
        <v>3038</v>
      </c>
      <c r="I614" s="16" t="s">
        <v>4055</v>
      </c>
      <c r="J614" s="8">
        <f>IFERROR(VLOOKUP($G614,今日總結!$A:$AN,39,0),"")</f>
        <v>5</v>
      </c>
      <c r="K614" s="5">
        <f>IFERROR(VLOOKUP($G614,今日總結!$A:$AN,40,0),"")</f>
        <v>0</v>
      </c>
      <c r="L614" s="156">
        <f>IFERROR(VLOOKUP($G614,今日總結!$A:$AN,37,0),"")</f>
        <v>1</v>
      </c>
      <c r="M614" s="337">
        <f>IFERROR(VLOOKUP($G614,今日總結!$A:$AN,38,0),"")</f>
        <v>0</v>
      </c>
      <c r="N614" s="240">
        <f t="shared" si="121"/>
        <v>1</v>
      </c>
      <c r="O614" s="359">
        <f>IFERROR(VLOOKUP($G614,融外自投!$A:$J,7,0),"無")</f>
        <v>356</v>
      </c>
      <c r="P614" s="79">
        <f>IFERROR(VLOOKUP($G614,融外自投!$A:$J,9,0),"無")</f>
        <v>414</v>
      </c>
      <c r="Q614" s="342">
        <f>IFERROR(VLOOKUP($G614,融外自投!$A:$J,8,0),"無")</f>
        <v>802</v>
      </c>
      <c r="R614" s="81" t="str">
        <f>IFERROR(VLOOKUP($G614,融外自投!$A:$J,10,0),"無")</f>
        <v>無</v>
      </c>
      <c r="S614" s="324">
        <f>IFERROR(VLOOKUP($G614,'321買'!$A:$E,4,0),"'沒有資料'")</f>
        <v>164</v>
      </c>
      <c r="T614" s="186">
        <f>IFERROR(VLOOKUP($G614,基本資料!$A:$J,9,0),"無")</f>
        <v>0.86</v>
      </c>
      <c r="U614" s="307">
        <f t="shared" si="117"/>
        <v>2.5146198830409354E-2</v>
      </c>
      <c r="V614" s="94">
        <f>IFERROR(VLOOKUP($G614,基本資料!$A:$J,10,0),"無")</f>
        <v>0.96</v>
      </c>
      <c r="W614" s="36">
        <f>RTD("money.excel",,"5272","Price")</f>
        <v>34.200000000000003</v>
      </c>
      <c r="X614" s="66"/>
      <c r="Y614" s="15">
        <f t="shared" si="118"/>
        <v>34.200000000000003</v>
      </c>
      <c r="Z614" s="3" t="e">
        <f t="shared" si="119"/>
        <v>#DIV/0!</v>
      </c>
      <c r="AA614" s="340">
        <f>IFERROR(VLOOKUP($G614,基本資料!$A:$M,11,0),"無")</f>
        <v>-24.67</v>
      </c>
      <c r="AB614" s="389">
        <f>IFERROR(VLOOKUP($G614,基本資料!$A:$M,12,0),"無")</f>
        <v>39.22</v>
      </c>
      <c r="AC614" s="16" t="s">
        <v>4055</v>
      </c>
      <c r="AF614" s="33">
        <f t="shared" si="120"/>
        <v>0</v>
      </c>
      <c r="AG614" s="43" t="s">
        <v>2234</v>
      </c>
      <c r="AH614" s="66">
        <f t="shared" si="116"/>
        <v>1.4873050650857069</v>
      </c>
      <c r="AI614" s="283">
        <f>RTD("money.excel",,$G614,"PredictVolume")</f>
        <v>577</v>
      </c>
      <c r="AJ614" s="391">
        <f>IFERROR(VLOOKUP($G614,基本資料!$A:$M,13,0),"無")</f>
        <v>387.95</v>
      </c>
      <c r="AR614" s="245" t="str">
        <f>INDEX(基本資料!N:N,MATCH($G614,基本資料!A:A,0))</f>
        <v>低</v>
      </c>
    </row>
    <row r="615" spans="1:44">
      <c r="A615" s="343">
        <f>IFERROR(VLOOKUP($G615,基本資料!$A:$J,3,0),"無")</f>
        <v>3.43</v>
      </c>
      <c r="B615" s="79">
        <f>IFERROR(VLOOKUP($G615,基本資料!$A:$J,4,0),"無")</f>
        <v>30</v>
      </c>
      <c r="C615" s="79">
        <f>IFERROR(VLOOKUP($G615,基本資料!$A:$J,5,0),"無")</f>
        <v>30</v>
      </c>
      <c r="D615" s="79">
        <f>IFERROR(VLOOKUP($G615,基本資料!$A:$J,6,0),"無")</f>
        <v>4</v>
      </c>
      <c r="E615" s="79">
        <f>IFERROR(VLOOKUP($G615,基本資料!$A:$J,7,0),"無")</f>
        <v>60</v>
      </c>
      <c r="F615" s="6">
        <f>IFERROR(VLOOKUP($G615,基本資料!$A:$J,8,0),"無")</f>
        <v>45.42</v>
      </c>
      <c r="G615" s="79">
        <v>5274</v>
      </c>
      <c r="H615" s="145" t="s">
        <v>3038</v>
      </c>
      <c r="I615" s="16" t="s">
        <v>217</v>
      </c>
      <c r="J615" s="8">
        <f>IFERROR(VLOOKUP($G615,今日總結!$A:$AN,39,0),"")</f>
        <v>0</v>
      </c>
      <c r="K615" s="5">
        <f>IFERROR(VLOOKUP($G615,今日總結!$A:$AN,40,0),"")</f>
        <v>0</v>
      </c>
      <c r="L615" s="156">
        <f>IFERROR(VLOOKUP($G615,今日總結!$A:$AN,37,0),"")</f>
        <v>0</v>
      </c>
      <c r="M615" s="337">
        <f>IFERROR(VLOOKUP($G615,今日總結!$A:$AN,38,0),"")</f>
        <v>0</v>
      </c>
      <c r="N615" s="240">
        <f t="shared" si="121"/>
        <v>0</v>
      </c>
      <c r="O615" s="359">
        <f>IFERROR(VLOOKUP($G615,融外自投!$A:$J,7,0),"無")</f>
        <v>1134</v>
      </c>
      <c r="P615" s="79">
        <f>IFERROR(VLOOKUP($G615,融外自投!$A:$J,9,0),"無")</f>
        <v>487</v>
      </c>
      <c r="Q615" s="342">
        <f>IFERROR(VLOOKUP($G615,融外自投!$A:$J,8,0),"無")</f>
        <v>48</v>
      </c>
      <c r="R615" s="81">
        <f>IFERROR(VLOOKUP($G615,融外自投!$A:$J,10,0),"無")</f>
        <v>24</v>
      </c>
      <c r="S615" s="324">
        <f>IFERROR(VLOOKUP($G615,'321買'!$A:$E,4,0),"'沒有資料'")</f>
        <v>606</v>
      </c>
      <c r="T615" s="186">
        <f>IFERROR(VLOOKUP($G615,基本資料!$A:$J,9,0),"無")</f>
        <v>36</v>
      </c>
      <c r="U615" s="307">
        <f t="shared" si="117"/>
        <v>1.4145383104125737E-2</v>
      </c>
      <c r="V615" s="94">
        <f>IFERROR(VLOOKUP($G615,基本資料!$A:$J,10,0),"無")</f>
        <v>38.299999999999997</v>
      </c>
      <c r="W615" s="366">
        <f>RTD("money.excel",,"5274","Price")</f>
        <v>2545</v>
      </c>
      <c r="X615" s="66"/>
      <c r="Y615" s="137">
        <f t="shared" si="118"/>
        <v>2545</v>
      </c>
      <c r="Z615" s="3" t="e">
        <f t="shared" si="119"/>
        <v>#DIV/0!</v>
      </c>
      <c r="AA615" s="340">
        <f>IFERROR(VLOOKUP($G615,基本資料!$A:$M,11,0),"無")</f>
        <v>-30.75</v>
      </c>
      <c r="AB615" s="389">
        <f>IFERROR(VLOOKUP($G615,基本資料!$A:$M,12,0),"無")</f>
        <v>31.51</v>
      </c>
      <c r="AC615" s="16" t="s">
        <v>217</v>
      </c>
      <c r="AF615" s="33">
        <f t="shared" si="120"/>
        <v>0</v>
      </c>
      <c r="AG615" s="117" t="s">
        <v>2357</v>
      </c>
      <c r="AH615" s="66">
        <f t="shared" si="116"/>
        <v>0.9930508854516924</v>
      </c>
      <c r="AI615" s="283">
        <f>RTD("money.excel",,$G615,"PredictVolume")</f>
        <v>443</v>
      </c>
      <c r="AJ615" s="391">
        <f>IFERROR(VLOOKUP($G615,基本資料!$A:$M,13,0),"無")</f>
        <v>446.1</v>
      </c>
      <c r="AR615" s="245" t="str">
        <f>INDEX(基本資料!N:N,MATCH($G615,基本資料!A:A,0))</f>
        <v>中</v>
      </c>
    </row>
    <row r="616" spans="1:44">
      <c r="A616" s="343">
        <f>IFERROR(VLOOKUP($G616,基本資料!$A:$J,3,0),"無")</f>
        <v>10.199999999999999</v>
      </c>
      <c r="B616" s="79">
        <f>IFERROR(VLOOKUP($G616,基本資料!$A:$J,4,0),"無")</f>
        <v>263</v>
      </c>
      <c r="C616" s="79">
        <f>IFERROR(VLOOKUP($G616,基本資料!$A:$J,5,0),"無")</f>
        <v>173</v>
      </c>
      <c r="D616" s="79">
        <f>IFERROR(VLOOKUP($G616,基本資料!$A:$J,6,0),"無")</f>
        <v>0</v>
      </c>
      <c r="E616" s="79">
        <f>IFERROR(VLOOKUP($G616,基本資料!$A:$J,7,0),"無")</f>
        <v>-4</v>
      </c>
      <c r="F616" s="6">
        <f>IFERROR(VLOOKUP($G616,基本資料!$A:$J,8,0),"無")</f>
        <v>9.73</v>
      </c>
      <c r="G616" s="79">
        <v>5285</v>
      </c>
      <c r="H616" s="8" t="s">
        <v>3038</v>
      </c>
      <c r="I616" s="22" t="s">
        <v>351</v>
      </c>
      <c r="J616" s="8">
        <f>IFERROR(VLOOKUP($G616,今日總結!$A:$AN,39,0),"")</f>
        <v>0</v>
      </c>
      <c r="K616" s="5">
        <f>IFERROR(VLOOKUP($G616,今日總結!$A:$AN,40,0),"")</f>
        <v>0</v>
      </c>
      <c r="L616" s="156">
        <f>IFERROR(VLOOKUP($G616,今日總結!$A:$AN,37,0),"")</f>
        <v>0</v>
      </c>
      <c r="M616" s="337">
        <f>IFERROR(VLOOKUP($G616,今日總結!$A:$AN,38,0),"")</f>
        <v>0</v>
      </c>
      <c r="N616" s="240">
        <f t="shared" si="121"/>
        <v>0</v>
      </c>
      <c r="O616" s="359">
        <f>IFERROR(VLOOKUP($G616,融外自投!$A:$J,7,0),"無")</f>
        <v>266</v>
      </c>
      <c r="P616" s="79">
        <f>IFERROR(VLOOKUP($G616,融外自投!$A:$J,9,0),"無")</f>
        <v>225</v>
      </c>
      <c r="Q616" s="342">
        <f>IFERROR(VLOOKUP($G616,融外自投!$A:$J,8,0),"無")</f>
        <v>939</v>
      </c>
      <c r="R616" s="81" t="str">
        <f>IFERROR(VLOOKUP($G616,融外自投!$A:$J,10,0),"無")</f>
        <v>無</v>
      </c>
      <c r="S616" s="324">
        <f>IFERROR(VLOOKUP($G616,'321買'!$A:$E,4,0),"'沒有資料'")</f>
        <v>101</v>
      </c>
      <c r="T616" s="186">
        <f>IFERROR(VLOOKUP($G616,基本資料!$A:$J,9,0),"無")</f>
        <v>4</v>
      </c>
      <c r="U616" s="307">
        <f t="shared" si="117"/>
        <v>4.9627791563275438E-2</v>
      </c>
      <c r="V616" s="94">
        <f>IFERROR(VLOOKUP($G616,基本資料!$A:$J,10,0),"無")</f>
        <v>4.82</v>
      </c>
      <c r="W616" s="36">
        <f>RTD("money.excel",,"5285","Price")</f>
        <v>80.599999999999994</v>
      </c>
      <c r="X616" s="66"/>
      <c r="Y616" s="15">
        <f>W616-X616</f>
        <v>80.599999999999994</v>
      </c>
      <c r="Z616" s="3" t="e">
        <f>Y616/X616</f>
        <v>#DIV/0!</v>
      </c>
      <c r="AA616" s="340">
        <f>IFERROR(VLOOKUP($G616,基本資料!$A:$M,11,0),"無")</f>
        <v>-43.83</v>
      </c>
      <c r="AB616" s="389">
        <f>IFERROR(VLOOKUP($G616,基本資料!$A:$M,12,0),"無")</f>
        <v>15.39</v>
      </c>
      <c r="AC616" s="22" t="s">
        <v>351</v>
      </c>
      <c r="AF616" s="33">
        <f>AE616-AD616</f>
        <v>0</v>
      </c>
      <c r="AG616" s="43" t="s">
        <v>3018</v>
      </c>
      <c r="AH616" s="66">
        <f t="shared" si="116"/>
        <v>1.297241200380524</v>
      </c>
      <c r="AI616" s="283">
        <f>RTD("money.excel",,$G616,"PredictVolume")</f>
        <v>750</v>
      </c>
      <c r="AJ616" s="391">
        <f>IFERROR(VLOOKUP($G616,基本資料!$A:$M,13,0),"無")</f>
        <v>578.15</v>
      </c>
      <c r="AR616" s="245" t="str">
        <f>INDEX(基本資料!N:N,MATCH($G616,基本資料!A:A,0))</f>
        <v>低</v>
      </c>
    </row>
    <row r="617" spans="1:44">
      <c r="A617" s="343">
        <f>IFERROR(VLOOKUP($G617,基本資料!$A:$J,3,0),"無")</f>
        <v>3.58</v>
      </c>
      <c r="B617" s="79">
        <f>IFERROR(VLOOKUP($G617,基本資料!$A:$J,4,0),"無")</f>
        <v>92</v>
      </c>
      <c r="C617" s="79">
        <f>IFERROR(VLOOKUP($G617,基本資料!$A:$J,5,0),"無")</f>
        <v>81</v>
      </c>
      <c r="D617" s="79">
        <f>IFERROR(VLOOKUP($G617,基本資料!$A:$J,6,0),"無")</f>
        <v>1</v>
      </c>
      <c r="E617" s="79">
        <f>IFERROR(VLOOKUP($G617,基本資料!$A:$J,7,0),"無")</f>
        <v>14</v>
      </c>
      <c r="F617" s="6">
        <f>IFERROR(VLOOKUP($G617,基本資料!$A:$J,8,0),"無")</f>
        <v>28.1</v>
      </c>
      <c r="G617" s="79">
        <v>5299</v>
      </c>
      <c r="H617" s="145" t="s">
        <v>3038</v>
      </c>
      <c r="I617" s="16" t="s">
        <v>316</v>
      </c>
      <c r="J617" s="8" t="str">
        <f>IFERROR(VLOOKUP($G617,今日總結!$A:$AN,39,0),"")</f>
        <v>外</v>
      </c>
      <c r="K617" s="5">
        <f>IFERROR(VLOOKUP($G617,今日總結!$A:$AN,40,0),"")</f>
        <v>0</v>
      </c>
      <c r="L617" s="156">
        <f>IFERROR(VLOOKUP($G617,今日總結!$A:$AN,37,0),"")</f>
        <v>1</v>
      </c>
      <c r="M617" s="337">
        <f>IFERROR(VLOOKUP($G617,今日總結!$A:$AN,38,0),"")</f>
        <v>0</v>
      </c>
      <c r="N617" s="240">
        <f t="shared" si="121"/>
        <v>1</v>
      </c>
      <c r="O617" s="359">
        <f>IFERROR(VLOOKUP($G617,融外自投!$A:$J,7,0),"無")</f>
        <v>136</v>
      </c>
      <c r="P617" s="79">
        <f>IFERROR(VLOOKUP($G617,融外自投!$A:$J,9,0),"無")</f>
        <v>451</v>
      </c>
      <c r="Q617" s="342">
        <f>IFERROR(VLOOKUP($G617,融外自投!$A:$J,8,0),"無")</f>
        <v>967</v>
      </c>
      <c r="R617" s="81" t="str">
        <f>IFERROR(VLOOKUP($G617,融外自投!$A:$J,10,0),"無")</f>
        <v>無</v>
      </c>
      <c r="S617" s="324">
        <f>IFERROR(VLOOKUP($G617,'321買'!$A:$E,4,0),"'沒有資料'")</f>
        <v>86</v>
      </c>
      <c r="T617" s="186">
        <f>IFERROR(VLOOKUP($G617,基本資料!$A:$J,9,0),"無")</f>
        <v>11.6</v>
      </c>
      <c r="U617" s="307">
        <f t="shared" si="117"/>
        <v>6.4985994397759095E-2</v>
      </c>
      <c r="V617" s="94">
        <f>IFERROR(VLOOKUP($G617,基本資料!$A:$J,10,0),"無")</f>
        <v>17.68</v>
      </c>
      <c r="W617" s="36">
        <f>RTD("money.excel",,"5299","Price")</f>
        <v>178.5</v>
      </c>
      <c r="X617" s="66"/>
      <c r="Y617" s="15">
        <f t="shared" si="118"/>
        <v>178.5</v>
      </c>
      <c r="Z617" s="3" t="e">
        <f t="shared" si="119"/>
        <v>#DIV/0!</v>
      </c>
      <c r="AA617" s="340">
        <f>IFERROR(VLOOKUP($G617,基本資料!$A:$M,11,0),"無")</f>
        <v>-32.64</v>
      </c>
      <c r="AB617" s="389">
        <f>IFERROR(VLOOKUP($G617,基本資料!$A:$M,12,0),"無")</f>
        <v>40.14</v>
      </c>
      <c r="AC617" s="16" t="s">
        <v>316</v>
      </c>
      <c r="AF617" s="33">
        <f t="shared" si="120"/>
        <v>0</v>
      </c>
      <c r="AG617" s="43" t="s">
        <v>2378</v>
      </c>
      <c r="AH617" s="66">
        <f t="shared" si="116"/>
        <v>0.85758039816232778</v>
      </c>
      <c r="AI617" s="283">
        <f>RTD("money.excel",,$G617,"PredictVolume")</f>
        <v>224</v>
      </c>
      <c r="AJ617" s="391">
        <f>IFERROR(VLOOKUP($G617,基本資料!$A:$M,13,0),"無")</f>
        <v>261.2</v>
      </c>
      <c r="AR617" s="245" t="str">
        <f>INDEX(基本資料!N:N,MATCH($G617,基本資料!A:A,0))</f>
        <v>低</v>
      </c>
    </row>
    <row r="618" spans="1:44">
      <c r="A618" s="343">
        <f>IFERROR(VLOOKUP($G618,基本資料!$A:$J,3,0),"無")</f>
        <v>15.98</v>
      </c>
      <c r="B618" s="79">
        <f>IFERROR(VLOOKUP($G618,基本資料!$A:$J,4,0),"無")</f>
        <v>26</v>
      </c>
      <c r="C618" s="79">
        <f>IFERROR(VLOOKUP($G618,基本資料!$A:$J,5,0),"無")</f>
        <v>17</v>
      </c>
      <c r="D618" s="79">
        <f>IFERROR(VLOOKUP($G618,基本資料!$A:$J,6,0),"無")</f>
        <v>-21</v>
      </c>
      <c r="E618" s="79">
        <f>IFERROR(VLOOKUP($G618,基本資料!$A:$J,7,0),"無")</f>
        <v>-73</v>
      </c>
      <c r="F618" s="6">
        <f>IFERROR(VLOOKUP($G618,基本資料!$A:$J,8,0),"無")</f>
        <v>-213.02</v>
      </c>
      <c r="G618" s="79">
        <v>5302</v>
      </c>
      <c r="H618" s="145" t="s">
        <v>3038</v>
      </c>
      <c r="I618" s="16" t="s">
        <v>368</v>
      </c>
      <c r="J618" s="8" t="str">
        <f>IFERROR(VLOOKUP($G618,今日總結!$A:$AN,39,0),"")</f>
        <v/>
      </c>
      <c r="K618" s="5" t="str">
        <f>IFERROR(VLOOKUP($G618,今日總結!$A:$AN,40,0),"")</f>
        <v/>
      </c>
      <c r="L618" s="156" t="str">
        <f>IFERROR(VLOOKUP($G618,今日總結!$A:$AN,37,0),"")</f>
        <v/>
      </c>
      <c r="M618" s="337" t="str">
        <f>IFERROR(VLOOKUP($G618,今日總結!$A:$AN,38,0),"")</f>
        <v/>
      </c>
      <c r="N618" s="240" t="str">
        <f t="shared" si="121"/>
        <v/>
      </c>
      <c r="O618" s="359" t="str">
        <f>IFERROR(VLOOKUP($G618,融外自投!$A:$J,7,0),"無")</f>
        <v>無</v>
      </c>
      <c r="P618" s="79" t="str">
        <f>IFERROR(VLOOKUP($G618,融外自投!$A:$J,9,0),"無")</f>
        <v>無</v>
      </c>
      <c r="Q618" s="342" t="str">
        <f>IFERROR(VLOOKUP($G618,融外自投!$A:$J,8,0),"無")</f>
        <v>無</v>
      </c>
      <c r="R618" s="81" t="str">
        <f>IFERROR(VLOOKUP($G618,融外自投!$A:$J,10,0),"無")</f>
        <v>無</v>
      </c>
      <c r="S618" s="324" t="str">
        <f>IFERROR(VLOOKUP($G618,'321買'!$A:$E,4,0),"'沒有資料'")</f>
        <v>'沒有資料'</v>
      </c>
      <c r="T618" s="186">
        <f>IFERROR(VLOOKUP($G618,基本資料!$A:$J,9,0),"無")</f>
        <v>0</v>
      </c>
      <c r="U618" s="307">
        <f t="shared" si="117"/>
        <v>0</v>
      </c>
      <c r="V618" s="94">
        <f>IFERROR(VLOOKUP($G618,基本資料!$A:$J,10,0),"無")</f>
        <v>-0.27</v>
      </c>
      <c r="W618" s="36">
        <f>RTD("money.excel",,"5302","Price")</f>
        <v>10</v>
      </c>
      <c r="X618" s="66"/>
      <c r="Y618" s="15">
        <f t="shared" si="118"/>
        <v>10</v>
      </c>
      <c r="Z618" s="3" t="e">
        <f t="shared" si="119"/>
        <v>#DIV/0!</v>
      </c>
      <c r="AA618" s="340">
        <f>IFERROR(VLOOKUP($G618,基本資料!$A:$M,11,0),"無")</f>
        <v>-48.98</v>
      </c>
      <c r="AB618" s="389">
        <f>IFERROR(VLOOKUP($G618,基本資料!$A:$M,12,0),"無")</f>
        <v>9.86</v>
      </c>
      <c r="AC618" s="16" t="s">
        <v>368</v>
      </c>
      <c r="AF618" s="33">
        <f t="shared" si="120"/>
        <v>0</v>
      </c>
      <c r="AG618" s="43" t="s">
        <v>2395</v>
      </c>
      <c r="AH618" s="66">
        <f t="shared" si="116"/>
        <v>0.74056823474615752</v>
      </c>
      <c r="AI618" s="283">
        <f>RTD("money.excel",,$G618,"PredictVolume")</f>
        <v>159</v>
      </c>
      <c r="AJ618" s="391">
        <f>IFERROR(VLOOKUP($G618,基本資料!$A:$M,13,0),"無")</f>
        <v>214.7</v>
      </c>
      <c r="AR618" s="245" t="str">
        <f>INDEX(基本資料!N:N,MATCH($G618,基本資料!A:A,0))</f>
        <v>低</v>
      </c>
    </row>
    <row r="619" spans="1:44">
      <c r="A619" s="343">
        <f>IFERROR(VLOOKUP($G619,基本資料!$A:$J,3,0),"無")</f>
        <v>6</v>
      </c>
      <c r="B619" s="79">
        <f>IFERROR(VLOOKUP($G619,基本資料!$A:$J,4,0),"無")</f>
        <v>1</v>
      </c>
      <c r="C619" s="79">
        <f>IFERROR(VLOOKUP($G619,基本資料!$A:$J,5,0),"無")</f>
        <v>0</v>
      </c>
      <c r="D619" s="79">
        <f>IFERROR(VLOOKUP($G619,基本資料!$A:$J,6,0),"無")</f>
        <v>59</v>
      </c>
      <c r="E619" s="79">
        <f>IFERROR(VLOOKUP($G619,基本資料!$A:$J,7,0),"無")</f>
        <v>7</v>
      </c>
      <c r="F619" s="6">
        <f>IFERROR(VLOOKUP($G619,基本資料!$A:$J,8,0),"無")</f>
        <v>-205.96</v>
      </c>
      <c r="G619" s="79">
        <v>5314</v>
      </c>
      <c r="H619" s="145" t="s">
        <v>3038</v>
      </c>
      <c r="I619" s="16" t="s">
        <v>4056</v>
      </c>
      <c r="J619" s="8" t="str">
        <f>IFERROR(VLOOKUP($G619,今日總結!$A:$AN,39,0),"")</f>
        <v/>
      </c>
      <c r="K619" s="5" t="str">
        <f>IFERROR(VLOOKUP($G619,今日總結!$A:$AN,40,0),"")</f>
        <v/>
      </c>
      <c r="L619" s="156" t="str">
        <f>IFERROR(VLOOKUP($G619,今日總結!$A:$AN,37,0),"")</f>
        <v/>
      </c>
      <c r="M619" s="337" t="str">
        <f>IFERROR(VLOOKUP($G619,今日總結!$A:$AN,38,0),"")</f>
        <v/>
      </c>
      <c r="N619" s="240" t="str">
        <f t="shared" si="121"/>
        <v/>
      </c>
      <c r="O619" s="359" t="str">
        <f>IFERROR(VLOOKUP($G619,融外自投!$A:$J,7,0),"無")</f>
        <v>無</v>
      </c>
      <c r="P619" s="79" t="str">
        <f>IFERROR(VLOOKUP($G619,融外自投!$A:$J,9,0),"無")</f>
        <v>無</v>
      </c>
      <c r="Q619" s="342" t="str">
        <f>IFERROR(VLOOKUP($G619,融外自投!$A:$J,8,0),"無")</f>
        <v>無</v>
      </c>
      <c r="R619" s="81" t="str">
        <f>IFERROR(VLOOKUP($G619,融外自投!$A:$J,10,0),"無")</f>
        <v>無</v>
      </c>
      <c r="S619" s="324" t="str">
        <f>IFERROR(VLOOKUP($G619,'321買'!$A:$E,4,0),"'沒有資料'")</f>
        <v>'沒有資料'</v>
      </c>
      <c r="T619" s="186">
        <f>IFERROR(VLOOKUP($G619,基本資料!$A:$J,9,0),"無")</f>
        <v>0</v>
      </c>
      <c r="U619" s="307">
        <f t="shared" si="117"/>
        <v>0</v>
      </c>
      <c r="V619" s="94">
        <f>IFERROR(VLOOKUP($G619,基本資料!$A:$J,10,0),"無")</f>
        <v>-0.5</v>
      </c>
      <c r="W619" s="36">
        <f>RTD("money.excel",,"5314","Price")</f>
        <v>4.7</v>
      </c>
      <c r="X619" s="66"/>
      <c r="Y619" s="15">
        <f t="shared" si="118"/>
        <v>4.7</v>
      </c>
      <c r="Z619" s="3" t="e">
        <f t="shared" si="119"/>
        <v>#DIV/0!</v>
      </c>
      <c r="AA619" s="340">
        <f>IFERROR(VLOOKUP($G619,基本資料!$A:$M,11,0),"無")</f>
        <v>-33.71</v>
      </c>
      <c r="AB619" s="389">
        <f>IFERROR(VLOOKUP($G619,基本資料!$A:$M,12,0),"無")</f>
        <v>19.47</v>
      </c>
      <c r="AC619" s="16" t="s">
        <v>4056</v>
      </c>
      <c r="AF619" s="33">
        <f t="shared" si="120"/>
        <v>0</v>
      </c>
      <c r="AG619" s="43" t="s">
        <v>2396</v>
      </c>
      <c r="AH619" s="66">
        <f t="shared" si="116"/>
        <v>0.8045977011494253</v>
      </c>
      <c r="AI619" s="283">
        <f>RTD("money.excel",,$G619,"PredictVolume")</f>
        <v>7</v>
      </c>
      <c r="AJ619" s="391">
        <f>IFERROR(VLOOKUP($G619,基本資料!$A:$M,13,0),"無")</f>
        <v>8.6999999999999993</v>
      </c>
      <c r="AR619" s="245" t="str">
        <f>INDEX(基本資料!N:N,MATCH($G619,基本資料!A:A,0))</f>
        <v>低</v>
      </c>
    </row>
    <row r="620" spans="1:44">
      <c r="A620" s="343">
        <f>IFERROR(VLOOKUP($G620,基本資料!$A:$J,3,0),"無")</f>
        <v>7.94</v>
      </c>
      <c r="B620" s="79">
        <f>IFERROR(VLOOKUP($G620,基本資料!$A:$J,4,0),"無")</f>
        <v>43</v>
      </c>
      <c r="C620" s="79">
        <f>IFERROR(VLOOKUP($G620,基本資料!$A:$J,5,0),"無")</f>
        <v>47</v>
      </c>
      <c r="D620" s="79">
        <f>IFERROR(VLOOKUP($G620,基本資料!$A:$J,6,0),"無")</f>
        <v>-17</v>
      </c>
      <c r="E620" s="79">
        <f>IFERROR(VLOOKUP($G620,基本資料!$A:$J,7,0),"無")</f>
        <v>-26</v>
      </c>
      <c r="F620" s="6">
        <f>IFERROR(VLOOKUP($G620,基本資料!$A:$J,8,0),"無")</f>
        <v>14.07</v>
      </c>
      <c r="G620" s="79">
        <v>5344</v>
      </c>
      <c r="H620" s="145" t="s">
        <v>3038</v>
      </c>
      <c r="I620" s="16" t="s">
        <v>1062</v>
      </c>
      <c r="J620" s="8">
        <f>IFERROR(VLOOKUP($G620,今日總結!$A:$AN,39,0),"")</f>
        <v>0</v>
      </c>
      <c r="K620" s="5">
        <f>IFERROR(VLOOKUP($G620,今日總結!$A:$AN,40,0),"")</f>
        <v>0</v>
      </c>
      <c r="L620" s="156">
        <f>IFERROR(VLOOKUP($G620,今日總結!$A:$AN,37,0),"")</f>
        <v>0</v>
      </c>
      <c r="M620" s="337">
        <f>IFERROR(VLOOKUP($G620,今日總結!$A:$AN,38,0),"")</f>
        <v>0</v>
      </c>
      <c r="N620" s="240">
        <f t="shared" si="121"/>
        <v>0</v>
      </c>
      <c r="O620" s="359" t="str">
        <f>IFERROR(VLOOKUP($G620,融外自投!$A:$J,7,0),"無")</f>
        <v>無</v>
      </c>
      <c r="P620" s="79" t="str">
        <f>IFERROR(VLOOKUP($G620,融外自投!$A:$J,9,0),"無")</f>
        <v>無</v>
      </c>
      <c r="Q620" s="342" t="str">
        <f>IFERROR(VLOOKUP($G620,融外自投!$A:$J,8,0),"無")</f>
        <v>無</v>
      </c>
      <c r="R620" s="81" t="str">
        <f>IFERROR(VLOOKUP($G620,融外自投!$A:$J,10,0),"無")</f>
        <v>無</v>
      </c>
      <c r="S620" s="324">
        <f>IFERROR(VLOOKUP($G620,'321買'!$A:$E,4,0),"'沒有資料'")</f>
        <v>743</v>
      </c>
      <c r="T620" s="186">
        <f>IFERROR(VLOOKUP($G620,基本資料!$A:$J,9,0),"無")</f>
        <v>0</v>
      </c>
      <c r="U620" s="307">
        <f t="shared" si="117"/>
        <v>0</v>
      </c>
      <c r="V620" s="94">
        <f>IFERROR(VLOOKUP($G620,基本資料!$A:$J,10,0),"無")</f>
        <v>0.76</v>
      </c>
      <c r="W620" s="36">
        <f>RTD("money.excel",,"5344","Price")</f>
        <v>18.95</v>
      </c>
      <c r="X620" s="66"/>
      <c r="Y620" s="15">
        <f t="shared" si="118"/>
        <v>18.95</v>
      </c>
      <c r="Z620" s="3" t="e">
        <f t="shared" si="119"/>
        <v>#DIV/0!</v>
      </c>
      <c r="AA620" s="340">
        <f>IFERROR(VLOOKUP($G620,基本資料!$A:$M,11,0),"無")</f>
        <v>-54.67</v>
      </c>
      <c r="AB620" s="389">
        <f>IFERROR(VLOOKUP($G620,基本資料!$A:$M,12,0),"無")</f>
        <v>11.82</v>
      </c>
      <c r="AC620" s="16" t="s">
        <v>1062</v>
      </c>
      <c r="AF620" s="33">
        <f t="shared" si="120"/>
        <v>0</v>
      </c>
      <c r="AG620" s="43" t="s">
        <v>2397</v>
      </c>
      <c r="AH620" s="66">
        <f t="shared" si="116"/>
        <v>0.28445648493057907</v>
      </c>
      <c r="AI620" s="283">
        <f>RTD("money.excel",,$G620,"PredictVolume")</f>
        <v>42</v>
      </c>
      <c r="AJ620" s="391">
        <f>IFERROR(VLOOKUP($G620,基本資料!$A:$M,13,0),"無")</f>
        <v>147.65</v>
      </c>
      <c r="AR620" s="245" t="str">
        <f>INDEX(基本資料!N:N,MATCH($G620,基本資料!A:A,0))</f>
        <v>低</v>
      </c>
    </row>
    <row r="621" spans="1:44">
      <c r="A621" s="343">
        <f>IFERROR(VLOOKUP($G621,基本資料!$A:$J,3,0),"無")</f>
        <v>163</v>
      </c>
      <c r="B621" s="79">
        <f>IFERROR(VLOOKUP($G621,基本資料!$A:$J,4,0),"無")</f>
        <v>87</v>
      </c>
      <c r="C621" s="79">
        <f>IFERROR(VLOOKUP($G621,基本資料!$A:$J,5,0),"無")</f>
        <v>90</v>
      </c>
      <c r="D621" s="79">
        <f>IFERROR(VLOOKUP($G621,基本資料!$A:$J,6,0),"無")</f>
        <v>-11</v>
      </c>
      <c r="E621" s="79">
        <f>IFERROR(VLOOKUP($G621,基本資料!$A:$J,7,0),"無")</f>
        <v>41</v>
      </c>
      <c r="F621" s="6">
        <f>IFERROR(VLOOKUP($G621,基本資料!$A:$J,8,0),"無")</f>
        <v>32.090000000000003</v>
      </c>
      <c r="G621" s="79">
        <v>5347</v>
      </c>
      <c r="H621" s="145" t="s">
        <v>3038</v>
      </c>
      <c r="I621" s="16" t="s">
        <v>33</v>
      </c>
      <c r="J621" s="8" t="str">
        <f>IFERROR(VLOOKUP($G621,今日總結!$A:$AN,39,0),"")</f>
        <v>投</v>
      </c>
      <c r="K621" s="5">
        <f>IFERROR(VLOOKUP($G621,今日總結!$A:$AN,40,0),"")</f>
        <v>0</v>
      </c>
      <c r="L621" s="156">
        <f>IFERROR(VLOOKUP($G621,今日總結!$A:$AN,37,0),"")</f>
        <v>1</v>
      </c>
      <c r="M621" s="337">
        <f>IFERROR(VLOOKUP($G621,今日總結!$A:$AN,38,0),"")</f>
        <v>0</v>
      </c>
      <c r="N621" s="240">
        <f t="shared" si="121"/>
        <v>1</v>
      </c>
      <c r="O621" s="359">
        <f>IFERROR(VLOOKUP($G621,融外自投!$A:$J,7,0),"無")</f>
        <v>1194</v>
      </c>
      <c r="P621" s="79">
        <f>IFERROR(VLOOKUP($G621,融外自投!$A:$J,9,0),"無")</f>
        <v>403</v>
      </c>
      <c r="Q621" s="342">
        <f>IFERROR(VLOOKUP($G621,融外自投!$A:$J,8,0),"無")</f>
        <v>172</v>
      </c>
      <c r="R621" s="81">
        <f>IFERROR(VLOOKUP($G621,融外自投!$A:$J,10,0),"無")</f>
        <v>141</v>
      </c>
      <c r="S621" s="324">
        <f>IFERROR(VLOOKUP($G621,'321買'!$A:$E,4,0),"'沒有資料'")</f>
        <v>743</v>
      </c>
      <c r="T621" s="186">
        <f>IFERROR(VLOOKUP($G621,基本資料!$A:$J,9,0),"無")</f>
        <v>4.5</v>
      </c>
      <c r="U621" s="307">
        <f t="shared" si="117"/>
        <v>4.3062200956937802E-2</v>
      </c>
      <c r="V621" s="94">
        <f>IFERROR(VLOOKUP($G621,基本資料!$A:$J,10,0),"無")</f>
        <v>7.21</v>
      </c>
      <c r="W621" s="36">
        <f>RTD("money.excel",,"5347","Price")</f>
        <v>104.5</v>
      </c>
      <c r="X621" s="66"/>
      <c r="Y621" s="15">
        <f t="shared" si="118"/>
        <v>104.5</v>
      </c>
      <c r="Z621" s="3" t="e">
        <f t="shared" si="119"/>
        <v>#DIV/0!</v>
      </c>
      <c r="AA621" s="340">
        <f>IFERROR(VLOOKUP($G621,基本資料!$A:$M,11,0),"無")</f>
        <v>-40.96</v>
      </c>
      <c r="AB621" s="389">
        <f>IFERROR(VLOOKUP($G621,基本資料!$A:$M,12,0),"無")</f>
        <v>25.69</v>
      </c>
      <c r="AC621" s="16" t="s">
        <v>33</v>
      </c>
      <c r="AF621" s="33">
        <f t="shared" si="120"/>
        <v>0</v>
      </c>
      <c r="AG621" s="117" t="s">
        <v>1452</v>
      </c>
      <c r="AH621" s="66">
        <f t="shared" si="116"/>
        <v>0.57342614455245167</v>
      </c>
      <c r="AI621" s="283">
        <f>RTD("money.excel",,$G621,"PredictVolume")</f>
        <v>2805</v>
      </c>
      <c r="AJ621" s="391">
        <f>IFERROR(VLOOKUP($G621,基本資料!$A:$M,13,0),"無")</f>
        <v>4891.6499999999996</v>
      </c>
      <c r="AR621" s="245" t="str">
        <f>INDEX(基本資料!N:N,MATCH($G621,基本資料!A:A,0))</f>
        <v>低</v>
      </c>
    </row>
    <row r="622" spans="1:44">
      <c r="A622" s="343">
        <f>IFERROR(VLOOKUP($G622,基本資料!$A:$J,3,0),"無")</f>
        <v>27.03</v>
      </c>
      <c r="B622" s="79">
        <f>IFERROR(VLOOKUP($G622,基本資料!$A:$J,4,0),"無")</f>
        <v>478</v>
      </c>
      <c r="C622" s="79">
        <f>IFERROR(VLOOKUP($G622,基本資料!$A:$J,5,0),"無")</f>
        <v>607</v>
      </c>
      <c r="D622" s="79">
        <f>IFERROR(VLOOKUP($G622,基本資料!$A:$J,6,0),"無")</f>
        <v>-12</v>
      </c>
      <c r="E622" s="79">
        <f>IFERROR(VLOOKUP($G622,基本資料!$A:$J,7,0),"無")</f>
        <v>21</v>
      </c>
      <c r="F622" s="6">
        <f>IFERROR(VLOOKUP($G622,基本資料!$A:$J,8,0),"無")</f>
        <v>18.37</v>
      </c>
      <c r="G622" s="79">
        <v>5351</v>
      </c>
      <c r="H622" s="145" t="s">
        <v>3038</v>
      </c>
      <c r="I622" s="24" t="s">
        <v>250</v>
      </c>
      <c r="J622" s="8">
        <f>IFERROR(VLOOKUP($G622,今日總結!$A:$AN,39,0),"")</f>
        <v>0</v>
      </c>
      <c r="K622" s="5">
        <f>IFERROR(VLOOKUP($G622,今日總結!$A:$AN,40,0),"")</f>
        <v>0</v>
      </c>
      <c r="L622" s="156">
        <f>IFERROR(VLOOKUP($G622,今日總結!$A:$AN,37,0),"")</f>
        <v>0</v>
      </c>
      <c r="M622" s="337">
        <f>IFERROR(VLOOKUP($G622,今日總結!$A:$AN,38,0),"")</f>
        <v>0</v>
      </c>
      <c r="N622" s="240">
        <f t="shared" si="121"/>
        <v>0</v>
      </c>
      <c r="O622" s="359">
        <f>IFERROR(VLOOKUP($G622,融外自投!$A:$J,7,0),"無")</f>
        <v>78</v>
      </c>
      <c r="P622" s="79">
        <f>IFERROR(VLOOKUP($G622,融外自投!$A:$J,9,0),"無")</f>
        <v>159</v>
      </c>
      <c r="Q622" s="342">
        <f>IFERROR(VLOOKUP($G622,融外自投!$A:$J,8,0),"無")</f>
        <v>628</v>
      </c>
      <c r="R622" s="81">
        <f>IFERROR(VLOOKUP($G622,融外自投!$A:$J,10,0),"無")</f>
        <v>403</v>
      </c>
      <c r="S622" s="324">
        <f>IFERROR(VLOOKUP($G622,'321買'!$A:$E,4,0),"'沒有資料'")</f>
        <v>18</v>
      </c>
      <c r="T622" s="186">
        <f>IFERROR(VLOOKUP($G622,基本資料!$A:$J,9,0),"無")</f>
        <v>1.3</v>
      </c>
      <c r="U622" s="307">
        <f t="shared" si="117"/>
        <v>2.0933977455716585E-2</v>
      </c>
      <c r="V622" s="94">
        <f>IFERROR(VLOOKUP($G622,基本資料!$A:$J,10,0),"無")</f>
        <v>3.91</v>
      </c>
      <c r="W622" s="36">
        <f>RTD("money.excel",,"5351","Price")</f>
        <v>62.1</v>
      </c>
      <c r="X622" s="66"/>
      <c r="Y622" s="15">
        <f t="shared" si="118"/>
        <v>62.1</v>
      </c>
      <c r="Z622" s="3" t="e">
        <f t="shared" si="119"/>
        <v>#DIV/0!</v>
      </c>
      <c r="AA622" s="340">
        <f>IFERROR(VLOOKUP($G622,基本資料!$A:$M,11,0),"無")</f>
        <v>-40.29</v>
      </c>
      <c r="AB622" s="389">
        <f>IFERROR(VLOOKUP($G622,基本資料!$A:$M,12,0),"無")</f>
        <v>19.84</v>
      </c>
      <c r="AC622" s="24" t="s">
        <v>250</v>
      </c>
      <c r="AF622" s="33">
        <f t="shared" si="120"/>
        <v>0</v>
      </c>
      <c r="AG622" s="119" t="s">
        <v>3060</v>
      </c>
      <c r="AH622" s="66">
        <f t="shared" si="116"/>
        <v>0.92924044575100839</v>
      </c>
      <c r="AI622" s="283">
        <f>RTD("money.excel",,$G622,"PredictVolume")</f>
        <v>10194</v>
      </c>
      <c r="AJ622" s="391">
        <f>IFERROR(VLOOKUP($G622,基本資料!$A:$M,13,0),"無")</f>
        <v>10970.25</v>
      </c>
      <c r="AR622" s="245" t="str">
        <f>INDEX(基本資料!N:N,MATCH($G622,基本資料!A:A,0))</f>
        <v>中</v>
      </c>
    </row>
    <row r="623" spans="1:44">
      <c r="A623" s="343">
        <f>IFERROR(VLOOKUP($G623,基本資料!$A:$J,3,0),"無")</f>
        <v>26.34</v>
      </c>
      <c r="B623" s="79">
        <f>IFERROR(VLOOKUP($G623,基本資料!$A:$J,4,0),"無")</f>
        <v>39</v>
      </c>
      <c r="C623" s="79">
        <f>IFERROR(VLOOKUP($G623,基本資料!$A:$J,5,0),"無")</f>
        <v>51</v>
      </c>
      <c r="D623" s="79">
        <f>IFERROR(VLOOKUP($G623,基本資料!$A:$J,6,0),"無")</f>
        <v>-8</v>
      </c>
      <c r="E623" s="79">
        <f>IFERROR(VLOOKUP($G623,基本資料!$A:$J,7,0),"無")</f>
        <v>14</v>
      </c>
      <c r="F623" s="6">
        <f>IFERROR(VLOOKUP($G623,基本資料!$A:$J,8,0),"無")</f>
        <v>14.49</v>
      </c>
      <c r="G623" s="79">
        <v>5425</v>
      </c>
      <c r="H623" s="145" t="s">
        <v>3038</v>
      </c>
      <c r="I623" s="16" t="s">
        <v>218</v>
      </c>
      <c r="J623" s="8" t="str">
        <f>IFERROR(VLOOKUP($G623,今日總結!$A:$AN,39,0),"")</f>
        <v>投</v>
      </c>
      <c r="K623" s="5">
        <f>IFERROR(VLOOKUP($G623,今日總結!$A:$AN,40,0),"")</f>
        <v>24</v>
      </c>
      <c r="L623" s="156">
        <f>IFERROR(VLOOKUP($G623,今日總結!$A:$AN,37,0),"")</f>
        <v>1</v>
      </c>
      <c r="M623" s="337">
        <f>IFERROR(VLOOKUP($G623,今日總結!$A:$AN,38,0),"")</f>
        <v>2</v>
      </c>
      <c r="N623" s="240">
        <f t="shared" si="121"/>
        <v>-1</v>
      </c>
      <c r="O623" s="359">
        <f>IFERROR(VLOOKUP($G623,融外自投!$A:$J,7,0),"無")</f>
        <v>49</v>
      </c>
      <c r="P623" s="79">
        <f>IFERROR(VLOOKUP($G623,融外自投!$A:$J,9,0),"無")</f>
        <v>225</v>
      </c>
      <c r="Q623" s="342">
        <f>IFERROR(VLOOKUP($G623,融外自投!$A:$J,8,0),"無")</f>
        <v>531</v>
      </c>
      <c r="R623" s="81">
        <f>IFERROR(VLOOKUP($G623,融外自投!$A:$J,10,0),"無")</f>
        <v>9</v>
      </c>
      <c r="S623" s="324">
        <f>IFERROR(VLOOKUP($G623,'321買'!$A:$E,4,0),"'沒有資料'")</f>
        <v>17</v>
      </c>
      <c r="T623" s="186">
        <f>IFERROR(VLOOKUP($G623,基本資料!$A:$J,9,0),"無")</f>
        <v>2.5</v>
      </c>
      <c r="U623" s="307">
        <f t="shared" si="117"/>
        <v>2.9411764705882353E-2</v>
      </c>
      <c r="V623" s="94">
        <f>IFERROR(VLOOKUP($G623,基本資料!$A:$J,10,0),"無")</f>
        <v>3.55</v>
      </c>
      <c r="W623" s="36">
        <f>RTD("money.excel",,"5425","Price")</f>
        <v>85</v>
      </c>
      <c r="X623" s="66"/>
      <c r="Y623" s="15">
        <f t="shared" si="118"/>
        <v>85</v>
      </c>
      <c r="Z623" s="3" t="e">
        <f t="shared" si="119"/>
        <v>#DIV/0!</v>
      </c>
      <c r="AA623" s="340">
        <f>IFERROR(VLOOKUP($G623,基本資料!$A:$M,11,0),"無")</f>
        <v>-19.05</v>
      </c>
      <c r="AB623" s="389">
        <f>IFERROR(VLOOKUP($G623,基本資料!$A:$M,12,0),"無")</f>
        <v>59.04</v>
      </c>
      <c r="AC623" s="16" t="s">
        <v>218</v>
      </c>
      <c r="AF623" s="33">
        <f t="shared" si="120"/>
        <v>0</v>
      </c>
      <c r="AG623" s="117" t="s">
        <v>2807</v>
      </c>
      <c r="AH623" s="66">
        <f t="shared" si="116"/>
        <v>1.9994656164868934</v>
      </c>
      <c r="AI623" s="283">
        <f>RTD("money.excel",,$G623,"PredictVolume")</f>
        <v>34423</v>
      </c>
      <c r="AJ623" s="391">
        <f>IFERROR(VLOOKUP($G623,基本資料!$A:$M,13,0),"無")</f>
        <v>17216.099999999999</v>
      </c>
      <c r="AR623" s="245" t="str">
        <f>INDEX(基本資料!N:N,MATCH($G623,基本資料!A:A,0))</f>
        <v>高</v>
      </c>
    </row>
    <row r="624" spans="1:44">
      <c r="A624" s="343">
        <f>IFERROR(VLOOKUP($G624,基本資料!$A:$J,3,0),"無")</f>
        <v>2.78</v>
      </c>
      <c r="B624" s="79">
        <f>IFERROR(VLOOKUP($G624,基本資料!$A:$J,4,0),"無")</f>
        <v>138</v>
      </c>
      <c r="C624" s="79">
        <f>IFERROR(VLOOKUP($G624,基本資料!$A:$J,5,0),"無")</f>
        <v>187</v>
      </c>
      <c r="D624" s="79">
        <f>IFERROR(VLOOKUP($G624,基本資料!$A:$J,6,0),"無")</f>
        <v>0</v>
      </c>
      <c r="E624" s="79">
        <f>IFERROR(VLOOKUP($G624,基本資料!$A:$J,7,0),"無")</f>
        <v>67</v>
      </c>
      <c r="F624" s="6">
        <f>IFERROR(VLOOKUP($G624,基本資料!$A:$J,8,0),"無")</f>
        <v>5.03</v>
      </c>
      <c r="G624" s="79">
        <v>5468</v>
      </c>
      <c r="H624" s="145" t="s">
        <v>3038</v>
      </c>
      <c r="I624" s="16" t="s">
        <v>4057</v>
      </c>
      <c r="J624" s="8" t="str">
        <f>IFERROR(VLOOKUP($G624,今日總結!$A:$AN,39,0),"")</f>
        <v/>
      </c>
      <c r="K624" s="5" t="str">
        <f>IFERROR(VLOOKUP($G624,今日總結!$A:$AN,40,0),"")</f>
        <v/>
      </c>
      <c r="L624" s="156" t="str">
        <f>IFERROR(VLOOKUP($G624,今日總結!$A:$AN,37,0),"")</f>
        <v/>
      </c>
      <c r="M624" s="337" t="str">
        <f>IFERROR(VLOOKUP($G624,今日總結!$A:$AN,38,0),"")</f>
        <v/>
      </c>
      <c r="N624" s="240" t="str">
        <f t="shared" si="121"/>
        <v/>
      </c>
      <c r="O624" s="359" t="str">
        <f>IFERROR(VLOOKUP($G624,融外自投!$A:$J,7,0),"無")</f>
        <v>無</v>
      </c>
      <c r="P624" s="79" t="str">
        <f>IFERROR(VLOOKUP($G624,融外自投!$A:$J,9,0),"無")</f>
        <v>無</v>
      </c>
      <c r="Q624" s="342" t="str">
        <f>IFERROR(VLOOKUP($G624,融外自投!$A:$J,8,0),"無")</f>
        <v>無</v>
      </c>
      <c r="R624" s="81" t="str">
        <f>IFERROR(VLOOKUP($G624,融外自投!$A:$J,10,0),"無")</f>
        <v>無</v>
      </c>
      <c r="S624" s="324" t="str">
        <f>IFERROR(VLOOKUP($G624,'321買'!$A:$E,4,0),"'沒有資料'")</f>
        <v>'沒有資料'</v>
      </c>
      <c r="T624" s="186">
        <f>IFERROR(VLOOKUP($G624,基本資料!$A:$J,9,0),"無")</f>
        <v>0</v>
      </c>
      <c r="U624" s="307">
        <f t="shared" si="117"/>
        <v>0</v>
      </c>
      <c r="V624" s="94">
        <f>IFERROR(VLOOKUP($G624,基本資料!$A:$J,10,0),"無")</f>
        <v>0.19</v>
      </c>
      <c r="W624" s="36">
        <f>RTD("money.excel",,"5468","Price")</f>
        <v>30.1</v>
      </c>
      <c r="X624" s="66"/>
      <c r="Y624" s="15">
        <f t="shared" si="118"/>
        <v>30.1</v>
      </c>
      <c r="Z624" s="3" t="e">
        <f t="shared" si="119"/>
        <v>#DIV/0!</v>
      </c>
      <c r="AA624" s="340">
        <f>IFERROR(VLOOKUP($G624,基本資料!$A:$M,11,0),"無")</f>
        <v>-5.94</v>
      </c>
      <c r="AB624" s="389">
        <f>IFERROR(VLOOKUP($G624,基本資料!$A:$M,12,0),"無")</f>
        <v>81.66</v>
      </c>
      <c r="AC624" s="16" t="s">
        <v>4057</v>
      </c>
      <c r="AF624" s="33">
        <f t="shared" si="120"/>
        <v>0</v>
      </c>
      <c r="AG624" s="43" t="s">
        <v>2360</v>
      </c>
      <c r="AH624" s="66">
        <f t="shared" si="116"/>
        <v>1.0172107740989427</v>
      </c>
      <c r="AI624" s="283">
        <f>RTD("money.excel",,$G624,"PredictVolume")</f>
        <v>659</v>
      </c>
      <c r="AJ624" s="391">
        <f>IFERROR(VLOOKUP($G624,基本資料!$A:$M,13,0),"無")</f>
        <v>647.85</v>
      </c>
      <c r="AR624" s="245" t="str">
        <f>INDEX(基本資料!N:N,MATCH($G624,基本資料!A:A,0))</f>
        <v>高</v>
      </c>
    </row>
    <row r="625" spans="1:44">
      <c r="A625" s="343">
        <f>IFERROR(VLOOKUP($G625,基本資料!$A:$J,3,0),"無")</f>
        <v>16.78</v>
      </c>
      <c r="B625" s="79">
        <f>IFERROR(VLOOKUP($G625,基本資料!$A:$J,4,0),"無")</f>
        <v>42</v>
      </c>
      <c r="C625" s="79">
        <f>IFERROR(VLOOKUP($G625,基本資料!$A:$J,5,0),"無")</f>
        <v>49</v>
      </c>
      <c r="D625" s="79">
        <f>IFERROR(VLOOKUP($G625,基本資料!$A:$J,6,0),"無")</f>
        <v>-7</v>
      </c>
      <c r="E625" s="79">
        <f>IFERROR(VLOOKUP($G625,基本資料!$A:$J,7,0),"無")</f>
        <v>-35</v>
      </c>
      <c r="F625" s="6">
        <f>IFERROR(VLOOKUP($G625,基本資料!$A:$J,8,0),"無")</f>
        <v>31.48</v>
      </c>
      <c r="G625" s="79">
        <v>5471</v>
      </c>
      <c r="H625" s="8" t="s">
        <v>3038</v>
      </c>
      <c r="I625" s="22" t="s">
        <v>4058</v>
      </c>
      <c r="J625" s="8">
        <f>IFERROR(VLOOKUP($G625,今日總結!$A:$AN,39,0),"")</f>
        <v>0</v>
      </c>
      <c r="K625" s="5">
        <f>IFERROR(VLOOKUP($G625,今日總結!$A:$AN,40,0),"")</f>
        <v>0</v>
      </c>
      <c r="L625" s="156">
        <f>IFERROR(VLOOKUP($G625,今日總結!$A:$AN,37,0),"")</f>
        <v>0</v>
      </c>
      <c r="M625" s="337">
        <f>IFERROR(VLOOKUP($G625,今日總結!$A:$AN,38,0),"")</f>
        <v>0</v>
      </c>
      <c r="N625" s="240">
        <f t="shared" si="121"/>
        <v>0</v>
      </c>
      <c r="O625" s="359">
        <f>IFERROR(VLOOKUP($G625,融外自投!$A:$J,7,0),"無")</f>
        <v>353</v>
      </c>
      <c r="P625" s="79">
        <f>IFERROR(VLOOKUP($G625,融外自投!$A:$J,9,0),"無")</f>
        <v>908</v>
      </c>
      <c r="Q625" s="342">
        <f>IFERROR(VLOOKUP($G625,融外自投!$A:$J,8,0),"無")</f>
        <v>425</v>
      </c>
      <c r="R625" s="81">
        <f>IFERROR(VLOOKUP($G625,融外自投!$A:$J,10,0),"無")</f>
        <v>389</v>
      </c>
      <c r="S625" s="324">
        <f>IFERROR(VLOOKUP($G625,'321買'!$A:$E,4,0),"'沒有資料'")</f>
        <v>440</v>
      </c>
      <c r="T625" s="186">
        <f>IFERROR(VLOOKUP($G625,基本資料!$A:$J,9,0),"無")</f>
        <v>7</v>
      </c>
      <c r="U625" s="307">
        <f t="shared" si="117"/>
        <v>9.4466936572199733E-2</v>
      </c>
      <c r="V625" s="94">
        <f>IFERROR(VLOOKUP($G625,基本資料!$A:$J,10,0),"無")</f>
        <v>8.7100000000000009</v>
      </c>
      <c r="W625" s="36">
        <f>RTD("money.excel",,"5471","Price")</f>
        <v>74.099999999999994</v>
      </c>
      <c r="X625" s="66"/>
      <c r="Y625" s="15">
        <f t="shared" si="118"/>
        <v>74.099999999999994</v>
      </c>
      <c r="Z625" s="3" t="e">
        <f t="shared" si="119"/>
        <v>#DIV/0!</v>
      </c>
      <c r="AA625" s="340">
        <f>IFERROR(VLOOKUP($G625,基本資料!$A:$M,11,0),"無")</f>
        <v>-37.729999999999997</v>
      </c>
      <c r="AB625" s="389">
        <f>IFERROR(VLOOKUP($G625,基本資料!$A:$M,12,0),"無")</f>
        <v>16.12</v>
      </c>
      <c r="AC625" s="22" t="s">
        <v>4058</v>
      </c>
      <c r="AF625" s="33">
        <f t="shared" si="120"/>
        <v>0</v>
      </c>
      <c r="AG625" s="43" t="s">
        <v>3561</v>
      </c>
      <c r="AH625" s="66">
        <f t="shared" si="116"/>
        <v>0.63983018724888185</v>
      </c>
      <c r="AI625" s="283">
        <f>RTD("money.excel",,$G625,"PredictVolume")</f>
        <v>422</v>
      </c>
      <c r="AJ625" s="391">
        <f>IFERROR(VLOOKUP($G625,基本資料!$A:$M,13,0),"無")</f>
        <v>659.55</v>
      </c>
      <c r="AR625" s="245" t="str">
        <f>INDEX(基本資料!N:N,MATCH($G625,基本資料!A:A,0))</f>
        <v>低</v>
      </c>
    </row>
    <row r="626" spans="1:44">
      <c r="A626" s="343">
        <f>IFERROR(VLOOKUP($G626,基本資料!$A:$J,3,0),"無")</f>
        <v>58.62</v>
      </c>
      <c r="B626" s="79">
        <f>IFERROR(VLOOKUP($G626,基本資料!$A:$J,4,0),"無")</f>
        <v>0</v>
      </c>
      <c r="C626" s="79">
        <f>IFERROR(VLOOKUP($G626,基本資料!$A:$J,5,0),"無")</f>
        <v>21</v>
      </c>
      <c r="D626" s="79">
        <f>IFERROR(VLOOKUP($G626,基本資料!$A:$J,6,0),"無")</f>
        <v>-8</v>
      </c>
      <c r="E626" s="79">
        <f>IFERROR(VLOOKUP($G626,基本資料!$A:$J,7,0),"無")</f>
        <v>9</v>
      </c>
      <c r="F626" s="6">
        <f>IFERROR(VLOOKUP($G626,基本資料!$A:$J,8,0),"無")</f>
        <v>26.26</v>
      </c>
      <c r="G626" s="79">
        <v>5483</v>
      </c>
      <c r="H626" s="145" t="s">
        <v>3038</v>
      </c>
      <c r="I626" s="16" t="s">
        <v>145</v>
      </c>
      <c r="J626" s="8">
        <f>IFERROR(VLOOKUP($G626,今日總結!$A:$AN,39,0),"")</f>
        <v>0</v>
      </c>
      <c r="K626" s="5">
        <f>IFERROR(VLOOKUP($G626,今日總結!$A:$AN,40,0),"")</f>
        <v>0</v>
      </c>
      <c r="L626" s="156">
        <f>IFERROR(VLOOKUP($G626,今日總結!$A:$AN,37,0),"")</f>
        <v>0</v>
      </c>
      <c r="M626" s="337">
        <f>IFERROR(VLOOKUP($G626,今日總結!$A:$AN,38,0),"")</f>
        <v>0</v>
      </c>
      <c r="N626" s="240">
        <f t="shared" si="121"/>
        <v>0</v>
      </c>
      <c r="O626" s="359">
        <f>IFERROR(VLOOKUP($G626,融外自投!$A:$J,7,0),"無")</f>
        <v>622</v>
      </c>
      <c r="P626" s="79">
        <f>IFERROR(VLOOKUP($G626,融外自投!$A:$J,9,0),"無")</f>
        <v>240</v>
      </c>
      <c r="Q626" s="342">
        <f>IFERROR(VLOOKUP($G626,融外自投!$A:$J,8,0),"無")</f>
        <v>253</v>
      </c>
      <c r="R626" s="81">
        <f>IFERROR(VLOOKUP($G626,融外自投!$A:$J,10,0),"無")</f>
        <v>47</v>
      </c>
      <c r="S626" s="324">
        <f>IFERROR(VLOOKUP($G626,'321買'!$A:$E,4,0),"'沒有資料'")</f>
        <v>300</v>
      </c>
      <c r="T626" s="186">
        <f>IFERROR(VLOOKUP($G626,基本資料!$A:$J,9,0),"無")</f>
        <v>8</v>
      </c>
      <c r="U626" s="307">
        <f t="shared" si="117"/>
        <v>5.0473186119873815E-2</v>
      </c>
      <c r="V626" s="94">
        <f>IFERROR(VLOOKUP($G626,基本資料!$A:$J,10,0),"無")</f>
        <v>11.62</v>
      </c>
      <c r="W626" s="36">
        <f>RTD("money.excel",,"5483","Price")</f>
        <v>158.5</v>
      </c>
      <c r="X626" s="66"/>
      <c r="Y626" s="15">
        <f t="shared" si="118"/>
        <v>158.5</v>
      </c>
      <c r="Z626" s="3" t="e">
        <f t="shared" si="119"/>
        <v>#DIV/0!</v>
      </c>
      <c r="AA626" s="340">
        <f>IFERROR(VLOOKUP($G626,基本資料!$A:$M,11,0),"無")</f>
        <v>-36.35</v>
      </c>
      <c r="AB626" s="389">
        <f>IFERROR(VLOOKUP($G626,基本資料!$A:$M,12,0),"無")</f>
        <v>34.409999999999997</v>
      </c>
      <c r="AC626" s="16" t="s">
        <v>145</v>
      </c>
      <c r="AF626" s="33">
        <f t="shared" si="120"/>
        <v>0</v>
      </c>
      <c r="AG626" s="117" t="s">
        <v>2350</v>
      </c>
      <c r="AH626" s="66">
        <f t="shared" si="116"/>
        <v>1.6583755936569267</v>
      </c>
      <c r="AI626" s="283">
        <f>RTD("money.excel",,$G626,"PredictVolume")</f>
        <v>10301</v>
      </c>
      <c r="AJ626" s="391">
        <f>IFERROR(VLOOKUP($G626,基本資料!$A:$M,13,0),"無")</f>
        <v>6211.5</v>
      </c>
      <c r="AR626" s="245" t="str">
        <f>INDEX(基本資料!N:N,MATCH($G626,基本資料!A:A,0))</f>
        <v>低</v>
      </c>
    </row>
    <row r="627" spans="1:44">
      <c r="A627" s="343">
        <f>IFERROR(VLOOKUP($G627,基本資料!$A:$J,3,0),"無")</f>
        <v>2.4</v>
      </c>
      <c r="B627" s="79">
        <f>IFERROR(VLOOKUP($G627,基本資料!$A:$J,4,0),"無")</f>
        <v>22</v>
      </c>
      <c r="C627" s="79">
        <f>IFERROR(VLOOKUP($G627,基本資料!$A:$J,5,0),"無")</f>
        <v>16</v>
      </c>
      <c r="D627" s="79">
        <f>IFERROR(VLOOKUP($G627,基本資料!$A:$J,6,0),"無")</f>
        <v>45</v>
      </c>
      <c r="E627" s="79">
        <f>IFERROR(VLOOKUP($G627,基本資料!$A:$J,7,0),"無")</f>
        <v>-8</v>
      </c>
      <c r="F627" s="6">
        <f>IFERROR(VLOOKUP($G627,基本資料!$A:$J,8,0),"無")</f>
        <v>16.649999999999999</v>
      </c>
      <c r="G627" s="79">
        <v>5487</v>
      </c>
      <c r="H627" s="145" t="s">
        <v>3038</v>
      </c>
      <c r="I627" s="16" t="s">
        <v>370</v>
      </c>
      <c r="J627" s="8" t="str">
        <f>IFERROR(VLOOKUP($G627,今日總結!$A:$AN,39,0),"")</f>
        <v/>
      </c>
      <c r="K627" s="5" t="str">
        <f>IFERROR(VLOOKUP($G627,今日總結!$A:$AN,40,0),"")</f>
        <v/>
      </c>
      <c r="L627" s="156" t="str">
        <f>IFERROR(VLOOKUP($G627,今日總結!$A:$AN,37,0),"")</f>
        <v/>
      </c>
      <c r="M627" s="337" t="str">
        <f>IFERROR(VLOOKUP($G627,今日總結!$A:$AN,38,0),"")</f>
        <v/>
      </c>
      <c r="N627" s="240" t="str">
        <f t="shared" si="121"/>
        <v/>
      </c>
      <c r="O627" s="359">
        <f>IFERROR(VLOOKUP($G627,融外自投!$A:$J,7,0),"無")</f>
        <v>1139</v>
      </c>
      <c r="P627" s="79" t="str">
        <f>IFERROR(VLOOKUP($G627,融外自投!$A:$J,9,0),"無")</f>
        <v>無</v>
      </c>
      <c r="Q627" s="342">
        <f>IFERROR(VLOOKUP($G627,融外自投!$A:$J,8,0),"無")</f>
        <v>1425</v>
      </c>
      <c r="R627" s="81" t="str">
        <f>IFERROR(VLOOKUP($G627,融外自投!$A:$J,10,0),"無")</f>
        <v>無</v>
      </c>
      <c r="S627" s="324" t="str">
        <f>IFERROR(VLOOKUP($G627,'321買'!$A:$E,4,0),"'沒有資料'")</f>
        <v>'沒有資料'</v>
      </c>
      <c r="T627" s="186">
        <f>IFERROR(VLOOKUP($G627,基本資料!$A:$J,9,0),"無")</f>
        <v>1.36</v>
      </c>
      <c r="U627" s="307">
        <f t="shared" si="117"/>
        <v>4.5033112582781462E-2</v>
      </c>
      <c r="V627" s="94">
        <f>IFERROR(VLOOKUP($G627,基本資料!$A:$J,10,0),"無")</f>
        <v>2.02</v>
      </c>
      <c r="W627" s="36">
        <f>RTD("money.excel",,"5487","Price")</f>
        <v>30.2</v>
      </c>
      <c r="X627" s="66"/>
      <c r="Y627" s="15">
        <f t="shared" si="118"/>
        <v>30.2</v>
      </c>
      <c r="Z627" s="3" t="e">
        <f t="shared" si="119"/>
        <v>#DIV/0!</v>
      </c>
      <c r="AA627" s="340">
        <f>IFERROR(VLOOKUP($G627,基本資料!$A:$M,11,0),"無")</f>
        <v>-33.630000000000003</v>
      </c>
      <c r="AB627" s="389">
        <f>IFERROR(VLOOKUP($G627,基本資料!$A:$M,12,0),"無")</f>
        <v>19.05</v>
      </c>
      <c r="AC627" s="16" t="s">
        <v>370</v>
      </c>
      <c r="AF627" s="33">
        <f t="shared" si="120"/>
        <v>0</v>
      </c>
      <c r="AG627" s="43" t="s">
        <v>1925</v>
      </c>
      <c r="AH627" s="66">
        <f t="shared" si="116"/>
        <v>1.2389380530973451</v>
      </c>
      <c r="AI627" s="283">
        <f>RTD("money.excel",,$G627,"PredictVolume")</f>
        <v>7</v>
      </c>
      <c r="AJ627" s="391">
        <f>IFERROR(VLOOKUP($G627,基本資料!$A:$M,13,0),"無")</f>
        <v>5.65</v>
      </c>
      <c r="AR627" s="245" t="str">
        <f>INDEX(基本資料!N:N,MATCH($G627,基本資料!A:A,0))</f>
        <v>低</v>
      </c>
    </row>
    <row r="628" spans="1:44">
      <c r="A628" s="343">
        <f>IFERROR(VLOOKUP($G628,基本資料!$A:$J,3,0),"無")</f>
        <v>8.94</v>
      </c>
      <c r="B628" s="79">
        <f>IFERROR(VLOOKUP($G628,基本資料!$A:$J,4,0),"無")</f>
        <v>97</v>
      </c>
      <c r="C628" s="79">
        <f>IFERROR(VLOOKUP($G628,基本資料!$A:$J,5,0),"無")</f>
        <v>90</v>
      </c>
      <c r="D628" s="79">
        <f>IFERROR(VLOOKUP($G628,基本資料!$A:$J,6,0),"無")</f>
        <v>18</v>
      </c>
      <c r="E628" s="79">
        <f>IFERROR(VLOOKUP($G628,基本資料!$A:$J,7,0),"無")</f>
        <v>131</v>
      </c>
      <c r="F628" s="6">
        <f>IFERROR(VLOOKUP($G628,基本資料!$A:$J,8,0),"無")</f>
        <v>-51.09</v>
      </c>
      <c r="G628" s="79">
        <v>6103</v>
      </c>
      <c r="H628" s="145" t="s">
        <v>3038</v>
      </c>
      <c r="I628" s="16" t="s">
        <v>371</v>
      </c>
      <c r="J628" s="8" t="str">
        <f>IFERROR(VLOOKUP($G628,今日總結!$A:$AN,39,0),"")</f>
        <v/>
      </c>
      <c r="K628" s="5" t="str">
        <f>IFERROR(VLOOKUP($G628,今日總結!$A:$AN,40,0),"")</f>
        <v/>
      </c>
      <c r="L628" s="156" t="str">
        <f>IFERROR(VLOOKUP($G628,今日總結!$A:$AN,37,0),"")</f>
        <v/>
      </c>
      <c r="M628" s="337" t="str">
        <f>IFERROR(VLOOKUP($G628,今日總結!$A:$AN,38,0),"")</f>
        <v/>
      </c>
      <c r="N628" s="240" t="str">
        <f t="shared" si="121"/>
        <v/>
      </c>
      <c r="O628" s="359" t="str">
        <f>IFERROR(VLOOKUP($G628,融外自投!$A:$J,7,0),"無")</f>
        <v>無</v>
      </c>
      <c r="P628" s="79" t="str">
        <f>IFERROR(VLOOKUP($G628,融外自投!$A:$J,9,0),"無")</f>
        <v>無</v>
      </c>
      <c r="Q628" s="342" t="str">
        <f>IFERROR(VLOOKUP($G628,融外自投!$A:$J,8,0),"無")</f>
        <v>無</v>
      </c>
      <c r="R628" s="81" t="str">
        <f>IFERROR(VLOOKUP($G628,融外自投!$A:$J,10,0),"無")</f>
        <v>無</v>
      </c>
      <c r="S628" s="324" t="str">
        <f>IFERROR(VLOOKUP($G628,'321買'!$A:$E,4,0),"'沒有資料'")</f>
        <v>'沒有資料'</v>
      </c>
      <c r="T628" s="186">
        <f>IFERROR(VLOOKUP($G628,基本資料!$A:$J,9,0),"無")</f>
        <v>0</v>
      </c>
      <c r="U628" s="307">
        <f t="shared" si="117"/>
        <v>0</v>
      </c>
      <c r="V628" s="94">
        <f>IFERROR(VLOOKUP($G628,基本資料!$A:$J,10,0),"無")</f>
        <v>-0.04</v>
      </c>
      <c r="W628" s="36">
        <f>RTD("money.excel",,"6103","Price")</f>
        <v>5.5</v>
      </c>
      <c r="X628" s="66"/>
      <c r="Y628" s="15">
        <f t="shared" si="118"/>
        <v>5.5</v>
      </c>
      <c r="Z628" s="3" t="e">
        <f t="shared" si="119"/>
        <v>#DIV/0!</v>
      </c>
      <c r="AA628" s="340">
        <f>IFERROR(VLOOKUP($G628,基本資料!$A:$M,11,0),"無")</f>
        <v>-45</v>
      </c>
      <c r="AB628" s="389">
        <f>IFERROR(VLOOKUP($G628,基本資料!$A:$M,12,0),"無")</f>
        <v>4.83</v>
      </c>
      <c r="AC628" s="16" t="s">
        <v>371</v>
      </c>
      <c r="AF628" s="33">
        <f t="shared" si="120"/>
        <v>0</v>
      </c>
      <c r="AG628" s="43" t="s">
        <v>2361</v>
      </c>
      <c r="AH628" s="66">
        <f t="shared" si="116"/>
        <v>1.7142857142857142</v>
      </c>
      <c r="AI628" s="283">
        <f>RTD("money.excel",,$G628,"PredictVolume")</f>
        <v>6</v>
      </c>
      <c r="AJ628" s="391">
        <f>IFERROR(VLOOKUP($G628,基本資料!$A:$M,13,0),"無")</f>
        <v>3.5</v>
      </c>
      <c r="AR628" s="245" t="str">
        <f>INDEX(基本資料!N:N,MATCH($G628,基本資料!A:A,0))</f>
        <v>低</v>
      </c>
    </row>
    <row r="629" spans="1:44">
      <c r="A629" s="343">
        <f>IFERROR(VLOOKUP($G629,基本資料!$A:$J,3,0),"無")</f>
        <v>9.02</v>
      </c>
      <c r="B629" s="79">
        <f>IFERROR(VLOOKUP($G629,基本資料!$A:$J,4,0),"無")</f>
        <v>73</v>
      </c>
      <c r="C629" s="79">
        <f>IFERROR(VLOOKUP($G629,基本資料!$A:$J,5,0),"無")</f>
        <v>79</v>
      </c>
      <c r="D629" s="79">
        <f>IFERROR(VLOOKUP($G629,基本資料!$A:$J,6,0),"無")</f>
        <v>-20</v>
      </c>
      <c r="E629" s="79">
        <f>IFERROR(VLOOKUP($G629,基本資料!$A:$J,7,0),"無")</f>
        <v>29</v>
      </c>
      <c r="F629" s="6">
        <f>IFERROR(VLOOKUP($G629,基本資料!$A:$J,8,0),"無")</f>
        <v>21.07</v>
      </c>
      <c r="G629" s="79">
        <v>6104</v>
      </c>
      <c r="H629" s="145" t="s">
        <v>3038</v>
      </c>
      <c r="I629" s="16" t="s">
        <v>372</v>
      </c>
      <c r="J629" s="8">
        <f>IFERROR(VLOOKUP($G629,今日總結!$A:$AN,39,0),"")</f>
        <v>69</v>
      </c>
      <c r="K629" s="5">
        <f>IFERROR(VLOOKUP($G629,今日總結!$A:$AN,40,0),"")</f>
        <v>23</v>
      </c>
      <c r="L629" s="156">
        <f>IFERROR(VLOOKUP($G629,今日總結!$A:$AN,37,0),"")</f>
        <v>2</v>
      </c>
      <c r="M629" s="337">
        <f>IFERROR(VLOOKUP($G629,今日總結!$A:$AN,38,0),"")</f>
        <v>2</v>
      </c>
      <c r="N629" s="240">
        <f t="shared" si="121"/>
        <v>0</v>
      </c>
      <c r="O629" s="359">
        <f>IFERROR(VLOOKUP($G629,融外自投!$A:$J,7,0),"無")</f>
        <v>21</v>
      </c>
      <c r="P629" s="79">
        <f>IFERROR(VLOOKUP($G629,融外自投!$A:$J,9,0),"無")</f>
        <v>104</v>
      </c>
      <c r="Q629" s="342">
        <f>IFERROR(VLOOKUP($G629,融外自投!$A:$J,8,0),"無")</f>
        <v>334</v>
      </c>
      <c r="R629" s="81">
        <f>IFERROR(VLOOKUP($G629,融外自投!$A:$J,10,0),"無")</f>
        <v>30</v>
      </c>
      <c r="S629" s="324">
        <f>IFERROR(VLOOKUP($G629,'321買'!$A:$E,4,0),"'沒有資料'")</f>
        <v>2</v>
      </c>
      <c r="T629" s="186">
        <f>IFERROR(VLOOKUP($G629,基本資料!$A:$J,9,0),"無")</f>
        <v>4.5</v>
      </c>
      <c r="U629" s="307">
        <f t="shared" si="117"/>
        <v>2.2959183673469389E-2</v>
      </c>
      <c r="V629" s="94">
        <f>IFERROR(VLOOKUP($G629,基本資料!$A:$J,10,0),"無")</f>
        <v>6.41</v>
      </c>
      <c r="W629" s="36">
        <f>RTD("money.excel",,"6104","Price")</f>
        <v>196</v>
      </c>
      <c r="X629" s="66"/>
      <c r="Y629" s="15">
        <f t="shared" si="118"/>
        <v>196</v>
      </c>
      <c r="Z629" s="3" t="e">
        <f t="shared" si="119"/>
        <v>#DIV/0!</v>
      </c>
      <c r="AA629" s="340">
        <f>IFERROR(VLOOKUP($G629,基本資料!$A:$M,11,0),"無")</f>
        <v>-41.23</v>
      </c>
      <c r="AB629" s="389">
        <f>IFERROR(VLOOKUP($G629,基本資料!$A:$M,12,0),"無")</f>
        <v>13.47</v>
      </c>
      <c r="AC629" s="16" t="s">
        <v>372</v>
      </c>
      <c r="AF629" s="33">
        <f t="shared" si="120"/>
        <v>0</v>
      </c>
      <c r="AG629" s="43" t="s">
        <v>3045</v>
      </c>
      <c r="AH629" s="66">
        <f t="shared" si="116"/>
        <v>1.2233696108916714</v>
      </c>
      <c r="AI629" s="283">
        <f>RTD("money.excel",,$G629,"PredictVolume")</f>
        <v>23291</v>
      </c>
      <c r="AJ629" s="391">
        <f>IFERROR(VLOOKUP($G629,基本資料!$A:$M,13,0),"無")</f>
        <v>19038.400000000001</v>
      </c>
      <c r="AR629" s="245" t="str">
        <f>INDEX(基本資料!N:N,MATCH($G629,基本資料!A:A,0))</f>
        <v>中</v>
      </c>
    </row>
    <row r="630" spans="1:44">
      <c r="A630" s="343">
        <f>IFERROR(VLOOKUP($G630,基本資料!$A:$J,3,0),"無")</f>
        <v>18.09</v>
      </c>
      <c r="B630" s="79">
        <f>IFERROR(VLOOKUP($G630,基本資料!$A:$J,4,0),"無")</f>
        <v>370</v>
      </c>
      <c r="C630" s="79">
        <f>IFERROR(VLOOKUP($G630,基本資料!$A:$J,5,0),"無")</f>
        <v>302</v>
      </c>
      <c r="D630" s="79">
        <f>IFERROR(VLOOKUP($G630,基本資料!$A:$J,6,0),"無")</f>
        <v>8</v>
      </c>
      <c r="E630" s="79">
        <f>IFERROR(VLOOKUP($G630,基本資料!$A:$J,7,0),"無")</f>
        <v>42</v>
      </c>
      <c r="F630" s="6">
        <f>IFERROR(VLOOKUP($G630,基本資料!$A:$J,8,0),"無")</f>
        <v>7.03</v>
      </c>
      <c r="G630" s="79">
        <v>6129</v>
      </c>
      <c r="H630" s="145" t="s">
        <v>3038</v>
      </c>
      <c r="I630" s="16" t="s">
        <v>4059</v>
      </c>
      <c r="J630" s="8" t="str">
        <f>IFERROR(VLOOKUP($G630,今日總結!$A:$AN,39,0),"")</f>
        <v>融</v>
      </c>
      <c r="K630" s="5" t="str">
        <f>IFERROR(VLOOKUP($G630,今日總結!$A:$AN,40,0),"")</f>
        <v>借</v>
      </c>
      <c r="L630" s="156">
        <f>IFERROR(VLOOKUP($G630,今日總結!$A:$AN,37,0),"")</f>
        <v>2</v>
      </c>
      <c r="M630" s="337">
        <f>IFERROR(VLOOKUP($G630,今日總結!$A:$AN,38,0),"")</f>
        <v>18</v>
      </c>
      <c r="N630" s="240">
        <f t="shared" si="121"/>
        <v>-16</v>
      </c>
      <c r="O630" s="359">
        <f>IFERROR(VLOOKUP($G630,融外自投!$A:$J,7,0),"無")</f>
        <v>1119</v>
      </c>
      <c r="P630" s="79">
        <f>IFERROR(VLOOKUP($G630,融外自投!$A:$J,9,0),"無")</f>
        <v>451</v>
      </c>
      <c r="Q630" s="342">
        <f>IFERROR(VLOOKUP($G630,融外自投!$A:$J,8,0),"無")</f>
        <v>1305</v>
      </c>
      <c r="R630" s="81" t="str">
        <f>IFERROR(VLOOKUP($G630,融外自投!$A:$J,10,0),"無")</f>
        <v>無</v>
      </c>
      <c r="S630" s="324">
        <f>IFERROR(VLOOKUP($G630,'321買'!$A:$E,4,0),"'沒有資料'")</f>
        <v>411</v>
      </c>
      <c r="T630" s="186">
        <f>IFERROR(VLOOKUP($G630,基本資料!$A:$J,9,0),"無")</f>
        <v>0</v>
      </c>
      <c r="U630" s="307">
        <f t="shared" si="117"/>
        <v>0</v>
      </c>
      <c r="V630" s="94">
        <f>IFERROR(VLOOKUP($G630,基本資料!$A:$J,10,0),"無")</f>
        <v>0.63</v>
      </c>
      <c r="W630" s="36">
        <f>RTD("money.excel",,"6129","Price")</f>
        <v>28.55</v>
      </c>
      <c r="X630" s="66"/>
      <c r="Y630" s="15">
        <f t="shared" si="118"/>
        <v>28.55</v>
      </c>
      <c r="Z630" s="3" t="e">
        <f t="shared" si="119"/>
        <v>#DIV/0!</v>
      </c>
      <c r="AA630" s="340">
        <f>IFERROR(VLOOKUP($G630,基本資料!$A:$M,11,0),"無")</f>
        <v>-36.56</v>
      </c>
      <c r="AB630" s="389">
        <f>IFERROR(VLOOKUP($G630,基本資料!$A:$M,12,0),"無")</f>
        <v>18.82</v>
      </c>
      <c r="AC630" s="16" t="s">
        <v>4059</v>
      </c>
      <c r="AF630" s="33">
        <f t="shared" si="120"/>
        <v>0</v>
      </c>
      <c r="AG630" s="43" t="s">
        <v>2299</v>
      </c>
      <c r="AH630" s="66">
        <f t="shared" si="116"/>
        <v>0.87937048754765956</v>
      </c>
      <c r="AI630" s="283">
        <f>RTD("money.excel",,$G630,"PredictVolume")</f>
        <v>1084</v>
      </c>
      <c r="AJ630" s="391">
        <f>IFERROR(VLOOKUP($G630,基本資料!$A:$M,13,0),"無")</f>
        <v>1232.7</v>
      </c>
      <c r="AR630" s="245" t="str">
        <f>INDEX(基本資料!N:N,MATCH($G630,基本資料!A:A,0))</f>
        <v>低</v>
      </c>
    </row>
    <row r="631" spans="1:44">
      <c r="A631" s="343">
        <f>IFERROR(VLOOKUP($G631,基本資料!$A:$J,3,0),"無")</f>
        <v>7.4</v>
      </c>
      <c r="B631" s="79">
        <f>IFERROR(VLOOKUP($G631,基本資料!$A:$J,4,0),"無")</f>
        <v>100</v>
      </c>
      <c r="C631" s="79">
        <f>IFERROR(VLOOKUP($G631,基本資料!$A:$J,5,0),"無")</f>
        <v>109</v>
      </c>
      <c r="D631" s="79">
        <f>IFERROR(VLOOKUP($G631,基本資料!$A:$J,6,0),"無")</f>
        <v>1</v>
      </c>
      <c r="E631" s="79">
        <f>IFERROR(VLOOKUP($G631,基本資料!$A:$J,7,0),"無")</f>
        <v>28</v>
      </c>
      <c r="F631" s="6">
        <f>IFERROR(VLOOKUP($G631,基本資料!$A:$J,8,0),"無")</f>
        <v>20.53</v>
      </c>
      <c r="G631" s="79">
        <v>6138</v>
      </c>
      <c r="H631" s="145" t="s">
        <v>3038</v>
      </c>
      <c r="I631" s="16" t="s">
        <v>159</v>
      </c>
      <c r="J631" s="8">
        <f>IFERROR(VLOOKUP($G631,今日總結!$A:$AN,39,0),"")</f>
        <v>0</v>
      </c>
      <c r="K631" s="5">
        <f>IFERROR(VLOOKUP($G631,今日總結!$A:$AN,40,0),"")</f>
        <v>0</v>
      </c>
      <c r="L631" s="156">
        <f>IFERROR(VLOOKUP($G631,今日總結!$A:$AN,37,0),"")</f>
        <v>0</v>
      </c>
      <c r="M631" s="337">
        <f>IFERROR(VLOOKUP($G631,今日總結!$A:$AN,38,0),"")</f>
        <v>0</v>
      </c>
      <c r="N631" s="240">
        <f t="shared" si="121"/>
        <v>0</v>
      </c>
      <c r="O631" s="359">
        <f>IFERROR(VLOOKUP($G631,融外自投!$A:$J,7,0),"無")</f>
        <v>200</v>
      </c>
      <c r="P631" s="79">
        <f>IFERROR(VLOOKUP($G631,融外自投!$A:$J,9,0),"無")</f>
        <v>134</v>
      </c>
      <c r="Q631" s="342">
        <f>IFERROR(VLOOKUP($G631,融外自投!$A:$J,8,0),"無")</f>
        <v>305</v>
      </c>
      <c r="R631" s="81">
        <f>IFERROR(VLOOKUP($G631,融外自投!$A:$J,10,0),"無")</f>
        <v>42</v>
      </c>
      <c r="S631" s="324">
        <f>IFERROR(VLOOKUP($G631,'321買'!$A:$E,4,0),"'沒有資料'")</f>
        <v>10</v>
      </c>
      <c r="T631" s="186">
        <f>IFERROR(VLOOKUP($G631,基本資料!$A:$J,9,0),"無")</f>
        <v>9.02</v>
      </c>
      <c r="U631" s="307">
        <f t="shared" si="117"/>
        <v>4.4543209876543206E-2</v>
      </c>
      <c r="V631" s="94">
        <f>IFERROR(VLOOKUP($G631,基本資料!$A:$J,10,0),"無")</f>
        <v>12.9</v>
      </c>
      <c r="W631" s="36">
        <f>RTD("money.excel",,"6138","Price")</f>
        <v>202.5</v>
      </c>
      <c r="X631" s="66"/>
      <c r="Y631" s="15">
        <f t="shared" si="118"/>
        <v>202.5</v>
      </c>
      <c r="Z631" s="3" t="e">
        <f t="shared" si="119"/>
        <v>#DIV/0!</v>
      </c>
      <c r="AA631" s="340">
        <f>IFERROR(VLOOKUP($G631,基本資料!$A:$M,11,0),"無")</f>
        <v>-29.2</v>
      </c>
      <c r="AB631" s="389">
        <f>IFERROR(VLOOKUP($G631,基本資料!$A:$M,12,0),"無")</f>
        <v>29.26</v>
      </c>
      <c r="AC631" s="16" t="s">
        <v>159</v>
      </c>
      <c r="AF631" s="33">
        <f t="shared" si="120"/>
        <v>0</v>
      </c>
      <c r="AG631" s="117" t="s">
        <v>3560</v>
      </c>
      <c r="AH631" s="66">
        <f t="shared" si="116"/>
        <v>1.1623024570307994</v>
      </c>
      <c r="AI631" s="283">
        <f>RTD("money.excel",,$G631,"PredictVolume")</f>
        <v>2519</v>
      </c>
      <c r="AJ631" s="391">
        <f>IFERROR(VLOOKUP($G631,基本資料!$A:$M,13,0),"無")</f>
        <v>2167.25</v>
      </c>
      <c r="AR631" s="245" t="str">
        <f>INDEX(基本資料!N:N,MATCH($G631,基本資料!A:A,0))</f>
        <v>中</v>
      </c>
    </row>
    <row r="632" spans="1:44">
      <c r="A632" s="343">
        <f>IFERROR(VLOOKUP($G632,基本資料!$A:$J,3,0),"無")</f>
        <v>73.86</v>
      </c>
      <c r="B632" s="79">
        <f>IFERROR(VLOOKUP($G632,基本資料!$A:$J,4,0),"無")</f>
        <v>67</v>
      </c>
      <c r="C632" s="79">
        <f>IFERROR(VLOOKUP($G632,基本資料!$A:$J,5,0),"無")</f>
        <v>42</v>
      </c>
      <c r="D632" s="79">
        <f>IFERROR(VLOOKUP($G632,基本資料!$A:$J,6,0),"無")</f>
        <v>-5</v>
      </c>
      <c r="E632" s="79">
        <f>IFERROR(VLOOKUP($G632,基本資料!$A:$J,7,0),"無")</f>
        <v>0</v>
      </c>
      <c r="F632" s="6">
        <f>IFERROR(VLOOKUP($G632,基本資料!$A:$J,8,0),"無")</f>
        <v>25.46</v>
      </c>
      <c r="G632" s="79">
        <v>6147</v>
      </c>
      <c r="H632" s="145" t="s">
        <v>3038</v>
      </c>
      <c r="I632" s="166" t="s">
        <v>2914</v>
      </c>
      <c r="J632" s="8">
        <f>IFERROR(VLOOKUP($G632,今日總結!$A:$AN,39,0),"")</f>
        <v>0</v>
      </c>
      <c r="K632" s="5">
        <f>IFERROR(VLOOKUP($G632,今日總結!$A:$AN,40,0),"")</f>
        <v>0</v>
      </c>
      <c r="L632" s="156">
        <f>IFERROR(VLOOKUP($G632,今日總結!$A:$AN,37,0),"")</f>
        <v>0</v>
      </c>
      <c r="M632" s="337">
        <f>IFERROR(VLOOKUP($G632,今日總結!$A:$AN,38,0),"")</f>
        <v>0</v>
      </c>
      <c r="N632" s="240">
        <f t="shared" si="121"/>
        <v>0</v>
      </c>
      <c r="O632" s="359">
        <f>IFERROR(VLOOKUP($G632,融外自投!$A:$J,7,0),"無")</f>
        <v>812</v>
      </c>
      <c r="P632" s="79">
        <f>IFERROR(VLOOKUP($G632,融外自投!$A:$J,9,0),"無")</f>
        <v>294</v>
      </c>
      <c r="Q632" s="342">
        <f>IFERROR(VLOOKUP($G632,融外自投!$A:$J,8,0),"無")</f>
        <v>242</v>
      </c>
      <c r="R632" s="81">
        <f>IFERROR(VLOOKUP($G632,融外自投!$A:$J,10,0),"無")</f>
        <v>90</v>
      </c>
      <c r="S632" s="324">
        <f>IFERROR(VLOOKUP($G632,'321買'!$A:$E,4,0),"'沒有資料'")</f>
        <v>321</v>
      </c>
      <c r="T632" s="186">
        <f>IFERROR(VLOOKUP($G632,基本資料!$A:$J,9,0),"無")</f>
        <v>6</v>
      </c>
      <c r="U632" s="307">
        <f t="shared" si="117"/>
        <v>8.8495575221238937E-2</v>
      </c>
      <c r="V632" s="94">
        <f>IFERROR(VLOOKUP($G632,基本資料!$A:$J,10,0),"無")</f>
        <v>9</v>
      </c>
      <c r="W632" s="161">
        <f>RTD("money.excel",,"6147","Price")</f>
        <v>67.8</v>
      </c>
      <c r="X632" s="66"/>
      <c r="Y632" s="15">
        <f t="shared" si="118"/>
        <v>67.8</v>
      </c>
      <c r="Z632" s="3" t="e">
        <f t="shared" si="119"/>
        <v>#DIV/0!</v>
      </c>
      <c r="AA632" s="340">
        <f>IFERROR(VLOOKUP($G632,基本資料!$A:$M,11,0),"無")</f>
        <v>-23.22</v>
      </c>
      <c r="AB632" s="389">
        <f>IFERROR(VLOOKUP($G632,基本資料!$A:$M,12,0),"無")</f>
        <v>33.81</v>
      </c>
      <c r="AC632" s="16" t="s">
        <v>2914</v>
      </c>
      <c r="AF632" s="33">
        <f t="shared" si="120"/>
        <v>0</v>
      </c>
      <c r="AG632" s="117" t="s">
        <v>2290</v>
      </c>
      <c r="AH632" s="66">
        <f t="shared" si="116"/>
        <v>0.49304249717939075</v>
      </c>
      <c r="AI632" s="283">
        <f>RTD("money.excel",,$G632,"PredictVolume")</f>
        <v>1311</v>
      </c>
      <c r="AJ632" s="391">
        <f>IFERROR(VLOOKUP($G632,基本資料!$A:$M,13,0),"無")</f>
        <v>2659</v>
      </c>
      <c r="AR632" s="245" t="str">
        <f>INDEX(基本資料!N:N,MATCH($G632,基本資料!A:A,0))</f>
        <v>低</v>
      </c>
    </row>
    <row r="633" spans="1:44">
      <c r="A633" s="343">
        <f>IFERROR(VLOOKUP($G633,基本資料!$A:$J,3,0),"無")</f>
        <v>54.09</v>
      </c>
      <c r="B633" s="79">
        <f>IFERROR(VLOOKUP($G633,基本資料!$A:$J,4,0),"無")</f>
        <v>123</v>
      </c>
      <c r="C633" s="79">
        <f>IFERROR(VLOOKUP($G633,基本資料!$A:$J,5,0),"無")</f>
        <v>170</v>
      </c>
      <c r="D633" s="79">
        <f>IFERROR(VLOOKUP($G633,基本資料!$A:$J,6,0),"無")</f>
        <v>-4</v>
      </c>
      <c r="E633" s="79">
        <f>IFERROR(VLOOKUP($G633,基本資料!$A:$J,7,0),"無")</f>
        <v>20</v>
      </c>
      <c r="F633" s="6">
        <f>IFERROR(VLOOKUP($G633,基本資料!$A:$J,8,0),"無")</f>
        <v>19.239999999999998</v>
      </c>
      <c r="G633" s="79">
        <v>6182</v>
      </c>
      <c r="H633" s="195" t="s">
        <v>3038</v>
      </c>
      <c r="I633" s="16" t="s">
        <v>166</v>
      </c>
      <c r="J633" s="8">
        <f>IFERROR(VLOOKUP($G633,今日總結!$A:$AN,39,0),"")</f>
        <v>0</v>
      </c>
      <c r="K633" s="5">
        <f>IFERROR(VLOOKUP($G633,今日總結!$A:$AN,40,0),"")</f>
        <v>24</v>
      </c>
      <c r="L633" s="156">
        <f>IFERROR(VLOOKUP($G633,今日總結!$A:$AN,37,0),"")</f>
        <v>0</v>
      </c>
      <c r="M633" s="337">
        <f>IFERROR(VLOOKUP($G633,今日總結!$A:$AN,38,0),"")</f>
        <v>2</v>
      </c>
      <c r="N633" s="240">
        <f t="shared" si="121"/>
        <v>-2</v>
      </c>
      <c r="O633" s="359">
        <f>IFERROR(VLOOKUP($G633,融外自投!$A:$J,7,0),"無")</f>
        <v>100</v>
      </c>
      <c r="P633" s="79">
        <f>IFERROR(VLOOKUP($G633,融外自投!$A:$J,9,0),"無")</f>
        <v>696</v>
      </c>
      <c r="Q633" s="342">
        <f>IFERROR(VLOOKUP($G633,融外自投!$A:$J,8,0),"無")</f>
        <v>368</v>
      </c>
      <c r="R633" s="81">
        <f>IFERROR(VLOOKUP($G633,融外自投!$A:$J,10,0),"無")</f>
        <v>314</v>
      </c>
      <c r="S633" s="324">
        <f>IFERROR(VLOOKUP($G633,'321買'!$A:$E,4,0),"'沒有資料'")</f>
        <v>33</v>
      </c>
      <c r="T633" s="186">
        <f>IFERROR(VLOOKUP($G633,基本資料!$A:$J,9,0),"無")</f>
        <v>1.35</v>
      </c>
      <c r="U633" s="307">
        <f t="shared" si="117"/>
        <v>2.303754266211604E-2</v>
      </c>
      <c r="V633" s="94">
        <f>IFERROR(VLOOKUP($G633,基本資料!$A:$J,10,0),"無")</f>
        <v>2.02</v>
      </c>
      <c r="W633" s="36">
        <f>RTD("money.excel",,"6182","Price")</f>
        <v>58.6</v>
      </c>
      <c r="X633" s="66"/>
      <c r="Y633" s="15">
        <f t="shared" si="118"/>
        <v>58.6</v>
      </c>
      <c r="Z633" s="3" t="e">
        <f t="shared" si="119"/>
        <v>#DIV/0!</v>
      </c>
      <c r="AA633" s="340">
        <f>IFERROR(VLOOKUP($G633,基本資料!$A:$M,11,0),"無")</f>
        <v>-34.53</v>
      </c>
      <c r="AB633" s="389">
        <f>IFERROR(VLOOKUP($G633,基本資料!$A:$M,12,0),"無")</f>
        <v>21.07</v>
      </c>
      <c r="AC633" s="16" t="s">
        <v>166</v>
      </c>
      <c r="AF633" s="33">
        <f t="shared" si="120"/>
        <v>0</v>
      </c>
      <c r="AG633" s="117" t="s">
        <v>2167</v>
      </c>
      <c r="AH633" s="66">
        <f t="shared" si="116"/>
        <v>2.6287089866868825</v>
      </c>
      <c r="AI633" s="283">
        <f>RTD("money.excel",,$G633,"PredictVolume")</f>
        <v>39530</v>
      </c>
      <c r="AJ633" s="391">
        <f>IFERROR(VLOOKUP($G633,基本資料!$A:$M,13,0),"無")</f>
        <v>15037.8</v>
      </c>
      <c r="AR633" s="245" t="str">
        <f>INDEX(基本資料!N:N,MATCH($G633,基本資料!A:A,0))</f>
        <v>低</v>
      </c>
    </row>
    <row r="634" spans="1:44">
      <c r="A634" s="343">
        <f>IFERROR(VLOOKUP($G634,基本資料!$A:$J,3,0),"無")</f>
        <v>2.2599999999999998</v>
      </c>
      <c r="B634" s="79">
        <f>IFERROR(VLOOKUP($G634,基本資料!$A:$J,4,0),"無")</f>
        <v>69</v>
      </c>
      <c r="C634" s="79">
        <f>IFERROR(VLOOKUP($G634,基本資料!$A:$J,5,0),"無")</f>
        <v>67</v>
      </c>
      <c r="D634" s="79">
        <f>IFERROR(VLOOKUP($G634,基本資料!$A:$J,6,0),"無")</f>
        <v>158</v>
      </c>
      <c r="E634" s="79">
        <f>IFERROR(VLOOKUP($G634,基本資料!$A:$J,7,0),"無")</f>
        <v>1497</v>
      </c>
      <c r="F634" s="6">
        <f>IFERROR(VLOOKUP($G634,基本資料!$A:$J,8,0),"無")</f>
        <v>-15.14</v>
      </c>
      <c r="G634" s="79">
        <v>6198</v>
      </c>
      <c r="H634" s="195" t="s">
        <v>3038</v>
      </c>
      <c r="I634" s="16" t="s">
        <v>373</v>
      </c>
      <c r="J634" s="8" t="str">
        <f>IFERROR(VLOOKUP($G634,今日總結!$A:$AN,39,0),"")</f>
        <v/>
      </c>
      <c r="K634" s="5" t="str">
        <f>IFERROR(VLOOKUP($G634,今日總結!$A:$AN,40,0),"")</f>
        <v/>
      </c>
      <c r="L634" s="156" t="str">
        <f>IFERROR(VLOOKUP($G634,今日總結!$A:$AN,37,0),"")</f>
        <v/>
      </c>
      <c r="M634" s="337" t="str">
        <f>IFERROR(VLOOKUP($G634,今日總結!$A:$AN,38,0),"")</f>
        <v/>
      </c>
      <c r="N634" s="240" t="str">
        <f t="shared" si="121"/>
        <v/>
      </c>
      <c r="O634" s="359" t="str">
        <f>IFERROR(VLOOKUP($G634,融外自投!$A:$J,7,0),"無")</f>
        <v>無</v>
      </c>
      <c r="P634" s="79" t="str">
        <f>IFERROR(VLOOKUP($G634,融外自投!$A:$J,9,0),"無")</f>
        <v>無</v>
      </c>
      <c r="Q634" s="342" t="str">
        <f>IFERROR(VLOOKUP($G634,融外自投!$A:$J,8,0),"無")</f>
        <v>無</v>
      </c>
      <c r="R634" s="81" t="str">
        <f>IFERROR(VLOOKUP($G634,融外自投!$A:$J,10,0),"無")</f>
        <v>無</v>
      </c>
      <c r="S634" s="324" t="str">
        <f>IFERROR(VLOOKUP($G634,'321買'!$A:$E,4,0),"'沒有資料'")</f>
        <v>'沒有資料'</v>
      </c>
      <c r="T634" s="186">
        <f>IFERROR(VLOOKUP($G634,基本資料!$A:$J,9,0),"無")</f>
        <v>0</v>
      </c>
      <c r="U634" s="307">
        <f t="shared" si="117"/>
        <v>0</v>
      </c>
      <c r="V634" s="94">
        <f>IFERROR(VLOOKUP($G634,基本資料!$A:$J,10,0),"無")</f>
        <v>-0.14000000000000001</v>
      </c>
      <c r="W634" s="36">
        <f>RTD("money.excel",,"6198","Price")</f>
        <v>36.35</v>
      </c>
      <c r="X634" s="66"/>
      <c r="Y634" s="15">
        <f t="shared" si="118"/>
        <v>36.35</v>
      </c>
      <c r="Z634" s="3" t="e">
        <f t="shared" si="119"/>
        <v>#DIV/0!</v>
      </c>
      <c r="AA634" s="340">
        <f>IFERROR(VLOOKUP($G634,基本資料!$A:$M,11,0),"無")</f>
        <v>-6.56</v>
      </c>
      <c r="AB634" s="389">
        <f>IFERROR(VLOOKUP($G634,基本資料!$A:$M,12,0),"無")</f>
        <v>59.79</v>
      </c>
      <c r="AC634" s="16" t="s">
        <v>373</v>
      </c>
      <c r="AF634" s="33">
        <f t="shared" si="120"/>
        <v>0</v>
      </c>
      <c r="AG634" s="43" t="s">
        <v>2362</v>
      </c>
      <c r="AH634" s="66">
        <f t="shared" si="116"/>
        <v>0.7142857142857143</v>
      </c>
      <c r="AI634" s="283">
        <f>RTD("money.excel",,$G634,"PredictVolume")</f>
        <v>2</v>
      </c>
      <c r="AJ634" s="391">
        <f>IFERROR(VLOOKUP($G634,基本資料!$A:$M,13,0),"無")</f>
        <v>2.8</v>
      </c>
      <c r="AR634" s="245" t="str">
        <f>INDEX(基本資料!N:N,MATCH($G634,基本資料!A:A,0))</f>
        <v>中</v>
      </c>
    </row>
    <row r="635" spans="1:44">
      <c r="A635" s="343">
        <f>IFERROR(VLOOKUP($G635,基本資料!$A:$J,3,0),"無")</f>
        <v>22.61</v>
      </c>
      <c r="B635" s="79">
        <f>IFERROR(VLOOKUP($G635,基本資料!$A:$J,4,0),"無")</f>
        <v>97</v>
      </c>
      <c r="C635" s="79">
        <f>IFERROR(VLOOKUP($G635,基本資料!$A:$J,5,0),"無")</f>
        <v>57</v>
      </c>
      <c r="D635" s="79">
        <f>IFERROR(VLOOKUP($G635,基本資料!$A:$J,6,0),"無")</f>
        <v>9</v>
      </c>
      <c r="E635" s="79">
        <f>IFERROR(VLOOKUP($G635,基本資料!$A:$J,7,0),"無")</f>
        <v>17</v>
      </c>
      <c r="F635" s="6">
        <f>IFERROR(VLOOKUP($G635,基本資料!$A:$J,8,0),"無")</f>
        <v>24.89</v>
      </c>
      <c r="G635" s="79">
        <v>6202</v>
      </c>
      <c r="H635" s="8" t="s">
        <v>3038</v>
      </c>
      <c r="I635" s="22" t="s">
        <v>119</v>
      </c>
      <c r="J635" s="8" t="str">
        <f>IFERROR(VLOOKUP($G635,今日總結!$A:$AN,39,0),"")</f>
        <v>券</v>
      </c>
      <c r="K635" s="5" t="str">
        <f>IFERROR(VLOOKUP($G635,今日總結!$A:$AN,40,0),"")</f>
        <v>融</v>
      </c>
      <c r="L635" s="156">
        <f>IFERROR(VLOOKUP($G635,今日總結!$A:$AN,37,0),"")</f>
        <v>1</v>
      </c>
      <c r="M635" s="337">
        <f>IFERROR(VLOOKUP($G635,今日總結!$A:$AN,38,0),"")</f>
        <v>3</v>
      </c>
      <c r="N635" s="240">
        <f t="shared" si="121"/>
        <v>-2</v>
      </c>
      <c r="O635" s="359">
        <f>IFERROR(VLOOKUP($G635,融外自投!$A:$J,7,0),"無")</f>
        <v>566</v>
      </c>
      <c r="P635" s="79">
        <f>IFERROR(VLOOKUP($G635,融外自投!$A:$J,9,0),"無")</f>
        <v>696</v>
      </c>
      <c r="Q635" s="342">
        <f>IFERROR(VLOOKUP($G635,融外自投!$A:$J,8,0),"無")</f>
        <v>327</v>
      </c>
      <c r="R635" s="81">
        <f>IFERROR(VLOOKUP($G635,融外自投!$A:$J,10,0),"無")</f>
        <v>358</v>
      </c>
      <c r="S635" s="324">
        <f>IFERROR(VLOOKUP($G635,'321買'!$A:$E,4,0),"'沒有資料'")</f>
        <v>300</v>
      </c>
      <c r="T635" s="186">
        <f>IFERROR(VLOOKUP($G635,基本資料!$A:$J,9,0),"無")</f>
        <v>8.1199999999999992</v>
      </c>
      <c r="U635" s="307">
        <f t="shared" si="117"/>
        <v>8.397104446742501E-2</v>
      </c>
      <c r="V635" s="94">
        <f>IFERROR(VLOOKUP($G635,基本資料!$A:$J,10,0),"無")</f>
        <v>9.0399999999999991</v>
      </c>
      <c r="W635" s="36">
        <f>RTD("money.excel",,"6202","Price")</f>
        <v>96.7</v>
      </c>
      <c r="X635" s="66"/>
      <c r="Y635" s="15">
        <f t="shared" si="118"/>
        <v>96.7</v>
      </c>
      <c r="Z635" s="3" t="e">
        <f t="shared" si="119"/>
        <v>#DIV/0!</v>
      </c>
      <c r="AA635" s="340">
        <f>IFERROR(VLOOKUP($G635,基本資料!$A:$M,11,0),"無")</f>
        <v>-36.17</v>
      </c>
      <c r="AB635" s="389">
        <f>IFERROR(VLOOKUP($G635,基本資料!$A:$M,12,0),"無")</f>
        <v>20.18</v>
      </c>
      <c r="AC635" s="22" t="s">
        <v>119</v>
      </c>
      <c r="AF635" s="33">
        <f t="shared" si="120"/>
        <v>0</v>
      </c>
      <c r="AG635" s="117" t="s">
        <v>3021</v>
      </c>
      <c r="AH635" s="66">
        <f t="shared" si="116"/>
        <v>0.85176300483060041</v>
      </c>
      <c r="AI635" s="283">
        <f>RTD("money.excel",,$G635,"PredictVolume")</f>
        <v>1296</v>
      </c>
      <c r="AJ635" s="391">
        <f>IFERROR(VLOOKUP($G635,基本資料!$A:$M,13,0),"無")</f>
        <v>1521.55</v>
      </c>
      <c r="AR635" s="245" t="str">
        <f>INDEX(基本資料!N:N,MATCH($G635,基本資料!A:A,0))</f>
        <v>低</v>
      </c>
    </row>
    <row r="636" spans="1:44" ht="17.25" customHeight="1">
      <c r="A636" s="343">
        <f>IFERROR(VLOOKUP($G636,基本資料!$A:$J,3,0),"無")</f>
        <v>9.4</v>
      </c>
      <c r="B636" s="79">
        <f>IFERROR(VLOOKUP($G636,基本資料!$A:$J,4,0),"無")</f>
        <v>-2</v>
      </c>
      <c r="C636" s="79">
        <f>IFERROR(VLOOKUP($G636,基本資料!$A:$J,5,0),"無")</f>
        <v>-6</v>
      </c>
      <c r="D636" s="79">
        <f>IFERROR(VLOOKUP($G636,基本資料!$A:$J,6,0),"無")</f>
        <v>3</v>
      </c>
      <c r="E636" s="79">
        <f>IFERROR(VLOOKUP($G636,基本資料!$A:$J,7,0),"無")</f>
        <v>30</v>
      </c>
      <c r="F636" s="6">
        <f>IFERROR(VLOOKUP($G636,基本資料!$A:$J,8,0),"無")</f>
        <v>12.41</v>
      </c>
      <c r="G636" s="79">
        <v>6223</v>
      </c>
      <c r="H636" s="195" t="s">
        <v>3038</v>
      </c>
      <c r="I636" s="16" t="s">
        <v>4060</v>
      </c>
      <c r="J636" s="8">
        <f>IFERROR(VLOOKUP($G636,今日總結!$A:$AN,39,0),"")</f>
        <v>0</v>
      </c>
      <c r="K636" s="5">
        <f>IFERROR(VLOOKUP($G636,今日總結!$A:$AN,40,0),"")</f>
        <v>26</v>
      </c>
      <c r="L636" s="156">
        <f>IFERROR(VLOOKUP($G636,今日總結!$A:$AN,37,0),"")</f>
        <v>0</v>
      </c>
      <c r="M636" s="337">
        <f>IFERROR(VLOOKUP($G636,今日總結!$A:$AN,38,0),"")</f>
        <v>2</v>
      </c>
      <c r="N636" s="240">
        <f t="shared" si="121"/>
        <v>-2</v>
      </c>
      <c r="O636" s="359">
        <f>IFERROR(VLOOKUP($G636,融外自投!$A:$J,7,0),"無")</f>
        <v>42</v>
      </c>
      <c r="P636" s="79">
        <f>IFERROR(VLOOKUP($G636,融外自投!$A:$J,9,0),"無")</f>
        <v>550</v>
      </c>
      <c r="Q636" s="342">
        <f>IFERROR(VLOOKUP($G636,融外自投!$A:$J,8,0),"無")</f>
        <v>894</v>
      </c>
      <c r="R636" s="81">
        <f>IFERROR(VLOOKUP($G636,融外自投!$A:$J,10,0),"無")</f>
        <v>60</v>
      </c>
      <c r="S636" s="324">
        <f>IFERROR(VLOOKUP($G636,'321買'!$A:$E,4,0),"'沒有資料'")</f>
        <v>42</v>
      </c>
      <c r="T636" s="186">
        <f>IFERROR(VLOOKUP($G636,基本資料!$A:$J,9,0),"無")</f>
        <v>4</v>
      </c>
      <c r="U636" s="307">
        <f t="shared" si="117"/>
        <v>4.0983606557377053E-2</v>
      </c>
      <c r="V636" s="94">
        <f>IFERROR(VLOOKUP($G636,基本資料!$A:$J,10,0),"無")</f>
        <v>7.44</v>
      </c>
      <c r="W636" s="36">
        <f>RTD("money.excel",,"6223","Price")</f>
        <v>97.6</v>
      </c>
      <c r="X636" s="66"/>
      <c r="Y636" s="15">
        <f t="shared" si="118"/>
        <v>97.6</v>
      </c>
      <c r="Z636" s="3" t="e">
        <f t="shared" si="119"/>
        <v>#DIV/0!</v>
      </c>
      <c r="AA636" s="340">
        <f>IFERROR(VLOOKUP($G636,基本資料!$A:$M,11,0),"無")</f>
        <v>-43.58</v>
      </c>
      <c r="AB636" s="389">
        <f>IFERROR(VLOOKUP($G636,基本資料!$A:$M,12,0),"無")</f>
        <v>44.96</v>
      </c>
      <c r="AC636" s="16" t="s">
        <v>4060</v>
      </c>
      <c r="AF636" s="33">
        <f t="shared" si="120"/>
        <v>0</v>
      </c>
      <c r="AG636" s="117" t="s">
        <v>2349</v>
      </c>
      <c r="AH636" s="66">
        <f t="shared" si="116"/>
        <v>2.2589073634204277</v>
      </c>
      <c r="AI636" s="283">
        <f>RTD("money.excel",,$G636,"PredictVolume")</f>
        <v>3804</v>
      </c>
      <c r="AJ636" s="391">
        <f>IFERROR(VLOOKUP($G636,基本資料!$A:$M,13,0),"無")</f>
        <v>1684</v>
      </c>
      <c r="AR636" s="245" t="str">
        <f>INDEX(基本資料!N:N,MATCH($G636,基本資料!A:A,0))</f>
        <v>低</v>
      </c>
    </row>
    <row r="637" spans="1:44">
      <c r="A637" s="343">
        <f>IFERROR(VLOOKUP($G637,基本資料!$A:$J,3,0),"無")</f>
        <v>3.56</v>
      </c>
      <c r="B637" s="79">
        <f>IFERROR(VLOOKUP($G637,基本資料!$A:$J,4,0),"無")</f>
        <v>239</v>
      </c>
      <c r="C637" s="79">
        <f>IFERROR(VLOOKUP($G637,基本資料!$A:$J,5,0),"無")</f>
        <v>204</v>
      </c>
      <c r="D637" s="79">
        <f>IFERROR(VLOOKUP($G637,基本資料!$A:$J,6,0),"無")</f>
        <v>-6</v>
      </c>
      <c r="E637" s="79">
        <f>IFERROR(VLOOKUP($G637,基本資料!$A:$J,7,0),"無")</f>
        <v>-20</v>
      </c>
      <c r="F637" s="6">
        <f>IFERROR(VLOOKUP($G637,基本資料!$A:$J,8,0),"無")</f>
        <v>6.33</v>
      </c>
      <c r="G637" s="79">
        <v>6229</v>
      </c>
      <c r="H637" s="195" t="s">
        <v>3038</v>
      </c>
      <c r="I637" s="16" t="s">
        <v>374</v>
      </c>
      <c r="J637" s="8">
        <f>IFERROR(VLOOKUP($G637,今日總結!$A:$AN,39,0),"")</f>
        <v>0</v>
      </c>
      <c r="K637" s="5">
        <f>IFERROR(VLOOKUP($G637,今日總結!$A:$AN,40,0),"")</f>
        <v>0</v>
      </c>
      <c r="L637" s="156">
        <f>IFERROR(VLOOKUP($G637,今日總結!$A:$AN,37,0),"")</f>
        <v>0</v>
      </c>
      <c r="M637" s="337">
        <f>IFERROR(VLOOKUP($G637,今日總結!$A:$AN,38,0),"")</f>
        <v>0</v>
      </c>
      <c r="N637" s="240">
        <f t="shared" si="121"/>
        <v>0</v>
      </c>
      <c r="O637" s="359">
        <f>IFERROR(VLOOKUP($G637,融外自投!$A:$J,7,0),"無")</f>
        <v>43</v>
      </c>
      <c r="P637" s="79">
        <f>IFERROR(VLOOKUP($G637,融外自投!$A:$J,9,0),"無")</f>
        <v>123</v>
      </c>
      <c r="Q637" s="342">
        <f>IFERROR(VLOOKUP($G637,融外自投!$A:$J,8,0),"無")</f>
        <v>1183</v>
      </c>
      <c r="R637" s="81" t="str">
        <f>IFERROR(VLOOKUP($G637,融外自投!$A:$J,10,0),"無")</f>
        <v>無</v>
      </c>
      <c r="S637" s="324">
        <f>IFERROR(VLOOKUP($G637,'321買'!$A:$E,4,0),"'沒有資料'")</f>
        <v>108</v>
      </c>
      <c r="T637" s="186">
        <f>IFERROR(VLOOKUP($G637,基本資料!$A:$J,9,0),"無")</f>
        <v>2.5</v>
      </c>
      <c r="U637" s="307">
        <f t="shared" si="117"/>
        <v>7.6923076923076927E-2</v>
      </c>
      <c r="V637" s="94">
        <f>IFERROR(VLOOKUP($G637,基本資料!$A:$J,10,0),"無")</f>
        <v>4.49</v>
      </c>
      <c r="W637" s="36">
        <f>RTD("money.excel",,"6229","Price")</f>
        <v>32.5</v>
      </c>
      <c r="X637" s="66"/>
      <c r="Y637" s="15">
        <f t="shared" si="118"/>
        <v>32.5</v>
      </c>
      <c r="Z637" s="3" t="e">
        <f t="shared" si="119"/>
        <v>#DIV/0!</v>
      </c>
      <c r="AA637" s="340">
        <f>IFERROR(VLOOKUP($G637,基本資料!$A:$M,11,0),"無")</f>
        <v>-41.96</v>
      </c>
      <c r="AB637" s="389">
        <f>IFERROR(VLOOKUP($G637,基本資料!$A:$M,12,0),"無")</f>
        <v>16.760000000000002</v>
      </c>
      <c r="AC637" s="16" t="s">
        <v>374</v>
      </c>
      <c r="AF637" s="33">
        <f t="shared" si="120"/>
        <v>0</v>
      </c>
      <c r="AG637" s="43" t="s">
        <v>2353</v>
      </c>
      <c r="AH637" s="66">
        <f t="shared" si="116"/>
        <v>0.91172595520421607</v>
      </c>
      <c r="AI637" s="283">
        <f>RTD("money.excel",,$G637,"PredictVolume")</f>
        <v>173</v>
      </c>
      <c r="AJ637" s="391">
        <f>IFERROR(VLOOKUP($G637,基本資料!$A:$M,13,0),"無")</f>
        <v>189.75</v>
      </c>
      <c r="AR637" s="245" t="str">
        <f>INDEX(基本資料!N:N,MATCH($G637,基本資料!A:A,0))</f>
        <v>低</v>
      </c>
    </row>
    <row r="638" spans="1:44">
      <c r="A638" s="343">
        <f>IFERROR(VLOOKUP($G638,基本資料!$A:$J,3,0),"無")</f>
        <v>7.96</v>
      </c>
      <c r="B638" s="79">
        <f>IFERROR(VLOOKUP($G638,基本資料!$A:$J,4,0),"無")</f>
        <v>579</v>
      </c>
      <c r="C638" s="79">
        <f>IFERROR(VLOOKUP($G638,基本資料!$A:$J,5,0),"無")</f>
        <v>819</v>
      </c>
      <c r="D638" s="79">
        <f>IFERROR(VLOOKUP($G638,基本資料!$A:$J,6,0),"無")</f>
        <v>8</v>
      </c>
      <c r="E638" s="79">
        <f>IFERROR(VLOOKUP($G638,基本資料!$A:$J,7,0),"無")</f>
        <v>5</v>
      </c>
      <c r="F638" s="6">
        <f>IFERROR(VLOOKUP($G638,基本資料!$A:$J,8,0),"無")</f>
        <v>9.9600000000000009</v>
      </c>
      <c r="G638" s="79">
        <v>6233</v>
      </c>
      <c r="H638" s="145" t="s">
        <v>3038</v>
      </c>
      <c r="I638" s="16" t="s">
        <v>375</v>
      </c>
      <c r="J638" s="8">
        <f>IFERROR(VLOOKUP($G638,今日總結!$A:$AN,39,0),"")</f>
        <v>0</v>
      </c>
      <c r="K638" s="5">
        <f>IFERROR(VLOOKUP($G638,今日總結!$A:$AN,40,0),"")</f>
        <v>0</v>
      </c>
      <c r="L638" s="156">
        <f>IFERROR(VLOOKUP($G638,今日總結!$A:$AN,37,0),"")</f>
        <v>0</v>
      </c>
      <c r="M638" s="337">
        <f>IFERROR(VLOOKUP($G638,今日總結!$A:$AN,38,0),"")</f>
        <v>0</v>
      </c>
      <c r="N638" s="240">
        <f t="shared" si="121"/>
        <v>0</v>
      </c>
      <c r="O638" s="359">
        <f>IFERROR(VLOOKUP($G638,融外自投!$A:$J,7,0),"無")</f>
        <v>170</v>
      </c>
      <c r="P638" s="79">
        <f>IFERROR(VLOOKUP($G638,融外自投!$A:$J,9,0),"無")</f>
        <v>204</v>
      </c>
      <c r="Q638" s="342">
        <f>IFERROR(VLOOKUP($G638,融外自投!$A:$J,8,0),"無")</f>
        <v>840</v>
      </c>
      <c r="R638" s="81" t="str">
        <f>IFERROR(VLOOKUP($G638,融外自投!$A:$J,10,0),"無")</f>
        <v>無</v>
      </c>
      <c r="S638" s="324">
        <f>IFERROR(VLOOKUP($G638,'321買'!$A:$E,4,0),"'沒有資料'")</f>
        <v>244</v>
      </c>
      <c r="T638" s="186">
        <f>IFERROR(VLOOKUP($G638,基本資料!$A:$J,9,0),"無")</f>
        <v>0</v>
      </c>
      <c r="U638" s="307">
        <f t="shared" si="117"/>
        <v>0</v>
      </c>
      <c r="V638" s="94">
        <f>IFERROR(VLOOKUP($G638,基本資料!$A:$J,10,0),"無")</f>
        <v>0.75</v>
      </c>
      <c r="W638" s="36">
        <f>RTD("money.excel",,"6233","Price")</f>
        <v>23.3</v>
      </c>
      <c r="X638" s="66"/>
      <c r="Y638" s="15">
        <f t="shared" si="118"/>
        <v>23.3</v>
      </c>
      <c r="Z638" s="3" t="e">
        <f t="shared" si="119"/>
        <v>#DIV/0!</v>
      </c>
      <c r="AA638" s="340">
        <f>IFERROR(VLOOKUP($G638,基本資料!$A:$M,11,0),"無")</f>
        <v>-56.45</v>
      </c>
      <c r="AB638" s="389">
        <f>IFERROR(VLOOKUP($G638,基本資料!$A:$M,12,0),"無")</f>
        <v>20.83</v>
      </c>
      <c r="AC638" s="16" t="s">
        <v>375</v>
      </c>
      <c r="AF638" s="33">
        <f t="shared" si="120"/>
        <v>0</v>
      </c>
      <c r="AG638" s="43" t="s">
        <v>2233</v>
      </c>
      <c r="AH638" s="66">
        <f t="shared" si="116"/>
        <v>0.86390126842646553</v>
      </c>
      <c r="AI638" s="283">
        <f>RTD("money.excel",,$G638,"PredictVolume")</f>
        <v>378</v>
      </c>
      <c r="AJ638" s="391">
        <f>IFERROR(VLOOKUP($G638,基本資料!$A:$M,13,0),"無")</f>
        <v>437.55</v>
      </c>
      <c r="AR638" s="245" t="str">
        <f>INDEX(基本資料!N:N,MATCH($G638,基本資料!A:A,0))</f>
        <v>低</v>
      </c>
    </row>
    <row r="639" spans="1:44">
      <c r="A639" s="343">
        <f>IFERROR(VLOOKUP($G639,基本資料!$A:$J,3,0),"無")</f>
        <v>7.86</v>
      </c>
      <c r="B639" s="79">
        <f>IFERROR(VLOOKUP($G639,基本資料!$A:$J,4,0),"無")</f>
        <v>137</v>
      </c>
      <c r="C639" s="79">
        <f>IFERROR(VLOOKUP($G639,基本資料!$A:$J,5,0),"無")</f>
        <v>257</v>
      </c>
      <c r="D639" s="79">
        <f>IFERROR(VLOOKUP($G639,基本資料!$A:$J,6,0),"無")</f>
        <v>6</v>
      </c>
      <c r="E639" s="79">
        <f>IFERROR(VLOOKUP($G639,基本資料!$A:$J,7,0),"無")</f>
        <v>-42</v>
      </c>
      <c r="F639" s="6">
        <f>IFERROR(VLOOKUP($G639,基本資料!$A:$J,8,0),"無")</f>
        <v>29.06</v>
      </c>
      <c r="G639" s="79">
        <v>6237</v>
      </c>
      <c r="H639" s="145" t="s">
        <v>3038</v>
      </c>
      <c r="I639" s="16" t="s">
        <v>376</v>
      </c>
      <c r="J639" s="8" t="str">
        <f>IFERROR(VLOOKUP($G639,今日總結!$A:$AN,39,0),"")</f>
        <v>主外</v>
      </c>
      <c r="K639" s="5" t="str">
        <f>IFERROR(VLOOKUP($G639,今日總結!$A:$AN,40,0),"")</f>
        <v>融</v>
      </c>
      <c r="L639" s="156">
        <f>IFERROR(VLOOKUP($G639,今日總結!$A:$AN,37,0),"")</f>
        <v>3</v>
      </c>
      <c r="M639" s="337">
        <f>IFERROR(VLOOKUP($G639,今日總結!$A:$AN,38,0),"")</f>
        <v>2</v>
      </c>
      <c r="N639" s="240">
        <f t="shared" si="121"/>
        <v>1</v>
      </c>
      <c r="O639" s="359">
        <f>IFERROR(VLOOKUP($G639,融外自投!$A:$J,7,0),"無")</f>
        <v>102</v>
      </c>
      <c r="P639" s="79">
        <f>IFERROR(VLOOKUP($G639,融外自投!$A:$J,9,0),"無")</f>
        <v>109</v>
      </c>
      <c r="Q639" s="342">
        <f>IFERROR(VLOOKUP($G639,融外自投!$A:$J,8,0),"無")</f>
        <v>999</v>
      </c>
      <c r="R639" s="81" t="str">
        <f>IFERROR(VLOOKUP($G639,融外自投!$A:$J,10,0),"無")</f>
        <v>無</v>
      </c>
      <c r="S639" s="324">
        <f>IFERROR(VLOOKUP($G639,'321買'!$A:$E,4,0),"'沒有資料'")</f>
        <v>39</v>
      </c>
      <c r="T639" s="186">
        <f>IFERROR(VLOOKUP($G639,基本資料!$A:$J,9,0),"無")</f>
        <v>1</v>
      </c>
      <c r="U639" s="307">
        <f t="shared" si="117"/>
        <v>1.8181818181818181E-2</v>
      </c>
      <c r="V639" s="94">
        <f>IFERROR(VLOOKUP($G639,基本資料!$A:$J,10,0),"無")</f>
        <v>5.75</v>
      </c>
      <c r="W639" s="36">
        <f>RTD("money.excel",,"6237","Price")</f>
        <v>55</v>
      </c>
      <c r="X639" s="66"/>
      <c r="Y639" s="15">
        <f t="shared" si="118"/>
        <v>55</v>
      </c>
      <c r="Z639" s="3" t="e">
        <f t="shared" si="119"/>
        <v>#DIV/0!</v>
      </c>
      <c r="AA639" s="340">
        <f>IFERROR(VLOOKUP($G639,基本資料!$A:$M,11,0),"無")</f>
        <v>-65.94</v>
      </c>
      <c r="AB639" s="389">
        <f>IFERROR(VLOOKUP($G639,基本資料!$A:$M,12,0),"無")</f>
        <v>17.28</v>
      </c>
      <c r="AC639" s="16" t="s">
        <v>376</v>
      </c>
      <c r="AF639" s="33">
        <f t="shared" si="120"/>
        <v>0</v>
      </c>
      <c r="AG639" s="43" t="s">
        <v>3061</v>
      </c>
      <c r="AH639" s="66">
        <f t="shared" si="116"/>
        <v>0.56200366524129497</v>
      </c>
      <c r="AI639" s="283">
        <f>RTD("money.excel",,$G639,"PredictVolume")</f>
        <v>644</v>
      </c>
      <c r="AJ639" s="391">
        <f>IFERROR(VLOOKUP($G639,基本資料!$A:$M,13,0),"無")</f>
        <v>1145.9000000000001</v>
      </c>
      <c r="AR639" s="245" t="str">
        <f>INDEX(基本資料!N:N,MATCH($G639,基本資料!A:A,0))</f>
        <v>低</v>
      </c>
    </row>
    <row r="640" spans="1:44">
      <c r="A640" s="343">
        <f>IFERROR(VLOOKUP($G640,基本資料!$A:$J,3,0),"無")</f>
        <v>75.91</v>
      </c>
      <c r="B640" s="79">
        <f>IFERROR(VLOOKUP($G640,基本資料!$A:$J,4,0),"無")</f>
        <v>43</v>
      </c>
      <c r="C640" s="79">
        <f>IFERROR(VLOOKUP($G640,基本資料!$A:$J,5,0),"無")</f>
        <v>35</v>
      </c>
      <c r="D640" s="79">
        <f>IFERROR(VLOOKUP($G640,基本資料!$A:$J,6,0),"無")</f>
        <v>3</v>
      </c>
      <c r="E640" s="79">
        <f>IFERROR(VLOOKUP($G640,基本資料!$A:$J,7,0),"無")</f>
        <v>9</v>
      </c>
      <c r="F640" s="6">
        <f>IFERROR(VLOOKUP($G640,基本資料!$A:$J,8,0),"無")</f>
        <v>17.329999999999998</v>
      </c>
      <c r="G640" s="79">
        <v>6239</v>
      </c>
      <c r="H640" s="8" t="s">
        <v>3038</v>
      </c>
      <c r="I640" s="22" t="s">
        <v>22</v>
      </c>
      <c r="J640" s="8" t="str">
        <f>IFERROR(VLOOKUP($G640,今日總結!$A:$AN,39,0),"")</f>
        <v>同</v>
      </c>
      <c r="K640" s="5">
        <f>IFERROR(VLOOKUP($G640,今日總結!$A:$AN,40,0),"")</f>
        <v>0</v>
      </c>
      <c r="L640" s="156">
        <f>IFERROR(VLOOKUP($G640,今日總結!$A:$AN,37,0),"")</f>
        <v>1</v>
      </c>
      <c r="M640" s="337">
        <f>IFERROR(VLOOKUP($G640,今日總結!$A:$AN,38,0),"")</f>
        <v>0</v>
      </c>
      <c r="N640" s="240">
        <f t="shared" si="121"/>
        <v>1</v>
      </c>
      <c r="O640" s="359">
        <f>IFERROR(VLOOKUP($G640,融外自投!$A:$J,7,0),"無")</f>
        <v>1138</v>
      </c>
      <c r="P640" s="79">
        <f>IFERROR(VLOOKUP($G640,融外自投!$A:$J,9,0),"無")</f>
        <v>82</v>
      </c>
      <c r="Q640" s="342">
        <f>IFERROR(VLOOKUP($G640,融外自投!$A:$J,8,0),"無")</f>
        <v>91</v>
      </c>
      <c r="R640" s="81">
        <f>IFERROR(VLOOKUP($G640,融外自投!$A:$J,10,0),"無")</f>
        <v>101</v>
      </c>
      <c r="S640" s="324">
        <f>IFERROR(VLOOKUP($G640,'321買'!$A:$E,4,0),"'沒有資料'")</f>
        <v>565</v>
      </c>
      <c r="T640" s="186">
        <f>IFERROR(VLOOKUP($G640,基本資料!$A:$J,9,0),"無")</f>
        <v>6.8</v>
      </c>
      <c r="U640" s="307">
        <f t="shared" si="117"/>
        <v>7.2649572649572655E-2</v>
      </c>
      <c r="V640" s="94">
        <f>IFERROR(VLOOKUP($G640,基本資料!$A:$J,10,0),"無")</f>
        <v>11.54</v>
      </c>
      <c r="W640" s="36">
        <f>RTD("money.excel",,"6239","Price")</f>
        <v>93.6</v>
      </c>
      <c r="X640" s="66"/>
      <c r="Y640" s="15">
        <f t="shared" si="118"/>
        <v>93.6</v>
      </c>
      <c r="Z640" s="3" t="e">
        <f t="shared" si="119"/>
        <v>#DIV/0!</v>
      </c>
      <c r="AA640" s="340">
        <f>IFERROR(VLOOKUP($G640,基本資料!$A:$M,11,0),"無")</f>
        <v>-19.309999999999999</v>
      </c>
      <c r="AB640" s="389">
        <f>IFERROR(VLOOKUP($G640,基本資料!$A:$M,12,0),"無")</f>
        <v>30.41</v>
      </c>
      <c r="AC640" s="22" t="s">
        <v>22</v>
      </c>
      <c r="AF640" s="33">
        <f t="shared" si="120"/>
        <v>0</v>
      </c>
      <c r="AG640" s="117" t="s">
        <v>2297</v>
      </c>
      <c r="AH640" s="66">
        <f t="shared" si="116"/>
        <v>0.38218337362841731</v>
      </c>
      <c r="AI640" s="283">
        <f>RTD("money.excel",,$G640,"PredictVolume")</f>
        <v>822</v>
      </c>
      <c r="AJ640" s="391">
        <f>IFERROR(VLOOKUP($G640,基本資料!$A:$M,13,0),"無")</f>
        <v>2150.8000000000002</v>
      </c>
      <c r="AR640" s="245" t="str">
        <f>INDEX(基本資料!N:N,MATCH($G640,基本資料!A:A,0))</f>
        <v>低</v>
      </c>
    </row>
    <row r="641" spans="1:44">
      <c r="A641" s="343">
        <f>IFERROR(VLOOKUP($G641,基本資料!$A:$J,3,0),"無")</f>
        <v>4.53</v>
      </c>
      <c r="B641" s="79">
        <f>IFERROR(VLOOKUP($G641,基本資料!$A:$J,4,0),"無")</f>
        <v>198</v>
      </c>
      <c r="C641" s="79">
        <f>IFERROR(VLOOKUP($G641,基本資料!$A:$J,5,0),"無")</f>
        <v>356</v>
      </c>
      <c r="D641" s="79">
        <f>IFERROR(VLOOKUP($G641,基本資料!$A:$J,6,0),"無")</f>
        <v>-49</v>
      </c>
      <c r="E641" s="79">
        <f>IFERROR(VLOOKUP($G641,基本資料!$A:$J,7,0),"無")</f>
        <v>-48</v>
      </c>
      <c r="F641" s="6">
        <f>IFERROR(VLOOKUP($G641,基本資料!$A:$J,8,0),"無")</f>
        <v>7.92</v>
      </c>
      <c r="G641" s="79">
        <v>6243</v>
      </c>
      <c r="H641" s="8" t="s">
        <v>3038</v>
      </c>
      <c r="I641" s="22" t="s">
        <v>353</v>
      </c>
      <c r="J641" s="8">
        <f>IFERROR(VLOOKUP($G641,今日總結!$A:$AN,39,0),"")</f>
        <v>0</v>
      </c>
      <c r="K641" s="5" t="str">
        <f>IFERROR(VLOOKUP($G641,今日總結!$A:$AN,40,0),"")</f>
        <v>借</v>
      </c>
      <c r="L641" s="156">
        <f>IFERROR(VLOOKUP($G641,今日總結!$A:$AN,37,0),"")</f>
        <v>0</v>
      </c>
      <c r="M641" s="337">
        <f>IFERROR(VLOOKUP($G641,今日總結!$A:$AN,38,0),"")</f>
        <v>3</v>
      </c>
      <c r="N641" s="240">
        <f t="shared" si="121"/>
        <v>-3</v>
      </c>
      <c r="O641" s="359">
        <f>IFERROR(VLOOKUP($G641,融外自投!$A:$J,7,0),"無")</f>
        <v>187</v>
      </c>
      <c r="P641" s="79">
        <f>IFERROR(VLOOKUP($G641,融外自投!$A:$J,9,0),"無")</f>
        <v>240</v>
      </c>
      <c r="Q641" s="342">
        <f>IFERROR(VLOOKUP($G641,融外自投!$A:$J,8,0),"無")</f>
        <v>1226</v>
      </c>
      <c r="R641" s="81">
        <f>IFERROR(VLOOKUP($G641,融外自投!$A:$J,10,0),"無")</f>
        <v>354</v>
      </c>
      <c r="S641" s="324">
        <f>IFERROR(VLOOKUP($G641,'321買'!$A:$E,4,0),"'沒有資料'")</f>
        <v>156</v>
      </c>
      <c r="T641" s="186">
        <f>IFERROR(VLOOKUP($G641,基本資料!$A:$J,9,0),"無")</f>
        <v>1.2</v>
      </c>
      <c r="U641" s="307">
        <f t="shared" si="117"/>
        <v>3.0226700251889164E-2</v>
      </c>
      <c r="V641" s="94">
        <f>IFERROR(VLOOKUP($G641,基本資料!$A:$J,10,0),"無")</f>
        <v>1.6</v>
      </c>
      <c r="W641" s="36">
        <f>RTD("money.excel",,"6243","Price")</f>
        <v>39.700000000000003</v>
      </c>
      <c r="X641" s="66"/>
      <c r="Y641" s="15">
        <f t="shared" si="118"/>
        <v>39.700000000000003</v>
      </c>
      <c r="Z641" s="3" t="e">
        <f t="shared" si="119"/>
        <v>#DIV/0!</v>
      </c>
      <c r="AA641" s="340">
        <f>IFERROR(VLOOKUP($G641,基本資料!$A:$M,11,0),"無")</f>
        <v>-48.24</v>
      </c>
      <c r="AB641" s="389">
        <f>IFERROR(VLOOKUP($G641,基本資料!$A:$M,12,0),"無")</f>
        <v>15.26</v>
      </c>
      <c r="AC641" s="22" t="s">
        <v>353</v>
      </c>
      <c r="AF641" s="33">
        <f t="shared" si="120"/>
        <v>0</v>
      </c>
      <c r="AG641" s="43" t="s">
        <v>2390</v>
      </c>
      <c r="AH641" s="66">
        <f t="shared" si="116"/>
        <v>0.85695451549110091</v>
      </c>
      <c r="AI641" s="283">
        <f>RTD("money.excel",,$G641,"PredictVolume")</f>
        <v>260</v>
      </c>
      <c r="AJ641" s="391">
        <f>IFERROR(VLOOKUP($G641,基本資料!$A:$M,13,0),"無")</f>
        <v>303.39999999999998</v>
      </c>
      <c r="AR641" s="245" t="str">
        <f>INDEX(基本資料!N:N,MATCH($G641,基本資料!A:A,0))</f>
        <v>中</v>
      </c>
    </row>
    <row r="642" spans="1:44">
      <c r="A642" s="343">
        <f>IFERROR(VLOOKUP($G642,基本資料!$A:$J,3,0),"無")</f>
        <v>45.33</v>
      </c>
      <c r="B642" s="79">
        <f>IFERROR(VLOOKUP($G642,基本資料!$A:$J,4,0),"無")</f>
        <v>57</v>
      </c>
      <c r="C642" s="79">
        <f>IFERROR(VLOOKUP($G642,基本資料!$A:$J,5,0),"無")</f>
        <v>47</v>
      </c>
      <c r="D642" s="79">
        <f>IFERROR(VLOOKUP($G642,基本資料!$A:$J,6,0),"無")</f>
        <v>-4</v>
      </c>
      <c r="E642" s="79">
        <f>IFERROR(VLOOKUP($G642,基本資料!$A:$J,7,0),"無")</f>
        <v>21</v>
      </c>
      <c r="F642" s="6">
        <f>IFERROR(VLOOKUP($G642,基本資料!$A:$J,8,0),"無")</f>
        <v>20.62</v>
      </c>
      <c r="G642" s="79">
        <v>6257</v>
      </c>
      <c r="H642" s="8" t="s">
        <v>307</v>
      </c>
      <c r="I642" s="22" t="s">
        <v>4061</v>
      </c>
      <c r="J642" s="8" t="str">
        <f>IFERROR(VLOOKUP($G642,今日總結!$A:$AN,39,0),"")</f>
        <v>外</v>
      </c>
      <c r="K642" s="5">
        <f>IFERROR(VLOOKUP($G642,今日總結!$A:$AN,40,0),"")</f>
        <v>0</v>
      </c>
      <c r="L642" s="156">
        <f>IFERROR(VLOOKUP($G642,今日總結!$A:$AN,37,0),"")</f>
        <v>7</v>
      </c>
      <c r="M642" s="337">
        <f>IFERROR(VLOOKUP($G642,今日總結!$A:$AN,38,0),"")</f>
        <v>0</v>
      </c>
      <c r="N642" s="240">
        <f t="shared" si="121"/>
        <v>7</v>
      </c>
      <c r="O642" s="359">
        <f>IFERROR(VLOOKUP($G642,融外自投!$A:$J,7,0),"無")</f>
        <v>570</v>
      </c>
      <c r="P642" s="79" t="str">
        <f>IFERROR(VLOOKUP($G642,融外自投!$A:$J,9,0),"無")</f>
        <v>無</v>
      </c>
      <c r="Q642" s="342">
        <f>IFERROR(VLOOKUP($G642,融外自投!$A:$J,8,0),"無")</f>
        <v>250</v>
      </c>
      <c r="R642" s="81">
        <f>IFERROR(VLOOKUP($G642,融外自投!$A:$J,10,0),"無")</f>
        <v>271</v>
      </c>
      <c r="S642" s="324">
        <f>IFERROR(VLOOKUP($G642,'321買'!$A:$E,4,0),"'沒有資料'")</f>
        <v>300</v>
      </c>
      <c r="T642" s="186">
        <f>IFERROR(VLOOKUP($G642,基本資料!$A:$J,9,0),"無")</f>
        <v>4.0999999999999996</v>
      </c>
      <c r="U642" s="307">
        <f t="shared" si="117"/>
        <v>6.9965870307167222E-2</v>
      </c>
      <c r="V642" s="94">
        <f>IFERROR(VLOOKUP($G642,基本資料!$A:$J,10,0),"無")</f>
        <v>6.25</v>
      </c>
      <c r="W642" s="36">
        <f>RTD("money.excel",,"6257","Price")</f>
        <v>58.6</v>
      </c>
      <c r="X642" s="66"/>
      <c r="Y642" s="15">
        <f t="shared" si="118"/>
        <v>58.6</v>
      </c>
      <c r="Z642" s="3" t="e">
        <f t="shared" si="119"/>
        <v>#DIV/0!</v>
      </c>
      <c r="AA642" s="340">
        <f>IFERROR(VLOOKUP($G642,基本資料!$A:$M,11,0),"無")</f>
        <v>-19.39</v>
      </c>
      <c r="AB642" s="389">
        <f>IFERROR(VLOOKUP($G642,基本資料!$A:$M,12,0),"無")</f>
        <v>56.68</v>
      </c>
      <c r="AC642" s="22" t="s">
        <v>4061</v>
      </c>
      <c r="AF642" s="33">
        <f t="shared" si="120"/>
        <v>0</v>
      </c>
      <c r="AG642" s="43" t="s">
        <v>2805</v>
      </c>
      <c r="AH642" s="66">
        <f t="shared" si="116"/>
        <v>0.59195291393284444</v>
      </c>
      <c r="AI642" s="283">
        <f>RTD("money.excel",,$G642,"PredictVolume")</f>
        <v>1227</v>
      </c>
      <c r="AJ642" s="391">
        <f>IFERROR(VLOOKUP($G642,基本資料!$A:$M,13,0),"無")</f>
        <v>2072.8000000000002</v>
      </c>
      <c r="AR642" s="245" t="str">
        <f>INDEX(基本資料!N:N,MATCH($G642,基本資料!A:A,0))</f>
        <v>低</v>
      </c>
    </row>
    <row r="643" spans="1:44">
      <c r="A643" s="343">
        <f>IFERROR(VLOOKUP($G643,基本資料!$A:$J,3,0),"無")</f>
        <v>12.84</v>
      </c>
      <c r="B643" s="79">
        <f>IFERROR(VLOOKUP($G643,基本資料!$A:$J,4,0),"無")</f>
        <v>109</v>
      </c>
      <c r="C643" s="79">
        <f>IFERROR(VLOOKUP($G643,基本資料!$A:$J,5,0),"無")</f>
        <v>101</v>
      </c>
      <c r="D643" s="79">
        <f>IFERROR(VLOOKUP($G643,基本資料!$A:$J,6,0),"無")</f>
        <v>-12</v>
      </c>
      <c r="E643" s="79">
        <f>IFERROR(VLOOKUP($G643,基本資料!$A:$J,7,0),"無")</f>
        <v>-14</v>
      </c>
      <c r="F643" s="6">
        <f>IFERROR(VLOOKUP($G643,基本資料!$A:$J,8,0),"無")</f>
        <v>26.69</v>
      </c>
      <c r="G643" s="79">
        <v>6261</v>
      </c>
      <c r="H643" s="145" t="s">
        <v>3038</v>
      </c>
      <c r="I643" s="24" t="s">
        <v>249</v>
      </c>
      <c r="J643" s="8">
        <f>IFERROR(VLOOKUP($G643,今日總結!$A:$AN,39,0),"")</f>
        <v>0</v>
      </c>
      <c r="K643" s="5">
        <f>IFERROR(VLOOKUP($G643,今日總結!$A:$AN,40,0),"")</f>
        <v>0</v>
      </c>
      <c r="L643" s="156">
        <f>IFERROR(VLOOKUP($G643,今日總結!$A:$AN,37,0),"")</f>
        <v>0</v>
      </c>
      <c r="M643" s="337">
        <f>IFERROR(VLOOKUP($G643,今日總結!$A:$AN,38,0),"")</f>
        <v>0</v>
      </c>
      <c r="N643" s="240">
        <f t="shared" si="121"/>
        <v>0</v>
      </c>
      <c r="O643" s="359">
        <f>IFERROR(VLOOKUP($G643,融外自投!$A:$J,7,0),"無")</f>
        <v>612</v>
      </c>
      <c r="P643" s="79">
        <f>IFERROR(VLOOKUP($G643,融外自投!$A:$J,9,0),"無")</f>
        <v>357</v>
      </c>
      <c r="Q643" s="342">
        <f>IFERROR(VLOOKUP($G643,融外自投!$A:$J,8,0),"無")</f>
        <v>901</v>
      </c>
      <c r="R643" s="81" t="str">
        <f>IFERROR(VLOOKUP($G643,融外自投!$A:$J,10,0),"無")</f>
        <v>無</v>
      </c>
      <c r="S643" s="324">
        <f>IFERROR(VLOOKUP($G643,'321買'!$A:$E,4,0),"'沒有資料'")</f>
        <v>411</v>
      </c>
      <c r="T643" s="186">
        <f>IFERROR(VLOOKUP($G643,基本資料!$A:$J,9,0),"無")</f>
        <v>5</v>
      </c>
      <c r="U643" s="307">
        <f t="shared" si="117"/>
        <v>6.7114093959731544E-2</v>
      </c>
      <c r="V643" s="94">
        <f>IFERROR(VLOOKUP($G643,基本資料!$A:$J,10,0),"無")</f>
        <v>8.41</v>
      </c>
      <c r="W643" s="36">
        <f>RTD("money.excel",,"6261","Price")</f>
        <v>74.5</v>
      </c>
      <c r="X643" s="66"/>
      <c r="Y643" s="15">
        <f t="shared" si="118"/>
        <v>74.5</v>
      </c>
      <c r="Z643" s="3" t="e">
        <f t="shared" si="119"/>
        <v>#DIV/0!</v>
      </c>
      <c r="AA643" s="340">
        <f>IFERROR(VLOOKUP($G643,基本資料!$A:$M,11,0),"無")</f>
        <v>-30.05</v>
      </c>
      <c r="AB643" s="389">
        <f>IFERROR(VLOOKUP($G643,基本資料!$A:$M,12,0),"無")</f>
        <v>21.86</v>
      </c>
      <c r="AC643" s="24" t="s">
        <v>249</v>
      </c>
      <c r="AF643" s="33">
        <f t="shared" si="120"/>
        <v>0</v>
      </c>
      <c r="AG643" s="119" t="s">
        <v>1981</v>
      </c>
      <c r="AH643" s="66">
        <f t="shared" si="116"/>
        <v>1.9355967798389919</v>
      </c>
      <c r="AI643" s="283">
        <f>RTD("money.excel",,$G643,"PredictVolume")</f>
        <v>553</v>
      </c>
      <c r="AJ643" s="391">
        <f>IFERROR(VLOOKUP($G643,基本資料!$A:$M,13,0),"無")</f>
        <v>285.7</v>
      </c>
      <c r="AR643" s="245" t="str">
        <f>INDEX(基本資料!N:N,MATCH($G643,基本資料!A:A,0))</f>
        <v>低</v>
      </c>
    </row>
    <row r="644" spans="1:44">
      <c r="A644" s="343">
        <f>IFERROR(VLOOKUP($G644,基本資料!$A:$J,3,0),"無")</f>
        <v>17.86</v>
      </c>
      <c r="B644" s="79">
        <f>IFERROR(VLOOKUP($G644,基本資料!$A:$J,4,0),"無")</f>
        <v>90</v>
      </c>
      <c r="C644" s="79">
        <f>IFERROR(VLOOKUP($G644,基本資料!$A:$J,5,0),"無")</f>
        <v>69</v>
      </c>
      <c r="D644" s="79">
        <f>IFERROR(VLOOKUP($G644,基本資料!$A:$J,6,0),"無")</f>
        <v>-4</v>
      </c>
      <c r="E644" s="79">
        <f>IFERROR(VLOOKUP($G644,基本資料!$A:$J,7,0),"無")</f>
        <v>6</v>
      </c>
      <c r="F644" s="6">
        <f>IFERROR(VLOOKUP($G644,基本資料!$A:$J,8,0),"無")</f>
        <v>24.5</v>
      </c>
      <c r="G644" s="79">
        <v>6271</v>
      </c>
      <c r="H644" s="8" t="s">
        <v>307</v>
      </c>
      <c r="I644" s="22" t="s">
        <v>55</v>
      </c>
      <c r="J644" s="8">
        <f>IFERROR(VLOOKUP($G644,今日總結!$A:$AN,39,0),"")</f>
        <v>6</v>
      </c>
      <c r="K644" s="5">
        <f>IFERROR(VLOOKUP($G644,今日總結!$A:$AN,40,0),"")</f>
        <v>0</v>
      </c>
      <c r="L644" s="156">
        <f>IFERROR(VLOOKUP($G644,今日總結!$A:$AN,37,0),"")</f>
        <v>1</v>
      </c>
      <c r="M644" s="337">
        <f>IFERROR(VLOOKUP($G644,今日總結!$A:$AN,38,0),"")</f>
        <v>0</v>
      </c>
      <c r="N644" s="240">
        <f t="shared" si="121"/>
        <v>1</v>
      </c>
      <c r="O644" s="359">
        <f>IFERROR(VLOOKUP($G644,融外自投!$A:$J,7,0),"無")</f>
        <v>652</v>
      </c>
      <c r="P644" s="79">
        <f>IFERROR(VLOOKUP($G644,融外自投!$A:$J,9,0),"無")</f>
        <v>134</v>
      </c>
      <c r="Q644" s="342">
        <f>IFERROR(VLOOKUP($G644,融外自投!$A:$J,8,0),"無")</f>
        <v>116</v>
      </c>
      <c r="R644" s="81">
        <f>IFERROR(VLOOKUP($G644,融外自投!$A:$J,10,0),"無")</f>
        <v>12</v>
      </c>
      <c r="S644" s="324">
        <f>IFERROR(VLOOKUP($G644,'321買'!$A:$E,4,0),"'沒有資料'")</f>
        <v>42</v>
      </c>
      <c r="T644" s="186">
        <f>IFERROR(VLOOKUP($G644,基本資料!$A:$J,9,0),"無")</f>
        <v>9</v>
      </c>
      <c r="U644" s="307">
        <f t="shared" si="117"/>
        <v>3.5999999999999997E-2</v>
      </c>
      <c r="V644" s="94">
        <f>IFERROR(VLOOKUP($G644,基本資料!$A:$J,10,0),"無")</f>
        <v>15.49</v>
      </c>
      <c r="W644" s="36">
        <f>RTD("money.excel",,"6271","Price")</f>
        <v>250</v>
      </c>
      <c r="X644" s="66"/>
      <c r="Y644" s="15">
        <f t="shared" si="118"/>
        <v>250</v>
      </c>
      <c r="Z644" s="3" t="e">
        <f t="shared" si="119"/>
        <v>#DIV/0!</v>
      </c>
      <c r="AA644" s="340">
        <f>IFERROR(VLOOKUP($G644,基本資料!$A:$M,11,0),"無")</f>
        <v>-22.72</v>
      </c>
      <c r="AB644" s="389">
        <f>IFERROR(VLOOKUP($G644,基本資料!$A:$M,12,0),"無")</f>
        <v>28.67</v>
      </c>
      <c r="AC644" s="22" t="s">
        <v>55</v>
      </c>
      <c r="AF644" s="33">
        <f t="shared" si="120"/>
        <v>0</v>
      </c>
      <c r="AG644" s="117" t="s">
        <v>2295</v>
      </c>
      <c r="AH644" s="66">
        <f t="shared" si="116"/>
        <v>1.6105844955468369</v>
      </c>
      <c r="AI644" s="283">
        <f>RTD("money.excel",,$G644,"PredictVolume")</f>
        <v>2812</v>
      </c>
      <c r="AJ644" s="391">
        <f>IFERROR(VLOOKUP($G644,基本資料!$A:$M,13,0),"無")</f>
        <v>1745.95</v>
      </c>
      <c r="AR644" s="245" t="str">
        <f>INDEX(基本資料!N:N,MATCH($G644,基本資料!A:A,0))</f>
        <v>中</v>
      </c>
    </row>
    <row r="645" spans="1:44">
      <c r="A645" s="343">
        <f>IFERROR(VLOOKUP($G645,基本資料!$A:$J,3,0),"無")</f>
        <v>43.81</v>
      </c>
      <c r="B645" s="79">
        <f>IFERROR(VLOOKUP($G645,基本資料!$A:$J,4,0),"無")</f>
        <v>169</v>
      </c>
      <c r="C645" s="79">
        <f>IFERROR(VLOOKUP($G645,基本資料!$A:$J,5,0),"無")</f>
        <v>199</v>
      </c>
      <c r="D645" s="79">
        <f>IFERROR(VLOOKUP($G645,基本資料!$A:$J,6,0),"無")</f>
        <v>2</v>
      </c>
      <c r="E645" s="79">
        <f>IFERROR(VLOOKUP($G645,基本資料!$A:$J,7,0),"無")</f>
        <v>46</v>
      </c>
      <c r="F645" s="6">
        <f>IFERROR(VLOOKUP($G645,基本資料!$A:$J,8,0),"無")</f>
        <v>7.37</v>
      </c>
      <c r="G645" s="79">
        <v>6287</v>
      </c>
      <c r="H645" s="145" t="s">
        <v>3038</v>
      </c>
      <c r="I645" s="16" t="s">
        <v>377</v>
      </c>
      <c r="J645" s="8" t="str">
        <f>IFERROR(VLOOKUP($G645,今日總結!$A:$AN,39,0),"")</f>
        <v/>
      </c>
      <c r="K645" s="5" t="str">
        <f>IFERROR(VLOOKUP($G645,今日總結!$A:$AN,40,0),"")</f>
        <v/>
      </c>
      <c r="L645" s="156" t="str">
        <f>IFERROR(VLOOKUP($G645,今日總結!$A:$AN,37,0),"")</f>
        <v/>
      </c>
      <c r="M645" s="337" t="str">
        <f>IFERROR(VLOOKUP($G645,今日總結!$A:$AN,38,0),"")</f>
        <v/>
      </c>
      <c r="N645" s="240" t="str">
        <f t="shared" si="121"/>
        <v/>
      </c>
      <c r="O645" s="359" t="str">
        <f>IFERROR(VLOOKUP($G645,融外自投!$A:$J,7,0),"無")</f>
        <v>無</v>
      </c>
      <c r="P645" s="79" t="str">
        <f>IFERROR(VLOOKUP($G645,融外自投!$A:$J,9,0),"無")</f>
        <v>無</v>
      </c>
      <c r="Q645" s="342" t="str">
        <f>IFERROR(VLOOKUP($G645,融外自投!$A:$J,8,0),"無")</f>
        <v>無</v>
      </c>
      <c r="R645" s="81" t="str">
        <f>IFERROR(VLOOKUP($G645,融外自投!$A:$J,10,0),"無")</f>
        <v>無</v>
      </c>
      <c r="S645" s="324" t="str">
        <f>IFERROR(VLOOKUP($G645,'321買'!$A:$E,4,0),"'沒有資料'")</f>
        <v>'沒有資料'</v>
      </c>
      <c r="T645" s="186">
        <f>IFERROR(VLOOKUP($G645,基本資料!$A:$J,9,0),"無")</f>
        <v>0</v>
      </c>
      <c r="U645" s="307">
        <f t="shared" si="117"/>
        <v>0</v>
      </c>
      <c r="V645" s="94">
        <f>IFERROR(VLOOKUP($G645,基本資料!$A:$J,10,0),"無")</f>
        <v>0.24</v>
      </c>
      <c r="W645" s="36">
        <f>RTD("money.excel",,"6287","Price")</f>
        <v>7.68</v>
      </c>
      <c r="X645" s="66"/>
      <c r="Y645" s="15">
        <f t="shared" si="118"/>
        <v>7.68</v>
      </c>
      <c r="Z645" s="3" t="e">
        <f t="shared" si="119"/>
        <v>#DIV/0!</v>
      </c>
      <c r="AA645" s="340">
        <f>IFERROR(VLOOKUP($G645,基本資料!$A:$M,11,0),"無")</f>
        <v>-57.8</v>
      </c>
      <c r="AB645" s="389">
        <f>IFERROR(VLOOKUP($G645,基本資料!$A:$M,12,0),"無")</f>
        <v>18.64</v>
      </c>
      <c r="AC645" s="16" t="s">
        <v>377</v>
      </c>
      <c r="AF645" s="33">
        <f t="shared" si="120"/>
        <v>0</v>
      </c>
      <c r="AG645" s="43" t="s">
        <v>1796</v>
      </c>
      <c r="AH645" s="66">
        <f t="shared" ref="AH645:AH708" si="122">AI645/AJ645</f>
        <v>0.80586080586080577</v>
      </c>
      <c r="AI645" s="283">
        <f>RTD("money.excel",,$G645,"PredictVolume")</f>
        <v>33</v>
      </c>
      <c r="AJ645" s="391">
        <f>IFERROR(VLOOKUP($G645,基本資料!$A:$M,13,0),"無")</f>
        <v>40.950000000000003</v>
      </c>
      <c r="AR645" s="245" t="str">
        <f>INDEX(基本資料!N:N,MATCH($G645,基本資料!A:A,0))</f>
        <v>低</v>
      </c>
    </row>
    <row r="646" spans="1:44">
      <c r="A646" s="343">
        <f>IFERROR(VLOOKUP($G646,基本資料!$A:$J,3,0),"無")</f>
        <v>6.3</v>
      </c>
      <c r="B646" s="79">
        <f>IFERROR(VLOOKUP($G646,基本資料!$A:$J,4,0),"無")</f>
        <v>104</v>
      </c>
      <c r="C646" s="79">
        <f>IFERROR(VLOOKUP($G646,基本資料!$A:$J,5,0),"無")</f>
        <v>168</v>
      </c>
      <c r="D646" s="79">
        <f>IFERROR(VLOOKUP($G646,基本資料!$A:$J,6,0),"無")</f>
        <v>-12</v>
      </c>
      <c r="E646" s="79">
        <f>IFERROR(VLOOKUP($G646,基本資料!$A:$J,7,0),"無")</f>
        <v>681</v>
      </c>
      <c r="F646" s="6">
        <f>IFERROR(VLOOKUP($G646,基本資料!$A:$J,8,0),"無")</f>
        <v>6.87</v>
      </c>
      <c r="G646" s="79">
        <v>6291</v>
      </c>
      <c r="H646" s="145" t="s">
        <v>3038</v>
      </c>
      <c r="I646" s="16" t="s">
        <v>378</v>
      </c>
      <c r="J646" s="8" t="str">
        <f>IFERROR(VLOOKUP($G646,今日總結!$A:$AN,39,0),"")</f>
        <v/>
      </c>
      <c r="K646" s="5" t="str">
        <f>IFERROR(VLOOKUP($G646,今日總結!$A:$AN,40,0),"")</f>
        <v/>
      </c>
      <c r="L646" s="156" t="str">
        <f>IFERROR(VLOOKUP($G646,今日總結!$A:$AN,37,0),"")</f>
        <v/>
      </c>
      <c r="M646" s="337" t="str">
        <f>IFERROR(VLOOKUP($G646,今日總結!$A:$AN,38,0),"")</f>
        <v/>
      </c>
      <c r="N646" s="240" t="str">
        <f t="shared" si="121"/>
        <v/>
      </c>
      <c r="O646" s="359" t="str">
        <f>IFERROR(VLOOKUP($G646,融外自投!$A:$J,7,0),"無")</f>
        <v>無</v>
      </c>
      <c r="P646" s="79" t="str">
        <f>IFERROR(VLOOKUP($G646,融外自投!$A:$J,9,0),"無")</f>
        <v>無</v>
      </c>
      <c r="Q646" s="342" t="str">
        <f>IFERROR(VLOOKUP($G646,融外自投!$A:$J,8,0),"無")</f>
        <v>無</v>
      </c>
      <c r="R646" s="81" t="str">
        <f>IFERROR(VLOOKUP($G646,融外自投!$A:$J,10,0),"無")</f>
        <v>無</v>
      </c>
      <c r="S646" s="324" t="str">
        <f>IFERROR(VLOOKUP($G646,'321買'!$A:$E,4,0),"'沒有資料'")</f>
        <v>'沒有資料'</v>
      </c>
      <c r="T646" s="186">
        <f>IFERROR(VLOOKUP($G646,基本資料!$A:$J,9,0),"無")</f>
        <v>0</v>
      </c>
      <c r="U646" s="307">
        <f t="shared" si="117"/>
        <v>0</v>
      </c>
      <c r="V646" s="94">
        <f>IFERROR(VLOOKUP($G646,基本資料!$A:$J,10,0),"無")</f>
        <v>1.19</v>
      </c>
      <c r="W646" s="36">
        <f>RTD("money.excel",,"6291","Price")</f>
        <v>65.2</v>
      </c>
      <c r="X646" s="66"/>
      <c r="Y646" s="15">
        <f t="shared" si="118"/>
        <v>65.2</v>
      </c>
      <c r="Z646" s="3" t="e">
        <f t="shared" si="119"/>
        <v>#DIV/0!</v>
      </c>
      <c r="AA646" s="340">
        <f>IFERROR(VLOOKUP($G646,基本資料!$A:$M,11,0),"無")</f>
        <v>-17.47</v>
      </c>
      <c r="AB646" s="389">
        <f>IFERROR(VLOOKUP($G646,基本資料!$A:$M,12,0),"無")</f>
        <v>73.180000000000007</v>
      </c>
      <c r="AC646" s="16" t="s">
        <v>378</v>
      </c>
      <c r="AF646" s="33">
        <f t="shared" si="120"/>
        <v>0</v>
      </c>
      <c r="AG646" s="43" t="s">
        <v>1437</v>
      </c>
      <c r="AH646" s="66">
        <f t="shared" si="122"/>
        <v>0.42105263157894735</v>
      </c>
      <c r="AI646" s="283">
        <f>RTD("money.excel",,$G646,"PredictVolume")</f>
        <v>24</v>
      </c>
      <c r="AJ646" s="391">
        <f>IFERROR(VLOOKUP($G646,基本資料!$A:$M,13,0),"無")</f>
        <v>57</v>
      </c>
      <c r="AR646" s="245" t="str">
        <f>INDEX(基本資料!N:N,MATCH($G646,基本資料!A:A,0))</f>
        <v>高</v>
      </c>
    </row>
    <row r="647" spans="1:44">
      <c r="A647" s="343">
        <f>IFERROR(VLOOKUP($G647,基本資料!$A:$J,3,0),"無")</f>
        <v>9.2200000000000006</v>
      </c>
      <c r="B647" s="79">
        <f>IFERROR(VLOOKUP($G647,基本資料!$A:$J,4,0),"無")</f>
        <v>81</v>
      </c>
      <c r="C647" s="79">
        <f>IFERROR(VLOOKUP($G647,基本資料!$A:$J,5,0),"無")</f>
        <v>87</v>
      </c>
      <c r="D647" s="79">
        <f>IFERROR(VLOOKUP($G647,基本資料!$A:$J,6,0),"無")</f>
        <v>27</v>
      </c>
      <c r="E647" s="79">
        <f>IFERROR(VLOOKUP($G647,基本資料!$A:$J,7,0),"無")</f>
        <v>25</v>
      </c>
      <c r="F647" s="6">
        <f>IFERROR(VLOOKUP($G647,基本資料!$A:$J,8,0),"無")</f>
        <v>27.55</v>
      </c>
      <c r="G647" s="79">
        <v>6411</v>
      </c>
      <c r="H647" s="145" t="s">
        <v>307</v>
      </c>
      <c r="I647" s="16" t="s">
        <v>251</v>
      </c>
      <c r="J647" s="8">
        <f>IFERROR(VLOOKUP($G647,今日總結!$A:$AN,39,0),"")</f>
        <v>0</v>
      </c>
      <c r="K647" s="5" t="str">
        <f>IFERROR(VLOOKUP($G647,今日總結!$A:$AN,40,0),"")</f>
        <v>融</v>
      </c>
      <c r="L647" s="156">
        <f>IFERROR(VLOOKUP($G647,今日總結!$A:$AN,37,0),"")</f>
        <v>0</v>
      </c>
      <c r="M647" s="337">
        <f>IFERROR(VLOOKUP($G647,今日總結!$A:$AN,38,0),"")</f>
        <v>1</v>
      </c>
      <c r="N647" s="240">
        <f t="shared" si="121"/>
        <v>-1</v>
      </c>
      <c r="O647" s="359">
        <f>IFERROR(VLOOKUP($G647,融外自投!$A:$J,7,0),"無")</f>
        <v>82</v>
      </c>
      <c r="P647" s="79">
        <f>IFERROR(VLOOKUP($G647,融外自投!$A:$J,9,0),"無")</f>
        <v>525</v>
      </c>
      <c r="Q647" s="342">
        <f>IFERROR(VLOOKUP($G647,融外自投!$A:$J,8,0),"無")</f>
        <v>363</v>
      </c>
      <c r="R647" s="81">
        <f>IFERROR(VLOOKUP($G647,融外自投!$A:$J,10,0),"無")</f>
        <v>341</v>
      </c>
      <c r="S647" s="324">
        <f>IFERROR(VLOOKUP($G647,'321買'!$A:$E,4,0),"'沒有資料'")</f>
        <v>5</v>
      </c>
      <c r="T647" s="186">
        <f>IFERROR(VLOOKUP($G647,基本資料!$A:$J,9,0),"無")</f>
        <v>7.22</v>
      </c>
      <c r="U647" s="307">
        <f t="shared" si="117"/>
        <v>5.0489510489510489E-2</v>
      </c>
      <c r="V647" s="94">
        <f>IFERROR(VLOOKUP($G647,基本資料!$A:$J,10,0),"無")</f>
        <v>10.32</v>
      </c>
      <c r="W647" s="36">
        <f>RTD("money.excel",,"6411","Price")</f>
        <v>143</v>
      </c>
      <c r="X647" s="66"/>
      <c r="Y647" s="15">
        <f t="shared" si="118"/>
        <v>143</v>
      </c>
      <c r="Z647" s="3" t="e">
        <f t="shared" si="119"/>
        <v>#DIV/0!</v>
      </c>
      <c r="AA647" s="340">
        <f>IFERROR(VLOOKUP($G647,基本資料!$A:$M,11,0),"無")</f>
        <v>-52.65</v>
      </c>
      <c r="AB647" s="389">
        <f>IFERROR(VLOOKUP($G647,基本資料!$A:$M,12,0),"無")</f>
        <v>23.35</v>
      </c>
      <c r="AC647" s="16" t="s">
        <v>251</v>
      </c>
      <c r="AF647" s="33">
        <f t="shared" si="120"/>
        <v>0</v>
      </c>
      <c r="AG647" s="43" t="s">
        <v>2147</v>
      </c>
      <c r="AH647" s="66">
        <f t="shared" si="122"/>
        <v>1.1634621108399308</v>
      </c>
      <c r="AI647" s="283">
        <f>RTD("money.excel",,$G647,"PredictVolume")</f>
        <v>3909</v>
      </c>
      <c r="AJ647" s="391">
        <f>IFERROR(VLOOKUP($G647,基本資料!$A:$M,13,0),"無")</f>
        <v>3359.8</v>
      </c>
      <c r="AR647" s="245" t="str">
        <f>INDEX(基本資料!N:N,MATCH($G647,基本資料!A:A,0))</f>
        <v>低</v>
      </c>
    </row>
    <row r="648" spans="1:44">
      <c r="A648" s="343">
        <f>IFERROR(VLOOKUP($G648,基本資料!$A:$J,3,0),"無")</f>
        <v>9.4700000000000006</v>
      </c>
      <c r="B648" s="79">
        <f>IFERROR(VLOOKUP($G648,基本資料!$A:$J,4,0),"無")</f>
        <v>78</v>
      </c>
      <c r="C648" s="79">
        <f>IFERROR(VLOOKUP($G648,基本資料!$A:$J,5,0),"無")</f>
        <v>113</v>
      </c>
      <c r="D648" s="79">
        <f>IFERROR(VLOOKUP($G648,基本資料!$A:$J,6,0),"無")</f>
        <v>6</v>
      </c>
      <c r="E648" s="79">
        <f>IFERROR(VLOOKUP($G648,基本資料!$A:$J,7,0),"無")</f>
        <v>33</v>
      </c>
      <c r="F648" s="6">
        <f>IFERROR(VLOOKUP($G648,基本資料!$A:$J,8,0),"無")</f>
        <v>30.86</v>
      </c>
      <c r="G648" s="79">
        <v>6415</v>
      </c>
      <c r="H648" s="8" t="s">
        <v>3038</v>
      </c>
      <c r="I648" s="22" t="s">
        <v>256</v>
      </c>
      <c r="J648" s="8">
        <f>IFERROR(VLOOKUP($G648,今日總結!$A:$AN,39,0),"")</f>
        <v>0</v>
      </c>
      <c r="K648" s="5">
        <f>IFERROR(VLOOKUP($G648,今日總結!$A:$AN,40,0),"")</f>
        <v>0</v>
      </c>
      <c r="L648" s="156">
        <f>IFERROR(VLOOKUP($G648,今日總結!$A:$AN,37,0),"")</f>
        <v>0</v>
      </c>
      <c r="M648" s="337">
        <f>IFERROR(VLOOKUP($G648,今日總結!$A:$AN,38,0),"")</f>
        <v>0</v>
      </c>
      <c r="N648" s="240">
        <f t="shared" si="121"/>
        <v>0</v>
      </c>
      <c r="O648" s="359">
        <f>IFERROR(VLOOKUP($G648,融外自投!$A:$J,7,0),"無")</f>
        <v>1167</v>
      </c>
      <c r="P648" s="79">
        <f>IFERROR(VLOOKUP($G648,融外自投!$A:$J,9,0),"無")</f>
        <v>671</v>
      </c>
      <c r="Q648" s="342">
        <f>IFERROR(VLOOKUP($G648,融外自投!$A:$J,8,0),"無")</f>
        <v>1</v>
      </c>
      <c r="R648" s="81">
        <f>IFERROR(VLOOKUP($G648,融外自投!$A:$J,10,0),"無")</f>
        <v>111</v>
      </c>
      <c r="S648" s="324">
        <f>IFERROR(VLOOKUP($G648,'321買'!$A:$E,4,0),"'沒有資料'")</f>
        <v>366</v>
      </c>
      <c r="T648" s="186">
        <f>IFERROR(VLOOKUP($G648,基本資料!$A:$J,9,0),"無")</f>
        <v>17.98</v>
      </c>
      <c r="U648" s="307">
        <f t="shared" si="117"/>
        <v>6.6102941176470588E-3</v>
      </c>
      <c r="V648" s="94">
        <f>IFERROR(VLOOKUP($G648,基本資料!$A:$J,10,0),"無")</f>
        <v>61.51</v>
      </c>
      <c r="W648" s="366">
        <f>RTD("money.excel",,"6415","Price")</f>
        <v>2720</v>
      </c>
      <c r="X648" s="66"/>
      <c r="Y648" s="137">
        <f t="shared" si="118"/>
        <v>2720</v>
      </c>
      <c r="Z648" s="3" t="e">
        <f t="shared" si="119"/>
        <v>#DIV/0!</v>
      </c>
      <c r="AA648" s="340">
        <f>IFERROR(VLOOKUP($G648,基本資料!$A:$M,11,0),"無")</f>
        <v>-50.46</v>
      </c>
      <c r="AB648" s="389">
        <f>IFERROR(VLOOKUP($G648,基本資料!$A:$M,12,0),"無")</f>
        <v>19.920000000000002</v>
      </c>
      <c r="AC648" s="22" t="s">
        <v>256</v>
      </c>
      <c r="AF648" s="33">
        <f t="shared" si="120"/>
        <v>0</v>
      </c>
      <c r="AG648" s="117" t="s">
        <v>1437</v>
      </c>
      <c r="AH648" s="66">
        <f t="shared" si="122"/>
        <v>0.54214031075536417</v>
      </c>
      <c r="AI648" s="283">
        <f>RTD("money.excel",,$G648,"PredictVolume")</f>
        <v>403</v>
      </c>
      <c r="AJ648" s="391">
        <f>IFERROR(VLOOKUP($G648,基本資料!$A:$M,13,0),"無")</f>
        <v>743.35</v>
      </c>
      <c r="AR648" s="245" t="str">
        <f>INDEX(基本資料!N:N,MATCH($G648,基本資料!A:A,0))</f>
        <v>低</v>
      </c>
    </row>
    <row r="649" spans="1:44">
      <c r="A649" s="343">
        <f>IFERROR(VLOOKUP($G649,基本資料!$A:$J,3,0),"無")</f>
        <v>3.34</v>
      </c>
      <c r="B649" s="79">
        <f>IFERROR(VLOOKUP($G649,基本資料!$A:$J,4,0),"無")</f>
        <v>87</v>
      </c>
      <c r="C649" s="79">
        <f>IFERROR(VLOOKUP($G649,基本資料!$A:$J,5,0),"無")</f>
        <v>100</v>
      </c>
      <c r="D649" s="79">
        <f>IFERROR(VLOOKUP($G649,基本資料!$A:$J,6,0),"無")</f>
        <v>-4</v>
      </c>
      <c r="E649" s="79">
        <f>IFERROR(VLOOKUP($G649,基本資料!$A:$J,7,0),"無")</f>
        <v>30</v>
      </c>
      <c r="F649" s="6">
        <f>IFERROR(VLOOKUP($G649,基本資料!$A:$J,8,0),"無")</f>
        <v>15.93</v>
      </c>
      <c r="G649" s="79">
        <v>6435</v>
      </c>
      <c r="H649" s="8" t="s">
        <v>3038</v>
      </c>
      <c r="I649" s="16" t="s">
        <v>4062</v>
      </c>
      <c r="J649" s="8">
        <f>IFERROR(VLOOKUP($G649,今日總結!$A:$AN,39,0),"")</f>
        <v>0</v>
      </c>
      <c r="K649" s="5">
        <f>IFERROR(VLOOKUP($G649,今日總結!$A:$AN,40,0),"")</f>
        <v>0</v>
      </c>
      <c r="L649" s="156">
        <f>IFERROR(VLOOKUP($G649,今日總結!$A:$AN,37,0),"")</f>
        <v>0</v>
      </c>
      <c r="M649" s="337">
        <f>IFERROR(VLOOKUP($G649,今日總結!$A:$AN,38,0),"")</f>
        <v>0</v>
      </c>
      <c r="N649" s="240">
        <f t="shared" si="121"/>
        <v>0</v>
      </c>
      <c r="O649" s="359">
        <f>IFERROR(VLOOKUP($G649,融外自投!$A:$J,7,0),"無")</f>
        <v>128</v>
      </c>
      <c r="P649" s="79">
        <f>IFERROR(VLOOKUP($G649,融外自投!$A:$J,9,0),"無")</f>
        <v>100</v>
      </c>
      <c r="Q649" s="342">
        <f>IFERROR(VLOOKUP($G649,融外自投!$A:$J,8,0),"無")</f>
        <v>868</v>
      </c>
      <c r="R649" s="81" t="str">
        <f>IFERROR(VLOOKUP($G649,融外自投!$A:$J,10,0),"無")</f>
        <v>無</v>
      </c>
      <c r="S649" s="324">
        <f>IFERROR(VLOOKUP($G649,'321買'!$A:$E,4,0),"'沒有資料'")</f>
        <v>164</v>
      </c>
      <c r="T649" s="186">
        <f>IFERROR(VLOOKUP($G649,基本資料!$A:$J,9,0),"無")</f>
        <v>7.2</v>
      </c>
      <c r="U649" s="307">
        <f t="shared" si="117"/>
        <v>4.9146757679180891E-2</v>
      </c>
      <c r="V649" s="94">
        <f>IFERROR(VLOOKUP($G649,基本資料!$A:$J,10,0),"無")</f>
        <v>13.09</v>
      </c>
      <c r="W649" s="36">
        <f>RTD("money.excel",,"6435","Price")</f>
        <v>146.5</v>
      </c>
      <c r="X649" s="66"/>
      <c r="Y649" s="15">
        <f t="shared" si="118"/>
        <v>146.5</v>
      </c>
      <c r="Z649" s="3" t="e">
        <f t="shared" si="119"/>
        <v>#DIV/0!</v>
      </c>
      <c r="AA649" s="340">
        <f>IFERROR(VLOOKUP($G649,基本資料!$A:$M,11,0),"無")</f>
        <v>-14.33</v>
      </c>
      <c r="AB649" s="389">
        <f>IFERROR(VLOOKUP($G649,基本資料!$A:$M,12,0),"無")</f>
        <v>47.93</v>
      </c>
      <c r="AC649" s="16" t="s">
        <v>4062</v>
      </c>
      <c r="AF649" s="33">
        <f t="shared" si="120"/>
        <v>0</v>
      </c>
      <c r="AG649" s="43" t="s">
        <v>2174</v>
      </c>
      <c r="AH649" s="66">
        <f t="shared" si="122"/>
        <v>1.0275761973875182</v>
      </c>
      <c r="AI649" s="283">
        <f>RTD("money.excel",,$G649,"PredictVolume")</f>
        <v>531</v>
      </c>
      <c r="AJ649" s="391">
        <f>IFERROR(VLOOKUP($G649,基本資料!$A:$M,13,0),"無")</f>
        <v>516.75</v>
      </c>
      <c r="AR649" s="245" t="str">
        <f>INDEX(基本資料!N:N,MATCH($G649,基本資料!A:A,0))</f>
        <v>中</v>
      </c>
    </row>
    <row r="650" spans="1:44">
      <c r="A650" s="343">
        <f>IFERROR(VLOOKUP($G650,基本資料!$A:$J,3,0),"無")</f>
        <v>10.74</v>
      </c>
      <c r="B650" s="79">
        <f>IFERROR(VLOOKUP($G650,基本資料!$A:$J,4,0),"無")</f>
        <v>-47</v>
      </c>
      <c r="C650" s="79">
        <f>IFERROR(VLOOKUP($G650,基本資料!$A:$J,5,0),"無")</f>
        <v>-93</v>
      </c>
      <c r="D650" s="79">
        <f>IFERROR(VLOOKUP($G650,基本資料!$A:$J,6,0),"無")</f>
        <v>21</v>
      </c>
      <c r="E650" s="79">
        <f>IFERROR(VLOOKUP($G650,基本資料!$A:$J,7,0),"無")</f>
        <v>-10</v>
      </c>
      <c r="F650" s="6">
        <f>IFERROR(VLOOKUP($G650,基本資料!$A:$J,8,0),"無")</f>
        <v>1.38</v>
      </c>
      <c r="G650" s="79">
        <v>6451</v>
      </c>
      <c r="H650" s="8" t="s">
        <v>3038</v>
      </c>
      <c r="I650" s="22" t="s">
        <v>226</v>
      </c>
      <c r="J650" s="8">
        <f>IFERROR(VLOOKUP($G650,今日總結!$A:$AN,39,0),"")</f>
        <v>0</v>
      </c>
      <c r="K650" s="5">
        <f>IFERROR(VLOOKUP($G650,今日總結!$A:$AN,40,0),"")</f>
        <v>0</v>
      </c>
      <c r="L650" s="156">
        <f>IFERROR(VLOOKUP($G650,今日總結!$A:$AN,37,0),"")</f>
        <v>0</v>
      </c>
      <c r="M650" s="337">
        <f>IFERROR(VLOOKUP($G650,今日總結!$A:$AN,38,0),"")</f>
        <v>0</v>
      </c>
      <c r="N650" s="240">
        <f t="shared" si="121"/>
        <v>0</v>
      </c>
      <c r="O650" s="359">
        <f>IFERROR(VLOOKUP($G650,融外自投!$A:$J,7,0),"無")</f>
        <v>434</v>
      </c>
      <c r="P650" s="79">
        <f>IFERROR(VLOOKUP($G650,融外自投!$A:$J,9,0),"無")</f>
        <v>110</v>
      </c>
      <c r="Q650" s="342">
        <f>IFERROR(VLOOKUP($G650,融外自投!$A:$J,8,0),"無")</f>
        <v>44</v>
      </c>
      <c r="R650" s="81">
        <f>IFERROR(VLOOKUP($G650,融外自投!$A:$J,10,0),"無")</f>
        <v>389</v>
      </c>
      <c r="S650" s="324">
        <f>IFERROR(VLOOKUP($G650,'321買'!$A:$E,4,0),"'沒有資料'")</f>
        <v>801</v>
      </c>
      <c r="T650" s="186">
        <f>IFERROR(VLOOKUP($G650,基本資料!$A:$J,9,0),"無")</f>
        <v>2.56</v>
      </c>
      <c r="U650" s="307">
        <f t="shared" si="117"/>
        <v>3.6467236467236465E-2</v>
      </c>
      <c r="V650" s="94">
        <f>IFERROR(VLOOKUP($G650,基本資料!$A:$J,10,0),"無")</f>
        <v>3.77</v>
      </c>
      <c r="W650" s="36">
        <f>RTD("money.excel",,"6451","Price")</f>
        <v>70.2</v>
      </c>
      <c r="X650" s="66"/>
      <c r="Y650" s="15">
        <f t="shared" si="118"/>
        <v>70.2</v>
      </c>
      <c r="Z650" s="3" t="e">
        <f t="shared" si="119"/>
        <v>#DIV/0!</v>
      </c>
      <c r="AA650" s="340">
        <f>IFERROR(VLOOKUP($G650,基本資料!$A:$M,11,0),"無")</f>
        <v>-43.39</v>
      </c>
      <c r="AB650" s="389">
        <f>IFERROR(VLOOKUP($G650,基本資料!$A:$M,12,0),"無")</f>
        <v>23.25</v>
      </c>
      <c r="AC650" s="22" t="s">
        <v>226</v>
      </c>
      <c r="AF650" s="33">
        <f t="shared" si="120"/>
        <v>0</v>
      </c>
      <c r="AG650" s="117" t="s">
        <v>2296</v>
      </c>
      <c r="AH650" s="66">
        <f t="shared" si="122"/>
        <v>0.4461942257217848</v>
      </c>
      <c r="AI650" s="283">
        <f>RTD("money.excel",,$G650,"PredictVolume")</f>
        <v>85</v>
      </c>
      <c r="AJ650" s="391">
        <f>IFERROR(VLOOKUP($G650,基本資料!$A:$M,13,0),"無")</f>
        <v>190.5</v>
      </c>
      <c r="AR650" s="245" t="str">
        <f>INDEX(基本資料!N:N,MATCH($G650,基本資料!A:A,0))</f>
        <v>低</v>
      </c>
    </row>
    <row r="651" spans="1:44">
      <c r="A651" s="343">
        <f>IFERROR(VLOOKUP($G651,基本資料!$A:$J,3,0),"無")</f>
        <v>3.18</v>
      </c>
      <c r="B651" s="79">
        <f>IFERROR(VLOOKUP($G651,基本資料!$A:$J,4,0),"無")</f>
        <v>84</v>
      </c>
      <c r="C651" s="79">
        <f>IFERROR(VLOOKUP($G651,基本資料!$A:$J,5,0),"無")</f>
        <v>65</v>
      </c>
      <c r="D651" s="79">
        <f>IFERROR(VLOOKUP($G651,基本資料!$A:$J,6,0),"無")</f>
        <v>9</v>
      </c>
      <c r="E651" s="79">
        <f>IFERROR(VLOOKUP($G651,基本資料!$A:$J,7,0),"無")</f>
        <v>-23</v>
      </c>
      <c r="F651" s="6">
        <f>IFERROR(VLOOKUP($G651,基本資料!$A:$J,8,0),"無")</f>
        <v>30.78</v>
      </c>
      <c r="G651" s="79">
        <v>6457</v>
      </c>
      <c r="H651" s="145" t="s">
        <v>3038</v>
      </c>
      <c r="I651" s="16" t="s">
        <v>379</v>
      </c>
      <c r="J651" s="8">
        <f>IFERROR(VLOOKUP($G651,今日總結!$A:$AN,39,0),"")</f>
        <v>0</v>
      </c>
      <c r="K651" s="5" t="str">
        <f>IFERROR(VLOOKUP($G651,今日總結!$A:$AN,40,0),"")</f>
        <v>融</v>
      </c>
      <c r="L651" s="156">
        <f>IFERROR(VLOOKUP($G651,今日總結!$A:$AN,37,0),"")</f>
        <v>0</v>
      </c>
      <c r="M651" s="337">
        <f>IFERROR(VLOOKUP($G651,今日總結!$A:$AN,38,0),"")</f>
        <v>1</v>
      </c>
      <c r="N651" s="240">
        <f t="shared" si="121"/>
        <v>-1</v>
      </c>
      <c r="O651" s="359">
        <f>IFERROR(VLOOKUP($G651,融外自投!$A:$J,7,0),"無")</f>
        <v>709</v>
      </c>
      <c r="P651" s="79">
        <f>IFERROR(VLOOKUP($G651,融外自投!$A:$J,9,0),"無")</f>
        <v>762</v>
      </c>
      <c r="Q651" s="342">
        <f>IFERROR(VLOOKUP($G651,融外自投!$A:$J,8,0),"無")</f>
        <v>799</v>
      </c>
      <c r="R651" s="81" t="str">
        <f>IFERROR(VLOOKUP($G651,融外自投!$A:$J,10,0),"無")</f>
        <v>無</v>
      </c>
      <c r="S651" s="324">
        <f>IFERROR(VLOOKUP($G651,'321買'!$A:$E,4,0),"'沒有資料'")</f>
        <v>59</v>
      </c>
      <c r="T651" s="186">
        <f>IFERROR(VLOOKUP($G651,基本資料!$A:$J,9,0),"無")</f>
        <v>10.89</v>
      </c>
      <c r="U651" s="307">
        <f t="shared" si="117"/>
        <v>0.10471153846153847</v>
      </c>
      <c r="V651" s="94">
        <f>IFERROR(VLOOKUP($G651,基本資料!$A:$J,10,0),"無")</f>
        <v>12.71</v>
      </c>
      <c r="W651" s="36">
        <f>RTD("money.excel",,"6457","Price")</f>
        <v>104</v>
      </c>
      <c r="X651" s="66"/>
      <c r="Y651" s="15">
        <f t="shared" si="118"/>
        <v>104</v>
      </c>
      <c r="Z651" s="3" t="e">
        <f t="shared" si="119"/>
        <v>#DIV/0!</v>
      </c>
      <c r="AA651" s="340">
        <f>IFERROR(VLOOKUP($G651,基本資料!$A:$M,11,0),"無")</f>
        <v>-56.58</v>
      </c>
      <c r="AB651" s="389">
        <f>IFERROR(VLOOKUP($G651,基本資料!$A:$M,12,0),"無")</f>
        <v>10.76</v>
      </c>
      <c r="AC651" s="16" t="s">
        <v>379</v>
      </c>
      <c r="AF651" s="33">
        <f t="shared" si="120"/>
        <v>0</v>
      </c>
      <c r="AG651" s="43" t="s">
        <v>2363</v>
      </c>
      <c r="AH651" s="66">
        <f t="shared" si="122"/>
        <v>0.52094774831319635</v>
      </c>
      <c r="AI651" s="283">
        <f>RTD("money.excel",,$G651,"PredictVolume")</f>
        <v>166</v>
      </c>
      <c r="AJ651" s="391">
        <f>IFERROR(VLOOKUP($G651,基本資料!$A:$M,13,0),"無")</f>
        <v>318.64999999999998</v>
      </c>
      <c r="AR651" s="245" t="str">
        <f>INDEX(基本資料!N:N,MATCH($G651,基本資料!A:A,0))</f>
        <v>低</v>
      </c>
    </row>
    <row r="652" spans="1:44">
      <c r="A652" s="343">
        <f>IFERROR(VLOOKUP($G652,基本資料!$A:$J,3,0),"無")</f>
        <v>6.92</v>
      </c>
      <c r="B652" s="79">
        <f>IFERROR(VLOOKUP($G652,基本資料!$A:$J,4,0),"無")</f>
        <v>-136</v>
      </c>
      <c r="C652" s="79">
        <f>IFERROR(VLOOKUP($G652,基本資料!$A:$J,5,0),"無")</f>
        <v>-135</v>
      </c>
      <c r="D652" s="79">
        <f>IFERROR(VLOOKUP($G652,基本資料!$A:$J,6,0),"無")</f>
        <v>-12</v>
      </c>
      <c r="E652" s="79">
        <f>IFERROR(VLOOKUP($G652,基本資料!$A:$J,7,0),"無")</f>
        <v>4</v>
      </c>
      <c r="F652" s="6">
        <f>IFERROR(VLOOKUP($G652,基本資料!$A:$J,8,0),"無")</f>
        <v>-8.73</v>
      </c>
      <c r="G652" s="79">
        <v>6462</v>
      </c>
      <c r="H652" s="145" t="s">
        <v>307</v>
      </c>
      <c r="I652" s="16" t="s">
        <v>220</v>
      </c>
      <c r="J652" s="8">
        <f>IFERROR(VLOOKUP($G652,今日總結!$A:$AN,39,0),"")</f>
        <v>0</v>
      </c>
      <c r="K652" s="5">
        <f>IFERROR(VLOOKUP($G652,今日總結!$A:$AN,40,0),"")</f>
        <v>0</v>
      </c>
      <c r="L652" s="156">
        <f>IFERROR(VLOOKUP($G652,今日總結!$A:$AN,37,0),"")</f>
        <v>0</v>
      </c>
      <c r="M652" s="337">
        <f>IFERROR(VLOOKUP($G652,今日總結!$A:$AN,38,0),"")</f>
        <v>0</v>
      </c>
      <c r="N652" s="240">
        <f t="shared" si="121"/>
        <v>0</v>
      </c>
      <c r="O652" s="359">
        <f>IFERROR(VLOOKUP($G652,融外自投!$A:$J,7,0),"無")</f>
        <v>190</v>
      </c>
      <c r="P652" s="79">
        <f>IFERROR(VLOOKUP($G652,融外自投!$A:$J,9,0),"無")</f>
        <v>71</v>
      </c>
      <c r="Q652" s="342">
        <f>IFERROR(VLOOKUP($G652,融外自投!$A:$J,8,0),"無")</f>
        <v>310</v>
      </c>
      <c r="R652" s="81" t="str">
        <f>IFERROR(VLOOKUP($G652,融外自投!$A:$J,10,0),"無")</f>
        <v>無</v>
      </c>
      <c r="S652" s="324">
        <f>IFERROR(VLOOKUP($G652,'321買'!$A:$E,4,0),"'沒有資料'")</f>
        <v>530</v>
      </c>
      <c r="T652" s="186">
        <f>IFERROR(VLOOKUP($G652,基本資料!$A:$J,9,0),"無")</f>
        <v>10</v>
      </c>
      <c r="U652" s="307">
        <f t="shared" si="117"/>
        <v>9.0090090090090086E-2</v>
      </c>
      <c r="V652" s="94">
        <f>IFERROR(VLOOKUP($G652,基本資料!$A:$J,10,0),"無")</f>
        <v>-3.11</v>
      </c>
      <c r="W652" s="36">
        <f>RTD("money.excel",,"6462","Price")</f>
        <v>111</v>
      </c>
      <c r="X652" s="66"/>
      <c r="Y652" s="15">
        <f t="shared" si="118"/>
        <v>111</v>
      </c>
      <c r="Z652" s="3" t="e">
        <f t="shared" si="119"/>
        <v>#DIV/0!</v>
      </c>
      <c r="AA652" s="340">
        <f>IFERROR(VLOOKUP($G652,基本資料!$A:$M,11,0),"無")</f>
        <v>-38.159999999999997</v>
      </c>
      <c r="AB652" s="389">
        <f>IFERROR(VLOOKUP($G652,基本資料!$A:$M,12,0),"無")</f>
        <v>64.31</v>
      </c>
      <c r="AC652" s="16" t="s">
        <v>220</v>
      </c>
      <c r="AF652" s="33">
        <f t="shared" si="120"/>
        <v>0</v>
      </c>
      <c r="AG652" s="117" t="s">
        <v>1441</v>
      </c>
      <c r="AH652" s="66">
        <f t="shared" si="122"/>
        <v>1.3661327231121281</v>
      </c>
      <c r="AI652" s="283">
        <f>RTD("money.excel",,$G652,"PredictVolume")</f>
        <v>597</v>
      </c>
      <c r="AJ652" s="391">
        <f>IFERROR(VLOOKUP($G652,基本資料!$A:$M,13,0),"無")</f>
        <v>437</v>
      </c>
      <c r="AR652" s="245" t="str">
        <f>INDEX(基本資料!N:N,MATCH($G652,基本資料!A:A,0))</f>
        <v>低</v>
      </c>
    </row>
    <row r="653" spans="1:44">
      <c r="A653" s="343">
        <f>IFERROR(VLOOKUP($G653,基本資料!$A:$J,3,0),"無")</f>
        <v>4.3899999999999997</v>
      </c>
      <c r="B653" s="79">
        <f>IFERROR(VLOOKUP($G653,基本資料!$A:$J,4,0),"無")</f>
        <v>1610</v>
      </c>
      <c r="C653" s="79">
        <f>IFERROR(VLOOKUP($G653,基本資料!$A:$J,5,0),"無")</f>
        <v>2987</v>
      </c>
      <c r="D653" s="79">
        <f>IFERROR(VLOOKUP($G653,基本資料!$A:$J,6,0),"無")</f>
        <v>0</v>
      </c>
      <c r="E653" s="79">
        <f>IFERROR(VLOOKUP($G653,基本資料!$A:$J,7,0),"無")</f>
        <v>34</v>
      </c>
      <c r="F653" s="6">
        <f>IFERROR(VLOOKUP($G653,基本資料!$A:$J,8,0),"無")</f>
        <v>31.91</v>
      </c>
      <c r="G653" s="79">
        <v>6485</v>
      </c>
      <c r="H653" s="17" t="s">
        <v>307</v>
      </c>
      <c r="I653" s="16" t="s">
        <v>232</v>
      </c>
      <c r="J653" s="8">
        <f>IFERROR(VLOOKUP($G653,今日總結!$A:$AN,39,0),"")</f>
        <v>0</v>
      </c>
      <c r="K653" s="5" t="str">
        <f>IFERROR(VLOOKUP($G653,今日總結!$A:$AN,40,0),"")</f>
        <v>借</v>
      </c>
      <c r="L653" s="156">
        <f>IFERROR(VLOOKUP($G653,今日總結!$A:$AN,37,0),"")</f>
        <v>0</v>
      </c>
      <c r="M653" s="337">
        <f>IFERROR(VLOOKUP($G653,今日總結!$A:$AN,38,0),"")</f>
        <v>2</v>
      </c>
      <c r="N653" s="240">
        <f t="shared" si="121"/>
        <v>-2</v>
      </c>
      <c r="O653" s="359">
        <f>IFERROR(VLOOKUP($G653,融外自投!$A:$J,7,0),"無")</f>
        <v>15</v>
      </c>
      <c r="P653" s="79">
        <f>IFERROR(VLOOKUP($G653,融外自投!$A:$J,9,0),"無")</f>
        <v>125</v>
      </c>
      <c r="Q653" s="342">
        <f>IFERROR(VLOOKUP($G653,融外自投!$A:$J,8,0),"無")</f>
        <v>797</v>
      </c>
      <c r="R653" s="81">
        <f>IFERROR(VLOOKUP($G653,融外自投!$A:$J,10,0),"無")</f>
        <v>413</v>
      </c>
      <c r="S653" s="324">
        <f>IFERROR(VLOOKUP($G653,'321買'!$A:$E,4,0),"'沒有資料'")</f>
        <v>8</v>
      </c>
      <c r="T653" s="186">
        <f>IFERROR(VLOOKUP($G653,基本資料!$A:$J,9,0),"無")</f>
        <v>5</v>
      </c>
      <c r="U653" s="307">
        <f t="shared" si="117"/>
        <v>4.2918454935622317E-2</v>
      </c>
      <c r="V653" s="94">
        <f>IFERROR(VLOOKUP($G653,基本資料!$A:$J,10,0),"無")</f>
        <v>12.2</v>
      </c>
      <c r="W653" s="36">
        <f>RTD("money.excel",,"6485","Price")</f>
        <v>116.5</v>
      </c>
      <c r="X653" s="66"/>
      <c r="Y653" s="15">
        <f t="shared" si="118"/>
        <v>116.5</v>
      </c>
      <c r="Z653" s="3" t="e">
        <f t="shared" si="119"/>
        <v>#DIV/0!</v>
      </c>
      <c r="AA653" s="340">
        <f>IFERROR(VLOOKUP($G653,基本資料!$A:$M,11,0),"無")</f>
        <v>-39.01</v>
      </c>
      <c r="AB653" s="389">
        <f>IFERROR(VLOOKUP($G653,基本資料!$A:$M,12,0),"無")</f>
        <v>22.95</v>
      </c>
      <c r="AC653" s="16" t="s">
        <v>232</v>
      </c>
      <c r="AF653" s="33">
        <f t="shared" si="120"/>
        <v>0</v>
      </c>
      <c r="AG653" s="43" t="s">
        <v>2364</v>
      </c>
      <c r="AH653" s="66">
        <f t="shared" si="122"/>
        <v>0.66145137696368383</v>
      </c>
      <c r="AI653" s="283">
        <f>RTD("money.excel",,$G653,"PredictVolume")</f>
        <v>520</v>
      </c>
      <c r="AJ653" s="391">
        <f>IFERROR(VLOOKUP($G653,基本資料!$A:$M,13,0),"無")</f>
        <v>786.15</v>
      </c>
      <c r="AR653" s="245" t="str">
        <f>INDEX(基本資料!N:N,MATCH($G653,基本資料!A:A,0))</f>
        <v>低</v>
      </c>
    </row>
    <row r="654" spans="1:44">
      <c r="A654" s="343">
        <f>IFERROR(VLOOKUP($G654,基本資料!$A:$J,3,0),"無")</f>
        <v>43.72</v>
      </c>
      <c r="B654" s="79">
        <f>IFERROR(VLOOKUP($G654,基本資料!$A:$J,4,0),"無")</f>
        <v>-9</v>
      </c>
      <c r="C654" s="79">
        <f>IFERROR(VLOOKUP($G654,基本資料!$A:$J,5,0),"無")</f>
        <v>15</v>
      </c>
      <c r="D654" s="79">
        <f>IFERROR(VLOOKUP($G654,基本資料!$A:$J,6,0),"無")</f>
        <v>-8</v>
      </c>
      <c r="E654" s="79">
        <f>IFERROR(VLOOKUP($G654,基本資料!$A:$J,7,0),"無")</f>
        <v>5</v>
      </c>
      <c r="F654" s="6">
        <f>IFERROR(VLOOKUP($G654,基本資料!$A:$J,8,0),"無")</f>
        <v>28.94</v>
      </c>
      <c r="G654" s="79">
        <v>6488</v>
      </c>
      <c r="H654" s="192" t="s">
        <v>3038</v>
      </c>
      <c r="I654" s="16" t="s">
        <v>34</v>
      </c>
      <c r="J654" s="8">
        <f>IFERROR(VLOOKUP($G654,今日總結!$A:$AN,39,0),"")</f>
        <v>0</v>
      </c>
      <c r="K654" s="5">
        <f>IFERROR(VLOOKUP($G654,今日總結!$A:$AN,40,0),"")</f>
        <v>0</v>
      </c>
      <c r="L654" s="156">
        <f>IFERROR(VLOOKUP($G654,今日總結!$A:$AN,37,0),"")</f>
        <v>0</v>
      </c>
      <c r="M654" s="337">
        <f>IFERROR(VLOOKUP($G654,今日總結!$A:$AN,38,0),"")</f>
        <v>0</v>
      </c>
      <c r="N654" s="240">
        <f t="shared" si="121"/>
        <v>0</v>
      </c>
      <c r="O654" s="359">
        <f>IFERROR(VLOOKUP($G654,融外自投!$A:$J,7,0),"無")</f>
        <v>923</v>
      </c>
      <c r="P654" s="79">
        <f>IFERROR(VLOOKUP($G654,融外自投!$A:$J,9,0),"無")</f>
        <v>294</v>
      </c>
      <c r="Q654" s="342">
        <f>IFERROR(VLOOKUP($G654,融外自投!$A:$J,8,0),"無")</f>
        <v>199</v>
      </c>
      <c r="R654" s="81">
        <f>IFERROR(VLOOKUP($G654,融外自投!$A:$J,10,0),"無")</f>
        <v>137</v>
      </c>
      <c r="S654" s="324">
        <f>IFERROR(VLOOKUP($G654,'321買'!$A:$E,4,0),"'沒有資料'")</f>
        <v>606</v>
      </c>
      <c r="T654" s="186">
        <f>IFERROR(VLOOKUP($G654,基本資料!$A:$J,9,0),"無")</f>
        <v>16</v>
      </c>
      <c r="U654" s="307">
        <f t="shared" si="117"/>
        <v>2.8520499108734401E-2</v>
      </c>
      <c r="V654" s="94">
        <f>IFERROR(VLOOKUP($G654,基本資料!$A:$J,10,0),"無")</f>
        <v>27.27</v>
      </c>
      <c r="W654" s="36">
        <f>RTD("money.excel",,"6488","Price")</f>
        <v>561</v>
      </c>
      <c r="X654" s="66"/>
      <c r="Y654" s="15">
        <f t="shared" si="118"/>
        <v>561</v>
      </c>
      <c r="Z654" s="3" t="e">
        <f t="shared" si="119"/>
        <v>#DIV/0!</v>
      </c>
      <c r="AA654" s="340">
        <f>IFERROR(VLOOKUP($G654,基本資料!$A:$M,11,0),"無")</f>
        <v>-42.28</v>
      </c>
      <c r="AB654" s="389">
        <f>IFERROR(VLOOKUP($G654,基本資料!$A:$M,12,0),"無")</f>
        <v>27.17</v>
      </c>
      <c r="AC654" s="16" t="s">
        <v>34</v>
      </c>
      <c r="AF654" s="33">
        <f t="shared" si="120"/>
        <v>0</v>
      </c>
      <c r="AG654" s="118" t="s">
        <v>2167</v>
      </c>
      <c r="AH654" s="66">
        <f t="shared" si="122"/>
        <v>1.4810731944557023</v>
      </c>
      <c r="AI654" s="283">
        <f>RTD("money.excel",,$G654,"PredictVolume")</f>
        <v>4568</v>
      </c>
      <c r="AJ654" s="391">
        <f>IFERROR(VLOOKUP($G654,基本資料!$A:$M,13,0),"無")</f>
        <v>3084.25</v>
      </c>
      <c r="AR654" s="245" t="str">
        <f>INDEX(基本資料!N:N,MATCH($G654,基本資料!A:A,0))</f>
        <v>低</v>
      </c>
    </row>
    <row r="655" spans="1:44">
      <c r="A655" s="343">
        <f>IFERROR(VLOOKUP($G655,基本資料!$A:$J,3,0),"無")</f>
        <v>3.15</v>
      </c>
      <c r="B655" s="79">
        <f>IFERROR(VLOOKUP($G655,基本資料!$A:$J,4,0),"無")</f>
        <v>340</v>
      </c>
      <c r="C655" s="79">
        <f>IFERROR(VLOOKUP($G655,基本資料!$A:$J,5,0),"無")</f>
        <v>323</v>
      </c>
      <c r="D655" s="79">
        <f>IFERROR(VLOOKUP($G655,基本資料!$A:$J,6,0),"無")</f>
        <v>-2</v>
      </c>
      <c r="E655" s="79">
        <f>IFERROR(VLOOKUP($G655,基本資料!$A:$J,7,0),"無")</f>
        <v>-3</v>
      </c>
      <c r="F655" s="6">
        <f>IFERROR(VLOOKUP($G655,基本資料!$A:$J,8,0),"無")</f>
        <v>30.05</v>
      </c>
      <c r="G655" s="79">
        <v>6494</v>
      </c>
      <c r="H655" s="192" t="s">
        <v>3038</v>
      </c>
      <c r="I655" s="16" t="s">
        <v>380</v>
      </c>
      <c r="J655" s="8">
        <f>IFERROR(VLOOKUP($G655,今日總結!$A:$AN,39,0),"")</f>
        <v>0</v>
      </c>
      <c r="K655" s="5">
        <f>IFERROR(VLOOKUP($G655,今日總結!$A:$AN,40,0),"")</f>
        <v>0</v>
      </c>
      <c r="L655" s="156">
        <f>IFERROR(VLOOKUP($G655,今日總結!$A:$AN,37,0),"")</f>
        <v>0</v>
      </c>
      <c r="M655" s="337">
        <f>IFERROR(VLOOKUP($G655,今日總結!$A:$AN,38,0),"")</f>
        <v>0</v>
      </c>
      <c r="N655" s="240">
        <f t="shared" si="121"/>
        <v>0</v>
      </c>
      <c r="O655" s="359">
        <f>IFERROR(VLOOKUP($G655,融外自投!$A:$J,7,0),"無")</f>
        <v>55</v>
      </c>
      <c r="P655" s="79">
        <f>IFERROR(VLOOKUP($G655,融外自投!$A:$J,9,0),"無")</f>
        <v>104</v>
      </c>
      <c r="Q655" s="342">
        <f>IFERROR(VLOOKUP($G655,融外自投!$A:$J,8,0),"無")</f>
        <v>543</v>
      </c>
      <c r="R655" s="81">
        <f>IFERROR(VLOOKUP($G655,融外自投!$A:$J,10,0),"無")</f>
        <v>439</v>
      </c>
      <c r="S655" s="324">
        <f>IFERROR(VLOOKUP($G655,'321買'!$A:$E,4,0),"'沒有資料'")</f>
        <v>53</v>
      </c>
      <c r="T655" s="186">
        <f>IFERROR(VLOOKUP($G655,基本資料!$A:$J,9,0),"無")</f>
        <v>8</v>
      </c>
      <c r="U655" s="307">
        <f t="shared" si="117"/>
        <v>6.4000000000000001E-2</v>
      </c>
      <c r="V655" s="94">
        <f>IFERROR(VLOOKUP($G655,基本資料!$A:$J,10,0),"無")</f>
        <v>17.21</v>
      </c>
      <c r="W655" s="36">
        <f>RTD("money.excel",,"6494","Price")</f>
        <v>125</v>
      </c>
      <c r="X655" s="66"/>
      <c r="Y655" s="15">
        <f t="shared" si="118"/>
        <v>125</v>
      </c>
      <c r="Z655" s="3" t="e">
        <f t="shared" si="119"/>
        <v>#DIV/0!</v>
      </c>
      <c r="AA655" s="340">
        <f>IFERROR(VLOOKUP($G655,基本資料!$A:$M,11,0),"無")</f>
        <v>-31.32</v>
      </c>
      <c r="AB655" s="389">
        <f>IFERROR(VLOOKUP($G655,基本資料!$A:$M,12,0),"無")</f>
        <v>27.9</v>
      </c>
      <c r="AC655" s="16" t="s">
        <v>380</v>
      </c>
      <c r="AF655" s="33">
        <f t="shared" si="120"/>
        <v>0</v>
      </c>
      <c r="AG655" s="43" t="s">
        <v>2365</v>
      </c>
      <c r="AH655" s="66">
        <f t="shared" si="122"/>
        <v>0.72025976581717999</v>
      </c>
      <c r="AI655" s="283">
        <f>RTD("money.excel",,$G655,"PredictVolume")</f>
        <v>366</v>
      </c>
      <c r="AJ655" s="391">
        <f>IFERROR(VLOOKUP($G655,基本資料!$A:$M,13,0),"無")</f>
        <v>508.15</v>
      </c>
      <c r="AR655" s="245" t="str">
        <f>INDEX(基本資料!N:N,MATCH($G655,基本資料!A:A,0))</f>
        <v>低</v>
      </c>
    </row>
    <row r="656" spans="1:44">
      <c r="A656" s="343">
        <f>IFERROR(VLOOKUP($G656,基本資料!$A:$J,3,0),"無")</f>
        <v>3.27</v>
      </c>
      <c r="B656" s="79">
        <f>IFERROR(VLOOKUP($G656,基本資料!$A:$J,4,0),"無")</f>
        <v>-4</v>
      </c>
      <c r="C656" s="79">
        <f>IFERROR(VLOOKUP($G656,基本資料!$A:$J,5,0),"無")</f>
        <v>-8</v>
      </c>
      <c r="D656" s="79">
        <f>IFERROR(VLOOKUP($G656,基本資料!$A:$J,6,0),"無")</f>
        <v>10</v>
      </c>
      <c r="E656" s="79">
        <f>IFERROR(VLOOKUP($G656,基本資料!$A:$J,7,0),"無")</f>
        <v>1</v>
      </c>
      <c r="F656" s="6">
        <f>IFERROR(VLOOKUP($G656,基本資料!$A:$J,8,0),"無")</f>
        <v>25.49</v>
      </c>
      <c r="G656" s="79">
        <v>6510</v>
      </c>
      <c r="H656" s="192" t="s">
        <v>3038</v>
      </c>
      <c r="I656" s="16" t="s">
        <v>221</v>
      </c>
      <c r="J656" s="8">
        <f>IFERROR(VLOOKUP($G656,今日總結!$A:$AN,39,0),"")</f>
        <v>0</v>
      </c>
      <c r="K656" s="5">
        <f>IFERROR(VLOOKUP($G656,今日總結!$A:$AN,40,0),"")</f>
        <v>0</v>
      </c>
      <c r="L656" s="156">
        <f>IFERROR(VLOOKUP($G656,今日總結!$A:$AN,37,0),"")</f>
        <v>0</v>
      </c>
      <c r="M656" s="337">
        <f>IFERROR(VLOOKUP($G656,今日總結!$A:$AN,38,0),"")</f>
        <v>0</v>
      </c>
      <c r="N656" s="240">
        <f t="shared" si="121"/>
        <v>0</v>
      </c>
      <c r="O656" s="359">
        <f>IFERROR(VLOOKUP($G656,融外自投!$A:$J,7,0),"無")</f>
        <v>416</v>
      </c>
      <c r="P656" s="79">
        <f>IFERROR(VLOOKUP($G656,融外自投!$A:$J,9,0),"無")</f>
        <v>234</v>
      </c>
      <c r="Q656" s="342">
        <f>IFERROR(VLOOKUP($G656,融外自投!$A:$J,8,0),"無")</f>
        <v>466</v>
      </c>
      <c r="R656" s="81">
        <f>IFERROR(VLOOKUP($G656,融外自投!$A:$J,10,0),"無")</f>
        <v>245</v>
      </c>
      <c r="S656" s="324">
        <f>IFERROR(VLOOKUP($G656,'321買'!$A:$E,4,0),"'沒有資料'")</f>
        <v>253</v>
      </c>
      <c r="T656" s="186">
        <f>IFERROR(VLOOKUP($G656,基本資料!$A:$J,9,0),"無")</f>
        <v>13.6</v>
      </c>
      <c r="U656" s="307">
        <f t="shared" si="117"/>
        <v>2.8422152560083593E-2</v>
      </c>
      <c r="V656" s="94">
        <f>IFERROR(VLOOKUP($G656,基本資料!$A:$J,10,0),"無")</f>
        <v>27.2</v>
      </c>
      <c r="W656" s="36">
        <f>RTD("money.excel",,"6510","Price")</f>
        <v>478.5</v>
      </c>
      <c r="X656" s="66"/>
      <c r="Y656" s="15">
        <f t="shared" si="118"/>
        <v>478.5</v>
      </c>
      <c r="Z656" s="3" t="e">
        <f t="shared" si="119"/>
        <v>#DIV/0!</v>
      </c>
      <c r="AA656" s="340">
        <f>IFERROR(VLOOKUP($G656,基本資料!$A:$M,11,0),"無")</f>
        <v>-40.19</v>
      </c>
      <c r="AB656" s="389">
        <f>IFERROR(VLOOKUP($G656,基本資料!$A:$M,12,0),"無")</f>
        <v>13.51</v>
      </c>
      <c r="AC656" s="16" t="s">
        <v>221</v>
      </c>
      <c r="AF656" s="33">
        <f t="shared" si="120"/>
        <v>0</v>
      </c>
      <c r="AG656" s="117" t="s">
        <v>1442</v>
      </c>
      <c r="AH656" s="66">
        <f t="shared" si="122"/>
        <v>0.59872996673722412</v>
      </c>
      <c r="AI656" s="283">
        <f>RTD("money.excel",,$G656,"PredictVolume")</f>
        <v>99</v>
      </c>
      <c r="AJ656" s="391">
        <f>IFERROR(VLOOKUP($G656,基本資料!$A:$M,13,0),"無")</f>
        <v>165.35</v>
      </c>
      <c r="AR656" s="245" t="str">
        <f>INDEX(基本資料!N:N,MATCH($G656,基本資料!A:A,0))</f>
        <v>低</v>
      </c>
    </row>
    <row r="657" spans="1:44">
      <c r="A657" s="343">
        <f>IFERROR(VLOOKUP($G657,基本資料!$A:$J,3,0),"無")</f>
        <v>3.42</v>
      </c>
      <c r="B657" s="79">
        <f>IFERROR(VLOOKUP($G657,基本資料!$A:$J,4,0),"無")</f>
        <v>-8</v>
      </c>
      <c r="C657" s="79">
        <f>IFERROR(VLOOKUP($G657,基本資料!$A:$J,5,0),"無")</f>
        <v>-11</v>
      </c>
      <c r="D657" s="79">
        <f>IFERROR(VLOOKUP($G657,基本資料!$A:$J,6,0),"無")</f>
        <v>-12</v>
      </c>
      <c r="E657" s="79">
        <f>IFERROR(VLOOKUP($G657,基本資料!$A:$J,7,0),"無")</f>
        <v>21</v>
      </c>
      <c r="F657" s="6">
        <f>IFERROR(VLOOKUP($G657,基本資料!$A:$J,8,0),"無")</f>
        <v>20.5</v>
      </c>
      <c r="G657" s="79">
        <v>6515</v>
      </c>
      <c r="H657" s="8" t="s">
        <v>3038</v>
      </c>
      <c r="I657" s="22" t="s">
        <v>2263</v>
      </c>
      <c r="J657" s="8" t="str">
        <f>IFERROR(VLOOKUP($G657,今日總結!$A:$AN,39,0),"")</f>
        <v>6借</v>
      </c>
      <c r="K657" s="5">
        <f>IFERROR(VLOOKUP($G657,今日總結!$A:$AN,40,0),"")</f>
        <v>0</v>
      </c>
      <c r="L657" s="156">
        <f>IFERROR(VLOOKUP($G657,今日總結!$A:$AN,37,0),"")</f>
        <v>8</v>
      </c>
      <c r="M657" s="337">
        <f>IFERROR(VLOOKUP($G657,今日總結!$A:$AN,38,0),"")</f>
        <v>0</v>
      </c>
      <c r="N657" s="240">
        <f t="shared" si="121"/>
        <v>8</v>
      </c>
      <c r="O657" s="359">
        <f>IFERROR(VLOOKUP($G657,融外自投!$A:$J,7,0),"無")</f>
        <v>837</v>
      </c>
      <c r="P657" s="79">
        <f>IFERROR(VLOOKUP($G657,融外自投!$A:$J,9,0),"無")</f>
        <v>946</v>
      </c>
      <c r="Q657" s="342">
        <f>IFERROR(VLOOKUP($G657,融外自投!$A:$J,8,0),"無")</f>
        <v>587</v>
      </c>
      <c r="R657" s="81">
        <f>IFERROR(VLOOKUP($G657,融外自投!$A:$J,10,0),"無")</f>
        <v>19</v>
      </c>
      <c r="S657" s="324">
        <f>IFERROR(VLOOKUP($G657,'321買'!$A:$E,4,0),"'沒有資料'")</f>
        <v>108</v>
      </c>
      <c r="T657" s="186">
        <f>IFERROR(VLOOKUP($G657,基本資料!$A:$J,9,0),"無")</f>
        <v>11</v>
      </c>
      <c r="U657" s="307">
        <f t="shared" ref="U657:U696" si="123">$T657/$W657</f>
        <v>2.9689608636977057E-2</v>
      </c>
      <c r="V657" s="94">
        <f>IFERROR(VLOOKUP($G657,基本資料!$A:$J,10,0),"無")</f>
        <v>14.46</v>
      </c>
      <c r="W657" s="36">
        <f>RTD("money.excel",,"6515","Price")</f>
        <v>370.5</v>
      </c>
      <c r="X657" s="66"/>
      <c r="Y657" s="15">
        <f t="shared" si="118"/>
        <v>370.5</v>
      </c>
      <c r="Z657" s="3" t="e">
        <f t="shared" si="119"/>
        <v>#DIV/0!</v>
      </c>
      <c r="AA657" s="340">
        <f>IFERROR(VLOOKUP($G657,基本資料!$A:$M,11,0),"無")</f>
        <v>-22.65</v>
      </c>
      <c r="AB657" s="389">
        <f>IFERROR(VLOOKUP($G657,基本資料!$A:$M,12,0),"無")</f>
        <v>24.66</v>
      </c>
      <c r="AC657" s="22" t="s">
        <v>2263</v>
      </c>
      <c r="AF657" s="33">
        <f t="shared" si="120"/>
        <v>0</v>
      </c>
      <c r="AG657" s="117" t="s">
        <v>2265</v>
      </c>
      <c r="AH657" s="66">
        <f t="shared" si="122"/>
        <v>3.3355588196020833</v>
      </c>
      <c r="AI657" s="283">
        <f>RTD("money.excel",,$G657,"PredictVolume")</f>
        <v>1249</v>
      </c>
      <c r="AJ657" s="391">
        <f>IFERROR(VLOOKUP($G657,基本資料!$A:$M,13,0),"無")</f>
        <v>374.45</v>
      </c>
      <c r="AR657" s="245" t="str">
        <f>INDEX(基本資料!N:N,MATCH($G657,基本資料!A:A,0))</f>
        <v>中</v>
      </c>
    </row>
    <row r="658" spans="1:44">
      <c r="A658" s="343">
        <f>IFERROR(VLOOKUP($G658,基本資料!$A:$J,3,0),"無")</f>
        <v>12.9</v>
      </c>
      <c r="B658" s="79">
        <f>IFERROR(VLOOKUP($G658,基本資料!$A:$J,4,0),"無")</f>
        <v>25</v>
      </c>
      <c r="C658" s="79">
        <f>IFERROR(VLOOKUP($G658,基本資料!$A:$J,5,0),"無")</f>
        <v>18</v>
      </c>
      <c r="D658" s="79">
        <f>IFERROR(VLOOKUP($G658,基本資料!$A:$J,6,0),"無")</f>
        <v>-4</v>
      </c>
      <c r="E658" s="79">
        <f>IFERROR(VLOOKUP($G658,基本資料!$A:$J,7,0),"無")</f>
        <v>1</v>
      </c>
      <c r="F658" s="6">
        <f>IFERROR(VLOOKUP($G658,基本資料!$A:$J,8,0),"無")</f>
        <v>22.83</v>
      </c>
      <c r="G658" s="79">
        <v>6525</v>
      </c>
      <c r="H658" s="8" t="s">
        <v>3038</v>
      </c>
      <c r="I658" s="22" t="s">
        <v>289</v>
      </c>
      <c r="J658" s="8" t="str">
        <f>IFERROR(VLOOKUP($G658,今日總結!$A:$AN,39,0),"")</f>
        <v>外</v>
      </c>
      <c r="K658" s="5">
        <f>IFERROR(VLOOKUP($G658,今日總結!$A:$AN,40,0),"")</f>
        <v>0</v>
      </c>
      <c r="L658" s="156">
        <f>IFERROR(VLOOKUP($G658,今日總結!$A:$AN,37,0),"")</f>
        <v>1</v>
      </c>
      <c r="M658" s="337">
        <f>IFERROR(VLOOKUP($G658,今日總結!$A:$AN,38,0),"")</f>
        <v>0</v>
      </c>
      <c r="N658" s="240">
        <f t="shared" ref="N658:N696" si="124">IFERROR(L658-M658,"")</f>
        <v>1</v>
      </c>
      <c r="O658" s="359">
        <f>IFERROR(VLOOKUP($G658,融外自投!$A:$J,7,0),"無")</f>
        <v>691</v>
      </c>
      <c r="P658" s="79">
        <f>IFERROR(VLOOKUP($G658,融外自投!$A:$J,9,0),"無")</f>
        <v>1051</v>
      </c>
      <c r="Q658" s="342">
        <f>IFERROR(VLOOKUP($G658,融外自投!$A:$J,8,0),"無")</f>
        <v>396</v>
      </c>
      <c r="R658" s="81">
        <f>IFERROR(VLOOKUP($G658,融外自投!$A:$J,10,0),"無")</f>
        <v>256</v>
      </c>
      <c r="S658" s="324">
        <f>IFERROR(VLOOKUP($G658,'321買'!$A:$E,4,0),"'沒有資料'")</f>
        <v>272</v>
      </c>
      <c r="T658" s="186">
        <f>IFERROR(VLOOKUP($G658,基本資料!$A:$J,9,0),"無")</f>
        <v>5.5</v>
      </c>
      <c r="U658" s="307">
        <f t="shared" si="123"/>
        <v>6.8578553615960103E-2</v>
      </c>
      <c r="V658" s="94">
        <f>IFERROR(VLOOKUP($G658,基本資料!$A:$J,10,0),"無")</f>
        <v>6.65</v>
      </c>
      <c r="W658" s="36">
        <f>RTD("money.excel",,"6525","Price")</f>
        <v>80.2</v>
      </c>
      <c r="X658" s="66"/>
      <c r="Y658" s="15">
        <f t="shared" ref="Y658:Y695" si="125">W658-X658</f>
        <v>80.2</v>
      </c>
      <c r="Z658" s="3" t="e">
        <f t="shared" ref="Z658:Z695" si="126">Y658/X658</f>
        <v>#DIV/0!</v>
      </c>
      <c r="AA658" s="340">
        <f>IFERROR(VLOOKUP($G658,基本資料!$A:$M,11,0),"無")</f>
        <v>-39.47</v>
      </c>
      <c r="AB658" s="389">
        <f>IFERROR(VLOOKUP($G658,基本資料!$A:$M,12,0),"無")</f>
        <v>21.9</v>
      </c>
      <c r="AC658" s="22" t="s">
        <v>289</v>
      </c>
      <c r="AF658" s="33">
        <f t="shared" ref="AF658:AF695" si="127">AE658-AD658</f>
        <v>0</v>
      </c>
      <c r="AG658" s="43" t="s">
        <v>2391</v>
      </c>
      <c r="AH658" s="66">
        <f t="shared" si="122"/>
        <v>0.39782145394269475</v>
      </c>
      <c r="AI658" s="283">
        <f>RTD("money.excel",,$G658,"PredictVolume")</f>
        <v>84</v>
      </c>
      <c r="AJ658" s="391">
        <f>IFERROR(VLOOKUP($G658,基本資料!$A:$M,13,0),"無")</f>
        <v>211.15</v>
      </c>
      <c r="AR658" s="245" t="str">
        <f>INDEX(基本資料!N:N,MATCH($G658,基本資料!A:A,0))</f>
        <v>低</v>
      </c>
    </row>
    <row r="659" spans="1:44">
      <c r="A659" s="343">
        <f>IFERROR(VLOOKUP($G659,基本資料!$A:$J,3,0),"無")</f>
        <v>8.06</v>
      </c>
      <c r="B659" s="79">
        <f>IFERROR(VLOOKUP($G659,基本資料!$A:$J,4,0),"無")</f>
        <v>146</v>
      </c>
      <c r="C659" s="79">
        <f>IFERROR(VLOOKUP($G659,基本資料!$A:$J,5,0),"無")</f>
        <v>356</v>
      </c>
      <c r="D659" s="79">
        <f>IFERROR(VLOOKUP($G659,基本資料!$A:$J,6,0),"無")</f>
        <v>-5</v>
      </c>
      <c r="E659" s="79">
        <f>IFERROR(VLOOKUP($G659,基本資料!$A:$J,7,0),"無")</f>
        <v>-8</v>
      </c>
      <c r="F659" s="6">
        <f>IFERROR(VLOOKUP($G659,基本資料!$A:$J,8,0),"無")</f>
        <v>35.82</v>
      </c>
      <c r="G659" s="79">
        <v>6531</v>
      </c>
      <c r="H659" s="8" t="s">
        <v>3038</v>
      </c>
      <c r="I659" s="22" t="s">
        <v>354</v>
      </c>
      <c r="J659" s="8" t="str">
        <f>IFERROR(VLOOKUP($G659,今日總結!$A:$AN,39,0),"")</f>
        <v>7融</v>
      </c>
      <c r="K659" s="5">
        <f>IFERROR(VLOOKUP($G659,今日總結!$A:$AN,40,0),"")</f>
        <v>24</v>
      </c>
      <c r="L659" s="156">
        <f>IFERROR(VLOOKUP($G659,今日總結!$A:$AN,37,0),"")</f>
        <v>3</v>
      </c>
      <c r="M659" s="337">
        <f>IFERROR(VLOOKUP($G659,今日總結!$A:$AN,38,0),"")</f>
        <v>2</v>
      </c>
      <c r="N659" s="240">
        <f t="shared" si="124"/>
        <v>1</v>
      </c>
      <c r="O659" s="359">
        <f>IFERROR(VLOOKUP($G659,融外自投!$A:$J,7,0),"無")</f>
        <v>66</v>
      </c>
      <c r="P659" s="79">
        <f>IFERROR(VLOOKUP($G659,融外自投!$A:$J,9,0),"無")</f>
        <v>350</v>
      </c>
      <c r="Q659" s="342">
        <f>IFERROR(VLOOKUP($G659,融外自投!$A:$J,8,0),"無")</f>
        <v>360</v>
      </c>
      <c r="R659" s="81">
        <f>IFERROR(VLOOKUP($G659,融外自投!$A:$J,10,0),"無")</f>
        <v>276</v>
      </c>
      <c r="S659" s="324">
        <f>IFERROR(VLOOKUP($G659,'321買'!$A:$E,4,0),"'沒有資料'")</f>
        <v>26</v>
      </c>
      <c r="T659" s="186">
        <f>IFERROR(VLOOKUP($G659,基本資料!$A:$J,9,0),"無")</f>
        <v>6</v>
      </c>
      <c r="U659" s="307">
        <f t="shared" si="123"/>
        <v>2.2598870056497175E-2</v>
      </c>
      <c r="V659" s="94">
        <f>IFERROR(VLOOKUP($G659,基本資料!$A:$J,10,0),"無")</f>
        <v>13.67</v>
      </c>
      <c r="W659" s="36">
        <f>RTD("money.excel",,"6531","Price")</f>
        <v>265.5</v>
      </c>
      <c r="X659" s="66"/>
      <c r="Y659" s="15">
        <f t="shared" si="125"/>
        <v>265.5</v>
      </c>
      <c r="Z659" s="3" t="e">
        <f t="shared" si="126"/>
        <v>#DIV/0!</v>
      </c>
      <c r="AA659" s="340">
        <f>IFERROR(VLOOKUP($G659,基本資料!$A:$M,11,0),"無")</f>
        <v>-67.14</v>
      </c>
      <c r="AB659" s="389">
        <f>IFERROR(VLOOKUP($G659,基本資料!$A:$M,12,0),"無")</f>
        <v>25.02</v>
      </c>
      <c r="AC659" s="22" t="s">
        <v>354</v>
      </c>
      <c r="AF659" s="33">
        <f t="shared" si="127"/>
        <v>0</v>
      </c>
      <c r="AG659" s="43" t="s">
        <v>2128</v>
      </c>
      <c r="AH659" s="66">
        <f t="shared" si="122"/>
        <v>2.7773959096287113</v>
      </c>
      <c r="AI659" s="283">
        <f>RTD("money.excel",,$G659,"PredictVolume")</f>
        <v>12324</v>
      </c>
      <c r="AJ659" s="391">
        <f>IFERROR(VLOOKUP($G659,基本資料!$A:$M,13,0),"無")</f>
        <v>4437.25</v>
      </c>
      <c r="AR659" s="245" t="str">
        <f>INDEX(基本資料!N:N,MATCH($G659,基本資料!A:A,0))</f>
        <v>低</v>
      </c>
    </row>
    <row r="660" spans="1:44">
      <c r="A660" s="343">
        <f>IFERROR(VLOOKUP($G660,基本資料!$A:$J,3,0),"無")</f>
        <v>3.61</v>
      </c>
      <c r="B660" s="79">
        <f>IFERROR(VLOOKUP($G660,基本資料!$A:$J,4,0),"無")</f>
        <v>-8</v>
      </c>
      <c r="C660" s="79">
        <f>IFERROR(VLOOKUP($G660,基本資料!$A:$J,5,0),"無")</f>
        <v>-11</v>
      </c>
      <c r="D660" s="79">
        <f>IFERROR(VLOOKUP($G660,基本資料!$A:$J,6,0),"無")</f>
        <v>-9</v>
      </c>
      <c r="E660" s="79">
        <f>IFERROR(VLOOKUP($G660,基本資料!$A:$J,7,0),"無")</f>
        <v>32</v>
      </c>
      <c r="F660" s="6">
        <f>IFERROR(VLOOKUP($G660,基本資料!$A:$J,8,0),"無")</f>
        <v>24.25</v>
      </c>
      <c r="G660" s="79">
        <v>6532</v>
      </c>
      <c r="H660" s="192" t="s">
        <v>3038</v>
      </c>
      <c r="I660" s="16" t="s">
        <v>381</v>
      </c>
      <c r="J660" s="8">
        <f>IFERROR(VLOOKUP($G660,今日總結!$A:$AN,39,0),"")</f>
        <v>0</v>
      </c>
      <c r="K660" s="5">
        <f>IFERROR(VLOOKUP($G660,今日總結!$A:$AN,40,0),"")</f>
        <v>0</v>
      </c>
      <c r="L660" s="156">
        <f>IFERROR(VLOOKUP($G660,今日總結!$A:$AN,37,0),"")</f>
        <v>0</v>
      </c>
      <c r="M660" s="337">
        <f>IFERROR(VLOOKUP($G660,今日總結!$A:$AN,38,0),"")</f>
        <v>0</v>
      </c>
      <c r="N660" s="240">
        <f t="shared" si="124"/>
        <v>0</v>
      </c>
      <c r="O660" s="359">
        <f>IFERROR(VLOOKUP($G660,融外自投!$A:$J,7,0),"無")</f>
        <v>202</v>
      </c>
      <c r="P660" s="79">
        <f>IFERROR(VLOOKUP($G660,融外自投!$A:$J,9,0),"無")</f>
        <v>319</v>
      </c>
      <c r="Q660" s="342">
        <f>IFERROR(VLOOKUP($G660,融外自投!$A:$J,8,0),"無")</f>
        <v>1002</v>
      </c>
      <c r="R660" s="81" t="str">
        <f>IFERROR(VLOOKUP($G660,融外自投!$A:$J,10,0),"無")</f>
        <v>無</v>
      </c>
      <c r="S660" s="324">
        <f>IFERROR(VLOOKUP($G660,'321買'!$A:$E,4,0),"'沒有資料'")</f>
        <v>743</v>
      </c>
      <c r="T660" s="186">
        <f>IFERROR(VLOOKUP($G660,基本資料!$A:$J,9,0),"無")</f>
        <v>1.8</v>
      </c>
      <c r="U660" s="307">
        <f t="shared" si="123"/>
        <v>4.0089086859688199E-2</v>
      </c>
      <c r="V660" s="94">
        <f>IFERROR(VLOOKUP($G660,基本資料!$A:$J,10,0),"無")</f>
        <v>2.63</v>
      </c>
      <c r="W660" s="36">
        <f>RTD("money.excel",,"6532","Price")</f>
        <v>44.9</v>
      </c>
      <c r="X660" s="66"/>
      <c r="Y660" s="15">
        <f t="shared" si="125"/>
        <v>44.9</v>
      </c>
      <c r="Z660" s="3" t="e">
        <f t="shared" si="126"/>
        <v>#DIV/0!</v>
      </c>
      <c r="AA660" s="340">
        <f>IFERROR(VLOOKUP($G660,基本資料!$A:$M,11,0),"無")</f>
        <v>-27.7</v>
      </c>
      <c r="AB660" s="389">
        <f>IFERROR(VLOOKUP($G660,基本資料!$A:$M,12,0),"無")</f>
        <v>20.329999999999998</v>
      </c>
      <c r="AC660" s="16" t="s">
        <v>381</v>
      </c>
      <c r="AF660" s="33">
        <f t="shared" si="127"/>
        <v>0</v>
      </c>
      <c r="AG660" s="43" t="s">
        <v>2308</v>
      </c>
      <c r="AH660" s="66">
        <f t="shared" si="122"/>
        <v>1.6196760647870427</v>
      </c>
      <c r="AI660" s="283">
        <f>RTD("money.excel",,$G660,"PredictVolume")</f>
        <v>135</v>
      </c>
      <c r="AJ660" s="391">
        <f>IFERROR(VLOOKUP($G660,基本資料!$A:$M,13,0),"無")</f>
        <v>83.35</v>
      </c>
      <c r="AR660" s="245" t="str">
        <f>INDEX(基本資料!N:N,MATCH($G660,基本資料!A:A,0))</f>
        <v>中</v>
      </c>
    </row>
    <row r="661" spans="1:44">
      <c r="A661" s="343">
        <f>IFERROR(VLOOKUP($G661,基本資料!$A:$J,3,0),"無")</f>
        <v>5.0599999999999996</v>
      </c>
      <c r="B661" s="79">
        <f>IFERROR(VLOOKUP($G661,基本資料!$A:$J,4,0),"無")</f>
        <v>360</v>
      </c>
      <c r="C661" s="79">
        <f>IFERROR(VLOOKUP($G661,基本資料!$A:$J,5,0),"無")</f>
        <v>321</v>
      </c>
      <c r="D661" s="79">
        <f>IFERROR(VLOOKUP($G661,基本資料!$A:$J,6,0),"無")</f>
        <v>-59</v>
      </c>
      <c r="E661" s="79">
        <f>IFERROR(VLOOKUP($G661,基本資料!$A:$J,7,0),"無")</f>
        <v>-16</v>
      </c>
      <c r="F661" s="6">
        <f>IFERROR(VLOOKUP($G661,基本資料!$A:$J,8,0),"無")</f>
        <v>19.350000000000001</v>
      </c>
      <c r="G661" s="79">
        <v>6533</v>
      </c>
      <c r="H661" s="8" t="s">
        <v>3038</v>
      </c>
      <c r="I661" s="22" t="s">
        <v>4063</v>
      </c>
      <c r="J661" s="8">
        <f>IFERROR(VLOOKUP($G661,今日總結!$A:$AN,39,0),"")</f>
        <v>0</v>
      </c>
      <c r="K661" s="5">
        <f>IFERROR(VLOOKUP($G661,今日總結!$A:$AN,40,0),"")</f>
        <v>0</v>
      </c>
      <c r="L661" s="156">
        <f>IFERROR(VLOOKUP($G661,今日總結!$A:$AN,37,0),"")</f>
        <v>0</v>
      </c>
      <c r="M661" s="337">
        <f>IFERROR(VLOOKUP($G661,今日總結!$A:$AN,38,0),"")</f>
        <v>0</v>
      </c>
      <c r="N661" s="240">
        <f t="shared" si="124"/>
        <v>0</v>
      </c>
      <c r="O661" s="359">
        <f>IFERROR(VLOOKUP($G661,融外自投!$A:$J,7,0),"無")</f>
        <v>287</v>
      </c>
      <c r="P661" s="79">
        <f>IFERROR(VLOOKUP($G661,融外自投!$A:$J,9,0),"無")</f>
        <v>272</v>
      </c>
      <c r="Q661" s="342">
        <f>IFERROR(VLOOKUP($G661,融外自投!$A:$J,8,0),"無")</f>
        <v>223</v>
      </c>
      <c r="R661" s="81">
        <f>IFERROR(VLOOKUP($G661,融外自投!$A:$J,10,0),"無")</f>
        <v>369</v>
      </c>
      <c r="S661" s="324">
        <f>IFERROR(VLOOKUP($G661,'321買'!$A:$E,4,0),"'沒有資料'")</f>
        <v>134</v>
      </c>
      <c r="T661" s="186">
        <f>IFERROR(VLOOKUP($G661,基本資料!$A:$J,9,0),"無")</f>
        <v>2.85</v>
      </c>
      <c r="U661" s="307">
        <f t="shared" si="123"/>
        <v>8.8098918083462131E-3</v>
      </c>
      <c r="V661" s="94">
        <f>IFERROR(VLOOKUP($G661,基本資料!$A:$J,10,0),"無")</f>
        <v>3.59</v>
      </c>
      <c r="W661" s="36">
        <f>RTD("money.excel",,"6533","Price")</f>
        <v>323.5</v>
      </c>
      <c r="X661" s="66"/>
      <c r="Y661" s="15">
        <f t="shared" si="125"/>
        <v>323.5</v>
      </c>
      <c r="Z661" s="3" t="e">
        <f t="shared" si="126"/>
        <v>#DIV/0!</v>
      </c>
      <c r="AA661" s="340">
        <f>IFERROR(VLOOKUP($G661,基本資料!$A:$M,11,0),"無")</f>
        <v>-49.61</v>
      </c>
      <c r="AB661" s="389">
        <f>IFERROR(VLOOKUP($G661,基本資料!$A:$M,12,0),"無")</f>
        <v>24.45</v>
      </c>
      <c r="AC661" s="22" t="s">
        <v>4063</v>
      </c>
      <c r="AF661" s="33">
        <f t="shared" si="127"/>
        <v>0</v>
      </c>
      <c r="AG661" s="43" t="s">
        <v>2313</v>
      </c>
      <c r="AH661" s="66">
        <f t="shared" si="122"/>
        <v>1.2947586922677736</v>
      </c>
      <c r="AI661" s="283">
        <f>RTD("money.excel",,$G661,"PredictVolume")</f>
        <v>1497</v>
      </c>
      <c r="AJ661" s="391">
        <f>IFERROR(VLOOKUP($G661,基本資料!$A:$M,13,0),"無")</f>
        <v>1156.2</v>
      </c>
      <c r="AR661" s="245" t="str">
        <f>INDEX(基本資料!N:N,MATCH($G661,基本資料!A:A,0))</f>
        <v>低</v>
      </c>
    </row>
    <row r="662" spans="1:44">
      <c r="A662" s="343">
        <f>IFERROR(VLOOKUP($G662,基本資料!$A:$J,3,0),"無")</f>
        <v>3.84</v>
      </c>
      <c r="B662" s="79">
        <f>IFERROR(VLOOKUP($G662,基本資料!$A:$J,4,0),"無")</f>
        <v>119</v>
      </c>
      <c r="C662" s="79">
        <f>IFERROR(VLOOKUP($G662,基本資料!$A:$J,5,0),"無")</f>
        <v>130</v>
      </c>
      <c r="D662" s="79">
        <f>IFERROR(VLOOKUP($G662,基本資料!$A:$J,6,0),"無")</f>
        <v>-4</v>
      </c>
      <c r="E662" s="79">
        <f>IFERROR(VLOOKUP($G662,基本資料!$A:$J,7,0),"無")</f>
        <v>24</v>
      </c>
      <c r="F662" s="6">
        <f>IFERROR(VLOOKUP($G662,基本資料!$A:$J,8,0),"無")</f>
        <v>17.28</v>
      </c>
      <c r="G662" s="79">
        <v>6548</v>
      </c>
      <c r="H662" s="192" t="s">
        <v>3038</v>
      </c>
      <c r="I662" s="16" t="s">
        <v>1397</v>
      </c>
      <c r="J662" s="8">
        <f>IFERROR(VLOOKUP($G662,今日總結!$A:$AN,39,0),"")</f>
        <v>0</v>
      </c>
      <c r="K662" s="5">
        <f>IFERROR(VLOOKUP($G662,今日總結!$A:$AN,40,0),"")</f>
        <v>0</v>
      </c>
      <c r="L662" s="156">
        <f>IFERROR(VLOOKUP($G662,今日總結!$A:$AN,37,0),"")</f>
        <v>0</v>
      </c>
      <c r="M662" s="337">
        <f>IFERROR(VLOOKUP($G662,今日總結!$A:$AN,38,0),"")</f>
        <v>0</v>
      </c>
      <c r="N662" s="240">
        <f t="shared" si="124"/>
        <v>0</v>
      </c>
      <c r="O662" s="359">
        <f>IFERROR(VLOOKUP($G662,融外自投!$A:$J,7,0),"無")</f>
        <v>862</v>
      </c>
      <c r="P662" s="79">
        <f>IFERROR(VLOOKUP($G662,融外自投!$A:$J,9,0),"無")</f>
        <v>1123</v>
      </c>
      <c r="Q662" s="342">
        <f>IFERROR(VLOOKUP($G662,融外自投!$A:$J,8,0),"無")</f>
        <v>693</v>
      </c>
      <c r="R662" s="81">
        <f>IFERROR(VLOOKUP($G662,融外自投!$A:$J,10,0),"無")</f>
        <v>281</v>
      </c>
      <c r="S662" s="324">
        <f>IFERROR(VLOOKUP($G662,'321買'!$A:$E,4,0),"'沒有資料'")</f>
        <v>6</v>
      </c>
      <c r="T662" s="186">
        <f>IFERROR(VLOOKUP($G662,基本資料!$A:$J,9,0),"無")</f>
        <v>2.4</v>
      </c>
      <c r="U662" s="307">
        <f t="shared" si="123"/>
        <v>2.6815642458100558E-2</v>
      </c>
      <c r="V662" s="94">
        <f>IFERROR(VLOOKUP($G662,基本資料!$A:$J,10,0),"無")</f>
        <v>4.8099999999999996</v>
      </c>
      <c r="W662" s="36">
        <f>RTD("money.excel",,"6548","Price")</f>
        <v>89.5</v>
      </c>
      <c r="X662" s="66"/>
      <c r="Y662" s="15">
        <f t="shared" si="125"/>
        <v>89.5</v>
      </c>
      <c r="Z662" s="3" t="e">
        <f t="shared" si="126"/>
        <v>#DIV/0!</v>
      </c>
      <c r="AA662" s="340">
        <f>IFERROR(VLOOKUP($G662,基本資料!$A:$M,11,0),"無")</f>
        <v>-22.51</v>
      </c>
      <c r="AB662" s="389">
        <f>IFERROR(VLOOKUP($G662,基本資料!$A:$M,12,0),"無")</f>
        <v>23.46</v>
      </c>
      <c r="AC662" s="16" t="s">
        <v>1397</v>
      </c>
      <c r="AF662" s="33">
        <f t="shared" si="127"/>
        <v>0</v>
      </c>
      <c r="AG662" s="117" t="s">
        <v>2804</v>
      </c>
      <c r="AH662" s="66">
        <f t="shared" si="122"/>
        <v>0.20217061367085709</v>
      </c>
      <c r="AI662" s="283">
        <f>RTD("money.excel",,$G662,"PredictVolume")</f>
        <v>353</v>
      </c>
      <c r="AJ662" s="391">
        <f>IFERROR(VLOOKUP($G662,基本資料!$A:$M,13,0),"無")</f>
        <v>1746.05</v>
      </c>
      <c r="AR662" s="245" t="str">
        <f>INDEX(基本資料!N:N,MATCH($G662,基本資料!A:A,0))</f>
        <v>低</v>
      </c>
    </row>
    <row r="663" spans="1:44">
      <c r="A663" s="343">
        <f>IFERROR(VLOOKUP($G663,基本資料!$A:$J,3,0),"無")</f>
        <v>8.3000000000000007</v>
      </c>
      <c r="B663" s="79">
        <f>IFERROR(VLOOKUP($G663,基本資料!$A:$J,4,0),"無")</f>
        <v>118</v>
      </c>
      <c r="C663" s="79">
        <f>IFERROR(VLOOKUP($G663,基本資料!$A:$J,5,0),"無")</f>
        <v>97</v>
      </c>
      <c r="D663" s="79">
        <f>IFERROR(VLOOKUP($G663,基本資料!$A:$J,6,0),"無")</f>
        <v>7</v>
      </c>
      <c r="E663" s="79">
        <f>IFERROR(VLOOKUP($G663,基本資料!$A:$J,7,0),"無")</f>
        <v>-4</v>
      </c>
      <c r="F663" s="6">
        <f>IFERROR(VLOOKUP($G663,基本資料!$A:$J,8,0),"無")</f>
        <v>12.02</v>
      </c>
      <c r="G663" s="79">
        <v>6552</v>
      </c>
      <c r="H663" s="8" t="s">
        <v>3038</v>
      </c>
      <c r="I663" s="22" t="s">
        <v>355</v>
      </c>
      <c r="J663" s="8" t="str">
        <f>IFERROR(VLOOKUP($G663,今日總結!$A:$AN,39,0),"")</f>
        <v>外</v>
      </c>
      <c r="K663" s="5" t="str">
        <f>IFERROR(VLOOKUP($G663,今日總結!$A:$AN,40,0),"")</f>
        <v>融</v>
      </c>
      <c r="L663" s="156">
        <f>IFERROR(VLOOKUP($G663,今日總結!$A:$AN,37,0),"")</f>
        <v>1</v>
      </c>
      <c r="M663" s="337">
        <f>IFERROR(VLOOKUP($G663,今日總結!$A:$AN,38,0),"")</f>
        <v>2</v>
      </c>
      <c r="N663" s="240">
        <f t="shared" si="124"/>
        <v>-1</v>
      </c>
      <c r="O663" s="359">
        <f>IFERROR(VLOOKUP($G663,融外自投!$A:$J,7,0),"無")</f>
        <v>268</v>
      </c>
      <c r="P663" s="79">
        <f>IFERROR(VLOOKUP($G663,融外自投!$A:$J,9,0),"無")</f>
        <v>501</v>
      </c>
      <c r="Q663" s="342">
        <f>IFERROR(VLOOKUP($G663,融外自投!$A:$J,8,0),"無")</f>
        <v>1267</v>
      </c>
      <c r="R663" s="81" t="str">
        <f>IFERROR(VLOOKUP($G663,融外自投!$A:$J,10,0),"無")</f>
        <v>無</v>
      </c>
      <c r="S663" s="324">
        <f>IFERROR(VLOOKUP($G663,'321買'!$A:$E,4,0),"'沒有資料'")</f>
        <v>606</v>
      </c>
      <c r="T663" s="186">
        <f>IFERROR(VLOOKUP($G663,基本資料!$A:$J,9,0),"無")</f>
        <v>2</v>
      </c>
      <c r="U663" s="307">
        <f t="shared" si="123"/>
        <v>4.5351473922902494E-2</v>
      </c>
      <c r="V663" s="94">
        <f>IFERROR(VLOOKUP($G663,基本資料!$A:$J,10,0),"無")</f>
        <v>3.91</v>
      </c>
      <c r="W663" s="36">
        <f>RTD("money.excel",,"6552","Price")</f>
        <v>44.1</v>
      </c>
      <c r="X663" s="66"/>
      <c r="Y663" s="15">
        <f t="shared" si="125"/>
        <v>44.1</v>
      </c>
      <c r="Z663" s="3" t="e">
        <f t="shared" si="126"/>
        <v>#DIV/0!</v>
      </c>
      <c r="AA663" s="340">
        <f>IFERROR(VLOOKUP($G663,基本資料!$A:$M,11,0),"無")</f>
        <v>-46.8</v>
      </c>
      <c r="AB663" s="389">
        <f>IFERROR(VLOOKUP($G663,基本資料!$A:$M,12,0),"無")</f>
        <v>14.14</v>
      </c>
      <c r="AC663" s="22" t="s">
        <v>355</v>
      </c>
      <c r="AF663" s="33">
        <f t="shared" si="127"/>
        <v>0</v>
      </c>
      <c r="AG663" s="43" t="s">
        <v>2536</v>
      </c>
      <c r="AH663" s="66">
        <f t="shared" si="122"/>
        <v>0.25</v>
      </c>
      <c r="AI663" s="283">
        <f>RTD("money.excel",,$G663,"PredictVolume")</f>
        <v>15</v>
      </c>
      <c r="AJ663" s="391">
        <f>IFERROR(VLOOKUP($G663,基本資料!$A:$M,13,0),"無")</f>
        <v>60</v>
      </c>
      <c r="AR663" s="245" t="str">
        <f>INDEX(基本資料!N:N,MATCH($G663,基本資料!A:A,0))</f>
        <v>低</v>
      </c>
    </row>
    <row r="664" spans="1:44">
      <c r="A664" s="343">
        <f>IFERROR(VLOOKUP($G664,基本資料!$A:$J,3,0),"無")</f>
        <v>3.08</v>
      </c>
      <c r="B664" s="79">
        <f>IFERROR(VLOOKUP($G664,基本資料!$A:$J,4,0),"無")</f>
        <v>-8</v>
      </c>
      <c r="C664" s="79">
        <f>IFERROR(VLOOKUP($G664,基本資料!$A:$J,5,0),"無")</f>
        <v>-21</v>
      </c>
      <c r="D664" s="79">
        <f>IFERROR(VLOOKUP($G664,基本資料!$A:$J,6,0),"無")</f>
        <v>8</v>
      </c>
      <c r="E664" s="79">
        <f>IFERROR(VLOOKUP($G664,基本資料!$A:$J,7,0),"無")</f>
        <v>16</v>
      </c>
      <c r="F664" s="6">
        <f>IFERROR(VLOOKUP($G664,基本資料!$A:$J,8,0),"無")</f>
        <v>16.440000000000001</v>
      </c>
      <c r="G664" s="79">
        <v>6568</v>
      </c>
      <c r="H664" s="192" t="s">
        <v>3038</v>
      </c>
      <c r="I664" s="16" t="s">
        <v>4064</v>
      </c>
      <c r="J664" s="8" t="str">
        <f>IFERROR(VLOOKUP($G664,今日總結!$A:$AN,39,0),"")</f>
        <v/>
      </c>
      <c r="K664" s="5" t="str">
        <f>IFERROR(VLOOKUP($G664,今日總結!$A:$AN,40,0),"")</f>
        <v/>
      </c>
      <c r="L664" s="156" t="str">
        <f>IFERROR(VLOOKUP($G664,今日總結!$A:$AN,37,0),"")</f>
        <v/>
      </c>
      <c r="M664" s="337" t="str">
        <f>IFERROR(VLOOKUP($G664,今日總結!$A:$AN,38,0),"")</f>
        <v/>
      </c>
      <c r="N664" s="240" t="str">
        <f t="shared" si="124"/>
        <v/>
      </c>
      <c r="O664" s="359" t="str">
        <f>IFERROR(VLOOKUP($G664,融外自投!$A:$J,7,0),"無")</f>
        <v>無</v>
      </c>
      <c r="P664" s="79" t="str">
        <f>IFERROR(VLOOKUP($G664,融外自投!$A:$J,9,0),"無")</f>
        <v>無</v>
      </c>
      <c r="Q664" s="342" t="str">
        <f>IFERROR(VLOOKUP($G664,融外自投!$A:$J,8,0),"無")</f>
        <v>無</v>
      </c>
      <c r="R664" s="81" t="str">
        <f>IFERROR(VLOOKUP($G664,融外自投!$A:$J,10,0),"無")</f>
        <v>無</v>
      </c>
      <c r="S664" s="324" t="str">
        <f>IFERROR(VLOOKUP($G664,'321買'!$A:$E,4,0),"'沒有資料'")</f>
        <v>'沒有資料'</v>
      </c>
      <c r="T664" s="186">
        <f>IFERROR(VLOOKUP($G664,基本資料!$A:$J,9,0),"無")</f>
        <v>5</v>
      </c>
      <c r="U664" s="307">
        <f t="shared" si="123"/>
        <v>3.1847133757961783E-2</v>
      </c>
      <c r="V664" s="94">
        <f>IFERROR(VLOOKUP($G664,基本資料!$A:$J,10,0),"無")</f>
        <v>5.65</v>
      </c>
      <c r="W664" s="36">
        <f>RTD("money.excel",,"6568","Price")</f>
        <v>157</v>
      </c>
      <c r="X664" s="66"/>
      <c r="Y664" s="15">
        <f t="shared" si="125"/>
        <v>157</v>
      </c>
      <c r="Z664" s="3" t="e">
        <f t="shared" si="126"/>
        <v>#DIV/0!</v>
      </c>
      <c r="AA664" s="340">
        <f>IFERROR(VLOOKUP($G664,基本資料!$A:$M,11,0),"無")</f>
        <v>-63.19</v>
      </c>
      <c r="AB664" s="389">
        <f>IFERROR(VLOOKUP($G664,基本資料!$A:$M,12,0),"無")</f>
        <v>13.89</v>
      </c>
      <c r="AC664" s="16" t="s">
        <v>4064</v>
      </c>
      <c r="AF664" s="33">
        <f t="shared" si="127"/>
        <v>0</v>
      </c>
      <c r="AG664" s="43" t="s">
        <v>2366</v>
      </c>
      <c r="AH664" s="66">
        <f t="shared" si="122"/>
        <v>0.86628324946081958</v>
      </c>
      <c r="AI664" s="283">
        <f>RTD("money.excel",,$G664,"PredictVolume")</f>
        <v>241</v>
      </c>
      <c r="AJ664" s="391">
        <f>IFERROR(VLOOKUP($G664,基本資料!$A:$M,13,0),"無")</f>
        <v>278.2</v>
      </c>
      <c r="AR664" s="245" t="str">
        <f>INDEX(基本資料!N:N,MATCH($G664,基本資料!A:A,0))</f>
        <v>低</v>
      </c>
    </row>
    <row r="665" spans="1:44">
      <c r="A665" s="343">
        <f>IFERROR(VLOOKUP($G665,基本資料!$A:$J,3,0),"無")</f>
        <v>8.0399999999999991</v>
      </c>
      <c r="B665" s="79">
        <f>IFERROR(VLOOKUP($G665,基本資料!$A:$J,4,0),"無")</f>
        <v>23</v>
      </c>
      <c r="C665" s="79">
        <f>IFERROR(VLOOKUP($G665,基本資料!$A:$J,5,0),"無")</f>
        <v>37</v>
      </c>
      <c r="D665" s="79">
        <f>IFERROR(VLOOKUP($G665,基本資料!$A:$J,6,0),"無")</f>
        <v>-9</v>
      </c>
      <c r="E665" s="79">
        <f>IFERROR(VLOOKUP($G665,基本資料!$A:$J,7,0),"無")</f>
        <v>-46</v>
      </c>
      <c r="F665" s="6">
        <f>IFERROR(VLOOKUP($G665,基本資料!$A:$J,8,0),"無")</f>
        <v>-5.52</v>
      </c>
      <c r="G665" s="79">
        <v>6573</v>
      </c>
      <c r="H665" s="8" t="s">
        <v>3038</v>
      </c>
      <c r="I665" s="22" t="s">
        <v>356</v>
      </c>
      <c r="J665" s="8">
        <f>IFERROR(VLOOKUP($G665,今日總結!$A:$AN,39,0),"")</f>
        <v>0</v>
      </c>
      <c r="K665" s="5">
        <f>IFERROR(VLOOKUP($G665,今日總結!$A:$AN,40,0),"")</f>
        <v>0</v>
      </c>
      <c r="L665" s="156">
        <f>IFERROR(VLOOKUP($G665,今日總結!$A:$AN,37,0),"")</f>
        <v>0</v>
      </c>
      <c r="M665" s="337">
        <f>IFERROR(VLOOKUP($G665,今日總結!$A:$AN,38,0),"")</f>
        <v>0</v>
      </c>
      <c r="N665" s="240">
        <f t="shared" si="124"/>
        <v>0</v>
      </c>
      <c r="O665" s="359">
        <f>IFERROR(VLOOKUP($G665,融外自投!$A:$J,7,0),"無")</f>
        <v>627</v>
      </c>
      <c r="P665" s="79">
        <f>IFERROR(VLOOKUP($G665,融外自投!$A:$J,9,0),"無")</f>
        <v>717</v>
      </c>
      <c r="Q665" s="342">
        <f>IFERROR(VLOOKUP($G665,融外自投!$A:$J,8,0),"無")</f>
        <v>50</v>
      </c>
      <c r="R665" s="81" t="str">
        <f>IFERROR(VLOOKUP($G665,融外自投!$A:$J,10,0),"無")</f>
        <v>無</v>
      </c>
      <c r="S665" s="324">
        <f>IFERROR(VLOOKUP($G665,'321買'!$A:$E,4,0),"'沒有資料'")</f>
        <v>801</v>
      </c>
      <c r="T665" s="186">
        <f>IFERROR(VLOOKUP($G665,基本資料!$A:$J,9,0),"無")</f>
        <v>0</v>
      </c>
      <c r="U665" s="307">
        <f t="shared" si="123"/>
        <v>0</v>
      </c>
      <c r="V665" s="94">
        <f>IFERROR(VLOOKUP($G665,基本資料!$A:$J,10,0),"無")</f>
        <v>-1.93</v>
      </c>
      <c r="W665" s="36">
        <f>RTD("money.excel",,"6573","Price")</f>
        <v>15.55</v>
      </c>
      <c r="X665" s="66"/>
      <c r="Y665" s="15">
        <f t="shared" si="125"/>
        <v>15.55</v>
      </c>
      <c r="Z665" s="3" t="e">
        <f t="shared" si="126"/>
        <v>#DIV/0!</v>
      </c>
      <c r="AA665" s="340">
        <f>IFERROR(VLOOKUP($G665,基本資料!$A:$M,11,0),"無")</f>
        <v>-55.57</v>
      </c>
      <c r="AB665" s="389">
        <f>IFERROR(VLOOKUP($G665,基本資料!$A:$M,12,0),"無")</f>
        <v>11.85</v>
      </c>
      <c r="AC665" s="22" t="s">
        <v>356</v>
      </c>
      <c r="AF665" s="33">
        <f t="shared" si="127"/>
        <v>0</v>
      </c>
      <c r="AG665" s="43" t="s">
        <v>1404</v>
      </c>
      <c r="AH665" s="66">
        <f t="shared" si="122"/>
        <v>0.27149321266968324</v>
      </c>
      <c r="AI665" s="283">
        <f>RTD("money.excel",,$G665,"PredictVolume")</f>
        <v>27</v>
      </c>
      <c r="AJ665" s="391">
        <f>IFERROR(VLOOKUP($G665,基本資料!$A:$M,13,0),"無")</f>
        <v>99.45</v>
      </c>
      <c r="AR665" s="245" t="str">
        <f>INDEX(基本資料!N:N,MATCH($G665,基本資料!A:A,0))</f>
        <v>低</v>
      </c>
    </row>
    <row r="666" spans="1:44">
      <c r="A666" s="343">
        <f>IFERROR(VLOOKUP($G666,基本資料!$A:$J,3,0),"無")</f>
        <v>3.01</v>
      </c>
      <c r="B666" s="79">
        <f>IFERROR(VLOOKUP($G666,基本資料!$A:$J,4,0),"無")</f>
        <v>-24</v>
      </c>
      <c r="C666" s="79">
        <f>IFERROR(VLOOKUP($G666,基本資料!$A:$J,5,0),"無")</f>
        <v>-27</v>
      </c>
      <c r="D666" s="79">
        <f>IFERROR(VLOOKUP($G666,基本資料!$A:$J,6,0),"無")</f>
        <v>-4</v>
      </c>
      <c r="E666" s="79">
        <f>IFERROR(VLOOKUP($G666,基本資料!$A:$J,7,0),"無")</f>
        <v>32</v>
      </c>
      <c r="F666" s="6">
        <f>IFERROR(VLOOKUP($G666,基本資料!$A:$J,8,0),"無")</f>
        <v>5.79</v>
      </c>
      <c r="G666" s="79">
        <v>6594</v>
      </c>
      <c r="H666" s="192" t="s">
        <v>3038</v>
      </c>
      <c r="I666" s="16" t="s">
        <v>4065</v>
      </c>
      <c r="J666" s="8">
        <f>IFERROR(VLOOKUP($G666,今日總結!$A:$AN,39,0),"")</f>
        <v>0</v>
      </c>
      <c r="K666" s="5">
        <f>IFERROR(VLOOKUP($G666,今日總結!$A:$AN,40,0),"")</f>
        <v>0</v>
      </c>
      <c r="L666" s="156">
        <f>IFERROR(VLOOKUP($G666,今日總結!$A:$AN,37,0),"")</f>
        <v>0</v>
      </c>
      <c r="M666" s="337">
        <f>IFERROR(VLOOKUP($G666,今日總結!$A:$AN,38,0),"")</f>
        <v>0</v>
      </c>
      <c r="N666" s="240">
        <f t="shared" si="124"/>
        <v>0</v>
      </c>
      <c r="O666" s="359">
        <f>IFERROR(VLOOKUP($G666,融外自投!$A:$J,7,0),"無")</f>
        <v>1246</v>
      </c>
      <c r="P666" s="79">
        <f>IFERROR(VLOOKUP($G666,融外自投!$A:$J,9,0),"無")</f>
        <v>1123</v>
      </c>
      <c r="Q666" s="342">
        <f>IFERROR(VLOOKUP($G666,融外自投!$A:$J,8,0),"無")</f>
        <v>1174</v>
      </c>
      <c r="R666" s="81" t="str">
        <f>IFERROR(VLOOKUP($G666,融外自投!$A:$J,10,0),"無")</f>
        <v>無</v>
      </c>
      <c r="S666" s="324">
        <f>IFERROR(VLOOKUP($G666,'321買'!$A:$E,4,0),"'沒有資料'")</f>
        <v>696</v>
      </c>
      <c r="T666" s="186">
        <f>IFERROR(VLOOKUP($G666,基本資料!$A:$J,9,0),"無")</f>
        <v>1</v>
      </c>
      <c r="U666" s="307">
        <f t="shared" si="123"/>
        <v>2.9112081513828238E-2</v>
      </c>
      <c r="V666" s="94">
        <f>IFERROR(VLOOKUP($G666,基本資料!$A:$J,10,0),"無")</f>
        <v>1.08</v>
      </c>
      <c r="W666" s="36">
        <f>RTD("money.excel",,"6594","Price")</f>
        <v>34.35</v>
      </c>
      <c r="X666" s="66"/>
      <c r="Y666" s="15">
        <f t="shared" si="125"/>
        <v>34.35</v>
      </c>
      <c r="Z666" s="3" t="e">
        <f t="shared" si="126"/>
        <v>#DIV/0!</v>
      </c>
      <c r="AA666" s="340">
        <f>IFERROR(VLOOKUP($G666,基本資料!$A:$M,11,0),"無")</f>
        <v>-44.69</v>
      </c>
      <c r="AB666" s="389">
        <f>IFERROR(VLOOKUP($G666,基本資料!$A:$M,12,0),"無")</f>
        <v>20.079999999999998</v>
      </c>
      <c r="AC666" s="16" t="s">
        <v>4065</v>
      </c>
      <c r="AF666" s="33">
        <f t="shared" si="127"/>
        <v>0</v>
      </c>
      <c r="AG666" s="43" t="s">
        <v>2367</v>
      </c>
      <c r="AH666" s="66">
        <f t="shared" si="122"/>
        <v>0.32809295967190699</v>
      </c>
      <c r="AI666" s="283">
        <f>RTD("money.excel",,$G666,"PredictVolume")</f>
        <v>24</v>
      </c>
      <c r="AJ666" s="391">
        <f>IFERROR(VLOOKUP($G666,基本資料!$A:$M,13,0),"無")</f>
        <v>73.150000000000006</v>
      </c>
      <c r="AR666" s="245" t="str">
        <f>INDEX(基本資料!N:N,MATCH($G666,基本資料!A:A,0))</f>
        <v>低</v>
      </c>
    </row>
    <row r="667" spans="1:44">
      <c r="A667" s="343">
        <f>IFERROR(VLOOKUP($G667,基本資料!$A:$J,3,0),"無")</f>
        <v>2.82</v>
      </c>
      <c r="B667" s="79">
        <f>IFERROR(VLOOKUP($G667,基本資料!$A:$J,4,0),"無")</f>
        <v>344</v>
      </c>
      <c r="C667" s="79">
        <f>IFERROR(VLOOKUP($G667,基本資料!$A:$J,5,0),"無")</f>
        <v>1121</v>
      </c>
      <c r="D667" s="79">
        <f>IFERROR(VLOOKUP($G667,基本資料!$A:$J,6,0),"無")</f>
        <v>-33</v>
      </c>
      <c r="E667" s="79">
        <f>IFERROR(VLOOKUP($G667,基本資料!$A:$J,7,0),"無")</f>
        <v>-18</v>
      </c>
      <c r="F667" s="6">
        <f>IFERROR(VLOOKUP($G667,基本資料!$A:$J,8,0),"無")</f>
        <v>10.86</v>
      </c>
      <c r="G667" s="79">
        <v>6640</v>
      </c>
      <c r="H667" s="192" t="s">
        <v>3038</v>
      </c>
      <c r="I667" s="16" t="s">
        <v>1063</v>
      </c>
      <c r="J667" s="8" t="str">
        <f>IFERROR(VLOOKUP($G667,今日總結!$A:$AN,39,0),"")</f>
        <v/>
      </c>
      <c r="K667" s="5" t="str">
        <f>IFERROR(VLOOKUP($G667,今日總結!$A:$AN,40,0),"")</f>
        <v/>
      </c>
      <c r="L667" s="156" t="str">
        <f>IFERROR(VLOOKUP($G667,今日總結!$A:$AN,37,0),"")</f>
        <v/>
      </c>
      <c r="M667" s="337" t="str">
        <f>IFERROR(VLOOKUP($G667,今日總結!$A:$AN,38,0),"")</f>
        <v/>
      </c>
      <c r="N667" s="240" t="str">
        <f t="shared" si="124"/>
        <v/>
      </c>
      <c r="O667" s="359" t="str">
        <f>IFERROR(VLOOKUP($G667,融外自投!$A:$J,7,0),"無")</f>
        <v>無</v>
      </c>
      <c r="P667" s="79" t="str">
        <f>IFERROR(VLOOKUP($G667,融外自投!$A:$J,9,0),"無")</f>
        <v>無</v>
      </c>
      <c r="Q667" s="342" t="str">
        <f>IFERROR(VLOOKUP($G667,融外自投!$A:$J,8,0),"無")</f>
        <v>無</v>
      </c>
      <c r="R667" s="81" t="str">
        <f>IFERROR(VLOOKUP($G667,融外自投!$A:$J,10,0),"無")</f>
        <v>無</v>
      </c>
      <c r="S667" s="324" t="str">
        <f>IFERROR(VLOOKUP($G667,'321買'!$A:$E,4,0),"'沒有資料'")</f>
        <v>'沒有資料'</v>
      </c>
      <c r="T667" s="186">
        <f>IFERROR(VLOOKUP($G667,基本資料!$A:$J,9,0),"無")</f>
        <v>5</v>
      </c>
      <c r="U667" s="307">
        <f t="shared" si="123"/>
        <v>5.4704595185995623E-2</v>
      </c>
      <c r="V667" s="94">
        <f>IFERROR(VLOOKUP($G667,基本資料!$A:$J,10,0),"無")</f>
        <v>5.84</v>
      </c>
      <c r="W667" s="36">
        <f>RTD("money.excel",,"6640","Price")</f>
        <v>91.4</v>
      </c>
      <c r="X667" s="66"/>
      <c r="Y667" s="15">
        <f t="shared" si="125"/>
        <v>91.4</v>
      </c>
      <c r="Z667" s="3" t="e">
        <f t="shared" si="126"/>
        <v>#DIV/0!</v>
      </c>
      <c r="AA667" s="340">
        <f>IFERROR(VLOOKUP($G667,基本資料!$A:$M,11,0),"無")</f>
        <v>-50.59</v>
      </c>
      <c r="AB667" s="389">
        <f>IFERROR(VLOOKUP($G667,基本資料!$A:$M,12,0),"無")</f>
        <v>33.479999999999997</v>
      </c>
      <c r="AC667" s="16" t="s">
        <v>1063</v>
      </c>
      <c r="AF667" s="33">
        <f t="shared" si="127"/>
        <v>0</v>
      </c>
      <c r="AG667" s="43" t="s">
        <v>2368</v>
      </c>
      <c r="AH667" s="66">
        <f t="shared" si="122"/>
        <v>0.35714285714285715</v>
      </c>
      <c r="AI667" s="283">
        <f>RTD("money.excel",,$G667,"PredictVolume")</f>
        <v>4</v>
      </c>
      <c r="AJ667" s="391">
        <f>IFERROR(VLOOKUP($G667,基本資料!$A:$M,13,0),"無")</f>
        <v>11.2</v>
      </c>
      <c r="AR667" s="245" t="str">
        <f>INDEX(基本資料!N:N,MATCH($G667,基本資料!A:A,0))</f>
        <v>低</v>
      </c>
    </row>
    <row r="668" spans="1:44">
      <c r="A668" s="343">
        <f>IFERROR(VLOOKUP($G668,基本資料!$A:$J,3,0),"無")</f>
        <v>3.16</v>
      </c>
      <c r="B668" s="79">
        <f>IFERROR(VLOOKUP($G668,基本資料!$A:$J,4,0),"無")</f>
        <v>-21</v>
      </c>
      <c r="C668" s="79">
        <f>IFERROR(VLOOKUP($G668,基本資料!$A:$J,5,0),"無")</f>
        <v>-25</v>
      </c>
      <c r="D668" s="79">
        <f>IFERROR(VLOOKUP($G668,基本資料!$A:$J,6,0),"無")</f>
        <v>10</v>
      </c>
      <c r="E668" s="79">
        <f>IFERROR(VLOOKUP($G668,基本資料!$A:$J,7,0),"無")</f>
        <v>34</v>
      </c>
      <c r="F668" s="6">
        <f>IFERROR(VLOOKUP($G668,基本資料!$A:$J,8,0),"無")</f>
        <v>30.92</v>
      </c>
      <c r="G668" s="79">
        <v>6643</v>
      </c>
      <c r="H668" s="192" t="s">
        <v>3038</v>
      </c>
      <c r="I668" s="16" t="s">
        <v>1598</v>
      </c>
      <c r="J668" s="8" t="str">
        <f>IFERROR(VLOOKUP($G668,今日總結!$A:$AN,39,0),"")</f>
        <v>主</v>
      </c>
      <c r="K668" s="5">
        <f>IFERROR(VLOOKUP($G668,今日總結!$A:$AN,40,0),"")</f>
        <v>0</v>
      </c>
      <c r="L668" s="156">
        <f>IFERROR(VLOOKUP($G668,今日總結!$A:$AN,37,0),"")</f>
        <v>1</v>
      </c>
      <c r="M668" s="337">
        <f>IFERROR(VLOOKUP($G668,今日總結!$A:$AN,38,0),"")</f>
        <v>0</v>
      </c>
      <c r="N668" s="240">
        <f t="shared" si="124"/>
        <v>1</v>
      </c>
      <c r="O668" s="359">
        <f>IFERROR(VLOOKUP($G668,融外自投!$A:$J,7,0),"無")</f>
        <v>285</v>
      </c>
      <c r="P668" s="79">
        <f>IFERROR(VLOOKUP($G668,融外自投!$A:$J,9,0),"無")</f>
        <v>946</v>
      </c>
      <c r="Q668" s="342">
        <f>IFERROR(VLOOKUP($G668,融外自投!$A:$J,8,0),"無")</f>
        <v>541</v>
      </c>
      <c r="R668" s="81" t="str">
        <f>IFERROR(VLOOKUP($G668,融外自投!$A:$J,10,0),"無")</f>
        <v>無</v>
      </c>
      <c r="S668" s="324">
        <f>IFERROR(VLOOKUP($G668,'321買'!$A:$E,4,0),"'沒有資料'")</f>
        <v>411</v>
      </c>
      <c r="T668" s="186">
        <f>IFERROR(VLOOKUP($G668,基本資料!$A:$J,9,0),"無")</f>
        <v>6.3</v>
      </c>
      <c r="U668" s="307">
        <f t="shared" si="123"/>
        <v>2.2499999999999999E-2</v>
      </c>
      <c r="V668" s="94">
        <f>IFERROR(VLOOKUP($G668,基本資料!$A:$J,10,0),"無")</f>
        <v>8.1199999999999992</v>
      </c>
      <c r="W668" s="36">
        <f>RTD("money.excel",,"6643","Price")</f>
        <v>280</v>
      </c>
      <c r="X668" s="66"/>
      <c r="Y668" s="15">
        <f t="shared" si="125"/>
        <v>280</v>
      </c>
      <c r="Z668" s="3" t="e">
        <f t="shared" si="126"/>
        <v>#DIV/0!</v>
      </c>
      <c r="AA668" s="340">
        <f>IFERROR(VLOOKUP($G668,基本資料!$A:$M,11,0),"無")</f>
        <v>-40.869999999999997</v>
      </c>
      <c r="AB668" s="389">
        <f>IFERROR(VLOOKUP($G668,基本資料!$A:$M,12,0),"無")</f>
        <v>25.97</v>
      </c>
      <c r="AC668" s="16" t="s">
        <v>1598</v>
      </c>
      <c r="AF668" s="33">
        <f t="shared" si="127"/>
        <v>0</v>
      </c>
      <c r="AG668" s="117" t="s">
        <v>2923</v>
      </c>
      <c r="AH668" s="66">
        <f t="shared" si="122"/>
        <v>0.49751243781094534</v>
      </c>
      <c r="AI668" s="283">
        <f>RTD("money.excel",,$G668,"PredictVolume")</f>
        <v>70</v>
      </c>
      <c r="AJ668" s="391">
        <f>IFERROR(VLOOKUP($G668,基本資料!$A:$M,13,0),"無")</f>
        <v>140.69999999999999</v>
      </c>
      <c r="AR668" s="245" t="str">
        <f>INDEX(基本資料!N:N,MATCH($G668,基本資料!A:A,0))</f>
        <v>低</v>
      </c>
    </row>
    <row r="669" spans="1:44">
      <c r="A669" s="343">
        <f>IFERROR(VLOOKUP($G669,基本資料!$A:$J,3,0),"無")</f>
        <v>3.29</v>
      </c>
      <c r="B669" s="79">
        <f>IFERROR(VLOOKUP($G669,基本資料!$A:$J,4,0),"無")</f>
        <v>112</v>
      </c>
      <c r="C669" s="79">
        <f>IFERROR(VLOOKUP($G669,基本資料!$A:$J,5,0),"無")</f>
        <v>94</v>
      </c>
      <c r="D669" s="79">
        <f>IFERROR(VLOOKUP($G669,基本資料!$A:$J,6,0),"無")</f>
        <v>-14</v>
      </c>
      <c r="E669" s="79">
        <f>IFERROR(VLOOKUP($G669,基本資料!$A:$J,7,0),"無")</f>
        <v>0</v>
      </c>
      <c r="F669" s="6">
        <f>IFERROR(VLOOKUP($G669,基本資料!$A:$J,8,0),"無")</f>
        <v>19.71</v>
      </c>
      <c r="G669" s="79">
        <v>6651</v>
      </c>
      <c r="H669" s="192" t="s">
        <v>307</v>
      </c>
      <c r="I669" s="16" t="s">
        <v>2336</v>
      </c>
      <c r="J669" s="8">
        <f>IFERROR(VLOOKUP($G669,今日總結!$A:$AN,39,0),"")</f>
        <v>0</v>
      </c>
      <c r="K669" s="5">
        <f>IFERROR(VLOOKUP($G669,今日總結!$A:$AN,40,0),"")</f>
        <v>0</v>
      </c>
      <c r="L669" s="156">
        <f>IFERROR(VLOOKUP($G669,今日總結!$A:$AN,37,0),"")</f>
        <v>0</v>
      </c>
      <c r="M669" s="337">
        <f>IFERROR(VLOOKUP($G669,今日總結!$A:$AN,38,0),"")</f>
        <v>0</v>
      </c>
      <c r="N669" s="240">
        <f t="shared" si="124"/>
        <v>0</v>
      </c>
      <c r="O669" s="359">
        <f>IFERROR(VLOOKUP($G669,融外自投!$A:$J,7,0),"無")</f>
        <v>765</v>
      </c>
      <c r="P669" s="79">
        <f>IFERROR(VLOOKUP($G669,融外自投!$A:$J,9,0),"無")</f>
        <v>908</v>
      </c>
      <c r="Q669" s="342">
        <f>IFERROR(VLOOKUP($G669,融外自投!$A:$J,8,0),"無")</f>
        <v>1312</v>
      </c>
      <c r="R669" s="81" t="str">
        <f>IFERROR(VLOOKUP($G669,融外自投!$A:$J,10,0),"無")</f>
        <v>無</v>
      </c>
      <c r="S669" s="324">
        <f>IFERROR(VLOOKUP($G669,'321買'!$A:$E,4,0),"'沒有資料'")</f>
        <v>497</v>
      </c>
      <c r="T669" s="186">
        <f>IFERROR(VLOOKUP($G669,基本資料!$A:$J,9,0),"無")</f>
        <v>4.5</v>
      </c>
      <c r="U669" s="307">
        <f t="shared" si="123"/>
        <v>5.1724137931034482E-2</v>
      </c>
      <c r="V669" s="94">
        <f>IFERROR(VLOOKUP($G669,基本資料!$A:$J,10,0),"無")</f>
        <v>7.77</v>
      </c>
      <c r="W669" s="36">
        <f>RTD("money.excel",,"6651","Price")</f>
        <v>87</v>
      </c>
      <c r="X669" s="66"/>
      <c r="Y669" s="15">
        <f t="shared" si="125"/>
        <v>87</v>
      </c>
      <c r="Z669" s="3" t="e">
        <f t="shared" si="126"/>
        <v>#DIV/0!</v>
      </c>
      <c r="AA669" s="340">
        <f>IFERROR(VLOOKUP($G669,基本資料!$A:$M,11,0),"無")</f>
        <v>-43.14</v>
      </c>
      <c r="AB669" s="389">
        <f>IFERROR(VLOOKUP($G669,基本資料!$A:$M,12,0),"無")</f>
        <v>31.05</v>
      </c>
      <c r="AC669" s="16" t="s">
        <v>2336</v>
      </c>
      <c r="AF669" s="33">
        <f t="shared" si="127"/>
        <v>0</v>
      </c>
      <c r="AG669" s="43" t="s">
        <v>2175</v>
      </c>
      <c r="AH669" s="66">
        <f t="shared" si="122"/>
        <v>0.60606060606060608</v>
      </c>
      <c r="AI669" s="283">
        <f>RTD("money.excel",,$G669,"PredictVolume")</f>
        <v>37</v>
      </c>
      <c r="AJ669" s="391">
        <f>IFERROR(VLOOKUP($G669,基本資料!$A:$M,13,0),"無")</f>
        <v>61.05</v>
      </c>
      <c r="AR669" s="245" t="str">
        <f>INDEX(基本資料!N:N,MATCH($G669,基本資料!A:A,0))</f>
        <v>低</v>
      </c>
    </row>
    <row r="670" spans="1:44">
      <c r="A670" s="343">
        <f>IFERROR(VLOOKUP($G670,基本資料!$A:$J,3,0),"無")</f>
        <v>4.3499999999999996</v>
      </c>
      <c r="B670" s="79">
        <f>IFERROR(VLOOKUP($G670,基本資料!$A:$J,4,0),"無")</f>
        <v>102</v>
      </c>
      <c r="C670" s="79">
        <f>IFERROR(VLOOKUP($G670,基本資料!$A:$J,5,0),"無")</f>
        <v>92</v>
      </c>
      <c r="D670" s="79">
        <f>IFERROR(VLOOKUP($G670,基本資料!$A:$J,6,0),"無")</f>
        <v>8</v>
      </c>
      <c r="E670" s="79">
        <f>IFERROR(VLOOKUP($G670,基本資料!$A:$J,7,0),"無")</f>
        <v>7</v>
      </c>
      <c r="F670" s="6">
        <f>IFERROR(VLOOKUP($G670,基本資料!$A:$J,8,0),"無")</f>
        <v>27.61</v>
      </c>
      <c r="G670" s="79">
        <v>6679</v>
      </c>
      <c r="H670" s="192" t="s">
        <v>3038</v>
      </c>
      <c r="I670" s="16" t="s">
        <v>1677</v>
      </c>
      <c r="J670" s="8" t="str">
        <f>IFERROR(VLOOKUP($G670,今日總結!$A:$AN,39,0),"")</f>
        <v>外</v>
      </c>
      <c r="K670" s="5" t="str">
        <f>IFERROR(VLOOKUP($G670,今日總結!$A:$AN,40,0),"")</f>
        <v>投</v>
      </c>
      <c r="L670" s="156">
        <f>IFERROR(VLOOKUP($G670,今日總結!$A:$AN,37,0),"")</f>
        <v>2</v>
      </c>
      <c r="M670" s="337">
        <f>IFERROR(VLOOKUP($G670,今日總結!$A:$AN,38,0),"")</f>
        <v>5</v>
      </c>
      <c r="N670" s="240">
        <f t="shared" si="124"/>
        <v>-3</v>
      </c>
      <c r="O670" s="359">
        <f>IFERROR(VLOOKUP($G670,融外自投!$A:$J,7,0),"無")</f>
        <v>418</v>
      </c>
      <c r="P670" s="79">
        <f>IFERROR(VLOOKUP($G670,融外自投!$A:$J,9,0),"無")</f>
        <v>537</v>
      </c>
      <c r="Q670" s="342">
        <f>IFERROR(VLOOKUP($G670,融外自投!$A:$J,8,0),"無")</f>
        <v>444</v>
      </c>
      <c r="R670" s="81">
        <f>IFERROR(VLOOKUP($G670,融外自投!$A:$J,10,0),"無")</f>
        <v>28</v>
      </c>
      <c r="S670" s="324">
        <f>IFERROR(VLOOKUP($G670,'321買'!$A:$E,4,0),"'沒有資料'")</f>
        <v>134</v>
      </c>
      <c r="T670" s="186">
        <f>IFERROR(VLOOKUP($G670,基本資料!$A:$J,9,0),"無")</f>
        <v>9.1</v>
      </c>
      <c r="U670" s="307">
        <f t="shared" si="123"/>
        <v>2.8888888888888888E-2</v>
      </c>
      <c r="V670" s="94">
        <f>IFERROR(VLOOKUP($G670,基本資料!$A:$J,10,0),"無")</f>
        <v>15.06</v>
      </c>
      <c r="W670" s="36">
        <f>RTD("money.excel",,"6679","Price")</f>
        <v>315</v>
      </c>
      <c r="X670" s="66"/>
      <c r="Y670" s="15">
        <f t="shared" si="125"/>
        <v>315</v>
      </c>
      <c r="Z670" s="3" t="e">
        <f t="shared" si="126"/>
        <v>#DIV/0!</v>
      </c>
      <c r="AA670" s="340">
        <f>IFERROR(VLOOKUP($G670,基本資料!$A:$M,11,0),"無")</f>
        <v>-35.71</v>
      </c>
      <c r="AB670" s="389">
        <f>IFERROR(VLOOKUP($G670,基本資料!$A:$M,12,0),"無")</f>
        <v>13.56</v>
      </c>
      <c r="AC670" s="16" t="s">
        <v>1677</v>
      </c>
      <c r="AF670" s="33">
        <f t="shared" si="127"/>
        <v>0</v>
      </c>
      <c r="AG670" s="43" t="s">
        <v>2344</v>
      </c>
      <c r="AH670" s="66">
        <f t="shared" si="122"/>
        <v>0.46878329426805881</v>
      </c>
      <c r="AI670" s="283">
        <f>RTD("money.excel",,$G670,"PredictVolume")</f>
        <v>220</v>
      </c>
      <c r="AJ670" s="391">
        <f>IFERROR(VLOOKUP($G670,基本資料!$A:$M,13,0),"無")</f>
        <v>469.3</v>
      </c>
      <c r="AR670" s="245" t="str">
        <f>INDEX(基本資料!N:N,MATCH($G670,基本資料!A:A,0))</f>
        <v>低</v>
      </c>
    </row>
    <row r="671" spans="1:44">
      <c r="A671" s="343">
        <f>IFERROR(VLOOKUP($G671,基本資料!$A:$J,3,0),"無")</f>
        <v>2.7</v>
      </c>
      <c r="B671" s="79">
        <f>IFERROR(VLOOKUP($G671,基本資料!$A:$J,4,0),"無")</f>
        <v>25</v>
      </c>
      <c r="C671" s="79">
        <f>IFERROR(VLOOKUP($G671,基本資料!$A:$J,5,0),"無")</f>
        <v>23</v>
      </c>
      <c r="D671" s="79">
        <f>IFERROR(VLOOKUP($G671,基本資料!$A:$J,6,0),"無")</f>
        <v>-5</v>
      </c>
      <c r="E671" s="79">
        <f>IFERROR(VLOOKUP($G671,基本資料!$A:$J,7,0),"無")</f>
        <v>0</v>
      </c>
      <c r="F671" s="6">
        <f>IFERROR(VLOOKUP($G671,基本資料!$A:$J,8,0),"無")</f>
        <v>36.49</v>
      </c>
      <c r="G671" s="79">
        <v>6683</v>
      </c>
      <c r="H671" s="192" t="s">
        <v>3038</v>
      </c>
      <c r="I671" s="16" t="s">
        <v>1678</v>
      </c>
      <c r="J671" s="8" t="str">
        <f>IFERROR(VLOOKUP($G671,今日總結!$A:$AN,39,0),"")</f>
        <v/>
      </c>
      <c r="K671" s="5" t="str">
        <f>IFERROR(VLOOKUP($G671,今日總結!$A:$AN,40,0),"")</f>
        <v/>
      </c>
      <c r="L671" s="156" t="str">
        <f>IFERROR(VLOOKUP($G671,今日總結!$A:$AN,37,0),"")</f>
        <v/>
      </c>
      <c r="M671" s="337" t="str">
        <f>IFERROR(VLOOKUP($G671,今日總結!$A:$AN,38,0),"")</f>
        <v/>
      </c>
      <c r="N671" s="240" t="str">
        <f t="shared" si="124"/>
        <v/>
      </c>
      <c r="O671" s="359" t="str">
        <f>IFERROR(VLOOKUP($G671,融外自投!$A:$J,7,0),"無")</f>
        <v>無</v>
      </c>
      <c r="P671" s="79" t="str">
        <f>IFERROR(VLOOKUP($G671,融外自投!$A:$J,9,0),"無")</f>
        <v>無</v>
      </c>
      <c r="Q671" s="342" t="str">
        <f>IFERROR(VLOOKUP($G671,融外自投!$A:$J,8,0),"無")</f>
        <v>無</v>
      </c>
      <c r="R671" s="81" t="str">
        <f>IFERROR(VLOOKUP($G671,融外自投!$A:$J,10,0),"無")</f>
        <v>無</v>
      </c>
      <c r="S671" s="324" t="str">
        <f>IFERROR(VLOOKUP($G671,'321買'!$A:$E,4,0),"'沒有資料'")</f>
        <v>'沒有資料'</v>
      </c>
      <c r="T671" s="186">
        <f>IFERROR(VLOOKUP($G671,基本資料!$A:$J,9,0),"無")</f>
        <v>7.8</v>
      </c>
      <c r="U671" s="307">
        <f t="shared" si="123"/>
        <v>3.5056179775280895E-2</v>
      </c>
      <c r="V671" s="94">
        <f>IFERROR(VLOOKUP($G671,基本資料!$A:$J,10,0),"無")</f>
        <v>15.5</v>
      </c>
      <c r="W671" s="36">
        <f>RTD("money.excel",,"6683","Price")</f>
        <v>222.5</v>
      </c>
      <c r="X671" s="66"/>
      <c r="Y671" s="15">
        <f t="shared" si="125"/>
        <v>222.5</v>
      </c>
      <c r="Z671" s="3" t="e">
        <f t="shared" si="126"/>
        <v>#DIV/0!</v>
      </c>
      <c r="AA671" s="340">
        <f>IFERROR(VLOOKUP($G671,基本資料!$A:$M,11,0),"無")</f>
        <v>-45.06</v>
      </c>
      <c r="AB671" s="389">
        <f>IFERROR(VLOOKUP($G671,基本資料!$A:$M,12,0),"無")</f>
        <v>20.170000000000002</v>
      </c>
      <c r="AC671" s="16" t="s">
        <v>1678</v>
      </c>
      <c r="AF671" s="33">
        <f t="shared" si="127"/>
        <v>0</v>
      </c>
      <c r="AG671" s="43" t="s">
        <v>2942</v>
      </c>
      <c r="AH671" s="66">
        <f t="shared" si="122"/>
        <v>0.66086956521739126</v>
      </c>
      <c r="AI671" s="283">
        <f>RTD("money.excel",,$G671,"PredictVolume")</f>
        <v>38</v>
      </c>
      <c r="AJ671" s="391">
        <f>IFERROR(VLOOKUP($G671,基本資料!$A:$M,13,0),"無")</f>
        <v>57.5</v>
      </c>
      <c r="AR671" s="245" t="str">
        <f>INDEX(基本資料!N:N,MATCH($G671,基本資料!A:A,0))</f>
        <v>低</v>
      </c>
    </row>
    <row r="672" spans="1:44">
      <c r="A672" s="343">
        <f>IFERROR(VLOOKUP($G672,基本資料!$A:$J,3,0),"無")</f>
        <v>2.46</v>
      </c>
      <c r="B672" s="79">
        <f>IFERROR(VLOOKUP($G672,基本資料!$A:$J,4,0),"無")</f>
        <v>260</v>
      </c>
      <c r="C672" s="79">
        <f>IFERROR(VLOOKUP($G672,基本資料!$A:$J,5,0),"無")</f>
        <v>274</v>
      </c>
      <c r="D672" s="79">
        <f>IFERROR(VLOOKUP($G672,基本資料!$A:$J,6,0),"無")</f>
        <v>-15</v>
      </c>
      <c r="E672" s="79">
        <f>IFERROR(VLOOKUP($G672,基本資料!$A:$J,7,0),"無")</f>
        <v>-3</v>
      </c>
      <c r="F672" s="6">
        <f>IFERROR(VLOOKUP($G672,基本資料!$A:$J,8,0),"無")</f>
        <v>29.39</v>
      </c>
      <c r="G672" s="79">
        <v>6684</v>
      </c>
      <c r="H672" s="192" t="s">
        <v>3038</v>
      </c>
      <c r="I672" s="16" t="s">
        <v>3393</v>
      </c>
      <c r="J672" s="8" t="str">
        <f>IFERROR(VLOOKUP($G672,今日總結!$A:$AN,39,0),"")</f>
        <v/>
      </c>
      <c r="K672" s="5" t="str">
        <f>IFERROR(VLOOKUP($G672,今日總結!$A:$AN,40,0),"")</f>
        <v/>
      </c>
      <c r="L672" s="156" t="str">
        <f>IFERROR(VLOOKUP($G672,今日總結!$A:$AN,37,0),"")</f>
        <v/>
      </c>
      <c r="M672" s="337" t="str">
        <f>IFERROR(VLOOKUP($G672,今日總結!$A:$AN,38,0),"")</f>
        <v/>
      </c>
      <c r="N672" s="240" t="str">
        <f t="shared" si="124"/>
        <v/>
      </c>
      <c r="O672" s="359" t="str">
        <f>IFERROR(VLOOKUP($G672,融外自投!$A:$J,7,0),"無")</f>
        <v>無</v>
      </c>
      <c r="P672" s="79" t="str">
        <f>IFERROR(VLOOKUP($G672,融外自投!$A:$J,9,0),"無")</f>
        <v>無</v>
      </c>
      <c r="Q672" s="342" t="str">
        <f>IFERROR(VLOOKUP($G672,融外自投!$A:$J,8,0),"無")</f>
        <v>無</v>
      </c>
      <c r="R672" s="81" t="str">
        <f>IFERROR(VLOOKUP($G672,融外自投!$A:$J,10,0),"無")</f>
        <v>無</v>
      </c>
      <c r="S672" s="324" t="str">
        <f>IFERROR(VLOOKUP($G672,'321買'!$A:$E,4,0),"'沒有資料'")</f>
        <v>'沒有資料'</v>
      </c>
      <c r="T672" s="186">
        <f>IFERROR(VLOOKUP($G672,基本資料!$A:$J,9,0),"無")</f>
        <v>5.5</v>
      </c>
      <c r="U672" s="307">
        <f t="shared" si="123"/>
        <v>5.2884615384615384E-2</v>
      </c>
      <c r="V672" s="94">
        <f>IFERROR(VLOOKUP($G672,基本資料!$A:$J,10,0),"無")</f>
        <v>6.59</v>
      </c>
      <c r="W672" s="36">
        <f>RTD("money.excel",,"6684","Price")</f>
        <v>104</v>
      </c>
      <c r="X672" s="66"/>
      <c r="Y672" s="15">
        <f t="shared" si="125"/>
        <v>104</v>
      </c>
      <c r="Z672" s="3" t="e">
        <f t="shared" si="126"/>
        <v>#DIV/0!</v>
      </c>
      <c r="AA672" s="340" t="str">
        <f>IFERROR(VLOOKUP($G672,基本資料!$A:$M,11,0),"無")</f>
        <v>無</v>
      </c>
      <c r="AB672" s="389" t="str">
        <f>IFERROR(VLOOKUP($G672,基本資料!$A:$M,12,0),"無")</f>
        <v>無</v>
      </c>
      <c r="AC672" s="16" t="s">
        <v>3393</v>
      </c>
      <c r="AF672" s="33">
        <f t="shared" si="127"/>
        <v>0</v>
      </c>
      <c r="AG672" s="43" t="s">
        <v>3394</v>
      </c>
      <c r="AH672" s="66" t="e">
        <f t="shared" si="122"/>
        <v>#VALUE!</v>
      </c>
      <c r="AI672" s="283">
        <f>RTD("money.excel",,$G672,"PredictVolume")</f>
        <v>276</v>
      </c>
      <c r="AJ672" s="391" t="str">
        <f>IFERROR(VLOOKUP($G672,基本資料!$A:$M,13,0),"無")</f>
        <v>無</v>
      </c>
      <c r="AR672" s="245" t="str">
        <f>INDEX(基本資料!N:N,MATCH($G672,基本資料!A:A,0))</f>
        <v>無</v>
      </c>
    </row>
    <row r="673" spans="1:44">
      <c r="A673" s="343" t="str">
        <f>IFERROR(VLOOKUP($G673,基本資料!$A:$J,3,0),"無")</f>
        <v>無</v>
      </c>
      <c r="B673" s="79" t="str">
        <f>IFERROR(VLOOKUP($G673,基本資料!$A:$J,4,0),"無")</f>
        <v>無</v>
      </c>
      <c r="C673" s="79" t="str">
        <f>IFERROR(VLOOKUP($G673,基本資料!$A:$J,5,0),"無")</f>
        <v>無</v>
      </c>
      <c r="D673" s="79" t="str">
        <f>IFERROR(VLOOKUP($G673,基本資料!$A:$J,6,0),"無")</f>
        <v>無</v>
      </c>
      <c r="E673" s="79" t="str">
        <f>IFERROR(VLOOKUP($G673,基本資料!$A:$J,7,0),"無")</f>
        <v>無</v>
      </c>
      <c r="F673" s="6" t="str">
        <f>IFERROR(VLOOKUP($G673,基本資料!$A:$J,8,0),"無")</f>
        <v>無</v>
      </c>
      <c r="G673" s="79">
        <v>6693</v>
      </c>
      <c r="H673" s="192" t="s">
        <v>3038</v>
      </c>
      <c r="I673" s="16" t="s">
        <v>4744</v>
      </c>
      <c r="J673" s="8" t="str">
        <f>IFERROR(VLOOKUP($G673,今日總結!$A:$AN,39,0),"")</f>
        <v/>
      </c>
      <c r="K673" s="5" t="str">
        <f>IFERROR(VLOOKUP($G673,今日總結!$A:$AN,40,0),"")</f>
        <v/>
      </c>
      <c r="L673" s="156" t="str">
        <f>IFERROR(VLOOKUP($G673,今日總結!$A:$AN,37,0),"")</f>
        <v/>
      </c>
      <c r="M673" s="337" t="str">
        <f>IFERROR(VLOOKUP($G673,今日總結!$A:$AN,38,0),"")</f>
        <v/>
      </c>
      <c r="N673" s="240" t="str">
        <f t="shared" si="124"/>
        <v/>
      </c>
      <c r="O673" s="359" t="str">
        <f>IFERROR(VLOOKUP($G673,融外自投!$A:$J,7,0),"無")</f>
        <v>無</v>
      </c>
      <c r="P673" s="79" t="str">
        <f>IFERROR(VLOOKUP($G673,融外自投!$A:$J,9,0),"無")</f>
        <v>無</v>
      </c>
      <c r="Q673" s="342" t="str">
        <f>IFERROR(VLOOKUP($G673,融外自投!$A:$J,8,0),"無")</f>
        <v>無</v>
      </c>
      <c r="R673" s="81" t="str">
        <f>IFERROR(VLOOKUP($G673,融外自投!$A:$J,10,0),"無")</f>
        <v>無</v>
      </c>
      <c r="S673" s="324" t="str">
        <f>IFERROR(VLOOKUP($G673,'321買'!$A:$E,4,0),"'沒有資料'")</f>
        <v>'沒有資料'</v>
      </c>
      <c r="T673" s="186" t="str">
        <f>IFERROR(VLOOKUP($G673,基本資料!$A:$J,9,0),"無")</f>
        <v>無</v>
      </c>
      <c r="U673" s="307" t="e">
        <f t="shared" si="123"/>
        <v>#VALUE!</v>
      </c>
      <c r="V673" s="94" t="str">
        <f>IFERROR(VLOOKUP($G673,基本資料!$A:$J,10,0),"無")</f>
        <v>無</v>
      </c>
      <c r="W673" s="36">
        <f>RTD("money.excel",,"6693","Price")</f>
        <v>79.599999999999994</v>
      </c>
      <c r="X673" s="66"/>
      <c r="Y673" s="15">
        <f>W673-X673</f>
        <v>79.599999999999994</v>
      </c>
      <c r="Z673" s="3" t="e">
        <f>Y673/X673</f>
        <v>#DIV/0!</v>
      </c>
      <c r="AA673" s="340" t="str">
        <f>IFERROR(VLOOKUP($G673,基本資料!$A:$M,11,0),"無")</f>
        <v>無</v>
      </c>
      <c r="AB673" s="389" t="str">
        <f>IFERROR(VLOOKUP($G673,基本資料!$A:$M,12,0),"無")</f>
        <v>無</v>
      </c>
      <c r="AC673" s="16" t="s">
        <v>4744</v>
      </c>
      <c r="AF673" s="33">
        <f>AE673-AD673</f>
        <v>0</v>
      </c>
      <c r="AG673" s="43" t="s">
        <v>4745</v>
      </c>
      <c r="AH673" s="66" t="e">
        <f t="shared" si="122"/>
        <v>#VALUE!</v>
      </c>
      <c r="AI673" s="283">
        <f>RTD("money.excel",,$G673,"PredictVolume")</f>
        <v>86</v>
      </c>
      <c r="AJ673" s="391" t="str">
        <f>IFERROR(VLOOKUP($G673,基本資料!$A:$M,13,0),"無")</f>
        <v>無</v>
      </c>
      <c r="AR673" s="245" t="e">
        <f>INDEX(基本資料!N:N,MATCH($G673,基本資料!A:A,0))</f>
        <v>#N/A</v>
      </c>
    </row>
    <row r="674" spans="1:44">
      <c r="A674" s="343">
        <f>IFERROR(VLOOKUP($G674,基本資料!$A:$J,3,0),"無")</f>
        <v>2.4500000000000002</v>
      </c>
      <c r="B674" s="79">
        <f>IFERROR(VLOOKUP($G674,基本資料!$A:$J,4,0),"無")</f>
        <v>140</v>
      </c>
      <c r="C674" s="79">
        <f>IFERROR(VLOOKUP($G674,基本資料!$A:$J,5,0),"無")</f>
        <v>149</v>
      </c>
      <c r="D674" s="79">
        <f>IFERROR(VLOOKUP($G674,基本資料!$A:$J,6,0),"無")</f>
        <v>-8</v>
      </c>
      <c r="E674" s="79">
        <f>IFERROR(VLOOKUP($G674,基本資料!$A:$J,7,0),"無")</f>
        <v>61</v>
      </c>
      <c r="F674" s="6">
        <f>IFERROR(VLOOKUP($G674,基本資料!$A:$J,8,0),"無")</f>
        <v>35.39</v>
      </c>
      <c r="G674" s="79">
        <v>6716</v>
      </c>
      <c r="H674" s="192" t="s">
        <v>3038</v>
      </c>
      <c r="I674" s="16" t="s">
        <v>1865</v>
      </c>
      <c r="J674" s="8" t="str">
        <f>IFERROR(VLOOKUP($G674,今日總結!$A:$AN,39,0),"")</f>
        <v/>
      </c>
      <c r="K674" s="5" t="str">
        <f>IFERROR(VLOOKUP($G674,今日總結!$A:$AN,40,0),"")</f>
        <v/>
      </c>
      <c r="L674" s="156" t="str">
        <f>IFERROR(VLOOKUP($G674,今日總結!$A:$AN,37,0),"")</f>
        <v/>
      </c>
      <c r="M674" s="337" t="str">
        <f>IFERROR(VLOOKUP($G674,今日總結!$A:$AN,38,0),"")</f>
        <v/>
      </c>
      <c r="N674" s="240" t="str">
        <f t="shared" si="124"/>
        <v/>
      </c>
      <c r="O674" s="359" t="str">
        <f>IFERROR(VLOOKUP($G674,融外自投!$A:$J,7,0),"無")</f>
        <v>無</v>
      </c>
      <c r="P674" s="79" t="str">
        <f>IFERROR(VLOOKUP($G674,融外自投!$A:$J,9,0),"無")</f>
        <v>無</v>
      </c>
      <c r="Q674" s="342" t="str">
        <f>IFERROR(VLOOKUP($G674,融外自投!$A:$J,8,0),"無")</f>
        <v>無</v>
      </c>
      <c r="R674" s="81" t="str">
        <f>IFERROR(VLOOKUP($G674,融外自投!$A:$J,10,0),"無")</f>
        <v>無</v>
      </c>
      <c r="S674" s="324" t="str">
        <f>IFERROR(VLOOKUP($G674,'321買'!$A:$E,4,0),"'沒有資料'")</f>
        <v>'沒有資料'</v>
      </c>
      <c r="T674" s="186">
        <f>IFERROR(VLOOKUP($G674,基本資料!$A:$J,9,0),"無")</f>
        <v>8.5</v>
      </c>
      <c r="U674" s="307">
        <f t="shared" si="123"/>
        <v>5.6856187290969896E-2</v>
      </c>
      <c r="V674" s="94">
        <f>IFERROR(VLOOKUP($G674,基本資料!$A:$J,10,0),"無")</f>
        <v>11.52</v>
      </c>
      <c r="W674" s="36">
        <f>RTD("money.excel",,"6716","Price")</f>
        <v>149.5</v>
      </c>
      <c r="X674" s="66"/>
      <c r="Y674" s="15">
        <f t="shared" si="125"/>
        <v>149.5</v>
      </c>
      <c r="Z674" s="3" t="e">
        <f t="shared" si="126"/>
        <v>#DIV/0!</v>
      </c>
      <c r="AA674" s="340">
        <f>IFERROR(VLOOKUP($G674,基本資料!$A:$M,11,0),"無")</f>
        <v>-43.58</v>
      </c>
      <c r="AB674" s="389">
        <f>IFERROR(VLOOKUP($G674,基本資料!$A:$M,12,0),"無")</f>
        <v>26.71</v>
      </c>
      <c r="AC674" s="16" t="s">
        <v>1865</v>
      </c>
      <c r="AF674" s="33">
        <f t="shared" si="127"/>
        <v>0</v>
      </c>
      <c r="AG674" s="43" t="s">
        <v>2315</v>
      </c>
      <c r="AH674" s="66">
        <f t="shared" si="122"/>
        <v>0.61002178649237471</v>
      </c>
      <c r="AI674" s="283">
        <f>RTD("money.excel",,$G674,"PredictVolume")</f>
        <v>14</v>
      </c>
      <c r="AJ674" s="391">
        <f>IFERROR(VLOOKUP($G674,基本資料!$A:$M,13,0),"無")</f>
        <v>22.95</v>
      </c>
      <c r="AR674" s="245" t="str">
        <f>INDEX(基本資料!N:N,MATCH($G674,基本資料!A:A,0))</f>
        <v>低</v>
      </c>
    </row>
    <row r="675" spans="1:44">
      <c r="A675" s="343" t="str">
        <f>IFERROR(VLOOKUP($G675,基本資料!$A:$J,3,0),"無")</f>
        <v>無</v>
      </c>
      <c r="B675" s="79" t="str">
        <f>IFERROR(VLOOKUP($G675,基本資料!$A:$J,4,0),"無")</f>
        <v>無</v>
      </c>
      <c r="C675" s="79" t="str">
        <f>IFERROR(VLOOKUP($G675,基本資料!$A:$J,5,0),"無")</f>
        <v>無</v>
      </c>
      <c r="D675" s="79" t="str">
        <f>IFERROR(VLOOKUP($G675,基本資料!$A:$J,6,0),"無")</f>
        <v>無</v>
      </c>
      <c r="E675" s="79" t="str">
        <f>IFERROR(VLOOKUP($G675,基本資料!$A:$J,7,0),"無")</f>
        <v>無</v>
      </c>
      <c r="F675" s="6" t="str">
        <f>IFERROR(VLOOKUP($G675,基本資料!$A:$J,8,0),"無")</f>
        <v>無</v>
      </c>
      <c r="G675" s="79">
        <v>6719</v>
      </c>
      <c r="H675" s="192" t="s">
        <v>3038</v>
      </c>
      <c r="I675" s="22" t="s">
        <v>4697</v>
      </c>
      <c r="J675" s="8" t="str">
        <f>IFERROR(VLOOKUP($G675,今日總結!$A:$AN,39,0),"")</f>
        <v/>
      </c>
      <c r="K675" s="5" t="str">
        <f>IFERROR(VLOOKUP($G675,今日總結!$A:$AN,40,0),"")</f>
        <v/>
      </c>
      <c r="L675" s="156" t="str">
        <f>IFERROR(VLOOKUP($G675,今日總結!$A:$AN,37,0),"")</f>
        <v/>
      </c>
      <c r="M675" s="337" t="str">
        <f>IFERROR(VLOOKUP($G675,今日總結!$A:$AN,38,0),"")</f>
        <v/>
      </c>
      <c r="N675" s="240" t="str">
        <f t="shared" si="124"/>
        <v/>
      </c>
      <c r="O675" s="359" t="str">
        <f>IFERROR(VLOOKUP($G675,融外自投!$A:$J,7,0),"無")</f>
        <v>無</v>
      </c>
      <c r="P675" s="79" t="str">
        <f>IFERROR(VLOOKUP($G675,融外自投!$A:$J,9,0),"無")</f>
        <v>無</v>
      </c>
      <c r="Q675" s="342" t="str">
        <f>IFERROR(VLOOKUP($G675,融外自投!$A:$J,8,0),"無")</f>
        <v>無</v>
      </c>
      <c r="R675" s="81" t="str">
        <f>IFERROR(VLOOKUP($G675,融外自投!$A:$J,10,0),"無")</f>
        <v>無</v>
      </c>
      <c r="S675" s="324" t="str">
        <f>IFERROR(VLOOKUP($G675,'321買'!$A:$E,4,0),"'沒有資料'")</f>
        <v>'沒有資料'</v>
      </c>
      <c r="T675" s="186" t="str">
        <f>IFERROR(VLOOKUP($G675,基本資料!$A:$J,9,0),"無")</f>
        <v>無</v>
      </c>
      <c r="U675" s="307" t="e">
        <f t="shared" si="123"/>
        <v>#VALUE!</v>
      </c>
      <c r="V675" s="94" t="str">
        <f>IFERROR(VLOOKUP($G675,基本資料!$A:$J,10,0),"無")</f>
        <v>無</v>
      </c>
      <c r="W675" s="36">
        <f>RTD("money.excel",,"6719","Price")</f>
        <v>481.5</v>
      </c>
      <c r="X675" s="66"/>
      <c r="Y675" s="15">
        <f>W675-X675</f>
        <v>481.5</v>
      </c>
      <c r="Z675" s="3" t="e">
        <f>Y675/X675</f>
        <v>#DIV/0!</v>
      </c>
      <c r="AA675" s="340" t="str">
        <f>IFERROR(VLOOKUP($G675,基本資料!$A:$M,11,0),"無")</f>
        <v>無</v>
      </c>
      <c r="AB675" s="389" t="str">
        <f>IFERROR(VLOOKUP($G675,基本資料!$A:$M,12,0),"無")</f>
        <v>無</v>
      </c>
      <c r="AC675" s="22" t="s">
        <v>4697</v>
      </c>
      <c r="AF675" s="33">
        <f>AE675-AD675</f>
        <v>0</v>
      </c>
      <c r="AG675" s="43" t="s">
        <v>4699</v>
      </c>
      <c r="AH675" s="66" t="e">
        <f t="shared" si="122"/>
        <v>#VALUE!</v>
      </c>
      <c r="AI675" s="283">
        <f>RTD("money.excel",,$G675,"PredictVolume")</f>
        <v>1739</v>
      </c>
      <c r="AJ675" s="391" t="str">
        <f>IFERROR(VLOOKUP($G675,基本資料!$A:$M,13,0),"無")</f>
        <v>無</v>
      </c>
      <c r="AR675" s="245" t="e">
        <f>INDEX(基本資料!N:N,MATCH($G675,基本資料!A:A,0))</f>
        <v>#N/A</v>
      </c>
    </row>
    <row r="676" spans="1:44">
      <c r="A676" s="343">
        <f>IFERROR(VLOOKUP($G676,基本資料!$A:$J,3,0),"無")</f>
        <v>4.8899999999999997</v>
      </c>
      <c r="B676" s="79">
        <f>IFERROR(VLOOKUP($G676,基本資料!$A:$J,4,0),"無")</f>
        <v>21</v>
      </c>
      <c r="C676" s="79">
        <f>IFERROR(VLOOKUP($G676,基本資料!$A:$J,5,0),"無")</f>
        <v>23</v>
      </c>
      <c r="D676" s="79">
        <f>IFERROR(VLOOKUP($G676,基本資料!$A:$J,6,0),"無")</f>
        <v>-11</v>
      </c>
      <c r="E676" s="79">
        <f>IFERROR(VLOOKUP($G676,基本資料!$A:$J,7,0),"無")</f>
        <v>-20</v>
      </c>
      <c r="F676" s="6">
        <f>IFERROR(VLOOKUP($G676,基本資料!$A:$J,8,0),"無")</f>
        <v>32.35</v>
      </c>
      <c r="G676" s="79">
        <v>6732</v>
      </c>
      <c r="H676" s="192" t="s">
        <v>307</v>
      </c>
      <c r="I676" s="16" t="s">
        <v>1917</v>
      </c>
      <c r="J676" s="8">
        <f>IFERROR(VLOOKUP($G676,今日總結!$A:$AN,39,0),"")</f>
        <v>0</v>
      </c>
      <c r="K676" s="5">
        <f>IFERROR(VLOOKUP($G676,今日總結!$A:$AN,40,0),"")</f>
        <v>0</v>
      </c>
      <c r="L676" s="156">
        <f>IFERROR(VLOOKUP($G676,今日總結!$A:$AN,37,0),"")</f>
        <v>0</v>
      </c>
      <c r="M676" s="337">
        <f>IFERROR(VLOOKUP($G676,今日總結!$A:$AN,38,0),"")</f>
        <v>0</v>
      </c>
      <c r="N676" s="240">
        <f t="shared" si="124"/>
        <v>0</v>
      </c>
      <c r="O676" s="359">
        <f>IFERROR(VLOOKUP($G676,融外自投!$A:$J,7,0),"無")</f>
        <v>648</v>
      </c>
      <c r="P676" s="79">
        <f>IFERROR(VLOOKUP($G676,融外自投!$A:$J,9,0),"無")</f>
        <v>1123</v>
      </c>
      <c r="Q676" s="342">
        <f>IFERROR(VLOOKUP($G676,融外自投!$A:$J,8,0),"無")</f>
        <v>652</v>
      </c>
      <c r="R676" s="81">
        <f>IFERROR(VLOOKUP($G676,融外自投!$A:$J,10,0),"無")</f>
        <v>116</v>
      </c>
      <c r="S676" s="324">
        <f>IFERROR(VLOOKUP($G676,'321買'!$A:$E,4,0),"'沒有資料'")</f>
        <v>286</v>
      </c>
      <c r="T676" s="186">
        <f>IFERROR(VLOOKUP($G676,基本資料!$A:$J,9,0),"無")</f>
        <v>30</v>
      </c>
      <c r="U676" s="307">
        <f t="shared" si="123"/>
        <v>9.569377990430622E-2</v>
      </c>
      <c r="V676" s="94">
        <f>IFERROR(VLOOKUP($G676,基本資料!$A:$J,10,0),"無")</f>
        <v>33.97</v>
      </c>
      <c r="W676" s="36">
        <f>RTD("money.excel",,"6732","Price")</f>
        <v>313.5</v>
      </c>
      <c r="X676" s="66"/>
      <c r="Y676" s="15">
        <f t="shared" ref="Y676" si="128">W676-X676</f>
        <v>313.5</v>
      </c>
      <c r="Z676" s="3" t="e">
        <f t="shared" ref="Z676" si="129">Y676/X676</f>
        <v>#DIV/0!</v>
      </c>
      <c r="AA676" s="340">
        <f>IFERROR(VLOOKUP($G676,基本資料!$A:$M,11,0),"無")</f>
        <v>-63.72</v>
      </c>
      <c r="AB676" s="389">
        <f>IFERROR(VLOOKUP($G676,基本資料!$A:$M,12,0),"無")</f>
        <v>12.34</v>
      </c>
      <c r="AC676" s="16" t="s">
        <v>1917</v>
      </c>
      <c r="AF676" s="33">
        <f t="shared" ref="AF676" si="130">AE676-AD676</f>
        <v>0</v>
      </c>
      <c r="AG676" s="43" t="s">
        <v>2539</v>
      </c>
      <c r="AH676" s="66">
        <f t="shared" si="122"/>
        <v>0.61584060596081014</v>
      </c>
      <c r="AI676" s="283">
        <f>RTD("money.excel",,$G676,"PredictVolume")</f>
        <v>187</v>
      </c>
      <c r="AJ676" s="391">
        <f>IFERROR(VLOOKUP($G676,基本資料!$A:$M,13,0),"無")</f>
        <v>303.64999999999998</v>
      </c>
      <c r="AR676" s="245" t="str">
        <f>INDEX(基本資料!N:N,MATCH($G676,基本資料!A:A,0))</f>
        <v>低</v>
      </c>
    </row>
    <row r="677" spans="1:44">
      <c r="A677" s="343">
        <f>IFERROR(VLOOKUP($G677,基本資料!$A:$J,3,0),"無")</f>
        <v>6.84</v>
      </c>
      <c r="B677" s="79">
        <f>IFERROR(VLOOKUP($G677,基本資料!$A:$J,4,0),"無")</f>
        <v>176</v>
      </c>
      <c r="C677" s="79">
        <f>IFERROR(VLOOKUP($G677,基本資料!$A:$J,5,0),"無")</f>
        <v>166</v>
      </c>
      <c r="D677" s="79">
        <f>IFERROR(VLOOKUP($G677,基本資料!$A:$J,6,0),"無")</f>
        <v>-3</v>
      </c>
      <c r="E677" s="79">
        <f>IFERROR(VLOOKUP($G677,基本資料!$A:$J,7,0),"無")</f>
        <v>26</v>
      </c>
      <c r="F677" s="6">
        <f>IFERROR(VLOOKUP($G677,基本資料!$A:$J,8,0),"無")</f>
        <v>30.58</v>
      </c>
      <c r="G677" s="79">
        <v>6756</v>
      </c>
      <c r="H677" s="8" t="s">
        <v>3038</v>
      </c>
      <c r="I677" s="22" t="s">
        <v>2132</v>
      </c>
      <c r="J677" s="8">
        <f>IFERROR(VLOOKUP($G677,今日總結!$A:$AN,39,0),"")</f>
        <v>0</v>
      </c>
      <c r="K677" s="5">
        <f>IFERROR(VLOOKUP($G677,今日總結!$A:$AN,40,0),"")</f>
        <v>0</v>
      </c>
      <c r="L677" s="156">
        <f>IFERROR(VLOOKUP($G677,今日總結!$A:$AN,37,0),"")</f>
        <v>0</v>
      </c>
      <c r="M677" s="337">
        <f>IFERROR(VLOOKUP($G677,今日總結!$A:$AN,38,0),"")</f>
        <v>0</v>
      </c>
      <c r="N677" s="240">
        <f t="shared" si="124"/>
        <v>0</v>
      </c>
      <c r="O677" s="359">
        <f>IFERROR(VLOOKUP($G677,融外自投!$A:$J,7,0),"無")</f>
        <v>512</v>
      </c>
      <c r="P677" s="79">
        <f>IFERROR(VLOOKUP($G677,融外自投!$A:$J,9,0),"無")</f>
        <v>790</v>
      </c>
      <c r="Q677" s="342">
        <f>IFERROR(VLOOKUP($G677,融外自投!$A:$J,8,0),"無")</f>
        <v>701</v>
      </c>
      <c r="R677" s="81" t="str">
        <f>IFERROR(VLOOKUP($G677,融外自投!$A:$J,10,0),"無")</f>
        <v>無</v>
      </c>
      <c r="S677" s="324">
        <f>IFERROR(VLOOKUP($G677,'321買'!$A:$E,4,0),"'沒有資料'")</f>
        <v>150</v>
      </c>
      <c r="T677" s="186">
        <f>IFERROR(VLOOKUP($G677,基本資料!$A:$J,9,0),"無")</f>
        <v>10.99</v>
      </c>
      <c r="U677" s="307">
        <f t="shared" si="123"/>
        <v>3.7766323024054985E-2</v>
      </c>
      <c r="V677" s="94">
        <f>IFERROR(VLOOKUP($G677,基本資料!$A:$J,10,0),"無")</f>
        <v>13.04</v>
      </c>
      <c r="W677" s="36">
        <f>RTD("money.excel",,"6756","Price")</f>
        <v>291</v>
      </c>
      <c r="X677" s="66"/>
      <c r="Y677" s="15">
        <f t="shared" ref="Y677" si="131">W677-X677</f>
        <v>291</v>
      </c>
      <c r="Z677" s="3" t="e">
        <f t="shared" ref="Z677" si="132">Y677/X677</f>
        <v>#DIV/0!</v>
      </c>
      <c r="AA677" s="340">
        <f>IFERROR(VLOOKUP($G677,基本資料!$A:$M,11,0),"無")</f>
        <v>-53.44</v>
      </c>
      <c r="AB677" s="389">
        <f>IFERROR(VLOOKUP($G677,基本資料!$A:$M,12,0),"無")</f>
        <v>9.3800000000000008</v>
      </c>
      <c r="AC677" s="22" t="s">
        <v>2132</v>
      </c>
      <c r="AF677" s="33">
        <f t="shared" ref="AF677" si="133">AE677-AD677</f>
        <v>0</v>
      </c>
      <c r="AG677" s="43" t="s">
        <v>2133</v>
      </c>
      <c r="AH677" s="66">
        <f t="shared" si="122"/>
        <v>0.90251414655110673</v>
      </c>
      <c r="AI677" s="283">
        <f>RTD("money.excel",,$G677,"PredictVolume")</f>
        <v>630</v>
      </c>
      <c r="AJ677" s="391">
        <f>IFERROR(VLOOKUP($G677,基本資料!$A:$M,13,0),"無")</f>
        <v>698.05</v>
      </c>
      <c r="AR677" s="245" t="str">
        <f>INDEX(基本資料!N:N,MATCH($G677,基本資料!A:A,0))</f>
        <v>低</v>
      </c>
    </row>
    <row r="678" spans="1:44">
      <c r="A678" s="343">
        <f>IFERROR(VLOOKUP($G678,基本資料!$A:$J,3,0),"無")</f>
        <v>359</v>
      </c>
      <c r="B678" s="79">
        <f>IFERROR(VLOOKUP($G678,基本資料!$A:$J,4,0),"無")</f>
        <v>322</v>
      </c>
      <c r="C678" s="79">
        <f>IFERROR(VLOOKUP($G678,基本資料!$A:$J,5,0),"無")</f>
        <v>249</v>
      </c>
      <c r="D678" s="79">
        <f>IFERROR(VLOOKUP($G678,基本資料!$A:$J,6,0),"無")</f>
        <v>1</v>
      </c>
      <c r="E678" s="79">
        <f>IFERROR(VLOOKUP($G678,基本資料!$A:$J,7,0),"無")</f>
        <v>48</v>
      </c>
      <c r="F678" s="6">
        <f>IFERROR(VLOOKUP($G678,基本資料!$A:$J,8,0),"無")</f>
        <v>30.62</v>
      </c>
      <c r="G678" s="79">
        <v>6770</v>
      </c>
      <c r="H678" s="8" t="s">
        <v>3038</v>
      </c>
      <c r="I678" s="22" t="s">
        <v>3524</v>
      </c>
      <c r="J678" s="8" t="str">
        <f>IFERROR(VLOOKUP($G678,今日總結!$A:$AN,39,0),"")</f>
        <v/>
      </c>
      <c r="K678" s="5" t="str">
        <f>IFERROR(VLOOKUP($G678,今日總結!$A:$AN,40,0),"")</f>
        <v/>
      </c>
      <c r="L678" s="156" t="str">
        <f>IFERROR(VLOOKUP($G678,今日總結!$A:$AN,37,0),"")</f>
        <v/>
      </c>
      <c r="M678" s="337" t="str">
        <f>IFERROR(VLOOKUP($G678,今日總結!$A:$AN,38,0),"")</f>
        <v/>
      </c>
      <c r="N678" s="240" t="str">
        <f t="shared" si="124"/>
        <v/>
      </c>
      <c r="O678" s="359" t="str">
        <f>IFERROR(VLOOKUP($G678,融外自投!$A:$J,7,0),"無")</f>
        <v>無</v>
      </c>
      <c r="P678" s="79" t="str">
        <f>IFERROR(VLOOKUP($G678,融外自投!$A:$J,9,0),"無")</f>
        <v>無</v>
      </c>
      <c r="Q678" s="342" t="str">
        <f>IFERROR(VLOOKUP($G678,融外自投!$A:$J,8,0),"無")</f>
        <v>無</v>
      </c>
      <c r="R678" s="81" t="str">
        <f>IFERROR(VLOOKUP($G678,融外自投!$A:$J,10,0),"無")</f>
        <v>無</v>
      </c>
      <c r="S678" s="324" t="str">
        <f>IFERROR(VLOOKUP($G678,'321買'!$A:$E,4,0),"'沒有資料'")</f>
        <v>'沒有資料'</v>
      </c>
      <c r="T678" s="186">
        <f>IFERROR(VLOOKUP($G678,基本資料!$A:$J,9,0),"無")</f>
        <v>1.83</v>
      </c>
      <c r="U678" s="307">
        <f t="shared" si="123"/>
        <v>3.182608695652174E-2</v>
      </c>
      <c r="V678" s="94">
        <f>IFERROR(VLOOKUP($G678,基本資料!$A:$J,10,0),"無")</f>
        <v>4.92</v>
      </c>
      <c r="W678" s="36">
        <f>RTD("money.excel",,"6770","Price")</f>
        <v>57.5</v>
      </c>
      <c r="X678" s="66"/>
      <c r="Y678" s="15">
        <f t="shared" si="125"/>
        <v>57.5</v>
      </c>
      <c r="Z678" s="3" t="e">
        <f t="shared" si="126"/>
        <v>#DIV/0!</v>
      </c>
      <c r="AA678" s="340" t="str">
        <f>IFERROR(VLOOKUP($G678,基本資料!$A:$M,11,0),"無")</f>
        <v>無</v>
      </c>
      <c r="AB678" s="389" t="str">
        <f>IFERROR(VLOOKUP($G678,基本資料!$A:$M,12,0),"無")</f>
        <v>無</v>
      </c>
      <c r="AC678" s="22" t="s">
        <v>3524</v>
      </c>
      <c r="AF678" s="33">
        <f t="shared" si="127"/>
        <v>0</v>
      </c>
      <c r="AG678" s="43" t="s">
        <v>1796</v>
      </c>
      <c r="AH678" s="66" t="e">
        <f t="shared" si="122"/>
        <v>#VALUE!</v>
      </c>
      <c r="AI678" s="283">
        <f>RTD("money.excel",,$G678,"PredictVolume")</f>
        <v>42652</v>
      </c>
      <c r="AJ678" s="391" t="str">
        <f>IFERROR(VLOOKUP($G678,基本資料!$A:$M,13,0),"無")</f>
        <v>無</v>
      </c>
      <c r="AR678" s="245" t="str">
        <f>INDEX(基本資料!N:N,MATCH($G678,基本資料!A:A,0))</f>
        <v>無</v>
      </c>
    </row>
    <row r="679" spans="1:44">
      <c r="A679" s="343">
        <f>IFERROR(VLOOKUP($G679,基本資料!$A:$J,3,0),"無")</f>
        <v>3.47</v>
      </c>
      <c r="B679" s="79">
        <f>IFERROR(VLOOKUP($G679,基本資料!$A:$J,4,0),"無")</f>
        <v>43</v>
      </c>
      <c r="C679" s="79">
        <f>IFERROR(VLOOKUP($G679,基本資料!$A:$J,5,0),"無")</f>
        <v>46</v>
      </c>
      <c r="D679" s="79">
        <f>IFERROR(VLOOKUP($G679,基本資料!$A:$J,6,0),"無")</f>
        <v>-9</v>
      </c>
      <c r="E679" s="79">
        <f>IFERROR(VLOOKUP($G679,基本資料!$A:$J,7,0),"無")</f>
        <v>10</v>
      </c>
      <c r="F679" s="6">
        <f>IFERROR(VLOOKUP($G679,基本資料!$A:$J,8,0),"無")</f>
        <v>27</v>
      </c>
      <c r="G679" s="79">
        <v>6788</v>
      </c>
      <c r="H679" s="192" t="s">
        <v>3038</v>
      </c>
      <c r="I679" s="16" t="s">
        <v>3439</v>
      </c>
      <c r="J679" s="8">
        <f>IFERROR(VLOOKUP($G679,今日總結!$A:$AN,39,0),"")</f>
        <v>0</v>
      </c>
      <c r="K679" s="5">
        <f>IFERROR(VLOOKUP($G679,今日總結!$A:$AN,40,0),"")</f>
        <v>0</v>
      </c>
      <c r="L679" s="156">
        <f>IFERROR(VLOOKUP($G679,今日總結!$A:$AN,37,0),"")</f>
        <v>0</v>
      </c>
      <c r="M679" s="337">
        <f>IFERROR(VLOOKUP($G679,今日總結!$A:$AN,38,0),"")</f>
        <v>0</v>
      </c>
      <c r="N679" s="240">
        <f t="shared" si="124"/>
        <v>0</v>
      </c>
      <c r="O679" s="359">
        <f>IFERROR(VLOOKUP($G679,融外自投!$A:$J,7,0),"無")</f>
        <v>798</v>
      </c>
      <c r="P679" s="79">
        <f>IFERROR(VLOOKUP($G679,融外自投!$A:$J,9,0),"無")</f>
        <v>869</v>
      </c>
      <c r="Q679" s="342">
        <f>IFERROR(VLOOKUP($G679,融外自投!$A:$J,8,0),"無")</f>
        <v>1103</v>
      </c>
      <c r="R679" s="81" t="str">
        <f>IFERROR(VLOOKUP($G679,融外自投!$A:$J,10,0),"無")</f>
        <v>無</v>
      </c>
      <c r="S679" s="324">
        <f>IFERROR(VLOOKUP($G679,'321買'!$A:$E,4,0),"'沒有資料'")</f>
        <v>366</v>
      </c>
      <c r="T679" s="186">
        <f>IFERROR(VLOOKUP($G679,基本資料!$A:$J,9,0),"無")</f>
        <v>5</v>
      </c>
      <c r="U679" s="307">
        <f t="shared" si="123"/>
        <v>4.405286343612335E-2</v>
      </c>
      <c r="V679" s="94">
        <f>IFERROR(VLOOKUP($G679,基本資料!$A:$J,10,0),"無")</f>
        <v>7.08</v>
      </c>
      <c r="W679" s="36">
        <f>RTD("money.excel",,"6788","Price")</f>
        <v>113.5</v>
      </c>
      <c r="X679" s="66"/>
      <c r="Y679" s="15">
        <f t="shared" si="125"/>
        <v>113.5</v>
      </c>
      <c r="Z679" s="3" t="e">
        <f t="shared" si="126"/>
        <v>#DIV/0!</v>
      </c>
      <c r="AA679" s="340" t="str">
        <f>IFERROR(VLOOKUP($G679,基本資料!$A:$M,11,0),"無")</f>
        <v>無</v>
      </c>
      <c r="AB679" s="389" t="str">
        <f>IFERROR(VLOOKUP($G679,基本資料!$A:$M,12,0),"無")</f>
        <v>無</v>
      </c>
      <c r="AC679" s="16" t="s">
        <v>3439</v>
      </c>
      <c r="AF679" s="33">
        <f t="shared" si="127"/>
        <v>0</v>
      </c>
      <c r="AG679" s="43" t="s">
        <v>3440</v>
      </c>
      <c r="AH679" s="66" t="e">
        <f t="shared" si="122"/>
        <v>#VALUE!</v>
      </c>
      <c r="AI679" s="283">
        <f>RTD("money.excel",,$G679,"PredictVolume")</f>
        <v>719</v>
      </c>
      <c r="AJ679" s="391" t="str">
        <f>IFERROR(VLOOKUP($G679,基本資料!$A:$M,13,0),"無")</f>
        <v>無</v>
      </c>
      <c r="AR679" s="245" t="str">
        <f>INDEX(基本資料!N:N,MATCH($G679,基本資料!A:A,0))</f>
        <v>無</v>
      </c>
    </row>
    <row r="680" spans="1:44">
      <c r="A680" s="343" t="str">
        <f>IFERROR(VLOOKUP($G680,基本資料!$A:$J,3,0),"無")</f>
        <v>無</v>
      </c>
      <c r="B680" s="79" t="str">
        <f>IFERROR(VLOOKUP($G680,基本資料!$A:$J,4,0),"無")</f>
        <v>無</v>
      </c>
      <c r="C680" s="79" t="str">
        <f>IFERROR(VLOOKUP($G680,基本資料!$A:$J,5,0),"無")</f>
        <v>無</v>
      </c>
      <c r="D680" s="79" t="str">
        <f>IFERROR(VLOOKUP($G680,基本資料!$A:$J,6,0),"無")</f>
        <v>無</v>
      </c>
      <c r="E680" s="79" t="str">
        <f>IFERROR(VLOOKUP($G680,基本資料!$A:$J,7,0),"無")</f>
        <v>無</v>
      </c>
      <c r="F680" s="6" t="str">
        <f>IFERROR(VLOOKUP($G680,基本資料!$A:$J,8,0),"無")</f>
        <v>無</v>
      </c>
      <c r="G680" s="79">
        <v>6799</v>
      </c>
      <c r="H680" s="8" t="s">
        <v>3038</v>
      </c>
      <c r="I680" s="22" t="s">
        <v>6268</v>
      </c>
      <c r="J680" s="8" t="str">
        <f>IFERROR(VLOOKUP($G680,今日總結!$A:$AN,39,0),"")</f>
        <v/>
      </c>
      <c r="K680" s="5" t="str">
        <f>IFERROR(VLOOKUP($G680,今日總結!$A:$AN,40,0),"")</f>
        <v/>
      </c>
      <c r="L680" s="156" t="str">
        <f>IFERROR(VLOOKUP($G680,今日總結!$A:$AN,37,0),"")</f>
        <v/>
      </c>
      <c r="M680" s="337" t="str">
        <f>IFERROR(VLOOKUP($G680,今日總結!$A:$AN,38,0),"")</f>
        <v/>
      </c>
      <c r="N680" s="240" t="str">
        <f t="shared" si="124"/>
        <v/>
      </c>
      <c r="O680" s="359" t="str">
        <f>IFERROR(VLOOKUP($G680,融外自投!$A:$J,7,0),"無")</f>
        <v>無</v>
      </c>
      <c r="P680" s="79" t="str">
        <f>IFERROR(VLOOKUP($G680,融外自投!$A:$J,9,0),"無")</f>
        <v>無</v>
      </c>
      <c r="Q680" s="342" t="str">
        <f>IFERROR(VLOOKUP($G680,融外自投!$A:$J,8,0),"無")</f>
        <v>無</v>
      </c>
      <c r="R680" s="81" t="str">
        <f>IFERROR(VLOOKUP($G680,融外自投!$A:$J,10,0),"無")</f>
        <v>無</v>
      </c>
      <c r="S680" s="324" t="str">
        <f>IFERROR(VLOOKUP($G680,'321買'!$A:$E,4,0),"'沒有資料'")</f>
        <v>'沒有資料'</v>
      </c>
      <c r="T680" s="186" t="str">
        <f>IFERROR(VLOOKUP($G680,基本資料!$A:$J,9,0),"無")</f>
        <v>無</v>
      </c>
      <c r="U680" s="307" t="e">
        <f t="shared" si="123"/>
        <v>#VALUE!</v>
      </c>
      <c r="V680" s="94" t="str">
        <f>IFERROR(VLOOKUP($G680,基本資料!$A:$J,10,0),"無")</f>
        <v>無</v>
      </c>
      <c r="W680" s="36">
        <f>RTD("money.excel",,"6799","Price")</f>
        <v>179</v>
      </c>
      <c r="X680" s="66"/>
      <c r="Y680" s="15">
        <f t="shared" ref="Y680" si="134">W680-X680</f>
        <v>179</v>
      </c>
      <c r="Z680" s="3" t="e">
        <f t="shared" ref="Z680" si="135">Y680/X680</f>
        <v>#DIV/0!</v>
      </c>
      <c r="AA680" s="340" t="str">
        <f>IFERROR(VLOOKUP($G680,基本資料!$A:$M,11,0),"無")</f>
        <v>無</v>
      </c>
      <c r="AB680" s="389" t="str">
        <f>IFERROR(VLOOKUP($G680,基本資料!$A:$M,12,0),"無")</f>
        <v>無</v>
      </c>
      <c r="AC680" s="22" t="s">
        <v>6268</v>
      </c>
      <c r="AF680" s="33">
        <f t="shared" ref="AF680" si="136">AE680-AD680</f>
        <v>0</v>
      </c>
      <c r="AG680" s="43" t="s">
        <v>6269</v>
      </c>
      <c r="AH680" s="66" t="e">
        <f t="shared" si="122"/>
        <v>#VALUE!</v>
      </c>
      <c r="AI680" s="283">
        <f>RTD("money.excel",,$G680,"PredictVolume")</f>
        <v>1923</v>
      </c>
      <c r="AJ680" s="391" t="str">
        <f>IFERROR(VLOOKUP($G680,基本資料!$A:$M,13,0),"無")</f>
        <v>無</v>
      </c>
      <c r="AR680" s="245" t="e">
        <f>INDEX(基本資料!N:N,MATCH($G680,基本資料!A:A,0))</f>
        <v>#N/A</v>
      </c>
    </row>
    <row r="681" spans="1:44">
      <c r="A681" s="343">
        <f>IFERROR(VLOOKUP($G681,基本資料!$A:$J,3,0),"無")</f>
        <v>2.2000000000000002</v>
      </c>
      <c r="B681" s="79">
        <f>IFERROR(VLOOKUP($G681,基本資料!$A:$J,4,0),"無")</f>
        <v>33</v>
      </c>
      <c r="C681" s="79">
        <f>IFERROR(VLOOKUP($G681,基本資料!$A:$J,5,0),"無")</f>
        <v>12</v>
      </c>
      <c r="D681" s="79">
        <f>IFERROR(VLOOKUP($G681,基本資料!$A:$J,6,0),"無")</f>
        <v>8</v>
      </c>
      <c r="E681" s="79">
        <f>IFERROR(VLOOKUP($G681,基本資料!$A:$J,7,0),"無")</f>
        <v>31</v>
      </c>
      <c r="F681" s="6">
        <f>IFERROR(VLOOKUP($G681,基本資料!$A:$J,8,0),"無")</f>
        <v>24.64</v>
      </c>
      <c r="G681" s="79">
        <v>7556</v>
      </c>
      <c r="H681" s="192" t="s">
        <v>3038</v>
      </c>
      <c r="I681" s="16" t="s">
        <v>2051</v>
      </c>
      <c r="J681" s="8" t="str">
        <f>IFERROR(VLOOKUP($G681,今日總結!$A:$AN,39,0),"")</f>
        <v/>
      </c>
      <c r="K681" s="5" t="str">
        <f>IFERROR(VLOOKUP($G681,今日總結!$A:$AN,40,0),"")</f>
        <v/>
      </c>
      <c r="L681" s="156" t="str">
        <f>IFERROR(VLOOKUP($G681,今日總結!$A:$AN,37,0),"")</f>
        <v/>
      </c>
      <c r="M681" s="337" t="str">
        <f>IFERROR(VLOOKUP($G681,今日總結!$A:$AN,38,0),"")</f>
        <v/>
      </c>
      <c r="N681" s="240" t="str">
        <f t="shared" si="124"/>
        <v/>
      </c>
      <c r="O681" s="359" t="str">
        <f>IFERROR(VLOOKUP($G681,融外自投!$A:$J,7,0),"無")</f>
        <v>無</v>
      </c>
      <c r="P681" s="79" t="str">
        <f>IFERROR(VLOOKUP($G681,融外自投!$A:$J,9,0),"無")</f>
        <v>無</v>
      </c>
      <c r="Q681" s="342" t="str">
        <f>IFERROR(VLOOKUP($G681,融外自投!$A:$J,8,0),"無")</f>
        <v>無</v>
      </c>
      <c r="R681" s="81" t="str">
        <f>IFERROR(VLOOKUP($G681,融外自投!$A:$J,10,0),"無")</f>
        <v>無</v>
      </c>
      <c r="S681" s="324" t="str">
        <f>IFERROR(VLOOKUP($G681,'321買'!$A:$E,4,0),"'沒有資料'")</f>
        <v>'沒有資料'</v>
      </c>
      <c r="T681" s="186">
        <f>IFERROR(VLOOKUP($G681,基本資料!$A:$J,9,0),"無")</f>
        <v>2.8</v>
      </c>
      <c r="U681" s="307">
        <f t="shared" si="123"/>
        <v>2.4454148471615721E-2</v>
      </c>
      <c r="V681" s="94">
        <f>IFERROR(VLOOKUP($G681,基本資料!$A:$J,10,0),"無")</f>
        <v>4.62</v>
      </c>
      <c r="W681" s="36">
        <f>RTD("money.excel",,"7556","Price")</f>
        <v>114.5</v>
      </c>
      <c r="X681" s="66"/>
      <c r="Y681" s="15">
        <f t="shared" si="125"/>
        <v>114.5</v>
      </c>
      <c r="Z681" s="3" t="e">
        <f t="shared" si="126"/>
        <v>#DIV/0!</v>
      </c>
      <c r="AA681" s="340">
        <f>IFERROR(VLOOKUP($G681,基本資料!$A:$M,11,0),"無")</f>
        <v>-26.13</v>
      </c>
      <c r="AB681" s="389">
        <f>IFERROR(VLOOKUP($G681,基本資料!$A:$M,12,0),"無")</f>
        <v>55.47</v>
      </c>
      <c r="AC681" s="16" t="s">
        <v>2051</v>
      </c>
      <c r="AF681" s="33">
        <f t="shared" si="127"/>
        <v>0</v>
      </c>
      <c r="AG681" s="43" t="s">
        <v>2369</v>
      </c>
      <c r="AH681" s="66">
        <f t="shared" si="122"/>
        <v>0.1851851851851852</v>
      </c>
      <c r="AI681" s="283">
        <f>RTD("money.excel",,$G681,"PredictVolume")</f>
        <v>3</v>
      </c>
      <c r="AJ681" s="391">
        <f>IFERROR(VLOOKUP($G681,基本資料!$A:$M,13,0),"無")</f>
        <v>16.2</v>
      </c>
      <c r="AR681" s="245" t="str">
        <f>INDEX(基本資料!N:N,MATCH($G681,基本資料!A:A,0))</f>
        <v>中</v>
      </c>
    </row>
    <row r="682" spans="1:44">
      <c r="A682" s="343">
        <f>IFERROR(VLOOKUP($G682,基本資料!$A:$J,3,0),"無")</f>
        <v>12.01</v>
      </c>
      <c r="B682" s="79">
        <f>IFERROR(VLOOKUP($G682,基本資料!$A:$J,4,0),"無")</f>
        <v>226</v>
      </c>
      <c r="C682" s="79">
        <f>IFERROR(VLOOKUP($G682,基本資料!$A:$J,5,0),"無")</f>
        <v>242</v>
      </c>
      <c r="D682" s="79">
        <f>IFERROR(VLOOKUP($G682,基本資料!$A:$J,6,0),"無")</f>
        <v>-6</v>
      </c>
      <c r="E682" s="79">
        <f>IFERROR(VLOOKUP($G682,基本資料!$A:$J,7,0),"無")</f>
        <v>-1</v>
      </c>
      <c r="F682" s="6">
        <f>IFERROR(VLOOKUP($G682,基本資料!$A:$J,8,0),"無")</f>
        <v>36.65</v>
      </c>
      <c r="G682" s="79">
        <v>8016</v>
      </c>
      <c r="H682" s="195" t="s">
        <v>3038</v>
      </c>
      <c r="I682" s="22" t="s">
        <v>4066</v>
      </c>
      <c r="J682" s="8">
        <f>IFERROR(VLOOKUP($G682,今日總結!$A:$AN,39,0),"")</f>
        <v>0</v>
      </c>
      <c r="K682" s="5">
        <f>IFERROR(VLOOKUP($G682,今日總結!$A:$AN,40,0),"")</f>
        <v>0</v>
      </c>
      <c r="L682" s="156">
        <f>IFERROR(VLOOKUP($G682,今日總結!$A:$AN,37,0),"")</f>
        <v>0</v>
      </c>
      <c r="M682" s="337">
        <f>IFERROR(VLOOKUP($G682,今日總結!$A:$AN,38,0),"")</f>
        <v>0</v>
      </c>
      <c r="N682" s="240">
        <f t="shared" si="124"/>
        <v>0</v>
      </c>
      <c r="O682" s="359">
        <f>IFERROR(VLOOKUP($G682,融外自投!$A:$J,7,0),"無")</f>
        <v>195</v>
      </c>
      <c r="P682" s="79">
        <f>IFERROR(VLOOKUP($G682,融外自投!$A:$J,9,0),"無")</f>
        <v>286</v>
      </c>
      <c r="Q682" s="342">
        <f>IFERROR(VLOOKUP($G682,融外自投!$A:$J,8,0),"無")</f>
        <v>218</v>
      </c>
      <c r="R682" s="81">
        <f>IFERROR(VLOOKUP($G682,融外自投!$A:$J,10,0),"無")</f>
        <v>184</v>
      </c>
      <c r="S682" s="324">
        <f>IFERROR(VLOOKUP($G682,'321買'!$A:$E,4,0),"'沒有資料'")</f>
        <v>101</v>
      </c>
      <c r="T682" s="186">
        <f>IFERROR(VLOOKUP($G682,基本資料!$A:$J,9,0),"無")</f>
        <v>32</v>
      </c>
      <c r="U682" s="307">
        <f t="shared" si="123"/>
        <v>0.13114754098360656</v>
      </c>
      <c r="V682" s="94">
        <f>IFERROR(VLOOKUP($G682,基本資料!$A:$J,10,0),"無")</f>
        <v>50.03</v>
      </c>
      <c r="W682" s="36">
        <f>RTD("money.excel",,"8016","Price")</f>
        <v>244</v>
      </c>
      <c r="X682" s="66"/>
      <c r="Y682" s="15">
        <f t="shared" si="125"/>
        <v>244</v>
      </c>
      <c r="Z682" s="3" t="e">
        <f t="shared" si="126"/>
        <v>#DIV/0!</v>
      </c>
      <c r="AA682" s="340">
        <f>IFERROR(VLOOKUP($G682,基本資料!$A:$M,11,0),"無")</f>
        <v>-41.42</v>
      </c>
      <c r="AB682" s="389">
        <f>IFERROR(VLOOKUP($G682,基本資料!$A:$M,12,0),"無")</f>
        <v>16.13</v>
      </c>
      <c r="AC682" s="22" t="s">
        <v>4066</v>
      </c>
      <c r="AF682" s="33">
        <f t="shared" si="127"/>
        <v>0</v>
      </c>
      <c r="AG682" s="117" t="s">
        <v>2774</v>
      </c>
      <c r="AH682" s="66">
        <f t="shared" si="122"/>
        <v>0.73309867702391074</v>
      </c>
      <c r="AI682" s="283">
        <f>RTD("money.excel",,$G682,"PredictVolume")</f>
        <v>906</v>
      </c>
      <c r="AJ682" s="391">
        <f>IFERROR(VLOOKUP($G682,基本資料!$A:$M,13,0),"無")</f>
        <v>1235.8499999999999</v>
      </c>
      <c r="AR682" s="245" t="str">
        <f>INDEX(基本資料!N:N,MATCH($G682,基本資料!A:A,0))</f>
        <v>低</v>
      </c>
    </row>
    <row r="683" spans="1:44">
      <c r="A683" s="343">
        <f>IFERROR(VLOOKUP($G683,基本資料!$A:$J,3,0),"無")</f>
        <v>4.51</v>
      </c>
      <c r="B683" s="79">
        <f>IFERROR(VLOOKUP($G683,基本資料!$A:$J,4,0),"無")</f>
        <v>298</v>
      </c>
      <c r="C683" s="79">
        <f>IFERROR(VLOOKUP($G683,基本資料!$A:$J,5,0),"無")</f>
        <v>401</v>
      </c>
      <c r="D683" s="79">
        <f>IFERROR(VLOOKUP($G683,基本資料!$A:$J,6,0),"無")</f>
        <v>11</v>
      </c>
      <c r="E683" s="79">
        <f>IFERROR(VLOOKUP($G683,基本資料!$A:$J,7,0),"無")</f>
        <v>-39</v>
      </c>
      <c r="F683" s="6">
        <f>IFERROR(VLOOKUP($G683,基本資料!$A:$J,8,0),"無")</f>
        <v>15.75</v>
      </c>
      <c r="G683" s="79">
        <v>8024</v>
      </c>
      <c r="H683" s="192" t="s">
        <v>3038</v>
      </c>
      <c r="I683" s="16" t="s">
        <v>383</v>
      </c>
      <c r="J683" s="8">
        <f>IFERROR(VLOOKUP($G683,今日總結!$A:$AN,39,0),"")</f>
        <v>0</v>
      </c>
      <c r="K683" s="5">
        <f>IFERROR(VLOOKUP($G683,今日總結!$A:$AN,40,0),"")</f>
        <v>0</v>
      </c>
      <c r="L683" s="156">
        <f>IFERROR(VLOOKUP($G683,今日總結!$A:$AN,37,0),"")</f>
        <v>0</v>
      </c>
      <c r="M683" s="337">
        <f>IFERROR(VLOOKUP($G683,今日總結!$A:$AN,38,0),"")</f>
        <v>0</v>
      </c>
      <c r="N683" s="240">
        <f t="shared" si="124"/>
        <v>0</v>
      </c>
      <c r="O683" s="359">
        <f>IFERROR(VLOOKUP($G683,融外自投!$A:$J,7,0),"無")</f>
        <v>50</v>
      </c>
      <c r="P683" s="79">
        <f>IFERROR(VLOOKUP($G683,融外自投!$A:$J,9,0),"無")</f>
        <v>478</v>
      </c>
      <c r="Q683" s="342">
        <f>IFERROR(VLOOKUP($G683,融外自投!$A:$J,8,0),"無")</f>
        <v>832</v>
      </c>
      <c r="R683" s="81" t="str">
        <f>IFERROR(VLOOKUP($G683,融外自投!$A:$J,10,0),"無")</f>
        <v>無</v>
      </c>
      <c r="S683" s="324">
        <f>IFERROR(VLOOKUP($G683,'321買'!$A:$E,4,0),"'沒有資料'")</f>
        <v>272</v>
      </c>
      <c r="T683" s="186">
        <f>IFERROR(VLOOKUP($G683,基本資料!$A:$J,9,0),"無")</f>
        <v>1.4</v>
      </c>
      <c r="U683" s="307">
        <f t="shared" si="123"/>
        <v>5.8577405857740586E-2</v>
      </c>
      <c r="V683" s="94">
        <f>IFERROR(VLOOKUP($G683,基本資料!$A:$J,10,0),"無")</f>
        <v>1.68</v>
      </c>
      <c r="W683" s="36">
        <f>RTD("money.excel",,"8024","Price")</f>
        <v>23.9</v>
      </c>
      <c r="X683" s="66"/>
      <c r="Y683" s="15">
        <f t="shared" si="125"/>
        <v>23.9</v>
      </c>
      <c r="Z683" s="3" t="e">
        <f t="shared" si="126"/>
        <v>#DIV/0!</v>
      </c>
      <c r="AA683" s="340">
        <f>IFERROR(VLOOKUP($G683,基本資料!$A:$M,11,0),"無")</f>
        <v>-36.44</v>
      </c>
      <c r="AB683" s="389">
        <f>IFERROR(VLOOKUP($G683,基本資料!$A:$M,12,0),"無")</f>
        <v>28.5</v>
      </c>
      <c r="AC683" s="16" t="s">
        <v>383</v>
      </c>
      <c r="AF683" s="33">
        <f t="shared" si="127"/>
        <v>0</v>
      </c>
      <c r="AG683" s="43" t="s">
        <v>2370</v>
      </c>
      <c r="AH683" s="66">
        <f t="shared" si="122"/>
        <v>1.7594654788418709</v>
      </c>
      <c r="AI683" s="283">
        <f>RTD("money.excel",,$G683,"PredictVolume")</f>
        <v>316</v>
      </c>
      <c r="AJ683" s="391">
        <f>IFERROR(VLOOKUP($G683,基本資料!$A:$M,13,0),"無")</f>
        <v>179.6</v>
      </c>
      <c r="AR683" s="245" t="str">
        <f>INDEX(基本資料!N:N,MATCH($G683,基本資料!A:A,0))</f>
        <v>低</v>
      </c>
    </row>
    <row r="684" spans="1:44">
      <c r="A684" s="343">
        <f>IFERROR(VLOOKUP($G684,基本資料!$A:$J,3,0),"無")</f>
        <v>14.03</v>
      </c>
      <c r="B684" s="79">
        <f>IFERROR(VLOOKUP($G684,基本資料!$A:$J,4,0),"無")</f>
        <v>88</v>
      </c>
      <c r="C684" s="79">
        <f>IFERROR(VLOOKUP($G684,基本資料!$A:$J,5,0),"無")</f>
        <v>206</v>
      </c>
      <c r="D684" s="79">
        <f>IFERROR(VLOOKUP($G684,基本資料!$A:$J,6,0),"無")</f>
        <v>2</v>
      </c>
      <c r="E684" s="79">
        <f>IFERROR(VLOOKUP($G684,基本資料!$A:$J,7,0),"無")</f>
        <v>9</v>
      </c>
      <c r="F684" s="6">
        <f>IFERROR(VLOOKUP($G684,基本資料!$A:$J,8,0),"無")</f>
        <v>8.77</v>
      </c>
      <c r="G684" s="79">
        <v>8028</v>
      </c>
      <c r="H684" s="195" t="s">
        <v>3038</v>
      </c>
      <c r="I684" s="22" t="s">
        <v>1060</v>
      </c>
      <c r="J684" s="8">
        <f>IFERROR(VLOOKUP($G684,今日總結!$A:$AN,39,0),"")</f>
        <v>0</v>
      </c>
      <c r="K684" s="5">
        <f>IFERROR(VLOOKUP($G684,今日總結!$A:$AN,40,0),"")</f>
        <v>0</v>
      </c>
      <c r="L684" s="156">
        <f>IFERROR(VLOOKUP($G684,今日總結!$A:$AN,37,0),"")</f>
        <v>0</v>
      </c>
      <c r="M684" s="337">
        <f>IFERROR(VLOOKUP($G684,今日總結!$A:$AN,38,0),"")</f>
        <v>0</v>
      </c>
      <c r="N684" s="240">
        <f t="shared" si="124"/>
        <v>0</v>
      </c>
      <c r="O684" s="359">
        <f>IFERROR(VLOOKUP($G684,融外自投!$A:$J,7,0),"無")</f>
        <v>231</v>
      </c>
      <c r="P684" s="79">
        <f>IFERROR(VLOOKUP($G684,融外自投!$A:$J,9,0),"無")</f>
        <v>762</v>
      </c>
      <c r="Q684" s="342">
        <f>IFERROR(VLOOKUP($G684,融外自投!$A:$J,8,0),"無")</f>
        <v>382</v>
      </c>
      <c r="R684" s="81">
        <f>IFERROR(VLOOKUP($G684,融外自投!$A:$J,10,0),"無")</f>
        <v>238</v>
      </c>
      <c r="S684" s="324">
        <f>IFERROR(VLOOKUP($G684,'321買'!$A:$E,4,0),"'沒有資料'")</f>
        <v>286</v>
      </c>
      <c r="T684" s="186">
        <f>IFERROR(VLOOKUP($G684,基本資料!$A:$J,9,0),"無")</f>
        <v>1.4</v>
      </c>
      <c r="U684" s="307">
        <f t="shared" si="123"/>
        <v>2.6070763500931095E-2</v>
      </c>
      <c r="V684" s="94">
        <f>IFERROR(VLOOKUP($G684,基本資料!$A:$J,10,0),"無")</f>
        <v>1.68</v>
      </c>
      <c r="W684" s="36">
        <f>RTD("money.excel",,"8028","Price")</f>
        <v>53.7</v>
      </c>
      <c r="X684" s="66"/>
      <c r="Y684" s="15">
        <f t="shared" si="125"/>
        <v>53.7</v>
      </c>
      <c r="Z684" s="3" t="e">
        <f t="shared" si="126"/>
        <v>#DIV/0!</v>
      </c>
      <c r="AA684" s="340">
        <f>IFERROR(VLOOKUP($G684,基本資料!$A:$M,11,0),"無")</f>
        <v>-13.94</v>
      </c>
      <c r="AB684" s="389">
        <f>IFERROR(VLOOKUP($G684,基本資料!$A:$M,12,0),"無")</f>
        <v>40.01</v>
      </c>
      <c r="AC684" s="22" t="s">
        <v>1060</v>
      </c>
      <c r="AF684" s="33">
        <f t="shared" si="127"/>
        <v>0</v>
      </c>
      <c r="AG684" s="117" t="s">
        <v>2004</v>
      </c>
      <c r="AH684" s="66">
        <f t="shared" si="122"/>
        <v>0.87341975182630749</v>
      </c>
      <c r="AI684" s="283">
        <f>RTD("money.excel",,$G684,"PredictVolume")</f>
        <v>2995</v>
      </c>
      <c r="AJ684" s="391">
        <f>IFERROR(VLOOKUP($G684,基本資料!$A:$M,13,0),"無")</f>
        <v>3429.05</v>
      </c>
      <c r="AR684" s="245" t="str">
        <f>INDEX(基本資料!N:N,MATCH($G684,基本資料!A:A,0))</f>
        <v>中</v>
      </c>
    </row>
    <row r="685" spans="1:44">
      <c r="A685" s="343">
        <f>IFERROR(VLOOKUP($G685,基本資料!$A:$J,3,0),"無")</f>
        <v>6.88</v>
      </c>
      <c r="B685" s="79">
        <f>IFERROR(VLOOKUP($G685,基本資料!$A:$J,4,0),"無")</f>
        <v>153</v>
      </c>
      <c r="C685" s="79">
        <f>IFERROR(VLOOKUP($G685,基本資料!$A:$J,5,0),"無")</f>
        <v>435</v>
      </c>
      <c r="D685" s="79">
        <f>IFERROR(VLOOKUP($G685,基本資料!$A:$J,6,0),"無")</f>
        <v>5</v>
      </c>
      <c r="E685" s="79">
        <f>IFERROR(VLOOKUP($G685,基本資料!$A:$J,7,0),"無")</f>
        <v>-5</v>
      </c>
      <c r="F685" s="6">
        <f>IFERROR(VLOOKUP($G685,基本資料!$A:$J,8,0),"無")</f>
        <v>8.94</v>
      </c>
      <c r="G685" s="79">
        <v>8040</v>
      </c>
      <c r="H685" s="192" t="s">
        <v>3038</v>
      </c>
      <c r="I685" s="16" t="s">
        <v>384</v>
      </c>
      <c r="J685" s="8" t="str">
        <f>IFERROR(VLOOKUP($G685,今日總結!$A:$AN,39,0),"")</f>
        <v>外</v>
      </c>
      <c r="K685" s="5" t="str">
        <f>IFERROR(VLOOKUP($G685,今日總結!$A:$AN,40,0),"")</f>
        <v>融</v>
      </c>
      <c r="L685" s="156">
        <f>IFERROR(VLOOKUP($G685,今日總結!$A:$AN,37,0),"")</f>
        <v>1</v>
      </c>
      <c r="M685" s="337">
        <f>IFERROR(VLOOKUP($G685,今日總結!$A:$AN,38,0),"")</f>
        <v>1</v>
      </c>
      <c r="N685" s="240">
        <f t="shared" si="124"/>
        <v>0</v>
      </c>
      <c r="O685" s="359">
        <f>IFERROR(VLOOKUP($G685,融外自投!$A:$J,7,0),"無")</f>
        <v>260</v>
      </c>
      <c r="P685" s="79">
        <f>IFERROR(VLOOKUP($G685,融外自投!$A:$J,9,0),"無")</f>
        <v>136</v>
      </c>
      <c r="Q685" s="342">
        <f>IFERROR(VLOOKUP($G685,融外自投!$A:$J,8,0),"無")</f>
        <v>654</v>
      </c>
      <c r="R685" s="81" t="str">
        <f>IFERROR(VLOOKUP($G685,融外自投!$A:$J,10,0),"無")</f>
        <v>無</v>
      </c>
      <c r="S685" s="324">
        <f>IFERROR(VLOOKUP($G685,'321買'!$A:$E,4,0),"'沒有資料'")</f>
        <v>178</v>
      </c>
      <c r="T685" s="186">
        <f>IFERROR(VLOOKUP($G685,基本資料!$A:$J,9,0),"無")</f>
        <v>0.6</v>
      </c>
      <c r="U685" s="307">
        <f t="shared" si="123"/>
        <v>1.2170385395537525E-2</v>
      </c>
      <c r="V685" s="94">
        <f>IFERROR(VLOOKUP($G685,基本資料!$A:$J,10,0),"無")</f>
        <v>0.91</v>
      </c>
      <c r="W685" s="36">
        <f>RTD("money.excel",,"8040","Price")</f>
        <v>49.3</v>
      </c>
      <c r="X685" s="66"/>
      <c r="Y685" s="15">
        <f t="shared" si="125"/>
        <v>49.3</v>
      </c>
      <c r="Z685" s="3" t="e">
        <f t="shared" si="126"/>
        <v>#DIV/0!</v>
      </c>
      <c r="AA685" s="340">
        <f>IFERROR(VLOOKUP($G685,基本資料!$A:$M,11,0),"無")</f>
        <v>-43.72</v>
      </c>
      <c r="AB685" s="389">
        <f>IFERROR(VLOOKUP($G685,基本資料!$A:$M,12,0),"無")</f>
        <v>19.72</v>
      </c>
      <c r="AC685" s="16" t="s">
        <v>384</v>
      </c>
      <c r="AF685" s="33">
        <f t="shared" si="127"/>
        <v>0</v>
      </c>
      <c r="AG685" s="43" t="s">
        <v>2552</v>
      </c>
      <c r="AH685" s="66">
        <f t="shared" si="122"/>
        <v>0.9924915853974281</v>
      </c>
      <c r="AI685" s="283">
        <f>RTD("money.excel",,$G685,"PredictVolume")</f>
        <v>575</v>
      </c>
      <c r="AJ685" s="391">
        <f>IFERROR(VLOOKUP($G685,基本資料!$A:$M,13,0),"無")</f>
        <v>579.35</v>
      </c>
      <c r="AR685" s="245" t="str">
        <f>INDEX(基本資料!N:N,MATCH($G685,基本資料!A:A,0))</f>
        <v>低</v>
      </c>
    </row>
    <row r="686" spans="1:44">
      <c r="A686" s="343">
        <f>IFERROR(VLOOKUP($G686,基本資料!$A:$J,3,0),"無")</f>
        <v>9.08</v>
      </c>
      <c r="B686" s="79">
        <f>IFERROR(VLOOKUP($G686,基本資料!$A:$J,4,0),"無")</f>
        <v>555727</v>
      </c>
      <c r="C686" s="79">
        <f>IFERROR(VLOOKUP($G686,基本資料!$A:$J,5,0),"無")</f>
        <v>451</v>
      </c>
      <c r="D686" s="79">
        <f>IFERROR(VLOOKUP($G686,基本資料!$A:$J,6,0),"無")</f>
        <v>0</v>
      </c>
      <c r="E686" s="79">
        <f>IFERROR(VLOOKUP($G686,基本資料!$A:$J,7,0),"無")</f>
        <v>-11</v>
      </c>
      <c r="F686" s="6">
        <f>IFERROR(VLOOKUP($G686,基本資料!$A:$J,8,0),"無")</f>
        <v>9.3800000000000008</v>
      </c>
      <c r="G686" s="79">
        <v>8054</v>
      </c>
      <c r="H686" s="192" t="s">
        <v>3038</v>
      </c>
      <c r="I686" s="16" t="s">
        <v>4067</v>
      </c>
      <c r="J686" s="8">
        <f>IFERROR(VLOOKUP($G686,今日總結!$A:$AN,39,0),"")</f>
        <v>0</v>
      </c>
      <c r="K686" s="5">
        <f>IFERROR(VLOOKUP($G686,今日總結!$A:$AN,40,0),"")</f>
        <v>0</v>
      </c>
      <c r="L686" s="156">
        <f>IFERROR(VLOOKUP($G686,今日總結!$A:$AN,37,0),"")</f>
        <v>0</v>
      </c>
      <c r="M686" s="337">
        <f>IFERROR(VLOOKUP($G686,今日總結!$A:$AN,38,0),"")</f>
        <v>0</v>
      </c>
      <c r="N686" s="240">
        <f t="shared" si="124"/>
        <v>0</v>
      </c>
      <c r="O686" s="359">
        <f>IFERROR(VLOOKUP($G686,融外自投!$A:$J,7,0),"無")</f>
        <v>30</v>
      </c>
      <c r="P686" s="79">
        <f>IFERROR(VLOOKUP($G686,融外自投!$A:$J,9,0),"無")</f>
        <v>298</v>
      </c>
      <c r="Q686" s="342">
        <f>IFERROR(VLOOKUP($G686,融外自投!$A:$J,8,0),"無")</f>
        <v>1020</v>
      </c>
      <c r="R686" s="81" t="str">
        <f>IFERROR(VLOOKUP($G686,融外自投!$A:$J,10,0),"無")</f>
        <v>無</v>
      </c>
      <c r="S686" s="324">
        <f>IFERROR(VLOOKUP($G686,'321買'!$A:$E,4,0),"'沒有資料'")</f>
        <v>59</v>
      </c>
      <c r="T686" s="186">
        <f>IFERROR(VLOOKUP($G686,基本資料!$A:$J,9,0),"無")</f>
        <v>1.65</v>
      </c>
      <c r="U686" s="307">
        <f t="shared" si="123"/>
        <v>3.7162162162162164E-2</v>
      </c>
      <c r="V686" s="94">
        <f>IFERROR(VLOOKUP($G686,基本資料!$A:$J,10,0),"無")</f>
        <v>3.25</v>
      </c>
      <c r="W686" s="36">
        <f>RTD("money.excel",,"8054","Price")</f>
        <v>44.4</v>
      </c>
      <c r="X686" s="66"/>
      <c r="Y686" s="15">
        <f t="shared" si="125"/>
        <v>44.4</v>
      </c>
      <c r="Z686" s="3" t="e">
        <f t="shared" si="126"/>
        <v>#DIV/0!</v>
      </c>
      <c r="AA686" s="340">
        <f>IFERROR(VLOOKUP($G686,基本資料!$A:$M,11,0),"無")</f>
        <v>-39.76</v>
      </c>
      <c r="AB686" s="389">
        <f>IFERROR(VLOOKUP($G686,基本資料!$A:$M,12,0),"無")</f>
        <v>13.52</v>
      </c>
      <c r="AC686" s="16" t="s">
        <v>4067</v>
      </c>
      <c r="AF686" s="33">
        <f t="shared" si="127"/>
        <v>0</v>
      </c>
      <c r="AG686" s="43" t="s">
        <v>2233</v>
      </c>
      <c r="AH686" s="66">
        <f t="shared" si="122"/>
        <v>1.1707239585401692</v>
      </c>
      <c r="AI686" s="283">
        <f>RTD("money.excel",,$G686,"PredictVolume")</f>
        <v>1474</v>
      </c>
      <c r="AJ686" s="391">
        <f>IFERROR(VLOOKUP($G686,基本資料!$A:$M,13,0),"無")</f>
        <v>1259.05</v>
      </c>
      <c r="AR686" s="245" t="str">
        <f>INDEX(基本資料!N:N,MATCH($G686,基本資料!A:A,0))</f>
        <v>低</v>
      </c>
    </row>
    <row r="687" spans="1:44">
      <c r="A687" s="343">
        <f>IFERROR(VLOOKUP($G687,基本資料!$A:$J,3,0),"無")</f>
        <v>8.61</v>
      </c>
      <c r="B687" s="79">
        <f>IFERROR(VLOOKUP($G687,基本資料!$A:$J,4,0),"無")</f>
        <v>108</v>
      </c>
      <c r="C687" s="79">
        <f>IFERROR(VLOOKUP($G687,基本資料!$A:$J,5,0),"無")</f>
        <v>105</v>
      </c>
      <c r="D687" s="79">
        <f>IFERROR(VLOOKUP($G687,基本資料!$A:$J,6,0),"無")</f>
        <v>-4</v>
      </c>
      <c r="E687" s="79">
        <f>IFERROR(VLOOKUP($G687,基本資料!$A:$J,7,0),"無")</f>
        <v>16</v>
      </c>
      <c r="F687" s="6">
        <f>IFERROR(VLOOKUP($G687,基本資料!$A:$J,8,0),"無")</f>
        <v>29.7</v>
      </c>
      <c r="G687" s="79">
        <v>8081</v>
      </c>
      <c r="H687" s="8" t="s">
        <v>307</v>
      </c>
      <c r="I687" s="22" t="s">
        <v>357</v>
      </c>
      <c r="J687" s="8">
        <f>IFERROR(VLOOKUP($G687,今日總結!$A:$AN,39,0),"")</f>
        <v>0</v>
      </c>
      <c r="K687" s="5">
        <f>IFERROR(VLOOKUP($G687,今日總結!$A:$AN,40,0),"")</f>
        <v>0</v>
      </c>
      <c r="L687" s="156">
        <f>IFERROR(VLOOKUP($G687,今日總結!$A:$AN,37,0),"")</f>
        <v>0</v>
      </c>
      <c r="M687" s="337">
        <f>IFERROR(VLOOKUP($G687,今日總結!$A:$AN,38,0),"")</f>
        <v>0</v>
      </c>
      <c r="N687" s="240">
        <f t="shared" si="124"/>
        <v>0</v>
      </c>
      <c r="O687" s="359">
        <f>IFERROR(VLOOKUP($G687,融外自投!$A:$J,7,0),"無")</f>
        <v>481</v>
      </c>
      <c r="P687" s="79">
        <f>IFERROR(VLOOKUP($G687,融外自投!$A:$J,9,0),"無")</f>
        <v>365</v>
      </c>
      <c r="Q687" s="342">
        <f>IFERROR(VLOOKUP($G687,融外自投!$A:$J,8,0),"無")</f>
        <v>286</v>
      </c>
      <c r="R687" s="81">
        <f>IFERROR(VLOOKUP($G687,融外自投!$A:$J,10,0),"無")</f>
        <v>308</v>
      </c>
      <c r="S687" s="324">
        <f>IFERROR(VLOOKUP($G687,'321買'!$A:$E,4,0),"'沒有資料'")</f>
        <v>272</v>
      </c>
      <c r="T687" s="186">
        <f>IFERROR(VLOOKUP($G687,基本資料!$A:$J,9,0),"無")</f>
        <v>16</v>
      </c>
      <c r="U687" s="307">
        <f t="shared" si="123"/>
        <v>7.4592074592074592E-2</v>
      </c>
      <c r="V687" s="94">
        <f>IFERROR(VLOOKUP($G687,基本資料!$A:$J,10,0),"無")</f>
        <v>25.45</v>
      </c>
      <c r="W687" s="36">
        <f>RTD("money.excel",,"8081","Price")</f>
        <v>214.5</v>
      </c>
      <c r="X687" s="66"/>
      <c r="Y687" s="15">
        <f t="shared" si="125"/>
        <v>214.5</v>
      </c>
      <c r="Z687" s="3" t="e">
        <f t="shared" si="126"/>
        <v>#DIV/0!</v>
      </c>
      <c r="AA687" s="340">
        <f>IFERROR(VLOOKUP($G687,基本資料!$A:$M,11,0),"無")</f>
        <v>-28.74</v>
      </c>
      <c r="AB687" s="389">
        <f>IFERROR(VLOOKUP($G687,基本資料!$A:$M,12,0),"無")</f>
        <v>34.14</v>
      </c>
      <c r="AC687" s="22" t="s">
        <v>357</v>
      </c>
      <c r="AF687" s="33">
        <f t="shared" si="127"/>
        <v>0</v>
      </c>
      <c r="AG687" s="43" t="s">
        <v>1437</v>
      </c>
      <c r="AH687" s="66">
        <f t="shared" si="122"/>
        <v>1.8768075810719342</v>
      </c>
      <c r="AI687" s="283">
        <f>RTD("money.excel",,$G687,"PredictVolume")</f>
        <v>1525</v>
      </c>
      <c r="AJ687" s="391">
        <f>IFERROR(VLOOKUP($G687,基本資料!$A:$M,13,0),"無")</f>
        <v>812.55</v>
      </c>
      <c r="AR687" s="245" t="str">
        <f>INDEX(基本資料!N:N,MATCH($G687,基本資料!A:A,0))</f>
        <v>低</v>
      </c>
    </row>
    <row r="688" spans="1:44">
      <c r="A688" s="343">
        <f>IFERROR(VLOOKUP($G688,基本資料!$A:$J,3,0),"無")</f>
        <v>19.649999999999999</v>
      </c>
      <c r="B688" s="79">
        <f>IFERROR(VLOOKUP($G688,基本資料!$A:$J,4,0),"無")</f>
        <v>35</v>
      </c>
      <c r="C688" s="79">
        <f>IFERROR(VLOOKUP($G688,基本資料!$A:$J,5,0),"無")</f>
        <v>25</v>
      </c>
      <c r="D688" s="79">
        <f>IFERROR(VLOOKUP($G688,基本資料!$A:$J,6,0),"無")</f>
        <v>2</v>
      </c>
      <c r="E688" s="79">
        <f>IFERROR(VLOOKUP($G688,基本資料!$A:$J,7,0),"無")</f>
        <v>-50</v>
      </c>
      <c r="F688" s="6">
        <f>IFERROR(VLOOKUP($G688,基本資料!$A:$J,8,0),"無")</f>
        <v>20.71</v>
      </c>
      <c r="G688" s="79">
        <v>8086</v>
      </c>
      <c r="H688" s="192" t="s">
        <v>3038</v>
      </c>
      <c r="I688" s="16" t="s">
        <v>262</v>
      </c>
      <c r="J688" s="8">
        <f>IFERROR(VLOOKUP($G688,今日總結!$A:$AN,39,0),"")</f>
        <v>0</v>
      </c>
      <c r="K688" s="5" t="str">
        <f>IFERROR(VLOOKUP($G688,今日總結!$A:$AN,40,0),"")</f>
        <v>融</v>
      </c>
      <c r="L688" s="156">
        <f>IFERROR(VLOOKUP($G688,今日總結!$A:$AN,37,0),"")</f>
        <v>0</v>
      </c>
      <c r="M688" s="337">
        <f>IFERROR(VLOOKUP($G688,今日總結!$A:$AN,38,0),"")</f>
        <v>3</v>
      </c>
      <c r="N688" s="240">
        <f t="shared" si="124"/>
        <v>-3</v>
      </c>
      <c r="O688" s="359">
        <f>IFERROR(VLOOKUP($G688,融外自投!$A:$J,7,0),"無")</f>
        <v>197</v>
      </c>
      <c r="P688" s="79">
        <f>IFERROR(VLOOKUP($G688,融外自投!$A:$J,9,0),"無")</f>
        <v>298</v>
      </c>
      <c r="Q688" s="342">
        <f>IFERROR(VLOOKUP($G688,融外自投!$A:$J,8,0),"無")</f>
        <v>519</v>
      </c>
      <c r="R688" s="81">
        <f>IFERROR(VLOOKUP($G688,融外自投!$A:$J,10,0),"無")</f>
        <v>318</v>
      </c>
      <c r="S688" s="324">
        <f>IFERROR(VLOOKUP($G688,'321買'!$A:$E,4,0),"'沒有資料'")</f>
        <v>411</v>
      </c>
      <c r="T688" s="186">
        <f>IFERROR(VLOOKUP($G688,基本資料!$A:$J,9,0),"無")</f>
        <v>2.8</v>
      </c>
      <c r="U688" s="307">
        <f t="shared" si="123"/>
        <v>3.414634146341463E-2</v>
      </c>
      <c r="V688" s="94">
        <f>IFERROR(VLOOKUP($G688,基本資料!$A:$J,10,0),"無")</f>
        <v>4.29</v>
      </c>
      <c r="W688" s="36">
        <f>RTD("money.excel",,"8086","Price")</f>
        <v>82</v>
      </c>
      <c r="X688" s="66"/>
      <c r="Y688" s="15">
        <f t="shared" si="125"/>
        <v>82</v>
      </c>
      <c r="Z688" s="3" t="e">
        <f t="shared" si="126"/>
        <v>#DIV/0!</v>
      </c>
      <c r="AA688" s="340">
        <f>IFERROR(VLOOKUP($G688,基本資料!$A:$M,11,0),"無")</f>
        <v>-58.27</v>
      </c>
      <c r="AB688" s="389">
        <f>IFERROR(VLOOKUP($G688,基本資料!$A:$M,12,0),"無")</f>
        <v>13.49</v>
      </c>
      <c r="AC688" s="16" t="s">
        <v>262</v>
      </c>
      <c r="AF688" s="33">
        <f t="shared" si="127"/>
        <v>0</v>
      </c>
      <c r="AG688" s="117" t="s">
        <v>2324</v>
      </c>
      <c r="AH688" s="66">
        <f t="shared" si="122"/>
        <v>0.64294723256973574</v>
      </c>
      <c r="AI688" s="283">
        <f>RTD("money.excel",,$G688,"PredictVolume")</f>
        <v>1096</v>
      </c>
      <c r="AJ688" s="391">
        <f>IFERROR(VLOOKUP($G688,基本資料!$A:$M,13,0),"無")</f>
        <v>1704.65</v>
      </c>
      <c r="AR688" s="245" t="str">
        <f>INDEX(基本資料!N:N,MATCH($G688,基本資料!A:A,0))</f>
        <v>低</v>
      </c>
    </row>
    <row r="689" spans="1:44">
      <c r="A689" s="343">
        <f>IFERROR(VLOOKUP($G689,基本資料!$A:$J,3,0),"無")</f>
        <v>6.09</v>
      </c>
      <c r="B689" s="79">
        <f>IFERROR(VLOOKUP($G689,基本資料!$A:$J,4,0),"無")</f>
        <v>-16</v>
      </c>
      <c r="C689" s="79">
        <f>IFERROR(VLOOKUP($G689,基本資料!$A:$J,5,0),"無")</f>
        <v>-25</v>
      </c>
      <c r="D689" s="79">
        <f>IFERROR(VLOOKUP($G689,基本資料!$A:$J,6,0),"無")</f>
        <v>-10</v>
      </c>
      <c r="E689" s="79">
        <f>IFERROR(VLOOKUP($G689,基本資料!$A:$J,7,0),"無")</f>
        <v>-4</v>
      </c>
      <c r="F689" s="6">
        <f>IFERROR(VLOOKUP($G689,基本資料!$A:$J,8,0),"無")</f>
        <v>7.21</v>
      </c>
      <c r="G689" s="79">
        <v>8088</v>
      </c>
      <c r="H689" s="192" t="s">
        <v>3038</v>
      </c>
      <c r="I689" s="16" t="s">
        <v>385</v>
      </c>
      <c r="J689" s="8">
        <f>IFERROR(VLOOKUP($G689,今日總結!$A:$AN,39,0),"")</f>
        <v>0</v>
      </c>
      <c r="K689" s="5" t="str">
        <f>IFERROR(VLOOKUP($G689,今日總結!$A:$AN,40,0),"")</f>
        <v>5融</v>
      </c>
      <c r="L689" s="156">
        <f>IFERROR(VLOOKUP($G689,今日總結!$A:$AN,37,0),"")</f>
        <v>0</v>
      </c>
      <c r="M689" s="337">
        <f>IFERROR(VLOOKUP($G689,今日總結!$A:$AN,38,0),"")</f>
        <v>3</v>
      </c>
      <c r="N689" s="240">
        <f t="shared" si="124"/>
        <v>-3</v>
      </c>
      <c r="O689" s="359">
        <f>IFERROR(VLOOKUP($G689,融外自投!$A:$J,7,0),"無")</f>
        <v>350</v>
      </c>
      <c r="P689" s="79">
        <f>IFERROR(VLOOKUP($G689,融外自投!$A:$J,9,0),"無")</f>
        <v>537</v>
      </c>
      <c r="Q689" s="342">
        <f>IFERROR(VLOOKUP($G689,融外自投!$A:$J,8,0),"無")</f>
        <v>519</v>
      </c>
      <c r="R689" s="81" t="str">
        <f>IFERROR(VLOOKUP($G689,融外自投!$A:$J,10,0),"無")</f>
        <v>無</v>
      </c>
      <c r="S689" s="324">
        <f>IFERROR(VLOOKUP($G689,'321買'!$A:$E,4,0),"'沒有資料'")</f>
        <v>650</v>
      </c>
      <c r="T689" s="186">
        <f>IFERROR(VLOOKUP($G689,基本資料!$A:$J,9,0),"無")</f>
        <v>1</v>
      </c>
      <c r="U689" s="307">
        <f t="shared" si="123"/>
        <v>4.8899755501222497E-2</v>
      </c>
      <c r="V689" s="94">
        <f>IFERROR(VLOOKUP($G689,基本資料!$A:$J,10,0),"無")</f>
        <v>1.64</v>
      </c>
      <c r="W689" s="36">
        <f>RTD("money.excel",,"8088","Price")</f>
        <v>20.45</v>
      </c>
      <c r="X689" s="66"/>
      <c r="Y689" s="15">
        <f t="shared" si="125"/>
        <v>20.45</v>
      </c>
      <c r="Z689" s="3" t="e">
        <f t="shared" si="126"/>
        <v>#DIV/0!</v>
      </c>
      <c r="AA689" s="340">
        <f>IFERROR(VLOOKUP($G689,基本資料!$A:$M,11,0),"無")</f>
        <v>-36.39</v>
      </c>
      <c r="AB689" s="389">
        <f>IFERROR(VLOOKUP($G689,基本資料!$A:$M,12,0),"無")</f>
        <v>18.27</v>
      </c>
      <c r="AC689" s="16" t="s">
        <v>385</v>
      </c>
      <c r="AF689" s="33">
        <f t="shared" si="127"/>
        <v>0</v>
      </c>
      <c r="AG689" s="43" t="s">
        <v>2323</v>
      </c>
      <c r="AH689" s="66">
        <f t="shared" si="122"/>
        <v>4.7066326530612246</v>
      </c>
      <c r="AI689" s="283">
        <f>RTD("money.excel",,$G689,"PredictVolume")</f>
        <v>369</v>
      </c>
      <c r="AJ689" s="391">
        <f>IFERROR(VLOOKUP($G689,基本資料!$A:$M,13,0),"無")</f>
        <v>78.400000000000006</v>
      </c>
      <c r="AR689" s="245" t="str">
        <f>INDEX(基本資料!N:N,MATCH($G689,基本資料!A:A,0))</f>
        <v>低</v>
      </c>
    </row>
    <row r="690" spans="1:44">
      <c r="A690" s="343">
        <f>IFERROR(VLOOKUP($G690,基本資料!$A:$J,3,0),"無")</f>
        <v>52.17</v>
      </c>
      <c r="B690" s="79">
        <f>IFERROR(VLOOKUP($G690,基本資料!$A:$J,4,0),"無")</f>
        <v>-53</v>
      </c>
      <c r="C690" s="79">
        <f>IFERROR(VLOOKUP($G690,基本資料!$A:$J,5,0),"無")</f>
        <v>159</v>
      </c>
      <c r="D690" s="79">
        <f>IFERROR(VLOOKUP($G690,基本資料!$A:$J,6,0),"無")</f>
        <v>0</v>
      </c>
      <c r="E690" s="79">
        <f>IFERROR(VLOOKUP($G690,基本資料!$A:$J,7,0),"無")</f>
        <v>4</v>
      </c>
      <c r="F690" s="6">
        <f>IFERROR(VLOOKUP($G690,基本資料!$A:$J,8,0),"無")</f>
        <v>0.68</v>
      </c>
      <c r="G690" s="79">
        <v>8110</v>
      </c>
      <c r="H690" s="8" t="s">
        <v>3038</v>
      </c>
      <c r="I690" s="22" t="s">
        <v>4068</v>
      </c>
      <c r="J690" s="8">
        <f>IFERROR(VLOOKUP($G690,今日總結!$A:$AN,39,0),"")</f>
        <v>0</v>
      </c>
      <c r="K690" s="5">
        <f>IFERROR(VLOOKUP($G690,今日總結!$A:$AN,40,0),"")</f>
        <v>0</v>
      </c>
      <c r="L690" s="156">
        <f>IFERROR(VLOOKUP($G690,今日總結!$A:$AN,37,0),"")</f>
        <v>0</v>
      </c>
      <c r="M690" s="337">
        <f>IFERROR(VLOOKUP($G690,今日總結!$A:$AN,38,0),"")</f>
        <v>0</v>
      </c>
      <c r="N690" s="240">
        <f t="shared" si="124"/>
        <v>0</v>
      </c>
      <c r="O690" s="359">
        <f>IFERROR(VLOOKUP($G690,融外自投!$A:$J,7,0),"無")</f>
        <v>590</v>
      </c>
      <c r="P690" s="79">
        <f>IFERROR(VLOOKUP($G690,融外自投!$A:$J,9,0),"無")</f>
        <v>525</v>
      </c>
      <c r="Q690" s="342">
        <f>IFERROR(VLOOKUP($G690,融外自投!$A:$J,8,0),"無")</f>
        <v>992</v>
      </c>
      <c r="R690" s="81">
        <f>IFERROR(VLOOKUP($G690,融外自投!$A:$J,10,0),"無")</f>
        <v>495</v>
      </c>
      <c r="S690" s="324">
        <f>IFERROR(VLOOKUP($G690,'321買'!$A:$E,4,0),"'沒有資料'")</f>
        <v>366</v>
      </c>
      <c r="T690" s="186">
        <f>IFERROR(VLOOKUP($G690,基本資料!$A:$J,9,0),"無")</f>
        <v>0.13</v>
      </c>
      <c r="U690" s="307">
        <f t="shared" si="123"/>
        <v>9.3525179856115102E-3</v>
      </c>
      <c r="V690" s="94">
        <f>IFERROR(VLOOKUP($G690,基本資料!$A:$J,10,0),"無")</f>
        <v>0.43</v>
      </c>
      <c r="W690" s="36">
        <f>RTD("money.excel",,"8110","Price")</f>
        <v>13.9</v>
      </c>
      <c r="X690" s="66"/>
      <c r="Y690" s="15">
        <f t="shared" si="125"/>
        <v>13.9</v>
      </c>
      <c r="Z690" s="3" t="e">
        <f t="shared" si="126"/>
        <v>#DIV/0!</v>
      </c>
      <c r="AA690" s="340">
        <f>IFERROR(VLOOKUP($G690,基本資料!$A:$M,11,0),"無")</f>
        <v>-48.8</v>
      </c>
      <c r="AB690" s="389">
        <f>IFERROR(VLOOKUP($G690,基本資料!$A:$M,12,0),"無")</f>
        <v>14.88</v>
      </c>
      <c r="AC690" s="22" t="s">
        <v>4068</v>
      </c>
      <c r="AF690" s="33">
        <f t="shared" si="127"/>
        <v>0</v>
      </c>
      <c r="AG690" s="117" t="s">
        <v>1057</v>
      </c>
      <c r="AH690" s="66">
        <f t="shared" si="122"/>
        <v>1.0197086546700942</v>
      </c>
      <c r="AI690" s="283">
        <f>RTD("money.excel",,$G690,"PredictVolume")</f>
        <v>1190</v>
      </c>
      <c r="AJ690" s="391">
        <f>IFERROR(VLOOKUP($G690,基本資料!$A:$M,13,0),"無")</f>
        <v>1167</v>
      </c>
      <c r="AR690" s="245" t="str">
        <f>INDEX(基本資料!N:N,MATCH($G690,基本資料!A:A,0))</f>
        <v>低</v>
      </c>
    </row>
    <row r="691" spans="1:44">
      <c r="A691" s="343">
        <f>IFERROR(VLOOKUP($G691,基本資料!$A:$J,3,0),"無")</f>
        <v>44.22</v>
      </c>
      <c r="B691" s="79">
        <f>IFERROR(VLOOKUP($G691,基本資料!$A:$J,4,0),"無")</f>
        <v>11</v>
      </c>
      <c r="C691" s="79">
        <f>IFERROR(VLOOKUP($G691,基本資料!$A:$J,5,0),"無")</f>
        <v>11</v>
      </c>
      <c r="D691" s="79">
        <f>IFERROR(VLOOKUP($G691,基本資料!$A:$J,6,0),"無")</f>
        <v>4</v>
      </c>
      <c r="E691" s="79">
        <f>IFERROR(VLOOKUP($G691,基本資料!$A:$J,7,0),"無")</f>
        <v>9</v>
      </c>
      <c r="F691" s="6">
        <f>IFERROR(VLOOKUP($G691,基本資料!$A:$J,8,0),"無")</f>
        <v>18.84</v>
      </c>
      <c r="G691" s="79">
        <v>8131</v>
      </c>
      <c r="H691" s="8" t="s">
        <v>3038</v>
      </c>
      <c r="I691" s="22" t="s">
        <v>4069</v>
      </c>
      <c r="J691" s="8">
        <f>IFERROR(VLOOKUP($G691,今日總結!$A:$AN,39,0),"")</f>
        <v>0</v>
      </c>
      <c r="K691" s="5">
        <f>IFERROR(VLOOKUP($G691,今日總結!$A:$AN,40,0),"")</f>
        <v>0</v>
      </c>
      <c r="L691" s="156">
        <f>IFERROR(VLOOKUP($G691,今日總結!$A:$AN,37,0),"")</f>
        <v>0</v>
      </c>
      <c r="M691" s="337">
        <f>IFERROR(VLOOKUP($G691,今日總結!$A:$AN,38,0),"")</f>
        <v>0</v>
      </c>
      <c r="N691" s="240">
        <f t="shared" si="124"/>
        <v>0</v>
      </c>
      <c r="O691" s="359">
        <f>IFERROR(VLOOKUP($G691,融外自投!$A:$J,7,0),"無")</f>
        <v>1271</v>
      </c>
      <c r="P691" s="79">
        <f>IFERROR(VLOOKUP($G691,融外自投!$A:$J,9,0),"無")</f>
        <v>671</v>
      </c>
      <c r="Q691" s="342">
        <f>IFERROR(VLOOKUP($G691,融外自投!$A:$J,8,0),"無")</f>
        <v>774</v>
      </c>
      <c r="R691" s="81">
        <f>IFERROR(VLOOKUP($G691,融外自投!$A:$J,10,0),"無")</f>
        <v>495</v>
      </c>
      <c r="S691" s="324">
        <f>IFERROR(VLOOKUP($G691,'321買'!$A:$E,4,0),"'沒有資料'")</f>
        <v>801</v>
      </c>
      <c r="T691" s="186">
        <f>IFERROR(VLOOKUP($G691,基本資料!$A:$J,9,0),"無")</f>
        <v>2.5</v>
      </c>
      <c r="U691" s="307">
        <f t="shared" si="123"/>
        <v>6.25E-2</v>
      </c>
      <c r="V691" s="94">
        <f>IFERROR(VLOOKUP($G691,基本資料!$A:$J,10,0),"無")</f>
        <v>3.52</v>
      </c>
      <c r="W691" s="36">
        <f>RTD("money.excel",,"8131","Price")</f>
        <v>40</v>
      </c>
      <c r="X691" s="66"/>
      <c r="Y691" s="15">
        <f t="shared" si="125"/>
        <v>40</v>
      </c>
      <c r="Z691" s="3" t="e">
        <f t="shared" si="126"/>
        <v>#DIV/0!</v>
      </c>
      <c r="AA691" s="340">
        <f>IFERROR(VLOOKUP($G691,基本資料!$A:$M,11,0),"無")</f>
        <v>-6.1</v>
      </c>
      <c r="AB691" s="389">
        <f>IFERROR(VLOOKUP($G691,基本資料!$A:$M,12,0),"無")</f>
        <v>41.61</v>
      </c>
      <c r="AC691" s="22" t="s">
        <v>4069</v>
      </c>
      <c r="AF691" s="33">
        <f t="shared" si="127"/>
        <v>0</v>
      </c>
      <c r="AG691" s="117" t="s">
        <v>1709</v>
      </c>
      <c r="AH691" s="66">
        <f t="shared" si="122"/>
        <v>1.7935849879991272</v>
      </c>
      <c r="AI691" s="283">
        <f>RTD("money.excel",,$G691,"PredictVolume")</f>
        <v>411</v>
      </c>
      <c r="AJ691" s="391">
        <f>IFERROR(VLOOKUP($G691,基本資料!$A:$M,13,0),"無")</f>
        <v>229.15</v>
      </c>
      <c r="AR691" s="245" t="str">
        <f>INDEX(基本資料!N:N,MATCH($G691,基本資料!A:A,0))</f>
        <v>中</v>
      </c>
    </row>
    <row r="692" spans="1:44">
      <c r="A692" s="343">
        <f>IFERROR(VLOOKUP($G692,基本資料!$A:$J,3,0),"無")</f>
        <v>72.72</v>
      </c>
      <c r="B692" s="79">
        <f>IFERROR(VLOOKUP($G692,基本資料!$A:$J,4,0),"無")</f>
        <v>113</v>
      </c>
      <c r="C692" s="79">
        <f>IFERROR(VLOOKUP($G692,基本資料!$A:$J,5,0),"無")</f>
        <v>55</v>
      </c>
      <c r="D692" s="79">
        <f>IFERROR(VLOOKUP($G692,基本資料!$A:$J,6,0),"無")</f>
        <v>0</v>
      </c>
      <c r="E692" s="79">
        <f>IFERROR(VLOOKUP($G692,基本資料!$A:$J,7,0),"無")</f>
        <v>2</v>
      </c>
      <c r="F692" s="6">
        <f>IFERROR(VLOOKUP($G692,基本資料!$A:$J,8,0),"無")</f>
        <v>20.3</v>
      </c>
      <c r="G692" s="79">
        <v>8150</v>
      </c>
      <c r="H692" s="8" t="s">
        <v>3038</v>
      </c>
      <c r="I692" s="22" t="s">
        <v>276</v>
      </c>
      <c r="J692" s="8">
        <f>IFERROR(VLOOKUP($G692,今日總結!$A:$AN,39,0),"")</f>
        <v>0</v>
      </c>
      <c r="K692" s="5">
        <f>IFERROR(VLOOKUP($G692,今日總結!$A:$AN,40,0),"")</f>
        <v>0</v>
      </c>
      <c r="L692" s="156">
        <f>IFERROR(VLOOKUP($G692,今日總結!$A:$AN,37,0),"")</f>
        <v>0</v>
      </c>
      <c r="M692" s="337">
        <f>IFERROR(VLOOKUP($G692,今日總結!$A:$AN,38,0),"")</f>
        <v>0</v>
      </c>
      <c r="N692" s="240">
        <f t="shared" si="124"/>
        <v>0</v>
      </c>
      <c r="O692" s="359">
        <f>IFERROR(VLOOKUP($G692,融外自投!$A:$J,7,0),"無")</f>
        <v>801</v>
      </c>
      <c r="P692" s="79">
        <f>IFERROR(VLOOKUP($G692,融外自投!$A:$J,9,0),"無")</f>
        <v>221</v>
      </c>
      <c r="Q692" s="342">
        <f>IFERROR(VLOOKUP($G692,融外自投!$A:$J,8,0),"無")</f>
        <v>114</v>
      </c>
      <c r="R692" s="81">
        <f>IFERROR(VLOOKUP($G692,融外自投!$A:$J,10,0),"無")</f>
        <v>213</v>
      </c>
      <c r="S692" s="324">
        <f>IFERROR(VLOOKUP($G692,'321買'!$A:$E,4,0),"'沒有資料'")</f>
        <v>253</v>
      </c>
      <c r="T692" s="186">
        <f>IFERROR(VLOOKUP($G692,基本資料!$A:$J,9,0),"無")</f>
        <v>4.3</v>
      </c>
      <c r="U692" s="307">
        <f t="shared" si="123"/>
        <v>9.2473118279569888E-2</v>
      </c>
      <c r="V692" s="94">
        <f>IFERROR(VLOOKUP($G692,基本資料!$A:$J,10,0),"無")</f>
        <v>6.96</v>
      </c>
      <c r="W692" s="36">
        <f>RTD("money.excel",,"8150","Price")</f>
        <v>46.5</v>
      </c>
      <c r="X692" s="66"/>
      <c r="Y692" s="15">
        <f t="shared" si="125"/>
        <v>46.5</v>
      </c>
      <c r="Z692" s="3" t="e">
        <f t="shared" si="126"/>
        <v>#DIV/0!</v>
      </c>
      <c r="AA692" s="340">
        <f>IFERROR(VLOOKUP($G692,基本資料!$A:$M,11,0),"無")</f>
        <v>-24.27</v>
      </c>
      <c r="AB692" s="389">
        <f>IFERROR(VLOOKUP($G692,基本資料!$A:$M,12,0),"無")</f>
        <v>23.26</v>
      </c>
      <c r="AC692" s="22" t="s">
        <v>276</v>
      </c>
      <c r="AF692" s="33">
        <f t="shared" si="127"/>
        <v>0</v>
      </c>
      <c r="AG692" s="117" t="s">
        <v>2297</v>
      </c>
      <c r="AH692" s="66">
        <f t="shared" si="122"/>
        <v>0.70008221506904666</v>
      </c>
      <c r="AI692" s="283">
        <f>RTD("money.excel",,$G692,"PredictVolume")</f>
        <v>2512</v>
      </c>
      <c r="AJ692" s="391">
        <f>IFERROR(VLOOKUP($G692,基本資料!$A:$M,13,0),"無")</f>
        <v>3588.15</v>
      </c>
      <c r="AR692" s="245" t="str">
        <f>INDEX(基本資料!N:N,MATCH($G692,基本資料!A:A,0))</f>
        <v>低</v>
      </c>
    </row>
    <row r="693" spans="1:44">
      <c r="A693" s="343">
        <f>IFERROR(VLOOKUP($G693,基本資料!$A:$J,3,0),"無")</f>
        <v>8.1300000000000008</v>
      </c>
      <c r="B693" s="79">
        <f>IFERROR(VLOOKUP($G693,基本資料!$A:$J,4,0),"無")</f>
        <v>231</v>
      </c>
      <c r="C693" s="79">
        <f>IFERROR(VLOOKUP($G693,基本資料!$A:$J,5,0),"無")</f>
        <v>245</v>
      </c>
      <c r="D693" s="79">
        <f>IFERROR(VLOOKUP($G693,基本資料!$A:$J,6,0),"無")</f>
        <v>-18</v>
      </c>
      <c r="E693" s="79">
        <f>IFERROR(VLOOKUP($G693,基本資料!$A:$J,7,0),"無")</f>
        <v>5</v>
      </c>
      <c r="F693" s="6">
        <f>IFERROR(VLOOKUP($G693,基本資料!$A:$J,8,0),"無")</f>
        <v>19.72</v>
      </c>
      <c r="G693" s="79">
        <v>8261</v>
      </c>
      <c r="H693" s="8" t="s">
        <v>3038</v>
      </c>
      <c r="I693" s="22" t="s">
        <v>322</v>
      </c>
      <c r="J693" s="8" t="str">
        <f>IFERROR(VLOOKUP($G693,今日總結!$A:$AN,39,0),"")</f>
        <v>24主外借券</v>
      </c>
      <c r="K693" s="5">
        <f>IFERROR(VLOOKUP($G693,今日總結!$A:$AN,40,0),"")</f>
        <v>0</v>
      </c>
      <c r="L693" s="156">
        <f>IFERROR(VLOOKUP($G693,今日總結!$A:$AN,37,0),"")</f>
        <v>10</v>
      </c>
      <c r="M693" s="337">
        <f>IFERROR(VLOOKUP($G693,今日總結!$A:$AN,38,0),"")</f>
        <v>0</v>
      </c>
      <c r="N693" s="240">
        <f t="shared" si="124"/>
        <v>10</v>
      </c>
      <c r="O693" s="359">
        <f>IFERROR(VLOOKUP($G693,融外自投!$A:$J,7,0),"無")</f>
        <v>39</v>
      </c>
      <c r="P693" s="79">
        <f>IFERROR(VLOOKUP($G693,融外自投!$A:$J,9,0),"無")</f>
        <v>93</v>
      </c>
      <c r="Q693" s="342">
        <f>IFERROR(VLOOKUP($G693,融外自投!$A:$J,8,0),"無")</f>
        <v>387</v>
      </c>
      <c r="R693" s="81">
        <f>IFERROR(VLOOKUP($G693,融外自投!$A:$J,10,0),"無")</f>
        <v>495</v>
      </c>
      <c r="S693" s="324">
        <f>IFERROR(VLOOKUP($G693,'321買'!$A:$E,4,0),"'沒有資料'")</f>
        <v>26</v>
      </c>
      <c r="T693" s="186">
        <f>IFERROR(VLOOKUP($G693,基本資料!$A:$J,9,0),"無")</f>
        <v>6</v>
      </c>
      <c r="U693" s="307">
        <f t="shared" si="123"/>
        <v>5.5299539170506916E-2</v>
      </c>
      <c r="V693" s="94">
        <f>IFERROR(VLOOKUP($G693,基本資料!$A:$J,10,0),"無")</f>
        <v>8.0299999999999994</v>
      </c>
      <c r="W693" s="36">
        <f>RTD("money.excel",,"8261","Price")</f>
        <v>108.5</v>
      </c>
      <c r="X693" s="66"/>
      <c r="Y693" s="15">
        <f t="shared" si="125"/>
        <v>108.5</v>
      </c>
      <c r="Z693" s="3" t="e">
        <f t="shared" si="126"/>
        <v>#DIV/0!</v>
      </c>
      <c r="AA693" s="340">
        <f>IFERROR(VLOOKUP($G693,基本資料!$A:$M,11,0),"無")</f>
        <v>-20.8</v>
      </c>
      <c r="AB693" s="389">
        <f>IFERROR(VLOOKUP($G693,基本資料!$A:$M,12,0),"無")</f>
        <v>53.43</v>
      </c>
      <c r="AC693" s="22" t="s">
        <v>322</v>
      </c>
      <c r="AF693" s="33">
        <f t="shared" si="127"/>
        <v>0</v>
      </c>
      <c r="AG693" s="43" t="s">
        <v>2175</v>
      </c>
      <c r="AH693" s="66">
        <f t="shared" si="122"/>
        <v>0.91722324639608321</v>
      </c>
      <c r="AI693" s="283">
        <f>RTD("money.excel",,$G693,"PredictVolume")</f>
        <v>3035</v>
      </c>
      <c r="AJ693" s="391">
        <f>IFERROR(VLOOKUP($G693,基本資料!$A:$M,13,0),"無")</f>
        <v>3308.9</v>
      </c>
      <c r="AR693" s="245" t="str">
        <f>INDEX(基本資料!N:N,MATCH($G693,基本資料!A:A,0))</f>
        <v>中</v>
      </c>
    </row>
    <row r="694" spans="1:44">
      <c r="A694" s="343">
        <f>IFERROR(VLOOKUP($G694,基本資料!$A:$J,3,0),"無")</f>
        <v>10.18</v>
      </c>
      <c r="B694" s="79">
        <f>IFERROR(VLOOKUP($G694,基本資料!$A:$J,4,0),"無")</f>
        <v>67</v>
      </c>
      <c r="C694" s="79">
        <f>IFERROR(VLOOKUP($G694,基本資料!$A:$J,5,0),"無")</f>
        <v>65</v>
      </c>
      <c r="D694" s="79">
        <f>IFERROR(VLOOKUP($G694,基本資料!$A:$J,6,0),"無")</f>
        <v>-4</v>
      </c>
      <c r="E694" s="79">
        <f>IFERROR(VLOOKUP($G694,基本資料!$A:$J,7,0),"無")</f>
        <v>-7</v>
      </c>
      <c r="F694" s="6">
        <f>IFERROR(VLOOKUP($G694,基本資料!$A:$J,8,0),"無")</f>
        <v>6.6</v>
      </c>
      <c r="G694" s="79">
        <v>8271</v>
      </c>
      <c r="H694" s="8" t="s">
        <v>3038</v>
      </c>
      <c r="I694" s="22" t="s">
        <v>4070</v>
      </c>
      <c r="J694" s="8">
        <f>IFERROR(VLOOKUP($G694,今日總結!$A:$AN,39,0),"")</f>
        <v>0</v>
      </c>
      <c r="K694" s="5">
        <f>IFERROR(VLOOKUP($G694,今日總結!$A:$AN,40,0),"")</f>
        <v>0</v>
      </c>
      <c r="L694" s="156">
        <f>IFERROR(VLOOKUP($G694,今日總結!$A:$AN,37,0),"")</f>
        <v>0</v>
      </c>
      <c r="M694" s="337">
        <f>IFERROR(VLOOKUP($G694,今日總結!$A:$AN,38,0),"")</f>
        <v>0</v>
      </c>
      <c r="N694" s="240">
        <f t="shared" si="124"/>
        <v>0</v>
      </c>
      <c r="O694" s="359">
        <f>IFERROR(VLOOKUP($G694,融外自投!$A:$J,7,0),"無")</f>
        <v>577</v>
      </c>
      <c r="P694" s="79">
        <f>IFERROR(VLOOKUP($G694,融外自投!$A:$J,9,0),"無")</f>
        <v>649</v>
      </c>
      <c r="Q694" s="342">
        <f>IFERROR(VLOOKUP($G694,融外自投!$A:$J,8,0),"無")</f>
        <v>955</v>
      </c>
      <c r="R694" s="81" t="str">
        <f>IFERROR(VLOOKUP($G694,融外自投!$A:$J,10,0),"無")</f>
        <v>無</v>
      </c>
      <c r="S694" s="324">
        <f>IFERROR(VLOOKUP($G694,'321買'!$A:$E,4,0),"'沒有資料'")</f>
        <v>440</v>
      </c>
      <c r="T694" s="186">
        <f>IFERROR(VLOOKUP($G694,基本資料!$A:$J,9,0),"無")</f>
        <v>2.89</v>
      </c>
      <c r="U694" s="307">
        <f t="shared" si="123"/>
        <v>6.8973747016706444E-2</v>
      </c>
      <c r="V694" s="94">
        <f>IFERROR(VLOOKUP($G694,基本資料!$A:$J,10,0),"無")</f>
        <v>4.8099999999999996</v>
      </c>
      <c r="W694" s="36">
        <f>RTD("money.excel",,"8271","Price")</f>
        <v>41.9</v>
      </c>
      <c r="X694" s="66"/>
      <c r="Y694" s="15">
        <f t="shared" si="125"/>
        <v>41.9</v>
      </c>
      <c r="Z694" s="3" t="e">
        <f t="shared" si="126"/>
        <v>#DIV/0!</v>
      </c>
      <c r="AA694" s="340">
        <f>IFERROR(VLOOKUP($G694,基本資料!$A:$M,11,0),"無")</f>
        <v>-23.12</v>
      </c>
      <c r="AB694" s="389">
        <f>IFERROR(VLOOKUP($G694,基本資料!$A:$M,12,0),"無")</f>
        <v>20.010000000000002</v>
      </c>
      <c r="AC694" s="22" t="s">
        <v>4070</v>
      </c>
      <c r="AF694" s="33">
        <f t="shared" si="127"/>
        <v>0</v>
      </c>
      <c r="AG694" s="43" t="s">
        <v>1413</v>
      </c>
      <c r="AH694" s="66">
        <f t="shared" si="122"/>
        <v>0.61283345349675555</v>
      </c>
      <c r="AI694" s="283">
        <f>RTD("money.excel",,$G694,"PredictVolume")</f>
        <v>255</v>
      </c>
      <c r="AJ694" s="391">
        <f>IFERROR(VLOOKUP($G694,基本資料!$A:$M,13,0),"無")</f>
        <v>416.1</v>
      </c>
      <c r="AR694" s="245" t="str">
        <f>INDEX(基本資料!N:N,MATCH($G694,基本資料!A:A,0))</f>
        <v>低</v>
      </c>
    </row>
    <row r="695" spans="1:44">
      <c r="A695" s="343">
        <f>IFERROR(VLOOKUP($G695,基本資料!$A:$J,3,0),"無")</f>
        <v>9.16</v>
      </c>
      <c r="B695" s="79">
        <f>IFERROR(VLOOKUP($G695,基本資料!$A:$J,4,0),"無")</f>
        <v>-17</v>
      </c>
      <c r="C695" s="79">
        <f>IFERROR(VLOOKUP($G695,基本資料!$A:$J,5,0),"無")</f>
        <v>-3</v>
      </c>
      <c r="D695" s="79">
        <f>IFERROR(VLOOKUP($G695,基本資料!$A:$J,6,0),"無")</f>
        <v>-16</v>
      </c>
      <c r="E695" s="79">
        <f>IFERROR(VLOOKUP($G695,基本資料!$A:$J,7,0),"無")</f>
        <v>-40</v>
      </c>
      <c r="F695" s="6">
        <f>IFERROR(VLOOKUP($G695,基本資料!$A:$J,8,0),"無")</f>
        <v>-21.02</v>
      </c>
      <c r="G695" s="79">
        <v>8277</v>
      </c>
      <c r="H695" s="192" t="s">
        <v>3038</v>
      </c>
      <c r="I695" s="16" t="s">
        <v>4071</v>
      </c>
      <c r="J695" s="8" t="str">
        <f>IFERROR(VLOOKUP($G695,今日總結!$A:$AN,39,0),"")</f>
        <v/>
      </c>
      <c r="K695" s="5" t="str">
        <f>IFERROR(VLOOKUP($G695,今日總結!$A:$AN,40,0),"")</f>
        <v/>
      </c>
      <c r="L695" s="156" t="str">
        <f>IFERROR(VLOOKUP($G695,今日總結!$A:$AN,37,0),"")</f>
        <v/>
      </c>
      <c r="M695" s="337" t="str">
        <f>IFERROR(VLOOKUP($G695,今日總結!$A:$AN,38,0),"")</f>
        <v/>
      </c>
      <c r="N695" s="240" t="str">
        <f t="shared" si="124"/>
        <v/>
      </c>
      <c r="O695" s="359" t="str">
        <f>IFERROR(VLOOKUP($G695,融外自投!$A:$J,7,0),"無")</f>
        <v>無</v>
      </c>
      <c r="P695" s="79" t="str">
        <f>IFERROR(VLOOKUP($G695,融外自投!$A:$J,9,0),"無")</f>
        <v>無</v>
      </c>
      <c r="Q695" s="342" t="str">
        <f>IFERROR(VLOOKUP($G695,融外自投!$A:$J,8,0),"無")</f>
        <v>無</v>
      </c>
      <c r="R695" s="81" t="str">
        <f>IFERROR(VLOOKUP($G695,融外自投!$A:$J,10,0),"無")</f>
        <v>無</v>
      </c>
      <c r="S695" s="324" t="str">
        <f>IFERROR(VLOOKUP($G695,'321買'!$A:$E,4,0),"'沒有資料'")</f>
        <v>'沒有資料'</v>
      </c>
      <c r="T695" s="186">
        <f>IFERROR(VLOOKUP($G695,基本資料!$A:$J,9,0),"無")</f>
        <v>0</v>
      </c>
      <c r="U695" s="307">
        <f t="shared" si="123"/>
        <v>0</v>
      </c>
      <c r="V695" s="94">
        <f>IFERROR(VLOOKUP($G695,基本資料!$A:$J,10,0),"無")</f>
        <v>-0.78</v>
      </c>
      <c r="W695" s="36">
        <f>RTD("money.excel",,"8277","Price")</f>
        <v>9.6</v>
      </c>
      <c r="X695" s="66"/>
      <c r="Y695" s="15">
        <f t="shared" si="125"/>
        <v>9.6</v>
      </c>
      <c r="Z695" s="3" t="e">
        <f t="shared" si="126"/>
        <v>#DIV/0!</v>
      </c>
      <c r="AA695" s="340">
        <f>IFERROR(VLOOKUP($G695,基本資料!$A:$M,11,0),"無")</f>
        <v>-47.4</v>
      </c>
      <c r="AB695" s="389">
        <f>IFERROR(VLOOKUP($G695,基本資料!$A:$M,12,0),"無")</f>
        <v>14.66</v>
      </c>
      <c r="AC695" s="16" t="s">
        <v>4071</v>
      </c>
      <c r="AF695" s="33">
        <f t="shared" si="127"/>
        <v>0</v>
      </c>
      <c r="AG695" s="43" t="s">
        <v>1413</v>
      </c>
      <c r="AH695" s="66">
        <f t="shared" si="122"/>
        <v>0.36224976167778838</v>
      </c>
      <c r="AI695" s="283">
        <f>RTD("money.excel",,$G695,"PredictVolume")</f>
        <v>57</v>
      </c>
      <c r="AJ695" s="391">
        <f>IFERROR(VLOOKUP($G695,基本資料!$A:$M,13,0),"無")</f>
        <v>157.35</v>
      </c>
      <c r="AR695" s="245" t="str">
        <f>INDEX(基本資料!N:N,MATCH($G695,基本資料!A:A,0))</f>
        <v>低</v>
      </c>
    </row>
    <row r="696" spans="1:44">
      <c r="A696" s="343">
        <f>IFERROR(VLOOKUP($G696,基本資料!$A:$J,3,0),"無")</f>
        <v>19.7</v>
      </c>
      <c r="B696" s="79">
        <f>IFERROR(VLOOKUP($G696,基本資料!$A:$J,4,0),"無")</f>
        <v>-6</v>
      </c>
      <c r="C696" s="79">
        <f>IFERROR(VLOOKUP($G696,基本資料!$A:$J,5,0),"無")</f>
        <v>133</v>
      </c>
      <c r="D696" s="79">
        <f>IFERROR(VLOOKUP($G696,基本資料!$A:$J,6,0),"無")</f>
        <v>-7</v>
      </c>
      <c r="E696" s="79">
        <f>IFERROR(VLOOKUP($G696,基本資料!$A:$J,7,0),"無")</f>
        <v>15</v>
      </c>
      <c r="F696" s="6">
        <f>IFERROR(VLOOKUP($G696,基本資料!$A:$J,8,0),"無")</f>
        <v>14.52</v>
      </c>
      <c r="G696" s="79">
        <v>8299</v>
      </c>
      <c r="H696" s="192" t="s">
        <v>3038</v>
      </c>
      <c r="I696" s="16" t="s">
        <v>4072</v>
      </c>
      <c r="J696" s="8" t="str">
        <f>IFERROR(VLOOKUP($G696,今日總結!$A:$AN,39,0),"")</f>
        <v>融</v>
      </c>
      <c r="K696" s="5">
        <f>IFERROR(VLOOKUP($G696,今日總結!$A:$AN,40,0),"")</f>
        <v>0</v>
      </c>
      <c r="L696" s="156">
        <f>IFERROR(VLOOKUP($G696,今日總結!$A:$AN,37,0),"")</f>
        <v>3</v>
      </c>
      <c r="M696" s="337">
        <f>IFERROR(VLOOKUP($G696,今日總結!$A:$AN,38,0),"")</f>
        <v>0</v>
      </c>
      <c r="N696" s="240">
        <f t="shared" si="124"/>
        <v>3</v>
      </c>
      <c r="O696" s="359">
        <f>IFERROR(VLOOKUP($G696,融外自投!$A:$J,7,0),"無")</f>
        <v>358</v>
      </c>
      <c r="P696" s="79">
        <f>IFERROR(VLOOKUP($G696,融外自投!$A:$J,9,0),"無")</f>
        <v>103</v>
      </c>
      <c r="Q696" s="342">
        <f>IFERROR(VLOOKUP($G696,融外自投!$A:$J,8,0),"無")</f>
        <v>133</v>
      </c>
      <c r="R696" s="81">
        <f>IFERROR(VLOOKUP($G696,融外自投!$A:$J,10,0),"無")</f>
        <v>83</v>
      </c>
      <c r="S696" s="324">
        <f>IFERROR(VLOOKUP($G696,'321買'!$A:$E,4,0),"'沒有資料'")</f>
        <v>192</v>
      </c>
      <c r="T696" s="186">
        <f>IFERROR(VLOOKUP($G696,基本資料!$A:$J,9,0),"無")</f>
        <v>23</v>
      </c>
      <c r="U696" s="307">
        <f t="shared" si="123"/>
        <v>6.1251664447403459E-2</v>
      </c>
      <c r="V696" s="94">
        <f>IFERROR(VLOOKUP($G696,基本資料!$A:$J,10,0),"無")</f>
        <v>41.34</v>
      </c>
      <c r="W696" s="36">
        <f>RTD("money.excel",,"8299","Price")</f>
        <v>375.5</v>
      </c>
      <c r="X696" s="66"/>
      <c r="Y696" s="15">
        <f>W696-X696</f>
        <v>375.5</v>
      </c>
      <c r="Z696" s="3" t="e">
        <f>Y696/X696</f>
        <v>#DIV/0!</v>
      </c>
      <c r="AA696" s="340">
        <f>IFERROR(VLOOKUP($G696,基本資料!$A:$M,11,0),"無")</f>
        <v>-31.1</v>
      </c>
      <c r="AB696" s="389">
        <f>IFERROR(VLOOKUP($G696,基本資料!$A:$M,12,0),"無")</f>
        <v>10.93</v>
      </c>
      <c r="AC696" s="16" t="s">
        <v>4072</v>
      </c>
      <c r="AF696" s="33">
        <f>AE696-AD696</f>
        <v>0</v>
      </c>
      <c r="AG696" s="117" t="s">
        <v>2128</v>
      </c>
      <c r="AH696" s="66">
        <f t="shared" si="122"/>
        <v>0.91726618705035978</v>
      </c>
      <c r="AI696" s="283">
        <f>RTD("money.excel",,$G696,"PredictVolume")</f>
        <v>1836</v>
      </c>
      <c r="AJ696" s="391">
        <f>IFERROR(VLOOKUP($G696,基本資料!$A:$M,13,0),"無")</f>
        <v>2001.6</v>
      </c>
      <c r="AR696" s="245" t="str">
        <f>INDEX(基本資料!N:N,MATCH($G696,基本資料!A:A,0))</f>
        <v>低</v>
      </c>
    </row>
    <row r="697" spans="1:44">
      <c r="B697" s="79"/>
      <c r="C697" s="79"/>
      <c r="D697" s="80"/>
      <c r="E697" s="79"/>
      <c r="F697" s="57"/>
      <c r="G697" s="79"/>
      <c r="H697" s="192"/>
      <c r="I697" s="16"/>
      <c r="L697" s="2"/>
      <c r="R697" s="26"/>
      <c r="T697" s="66"/>
      <c r="V697" s="94"/>
      <c r="W697" s="36"/>
      <c r="X697" s="66"/>
      <c r="Y697" s="15"/>
      <c r="Z697" s="3"/>
      <c r="AC697" s="16"/>
      <c r="AF697" s="33"/>
      <c r="AG697" s="117"/>
      <c r="AH697" s="66" t="e">
        <f t="shared" si="122"/>
        <v>#DIV/0!</v>
      </c>
    </row>
    <row r="698" spans="1:44">
      <c r="A698" s="127" t="s">
        <v>1672</v>
      </c>
      <c r="B698" s="90" t="s">
        <v>1571</v>
      </c>
      <c r="C698" s="90" t="s">
        <v>1572</v>
      </c>
      <c r="D698" s="90" t="s">
        <v>1573</v>
      </c>
      <c r="E698" s="90" t="s">
        <v>1574</v>
      </c>
      <c r="F698" s="8" t="s">
        <v>1059</v>
      </c>
      <c r="G698" s="27" t="s">
        <v>4073</v>
      </c>
      <c r="H698" s="55" t="s">
        <v>320</v>
      </c>
      <c r="I698" s="8" t="s">
        <v>1145</v>
      </c>
      <c r="J698" s="8" t="s">
        <v>6211</v>
      </c>
      <c r="K698" s="5" t="s">
        <v>6212</v>
      </c>
      <c r="L698" s="334" t="s">
        <v>6197</v>
      </c>
      <c r="M698" s="335" t="s">
        <v>6198</v>
      </c>
      <c r="N698" s="336" t="s">
        <v>6199</v>
      </c>
      <c r="O698" s="89" t="s">
        <v>6275</v>
      </c>
      <c r="P698" s="292" t="s">
        <v>6274</v>
      </c>
      <c r="Q698" s="350" t="s">
        <v>6273</v>
      </c>
      <c r="R698" s="26" t="s">
        <v>6276</v>
      </c>
      <c r="S698" s="318" t="s">
        <v>4715</v>
      </c>
      <c r="T698" s="10" t="s">
        <v>66</v>
      </c>
      <c r="U698" s="305" t="s">
        <v>4728</v>
      </c>
      <c r="V698" s="68" t="s">
        <v>3272</v>
      </c>
      <c r="W698" s="28" t="s">
        <v>2</v>
      </c>
      <c r="X698" s="17" t="s">
        <v>1398</v>
      </c>
      <c r="Y698" s="14" t="s">
        <v>5</v>
      </c>
      <c r="Z698" s="21" t="s">
        <v>3</v>
      </c>
      <c r="AA698" s="96" t="s">
        <v>6166</v>
      </c>
      <c r="AB698" s="378" t="s">
        <v>6404</v>
      </c>
      <c r="AC698" s="8" t="s">
        <v>1145</v>
      </c>
      <c r="AD698" s="71" t="s">
        <v>1399</v>
      </c>
      <c r="AE698" s="72" t="s">
        <v>1156</v>
      </c>
      <c r="AF698" s="32" t="s">
        <v>1157</v>
      </c>
      <c r="AG698" s="25" t="s">
        <v>6200</v>
      </c>
      <c r="AH698" s="8" t="s">
        <v>6696</v>
      </c>
      <c r="AI698" s="50" t="s">
        <v>3360</v>
      </c>
      <c r="AJ698" s="22" t="s">
        <v>6695</v>
      </c>
    </row>
    <row r="699" spans="1:44">
      <c r="A699" s="343">
        <f>IFERROR(VLOOKUP($G699,基本資料!$A:$J,3,0),"無")</f>
        <v>12.14</v>
      </c>
      <c r="B699" s="79">
        <f>IFERROR(VLOOKUP($G699,基本資料!$A:$J,4,0),"無")</f>
        <v>-18</v>
      </c>
      <c r="C699" s="79">
        <f>IFERROR(VLOOKUP($G699,基本資料!$A:$J,5,0),"無")</f>
        <v>-31</v>
      </c>
      <c r="D699" s="79">
        <f>IFERROR(VLOOKUP($G699,基本資料!$A:$J,6,0),"無")</f>
        <v>-30</v>
      </c>
      <c r="E699" s="79">
        <f>IFERROR(VLOOKUP($G699,基本資料!$A:$J,7,0),"無")</f>
        <v>56</v>
      </c>
      <c r="F699" s="6">
        <f>IFERROR(VLOOKUP($G699,基本資料!$A:$J,8,0),"無")</f>
        <v>8.56</v>
      </c>
      <c r="G699" s="79">
        <v>1569</v>
      </c>
      <c r="H699" s="192" t="s">
        <v>1145</v>
      </c>
      <c r="I699" s="16" t="s">
        <v>2200</v>
      </c>
      <c r="J699" s="8">
        <f>IFERROR(VLOOKUP($G699,今日總結!$A:$AN,39,0),"")</f>
        <v>0</v>
      </c>
      <c r="K699" s="5">
        <f>IFERROR(VLOOKUP($G699,今日總結!$A:$AN,40,0),"")</f>
        <v>0</v>
      </c>
      <c r="L699" s="156">
        <f>IFERROR(VLOOKUP($G699,今日總結!$A:$AN,37,0),"")</f>
        <v>0</v>
      </c>
      <c r="M699" s="337">
        <f>IFERROR(VLOOKUP($G699,今日總結!$A:$AN,38,0),"")</f>
        <v>0</v>
      </c>
      <c r="N699" s="240">
        <f t="shared" ref="N699" si="137">IFERROR(L699-M699,"")</f>
        <v>0</v>
      </c>
      <c r="O699" s="359">
        <f>IFERROR(VLOOKUP($G699,融外自投!$A:$J,7,0),"無")</f>
        <v>406</v>
      </c>
      <c r="P699" s="79">
        <f>IFERROR(VLOOKUP($G699,融外自投!$A:$J,9,0),"無")</f>
        <v>671</v>
      </c>
      <c r="Q699" s="342">
        <f>IFERROR(VLOOKUP($G699,融外自投!$A:$J,8,0),"無")</f>
        <v>942</v>
      </c>
      <c r="R699" s="81">
        <f>IFERROR(VLOOKUP($G699,融外自投!$A:$J,10,0),"無")</f>
        <v>495</v>
      </c>
      <c r="S699" s="324">
        <f>IFERROR(VLOOKUP($G699,'321買'!$A:$E,4,0),"'沒有資料'")</f>
        <v>743</v>
      </c>
      <c r="T699" s="186">
        <f>IFERROR(VLOOKUP($G699,基本資料!$A:$J,9,0),"無")</f>
        <v>1.6</v>
      </c>
      <c r="U699" s="307">
        <f t="shared" ref="U699:U762" si="138">$T699/$W699</f>
        <v>6.262230919765166E-2</v>
      </c>
      <c r="V699" s="94">
        <f>IFERROR(VLOOKUP($G699,基本資料!$A:$J,10,0),"無")</f>
        <v>2.62</v>
      </c>
      <c r="W699" s="36">
        <f>RTD("money.excel",,"1569","Price")</f>
        <v>25.55</v>
      </c>
      <c r="X699" s="66"/>
      <c r="Y699" s="15">
        <f t="shared" ref="Y699:Y763" si="139">W699-X699</f>
        <v>25.55</v>
      </c>
      <c r="Z699" s="3" t="e">
        <f t="shared" ref="Z699:Z763" si="140">Y699/X699</f>
        <v>#DIV/0!</v>
      </c>
      <c r="AA699" s="340">
        <f>IFERROR(VLOOKUP($G699,基本資料!$A:$M,11,0),"無")</f>
        <v>-20.53</v>
      </c>
      <c r="AB699" s="389">
        <f>IFERROR(VLOOKUP($G699,基本資料!$A:$M,12,0),"無")</f>
        <v>45.93</v>
      </c>
      <c r="AC699" s="16" t="s">
        <v>2200</v>
      </c>
      <c r="AF699" s="33">
        <f t="shared" ref="AF699:AF763" si="141">AE699-AD699</f>
        <v>0</v>
      </c>
      <c r="AG699" s="43" t="s">
        <v>2435</v>
      </c>
      <c r="AH699" s="66">
        <f t="shared" si="122"/>
        <v>0.93721173359571985</v>
      </c>
      <c r="AI699" s="283">
        <f>RTD("money.excel",,$G699,"PredictVolume")</f>
        <v>762</v>
      </c>
      <c r="AJ699" s="391">
        <f>IFERROR(VLOOKUP($G699,基本資料!$A:$M,13,0),"無")</f>
        <v>813.05</v>
      </c>
      <c r="AR699" s="245" t="str">
        <f>INDEX(基本資料!N:N,MATCH($G699,基本資料!A:A,0))</f>
        <v>中</v>
      </c>
    </row>
    <row r="700" spans="1:44">
      <c r="A700" s="343">
        <f>IFERROR(VLOOKUP($G700,基本資料!$A:$J,3,0),"無")</f>
        <v>235</v>
      </c>
      <c r="B700" s="79">
        <f>IFERROR(VLOOKUP($G700,基本資料!$A:$J,4,0),"無")</f>
        <v>41</v>
      </c>
      <c r="C700" s="79">
        <f>IFERROR(VLOOKUP($G700,基本資料!$A:$J,5,0),"無")</f>
        <v>27</v>
      </c>
      <c r="D700" s="79">
        <f>IFERROR(VLOOKUP($G700,基本資料!$A:$J,6,0),"無")</f>
        <v>-9</v>
      </c>
      <c r="E700" s="79">
        <f>IFERROR(VLOOKUP($G700,基本資料!$A:$J,7,0),"無")</f>
        <v>0</v>
      </c>
      <c r="F700" s="6">
        <f>IFERROR(VLOOKUP($G700,基本資料!$A:$J,8,0),"無")</f>
        <v>7.91</v>
      </c>
      <c r="G700" s="79">
        <v>2301</v>
      </c>
      <c r="H700" s="192" t="s">
        <v>1145</v>
      </c>
      <c r="I700" s="22" t="s">
        <v>4074</v>
      </c>
      <c r="J700" s="8" t="str">
        <f>IFERROR(VLOOKUP($G700,今日總結!$A:$AN,39,0),"")</f>
        <v>自投</v>
      </c>
      <c r="K700" s="5" t="str">
        <f>IFERROR(VLOOKUP($G700,今日總結!$A:$AN,40,0),"")</f>
        <v>借</v>
      </c>
      <c r="L700" s="156">
        <f>IFERROR(VLOOKUP($G700,今日總結!$A:$AN,37,0),"")</f>
        <v>28</v>
      </c>
      <c r="M700" s="337">
        <f>IFERROR(VLOOKUP($G700,今日總結!$A:$AN,38,0),"")</f>
        <v>5</v>
      </c>
      <c r="N700" s="240">
        <f t="shared" ref="N700:N763" si="142">IFERROR(L700-M700,"")</f>
        <v>23</v>
      </c>
      <c r="O700" s="359">
        <f>IFERROR(VLOOKUP($G700,融外自投!$A:$J,7,0),"無")</f>
        <v>1407</v>
      </c>
      <c r="P700" s="79">
        <f>IFERROR(VLOOKUP($G700,融外自投!$A:$J,9,0),"無")</f>
        <v>34</v>
      </c>
      <c r="Q700" s="342">
        <f>IFERROR(VLOOKUP($G700,融外自投!$A:$J,8,0),"無")</f>
        <v>86</v>
      </c>
      <c r="R700" s="81">
        <f>IFERROR(VLOOKUP($G700,融外自投!$A:$J,10,0),"無")</f>
        <v>32</v>
      </c>
      <c r="S700" s="324">
        <f>IFERROR(VLOOKUP($G700,'321買'!$A:$E,4,0),"'沒有資料'")</f>
        <v>394</v>
      </c>
      <c r="T700" s="186">
        <f>IFERROR(VLOOKUP($G700,基本資料!$A:$J,9,0),"無")</f>
        <v>4.5</v>
      </c>
      <c r="U700" s="307">
        <f t="shared" si="138"/>
        <v>7.1315372424722662E-2</v>
      </c>
      <c r="V700" s="94">
        <f>IFERROR(VLOOKUP($G700,基本資料!$A:$J,10,0),"無")</f>
        <v>6.01</v>
      </c>
      <c r="W700" s="36">
        <f>RTD("money.excel",,"2301","Price")</f>
        <v>63.1</v>
      </c>
      <c r="X700" s="66"/>
      <c r="Y700" s="15">
        <f t="shared" si="139"/>
        <v>63.1</v>
      </c>
      <c r="Z700" s="3" t="e">
        <f t="shared" si="140"/>
        <v>#DIV/0!</v>
      </c>
      <c r="AA700" s="340">
        <f>IFERROR(VLOOKUP($G700,基本資料!$A:$M,11,0),"無")</f>
        <v>-11.5</v>
      </c>
      <c r="AB700" s="389">
        <f>IFERROR(VLOOKUP($G700,基本資料!$A:$M,12,0),"無")</f>
        <v>20.74</v>
      </c>
      <c r="AC700" s="22" t="s">
        <v>4074</v>
      </c>
      <c r="AF700" s="33">
        <f t="shared" si="141"/>
        <v>0</v>
      </c>
      <c r="AG700" s="117" t="s">
        <v>2707</v>
      </c>
      <c r="AH700" s="66">
        <f t="shared" si="122"/>
        <v>1.1980771414512283</v>
      </c>
      <c r="AI700" s="283">
        <f>RTD("money.excel",,$G700,"PredictVolume")</f>
        <v>7913</v>
      </c>
      <c r="AJ700" s="391">
        <f>IFERROR(VLOOKUP($G700,基本資料!$A:$M,13,0),"無")</f>
        <v>6604.75</v>
      </c>
      <c r="AR700" s="245" t="str">
        <f>INDEX(基本資料!N:N,MATCH($G700,基本資料!A:A,0))</f>
        <v>中</v>
      </c>
    </row>
    <row r="701" spans="1:44">
      <c r="A701" s="343">
        <f>IFERROR(VLOOKUP($G701,基本資料!$A:$J,3,0),"無")</f>
        <v>20.56</v>
      </c>
      <c r="B701" s="79">
        <f>IFERROR(VLOOKUP($G701,基本資料!$A:$J,4,0),"無")</f>
        <v>-7</v>
      </c>
      <c r="C701" s="79">
        <f>IFERROR(VLOOKUP($G701,基本資料!$A:$J,5,0),"無")</f>
        <v>7</v>
      </c>
      <c r="D701" s="79">
        <f>IFERROR(VLOOKUP($G701,基本資料!$A:$J,6,0),"無")</f>
        <v>-47</v>
      </c>
      <c r="E701" s="79">
        <f>IFERROR(VLOOKUP($G701,基本資料!$A:$J,7,0),"無")</f>
        <v>-53</v>
      </c>
      <c r="F701" s="6">
        <f>IFERROR(VLOOKUP($G701,基本資料!$A:$J,8,0),"無")</f>
        <v>-10.06</v>
      </c>
      <c r="G701" s="79">
        <v>2305</v>
      </c>
      <c r="H701" s="192" t="s">
        <v>1145</v>
      </c>
      <c r="I701" s="22" t="s">
        <v>455</v>
      </c>
      <c r="J701" s="8" t="str">
        <f>IFERROR(VLOOKUP($G701,今日總結!$A:$AN,39,0),"")</f>
        <v>融</v>
      </c>
      <c r="K701" s="5" t="str">
        <f>IFERROR(VLOOKUP($G701,今日總結!$A:$AN,40,0),"")</f>
        <v>券</v>
      </c>
      <c r="L701" s="156">
        <f>IFERROR(VLOOKUP($G701,今日總結!$A:$AN,37,0),"")</f>
        <v>11</v>
      </c>
      <c r="M701" s="337">
        <f>IFERROR(VLOOKUP($G701,今日總結!$A:$AN,38,0),"")</f>
        <v>1</v>
      </c>
      <c r="N701" s="240">
        <f t="shared" si="142"/>
        <v>10</v>
      </c>
      <c r="O701" s="359">
        <f>IFERROR(VLOOKUP($G701,融外自投!$A:$J,7,0),"無")</f>
        <v>85</v>
      </c>
      <c r="P701" s="79">
        <f>IFERROR(VLOOKUP($G701,融外自投!$A:$J,9,0),"無")</f>
        <v>790</v>
      </c>
      <c r="Q701" s="342">
        <f>IFERROR(VLOOKUP($G701,融外自投!$A:$J,8,0),"無")</f>
        <v>751</v>
      </c>
      <c r="R701" s="81" t="str">
        <f>IFERROR(VLOOKUP($G701,融外自投!$A:$J,10,0),"無")</f>
        <v>無</v>
      </c>
      <c r="S701" s="324">
        <f>IFERROR(VLOOKUP($G701,'321買'!$A:$E,4,0),"'沒有資料'")</f>
        <v>606</v>
      </c>
      <c r="T701" s="186">
        <f>IFERROR(VLOOKUP($G701,基本資料!$A:$J,9,0),"無")</f>
        <v>0</v>
      </c>
      <c r="U701" s="307">
        <f t="shared" si="138"/>
        <v>0</v>
      </c>
      <c r="V701" s="94">
        <f>IFERROR(VLOOKUP($G701,基本資料!$A:$J,10,0),"無")</f>
        <v>0.06</v>
      </c>
      <c r="W701" s="36">
        <f>RTD("money.excel",,"2305","Price")</f>
        <v>10.65</v>
      </c>
      <c r="X701" s="66"/>
      <c r="Y701" s="15">
        <f t="shared" si="139"/>
        <v>10.65</v>
      </c>
      <c r="Z701" s="3" t="e">
        <f t="shared" si="140"/>
        <v>#DIV/0!</v>
      </c>
      <c r="AA701" s="340">
        <f>IFERROR(VLOOKUP($G701,基本資料!$A:$M,11,0),"無")</f>
        <v>-14.11</v>
      </c>
      <c r="AB701" s="389">
        <f>IFERROR(VLOOKUP($G701,基本資料!$A:$M,12,0),"無")</f>
        <v>62.59</v>
      </c>
      <c r="AC701" s="22" t="s">
        <v>455</v>
      </c>
      <c r="AF701" s="33">
        <f t="shared" si="141"/>
        <v>0</v>
      </c>
      <c r="AG701" s="43" t="s">
        <v>2708</v>
      </c>
      <c r="AH701" s="66">
        <f t="shared" si="122"/>
        <v>5.267287344255049</v>
      </c>
      <c r="AI701" s="283">
        <f>RTD("money.excel",,$G701,"PredictVolume")</f>
        <v>9533</v>
      </c>
      <c r="AJ701" s="391">
        <f>IFERROR(VLOOKUP($G701,基本資料!$A:$M,13,0),"無")</f>
        <v>1809.85</v>
      </c>
      <c r="AR701" s="245" t="str">
        <f>INDEX(基本資料!N:N,MATCH($G701,基本資料!A:A,0))</f>
        <v>中</v>
      </c>
    </row>
    <row r="702" spans="1:44">
      <c r="A702" s="343">
        <f>IFERROR(VLOOKUP($G702,基本資料!$A:$J,3,0),"無")</f>
        <v>440</v>
      </c>
      <c r="B702" s="79">
        <f>IFERROR(VLOOKUP($G702,基本資料!$A:$J,4,0),"無")</f>
        <v>32</v>
      </c>
      <c r="C702" s="79">
        <f>IFERROR(VLOOKUP($G702,基本資料!$A:$J,5,0),"無")</f>
        <v>16</v>
      </c>
      <c r="D702" s="79">
        <f>IFERROR(VLOOKUP($G702,基本資料!$A:$J,6,0),"無")</f>
        <v>-47</v>
      </c>
      <c r="E702" s="79">
        <f>IFERROR(VLOOKUP($G702,基本資料!$A:$J,7,0),"無")</f>
        <v>-39</v>
      </c>
      <c r="F702" s="6">
        <f>IFERROR(VLOOKUP($G702,基本資料!$A:$J,8,0),"無")</f>
        <v>1.08</v>
      </c>
      <c r="G702" s="79">
        <v>2324</v>
      </c>
      <c r="H702" s="192" t="s">
        <v>1145</v>
      </c>
      <c r="I702" s="22" t="s">
        <v>17</v>
      </c>
      <c r="J702" s="8" t="str">
        <f>IFERROR(VLOOKUP($G702,今日總結!$A:$AN,39,0),"")</f>
        <v>自投</v>
      </c>
      <c r="K702" s="5">
        <f>IFERROR(VLOOKUP($G702,今日總結!$A:$AN,40,0),"")</f>
        <v>0</v>
      </c>
      <c r="L702" s="156">
        <f>IFERROR(VLOOKUP($G702,今日總結!$A:$AN,37,0),"")</f>
        <v>6</v>
      </c>
      <c r="M702" s="337">
        <f>IFERROR(VLOOKUP($G702,今日總結!$A:$AN,38,0),"")</f>
        <v>0</v>
      </c>
      <c r="N702" s="240">
        <f t="shared" si="142"/>
        <v>6</v>
      </c>
      <c r="O702" s="359">
        <f>IFERROR(VLOOKUP($G702,融外自投!$A:$J,7,0),"無")</f>
        <v>1307</v>
      </c>
      <c r="P702" s="79">
        <f>IFERROR(VLOOKUP($G702,融外自投!$A:$J,9,0),"無")</f>
        <v>25</v>
      </c>
      <c r="Q702" s="342">
        <f>IFERROR(VLOOKUP($G702,融外自投!$A:$J,8,0),"無")</f>
        <v>109</v>
      </c>
      <c r="R702" s="81">
        <f>IFERROR(VLOOKUP($G702,融外自投!$A:$J,10,0),"無")</f>
        <v>17</v>
      </c>
      <c r="S702" s="324">
        <f>IFERROR(VLOOKUP($G702,'321買'!$A:$E,4,0),"'沒有資料'")</f>
        <v>411</v>
      </c>
      <c r="T702" s="186">
        <f>IFERROR(VLOOKUP($G702,基本資料!$A:$J,9,0),"無")</f>
        <v>2</v>
      </c>
      <c r="U702" s="307">
        <f t="shared" si="138"/>
        <v>8.6956521739130432E-2</v>
      </c>
      <c r="V702" s="94">
        <f>IFERROR(VLOOKUP($G702,基本資料!$A:$J,10,0),"無")</f>
        <v>2.9</v>
      </c>
      <c r="W702" s="36">
        <f>RTD("money.excel",,"2324","Price")</f>
        <v>23</v>
      </c>
      <c r="X702" s="66"/>
      <c r="Y702" s="15">
        <f t="shared" si="139"/>
        <v>23</v>
      </c>
      <c r="Z702" s="3" t="e">
        <f t="shared" si="140"/>
        <v>#DIV/0!</v>
      </c>
      <c r="AA702" s="340">
        <f>IFERROR(VLOOKUP($G702,基本資料!$A:$M,11,0),"無")</f>
        <v>-15.44</v>
      </c>
      <c r="AB702" s="389">
        <f>IFERROR(VLOOKUP($G702,基本資料!$A:$M,12,0),"無")</f>
        <v>23.38</v>
      </c>
      <c r="AC702" s="22" t="s">
        <v>17</v>
      </c>
      <c r="AF702" s="33">
        <f t="shared" si="141"/>
        <v>0</v>
      </c>
      <c r="AG702" s="117" t="s">
        <v>2709</v>
      </c>
      <c r="AH702" s="66">
        <f t="shared" si="122"/>
        <v>0.91129169786978481</v>
      </c>
      <c r="AI702" s="283">
        <f>RTD("money.excel",,$G702,"PredictVolume")</f>
        <v>24581</v>
      </c>
      <c r="AJ702" s="391">
        <f>IFERROR(VLOOKUP($G702,基本資料!$A:$M,13,0),"無")</f>
        <v>26973.8</v>
      </c>
      <c r="AR702" s="245" t="str">
        <f>INDEX(基本資料!N:N,MATCH($G702,基本資料!A:A,0))</f>
        <v>低</v>
      </c>
    </row>
    <row r="703" spans="1:44">
      <c r="A703" s="343">
        <f>IFERROR(VLOOKUP($G703,基本資料!$A:$J,3,0),"無")</f>
        <v>55.74</v>
      </c>
      <c r="B703" s="79">
        <f>IFERROR(VLOOKUP($G703,基本資料!$A:$J,4,0),"無")</f>
        <v>41</v>
      </c>
      <c r="C703" s="79">
        <f>IFERROR(VLOOKUP($G703,基本資料!$A:$J,5,0),"無")</f>
        <v>-739</v>
      </c>
      <c r="D703" s="79">
        <f>IFERROR(VLOOKUP($G703,基本資料!$A:$J,6,0),"無")</f>
        <v>7</v>
      </c>
      <c r="E703" s="79">
        <f>IFERROR(VLOOKUP($G703,基本資料!$A:$J,7,0),"無")</f>
        <v>33</v>
      </c>
      <c r="F703" s="6">
        <f>IFERROR(VLOOKUP($G703,基本資料!$A:$J,8,0),"無")</f>
        <v>-0.81</v>
      </c>
      <c r="G703" s="79">
        <v>2331</v>
      </c>
      <c r="H703" s="192" t="s">
        <v>1145</v>
      </c>
      <c r="I703" s="22" t="s">
        <v>93</v>
      </c>
      <c r="J703" s="8">
        <f>IFERROR(VLOOKUP($G703,今日總結!$A:$AN,39,0),"")</f>
        <v>0</v>
      </c>
      <c r="K703" s="5">
        <f>IFERROR(VLOOKUP($G703,今日總結!$A:$AN,40,0),"")</f>
        <v>0</v>
      </c>
      <c r="L703" s="156">
        <f>IFERROR(VLOOKUP($G703,今日總結!$A:$AN,37,0),"")</f>
        <v>0</v>
      </c>
      <c r="M703" s="337">
        <f>IFERROR(VLOOKUP($G703,今日總結!$A:$AN,38,0),"")</f>
        <v>0</v>
      </c>
      <c r="N703" s="240">
        <f t="shared" si="142"/>
        <v>0</v>
      </c>
      <c r="O703" s="359">
        <f>IFERROR(VLOOKUP($G703,融外自投!$A:$J,7,0),"無")</f>
        <v>273</v>
      </c>
      <c r="P703" s="79">
        <f>IFERROR(VLOOKUP($G703,融外自投!$A:$J,9,0),"無")</f>
        <v>151</v>
      </c>
      <c r="Q703" s="342">
        <f>IFERROR(VLOOKUP($G703,融外自投!$A:$J,8,0),"無")</f>
        <v>733</v>
      </c>
      <c r="R703" s="81" t="str">
        <f>IFERROR(VLOOKUP($G703,融外自投!$A:$J,10,0),"無")</f>
        <v>無</v>
      </c>
      <c r="S703" s="324">
        <f>IFERROR(VLOOKUP($G703,'321買'!$A:$E,4,0),"'沒有資料'")</f>
        <v>565</v>
      </c>
      <c r="T703" s="186">
        <f>IFERROR(VLOOKUP($G703,基本資料!$A:$J,9,0),"無")</f>
        <v>0</v>
      </c>
      <c r="U703" s="307">
        <f t="shared" si="138"/>
        <v>0</v>
      </c>
      <c r="V703" s="94">
        <f>IFERROR(VLOOKUP($G703,基本資料!$A:$J,10,0),"無")</f>
        <v>0.13</v>
      </c>
      <c r="W703" s="36">
        <f>RTD("money.excel",,"2331","Price")</f>
        <v>19.100000000000001</v>
      </c>
      <c r="X703" s="66"/>
      <c r="Y703" s="15">
        <f t="shared" si="139"/>
        <v>19.100000000000001</v>
      </c>
      <c r="Z703" s="3" t="e">
        <f t="shared" si="140"/>
        <v>#DIV/0!</v>
      </c>
      <c r="AA703" s="340">
        <f>IFERROR(VLOOKUP($G703,基本資料!$A:$M,11,0),"無")</f>
        <v>-27.24</v>
      </c>
      <c r="AB703" s="389">
        <f>IFERROR(VLOOKUP($G703,基本資料!$A:$M,12,0),"無")</f>
        <v>25.13</v>
      </c>
      <c r="AC703" s="22" t="s">
        <v>93</v>
      </c>
      <c r="AF703" s="33">
        <f t="shared" si="141"/>
        <v>0</v>
      </c>
      <c r="AG703" s="117" t="s">
        <v>2710</v>
      </c>
      <c r="AH703" s="66">
        <f t="shared" si="122"/>
        <v>1.1114814197633727</v>
      </c>
      <c r="AI703" s="283">
        <f>RTD("money.excel",,$G703,"PredictVolume")</f>
        <v>1334</v>
      </c>
      <c r="AJ703" s="391">
        <f>IFERROR(VLOOKUP($G703,基本資料!$A:$M,13,0),"無")</f>
        <v>1200.2</v>
      </c>
      <c r="AR703" s="245" t="str">
        <f>INDEX(基本資料!N:N,MATCH($G703,基本資料!A:A,0))</f>
        <v>低</v>
      </c>
    </row>
    <row r="704" spans="1:44">
      <c r="A704" s="343">
        <f>IFERROR(VLOOKUP($G704,基本資料!$A:$J,3,0),"無")</f>
        <v>196</v>
      </c>
      <c r="B704" s="79">
        <f>IFERROR(VLOOKUP($G704,基本資料!$A:$J,4,0),"無")</f>
        <v>64</v>
      </c>
      <c r="C704" s="79">
        <f>IFERROR(VLOOKUP($G704,基本資料!$A:$J,5,0),"無")</f>
        <v>11</v>
      </c>
      <c r="D704" s="79">
        <f>IFERROR(VLOOKUP($G704,基本資料!$A:$J,6,0),"無")</f>
        <v>-12</v>
      </c>
      <c r="E704" s="79">
        <f>IFERROR(VLOOKUP($G704,基本資料!$A:$J,7,0),"無")</f>
        <v>12</v>
      </c>
      <c r="F704" s="6">
        <f>IFERROR(VLOOKUP($G704,基本資料!$A:$J,8,0),"無")</f>
        <v>3.26</v>
      </c>
      <c r="G704" s="79">
        <v>2352</v>
      </c>
      <c r="H704" s="192" t="s">
        <v>1145</v>
      </c>
      <c r="I704" s="22" t="s">
        <v>107</v>
      </c>
      <c r="J704" s="8">
        <f>IFERROR(VLOOKUP($G704,今日總結!$A:$AN,39,0),"")</f>
        <v>0</v>
      </c>
      <c r="K704" s="5" t="str">
        <f>IFERROR(VLOOKUP($G704,今日總結!$A:$AN,40,0),"")</f>
        <v>主外借</v>
      </c>
      <c r="L704" s="156">
        <f>IFERROR(VLOOKUP($G704,今日總結!$A:$AN,37,0),"")</f>
        <v>0</v>
      </c>
      <c r="M704" s="337">
        <f>IFERROR(VLOOKUP($G704,今日總結!$A:$AN,38,0),"")</f>
        <v>7</v>
      </c>
      <c r="N704" s="240">
        <f t="shared" si="142"/>
        <v>-7</v>
      </c>
      <c r="O704" s="359">
        <f>IFERROR(VLOOKUP($G704,融外自投!$A:$J,7,0),"無")</f>
        <v>1084</v>
      </c>
      <c r="P704" s="79">
        <f>IFERROR(VLOOKUP($G704,融外自投!$A:$J,9,0),"無")</f>
        <v>94</v>
      </c>
      <c r="Q704" s="342">
        <f>IFERROR(VLOOKUP($G704,融外自投!$A:$J,8,0),"無")</f>
        <v>304</v>
      </c>
      <c r="R704" s="81">
        <f>IFERROR(VLOOKUP($G704,融外自投!$A:$J,10,0),"無")</f>
        <v>318</v>
      </c>
      <c r="S704" s="324">
        <f>IFERROR(VLOOKUP($G704,'321買'!$A:$E,4,0),"'沒有資料'")</f>
        <v>530</v>
      </c>
      <c r="T704" s="186">
        <f>IFERROR(VLOOKUP($G704,基本資料!$A:$J,9,0),"無")</f>
        <v>2.5</v>
      </c>
      <c r="U704" s="307">
        <f t="shared" si="138"/>
        <v>9.2421441774491686E-2</v>
      </c>
      <c r="V704" s="94">
        <f>IFERROR(VLOOKUP($G704,基本資料!$A:$J,10,0),"無")</f>
        <v>4.22</v>
      </c>
      <c r="W704" s="36">
        <f>RTD("money.excel",,"2352","Price")</f>
        <v>27.05</v>
      </c>
      <c r="X704" s="66"/>
      <c r="Y704" s="15">
        <f t="shared" si="139"/>
        <v>27.05</v>
      </c>
      <c r="Z704" s="3" t="e">
        <f t="shared" si="140"/>
        <v>#DIV/0!</v>
      </c>
      <c r="AA704" s="340">
        <f>IFERROR(VLOOKUP($G704,基本資料!$A:$M,11,0),"無")</f>
        <v>-21.59</v>
      </c>
      <c r="AB704" s="389">
        <f>IFERROR(VLOOKUP($G704,基本資料!$A:$M,12,0),"無")</f>
        <v>25.29</v>
      </c>
      <c r="AC704" s="22" t="s">
        <v>107</v>
      </c>
      <c r="AF704" s="33">
        <f t="shared" si="141"/>
        <v>0</v>
      </c>
      <c r="AG704" s="117" t="s">
        <v>2061</v>
      </c>
      <c r="AH704" s="66">
        <f t="shared" si="122"/>
        <v>0.83912923748261237</v>
      </c>
      <c r="AI704" s="283">
        <f>RTD("money.excel",,$G704,"PredictVolume")</f>
        <v>5942</v>
      </c>
      <c r="AJ704" s="391">
        <f>IFERROR(VLOOKUP($G704,基本資料!$A:$M,13,0),"無")</f>
        <v>7081.15</v>
      </c>
      <c r="AR704" s="245" t="str">
        <f>INDEX(基本資料!N:N,MATCH($G704,基本資料!A:A,0))</f>
        <v>低</v>
      </c>
    </row>
    <row r="705" spans="1:44">
      <c r="A705" s="343">
        <f>IFERROR(VLOOKUP($G705,基本資料!$A:$J,3,0),"無")</f>
        <v>304</v>
      </c>
      <c r="B705" s="79">
        <f>IFERROR(VLOOKUP($G705,基本資料!$A:$J,4,0),"無")</f>
        <v>83</v>
      </c>
      <c r="C705" s="79">
        <f>IFERROR(VLOOKUP($G705,基本資料!$A:$J,5,0),"無")</f>
        <v>58</v>
      </c>
      <c r="D705" s="79">
        <f>IFERROR(VLOOKUP($G705,基本資料!$A:$J,6,0),"無")</f>
        <v>-36</v>
      </c>
      <c r="E705" s="79">
        <f>IFERROR(VLOOKUP($G705,基本資料!$A:$J,7,0),"無")</f>
        <v>-22</v>
      </c>
      <c r="F705" s="6">
        <f>IFERROR(VLOOKUP($G705,基本資料!$A:$J,8,0),"無")</f>
        <v>4.4400000000000004</v>
      </c>
      <c r="G705" s="79">
        <v>2353</v>
      </c>
      <c r="H705" s="192" t="s">
        <v>1145</v>
      </c>
      <c r="I705" s="22" t="s">
        <v>4075</v>
      </c>
      <c r="J705" s="8" t="str">
        <f>IFERROR(VLOOKUP($G705,今日總結!$A:$AN,39,0),"")</f>
        <v>主投</v>
      </c>
      <c r="K705" s="5" t="str">
        <f>IFERROR(VLOOKUP($G705,今日總結!$A:$AN,40,0),"")</f>
        <v>券</v>
      </c>
      <c r="L705" s="156">
        <f>IFERROR(VLOOKUP($G705,今日總結!$A:$AN,37,0),"")</f>
        <v>12</v>
      </c>
      <c r="M705" s="337">
        <f>IFERROR(VLOOKUP($G705,今日總結!$A:$AN,38,0),"")</f>
        <v>6</v>
      </c>
      <c r="N705" s="240">
        <f t="shared" si="142"/>
        <v>6</v>
      </c>
      <c r="O705" s="359">
        <f>IFERROR(VLOOKUP($G705,融外自投!$A:$J,7,0),"無")</f>
        <v>1038</v>
      </c>
      <c r="P705" s="79">
        <f>IFERROR(VLOOKUP($G705,融外自投!$A:$J,9,0),"無")</f>
        <v>151</v>
      </c>
      <c r="Q705" s="342">
        <f>IFERROR(VLOOKUP($G705,融外自投!$A:$J,8,0),"無")</f>
        <v>153</v>
      </c>
      <c r="R705" s="81">
        <f>IFERROR(VLOOKUP($G705,融外自投!$A:$J,10,0),"無")</f>
        <v>64</v>
      </c>
      <c r="S705" s="324">
        <f>IFERROR(VLOOKUP($G705,'321買'!$A:$E,4,0),"'沒有資料'")</f>
        <v>253</v>
      </c>
      <c r="T705" s="186">
        <f>IFERROR(VLOOKUP($G705,基本資料!$A:$J,9,0),"無")</f>
        <v>2.2799999999999998</v>
      </c>
      <c r="U705" s="307">
        <f t="shared" si="138"/>
        <v>7.9442508710801385E-2</v>
      </c>
      <c r="V705" s="94">
        <f>IFERROR(VLOOKUP($G705,基本資料!$A:$J,10,0),"無")</f>
        <v>3.63</v>
      </c>
      <c r="W705" s="36">
        <f>RTD("money.excel",,"2353","Price")</f>
        <v>28.7</v>
      </c>
      <c r="X705" s="66"/>
      <c r="Y705" s="15">
        <f t="shared" si="139"/>
        <v>28.7</v>
      </c>
      <c r="Z705" s="3" t="e">
        <f t="shared" si="140"/>
        <v>#DIV/0!</v>
      </c>
      <c r="AA705" s="340">
        <f>IFERROR(VLOOKUP($G705,基本資料!$A:$M,11,0),"無")</f>
        <v>-11.42</v>
      </c>
      <c r="AB705" s="389">
        <f>IFERROR(VLOOKUP($G705,基本資料!$A:$M,12,0),"無")</f>
        <v>42.09</v>
      </c>
      <c r="AC705" s="22" t="s">
        <v>4075</v>
      </c>
      <c r="AF705" s="33">
        <f t="shared" si="141"/>
        <v>0</v>
      </c>
      <c r="AG705" s="117" t="s">
        <v>2711</v>
      </c>
      <c r="AH705" s="66">
        <f t="shared" si="122"/>
        <v>1.3510057384260825</v>
      </c>
      <c r="AI705" s="283">
        <f>RTD("money.excel",,$G705,"PredictVolume")</f>
        <v>18964</v>
      </c>
      <c r="AJ705" s="391">
        <f>IFERROR(VLOOKUP($G705,基本資料!$A:$M,13,0),"無")</f>
        <v>14036.95</v>
      </c>
      <c r="AR705" s="245" t="str">
        <f>INDEX(基本資料!N:N,MATCH($G705,基本資料!A:A,0))</f>
        <v>高</v>
      </c>
    </row>
    <row r="706" spans="1:44">
      <c r="A706" s="343">
        <f>IFERROR(VLOOKUP($G706,基本資料!$A:$J,3,0),"無")</f>
        <v>358</v>
      </c>
      <c r="B706" s="79">
        <f>IFERROR(VLOOKUP($G706,基本資料!$A:$J,4,0),"無")</f>
        <v>-9</v>
      </c>
      <c r="C706" s="79">
        <f>IFERROR(VLOOKUP($G706,基本資料!$A:$J,5,0),"無")</f>
        <v>6</v>
      </c>
      <c r="D706" s="79">
        <f>IFERROR(VLOOKUP($G706,基本資料!$A:$J,6,0),"無")</f>
        <v>-17</v>
      </c>
      <c r="E706" s="79">
        <f>IFERROR(VLOOKUP($G706,基本資料!$A:$J,7,0),"無")</f>
        <v>15</v>
      </c>
      <c r="F706" s="6">
        <f>IFERROR(VLOOKUP($G706,基本資料!$A:$J,8,0),"無")</f>
        <v>0.91</v>
      </c>
      <c r="G706" s="79">
        <v>2356</v>
      </c>
      <c r="H706" s="192" t="s">
        <v>1145</v>
      </c>
      <c r="I706" s="22" t="s">
        <v>20</v>
      </c>
      <c r="J706" s="8" t="str">
        <f>IFERROR(VLOOKUP($G706,今日總結!$A:$AN,39,0),"")</f>
        <v>自投</v>
      </c>
      <c r="K706" s="5" t="str">
        <f>IFERROR(VLOOKUP($G706,今日總結!$A:$AN,40,0),"")</f>
        <v>融</v>
      </c>
      <c r="L706" s="156">
        <f>IFERROR(VLOOKUP($G706,今日總結!$A:$AN,37,0),"")</f>
        <v>25</v>
      </c>
      <c r="M706" s="337">
        <f>IFERROR(VLOOKUP($G706,今日總結!$A:$AN,38,0),"")</f>
        <v>2</v>
      </c>
      <c r="N706" s="240">
        <f t="shared" si="142"/>
        <v>23</v>
      </c>
      <c r="O706" s="359">
        <f>IFERROR(VLOOKUP($G706,融外自投!$A:$J,7,0),"無")</f>
        <v>1369</v>
      </c>
      <c r="P706" s="79">
        <f>IFERROR(VLOOKUP($G706,融外自投!$A:$J,9,0),"無")</f>
        <v>30</v>
      </c>
      <c r="Q706" s="342">
        <f>IFERROR(VLOOKUP($G706,融外自投!$A:$J,8,0),"無")</f>
        <v>228</v>
      </c>
      <c r="R706" s="81">
        <f>IFERROR(VLOOKUP($G706,融外自投!$A:$J,10,0),"無")</f>
        <v>22</v>
      </c>
      <c r="S706" s="324">
        <f>IFERROR(VLOOKUP($G706,'321買'!$A:$E,4,0),"'沒有資料'")</f>
        <v>253</v>
      </c>
      <c r="T706" s="186">
        <f>IFERROR(VLOOKUP($G706,基本資料!$A:$J,9,0),"無")</f>
        <v>1.4</v>
      </c>
      <c r="U706" s="307">
        <f t="shared" si="138"/>
        <v>5.2930056710775046E-2</v>
      </c>
      <c r="V706" s="94">
        <f>IFERROR(VLOOKUP($G706,基本資料!$A:$J,10,0),"無")</f>
        <v>1.82</v>
      </c>
      <c r="W706" s="36">
        <f>RTD("money.excel",,"2356","Price")</f>
        <v>26.45</v>
      </c>
      <c r="X706" s="66"/>
      <c r="Y706" s="15">
        <f t="shared" si="139"/>
        <v>26.45</v>
      </c>
      <c r="Z706" s="3" t="e">
        <f t="shared" si="140"/>
        <v>#DIV/0!</v>
      </c>
      <c r="AA706" s="340">
        <f>IFERROR(VLOOKUP($G706,基本資料!$A:$M,11,0),"無")</f>
        <v>-4.17</v>
      </c>
      <c r="AB706" s="389">
        <f>IFERROR(VLOOKUP($G706,基本資料!$A:$M,12,0),"無")</f>
        <v>74.260000000000005</v>
      </c>
      <c r="AC706" s="22" t="s">
        <v>20</v>
      </c>
      <c r="AF706" s="33">
        <f t="shared" si="141"/>
        <v>0</v>
      </c>
      <c r="AG706" s="117" t="s">
        <v>1051</v>
      </c>
      <c r="AH706" s="66">
        <f t="shared" si="122"/>
        <v>2.3730696436898264</v>
      </c>
      <c r="AI706" s="283">
        <f>RTD("money.excel",,$G706,"PredictVolume")</f>
        <v>17303</v>
      </c>
      <c r="AJ706" s="391">
        <f>IFERROR(VLOOKUP($G706,基本資料!$A:$M,13,0),"無")</f>
        <v>7291.4</v>
      </c>
      <c r="AR706" s="245" t="str">
        <f>INDEX(基本資料!N:N,MATCH($G706,基本資料!A:A,0))</f>
        <v>高</v>
      </c>
    </row>
    <row r="707" spans="1:44">
      <c r="A707" s="343">
        <f>IFERROR(VLOOKUP($G707,基本資料!$A:$J,3,0),"無")</f>
        <v>74.27</v>
      </c>
      <c r="B707" s="79">
        <f>IFERROR(VLOOKUP($G707,基本資料!$A:$J,4,0),"無")</f>
        <v>64</v>
      </c>
      <c r="C707" s="79">
        <f>IFERROR(VLOOKUP($G707,基本資料!$A:$J,5,0),"無")</f>
        <v>97</v>
      </c>
      <c r="D707" s="79">
        <f>IFERROR(VLOOKUP($G707,基本資料!$A:$J,6,0),"無")</f>
        <v>-39</v>
      </c>
      <c r="E707" s="79">
        <f>IFERROR(VLOOKUP($G707,基本資料!$A:$J,7,0),"無")</f>
        <v>-14</v>
      </c>
      <c r="F707" s="6">
        <f>IFERROR(VLOOKUP($G707,基本資料!$A:$J,8,0),"無")</f>
        <v>9.2200000000000006</v>
      </c>
      <c r="G707" s="79">
        <v>2357</v>
      </c>
      <c r="H707" s="192" t="s">
        <v>1145</v>
      </c>
      <c r="I707" s="22" t="s">
        <v>1824</v>
      </c>
      <c r="J707" s="8" t="str">
        <f>IFERROR(VLOOKUP($G707,今日總結!$A:$AN,39,0),"")</f>
        <v>投</v>
      </c>
      <c r="K707" s="5" t="str">
        <f>IFERROR(VLOOKUP($G707,今日總結!$A:$AN,40,0),"")</f>
        <v>外</v>
      </c>
      <c r="L707" s="156">
        <f>IFERROR(VLOOKUP($G707,今日總結!$A:$AN,37,0),"")</f>
        <v>13</v>
      </c>
      <c r="M707" s="337">
        <f>IFERROR(VLOOKUP($G707,今日總結!$A:$AN,38,0),"")</f>
        <v>3</v>
      </c>
      <c r="N707" s="240">
        <f t="shared" si="142"/>
        <v>10</v>
      </c>
      <c r="O707" s="359">
        <f>IFERROR(VLOOKUP($G707,融外自投!$A:$J,7,0),"無")</f>
        <v>1209</v>
      </c>
      <c r="P707" s="79">
        <f>IFERROR(VLOOKUP($G707,融外自投!$A:$J,9,0),"無")</f>
        <v>35</v>
      </c>
      <c r="Q707" s="342">
        <f>IFERROR(VLOOKUP($G707,融外自投!$A:$J,8,0),"無")</f>
        <v>83</v>
      </c>
      <c r="R707" s="81">
        <f>IFERROR(VLOOKUP($G707,融外自投!$A:$J,10,0),"無")</f>
        <v>52</v>
      </c>
      <c r="S707" s="324">
        <f>IFERROR(VLOOKUP($G707,'321買'!$A:$E,4,0),"'沒有資料'")</f>
        <v>565</v>
      </c>
      <c r="T707" s="186">
        <f>IFERROR(VLOOKUP($G707,基本資料!$A:$J,9,0),"無")</f>
        <v>42</v>
      </c>
      <c r="U707" s="307">
        <f t="shared" si="138"/>
        <v>0.12650602409638553</v>
      </c>
      <c r="V707" s="94">
        <f>IFERROR(VLOOKUP($G707,基本資料!$A:$J,10,0),"無")</f>
        <v>59.98</v>
      </c>
      <c r="W707" s="36">
        <f>RTD("money.excel",,"2357","Price")</f>
        <v>332</v>
      </c>
      <c r="X707" s="66"/>
      <c r="Y707" s="15">
        <f t="shared" si="139"/>
        <v>332</v>
      </c>
      <c r="Z707" s="3" t="e">
        <f t="shared" si="140"/>
        <v>#DIV/0!</v>
      </c>
      <c r="AA707" s="340">
        <f>IFERROR(VLOOKUP($G707,基本資料!$A:$M,11,0),"無")</f>
        <v>-14.98</v>
      </c>
      <c r="AB707" s="389">
        <f>IFERROR(VLOOKUP($G707,基本資料!$A:$M,12,0),"無")</f>
        <v>18.27</v>
      </c>
      <c r="AC707" s="22" t="s">
        <v>1824</v>
      </c>
      <c r="AF707" s="33">
        <f t="shared" si="141"/>
        <v>0</v>
      </c>
      <c r="AG707" s="117" t="s">
        <v>2445</v>
      </c>
      <c r="AH707" s="66">
        <f t="shared" si="122"/>
        <v>1.1296982079768441</v>
      </c>
      <c r="AI707" s="283">
        <f>RTD("money.excel",,$G707,"PredictVolume")</f>
        <v>2654</v>
      </c>
      <c r="AJ707" s="391">
        <f>IFERROR(VLOOKUP($G707,基本資料!$A:$M,13,0),"無")</f>
        <v>2349.3000000000002</v>
      </c>
      <c r="AR707" s="245" t="str">
        <f>INDEX(基本資料!N:N,MATCH($G707,基本資料!A:A,0))</f>
        <v>低</v>
      </c>
    </row>
    <row r="708" spans="1:44">
      <c r="A708" s="343">
        <f>IFERROR(VLOOKUP($G708,基本資料!$A:$J,3,0),"無")</f>
        <v>64.22</v>
      </c>
      <c r="B708" s="79">
        <f>IFERROR(VLOOKUP($G708,基本資料!$A:$J,4,0),"無")</f>
        <v>169</v>
      </c>
      <c r="C708" s="79">
        <f>IFERROR(VLOOKUP($G708,基本資料!$A:$J,5,0),"無")</f>
        <v>41</v>
      </c>
      <c r="D708" s="79">
        <f>IFERROR(VLOOKUP($G708,基本資料!$A:$J,6,0),"無")</f>
        <v>-73</v>
      </c>
      <c r="E708" s="79">
        <f>IFERROR(VLOOKUP($G708,基本資料!$A:$J,7,0),"無")</f>
        <v>-68</v>
      </c>
      <c r="F708" s="6">
        <f>IFERROR(VLOOKUP($G708,基本資料!$A:$J,8,0),"無")</f>
        <v>7.74</v>
      </c>
      <c r="G708" s="79">
        <v>2362</v>
      </c>
      <c r="H708" s="192" t="s">
        <v>1145</v>
      </c>
      <c r="I708" s="22" t="s">
        <v>56</v>
      </c>
      <c r="J708" s="8">
        <f>IFERROR(VLOOKUP($G708,今日總結!$A:$AN,39,0),"")</f>
        <v>0</v>
      </c>
      <c r="K708" s="5">
        <f>IFERROR(VLOOKUP($G708,今日總結!$A:$AN,40,0),"")</f>
        <v>0</v>
      </c>
      <c r="L708" s="156">
        <f>IFERROR(VLOOKUP($G708,今日總結!$A:$AN,37,0),"")</f>
        <v>0</v>
      </c>
      <c r="M708" s="337">
        <f>IFERROR(VLOOKUP($G708,今日總結!$A:$AN,38,0),"")</f>
        <v>0</v>
      </c>
      <c r="N708" s="240">
        <f t="shared" si="142"/>
        <v>0</v>
      </c>
      <c r="O708" s="359">
        <f>IFERROR(VLOOKUP($G708,融外自投!$A:$J,7,0),"無")</f>
        <v>1054</v>
      </c>
      <c r="P708" s="79">
        <f>IFERROR(VLOOKUP($G708,融外自投!$A:$J,9,0),"無")</f>
        <v>790</v>
      </c>
      <c r="Q708" s="342">
        <f>IFERROR(VLOOKUP($G708,融外自投!$A:$J,8,0),"無")</f>
        <v>486</v>
      </c>
      <c r="R708" s="81" t="str">
        <f>IFERROR(VLOOKUP($G708,融外自投!$A:$J,10,0),"無")</f>
        <v>無</v>
      </c>
      <c r="S708" s="324">
        <f>IFERROR(VLOOKUP($G708,'321買'!$A:$E,4,0),"'沒有資料'")</f>
        <v>1002</v>
      </c>
      <c r="T708" s="186">
        <f>IFERROR(VLOOKUP($G708,基本資料!$A:$J,9,0),"無")</f>
        <v>2.1</v>
      </c>
      <c r="U708" s="307">
        <f t="shared" si="138"/>
        <v>6.1046511627906981E-2</v>
      </c>
      <c r="V708" s="94">
        <f>IFERROR(VLOOKUP($G708,基本資料!$A:$J,10,0),"無")</f>
        <v>3.03</v>
      </c>
      <c r="W708" s="36">
        <f>RTD("money.excel",,"2362","Price")</f>
        <v>34.4</v>
      </c>
      <c r="X708" s="66"/>
      <c r="Y708" s="15">
        <f t="shared" si="139"/>
        <v>34.4</v>
      </c>
      <c r="Z708" s="3" t="e">
        <f t="shared" si="140"/>
        <v>#DIV/0!</v>
      </c>
      <c r="AA708" s="340">
        <f>IFERROR(VLOOKUP($G708,基本資料!$A:$M,11,0),"無")</f>
        <v>-4.97</v>
      </c>
      <c r="AB708" s="389">
        <f>IFERROR(VLOOKUP($G708,基本資料!$A:$M,12,0),"無")</f>
        <v>65.67</v>
      </c>
      <c r="AC708" s="22" t="s">
        <v>56</v>
      </c>
      <c r="AF708" s="33">
        <f t="shared" si="141"/>
        <v>0</v>
      </c>
      <c r="AG708" s="117" t="s">
        <v>2712</v>
      </c>
      <c r="AH708" s="66">
        <f t="shared" si="122"/>
        <v>1.1053859087704072</v>
      </c>
      <c r="AI708" s="283">
        <f>RTD("money.excel",,$G708,"PredictVolume")</f>
        <v>1019</v>
      </c>
      <c r="AJ708" s="391">
        <f>IFERROR(VLOOKUP($G708,基本資料!$A:$M,13,0),"無")</f>
        <v>921.85</v>
      </c>
      <c r="AR708" s="245" t="str">
        <f>INDEX(基本資料!N:N,MATCH($G708,基本資料!A:A,0))</f>
        <v>高</v>
      </c>
    </row>
    <row r="709" spans="1:44">
      <c r="A709" s="343">
        <f>IFERROR(VLOOKUP($G709,基本資料!$A:$J,3,0),"無")</f>
        <v>2.4700000000000002</v>
      </c>
      <c r="B709" s="79">
        <f>IFERROR(VLOOKUP($G709,基本資料!$A:$J,4,0),"無")</f>
        <v>67</v>
      </c>
      <c r="C709" s="79">
        <f>IFERROR(VLOOKUP($G709,基本資料!$A:$J,5,0),"無")</f>
        <v>316</v>
      </c>
      <c r="D709" s="79">
        <f>IFERROR(VLOOKUP($G709,基本資料!$A:$J,6,0),"無")</f>
        <v>-3</v>
      </c>
      <c r="E709" s="79">
        <f>IFERROR(VLOOKUP($G709,基本資料!$A:$J,7,0),"無")</f>
        <v>-21</v>
      </c>
      <c r="F709" s="6">
        <f>IFERROR(VLOOKUP($G709,基本資料!$A:$J,8,0),"無")</f>
        <v>1.07</v>
      </c>
      <c r="G709" s="79">
        <v>2364</v>
      </c>
      <c r="H709" s="192" t="s">
        <v>1145</v>
      </c>
      <c r="I709" s="22" t="s">
        <v>456</v>
      </c>
      <c r="J709" s="8" t="str">
        <f>IFERROR(VLOOKUP($G709,今日總結!$A:$AN,39,0),"")</f>
        <v/>
      </c>
      <c r="K709" s="5" t="str">
        <f>IFERROR(VLOOKUP($G709,今日總結!$A:$AN,40,0),"")</f>
        <v/>
      </c>
      <c r="L709" s="156" t="str">
        <f>IFERROR(VLOOKUP($G709,今日總結!$A:$AN,37,0),"")</f>
        <v/>
      </c>
      <c r="M709" s="337" t="str">
        <f>IFERROR(VLOOKUP($G709,今日總結!$A:$AN,38,0),"")</f>
        <v/>
      </c>
      <c r="N709" s="240" t="str">
        <f t="shared" si="142"/>
        <v/>
      </c>
      <c r="O709" s="359" t="str">
        <f>IFERROR(VLOOKUP($G709,融外自投!$A:$J,7,0),"無")</f>
        <v>無</v>
      </c>
      <c r="P709" s="79" t="str">
        <f>IFERROR(VLOOKUP($G709,融外自投!$A:$J,9,0),"無")</f>
        <v>無</v>
      </c>
      <c r="Q709" s="342" t="str">
        <f>IFERROR(VLOOKUP($G709,融外自投!$A:$J,8,0),"無")</f>
        <v>無</v>
      </c>
      <c r="R709" s="81" t="str">
        <f>IFERROR(VLOOKUP($G709,融外自投!$A:$J,10,0),"無")</f>
        <v>無</v>
      </c>
      <c r="S709" s="324" t="str">
        <f>IFERROR(VLOOKUP($G709,'321買'!$A:$E,4,0),"'沒有資料'")</f>
        <v>'沒有資料'</v>
      </c>
      <c r="T709" s="186">
        <f>IFERROR(VLOOKUP($G709,基本資料!$A:$J,9,0),"無")</f>
        <v>1</v>
      </c>
      <c r="U709" s="307">
        <f t="shared" si="138"/>
        <v>4.5558086560364468E-2</v>
      </c>
      <c r="V709" s="94">
        <f>IFERROR(VLOOKUP($G709,基本資料!$A:$J,10,0),"無")</f>
        <v>1.1399999999999999</v>
      </c>
      <c r="W709" s="36">
        <f>RTD("money.excel",,"2364","Price")</f>
        <v>21.95</v>
      </c>
      <c r="X709" s="66"/>
      <c r="Y709" s="15">
        <f t="shared" si="139"/>
        <v>21.95</v>
      </c>
      <c r="Z709" s="3" t="e">
        <f t="shared" si="140"/>
        <v>#DIV/0!</v>
      </c>
      <c r="AA709" s="340">
        <f>IFERROR(VLOOKUP($G709,基本資料!$A:$M,11,0),"無")</f>
        <v>-9.11</v>
      </c>
      <c r="AB709" s="389">
        <f>IFERROR(VLOOKUP($G709,基本資料!$A:$M,12,0),"無")</f>
        <v>56.21</v>
      </c>
      <c r="AC709" s="22" t="s">
        <v>456</v>
      </c>
      <c r="AF709" s="33">
        <f t="shared" si="141"/>
        <v>0</v>
      </c>
      <c r="AG709" s="43" t="s">
        <v>2713</v>
      </c>
      <c r="AH709" s="66">
        <f t="shared" ref="AH709:AH772" si="143">AI709/AJ709</f>
        <v>2.9500580720092917</v>
      </c>
      <c r="AI709" s="283">
        <f>RTD("money.excel",,$G709,"PredictVolume")</f>
        <v>127</v>
      </c>
      <c r="AJ709" s="391">
        <f>IFERROR(VLOOKUP($G709,基本資料!$A:$M,13,0),"無")</f>
        <v>43.05</v>
      </c>
      <c r="AR709" s="245" t="str">
        <f>INDEX(基本資料!N:N,MATCH($G709,基本資料!A:A,0))</f>
        <v>高</v>
      </c>
    </row>
    <row r="710" spans="1:44">
      <c r="A710" s="343">
        <f>IFERROR(VLOOKUP($G710,基本資料!$A:$J,3,0),"無")</f>
        <v>22.15</v>
      </c>
      <c r="B710" s="79">
        <f>IFERROR(VLOOKUP($G710,基本資料!$A:$J,4,0),"無")</f>
        <v>-65</v>
      </c>
      <c r="C710" s="79">
        <f>IFERROR(VLOOKUP($G710,基本資料!$A:$J,5,0),"無")</f>
        <v>-68</v>
      </c>
      <c r="D710" s="79">
        <f>IFERROR(VLOOKUP($G710,基本資料!$A:$J,6,0),"無")</f>
        <v>39</v>
      </c>
      <c r="E710" s="79">
        <f>IFERROR(VLOOKUP($G710,基本資料!$A:$J,7,0),"無")</f>
        <v>45</v>
      </c>
      <c r="F710" s="6">
        <f>IFERROR(VLOOKUP($G710,基本資料!$A:$J,8,0),"無")</f>
        <v>3.73</v>
      </c>
      <c r="G710" s="79">
        <v>2365</v>
      </c>
      <c r="H710" s="192" t="s">
        <v>1145</v>
      </c>
      <c r="I710" s="22" t="s">
        <v>4076</v>
      </c>
      <c r="J710" s="8" t="str">
        <f>IFERROR(VLOOKUP($G710,今日總結!$A:$AN,39,0),"")</f>
        <v>外</v>
      </c>
      <c r="K710" s="5" t="str">
        <f>IFERROR(VLOOKUP($G710,今日總結!$A:$AN,40,0),"")</f>
        <v>融</v>
      </c>
      <c r="L710" s="156">
        <f>IFERROR(VLOOKUP($G710,今日總結!$A:$AN,37,0),"")</f>
        <v>1</v>
      </c>
      <c r="M710" s="337">
        <f>IFERROR(VLOOKUP($G710,今日總結!$A:$AN,38,0),"")</f>
        <v>2</v>
      </c>
      <c r="N710" s="240">
        <f t="shared" si="142"/>
        <v>-1</v>
      </c>
      <c r="O710" s="359">
        <f>IFERROR(VLOOKUP($G710,融外自投!$A:$J,7,0),"無")</f>
        <v>641</v>
      </c>
      <c r="P710" s="79">
        <f>IFERROR(VLOOKUP($G710,融外自投!$A:$J,9,0),"無")</f>
        <v>946</v>
      </c>
      <c r="Q710" s="342">
        <f>IFERROR(VLOOKUP($G710,融外自投!$A:$J,8,0),"無")</f>
        <v>588</v>
      </c>
      <c r="R710" s="81" t="str">
        <f>IFERROR(VLOOKUP($G710,融外自投!$A:$J,10,0),"無")</f>
        <v>無</v>
      </c>
      <c r="S710" s="324">
        <f>IFERROR(VLOOKUP($G710,'321買'!$A:$E,4,0),"'沒有資料'")</f>
        <v>801</v>
      </c>
      <c r="T710" s="186">
        <f>IFERROR(VLOOKUP($G710,基本資料!$A:$J,9,0),"無")</f>
        <v>0.2</v>
      </c>
      <c r="U710" s="307">
        <f t="shared" si="138"/>
        <v>0.02</v>
      </c>
      <c r="V710" s="94">
        <f>IFERROR(VLOOKUP($G710,基本資料!$A:$J,10,0),"無")</f>
        <v>0.23</v>
      </c>
      <c r="W710" s="36">
        <f>RTD("money.excel",,"2365","Price")</f>
        <v>10</v>
      </c>
      <c r="X710" s="66"/>
      <c r="Y710" s="15">
        <f t="shared" si="139"/>
        <v>10</v>
      </c>
      <c r="Z710" s="3" t="e">
        <f t="shared" si="140"/>
        <v>#DIV/0!</v>
      </c>
      <c r="AA710" s="340">
        <f>IFERROR(VLOOKUP($G710,基本資料!$A:$M,11,0),"無")</f>
        <v>-25.93</v>
      </c>
      <c r="AB710" s="389">
        <f>IFERROR(VLOOKUP($G710,基本資料!$A:$M,12,0),"無")</f>
        <v>14.93</v>
      </c>
      <c r="AC710" s="22" t="s">
        <v>4076</v>
      </c>
      <c r="AF710" s="33">
        <f t="shared" si="141"/>
        <v>0</v>
      </c>
      <c r="AG710" s="43" t="s">
        <v>2714</v>
      </c>
      <c r="AH710" s="66">
        <f t="shared" si="143"/>
        <v>0.83135903510661213</v>
      </c>
      <c r="AI710" s="283">
        <f>RTD("money.excel",,$G710,"PredictVolume")</f>
        <v>193</v>
      </c>
      <c r="AJ710" s="391">
        <f>IFERROR(VLOOKUP($G710,基本資料!$A:$M,13,0),"無")</f>
        <v>232.15</v>
      </c>
      <c r="AR710" s="245" t="str">
        <f>INDEX(基本資料!N:N,MATCH($G710,基本資料!A:A,0))</f>
        <v>低</v>
      </c>
    </row>
    <row r="711" spans="1:44">
      <c r="A711" s="343">
        <f>IFERROR(VLOOKUP($G711,基本資料!$A:$J,3,0),"無")</f>
        <v>63.56</v>
      </c>
      <c r="B711" s="79">
        <f>IFERROR(VLOOKUP($G711,基本資料!$A:$J,4,0),"無")</f>
        <v>207</v>
      </c>
      <c r="C711" s="79">
        <f>IFERROR(VLOOKUP($G711,基本資料!$A:$J,5,0),"無")</f>
        <v>243</v>
      </c>
      <c r="D711" s="79">
        <f>IFERROR(VLOOKUP($G711,基本資料!$A:$J,6,0),"無")</f>
        <v>-19</v>
      </c>
      <c r="E711" s="79">
        <f>IFERROR(VLOOKUP($G711,基本資料!$A:$J,7,0),"無")</f>
        <v>-30</v>
      </c>
      <c r="F711" s="6">
        <f>IFERROR(VLOOKUP($G711,基本資料!$A:$J,8,0),"無")</f>
        <v>11.88</v>
      </c>
      <c r="G711" s="79">
        <v>2376</v>
      </c>
      <c r="H711" s="192" t="s">
        <v>1145</v>
      </c>
      <c r="I711" s="22" t="s">
        <v>4077</v>
      </c>
      <c r="J711" s="8" t="str">
        <f>IFERROR(VLOOKUP($G711,今日總結!$A:$AN,39,0),"")</f>
        <v>自</v>
      </c>
      <c r="K711" s="5">
        <f>IFERROR(VLOOKUP($G711,今日總結!$A:$AN,40,0),"")</f>
        <v>0</v>
      </c>
      <c r="L711" s="156">
        <f>IFERROR(VLOOKUP($G711,今日總結!$A:$AN,37,0),"")</f>
        <v>3</v>
      </c>
      <c r="M711" s="337">
        <f>IFERROR(VLOOKUP($G711,今日總結!$A:$AN,38,0),"")</f>
        <v>0</v>
      </c>
      <c r="N711" s="240">
        <f t="shared" si="142"/>
        <v>3</v>
      </c>
      <c r="O711" s="359">
        <f>IFERROR(VLOOKUP($G711,融外自投!$A:$J,7,0),"無")</f>
        <v>685</v>
      </c>
      <c r="P711" s="79">
        <f>IFERROR(VLOOKUP($G711,融外自投!$A:$J,9,0),"無")</f>
        <v>7</v>
      </c>
      <c r="Q711" s="342">
        <f>IFERROR(VLOOKUP($G711,融外自投!$A:$J,8,0),"無")</f>
        <v>277</v>
      </c>
      <c r="R711" s="81">
        <f>IFERROR(VLOOKUP($G711,融外自投!$A:$J,10,0),"無")</f>
        <v>49</v>
      </c>
      <c r="S711" s="324">
        <f>IFERROR(VLOOKUP($G711,'321買'!$A:$E,4,0),"'沒有資料'")</f>
        <v>134</v>
      </c>
      <c r="T711" s="186">
        <f>IFERROR(VLOOKUP($G711,基本資料!$A:$J,9,0),"無")</f>
        <v>12</v>
      </c>
      <c r="U711" s="307">
        <f t="shared" si="138"/>
        <v>0.11162790697674418</v>
      </c>
      <c r="V711" s="94">
        <f>IFERROR(VLOOKUP($G711,基本資料!$A:$J,10,0),"無")</f>
        <v>21.01</v>
      </c>
      <c r="W711" s="36">
        <f>RTD("money.excel",,"2376","Price")</f>
        <v>107.5</v>
      </c>
      <c r="X711" s="66"/>
      <c r="Y711" s="15">
        <f t="shared" si="139"/>
        <v>107.5</v>
      </c>
      <c r="Z711" s="3" t="e">
        <f t="shared" si="140"/>
        <v>#DIV/0!</v>
      </c>
      <c r="AA711" s="340">
        <f>IFERROR(VLOOKUP($G711,基本資料!$A:$M,11,0),"無")</f>
        <v>-34.85</v>
      </c>
      <c r="AB711" s="389">
        <f>IFERROR(VLOOKUP($G711,基本資料!$A:$M,12,0),"無")</f>
        <v>10.71</v>
      </c>
      <c r="AC711" s="22" t="s">
        <v>4077</v>
      </c>
      <c r="AF711" s="33">
        <f t="shared" si="141"/>
        <v>0</v>
      </c>
      <c r="AG711" s="43" t="s">
        <v>2717</v>
      </c>
      <c r="AH711" s="66">
        <f t="shared" si="143"/>
        <v>0.98518072391357825</v>
      </c>
      <c r="AI711" s="283">
        <f>RTD("money.excel",,$G711,"PredictVolume")</f>
        <v>5807</v>
      </c>
      <c r="AJ711" s="391">
        <f>IFERROR(VLOOKUP($G711,基本資料!$A:$M,13,0),"無")</f>
        <v>5894.35</v>
      </c>
      <c r="AR711" s="245" t="str">
        <f>INDEX(基本資料!N:N,MATCH($G711,基本資料!A:A,0))</f>
        <v>低</v>
      </c>
    </row>
    <row r="712" spans="1:44">
      <c r="A712" s="343">
        <f>IFERROR(VLOOKUP($G712,基本資料!$A:$J,3,0),"無")</f>
        <v>84.48</v>
      </c>
      <c r="B712" s="79">
        <f>IFERROR(VLOOKUP($G712,基本資料!$A:$J,4,0),"無")</f>
        <v>112</v>
      </c>
      <c r="C712" s="79">
        <f>IFERROR(VLOOKUP($G712,基本資料!$A:$J,5,0),"無")</f>
        <v>117</v>
      </c>
      <c r="D712" s="79">
        <f>IFERROR(VLOOKUP($G712,基本資料!$A:$J,6,0),"無")</f>
        <v>-12</v>
      </c>
      <c r="E712" s="79">
        <f>IFERROR(VLOOKUP($G712,基本資料!$A:$J,7,0),"無")</f>
        <v>3</v>
      </c>
      <c r="F712" s="6">
        <f>IFERROR(VLOOKUP($G712,基本資料!$A:$J,8,0),"無")</f>
        <v>9.9</v>
      </c>
      <c r="G712" s="79">
        <v>2377</v>
      </c>
      <c r="H712" s="192" t="s">
        <v>1145</v>
      </c>
      <c r="I712" s="22" t="s">
        <v>3380</v>
      </c>
      <c r="J712" s="8" t="str">
        <f>IFERROR(VLOOKUP($G712,今日總結!$A:$AN,39,0),"")</f>
        <v>自投</v>
      </c>
      <c r="K712" s="5" t="str">
        <f>IFERROR(VLOOKUP($G712,今日總結!$A:$AN,40,0),"")</f>
        <v>外</v>
      </c>
      <c r="L712" s="156">
        <f>IFERROR(VLOOKUP($G712,今日總結!$A:$AN,37,0),"")</f>
        <v>22</v>
      </c>
      <c r="M712" s="337">
        <f>IFERROR(VLOOKUP($G712,今日總結!$A:$AN,38,0),"")</f>
        <v>1</v>
      </c>
      <c r="N712" s="240">
        <f t="shared" si="142"/>
        <v>21</v>
      </c>
      <c r="O712" s="359">
        <f>IFERROR(VLOOKUP($G712,融外自投!$A:$J,7,0),"無")</f>
        <v>1087</v>
      </c>
      <c r="P712" s="79">
        <f>IFERROR(VLOOKUP($G712,融外自投!$A:$J,9,0),"無")</f>
        <v>19</v>
      </c>
      <c r="Q712" s="342">
        <f>IFERROR(VLOOKUP($G712,融外自投!$A:$J,8,0),"無")</f>
        <v>145</v>
      </c>
      <c r="R712" s="81">
        <f>IFERROR(VLOOKUP($G712,融外自投!$A:$J,10,0),"無")</f>
        <v>38</v>
      </c>
      <c r="S712" s="324">
        <f>IFERROR(VLOOKUP($G712,'321買'!$A:$E,4,0),"'沒有資料'")</f>
        <v>565</v>
      </c>
      <c r="T712" s="186">
        <f>IFERROR(VLOOKUP($G712,基本資料!$A:$J,9,0),"無")</f>
        <v>10.5</v>
      </c>
      <c r="U712" s="307">
        <f t="shared" si="138"/>
        <v>8.2352941176470587E-2</v>
      </c>
      <c r="V712" s="94">
        <f>IFERROR(VLOOKUP($G712,基本資料!$A:$J,10,0),"無")</f>
        <v>20.03</v>
      </c>
      <c r="W712" s="36">
        <f>RTD("money.excel",,"2377","Price")</f>
        <v>127.5</v>
      </c>
      <c r="X712" s="66"/>
      <c r="Y712" s="15">
        <f t="shared" si="139"/>
        <v>127.5</v>
      </c>
      <c r="Z712" s="3" t="e">
        <f t="shared" si="140"/>
        <v>#DIV/0!</v>
      </c>
      <c r="AA712" s="340">
        <f>IFERROR(VLOOKUP($G712,基本資料!$A:$M,11,0),"無")</f>
        <v>-31.45</v>
      </c>
      <c r="AB712" s="389">
        <f>IFERROR(VLOOKUP($G712,基本資料!$A:$M,12,0),"無")</f>
        <v>27.09</v>
      </c>
      <c r="AC712" s="22" t="s">
        <v>3380</v>
      </c>
      <c r="AF712" s="33">
        <f t="shared" si="141"/>
        <v>0</v>
      </c>
      <c r="AG712" s="43" t="s">
        <v>2717</v>
      </c>
      <c r="AH712" s="66">
        <f t="shared" si="143"/>
        <v>1.027585049239033</v>
      </c>
      <c r="AI712" s="283">
        <f>RTD("money.excel",,$G712,"PredictVolume")</f>
        <v>3673</v>
      </c>
      <c r="AJ712" s="391">
        <f>IFERROR(VLOOKUP($G712,基本資料!$A:$M,13,0),"無")</f>
        <v>3574.4</v>
      </c>
      <c r="AR712" s="245" t="str">
        <f>INDEX(基本資料!N:N,MATCH($G712,基本資料!A:A,0))</f>
        <v>低</v>
      </c>
    </row>
    <row r="713" spans="1:44">
      <c r="A713" s="343">
        <f>IFERROR(VLOOKUP($G713,基本資料!$A:$J,3,0),"無")</f>
        <v>18.940000000000001</v>
      </c>
      <c r="B713" s="79">
        <f>IFERROR(VLOOKUP($G713,基本資料!$A:$J,4,0),"無")</f>
        <v>69</v>
      </c>
      <c r="C713" s="79">
        <f>IFERROR(VLOOKUP($G713,基本資料!$A:$J,5,0),"無")</f>
        <v>65</v>
      </c>
      <c r="D713" s="79">
        <f>IFERROR(VLOOKUP($G713,基本資料!$A:$J,6,0),"無")</f>
        <v>-54</v>
      </c>
      <c r="E713" s="79">
        <f>IFERROR(VLOOKUP($G713,基本資料!$A:$J,7,0),"無")</f>
        <v>-52</v>
      </c>
      <c r="F713" s="6">
        <f>IFERROR(VLOOKUP($G713,基本資料!$A:$J,8,0),"無")</f>
        <v>-4.4800000000000004</v>
      </c>
      <c r="G713" s="79">
        <v>2380</v>
      </c>
      <c r="H713" s="192" t="s">
        <v>1145</v>
      </c>
      <c r="I713" s="22" t="s">
        <v>4078</v>
      </c>
      <c r="J713" s="8" t="str">
        <f>IFERROR(VLOOKUP($G713,今日總結!$A:$AN,39,0),"")</f>
        <v/>
      </c>
      <c r="K713" s="5" t="str">
        <f>IFERROR(VLOOKUP($G713,今日總結!$A:$AN,40,0),"")</f>
        <v/>
      </c>
      <c r="L713" s="156" t="str">
        <f>IFERROR(VLOOKUP($G713,今日總結!$A:$AN,37,0),"")</f>
        <v/>
      </c>
      <c r="M713" s="337" t="str">
        <f>IFERROR(VLOOKUP($G713,今日總結!$A:$AN,38,0),"")</f>
        <v/>
      </c>
      <c r="N713" s="240" t="str">
        <f t="shared" si="142"/>
        <v/>
      </c>
      <c r="O713" s="359" t="str">
        <f>IFERROR(VLOOKUP($G713,融外自投!$A:$J,7,0),"無")</f>
        <v>無</v>
      </c>
      <c r="P713" s="79" t="str">
        <f>IFERROR(VLOOKUP($G713,融外自投!$A:$J,9,0),"無")</f>
        <v>無</v>
      </c>
      <c r="Q713" s="342" t="str">
        <f>IFERROR(VLOOKUP($G713,融外自投!$A:$J,8,0),"無")</f>
        <v>無</v>
      </c>
      <c r="R713" s="81" t="str">
        <f>IFERROR(VLOOKUP($G713,融外自投!$A:$J,10,0),"無")</f>
        <v>無</v>
      </c>
      <c r="S713" s="324" t="str">
        <f>IFERROR(VLOOKUP($G713,'321買'!$A:$E,4,0),"'沒有資料'")</f>
        <v>'沒有資料'</v>
      </c>
      <c r="T713" s="186">
        <f>IFERROR(VLOOKUP($G713,基本資料!$A:$J,9,0),"無")</f>
        <v>0</v>
      </c>
      <c r="U713" s="307">
        <f t="shared" si="138"/>
        <v>0</v>
      </c>
      <c r="V713" s="94">
        <f>IFERROR(VLOOKUP($G713,基本資料!$A:$J,10,0),"無")</f>
        <v>-0.69</v>
      </c>
      <c r="W713" s="36">
        <f>RTD("money.excel",,"2380","Price")</f>
        <v>9.98</v>
      </c>
      <c r="X713" s="66"/>
      <c r="Y713" s="15">
        <f t="shared" si="139"/>
        <v>9.98</v>
      </c>
      <c r="Z713" s="3" t="e">
        <f t="shared" si="140"/>
        <v>#DIV/0!</v>
      </c>
      <c r="AA713" s="340">
        <f>IFERROR(VLOOKUP($G713,基本資料!$A:$M,11,0),"無")</f>
        <v>-45.46</v>
      </c>
      <c r="AB713" s="389">
        <f>IFERROR(VLOOKUP($G713,基本資料!$A:$M,12,0),"無")</f>
        <v>7.21</v>
      </c>
      <c r="AC713" s="22" t="s">
        <v>4078</v>
      </c>
      <c r="AF713" s="33">
        <f t="shared" si="141"/>
        <v>0</v>
      </c>
      <c r="AG713" s="43" t="s">
        <v>2708</v>
      </c>
      <c r="AH713" s="66">
        <f t="shared" si="143"/>
        <v>0.44273907910271548</v>
      </c>
      <c r="AI713" s="283">
        <f>RTD("money.excel",,$G713,"PredictVolume")</f>
        <v>225</v>
      </c>
      <c r="AJ713" s="391">
        <f>IFERROR(VLOOKUP($G713,基本資料!$A:$M,13,0),"無")</f>
        <v>508.2</v>
      </c>
      <c r="AR713" s="245" t="str">
        <f>INDEX(基本資料!N:N,MATCH($G713,基本資料!A:A,0))</f>
        <v>低</v>
      </c>
    </row>
    <row r="714" spans="1:44">
      <c r="A714" s="343">
        <f>IFERROR(VLOOKUP($G714,基本資料!$A:$J,3,0),"無")</f>
        <v>386</v>
      </c>
      <c r="B714" s="79">
        <f>IFERROR(VLOOKUP($G714,基本資料!$A:$J,4,0),"無")</f>
        <v>35</v>
      </c>
      <c r="C714" s="79">
        <f>IFERROR(VLOOKUP($G714,基本資料!$A:$J,5,0),"無")</f>
        <v>14</v>
      </c>
      <c r="D714" s="79">
        <f>IFERROR(VLOOKUP($G714,基本資料!$A:$J,6,0),"無")</f>
        <v>-39</v>
      </c>
      <c r="E714" s="79">
        <f>IFERROR(VLOOKUP($G714,基本資料!$A:$J,7,0),"無")</f>
        <v>-21</v>
      </c>
      <c r="F714" s="6">
        <f>IFERROR(VLOOKUP($G714,基本資料!$A:$J,8,0),"無")</f>
        <v>3.3</v>
      </c>
      <c r="G714" s="79">
        <v>2382</v>
      </c>
      <c r="H714" s="192" t="s">
        <v>1145</v>
      </c>
      <c r="I714" s="22" t="s">
        <v>208</v>
      </c>
      <c r="J714" s="8" t="str">
        <f>IFERROR(VLOOKUP($G714,今日總結!$A:$AN,39,0),"")</f>
        <v>自投</v>
      </c>
      <c r="K714" s="5" t="str">
        <f>IFERROR(VLOOKUP($G714,今日總結!$A:$AN,40,0),"")</f>
        <v>主外</v>
      </c>
      <c r="L714" s="156">
        <f>IFERROR(VLOOKUP($G714,今日總結!$A:$AN,37,0),"")</f>
        <v>20</v>
      </c>
      <c r="M714" s="337">
        <f>IFERROR(VLOOKUP($G714,今日總結!$A:$AN,38,0),"")</f>
        <v>7</v>
      </c>
      <c r="N714" s="240">
        <f t="shared" si="142"/>
        <v>13</v>
      </c>
      <c r="O714" s="359">
        <f>IFERROR(VLOOKUP($G714,融外自投!$A:$J,7,0),"無")</f>
        <v>1352</v>
      </c>
      <c r="P714" s="79">
        <f>IFERROR(VLOOKUP($G714,融外自投!$A:$J,9,0),"無")</f>
        <v>58</v>
      </c>
      <c r="Q714" s="342">
        <f>IFERROR(VLOOKUP($G714,融外自投!$A:$J,8,0),"無")</f>
        <v>219</v>
      </c>
      <c r="R714" s="81">
        <f>IFERROR(VLOOKUP($G714,融外自投!$A:$J,10,0),"無")</f>
        <v>73</v>
      </c>
      <c r="S714" s="324">
        <f>IFERROR(VLOOKUP($G714,'321買'!$A:$E,4,0),"'沒有資料'")</f>
        <v>465</v>
      </c>
      <c r="T714" s="186">
        <f>IFERROR(VLOOKUP($G714,基本資料!$A:$J,9,0),"無")</f>
        <v>6.6</v>
      </c>
      <c r="U714" s="307">
        <f t="shared" si="138"/>
        <v>8.6387434554973816E-2</v>
      </c>
      <c r="V714" s="94">
        <f>IFERROR(VLOOKUP($G714,基本資料!$A:$J,10,0),"無")</f>
        <v>8.73</v>
      </c>
      <c r="W714" s="36">
        <f>RTD("money.excel",,"2382","Price")</f>
        <v>76.400000000000006</v>
      </c>
      <c r="X714" s="66"/>
      <c r="Y714" s="15">
        <f t="shared" si="139"/>
        <v>76.400000000000006</v>
      </c>
      <c r="Z714" s="3" t="e">
        <f t="shared" si="140"/>
        <v>#DIV/0!</v>
      </c>
      <c r="AA714" s="340">
        <f>IFERROR(VLOOKUP($G714,基本資料!$A:$M,11,0),"無")</f>
        <v>-20.420000000000002</v>
      </c>
      <c r="AB714" s="389">
        <f>IFERROR(VLOOKUP($G714,基本資料!$A:$M,12,0),"無")</f>
        <v>11.42</v>
      </c>
      <c r="AC714" s="22" t="s">
        <v>208</v>
      </c>
      <c r="AF714" s="33">
        <f t="shared" si="141"/>
        <v>0</v>
      </c>
      <c r="AG714" s="117" t="s">
        <v>2715</v>
      </c>
      <c r="AH714" s="66">
        <f t="shared" si="143"/>
        <v>2.7875241124028989</v>
      </c>
      <c r="AI714" s="283">
        <f>RTD("money.excel",,$G714,"PredictVolume")</f>
        <v>21387</v>
      </c>
      <c r="AJ714" s="391">
        <f>IFERROR(VLOOKUP($G714,基本資料!$A:$M,13,0),"無")</f>
        <v>7672.4</v>
      </c>
      <c r="AR714" s="245" t="str">
        <f>INDEX(基本資料!N:N,MATCH($G714,基本資料!A:A,0))</f>
        <v>低</v>
      </c>
    </row>
    <row r="715" spans="1:44">
      <c r="A715" s="343">
        <f>IFERROR(VLOOKUP($G715,基本資料!$A:$J,3,0),"無")</f>
        <v>19.52</v>
      </c>
      <c r="B715" s="79">
        <f>IFERROR(VLOOKUP($G715,基本資料!$A:$J,4,0),"無")</f>
        <v>-19</v>
      </c>
      <c r="C715" s="79">
        <f>IFERROR(VLOOKUP($G715,基本資料!$A:$J,5,0),"無")</f>
        <v>-22</v>
      </c>
      <c r="D715" s="79">
        <f>IFERROR(VLOOKUP($G715,基本資料!$A:$J,6,0),"無")</f>
        <v>-46</v>
      </c>
      <c r="E715" s="79">
        <f>IFERROR(VLOOKUP($G715,基本資料!$A:$J,7,0),"無")</f>
        <v>-42</v>
      </c>
      <c r="F715" s="6">
        <f>IFERROR(VLOOKUP($G715,基本資料!$A:$J,8,0),"無")</f>
        <v>6.43</v>
      </c>
      <c r="G715" s="79">
        <v>2387</v>
      </c>
      <c r="H715" s="192" t="s">
        <v>1145</v>
      </c>
      <c r="I715" s="22" t="s">
        <v>234</v>
      </c>
      <c r="J715" s="8" t="str">
        <f>IFERROR(VLOOKUP($G715,今日總結!$A:$AN,39,0),"")</f>
        <v>外</v>
      </c>
      <c r="K715" s="5" t="str">
        <f>IFERROR(VLOOKUP($G715,今日總結!$A:$AN,40,0),"")</f>
        <v>融</v>
      </c>
      <c r="L715" s="156">
        <f>IFERROR(VLOOKUP($G715,今日總結!$A:$AN,37,0),"")</f>
        <v>1</v>
      </c>
      <c r="M715" s="337">
        <f>IFERROR(VLOOKUP($G715,今日總結!$A:$AN,38,0),"")</f>
        <v>3</v>
      </c>
      <c r="N715" s="240">
        <f t="shared" si="142"/>
        <v>-2</v>
      </c>
      <c r="O715" s="359">
        <f>IFERROR(VLOOKUP($G715,融外自投!$A:$J,7,0),"無")</f>
        <v>617</v>
      </c>
      <c r="P715" s="79">
        <f>IFERROR(VLOOKUP($G715,融外自投!$A:$J,9,0),"無")</f>
        <v>615</v>
      </c>
      <c r="Q715" s="342">
        <f>IFERROR(VLOOKUP($G715,融外自投!$A:$J,8,0),"無")</f>
        <v>1043</v>
      </c>
      <c r="R715" s="81">
        <f>IFERROR(VLOOKUP($G715,融外自投!$A:$J,10,0),"無")</f>
        <v>156</v>
      </c>
      <c r="S715" s="324">
        <f>IFERROR(VLOOKUP($G715,'321買'!$A:$E,4,0),"'沒有資料'")</f>
        <v>743</v>
      </c>
      <c r="T715" s="186">
        <f>IFERROR(VLOOKUP($G715,基本資料!$A:$J,9,0),"無")</f>
        <v>3</v>
      </c>
      <c r="U715" s="307">
        <f t="shared" si="138"/>
        <v>8.3798882681564255E-2</v>
      </c>
      <c r="V715" s="94">
        <f>IFERROR(VLOOKUP($G715,基本資料!$A:$J,10,0),"無")</f>
        <v>5.31</v>
      </c>
      <c r="W715" s="36">
        <f>RTD("money.excel",,"2387","Price")</f>
        <v>35.799999999999997</v>
      </c>
      <c r="X715" s="66"/>
      <c r="Y715" s="15">
        <f t="shared" si="139"/>
        <v>35.799999999999997</v>
      </c>
      <c r="Z715" s="3" t="e">
        <f t="shared" si="140"/>
        <v>#DIV/0!</v>
      </c>
      <c r="AA715" s="340">
        <f>IFERROR(VLOOKUP($G715,基本資料!$A:$M,11,0),"無")</f>
        <v>-40.83</v>
      </c>
      <c r="AB715" s="389">
        <f>IFERROR(VLOOKUP($G715,基本資料!$A:$M,12,0),"無")</f>
        <v>21.22</v>
      </c>
      <c r="AC715" s="22" t="s">
        <v>234</v>
      </c>
      <c r="AF715" s="33">
        <f t="shared" si="141"/>
        <v>0</v>
      </c>
      <c r="AG715" s="43" t="s">
        <v>2282</v>
      </c>
      <c r="AH715" s="66">
        <f t="shared" si="143"/>
        <v>0.61332055582175371</v>
      </c>
      <c r="AI715" s="283">
        <f>RTD("money.excel",,$G715,"PredictVolume")</f>
        <v>256</v>
      </c>
      <c r="AJ715" s="391">
        <f>IFERROR(VLOOKUP($G715,基本資料!$A:$M,13,0),"無")</f>
        <v>417.4</v>
      </c>
      <c r="AR715" s="245" t="str">
        <f>INDEX(基本資料!N:N,MATCH($G715,基本資料!A:A,0))</f>
        <v>低</v>
      </c>
    </row>
    <row r="716" spans="1:44">
      <c r="A716" s="343">
        <f>IFERROR(VLOOKUP($G716,基本資料!$A:$J,3,0),"無")</f>
        <v>77.58</v>
      </c>
      <c r="B716" s="79">
        <f>IFERROR(VLOOKUP($G716,基本資料!$A:$J,4,0),"無")</f>
        <v>13</v>
      </c>
      <c r="C716" s="79">
        <f>IFERROR(VLOOKUP($G716,基本資料!$A:$J,5,0),"無")</f>
        <v>8</v>
      </c>
      <c r="D716" s="79">
        <f>IFERROR(VLOOKUP($G716,基本資料!$A:$J,6,0),"無")</f>
        <v>-21</v>
      </c>
      <c r="E716" s="79">
        <f>IFERROR(VLOOKUP($G716,基本資料!$A:$J,7,0),"無")</f>
        <v>2</v>
      </c>
      <c r="F716" s="6">
        <f>IFERROR(VLOOKUP($G716,基本資料!$A:$J,8,0),"無")</f>
        <v>16.72</v>
      </c>
      <c r="G716" s="79">
        <v>2395</v>
      </c>
      <c r="H716" s="192" t="s">
        <v>1145</v>
      </c>
      <c r="I716" s="22" t="s">
        <v>15</v>
      </c>
      <c r="J716" s="8">
        <f>IFERROR(VLOOKUP($G716,今日總結!$A:$AN,39,0),"")</f>
        <v>0</v>
      </c>
      <c r="K716" s="5">
        <f>IFERROR(VLOOKUP($G716,今日總結!$A:$AN,40,0),"")</f>
        <v>0</v>
      </c>
      <c r="L716" s="156">
        <f>IFERROR(VLOOKUP($G716,今日總結!$A:$AN,37,0),"")</f>
        <v>0</v>
      </c>
      <c r="M716" s="337">
        <f>IFERROR(VLOOKUP($G716,今日總結!$A:$AN,38,0),"")</f>
        <v>0</v>
      </c>
      <c r="N716" s="240">
        <f t="shared" si="142"/>
        <v>0</v>
      </c>
      <c r="O716" s="359">
        <f>IFERROR(VLOOKUP($G716,融外自投!$A:$J,7,0),"無")</f>
        <v>1437</v>
      </c>
      <c r="P716" s="79">
        <f>IFERROR(VLOOKUP($G716,融外自投!$A:$J,9,0),"無")</f>
        <v>635</v>
      </c>
      <c r="Q716" s="342">
        <f>IFERROR(VLOOKUP($G716,融外自投!$A:$J,8,0),"無")</f>
        <v>108</v>
      </c>
      <c r="R716" s="81">
        <f>IFERROR(VLOOKUP($G716,融外自投!$A:$J,10,0),"無")</f>
        <v>219</v>
      </c>
      <c r="S716" s="324">
        <f>IFERROR(VLOOKUP($G716,'321買'!$A:$E,4,0),"'沒有資料'")</f>
        <v>440</v>
      </c>
      <c r="T716" s="186">
        <f>IFERROR(VLOOKUP($G716,基本資料!$A:$J,9,0),"無")</f>
        <v>8</v>
      </c>
      <c r="U716" s="307">
        <f t="shared" si="138"/>
        <v>2.2759601706970129E-2</v>
      </c>
      <c r="V716" s="94">
        <f>IFERROR(VLOOKUP($G716,基本資料!$A:$J,10,0),"無")</f>
        <v>10.67</v>
      </c>
      <c r="W716" s="36">
        <f>RTD("money.excel",,"2395","Price")</f>
        <v>351.5</v>
      </c>
      <c r="X716" s="66"/>
      <c r="Y716" s="15">
        <f t="shared" si="139"/>
        <v>351.5</v>
      </c>
      <c r="Z716" s="3" t="e">
        <f t="shared" si="140"/>
        <v>#DIV/0!</v>
      </c>
      <c r="AA716" s="340">
        <f>IFERROR(VLOOKUP($G716,基本資料!$A:$M,11,0),"無")</f>
        <v>-14.16</v>
      </c>
      <c r="AB716" s="389">
        <f>IFERROR(VLOOKUP($G716,基本資料!$A:$M,12,0),"無")</f>
        <v>39.79</v>
      </c>
      <c r="AC716" s="22" t="s">
        <v>15</v>
      </c>
      <c r="AF716" s="33">
        <f t="shared" si="141"/>
        <v>0</v>
      </c>
      <c r="AG716" s="117" t="s">
        <v>1932</v>
      </c>
      <c r="AH716" s="66">
        <f t="shared" si="143"/>
        <v>0.96444492769381318</v>
      </c>
      <c r="AI716" s="283">
        <f>RTD("money.excel",,$G716,"PredictVolume")</f>
        <v>887</v>
      </c>
      <c r="AJ716" s="391">
        <f>IFERROR(VLOOKUP($G716,基本資料!$A:$M,13,0),"無")</f>
        <v>919.7</v>
      </c>
      <c r="AR716" s="245" t="str">
        <f>INDEX(基本資料!N:N,MATCH($G716,基本資料!A:A,0))</f>
        <v>低</v>
      </c>
    </row>
    <row r="717" spans="1:44">
      <c r="A717" s="343">
        <f>IFERROR(VLOOKUP($G717,基本資料!$A:$J,3,0),"無")</f>
        <v>11.44</v>
      </c>
      <c r="B717" s="79">
        <f>IFERROR(VLOOKUP($G717,基本資料!$A:$J,4,0),"無")</f>
        <v>63</v>
      </c>
      <c r="C717" s="79">
        <f>IFERROR(VLOOKUP($G717,基本資料!$A:$J,5,0),"無")</f>
        <v>-18</v>
      </c>
      <c r="D717" s="79">
        <f>IFERROR(VLOOKUP($G717,基本資料!$A:$J,6,0),"無")</f>
        <v>-7</v>
      </c>
      <c r="E717" s="79">
        <f>IFERROR(VLOOKUP($G717,基本資料!$A:$J,7,0),"無")</f>
        <v>96</v>
      </c>
      <c r="F717" s="6">
        <f>IFERROR(VLOOKUP($G717,基本資料!$A:$J,8,0),"無")</f>
        <v>3.98</v>
      </c>
      <c r="G717" s="79">
        <v>2397</v>
      </c>
      <c r="H717" s="192" t="s">
        <v>1145</v>
      </c>
      <c r="I717" s="22" t="s">
        <v>457</v>
      </c>
      <c r="J717" s="8">
        <f>IFERROR(VLOOKUP($G717,今日總結!$A:$AN,39,0),"")</f>
        <v>0</v>
      </c>
      <c r="K717" s="5">
        <f>IFERROR(VLOOKUP($G717,今日總結!$A:$AN,40,0),"")</f>
        <v>0</v>
      </c>
      <c r="L717" s="156">
        <f>IFERROR(VLOOKUP($G717,今日總結!$A:$AN,37,0),"")</f>
        <v>0</v>
      </c>
      <c r="M717" s="337">
        <f>IFERROR(VLOOKUP($G717,今日總結!$A:$AN,38,0),"")</f>
        <v>0</v>
      </c>
      <c r="N717" s="240">
        <f t="shared" si="142"/>
        <v>0</v>
      </c>
      <c r="O717" s="359">
        <f>IFERROR(VLOOKUP($G717,融外自投!$A:$J,7,0),"無")</f>
        <v>1043</v>
      </c>
      <c r="P717" s="79">
        <f>IFERROR(VLOOKUP($G717,融外自投!$A:$J,9,0),"無")</f>
        <v>60</v>
      </c>
      <c r="Q717" s="342">
        <f>IFERROR(VLOOKUP($G717,融外自投!$A:$J,8,0),"無")</f>
        <v>262</v>
      </c>
      <c r="R717" s="81" t="str">
        <f>IFERROR(VLOOKUP($G717,融外自投!$A:$J,10,0),"無")</f>
        <v>無</v>
      </c>
      <c r="S717" s="324">
        <f>IFERROR(VLOOKUP($G717,'321買'!$A:$E,4,0),"'沒有資料'")</f>
        <v>1002</v>
      </c>
      <c r="T717" s="186">
        <f>IFERROR(VLOOKUP($G717,基本資料!$A:$J,9,0),"無")</f>
        <v>3.6</v>
      </c>
      <c r="U717" s="307">
        <f t="shared" si="138"/>
        <v>5.9800664451827239E-2</v>
      </c>
      <c r="V717" s="94">
        <f>IFERROR(VLOOKUP($G717,基本資料!$A:$J,10,0),"無")</f>
        <v>5.38</v>
      </c>
      <c r="W717" s="36">
        <f>RTD("money.excel",,"2397","Price")</f>
        <v>60.2</v>
      </c>
      <c r="X717" s="66"/>
      <c r="Y717" s="15">
        <f t="shared" si="139"/>
        <v>60.2</v>
      </c>
      <c r="Z717" s="3" t="e">
        <f t="shared" si="140"/>
        <v>#DIV/0!</v>
      </c>
      <c r="AA717" s="340">
        <f>IFERROR(VLOOKUP($G717,基本資料!$A:$M,11,0),"無")</f>
        <v>-14</v>
      </c>
      <c r="AB717" s="389">
        <f>IFERROR(VLOOKUP($G717,基本資料!$A:$M,12,0),"無")</f>
        <v>35.229999999999997</v>
      </c>
      <c r="AC717" s="22" t="s">
        <v>457</v>
      </c>
      <c r="AF717" s="33">
        <f t="shared" si="141"/>
        <v>0</v>
      </c>
      <c r="AG717" s="43" t="s">
        <v>2232</v>
      </c>
      <c r="AH717" s="66">
        <f t="shared" si="143"/>
        <v>0.81081081081081074</v>
      </c>
      <c r="AI717" s="283">
        <f>RTD("money.excel",,$G717,"PredictVolume")</f>
        <v>24</v>
      </c>
      <c r="AJ717" s="391">
        <f>IFERROR(VLOOKUP($G717,基本資料!$A:$M,13,0),"無")</f>
        <v>29.6</v>
      </c>
      <c r="AL717" s="239"/>
      <c r="AR717" s="245" t="str">
        <f>INDEX(基本資料!N:N,MATCH($G717,基本資料!A:A,0))</f>
        <v>中</v>
      </c>
    </row>
    <row r="718" spans="1:44">
      <c r="A718" s="343">
        <f>IFERROR(VLOOKUP($G718,基本資料!$A:$J,3,0),"無")</f>
        <v>17.809999999999999</v>
      </c>
      <c r="B718" s="79">
        <f>IFERROR(VLOOKUP($G718,基本資料!$A:$J,4,0),"無")</f>
        <v>148</v>
      </c>
      <c r="C718" s="79">
        <f>IFERROR(VLOOKUP($G718,基本資料!$A:$J,5,0),"無")</f>
        <v>905</v>
      </c>
      <c r="D718" s="79">
        <f>IFERROR(VLOOKUP($G718,基本資料!$A:$J,6,0),"無")</f>
        <v>-11</v>
      </c>
      <c r="E718" s="79">
        <f>IFERROR(VLOOKUP($G718,基本資料!$A:$J,7,0),"無")</f>
        <v>-16</v>
      </c>
      <c r="F718" s="6">
        <f>IFERROR(VLOOKUP($G718,基本資料!$A:$J,8,0),"無")</f>
        <v>7.81</v>
      </c>
      <c r="G718" s="79">
        <v>2399</v>
      </c>
      <c r="H718" s="192" t="s">
        <v>1145</v>
      </c>
      <c r="I718" s="22" t="s">
        <v>458</v>
      </c>
      <c r="J718" s="8" t="str">
        <f>IFERROR(VLOOKUP($G718,今日總結!$A:$AN,39,0),"")</f>
        <v>借</v>
      </c>
      <c r="K718" s="5">
        <f>IFERROR(VLOOKUP($G718,今日總結!$A:$AN,40,0),"")</f>
        <v>0</v>
      </c>
      <c r="L718" s="156">
        <f>IFERROR(VLOOKUP($G718,今日總結!$A:$AN,37,0),"")</f>
        <v>1</v>
      </c>
      <c r="M718" s="337">
        <f>IFERROR(VLOOKUP($G718,今日總結!$A:$AN,38,0),"")</f>
        <v>0</v>
      </c>
      <c r="N718" s="240">
        <f t="shared" si="142"/>
        <v>1</v>
      </c>
      <c r="O718" s="359">
        <f>IFERROR(VLOOKUP($G718,融外自投!$A:$J,7,0),"無")</f>
        <v>278</v>
      </c>
      <c r="P718" s="79">
        <f>IFERROR(VLOOKUP($G718,融外自投!$A:$J,9,0),"無")</f>
        <v>319</v>
      </c>
      <c r="Q718" s="342">
        <f>IFERROR(VLOOKUP($G718,融外自投!$A:$J,8,0),"無")</f>
        <v>521</v>
      </c>
      <c r="R718" s="81" t="str">
        <f>IFERROR(VLOOKUP($G718,融外自投!$A:$J,10,0),"無")</f>
        <v>無</v>
      </c>
      <c r="S718" s="324">
        <f>IFERROR(VLOOKUP($G718,'321買'!$A:$E,4,0),"'沒有資料'")</f>
        <v>253</v>
      </c>
      <c r="T718" s="186">
        <f>IFERROR(VLOOKUP($G718,基本資料!$A:$J,9,0),"無")</f>
        <v>1.2</v>
      </c>
      <c r="U718" s="307">
        <f t="shared" si="138"/>
        <v>6.8376068376068369E-2</v>
      </c>
      <c r="V718" s="94">
        <f>IFERROR(VLOOKUP($G718,基本資料!$A:$J,10,0),"無")</f>
        <v>2.0299999999999998</v>
      </c>
      <c r="W718" s="36">
        <f>RTD("money.excel",,"2399","Price")</f>
        <v>17.55</v>
      </c>
      <c r="X718" s="66"/>
      <c r="Y718" s="15">
        <f t="shared" si="139"/>
        <v>17.55</v>
      </c>
      <c r="Z718" s="3" t="e">
        <f t="shared" si="140"/>
        <v>#DIV/0!</v>
      </c>
      <c r="AA718" s="340">
        <f>IFERROR(VLOOKUP($G718,基本資料!$A:$M,11,0),"無")</f>
        <v>-41.5</v>
      </c>
      <c r="AB718" s="389">
        <f>IFERROR(VLOOKUP($G718,基本資料!$A:$M,12,0),"無")</f>
        <v>14.78</v>
      </c>
      <c r="AC718" s="22" t="s">
        <v>458</v>
      </c>
      <c r="AF718" s="33">
        <f t="shared" si="141"/>
        <v>0</v>
      </c>
      <c r="AG718" s="43" t="s">
        <v>2717</v>
      </c>
      <c r="AH718" s="66">
        <f t="shared" si="143"/>
        <v>0.62551781275890639</v>
      </c>
      <c r="AI718" s="283">
        <f>RTD("money.excel",,$G718,"PredictVolume")</f>
        <v>604</v>
      </c>
      <c r="AJ718" s="391">
        <f>IFERROR(VLOOKUP($G718,基本資料!$A:$M,13,0),"無")</f>
        <v>965.6</v>
      </c>
      <c r="AR718" s="245" t="str">
        <f>INDEX(基本資料!N:N,MATCH($G718,基本資料!A:A,0))</f>
        <v>低</v>
      </c>
    </row>
    <row r="719" spans="1:44">
      <c r="A719" s="343">
        <f>IFERROR(VLOOKUP($G719,基本資料!$A:$J,3,0),"無")</f>
        <v>34.340000000000003</v>
      </c>
      <c r="B719" s="79">
        <f>IFERROR(VLOOKUP($G719,基本資料!$A:$J,4,0),"無")</f>
        <v>215</v>
      </c>
      <c r="C719" s="79">
        <f>IFERROR(VLOOKUP($G719,基本資料!$A:$J,5,0),"無")</f>
        <v>-96</v>
      </c>
      <c r="D719" s="79">
        <f>IFERROR(VLOOKUP($G719,基本資料!$A:$J,6,0),"無")</f>
        <v>32</v>
      </c>
      <c r="E719" s="79">
        <f>IFERROR(VLOOKUP($G719,基本資料!$A:$J,7,0),"無")</f>
        <v>26</v>
      </c>
      <c r="F719" s="6">
        <f>IFERROR(VLOOKUP($G719,基本資料!$A:$J,8,0),"無")</f>
        <v>0.12</v>
      </c>
      <c r="G719" s="79">
        <v>2405</v>
      </c>
      <c r="H719" s="195" t="s">
        <v>1145</v>
      </c>
      <c r="I719" s="22" t="s">
        <v>4079</v>
      </c>
      <c r="J719" s="8" t="str">
        <f>IFERROR(VLOOKUP($G719,今日總結!$A:$AN,39,0),"")</f>
        <v>融</v>
      </c>
      <c r="K719" s="5" t="str">
        <f>IFERROR(VLOOKUP($G719,今日總結!$A:$AN,40,0),"")</f>
        <v>借</v>
      </c>
      <c r="L719" s="156">
        <f>IFERROR(VLOOKUP($G719,今日總結!$A:$AN,37,0),"")</f>
        <v>1</v>
      </c>
      <c r="M719" s="337">
        <f>IFERROR(VLOOKUP($G719,今日總結!$A:$AN,38,0),"")</f>
        <v>2</v>
      </c>
      <c r="N719" s="240">
        <f t="shared" si="142"/>
        <v>-1</v>
      </c>
      <c r="O719" s="359">
        <f>IFERROR(VLOOKUP($G719,融外自投!$A:$J,7,0),"無")</f>
        <v>1055</v>
      </c>
      <c r="P719" s="79">
        <f>IFERROR(VLOOKUP($G719,融外自投!$A:$J,9,0),"無")</f>
        <v>825</v>
      </c>
      <c r="Q719" s="342">
        <f>IFERROR(VLOOKUP($G719,融外自投!$A:$J,8,0),"無")</f>
        <v>792</v>
      </c>
      <c r="R719" s="81" t="str">
        <f>IFERROR(VLOOKUP($G719,融外自投!$A:$J,10,0),"無")</f>
        <v>無</v>
      </c>
      <c r="S719" s="324">
        <f>IFERROR(VLOOKUP($G719,'321買'!$A:$E,4,0),"'沒有資料'")</f>
        <v>497</v>
      </c>
      <c r="T719" s="186">
        <f>IFERROR(VLOOKUP($G719,基本資料!$A:$J,9,0),"無")</f>
        <v>0</v>
      </c>
      <c r="U719" s="307">
        <f t="shared" si="138"/>
        <v>0</v>
      </c>
      <c r="V719" s="94">
        <f>IFERROR(VLOOKUP($G719,基本資料!$A:$J,10,0),"無")</f>
        <v>0.57999999999999996</v>
      </c>
      <c r="W719" s="36">
        <f>RTD("money.excel",,"2405","Price")</f>
        <v>12.05</v>
      </c>
      <c r="X719" s="66"/>
      <c r="Y719" s="15">
        <f t="shared" si="139"/>
        <v>12.05</v>
      </c>
      <c r="Z719" s="3" t="e">
        <f t="shared" si="140"/>
        <v>#DIV/0!</v>
      </c>
      <c r="AA719" s="340">
        <f>IFERROR(VLOOKUP($G719,基本資料!$A:$M,11,0),"無")</f>
        <v>-43.95</v>
      </c>
      <c r="AB719" s="389">
        <f>IFERROR(VLOOKUP($G719,基本資料!$A:$M,12,0),"無")</f>
        <v>15.26</v>
      </c>
      <c r="AC719" s="22" t="s">
        <v>4079</v>
      </c>
      <c r="AF719" s="33">
        <f t="shared" si="141"/>
        <v>0</v>
      </c>
      <c r="AG719" s="117" t="s">
        <v>1051</v>
      </c>
      <c r="AH719" s="66">
        <f t="shared" si="143"/>
        <v>1.7634057409936226</v>
      </c>
      <c r="AI719" s="283">
        <f>RTD("money.excel",,$G719,"PredictVolume")</f>
        <v>6263</v>
      </c>
      <c r="AJ719" s="391">
        <f>IFERROR(VLOOKUP($G719,基本資料!$A:$M,13,0),"無")</f>
        <v>3551.65</v>
      </c>
      <c r="AR719" s="245" t="str">
        <f>INDEX(基本資料!N:N,MATCH($G719,基本資料!A:A,0))</f>
        <v>低</v>
      </c>
    </row>
    <row r="720" spans="1:44">
      <c r="A720" s="343">
        <f>IFERROR(VLOOKUP($G720,基本資料!$A:$J,3,0),"無")</f>
        <v>15.84</v>
      </c>
      <c r="B720" s="79">
        <f>IFERROR(VLOOKUP($G720,基本資料!$A:$J,4,0),"無")</f>
        <v>-77</v>
      </c>
      <c r="C720" s="79">
        <f>IFERROR(VLOOKUP($G720,基本資料!$A:$J,5,0),"無")</f>
        <v>-71</v>
      </c>
      <c r="D720" s="79">
        <f>IFERROR(VLOOKUP($G720,基本資料!$A:$J,6,0),"無")</f>
        <v>-2</v>
      </c>
      <c r="E720" s="79">
        <f>IFERROR(VLOOKUP($G720,基本資料!$A:$J,7,0),"無")</f>
        <v>-32</v>
      </c>
      <c r="F720" s="6">
        <f>IFERROR(VLOOKUP($G720,基本資料!$A:$J,8,0),"無")</f>
        <v>11.38</v>
      </c>
      <c r="G720" s="79">
        <v>2417</v>
      </c>
      <c r="H720" s="192" t="s">
        <v>1145</v>
      </c>
      <c r="I720" s="22" t="s">
        <v>459</v>
      </c>
      <c r="J720" s="8">
        <f>IFERROR(VLOOKUP($G720,今日總結!$A:$AN,39,0),"")</f>
        <v>0</v>
      </c>
      <c r="K720" s="5" t="str">
        <f>IFERROR(VLOOKUP($G720,今日總結!$A:$AN,40,0),"")</f>
        <v>借</v>
      </c>
      <c r="L720" s="156">
        <f>IFERROR(VLOOKUP($G720,今日總結!$A:$AN,37,0),"")</f>
        <v>0</v>
      </c>
      <c r="M720" s="337">
        <f>IFERROR(VLOOKUP($G720,今日總結!$A:$AN,38,0),"")</f>
        <v>4</v>
      </c>
      <c r="N720" s="240">
        <f t="shared" si="142"/>
        <v>-4</v>
      </c>
      <c r="O720" s="359">
        <f>IFERROR(VLOOKUP($G720,融外自投!$A:$J,7,0),"無")</f>
        <v>279</v>
      </c>
      <c r="P720" s="79">
        <f>IFERROR(VLOOKUP($G720,融外自投!$A:$J,9,0),"無")</f>
        <v>171</v>
      </c>
      <c r="Q720" s="342">
        <f>IFERROR(VLOOKUP($G720,融外自投!$A:$J,8,0),"無")</f>
        <v>1233</v>
      </c>
      <c r="R720" s="81" t="str">
        <f>IFERROR(VLOOKUP($G720,融外自投!$A:$J,10,0),"無")</f>
        <v>無</v>
      </c>
      <c r="S720" s="324">
        <f>IFERROR(VLOOKUP($G720,'321買'!$A:$E,4,0),"'沒有資料'")</f>
        <v>343</v>
      </c>
      <c r="T720" s="186">
        <f>IFERROR(VLOOKUP($G720,基本資料!$A:$J,9,0),"無")</f>
        <v>0.15</v>
      </c>
      <c r="U720" s="307">
        <f t="shared" si="138"/>
        <v>5.9171597633136093E-3</v>
      </c>
      <c r="V720" s="94">
        <f>IFERROR(VLOOKUP($G720,基本資料!$A:$J,10,0),"無")</f>
        <v>0.27</v>
      </c>
      <c r="W720" s="36">
        <f>RTD("money.excel",,"2417","Price")</f>
        <v>25.35</v>
      </c>
      <c r="X720" s="66"/>
      <c r="Y720" s="15">
        <f t="shared" si="139"/>
        <v>25.35</v>
      </c>
      <c r="Z720" s="3" t="e">
        <f t="shared" si="140"/>
        <v>#DIV/0!</v>
      </c>
      <c r="AA720" s="340">
        <f>IFERROR(VLOOKUP($G720,基本資料!$A:$M,11,0),"無")</f>
        <v>-43.92</v>
      </c>
      <c r="AB720" s="389">
        <f>IFERROR(VLOOKUP($G720,基本資料!$A:$M,12,0),"無")</f>
        <v>23.88</v>
      </c>
      <c r="AC720" s="22" t="s">
        <v>459</v>
      </c>
      <c r="AF720" s="33">
        <f t="shared" si="141"/>
        <v>0</v>
      </c>
      <c r="AG720" s="43" t="s">
        <v>2437</v>
      </c>
      <c r="AH720" s="66">
        <f t="shared" si="143"/>
        <v>9.5030708494659277E-2</v>
      </c>
      <c r="AI720" s="283">
        <f>RTD("money.excel",,$G720,"PredictVolume")</f>
        <v>875</v>
      </c>
      <c r="AJ720" s="391">
        <f>IFERROR(VLOOKUP($G720,基本資料!$A:$M,13,0),"無")</f>
        <v>9207.5499999999993</v>
      </c>
      <c r="AR720" s="245" t="str">
        <f>INDEX(基本資料!N:N,MATCH($G720,基本資料!A:A,0))</f>
        <v>低</v>
      </c>
    </row>
    <row r="721" spans="1:44">
      <c r="A721" s="343">
        <f>IFERROR(VLOOKUP($G721,基本資料!$A:$J,3,0),"無")</f>
        <v>3.4</v>
      </c>
      <c r="B721" s="79">
        <f>IFERROR(VLOOKUP($G721,基本資料!$A:$J,4,0),"無")</f>
        <v>-58</v>
      </c>
      <c r="C721" s="79">
        <f>IFERROR(VLOOKUP($G721,基本資料!$A:$J,5,0),"無")</f>
        <v>-22</v>
      </c>
      <c r="D721" s="79">
        <f>IFERROR(VLOOKUP($G721,基本資料!$A:$J,6,0),"無")</f>
        <v>-20</v>
      </c>
      <c r="E721" s="79">
        <f>IFERROR(VLOOKUP($G721,基本資料!$A:$J,7,0),"無")</f>
        <v>707</v>
      </c>
      <c r="F721" s="6">
        <f>IFERROR(VLOOKUP($G721,基本資料!$A:$J,8,0),"無")</f>
        <v>-1701.75</v>
      </c>
      <c r="G721" s="79">
        <v>2424</v>
      </c>
      <c r="H721" s="192" t="s">
        <v>1145</v>
      </c>
      <c r="I721" s="22" t="s">
        <v>460</v>
      </c>
      <c r="J721" s="8" t="str">
        <f>IFERROR(VLOOKUP($G721,今日總結!$A:$AN,39,0),"")</f>
        <v/>
      </c>
      <c r="K721" s="5" t="str">
        <f>IFERROR(VLOOKUP($G721,今日總結!$A:$AN,40,0),"")</f>
        <v/>
      </c>
      <c r="L721" s="156" t="str">
        <f>IFERROR(VLOOKUP($G721,今日總結!$A:$AN,37,0),"")</f>
        <v/>
      </c>
      <c r="M721" s="337" t="str">
        <f>IFERROR(VLOOKUP($G721,今日總結!$A:$AN,38,0),"")</f>
        <v/>
      </c>
      <c r="N721" s="240" t="str">
        <f t="shared" si="142"/>
        <v/>
      </c>
      <c r="O721" s="359" t="str">
        <f>IFERROR(VLOOKUP($G721,融外自投!$A:$J,7,0),"無")</f>
        <v>無</v>
      </c>
      <c r="P721" s="79" t="str">
        <f>IFERROR(VLOOKUP($G721,融外自投!$A:$J,9,0),"無")</f>
        <v>無</v>
      </c>
      <c r="Q721" s="342" t="str">
        <f>IFERROR(VLOOKUP($G721,融外自投!$A:$J,8,0),"無")</f>
        <v>無</v>
      </c>
      <c r="R721" s="81" t="str">
        <f>IFERROR(VLOOKUP($G721,融外自投!$A:$J,10,0),"無")</f>
        <v>無</v>
      </c>
      <c r="S721" s="324" t="str">
        <f>IFERROR(VLOOKUP($G721,'321買'!$A:$E,4,0),"'沒有資料'")</f>
        <v>'沒有資料'</v>
      </c>
      <c r="T721" s="186">
        <f>IFERROR(VLOOKUP($G721,基本資料!$A:$J,9,0),"無")</f>
        <v>0</v>
      </c>
      <c r="U721" s="307">
        <f t="shared" si="138"/>
        <v>0</v>
      </c>
      <c r="V721" s="94">
        <f>IFERROR(VLOOKUP($G721,基本資料!$A:$J,10,0),"無")</f>
        <v>-8.57</v>
      </c>
      <c r="W721" s="36">
        <f>RTD("money.excel",,"2424","Price")</f>
        <v>21</v>
      </c>
      <c r="X721" s="66"/>
      <c r="Y721" s="15">
        <f t="shared" si="139"/>
        <v>21</v>
      </c>
      <c r="Z721" s="3" t="e">
        <f t="shared" si="140"/>
        <v>#DIV/0!</v>
      </c>
      <c r="AA721" s="340">
        <f>IFERROR(VLOOKUP($G721,基本資料!$A:$M,11,0),"無")</f>
        <v>-26.83</v>
      </c>
      <c r="AB721" s="389">
        <f>IFERROR(VLOOKUP($G721,基本資料!$A:$M,12,0),"無")</f>
        <v>62.8</v>
      </c>
      <c r="AC721" s="22" t="s">
        <v>460</v>
      </c>
      <c r="AF721" s="33">
        <f t="shared" si="141"/>
        <v>0</v>
      </c>
      <c r="AG721" s="43" t="s">
        <v>2719</v>
      </c>
      <c r="AH721" s="66">
        <f t="shared" si="143"/>
        <v>0.1</v>
      </c>
      <c r="AI721" s="283">
        <f>RTD("money.excel",,$G721,"PredictVolume")</f>
        <v>1</v>
      </c>
      <c r="AJ721" s="391">
        <f>IFERROR(VLOOKUP($G721,基本資料!$A:$M,13,0),"無")</f>
        <v>10</v>
      </c>
      <c r="AR721" s="245" t="str">
        <f>INDEX(基本資料!N:N,MATCH($G721,基本資料!A:A,0))</f>
        <v>中</v>
      </c>
    </row>
    <row r="722" spans="1:44">
      <c r="A722" s="343">
        <f>IFERROR(VLOOKUP($G722,基本資料!$A:$J,3,0),"無")</f>
        <v>10.14</v>
      </c>
      <c r="B722" s="79">
        <f>IFERROR(VLOOKUP($G722,基本資料!$A:$J,4,0),"無")</f>
        <v>-11</v>
      </c>
      <c r="C722" s="79">
        <f>IFERROR(VLOOKUP($G722,基本資料!$A:$J,5,0),"無")</f>
        <v>57</v>
      </c>
      <c r="D722" s="79">
        <f>IFERROR(VLOOKUP($G722,基本資料!$A:$J,6,0),"無")</f>
        <v>-13</v>
      </c>
      <c r="E722" s="79">
        <f>IFERROR(VLOOKUP($G722,基本資料!$A:$J,7,0),"無")</f>
        <v>4</v>
      </c>
      <c r="F722" s="6">
        <f>IFERROR(VLOOKUP($G722,基本資料!$A:$J,8,0),"無")</f>
        <v>5.45</v>
      </c>
      <c r="G722" s="79">
        <v>2425</v>
      </c>
      <c r="H722" s="192" t="s">
        <v>1145</v>
      </c>
      <c r="I722" s="22" t="s">
        <v>461</v>
      </c>
      <c r="J722" s="8" t="str">
        <f>IFERROR(VLOOKUP($G722,今日總結!$A:$AN,39,0),"")</f>
        <v>主外</v>
      </c>
      <c r="K722" s="5">
        <f>IFERROR(VLOOKUP($G722,今日總結!$A:$AN,40,0),"")</f>
        <v>0</v>
      </c>
      <c r="L722" s="156">
        <f>IFERROR(VLOOKUP($G722,今日總結!$A:$AN,37,0),"")</f>
        <v>17</v>
      </c>
      <c r="M722" s="337">
        <f>IFERROR(VLOOKUP($G722,今日總結!$A:$AN,38,0),"")</f>
        <v>0</v>
      </c>
      <c r="N722" s="240">
        <f t="shared" si="142"/>
        <v>17</v>
      </c>
      <c r="O722" s="359">
        <f>IFERROR(VLOOKUP($G722,融外自投!$A:$J,7,0),"無")</f>
        <v>395</v>
      </c>
      <c r="P722" s="79">
        <f>IFERROR(VLOOKUP($G722,融外自投!$A:$J,9,0),"無")</f>
        <v>717</v>
      </c>
      <c r="Q722" s="342">
        <f>IFERROR(VLOOKUP($G722,融外自投!$A:$J,8,0),"無")</f>
        <v>323</v>
      </c>
      <c r="R722" s="81" t="str">
        <f>IFERROR(VLOOKUP($G722,融外自投!$A:$J,10,0),"無")</f>
        <v>無</v>
      </c>
      <c r="S722" s="324">
        <f>IFERROR(VLOOKUP($G722,'321買'!$A:$E,4,0),"'沒有資料'")</f>
        <v>891</v>
      </c>
      <c r="T722" s="186">
        <f>IFERROR(VLOOKUP($G722,基本資料!$A:$J,9,0),"無")</f>
        <v>0.6</v>
      </c>
      <c r="U722" s="307">
        <f t="shared" si="138"/>
        <v>1.932367149758454E-2</v>
      </c>
      <c r="V722" s="94">
        <f>IFERROR(VLOOKUP($G722,基本資料!$A:$J,10,0),"無")</f>
        <v>1.27</v>
      </c>
      <c r="W722" s="36">
        <f>RTD("money.excel",,"2425","Price")</f>
        <v>31.05</v>
      </c>
      <c r="X722" s="66"/>
      <c r="Y722" s="15">
        <f t="shared" si="139"/>
        <v>31.05</v>
      </c>
      <c r="Z722" s="3" t="e">
        <f t="shared" si="140"/>
        <v>#DIV/0!</v>
      </c>
      <c r="AA722" s="340">
        <f>IFERROR(VLOOKUP($G722,基本資料!$A:$M,11,0),"無")</f>
        <v>-4.17</v>
      </c>
      <c r="AB722" s="389">
        <f>IFERROR(VLOOKUP($G722,基本資料!$A:$M,12,0),"無")</f>
        <v>78.459999999999994</v>
      </c>
      <c r="AC722" s="22" t="s">
        <v>461</v>
      </c>
      <c r="AF722" s="33">
        <f t="shared" si="141"/>
        <v>0</v>
      </c>
      <c r="AG722" s="43" t="s">
        <v>1503</v>
      </c>
      <c r="AH722" s="66">
        <f t="shared" si="143"/>
        <v>1.1341002398276494</v>
      </c>
      <c r="AI722" s="283">
        <f>RTD("money.excel",,$G722,"PredictVolume")</f>
        <v>1395</v>
      </c>
      <c r="AJ722" s="391">
        <f>IFERROR(VLOOKUP($G722,基本資料!$A:$M,13,0),"無")</f>
        <v>1230.05</v>
      </c>
      <c r="AR722" s="245" t="str">
        <f>INDEX(基本資料!N:N,MATCH($G722,基本資料!A:A,0))</f>
        <v>高</v>
      </c>
    </row>
    <row r="723" spans="1:44">
      <c r="A723" s="343">
        <f>IFERROR(VLOOKUP($G723,基本資料!$A:$J,3,0),"無")</f>
        <v>24.13</v>
      </c>
      <c r="B723" s="79">
        <f>IFERROR(VLOOKUP($G723,基本資料!$A:$J,4,0),"無")</f>
        <v>291</v>
      </c>
      <c r="C723" s="79">
        <f>IFERROR(VLOOKUP($G723,基本資料!$A:$J,5,0),"無")</f>
        <v>588</v>
      </c>
      <c r="D723" s="79">
        <f>IFERROR(VLOOKUP($G723,基本資料!$A:$J,6,0),"無")</f>
        <v>-6</v>
      </c>
      <c r="E723" s="79">
        <f>IFERROR(VLOOKUP($G723,基本資料!$A:$J,7,0),"無")</f>
        <v>-98</v>
      </c>
      <c r="F723" s="6">
        <f>IFERROR(VLOOKUP($G723,基本資料!$A:$J,8,0),"無")</f>
        <v>21.92</v>
      </c>
      <c r="G723" s="79">
        <v>2442</v>
      </c>
      <c r="H723" s="192" t="s">
        <v>1145</v>
      </c>
      <c r="I723" s="22" t="s">
        <v>4080</v>
      </c>
      <c r="J723" s="8">
        <f>IFERROR(VLOOKUP($G723,今日總結!$A:$AN,39,0),"")</f>
        <v>0</v>
      </c>
      <c r="K723" s="5" t="str">
        <f>IFERROR(VLOOKUP($G723,今日總結!$A:$AN,40,0),"")</f>
        <v>主外借</v>
      </c>
      <c r="L723" s="156">
        <f>IFERROR(VLOOKUP($G723,今日總結!$A:$AN,37,0),"")</f>
        <v>0</v>
      </c>
      <c r="M723" s="337">
        <f>IFERROR(VLOOKUP($G723,今日總結!$A:$AN,38,0),"")</f>
        <v>7</v>
      </c>
      <c r="N723" s="240">
        <f t="shared" si="142"/>
        <v>-7</v>
      </c>
      <c r="O723" s="359">
        <f>IFERROR(VLOOKUP($G723,融外自投!$A:$J,7,0),"無")</f>
        <v>417</v>
      </c>
      <c r="P723" s="79">
        <f>IFERROR(VLOOKUP($G723,融外自投!$A:$J,9,0),"無")</f>
        <v>869</v>
      </c>
      <c r="Q723" s="342">
        <f>IFERROR(VLOOKUP($G723,融外自投!$A:$J,8,0),"無")</f>
        <v>910</v>
      </c>
      <c r="R723" s="81" t="str">
        <f>IFERROR(VLOOKUP($G723,融外自投!$A:$J,10,0),"無")</f>
        <v>無</v>
      </c>
      <c r="S723" s="324">
        <f>IFERROR(VLOOKUP($G723,'321買'!$A:$E,4,0),"'沒有資料'")</f>
        <v>286</v>
      </c>
      <c r="T723" s="186">
        <f>IFERROR(VLOOKUP($G723,基本資料!$A:$J,9,0),"無")</f>
        <v>0.7</v>
      </c>
      <c r="U723" s="307">
        <f t="shared" si="138"/>
        <v>5.5999999999999994E-2</v>
      </c>
      <c r="V723" s="94">
        <f>IFERROR(VLOOKUP($G723,基本資料!$A:$J,10,0),"無")</f>
        <v>1.99</v>
      </c>
      <c r="W723" s="36">
        <f>RTD("money.excel",,"2442","Price")</f>
        <v>12.5</v>
      </c>
      <c r="X723" s="66"/>
      <c r="Y723" s="15">
        <f t="shared" si="139"/>
        <v>12.5</v>
      </c>
      <c r="Z723" s="3" t="e">
        <f t="shared" si="140"/>
        <v>#DIV/0!</v>
      </c>
      <c r="AA723" s="340">
        <f>IFERROR(VLOOKUP($G723,基本資料!$A:$M,11,0),"無")</f>
        <v>-14.68</v>
      </c>
      <c r="AB723" s="389">
        <f>IFERROR(VLOOKUP($G723,基本資料!$A:$M,12,0),"無")</f>
        <v>34.36</v>
      </c>
      <c r="AC723" s="22" t="s">
        <v>4080</v>
      </c>
      <c r="AF723" s="33">
        <f t="shared" si="141"/>
        <v>0</v>
      </c>
      <c r="AG723" s="43" t="s">
        <v>2720</v>
      </c>
      <c r="AH723" s="66">
        <f t="shared" si="143"/>
        <v>0.54682839530721816</v>
      </c>
      <c r="AI723" s="283">
        <f>RTD("money.excel",,$G723,"PredictVolume")</f>
        <v>1100</v>
      </c>
      <c r="AJ723" s="391">
        <f>IFERROR(VLOOKUP($G723,基本資料!$A:$M,13,0),"無")</f>
        <v>2011.6</v>
      </c>
      <c r="AR723" s="245" t="str">
        <f>INDEX(基本資料!N:N,MATCH($G723,基本資料!A:A,0))</f>
        <v>中</v>
      </c>
    </row>
    <row r="724" spans="1:44">
      <c r="A724" s="343">
        <f>IFERROR(VLOOKUP($G724,基本資料!$A:$J,3,0),"無")</f>
        <v>5.35</v>
      </c>
      <c r="B724" s="79">
        <f>IFERROR(VLOOKUP($G724,基本資料!$A:$J,4,0),"無")</f>
        <v>1653</v>
      </c>
      <c r="C724" s="79">
        <f>IFERROR(VLOOKUP($G724,基本資料!$A:$J,5,0),"無")</f>
        <v>972</v>
      </c>
      <c r="D724" s="79">
        <f>IFERROR(VLOOKUP($G724,基本資料!$A:$J,6,0),"無")</f>
        <v>-20</v>
      </c>
      <c r="E724" s="79">
        <f>IFERROR(VLOOKUP($G724,基本資料!$A:$J,7,0),"無")</f>
        <v>-68</v>
      </c>
      <c r="F724" s="6">
        <f>IFERROR(VLOOKUP($G724,基本資料!$A:$J,8,0),"無")</f>
        <v>6.27</v>
      </c>
      <c r="G724" s="79">
        <v>2465</v>
      </c>
      <c r="H724" s="192" t="s">
        <v>1145</v>
      </c>
      <c r="I724" s="22" t="s">
        <v>4081</v>
      </c>
      <c r="J724" s="8">
        <f>IFERROR(VLOOKUP($G724,今日總結!$A:$AN,39,0),"")</f>
        <v>0</v>
      </c>
      <c r="K724" s="5" t="str">
        <f>IFERROR(VLOOKUP($G724,今日總結!$A:$AN,40,0),"")</f>
        <v>融</v>
      </c>
      <c r="L724" s="156">
        <f>IFERROR(VLOOKUP($G724,今日總結!$A:$AN,37,0),"")</f>
        <v>0</v>
      </c>
      <c r="M724" s="337">
        <f>IFERROR(VLOOKUP($G724,今日總結!$A:$AN,38,0),"")</f>
        <v>3</v>
      </c>
      <c r="N724" s="240">
        <f t="shared" si="142"/>
        <v>-3</v>
      </c>
      <c r="O724" s="359">
        <f>IFERROR(VLOOKUP($G724,融外自投!$A:$J,7,0),"無")</f>
        <v>126</v>
      </c>
      <c r="P724" s="79">
        <f>IFERROR(VLOOKUP($G724,融外自投!$A:$J,9,0),"無")</f>
        <v>276</v>
      </c>
      <c r="Q724" s="342">
        <f>IFERROR(VLOOKUP($G724,融外自投!$A:$J,8,0),"無")</f>
        <v>982</v>
      </c>
      <c r="R724" s="81" t="str">
        <f>IFERROR(VLOOKUP($G724,融外自投!$A:$J,10,0),"無")</f>
        <v>無</v>
      </c>
      <c r="S724" s="324">
        <f>IFERROR(VLOOKUP($G724,'321買'!$A:$E,4,0),"'沒有資料'")</f>
        <v>79</v>
      </c>
      <c r="T724" s="186">
        <f>IFERROR(VLOOKUP($G724,基本資料!$A:$J,9,0),"無")</f>
        <v>2</v>
      </c>
      <c r="U724" s="307">
        <f t="shared" si="138"/>
        <v>4.2689434364994665E-2</v>
      </c>
      <c r="V724" s="94">
        <f>IFERROR(VLOOKUP($G724,基本資料!$A:$J,10,0),"無")</f>
        <v>8.1199999999999992</v>
      </c>
      <c r="W724" s="36">
        <f>RTD("money.excel",,"2465","Price")</f>
        <v>46.85</v>
      </c>
      <c r="X724" s="66"/>
      <c r="Y724" s="15">
        <f t="shared" si="139"/>
        <v>46.85</v>
      </c>
      <c r="Z724" s="3" t="e">
        <f t="shared" si="140"/>
        <v>#DIV/0!</v>
      </c>
      <c r="AA724" s="340">
        <f>IFERROR(VLOOKUP($G724,基本資料!$A:$M,11,0),"無")</f>
        <v>-52.19</v>
      </c>
      <c r="AB724" s="389">
        <f>IFERROR(VLOOKUP($G724,基本資料!$A:$M,12,0),"無")</f>
        <v>9.43</v>
      </c>
      <c r="AC724" s="22" t="s">
        <v>4081</v>
      </c>
      <c r="AF724" s="33">
        <f t="shared" si="141"/>
        <v>0</v>
      </c>
      <c r="AG724" s="43" t="s">
        <v>2717</v>
      </c>
      <c r="AH724" s="66">
        <f t="shared" si="143"/>
        <v>0.34635506863299126</v>
      </c>
      <c r="AI724" s="283">
        <f>RTD("money.excel",,$G724,"PredictVolume")</f>
        <v>950</v>
      </c>
      <c r="AJ724" s="391">
        <f>IFERROR(VLOOKUP($G724,基本資料!$A:$M,13,0),"無")</f>
        <v>2742.85</v>
      </c>
      <c r="AR724" s="245" t="str">
        <f>INDEX(基本資料!N:N,MATCH($G724,基本資料!A:A,0))</f>
        <v>低</v>
      </c>
    </row>
    <row r="725" spans="1:44">
      <c r="A725" s="343">
        <f>IFERROR(VLOOKUP($G725,基本資料!$A:$J,3,0),"無")</f>
        <v>10.199999999999999</v>
      </c>
      <c r="B725" s="79">
        <f>IFERROR(VLOOKUP($G725,基本資料!$A:$J,4,0),"無")</f>
        <v>-88</v>
      </c>
      <c r="C725" s="79">
        <f>IFERROR(VLOOKUP($G725,基本資料!$A:$J,5,0),"無")</f>
        <v>-514</v>
      </c>
      <c r="D725" s="79">
        <f>IFERROR(VLOOKUP($G725,基本資料!$A:$J,6,0),"無")</f>
        <v>-20</v>
      </c>
      <c r="E725" s="79">
        <f>IFERROR(VLOOKUP($G725,基本資料!$A:$J,7,0),"無")</f>
        <v>20</v>
      </c>
      <c r="F725" s="6">
        <f>IFERROR(VLOOKUP($G725,基本資料!$A:$J,8,0),"無")</f>
        <v>-4.83</v>
      </c>
      <c r="G725" s="79">
        <v>3002</v>
      </c>
      <c r="H725" s="192" t="s">
        <v>1145</v>
      </c>
      <c r="I725" s="22" t="s">
        <v>4082</v>
      </c>
      <c r="J725" s="8">
        <f>IFERROR(VLOOKUP($G725,今日總結!$A:$AN,39,0),"")</f>
        <v>0</v>
      </c>
      <c r="K725" s="5">
        <f>IFERROR(VLOOKUP($G725,今日總結!$A:$AN,40,0),"")</f>
        <v>0</v>
      </c>
      <c r="L725" s="156">
        <f>IFERROR(VLOOKUP($G725,今日總結!$A:$AN,37,0),"")</f>
        <v>0</v>
      </c>
      <c r="M725" s="337">
        <f>IFERROR(VLOOKUP($G725,今日總結!$A:$AN,38,0),"")</f>
        <v>0</v>
      </c>
      <c r="N725" s="240">
        <f t="shared" si="142"/>
        <v>0</v>
      </c>
      <c r="O725" s="359">
        <f>IFERROR(VLOOKUP($G725,融外自投!$A:$J,7,0),"無")</f>
        <v>300</v>
      </c>
      <c r="P725" s="79">
        <f>IFERROR(VLOOKUP($G725,融外自投!$A:$J,9,0),"無")</f>
        <v>990</v>
      </c>
      <c r="Q725" s="342">
        <f>IFERROR(VLOOKUP($G725,融外自投!$A:$J,8,0),"無")</f>
        <v>1294</v>
      </c>
      <c r="R725" s="81" t="str">
        <f>IFERROR(VLOOKUP($G725,融外自投!$A:$J,10,0),"無")</f>
        <v>無</v>
      </c>
      <c r="S725" s="324">
        <f>IFERROR(VLOOKUP($G725,'321買'!$A:$E,4,0),"'沒有資料'")</f>
        <v>1002</v>
      </c>
      <c r="T725" s="186">
        <f>IFERROR(VLOOKUP($G725,基本資料!$A:$J,9,0),"無")</f>
        <v>0</v>
      </c>
      <c r="U725" s="307">
        <f t="shared" si="138"/>
        <v>0</v>
      </c>
      <c r="V725" s="94">
        <f>IFERROR(VLOOKUP($G725,基本資料!$A:$J,10,0),"無")</f>
        <v>-0.02</v>
      </c>
      <c r="W725" s="36">
        <f>RTD("money.excel",,"3002","Price")</f>
        <v>11.7</v>
      </c>
      <c r="X725" s="66"/>
      <c r="Y725" s="15">
        <f t="shared" si="139"/>
        <v>11.7</v>
      </c>
      <c r="Z725" s="3" t="e">
        <f t="shared" si="140"/>
        <v>#DIV/0!</v>
      </c>
      <c r="AA725" s="340">
        <f>IFERROR(VLOOKUP($G725,基本資料!$A:$M,11,0),"無")</f>
        <v>-19.59</v>
      </c>
      <c r="AB725" s="389">
        <f>IFERROR(VLOOKUP($G725,基本資料!$A:$M,12,0),"無")</f>
        <v>36.909999999999997</v>
      </c>
      <c r="AC725" s="22" t="s">
        <v>4082</v>
      </c>
      <c r="AF725" s="33">
        <f t="shared" si="141"/>
        <v>0</v>
      </c>
      <c r="AG725" s="43" t="s">
        <v>2721</v>
      </c>
      <c r="AH725" s="66">
        <f t="shared" si="143"/>
        <v>0.89771891096394407</v>
      </c>
      <c r="AI725" s="283">
        <f>RTD("money.excel",,$G725,"PredictVolume")</f>
        <v>61</v>
      </c>
      <c r="AJ725" s="391">
        <f>IFERROR(VLOOKUP($G725,基本資料!$A:$M,13,0),"無")</f>
        <v>67.95</v>
      </c>
      <c r="AR725" s="245" t="str">
        <f>INDEX(基本資料!N:N,MATCH($G725,基本資料!A:A,0))</f>
        <v>低</v>
      </c>
    </row>
    <row r="726" spans="1:44">
      <c r="A726" s="343">
        <f>IFERROR(VLOOKUP($G726,基本資料!$A:$J,3,0),"無")</f>
        <v>60</v>
      </c>
      <c r="B726" s="79">
        <f>IFERROR(VLOOKUP($G726,基本資料!$A:$J,4,0),"無")</f>
        <v>59</v>
      </c>
      <c r="C726" s="79">
        <f>IFERROR(VLOOKUP($G726,基本資料!$A:$J,5,0),"無")</f>
        <v>-16</v>
      </c>
      <c r="D726" s="79">
        <f>IFERROR(VLOOKUP($G726,基本資料!$A:$J,6,0),"無")</f>
        <v>-49</v>
      </c>
      <c r="E726" s="79">
        <f>IFERROR(VLOOKUP($G726,基本資料!$A:$J,7,0),"無")</f>
        <v>-55</v>
      </c>
      <c r="F726" s="6">
        <f>IFERROR(VLOOKUP($G726,基本資料!$A:$J,8,0),"無")</f>
        <v>8.68</v>
      </c>
      <c r="G726" s="79">
        <v>3005</v>
      </c>
      <c r="H726" s="192" t="s">
        <v>1145</v>
      </c>
      <c r="I726" s="22" t="s">
        <v>51</v>
      </c>
      <c r="J726" s="8">
        <f>IFERROR(VLOOKUP($G726,今日總結!$A:$AN,39,0),"")</f>
        <v>0</v>
      </c>
      <c r="K726" s="5" t="str">
        <f>IFERROR(VLOOKUP($G726,今日總結!$A:$AN,40,0),"")</f>
        <v>主外借</v>
      </c>
      <c r="L726" s="156">
        <f>IFERROR(VLOOKUP($G726,今日總結!$A:$AN,37,0),"")</f>
        <v>0</v>
      </c>
      <c r="M726" s="337">
        <f>IFERROR(VLOOKUP($G726,今日總結!$A:$AN,38,0),"")</f>
        <v>35</v>
      </c>
      <c r="N726" s="240">
        <f t="shared" si="142"/>
        <v>-35</v>
      </c>
      <c r="O726" s="359">
        <f>IFERROR(VLOOKUP($G726,融外自投!$A:$J,7,0),"無")</f>
        <v>1156</v>
      </c>
      <c r="P726" s="79">
        <f>IFERROR(VLOOKUP($G726,融外自投!$A:$J,9,0),"無")</f>
        <v>9</v>
      </c>
      <c r="Q726" s="342">
        <f>IFERROR(VLOOKUP($G726,融外自投!$A:$J,8,0),"無")</f>
        <v>225</v>
      </c>
      <c r="R726" s="81">
        <f>IFERROR(VLOOKUP($G726,融外自投!$A:$J,10,0),"無")</f>
        <v>395</v>
      </c>
      <c r="S726" s="324">
        <f>IFERROR(VLOOKUP($G726,'321買'!$A:$E,4,0),"'沒有資料'")</f>
        <v>743</v>
      </c>
      <c r="T726" s="186">
        <f>IFERROR(VLOOKUP($G726,基本資料!$A:$J,9,0),"無")</f>
        <v>3.59</v>
      </c>
      <c r="U726" s="307">
        <f t="shared" si="138"/>
        <v>8.3005780346820809E-2</v>
      </c>
      <c r="V726" s="94">
        <f>IFERROR(VLOOKUP($G726,基本資料!$A:$J,10,0),"無")</f>
        <v>7.2</v>
      </c>
      <c r="W726" s="36">
        <f>RTD("money.excel",,"3005","Price")</f>
        <v>43.25</v>
      </c>
      <c r="X726" s="66"/>
      <c r="Y726" s="15">
        <f t="shared" si="139"/>
        <v>43.25</v>
      </c>
      <c r="Z726" s="3" t="e">
        <f t="shared" si="140"/>
        <v>#DIV/0!</v>
      </c>
      <c r="AA726" s="340">
        <f>IFERROR(VLOOKUP($G726,基本資料!$A:$M,11,0),"無")</f>
        <v>-27.92</v>
      </c>
      <c r="AB726" s="389">
        <f>IFERROR(VLOOKUP($G726,基本資料!$A:$M,12,0),"無")</f>
        <v>5.77</v>
      </c>
      <c r="AC726" s="22" t="s">
        <v>51</v>
      </c>
      <c r="AF726" s="33">
        <f t="shared" si="141"/>
        <v>0</v>
      </c>
      <c r="AG726" s="117" t="s">
        <v>2722</v>
      </c>
      <c r="AH726" s="66">
        <f t="shared" si="143"/>
        <v>0.94209714436209036</v>
      </c>
      <c r="AI726" s="283">
        <f>RTD("money.excel",,$G726,"PredictVolume")</f>
        <v>1252</v>
      </c>
      <c r="AJ726" s="391">
        <f>IFERROR(VLOOKUP($G726,基本資料!$A:$M,13,0),"無")</f>
        <v>1328.95</v>
      </c>
      <c r="AR726" s="245" t="str">
        <f>INDEX(基本資料!N:N,MATCH($G726,基本資料!A:A,0))</f>
        <v>低</v>
      </c>
    </row>
    <row r="727" spans="1:44">
      <c r="A727" s="343">
        <f>IFERROR(VLOOKUP($G727,基本資料!$A:$J,3,0),"無")</f>
        <v>19.59</v>
      </c>
      <c r="B727" s="79">
        <f>IFERROR(VLOOKUP($G727,基本資料!$A:$J,4,0),"無")</f>
        <v>-243</v>
      </c>
      <c r="C727" s="79">
        <f>IFERROR(VLOOKUP($G727,基本資料!$A:$J,5,0),"無")</f>
        <v>-163</v>
      </c>
      <c r="D727" s="79">
        <f>IFERROR(VLOOKUP($G727,基本資料!$A:$J,6,0),"無")</f>
        <v>8</v>
      </c>
      <c r="E727" s="79">
        <f>IFERROR(VLOOKUP($G727,基本資料!$A:$J,7,0),"無")</f>
        <v>45</v>
      </c>
      <c r="F727" s="6">
        <f>IFERROR(VLOOKUP($G727,基本資料!$A:$J,8,0),"無")</f>
        <v>-2.3199999999999998</v>
      </c>
      <c r="G727" s="79">
        <v>3013</v>
      </c>
      <c r="H727" s="192" t="s">
        <v>1145</v>
      </c>
      <c r="I727" s="22" t="s">
        <v>4083</v>
      </c>
      <c r="J727" s="8">
        <f>IFERROR(VLOOKUP($G727,今日總結!$A:$AN,39,0),"")</f>
        <v>0</v>
      </c>
      <c r="K727" s="5">
        <f>IFERROR(VLOOKUP($G727,今日總結!$A:$AN,40,0),"")</f>
        <v>0</v>
      </c>
      <c r="L727" s="156">
        <f>IFERROR(VLOOKUP($G727,今日總結!$A:$AN,37,0),"")</f>
        <v>0</v>
      </c>
      <c r="M727" s="337">
        <f>IFERROR(VLOOKUP($G727,今日總結!$A:$AN,38,0),"")</f>
        <v>0</v>
      </c>
      <c r="N727" s="240">
        <f t="shared" si="142"/>
        <v>0</v>
      </c>
      <c r="O727" s="359">
        <f>IFERROR(VLOOKUP($G727,融外自投!$A:$J,7,0),"無")</f>
        <v>491</v>
      </c>
      <c r="P727" s="79">
        <f>IFERROR(VLOOKUP($G727,融外自投!$A:$J,9,0),"無")</f>
        <v>908</v>
      </c>
      <c r="Q727" s="342">
        <f>IFERROR(VLOOKUP($G727,融外自投!$A:$J,8,0),"無")</f>
        <v>1129</v>
      </c>
      <c r="R727" s="81" t="str">
        <f>IFERROR(VLOOKUP($G727,融外自投!$A:$J,10,0),"無")</f>
        <v>無</v>
      </c>
      <c r="S727" s="324">
        <f>IFERROR(VLOOKUP($G727,'321買'!$A:$E,4,0),"'沒有資料'")</f>
        <v>1002</v>
      </c>
      <c r="T727" s="186">
        <f>IFERROR(VLOOKUP($G727,基本資料!$A:$J,9,0),"無")</f>
        <v>0</v>
      </c>
      <c r="U727" s="307">
        <f t="shared" si="138"/>
        <v>0</v>
      </c>
      <c r="V727" s="94">
        <f>IFERROR(VLOOKUP($G727,基本資料!$A:$J,10,0),"無")</f>
        <v>-0.74</v>
      </c>
      <c r="W727" s="36">
        <f>RTD("money.excel",,"3013","Price")</f>
        <v>13.6</v>
      </c>
      <c r="X727" s="66"/>
      <c r="Y727" s="15">
        <f t="shared" si="139"/>
        <v>13.6</v>
      </c>
      <c r="Z727" s="3" t="e">
        <f t="shared" si="140"/>
        <v>#DIV/0!</v>
      </c>
      <c r="AA727" s="340">
        <f>IFERROR(VLOOKUP($G727,基本資料!$A:$M,11,0),"無")</f>
        <v>-17.579999999999998</v>
      </c>
      <c r="AB727" s="389">
        <f>IFERROR(VLOOKUP($G727,基本資料!$A:$M,12,0),"無")</f>
        <v>75.88</v>
      </c>
      <c r="AC727" s="22" t="s">
        <v>4083</v>
      </c>
      <c r="AF727" s="33">
        <f t="shared" si="141"/>
        <v>0</v>
      </c>
      <c r="AG727" s="43" t="s">
        <v>2723</v>
      </c>
      <c r="AH727" s="66">
        <f t="shared" si="143"/>
        <v>1.0041841004184102</v>
      </c>
      <c r="AI727" s="283">
        <f>RTD("money.excel",,$G727,"PredictVolume")</f>
        <v>132</v>
      </c>
      <c r="AJ727" s="391">
        <f>IFERROR(VLOOKUP($G727,基本資料!$A:$M,13,0),"無")</f>
        <v>131.44999999999999</v>
      </c>
      <c r="AR727" s="245" t="str">
        <f>INDEX(基本資料!N:N,MATCH($G727,基本資料!A:A,0))</f>
        <v>中</v>
      </c>
    </row>
    <row r="728" spans="1:44">
      <c r="A728" s="343">
        <f>IFERROR(VLOOKUP($G728,基本資料!$A:$J,3,0),"無")</f>
        <v>35.33</v>
      </c>
      <c r="B728" s="79">
        <f>IFERROR(VLOOKUP($G728,基本資料!$A:$J,4,0),"無")</f>
        <v>60</v>
      </c>
      <c r="C728" s="79">
        <f>IFERROR(VLOOKUP($G728,基本資料!$A:$J,5,0),"無")</f>
        <v>47</v>
      </c>
      <c r="D728" s="79">
        <f>IFERROR(VLOOKUP($G728,基本資料!$A:$J,6,0),"無")</f>
        <v>7</v>
      </c>
      <c r="E728" s="79">
        <f>IFERROR(VLOOKUP($G728,基本資料!$A:$J,7,0),"無")</f>
        <v>0</v>
      </c>
      <c r="F728" s="6">
        <f>IFERROR(VLOOKUP($G728,基本資料!$A:$J,8,0),"無")</f>
        <v>10.199999999999999</v>
      </c>
      <c r="G728" s="79">
        <v>3017</v>
      </c>
      <c r="H728" s="192" t="s">
        <v>1145</v>
      </c>
      <c r="I728" s="22" t="s">
        <v>117</v>
      </c>
      <c r="J728" s="8" t="str">
        <f>IFERROR(VLOOKUP($G728,今日總結!$A:$AN,39,0),"")</f>
        <v>投</v>
      </c>
      <c r="K728" s="5">
        <f>IFERROR(VLOOKUP($G728,今日總結!$A:$AN,40,0),"")</f>
        <v>0</v>
      </c>
      <c r="L728" s="156">
        <f>IFERROR(VLOOKUP($G728,今日總結!$A:$AN,37,0),"")</f>
        <v>1</v>
      </c>
      <c r="M728" s="337">
        <f>IFERROR(VLOOKUP($G728,今日總結!$A:$AN,38,0),"")</f>
        <v>0</v>
      </c>
      <c r="N728" s="240">
        <f t="shared" si="142"/>
        <v>1</v>
      </c>
      <c r="O728" s="359">
        <f>IFERROR(VLOOKUP($G728,融外自投!$A:$J,7,0),"無")</f>
        <v>507</v>
      </c>
      <c r="P728" s="79">
        <f>IFERROR(VLOOKUP($G728,融外自投!$A:$J,9,0),"無")</f>
        <v>365</v>
      </c>
      <c r="Q728" s="342">
        <f>IFERROR(VLOOKUP($G728,融外自投!$A:$J,8,0),"無")</f>
        <v>124</v>
      </c>
      <c r="R728" s="81">
        <f>IFERROR(VLOOKUP($G728,融外自投!$A:$J,10,0),"無")</f>
        <v>7</v>
      </c>
      <c r="S728" s="324">
        <f>IFERROR(VLOOKUP($G728,'321買'!$A:$E,4,0),"'沒有資料'")</f>
        <v>30</v>
      </c>
      <c r="T728" s="186">
        <f>IFERROR(VLOOKUP($G728,基本資料!$A:$J,9,0),"無")</f>
        <v>4.3</v>
      </c>
      <c r="U728" s="307">
        <f t="shared" si="138"/>
        <v>4.114832535885167E-2</v>
      </c>
      <c r="V728" s="94">
        <f>IFERROR(VLOOKUP($G728,基本資料!$A:$J,10,0),"無")</f>
        <v>8.2100000000000009</v>
      </c>
      <c r="W728" s="36">
        <f>RTD("money.excel",,"3017","Price")</f>
        <v>104.5</v>
      </c>
      <c r="X728" s="66"/>
      <c r="Y728" s="15">
        <f t="shared" si="139"/>
        <v>104.5</v>
      </c>
      <c r="Z728" s="3" t="e">
        <f t="shared" si="140"/>
        <v>#DIV/0!</v>
      </c>
      <c r="AA728" s="340">
        <f>IFERROR(VLOOKUP($G728,基本資料!$A:$M,11,0),"無")</f>
        <v>-18.04</v>
      </c>
      <c r="AB728" s="389">
        <f>IFERROR(VLOOKUP($G728,基本資料!$A:$M,12,0),"無")</f>
        <v>25.36</v>
      </c>
      <c r="AC728" s="22" t="s">
        <v>117</v>
      </c>
      <c r="AF728" s="33">
        <f t="shared" si="141"/>
        <v>0</v>
      </c>
      <c r="AG728" s="43" t="s">
        <v>2926</v>
      </c>
      <c r="AH728" s="66">
        <f t="shared" si="143"/>
        <v>0.4461443747298377</v>
      </c>
      <c r="AI728" s="283">
        <f>RTD("money.excel",,$G728,"PredictVolume")</f>
        <v>3406</v>
      </c>
      <c r="AJ728" s="391">
        <f>IFERROR(VLOOKUP($G728,基本資料!$A:$M,13,0),"無")</f>
        <v>7634.3</v>
      </c>
      <c r="AR728" s="245" t="str">
        <f>INDEX(基本資料!N:N,MATCH($G728,基本資料!A:A,0))</f>
        <v>中</v>
      </c>
    </row>
    <row r="729" spans="1:44" ht="16.5" customHeight="1">
      <c r="A729" s="343">
        <f>IFERROR(VLOOKUP($G729,基本資料!$A:$J,3,0),"無")</f>
        <v>17.649999999999999</v>
      </c>
      <c r="B729" s="79">
        <f>IFERROR(VLOOKUP($G729,基本資料!$A:$J,4,0),"無")</f>
        <v>-13</v>
      </c>
      <c r="C729" s="79">
        <f>IFERROR(VLOOKUP($G729,基本資料!$A:$J,5,0),"無")</f>
        <v>-19</v>
      </c>
      <c r="D729" s="79">
        <f>IFERROR(VLOOKUP($G729,基本資料!$A:$J,6,0),"無")</f>
        <v>-2</v>
      </c>
      <c r="E729" s="79">
        <f>IFERROR(VLOOKUP($G729,基本資料!$A:$J,7,0),"無")</f>
        <v>-11</v>
      </c>
      <c r="F729" s="6">
        <f>IFERROR(VLOOKUP($G729,基本資料!$A:$J,8,0),"無")</f>
        <v>11.55</v>
      </c>
      <c r="G729" s="79">
        <v>3022</v>
      </c>
      <c r="H729" s="192" t="s">
        <v>1145</v>
      </c>
      <c r="I729" s="22" t="s">
        <v>63</v>
      </c>
      <c r="J729" s="8">
        <f>IFERROR(VLOOKUP($G729,今日總結!$A:$AN,39,0),"")</f>
        <v>0</v>
      </c>
      <c r="K729" s="5" t="str">
        <f>IFERROR(VLOOKUP($G729,今日總結!$A:$AN,40,0),"")</f>
        <v>融</v>
      </c>
      <c r="L729" s="156">
        <f>IFERROR(VLOOKUP($G729,今日總結!$A:$AN,37,0),"")</f>
        <v>0</v>
      </c>
      <c r="M729" s="337">
        <f>IFERROR(VLOOKUP($G729,今日總結!$A:$AN,38,0),"")</f>
        <v>3</v>
      </c>
      <c r="N729" s="240">
        <f t="shared" si="142"/>
        <v>-3</v>
      </c>
      <c r="O729" s="359">
        <f>IFERROR(VLOOKUP($G729,融外自投!$A:$J,7,0),"無")</f>
        <v>982</v>
      </c>
      <c r="P729" s="79">
        <f>IFERROR(VLOOKUP($G729,融外自投!$A:$J,9,0),"無")</f>
        <v>671</v>
      </c>
      <c r="Q729" s="342">
        <f>IFERROR(VLOOKUP($G729,融外自投!$A:$J,8,0),"無")</f>
        <v>295</v>
      </c>
      <c r="R729" s="81" t="str">
        <f>IFERROR(VLOOKUP($G729,融外自投!$A:$J,10,0),"無")</f>
        <v>無</v>
      </c>
      <c r="S729" s="324">
        <f>IFERROR(VLOOKUP($G729,'321買'!$A:$E,4,0),"'沒有資料'")</f>
        <v>1002</v>
      </c>
      <c r="T729" s="186">
        <f>IFERROR(VLOOKUP($G729,基本資料!$A:$J,9,0),"無")</f>
        <v>3</v>
      </c>
      <c r="U729" s="307">
        <f t="shared" si="138"/>
        <v>6.8259385665529013E-2</v>
      </c>
      <c r="V729" s="94">
        <f>IFERROR(VLOOKUP($G729,基本資料!$A:$J,10,0),"無")</f>
        <v>4.9000000000000004</v>
      </c>
      <c r="W729" s="36">
        <f>RTD("money.excel",,"3022","Price")</f>
        <v>43.95</v>
      </c>
      <c r="X729" s="66"/>
      <c r="Y729" s="15">
        <f t="shared" si="139"/>
        <v>43.95</v>
      </c>
      <c r="Z729" s="3" t="e">
        <f t="shared" si="140"/>
        <v>#DIV/0!</v>
      </c>
      <c r="AA729" s="340">
        <f>IFERROR(VLOOKUP($G729,基本資料!$A:$M,11,0),"無")</f>
        <v>-20.67</v>
      </c>
      <c r="AB729" s="389">
        <f>IFERROR(VLOOKUP($G729,基本資料!$A:$M,12,0),"無")</f>
        <v>19.829999999999998</v>
      </c>
      <c r="AC729" s="22" t="s">
        <v>63</v>
      </c>
      <c r="AF729" s="33">
        <f t="shared" si="141"/>
        <v>0</v>
      </c>
      <c r="AG729" s="117" t="s">
        <v>2724</v>
      </c>
      <c r="AH729" s="66">
        <f t="shared" si="143"/>
        <v>2.0523415977961434</v>
      </c>
      <c r="AI729" s="283">
        <f>RTD("money.excel",,$G729,"PredictVolume")</f>
        <v>149</v>
      </c>
      <c r="AJ729" s="391">
        <f>IFERROR(VLOOKUP($G729,基本資料!$A:$M,13,0),"無")</f>
        <v>72.599999999999994</v>
      </c>
      <c r="AR729" s="245" t="str">
        <f>INDEX(基本資料!N:N,MATCH($G729,基本資料!A:A,0))</f>
        <v>低</v>
      </c>
    </row>
    <row r="730" spans="1:44" ht="16.5" customHeight="1">
      <c r="A730" s="343">
        <f>IFERROR(VLOOKUP($G730,基本資料!$A:$J,3,0),"無")</f>
        <v>7.14</v>
      </c>
      <c r="B730" s="79">
        <f>IFERROR(VLOOKUP($G730,基本資料!$A:$J,4,0),"無")</f>
        <v>308</v>
      </c>
      <c r="C730" s="79">
        <f>IFERROR(VLOOKUP($G730,基本資料!$A:$J,5,0),"無")</f>
        <v>216</v>
      </c>
      <c r="D730" s="79">
        <f>IFERROR(VLOOKUP($G730,基本資料!$A:$J,6,0),"無")</f>
        <v>-63</v>
      </c>
      <c r="E730" s="79">
        <f>IFERROR(VLOOKUP($G730,基本資料!$A:$J,7,0),"無")</f>
        <v>-32</v>
      </c>
      <c r="F730" s="6">
        <f>IFERROR(VLOOKUP($G730,基本資料!$A:$J,8,0),"無")</f>
        <v>2.93</v>
      </c>
      <c r="G730" s="79">
        <v>3046</v>
      </c>
      <c r="H730" s="192" t="s">
        <v>1145</v>
      </c>
      <c r="I730" s="22" t="s">
        <v>4084</v>
      </c>
      <c r="J730" s="8" t="str">
        <f>IFERROR(VLOOKUP($G730,今日總結!$A:$AN,39,0),"")</f>
        <v/>
      </c>
      <c r="K730" s="5" t="str">
        <f>IFERROR(VLOOKUP($G730,今日總結!$A:$AN,40,0),"")</f>
        <v/>
      </c>
      <c r="L730" s="156" t="str">
        <f>IFERROR(VLOOKUP($G730,今日總結!$A:$AN,37,0),"")</f>
        <v/>
      </c>
      <c r="M730" s="337" t="str">
        <f>IFERROR(VLOOKUP($G730,今日總結!$A:$AN,38,0),"")</f>
        <v/>
      </c>
      <c r="N730" s="240" t="str">
        <f t="shared" si="142"/>
        <v/>
      </c>
      <c r="O730" s="359" t="str">
        <f>IFERROR(VLOOKUP($G730,融外自投!$A:$J,7,0),"無")</f>
        <v>無</v>
      </c>
      <c r="P730" s="79" t="str">
        <f>IFERROR(VLOOKUP($G730,融外自投!$A:$J,9,0),"無")</f>
        <v>無</v>
      </c>
      <c r="Q730" s="342" t="str">
        <f>IFERROR(VLOOKUP($G730,融外自投!$A:$J,8,0),"無")</f>
        <v>無</v>
      </c>
      <c r="R730" s="81" t="str">
        <f>IFERROR(VLOOKUP($G730,融外自投!$A:$J,10,0),"無")</f>
        <v>無</v>
      </c>
      <c r="S730" s="324" t="str">
        <f>IFERROR(VLOOKUP($G730,'321買'!$A:$E,4,0),"'沒有資料'")</f>
        <v>'沒有資料'</v>
      </c>
      <c r="T730" s="186">
        <f>IFERROR(VLOOKUP($G730,基本資料!$A:$J,9,0),"無")</f>
        <v>0</v>
      </c>
      <c r="U730" s="307">
        <f t="shared" si="138"/>
        <v>0</v>
      </c>
      <c r="V730" s="94">
        <f>IFERROR(VLOOKUP($G730,基本資料!$A:$J,10,0),"無")</f>
        <v>1.82</v>
      </c>
      <c r="W730" s="36">
        <f>RTD("money.excel",,"3046","Price")</f>
        <v>28.65</v>
      </c>
      <c r="X730" s="66"/>
      <c r="Y730" s="15">
        <f t="shared" si="139"/>
        <v>28.65</v>
      </c>
      <c r="Z730" s="3" t="e">
        <f t="shared" si="140"/>
        <v>#DIV/0!</v>
      </c>
      <c r="AA730" s="340">
        <f>IFERROR(VLOOKUP($G730,基本資料!$A:$M,11,0),"無")</f>
        <v>-46.45</v>
      </c>
      <c r="AB730" s="389">
        <f>IFERROR(VLOOKUP($G730,基本資料!$A:$M,12,0),"無")</f>
        <v>19.79</v>
      </c>
      <c r="AC730" s="22" t="s">
        <v>4084</v>
      </c>
      <c r="AF730" s="33">
        <f t="shared" si="141"/>
        <v>0</v>
      </c>
      <c r="AG730" s="43" t="s">
        <v>2103</v>
      </c>
      <c r="AH730" s="66">
        <f t="shared" si="143"/>
        <v>0.22148394241417496</v>
      </c>
      <c r="AI730" s="283">
        <f>RTD("money.excel",,$G730,"PredictVolume")</f>
        <v>50</v>
      </c>
      <c r="AJ730" s="391">
        <f>IFERROR(VLOOKUP($G730,基本資料!$A:$M,13,0),"無")</f>
        <v>225.75</v>
      </c>
      <c r="AR730" s="245" t="str">
        <f>INDEX(基本資料!N:N,MATCH($G730,基本資料!A:A,0))</f>
        <v>低</v>
      </c>
    </row>
    <row r="731" spans="1:44" ht="16.5" customHeight="1">
      <c r="A731" s="343">
        <f>IFERROR(VLOOKUP($G731,基本資料!$A:$J,3,0),"無")</f>
        <v>9.26</v>
      </c>
      <c r="B731" s="79">
        <f>IFERROR(VLOOKUP($G731,基本資料!$A:$J,4,0),"無")</f>
        <v>100</v>
      </c>
      <c r="C731" s="79">
        <f>IFERROR(VLOOKUP($G731,基本資料!$A:$J,5,0),"無")</f>
        <v>96</v>
      </c>
      <c r="D731" s="79">
        <f>IFERROR(VLOOKUP($G731,基本資料!$A:$J,6,0),"無")</f>
        <v>-36</v>
      </c>
      <c r="E731" s="79">
        <f>IFERROR(VLOOKUP($G731,基本資料!$A:$J,7,0),"無")</f>
        <v>37</v>
      </c>
      <c r="F731" s="6">
        <f>IFERROR(VLOOKUP($G731,基本資料!$A:$J,8,0),"無")</f>
        <v>-0.51</v>
      </c>
      <c r="G731" s="79">
        <v>3057</v>
      </c>
      <c r="H731" s="192" t="s">
        <v>1145</v>
      </c>
      <c r="I731" s="22" t="s">
        <v>462</v>
      </c>
      <c r="J731" s="8" t="str">
        <f>IFERROR(VLOOKUP($G731,今日總結!$A:$AN,39,0),"")</f>
        <v/>
      </c>
      <c r="K731" s="5" t="str">
        <f>IFERROR(VLOOKUP($G731,今日總結!$A:$AN,40,0),"")</f>
        <v/>
      </c>
      <c r="L731" s="156" t="str">
        <f>IFERROR(VLOOKUP($G731,今日總結!$A:$AN,37,0),"")</f>
        <v/>
      </c>
      <c r="M731" s="337" t="str">
        <f>IFERROR(VLOOKUP($G731,今日總結!$A:$AN,38,0),"")</f>
        <v/>
      </c>
      <c r="N731" s="240" t="str">
        <f t="shared" si="142"/>
        <v/>
      </c>
      <c r="O731" s="359" t="str">
        <f>IFERROR(VLOOKUP($G731,融外自投!$A:$J,7,0),"無")</f>
        <v>無</v>
      </c>
      <c r="P731" s="79" t="str">
        <f>IFERROR(VLOOKUP($G731,融外自投!$A:$J,9,0),"無")</f>
        <v>無</v>
      </c>
      <c r="Q731" s="342" t="str">
        <f>IFERROR(VLOOKUP($G731,融外自投!$A:$J,8,0),"無")</f>
        <v>無</v>
      </c>
      <c r="R731" s="81" t="str">
        <f>IFERROR(VLOOKUP($G731,融外自投!$A:$J,10,0),"無")</f>
        <v>無</v>
      </c>
      <c r="S731" s="324" t="str">
        <f>IFERROR(VLOOKUP($G731,'321買'!$A:$E,4,0),"'沒有資料'")</f>
        <v>'沒有資料'</v>
      </c>
      <c r="T731" s="186">
        <f>IFERROR(VLOOKUP($G731,基本資料!$A:$J,9,0),"無")</f>
        <v>0</v>
      </c>
      <c r="U731" s="307">
        <f t="shared" si="138"/>
        <v>0</v>
      </c>
      <c r="V731" s="94">
        <f>IFERROR(VLOOKUP($G731,基本資料!$A:$J,10,0),"無")</f>
        <v>0.01</v>
      </c>
      <c r="W731" s="36">
        <f>RTD("money.excel",,"3057","Price")</f>
        <v>11.95</v>
      </c>
      <c r="X731" s="66"/>
      <c r="Y731" s="15">
        <f t="shared" si="139"/>
        <v>11.95</v>
      </c>
      <c r="Z731" s="3" t="e">
        <f t="shared" si="140"/>
        <v>#DIV/0!</v>
      </c>
      <c r="AA731" s="340">
        <f>IFERROR(VLOOKUP($G731,基本資料!$A:$M,11,0),"無")</f>
        <v>-27.58</v>
      </c>
      <c r="AB731" s="389">
        <f>IFERROR(VLOOKUP($G731,基本資料!$A:$M,12,0),"無")</f>
        <v>8.5</v>
      </c>
      <c r="AC731" s="22" t="s">
        <v>462</v>
      </c>
      <c r="AF731" s="33">
        <f t="shared" si="141"/>
        <v>0</v>
      </c>
      <c r="AG731" s="43" t="s">
        <v>2725</v>
      </c>
      <c r="AH731" s="66">
        <f t="shared" si="143"/>
        <v>0.87871287128712872</v>
      </c>
      <c r="AI731" s="283">
        <f>RTD("money.excel",,$G731,"PredictVolume")</f>
        <v>71</v>
      </c>
      <c r="AJ731" s="391">
        <f>IFERROR(VLOOKUP($G731,基本資料!$A:$M,13,0),"無")</f>
        <v>80.8</v>
      </c>
      <c r="AR731" s="245" t="str">
        <f>INDEX(基本資料!N:N,MATCH($G731,基本資料!A:A,0))</f>
        <v>低</v>
      </c>
    </row>
    <row r="732" spans="1:44" ht="16.5" customHeight="1">
      <c r="A732" s="343">
        <f>IFERROR(VLOOKUP($G732,基本資料!$A:$J,3,0),"無")</f>
        <v>13.75</v>
      </c>
      <c r="B732" s="79">
        <f>IFERROR(VLOOKUP($G732,基本資料!$A:$J,4,0),"無")</f>
        <v>164</v>
      </c>
      <c r="C732" s="79">
        <f>IFERROR(VLOOKUP($G732,基本資料!$A:$J,5,0),"無")</f>
        <v>165</v>
      </c>
      <c r="D732" s="79">
        <f>IFERROR(VLOOKUP($G732,基本資料!$A:$J,6,0),"無")</f>
        <v>-14</v>
      </c>
      <c r="E732" s="79">
        <f>IFERROR(VLOOKUP($G732,基本資料!$A:$J,7,0),"無")</f>
        <v>18</v>
      </c>
      <c r="F732" s="6">
        <f>IFERROR(VLOOKUP($G732,基本資料!$A:$J,8,0),"無")</f>
        <v>4.3899999999999997</v>
      </c>
      <c r="G732" s="79">
        <v>3060</v>
      </c>
      <c r="H732" s="192" t="s">
        <v>1145</v>
      </c>
      <c r="I732" s="22" t="s">
        <v>463</v>
      </c>
      <c r="J732" s="8">
        <f>IFERROR(VLOOKUP($G732,今日總結!$A:$AN,39,0),"")</f>
        <v>0</v>
      </c>
      <c r="K732" s="5">
        <f>IFERROR(VLOOKUP($G732,今日總結!$A:$AN,40,0),"")</f>
        <v>0</v>
      </c>
      <c r="L732" s="156">
        <f>IFERROR(VLOOKUP($G732,今日總結!$A:$AN,37,0),"")</f>
        <v>0</v>
      </c>
      <c r="M732" s="337">
        <f>IFERROR(VLOOKUP($G732,今日總結!$A:$AN,38,0),"")</f>
        <v>0</v>
      </c>
      <c r="N732" s="240">
        <f t="shared" si="142"/>
        <v>0</v>
      </c>
      <c r="O732" s="359">
        <f>IFERROR(VLOOKUP($G732,融外自投!$A:$J,7,0),"無")</f>
        <v>378</v>
      </c>
      <c r="P732" s="79">
        <f>IFERROR(VLOOKUP($G732,融外自投!$A:$J,9,0),"無")</f>
        <v>128</v>
      </c>
      <c r="Q732" s="342">
        <f>IFERROR(VLOOKUP($G732,融外自投!$A:$J,8,0),"無")</f>
        <v>660</v>
      </c>
      <c r="R732" s="81">
        <f>IFERROR(VLOOKUP($G732,融外自投!$A:$J,10,0),"無")</f>
        <v>495</v>
      </c>
      <c r="S732" s="324">
        <f>IFERROR(VLOOKUP($G732,'321買'!$A:$E,4,0),"'沒有資料'")</f>
        <v>497</v>
      </c>
      <c r="T732" s="186">
        <f>IFERROR(VLOOKUP($G732,基本資料!$A:$J,9,0),"無")</f>
        <v>1</v>
      </c>
      <c r="U732" s="307">
        <f t="shared" si="138"/>
        <v>5.1948051948051951E-2</v>
      </c>
      <c r="V732" s="94">
        <f>IFERROR(VLOOKUP($G732,基本資料!$A:$J,10,0),"無")</f>
        <v>1.36</v>
      </c>
      <c r="W732" s="36">
        <f>RTD("money.excel",,"3060","Price")</f>
        <v>19.25</v>
      </c>
      <c r="X732" s="66"/>
      <c r="Y732" s="15">
        <f t="shared" si="139"/>
        <v>19.25</v>
      </c>
      <c r="Z732" s="3" t="e">
        <f t="shared" si="140"/>
        <v>#DIV/0!</v>
      </c>
      <c r="AA732" s="340">
        <f>IFERROR(VLOOKUP($G732,基本資料!$A:$M,11,0),"無")</f>
        <v>-41.31</v>
      </c>
      <c r="AB732" s="389">
        <f>IFERROR(VLOOKUP($G732,基本資料!$A:$M,12,0),"無")</f>
        <v>15.12</v>
      </c>
      <c r="AC732" s="22" t="s">
        <v>463</v>
      </c>
      <c r="AF732" s="33">
        <f t="shared" si="141"/>
        <v>0</v>
      </c>
      <c r="AG732" s="43" t="s">
        <v>2726</v>
      </c>
      <c r="AH732" s="66">
        <f t="shared" si="143"/>
        <v>1.0569852941176472</v>
      </c>
      <c r="AI732" s="283">
        <f>RTD("money.excel",,$G732,"PredictVolume")</f>
        <v>345</v>
      </c>
      <c r="AJ732" s="391">
        <f>IFERROR(VLOOKUP($G732,基本資料!$A:$M,13,0),"無")</f>
        <v>326.39999999999998</v>
      </c>
      <c r="AR732" s="245" t="str">
        <f>INDEX(基本資料!N:N,MATCH($G732,基本資料!A:A,0))</f>
        <v>低</v>
      </c>
    </row>
    <row r="733" spans="1:44" ht="16.5" customHeight="1">
      <c r="A733" s="343">
        <f>IFERROR(VLOOKUP($G733,基本資料!$A:$J,3,0),"無")</f>
        <v>11</v>
      </c>
      <c r="B733" s="79">
        <f>IFERROR(VLOOKUP($G733,基本資料!$A:$J,4,0),"無")</f>
        <v>0</v>
      </c>
      <c r="C733" s="79">
        <f>IFERROR(VLOOKUP($G733,基本資料!$A:$J,5,0),"無")</f>
        <v>16</v>
      </c>
      <c r="D733" s="79">
        <f>IFERROR(VLOOKUP($G733,基本資料!$A:$J,6,0),"無")</f>
        <v>-19</v>
      </c>
      <c r="E733" s="79">
        <f>IFERROR(VLOOKUP($G733,基本資料!$A:$J,7,0),"無")</f>
        <v>-18</v>
      </c>
      <c r="F733" s="6">
        <f>IFERROR(VLOOKUP($G733,基本資料!$A:$J,8,0),"無")</f>
        <v>8.9</v>
      </c>
      <c r="G733" s="79">
        <v>3071</v>
      </c>
      <c r="H733" s="192" t="s">
        <v>1145</v>
      </c>
      <c r="I733" s="16" t="s">
        <v>2201</v>
      </c>
      <c r="J733" s="8" t="str">
        <f>IFERROR(VLOOKUP($G733,今日總結!$A:$AN,39,0),"")</f>
        <v>主融</v>
      </c>
      <c r="K733" s="5">
        <f>IFERROR(VLOOKUP($G733,今日總結!$A:$AN,40,0),"")</f>
        <v>0</v>
      </c>
      <c r="L733" s="156">
        <f>IFERROR(VLOOKUP($G733,今日總結!$A:$AN,37,0),"")</f>
        <v>8</v>
      </c>
      <c r="M733" s="337">
        <f>IFERROR(VLOOKUP($G733,今日總結!$A:$AN,38,0),"")</f>
        <v>0</v>
      </c>
      <c r="N733" s="240">
        <f t="shared" si="142"/>
        <v>8</v>
      </c>
      <c r="O733" s="359">
        <f>IFERROR(VLOOKUP($G733,融外自投!$A:$J,7,0),"無")</f>
        <v>466</v>
      </c>
      <c r="P733" s="79">
        <f>IFERROR(VLOOKUP($G733,融外自投!$A:$J,9,0),"無")</f>
        <v>908</v>
      </c>
      <c r="Q733" s="342">
        <f>IFERROR(VLOOKUP($G733,融外自投!$A:$J,8,0),"無")</f>
        <v>1051</v>
      </c>
      <c r="R733" s="81">
        <f>IFERROR(VLOOKUP($G733,融外自投!$A:$J,10,0),"無")</f>
        <v>358</v>
      </c>
      <c r="S733" s="324">
        <f>IFERROR(VLOOKUP($G733,'321買'!$A:$E,4,0),"'沒有資料'")</f>
        <v>891</v>
      </c>
      <c r="T733" s="186">
        <f>IFERROR(VLOOKUP($G733,基本資料!$A:$J,9,0),"無")</f>
        <v>1.6</v>
      </c>
      <c r="U733" s="307">
        <f t="shared" si="138"/>
        <v>6.2015503875968991E-2</v>
      </c>
      <c r="V733" s="94">
        <f>IFERROR(VLOOKUP($G733,基本資料!$A:$J,10,0),"無")</f>
        <v>1.86</v>
      </c>
      <c r="W733" s="36">
        <f>RTD("money.excel",,"3071","Price")</f>
        <v>25.8</v>
      </c>
      <c r="X733" s="66"/>
      <c r="Y733" s="15">
        <f t="shared" si="139"/>
        <v>25.8</v>
      </c>
      <c r="Z733" s="3" t="e">
        <f t="shared" si="140"/>
        <v>#DIV/0!</v>
      </c>
      <c r="AA733" s="340">
        <f>IFERROR(VLOOKUP($G733,基本資料!$A:$M,11,0),"無")</f>
        <v>-18.23</v>
      </c>
      <c r="AB733" s="389">
        <f>IFERROR(VLOOKUP($G733,基本資料!$A:$M,12,0),"無")</f>
        <v>46.9</v>
      </c>
      <c r="AC733" s="16" t="s">
        <v>2201</v>
      </c>
      <c r="AF733" s="33">
        <f t="shared" si="141"/>
        <v>0</v>
      </c>
      <c r="AG733" s="43" t="s">
        <v>2274</v>
      </c>
      <c r="AH733" s="66">
        <f t="shared" si="143"/>
        <v>0.41645675902602852</v>
      </c>
      <c r="AI733" s="283">
        <f>RTD("money.excel",,$G733,"PredictVolume")</f>
        <v>124</v>
      </c>
      <c r="AJ733" s="391">
        <f>IFERROR(VLOOKUP($G733,基本資料!$A:$M,13,0),"無")</f>
        <v>297.75</v>
      </c>
      <c r="AR733" s="245" t="str">
        <f>INDEX(基本資料!N:N,MATCH($G733,基本資料!A:A,0))</f>
        <v>中</v>
      </c>
    </row>
    <row r="734" spans="1:44" ht="16.5" customHeight="1">
      <c r="A734" s="343">
        <f>IFERROR(VLOOKUP($G734,基本資料!$A:$J,3,0),"無")</f>
        <v>9.02</v>
      </c>
      <c r="B734" s="79">
        <f>IFERROR(VLOOKUP($G734,基本資料!$A:$J,4,0),"無")</f>
        <v>27</v>
      </c>
      <c r="C734" s="79">
        <f>IFERROR(VLOOKUP($G734,基本資料!$A:$J,5,0),"無")</f>
        <v>3</v>
      </c>
      <c r="D734" s="79">
        <f>IFERROR(VLOOKUP($G734,基本資料!$A:$J,6,0),"無")</f>
        <v>-17</v>
      </c>
      <c r="E734" s="79">
        <f>IFERROR(VLOOKUP($G734,基本資料!$A:$J,7,0),"無")</f>
        <v>40</v>
      </c>
      <c r="F734" s="6">
        <f>IFERROR(VLOOKUP($G734,基本資料!$A:$J,8,0),"無")</f>
        <v>8.23</v>
      </c>
      <c r="G734" s="79">
        <v>3088</v>
      </c>
      <c r="H734" s="145" t="s">
        <v>1145</v>
      </c>
      <c r="I734" s="16" t="s">
        <v>2202</v>
      </c>
      <c r="J734" s="8">
        <f>IFERROR(VLOOKUP($G734,今日總結!$A:$AN,39,0),"")</f>
        <v>0</v>
      </c>
      <c r="K734" s="5" t="str">
        <f>IFERROR(VLOOKUP($G734,今日總結!$A:$AN,40,0),"")</f>
        <v>借</v>
      </c>
      <c r="L734" s="156">
        <f>IFERROR(VLOOKUP($G734,今日總結!$A:$AN,37,0),"")</f>
        <v>0</v>
      </c>
      <c r="M734" s="337">
        <f>IFERROR(VLOOKUP($G734,今日總結!$A:$AN,38,0),"")</f>
        <v>1</v>
      </c>
      <c r="N734" s="240">
        <f t="shared" si="142"/>
        <v>-1</v>
      </c>
      <c r="O734" s="359">
        <f>IFERROR(VLOOKUP($G734,融外自投!$A:$J,7,0),"無")</f>
        <v>724</v>
      </c>
      <c r="P734" s="79">
        <f>IFERROR(VLOOKUP($G734,融外自投!$A:$J,9,0),"無")</f>
        <v>908</v>
      </c>
      <c r="Q734" s="342">
        <f>IFERROR(VLOOKUP($G734,融外自投!$A:$J,8,0),"無")</f>
        <v>706</v>
      </c>
      <c r="R734" s="81">
        <f>IFERROR(VLOOKUP($G734,融外自投!$A:$J,10,0),"無")</f>
        <v>179</v>
      </c>
      <c r="S734" s="324">
        <f>IFERROR(VLOOKUP($G734,'321買'!$A:$E,4,0),"'沒有資料'")</f>
        <v>565</v>
      </c>
      <c r="T734" s="186">
        <f>IFERROR(VLOOKUP($G734,基本資料!$A:$J,9,0),"無")</f>
        <v>3.05</v>
      </c>
      <c r="U734" s="307">
        <f t="shared" si="138"/>
        <v>5.0833333333333328E-2</v>
      </c>
      <c r="V734" s="94">
        <f>IFERROR(VLOOKUP($G734,基本資料!$A:$J,10,0),"無")</f>
        <v>4.57</v>
      </c>
      <c r="W734" s="36">
        <f>RTD("money.excel",,"3088","Price")</f>
        <v>60</v>
      </c>
      <c r="X734" s="66"/>
      <c r="Y734" s="15">
        <f t="shared" si="139"/>
        <v>60</v>
      </c>
      <c r="Z734" s="3" t="e">
        <f t="shared" si="140"/>
        <v>#DIV/0!</v>
      </c>
      <c r="AA734" s="340">
        <f>IFERROR(VLOOKUP($G734,基本資料!$A:$M,11,0),"無")</f>
        <v>-16.670000000000002</v>
      </c>
      <c r="AB734" s="389">
        <f>IFERROR(VLOOKUP($G734,基本資料!$A:$M,12,0),"無")</f>
        <v>28.1</v>
      </c>
      <c r="AC734" s="16" t="s">
        <v>2202</v>
      </c>
      <c r="AF734" s="33">
        <f t="shared" si="141"/>
        <v>0</v>
      </c>
      <c r="AG734" s="117" t="s">
        <v>1047</v>
      </c>
      <c r="AH734" s="66">
        <f t="shared" si="143"/>
        <v>0.37057220708446864</v>
      </c>
      <c r="AI734" s="283">
        <f>RTD("money.excel",,$G734,"PredictVolume")</f>
        <v>238</v>
      </c>
      <c r="AJ734" s="391">
        <f>IFERROR(VLOOKUP($G734,基本資料!$A:$M,13,0),"無")</f>
        <v>642.25</v>
      </c>
      <c r="AR734" s="245" t="str">
        <f>INDEX(基本資料!N:N,MATCH($G734,基本資料!A:A,0))</f>
        <v>中</v>
      </c>
    </row>
    <row r="735" spans="1:44" ht="16.5" customHeight="1">
      <c r="A735" s="343">
        <f>IFERROR(VLOOKUP($G735,基本資料!$A:$J,3,0),"無")</f>
        <v>14.96</v>
      </c>
      <c r="B735" s="79">
        <f>IFERROR(VLOOKUP($G735,基本資料!$A:$J,4,0),"無")</f>
        <v>219</v>
      </c>
      <c r="C735" s="79">
        <f>IFERROR(VLOOKUP($G735,基本資料!$A:$J,5,0),"無")</f>
        <v>-36</v>
      </c>
      <c r="D735" s="79">
        <f>IFERROR(VLOOKUP($G735,基本資料!$A:$J,6,0),"無")</f>
        <v>-40</v>
      </c>
      <c r="E735" s="79">
        <f>IFERROR(VLOOKUP($G735,基本資料!$A:$J,7,0),"無")</f>
        <v>-43</v>
      </c>
      <c r="F735" s="6">
        <f>IFERROR(VLOOKUP($G735,基本資料!$A:$J,8,0),"無")</f>
        <v>4.08</v>
      </c>
      <c r="G735" s="79">
        <v>3211</v>
      </c>
      <c r="H735" s="145" t="s">
        <v>1145</v>
      </c>
      <c r="I735" s="16" t="s">
        <v>4085</v>
      </c>
      <c r="J735" s="8">
        <f>IFERROR(VLOOKUP($G735,今日總結!$A:$AN,39,0),"")</f>
        <v>0</v>
      </c>
      <c r="K735" s="5">
        <f>IFERROR(VLOOKUP($G735,今日總結!$A:$AN,40,0),"")</f>
        <v>0</v>
      </c>
      <c r="L735" s="156">
        <f>IFERROR(VLOOKUP($G735,今日總結!$A:$AN,37,0),"")</f>
        <v>0</v>
      </c>
      <c r="M735" s="337">
        <f>IFERROR(VLOOKUP($G735,今日總結!$A:$AN,38,0),"")</f>
        <v>0</v>
      </c>
      <c r="N735" s="240">
        <f t="shared" si="142"/>
        <v>0</v>
      </c>
      <c r="O735" s="359">
        <f>IFERROR(VLOOKUP($G735,融外自投!$A:$J,7,0),"無")</f>
        <v>880</v>
      </c>
      <c r="P735" s="79">
        <f>IFERROR(VLOOKUP($G735,融外自投!$A:$J,9,0),"無")</f>
        <v>210</v>
      </c>
      <c r="Q735" s="342">
        <f>IFERROR(VLOOKUP($G735,融外自投!$A:$J,8,0),"無")</f>
        <v>525</v>
      </c>
      <c r="R735" s="81">
        <f>IFERROR(VLOOKUP($G735,融外自投!$A:$J,10,0),"無")</f>
        <v>341</v>
      </c>
      <c r="S735" s="324">
        <f>IFERROR(VLOOKUP($G735,'321買'!$A:$E,4,0),"'沒有資料'")</f>
        <v>343</v>
      </c>
      <c r="T735" s="186">
        <f>IFERROR(VLOOKUP($G735,基本資料!$A:$J,9,0),"無")</f>
        <v>15.03</v>
      </c>
      <c r="U735" s="307">
        <f t="shared" si="138"/>
        <v>0.19750328515111695</v>
      </c>
      <c r="V735" s="94">
        <f>IFERROR(VLOOKUP($G735,基本資料!$A:$J,10,0),"無")</f>
        <v>22.42</v>
      </c>
      <c r="W735" s="36">
        <f>RTD("money.excel",,"3211","Price")</f>
        <v>76.099999999999994</v>
      </c>
      <c r="X735" s="66"/>
      <c r="Y735" s="15">
        <f t="shared" si="139"/>
        <v>76.099999999999994</v>
      </c>
      <c r="Z735" s="3" t="e">
        <f t="shared" si="140"/>
        <v>#DIV/0!</v>
      </c>
      <c r="AA735" s="340">
        <f>IFERROR(VLOOKUP($G735,基本資料!$A:$M,11,0),"無")</f>
        <v>-37.880000000000003</v>
      </c>
      <c r="AB735" s="389">
        <f>IFERROR(VLOOKUP($G735,基本資料!$A:$M,12,0),"無")</f>
        <v>6.76</v>
      </c>
      <c r="AC735" s="16" t="s">
        <v>4085</v>
      </c>
      <c r="AF735" s="33">
        <f t="shared" si="141"/>
        <v>0</v>
      </c>
      <c r="AG735" s="43" t="s">
        <v>2213</v>
      </c>
      <c r="AH735" s="66">
        <f t="shared" si="143"/>
        <v>0.6851097042754315</v>
      </c>
      <c r="AI735" s="283">
        <f>RTD("money.excel",,$G735,"PredictVolume")</f>
        <v>395</v>
      </c>
      <c r="AJ735" s="391">
        <f>IFERROR(VLOOKUP($G735,基本資料!$A:$M,13,0),"無")</f>
        <v>576.54999999999995</v>
      </c>
      <c r="AR735" s="245" t="str">
        <f>INDEX(基本資料!N:N,MATCH($G735,基本資料!A:A,0))</f>
        <v>低</v>
      </c>
    </row>
    <row r="736" spans="1:44">
      <c r="A736" s="343">
        <f>IFERROR(VLOOKUP($G736,基本資料!$A:$J,3,0),"無")</f>
        <v>5.86</v>
      </c>
      <c r="B736" s="79">
        <f>IFERROR(VLOOKUP($G736,基本資料!$A:$J,4,0),"無")</f>
        <v>95</v>
      </c>
      <c r="C736" s="79">
        <f>IFERROR(VLOOKUP($G736,基本資料!$A:$J,5,0),"無")</f>
        <v>-12</v>
      </c>
      <c r="D736" s="79">
        <f>IFERROR(VLOOKUP($G736,基本資料!$A:$J,6,0),"無")</f>
        <v>22</v>
      </c>
      <c r="E736" s="79">
        <f>IFERROR(VLOOKUP($G736,基本資料!$A:$J,7,0),"無")</f>
        <v>-8</v>
      </c>
      <c r="F736" s="6">
        <f>IFERROR(VLOOKUP($G736,基本資料!$A:$J,8,0),"無")</f>
        <v>11.56</v>
      </c>
      <c r="G736" s="79">
        <v>3213</v>
      </c>
      <c r="H736" s="145" t="s">
        <v>1145</v>
      </c>
      <c r="I736" s="16" t="s">
        <v>2203</v>
      </c>
      <c r="J736" s="8">
        <f>IFERROR(VLOOKUP($G736,今日總結!$A:$AN,39,0),"")</f>
        <v>0</v>
      </c>
      <c r="K736" s="5">
        <f>IFERROR(VLOOKUP($G736,今日總結!$A:$AN,40,0),"")</f>
        <v>0</v>
      </c>
      <c r="L736" s="156">
        <f>IFERROR(VLOOKUP($G736,今日總結!$A:$AN,37,0),"")</f>
        <v>0</v>
      </c>
      <c r="M736" s="337">
        <f>IFERROR(VLOOKUP($G736,今日總結!$A:$AN,38,0),"")</f>
        <v>0</v>
      </c>
      <c r="N736" s="240">
        <f t="shared" si="142"/>
        <v>0</v>
      </c>
      <c r="O736" s="359">
        <f>IFERROR(VLOOKUP($G736,融外自投!$A:$J,7,0),"無")</f>
        <v>1208</v>
      </c>
      <c r="P736" s="79">
        <f>IFERROR(VLOOKUP($G736,融外自投!$A:$J,9,0),"無")</f>
        <v>129</v>
      </c>
      <c r="Q736" s="342">
        <f>IFERROR(VLOOKUP($G736,融外自投!$A:$J,8,0),"無")</f>
        <v>726</v>
      </c>
      <c r="R736" s="81" t="str">
        <f>IFERROR(VLOOKUP($G736,融外自投!$A:$J,10,0),"無")</f>
        <v>無</v>
      </c>
      <c r="S736" s="324">
        <f>IFERROR(VLOOKUP($G736,'321買'!$A:$E,4,0),"'沒有資料'")</f>
        <v>801</v>
      </c>
      <c r="T736" s="186">
        <f>IFERROR(VLOOKUP($G736,基本資料!$A:$J,9,0),"無")</f>
        <v>3.7</v>
      </c>
      <c r="U736" s="307">
        <f t="shared" si="138"/>
        <v>7.5742067553735928E-2</v>
      </c>
      <c r="V736" s="94">
        <f>IFERROR(VLOOKUP($G736,基本資料!$A:$J,10,0),"無")</f>
        <v>10.87</v>
      </c>
      <c r="W736" s="36">
        <f>RTD("money.excel",,"3213","Price")</f>
        <v>48.85</v>
      </c>
      <c r="X736" s="66"/>
      <c r="Y736" s="15">
        <f t="shared" si="139"/>
        <v>48.85</v>
      </c>
      <c r="Z736" s="3" t="e">
        <f t="shared" si="140"/>
        <v>#DIV/0!</v>
      </c>
      <c r="AA736" s="340">
        <f>IFERROR(VLOOKUP($G736,基本資料!$A:$M,11,0),"無")</f>
        <v>-25.98</v>
      </c>
      <c r="AB736" s="389">
        <f>IFERROR(VLOOKUP($G736,基本資料!$A:$M,12,0),"無")</f>
        <v>4.04</v>
      </c>
      <c r="AC736" s="16" t="s">
        <v>2203</v>
      </c>
      <c r="AF736" s="33">
        <f t="shared" si="141"/>
        <v>0</v>
      </c>
      <c r="AG736" s="43" t="s">
        <v>2436</v>
      </c>
      <c r="AH736" s="66">
        <f t="shared" si="143"/>
        <v>2.003338898163606</v>
      </c>
      <c r="AI736" s="283">
        <f>RTD("money.excel",,$G736,"PredictVolume")</f>
        <v>180</v>
      </c>
      <c r="AJ736" s="391">
        <f>IFERROR(VLOOKUP($G736,基本資料!$A:$M,13,0),"無")</f>
        <v>89.85</v>
      </c>
      <c r="AR736" s="245" t="str">
        <f>INDEX(基本資料!N:N,MATCH($G736,基本資料!A:A,0))</f>
        <v>低</v>
      </c>
    </row>
    <row r="737" spans="1:44">
      <c r="A737" s="343">
        <f>IFERROR(VLOOKUP($G737,基本資料!$A:$J,3,0),"無")</f>
        <v>290</v>
      </c>
      <c r="B737" s="79">
        <f>IFERROR(VLOOKUP($G737,基本資料!$A:$J,4,0),"無")</f>
        <v>14</v>
      </c>
      <c r="C737" s="79">
        <f>IFERROR(VLOOKUP($G737,基本資料!$A:$J,5,0),"無")</f>
        <v>13</v>
      </c>
      <c r="D737" s="79">
        <f>IFERROR(VLOOKUP($G737,基本資料!$A:$J,6,0),"無")</f>
        <v>-27</v>
      </c>
      <c r="E737" s="79">
        <f>IFERROR(VLOOKUP($G737,基本資料!$A:$J,7,0),"無")</f>
        <v>0</v>
      </c>
      <c r="F737" s="6">
        <f>IFERROR(VLOOKUP($G737,基本資料!$A:$J,8,0),"無")</f>
        <v>1.9</v>
      </c>
      <c r="G737" s="79">
        <v>3231</v>
      </c>
      <c r="H737" s="192" t="s">
        <v>1145</v>
      </c>
      <c r="I737" s="22" t="s">
        <v>23</v>
      </c>
      <c r="J737" s="8" t="str">
        <f>IFERROR(VLOOKUP($G737,今日總結!$A:$AN,39,0),"")</f>
        <v>自借</v>
      </c>
      <c r="K737" s="5" t="str">
        <f>IFERROR(VLOOKUP($G737,今日總結!$A:$AN,40,0),"")</f>
        <v>外</v>
      </c>
      <c r="L737" s="156">
        <f>IFERROR(VLOOKUP($G737,今日總結!$A:$AN,37,0),"")</f>
        <v>2</v>
      </c>
      <c r="M737" s="337">
        <f>IFERROR(VLOOKUP($G737,今日總結!$A:$AN,38,0),"")</f>
        <v>3</v>
      </c>
      <c r="N737" s="240">
        <f t="shared" si="142"/>
        <v>-1</v>
      </c>
      <c r="O737" s="359">
        <f>IFERROR(VLOOKUP($G737,融外自投!$A:$J,7,0),"無")</f>
        <v>1196</v>
      </c>
      <c r="P737" s="79">
        <f>IFERROR(VLOOKUP($G737,融外自投!$A:$J,9,0),"無")</f>
        <v>22</v>
      </c>
      <c r="Q737" s="342">
        <f>IFERROR(VLOOKUP($G737,融外自投!$A:$J,8,0),"無")</f>
        <v>186</v>
      </c>
      <c r="R737" s="81">
        <f>IFERROR(VLOOKUP($G737,融外自投!$A:$J,10,0),"無")</f>
        <v>41</v>
      </c>
      <c r="S737" s="324">
        <f>IFERROR(VLOOKUP($G737,'321買'!$A:$E,4,0),"'沒有資料'")</f>
        <v>411</v>
      </c>
      <c r="T737" s="186">
        <f>IFERROR(VLOOKUP($G737,基本資料!$A:$J,9,0),"無")</f>
        <v>2.2000000000000002</v>
      </c>
      <c r="U737" s="307">
        <f t="shared" si="138"/>
        <v>7.9710144927536239E-2</v>
      </c>
      <c r="V737" s="94">
        <f>IFERROR(VLOOKUP($G737,基本資料!$A:$J,10,0),"無")</f>
        <v>3.76</v>
      </c>
      <c r="W737" s="36">
        <f>RTD("money.excel",,"3231","Price")</f>
        <v>27.6</v>
      </c>
      <c r="X737" s="66"/>
      <c r="Y737" s="15">
        <f t="shared" si="139"/>
        <v>27.6</v>
      </c>
      <c r="Z737" s="3" t="e">
        <f t="shared" si="140"/>
        <v>#DIV/0!</v>
      </c>
      <c r="AA737" s="340">
        <f>IFERROR(VLOOKUP($G737,基本資料!$A:$M,11,0),"無")</f>
        <v>-16.739999999999998</v>
      </c>
      <c r="AB737" s="389">
        <f>IFERROR(VLOOKUP($G737,基本資料!$A:$M,12,0),"無")</f>
        <v>22.3</v>
      </c>
      <c r="AC737" s="22" t="s">
        <v>23</v>
      </c>
      <c r="AF737" s="33">
        <f t="shared" si="141"/>
        <v>0</v>
      </c>
      <c r="AG737" s="117" t="s">
        <v>2727</v>
      </c>
      <c r="AH737" s="66">
        <f t="shared" si="143"/>
        <v>0.66351070952057623</v>
      </c>
      <c r="AI737" s="283">
        <f>RTD("money.excel",,$G737,"PredictVolume")</f>
        <v>6987</v>
      </c>
      <c r="AJ737" s="391">
        <f>IFERROR(VLOOKUP($G737,基本資料!$A:$M,13,0),"無")</f>
        <v>10530.35</v>
      </c>
      <c r="AR737" s="245" t="str">
        <f>INDEX(基本資料!N:N,MATCH($G737,基本資料!A:A,0))</f>
        <v>低</v>
      </c>
    </row>
    <row r="738" spans="1:44">
      <c r="A738" s="343">
        <f>IFERROR(VLOOKUP($G738,基本資料!$A:$J,3,0),"無")</f>
        <v>5.46</v>
      </c>
      <c r="B738" s="79">
        <f>IFERROR(VLOOKUP($G738,基本資料!$A:$J,4,0),"無")</f>
        <v>-82</v>
      </c>
      <c r="C738" s="79">
        <f>IFERROR(VLOOKUP($G738,基本資料!$A:$J,5,0),"無")</f>
        <v>-97</v>
      </c>
      <c r="D738" s="79">
        <f>IFERROR(VLOOKUP($G738,基本資料!$A:$J,6,0),"無")</f>
        <v>-58</v>
      </c>
      <c r="E738" s="79">
        <f>IFERROR(VLOOKUP($G738,基本資料!$A:$J,7,0),"無")</f>
        <v>-39</v>
      </c>
      <c r="F738" s="6">
        <f>IFERROR(VLOOKUP($G738,基本資料!$A:$J,8,0),"無")</f>
        <v>0.11</v>
      </c>
      <c r="G738" s="79">
        <v>3272</v>
      </c>
      <c r="H738" s="145" t="s">
        <v>1145</v>
      </c>
      <c r="I738" s="16" t="s">
        <v>2204</v>
      </c>
      <c r="J738" s="8">
        <f>IFERROR(VLOOKUP($G738,今日總結!$A:$AN,39,0),"")</f>
        <v>0</v>
      </c>
      <c r="K738" s="5">
        <f>IFERROR(VLOOKUP($G738,今日總結!$A:$AN,40,0),"")</f>
        <v>0</v>
      </c>
      <c r="L738" s="156">
        <f>IFERROR(VLOOKUP($G738,今日總結!$A:$AN,37,0),"")</f>
        <v>0</v>
      </c>
      <c r="M738" s="337">
        <f>IFERROR(VLOOKUP($G738,今日總結!$A:$AN,38,0),"")</f>
        <v>0</v>
      </c>
      <c r="N738" s="240">
        <f t="shared" si="142"/>
        <v>0</v>
      </c>
      <c r="O738" s="359">
        <f>IFERROR(VLOOKUP($G738,融外自投!$A:$J,7,0),"無")</f>
        <v>477</v>
      </c>
      <c r="P738" s="79">
        <f>IFERROR(VLOOKUP($G738,融外自投!$A:$J,9,0),"無")</f>
        <v>1123</v>
      </c>
      <c r="Q738" s="342">
        <f>IFERROR(VLOOKUP($G738,融外自投!$A:$J,8,0),"無")</f>
        <v>1330</v>
      </c>
      <c r="R738" s="81">
        <f>IFERROR(VLOOKUP($G738,融外自投!$A:$J,10,0),"無")</f>
        <v>403</v>
      </c>
      <c r="S738" s="324">
        <f>IFERROR(VLOOKUP($G738,'321買'!$A:$E,4,0),"'沒有資料'")</f>
        <v>1002</v>
      </c>
      <c r="T738" s="186">
        <f>IFERROR(VLOOKUP($G738,基本資料!$A:$J,9,0),"無")</f>
        <v>1</v>
      </c>
      <c r="U738" s="307">
        <f t="shared" si="138"/>
        <v>4.1493775933609957E-2</v>
      </c>
      <c r="V738" s="94">
        <f>IFERROR(VLOOKUP($G738,基本資料!$A:$J,10,0),"無")</f>
        <v>0.57999999999999996</v>
      </c>
      <c r="W738" s="36">
        <f>RTD("money.excel",,"3272","Price")</f>
        <v>24.1</v>
      </c>
      <c r="X738" s="66"/>
      <c r="Y738" s="15">
        <f t="shared" si="139"/>
        <v>24.1</v>
      </c>
      <c r="Z738" s="3" t="e">
        <f t="shared" si="140"/>
        <v>#DIV/0!</v>
      </c>
      <c r="AA738" s="340">
        <f>IFERROR(VLOOKUP($G738,基本資料!$A:$M,11,0),"無")</f>
        <v>-48.61</v>
      </c>
      <c r="AB738" s="389">
        <f>IFERROR(VLOOKUP($G738,基本資料!$A:$M,12,0),"無")</f>
        <v>7.7</v>
      </c>
      <c r="AC738" s="16" t="s">
        <v>2204</v>
      </c>
      <c r="AF738" s="33">
        <f t="shared" si="141"/>
        <v>0</v>
      </c>
      <c r="AG738" s="119" t="s">
        <v>2298</v>
      </c>
      <c r="AH738" s="66">
        <f t="shared" si="143"/>
        <v>0.66952789699570814</v>
      </c>
      <c r="AI738" s="283">
        <f>RTD("money.excel",,$G738,"PredictVolume")</f>
        <v>39</v>
      </c>
      <c r="AJ738" s="391">
        <f>IFERROR(VLOOKUP($G738,基本資料!$A:$M,13,0),"無")</f>
        <v>58.25</v>
      </c>
      <c r="AR738" s="245" t="str">
        <f>INDEX(基本資料!N:N,MATCH($G738,基本資料!A:A,0))</f>
        <v>低</v>
      </c>
    </row>
    <row r="739" spans="1:44">
      <c r="A739" s="343">
        <f>IFERROR(VLOOKUP($G739,基本資料!$A:$J,3,0),"無")</f>
        <v>4.3899999999999997</v>
      </c>
      <c r="B739" s="79">
        <f>IFERROR(VLOOKUP($G739,基本資料!$A:$J,4,0),"無")</f>
        <v>-24</v>
      </c>
      <c r="C739" s="79">
        <f>IFERROR(VLOOKUP($G739,基本資料!$A:$J,5,0),"無")</f>
        <v>-8</v>
      </c>
      <c r="D739" s="79">
        <f>IFERROR(VLOOKUP($G739,基本資料!$A:$J,6,0),"無")</f>
        <v>43</v>
      </c>
      <c r="E739" s="79">
        <f>IFERROR(VLOOKUP($G739,基本資料!$A:$J,7,0),"無")</f>
        <v>-27</v>
      </c>
      <c r="F739" s="6">
        <f>IFERROR(VLOOKUP($G739,基本資料!$A:$J,8,0),"無")</f>
        <v>10.220000000000001</v>
      </c>
      <c r="G739" s="79">
        <v>3287</v>
      </c>
      <c r="H739" s="145" t="s">
        <v>1145</v>
      </c>
      <c r="I739" s="16" t="s">
        <v>2205</v>
      </c>
      <c r="J739" s="8">
        <f>IFERROR(VLOOKUP($G739,今日總結!$A:$AN,39,0),"")</f>
        <v>0</v>
      </c>
      <c r="K739" s="5">
        <f>IFERROR(VLOOKUP($G739,今日總結!$A:$AN,40,0),"")</f>
        <v>0</v>
      </c>
      <c r="L739" s="156">
        <f>IFERROR(VLOOKUP($G739,今日總結!$A:$AN,37,0),"")</f>
        <v>0</v>
      </c>
      <c r="M739" s="337">
        <f>IFERROR(VLOOKUP($G739,今日總結!$A:$AN,38,0),"")</f>
        <v>0</v>
      </c>
      <c r="N739" s="240">
        <f t="shared" si="142"/>
        <v>0</v>
      </c>
      <c r="O739" s="359">
        <f>IFERROR(VLOOKUP($G739,融外自投!$A:$J,7,0),"無")</f>
        <v>328</v>
      </c>
      <c r="P739" s="79" t="str">
        <f>IFERROR(VLOOKUP($G739,融外自投!$A:$J,9,0),"無")</f>
        <v>無</v>
      </c>
      <c r="Q739" s="342">
        <f>IFERROR(VLOOKUP($G739,融外自投!$A:$J,8,0),"無")</f>
        <v>1321</v>
      </c>
      <c r="R739" s="81" t="str">
        <f>IFERROR(VLOOKUP($G739,融外自投!$A:$J,10,0),"無")</f>
        <v>無</v>
      </c>
      <c r="S739" s="324">
        <f>IFERROR(VLOOKUP($G739,'321買'!$A:$E,4,0),"'沒有資料'")</f>
        <v>891</v>
      </c>
      <c r="T739" s="186">
        <f>IFERROR(VLOOKUP($G739,基本資料!$A:$J,9,0),"無")</f>
        <v>0</v>
      </c>
      <c r="U739" s="307">
        <f t="shared" si="138"/>
        <v>0</v>
      </c>
      <c r="V739" s="94">
        <f>IFERROR(VLOOKUP($G739,基本資料!$A:$J,10,0),"無")</f>
        <v>1.1399999999999999</v>
      </c>
      <c r="W739" s="36">
        <f>RTD("money.excel",,"3287","Price")</f>
        <v>13</v>
      </c>
      <c r="X739" s="66"/>
      <c r="Y739" s="15">
        <f t="shared" si="139"/>
        <v>13</v>
      </c>
      <c r="Z739" s="3" t="e">
        <f t="shared" si="140"/>
        <v>#DIV/0!</v>
      </c>
      <c r="AA739" s="340">
        <f>IFERROR(VLOOKUP($G739,基本資料!$A:$M,11,0),"無")</f>
        <v>-41.83</v>
      </c>
      <c r="AB739" s="389">
        <f>IFERROR(VLOOKUP($G739,基本資料!$A:$M,12,0),"無")</f>
        <v>20.010000000000002</v>
      </c>
      <c r="AC739" s="16" t="s">
        <v>2205</v>
      </c>
      <c r="AF739" s="33">
        <f t="shared" si="141"/>
        <v>0</v>
      </c>
      <c r="AG739" s="43" t="s">
        <v>2437</v>
      </c>
      <c r="AH739" s="66">
        <f t="shared" si="143"/>
        <v>4.6907216494845363</v>
      </c>
      <c r="AI739" s="283">
        <f>RTD("money.excel",,$G739,"PredictVolume")</f>
        <v>364</v>
      </c>
      <c r="AJ739" s="391">
        <f>IFERROR(VLOOKUP($G739,基本資料!$A:$M,13,0),"無")</f>
        <v>77.599999999999994</v>
      </c>
      <c r="AR739" s="245" t="str">
        <f>INDEX(基本資料!N:N,MATCH($G739,基本資料!A:A,0))</f>
        <v>低</v>
      </c>
    </row>
    <row r="740" spans="1:44">
      <c r="A740" s="343">
        <f>IFERROR(VLOOKUP($G740,基本資料!$A:$J,3,0),"無")</f>
        <v>8.0299999999999994</v>
      </c>
      <c r="B740" s="79">
        <f>IFERROR(VLOOKUP($G740,基本資料!$A:$J,4,0),"無")</f>
        <v>-24</v>
      </c>
      <c r="C740" s="79">
        <f>IFERROR(VLOOKUP($G740,基本資料!$A:$J,5,0),"無")</f>
        <v>-21</v>
      </c>
      <c r="D740" s="79">
        <f>IFERROR(VLOOKUP($G740,基本資料!$A:$J,6,0),"無")</f>
        <v>-57</v>
      </c>
      <c r="E740" s="79">
        <f>IFERROR(VLOOKUP($G740,基本資料!$A:$J,7,0),"無")</f>
        <v>-49</v>
      </c>
      <c r="F740" s="6">
        <f>IFERROR(VLOOKUP($G740,基本資料!$A:$J,8,0),"無")</f>
        <v>2.48</v>
      </c>
      <c r="G740" s="79">
        <v>3323</v>
      </c>
      <c r="H740" s="145" t="s">
        <v>1145</v>
      </c>
      <c r="I740" s="16" t="s">
        <v>2206</v>
      </c>
      <c r="J740" s="8">
        <f>IFERROR(VLOOKUP($G740,今日總結!$A:$AN,39,0),"")</f>
        <v>0</v>
      </c>
      <c r="K740" s="5">
        <f>IFERROR(VLOOKUP($G740,今日總結!$A:$AN,40,0),"")</f>
        <v>0</v>
      </c>
      <c r="L740" s="156">
        <f>IFERROR(VLOOKUP($G740,今日總結!$A:$AN,37,0),"")</f>
        <v>0</v>
      </c>
      <c r="M740" s="337">
        <f>IFERROR(VLOOKUP($G740,今日總結!$A:$AN,38,0),"")</f>
        <v>0</v>
      </c>
      <c r="N740" s="240">
        <f t="shared" si="142"/>
        <v>0</v>
      </c>
      <c r="O740" s="359">
        <f>IFERROR(VLOOKUP($G740,融外自投!$A:$J,7,0),"無")</f>
        <v>238</v>
      </c>
      <c r="P740" s="79">
        <f>IFERROR(VLOOKUP($G740,融外自投!$A:$J,9,0),"無")</f>
        <v>378</v>
      </c>
      <c r="Q740" s="342">
        <f>IFERROR(VLOOKUP($G740,融外自投!$A:$J,8,0),"無")</f>
        <v>1094</v>
      </c>
      <c r="R740" s="81" t="str">
        <f>IFERROR(VLOOKUP($G740,融外自投!$A:$J,10,0),"無")</f>
        <v>無</v>
      </c>
      <c r="S740" s="324">
        <f>IFERROR(VLOOKUP($G740,'321買'!$A:$E,4,0),"'沒有資料'")</f>
        <v>565</v>
      </c>
      <c r="T740" s="186">
        <f>IFERROR(VLOOKUP($G740,基本資料!$A:$J,9,0),"無")</f>
        <v>2</v>
      </c>
      <c r="U740" s="307">
        <f t="shared" si="138"/>
        <v>5.7142857142857141E-2</v>
      </c>
      <c r="V740" s="94">
        <f>IFERROR(VLOOKUP($G740,基本資料!$A:$J,10,0),"無")</f>
        <v>3.16</v>
      </c>
      <c r="W740" s="36">
        <f>RTD("money.excel",,"3323","Price")</f>
        <v>35</v>
      </c>
      <c r="X740" s="66"/>
      <c r="Y740" s="15">
        <f t="shared" si="139"/>
        <v>35</v>
      </c>
      <c r="Z740" s="3" t="e">
        <f t="shared" si="140"/>
        <v>#DIV/0!</v>
      </c>
      <c r="AA740" s="340">
        <f>IFERROR(VLOOKUP($G740,基本資料!$A:$M,11,0),"無")</f>
        <v>-46.48</v>
      </c>
      <c r="AB740" s="389">
        <f>IFERROR(VLOOKUP($G740,基本資料!$A:$M,12,0),"無")</f>
        <v>16.350000000000001</v>
      </c>
      <c r="AC740" s="16" t="s">
        <v>2206</v>
      </c>
      <c r="AF740" s="33">
        <f t="shared" si="141"/>
        <v>0</v>
      </c>
      <c r="AG740" s="43" t="s">
        <v>2213</v>
      </c>
      <c r="AH740" s="66">
        <f t="shared" si="143"/>
        <v>0.49008168028004667</v>
      </c>
      <c r="AI740" s="283">
        <f>RTD("money.excel",,$G740,"PredictVolume")</f>
        <v>84</v>
      </c>
      <c r="AJ740" s="391">
        <f>IFERROR(VLOOKUP($G740,基本資料!$A:$M,13,0),"無")</f>
        <v>171.4</v>
      </c>
      <c r="AR740" s="245" t="str">
        <f>INDEX(基本資料!N:N,MATCH($G740,基本資料!A:A,0))</f>
        <v>低</v>
      </c>
    </row>
    <row r="741" spans="1:44">
      <c r="A741" s="343">
        <f>IFERROR(VLOOKUP($G741,基本資料!$A:$J,3,0),"無")</f>
        <v>8.4600000000000009</v>
      </c>
      <c r="B741" s="79">
        <f>IFERROR(VLOOKUP($G741,基本資料!$A:$J,4,0),"無")</f>
        <v>-138</v>
      </c>
      <c r="C741" s="79">
        <f>IFERROR(VLOOKUP($G741,基本資料!$A:$J,5,0),"無")</f>
        <v>-123</v>
      </c>
      <c r="D741" s="79">
        <f>IFERROR(VLOOKUP($G741,基本資料!$A:$J,6,0),"無")</f>
        <v>28</v>
      </c>
      <c r="E741" s="79">
        <f>IFERROR(VLOOKUP($G741,基本資料!$A:$J,7,0),"無")</f>
        <v>-41</v>
      </c>
      <c r="F741" s="6">
        <f>IFERROR(VLOOKUP($G741,基本資料!$A:$J,8,0),"無")</f>
        <v>-4.2</v>
      </c>
      <c r="G741" s="79">
        <v>3325</v>
      </c>
      <c r="H741" s="145" t="s">
        <v>1145</v>
      </c>
      <c r="I741" s="16" t="s">
        <v>471</v>
      </c>
      <c r="J741" s="8">
        <f>IFERROR(VLOOKUP($G741,今日總結!$A:$AN,39,0),"")</f>
        <v>0</v>
      </c>
      <c r="K741" s="5">
        <f>IFERROR(VLOOKUP($G741,今日總結!$A:$AN,40,0),"")</f>
        <v>0</v>
      </c>
      <c r="L741" s="156">
        <f>IFERROR(VLOOKUP($G741,今日總結!$A:$AN,37,0),"")</f>
        <v>0</v>
      </c>
      <c r="M741" s="337">
        <f>IFERROR(VLOOKUP($G741,今日總結!$A:$AN,38,0),"")</f>
        <v>0</v>
      </c>
      <c r="N741" s="240">
        <f t="shared" si="142"/>
        <v>0</v>
      </c>
      <c r="O741" s="359">
        <f>IFERROR(VLOOKUP($G741,融外自投!$A:$J,7,0),"無")</f>
        <v>391</v>
      </c>
      <c r="P741" s="79" t="str">
        <f>IFERROR(VLOOKUP($G741,融外自投!$A:$J,9,0),"無")</f>
        <v>無</v>
      </c>
      <c r="Q741" s="342">
        <f>IFERROR(VLOOKUP($G741,融外自投!$A:$J,8,0),"無")</f>
        <v>1254</v>
      </c>
      <c r="R741" s="81" t="str">
        <f>IFERROR(VLOOKUP($G741,融外自投!$A:$J,10,0),"無")</f>
        <v>無</v>
      </c>
      <c r="S741" s="324">
        <f>IFERROR(VLOOKUP($G741,'321買'!$A:$E,4,0),"'沒有資料'")</f>
        <v>801</v>
      </c>
      <c r="T741" s="186">
        <f>IFERROR(VLOOKUP($G741,基本資料!$A:$J,9,0),"無")</f>
        <v>0</v>
      </c>
      <c r="U741" s="307">
        <f t="shared" si="138"/>
        <v>0</v>
      </c>
      <c r="V741" s="94">
        <f>IFERROR(VLOOKUP($G741,基本資料!$A:$J,10,0),"無")</f>
        <v>-0.7</v>
      </c>
      <c r="W741" s="36">
        <f>RTD("money.excel",,"3325","Price")</f>
        <v>12.75</v>
      </c>
      <c r="X741" s="66"/>
      <c r="Y741" s="15">
        <f t="shared" si="139"/>
        <v>12.75</v>
      </c>
      <c r="Z741" s="3" t="e">
        <f t="shared" si="140"/>
        <v>#DIV/0!</v>
      </c>
      <c r="AA741" s="340">
        <f>IFERROR(VLOOKUP($G741,基本資料!$A:$M,11,0),"無")</f>
        <v>-50.87</v>
      </c>
      <c r="AB741" s="389">
        <f>IFERROR(VLOOKUP($G741,基本資料!$A:$M,12,0),"無")</f>
        <v>6.96</v>
      </c>
      <c r="AC741" s="16" t="s">
        <v>471</v>
      </c>
      <c r="AF741" s="33">
        <f t="shared" si="141"/>
        <v>0</v>
      </c>
      <c r="AG741" s="43" t="s">
        <v>2438</v>
      </c>
      <c r="AH741" s="66">
        <f t="shared" si="143"/>
        <v>0.64860426929392445</v>
      </c>
      <c r="AI741" s="283">
        <f>RTD("money.excel",,$G741,"PredictVolume")</f>
        <v>79</v>
      </c>
      <c r="AJ741" s="391">
        <f>IFERROR(VLOOKUP($G741,基本資料!$A:$M,13,0),"無")</f>
        <v>121.8</v>
      </c>
      <c r="AR741" s="245" t="str">
        <f>INDEX(基本資料!N:N,MATCH($G741,基本資料!A:A,0))</f>
        <v>低</v>
      </c>
    </row>
    <row r="742" spans="1:44">
      <c r="A742" s="343" t="str">
        <f>IFERROR(VLOOKUP($G742,基本資料!$A:$J,3,0),"無")</f>
        <v>無</v>
      </c>
      <c r="B742" s="79" t="str">
        <f>IFERROR(VLOOKUP($G742,基本資料!$A:$J,4,0),"無")</f>
        <v>無</v>
      </c>
      <c r="C742" s="79" t="str">
        <f>IFERROR(VLOOKUP($G742,基本資料!$A:$J,5,0),"無")</f>
        <v>無</v>
      </c>
      <c r="D742" s="79" t="str">
        <f>IFERROR(VLOOKUP($G742,基本資料!$A:$J,6,0),"無")</f>
        <v>無</v>
      </c>
      <c r="E742" s="79" t="str">
        <f>IFERROR(VLOOKUP($G742,基本資料!$A:$J,7,0),"無")</f>
        <v>無</v>
      </c>
      <c r="F742" s="6" t="str">
        <f>IFERROR(VLOOKUP($G742,基本資料!$A:$J,8,0),"無")</f>
        <v>無</v>
      </c>
      <c r="G742" s="79">
        <v>3349</v>
      </c>
      <c r="H742" s="145" t="s">
        <v>1145</v>
      </c>
      <c r="I742" s="16" t="s">
        <v>4766</v>
      </c>
      <c r="J742" s="8" t="str">
        <f>IFERROR(VLOOKUP($G742,今日總結!$A:$AN,39,0),"")</f>
        <v/>
      </c>
      <c r="K742" s="5" t="str">
        <f>IFERROR(VLOOKUP($G742,今日總結!$A:$AN,40,0),"")</f>
        <v/>
      </c>
      <c r="L742" s="156" t="str">
        <f>IFERROR(VLOOKUP($G742,今日總結!$A:$AN,37,0),"")</f>
        <v/>
      </c>
      <c r="M742" s="337" t="str">
        <f>IFERROR(VLOOKUP($G742,今日總結!$A:$AN,38,0),"")</f>
        <v/>
      </c>
      <c r="N742" s="240" t="str">
        <f t="shared" si="142"/>
        <v/>
      </c>
      <c r="O742" s="359" t="str">
        <f>IFERROR(VLOOKUP($G742,融外自投!$A:$J,7,0),"無")</f>
        <v>無</v>
      </c>
      <c r="P742" s="79" t="str">
        <f>IFERROR(VLOOKUP($G742,融外自投!$A:$J,9,0),"無")</f>
        <v>無</v>
      </c>
      <c r="Q742" s="342" t="str">
        <f>IFERROR(VLOOKUP($G742,融外自投!$A:$J,8,0),"無")</f>
        <v>無</v>
      </c>
      <c r="R742" s="81" t="str">
        <f>IFERROR(VLOOKUP($G742,融外自投!$A:$J,10,0),"無")</f>
        <v>無</v>
      </c>
      <c r="S742" s="324" t="str">
        <f>IFERROR(VLOOKUP($G742,'321買'!$A:$E,4,0),"'沒有資料'")</f>
        <v>'沒有資料'</v>
      </c>
      <c r="T742" s="186" t="str">
        <f>IFERROR(VLOOKUP($G742,基本資料!$A:$J,9,0),"無")</f>
        <v>無</v>
      </c>
      <c r="U742" s="307" t="e">
        <f t="shared" si="138"/>
        <v>#VALUE!</v>
      </c>
      <c r="V742" s="94" t="str">
        <f>IFERROR(VLOOKUP($G742,基本資料!$A:$J,10,0),"無")</f>
        <v>無</v>
      </c>
      <c r="W742" s="36">
        <f>RTD("money.excel",,"3349","Price")</f>
        <v>18.5</v>
      </c>
      <c r="X742" s="66"/>
      <c r="Y742" s="15">
        <f>W742-X742</f>
        <v>18.5</v>
      </c>
      <c r="Z742" s="3" t="e">
        <f>Y742/X742</f>
        <v>#DIV/0!</v>
      </c>
      <c r="AA742" s="340" t="str">
        <f>IFERROR(VLOOKUP($G742,基本資料!$A:$M,11,0),"無")</f>
        <v>無</v>
      </c>
      <c r="AB742" s="389" t="str">
        <f>IFERROR(VLOOKUP($G742,基本資料!$A:$M,12,0),"無")</f>
        <v>無</v>
      </c>
      <c r="AC742" s="16" t="s">
        <v>4766</v>
      </c>
      <c r="AF742" s="33">
        <f>AE742-AD742</f>
        <v>0</v>
      </c>
      <c r="AG742" s="43" t="s">
        <v>4767</v>
      </c>
      <c r="AH742" s="66" t="e">
        <f t="shared" si="143"/>
        <v>#VALUE!</v>
      </c>
      <c r="AI742" s="283">
        <f>RTD("money.excel",,$G742,"PredictVolume")</f>
        <v>21</v>
      </c>
      <c r="AJ742" s="391" t="str">
        <f>IFERROR(VLOOKUP($G742,基本資料!$A:$M,13,0),"無")</f>
        <v>無</v>
      </c>
      <c r="AR742" s="245" t="e">
        <f>INDEX(基本資料!N:N,MATCH($G742,基本資料!A:A,0))</f>
        <v>#N/A</v>
      </c>
    </row>
    <row r="743" spans="1:44">
      <c r="A743" s="343">
        <f>IFERROR(VLOOKUP($G743,基本資料!$A:$J,3,0),"無")</f>
        <v>7.26</v>
      </c>
      <c r="B743" s="79">
        <f>IFERROR(VLOOKUP($G743,基本資料!$A:$J,4,0),"無")</f>
        <v>42</v>
      </c>
      <c r="C743" s="79">
        <f>IFERROR(VLOOKUP($G743,基本資料!$A:$J,5,0),"無")</f>
        <v>50</v>
      </c>
      <c r="D743" s="79">
        <f>IFERROR(VLOOKUP($G743,基本資料!$A:$J,6,0),"無")</f>
        <v>-31</v>
      </c>
      <c r="E743" s="79">
        <f>IFERROR(VLOOKUP($G743,基本資料!$A:$J,7,0),"無")</f>
        <v>12</v>
      </c>
      <c r="F743" s="6">
        <f>IFERROR(VLOOKUP($G743,基本資料!$A:$J,8,0),"無")</f>
        <v>17.48</v>
      </c>
      <c r="G743" s="79">
        <v>3416</v>
      </c>
      <c r="H743" s="192" t="s">
        <v>1145</v>
      </c>
      <c r="I743" s="22" t="s">
        <v>464</v>
      </c>
      <c r="J743" s="8">
        <f>IFERROR(VLOOKUP($G743,今日總結!$A:$AN,39,0),"")</f>
        <v>0</v>
      </c>
      <c r="K743" s="5">
        <f>IFERROR(VLOOKUP($G743,今日總結!$A:$AN,40,0),"")</f>
        <v>0</v>
      </c>
      <c r="L743" s="156">
        <f>IFERROR(VLOOKUP($G743,今日總結!$A:$AN,37,0),"")</f>
        <v>0</v>
      </c>
      <c r="M743" s="337">
        <f>IFERROR(VLOOKUP($G743,今日總結!$A:$AN,38,0),"")</f>
        <v>0</v>
      </c>
      <c r="N743" s="240">
        <f t="shared" si="142"/>
        <v>0</v>
      </c>
      <c r="O743" s="359">
        <f>IFERROR(VLOOKUP($G743,融外自投!$A:$J,7,0),"無")</f>
        <v>1041</v>
      </c>
      <c r="P743" s="79">
        <f>IFERROR(VLOOKUP($G743,融外自投!$A:$J,9,0),"無")</f>
        <v>331</v>
      </c>
      <c r="Q743" s="342">
        <f>IFERROR(VLOOKUP($G743,融外自投!$A:$J,8,0),"無")</f>
        <v>975</v>
      </c>
      <c r="R743" s="81">
        <f>IFERROR(VLOOKUP($G743,融外自投!$A:$J,10,0),"無")</f>
        <v>377</v>
      </c>
      <c r="S743" s="324">
        <f>IFERROR(VLOOKUP($G743,'321買'!$A:$E,4,0),"'沒有資料'")</f>
        <v>1002</v>
      </c>
      <c r="T743" s="186">
        <f>IFERROR(VLOOKUP($G743,基本資料!$A:$J,9,0),"無")</f>
        <v>4.5</v>
      </c>
      <c r="U743" s="307">
        <f t="shared" si="138"/>
        <v>5.8517555266579972E-2</v>
      </c>
      <c r="V743" s="94">
        <f>IFERROR(VLOOKUP($G743,基本資料!$A:$J,10,0),"無")</f>
        <v>5.03</v>
      </c>
      <c r="W743" s="36">
        <f>RTD("money.excel",,"3416","Price")</f>
        <v>76.900000000000006</v>
      </c>
      <c r="X743" s="66"/>
      <c r="Y743" s="15">
        <f t="shared" ref="Y743" si="144">W743-X743</f>
        <v>76.900000000000006</v>
      </c>
      <c r="Z743" s="3" t="e">
        <f t="shared" ref="Z743" si="145">Y743/X743</f>
        <v>#DIV/0!</v>
      </c>
      <c r="AA743" s="340">
        <f>IFERROR(VLOOKUP($G743,基本資料!$A:$M,11,0),"無")</f>
        <v>-11</v>
      </c>
      <c r="AB743" s="389">
        <f>IFERROR(VLOOKUP($G743,基本資料!$A:$M,12,0),"無")</f>
        <v>40.049999999999997</v>
      </c>
      <c r="AC743" s="22" t="s">
        <v>464</v>
      </c>
      <c r="AF743" s="33">
        <f t="shared" ref="AF743" si="146">AE743-AD743</f>
        <v>0</v>
      </c>
      <c r="AG743" s="43" t="s">
        <v>2232</v>
      </c>
      <c r="AH743" s="66">
        <f t="shared" si="143"/>
        <v>0.97156398104265396</v>
      </c>
      <c r="AI743" s="283">
        <f>RTD("money.excel",,$G743,"PredictVolume")</f>
        <v>41</v>
      </c>
      <c r="AJ743" s="391">
        <f>IFERROR(VLOOKUP($G743,基本資料!$A:$M,13,0),"無")</f>
        <v>42.2</v>
      </c>
      <c r="AR743" s="245" t="str">
        <f>INDEX(基本資料!N:N,MATCH($G743,基本資料!A:A,0))</f>
        <v>低</v>
      </c>
    </row>
    <row r="744" spans="1:44">
      <c r="A744" s="343">
        <f>IFERROR(VLOOKUP($G744,基本資料!$A:$J,3,0),"無")</f>
        <v>7.1</v>
      </c>
      <c r="B744" s="79">
        <f>IFERROR(VLOOKUP($G744,基本資料!$A:$J,4,0),"無")</f>
        <v>-4</v>
      </c>
      <c r="C744" s="79">
        <f>IFERROR(VLOOKUP($G744,基本資料!$A:$J,5,0),"無")</f>
        <v>-3</v>
      </c>
      <c r="D744" s="79">
        <f>IFERROR(VLOOKUP($G744,基本資料!$A:$J,6,0),"無")</f>
        <v>-22</v>
      </c>
      <c r="E744" s="79">
        <f>IFERROR(VLOOKUP($G744,基本資料!$A:$J,7,0),"無")</f>
        <v>40</v>
      </c>
      <c r="F744" s="6">
        <f>IFERROR(VLOOKUP($G744,基本資料!$A:$J,8,0),"無")</f>
        <v>5.23</v>
      </c>
      <c r="G744" s="79">
        <v>3479</v>
      </c>
      <c r="H744" s="145" t="s">
        <v>1145</v>
      </c>
      <c r="I744" s="16" t="s">
        <v>2207</v>
      </c>
      <c r="J744" s="8">
        <f>IFERROR(VLOOKUP($G744,今日總結!$A:$AN,39,0),"")</f>
        <v>0</v>
      </c>
      <c r="K744" s="5">
        <f>IFERROR(VLOOKUP($G744,今日總結!$A:$AN,40,0),"")</f>
        <v>0</v>
      </c>
      <c r="L744" s="156">
        <f>IFERROR(VLOOKUP($G744,今日總結!$A:$AN,37,0),"")</f>
        <v>0</v>
      </c>
      <c r="M744" s="337">
        <f>IFERROR(VLOOKUP($G744,今日總結!$A:$AN,38,0),"")</f>
        <v>0</v>
      </c>
      <c r="N744" s="240">
        <f t="shared" si="142"/>
        <v>0</v>
      </c>
      <c r="O744" s="359">
        <f>IFERROR(VLOOKUP($G744,融外自投!$A:$J,7,0),"無")</f>
        <v>558</v>
      </c>
      <c r="P744" s="79">
        <f>IFERROR(VLOOKUP($G744,融外自投!$A:$J,9,0),"無")</f>
        <v>313</v>
      </c>
      <c r="Q744" s="342">
        <f>IFERROR(VLOOKUP($G744,融外自投!$A:$J,8,0),"無")</f>
        <v>837</v>
      </c>
      <c r="R744" s="81">
        <f>IFERROR(VLOOKUP($G744,融外自投!$A:$J,10,0),"無")</f>
        <v>172</v>
      </c>
      <c r="S744" s="324">
        <f>IFERROR(VLOOKUP($G744,'321買'!$A:$E,4,0),"'沒有資料'")</f>
        <v>801</v>
      </c>
      <c r="T744" s="186">
        <f>IFERROR(VLOOKUP($G744,基本資料!$A:$J,9,0),"無")</f>
        <v>2.6</v>
      </c>
      <c r="U744" s="307">
        <f t="shared" si="138"/>
        <v>4.4982698961937718E-2</v>
      </c>
      <c r="V744" s="94">
        <f>IFERROR(VLOOKUP($G744,基本資料!$A:$J,10,0),"無")</f>
        <v>2.94</v>
      </c>
      <c r="W744" s="36">
        <f>RTD("money.excel",,"3479","Price")</f>
        <v>57.8</v>
      </c>
      <c r="X744" s="66"/>
      <c r="Y744" s="15">
        <f t="shared" si="139"/>
        <v>57.8</v>
      </c>
      <c r="Z744" s="3" t="e">
        <f t="shared" si="140"/>
        <v>#DIV/0!</v>
      </c>
      <c r="AA744" s="340">
        <f>IFERROR(VLOOKUP($G744,基本資料!$A:$M,11,0),"無")</f>
        <v>-12.42</v>
      </c>
      <c r="AB744" s="389">
        <f>IFERROR(VLOOKUP($G744,基本資料!$A:$M,12,0),"無")</f>
        <v>50.34</v>
      </c>
      <c r="AC744" s="16" t="s">
        <v>2207</v>
      </c>
      <c r="AF744" s="33">
        <f t="shared" si="141"/>
        <v>0</v>
      </c>
      <c r="AG744" s="117" t="s">
        <v>2286</v>
      </c>
      <c r="AH744" s="66">
        <f t="shared" si="143"/>
        <v>0.40499671268902038</v>
      </c>
      <c r="AI744" s="283">
        <f>RTD("money.excel",,$G744,"PredictVolume")</f>
        <v>154</v>
      </c>
      <c r="AJ744" s="391">
        <f>IFERROR(VLOOKUP($G744,基本資料!$A:$M,13,0),"無")</f>
        <v>380.25</v>
      </c>
      <c r="AR744" s="245" t="str">
        <f>INDEX(基本資料!N:N,MATCH($G744,基本資料!A:A,0))</f>
        <v>中</v>
      </c>
    </row>
    <row r="745" spans="1:44">
      <c r="A745" s="343">
        <f>IFERROR(VLOOKUP($G745,基本資料!$A:$J,3,0),"無")</f>
        <v>7.79</v>
      </c>
      <c r="B745" s="79">
        <f>IFERROR(VLOOKUP($G745,基本資料!$A:$J,4,0),"無")</f>
        <v>35</v>
      </c>
      <c r="C745" s="79">
        <f>IFERROR(VLOOKUP($G745,基本資料!$A:$J,5,0),"無")</f>
        <v>-16</v>
      </c>
      <c r="D745" s="79">
        <f>IFERROR(VLOOKUP($G745,基本資料!$A:$J,6,0),"無")</f>
        <v>-34</v>
      </c>
      <c r="E745" s="79">
        <f>IFERROR(VLOOKUP($G745,基本資料!$A:$J,7,0),"無")</f>
        <v>-5</v>
      </c>
      <c r="F745" s="6">
        <f>IFERROR(VLOOKUP($G745,基本資料!$A:$J,8,0),"無")</f>
        <v>5.23</v>
      </c>
      <c r="G745" s="79">
        <v>3483</v>
      </c>
      <c r="H745" s="145" t="s">
        <v>1145</v>
      </c>
      <c r="I745" s="16" t="s">
        <v>472</v>
      </c>
      <c r="J745" s="8">
        <f>IFERROR(VLOOKUP($G745,今日總結!$A:$AN,39,0),"")</f>
        <v>0</v>
      </c>
      <c r="K745" s="5">
        <f>IFERROR(VLOOKUP($G745,今日總結!$A:$AN,40,0),"")</f>
        <v>0</v>
      </c>
      <c r="L745" s="156">
        <f>IFERROR(VLOOKUP($G745,今日總結!$A:$AN,37,0),"")</f>
        <v>0</v>
      </c>
      <c r="M745" s="337">
        <f>IFERROR(VLOOKUP($G745,今日總結!$A:$AN,38,0),"")</f>
        <v>0</v>
      </c>
      <c r="N745" s="240">
        <f t="shared" si="142"/>
        <v>0</v>
      </c>
      <c r="O745" s="359">
        <f>IFERROR(VLOOKUP($G745,融外自投!$A:$J,7,0),"無")</f>
        <v>9</v>
      </c>
      <c r="P745" s="79">
        <f>IFERROR(VLOOKUP($G745,融外自投!$A:$J,9,0),"無")</f>
        <v>790</v>
      </c>
      <c r="Q745" s="342">
        <f>IFERROR(VLOOKUP($G745,融外自投!$A:$J,8,0),"無")</f>
        <v>1153</v>
      </c>
      <c r="R745" s="81">
        <f>IFERROR(VLOOKUP($G745,融外自投!$A:$J,10,0),"無")</f>
        <v>269</v>
      </c>
      <c r="S745" s="324">
        <f>IFERROR(VLOOKUP($G745,'321買'!$A:$E,4,0),"'沒有資料'")</f>
        <v>214</v>
      </c>
      <c r="T745" s="186">
        <f>IFERROR(VLOOKUP($G745,基本資料!$A:$J,9,0),"無")</f>
        <v>3</v>
      </c>
      <c r="U745" s="307">
        <f t="shared" si="138"/>
        <v>4.3541364296081277E-2</v>
      </c>
      <c r="V745" s="94">
        <f>IFERROR(VLOOKUP($G745,基本資料!$A:$J,10,0),"無")</f>
        <v>5.34</v>
      </c>
      <c r="W745" s="36">
        <f>RTD("money.excel",,"3483","Price")</f>
        <v>68.900000000000006</v>
      </c>
      <c r="X745" s="66"/>
      <c r="Y745" s="15">
        <f t="shared" si="139"/>
        <v>68.900000000000006</v>
      </c>
      <c r="Z745" s="3" t="e">
        <f t="shared" si="140"/>
        <v>#DIV/0!</v>
      </c>
      <c r="AA745" s="340">
        <f>IFERROR(VLOOKUP($G745,基本資料!$A:$M,11,0),"無")</f>
        <v>-39.83</v>
      </c>
      <c r="AB745" s="389">
        <f>IFERROR(VLOOKUP($G745,基本資料!$A:$M,12,0),"無")</f>
        <v>13.22</v>
      </c>
      <c r="AC745" s="16" t="s">
        <v>472</v>
      </c>
      <c r="AF745" s="33">
        <f t="shared" si="141"/>
        <v>0</v>
      </c>
      <c r="AG745" s="43" t="s">
        <v>2925</v>
      </c>
      <c r="AH745" s="66">
        <f t="shared" si="143"/>
        <v>0.73369565217391308</v>
      </c>
      <c r="AI745" s="283">
        <f>RTD("money.excel",,$G745,"PredictVolume")</f>
        <v>405</v>
      </c>
      <c r="AJ745" s="391">
        <f>IFERROR(VLOOKUP($G745,基本資料!$A:$M,13,0),"無")</f>
        <v>552</v>
      </c>
      <c r="AR745" s="245" t="str">
        <f>INDEX(基本資料!N:N,MATCH($G745,基本資料!A:A,0))</f>
        <v>低</v>
      </c>
    </row>
    <row r="746" spans="1:44">
      <c r="A746" s="343">
        <f>IFERROR(VLOOKUP($G746,基本資料!$A:$J,3,0),"無")</f>
        <v>12</v>
      </c>
      <c r="B746" s="79">
        <f>IFERROR(VLOOKUP($G746,基本資料!$A:$J,4,0),"無")</f>
        <v>67</v>
      </c>
      <c r="C746" s="79">
        <f>IFERROR(VLOOKUP($G746,基本資料!$A:$J,5,0),"無")</f>
        <v>51</v>
      </c>
      <c r="D746" s="79">
        <f>IFERROR(VLOOKUP($G746,基本資料!$A:$J,6,0),"無")</f>
        <v>10</v>
      </c>
      <c r="E746" s="79">
        <f>IFERROR(VLOOKUP($G746,基本資料!$A:$J,7,0),"無")</f>
        <v>15</v>
      </c>
      <c r="F746" s="6">
        <f>IFERROR(VLOOKUP($G746,基本資料!$A:$J,8,0),"無")</f>
        <v>-53.7</v>
      </c>
      <c r="G746" s="79">
        <v>3494</v>
      </c>
      <c r="H746" s="192" t="s">
        <v>1145</v>
      </c>
      <c r="I746" s="22" t="s">
        <v>465</v>
      </c>
      <c r="J746" s="8" t="str">
        <f>IFERROR(VLOOKUP($G746,今日總結!$A:$AN,39,0),"")</f>
        <v/>
      </c>
      <c r="K746" s="5" t="str">
        <f>IFERROR(VLOOKUP($G746,今日總結!$A:$AN,40,0),"")</f>
        <v/>
      </c>
      <c r="L746" s="156" t="str">
        <f>IFERROR(VLOOKUP($G746,今日總結!$A:$AN,37,0),"")</f>
        <v/>
      </c>
      <c r="M746" s="337" t="str">
        <f>IFERROR(VLOOKUP($G746,今日總結!$A:$AN,38,0),"")</f>
        <v/>
      </c>
      <c r="N746" s="240" t="str">
        <f t="shared" si="142"/>
        <v/>
      </c>
      <c r="O746" s="359" t="str">
        <f>IFERROR(VLOOKUP($G746,融外自投!$A:$J,7,0),"無")</f>
        <v>無</v>
      </c>
      <c r="P746" s="79" t="str">
        <f>IFERROR(VLOOKUP($G746,融外自投!$A:$J,9,0),"無")</f>
        <v>無</v>
      </c>
      <c r="Q746" s="342" t="str">
        <f>IFERROR(VLOOKUP($G746,融外自投!$A:$J,8,0),"無")</f>
        <v>無</v>
      </c>
      <c r="R746" s="81" t="str">
        <f>IFERROR(VLOOKUP($G746,融外自投!$A:$J,10,0),"無")</f>
        <v>無</v>
      </c>
      <c r="S746" s="324" t="str">
        <f>IFERROR(VLOOKUP($G746,'321買'!$A:$E,4,0),"'沒有資料'")</f>
        <v>'沒有資料'</v>
      </c>
      <c r="T746" s="186">
        <f>IFERROR(VLOOKUP($G746,基本資料!$A:$J,9,0),"無")</f>
        <v>0</v>
      </c>
      <c r="U746" s="307">
        <f t="shared" si="138"/>
        <v>0</v>
      </c>
      <c r="V746" s="94">
        <f>IFERROR(VLOOKUP($G746,基本資料!$A:$J,10,0),"無")</f>
        <v>-1.57</v>
      </c>
      <c r="W746" s="36">
        <f>RTD("money.excel",,"3494","Price")</f>
        <v>6.06</v>
      </c>
      <c r="X746" s="66"/>
      <c r="Y746" s="15">
        <f t="shared" si="139"/>
        <v>6.06</v>
      </c>
      <c r="Z746" s="3" t="e">
        <f t="shared" si="140"/>
        <v>#DIV/0!</v>
      </c>
      <c r="AA746" s="340">
        <f>IFERROR(VLOOKUP($G746,基本資料!$A:$M,11,0),"無")</f>
        <v>-5.0199999999999996</v>
      </c>
      <c r="AB746" s="389">
        <f>IFERROR(VLOOKUP($G746,基本資料!$A:$M,12,0),"無")</f>
        <v>85.72</v>
      </c>
      <c r="AC746" s="22" t="s">
        <v>465</v>
      </c>
      <c r="AF746" s="33">
        <f t="shared" si="141"/>
        <v>0</v>
      </c>
      <c r="AG746" s="43" t="s">
        <v>2728</v>
      </c>
      <c r="AH746" s="66">
        <f t="shared" si="143"/>
        <v>1.642512077294686</v>
      </c>
      <c r="AI746" s="283">
        <f>RTD("money.excel",,$G746,"PredictVolume")</f>
        <v>170</v>
      </c>
      <c r="AJ746" s="391">
        <f>IFERROR(VLOOKUP($G746,基本資料!$A:$M,13,0),"無")</f>
        <v>103.5</v>
      </c>
      <c r="AR746" s="245" t="str">
        <f>INDEX(基本資料!N:N,MATCH($G746,基本資料!A:A,0))</f>
        <v>高</v>
      </c>
    </row>
    <row r="747" spans="1:44">
      <c r="A747" s="343">
        <f>IFERROR(VLOOKUP($G747,基本資料!$A:$J,3,0),"無")</f>
        <v>12.29</v>
      </c>
      <c r="B747" s="79">
        <f>IFERROR(VLOOKUP($G747,基本資料!$A:$J,4,0),"無")</f>
        <v>63</v>
      </c>
      <c r="C747" s="79">
        <f>IFERROR(VLOOKUP($G747,基本資料!$A:$J,5,0),"無")</f>
        <v>64</v>
      </c>
      <c r="D747" s="79">
        <f>IFERROR(VLOOKUP($G747,基本資料!$A:$J,6,0),"無")</f>
        <v>-24</v>
      </c>
      <c r="E747" s="79">
        <f>IFERROR(VLOOKUP($G747,基本資料!$A:$J,7,0),"無")</f>
        <v>-39</v>
      </c>
      <c r="F747" s="6">
        <f>IFERROR(VLOOKUP($G747,基本資料!$A:$J,8,0),"無")</f>
        <v>15.47</v>
      </c>
      <c r="G747" s="79">
        <v>3515</v>
      </c>
      <c r="H747" s="192" t="s">
        <v>1145</v>
      </c>
      <c r="I747" s="22" t="s">
        <v>466</v>
      </c>
      <c r="J747" s="8">
        <f>IFERROR(VLOOKUP($G747,今日總結!$A:$AN,39,0),"")</f>
        <v>0</v>
      </c>
      <c r="K747" s="5">
        <f>IFERROR(VLOOKUP($G747,今日總結!$A:$AN,40,0),"")</f>
        <v>0</v>
      </c>
      <c r="L747" s="156">
        <f>IFERROR(VLOOKUP($G747,今日總結!$A:$AN,37,0),"")</f>
        <v>0</v>
      </c>
      <c r="M747" s="337">
        <f>IFERROR(VLOOKUP($G747,今日總結!$A:$AN,38,0),"")</f>
        <v>0</v>
      </c>
      <c r="N747" s="240">
        <f t="shared" si="142"/>
        <v>0</v>
      </c>
      <c r="O747" s="359">
        <f>IFERROR(VLOOKUP($G747,融外自投!$A:$J,7,0),"無")</f>
        <v>797</v>
      </c>
      <c r="P747" s="79">
        <f>IFERROR(VLOOKUP($G747,融外自投!$A:$J,9,0),"無")</f>
        <v>990</v>
      </c>
      <c r="Q747" s="342">
        <f>IFERROR(VLOOKUP($G747,融外自投!$A:$J,8,0),"無")</f>
        <v>430</v>
      </c>
      <c r="R747" s="81">
        <f>IFERROR(VLOOKUP($G747,融外自投!$A:$J,10,0),"無")</f>
        <v>213</v>
      </c>
      <c r="S747" s="324">
        <f>IFERROR(VLOOKUP($G747,'321買'!$A:$E,4,0),"'沒有資料'")</f>
        <v>130</v>
      </c>
      <c r="T747" s="186">
        <f>IFERROR(VLOOKUP($G747,基本資料!$A:$J,9,0),"無")</f>
        <v>13</v>
      </c>
      <c r="U747" s="307">
        <f t="shared" si="138"/>
        <v>8.387096774193549E-2</v>
      </c>
      <c r="V747" s="94">
        <f>IFERROR(VLOOKUP($G747,基本資料!$A:$J,10,0),"無")</f>
        <v>19.670000000000002</v>
      </c>
      <c r="W747" s="36">
        <f>RTD("money.excel",,"3515","Price")</f>
        <v>155</v>
      </c>
      <c r="X747" s="66"/>
      <c r="Y747" s="15">
        <f t="shared" si="139"/>
        <v>155</v>
      </c>
      <c r="Z747" s="3" t="e">
        <f t="shared" si="140"/>
        <v>#DIV/0!</v>
      </c>
      <c r="AA747" s="340">
        <f>IFERROR(VLOOKUP($G747,基本資料!$A:$M,11,0),"無")</f>
        <v>-46.74</v>
      </c>
      <c r="AB747" s="389">
        <f>IFERROR(VLOOKUP($G747,基本資料!$A:$M,12,0),"無")</f>
        <v>8.9600000000000009</v>
      </c>
      <c r="AC747" s="22" t="s">
        <v>466</v>
      </c>
      <c r="AF747" s="33">
        <f t="shared" si="141"/>
        <v>0</v>
      </c>
      <c r="AG747" s="43" t="s">
        <v>2718</v>
      </c>
      <c r="AH747" s="66">
        <f t="shared" si="143"/>
        <v>0.49100695811999473</v>
      </c>
      <c r="AI747" s="283">
        <f>RTD("money.excel",,$G747,"PredictVolume")</f>
        <v>374</v>
      </c>
      <c r="AJ747" s="391">
        <f>IFERROR(VLOOKUP($G747,基本資料!$A:$M,13,0),"無")</f>
        <v>761.7</v>
      </c>
      <c r="AL747" s="239"/>
      <c r="AR747" s="245" t="str">
        <f>INDEX(基本資料!N:N,MATCH($G747,基本資料!A:A,0))</f>
        <v>低</v>
      </c>
    </row>
    <row r="748" spans="1:44">
      <c r="A748" s="343">
        <f>IFERROR(VLOOKUP($G748,基本資料!$A:$J,3,0),"無")</f>
        <v>4.72</v>
      </c>
      <c r="B748" s="79">
        <f>IFERROR(VLOOKUP($G748,基本資料!$A:$J,4,0),"無")</f>
        <v>-93</v>
      </c>
      <c r="C748" s="79">
        <f>IFERROR(VLOOKUP($G748,基本資料!$A:$J,5,0),"無")</f>
        <v>-11</v>
      </c>
      <c r="D748" s="79">
        <f>IFERROR(VLOOKUP($G748,基本資料!$A:$J,6,0),"無")</f>
        <v>10</v>
      </c>
      <c r="E748" s="79">
        <f>IFERROR(VLOOKUP($G748,基本資料!$A:$J,7,0),"無")</f>
        <v>-22</v>
      </c>
      <c r="F748" s="6">
        <f>IFERROR(VLOOKUP($G748,基本資料!$A:$J,8,0),"無")</f>
        <v>-14.21</v>
      </c>
      <c r="G748" s="79">
        <v>3521</v>
      </c>
      <c r="H748" s="145" t="s">
        <v>1145</v>
      </c>
      <c r="I748" s="16" t="s">
        <v>2208</v>
      </c>
      <c r="J748" s="8">
        <f>IFERROR(VLOOKUP($G748,今日總結!$A:$AN,39,0),"")</f>
        <v>0</v>
      </c>
      <c r="K748" s="5">
        <f>IFERROR(VLOOKUP($G748,今日總結!$A:$AN,40,0),"")</f>
        <v>0</v>
      </c>
      <c r="L748" s="156">
        <f>IFERROR(VLOOKUP($G748,今日總結!$A:$AN,37,0),"")</f>
        <v>0</v>
      </c>
      <c r="M748" s="337">
        <f>IFERROR(VLOOKUP($G748,今日總結!$A:$AN,38,0),"")</f>
        <v>0</v>
      </c>
      <c r="N748" s="240">
        <f t="shared" si="142"/>
        <v>0</v>
      </c>
      <c r="O748" s="359" t="str">
        <f>IFERROR(VLOOKUP($G748,融外自投!$A:$J,7,0),"無")</f>
        <v>無</v>
      </c>
      <c r="P748" s="79" t="str">
        <f>IFERROR(VLOOKUP($G748,融外自投!$A:$J,9,0),"無")</f>
        <v>無</v>
      </c>
      <c r="Q748" s="342" t="str">
        <f>IFERROR(VLOOKUP($G748,融外自投!$A:$J,8,0),"無")</f>
        <v>無</v>
      </c>
      <c r="R748" s="81" t="str">
        <f>IFERROR(VLOOKUP($G748,融外自投!$A:$J,10,0),"無")</f>
        <v>無</v>
      </c>
      <c r="S748" s="324">
        <f>IFERROR(VLOOKUP($G748,'321買'!$A:$E,4,0),"'沒有資料'")</f>
        <v>801</v>
      </c>
      <c r="T748" s="186">
        <f>IFERROR(VLOOKUP($G748,基本資料!$A:$J,9,0),"無")</f>
        <v>0</v>
      </c>
      <c r="U748" s="307">
        <f t="shared" si="138"/>
        <v>0</v>
      </c>
      <c r="V748" s="94">
        <f>IFERROR(VLOOKUP($G748,基本資料!$A:$J,10,0),"無")</f>
        <v>-1.68</v>
      </c>
      <c r="W748" s="36">
        <f>RTD("money.excel",,"3521","Price")</f>
        <v>14</v>
      </c>
      <c r="X748" s="66"/>
      <c r="Y748" s="15">
        <f t="shared" si="139"/>
        <v>14</v>
      </c>
      <c r="Z748" s="3" t="e">
        <f t="shared" si="140"/>
        <v>#DIV/0!</v>
      </c>
      <c r="AA748" s="340">
        <f>IFERROR(VLOOKUP($G748,基本資料!$A:$M,11,0),"無")</f>
        <v>-10.54</v>
      </c>
      <c r="AB748" s="389">
        <f>IFERROR(VLOOKUP($G748,基本資料!$A:$M,12,0),"無")</f>
        <v>54.27</v>
      </c>
      <c r="AC748" s="16" t="s">
        <v>2208</v>
      </c>
      <c r="AF748" s="33">
        <f t="shared" si="141"/>
        <v>0</v>
      </c>
      <c r="AG748" s="43" t="s">
        <v>2394</v>
      </c>
      <c r="AH748" s="66">
        <f t="shared" si="143"/>
        <v>1.9639934533551555</v>
      </c>
      <c r="AI748" s="283">
        <f>RTD("money.excel",,$G748,"PredictVolume")</f>
        <v>60</v>
      </c>
      <c r="AJ748" s="391">
        <f>IFERROR(VLOOKUP($G748,基本資料!$A:$M,13,0),"無")</f>
        <v>30.55</v>
      </c>
      <c r="AR748" s="245" t="str">
        <f>INDEX(基本資料!N:N,MATCH($G748,基本資料!A:A,0))</f>
        <v>高</v>
      </c>
    </row>
    <row r="749" spans="1:44">
      <c r="A749" s="343">
        <f>IFERROR(VLOOKUP($G749,基本資料!$A:$J,3,0),"無")</f>
        <v>7.3</v>
      </c>
      <c r="B749" s="79">
        <f>IFERROR(VLOOKUP($G749,基本資料!$A:$J,4,0),"無")</f>
        <v>-56</v>
      </c>
      <c r="C749" s="79">
        <f>IFERROR(VLOOKUP($G749,基本資料!$A:$J,5,0),"無")</f>
        <v>-46</v>
      </c>
      <c r="D749" s="79">
        <f>IFERROR(VLOOKUP($G749,基本資料!$A:$J,6,0),"無")</f>
        <v>-7</v>
      </c>
      <c r="E749" s="79">
        <f>IFERROR(VLOOKUP($G749,基本資料!$A:$J,7,0),"無")</f>
        <v>-51</v>
      </c>
      <c r="F749" s="6">
        <f>IFERROR(VLOOKUP($G749,基本資料!$A:$J,8,0),"無")</f>
        <v>7.89</v>
      </c>
      <c r="G749" s="79">
        <v>3540</v>
      </c>
      <c r="H749" s="145" t="s">
        <v>1145</v>
      </c>
      <c r="I749" s="16" t="s">
        <v>4086</v>
      </c>
      <c r="J749" s="8">
        <f>IFERROR(VLOOKUP($G749,今日總結!$A:$AN,39,0),"")</f>
        <v>0</v>
      </c>
      <c r="K749" s="5">
        <f>IFERROR(VLOOKUP($G749,今日總結!$A:$AN,40,0),"")</f>
        <v>0</v>
      </c>
      <c r="L749" s="156">
        <f>IFERROR(VLOOKUP($G749,今日總結!$A:$AN,37,0),"")</f>
        <v>0</v>
      </c>
      <c r="M749" s="337">
        <f>IFERROR(VLOOKUP($G749,今日總結!$A:$AN,38,0),"")</f>
        <v>0</v>
      </c>
      <c r="N749" s="240">
        <f t="shared" si="142"/>
        <v>0</v>
      </c>
      <c r="O749" s="359">
        <f>IFERROR(VLOOKUP($G749,融外自投!$A:$J,7,0),"無")</f>
        <v>592</v>
      </c>
      <c r="P749" s="79" t="str">
        <f>IFERROR(VLOOKUP($G749,融外自投!$A:$J,9,0),"無")</f>
        <v>無</v>
      </c>
      <c r="Q749" s="342">
        <f>IFERROR(VLOOKUP($G749,融外自投!$A:$J,8,0),"無")</f>
        <v>1013</v>
      </c>
      <c r="R749" s="81" t="str">
        <f>IFERROR(VLOOKUP($G749,融外自投!$A:$J,10,0),"無")</f>
        <v>無</v>
      </c>
      <c r="S749" s="324">
        <f>IFERROR(VLOOKUP($G749,'321買'!$A:$E,4,0),"'沒有資料'")</f>
        <v>1002</v>
      </c>
      <c r="T749" s="186">
        <f>IFERROR(VLOOKUP($G749,基本資料!$A:$J,9,0),"無")</f>
        <v>1.6</v>
      </c>
      <c r="U749" s="307">
        <f t="shared" si="138"/>
        <v>6.2015503875968991E-2</v>
      </c>
      <c r="V749" s="94">
        <f>IFERROR(VLOOKUP($G749,基本資料!$A:$J,10,0),"無")</f>
        <v>3.06</v>
      </c>
      <c r="W749" s="36">
        <f>RTD("money.excel",,"3540","Price")</f>
        <v>25.8</v>
      </c>
      <c r="X749" s="66"/>
      <c r="Y749" s="15">
        <f t="shared" si="139"/>
        <v>25.8</v>
      </c>
      <c r="Z749" s="3" t="e">
        <f t="shared" si="140"/>
        <v>#DIV/0!</v>
      </c>
      <c r="AA749" s="340">
        <f>IFERROR(VLOOKUP($G749,基本資料!$A:$M,11,0),"無")</f>
        <v>-62.82</v>
      </c>
      <c r="AB749" s="389">
        <f>IFERROR(VLOOKUP($G749,基本資料!$A:$M,12,0),"無")</f>
        <v>6.99</v>
      </c>
      <c r="AC749" s="16" t="s">
        <v>4086</v>
      </c>
      <c r="AF749" s="33">
        <f t="shared" si="141"/>
        <v>0</v>
      </c>
      <c r="AG749" s="117" t="s">
        <v>3520</v>
      </c>
      <c r="AH749" s="66">
        <f t="shared" si="143"/>
        <v>1.1913357400722022</v>
      </c>
      <c r="AI749" s="283">
        <f>RTD("money.excel",,$G749,"PredictVolume")</f>
        <v>165</v>
      </c>
      <c r="AJ749" s="391">
        <f>IFERROR(VLOOKUP($G749,基本資料!$A:$M,13,0),"無")</f>
        <v>138.5</v>
      </c>
      <c r="AR749" s="245" t="str">
        <f>INDEX(基本資料!N:N,MATCH($G749,基本資料!A:A,0))</f>
        <v>低</v>
      </c>
    </row>
    <row r="750" spans="1:44">
      <c r="A750" s="343">
        <f>IFERROR(VLOOKUP($G750,基本資料!$A:$J,3,0),"無")</f>
        <v>5.28</v>
      </c>
      <c r="B750" s="79">
        <f>IFERROR(VLOOKUP($G750,基本資料!$A:$J,4,0),"無")</f>
        <v>326</v>
      </c>
      <c r="C750" s="79">
        <f>IFERROR(VLOOKUP($G750,基本資料!$A:$J,5,0),"無")</f>
        <v>338</v>
      </c>
      <c r="D750" s="79">
        <f>IFERROR(VLOOKUP($G750,基本資料!$A:$J,6,0),"無")</f>
        <v>24</v>
      </c>
      <c r="E750" s="79">
        <f>IFERROR(VLOOKUP($G750,基本資料!$A:$J,7,0),"無")</f>
        <v>17</v>
      </c>
      <c r="F750" s="6">
        <f>IFERROR(VLOOKUP($G750,基本資料!$A:$J,8,0),"無")</f>
        <v>19.850000000000001</v>
      </c>
      <c r="G750" s="79">
        <v>3577</v>
      </c>
      <c r="H750" s="145" t="s">
        <v>1145</v>
      </c>
      <c r="I750" s="16" t="s">
        <v>2209</v>
      </c>
      <c r="J750" s="8">
        <f>IFERROR(VLOOKUP($G750,今日總結!$A:$AN,39,0),"")</f>
        <v>0</v>
      </c>
      <c r="K750" s="5" t="str">
        <f>IFERROR(VLOOKUP($G750,今日總結!$A:$AN,40,0),"")</f>
        <v>主</v>
      </c>
      <c r="L750" s="156">
        <f>IFERROR(VLOOKUP($G750,今日總結!$A:$AN,37,0),"")</f>
        <v>0</v>
      </c>
      <c r="M750" s="337">
        <f>IFERROR(VLOOKUP($G750,今日總結!$A:$AN,38,0),"")</f>
        <v>1</v>
      </c>
      <c r="N750" s="240">
        <f t="shared" si="142"/>
        <v>-1</v>
      </c>
      <c r="O750" s="359">
        <f>IFERROR(VLOOKUP($G750,融外自投!$A:$J,7,0),"無")</f>
        <v>608</v>
      </c>
      <c r="P750" s="79">
        <f>IFERROR(VLOOKUP($G750,融外自投!$A:$J,9,0),"無")</f>
        <v>717</v>
      </c>
      <c r="Q750" s="342">
        <f>IFERROR(VLOOKUP($G750,融外自投!$A:$J,8,0),"無")</f>
        <v>1156</v>
      </c>
      <c r="R750" s="81" t="str">
        <f>IFERROR(VLOOKUP($G750,融外自投!$A:$J,10,0),"無")</f>
        <v>無</v>
      </c>
      <c r="S750" s="324">
        <f>IFERROR(VLOOKUP($G750,'321買'!$A:$E,4,0),"'沒有資料'")</f>
        <v>1002</v>
      </c>
      <c r="T750" s="186">
        <f>IFERROR(VLOOKUP($G750,基本資料!$A:$J,9,0),"無")</f>
        <v>2.5</v>
      </c>
      <c r="U750" s="307">
        <f t="shared" si="138"/>
        <v>3.342245989304813E-2</v>
      </c>
      <c r="V750" s="94">
        <f>IFERROR(VLOOKUP($G750,基本資料!$A:$J,10,0),"無")</f>
        <v>3.23</v>
      </c>
      <c r="W750" s="36">
        <f>RTD("money.excel",,"3577","Price")</f>
        <v>74.8</v>
      </c>
      <c r="X750" s="66"/>
      <c r="Y750" s="15">
        <f t="shared" si="139"/>
        <v>74.8</v>
      </c>
      <c r="Z750" s="3" t="e">
        <f t="shared" si="140"/>
        <v>#DIV/0!</v>
      </c>
      <c r="AA750" s="340">
        <f>IFERROR(VLOOKUP($G750,基本資料!$A:$M,11,0),"無")</f>
        <v>-19.14</v>
      </c>
      <c r="AB750" s="389">
        <f>IFERROR(VLOOKUP($G750,基本資料!$A:$M,12,0),"無")</f>
        <v>31.52</v>
      </c>
      <c r="AC750" s="16" t="s">
        <v>2209</v>
      </c>
      <c r="AF750" s="33">
        <f t="shared" si="141"/>
        <v>0</v>
      </c>
      <c r="AG750" s="43" t="s">
        <v>2232</v>
      </c>
      <c r="AH750" s="66">
        <f t="shared" si="143"/>
        <v>0.67796610169491534</v>
      </c>
      <c r="AI750" s="283">
        <f>RTD("money.excel",,$G750,"PredictVolume")</f>
        <v>76</v>
      </c>
      <c r="AJ750" s="391">
        <f>IFERROR(VLOOKUP($G750,基本資料!$A:$M,13,0),"無")</f>
        <v>112.1</v>
      </c>
      <c r="AR750" s="245" t="str">
        <f>INDEX(基本資料!N:N,MATCH($G750,基本資料!A:A,0))</f>
        <v>中</v>
      </c>
    </row>
    <row r="751" spans="1:44">
      <c r="A751" s="343">
        <f>IFERROR(VLOOKUP($G751,基本資料!$A:$J,3,0),"無")</f>
        <v>9.06</v>
      </c>
      <c r="B751" s="79">
        <f>IFERROR(VLOOKUP($G751,基本資料!$A:$J,4,0),"無")</f>
        <v>154</v>
      </c>
      <c r="C751" s="79">
        <f>IFERROR(VLOOKUP($G751,基本資料!$A:$J,5,0),"無")</f>
        <v>-12</v>
      </c>
      <c r="D751" s="79">
        <f>IFERROR(VLOOKUP($G751,基本資料!$A:$J,6,0),"無")</f>
        <v>12</v>
      </c>
      <c r="E751" s="79">
        <f>IFERROR(VLOOKUP($G751,基本資料!$A:$J,7,0),"無")</f>
        <v>0</v>
      </c>
      <c r="F751" s="6">
        <f>IFERROR(VLOOKUP($G751,基本資料!$A:$J,8,0),"無")</f>
        <v>2.1</v>
      </c>
      <c r="G751" s="79">
        <v>3594</v>
      </c>
      <c r="H751" s="145" t="s">
        <v>1145</v>
      </c>
      <c r="I751" s="16" t="s">
        <v>2210</v>
      </c>
      <c r="J751" s="8">
        <f>IFERROR(VLOOKUP($G751,今日總結!$A:$AN,39,0),"")</f>
        <v>0</v>
      </c>
      <c r="K751" s="5" t="str">
        <f>IFERROR(VLOOKUP($G751,今日總結!$A:$AN,40,0),"")</f>
        <v>主</v>
      </c>
      <c r="L751" s="156">
        <f>IFERROR(VLOOKUP($G751,今日總結!$A:$AN,37,0),"")</f>
        <v>0</v>
      </c>
      <c r="M751" s="337">
        <f>IFERROR(VLOOKUP($G751,今日總結!$A:$AN,38,0),"")</f>
        <v>2</v>
      </c>
      <c r="N751" s="240">
        <f t="shared" si="142"/>
        <v>-2</v>
      </c>
      <c r="O751" s="359">
        <f>IFERROR(VLOOKUP($G751,融外自投!$A:$J,7,0),"無")</f>
        <v>156</v>
      </c>
      <c r="P751" s="79">
        <f>IFERROR(VLOOKUP($G751,融外自投!$A:$J,9,0),"無")</f>
        <v>378</v>
      </c>
      <c r="Q751" s="342">
        <f>IFERROR(VLOOKUP($G751,融外自投!$A:$J,8,0),"無")</f>
        <v>1387</v>
      </c>
      <c r="R751" s="81">
        <f>IFERROR(VLOOKUP($G751,融外自投!$A:$J,10,0),"無")</f>
        <v>139</v>
      </c>
      <c r="S751" s="324">
        <f>IFERROR(VLOOKUP($G751,'321買'!$A:$E,4,0),"'沒有資料'")</f>
        <v>891</v>
      </c>
      <c r="T751" s="186">
        <f>IFERROR(VLOOKUP($G751,基本資料!$A:$J,9,0),"無")</f>
        <v>0.1</v>
      </c>
      <c r="U751" s="307">
        <f t="shared" si="138"/>
        <v>4.4444444444444444E-3</v>
      </c>
      <c r="V751" s="94">
        <f>IFERROR(VLOOKUP($G751,基本資料!$A:$J,10,0),"無")</f>
        <v>0.3</v>
      </c>
      <c r="W751" s="36">
        <f>RTD("money.excel",,"3594","Price")</f>
        <v>22.5</v>
      </c>
      <c r="X751" s="66"/>
      <c r="Y751" s="15">
        <f t="shared" si="139"/>
        <v>22.5</v>
      </c>
      <c r="Z751" s="3" t="e">
        <f t="shared" si="140"/>
        <v>#DIV/0!</v>
      </c>
      <c r="AA751" s="340">
        <f>IFERROR(VLOOKUP($G751,基本資料!$A:$M,11,0),"無")</f>
        <v>-19.21</v>
      </c>
      <c r="AB751" s="389">
        <f>IFERROR(VLOOKUP($G751,基本資料!$A:$M,12,0),"無")</f>
        <v>20.2</v>
      </c>
      <c r="AC751" s="16" t="s">
        <v>2210</v>
      </c>
      <c r="AF751" s="33">
        <f t="shared" si="141"/>
        <v>0</v>
      </c>
      <c r="AG751" s="43" t="s">
        <v>2232</v>
      </c>
      <c r="AH751" s="66">
        <f t="shared" si="143"/>
        <v>1.0205513784461153</v>
      </c>
      <c r="AI751" s="283">
        <f>RTD("money.excel",,$G751,"PredictVolume")</f>
        <v>509</v>
      </c>
      <c r="AJ751" s="391">
        <f>IFERROR(VLOOKUP($G751,基本資料!$A:$M,13,0),"無")</f>
        <v>498.75</v>
      </c>
      <c r="AR751" s="245" t="str">
        <f>INDEX(基本資料!N:N,MATCH($G751,基本資料!A:A,0))</f>
        <v>低</v>
      </c>
    </row>
    <row r="752" spans="1:44">
      <c r="A752" s="343">
        <f>IFERROR(VLOOKUP($G752,基本資料!$A:$J,3,0),"無")</f>
        <v>4.24</v>
      </c>
      <c r="B752" s="79">
        <f>IFERROR(VLOOKUP($G752,基本資料!$A:$J,4,0),"無")</f>
        <v>9</v>
      </c>
      <c r="C752" s="79">
        <f>IFERROR(VLOOKUP($G752,基本資料!$A:$J,5,0),"無")</f>
        <v>14</v>
      </c>
      <c r="D752" s="79">
        <f>IFERROR(VLOOKUP($G752,基本資料!$A:$J,6,0),"無")</f>
        <v>-4</v>
      </c>
      <c r="E752" s="79">
        <f>IFERROR(VLOOKUP($G752,基本資料!$A:$J,7,0),"無")</f>
        <v>7</v>
      </c>
      <c r="F752" s="6">
        <f>IFERROR(VLOOKUP($G752,基本資料!$A:$J,8,0),"無")</f>
        <v>15.33</v>
      </c>
      <c r="G752" s="79">
        <v>3611</v>
      </c>
      <c r="H752" s="145" t="s">
        <v>1145</v>
      </c>
      <c r="I752" s="16" t="s">
        <v>2211</v>
      </c>
      <c r="J752" s="8">
        <f>IFERROR(VLOOKUP($G752,今日總結!$A:$AN,39,0),"")</f>
        <v>0</v>
      </c>
      <c r="K752" s="5" t="str">
        <f>IFERROR(VLOOKUP($G752,今日總結!$A:$AN,40,0),"")</f>
        <v>主</v>
      </c>
      <c r="L752" s="156">
        <f>IFERROR(VLOOKUP($G752,今日總結!$A:$AN,37,0),"")</f>
        <v>0</v>
      </c>
      <c r="M752" s="337">
        <f>IFERROR(VLOOKUP($G752,今日總結!$A:$AN,38,0),"")</f>
        <v>3</v>
      </c>
      <c r="N752" s="240">
        <f t="shared" si="142"/>
        <v>-3</v>
      </c>
      <c r="O752" s="359">
        <f>IFERROR(VLOOKUP($G752,融外自投!$A:$J,7,0),"無")</f>
        <v>1225</v>
      </c>
      <c r="P752" s="79">
        <f>IFERROR(VLOOKUP($G752,融外自投!$A:$J,9,0),"無")</f>
        <v>403</v>
      </c>
      <c r="Q752" s="342">
        <f>IFERROR(VLOOKUP($G752,融外自投!$A:$J,8,0),"無")</f>
        <v>467</v>
      </c>
      <c r="R752" s="81">
        <f>IFERROR(VLOOKUP($G752,融外自投!$A:$J,10,0),"無")</f>
        <v>495</v>
      </c>
      <c r="S752" s="324">
        <f>IFERROR(VLOOKUP($G752,'321買'!$A:$E,4,0),"'沒有資料'")</f>
        <v>1002</v>
      </c>
      <c r="T752" s="186">
        <f>IFERROR(VLOOKUP($G752,基本資料!$A:$J,9,0),"無")</f>
        <v>11</v>
      </c>
      <c r="U752" s="307">
        <f t="shared" si="138"/>
        <v>6.4705882352941183E-2</v>
      </c>
      <c r="V752" s="94">
        <f>IFERROR(VLOOKUP($G752,基本資料!$A:$J,10,0),"無")</f>
        <v>18.47</v>
      </c>
      <c r="W752" s="36">
        <f>RTD("money.excel",,"3611","Price")</f>
        <v>170</v>
      </c>
      <c r="X752" s="66"/>
      <c r="Y752" s="15">
        <f t="shared" si="139"/>
        <v>170</v>
      </c>
      <c r="Z752" s="3" t="e">
        <f t="shared" si="140"/>
        <v>#DIV/0!</v>
      </c>
      <c r="AA752" s="340">
        <f>IFERROR(VLOOKUP($G752,基本資料!$A:$M,11,0),"無")</f>
        <v>-31.17</v>
      </c>
      <c r="AB752" s="389">
        <f>IFERROR(VLOOKUP($G752,基本資料!$A:$M,12,0),"無")</f>
        <v>7.42</v>
      </c>
      <c r="AC752" s="16" t="s">
        <v>2211</v>
      </c>
      <c r="AF752" s="33">
        <f t="shared" si="141"/>
        <v>0</v>
      </c>
      <c r="AG752" s="117" t="s">
        <v>2888</v>
      </c>
      <c r="AH752" s="66">
        <f t="shared" si="143"/>
        <v>2.3866790009250693</v>
      </c>
      <c r="AI752" s="283">
        <f>RTD("money.excel",,$G752,"PredictVolume")</f>
        <v>129</v>
      </c>
      <c r="AJ752" s="391">
        <f>IFERROR(VLOOKUP($G752,基本資料!$A:$M,13,0),"無")</f>
        <v>54.05</v>
      </c>
      <c r="AR752" s="245" t="str">
        <f>INDEX(基本資料!N:N,MATCH($G752,基本資料!A:A,0))</f>
        <v>低</v>
      </c>
    </row>
    <row r="753" spans="1:44">
      <c r="A753" s="343">
        <f>IFERROR(VLOOKUP($G753,基本資料!$A:$J,3,0),"無")</f>
        <v>11.41</v>
      </c>
      <c r="B753" s="79">
        <f>IFERROR(VLOOKUP($G753,基本資料!$A:$J,4,0),"無")</f>
        <v>-2</v>
      </c>
      <c r="C753" s="79">
        <f>IFERROR(VLOOKUP($G753,基本資料!$A:$J,5,0),"無")</f>
        <v>-4</v>
      </c>
      <c r="D753" s="79">
        <f>IFERROR(VLOOKUP($G753,基本資料!$A:$J,6,0),"無")</f>
        <v>-4</v>
      </c>
      <c r="E753" s="79">
        <f>IFERROR(VLOOKUP($G753,基本資料!$A:$J,7,0),"無")</f>
        <v>0</v>
      </c>
      <c r="F753" s="6">
        <f>IFERROR(VLOOKUP($G753,基本資料!$A:$J,8,0),"無")</f>
        <v>-5.2</v>
      </c>
      <c r="G753" s="79">
        <v>3625</v>
      </c>
      <c r="H753" s="145" t="s">
        <v>1145</v>
      </c>
      <c r="I753" s="24" t="s">
        <v>2212</v>
      </c>
      <c r="J753" s="8">
        <f>IFERROR(VLOOKUP($G753,今日總結!$A:$AN,39,0),"")</f>
        <v>0</v>
      </c>
      <c r="K753" s="5">
        <f>IFERROR(VLOOKUP($G753,今日總結!$A:$AN,40,0),"")</f>
        <v>0</v>
      </c>
      <c r="L753" s="156">
        <f>IFERROR(VLOOKUP($G753,今日總結!$A:$AN,37,0),"")</f>
        <v>0</v>
      </c>
      <c r="M753" s="337">
        <f>IFERROR(VLOOKUP($G753,今日總結!$A:$AN,38,0),"")</f>
        <v>0</v>
      </c>
      <c r="N753" s="240">
        <f t="shared" si="142"/>
        <v>0</v>
      </c>
      <c r="O753" s="359">
        <f>IFERROR(VLOOKUP($G753,融外自投!$A:$J,7,0),"無")</f>
        <v>529</v>
      </c>
      <c r="P753" s="79" t="str">
        <f>IFERROR(VLOOKUP($G753,融外自投!$A:$J,9,0),"無")</f>
        <v>無</v>
      </c>
      <c r="Q753" s="342">
        <f>IFERROR(VLOOKUP($G753,融外自投!$A:$J,8,0),"無")</f>
        <v>664</v>
      </c>
      <c r="R753" s="81" t="str">
        <f>IFERROR(VLOOKUP($G753,融外自投!$A:$J,10,0),"無")</f>
        <v>無</v>
      </c>
      <c r="S753" s="324">
        <f>IFERROR(VLOOKUP($G753,'321買'!$A:$E,4,0),"'沒有資料'")</f>
        <v>565</v>
      </c>
      <c r="T753" s="186">
        <f>IFERROR(VLOOKUP($G753,基本資料!$A:$J,9,0),"無")</f>
        <v>0</v>
      </c>
      <c r="U753" s="307">
        <f t="shared" si="138"/>
        <v>0</v>
      </c>
      <c r="V753" s="94">
        <f>IFERROR(VLOOKUP($G753,基本資料!$A:$J,10,0),"無")</f>
        <v>-1.92</v>
      </c>
      <c r="W753" s="36">
        <f>RTD("money.excel",,"3625","Price")</f>
        <v>17.3</v>
      </c>
      <c r="X753" s="66"/>
      <c r="Y753" s="15">
        <f t="shared" si="139"/>
        <v>17.3</v>
      </c>
      <c r="Z753" s="3" t="e">
        <f t="shared" si="140"/>
        <v>#DIV/0!</v>
      </c>
      <c r="AA753" s="340">
        <f>IFERROR(VLOOKUP($G753,基本資料!$A:$M,11,0),"無")</f>
        <v>-47.34</v>
      </c>
      <c r="AB753" s="389">
        <f>IFERROR(VLOOKUP($G753,基本資料!$A:$M,12,0),"無")</f>
        <v>7.45</v>
      </c>
      <c r="AC753" s="24" t="s">
        <v>2212</v>
      </c>
      <c r="AF753" s="33">
        <f t="shared" si="141"/>
        <v>0</v>
      </c>
      <c r="AG753" s="119" t="s">
        <v>2213</v>
      </c>
      <c r="AH753" s="66">
        <f t="shared" si="143"/>
        <v>0.62999757693239644</v>
      </c>
      <c r="AI753" s="283">
        <f>RTD("money.excel",,$G753,"PredictVolume")</f>
        <v>130</v>
      </c>
      <c r="AJ753" s="391">
        <f>IFERROR(VLOOKUP($G753,基本資料!$A:$M,13,0),"無")</f>
        <v>206.35</v>
      </c>
      <c r="AR753" s="245" t="str">
        <f>INDEX(基本資料!N:N,MATCH($G753,基本資料!A:A,0))</f>
        <v>低</v>
      </c>
    </row>
    <row r="754" spans="1:44">
      <c r="A754" s="343">
        <f>IFERROR(VLOOKUP($G754,基本資料!$A:$J,3,0),"無")</f>
        <v>7.5</v>
      </c>
      <c r="B754" s="79">
        <f>IFERROR(VLOOKUP($G754,基本資料!$A:$J,4,0),"無")</f>
        <v>204</v>
      </c>
      <c r="C754" s="79">
        <f>IFERROR(VLOOKUP($G754,基本資料!$A:$J,5,0),"無")</f>
        <v>342</v>
      </c>
      <c r="D754" s="79">
        <f>IFERROR(VLOOKUP($G754,基本資料!$A:$J,6,0),"無")</f>
        <v>-24</v>
      </c>
      <c r="E754" s="79">
        <f>IFERROR(VLOOKUP($G754,基本資料!$A:$J,7,0),"無")</f>
        <v>-2</v>
      </c>
      <c r="F754" s="6">
        <f>IFERROR(VLOOKUP($G754,基本資料!$A:$J,8,0),"無")</f>
        <v>3.57</v>
      </c>
      <c r="G754" s="79">
        <v>3652</v>
      </c>
      <c r="H754" s="145" t="s">
        <v>1145</v>
      </c>
      <c r="I754" s="16" t="s">
        <v>2214</v>
      </c>
      <c r="J754" s="8">
        <f>IFERROR(VLOOKUP($G754,今日總結!$A:$AN,39,0),"")</f>
        <v>0</v>
      </c>
      <c r="K754" s="5">
        <f>IFERROR(VLOOKUP($G754,今日總結!$A:$AN,40,0),"")</f>
        <v>0</v>
      </c>
      <c r="L754" s="156">
        <f>IFERROR(VLOOKUP($G754,今日總結!$A:$AN,37,0),"")</f>
        <v>0</v>
      </c>
      <c r="M754" s="337">
        <f>IFERROR(VLOOKUP($G754,今日總結!$A:$AN,38,0),"")</f>
        <v>0</v>
      </c>
      <c r="N754" s="240">
        <f t="shared" si="142"/>
        <v>0</v>
      </c>
      <c r="O754" s="359">
        <f>IFERROR(VLOOKUP($G754,融外自投!$A:$J,7,0),"無")</f>
        <v>1000</v>
      </c>
      <c r="P754" s="79" t="str">
        <f>IFERROR(VLOOKUP($G754,融外自投!$A:$J,9,0),"無")</f>
        <v>無</v>
      </c>
      <c r="Q754" s="342">
        <f>IFERROR(VLOOKUP($G754,融外自投!$A:$J,8,0),"無")</f>
        <v>1248</v>
      </c>
      <c r="R754" s="81" t="str">
        <f>IFERROR(VLOOKUP($G754,融外自投!$A:$J,10,0),"無")</f>
        <v>無</v>
      </c>
      <c r="S754" s="324">
        <f>IFERROR(VLOOKUP($G754,'321買'!$A:$E,4,0),"'沒有資料'")</f>
        <v>650</v>
      </c>
      <c r="T754" s="186">
        <f>IFERROR(VLOOKUP($G754,基本資料!$A:$J,9,0),"無")</f>
        <v>0.41</v>
      </c>
      <c r="U754" s="307">
        <f t="shared" si="138"/>
        <v>1.9711538461538461E-2</v>
      </c>
      <c r="V754" s="94">
        <f>IFERROR(VLOOKUP($G754,基本資料!$A:$J,10,0),"無")</f>
        <v>1.03</v>
      </c>
      <c r="W754" s="36">
        <f>RTD("money.excel",,"3652","Price")</f>
        <v>20.8</v>
      </c>
      <c r="X754" s="66"/>
      <c r="Y754" s="15">
        <f t="shared" si="139"/>
        <v>20.8</v>
      </c>
      <c r="Z754" s="3" t="e">
        <f t="shared" si="140"/>
        <v>#DIV/0!</v>
      </c>
      <c r="AA754" s="340">
        <f>IFERROR(VLOOKUP($G754,基本資料!$A:$M,11,0),"無")</f>
        <v>-36.97</v>
      </c>
      <c r="AB754" s="389">
        <f>IFERROR(VLOOKUP($G754,基本資料!$A:$M,12,0),"無")</f>
        <v>54.46</v>
      </c>
      <c r="AC754" s="16" t="s">
        <v>2214</v>
      </c>
      <c r="AF754" s="33">
        <f t="shared" si="141"/>
        <v>0</v>
      </c>
      <c r="AG754" s="43" t="s">
        <v>2439</v>
      </c>
      <c r="AH754" s="66">
        <f t="shared" si="143"/>
        <v>3.0890052356020941</v>
      </c>
      <c r="AI754" s="283">
        <f>RTD("money.excel",,$G754,"PredictVolume")</f>
        <v>59</v>
      </c>
      <c r="AJ754" s="391">
        <f>IFERROR(VLOOKUP($G754,基本資料!$A:$M,13,0),"無")</f>
        <v>19.100000000000001</v>
      </c>
      <c r="AR754" s="245" t="str">
        <f>INDEX(基本資料!N:N,MATCH($G754,基本資料!A:A,0))</f>
        <v>低</v>
      </c>
    </row>
    <row r="755" spans="1:44">
      <c r="A755" s="343">
        <f>IFERROR(VLOOKUP($G755,基本資料!$A:$J,3,0),"無")</f>
        <v>3.84</v>
      </c>
      <c r="B755" s="79">
        <f>IFERROR(VLOOKUP($G755,基本資料!$A:$J,4,0),"無")</f>
        <v>43</v>
      </c>
      <c r="C755" s="79">
        <f>IFERROR(VLOOKUP($G755,基本資料!$A:$J,5,0),"無")</f>
        <v>2</v>
      </c>
      <c r="D755" s="79">
        <f>IFERROR(VLOOKUP($G755,基本資料!$A:$J,6,0),"無")</f>
        <v>-7</v>
      </c>
      <c r="E755" s="79">
        <f>IFERROR(VLOOKUP($G755,基本資料!$A:$J,7,0),"無")</f>
        <v>10</v>
      </c>
      <c r="F755" s="6">
        <f>IFERROR(VLOOKUP($G755,基本資料!$A:$J,8,0),"無")</f>
        <v>4.24</v>
      </c>
      <c r="G755" s="79">
        <v>3693</v>
      </c>
      <c r="H755" s="145" t="s">
        <v>1145</v>
      </c>
      <c r="I755" s="16" t="s">
        <v>2215</v>
      </c>
      <c r="J755" s="8">
        <f>IFERROR(VLOOKUP($G755,今日總結!$A:$AN,39,0),"")</f>
        <v>0</v>
      </c>
      <c r="K755" s="5" t="str">
        <f>IFERROR(VLOOKUP($G755,今日總結!$A:$AN,40,0),"")</f>
        <v>主</v>
      </c>
      <c r="L755" s="156">
        <f>IFERROR(VLOOKUP($G755,今日總結!$A:$AN,37,0),"")</f>
        <v>0</v>
      </c>
      <c r="M755" s="337">
        <f>IFERROR(VLOOKUP($G755,今日總結!$A:$AN,38,0),"")</f>
        <v>1</v>
      </c>
      <c r="N755" s="240">
        <f t="shared" si="142"/>
        <v>-1</v>
      </c>
      <c r="O755" s="359">
        <f>IFERROR(VLOOKUP($G755,融外自投!$A:$J,7,0),"無")</f>
        <v>541</v>
      </c>
      <c r="P755" s="79">
        <f>IFERROR(VLOOKUP($G755,融外自投!$A:$J,9,0),"無")</f>
        <v>198</v>
      </c>
      <c r="Q755" s="342">
        <f>IFERROR(VLOOKUP($G755,融外自投!$A:$J,8,0),"無")</f>
        <v>1208</v>
      </c>
      <c r="R755" s="81" t="str">
        <f>IFERROR(VLOOKUP($G755,融外自投!$A:$J,10,0),"無")</f>
        <v>無</v>
      </c>
      <c r="S755" s="324">
        <f>IFERROR(VLOOKUP($G755,'321買'!$A:$E,4,0),"'沒有資料'")</f>
        <v>650</v>
      </c>
      <c r="T755" s="186">
        <f>IFERROR(VLOOKUP($G755,基本資料!$A:$J,9,0),"無")</f>
        <v>1.5</v>
      </c>
      <c r="U755" s="307">
        <f t="shared" si="138"/>
        <v>3.4482758620689655E-2</v>
      </c>
      <c r="V755" s="94">
        <f>IFERROR(VLOOKUP($G755,基本資料!$A:$J,10,0),"無")</f>
        <v>3.08</v>
      </c>
      <c r="W755" s="36">
        <f>RTD("money.excel",,"3693","Price")</f>
        <v>43.5</v>
      </c>
      <c r="X755" s="66"/>
      <c r="Y755" s="15">
        <f t="shared" si="139"/>
        <v>43.5</v>
      </c>
      <c r="Z755" s="3" t="e">
        <f t="shared" si="140"/>
        <v>#DIV/0!</v>
      </c>
      <c r="AA755" s="340">
        <f>IFERROR(VLOOKUP($G755,基本資料!$A:$M,11,0),"無")</f>
        <v>-34.68</v>
      </c>
      <c r="AB755" s="389">
        <f>IFERROR(VLOOKUP($G755,基本資料!$A:$M,12,0),"無")</f>
        <v>21.34</v>
      </c>
      <c r="AC755" s="16" t="s">
        <v>2215</v>
      </c>
      <c r="AF755" s="33">
        <f t="shared" si="141"/>
        <v>0</v>
      </c>
      <c r="AG755" s="117" t="s">
        <v>2216</v>
      </c>
      <c r="AH755" s="66">
        <f t="shared" si="143"/>
        <v>1.7462686567164178</v>
      </c>
      <c r="AI755" s="283">
        <f>RTD("money.excel",,$G755,"PredictVolume")</f>
        <v>117</v>
      </c>
      <c r="AJ755" s="391">
        <f>IFERROR(VLOOKUP($G755,基本資料!$A:$M,13,0),"無")</f>
        <v>67</v>
      </c>
      <c r="AR755" s="245" t="str">
        <f>INDEX(基本資料!N:N,MATCH($G755,基本資料!A:A,0))</f>
        <v>低</v>
      </c>
    </row>
    <row r="756" spans="1:44">
      <c r="A756" s="343">
        <f>IFERROR(VLOOKUP($G756,基本資料!$A:$J,3,0),"無")</f>
        <v>21.36</v>
      </c>
      <c r="B756" s="79">
        <f>IFERROR(VLOOKUP($G756,基本資料!$A:$J,4,0),"無")</f>
        <v>3314</v>
      </c>
      <c r="C756" s="79">
        <f>IFERROR(VLOOKUP($G756,基本資料!$A:$J,5,0),"無")</f>
        <v>372</v>
      </c>
      <c r="D756" s="79">
        <f>IFERROR(VLOOKUP($G756,基本資料!$A:$J,6,0),"無")</f>
        <v>19</v>
      </c>
      <c r="E756" s="79">
        <f>IFERROR(VLOOKUP($G756,基本資料!$A:$J,7,0),"無")</f>
        <v>42</v>
      </c>
      <c r="F756" s="6">
        <f>IFERROR(VLOOKUP($G756,基本資料!$A:$J,8,0),"無")</f>
        <v>1.6</v>
      </c>
      <c r="G756" s="79">
        <v>3701</v>
      </c>
      <c r="H756" s="192" t="s">
        <v>1145</v>
      </c>
      <c r="I756" s="22" t="s">
        <v>4087</v>
      </c>
      <c r="J756" s="8">
        <f>IFERROR(VLOOKUP($G756,今日總結!$A:$AN,39,0),"")</f>
        <v>0</v>
      </c>
      <c r="K756" s="5" t="str">
        <f>IFERROR(VLOOKUP($G756,今日總結!$A:$AN,40,0),"")</f>
        <v>借</v>
      </c>
      <c r="L756" s="156">
        <f>IFERROR(VLOOKUP($G756,今日總結!$A:$AN,37,0),"")</f>
        <v>0</v>
      </c>
      <c r="M756" s="337">
        <f>IFERROR(VLOOKUP($G756,今日總結!$A:$AN,38,0),"")</f>
        <v>6</v>
      </c>
      <c r="N756" s="240">
        <f t="shared" si="142"/>
        <v>-6</v>
      </c>
      <c r="O756" s="359">
        <f>IFERROR(VLOOKUP($G756,融外自投!$A:$J,7,0),"無")</f>
        <v>421</v>
      </c>
      <c r="P756" s="79" t="str">
        <f>IFERROR(VLOOKUP($G756,融外自投!$A:$J,9,0),"無")</f>
        <v>無</v>
      </c>
      <c r="Q756" s="342">
        <f>IFERROR(VLOOKUP($G756,融外自投!$A:$J,8,0),"無")</f>
        <v>854</v>
      </c>
      <c r="R756" s="81">
        <f>IFERROR(VLOOKUP($G756,融外自投!$A:$J,10,0),"無")</f>
        <v>495</v>
      </c>
      <c r="S756" s="324">
        <f>IFERROR(VLOOKUP($G756,'321買'!$A:$E,4,0),"'沒有資料'")</f>
        <v>321</v>
      </c>
      <c r="T756" s="186">
        <f>IFERROR(VLOOKUP($G756,基本資料!$A:$J,9,0),"無")</f>
        <v>0</v>
      </c>
      <c r="U756" s="307">
        <f t="shared" si="138"/>
        <v>0</v>
      </c>
      <c r="V756" s="94">
        <f>IFERROR(VLOOKUP($G756,基本資料!$A:$J,10,0),"無")</f>
        <v>1.32</v>
      </c>
      <c r="W756" s="36">
        <f>RTD("money.excel",,"3701","Price")</f>
        <v>47</v>
      </c>
      <c r="X756" s="66"/>
      <c r="Y756" s="15">
        <f t="shared" si="139"/>
        <v>47</v>
      </c>
      <c r="Z756" s="3" t="e">
        <f t="shared" si="140"/>
        <v>#DIV/0!</v>
      </c>
      <c r="AA756" s="340">
        <f>IFERROR(VLOOKUP($G756,基本資料!$A:$M,11,0),"無")</f>
        <v>-52.04</v>
      </c>
      <c r="AB756" s="389">
        <f>IFERROR(VLOOKUP($G756,基本資料!$A:$M,12,0),"無")</f>
        <v>11.08</v>
      </c>
      <c r="AC756" s="22" t="s">
        <v>4087</v>
      </c>
      <c r="AF756" s="33">
        <f t="shared" si="141"/>
        <v>0</v>
      </c>
      <c r="AG756" s="43" t="s">
        <v>1504</v>
      </c>
      <c r="AH756" s="66">
        <f t="shared" si="143"/>
        <v>0.61692237418384077</v>
      </c>
      <c r="AI756" s="283">
        <f>RTD("money.excel",,$G756,"PredictVolume")</f>
        <v>1148</v>
      </c>
      <c r="AJ756" s="391">
        <f>IFERROR(VLOOKUP($G756,基本資料!$A:$M,13,0),"無")</f>
        <v>1860.85</v>
      </c>
      <c r="AR756" s="245" t="str">
        <f>INDEX(基本資料!N:N,MATCH($G756,基本資料!A:A,0))</f>
        <v>中</v>
      </c>
    </row>
    <row r="757" spans="1:44">
      <c r="A757" s="343">
        <f>IFERROR(VLOOKUP($G757,基本資料!$A:$J,3,0),"無")</f>
        <v>120</v>
      </c>
      <c r="B757" s="79">
        <f>IFERROR(VLOOKUP($G757,基本資料!$A:$J,4,0),"無")</f>
        <v>319</v>
      </c>
      <c r="C757" s="79">
        <f>IFERROR(VLOOKUP($G757,基本資料!$A:$J,5,0),"無")</f>
        <v>-43</v>
      </c>
      <c r="D757" s="79">
        <f>IFERROR(VLOOKUP($G757,基本資料!$A:$J,6,0),"無")</f>
        <v>-28</v>
      </c>
      <c r="E757" s="79">
        <f>IFERROR(VLOOKUP($G757,基本資料!$A:$J,7,0),"無")</f>
        <v>-26</v>
      </c>
      <c r="F757" s="6">
        <f>IFERROR(VLOOKUP($G757,基本資料!$A:$J,8,0),"無")</f>
        <v>0.1</v>
      </c>
      <c r="G757" s="79">
        <v>3706</v>
      </c>
      <c r="H757" s="192" t="s">
        <v>1145</v>
      </c>
      <c r="I757" s="22" t="s">
        <v>50</v>
      </c>
      <c r="J757" s="8">
        <f>IFERROR(VLOOKUP($G757,今日總結!$A:$AN,39,0),"")</f>
        <v>0</v>
      </c>
      <c r="K757" s="5">
        <f>IFERROR(VLOOKUP($G757,今日總結!$A:$AN,40,0),"")</f>
        <v>0</v>
      </c>
      <c r="L757" s="156">
        <f>IFERROR(VLOOKUP($G757,今日總結!$A:$AN,37,0),"")</f>
        <v>0</v>
      </c>
      <c r="M757" s="337">
        <f>IFERROR(VLOOKUP($G757,今日總結!$A:$AN,38,0),"")</f>
        <v>0</v>
      </c>
      <c r="N757" s="240">
        <f t="shared" si="142"/>
        <v>0</v>
      </c>
      <c r="O757" s="359">
        <f>IFERROR(VLOOKUP($G757,融外自投!$A:$J,7,0),"無")</f>
        <v>909</v>
      </c>
      <c r="P757" s="79">
        <f>IFERROR(VLOOKUP($G757,融外自投!$A:$J,9,0),"無")</f>
        <v>174</v>
      </c>
      <c r="Q757" s="342">
        <f>IFERROR(VLOOKUP($G757,融外自投!$A:$J,8,0),"無")</f>
        <v>431</v>
      </c>
      <c r="R757" s="81">
        <f>IFERROR(VLOOKUP($G757,融外自投!$A:$J,10,0),"無")</f>
        <v>439</v>
      </c>
      <c r="S757" s="324">
        <f>IFERROR(VLOOKUP($G757,'321買'!$A:$E,4,0),"'沒有資料'")</f>
        <v>606</v>
      </c>
      <c r="T757" s="186">
        <f>IFERROR(VLOOKUP($G757,基本資料!$A:$J,9,0),"無")</f>
        <v>2</v>
      </c>
      <c r="U757" s="307">
        <f t="shared" si="138"/>
        <v>7.4487895716945987E-2</v>
      </c>
      <c r="V757" s="94">
        <f>IFERROR(VLOOKUP($G757,基本資料!$A:$J,10,0),"無")</f>
        <v>10.01</v>
      </c>
      <c r="W757" s="36">
        <f>RTD("money.excel",,"3706","Price")</f>
        <v>26.85</v>
      </c>
      <c r="X757" s="66"/>
      <c r="Y757" s="15">
        <f t="shared" si="139"/>
        <v>26.85</v>
      </c>
      <c r="Z757" s="3" t="e">
        <f t="shared" si="140"/>
        <v>#DIV/0!</v>
      </c>
      <c r="AA757" s="340">
        <f>IFERROR(VLOOKUP($G757,基本資料!$A:$M,11,0),"無")</f>
        <v>-24.37</v>
      </c>
      <c r="AB757" s="389">
        <f>IFERROR(VLOOKUP($G757,基本資料!$A:$M,12,0),"無")</f>
        <v>10.210000000000001</v>
      </c>
      <c r="AC757" s="22" t="s">
        <v>50</v>
      </c>
      <c r="AF757" s="33">
        <f t="shared" si="141"/>
        <v>0</v>
      </c>
      <c r="AG757" s="117" t="s">
        <v>2729</v>
      </c>
      <c r="AH757" s="66">
        <f t="shared" si="143"/>
        <v>1.015776413265953</v>
      </c>
      <c r="AI757" s="283">
        <f>RTD("money.excel",,$G757,"PredictVolume")</f>
        <v>2804</v>
      </c>
      <c r="AJ757" s="391">
        <f>IFERROR(VLOOKUP($G757,基本資料!$A:$M,13,0),"無")</f>
        <v>2760.45</v>
      </c>
      <c r="AR757" s="245" t="str">
        <f>INDEX(基本資料!N:N,MATCH($G757,基本資料!A:A,0))</f>
        <v>低</v>
      </c>
    </row>
    <row r="758" spans="1:44">
      <c r="A758" s="343">
        <f>IFERROR(VLOOKUP($G758,基本資料!$A:$J,3,0),"無")</f>
        <v>10.050000000000001</v>
      </c>
      <c r="B758" s="79">
        <f>IFERROR(VLOOKUP($G758,基本資料!$A:$J,4,0),"無")</f>
        <v>88</v>
      </c>
      <c r="C758" s="79">
        <f>IFERROR(VLOOKUP($G758,基本資料!$A:$J,5,0),"無")</f>
        <v>44</v>
      </c>
      <c r="D758" s="79">
        <f>IFERROR(VLOOKUP($G758,基本資料!$A:$J,6,0),"無")</f>
        <v>-24</v>
      </c>
      <c r="E758" s="79">
        <f>IFERROR(VLOOKUP($G758,基本資料!$A:$J,7,0),"無")</f>
        <v>-12</v>
      </c>
      <c r="F758" s="6">
        <f>IFERROR(VLOOKUP($G758,基本資料!$A:$J,8,0),"無")</f>
        <v>2.46</v>
      </c>
      <c r="G758" s="79">
        <v>3709</v>
      </c>
      <c r="H758" s="145" t="s">
        <v>1145</v>
      </c>
      <c r="I758" s="16" t="s">
        <v>2217</v>
      </c>
      <c r="J758" s="8">
        <f>IFERROR(VLOOKUP($G758,今日總結!$A:$AN,39,0),"")</f>
        <v>0</v>
      </c>
      <c r="K758" s="5" t="str">
        <f>IFERROR(VLOOKUP($G758,今日總結!$A:$AN,40,0),"")</f>
        <v>外</v>
      </c>
      <c r="L758" s="156">
        <f>IFERROR(VLOOKUP($G758,今日總結!$A:$AN,37,0),"")</f>
        <v>0</v>
      </c>
      <c r="M758" s="337">
        <f>IFERROR(VLOOKUP($G758,今日總結!$A:$AN,38,0),"")</f>
        <v>14</v>
      </c>
      <c r="N758" s="240">
        <f t="shared" si="142"/>
        <v>-14</v>
      </c>
      <c r="O758" s="359">
        <f>IFERROR(VLOOKUP($G758,融外自投!$A:$J,7,0),"無")</f>
        <v>1191</v>
      </c>
      <c r="P758" s="79" t="str">
        <f>IFERROR(VLOOKUP($G758,融外自投!$A:$J,9,0),"無")</f>
        <v>無</v>
      </c>
      <c r="Q758" s="342">
        <f>IFERROR(VLOOKUP($G758,融外自投!$A:$J,8,0),"無")</f>
        <v>1004</v>
      </c>
      <c r="R758" s="81" t="str">
        <f>IFERROR(VLOOKUP($G758,融外自投!$A:$J,10,0),"無")</f>
        <v>無</v>
      </c>
      <c r="S758" s="324">
        <f>IFERROR(VLOOKUP($G758,'321買'!$A:$E,4,0),"'沒有資料'")</f>
        <v>891</v>
      </c>
      <c r="T758" s="186">
        <f>IFERROR(VLOOKUP($G758,基本資料!$A:$J,9,0),"無")</f>
        <v>1.6</v>
      </c>
      <c r="U758" s="307">
        <f t="shared" si="138"/>
        <v>5.7450628366247758E-2</v>
      </c>
      <c r="V758" s="94">
        <f>IFERROR(VLOOKUP($G758,基本資料!$A:$J,10,0),"無")</f>
        <v>4.55</v>
      </c>
      <c r="W758" s="36">
        <f>RTD("money.excel",,"3709","Price")</f>
        <v>27.85</v>
      </c>
      <c r="X758" s="66"/>
      <c r="Y758" s="15">
        <f t="shared" si="139"/>
        <v>27.85</v>
      </c>
      <c r="Z758" s="3" t="e">
        <f t="shared" si="140"/>
        <v>#DIV/0!</v>
      </c>
      <c r="AA758" s="340">
        <f>IFERROR(VLOOKUP($G758,基本資料!$A:$M,11,0),"無")</f>
        <v>-34.85</v>
      </c>
      <c r="AB758" s="389">
        <f>IFERROR(VLOOKUP($G758,基本資料!$A:$M,12,0),"無")</f>
        <v>19.21</v>
      </c>
      <c r="AC758" s="16" t="s">
        <v>2217</v>
      </c>
      <c r="AF758" s="33">
        <f t="shared" si="141"/>
        <v>0</v>
      </c>
      <c r="AG758" s="43" t="s">
        <v>2440</v>
      </c>
      <c r="AH758" s="66">
        <f t="shared" si="143"/>
        <v>0.37446808510638296</v>
      </c>
      <c r="AI758" s="283">
        <f>RTD("money.excel",,$G758,"PredictVolume")</f>
        <v>22</v>
      </c>
      <c r="AJ758" s="391">
        <f>IFERROR(VLOOKUP($G758,基本資料!$A:$M,13,0),"無")</f>
        <v>58.75</v>
      </c>
      <c r="AR758" s="245" t="str">
        <f>INDEX(基本資料!N:N,MATCH($G758,基本資料!A:A,0))</f>
        <v>低</v>
      </c>
    </row>
    <row r="759" spans="1:44">
      <c r="A759" s="343">
        <f>IFERROR(VLOOKUP($G759,基本資料!$A:$J,3,0),"無")</f>
        <v>24.62</v>
      </c>
      <c r="B759" s="79">
        <f>IFERROR(VLOOKUP($G759,基本資料!$A:$J,4,0),"無")</f>
        <v>248</v>
      </c>
      <c r="C759" s="79">
        <f>IFERROR(VLOOKUP($G759,基本資料!$A:$J,5,0),"無")</f>
        <v>384</v>
      </c>
      <c r="D759" s="79">
        <f>IFERROR(VLOOKUP($G759,基本資料!$A:$J,6,0),"無")</f>
        <v>21</v>
      </c>
      <c r="E759" s="79">
        <f>IFERROR(VLOOKUP($G759,基本資料!$A:$J,7,0),"無")</f>
        <v>140</v>
      </c>
      <c r="F759" s="6">
        <f>IFERROR(VLOOKUP($G759,基本資料!$A:$J,8,0),"無")</f>
        <v>5.58</v>
      </c>
      <c r="G759" s="79">
        <v>3712</v>
      </c>
      <c r="H759" s="192" t="s">
        <v>1145</v>
      </c>
      <c r="I759" s="22" t="s">
        <v>1069</v>
      </c>
      <c r="J759" s="8">
        <f>IFERROR(VLOOKUP($G759,今日總結!$A:$AN,39,0),"")</f>
        <v>0</v>
      </c>
      <c r="K759" s="5" t="str">
        <f>IFERROR(VLOOKUP($G759,今日總結!$A:$AN,40,0),"")</f>
        <v>主外</v>
      </c>
      <c r="L759" s="156">
        <f>IFERROR(VLOOKUP($G759,今日總結!$A:$AN,37,0),"")</f>
        <v>0</v>
      </c>
      <c r="M759" s="337">
        <f>IFERROR(VLOOKUP($G759,今日總結!$A:$AN,38,0),"")</f>
        <v>8</v>
      </c>
      <c r="N759" s="240">
        <f t="shared" si="142"/>
        <v>-8</v>
      </c>
      <c r="O759" s="359">
        <f>IFERROR(VLOOKUP($G759,融外自投!$A:$J,7,0),"無")</f>
        <v>483</v>
      </c>
      <c r="P759" s="79">
        <f>IFERROR(VLOOKUP($G759,融外自投!$A:$J,9,0),"無")</f>
        <v>635</v>
      </c>
      <c r="Q759" s="342">
        <f>IFERROR(VLOOKUP($G759,融外自投!$A:$J,8,0),"無")</f>
        <v>1186</v>
      </c>
      <c r="R759" s="81" t="str">
        <f>IFERROR(VLOOKUP($G759,融外自投!$A:$J,10,0),"無")</f>
        <v>無</v>
      </c>
      <c r="S759" s="324">
        <f>IFERROR(VLOOKUP($G759,'321買'!$A:$E,4,0),"'沒有資料'")</f>
        <v>1002</v>
      </c>
      <c r="T759" s="186">
        <f>IFERROR(VLOOKUP($G759,基本資料!$A:$J,9,0),"無")</f>
        <v>1.5</v>
      </c>
      <c r="U759" s="307">
        <f t="shared" si="138"/>
        <v>5.0761421319796954E-2</v>
      </c>
      <c r="V759" s="94">
        <f>IFERROR(VLOOKUP($G759,基本資料!$A:$J,10,0),"無")</f>
        <v>1.76</v>
      </c>
      <c r="W759" s="36">
        <f>RTD("money.excel",,"3712","Price")</f>
        <v>29.55</v>
      </c>
      <c r="X759" s="66"/>
      <c r="Y759" s="15">
        <f t="shared" si="139"/>
        <v>29.55</v>
      </c>
      <c r="Z759" s="3" t="e">
        <f t="shared" si="140"/>
        <v>#DIV/0!</v>
      </c>
      <c r="AA759" s="340">
        <f>IFERROR(VLOOKUP($G759,基本資料!$A:$M,11,0),"無")</f>
        <v>-31.12</v>
      </c>
      <c r="AB759" s="389">
        <f>IFERROR(VLOOKUP($G759,基本資料!$A:$M,12,0),"無")</f>
        <v>22.72</v>
      </c>
      <c r="AC759" s="22" t="s">
        <v>1069</v>
      </c>
      <c r="AF759" s="33">
        <f t="shared" si="141"/>
        <v>0</v>
      </c>
      <c r="AG759" s="117" t="s">
        <v>2730</v>
      </c>
      <c r="AH759" s="66">
        <f t="shared" si="143"/>
        <v>0.24927553373942871</v>
      </c>
      <c r="AI759" s="283">
        <f>RTD("money.excel",,$G759,"PredictVolume")</f>
        <v>843</v>
      </c>
      <c r="AJ759" s="391">
        <f>IFERROR(VLOOKUP($G759,基本資料!$A:$M,13,0),"無")</f>
        <v>3381.8</v>
      </c>
      <c r="AR759" s="245" t="str">
        <f>INDEX(基本資料!N:N,MATCH($G759,基本資料!A:A,0))</f>
        <v>低</v>
      </c>
    </row>
    <row r="760" spans="1:44">
      <c r="A760" s="343">
        <f>IFERROR(VLOOKUP($G760,基本資料!$A:$J,3,0),"無")</f>
        <v>8.33</v>
      </c>
      <c r="B760" s="79">
        <f>IFERROR(VLOOKUP($G760,基本資料!$A:$J,4,0),"無")</f>
        <v>158</v>
      </c>
      <c r="C760" s="79">
        <f>IFERROR(VLOOKUP($G760,基本資料!$A:$J,5,0),"無")</f>
        <v>72</v>
      </c>
      <c r="D760" s="79">
        <f>IFERROR(VLOOKUP($G760,基本資料!$A:$J,6,0),"無")</f>
        <v>-23</v>
      </c>
      <c r="E760" s="79">
        <f>IFERROR(VLOOKUP($G760,基本資料!$A:$J,7,0),"無")</f>
        <v>-15</v>
      </c>
      <c r="F760" s="6">
        <f>IFERROR(VLOOKUP($G760,基本資料!$A:$J,8,0),"無")</f>
        <v>-1.49</v>
      </c>
      <c r="G760" s="79">
        <v>4916</v>
      </c>
      <c r="H760" s="192" t="s">
        <v>1145</v>
      </c>
      <c r="I760" s="22" t="s">
        <v>467</v>
      </c>
      <c r="J760" s="8">
        <f>IFERROR(VLOOKUP($G760,今日總結!$A:$AN,39,0),"")</f>
        <v>0</v>
      </c>
      <c r="K760" s="5">
        <f>IFERROR(VLOOKUP($G760,今日總結!$A:$AN,40,0),"")</f>
        <v>0</v>
      </c>
      <c r="L760" s="156">
        <f>IFERROR(VLOOKUP($G760,今日總結!$A:$AN,37,0),"")</f>
        <v>0</v>
      </c>
      <c r="M760" s="337">
        <f>IFERROR(VLOOKUP($G760,今日總結!$A:$AN,38,0),"")</f>
        <v>0</v>
      </c>
      <c r="N760" s="240">
        <f t="shared" si="142"/>
        <v>0</v>
      </c>
      <c r="O760" s="359">
        <f>IFERROR(VLOOKUP($G760,融外自投!$A:$J,7,0),"無")</f>
        <v>414</v>
      </c>
      <c r="P760" s="79">
        <f>IFERROR(VLOOKUP($G760,融外自投!$A:$J,9,0),"無")</f>
        <v>1051</v>
      </c>
      <c r="Q760" s="342">
        <f>IFERROR(VLOOKUP($G760,融外自投!$A:$J,8,0),"無")</f>
        <v>1075</v>
      </c>
      <c r="R760" s="81" t="str">
        <f>IFERROR(VLOOKUP($G760,融外自投!$A:$J,10,0),"無")</f>
        <v>無</v>
      </c>
      <c r="S760" s="324">
        <f>IFERROR(VLOOKUP($G760,'321買'!$A:$E,4,0),"'沒有資料'")</f>
        <v>394</v>
      </c>
      <c r="T760" s="186">
        <f>IFERROR(VLOOKUP($G760,基本資料!$A:$J,9,0),"無")</f>
        <v>0.5</v>
      </c>
      <c r="U760" s="307">
        <f t="shared" si="138"/>
        <v>2.1231422505307854E-2</v>
      </c>
      <c r="V760" s="94">
        <f>IFERROR(VLOOKUP($G760,基本資料!$A:$J,10,0),"無")</f>
        <v>1.29</v>
      </c>
      <c r="W760" s="36">
        <f>RTD("money.excel",,"4916","Price")</f>
        <v>23.55</v>
      </c>
      <c r="X760" s="66"/>
      <c r="Y760" s="15">
        <f t="shared" si="139"/>
        <v>23.55</v>
      </c>
      <c r="Z760" s="3" t="e">
        <f t="shared" si="140"/>
        <v>#DIV/0!</v>
      </c>
      <c r="AA760" s="340">
        <f>IFERROR(VLOOKUP($G760,基本資料!$A:$M,11,0),"無")</f>
        <v>-40.46</v>
      </c>
      <c r="AB760" s="389">
        <f>IFERROR(VLOOKUP($G760,基本資料!$A:$M,12,0),"無")</f>
        <v>16.45</v>
      </c>
      <c r="AC760" s="22" t="s">
        <v>467</v>
      </c>
      <c r="AF760" s="33">
        <f t="shared" si="141"/>
        <v>0</v>
      </c>
      <c r="AG760" s="43" t="s">
        <v>3559</v>
      </c>
      <c r="AH760" s="66">
        <f t="shared" si="143"/>
        <v>0.62794709603220245</v>
      </c>
      <c r="AI760" s="283">
        <f>RTD("money.excel",,$G760,"PredictVolume")</f>
        <v>273</v>
      </c>
      <c r="AJ760" s="391">
        <f>IFERROR(VLOOKUP($G760,基本資料!$A:$M,13,0),"無")</f>
        <v>434.75</v>
      </c>
      <c r="AR760" s="245" t="str">
        <f>INDEX(基本資料!N:N,MATCH($G760,基本資料!A:A,0))</f>
        <v>低</v>
      </c>
    </row>
    <row r="761" spans="1:44">
      <c r="A761" s="343">
        <f>IFERROR(VLOOKUP($G761,基本資料!$A:$J,3,0),"無")</f>
        <v>3.71</v>
      </c>
      <c r="B761" s="79">
        <f>IFERROR(VLOOKUP($G761,基本資料!$A:$J,4,0),"無")</f>
        <v>3</v>
      </c>
      <c r="C761" s="79">
        <f>IFERROR(VLOOKUP($G761,基本資料!$A:$J,5,0),"無")</f>
        <v>-22</v>
      </c>
      <c r="D761" s="79">
        <f>IFERROR(VLOOKUP($G761,基本資料!$A:$J,6,0),"無")</f>
        <v>-48</v>
      </c>
      <c r="E761" s="79">
        <f>IFERROR(VLOOKUP($G761,基本資料!$A:$J,7,0),"無")</f>
        <v>2</v>
      </c>
      <c r="F761" s="6">
        <f>IFERROR(VLOOKUP($G761,基本資料!$A:$J,8,0),"無")</f>
        <v>4.57</v>
      </c>
      <c r="G761" s="79">
        <v>4924</v>
      </c>
      <c r="H761" s="145" t="s">
        <v>1145</v>
      </c>
      <c r="I761" s="16" t="s">
        <v>2218</v>
      </c>
      <c r="J761" s="8" t="str">
        <f>IFERROR(VLOOKUP($G761,今日總結!$A:$AN,39,0),"")</f>
        <v/>
      </c>
      <c r="K761" s="5" t="str">
        <f>IFERROR(VLOOKUP($G761,今日總結!$A:$AN,40,0),"")</f>
        <v/>
      </c>
      <c r="L761" s="156" t="str">
        <f>IFERROR(VLOOKUP($G761,今日總結!$A:$AN,37,0),"")</f>
        <v/>
      </c>
      <c r="M761" s="337" t="str">
        <f>IFERROR(VLOOKUP($G761,今日總結!$A:$AN,38,0),"")</f>
        <v/>
      </c>
      <c r="N761" s="240" t="str">
        <f t="shared" si="142"/>
        <v/>
      </c>
      <c r="O761" s="359" t="str">
        <f>IFERROR(VLOOKUP($G761,融外自投!$A:$J,7,0),"無")</f>
        <v>無</v>
      </c>
      <c r="P761" s="79" t="str">
        <f>IFERROR(VLOOKUP($G761,融外自投!$A:$J,9,0),"無")</f>
        <v>無</v>
      </c>
      <c r="Q761" s="342" t="str">
        <f>IFERROR(VLOOKUP($G761,融外自投!$A:$J,8,0),"無")</f>
        <v>無</v>
      </c>
      <c r="R761" s="81" t="str">
        <f>IFERROR(VLOOKUP($G761,融外自投!$A:$J,10,0),"無")</f>
        <v>無</v>
      </c>
      <c r="S761" s="324" t="str">
        <f>IFERROR(VLOOKUP($G761,'321買'!$A:$E,4,0),"'沒有資料'")</f>
        <v>'沒有資料'</v>
      </c>
      <c r="T761" s="186">
        <f>IFERROR(VLOOKUP($G761,基本資料!$A:$J,9,0),"無")</f>
        <v>0</v>
      </c>
      <c r="U761" s="307">
        <f t="shared" si="138"/>
        <v>0</v>
      </c>
      <c r="V761" s="94">
        <f>IFERROR(VLOOKUP($G761,基本資料!$A:$J,10,0),"無")</f>
        <v>0.98</v>
      </c>
      <c r="W761" s="36">
        <f>RTD("money.excel",,"4924","Price")</f>
        <v>12.3</v>
      </c>
      <c r="X761" s="66"/>
      <c r="Y761" s="15">
        <f t="shared" si="139"/>
        <v>12.3</v>
      </c>
      <c r="Z761" s="3" t="e">
        <f t="shared" si="140"/>
        <v>#DIV/0!</v>
      </c>
      <c r="AA761" s="340">
        <f>IFERROR(VLOOKUP($G761,基本資料!$A:$M,11,0),"無")</f>
        <v>-27.86</v>
      </c>
      <c r="AB761" s="389">
        <f>IFERROR(VLOOKUP($G761,基本資料!$A:$M,12,0),"無")</f>
        <v>12.62</v>
      </c>
      <c r="AC761" s="16" t="s">
        <v>2218</v>
      </c>
      <c r="AF761" s="33">
        <f t="shared" si="141"/>
        <v>0</v>
      </c>
      <c r="AG761" s="43" t="s">
        <v>2431</v>
      </c>
      <c r="AH761" s="66">
        <f t="shared" si="143"/>
        <v>1.267605633802817</v>
      </c>
      <c r="AI761" s="283">
        <f>RTD("money.excel",,$G761,"PredictVolume")</f>
        <v>18</v>
      </c>
      <c r="AJ761" s="391">
        <f>IFERROR(VLOOKUP($G761,基本資料!$A:$M,13,0),"無")</f>
        <v>14.2</v>
      </c>
      <c r="AR761" s="245" t="str">
        <f>INDEX(基本資料!N:N,MATCH($G761,基本資料!A:A,0))</f>
        <v>低</v>
      </c>
    </row>
    <row r="762" spans="1:44">
      <c r="A762" s="343">
        <f>IFERROR(VLOOKUP($G762,基本資料!$A:$J,3,0),"無")</f>
        <v>6.39</v>
      </c>
      <c r="B762" s="79">
        <f>IFERROR(VLOOKUP($G762,基本資料!$A:$J,4,0),"無")</f>
        <v>-162</v>
      </c>
      <c r="C762" s="79">
        <f>IFERROR(VLOOKUP($G762,基本資料!$A:$J,5,0),"無")</f>
        <v>-156</v>
      </c>
      <c r="D762" s="79">
        <f>IFERROR(VLOOKUP($G762,基本資料!$A:$J,6,0),"無")</f>
        <v>-18</v>
      </c>
      <c r="E762" s="79">
        <f>IFERROR(VLOOKUP($G762,基本資料!$A:$J,7,0),"無")</f>
        <v>90</v>
      </c>
      <c r="F762" s="6">
        <f>IFERROR(VLOOKUP($G762,基本資料!$A:$J,8,0),"無")</f>
        <v>-3.01</v>
      </c>
      <c r="G762" s="79">
        <v>4931</v>
      </c>
      <c r="H762" s="145" t="s">
        <v>1145</v>
      </c>
      <c r="I762" s="16" t="s">
        <v>2971</v>
      </c>
      <c r="J762" s="8">
        <f>IFERROR(VLOOKUP($G762,今日總結!$A:$AN,39,0),"")</f>
        <v>7</v>
      </c>
      <c r="K762" s="5">
        <f>IFERROR(VLOOKUP($G762,今日總結!$A:$AN,40,0),"")</f>
        <v>234</v>
      </c>
      <c r="L762" s="156">
        <f>IFERROR(VLOOKUP($G762,今日總結!$A:$AN,37,0),"")</f>
        <v>1</v>
      </c>
      <c r="M762" s="337">
        <f>IFERROR(VLOOKUP($G762,今日總結!$A:$AN,38,0),"")</f>
        <v>3</v>
      </c>
      <c r="N762" s="240">
        <f t="shared" si="142"/>
        <v>-2</v>
      </c>
      <c r="O762" s="359">
        <f>IFERROR(VLOOKUP($G762,融外自投!$A:$J,7,0),"無")</f>
        <v>4</v>
      </c>
      <c r="P762" s="79">
        <f>IFERROR(VLOOKUP($G762,融外自投!$A:$J,9,0),"無")</f>
        <v>825</v>
      </c>
      <c r="Q762" s="342">
        <f>IFERROR(VLOOKUP($G762,融外自投!$A:$J,8,0),"無")</f>
        <v>141</v>
      </c>
      <c r="R762" s="81" t="str">
        <f>IFERROR(VLOOKUP($G762,融外自投!$A:$J,10,0),"無")</f>
        <v>無</v>
      </c>
      <c r="S762" s="324">
        <f>IFERROR(VLOOKUP($G762,'321買'!$A:$E,4,0),"'沒有資料'")</f>
        <v>134</v>
      </c>
      <c r="T762" s="186">
        <f>IFERROR(VLOOKUP($G762,基本資料!$A:$J,9,0),"無")</f>
        <v>0</v>
      </c>
      <c r="U762" s="307">
        <f t="shared" si="138"/>
        <v>0</v>
      </c>
      <c r="V762" s="94">
        <f>IFERROR(VLOOKUP($G762,基本資料!$A:$J,10,0),"無")</f>
        <v>-0.63</v>
      </c>
      <c r="W762" s="36">
        <f>RTD("money.excel",,"4931","Price")</f>
        <v>33.4</v>
      </c>
      <c r="X762" s="66"/>
      <c r="Y762" s="15">
        <f t="shared" si="139"/>
        <v>33.4</v>
      </c>
      <c r="Z762" s="3" t="e">
        <f t="shared" si="140"/>
        <v>#DIV/0!</v>
      </c>
      <c r="AA762" s="340">
        <f>IFERROR(VLOOKUP($G762,基本資料!$A:$M,11,0),"無")</f>
        <v>-16.190000000000001</v>
      </c>
      <c r="AB762" s="389">
        <f>IFERROR(VLOOKUP($G762,基本資料!$A:$M,12,0),"無")</f>
        <v>67.430000000000007</v>
      </c>
      <c r="AC762" s="16" t="s">
        <v>2971</v>
      </c>
      <c r="AF762" s="33">
        <f t="shared" si="141"/>
        <v>0</v>
      </c>
      <c r="AG762" s="43" t="s">
        <v>2972</v>
      </c>
      <c r="AH762" s="66">
        <f t="shared" si="143"/>
        <v>0.74097215426192609</v>
      </c>
      <c r="AI762" s="283">
        <f>RTD("money.excel",,$G762,"PredictVolume")</f>
        <v>9843</v>
      </c>
      <c r="AJ762" s="391">
        <f>IFERROR(VLOOKUP($G762,基本資料!$A:$M,13,0),"無")</f>
        <v>13283.9</v>
      </c>
      <c r="AR762" s="245" t="str">
        <f>INDEX(基本資料!N:N,MATCH($G762,基本資料!A:A,0))</f>
        <v>高</v>
      </c>
    </row>
    <row r="763" spans="1:44">
      <c r="A763" s="343">
        <f>IFERROR(VLOOKUP($G763,基本資料!$A:$J,3,0),"無")</f>
        <v>266</v>
      </c>
      <c r="B763" s="79">
        <f>IFERROR(VLOOKUP($G763,基本資料!$A:$J,4,0),"無")</f>
        <v>11</v>
      </c>
      <c r="C763" s="79">
        <f>IFERROR(VLOOKUP($G763,基本資料!$A:$J,5,0),"無")</f>
        <v>-11</v>
      </c>
      <c r="D763" s="79">
        <f>IFERROR(VLOOKUP($G763,基本資料!$A:$J,6,0),"無")</f>
        <v>-35</v>
      </c>
      <c r="E763" s="79">
        <f>IFERROR(VLOOKUP($G763,基本資料!$A:$J,7,0),"無")</f>
        <v>-19</v>
      </c>
      <c r="F763" s="6">
        <f>IFERROR(VLOOKUP($G763,基本資料!$A:$J,8,0),"無")</f>
        <v>1.33</v>
      </c>
      <c r="G763" s="79">
        <v>4938</v>
      </c>
      <c r="H763" s="192" t="s">
        <v>1145</v>
      </c>
      <c r="I763" s="22" t="s">
        <v>13</v>
      </c>
      <c r="J763" s="8" t="str">
        <f>IFERROR(VLOOKUP($G763,今日總結!$A:$AN,39,0),"")</f>
        <v>自</v>
      </c>
      <c r="K763" s="5">
        <f>IFERROR(VLOOKUP($G763,今日總結!$A:$AN,40,0),"")</f>
        <v>0</v>
      </c>
      <c r="L763" s="156">
        <f>IFERROR(VLOOKUP($G763,今日總結!$A:$AN,37,0),"")</f>
        <v>12</v>
      </c>
      <c r="M763" s="337">
        <f>IFERROR(VLOOKUP($G763,今日總結!$A:$AN,38,0),"")</f>
        <v>0</v>
      </c>
      <c r="N763" s="240">
        <f t="shared" si="142"/>
        <v>12</v>
      </c>
      <c r="O763" s="359">
        <f>IFERROR(VLOOKUP($G763,融外自投!$A:$J,7,0),"無")</f>
        <v>1235</v>
      </c>
      <c r="P763" s="79">
        <f>IFERROR(VLOOKUP($G763,融外自投!$A:$J,9,0),"無")</f>
        <v>67</v>
      </c>
      <c r="Q763" s="342">
        <f>IFERROR(VLOOKUP($G763,融外自投!$A:$J,8,0),"無")</f>
        <v>162</v>
      </c>
      <c r="R763" s="81">
        <f>IFERROR(VLOOKUP($G763,融外自投!$A:$J,10,0),"無")</f>
        <v>75</v>
      </c>
      <c r="S763" s="324">
        <f>IFERROR(VLOOKUP($G763,'321買'!$A:$E,4,0),"'沒有資料'")</f>
        <v>366</v>
      </c>
      <c r="T763" s="186">
        <f>IFERROR(VLOOKUP($G763,基本資料!$A:$J,9,0),"無")</f>
        <v>5</v>
      </c>
      <c r="U763" s="307">
        <f t="shared" ref="U763:U806" si="147">$T763/$W763</f>
        <v>7.7881619937694699E-2</v>
      </c>
      <c r="V763" s="94">
        <f>IFERROR(VLOOKUP($G763,基本資料!$A:$J,10,0),"無")</f>
        <v>7.71</v>
      </c>
      <c r="W763" s="36">
        <f>RTD("money.excel",,"4938","Price")</f>
        <v>64.2</v>
      </c>
      <c r="X763" s="66"/>
      <c r="Y763" s="15">
        <f t="shared" si="139"/>
        <v>64.2</v>
      </c>
      <c r="Z763" s="3" t="e">
        <f t="shared" si="140"/>
        <v>#DIV/0!</v>
      </c>
      <c r="AA763" s="340">
        <f>IFERROR(VLOOKUP($G763,基本資料!$A:$M,11,0),"無")</f>
        <v>-14.4</v>
      </c>
      <c r="AB763" s="389">
        <f>IFERROR(VLOOKUP($G763,基本資料!$A:$M,12,0),"無")</f>
        <v>27.41</v>
      </c>
      <c r="AC763" s="22" t="s">
        <v>13</v>
      </c>
      <c r="AF763" s="33">
        <f t="shared" si="141"/>
        <v>0</v>
      </c>
      <c r="AG763" s="117" t="s">
        <v>2731</v>
      </c>
      <c r="AH763" s="66">
        <f t="shared" si="143"/>
        <v>1.197367637424811</v>
      </c>
      <c r="AI763" s="283">
        <f>RTD("money.excel",,$G763,"PredictVolume")</f>
        <v>8042</v>
      </c>
      <c r="AJ763" s="391">
        <f>IFERROR(VLOOKUP($G763,基本資料!$A:$M,13,0),"無")</f>
        <v>6716.4</v>
      </c>
      <c r="AR763" s="245" t="str">
        <f>INDEX(基本資料!N:N,MATCH($G763,基本資料!A:A,0))</f>
        <v>低</v>
      </c>
    </row>
    <row r="764" spans="1:44">
      <c r="A764" s="343">
        <f>IFERROR(VLOOKUP($G764,基本資料!$A:$J,3,0),"無")</f>
        <v>2.89</v>
      </c>
      <c r="B764" s="79">
        <f>IFERROR(VLOOKUP($G764,基本資料!$A:$J,4,0),"無")</f>
        <v>40</v>
      </c>
      <c r="C764" s="79">
        <f>IFERROR(VLOOKUP($G764,基本資料!$A:$J,5,0),"無")</f>
        <v>39</v>
      </c>
      <c r="D764" s="79">
        <f>IFERROR(VLOOKUP($G764,基本資料!$A:$J,6,0),"無")</f>
        <v>-26</v>
      </c>
      <c r="E764" s="79">
        <f>IFERROR(VLOOKUP($G764,基本資料!$A:$J,7,0),"無")</f>
        <v>-13</v>
      </c>
      <c r="F764" s="6">
        <f>IFERROR(VLOOKUP($G764,基本資料!$A:$J,8,0),"無")</f>
        <v>15.55</v>
      </c>
      <c r="G764" s="79">
        <v>4987</v>
      </c>
      <c r="H764" s="145" t="s">
        <v>1145</v>
      </c>
      <c r="I764" s="16" t="s">
        <v>2219</v>
      </c>
      <c r="J764" s="8" t="str">
        <f>IFERROR(VLOOKUP($G764,今日總結!$A:$AN,39,0),"")</f>
        <v/>
      </c>
      <c r="K764" s="5" t="str">
        <f>IFERROR(VLOOKUP($G764,今日總結!$A:$AN,40,0),"")</f>
        <v/>
      </c>
      <c r="L764" s="156" t="str">
        <f>IFERROR(VLOOKUP($G764,今日總結!$A:$AN,37,0),"")</f>
        <v/>
      </c>
      <c r="M764" s="337" t="str">
        <f>IFERROR(VLOOKUP($G764,今日總結!$A:$AN,38,0),"")</f>
        <v/>
      </c>
      <c r="N764" s="240" t="str">
        <f t="shared" ref="N764:N806" si="148">IFERROR(L764-M764,"")</f>
        <v/>
      </c>
      <c r="O764" s="359" t="str">
        <f>IFERROR(VLOOKUP($G764,融外自投!$A:$J,7,0),"無")</f>
        <v>無</v>
      </c>
      <c r="P764" s="79" t="str">
        <f>IFERROR(VLOOKUP($G764,融外自投!$A:$J,9,0),"無")</f>
        <v>無</v>
      </c>
      <c r="Q764" s="342" t="str">
        <f>IFERROR(VLOOKUP($G764,融外自投!$A:$J,8,0),"無")</f>
        <v>無</v>
      </c>
      <c r="R764" s="81" t="str">
        <f>IFERROR(VLOOKUP($G764,融外自投!$A:$J,10,0),"無")</f>
        <v>無</v>
      </c>
      <c r="S764" s="324" t="str">
        <f>IFERROR(VLOOKUP($G764,'321買'!$A:$E,4,0),"'沒有資料'")</f>
        <v>'沒有資料'</v>
      </c>
      <c r="T764" s="186">
        <f>IFERROR(VLOOKUP($G764,基本資料!$A:$J,9,0),"無")</f>
        <v>4</v>
      </c>
      <c r="U764" s="307">
        <f t="shared" si="147"/>
        <v>6.7567567567567557E-2</v>
      </c>
      <c r="V764" s="94">
        <f>IFERROR(VLOOKUP($G764,基本資料!$A:$J,10,0),"無")</f>
        <v>4.6100000000000003</v>
      </c>
      <c r="W764" s="36">
        <f>RTD("money.excel",,"4987","Price")</f>
        <v>59.2</v>
      </c>
      <c r="X764" s="66"/>
      <c r="Y764" s="15">
        <f t="shared" ref="Y764:Y806" si="149">W764-X764</f>
        <v>59.2</v>
      </c>
      <c r="Z764" s="3" t="e">
        <f t="shared" ref="Z764:Z806" si="150">Y764/X764</f>
        <v>#DIV/0!</v>
      </c>
      <c r="AA764" s="340">
        <f>IFERROR(VLOOKUP($G764,基本資料!$A:$M,11,0),"無")</f>
        <v>-6.03</v>
      </c>
      <c r="AB764" s="389">
        <f>IFERROR(VLOOKUP($G764,基本資料!$A:$M,12,0),"無")</f>
        <v>70.66</v>
      </c>
      <c r="AC764" s="16" t="s">
        <v>2219</v>
      </c>
      <c r="AF764" s="33">
        <f t="shared" ref="AF764:AF806" si="151">AE764-AD764</f>
        <v>0</v>
      </c>
      <c r="AG764" s="43" t="s">
        <v>2441</v>
      </c>
      <c r="AH764" s="66">
        <f t="shared" si="143"/>
        <v>0.24221453287197234</v>
      </c>
      <c r="AI764" s="283">
        <f>RTD("money.excel",,$G764,"PredictVolume")</f>
        <v>7</v>
      </c>
      <c r="AJ764" s="391">
        <f>IFERROR(VLOOKUP($G764,基本資料!$A:$M,13,0),"無")</f>
        <v>28.9</v>
      </c>
      <c r="AR764" s="245" t="str">
        <f>INDEX(基本資料!N:N,MATCH($G764,基本資料!A:A,0))</f>
        <v>高</v>
      </c>
    </row>
    <row r="765" spans="1:44">
      <c r="A765" s="343">
        <f>IFERROR(VLOOKUP($G765,基本資料!$A:$J,3,0),"無")</f>
        <v>6.43</v>
      </c>
      <c r="B765" s="79">
        <f>IFERROR(VLOOKUP($G765,基本資料!$A:$J,4,0),"無")</f>
        <v>-26</v>
      </c>
      <c r="C765" s="79">
        <f>IFERROR(VLOOKUP($G765,基本資料!$A:$J,5,0),"無")</f>
        <v>-29</v>
      </c>
      <c r="D765" s="79">
        <f>IFERROR(VLOOKUP($G765,基本資料!$A:$J,6,0),"無")</f>
        <v>10</v>
      </c>
      <c r="E765" s="79">
        <f>IFERROR(VLOOKUP($G765,基本資料!$A:$J,7,0),"無")</f>
        <v>-18</v>
      </c>
      <c r="F765" s="6">
        <f>IFERROR(VLOOKUP($G765,基本資料!$A:$J,8,0),"無")</f>
        <v>20.62</v>
      </c>
      <c r="G765" s="79">
        <v>5215</v>
      </c>
      <c r="H765" s="192" t="s">
        <v>1145</v>
      </c>
      <c r="I765" s="22" t="s">
        <v>468</v>
      </c>
      <c r="J765" s="8">
        <f>IFERROR(VLOOKUP($G765,今日總結!$A:$AN,39,0),"")</f>
        <v>0</v>
      </c>
      <c r="K765" s="5">
        <f>IFERROR(VLOOKUP($G765,今日總結!$A:$AN,40,0),"")</f>
        <v>0</v>
      </c>
      <c r="L765" s="156">
        <f>IFERROR(VLOOKUP($G765,今日總結!$A:$AN,37,0),"")</f>
        <v>0</v>
      </c>
      <c r="M765" s="337">
        <f>IFERROR(VLOOKUP($G765,今日總結!$A:$AN,38,0),"")</f>
        <v>0</v>
      </c>
      <c r="N765" s="240">
        <f t="shared" si="148"/>
        <v>0</v>
      </c>
      <c r="O765" s="359">
        <f>IFERROR(VLOOKUP($G765,融外自投!$A:$J,7,0),"無")</f>
        <v>492</v>
      </c>
      <c r="P765" s="79">
        <f>IFERROR(VLOOKUP($G765,融外自投!$A:$J,9,0),"無")</f>
        <v>1123</v>
      </c>
      <c r="Q765" s="342">
        <f>IFERROR(VLOOKUP($G765,融外自投!$A:$J,8,0),"無")</f>
        <v>216</v>
      </c>
      <c r="R765" s="81" t="str">
        <f>IFERROR(VLOOKUP($G765,融外自投!$A:$J,10,0),"無")</f>
        <v>無</v>
      </c>
      <c r="S765" s="324">
        <f>IFERROR(VLOOKUP($G765,'321買'!$A:$E,4,0),"'沒有資料'")</f>
        <v>1002</v>
      </c>
      <c r="T765" s="186">
        <f>IFERROR(VLOOKUP($G765,基本資料!$A:$J,9,0),"無")</f>
        <v>5</v>
      </c>
      <c r="U765" s="307">
        <f t="shared" si="147"/>
        <v>9.3283582089552231E-2</v>
      </c>
      <c r="V765" s="94">
        <f>IFERROR(VLOOKUP($G765,基本資料!$A:$J,10,0),"無")</f>
        <v>8.76</v>
      </c>
      <c r="W765" s="36">
        <f>RTD("money.excel",,"5215","Price")</f>
        <v>53.6</v>
      </c>
      <c r="X765" s="66"/>
      <c r="Y765" s="15">
        <f t="shared" si="149"/>
        <v>53.6</v>
      </c>
      <c r="Z765" s="3" t="e">
        <f t="shared" si="150"/>
        <v>#DIV/0!</v>
      </c>
      <c r="AA765" s="340">
        <f>IFERROR(VLOOKUP($G765,基本資料!$A:$M,11,0),"無")</f>
        <v>-57.96</v>
      </c>
      <c r="AB765" s="389">
        <f>IFERROR(VLOOKUP($G765,基本資料!$A:$M,12,0),"無")</f>
        <v>19.46</v>
      </c>
      <c r="AC765" s="22" t="s">
        <v>468</v>
      </c>
      <c r="AF765" s="33">
        <f t="shared" si="151"/>
        <v>0</v>
      </c>
      <c r="AG765" s="43" t="s">
        <v>2282</v>
      </c>
      <c r="AH765" s="66">
        <f t="shared" si="143"/>
        <v>1.0249671484888305</v>
      </c>
      <c r="AI765" s="283">
        <f>RTD("money.excel",,$G765,"PredictVolume")</f>
        <v>195</v>
      </c>
      <c r="AJ765" s="391">
        <f>IFERROR(VLOOKUP($G765,基本資料!$A:$M,13,0),"無")</f>
        <v>190.25</v>
      </c>
      <c r="AR765" s="245" t="str">
        <f>INDEX(基本資料!N:N,MATCH($G765,基本資料!A:A,0))</f>
        <v>低</v>
      </c>
    </row>
    <row r="766" spans="1:44">
      <c r="A766" s="343">
        <f>IFERROR(VLOOKUP($G766,基本資料!$A:$J,3,0),"無")</f>
        <v>4.45</v>
      </c>
      <c r="B766" s="79">
        <f>IFERROR(VLOOKUP($G766,基本資料!$A:$J,4,0),"無")</f>
        <v>-18</v>
      </c>
      <c r="C766" s="79">
        <f>IFERROR(VLOOKUP($G766,基本資料!$A:$J,5,0),"無")</f>
        <v>-29</v>
      </c>
      <c r="D766" s="79">
        <f>IFERROR(VLOOKUP($G766,基本資料!$A:$J,6,0),"無")</f>
        <v>-73</v>
      </c>
      <c r="E766" s="79">
        <f>IFERROR(VLOOKUP($G766,基本資料!$A:$J,7,0),"無")</f>
        <v>-61</v>
      </c>
      <c r="F766" s="6">
        <f>IFERROR(VLOOKUP($G766,基本資料!$A:$J,8,0),"無")</f>
        <v>12.61</v>
      </c>
      <c r="G766" s="79">
        <v>5223</v>
      </c>
      <c r="H766" s="145" t="s">
        <v>1145</v>
      </c>
      <c r="I766" s="16" t="s">
        <v>2220</v>
      </c>
      <c r="J766" s="8">
        <f>IFERROR(VLOOKUP($G766,今日總結!$A:$AN,39,0),"")</f>
        <v>0</v>
      </c>
      <c r="K766" s="5">
        <f>IFERROR(VLOOKUP($G766,今日總結!$A:$AN,40,0),"")</f>
        <v>0</v>
      </c>
      <c r="L766" s="156">
        <f>IFERROR(VLOOKUP($G766,今日總結!$A:$AN,37,0),"")</f>
        <v>0</v>
      </c>
      <c r="M766" s="337">
        <f>IFERROR(VLOOKUP($G766,今日總結!$A:$AN,38,0),"")</f>
        <v>0</v>
      </c>
      <c r="N766" s="240">
        <f t="shared" si="148"/>
        <v>0</v>
      </c>
      <c r="O766" s="359">
        <f>IFERROR(VLOOKUP($G766,融外自投!$A:$J,7,0),"無")</f>
        <v>295</v>
      </c>
      <c r="P766" s="79" t="str">
        <f>IFERROR(VLOOKUP($G766,融外自投!$A:$J,9,0),"無")</f>
        <v>無</v>
      </c>
      <c r="Q766" s="342">
        <f>IFERROR(VLOOKUP($G766,融外自投!$A:$J,8,0),"無")</f>
        <v>103</v>
      </c>
      <c r="R766" s="81" t="str">
        <f>IFERROR(VLOOKUP($G766,融外自投!$A:$J,10,0),"無")</f>
        <v>無</v>
      </c>
      <c r="S766" s="324">
        <f>IFERROR(VLOOKUP($G766,'321買'!$A:$E,4,0),"'沒有資料'")</f>
        <v>1002</v>
      </c>
      <c r="T766" s="186">
        <f>IFERROR(VLOOKUP($G766,基本資料!$A:$J,9,0),"無")</f>
        <v>2.7</v>
      </c>
      <c r="U766" s="307">
        <f t="shared" si="147"/>
        <v>5.844155844155844E-2</v>
      </c>
      <c r="V766" s="94">
        <f>IFERROR(VLOOKUP($G766,基本資料!$A:$J,10,0),"無")</f>
        <v>5.22</v>
      </c>
      <c r="W766" s="36">
        <f>RTD("money.excel",,"5223","Price")</f>
        <v>46.2</v>
      </c>
      <c r="X766" s="66"/>
      <c r="Y766" s="15">
        <f t="shared" si="149"/>
        <v>46.2</v>
      </c>
      <c r="Z766" s="3" t="e">
        <f t="shared" si="150"/>
        <v>#DIV/0!</v>
      </c>
      <c r="AA766" s="340">
        <f>IFERROR(VLOOKUP($G766,基本資料!$A:$M,11,0),"無")</f>
        <v>-28.92</v>
      </c>
      <c r="AB766" s="389">
        <f>IFERROR(VLOOKUP($G766,基本資料!$A:$M,12,0),"無")</f>
        <v>12.81</v>
      </c>
      <c r="AC766" s="16" t="s">
        <v>2220</v>
      </c>
      <c r="AF766" s="33">
        <f t="shared" si="151"/>
        <v>0</v>
      </c>
      <c r="AG766" s="43" t="s">
        <v>2886</v>
      </c>
      <c r="AH766" s="66">
        <f t="shared" si="143"/>
        <v>1.042830540037244</v>
      </c>
      <c r="AI766" s="283">
        <f>RTD("money.excel",,$G766,"PredictVolume")</f>
        <v>28</v>
      </c>
      <c r="AJ766" s="391">
        <f>IFERROR(VLOOKUP($G766,基本資料!$A:$M,13,0),"無")</f>
        <v>26.85</v>
      </c>
      <c r="AR766" s="245" t="str">
        <f>INDEX(基本資料!N:N,MATCH($G766,基本資料!A:A,0))</f>
        <v>低</v>
      </c>
    </row>
    <row r="767" spans="1:44">
      <c r="A767" s="343">
        <f>IFERROR(VLOOKUP($G767,基本資料!$A:$J,3,0),"無")</f>
        <v>8.9499999999999993</v>
      </c>
      <c r="B767" s="79">
        <f>IFERROR(VLOOKUP($G767,基本資料!$A:$J,4,0),"無")</f>
        <v>13</v>
      </c>
      <c r="C767" s="79">
        <f>IFERROR(VLOOKUP($G767,基本資料!$A:$J,5,0),"無")</f>
        <v>46</v>
      </c>
      <c r="D767" s="79">
        <f>IFERROR(VLOOKUP($G767,基本資料!$A:$J,6,0),"無")</f>
        <v>-16</v>
      </c>
      <c r="E767" s="79">
        <f>IFERROR(VLOOKUP($G767,基本資料!$A:$J,7,0),"無")</f>
        <v>48</v>
      </c>
      <c r="F767" s="6">
        <f>IFERROR(VLOOKUP($G767,基本資料!$A:$J,8,0),"無")</f>
        <v>7.36</v>
      </c>
      <c r="G767" s="79">
        <v>5258</v>
      </c>
      <c r="H767" s="192" t="s">
        <v>1145</v>
      </c>
      <c r="I767" s="22" t="s">
        <v>469</v>
      </c>
      <c r="J767" s="8">
        <f>IFERROR(VLOOKUP($G767,今日總結!$A:$AN,39,0),"")</f>
        <v>0</v>
      </c>
      <c r="K767" s="5" t="str">
        <f>IFERROR(VLOOKUP($G767,今日總結!$A:$AN,40,0),"")</f>
        <v>借券</v>
      </c>
      <c r="L767" s="156">
        <f>IFERROR(VLOOKUP($G767,今日總結!$A:$AN,37,0),"")</f>
        <v>0</v>
      </c>
      <c r="M767" s="337">
        <f>IFERROR(VLOOKUP($G767,今日總結!$A:$AN,38,0),"")</f>
        <v>4</v>
      </c>
      <c r="N767" s="240">
        <f t="shared" si="148"/>
        <v>-4</v>
      </c>
      <c r="O767" s="359">
        <f>IFERROR(VLOOKUP($G767,融外自投!$A:$J,7,0),"無")</f>
        <v>87</v>
      </c>
      <c r="P767" s="79">
        <f>IFERROR(VLOOKUP($G767,融外自投!$A:$J,9,0),"無")</f>
        <v>741</v>
      </c>
      <c r="Q767" s="342">
        <f>IFERROR(VLOOKUP($G767,融外自投!$A:$J,8,0),"無")</f>
        <v>596</v>
      </c>
      <c r="R767" s="81" t="str">
        <f>IFERROR(VLOOKUP($G767,融外自投!$A:$J,10,0),"無")</f>
        <v>無</v>
      </c>
      <c r="S767" s="324">
        <f>IFERROR(VLOOKUP($G767,'321買'!$A:$E,4,0),"'沒有資料'")</f>
        <v>83</v>
      </c>
      <c r="T767" s="186">
        <f>IFERROR(VLOOKUP($G767,基本資料!$A:$J,9,0),"無")</f>
        <v>0.6</v>
      </c>
      <c r="U767" s="307">
        <f t="shared" si="147"/>
        <v>1.6172506738544472E-2</v>
      </c>
      <c r="V767" s="94">
        <f>IFERROR(VLOOKUP($G767,基本資料!$A:$J,10,0),"無")</f>
        <v>2.5099999999999998</v>
      </c>
      <c r="W767" s="36">
        <f>RTD("money.excel",,"5258","Price")</f>
        <v>37.1</v>
      </c>
      <c r="X767" s="66"/>
      <c r="Y767" s="15">
        <f t="shared" si="149"/>
        <v>37.1</v>
      </c>
      <c r="Z767" s="3" t="e">
        <f t="shared" si="150"/>
        <v>#DIV/0!</v>
      </c>
      <c r="AA767" s="340">
        <f>IFERROR(VLOOKUP($G767,基本資料!$A:$M,11,0),"無")</f>
        <v>-18.37</v>
      </c>
      <c r="AB767" s="389">
        <f>IFERROR(VLOOKUP($G767,基本資料!$A:$M,12,0),"無")</f>
        <v>34.46</v>
      </c>
      <c r="AC767" s="22" t="s">
        <v>469</v>
      </c>
      <c r="AF767" s="33">
        <f t="shared" si="151"/>
        <v>0</v>
      </c>
      <c r="AG767" s="43" t="s">
        <v>3558</v>
      </c>
      <c r="AH767" s="66">
        <f t="shared" si="143"/>
        <v>0.66816735232476909</v>
      </c>
      <c r="AI767" s="283">
        <f>RTD("money.excel",,$G767,"PredictVolume")</f>
        <v>2152</v>
      </c>
      <c r="AJ767" s="391">
        <f>IFERROR(VLOOKUP($G767,基本資料!$A:$M,13,0),"無")</f>
        <v>3220.75</v>
      </c>
      <c r="AR767" s="245" t="str">
        <f>INDEX(基本資料!N:N,MATCH($G767,基本資料!A:A,0))</f>
        <v>高</v>
      </c>
    </row>
    <row r="768" spans="1:44">
      <c r="A768" s="343">
        <f>IFERROR(VLOOKUP($G768,基本資料!$A:$J,3,0),"無")</f>
        <v>8.3699999999999992</v>
      </c>
      <c r="B768" s="79">
        <f>IFERROR(VLOOKUP($G768,基本資料!$A:$J,4,0),"無")</f>
        <v>68</v>
      </c>
      <c r="C768" s="79">
        <f>IFERROR(VLOOKUP($G768,基本資料!$A:$J,5,0),"無")</f>
        <v>61</v>
      </c>
      <c r="D768" s="79">
        <f>IFERROR(VLOOKUP($G768,基本資料!$A:$J,6,0),"無")</f>
        <v>7</v>
      </c>
      <c r="E768" s="79">
        <f>IFERROR(VLOOKUP($G768,基本資料!$A:$J,7,0),"無")</f>
        <v>17</v>
      </c>
      <c r="F768" s="6">
        <f>IFERROR(VLOOKUP($G768,基本資料!$A:$J,8,0),"無")</f>
        <v>19.12</v>
      </c>
      <c r="G768" s="79">
        <v>5289</v>
      </c>
      <c r="H768" s="145" t="s">
        <v>1145</v>
      </c>
      <c r="I768" s="16" t="s">
        <v>4088</v>
      </c>
      <c r="J768" s="8">
        <f>IFERROR(VLOOKUP($G768,今日總結!$A:$AN,39,0),"")</f>
        <v>0</v>
      </c>
      <c r="K768" s="5" t="str">
        <f>IFERROR(VLOOKUP($G768,今日總結!$A:$AN,40,0),"")</f>
        <v>外</v>
      </c>
      <c r="L768" s="156">
        <f>IFERROR(VLOOKUP($G768,今日總結!$A:$AN,37,0),"")</f>
        <v>0</v>
      </c>
      <c r="M768" s="337">
        <f>IFERROR(VLOOKUP($G768,今日總結!$A:$AN,38,0),"")</f>
        <v>6</v>
      </c>
      <c r="N768" s="240">
        <f t="shared" si="148"/>
        <v>-6</v>
      </c>
      <c r="O768" s="359">
        <f>IFERROR(VLOOKUP($G768,融外自投!$A:$J,7,0),"無")</f>
        <v>812</v>
      </c>
      <c r="P768" s="79">
        <f>IFERROR(VLOOKUP($G768,融外自投!$A:$J,9,0),"無")</f>
        <v>414</v>
      </c>
      <c r="Q768" s="342">
        <f>IFERROR(VLOOKUP($G768,融外自投!$A:$J,8,0),"無")</f>
        <v>135</v>
      </c>
      <c r="R768" s="81">
        <f>IFERROR(VLOOKUP($G768,融外自投!$A:$J,10,0),"無")</f>
        <v>195</v>
      </c>
      <c r="S768" s="324">
        <f>IFERROR(VLOOKUP($G768,'321買'!$A:$E,4,0),"'沒有資料'")</f>
        <v>465</v>
      </c>
      <c r="T768" s="186">
        <f>IFERROR(VLOOKUP($G768,基本資料!$A:$J,9,0),"無")</f>
        <v>12</v>
      </c>
      <c r="U768" s="307">
        <f t="shared" si="147"/>
        <v>6.0150375939849621E-2</v>
      </c>
      <c r="V768" s="94">
        <f>IFERROR(VLOOKUP($G768,基本資料!$A:$J,10,0),"無")</f>
        <v>18.940000000000001</v>
      </c>
      <c r="W768" s="36">
        <f>RTD("money.excel",,"5289","Price")</f>
        <v>199.5</v>
      </c>
      <c r="X768" s="66"/>
      <c r="Y768" s="15">
        <f t="shared" si="149"/>
        <v>199.5</v>
      </c>
      <c r="Z768" s="3" t="e">
        <f t="shared" si="150"/>
        <v>#DIV/0!</v>
      </c>
      <c r="AA768" s="340">
        <f>IFERROR(VLOOKUP($G768,基本資料!$A:$M,11,0),"無")</f>
        <v>-20.2</v>
      </c>
      <c r="AB768" s="389">
        <f>IFERROR(VLOOKUP($G768,基本資料!$A:$M,12,0),"無")</f>
        <v>23.82</v>
      </c>
      <c r="AC768" s="16" t="s">
        <v>4088</v>
      </c>
      <c r="AF768" s="33">
        <f t="shared" si="151"/>
        <v>0</v>
      </c>
      <c r="AG768" s="117" t="s">
        <v>1413</v>
      </c>
      <c r="AH768" s="66">
        <f t="shared" si="143"/>
        <v>0.71394114809454889</v>
      </c>
      <c r="AI768" s="283">
        <f>RTD("money.excel",,$G768,"PredictVolume")</f>
        <v>148</v>
      </c>
      <c r="AJ768" s="391">
        <f>IFERROR(VLOOKUP($G768,基本資料!$A:$M,13,0),"無")</f>
        <v>207.3</v>
      </c>
      <c r="AR768" s="245" t="str">
        <f>INDEX(基本資料!N:N,MATCH($G768,基本資料!A:A,0))</f>
        <v>中</v>
      </c>
    </row>
    <row r="769" spans="1:44">
      <c r="A769" s="343">
        <f>IFERROR(VLOOKUP($G769,基本資料!$A:$J,3,0),"無")</f>
        <v>10.3</v>
      </c>
      <c r="B769" s="79">
        <f>IFERROR(VLOOKUP($G769,基本資料!$A:$J,4,0),"無")</f>
        <v>-112</v>
      </c>
      <c r="C769" s="79">
        <f>IFERROR(VLOOKUP($G769,基本資料!$A:$J,5,0),"無")</f>
        <v>-249</v>
      </c>
      <c r="D769" s="79">
        <f>IFERROR(VLOOKUP($G769,基本資料!$A:$J,6,0),"無")</f>
        <v>-4</v>
      </c>
      <c r="E769" s="79">
        <f>IFERROR(VLOOKUP($G769,基本資料!$A:$J,7,0),"無")</f>
        <v>-2</v>
      </c>
      <c r="F769" s="6">
        <f>IFERROR(VLOOKUP($G769,基本資料!$A:$J,8,0),"無")</f>
        <v>-3.61</v>
      </c>
      <c r="G769" s="79">
        <v>5356</v>
      </c>
      <c r="H769" s="145" t="s">
        <v>1145</v>
      </c>
      <c r="I769" s="16" t="s">
        <v>2221</v>
      </c>
      <c r="J769" s="8">
        <f>IFERROR(VLOOKUP($G769,今日總結!$A:$AN,39,0),"")</f>
        <v>0</v>
      </c>
      <c r="K769" s="5" t="str">
        <f>IFERROR(VLOOKUP($G769,今日總結!$A:$AN,40,0),"")</f>
        <v>外借</v>
      </c>
      <c r="L769" s="156">
        <f>IFERROR(VLOOKUP($G769,今日總結!$A:$AN,37,0),"")</f>
        <v>0</v>
      </c>
      <c r="M769" s="337">
        <f>IFERROR(VLOOKUP($G769,今日總結!$A:$AN,38,0),"")</f>
        <v>5</v>
      </c>
      <c r="N769" s="240">
        <f t="shared" si="148"/>
        <v>-5</v>
      </c>
      <c r="O769" s="359">
        <f>IFERROR(VLOOKUP($G769,融外自投!$A:$J,7,0),"無")</f>
        <v>561</v>
      </c>
      <c r="P769" s="79">
        <f>IFERROR(VLOOKUP($G769,融外自投!$A:$J,9,0),"無")</f>
        <v>1051</v>
      </c>
      <c r="Q769" s="342">
        <f>IFERROR(VLOOKUP($G769,融外自投!$A:$J,8,0),"無")</f>
        <v>937</v>
      </c>
      <c r="R769" s="81" t="str">
        <f>IFERROR(VLOOKUP($G769,融外自投!$A:$J,10,0),"無")</f>
        <v>無</v>
      </c>
      <c r="S769" s="324">
        <f>IFERROR(VLOOKUP($G769,'321買'!$A:$E,4,0),"'沒有資料'")</f>
        <v>650</v>
      </c>
      <c r="T769" s="186">
        <f>IFERROR(VLOOKUP($G769,基本資料!$A:$J,9,0),"無")</f>
        <v>1.3</v>
      </c>
      <c r="U769" s="307">
        <f t="shared" si="147"/>
        <v>5.4968287526427066E-2</v>
      </c>
      <c r="V769" s="94">
        <f>IFERROR(VLOOKUP($G769,基本資料!$A:$J,10,0),"無")</f>
        <v>-0.28000000000000003</v>
      </c>
      <c r="W769" s="36">
        <f>RTD("money.excel",,"5356","Price")</f>
        <v>23.65</v>
      </c>
      <c r="X769" s="66"/>
      <c r="Y769" s="15">
        <f t="shared" si="149"/>
        <v>23.65</v>
      </c>
      <c r="Z769" s="3" t="e">
        <f t="shared" si="150"/>
        <v>#DIV/0!</v>
      </c>
      <c r="AA769" s="340">
        <f>IFERROR(VLOOKUP($G769,基本資料!$A:$M,11,0),"無")</f>
        <v>-32.229999999999997</v>
      </c>
      <c r="AB769" s="389">
        <f>IFERROR(VLOOKUP($G769,基本資料!$A:$M,12,0),"無")</f>
        <v>29.13</v>
      </c>
      <c r="AC769" s="16" t="s">
        <v>2221</v>
      </c>
      <c r="AF769" s="33">
        <f t="shared" si="151"/>
        <v>0</v>
      </c>
      <c r="AG769" s="117" t="s">
        <v>2222</v>
      </c>
      <c r="AH769" s="66">
        <f t="shared" si="143"/>
        <v>0.98009188361408883</v>
      </c>
      <c r="AI769" s="283">
        <f>RTD("money.excel",,$G769,"PredictVolume")</f>
        <v>128</v>
      </c>
      <c r="AJ769" s="391">
        <f>IFERROR(VLOOKUP($G769,基本資料!$A:$M,13,0),"無")</f>
        <v>130.6</v>
      </c>
      <c r="AR769" s="245" t="str">
        <f>INDEX(基本資料!N:N,MATCH($G769,基本資料!A:A,0))</f>
        <v>低</v>
      </c>
    </row>
    <row r="770" spans="1:44">
      <c r="A770" s="343">
        <f>IFERROR(VLOOKUP($G770,基本資料!$A:$J,3,0),"無")</f>
        <v>2.4700000000000002</v>
      </c>
      <c r="B770" s="79">
        <f>IFERROR(VLOOKUP($G770,基本資料!$A:$J,4,0),"無")</f>
        <v>143</v>
      </c>
      <c r="C770" s="79">
        <f>IFERROR(VLOOKUP($G770,基本資料!$A:$J,5,0),"無")</f>
        <v>92</v>
      </c>
      <c r="D770" s="79">
        <f>IFERROR(VLOOKUP($G770,基本資料!$A:$J,6,0),"無")</f>
        <v>-23</v>
      </c>
      <c r="E770" s="79">
        <f>IFERROR(VLOOKUP($G770,基本資料!$A:$J,7,0),"無")</f>
        <v>66</v>
      </c>
      <c r="F770" s="6">
        <f>IFERROR(VLOOKUP($G770,基本資料!$A:$J,8,0),"無")</f>
        <v>2.08</v>
      </c>
      <c r="G770" s="79">
        <v>5386</v>
      </c>
      <c r="H770" s="145" t="s">
        <v>1145</v>
      </c>
      <c r="I770" s="16" t="s">
        <v>2223</v>
      </c>
      <c r="J770" s="8">
        <f>IFERROR(VLOOKUP($G770,今日總結!$A:$AN,39,0),"")</f>
        <v>0</v>
      </c>
      <c r="K770" s="5">
        <f>IFERROR(VLOOKUP($G770,今日總結!$A:$AN,40,0),"")</f>
        <v>0</v>
      </c>
      <c r="L770" s="156">
        <f>IFERROR(VLOOKUP($G770,今日總結!$A:$AN,37,0),"")</f>
        <v>0</v>
      </c>
      <c r="M770" s="337">
        <f>IFERROR(VLOOKUP($G770,今日總結!$A:$AN,38,0),"")</f>
        <v>0</v>
      </c>
      <c r="N770" s="240">
        <f t="shared" si="148"/>
        <v>0</v>
      </c>
      <c r="O770" s="359">
        <f>IFERROR(VLOOKUP($G770,融外自投!$A:$J,7,0),"無")</f>
        <v>320</v>
      </c>
      <c r="P770" s="79">
        <f>IFERROR(VLOOKUP($G770,融外自投!$A:$J,9,0),"無")</f>
        <v>20</v>
      </c>
      <c r="Q770" s="342">
        <f>IFERROR(VLOOKUP($G770,融外自投!$A:$J,8,0),"無")</f>
        <v>1207</v>
      </c>
      <c r="R770" s="81" t="str">
        <f>IFERROR(VLOOKUP($G770,融外自投!$A:$J,10,0),"無")</f>
        <v>無</v>
      </c>
      <c r="S770" s="324">
        <f>IFERROR(VLOOKUP($G770,'321買'!$A:$E,4,0),"'沒有資料'")</f>
        <v>411</v>
      </c>
      <c r="T770" s="186">
        <f>IFERROR(VLOOKUP($G770,基本資料!$A:$J,9,0),"無")</f>
        <v>1.2</v>
      </c>
      <c r="U770" s="307">
        <f t="shared" si="147"/>
        <v>3.0379746835443037E-2</v>
      </c>
      <c r="V770" s="94">
        <f>IFERROR(VLOOKUP($G770,基本資料!$A:$J,10,0),"無")</f>
        <v>2.36</v>
      </c>
      <c r="W770" s="36">
        <f>RTD("money.excel",,"5386","Price")</f>
        <v>39.5</v>
      </c>
      <c r="X770" s="66"/>
      <c r="Y770" s="15">
        <f t="shared" si="149"/>
        <v>39.5</v>
      </c>
      <c r="Z770" s="3" t="e">
        <f t="shared" si="150"/>
        <v>#DIV/0!</v>
      </c>
      <c r="AA770" s="340">
        <f>IFERROR(VLOOKUP($G770,基本資料!$A:$M,11,0),"無")</f>
        <v>-33.28</v>
      </c>
      <c r="AB770" s="389">
        <f>IFERROR(VLOOKUP($G770,基本資料!$A:$M,12,0),"無")</f>
        <v>10.94</v>
      </c>
      <c r="AC770" s="16" t="s">
        <v>2223</v>
      </c>
      <c r="AF770" s="33">
        <f t="shared" si="151"/>
        <v>0</v>
      </c>
      <c r="AG770" s="43" t="s">
        <v>2717</v>
      </c>
      <c r="AH770" s="66">
        <f t="shared" si="143"/>
        <v>0.74435631482611342</v>
      </c>
      <c r="AI770" s="283">
        <f>RTD("money.excel",,$G770,"PredictVolume")</f>
        <v>61</v>
      </c>
      <c r="AJ770" s="391">
        <f>IFERROR(VLOOKUP($G770,基本資料!$A:$M,13,0),"無")</f>
        <v>81.95</v>
      </c>
      <c r="AR770" s="245" t="str">
        <f>INDEX(基本資料!N:N,MATCH($G770,基本資料!A:A,0))</f>
        <v>低</v>
      </c>
    </row>
    <row r="771" spans="1:44">
      <c r="A771" s="343">
        <f>IFERROR(VLOOKUP($G771,基本資料!$A:$J,3,0),"無")</f>
        <v>14.38</v>
      </c>
      <c r="B771" s="79">
        <f>IFERROR(VLOOKUP($G771,基本資料!$A:$J,4,0),"無")</f>
        <v>-131</v>
      </c>
      <c r="C771" s="79">
        <f>IFERROR(VLOOKUP($G771,基本資料!$A:$J,5,0),"無")</f>
        <v>-582</v>
      </c>
      <c r="D771" s="79">
        <f>IFERROR(VLOOKUP($G771,基本資料!$A:$J,6,0),"無")</f>
        <v>-7</v>
      </c>
      <c r="E771" s="79">
        <f>IFERROR(VLOOKUP($G771,基本資料!$A:$J,7,0),"無")</f>
        <v>9</v>
      </c>
      <c r="F771" s="6">
        <f>IFERROR(VLOOKUP($G771,基本資料!$A:$J,8,0),"無")</f>
        <v>-5.82</v>
      </c>
      <c r="G771" s="79">
        <v>5426</v>
      </c>
      <c r="H771" s="145" t="s">
        <v>1145</v>
      </c>
      <c r="I771" s="16" t="s">
        <v>2224</v>
      </c>
      <c r="J771" s="8">
        <f>IFERROR(VLOOKUP($G771,今日總結!$A:$AN,39,0),"")</f>
        <v>0</v>
      </c>
      <c r="K771" s="5">
        <f>IFERROR(VLOOKUP($G771,今日總結!$A:$AN,40,0),"")</f>
        <v>0</v>
      </c>
      <c r="L771" s="156">
        <f>IFERROR(VLOOKUP($G771,今日總結!$A:$AN,37,0),"")</f>
        <v>0</v>
      </c>
      <c r="M771" s="337">
        <f>IFERROR(VLOOKUP($G771,今日總結!$A:$AN,38,0),"")</f>
        <v>0</v>
      </c>
      <c r="N771" s="240">
        <f t="shared" si="148"/>
        <v>0</v>
      </c>
      <c r="O771" s="359">
        <f>IFERROR(VLOOKUP($G771,融外自投!$A:$J,7,0),"無")</f>
        <v>1095</v>
      </c>
      <c r="P771" s="79" t="str">
        <f>IFERROR(VLOOKUP($G771,融外自投!$A:$J,9,0),"無")</f>
        <v>無</v>
      </c>
      <c r="Q771" s="342">
        <f>IFERROR(VLOOKUP($G771,融外自投!$A:$J,8,0),"無")</f>
        <v>1387</v>
      </c>
      <c r="R771" s="81" t="str">
        <f>IFERROR(VLOOKUP($G771,融外自投!$A:$J,10,0),"無")</f>
        <v>無</v>
      </c>
      <c r="S771" s="324">
        <f>IFERROR(VLOOKUP($G771,'321買'!$A:$E,4,0),"'沒有資料'")</f>
        <v>891</v>
      </c>
      <c r="T771" s="186">
        <f>IFERROR(VLOOKUP($G771,基本資料!$A:$J,9,0),"無")</f>
        <v>0</v>
      </c>
      <c r="U771" s="307">
        <f t="shared" si="147"/>
        <v>0</v>
      </c>
      <c r="V771" s="94">
        <f>IFERROR(VLOOKUP($G771,基本資料!$A:$J,10,0),"無")</f>
        <v>-0.62</v>
      </c>
      <c r="W771" s="36">
        <f>RTD("money.excel",,"5426","Price")</f>
        <v>10.199999999999999</v>
      </c>
      <c r="X771" s="66"/>
      <c r="Y771" s="15">
        <f t="shared" si="149"/>
        <v>10.199999999999999</v>
      </c>
      <c r="Z771" s="3" t="e">
        <f t="shared" si="150"/>
        <v>#DIV/0!</v>
      </c>
      <c r="AA771" s="340">
        <f>IFERROR(VLOOKUP($G771,基本資料!$A:$M,11,0),"無")</f>
        <v>-31.54</v>
      </c>
      <c r="AB771" s="389">
        <f>IFERROR(VLOOKUP($G771,基本資料!$A:$M,12,0),"無")</f>
        <v>11.07</v>
      </c>
      <c r="AC771" s="16" t="s">
        <v>2224</v>
      </c>
      <c r="AF771" s="33">
        <f t="shared" si="151"/>
        <v>0</v>
      </c>
      <c r="AG771" s="43" t="s">
        <v>2442</v>
      </c>
      <c r="AH771" s="66">
        <f t="shared" si="143"/>
        <v>0.79470198675496684</v>
      </c>
      <c r="AI771" s="283">
        <f>RTD("money.excel",,$G771,"PredictVolume")</f>
        <v>78</v>
      </c>
      <c r="AJ771" s="391">
        <f>IFERROR(VLOOKUP($G771,基本資料!$A:$M,13,0),"無")</f>
        <v>98.15</v>
      </c>
      <c r="AR771" s="245" t="str">
        <f>INDEX(基本資料!N:N,MATCH($G771,基本資料!A:A,0))</f>
        <v>低</v>
      </c>
    </row>
    <row r="772" spans="1:44">
      <c r="A772" s="343">
        <f>IFERROR(VLOOKUP($G772,基本資料!$A:$J,3,0),"無")</f>
        <v>11.25</v>
      </c>
      <c r="B772" s="79">
        <f>IFERROR(VLOOKUP($G772,基本資料!$A:$J,4,0),"無")</f>
        <v>6386</v>
      </c>
      <c r="C772" s="79">
        <f>IFERROR(VLOOKUP($G772,基本資料!$A:$J,5,0),"無")</f>
        <v>69</v>
      </c>
      <c r="D772" s="79">
        <f>IFERROR(VLOOKUP($G772,基本資料!$A:$J,6,0),"無")</f>
        <v>31</v>
      </c>
      <c r="E772" s="79">
        <f>IFERROR(VLOOKUP($G772,基本資料!$A:$J,7,0),"無")</f>
        <v>-21</v>
      </c>
      <c r="F772" s="6">
        <f>IFERROR(VLOOKUP($G772,基本資料!$A:$J,8,0),"無")</f>
        <v>-1.35</v>
      </c>
      <c r="G772" s="79">
        <v>5438</v>
      </c>
      <c r="H772" s="145" t="s">
        <v>1145</v>
      </c>
      <c r="I772" s="16" t="s">
        <v>2225</v>
      </c>
      <c r="J772" s="8">
        <f>IFERROR(VLOOKUP($G772,今日總結!$A:$AN,39,0),"")</f>
        <v>0</v>
      </c>
      <c r="K772" s="5">
        <f>IFERROR(VLOOKUP($G772,今日總結!$A:$AN,40,0),"")</f>
        <v>0</v>
      </c>
      <c r="L772" s="156">
        <f>IFERROR(VLOOKUP($G772,今日總結!$A:$AN,37,0),"")</f>
        <v>0</v>
      </c>
      <c r="M772" s="337">
        <f>IFERROR(VLOOKUP($G772,今日總結!$A:$AN,38,0),"")</f>
        <v>0</v>
      </c>
      <c r="N772" s="240">
        <f t="shared" si="148"/>
        <v>0</v>
      </c>
      <c r="O772" s="359">
        <f>IFERROR(VLOOKUP($G772,融外自投!$A:$J,7,0),"無")</f>
        <v>952</v>
      </c>
      <c r="P772" s="79" t="str">
        <f>IFERROR(VLOOKUP($G772,融外自投!$A:$J,9,0),"無")</f>
        <v>無</v>
      </c>
      <c r="Q772" s="342">
        <f>IFERROR(VLOOKUP($G772,融外自投!$A:$J,8,0),"無")</f>
        <v>1150</v>
      </c>
      <c r="R772" s="81" t="str">
        <f>IFERROR(VLOOKUP($G772,融外自投!$A:$J,10,0),"無")</f>
        <v>無</v>
      </c>
      <c r="S772" s="324">
        <f>IFERROR(VLOOKUP($G772,'321買'!$A:$E,4,0),"'沒有資料'")</f>
        <v>411</v>
      </c>
      <c r="T772" s="186">
        <f>IFERROR(VLOOKUP($G772,基本資料!$A:$J,9,0),"無")</f>
        <v>0.41</v>
      </c>
      <c r="U772" s="307">
        <f t="shared" si="147"/>
        <v>3.1782945736434108E-2</v>
      </c>
      <c r="V772" s="94">
        <f>IFERROR(VLOOKUP($G772,基本資料!$A:$J,10,0),"無")</f>
        <v>0.51</v>
      </c>
      <c r="W772" s="36">
        <f>RTD("money.excel",,"5438","Price")</f>
        <v>12.9</v>
      </c>
      <c r="X772" s="66"/>
      <c r="Y772" s="15">
        <f t="shared" si="149"/>
        <v>12.9</v>
      </c>
      <c r="Z772" s="3" t="e">
        <f t="shared" si="150"/>
        <v>#DIV/0!</v>
      </c>
      <c r="AA772" s="340">
        <f>IFERROR(VLOOKUP($G772,基本資料!$A:$M,11,0),"無")</f>
        <v>-51.23</v>
      </c>
      <c r="AB772" s="389">
        <f>IFERROR(VLOOKUP($G772,基本資料!$A:$M,12,0),"無")</f>
        <v>21.21</v>
      </c>
      <c r="AC772" s="16" t="s">
        <v>2225</v>
      </c>
      <c r="AF772" s="33">
        <f t="shared" si="151"/>
        <v>0</v>
      </c>
      <c r="AG772" s="43" t="s">
        <v>2443</v>
      </c>
      <c r="AH772" s="66">
        <f t="shared" si="143"/>
        <v>1.7857142857142858</v>
      </c>
      <c r="AI772" s="283">
        <f>RTD("money.excel",,$G772,"PredictVolume")</f>
        <v>45</v>
      </c>
      <c r="AJ772" s="391">
        <f>IFERROR(VLOOKUP($G772,基本資料!$A:$M,13,0),"無")</f>
        <v>25.2</v>
      </c>
      <c r="AR772" s="245" t="str">
        <f>INDEX(基本資料!N:N,MATCH($G772,基本資料!A:A,0))</f>
        <v>低</v>
      </c>
    </row>
    <row r="773" spans="1:44">
      <c r="A773" s="343">
        <f>IFERROR(VLOOKUP($G773,基本資料!$A:$J,3,0),"無")</f>
        <v>14.76</v>
      </c>
      <c r="B773" s="79">
        <f>IFERROR(VLOOKUP($G773,基本資料!$A:$J,4,0),"無")</f>
        <v>8</v>
      </c>
      <c r="C773" s="79">
        <f>IFERROR(VLOOKUP($G773,基本資料!$A:$J,5,0),"無")</f>
        <v>1</v>
      </c>
      <c r="D773" s="79">
        <f>IFERROR(VLOOKUP($G773,基本資料!$A:$J,6,0),"無")</f>
        <v>7</v>
      </c>
      <c r="E773" s="79">
        <f>IFERROR(VLOOKUP($G773,基本資料!$A:$J,7,0),"無")</f>
        <v>-23</v>
      </c>
      <c r="F773" s="6">
        <f>IFERROR(VLOOKUP($G773,基本資料!$A:$J,8,0),"無")</f>
        <v>5.1100000000000003</v>
      </c>
      <c r="G773" s="79">
        <v>5465</v>
      </c>
      <c r="H773" s="145" t="s">
        <v>1145</v>
      </c>
      <c r="I773" s="16" t="s">
        <v>2226</v>
      </c>
      <c r="J773" s="8">
        <f>IFERROR(VLOOKUP($G773,今日總結!$A:$AN,39,0),"")</f>
        <v>0</v>
      </c>
      <c r="K773" s="5">
        <f>IFERROR(VLOOKUP($G773,今日總結!$A:$AN,40,0),"")</f>
        <v>0</v>
      </c>
      <c r="L773" s="156">
        <f>IFERROR(VLOOKUP($G773,今日總結!$A:$AN,37,0),"")</f>
        <v>0</v>
      </c>
      <c r="M773" s="337">
        <f>IFERROR(VLOOKUP($G773,今日總結!$A:$AN,38,0),"")</f>
        <v>0</v>
      </c>
      <c r="N773" s="240">
        <f t="shared" si="148"/>
        <v>0</v>
      </c>
      <c r="O773" s="359">
        <f>IFERROR(VLOOKUP($G773,融外自投!$A:$J,7,0),"無")</f>
        <v>392</v>
      </c>
      <c r="P773" s="79" t="str">
        <f>IFERROR(VLOOKUP($G773,融外自投!$A:$J,9,0),"無")</f>
        <v>無</v>
      </c>
      <c r="Q773" s="342">
        <f>IFERROR(VLOOKUP($G773,融外自投!$A:$J,8,0),"無")</f>
        <v>1416</v>
      </c>
      <c r="R773" s="81" t="str">
        <f>IFERROR(VLOOKUP($G773,融外自投!$A:$J,10,0),"無")</f>
        <v>無</v>
      </c>
      <c r="S773" s="324">
        <f>IFERROR(VLOOKUP($G773,'321買'!$A:$E,4,0),"'沒有資料'")</f>
        <v>1002</v>
      </c>
      <c r="T773" s="186">
        <f>IFERROR(VLOOKUP($G773,基本資料!$A:$J,9,0),"無")</f>
        <v>1</v>
      </c>
      <c r="U773" s="307">
        <f t="shared" si="147"/>
        <v>6.6006600660066E-2</v>
      </c>
      <c r="V773" s="94">
        <f>IFERROR(VLOOKUP($G773,基本資料!$A:$J,10,0),"無")</f>
        <v>1.27</v>
      </c>
      <c r="W773" s="36">
        <f>RTD("money.excel",,"5465","Price")</f>
        <v>15.15</v>
      </c>
      <c r="X773" s="66"/>
      <c r="Y773" s="15">
        <f t="shared" si="149"/>
        <v>15.15</v>
      </c>
      <c r="Z773" s="3" t="e">
        <f t="shared" si="150"/>
        <v>#DIV/0!</v>
      </c>
      <c r="AA773" s="340">
        <f>IFERROR(VLOOKUP($G773,基本資料!$A:$M,11,0),"無")</f>
        <v>-17.21</v>
      </c>
      <c r="AB773" s="389">
        <f>IFERROR(VLOOKUP($G773,基本資料!$A:$M,12,0),"無")</f>
        <v>37.51</v>
      </c>
      <c r="AC773" s="16" t="s">
        <v>2226</v>
      </c>
      <c r="AF773" s="33">
        <f t="shared" si="151"/>
        <v>0</v>
      </c>
      <c r="AG773" s="43" t="s">
        <v>2444</v>
      </c>
      <c r="AH773" s="66">
        <f t="shared" ref="AH773:AH836" si="152">AI773/AJ773</f>
        <v>3.6643026004728134</v>
      </c>
      <c r="AI773" s="283">
        <f>RTD("money.excel",,$G773,"PredictVolume")</f>
        <v>155</v>
      </c>
      <c r="AJ773" s="391">
        <f>IFERROR(VLOOKUP($G773,基本資料!$A:$M,13,0),"無")</f>
        <v>42.3</v>
      </c>
      <c r="AR773" s="245" t="str">
        <f>INDEX(基本資料!N:N,MATCH($G773,基本資料!A:A,0))</f>
        <v>中</v>
      </c>
    </row>
    <row r="774" spans="1:44">
      <c r="A774" s="343">
        <f>IFERROR(VLOOKUP($G774,基本資料!$A:$J,3,0),"無")</f>
        <v>4.03</v>
      </c>
      <c r="B774" s="79">
        <f>IFERROR(VLOOKUP($G774,基本資料!$A:$J,4,0),"無")</f>
        <v>-37</v>
      </c>
      <c r="C774" s="79">
        <f>IFERROR(VLOOKUP($G774,基本資料!$A:$J,5,0),"無")</f>
        <v>-38</v>
      </c>
      <c r="D774" s="79">
        <f>IFERROR(VLOOKUP($G774,基本資料!$A:$J,6,0),"無")</f>
        <v>-16</v>
      </c>
      <c r="E774" s="79">
        <f>IFERROR(VLOOKUP($G774,基本資料!$A:$J,7,0),"無")</f>
        <v>-31</v>
      </c>
      <c r="F774" s="6">
        <f>IFERROR(VLOOKUP($G774,基本資料!$A:$J,8,0),"無")</f>
        <v>27.02</v>
      </c>
      <c r="G774" s="79">
        <v>5474</v>
      </c>
      <c r="H774" s="145" t="s">
        <v>1145</v>
      </c>
      <c r="I774" s="16" t="s">
        <v>2227</v>
      </c>
      <c r="J774" s="8">
        <f>IFERROR(VLOOKUP($G774,今日總結!$A:$AN,39,0),"")</f>
        <v>0</v>
      </c>
      <c r="K774" s="5">
        <f>IFERROR(VLOOKUP($G774,今日總結!$A:$AN,40,0),"")</f>
        <v>0</v>
      </c>
      <c r="L774" s="156">
        <f>IFERROR(VLOOKUP($G774,今日總結!$A:$AN,37,0),"")</f>
        <v>0</v>
      </c>
      <c r="M774" s="337">
        <f>IFERROR(VLOOKUP($G774,今日總結!$A:$AN,38,0),"")</f>
        <v>0</v>
      </c>
      <c r="N774" s="240">
        <f t="shared" si="148"/>
        <v>0</v>
      </c>
      <c r="O774" s="359">
        <f>IFERROR(VLOOKUP($G774,融外自投!$A:$J,7,0),"無")</f>
        <v>482</v>
      </c>
      <c r="P774" s="79">
        <f>IFERROR(VLOOKUP($G774,融外自投!$A:$J,9,0),"無")</f>
        <v>649</v>
      </c>
      <c r="Q774" s="342">
        <f>IFERROR(VLOOKUP($G774,融外自投!$A:$J,8,0),"無")</f>
        <v>923</v>
      </c>
      <c r="R774" s="81" t="str">
        <f>IFERROR(VLOOKUP($G774,融外自投!$A:$J,10,0),"無")</f>
        <v>無</v>
      </c>
      <c r="S774" s="324">
        <f>IFERROR(VLOOKUP($G774,'321買'!$A:$E,4,0),"'沒有資料'")</f>
        <v>696</v>
      </c>
      <c r="T774" s="186">
        <f>IFERROR(VLOOKUP($G774,基本資料!$A:$J,9,0),"無")</f>
        <v>5</v>
      </c>
      <c r="U774" s="307">
        <f t="shared" si="147"/>
        <v>5.3022269353128315E-2</v>
      </c>
      <c r="V774" s="94">
        <f>IFERROR(VLOOKUP($G774,基本資料!$A:$J,10,0),"無")</f>
        <v>9.66</v>
      </c>
      <c r="W774" s="36">
        <f>RTD("money.excel",,"5474","Price")</f>
        <v>94.3</v>
      </c>
      <c r="X774" s="66"/>
      <c r="Y774" s="15">
        <f t="shared" si="149"/>
        <v>94.3</v>
      </c>
      <c r="Z774" s="3" t="e">
        <f t="shared" si="150"/>
        <v>#DIV/0!</v>
      </c>
      <c r="AA774" s="340">
        <f>IFERROR(VLOOKUP($G774,基本資料!$A:$M,11,0),"無")</f>
        <v>-48.47</v>
      </c>
      <c r="AB774" s="389">
        <f>IFERROR(VLOOKUP($G774,基本資料!$A:$M,12,0),"無")</f>
        <v>15.88</v>
      </c>
      <c r="AC774" s="16" t="s">
        <v>2227</v>
      </c>
      <c r="AF774" s="33">
        <f t="shared" si="151"/>
        <v>0</v>
      </c>
      <c r="AG774" s="43" t="s">
        <v>2434</v>
      </c>
      <c r="AH774" s="66">
        <f t="shared" si="152"/>
        <v>7.9817559863169893E-2</v>
      </c>
      <c r="AI774" s="283">
        <f>RTD("money.excel",,$G774,"PredictVolume")</f>
        <v>56</v>
      </c>
      <c r="AJ774" s="391">
        <f>IFERROR(VLOOKUP($G774,基本資料!$A:$M,13,0),"無")</f>
        <v>701.6</v>
      </c>
      <c r="AR774" s="245" t="str">
        <f>INDEX(基本資料!N:N,MATCH($G774,基本資料!A:A,0))</f>
        <v>低</v>
      </c>
    </row>
    <row r="775" spans="1:44">
      <c r="A775" s="343">
        <f>IFERROR(VLOOKUP($G775,基本資料!$A:$J,3,0),"無")</f>
        <v>9.6199999999999992</v>
      </c>
      <c r="B775" s="79">
        <f>IFERROR(VLOOKUP($G775,基本資料!$A:$J,4,0),"無")</f>
        <v>-35</v>
      </c>
      <c r="C775" s="79">
        <f>IFERROR(VLOOKUP($G775,基本資料!$A:$J,5,0),"無")</f>
        <v>-35</v>
      </c>
      <c r="D775" s="79">
        <f>IFERROR(VLOOKUP($G775,基本資料!$A:$J,6,0),"無")</f>
        <v>-41</v>
      </c>
      <c r="E775" s="79">
        <f>IFERROR(VLOOKUP($G775,基本資料!$A:$J,7,0),"無")</f>
        <v>-1</v>
      </c>
      <c r="F775" s="6">
        <f>IFERROR(VLOOKUP($G775,基本資料!$A:$J,8,0),"無")</f>
        <v>10.74</v>
      </c>
      <c r="G775" s="79">
        <v>5490</v>
      </c>
      <c r="H775" s="145" t="s">
        <v>1145</v>
      </c>
      <c r="I775" s="16" t="s">
        <v>2228</v>
      </c>
      <c r="J775" s="8">
        <f>IFERROR(VLOOKUP($G775,今日總結!$A:$AN,39,0),"")</f>
        <v>0</v>
      </c>
      <c r="K775" s="5" t="str">
        <f>IFERROR(VLOOKUP($G775,今日總結!$A:$AN,40,0),"")</f>
        <v>主</v>
      </c>
      <c r="L775" s="156">
        <f>IFERROR(VLOOKUP($G775,今日總結!$A:$AN,37,0),"")</f>
        <v>0</v>
      </c>
      <c r="M775" s="337">
        <f>IFERROR(VLOOKUP($G775,今日總結!$A:$AN,38,0),"")</f>
        <v>6</v>
      </c>
      <c r="N775" s="240">
        <f t="shared" si="148"/>
        <v>-6</v>
      </c>
      <c r="O775" s="359">
        <f>IFERROR(VLOOKUP($G775,融外自投!$A:$J,7,0),"無")</f>
        <v>858</v>
      </c>
      <c r="P775" s="79">
        <f>IFERROR(VLOOKUP($G775,融外自投!$A:$J,9,0),"無")</f>
        <v>565</v>
      </c>
      <c r="Q775" s="342">
        <f>IFERROR(VLOOKUP($G775,融外自投!$A:$J,8,0),"無")</f>
        <v>873</v>
      </c>
      <c r="R775" s="81" t="str">
        <f>IFERROR(VLOOKUP($G775,融外自投!$A:$J,10,0),"無")</f>
        <v>無</v>
      </c>
      <c r="S775" s="324">
        <f>IFERROR(VLOOKUP($G775,'321買'!$A:$E,4,0),"'沒有資料'")</f>
        <v>1002</v>
      </c>
      <c r="T775" s="186">
        <f>IFERROR(VLOOKUP($G775,基本資料!$A:$J,9,0),"無")</f>
        <v>1.25</v>
      </c>
      <c r="U775" s="307">
        <f t="shared" si="147"/>
        <v>5.0100200400801605E-2</v>
      </c>
      <c r="V775" s="94">
        <f>IFERROR(VLOOKUP($G775,基本資料!$A:$J,10,0),"無")</f>
        <v>1.41</v>
      </c>
      <c r="W775" s="36">
        <f>RTD("money.excel",,"5490","Price")</f>
        <v>24.95</v>
      </c>
      <c r="X775" s="66"/>
      <c r="Y775" s="15">
        <f t="shared" si="149"/>
        <v>24.95</v>
      </c>
      <c r="Z775" s="3" t="e">
        <f t="shared" si="150"/>
        <v>#DIV/0!</v>
      </c>
      <c r="AA775" s="340">
        <f>IFERROR(VLOOKUP($G775,基本資料!$A:$M,11,0),"無")</f>
        <v>-16.829999999999998</v>
      </c>
      <c r="AB775" s="389">
        <f>IFERROR(VLOOKUP($G775,基本資料!$A:$M,12,0),"無")</f>
        <v>16.11</v>
      </c>
      <c r="AC775" s="16" t="s">
        <v>2228</v>
      </c>
      <c r="AF775" s="33">
        <f t="shared" si="151"/>
        <v>0</v>
      </c>
      <c r="AG775" s="117" t="s">
        <v>2973</v>
      </c>
      <c r="AH775" s="66">
        <f t="shared" si="152"/>
        <v>0.2753195673549656</v>
      </c>
      <c r="AI775" s="283">
        <f>RTD("money.excel",,$G775,"PredictVolume")</f>
        <v>14</v>
      </c>
      <c r="AJ775" s="391">
        <f>IFERROR(VLOOKUP($G775,基本資料!$A:$M,13,0),"無")</f>
        <v>50.85</v>
      </c>
      <c r="AR775" s="245" t="str">
        <f>INDEX(基本資料!N:N,MATCH($G775,基本資料!A:A,0))</f>
        <v>低</v>
      </c>
    </row>
    <row r="776" spans="1:44">
      <c r="A776" s="343">
        <f>IFERROR(VLOOKUP($G776,基本資料!$A:$J,3,0),"無")</f>
        <v>8.86</v>
      </c>
      <c r="B776" s="79">
        <f>IFERROR(VLOOKUP($G776,基本資料!$A:$J,4,0),"無")</f>
        <v>-9</v>
      </c>
      <c r="C776" s="79">
        <f>IFERROR(VLOOKUP($G776,基本資料!$A:$J,5,0),"無")</f>
        <v>-18</v>
      </c>
      <c r="D776" s="79">
        <f>IFERROR(VLOOKUP($G776,基本資料!$A:$J,6,0),"無")</f>
        <v>-12</v>
      </c>
      <c r="E776" s="79">
        <f>IFERROR(VLOOKUP($G776,基本資料!$A:$J,7,0),"無")</f>
        <v>15</v>
      </c>
      <c r="F776" s="6">
        <f>IFERROR(VLOOKUP($G776,基本資料!$A:$J,8,0),"無")</f>
        <v>-3.6</v>
      </c>
      <c r="G776" s="79">
        <v>6117</v>
      </c>
      <c r="H776" s="192" t="s">
        <v>1145</v>
      </c>
      <c r="I776" s="22" t="s">
        <v>4089</v>
      </c>
      <c r="J776" s="8" t="str">
        <f>IFERROR(VLOOKUP($G776,今日總結!$A:$AN,39,0),"")</f>
        <v>外</v>
      </c>
      <c r="K776" s="5">
        <f>IFERROR(VLOOKUP($G776,今日總結!$A:$AN,40,0),"")</f>
        <v>0</v>
      </c>
      <c r="L776" s="156">
        <f>IFERROR(VLOOKUP($G776,今日總結!$A:$AN,37,0),"")</f>
        <v>3</v>
      </c>
      <c r="M776" s="337">
        <f>IFERROR(VLOOKUP($G776,今日總結!$A:$AN,38,0),"")</f>
        <v>0</v>
      </c>
      <c r="N776" s="240">
        <f t="shared" si="148"/>
        <v>3</v>
      </c>
      <c r="O776" s="359">
        <f>IFERROR(VLOOKUP($G776,融外自投!$A:$J,7,0),"無")</f>
        <v>1183</v>
      </c>
      <c r="P776" s="79">
        <f>IFERROR(VLOOKUP($G776,融外自投!$A:$J,9,0),"無")</f>
        <v>1051</v>
      </c>
      <c r="Q776" s="342">
        <f>IFERROR(VLOOKUP($G776,融外自投!$A:$J,8,0),"無")</f>
        <v>935</v>
      </c>
      <c r="R776" s="81" t="str">
        <f>IFERROR(VLOOKUP($G776,融外自投!$A:$J,10,0),"無")</f>
        <v>無</v>
      </c>
      <c r="S776" s="324">
        <f>IFERROR(VLOOKUP($G776,'321買'!$A:$E,4,0),"'沒有資料'")</f>
        <v>801</v>
      </c>
      <c r="T776" s="186">
        <f>IFERROR(VLOOKUP($G776,基本資料!$A:$J,9,0),"無")</f>
        <v>0</v>
      </c>
      <c r="U776" s="307">
        <f t="shared" si="147"/>
        <v>0</v>
      </c>
      <c r="V776" s="94">
        <f>IFERROR(VLOOKUP($G776,基本資料!$A:$J,10,0),"無")</f>
        <v>-0.98</v>
      </c>
      <c r="W776" s="36">
        <f>RTD("money.excel",,"6117","Price")</f>
        <v>15.2</v>
      </c>
      <c r="X776" s="66"/>
      <c r="Y776" s="15">
        <f t="shared" si="149"/>
        <v>15.2</v>
      </c>
      <c r="Z776" s="3" t="e">
        <f t="shared" si="150"/>
        <v>#DIV/0!</v>
      </c>
      <c r="AA776" s="340">
        <f>IFERROR(VLOOKUP($G776,基本資料!$A:$M,11,0),"無")</f>
        <v>-26.57</v>
      </c>
      <c r="AB776" s="389">
        <f>IFERROR(VLOOKUP($G776,基本資料!$A:$M,12,0),"無")</f>
        <v>13.68</v>
      </c>
      <c r="AC776" s="22" t="s">
        <v>4089</v>
      </c>
      <c r="AF776" s="33">
        <f t="shared" si="151"/>
        <v>0</v>
      </c>
      <c r="AG776" s="43" t="s">
        <v>2393</v>
      </c>
      <c r="AH776" s="66">
        <f t="shared" si="152"/>
        <v>5.9033078880407128</v>
      </c>
      <c r="AI776" s="283">
        <f>RTD("money.excel",,$G776,"PredictVolume")</f>
        <v>116</v>
      </c>
      <c r="AJ776" s="391">
        <f>IFERROR(VLOOKUP($G776,基本資料!$A:$M,13,0),"無")</f>
        <v>19.649999999999999</v>
      </c>
      <c r="AR776" s="245" t="str">
        <f>INDEX(基本資料!N:N,MATCH($G776,基本資料!A:A,0))</f>
        <v>低</v>
      </c>
    </row>
    <row r="777" spans="1:44">
      <c r="A777" s="343">
        <f>IFERROR(VLOOKUP($G777,基本資料!$A:$J,3,0),"無")</f>
        <v>18.489999999999998</v>
      </c>
      <c r="B777" s="79">
        <f>IFERROR(VLOOKUP($G777,基本資料!$A:$J,4,0),"無")</f>
        <v>39</v>
      </c>
      <c r="C777" s="79">
        <f>IFERROR(VLOOKUP($G777,基本資料!$A:$J,5,0),"無")</f>
        <v>39</v>
      </c>
      <c r="D777" s="79">
        <f>IFERROR(VLOOKUP($G777,基本資料!$A:$J,6,0),"無")</f>
        <v>-3</v>
      </c>
      <c r="E777" s="79">
        <f>IFERROR(VLOOKUP($G777,基本資料!$A:$J,7,0),"無")</f>
        <v>-1</v>
      </c>
      <c r="F777" s="6">
        <f>IFERROR(VLOOKUP($G777,基本資料!$A:$J,8,0),"無")</f>
        <v>9.7200000000000006</v>
      </c>
      <c r="G777" s="79">
        <v>6121</v>
      </c>
      <c r="H777" s="145" t="s">
        <v>1145</v>
      </c>
      <c r="I777" s="16" t="s">
        <v>4090</v>
      </c>
      <c r="J777" s="8">
        <f>IFERROR(VLOOKUP($G777,今日總結!$A:$AN,39,0),"")</f>
        <v>0</v>
      </c>
      <c r="K777" s="5" t="str">
        <f>IFERROR(VLOOKUP($G777,今日總結!$A:$AN,40,0),"")</f>
        <v>同</v>
      </c>
      <c r="L777" s="156">
        <f>IFERROR(VLOOKUP($G777,今日總結!$A:$AN,37,0),"")</f>
        <v>0</v>
      </c>
      <c r="M777" s="337">
        <f>IFERROR(VLOOKUP($G777,今日總結!$A:$AN,38,0),"")</f>
        <v>1</v>
      </c>
      <c r="N777" s="240">
        <f t="shared" si="148"/>
        <v>-1</v>
      </c>
      <c r="O777" s="359">
        <f>IFERROR(VLOOKUP($G777,融外自投!$A:$J,7,0),"無")</f>
        <v>1031</v>
      </c>
      <c r="P777" s="79">
        <f>IFERROR(VLOOKUP($G777,融外自投!$A:$J,9,0),"無")</f>
        <v>94</v>
      </c>
      <c r="Q777" s="342">
        <f>IFERROR(VLOOKUP($G777,融外自投!$A:$J,8,0),"無")</f>
        <v>85</v>
      </c>
      <c r="R777" s="81">
        <f>IFERROR(VLOOKUP($G777,融外自投!$A:$J,10,0),"無")</f>
        <v>115</v>
      </c>
      <c r="S777" s="324">
        <f>IFERROR(VLOOKUP($G777,'321買'!$A:$E,4,0),"'沒有資料'")</f>
        <v>650</v>
      </c>
      <c r="T777" s="186">
        <f>IFERROR(VLOOKUP($G777,基本資料!$A:$J,9,0),"無")</f>
        <v>26</v>
      </c>
      <c r="U777" s="307">
        <f t="shared" si="147"/>
        <v>8.9041095890410954E-2</v>
      </c>
      <c r="V777" s="94">
        <f>IFERROR(VLOOKUP($G777,基本資料!$A:$J,10,0),"無")</f>
        <v>34.5</v>
      </c>
      <c r="W777" s="36">
        <f>RTD("money.excel",,"6121","Price")</f>
        <v>292</v>
      </c>
      <c r="X777" s="66"/>
      <c r="Y777" s="15">
        <f t="shared" si="149"/>
        <v>292</v>
      </c>
      <c r="Z777" s="3" t="e">
        <f t="shared" si="150"/>
        <v>#DIV/0!</v>
      </c>
      <c r="AA777" s="340">
        <f>IFERROR(VLOOKUP($G777,基本資料!$A:$M,11,0),"無")</f>
        <v>-23.16</v>
      </c>
      <c r="AB777" s="389">
        <f>IFERROR(VLOOKUP($G777,基本資料!$A:$M,12,0),"無")</f>
        <v>17.670000000000002</v>
      </c>
      <c r="AC777" s="16" t="s">
        <v>4090</v>
      </c>
      <c r="AF777" s="33">
        <f t="shared" si="151"/>
        <v>0</v>
      </c>
      <c r="AG777" s="117" t="s">
        <v>2553</v>
      </c>
      <c r="AH777" s="66">
        <f t="shared" si="152"/>
        <v>0.77660110943015626</v>
      </c>
      <c r="AI777" s="283">
        <f>RTD("money.excel",,$G777,"PredictVolume")</f>
        <v>308</v>
      </c>
      <c r="AJ777" s="391">
        <f>IFERROR(VLOOKUP($G777,基本資料!$A:$M,13,0),"無")</f>
        <v>396.6</v>
      </c>
      <c r="AR777" s="245" t="str">
        <f>INDEX(基本資料!N:N,MATCH($G777,基本資料!A:A,0))</f>
        <v>低</v>
      </c>
    </row>
    <row r="778" spans="1:44">
      <c r="A778" s="343">
        <f>IFERROR(VLOOKUP($G778,基本資料!$A:$J,3,0),"無")</f>
        <v>5.75</v>
      </c>
      <c r="B778" s="79">
        <f>IFERROR(VLOOKUP($G778,基本資料!$A:$J,4,0),"無")</f>
        <v>21</v>
      </c>
      <c r="C778" s="79">
        <f>IFERROR(VLOOKUP($G778,基本資料!$A:$J,5,0),"無")</f>
        <v>34</v>
      </c>
      <c r="D778" s="79">
        <f>IFERROR(VLOOKUP($G778,基本資料!$A:$J,6,0),"無")</f>
        <v>11</v>
      </c>
      <c r="E778" s="79">
        <f>IFERROR(VLOOKUP($G778,基本資料!$A:$J,7,0),"無")</f>
        <v>-17</v>
      </c>
      <c r="F778" s="6">
        <f>IFERROR(VLOOKUP($G778,基本資料!$A:$J,8,0),"無")</f>
        <v>8.36</v>
      </c>
      <c r="G778" s="79">
        <v>6123</v>
      </c>
      <c r="H778" s="145" t="s">
        <v>1145</v>
      </c>
      <c r="I778" s="16" t="s">
        <v>2229</v>
      </c>
      <c r="J778" s="8">
        <f>IFERROR(VLOOKUP($G778,今日總結!$A:$AN,39,0),"")</f>
        <v>0</v>
      </c>
      <c r="K778" s="5">
        <f>IFERROR(VLOOKUP($G778,今日總結!$A:$AN,40,0),"")</f>
        <v>0</v>
      </c>
      <c r="L778" s="156">
        <f>IFERROR(VLOOKUP($G778,今日總結!$A:$AN,37,0),"")</f>
        <v>0</v>
      </c>
      <c r="M778" s="337">
        <f>IFERROR(VLOOKUP($G778,今日總結!$A:$AN,38,0),"")</f>
        <v>0</v>
      </c>
      <c r="N778" s="240">
        <f t="shared" si="148"/>
        <v>0</v>
      </c>
      <c r="O778" s="359">
        <f>IFERROR(VLOOKUP($G778,融外自投!$A:$J,7,0),"無")</f>
        <v>1022</v>
      </c>
      <c r="P778" s="79">
        <f>IFERROR(VLOOKUP($G778,融外自投!$A:$J,9,0),"無")</f>
        <v>741</v>
      </c>
      <c r="Q778" s="342">
        <f>IFERROR(VLOOKUP($G778,融外自投!$A:$J,8,0),"無")</f>
        <v>877</v>
      </c>
      <c r="R778" s="81" t="str">
        <f>IFERROR(VLOOKUP($G778,融外自投!$A:$J,10,0),"無")</f>
        <v>無</v>
      </c>
      <c r="S778" s="324">
        <f>IFERROR(VLOOKUP($G778,'321買'!$A:$E,4,0),"'沒有資料'")</f>
        <v>1002</v>
      </c>
      <c r="T778" s="186">
        <f>IFERROR(VLOOKUP($G778,基本資料!$A:$J,9,0),"無")</f>
        <v>4.5</v>
      </c>
      <c r="U778" s="307">
        <f t="shared" si="147"/>
        <v>8.3643122676579931E-2</v>
      </c>
      <c r="V778" s="94">
        <f>IFERROR(VLOOKUP($G778,基本資料!$A:$J,10,0),"無")</f>
        <v>4.87</v>
      </c>
      <c r="W778" s="36">
        <f>RTD("money.excel",,"6123","Price")</f>
        <v>53.8</v>
      </c>
      <c r="X778" s="66"/>
      <c r="Y778" s="15">
        <f t="shared" si="149"/>
        <v>53.8</v>
      </c>
      <c r="Z778" s="3" t="e">
        <f t="shared" si="150"/>
        <v>#DIV/0!</v>
      </c>
      <c r="AA778" s="340">
        <f>IFERROR(VLOOKUP($G778,基本資料!$A:$M,11,0),"無")</f>
        <v>-7.08</v>
      </c>
      <c r="AB778" s="389">
        <f>IFERROR(VLOOKUP($G778,基本資料!$A:$M,12,0),"無")</f>
        <v>39.340000000000003</v>
      </c>
      <c r="AC778" s="16" t="s">
        <v>2229</v>
      </c>
      <c r="AF778" s="33">
        <f t="shared" si="151"/>
        <v>0</v>
      </c>
      <c r="AG778" s="117" t="s">
        <v>2803</v>
      </c>
      <c r="AH778" s="66">
        <f t="shared" si="152"/>
        <v>0.96654275092936803</v>
      </c>
      <c r="AI778" s="283">
        <f>RTD("money.excel",,$G778,"PredictVolume")</f>
        <v>65</v>
      </c>
      <c r="AJ778" s="391">
        <f>IFERROR(VLOOKUP($G778,基本資料!$A:$M,13,0),"無")</f>
        <v>67.25</v>
      </c>
      <c r="AR778" s="245" t="str">
        <f>INDEX(基本資料!N:N,MATCH($G778,基本資料!A:A,0))</f>
        <v>中</v>
      </c>
    </row>
    <row r="779" spans="1:44">
      <c r="A779" s="343">
        <f>IFERROR(VLOOKUP($G779,基本資料!$A:$J,3,0),"無")</f>
        <v>12.75</v>
      </c>
      <c r="B779" s="79">
        <f>IFERROR(VLOOKUP($G779,基本資料!$A:$J,4,0),"無")</f>
        <v>126</v>
      </c>
      <c r="C779" s="79">
        <f>IFERROR(VLOOKUP($G779,基本資料!$A:$J,5,0),"無")</f>
        <v>582</v>
      </c>
      <c r="D779" s="79">
        <f>IFERROR(VLOOKUP($G779,基本資料!$A:$J,6,0),"無")</f>
        <v>-18</v>
      </c>
      <c r="E779" s="79">
        <f>IFERROR(VLOOKUP($G779,基本資料!$A:$J,7,0),"無")</f>
        <v>19</v>
      </c>
      <c r="F779" s="6">
        <f>IFERROR(VLOOKUP($G779,基本資料!$A:$J,8,0),"無")</f>
        <v>8.58</v>
      </c>
      <c r="G779" s="79">
        <v>6128</v>
      </c>
      <c r="H779" s="46" t="s">
        <v>1145</v>
      </c>
      <c r="I779" s="22" t="s">
        <v>252</v>
      </c>
      <c r="J779" s="8">
        <f>IFERROR(VLOOKUP($G779,今日總結!$A:$AN,39,0),"")</f>
        <v>0</v>
      </c>
      <c r="K779" s="5">
        <f>IFERROR(VLOOKUP($G779,今日總結!$A:$AN,40,0),"")</f>
        <v>0</v>
      </c>
      <c r="L779" s="156">
        <f>IFERROR(VLOOKUP($G779,今日總結!$A:$AN,37,0),"")</f>
        <v>0</v>
      </c>
      <c r="M779" s="337">
        <f>IFERROR(VLOOKUP($G779,今日總結!$A:$AN,38,0),"")</f>
        <v>0</v>
      </c>
      <c r="N779" s="240">
        <f t="shared" si="148"/>
        <v>0</v>
      </c>
      <c r="O779" s="359">
        <f>IFERROR(VLOOKUP($G779,融外自投!$A:$J,7,0),"無")</f>
        <v>1119</v>
      </c>
      <c r="P779" s="79">
        <f>IFERROR(VLOOKUP($G779,融外自投!$A:$J,9,0),"無")</f>
        <v>869</v>
      </c>
      <c r="Q779" s="342">
        <f>IFERROR(VLOOKUP($G779,融外自投!$A:$J,8,0),"無")</f>
        <v>918</v>
      </c>
      <c r="R779" s="81" t="str">
        <f>IFERROR(VLOOKUP($G779,融外自投!$A:$J,10,0),"無")</f>
        <v>無</v>
      </c>
      <c r="S779" s="324">
        <f>IFERROR(VLOOKUP($G779,'321買'!$A:$E,4,0),"'沒有資料'")</f>
        <v>1002</v>
      </c>
      <c r="T779" s="186">
        <f>IFERROR(VLOOKUP($G779,基本資料!$A:$J,9,0),"無")</f>
        <v>2</v>
      </c>
      <c r="U779" s="307">
        <f t="shared" si="147"/>
        <v>6.7340067340067339E-2</v>
      </c>
      <c r="V779" s="94">
        <f>IFERROR(VLOOKUP($G779,基本資料!$A:$J,10,0),"無")</f>
        <v>2.64</v>
      </c>
      <c r="W779" s="36">
        <f>RTD("money.excel",,"6128","Price")</f>
        <v>29.7</v>
      </c>
      <c r="X779" s="66"/>
      <c r="Y779" s="15">
        <f t="shared" si="149"/>
        <v>29.7</v>
      </c>
      <c r="Z779" s="3" t="e">
        <f t="shared" si="150"/>
        <v>#DIV/0!</v>
      </c>
      <c r="AA779" s="340">
        <f>IFERROR(VLOOKUP($G779,基本資料!$A:$M,11,0),"無")</f>
        <v>-7.19</v>
      </c>
      <c r="AB779" s="389">
        <f>IFERROR(VLOOKUP($G779,基本資料!$A:$M,12,0),"無")</f>
        <v>58.43</v>
      </c>
      <c r="AC779" s="22" t="s">
        <v>252</v>
      </c>
      <c r="AF779" s="33">
        <f t="shared" si="151"/>
        <v>0</v>
      </c>
      <c r="AG779" s="43" t="s">
        <v>2392</v>
      </c>
      <c r="AH779" s="66">
        <f t="shared" si="152"/>
        <v>0.38912446994262911</v>
      </c>
      <c r="AI779" s="283">
        <f>RTD("money.excel",,$G779,"PredictVolume")</f>
        <v>78</v>
      </c>
      <c r="AJ779" s="391">
        <f>IFERROR(VLOOKUP($G779,基本資料!$A:$M,13,0),"無")</f>
        <v>200.45</v>
      </c>
      <c r="AR779" s="245" t="str">
        <f>INDEX(基本資料!N:N,MATCH($G779,基本資料!A:A,0))</f>
        <v>高</v>
      </c>
    </row>
    <row r="780" spans="1:44">
      <c r="A780" s="343">
        <f>IFERROR(VLOOKUP($G780,基本資料!$A:$J,3,0),"無")</f>
        <v>4.83</v>
      </c>
      <c r="B780" s="79">
        <f>IFERROR(VLOOKUP($G780,基本資料!$A:$J,4,0),"無")</f>
        <v>3611</v>
      </c>
      <c r="C780" s="79">
        <f>IFERROR(VLOOKUP($G780,基本資料!$A:$J,5,0),"無")</f>
        <v>3370</v>
      </c>
      <c r="D780" s="79">
        <f>IFERROR(VLOOKUP($G780,基本資料!$A:$J,6,0),"無")</f>
        <v>-42</v>
      </c>
      <c r="E780" s="79">
        <f>IFERROR(VLOOKUP($G780,基本資料!$A:$J,7,0),"無")</f>
        <v>-48</v>
      </c>
      <c r="F780" s="6">
        <f>IFERROR(VLOOKUP($G780,基本資料!$A:$J,8,0),"無")</f>
        <v>15.49</v>
      </c>
      <c r="G780" s="79">
        <v>6150</v>
      </c>
      <c r="H780" s="8" t="s">
        <v>1145</v>
      </c>
      <c r="I780" s="16" t="s">
        <v>1787</v>
      </c>
      <c r="J780" s="8">
        <f>IFERROR(VLOOKUP($G780,今日總結!$A:$AN,39,0),"")</f>
        <v>0</v>
      </c>
      <c r="K780" s="5">
        <f>IFERROR(VLOOKUP($G780,今日總結!$A:$AN,40,0),"")</f>
        <v>0</v>
      </c>
      <c r="L780" s="156">
        <f>IFERROR(VLOOKUP($G780,今日總結!$A:$AN,37,0),"")</f>
        <v>0</v>
      </c>
      <c r="M780" s="337">
        <f>IFERROR(VLOOKUP($G780,今日總結!$A:$AN,38,0),"")</f>
        <v>0</v>
      </c>
      <c r="N780" s="240">
        <f t="shared" si="148"/>
        <v>0</v>
      </c>
      <c r="O780" s="359">
        <f>IFERROR(VLOOKUP($G780,融外自投!$A:$J,7,0),"無")</f>
        <v>29</v>
      </c>
      <c r="P780" s="79">
        <f>IFERROR(VLOOKUP($G780,融外自投!$A:$J,9,0),"無")</f>
        <v>31</v>
      </c>
      <c r="Q780" s="342">
        <f>IFERROR(VLOOKUP($G780,融外自投!$A:$J,8,0),"無")</f>
        <v>448</v>
      </c>
      <c r="R780" s="81" t="str">
        <f>IFERROR(VLOOKUP($G780,融外自投!$A:$J,10,0),"無")</f>
        <v>無</v>
      </c>
      <c r="S780" s="324">
        <f>IFERROR(VLOOKUP($G780,'321買'!$A:$E,4,0),"'沒有資料'")</f>
        <v>30</v>
      </c>
      <c r="T780" s="186">
        <f>IFERROR(VLOOKUP($G780,基本資料!$A:$J,9,0),"無")</f>
        <v>11</v>
      </c>
      <c r="U780" s="307">
        <f t="shared" si="147"/>
        <v>0.10679611650485436</v>
      </c>
      <c r="V780" s="94">
        <f>IFERROR(VLOOKUP($G780,基本資料!$A:$J,10,0),"無")</f>
        <v>24</v>
      </c>
      <c r="W780" s="36">
        <f>RTD("money.excel",,"6150","Price")</f>
        <v>103</v>
      </c>
      <c r="X780" s="66"/>
      <c r="Y780" s="15">
        <f t="shared" si="149"/>
        <v>103</v>
      </c>
      <c r="Z780" s="3" t="e">
        <f t="shared" si="150"/>
        <v>#DIV/0!</v>
      </c>
      <c r="AA780" s="340">
        <f>IFERROR(VLOOKUP($G780,基本資料!$A:$M,11,0),"無")</f>
        <v>-48.88</v>
      </c>
      <c r="AB780" s="389">
        <f>IFERROR(VLOOKUP($G780,基本資料!$A:$M,12,0),"無")</f>
        <v>11.14</v>
      </c>
      <c r="AC780" s="16" t="s">
        <v>1787</v>
      </c>
      <c r="AF780" s="33">
        <f t="shared" si="151"/>
        <v>0</v>
      </c>
      <c r="AG780" s="43" t="s">
        <v>2717</v>
      </c>
      <c r="AH780" s="66">
        <f t="shared" si="152"/>
        <v>0.52633497357390191</v>
      </c>
      <c r="AI780" s="283">
        <f>RTD("money.excel",,$G780,"PredictVolume")</f>
        <v>722</v>
      </c>
      <c r="AJ780" s="391">
        <f>IFERROR(VLOOKUP($G780,基本資料!$A:$M,13,0),"無")</f>
        <v>1371.75</v>
      </c>
      <c r="AR780" s="245" t="str">
        <f>INDEX(基本資料!N:N,MATCH($G780,基本資料!A:A,0))</f>
        <v>低</v>
      </c>
    </row>
    <row r="781" spans="1:44">
      <c r="A781" s="343">
        <f>IFERROR(VLOOKUP($G781,基本資料!$A:$J,3,0),"無")</f>
        <v>6.84</v>
      </c>
      <c r="B781" s="79">
        <f>IFERROR(VLOOKUP($G781,基本資料!$A:$J,4,0),"無")</f>
        <v>158</v>
      </c>
      <c r="C781" s="79">
        <f>IFERROR(VLOOKUP($G781,基本資料!$A:$J,5,0),"無")</f>
        <v>141</v>
      </c>
      <c r="D781" s="79">
        <f>IFERROR(VLOOKUP($G781,基本資料!$A:$J,6,0),"無")</f>
        <v>-23</v>
      </c>
      <c r="E781" s="79">
        <f>IFERROR(VLOOKUP($G781,基本資料!$A:$J,7,0),"無")</f>
        <v>-2</v>
      </c>
      <c r="F781" s="6">
        <f>IFERROR(VLOOKUP($G781,基本資料!$A:$J,8,0),"無")</f>
        <v>2.99</v>
      </c>
      <c r="G781" s="79">
        <v>6160</v>
      </c>
      <c r="H781" s="145" t="s">
        <v>1145</v>
      </c>
      <c r="I781" s="16" t="s">
        <v>2230</v>
      </c>
      <c r="J781" s="8">
        <f>IFERROR(VLOOKUP($G781,今日總結!$A:$AN,39,0),"")</f>
        <v>0</v>
      </c>
      <c r="K781" s="5">
        <f>IFERROR(VLOOKUP($G781,今日總結!$A:$AN,40,0),"")</f>
        <v>0</v>
      </c>
      <c r="L781" s="156">
        <f>IFERROR(VLOOKUP($G781,今日總結!$A:$AN,37,0),"")</f>
        <v>0</v>
      </c>
      <c r="M781" s="337">
        <f>IFERROR(VLOOKUP($G781,今日總結!$A:$AN,38,0),"")</f>
        <v>0</v>
      </c>
      <c r="N781" s="240">
        <f t="shared" si="148"/>
        <v>0</v>
      </c>
      <c r="O781" s="359">
        <f>IFERROR(VLOOKUP($G781,融外自投!$A:$J,7,0),"無")</f>
        <v>828</v>
      </c>
      <c r="P781" s="79">
        <f>IFERROR(VLOOKUP($G781,融外自投!$A:$J,9,0),"無")</f>
        <v>762</v>
      </c>
      <c r="Q781" s="342">
        <f>IFERROR(VLOOKUP($G781,融外自投!$A:$J,8,0),"無")</f>
        <v>976</v>
      </c>
      <c r="R781" s="81" t="str">
        <f>IFERROR(VLOOKUP($G781,融外自投!$A:$J,10,0),"無")</f>
        <v>無</v>
      </c>
      <c r="S781" s="324">
        <f>IFERROR(VLOOKUP($G781,'321買'!$A:$E,4,0),"'沒有資料'")</f>
        <v>801</v>
      </c>
      <c r="T781" s="186">
        <f>IFERROR(VLOOKUP($G781,基本資料!$A:$J,9,0),"無")</f>
        <v>0.35</v>
      </c>
      <c r="U781" s="307">
        <f t="shared" si="147"/>
        <v>2.564102564102564E-2</v>
      </c>
      <c r="V781" s="94">
        <f>IFERROR(VLOOKUP($G781,基本資料!$A:$J,10,0),"無")</f>
        <v>0.52</v>
      </c>
      <c r="W781" s="36">
        <f>RTD("money.excel",,"6160","Price")</f>
        <v>13.65</v>
      </c>
      <c r="X781" s="66"/>
      <c r="Y781" s="15">
        <f t="shared" si="149"/>
        <v>13.65</v>
      </c>
      <c r="Z781" s="3" t="e">
        <f t="shared" si="150"/>
        <v>#DIV/0!</v>
      </c>
      <c r="AA781" s="340">
        <f>IFERROR(VLOOKUP($G781,基本資料!$A:$M,11,0),"無")</f>
        <v>-49.35</v>
      </c>
      <c r="AB781" s="389">
        <f>IFERROR(VLOOKUP($G781,基本資料!$A:$M,12,0),"無")</f>
        <v>14.96</v>
      </c>
      <c r="AC781" s="16" t="s">
        <v>2230</v>
      </c>
      <c r="AF781" s="33">
        <f t="shared" si="151"/>
        <v>0</v>
      </c>
      <c r="AG781" s="43" t="s">
        <v>2307</v>
      </c>
      <c r="AH781" s="66">
        <f t="shared" si="152"/>
        <v>0.21753039027511195</v>
      </c>
      <c r="AI781" s="283">
        <f>RTD("money.excel",,$G781,"PredictVolume")</f>
        <v>17</v>
      </c>
      <c r="AJ781" s="391">
        <f>IFERROR(VLOOKUP($G781,基本資料!$A:$M,13,0),"無")</f>
        <v>78.150000000000006</v>
      </c>
      <c r="AR781" s="245" t="str">
        <f>INDEX(基本資料!N:N,MATCH($G781,基本資料!A:A,0))</f>
        <v>低</v>
      </c>
    </row>
    <row r="782" spans="1:44">
      <c r="A782" s="343">
        <f>IFERROR(VLOOKUP($G782,基本資料!$A:$J,3,0),"無")</f>
        <v>7.49</v>
      </c>
      <c r="B782" s="79">
        <f>IFERROR(VLOOKUP($G782,基本資料!$A:$J,4,0),"無")</f>
        <v>99</v>
      </c>
      <c r="C782" s="79">
        <f>IFERROR(VLOOKUP($G782,基本資料!$A:$J,5,0),"無")</f>
        <v>142</v>
      </c>
      <c r="D782" s="79">
        <f>IFERROR(VLOOKUP($G782,基本資料!$A:$J,6,0),"無")</f>
        <v>-11</v>
      </c>
      <c r="E782" s="79">
        <f>IFERROR(VLOOKUP($G782,基本資料!$A:$J,7,0),"無")</f>
        <v>21</v>
      </c>
      <c r="F782" s="6">
        <f>IFERROR(VLOOKUP($G782,基本資料!$A:$J,8,0),"無")</f>
        <v>16.41</v>
      </c>
      <c r="G782" s="79">
        <v>6161</v>
      </c>
      <c r="H782" s="145" t="s">
        <v>1145</v>
      </c>
      <c r="I782" s="16" t="s">
        <v>2231</v>
      </c>
      <c r="J782" s="8">
        <f>IFERROR(VLOOKUP($G782,今日總結!$A:$AN,39,0),"")</f>
        <v>0</v>
      </c>
      <c r="K782" s="5" t="str">
        <f>IFERROR(VLOOKUP($G782,今日總結!$A:$AN,40,0),"")</f>
        <v>主</v>
      </c>
      <c r="L782" s="156">
        <f>IFERROR(VLOOKUP($G782,今日總結!$A:$AN,37,0),"")</f>
        <v>0</v>
      </c>
      <c r="M782" s="337">
        <f>IFERROR(VLOOKUP($G782,今日總結!$A:$AN,38,0),"")</f>
        <v>6</v>
      </c>
      <c r="N782" s="240">
        <f t="shared" si="148"/>
        <v>-6</v>
      </c>
      <c r="O782" s="359">
        <f>IFERROR(VLOOKUP($G782,融外自投!$A:$J,7,0),"無")</f>
        <v>368</v>
      </c>
      <c r="P782" s="79" t="str">
        <f>IFERROR(VLOOKUP($G782,融外自投!$A:$J,9,0),"無")</f>
        <v>無</v>
      </c>
      <c r="Q782" s="342">
        <f>IFERROR(VLOOKUP($G782,融外自投!$A:$J,8,0),"無")</f>
        <v>590</v>
      </c>
      <c r="R782" s="81" t="str">
        <f>IFERROR(VLOOKUP($G782,融外自投!$A:$J,10,0),"無")</f>
        <v>無</v>
      </c>
      <c r="S782" s="324">
        <f>IFERROR(VLOOKUP($G782,'321買'!$A:$E,4,0),"'沒有資料'")</f>
        <v>343</v>
      </c>
      <c r="T782" s="186">
        <f>IFERROR(VLOOKUP($G782,基本資料!$A:$J,9,0),"無")</f>
        <v>3</v>
      </c>
      <c r="U782" s="307">
        <f t="shared" si="147"/>
        <v>9.6774193548387094E-2</v>
      </c>
      <c r="V782" s="94">
        <f>IFERROR(VLOOKUP($G782,基本資料!$A:$J,10,0),"無")</f>
        <v>3.28</v>
      </c>
      <c r="W782" s="36">
        <f>RTD("money.excel",,"6161","Price")</f>
        <v>31</v>
      </c>
      <c r="X782" s="66"/>
      <c r="Y782" s="15">
        <f t="shared" si="149"/>
        <v>31</v>
      </c>
      <c r="Z782" s="3" t="e">
        <f t="shared" si="150"/>
        <v>#DIV/0!</v>
      </c>
      <c r="AA782" s="340">
        <f>IFERROR(VLOOKUP($G782,基本資料!$A:$M,11,0),"無")</f>
        <v>-20</v>
      </c>
      <c r="AB782" s="389">
        <f>IFERROR(VLOOKUP($G782,基本資料!$A:$M,12,0),"無")</f>
        <v>17.89</v>
      </c>
      <c r="AC782" s="16" t="s">
        <v>2231</v>
      </c>
      <c r="AF782" s="33">
        <f t="shared" si="151"/>
        <v>0</v>
      </c>
      <c r="AG782" s="43" t="s">
        <v>2445</v>
      </c>
      <c r="AH782" s="66">
        <f t="shared" si="152"/>
        <v>0.73362003541613963</v>
      </c>
      <c r="AI782" s="283">
        <f>RTD("money.excel",,$G782,"PredictVolume")</f>
        <v>290</v>
      </c>
      <c r="AJ782" s="391">
        <f>IFERROR(VLOOKUP($G782,基本資料!$A:$M,13,0),"無")</f>
        <v>395.3</v>
      </c>
      <c r="AR782" s="245" t="str">
        <f>INDEX(基本資料!N:N,MATCH($G782,基本資料!A:A,0))</f>
        <v>中</v>
      </c>
    </row>
    <row r="783" spans="1:44">
      <c r="A783" s="343">
        <f>IFERROR(VLOOKUP($G783,基本資料!$A:$J,3,0),"無")</f>
        <v>21.74</v>
      </c>
      <c r="B783" s="79">
        <f>IFERROR(VLOOKUP($G783,基本資料!$A:$J,4,0),"無")</f>
        <v>-50</v>
      </c>
      <c r="C783" s="79">
        <f>IFERROR(VLOOKUP($G783,基本資料!$A:$J,5,0),"無")</f>
        <v>-70</v>
      </c>
      <c r="D783" s="79">
        <f>IFERROR(VLOOKUP($G783,基本資料!$A:$J,6,0),"無")</f>
        <v>-27</v>
      </c>
      <c r="E783" s="79">
        <f>IFERROR(VLOOKUP($G783,基本資料!$A:$J,7,0),"無")</f>
        <v>0</v>
      </c>
      <c r="F783" s="6">
        <f>IFERROR(VLOOKUP($G783,基本資料!$A:$J,8,0),"無")</f>
        <v>1.43</v>
      </c>
      <c r="G783" s="79">
        <v>6166</v>
      </c>
      <c r="H783" s="46" t="s">
        <v>1145</v>
      </c>
      <c r="I783" s="22" t="s">
        <v>62</v>
      </c>
      <c r="J783" s="8">
        <f>IFERROR(VLOOKUP($G783,今日總結!$A:$AN,39,0),"")</f>
        <v>0</v>
      </c>
      <c r="K783" s="5">
        <f>IFERROR(VLOOKUP($G783,今日總結!$A:$AN,40,0),"")</f>
        <v>0</v>
      </c>
      <c r="L783" s="156">
        <f>IFERROR(VLOOKUP($G783,今日總結!$A:$AN,37,0),"")</f>
        <v>0</v>
      </c>
      <c r="M783" s="337">
        <f>IFERROR(VLOOKUP($G783,今日總結!$A:$AN,38,0),"")</f>
        <v>0</v>
      </c>
      <c r="N783" s="240">
        <f t="shared" si="148"/>
        <v>0</v>
      </c>
      <c r="O783" s="359">
        <f>IFERROR(VLOOKUP($G783,融外自投!$A:$J,7,0),"無")</f>
        <v>810</v>
      </c>
      <c r="P783" s="79">
        <f>IFERROR(VLOOKUP($G783,融外自投!$A:$J,9,0),"無")</f>
        <v>741</v>
      </c>
      <c r="Q783" s="342">
        <f>IFERROR(VLOOKUP($G783,融外自投!$A:$J,8,0),"無")</f>
        <v>517</v>
      </c>
      <c r="R783" s="81" t="str">
        <f>IFERROR(VLOOKUP($G783,融外自投!$A:$J,10,0),"無")</f>
        <v>無</v>
      </c>
      <c r="S783" s="324">
        <f>IFERROR(VLOOKUP($G783,'321買'!$A:$E,4,0),"'沒有資料'")</f>
        <v>1002</v>
      </c>
      <c r="T783" s="186">
        <f>IFERROR(VLOOKUP($G783,基本資料!$A:$J,9,0),"無")</f>
        <v>0.3</v>
      </c>
      <c r="U783" s="307">
        <f t="shared" si="147"/>
        <v>5.4249547920433997E-3</v>
      </c>
      <c r="V783" s="94">
        <f>IFERROR(VLOOKUP($G783,基本資料!$A:$J,10,0),"無")</f>
        <v>0.55000000000000004</v>
      </c>
      <c r="W783" s="36">
        <f>RTD("money.excel",,"6166","Price")</f>
        <v>55.3</v>
      </c>
      <c r="X783" s="66"/>
      <c r="Y783" s="15">
        <f t="shared" si="149"/>
        <v>55.3</v>
      </c>
      <c r="Z783" s="3" t="e">
        <f t="shared" si="150"/>
        <v>#DIV/0!</v>
      </c>
      <c r="AA783" s="340">
        <f>IFERROR(VLOOKUP($G783,基本資料!$A:$M,11,0),"無")</f>
        <v>-22.11</v>
      </c>
      <c r="AB783" s="389">
        <f>IFERROR(VLOOKUP($G783,基本資料!$A:$M,12,0),"無")</f>
        <v>23.32</v>
      </c>
      <c r="AC783" s="22" t="s">
        <v>62</v>
      </c>
      <c r="AF783" s="33">
        <f t="shared" si="151"/>
        <v>0</v>
      </c>
      <c r="AG783" s="117" t="s">
        <v>2232</v>
      </c>
      <c r="AH783" s="66">
        <f t="shared" si="152"/>
        <v>5.6805767970286213E-2</v>
      </c>
      <c r="AI783" s="283">
        <f>RTD("money.excel",,$G783,"PredictVolume")</f>
        <v>65</v>
      </c>
      <c r="AJ783" s="391">
        <f>IFERROR(VLOOKUP($G783,基本資料!$A:$M,13,0),"無")</f>
        <v>1144.25</v>
      </c>
      <c r="AR783" s="245" t="str">
        <f>INDEX(基本資料!N:N,MATCH($G783,基本資料!A:A,0))</f>
        <v>低</v>
      </c>
    </row>
    <row r="784" spans="1:44">
      <c r="A784" s="343">
        <f>IFERROR(VLOOKUP($G784,基本資料!$A:$J,3,0),"無")</f>
        <v>27.83</v>
      </c>
      <c r="B784" s="79">
        <f>IFERROR(VLOOKUP($G784,基本資料!$A:$J,4,0),"無")</f>
        <v>857</v>
      </c>
      <c r="C784" s="79">
        <f>IFERROR(VLOOKUP($G784,基本資料!$A:$J,5,0),"無")</f>
        <v>-5</v>
      </c>
      <c r="D784" s="79">
        <f>IFERROR(VLOOKUP($G784,基本資料!$A:$J,6,0),"無")</f>
        <v>-41</v>
      </c>
      <c r="E784" s="79">
        <f>IFERROR(VLOOKUP($G784,基本資料!$A:$J,7,0),"無")</f>
        <v>-33</v>
      </c>
      <c r="F784" s="6">
        <f>IFERROR(VLOOKUP($G784,基本資料!$A:$J,8,0),"無")</f>
        <v>8.86</v>
      </c>
      <c r="G784" s="79">
        <v>6188</v>
      </c>
      <c r="H784" s="145" t="s">
        <v>1145</v>
      </c>
      <c r="I784" s="16" t="s">
        <v>4091</v>
      </c>
      <c r="J784" s="8">
        <f>IFERROR(VLOOKUP($G784,今日總結!$A:$AN,39,0),"")</f>
        <v>0</v>
      </c>
      <c r="K784" s="5" t="str">
        <f>IFERROR(VLOOKUP($G784,今日總結!$A:$AN,40,0),"")</f>
        <v>主外</v>
      </c>
      <c r="L784" s="156">
        <f>IFERROR(VLOOKUP($G784,今日總結!$A:$AN,37,0),"")</f>
        <v>0</v>
      </c>
      <c r="M784" s="337">
        <f>IFERROR(VLOOKUP($G784,今日總結!$A:$AN,38,0),"")</f>
        <v>10</v>
      </c>
      <c r="N784" s="240">
        <f t="shared" si="148"/>
        <v>-10</v>
      </c>
      <c r="O784" s="359">
        <f>IFERROR(VLOOKUP($G784,融外自投!$A:$J,7,0),"無")</f>
        <v>494</v>
      </c>
      <c r="P784" s="79">
        <f>IFERROR(VLOOKUP($G784,融外自投!$A:$J,9,0),"無")</f>
        <v>317</v>
      </c>
      <c r="Q784" s="342">
        <f>IFERROR(VLOOKUP($G784,融外自投!$A:$J,8,0),"無")</f>
        <v>694</v>
      </c>
      <c r="R784" s="81">
        <f>IFERROR(VLOOKUP($G784,融外自投!$A:$J,10,0),"無")</f>
        <v>495</v>
      </c>
      <c r="S784" s="324">
        <f>IFERROR(VLOOKUP($G784,'321買'!$A:$E,4,0),"'沒有資料'")</f>
        <v>497</v>
      </c>
      <c r="T784" s="186">
        <f>IFERROR(VLOOKUP($G784,基本資料!$A:$J,9,0),"無")</f>
        <v>2.8</v>
      </c>
      <c r="U784" s="307">
        <f t="shared" si="147"/>
        <v>7.5268817204301064E-2</v>
      </c>
      <c r="V784" s="94">
        <f>IFERROR(VLOOKUP($G784,基本資料!$A:$J,10,0),"無")</f>
        <v>3.57</v>
      </c>
      <c r="W784" s="36">
        <f>RTD("money.excel",,"6188","Price")</f>
        <v>37.200000000000003</v>
      </c>
      <c r="X784" s="66"/>
      <c r="Y784" s="15">
        <f t="shared" si="149"/>
        <v>37.200000000000003</v>
      </c>
      <c r="Z784" s="3" t="e">
        <f t="shared" si="150"/>
        <v>#DIV/0!</v>
      </c>
      <c r="AA784" s="340">
        <f>IFERROR(VLOOKUP($G784,基本資料!$A:$M,11,0),"無")</f>
        <v>-26.19</v>
      </c>
      <c r="AB784" s="389">
        <f>IFERROR(VLOOKUP($G784,基本資料!$A:$M,12,0),"無")</f>
        <v>11.48</v>
      </c>
      <c r="AC784" s="16" t="s">
        <v>4091</v>
      </c>
      <c r="AF784" s="33">
        <f t="shared" si="151"/>
        <v>0</v>
      </c>
      <c r="AG784" s="117" t="s">
        <v>4092</v>
      </c>
      <c r="AH784" s="66">
        <f t="shared" si="152"/>
        <v>1.0731764157539034</v>
      </c>
      <c r="AI784" s="283">
        <f>RTD("money.excel",,$G784,"PredictVolume")</f>
        <v>921</v>
      </c>
      <c r="AJ784" s="391">
        <f>IFERROR(VLOOKUP($G784,基本資料!$A:$M,13,0),"無")</f>
        <v>858.2</v>
      </c>
      <c r="AR784" s="245" t="str">
        <f>INDEX(基本資料!N:N,MATCH($G784,基本資料!A:A,0))</f>
        <v>低</v>
      </c>
    </row>
    <row r="785" spans="1:44">
      <c r="A785" s="343">
        <f>IFERROR(VLOOKUP($G785,基本資料!$A:$J,3,0),"無")</f>
        <v>14.3</v>
      </c>
      <c r="B785" s="79">
        <f>IFERROR(VLOOKUP($G785,基本資料!$A:$J,4,0),"無")</f>
        <v>15</v>
      </c>
      <c r="C785" s="79">
        <f>IFERROR(VLOOKUP($G785,基本資料!$A:$J,5,0),"無")</f>
        <v>17</v>
      </c>
      <c r="D785" s="79">
        <f>IFERROR(VLOOKUP($G785,基本資料!$A:$J,6,0),"無")</f>
        <v>-4</v>
      </c>
      <c r="E785" s="79">
        <f>IFERROR(VLOOKUP($G785,基本資料!$A:$J,7,0),"無")</f>
        <v>19</v>
      </c>
      <c r="F785" s="6">
        <f>IFERROR(VLOOKUP($G785,基本資料!$A:$J,8,0),"無")</f>
        <v>15.85</v>
      </c>
      <c r="G785" s="79">
        <v>6206</v>
      </c>
      <c r="H785" s="46" t="s">
        <v>1145</v>
      </c>
      <c r="I785" s="22" t="s">
        <v>4093</v>
      </c>
      <c r="J785" s="8">
        <f>IFERROR(VLOOKUP($G785,今日總結!$A:$AN,39,0),"")</f>
        <v>0</v>
      </c>
      <c r="K785" s="5">
        <f>IFERROR(VLOOKUP($G785,今日總結!$A:$AN,40,0),"")</f>
        <v>0</v>
      </c>
      <c r="L785" s="156">
        <f>IFERROR(VLOOKUP($G785,今日總結!$A:$AN,37,0),"")</f>
        <v>0</v>
      </c>
      <c r="M785" s="337">
        <f>IFERROR(VLOOKUP($G785,今日總結!$A:$AN,38,0),"")</f>
        <v>0</v>
      </c>
      <c r="N785" s="240">
        <f t="shared" si="148"/>
        <v>0</v>
      </c>
      <c r="O785" s="359">
        <f>IFERROR(VLOOKUP($G785,融外自投!$A:$J,7,0),"無")</f>
        <v>938</v>
      </c>
      <c r="P785" s="79">
        <f>IFERROR(VLOOKUP($G785,融外自投!$A:$J,9,0),"無")</f>
        <v>487</v>
      </c>
      <c r="Q785" s="342">
        <f>IFERROR(VLOOKUP($G785,融外自投!$A:$J,8,0),"無")</f>
        <v>408</v>
      </c>
      <c r="R785" s="81">
        <f>IFERROR(VLOOKUP($G785,融外自投!$A:$J,10,0),"無")</f>
        <v>250</v>
      </c>
      <c r="S785" s="324">
        <f>IFERROR(VLOOKUP($G785,'321買'!$A:$E,4,0),"'沒有資料'")</f>
        <v>801</v>
      </c>
      <c r="T785" s="186">
        <f>IFERROR(VLOOKUP($G785,基本資料!$A:$J,9,0),"無")</f>
        <v>4</v>
      </c>
      <c r="U785" s="307">
        <f t="shared" si="147"/>
        <v>5.2219321148825069E-2</v>
      </c>
      <c r="V785" s="94">
        <f>IFERROR(VLOOKUP($G785,基本資料!$A:$J,10,0),"無")</f>
        <v>4.7699999999999996</v>
      </c>
      <c r="W785" s="36">
        <f>RTD("money.excel",,"6206","Price")</f>
        <v>76.599999999999994</v>
      </c>
      <c r="X785" s="66"/>
      <c r="Y785" s="15">
        <f t="shared" si="149"/>
        <v>76.599999999999994</v>
      </c>
      <c r="Z785" s="3" t="e">
        <f t="shared" si="150"/>
        <v>#DIV/0!</v>
      </c>
      <c r="AA785" s="340">
        <f>IFERROR(VLOOKUP($G785,基本資料!$A:$M,11,0),"無")</f>
        <v>-10.51</v>
      </c>
      <c r="AB785" s="389">
        <f>IFERROR(VLOOKUP($G785,基本資料!$A:$M,12,0),"無")</f>
        <v>47.18</v>
      </c>
      <c r="AC785" s="22" t="s">
        <v>4093</v>
      </c>
      <c r="AF785" s="33">
        <f t="shared" si="151"/>
        <v>0</v>
      </c>
      <c r="AG785" s="43" t="s">
        <v>4094</v>
      </c>
      <c r="AH785" s="66">
        <f t="shared" si="152"/>
        <v>1.8856138981065784</v>
      </c>
      <c r="AI785" s="283">
        <f>RTD("money.excel",,$G785,"PredictVolume")</f>
        <v>483</v>
      </c>
      <c r="AJ785" s="391">
        <f>IFERROR(VLOOKUP($G785,基本資料!$A:$M,13,0),"無")</f>
        <v>256.14999999999998</v>
      </c>
      <c r="AR785" s="245" t="str">
        <f>INDEX(基本資料!N:N,MATCH($G785,基本資料!A:A,0))</f>
        <v>中</v>
      </c>
    </row>
    <row r="786" spans="1:44">
      <c r="A786" s="343">
        <f>IFERROR(VLOOKUP($G786,基本資料!$A:$J,3,0),"無")</f>
        <v>4</v>
      </c>
      <c r="B786" s="79">
        <f>IFERROR(VLOOKUP($G786,基本資料!$A:$J,4,0),"無")</f>
        <v>81</v>
      </c>
      <c r="C786" s="79">
        <f>IFERROR(VLOOKUP($G786,基本資料!$A:$J,5,0),"無")</f>
        <v>97</v>
      </c>
      <c r="D786" s="79">
        <f>IFERROR(VLOOKUP($G786,基本資料!$A:$J,6,0),"無")</f>
        <v>-5</v>
      </c>
      <c r="E786" s="79">
        <f>IFERROR(VLOOKUP($G786,基本資料!$A:$J,7,0),"無")</f>
        <v>75</v>
      </c>
      <c r="F786" s="6">
        <f>IFERROR(VLOOKUP($G786,基本資料!$A:$J,8,0),"無")</f>
        <v>-0.28999999999999998</v>
      </c>
      <c r="G786" s="79">
        <v>6228</v>
      </c>
      <c r="H786" s="145" t="s">
        <v>1145</v>
      </c>
      <c r="I786" s="16" t="s">
        <v>4095</v>
      </c>
      <c r="J786" s="8" t="str">
        <f>IFERROR(VLOOKUP($G786,今日總結!$A:$AN,39,0),"")</f>
        <v/>
      </c>
      <c r="K786" s="5" t="str">
        <f>IFERROR(VLOOKUP($G786,今日總結!$A:$AN,40,0),"")</f>
        <v/>
      </c>
      <c r="L786" s="156" t="str">
        <f>IFERROR(VLOOKUP($G786,今日總結!$A:$AN,37,0),"")</f>
        <v/>
      </c>
      <c r="M786" s="337" t="str">
        <f>IFERROR(VLOOKUP($G786,今日總結!$A:$AN,38,0),"")</f>
        <v/>
      </c>
      <c r="N786" s="240" t="str">
        <f t="shared" si="148"/>
        <v/>
      </c>
      <c r="O786" s="359" t="str">
        <f>IFERROR(VLOOKUP($G786,融外自投!$A:$J,7,0),"無")</f>
        <v>無</v>
      </c>
      <c r="P786" s="79" t="str">
        <f>IFERROR(VLOOKUP($G786,融外自投!$A:$J,9,0),"無")</f>
        <v>無</v>
      </c>
      <c r="Q786" s="342" t="str">
        <f>IFERROR(VLOOKUP($G786,融外自投!$A:$J,8,0),"無")</f>
        <v>無</v>
      </c>
      <c r="R786" s="81" t="str">
        <f>IFERROR(VLOOKUP($G786,融外自投!$A:$J,10,0),"無")</f>
        <v>無</v>
      </c>
      <c r="S786" s="324" t="str">
        <f>IFERROR(VLOOKUP($G786,'321買'!$A:$E,4,0),"'沒有資料'")</f>
        <v>'沒有資料'</v>
      </c>
      <c r="T786" s="186">
        <f>IFERROR(VLOOKUP($G786,基本資料!$A:$J,9,0),"無")</f>
        <v>0</v>
      </c>
      <c r="U786" s="307">
        <f t="shared" si="147"/>
        <v>0</v>
      </c>
      <c r="V786" s="94">
        <f>IFERROR(VLOOKUP($G786,基本資料!$A:$J,10,0),"無")</f>
        <v>-0.13</v>
      </c>
      <c r="W786" s="36">
        <f>RTD("money.excel",,"6228","Price")</f>
        <v>21.25</v>
      </c>
      <c r="X786" s="66"/>
      <c r="Y786" s="15">
        <f t="shared" si="149"/>
        <v>21.25</v>
      </c>
      <c r="Z786" s="3" t="e">
        <f t="shared" si="150"/>
        <v>#DIV/0!</v>
      </c>
      <c r="AA786" s="340">
        <f>IFERROR(VLOOKUP($G786,基本資料!$A:$M,11,0),"無")</f>
        <v>-28.45</v>
      </c>
      <c r="AB786" s="389">
        <f>IFERROR(VLOOKUP($G786,基本資料!$A:$M,12,0),"無")</f>
        <v>42.91</v>
      </c>
      <c r="AC786" s="16" t="s">
        <v>4095</v>
      </c>
      <c r="AF786" s="33">
        <f t="shared" si="151"/>
        <v>0</v>
      </c>
      <c r="AG786" s="43" t="s">
        <v>4096</v>
      </c>
      <c r="AH786" s="66">
        <f t="shared" si="152"/>
        <v>1.6513305147973141</v>
      </c>
      <c r="AI786" s="283">
        <f>RTD("money.excel",,$G786,"PredictVolume")</f>
        <v>332</v>
      </c>
      <c r="AJ786" s="391">
        <f>IFERROR(VLOOKUP($G786,基本資料!$A:$M,13,0),"無")</f>
        <v>201.05</v>
      </c>
      <c r="AR786" s="245" t="str">
        <f>INDEX(基本資料!N:N,MATCH($G786,基本資料!A:A,0))</f>
        <v>中</v>
      </c>
    </row>
    <row r="787" spans="1:44">
      <c r="A787" s="343">
        <f>IFERROR(VLOOKUP($G787,基本資料!$A:$J,3,0),"無")</f>
        <v>8.6300000000000008</v>
      </c>
      <c r="B787" s="79">
        <f>IFERROR(VLOOKUP($G787,基本資料!$A:$J,4,0),"無")</f>
        <v>-55</v>
      </c>
      <c r="C787" s="79">
        <f>IFERROR(VLOOKUP($G787,基本資料!$A:$J,5,0),"無")</f>
        <v>-57</v>
      </c>
      <c r="D787" s="79">
        <f>IFERROR(VLOOKUP($G787,基本資料!$A:$J,6,0),"無")</f>
        <v>8</v>
      </c>
      <c r="E787" s="79">
        <f>IFERROR(VLOOKUP($G787,基本資料!$A:$J,7,0),"無")</f>
        <v>16</v>
      </c>
      <c r="F787" s="6">
        <f>IFERROR(VLOOKUP($G787,基本資料!$A:$J,8,0),"無")</f>
        <v>4.2</v>
      </c>
      <c r="G787" s="79">
        <v>6230</v>
      </c>
      <c r="H787" s="46" t="s">
        <v>1145</v>
      </c>
      <c r="I787" s="22" t="s">
        <v>4097</v>
      </c>
      <c r="J787" s="8">
        <f>IFERROR(VLOOKUP($G787,今日總結!$A:$AN,39,0),"")</f>
        <v>0</v>
      </c>
      <c r="K787" s="5">
        <f>IFERROR(VLOOKUP($G787,今日總結!$A:$AN,40,0),"")</f>
        <v>0</v>
      </c>
      <c r="L787" s="156">
        <f>IFERROR(VLOOKUP($G787,今日總結!$A:$AN,37,0),"")</f>
        <v>0</v>
      </c>
      <c r="M787" s="337">
        <f>IFERROR(VLOOKUP($G787,今日總結!$A:$AN,38,0),"")</f>
        <v>0</v>
      </c>
      <c r="N787" s="240">
        <f t="shared" si="148"/>
        <v>0</v>
      </c>
      <c r="O787" s="359">
        <f>IFERROR(VLOOKUP($G787,融外自投!$A:$J,7,0),"無")</f>
        <v>1187</v>
      </c>
      <c r="P787" s="79">
        <f>IFERROR(VLOOKUP($G787,融外自投!$A:$J,9,0),"無")</f>
        <v>170</v>
      </c>
      <c r="Q787" s="342">
        <f>IFERROR(VLOOKUP($G787,融外自投!$A:$J,8,0),"無")</f>
        <v>5</v>
      </c>
      <c r="R787" s="81" t="str">
        <f>IFERROR(VLOOKUP($G787,融外自投!$A:$J,10,0),"無")</f>
        <v>無</v>
      </c>
      <c r="S787" s="324">
        <f>IFERROR(VLOOKUP($G787,'321買'!$A:$E,4,0),"'沒有資料'")</f>
        <v>1002</v>
      </c>
      <c r="T787" s="186">
        <f>IFERROR(VLOOKUP($G787,基本資料!$A:$J,9,0),"無")</f>
        <v>0.61</v>
      </c>
      <c r="U787" s="307">
        <f t="shared" si="147"/>
        <v>5.3744493392070486E-3</v>
      </c>
      <c r="V787" s="94">
        <f>IFERROR(VLOOKUP($G787,基本資料!$A:$J,10,0),"無")</f>
        <v>4.05</v>
      </c>
      <c r="W787" s="36">
        <f>RTD("money.excel",,"6230","Price")</f>
        <v>113.5</v>
      </c>
      <c r="X787" s="66"/>
      <c r="Y787" s="15">
        <f t="shared" si="149"/>
        <v>113.5</v>
      </c>
      <c r="Z787" s="3" t="e">
        <f t="shared" si="150"/>
        <v>#DIV/0!</v>
      </c>
      <c r="AA787" s="340">
        <f>IFERROR(VLOOKUP($G787,基本資料!$A:$M,11,0),"無")</f>
        <v>-52.51</v>
      </c>
      <c r="AB787" s="389">
        <f>IFERROR(VLOOKUP($G787,基本資料!$A:$M,12,0),"無")</f>
        <v>34.31</v>
      </c>
      <c r="AC787" s="22" t="s">
        <v>4097</v>
      </c>
      <c r="AF787" s="33">
        <f t="shared" si="151"/>
        <v>0</v>
      </c>
      <c r="AG787" s="119" t="s">
        <v>4098</v>
      </c>
      <c r="AH787" s="66">
        <f t="shared" si="152"/>
        <v>0.66006600660066006</v>
      </c>
      <c r="AI787" s="283">
        <f>RTD("money.excel",,$G787,"PredictVolume")</f>
        <v>140</v>
      </c>
      <c r="AJ787" s="391">
        <f>IFERROR(VLOOKUP($G787,基本資料!$A:$M,13,0),"無")</f>
        <v>212.1</v>
      </c>
      <c r="AR787" s="245" t="str">
        <f>INDEX(基本資料!N:N,MATCH($G787,基本資料!A:A,0))</f>
        <v>低</v>
      </c>
    </row>
    <row r="788" spans="1:44">
      <c r="A788" s="343">
        <f>IFERROR(VLOOKUP($G788,基本資料!$A:$J,3,0),"無")</f>
        <v>17.32</v>
      </c>
      <c r="B788" s="79">
        <f>IFERROR(VLOOKUP($G788,基本資料!$A:$J,4,0),"無")</f>
        <v>-74</v>
      </c>
      <c r="C788" s="79">
        <f>IFERROR(VLOOKUP($G788,基本資料!$A:$J,5,0),"無")</f>
        <v>516</v>
      </c>
      <c r="D788" s="79">
        <f>IFERROR(VLOOKUP($G788,基本資料!$A:$J,6,0),"無")</f>
        <v>-21</v>
      </c>
      <c r="E788" s="79">
        <f>IFERROR(VLOOKUP($G788,基本資料!$A:$J,7,0),"無")</f>
        <v>27</v>
      </c>
      <c r="F788" s="6">
        <f>IFERROR(VLOOKUP($G788,基本資料!$A:$J,8,0),"無")</f>
        <v>4.3</v>
      </c>
      <c r="G788" s="79">
        <v>6235</v>
      </c>
      <c r="H788" s="46" t="s">
        <v>1145</v>
      </c>
      <c r="I788" s="22" t="s">
        <v>4099</v>
      </c>
      <c r="J788" s="8">
        <f>IFERROR(VLOOKUP($G788,今日總結!$A:$AN,39,0),"")</f>
        <v>0</v>
      </c>
      <c r="K788" s="5">
        <f>IFERROR(VLOOKUP($G788,今日總結!$A:$AN,40,0),"")</f>
        <v>0</v>
      </c>
      <c r="L788" s="156">
        <f>IFERROR(VLOOKUP($G788,今日總結!$A:$AN,37,0),"")</f>
        <v>0</v>
      </c>
      <c r="M788" s="337">
        <f>IFERROR(VLOOKUP($G788,今日總結!$A:$AN,38,0),"")</f>
        <v>0</v>
      </c>
      <c r="N788" s="240">
        <f t="shared" si="148"/>
        <v>0</v>
      </c>
      <c r="O788" s="359">
        <f>IFERROR(VLOOKUP($G788,融外自投!$A:$J,7,0),"無")</f>
        <v>54</v>
      </c>
      <c r="P788" s="79">
        <f>IFERROR(VLOOKUP($G788,融外自投!$A:$J,9,0),"無")</f>
        <v>329</v>
      </c>
      <c r="Q788" s="342">
        <f>IFERROR(VLOOKUP($G788,融外自投!$A:$J,8,0),"無")</f>
        <v>999</v>
      </c>
      <c r="R788" s="81">
        <f>IFERROR(VLOOKUP($G788,融外自投!$A:$J,10,0),"無")</f>
        <v>389</v>
      </c>
      <c r="S788" s="324">
        <f>IFERROR(VLOOKUP($G788,'321買'!$A:$E,4,0),"'沒有資料'")</f>
        <v>68</v>
      </c>
      <c r="T788" s="186">
        <f>IFERROR(VLOOKUP($G788,基本資料!$A:$J,9,0),"無")</f>
        <v>0.3</v>
      </c>
      <c r="U788" s="307">
        <f t="shared" si="147"/>
        <v>8.3798882681564244E-3</v>
      </c>
      <c r="V788" s="94">
        <f>IFERROR(VLOOKUP($G788,基本資料!$A:$J,10,0),"無")</f>
        <v>0.96</v>
      </c>
      <c r="W788" s="36">
        <f>RTD("money.excel",,"6235","Price")</f>
        <v>35.799999999999997</v>
      </c>
      <c r="X788" s="66"/>
      <c r="Y788" s="15">
        <f t="shared" si="149"/>
        <v>35.799999999999997</v>
      </c>
      <c r="Z788" s="3" t="e">
        <f t="shared" si="150"/>
        <v>#DIV/0!</v>
      </c>
      <c r="AA788" s="340">
        <f>IFERROR(VLOOKUP($G788,基本資料!$A:$M,11,0),"無")</f>
        <v>-18.54</v>
      </c>
      <c r="AB788" s="389">
        <f>IFERROR(VLOOKUP($G788,基本資料!$A:$M,12,0),"無")</f>
        <v>48.39</v>
      </c>
      <c r="AC788" s="22" t="s">
        <v>4099</v>
      </c>
      <c r="AF788" s="33">
        <f t="shared" si="151"/>
        <v>0</v>
      </c>
      <c r="AG788" s="60" t="s">
        <v>4100</v>
      </c>
      <c r="AH788" s="66">
        <f t="shared" si="152"/>
        <v>0.63293004655087215</v>
      </c>
      <c r="AI788" s="283">
        <f>RTD("money.excel",,$G788,"PredictVolume")</f>
        <v>10952</v>
      </c>
      <c r="AJ788" s="391">
        <f>IFERROR(VLOOKUP($G788,基本資料!$A:$M,13,0),"無")</f>
        <v>17303.650000000001</v>
      </c>
      <c r="AR788" s="245" t="str">
        <f>INDEX(基本資料!N:N,MATCH($G788,基本資料!A:A,0))</f>
        <v>高</v>
      </c>
    </row>
    <row r="789" spans="1:44">
      <c r="A789" s="343">
        <f>IFERROR(VLOOKUP($G789,基本資料!$A:$J,3,0),"無")</f>
        <v>3.14</v>
      </c>
      <c r="B789" s="79">
        <f>IFERROR(VLOOKUP($G789,基本資料!$A:$J,4,0),"無")</f>
        <v>-68</v>
      </c>
      <c r="C789" s="79">
        <f>IFERROR(VLOOKUP($G789,基本資料!$A:$J,5,0),"無")</f>
        <v>-66</v>
      </c>
      <c r="D789" s="79">
        <f>IFERROR(VLOOKUP($G789,基本資料!$A:$J,6,0),"無")</f>
        <v>-9</v>
      </c>
      <c r="E789" s="79">
        <f>IFERROR(VLOOKUP($G789,基本資料!$A:$J,7,0),"無")</f>
        <v>-13</v>
      </c>
      <c r="F789" s="6">
        <f>IFERROR(VLOOKUP($G789,基本資料!$A:$J,8,0),"無")</f>
        <v>2.75</v>
      </c>
      <c r="G789" s="79">
        <v>6276</v>
      </c>
      <c r="H789" s="145" t="s">
        <v>1145</v>
      </c>
      <c r="I789" s="16" t="s">
        <v>4101</v>
      </c>
      <c r="J789" s="8">
        <f>IFERROR(VLOOKUP($G789,今日總結!$A:$AN,39,0),"")</f>
        <v>0</v>
      </c>
      <c r="K789" s="5">
        <f>IFERROR(VLOOKUP($G789,今日總結!$A:$AN,40,0),"")</f>
        <v>0</v>
      </c>
      <c r="L789" s="156">
        <f>IFERROR(VLOOKUP($G789,今日總結!$A:$AN,37,0),"")</f>
        <v>0</v>
      </c>
      <c r="M789" s="337">
        <f>IFERROR(VLOOKUP($G789,今日總結!$A:$AN,38,0),"")</f>
        <v>0</v>
      </c>
      <c r="N789" s="240">
        <f t="shared" si="148"/>
        <v>0</v>
      </c>
      <c r="O789" s="359">
        <f>IFERROR(VLOOKUP($G789,融外自投!$A:$J,7,0),"無")</f>
        <v>153</v>
      </c>
      <c r="P789" s="79">
        <f>IFERROR(VLOOKUP($G789,融外自投!$A:$J,9,0),"無")</f>
        <v>990</v>
      </c>
      <c r="Q789" s="342">
        <f>IFERROR(VLOOKUP($G789,融外自投!$A:$J,8,0),"無")</f>
        <v>908</v>
      </c>
      <c r="R789" s="81" t="str">
        <f>IFERROR(VLOOKUP($G789,融外自投!$A:$J,10,0),"無")</f>
        <v>無</v>
      </c>
      <c r="S789" s="324">
        <f>IFERROR(VLOOKUP($G789,'321買'!$A:$E,4,0),"'沒有資料'")</f>
        <v>1002</v>
      </c>
      <c r="T789" s="186">
        <f>IFERROR(VLOOKUP($G789,基本資料!$A:$J,9,0),"無")</f>
        <v>1</v>
      </c>
      <c r="U789" s="307">
        <f t="shared" si="147"/>
        <v>6.2111801242236017E-2</v>
      </c>
      <c r="V789" s="94">
        <f>IFERROR(VLOOKUP($G789,基本資料!$A:$J,10,0),"無")</f>
        <v>1.0900000000000001</v>
      </c>
      <c r="W789" s="36">
        <f>RTD("money.excel",,"6276","Price")</f>
        <v>16.100000000000001</v>
      </c>
      <c r="X789" s="66"/>
      <c r="Y789" s="15">
        <f t="shared" si="149"/>
        <v>16.100000000000001</v>
      </c>
      <c r="Z789" s="3" t="e">
        <f t="shared" si="150"/>
        <v>#DIV/0!</v>
      </c>
      <c r="AA789" s="340">
        <f>IFERROR(VLOOKUP($G789,基本資料!$A:$M,11,0),"無")</f>
        <v>-57.29</v>
      </c>
      <c r="AB789" s="389">
        <f>IFERROR(VLOOKUP($G789,基本資料!$A:$M,12,0),"無")</f>
        <v>10.06</v>
      </c>
      <c r="AC789" s="16" t="s">
        <v>4101</v>
      </c>
      <c r="AF789" s="33">
        <f t="shared" si="151"/>
        <v>0</v>
      </c>
      <c r="AG789" s="43" t="s">
        <v>2372</v>
      </c>
      <c r="AH789" s="66">
        <f t="shared" si="152"/>
        <v>6.535947712418301E-2</v>
      </c>
      <c r="AI789" s="283">
        <f>RTD("money.excel",,$G789,"PredictVolume")</f>
        <v>4</v>
      </c>
      <c r="AJ789" s="391">
        <f>IFERROR(VLOOKUP($G789,基本資料!$A:$M,13,0),"無")</f>
        <v>61.2</v>
      </c>
      <c r="AR789" s="245" t="str">
        <f>INDEX(基本資料!N:N,MATCH($G789,基本資料!A:A,0))</f>
        <v>低</v>
      </c>
    </row>
    <row r="790" spans="1:44">
      <c r="A790" s="343">
        <f>IFERROR(VLOOKUP($G790,基本資料!$A:$J,3,0),"無")</f>
        <v>11.94</v>
      </c>
      <c r="B790" s="79">
        <f>IFERROR(VLOOKUP($G790,基本資料!$A:$J,4,0),"無")</f>
        <v>-57</v>
      </c>
      <c r="C790" s="79">
        <f>IFERROR(VLOOKUP($G790,基本資料!$A:$J,5,0),"無")</f>
        <v>32</v>
      </c>
      <c r="D790" s="79">
        <f>IFERROR(VLOOKUP($G790,基本資料!$A:$J,6,0),"無")</f>
        <v>-19</v>
      </c>
      <c r="E790" s="79">
        <f>IFERROR(VLOOKUP($G790,基本資料!$A:$J,7,0),"無")</f>
        <v>-7</v>
      </c>
      <c r="F790" s="6">
        <f>IFERROR(VLOOKUP($G790,基本資料!$A:$J,8,0),"無")</f>
        <v>15.6</v>
      </c>
      <c r="G790" s="79">
        <v>6277</v>
      </c>
      <c r="H790" s="46" t="s">
        <v>1145</v>
      </c>
      <c r="I790" s="22" t="s">
        <v>4102</v>
      </c>
      <c r="J790" s="8">
        <f>IFERROR(VLOOKUP($G790,今日總結!$A:$AN,39,0),"")</f>
        <v>0</v>
      </c>
      <c r="K790" s="5" t="str">
        <f>IFERROR(VLOOKUP($G790,今日總結!$A:$AN,40,0),"")</f>
        <v>主</v>
      </c>
      <c r="L790" s="156">
        <f>IFERROR(VLOOKUP($G790,今日總結!$A:$AN,37,0),"")</f>
        <v>0</v>
      </c>
      <c r="M790" s="337">
        <f>IFERROR(VLOOKUP($G790,今日總結!$A:$AN,38,0),"")</f>
        <v>3</v>
      </c>
      <c r="N790" s="240">
        <f t="shared" si="148"/>
        <v>-3</v>
      </c>
      <c r="O790" s="359">
        <f>IFERROR(VLOOKUP($G790,融外自投!$A:$J,7,0),"無")</f>
        <v>1323</v>
      </c>
      <c r="P790" s="79">
        <f>IFERROR(VLOOKUP($G790,融外自投!$A:$J,9,0),"無")</f>
        <v>383</v>
      </c>
      <c r="Q790" s="342">
        <f>IFERROR(VLOOKUP($G790,融外自投!$A:$J,8,0),"無")</f>
        <v>407</v>
      </c>
      <c r="R790" s="81">
        <f>IFERROR(VLOOKUP($G790,融外自投!$A:$J,10,0),"無")</f>
        <v>495</v>
      </c>
      <c r="S790" s="324">
        <f>IFERROR(VLOOKUP($G790,'321買'!$A:$E,4,0),"'沒有資料'")</f>
        <v>1002</v>
      </c>
      <c r="T790" s="186">
        <f>IFERROR(VLOOKUP($G790,基本資料!$A:$J,9,0),"無")</f>
        <v>5.2</v>
      </c>
      <c r="U790" s="307">
        <f t="shared" si="147"/>
        <v>6.7183462532299745E-2</v>
      </c>
      <c r="V790" s="94">
        <f>IFERROR(VLOOKUP($G790,基本資料!$A:$J,10,0),"無")</f>
        <v>5.33</v>
      </c>
      <c r="W790" s="36">
        <f>RTD("money.excel",,"6277","Price")</f>
        <v>77.400000000000006</v>
      </c>
      <c r="X790" s="66"/>
      <c r="Y790" s="15">
        <f t="shared" si="149"/>
        <v>77.400000000000006</v>
      </c>
      <c r="Z790" s="3" t="e">
        <f t="shared" si="150"/>
        <v>#DIV/0!</v>
      </c>
      <c r="AA790" s="340">
        <f>IFERROR(VLOOKUP($G790,基本資料!$A:$M,11,0),"無")</f>
        <v>-10.31</v>
      </c>
      <c r="AB790" s="389">
        <f>IFERROR(VLOOKUP($G790,基本資料!$A:$M,12,0),"無")</f>
        <v>22.55</v>
      </c>
      <c r="AC790" s="22" t="s">
        <v>4102</v>
      </c>
      <c r="AF790" s="33">
        <f t="shared" si="151"/>
        <v>0</v>
      </c>
      <c r="AG790" s="117" t="s">
        <v>4103</v>
      </c>
      <c r="AH790" s="66">
        <f t="shared" si="152"/>
        <v>2.7760736196319016</v>
      </c>
      <c r="AI790" s="283">
        <f>RTD("money.excel",,$G790,"PredictVolume")</f>
        <v>181</v>
      </c>
      <c r="AJ790" s="391">
        <f>IFERROR(VLOOKUP($G790,基本資料!$A:$M,13,0),"無")</f>
        <v>65.2</v>
      </c>
      <c r="AR790" s="245" t="str">
        <f>INDEX(基本資料!N:N,MATCH($G790,基本資料!A:A,0))</f>
        <v>低</v>
      </c>
    </row>
    <row r="791" spans="1:44">
      <c r="A791" s="343">
        <f>IFERROR(VLOOKUP($G791,基本資料!$A:$J,3,0),"無")</f>
        <v>10.6</v>
      </c>
      <c r="B791" s="79">
        <f>IFERROR(VLOOKUP($G791,基本資料!$A:$J,4,0),"無")</f>
        <v>6</v>
      </c>
      <c r="C791" s="79">
        <f>IFERROR(VLOOKUP($G791,基本資料!$A:$J,5,0),"無")</f>
        <v>-13</v>
      </c>
      <c r="D791" s="79">
        <f>IFERROR(VLOOKUP($G791,基本資料!$A:$J,6,0),"無")</f>
        <v>-14</v>
      </c>
      <c r="E791" s="79">
        <f>IFERROR(VLOOKUP($G791,基本資料!$A:$J,7,0),"無")</f>
        <v>16</v>
      </c>
      <c r="F791" s="6">
        <f>IFERROR(VLOOKUP($G791,基本資料!$A:$J,8,0),"無")</f>
        <v>3.31</v>
      </c>
      <c r="G791" s="79">
        <v>6414</v>
      </c>
      <c r="H791" s="192" t="s">
        <v>1145</v>
      </c>
      <c r="I791" s="22" t="s">
        <v>213</v>
      </c>
      <c r="J791" s="8">
        <f>IFERROR(VLOOKUP($G791,今日總結!$A:$AN,39,0),"")</f>
        <v>0</v>
      </c>
      <c r="K791" s="5">
        <f>IFERROR(VLOOKUP($G791,今日總結!$A:$AN,40,0),"")</f>
        <v>0</v>
      </c>
      <c r="L791" s="156">
        <f>IFERROR(VLOOKUP($G791,今日總結!$A:$AN,37,0),"")</f>
        <v>0</v>
      </c>
      <c r="M791" s="337">
        <f>IFERROR(VLOOKUP($G791,今日總結!$A:$AN,38,0),"")</f>
        <v>0</v>
      </c>
      <c r="N791" s="240">
        <f t="shared" si="148"/>
        <v>0</v>
      </c>
      <c r="O791" s="359">
        <f>IFERROR(VLOOKUP($G791,融外自投!$A:$J,7,0),"無")</f>
        <v>357</v>
      </c>
      <c r="P791" s="79">
        <f>IFERROR(VLOOKUP($G791,融外自投!$A:$J,9,0),"無")</f>
        <v>615</v>
      </c>
      <c r="Q791" s="342">
        <f>IFERROR(VLOOKUP($G791,融外自投!$A:$J,8,0),"無")</f>
        <v>477</v>
      </c>
      <c r="R791" s="81">
        <f>IFERROR(VLOOKUP($G791,融外自投!$A:$J,10,0),"無")</f>
        <v>254</v>
      </c>
      <c r="S791" s="324">
        <f>IFERROR(VLOOKUP($G791,'321買'!$A:$E,4,0),"'沒有資料'")</f>
        <v>321</v>
      </c>
      <c r="T791" s="186">
        <f>IFERROR(VLOOKUP($G791,基本資料!$A:$J,9,0),"無")</f>
        <v>7</v>
      </c>
      <c r="U791" s="307">
        <f t="shared" si="147"/>
        <v>3.608247422680412E-2</v>
      </c>
      <c r="V791" s="94">
        <f>IFERROR(VLOOKUP($G791,基本資料!$A:$J,10,0),"無")</f>
        <v>13.91</v>
      </c>
      <c r="W791" s="36">
        <f>RTD("money.excel",,"6414","Price")</f>
        <v>194</v>
      </c>
      <c r="X791" s="66"/>
      <c r="Y791" s="15">
        <f t="shared" si="149"/>
        <v>194</v>
      </c>
      <c r="Z791" s="3" t="e">
        <f t="shared" si="150"/>
        <v>#DIV/0!</v>
      </c>
      <c r="AA791" s="340">
        <f>IFERROR(VLOOKUP($G791,基本資料!$A:$M,11,0),"無")</f>
        <v>-29.71</v>
      </c>
      <c r="AB791" s="389">
        <f>IFERROR(VLOOKUP($G791,基本資料!$A:$M,12,0),"無")</f>
        <v>28.44</v>
      </c>
      <c r="AC791" s="22" t="s">
        <v>213</v>
      </c>
      <c r="AF791" s="33">
        <f t="shared" si="151"/>
        <v>0</v>
      </c>
      <c r="AG791" s="117" t="s">
        <v>1505</v>
      </c>
      <c r="AH791" s="66">
        <f t="shared" si="152"/>
        <v>0.72302405498281785</v>
      </c>
      <c r="AI791" s="283">
        <f>RTD("money.excel",,$G791,"PredictVolume")</f>
        <v>526</v>
      </c>
      <c r="AJ791" s="391">
        <f>IFERROR(VLOOKUP($G791,基本資料!$A:$M,13,0),"無")</f>
        <v>727.5</v>
      </c>
      <c r="AR791" s="245" t="str">
        <f>INDEX(基本資料!N:N,MATCH($G791,基本資料!A:A,0))</f>
        <v>低</v>
      </c>
    </row>
    <row r="792" spans="1:44">
      <c r="A792" s="343">
        <f>IFERROR(VLOOKUP($G792,基本資料!$A:$J,3,0),"無")</f>
        <v>4.33</v>
      </c>
      <c r="B792" s="79">
        <f>IFERROR(VLOOKUP($G792,基本資料!$A:$J,4,0),"無")</f>
        <v>-213</v>
      </c>
      <c r="C792" s="79">
        <f>IFERROR(VLOOKUP($G792,基本資料!$A:$J,5,0),"無")</f>
        <v>-151</v>
      </c>
      <c r="D792" s="79">
        <f>IFERROR(VLOOKUP($G792,基本資料!$A:$J,6,0),"無")</f>
        <v>-12</v>
      </c>
      <c r="E792" s="79">
        <f>IFERROR(VLOOKUP($G792,基本資料!$A:$J,7,0),"無")</f>
        <v>-86</v>
      </c>
      <c r="F792" s="6">
        <f>IFERROR(VLOOKUP($G792,基本資料!$A:$J,8,0),"無")</f>
        <v>-10.210000000000001</v>
      </c>
      <c r="G792" s="79">
        <v>6441</v>
      </c>
      <c r="H792" s="145" t="s">
        <v>1145</v>
      </c>
      <c r="I792" s="16" t="s">
        <v>4104</v>
      </c>
      <c r="J792" s="8">
        <f>IFERROR(VLOOKUP($G792,今日總結!$A:$AN,39,0),"")</f>
        <v>0</v>
      </c>
      <c r="K792" s="5">
        <f>IFERROR(VLOOKUP($G792,今日總結!$A:$AN,40,0),"")</f>
        <v>0</v>
      </c>
      <c r="L792" s="156">
        <f>IFERROR(VLOOKUP($G792,今日總結!$A:$AN,37,0),"")</f>
        <v>0</v>
      </c>
      <c r="M792" s="337">
        <f>IFERROR(VLOOKUP($G792,今日總結!$A:$AN,38,0),"")</f>
        <v>0</v>
      </c>
      <c r="N792" s="240">
        <f t="shared" si="148"/>
        <v>0</v>
      </c>
      <c r="O792" s="359">
        <f>IFERROR(VLOOKUP($G792,融外自投!$A:$J,7,0),"無")</f>
        <v>131</v>
      </c>
      <c r="P792" s="79">
        <f>IFERROR(VLOOKUP($G792,融外自投!$A:$J,9,0),"無")</f>
        <v>310</v>
      </c>
      <c r="Q792" s="342">
        <f>IFERROR(VLOOKUP($G792,融外自投!$A:$J,8,0),"無")</f>
        <v>1273</v>
      </c>
      <c r="R792" s="81" t="str">
        <f>IFERROR(VLOOKUP($G792,融外自投!$A:$J,10,0),"無")</f>
        <v>無</v>
      </c>
      <c r="S792" s="324">
        <f>IFERROR(VLOOKUP($G792,'321買'!$A:$E,4,0),"'沒有資料'")</f>
        <v>465</v>
      </c>
      <c r="T792" s="186">
        <f>IFERROR(VLOOKUP($G792,基本資料!$A:$J,9,0),"無")</f>
        <v>0</v>
      </c>
      <c r="U792" s="307">
        <f t="shared" si="147"/>
        <v>0</v>
      </c>
      <c r="V792" s="94">
        <f>IFERROR(VLOOKUP($G792,基本資料!$A:$J,10,0),"無")</f>
        <v>-2.88</v>
      </c>
      <c r="W792" s="36">
        <f>RTD("money.excel",,"6441","Price")</f>
        <v>44.25</v>
      </c>
      <c r="X792" s="66"/>
      <c r="Y792" s="15">
        <f t="shared" si="149"/>
        <v>44.25</v>
      </c>
      <c r="Z792" s="3" t="e">
        <f t="shared" si="150"/>
        <v>#DIV/0!</v>
      </c>
      <c r="AA792" s="340">
        <f>IFERROR(VLOOKUP($G792,基本資料!$A:$M,11,0),"無")</f>
        <v>-54.1</v>
      </c>
      <c r="AB792" s="389">
        <f>IFERROR(VLOOKUP($G792,基本資料!$A:$M,12,0),"無")</f>
        <v>28.6</v>
      </c>
      <c r="AC792" s="16" t="s">
        <v>4104</v>
      </c>
      <c r="AF792" s="33">
        <f t="shared" si="151"/>
        <v>0</v>
      </c>
      <c r="AG792" s="43" t="s">
        <v>4105</v>
      </c>
      <c r="AH792" s="66">
        <f t="shared" si="152"/>
        <v>8.2092873745116465E-2</v>
      </c>
      <c r="AI792" s="283">
        <f>RTD("money.excel",,$G792,"PredictVolume")</f>
        <v>83</v>
      </c>
      <c r="AJ792" s="391">
        <f>IFERROR(VLOOKUP($G792,基本資料!$A:$M,13,0),"無")</f>
        <v>1011.05</v>
      </c>
      <c r="AR792" s="245" t="str">
        <f>INDEX(基本資料!N:N,MATCH($G792,基本資料!A:A,0))</f>
        <v>低</v>
      </c>
    </row>
    <row r="793" spans="1:44">
      <c r="A793" s="343">
        <f>IFERROR(VLOOKUP($G793,基本資料!$A:$J,3,0),"無")</f>
        <v>3</v>
      </c>
      <c r="B793" s="79">
        <f>IFERROR(VLOOKUP($G793,基本資料!$A:$J,4,0),"無")</f>
        <v>214</v>
      </c>
      <c r="C793" s="79">
        <f>IFERROR(VLOOKUP($G793,基本資料!$A:$J,5,0),"無")</f>
        <v>189</v>
      </c>
      <c r="D793" s="79">
        <f>IFERROR(VLOOKUP($G793,基本資料!$A:$J,6,0),"無")</f>
        <v>-4</v>
      </c>
      <c r="E793" s="79">
        <f>IFERROR(VLOOKUP($G793,基本資料!$A:$J,7,0),"無")</f>
        <v>4</v>
      </c>
      <c r="F793" s="6">
        <f>IFERROR(VLOOKUP($G793,基本資料!$A:$J,8,0),"無")</f>
        <v>13.89</v>
      </c>
      <c r="G793" s="79">
        <v>6570</v>
      </c>
      <c r="H793" s="145" t="s">
        <v>1145</v>
      </c>
      <c r="I793" s="16" t="s">
        <v>4106</v>
      </c>
      <c r="J793" s="8">
        <f>IFERROR(VLOOKUP($G793,今日總結!$A:$AN,39,0),"")</f>
        <v>0</v>
      </c>
      <c r="K793" s="5" t="str">
        <f>IFERROR(VLOOKUP($G793,今日總結!$A:$AN,40,0),"")</f>
        <v>外</v>
      </c>
      <c r="L793" s="156">
        <f>IFERROR(VLOOKUP($G793,今日總結!$A:$AN,37,0),"")</f>
        <v>0</v>
      </c>
      <c r="M793" s="337">
        <f>IFERROR(VLOOKUP($G793,今日總結!$A:$AN,38,0),"")</f>
        <v>2</v>
      </c>
      <c r="N793" s="240">
        <f t="shared" si="148"/>
        <v>-2</v>
      </c>
      <c r="O793" s="359">
        <f>IFERROR(VLOOKUP($G793,融外自投!$A:$J,7,0),"無")</f>
        <v>1153</v>
      </c>
      <c r="P793" s="79" t="str">
        <f>IFERROR(VLOOKUP($G793,融外自投!$A:$J,9,0),"無")</f>
        <v>無</v>
      </c>
      <c r="Q793" s="342">
        <f>IFERROR(VLOOKUP($G793,融外自投!$A:$J,8,0),"無")</f>
        <v>1297</v>
      </c>
      <c r="R793" s="81" t="str">
        <f>IFERROR(VLOOKUP($G793,融外自投!$A:$J,10,0),"無")</f>
        <v>無</v>
      </c>
      <c r="S793" s="324">
        <f>IFERROR(VLOOKUP($G793,'321買'!$A:$E,4,0),"'沒有資料'")</f>
        <v>1002</v>
      </c>
      <c r="T793" s="186">
        <f>IFERROR(VLOOKUP($G793,基本資料!$A:$J,9,0),"無")</f>
        <v>3</v>
      </c>
      <c r="U793" s="307">
        <f t="shared" si="147"/>
        <v>7.5662042875157626E-2</v>
      </c>
      <c r="V793" s="94">
        <f>IFERROR(VLOOKUP($G793,基本資料!$A:$J,10,0),"無")</f>
        <v>3.58</v>
      </c>
      <c r="W793" s="36">
        <f>RTD("money.excel",,"6570","Price")</f>
        <v>39.65</v>
      </c>
      <c r="X793" s="66"/>
      <c r="Y793" s="15">
        <f t="shared" si="149"/>
        <v>39.65</v>
      </c>
      <c r="Z793" s="3" t="e">
        <f t="shared" si="150"/>
        <v>#DIV/0!</v>
      </c>
      <c r="AA793" s="340">
        <f>IFERROR(VLOOKUP($G793,基本資料!$A:$M,11,0),"無")</f>
        <v>-16.7</v>
      </c>
      <c r="AB793" s="389">
        <f>IFERROR(VLOOKUP($G793,基本資料!$A:$M,12,0),"無")</f>
        <v>20.95</v>
      </c>
      <c r="AC793" s="16" t="s">
        <v>4106</v>
      </c>
      <c r="AF793" s="33">
        <f t="shared" si="151"/>
        <v>0</v>
      </c>
      <c r="AG793" s="43" t="s">
        <v>2232</v>
      </c>
      <c r="AH793" s="66">
        <f t="shared" si="152"/>
        <v>1.4657210401891254</v>
      </c>
      <c r="AI793" s="283">
        <f>RTD("money.excel",,$G793,"PredictVolume")</f>
        <v>31</v>
      </c>
      <c r="AJ793" s="391">
        <f>IFERROR(VLOOKUP($G793,基本資料!$A:$M,13,0),"無")</f>
        <v>21.15</v>
      </c>
      <c r="AR793" s="245" t="str">
        <f>INDEX(基本資料!N:N,MATCH($G793,基本資料!A:A,0))</f>
        <v>中</v>
      </c>
    </row>
    <row r="794" spans="1:44">
      <c r="A794" s="343">
        <f>IFERROR(VLOOKUP($G794,基本資料!$A:$J,3,0),"無")</f>
        <v>3.82</v>
      </c>
      <c r="B794" s="79">
        <f>IFERROR(VLOOKUP($G794,基本資料!$A:$J,4,0),"無")</f>
        <v>-20</v>
      </c>
      <c r="C794" s="79">
        <f>IFERROR(VLOOKUP($G794,基本資料!$A:$J,5,0),"無")</f>
        <v>-24</v>
      </c>
      <c r="D794" s="79">
        <f>IFERROR(VLOOKUP($G794,基本資料!$A:$J,6,0),"無")</f>
        <v>-17</v>
      </c>
      <c r="E794" s="79">
        <f>IFERROR(VLOOKUP($G794,基本資料!$A:$J,7,0),"無")</f>
        <v>22</v>
      </c>
      <c r="F794" s="6">
        <f>IFERROR(VLOOKUP($G794,基本資料!$A:$J,8,0),"無")</f>
        <v>11.52</v>
      </c>
      <c r="G794" s="79">
        <v>6577</v>
      </c>
      <c r="H794" s="145" t="s">
        <v>1145</v>
      </c>
      <c r="I794" s="16" t="s">
        <v>4107</v>
      </c>
      <c r="J794" s="8" t="str">
        <f>IFERROR(VLOOKUP($G794,今日總結!$A:$AN,39,0),"")</f>
        <v/>
      </c>
      <c r="K794" s="5" t="str">
        <f>IFERROR(VLOOKUP($G794,今日總結!$A:$AN,40,0),"")</f>
        <v/>
      </c>
      <c r="L794" s="156" t="str">
        <f>IFERROR(VLOOKUP($G794,今日總結!$A:$AN,37,0),"")</f>
        <v/>
      </c>
      <c r="M794" s="337" t="str">
        <f>IFERROR(VLOOKUP($G794,今日總結!$A:$AN,38,0),"")</f>
        <v/>
      </c>
      <c r="N794" s="240" t="str">
        <f t="shared" si="148"/>
        <v/>
      </c>
      <c r="O794" s="359">
        <f>IFERROR(VLOOKUP($G794,融外自投!$A:$J,7,0),"無")</f>
        <v>1369</v>
      </c>
      <c r="P794" s="79" t="str">
        <f>IFERROR(VLOOKUP($G794,融外自投!$A:$J,9,0),"無")</f>
        <v>無</v>
      </c>
      <c r="Q794" s="342">
        <f>IFERROR(VLOOKUP($G794,融外自投!$A:$J,8,0),"無")</f>
        <v>1220</v>
      </c>
      <c r="R794" s="81">
        <f>IFERROR(VLOOKUP($G794,融外自投!$A:$J,10,0),"無")</f>
        <v>427</v>
      </c>
      <c r="S794" s="324" t="str">
        <f>IFERROR(VLOOKUP($G794,'321買'!$A:$E,4,0),"'沒有資料'")</f>
        <v>'沒有資料'</v>
      </c>
      <c r="T794" s="186">
        <f>IFERROR(VLOOKUP($G794,基本資料!$A:$J,9,0),"無")</f>
        <v>3.85</v>
      </c>
      <c r="U794" s="307">
        <f t="shared" si="147"/>
        <v>6.1111111111111109E-2</v>
      </c>
      <c r="V794" s="94">
        <f>IFERROR(VLOOKUP($G794,基本資料!$A:$J,10,0),"無")</f>
        <v>4.24</v>
      </c>
      <c r="W794" s="36">
        <f>RTD("money.excel",,"6577","Price")</f>
        <v>63</v>
      </c>
      <c r="X794" s="66"/>
      <c r="Y794" s="15">
        <f t="shared" si="149"/>
        <v>63</v>
      </c>
      <c r="Z794" s="3" t="e">
        <f t="shared" si="150"/>
        <v>#DIV/0!</v>
      </c>
      <c r="AA794" s="340">
        <f>IFERROR(VLOOKUP($G794,基本資料!$A:$M,11,0),"無")</f>
        <v>-12.62</v>
      </c>
      <c r="AB794" s="389">
        <f>IFERROR(VLOOKUP($G794,基本資料!$A:$M,12,0),"無")</f>
        <v>36.659999999999997</v>
      </c>
      <c r="AC794" s="16" t="s">
        <v>4107</v>
      </c>
      <c r="AF794" s="33">
        <f t="shared" si="151"/>
        <v>0</v>
      </c>
      <c r="AG794" s="43" t="s">
        <v>4108</v>
      </c>
      <c r="AH794" s="66">
        <f t="shared" si="152"/>
        <v>1.1392405063291138</v>
      </c>
      <c r="AI794" s="283">
        <f>RTD("money.excel",,$G794,"PredictVolume")</f>
        <v>9</v>
      </c>
      <c r="AJ794" s="391">
        <f>IFERROR(VLOOKUP($G794,基本資料!$A:$M,13,0),"無")</f>
        <v>7.9</v>
      </c>
      <c r="AR794" s="245" t="str">
        <f>INDEX(基本資料!N:N,MATCH($G794,基本資料!A:A,0))</f>
        <v>低</v>
      </c>
    </row>
    <row r="795" spans="1:44">
      <c r="A795" s="343">
        <f>IFERROR(VLOOKUP($G795,基本資料!$A:$J,3,0),"無")</f>
        <v>14.86</v>
      </c>
      <c r="B795" s="79">
        <f>IFERROR(VLOOKUP($G795,基本資料!$A:$J,4,0),"無")</f>
        <v>10</v>
      </c>
      <c r="C795" s="79">
        <f>IFERROR(VLOOKUP($G795,基本資料!$A:$J,5,0),"無")</f>
        <v>-11</v>
      </c>
      <c r="D795" s="79">
        <f>IFERROR(VLOOKUP($G795,基本資料!$A:$J,6,0),"無")</f>
        <v>-30</v>
      </c>
      <c r="E795" s="79">
        <f>IFERROR(VLOOKUP($G795,基本資料!$A:$J,7,0),"無")</f>
        <v>45</v>
      </c>
      <c r="F795" s="6">
        <f>IFERROR(VLOOKUP($G795,基本資料!$A:$J,8,0),"無")</f>
        <v>8.64</v>
      </c>
      <c r="G795" s="79">
        <v>6579</v>
      </c>
      <c r="H795" s="46" t="s">
        <v>1145</v>
      </c>
      <c r="I795" s="22" t="s">
        <v>4109</v>
      </c>
      <c r="J795" s="8">
        <f>IFERROR(VLOOKUP($G795,今日總結!$A:$AN,39,0),"")</f>
        <v>0</v>
      </c>
      <c r="K795" s="5">
        <f>IFERROR(VLOOKUP($G795,今日總結!$A:$AN,40,0),"")</f>
        <v>0</v>
      </c>
      <c r="L795" s="156">
        <f>IFERROR(VLOOKUP($G795,今日總結!$A:$AN,37,0),"")</f>
        <v>0</v>
      </c>
      <c r="M795" s="337">
        <f>IFERROR(VLOOKUP($G795,今日總結!$A:$AN,38,0),"")</f>
        <v>0</v>
      </c>
      <c r="N795" s="240">
        <f t="shared" si="148"/>
        <v>0</v>
      </c>
      <c r="O795" s="359">
        <f>IFERROR(VLOOKUP($G795,融外自投!$A:$J,7,0),"無")</f>
        <v>1374</v>
      </c>
      <c r="P795" s="79">
        <f>IFERROR(VLOOKUP($G795,融外自投!$A:$J,9,0),"無")</f>
        <v>1051</v>
      </c>
      <c r="Q795" s="342">
        <f>IFERROR(VLOOKUP($G795,融外自投!$A:$J,8,0),"無")</f>
        <v>922</v>
      </c>
      <c r="R795" s="81" t="str">
        <f>IFERROR(VLOOKUP($G795,融外自投!$A:$J,10,0),"無")</f>
        <v>無</v>
      </c>
      <c r="S795" s="324">
        <f>IFERROR(VLOOKUP($G795,'321買'!$A:$E,4,0),"'沒有資料'")</f>
        <v>1002</v>
      </c>
      <c r="T795" s="186">
        <f>IFERROR(VLOOKUP($G795,基本資料!$A:$J,9,0),"無")</f>
        <v>3.1</v>
      </c>
      <c r="U795" s="307">
        <f t="shared" si="147"/>
        <v>3.949044585987261E-2</v>
      </c>
      <c r="V795" s="94">
        <f>IFERROR(VLOOKUP($G795,基本資料!$A:$J,10,0),"無")</f>
        <v>4.22</v>
      </c>
      <c r="W795" s="36">
        <f>RTD("money.excel",,"6579","Price")</f>
        <v>78.5</v>
      </c>
      <c r="X795" s="66"/>
      <c r="Y795" s="15">
        <f t="shared" si="149"/>
        <v>78.5</v>
      </c>
      <c r="Z795" s="3" t="e">
        <f t="shared" si="150"/>
        <v>#DIV/0!</v>
      </c>
      <c r="AA795" s="340">
        <f>IFERROR(VLOOKUP($G795,基本資料!$A:$M,11,0),"無")</f>
        <v>-12.78</v>
      </c>
      <c r="AB795" s="389">
        <f>IFERROR(VLOOKUP($G795,基本資料!$A:$M,12,0),"無")</f>
        <v>55.22</v>
      </c>
      <c r="AC795" s="22" t="s">
        <v>4109</v>
      </c>
      <c r="AF795" s="33">
        <f t="shared" si="151"/>
        <v>0</v>
      </c>
      <c r="AG795" s="43" t="s">
        <v>1932</v>
      </c>
      <c r="AH795" s="66">
        <f t="shared" si="152"/>
        <v>0.2843966179861645</v>
      </c>
      <c r="AI795" s="283">
        <f>RTD("money.excel",,$G795,"PredictVolume")</f>
        <v>37</v>
      </c>
      <c r="AJ795" s="391">
        <f>IFERROR(VLOOKUP($G795,基本資料!$A:$M,13,0),"無")</f>
        <v>130.1</v>
      </c>
      <c r="AR795" s="245" t="str">
        <f>INDEX(基本資料!N:N,MATCH($G795,基本資料!A:A,0))</f>
        <v>中</v>
      </c>
    </row>
    <row r="796" spans="1:44">
      <c r="A796" s="343">
        <f>IFERROR(VLOOKUP($G796,基本資料!$A:$J,3,0),"無")</f>
        <v>3.2</v>
      </c>
      <c r="B796" s="79">
        <f>IFERROR(VLOOKUP($G796,基本資料!$A:$J,4,0),"無")</f>
        <v>33</v>
      </c>
      <c r="C796" s="79">
        <f>IFERROR(VLOOKUP($G796,基本資料!$A:$J,5,0),"無")</f>
        <v>11</v>
      </c>
      <c r="D796" s="79">
        <f>IFERROR(VLOOKUP($G796,基本資料!$A:$J,6,0),"無")</f>
        <v>-54</v>
      </c>
      <c r="E796" s="79">
        <f>IFERROR(VLOOKUP($G796,基本資料!$A:$J,7,0),"無")</f>
        <v>-31</v>
      </c>
      <c r="F796" s="6">
        <f>IFERROR(VLOOKUP($G796,基本資料!$A:$J,8,0),"無")</f>
        <v>18.12</v>
      </c>
      <c r="G796" s="79">
        <v>6591</v>
      </c>
      <c r="H796" s="46" t="s">
        <v>1145</v>
      </c>
      <c r="I796" s="22" t="s">
        <v>470</v>
      </c>
      <c r="J796" s="8">
        <f>IFERROR(VLOOKUP($G796,今日總結!$A:$AN,39,0),"")</f>
        <v>5</v>
      </c>
      <c r="K796" s="5">
        <f>IFERROR(VLOOKUP($G796,今日總結!$A:$AN,40,0),"")</f>
        <v>0</v>
      </c>
      <c r="L796" s="156">
        <f>IFERROR(VLOOKUP($G796,今日總結!$A:$AN,37,0),"")</f>
        <v>1</v>
      </c>
      <c r="M796" s="337">
        <f>IFERROR(VLOOKUP($G796,今日總結!$A:$AN,38,0),"")</f>
        <v>0</v>
      </c>
      <c r="N796" s="240">
        <f t="shared" si="148"/>
        <v>1</v>
      </c>
      <c r="O796" s="359">
        <f>IFERROR(VLOOKUP($G796,融外自投!$A:$J,7,0),"無")</f>
        <v>111</v>
      </c>
      <c r="P796" s="79">
        <f>IFERROR(VLOOKUP($G796,融外自投!$A:$J,9,0),"無")</f>
        <v>114</v>
      </c>
      <c r="Q796" s="342">
        <f>IFERROR(VLOOKUP($G796,融外自投!$A:$J,8,0),"無")</f>
        <v>255</v>
      </c>
      <c r="R796" s="81">
        <f>IFERROR(VLOOKUP($G796,融外自投!$A:$J,10,0),"無")</f>
        <v>179</v>
      </c>
      <c r="S796" s="324">
        <f>IFERROR(VLOOKUP($G796,'321買'!$A:$E,4,0),"'沒有資料'")</f>
        <v>366</v>
      </c>
      <c r="T796" s="186">
        <f>IFERROR(VLOOKUP($G796,基本資料!$A:$J,9,0),"無")</f>
        <v>4</v>
      </c>
      <c r="U796" s="307">
        <f t="shared" si="147"/>
        <v>6.5040650406504072E-2</v>
      </c>
      <c r="V796" s="94">
        <f>IFERROR(VLOOKUP($G796,基本資料!$A:$J,10,0),"無")</f>
        <v>6.83</v>
      </c>
      <c r="W796" s="36">
        <f>RTD("money.excel",,"6591","Price")</f>
        <v>61.5</v>
      </c>
      <c r="X796" s="66"/>
      <c r="Y796" s="15">
        <f t="shared" si="149"/>
        <v>61.5</v>
      </c>
      <c r="Z796" s="3" t="e">
        <f t="shared" si="150"/>
        <v>#DIV/0!</v>
      </c>
      <c r="AA796" s="340">
        <f>IFERROR(VLOOKUP($G796,基本資料!$A:$M,11,0),"無")</f>
        <v>-14.35</v>
      </c>
      <c r="AB796" s="389">
        <f>IFERROR(VLOOKUP($G796,基本資料!$A:$M,12,0),"無")</f>
        <v>52.27</v>
      </c>
      <c r="AC796" s="22" t="s">
        <v>470</v>
      </c>
      <c r="AF796" s="33">
        <f t="shared" si="151"/>
        <v>0</v>
      </c>
      <c r="AG796" s="43" t="s">
        <v>2315</v>
      </c>
      <c r="AH796" s="66">
        <f t="shared" si="152"/>
        <v>0.60233386905177844</v>
      </c>
      <c r="AI796" s="283">
        <f>RTD("money.excel",,$G796,"PredictVolume")</f>
        <v>431</v>
      </c>
      <c r="AJ796" s="391">
        <f>IFERROR(VLOOKUP($G796,基本資料!$A:$M,13,0),"無")</f>
        <v>715.55</v>
      </c>
      <c r="AR796" s="245" t="str">
        <f>INDEX(基本資料!N:N,MATCH($G796,基本資料!A:A,0))</f>
        <v>高</v>
      </c>
    </row>
    <row r="797" spans="1:44">
      <c r="A797" s="343">
        <f>IFERROR(VLOOKUP($G797,基本資料!$A:$J,3,0),"無")</f>
        <v>17.48</v>
      </c>
      <c r="B797" s="79">
        <f>IFERROR(VLOOKUP($G797,基本資料!$A:$J,4,0),"無")</f>
        <v>0</v>
      </c>
      <c r="C797" s="79">
        <f>IFERROR(VLOOKUP($G797,基本資料!$A:$J,5,0),"無")</f>
        <v>1</v>
      </c>
      <c r="D797" s="79">
        <f>IFERROR(VLOOKUP($G797,基本資料!$A:$J,6,0),"無")</f>
        <v>-17</v>
      </c>
      <c r="E797" s="79">
        <f>IFERROR(VLOOKUP($G797,基本資料!$A:$J,7,0),"無")</f>
        <v>19</v>
      </c>
      <c r="F797" s="6">
        <f>IFERROR(VLOOKUP($G797,基本資料!$A:$J,8,0),"無")</f>
        <v>5.91</v>
      </c>
      <c r="G797" s="79">
        <v>6669</v>
      </c>
      <c r="H797" s="46" t="s">
        <v>1145</v>
      </c>
      <c r="I797" s="22" t="s">
        <v>4110</v>
      </c>
      <c r="J797" s="8">
        <f>IFERROR(VLOOKUP($G797,今日總結!$A:$AN,39,0),"")</f>
        <v>0</v>
      </c>
      <c r="K797" s="5">
        <f>IFERROR(VLOOKUP($G797,今日總結!$A:$AN,40,0),"")</f>
        <v>0</v>
      </c>
      <c r="L797" s="156">
        <f>IFERROR(VLOOKUP($G797,今日總結!$A:$AN,37,0),"")</f>
        <v>0</v>
      </c>
      <c r="M797" s="337">
        <f>IFERROR(VLOOKUP($G797,今日總結!$A:$AN,38,0),"")</f>
        <v>0</v>
      </c>
      <c r="N797" s="240">
        <f t="shared" si="148"/>
        <v>0</v>
      </c>
      <c r="O797" s="359">
        <f>IFERROR(VLOOKUP($G797,融外自投!$A:$J,7,0),"無")</f>
        <v>1271</v>
      </c>
      <c r="P797" s="79">
        <f>IFERROR(VLOOKUP($G797,融外自投!$A:$J,9,0),"無")</f>
        <v>825</v>
      </c>
      <c r="Q797" s="342">
        <f>IFERROR(VLOOKUP($G797,融外自投!$A:$J,8,0),"無")</f>
        <v>147</v>
      </c>
      <c r="R797" s="81">
        <f>IFERROR(VLOOKUP($G797,融外自投!$A:$J,10,0),"無")</f>
        <v>127</v>
      </c>
      <c r="S797" s="324">
        <f>IFERROR(VLOOKUP($G797,'321買'!$A:$E,4,0),"'沒有資料'")</f>
        <v>565</v>
      </c>
      <c r="T797" s="186">
        <f>IFERROR(VLOOKUP($G797,基本資料!$A:$J,9,0),"無")</f>
        <v>25</v>
      </c>
      <c r="U797" s="307">
        <f t="shared" si="147"/>
        <v>2.5799793601651185E-2</v>
      </c>
      <c r="V797" s="94">
        <f>IFERROR(VLOOKUP($G797,基本資料!$A:$J,10,0),"無")</f>
        <v>49.46</v>
      </c>
      <c r="W797" s="36">
        <f>RTD("money.excel",,"6669","Price")</f>
        <v>969</v>
      </c>
      <c r="X797" s="66"/>
      <c r="Y797" s="15">
        <f t="shared" si="149"/>
        <v>969</v>
      </c>
      <c r="Z797" s="3" t="e">
        <f t="shared" si="150"/>
        <v>#DIV/0!</v>
      </c>
      <c r="AA797" s="340">
        <f>IFERROR(VLOOKUP($G797,基本資料!$A:$M,11,0),"無")</f>
        <v>-15.74</v>
      </c>
      <c r="AB797" s="389">
        <f>IFERROR(VLOOKUP($G797,基本資料!$A:$M,12,0),"無")</f>
        <v>49.31</v>
      </c>
      <c r="AC797" s="22" t="s">
        <v>4110</v>
      </c>
      <c r="AF797" s="33">
        <f t="shared" si="151"/>
        <v>0</v>
      </c>
      <c r="AG797" s="43" t="s">
        <v>4111</v>
      </c>
      <c r="AH797" s="66">
        <f t="shared" si="152"/>
        <v>1.0178077985876575</v>
      </c>
      <c r="AI797" s="283">
        <f>RTD("money.excel",,$G797,"PredictVolume")</f>
        <v>663</v>
      </c>
      <c r="AJ797" s="391">
        <f>IFERROR(VLOOKUP($G797,基本資料!$A:$M,13,0),"無")</f>
        <v>651.4</v>
      </c>
      <c r="AR797" s="245" t="str">
        <f>INDEX(基本資料!N:N,MATCH($G797,基本資料!A:A,0))</f>
        <v>中</v>
      </c>
    </row>
    <row r="798" spans="1:44">
      <c r="A798" s="343">
        <f>IFERROR(VLOOKUP($G798,基本資料!$A:$J,3,0),"無")</f>
        <v>1.85</v>
      </c>
      <c r="B798" s="79">
        <f>IFERROR(VLOOKUP($G798,基本資料!$A:$J,4,0),"無")</f>
        <v>-17</v>
      </c>
      <c r="C798" s="79">
        <f>IFERROR(VLOOKUP($G798,基本資料!$A:$J,5,0),"無")</f>
        <v>-40</v>
      </c>
      <c r="D798" s="79">
        <f>IFERROR(VLOOKUP($G798,基本資料!$A:$J,6,0),"無")</f>
        <v>21</v>
      </c>
      <c r="E798" s="79">
        <f>IFERROR(VLOOKUP($G798,基本資料!$A:$J,7,0),"無")</f>
        <v>37</v>
      </c>
      <c r="F798" s="6">
        <f>IFERROR(VLOOKUP($G798,基本資料!$A:$J,8,0),"無")</f>
        <v>10.29</v>
      </c>
      <c r="G798" s="79">
        <v>6680</v>
      </c>
      <c r="H798" s="145" t="s">
        <v>1145</v>
      </c>
      <c r="I798" s="16" t="s">
        <v>4112</v>
      </c>
      <c r="J798" s="8" t="str">
        <f>IFERROR(VLOOKUP($G798,今日總結!$A:$AN,39,0),"")</f>
        <v/>
      </c>
      <c r="K798" s="5" t="str">
        <f>IFERROR(VLOOKUP($G798,今日總結!$A:$AN,40,0),"")</f>
        <v/>
      </c>
      <c r="L798" s="156" t="str">
        <f>IFERROR(VLOOKUP($G798,今日總結!$A:$AN,37,0),"")</f>
        <v/>
      </c>
      <c r="M798" s="337" t="str">
        <f>IFERROR(VLOOKUP($G798,今日總結!$A:$AN,38,0),"")</f>
        <v/>
      </c>
      <c r="N798" s="240" t="str">
        <f t="shared" si="148"/>
        <v/>
      </c>
      <c r="O798" s="359" t="str">
        <f>IFERROR(VLOOKUP($G798,融外自投!$A:$J,7,0),"無")</f>
        <v>無</v>
      </c>
      <c r="P798" s="79" t="str">
        <f>IFERROR(VLOOKUP($G798,融外自投!$A:$J,9,0),"無")</f>
        <v>無</v>
      </c>
      <c r="Q798" s="342" t="str">
        <f>IFERROR(VLOOKUP($G798,融外自投!$A:$J,8,0),"無")</f>
        <v>無</v>
      </c>
      <c r="R798" s="81" t="str">
        <f>IFERROR(VLOOKUP($G798,融外自投!$A:$J,10,0),"無")</f>
        <v>無</v>
      </c>
      <c r="S798" s="324" t="str">
        <f>IFERROR(VLOOKUP($G798,'321買'!$A:$E,4,0),"'沒有資料'")</f>
        <v>'沒有資料'</v>
      </c>
      <c r="T798" s="186">
        <f>IFERROR(VLOOKUP($G798,基本資料!$A:$J,9,0),"無")</f>
        <v>1.5</v>
      </c>
      <c r="U798" s="307">
        <f t="shared" si="147"/>
        <v>3.1380753138075312E-2</v>
      </c>
      <c r="V798" s="94">
        <f>IFERROR(VLOOKUP($G798,基本資料!$A:$J,10,0),"無")</f>
        <v>1.79</v>
      </c>
      <c r="W798" s="36">
        <f>RTD("money.excel",,"6680","Price")</f>
        <v>47.8</v>
      </c>
      <c r="X798" s="66"/>
      <c r="Y798" s="15">
        <f t="shared" si="149"/>
        <v>47.8</v>
      </c>
      <c r="Z798" s="3" t="e">
        <f t="shared" si="150"/>
        <v>#DIV/0!</v>
      </c>
      <c r="AA798" s="340">
        <f>IFERROR(VLOOKUP($G798,基本資料!$A:$M,11,0),"無")</f>
        <v>-18.98</v>
      </c>
      <c r="AB798" s="389">
        <f>IFERROR(VLOOKUP($G798,基本資料!$A:$M,12,0),"無")</f>
        <v>60.28</v>
      </c>
      <c r="AC798" s="16" t="s">
        <v>4112</v>
      </c>
      <c r="AF798" s="33">
        <f t="shared" si="151"/>
        <v>0</v>
      </c>
      <c r="AG798" s="43" t="s">
        <v>4113</v>
      </c>
      <c r="AH798" s="66">
        <f t="shared" si="152"/>
        <v>1</v>
      </c>
      <c r="AI798" s="283">
        <f>RTD("money.excel",,$G798,"PredictVolume")</f>
        <v>1</v>
      </c>
      <c r="AJ798" s="391">
        <f>IFERROR(VLOOKUP($G798,基本資料!$A:$M,13,0),"無")</f>
        <v>1</v>
      </c>
      <c r="AR798" s="245" t="str">
        <f>INDEX(基本資料!N:N,MATCH($G798,基本資料!A:A,0))</f>
        <v>低</v>
      </c>
    </row>
    <row r="799" spans="1:44">
      <c r="A799" s="343">
        <f>IFERROR(VLOOKUP($G799,基本資料!$A:$J,3,0),"無")</f>
        <v>17.7</v>
      </c>
      <c r="B799" s="79">
        <f>IFERROR(VLOOKUP($G799,基本資料!$A:$J,4,0),"無")</f>
        <v>265</v>
      </c>
      <c r="C799" s="79">
        <f>IFERROR(VLOOKUP($G799,基本資料!$A:$J,5,0),"無")</f>
        <v>493</v>
      </c>
      <c r="D799" s="79">
        <f>IFERROR(VLOOKUP($G799,基本資料!$A:$J,6,0),"無")</f>
        <v>-42</v>
      </c>
      <c r="E799" s="79">
        <f>IFERROR(VLOOKUP($G799,基本資料!$A:$J,7,0),"無")</f>
        <v>-44</v>
      </c>
      <c r="F799" s="6">
        <f>IFERROR(VLOOKUP($G799,基本資料!$A:$J,8,0),"無")</f>
        <v>2.74</v>
      </c>
      <c r="G799" s="79">
        <v>8050</v>
      </c>
      <c r="H799" s="145" t="s">
        <v>1145</v>
      </c>
      <c r="I799" s="16" t="s">
        <v>4114</v>
      </c>
      <c r="J799" s="8" t="str">
        <f>IFERROR(VLOOKUP($G799,今日總結!$A:$AN,39,0),"")</f>
        <v>主</v>
      </c>
      <c r="K799" s="5">
        <f>IFERROR(VLOOKUP($G799,今日總結!$A:$AN,40,0),"")</f>
        <v>0</v>
      </c>
      <c r="L799" s="156">
        <f>IFERROR(VLOOKUP($G799,今日總結!$A:$AN,37,0),"")</f>
        <v>1</v>
      </c>
      <c r="M799" s="337">
        <f>IFERROR(VLOOKUP($G799,今日總結!$A:$AN,38,0),"")</f>
        <v>0</v>
      </c>
      <c r="N799" s="240">
        <f t="shared" si="148"/>
        <v>1</v>
      </c>
      <c r="O799" s="359">
        <f>IFERROR(VLOOKUP($G799,融外自投!$A:$J,7,0),"無")</f>
        <v>745</v>
      </c>
      <c r="P799" s="79" t="str">
        <f>IFERROR(VLOOKUP($G799,融外自投!$A:$J,9,0),"無")</f>
        <v>無</v>
      </c>
      <c r="Q799" s="342">
        <f>IFERROR(VLOOKUP($G799,融外自投!$A:$J,8,0),"無")</f>
        <v>756</v>
      </c>
      <c r="R799" s="81" t="str">
        <f>IFERROR(VLOOKUP($G799,融外自投!$A:$J,10,0),"無")</f>
        <v>無</v>
      </c>
      <c r="S799" s="324">
        <f>IFERROR(VLOOKUP($G799,'321買'!$A:$E,4,0),"'沒有資料'")</f>
        <v>801</v>
      </c>
      <c r="T799" s="186">
        <f>IFERROR(VLOOKUP($G799,基本資料!$A:$J,9,0),"無")</f>
        <v>2.1800000000000002</v>
      </c>
      <c r="U799" s="307">
        <f t="shared" si="147"/>
        <v>4.6186440677966102E-2</v>
      </c>
      <c r="V799" s="94">
        <f>IFERROR(VLOOKUP($G799,基本資料!$A:$J,10,0),"無")</f>
        <v>2.69</v>
      </c>
      <c r="W799" s="36">
        <f>RTD("money.excel",,"8050","Price")</f>
        <v>47.2</v>
      </c>
      <c r="X799" s="66"/>
      <c r="Y799" s="15">
        <f t="shared" si="149"/>
        <v>47.2</v>
      </c>
      <c r="Z799" s="3" t="e">
        <f t="shared" si="150"/>
        <v>#DIV/0!</v>
      </c>
      <c r="AA799" s="340">
        <f>IFERROR(VLOOKUP($G799,基本資料!$A:$M,11,0),"無")</f>
        <v>-12.59</v>
      </c>
      <c r="AB799" s="389">
        <f>IFERROR(VLOOKUP($G799,基本資料!$A:$M,12,0),"無")</f>
        <v>61.67</v>
      </c>
      <c r="AC799" s="16" t="s">
        <v>4114</v>
      </c>
      <c r="AF799" s="33">
        <f t="shared" si="151"/>
        <v>0</v>
      </c>
      <c r="AG799" s="117" t="s">
        <v>2232</v>
      </c>
      <c r="AH799" s="66">
        <f t="shared" si="152"/>
        <v>0.28703094140882157</v>
      </c>
      <c r="AI799" s="283">
        <f>RTD("money.excel",,$G799,"PredictVolume")</f>
        <v>436</v>
      </c>
      <c r="AJ799" s="391">
        <f>IFERROR(VLOOKUP($G799,基本資料!$A:$M,13,0),"無")</f>
        <v>1519</v>
      </c>
      <c r="AR799" s="245" t="str">
        <f>INDEX(基本資料!N:N,MATCH($G799,基本資料!A:A,0))</f>
        <v>中</v>
      </c>
    </row>
    <row r="800" spans="1:44">
      <c r="A800" s="343">
        <f>IFERROR(VLOOKUP($G800,基本資料!$A:$J,3,0),"無")</f>
        <v>27.75</v>
      </c>
      <c r="B800" s="79">
        <f>IFERROR(VLOOKUP($G800,基本資料!$A:$J,4,0),"無")</f>
        <v>267</v>
      </c>
      <c r="C800" s="79">
        <f>IFERROR(VLOOKUP($G800,基本資料!$A:$J,5,0),"無")</f>
        <v>447</v>
      </c>
      <c r="D800" s="79">
        <f>IFERROR(VLOOKUP($G800,基本資料!$A:$J,6,0),"無")</f>
        <v>17</v>
      </c>
      <c r="E800" s="79">
        <f>IFERROR(VLOOKUP($G800,基本資料!$A:$J,7,0),"無")</f>
        <v>19</v>
      </c>
      <c r="F800" s="6">
        <f>IFERROR(VLOOKUP($G800,基本資料!$A:$J,8,0),"無")</f>
        <v>5.38</v>
      </c>
      <c r="G800" s="79">
        <v>8076</v>
      </c>
      <c r="H800" s="145" t="s">
        <v>1145</v>
      </c>
      <c r="I800" s="16" t="s">
        <v>4115</v>
      </c>
      <c r="J800" s="8">
        <f>IFERROR(VLOOKUP($G800,今日總結!$A:$AN,39,0),"")</f>
        <v>0</v>
      </c>
      <c r="K800" s="5">
        <f>IFERROR(VLOOKUP($G800,今日總結!$A:$AN,40,0),"")</f>
        <v>0</v>
      </c>
      <c r="L800" s="156">
        <f>IFERROR(VLOOKUP($G800,今日總結!$A:$AN,37,0),"")</f>
        <v>0</v>
      </c>
      <c r="M800" s="337">
        <f>IFERROR(VLOOKUP($G800,今日總結!$A:$AN,38,0),"")</f>
        <v>0</v>
      </c>
      <c r="N800" s="240">
        <f t="shared" si="148"/>
        <v>0</v>
      </c>
      <c r="O800" s="359">
        <f>IFERROR(VLOOKUP($G800,融外自投!$A:$J,7,0),"無")</f>
        <v>476</v>
      </c>
      <c r="P800" s="79">
        <f>IFERROR(VLOOKUP($G800,融外自投!$A:$J,9,0),"無")</f>
        <v>286</v>
      </c>
      <c r="Q800" s="342">
        <f>IFERROR(VLOOKUP($G800,融外自投!$A:$J,8,0),"無")</f>
        <v>889</v>
      </c>
      <c r="R800" s="81" t="str">
        <f>IFERROR(VLOOKUP($G800,融外自投!$A:$J,10,0),"無")</f>
        <v>無</v>
      </c>
      <c r="S800" s="324">
        <f>IFERROR(VLOOKUP($G800,'321買'!$A:$E,4,0),"'沒有資料'")</f>
        <v>801</v>
      </c>
      <c r="T800" s="186">
        <f>IFERROR(VLOOKUP($G800,基本資料!$A:$J,9,0),"無")</f>
        <v>1</v>
      </c>
      <c r="U800" s="307">
        <f t="shared" si="147"/>
        <v>3.6101083032490974E-2</v>
      </c>
      <c r="V800" s="94">
        <f>IFERROR(VLOOKUP($G800,基本資料!$A:$J,10,0),"無")</f>
        <v>0.55000000000000004</v>
      </c>
      <c r="W800" s="36">
        <f>RTD("money.excel",,"8076","Price")</f>
        <v>27.7</v>
      </c>
      <c r="X800" s="66"/>
      <c r="Y800" s="15">
        <f t="shared" si="149"/>
        <v>27.7</v>
      </c>
      <c r="Z800" s="3" t="e">
        <f t="shared" si="150"/>
        <v>#DIV/0!</v>
      </c>
      <c r="AA800" s="340">
        <f>IFERROR(VLOOKUP($G800,基本資料!$A:$M,11,0),"無")</f>
        <v>-33.25</v>
      </c>
      <c r="AB800" s="389">
        <f>IFERROR(VLOOKUP($G800,基本資料!$A:$M,12,0),"無")</f>
        <v>23.79</v>
      </c>
      <c r="AC800" s="16" t="s">
        <v>4115</v>
      </c>
      <c r="AF800" s="33">
        <f t="shared" si="151"/>
        <v>0</v>
      </c>
      <c r="AG800" s="117" t="s">
        <v>4116</v>
      </c>
      <c r="AH800" s="66">
        <f t="shared" si="152"/>
        <v>1.6027207992347752</v>
      </c>
      <c r="AI800" s="283">
        <f>RTD("money.excel",,$G800,"PredictVolume")</f>
        <v>754</v>
      </c>
      <c r="AJ800" s="391">
        <f>IFERROR(VLOOKUP($G800,基本資料!$A:$M,13,0),"無")</f>
        <v>470.45</v>
      </c>
      <c r="AR800" s="245" t="str">
        <f>INDEX(基本資料!N:N,MATCH($G800,基本資料!A:A,0))</f>
        <v>低</v>
      </c>
    </row>
    <row r="801" spans="1:44">
      <c r="A801" s="343">
        <f>IFERROR(VLOOKUP($G801,基本資料!$A:$J,3,0),"無")</f>
        <v>7.51</v>
      </c>
      <c r="B801" s="79">
        <f>IFERROR(VLOOKUP($G801,基本資料!$A:$J,4,0),"無")</f>
        <v>438</v>
      </c>
      <c r="C801" s="79">
        <f>IFERROR(VLOOKUP($G801,基本資料!$A:$J,5,0),"無")</f>
        <v>126</v>
      </c>
      <c r="D801" s="79">
        <f>IFERROR(VLOOKUP($G801,基本資料!$A:$J,6,0),"無")</f>
        <v>-21</v>
      </c>
      <c r="E801" s="79">
        <f>IFERROR(VLOOKUP($G801,基本資料!$A:$J,7,0),"無")</f>
        <v>32</v>
      </c>
      <c r="F801" s="6">
        <f>IFERROR(VLOOKUP($G801,基本資料!$A:$J,8,0),"無")</f>
        <v>11.47</v>
      </c>
      <c r="G801" s="79">
        <v>8114</v>
      </c>
      <c r="H801" s="46" t="s">
        <v>1145</v>
      </c>
      <c r="I801" s="22" t="s">
        <v>4117</v>
      </c>
      <c r="J801" s="8" t="str">
        <f>IFERROR(VLOOKUP($G801,今日總結!$A:$AN,39,0),"")</f>
        <v>投</v>
      </c>
      <c r="K801" s="5">
        <f>IFERROR(VLOOKUP($G801,今日總結!$A:$AN,40,0),"")</f>
        <v>0</v>
      </c>
      <c r="L801" s="156">
        <f>IFERROR(VLOOKUP($G801,今日總結!$A:$AN,37,0),"")</f>
        <v>1</v>
      </c>
      <c r="M801" s="337">
        <f>IFERROR(VLOOKUP($G801,今日總結!$A:$AN,38,0),"")</f>
        <v>0</v>
      </c>
      <c r="N801" s="240">
        <f t="shared" si="148"/>
        <v>1</v>
      </c>
      <c r="O801" s="359">
        <f>IFERROR(VLOOKUP($G801,融外自投!$A:$J,7,0),"無")</f>
        <v>927</v>
      </c>
      <c r="P801" s="79">
        <f>IFERROR(VLOOKUP($G801,融外自投!$A:$J,9,0),"無")</f>
        <v>762</v>
      </c>
      <c r="Q801" s="342">
        <f>IFERROR(VLOOKUP($G801,融外自投!$A:$J,8,0),"無")</f>
        <v>467</v>
      </c>
      <c r="R801" s="81">
        <f>IFERROR(VLOOKUP($G801,融外自投!$A:$J,10,0),"無")</f>
        <v>93</v>
      </c>
      <c r="S801" s="324">
        <f>IFERROR(VLOOKUP($G801,'321買'!$A:$E,4,0),"'沒有資料'")</f>
        <v>440</v>
      </c>
      <c r="T801" s="186">
        <f>IFERROR(VLOOKUP($G801,基本資料!$A:$J,9,0),"無")</f>
        <v>4.5</v>
      </c>
      <c r="U801" s="307">
        <f t="shared" si="147"/>
        <v>3.896103896103896E-2</v>
      </c>
      <c r="V801" s="94">
        <f>IFERROR(VLOOKUP($G801,基本資料!$A:$J,10,0),"無")</f>
        <v>6.21</v>
      </c>
      <c r="W801" s="36">
        <f>RTD("money.excel",,"8114","Price")</f>
        <v>115.5</v>
      </c>
      <c r="X801" s="66"/>
      <c r="Y801" s="15">
        <f t="shared" si="149"/>
        <v>115.5</v>
      </c>
      <c r="Z801" s="3" t="e">
        <f t="shared" si="150"/>
        <v>#DIV/0!</v>
      </c>
      <c r="AA801" s="340">
        <f>IFERROR(VLOOKUP($G801,基本資料!$A:$M,11,0),"無")</f>
        <v>-15.38</v>
      </c>
      <c r="AB801" s="389">
        <f>IFERROR(VLOOKUP($G801,基本資料!$A:$M,12,0),"無")</f>
        <v>64.040000000000006</v>
      </c>
      <c r="AC801" s="22" t="s">
        <v>4117</v>
      </c>
      <c r="AF801" s="33">
        <f t="shared" si="151"/>
        <v>0</v>
      </c>
      <c r="AG801" s="43" t="s">
        <v>4094</v>
      </c>
      <c r="AH801" s="66">
        <f t="shared" si="152"/>
        <v>1.3492161461547956</v>
      </c>
      <c r="AI801" s="283">
        <f>RTD("money.excel",,$G801,"PredictVolume")</f>
        <v>1093</v>
      </c>
      <c r="AJ801" s="391">
        <f>IFERROR(VLOOKUP($G801,基本資料!$A:$M,13,0),"無")</f>
        <v>810.1</v>
      </c>
      <c r="AR801" s="245" t="str">
        <f>INDEX(基本資料!N:N,MATCH($G801,基本資料!A:A,0))</f>
        <v>中</v>
      </c>
    </row>
    <row r="802" spans="1:44">
      <c r="A802" s="343">
        <f>IFERROR(VLOOKUP($G802,基本資料!$A:$J,3,0),"無")</f>
        <v>28</v>
      </c>
      <c r="B802" s="79">
        <f>IFERROR(VLOOKUP($G802,基本資料!$A:$J,4,0),"無")</f>
        <v>36</v>
      </c>
      <c r="C802" s="79">
        <f>IFERROR(VLOOKUP($G802,基本資料!$A:$J,5,0),"無")</f>
        <v>31</v>
      </c>
      <c r="D802" s="79">
        <f>IFERROR(VLOOKUP($G802,基本資料!$A:$J,6,0),"無")</f>
        <v>-9</v>
      </c>
      <c r="E802" s="79">
        <f>IFERROR(VLOOKUP($G802,基本資料!$A:$J,7,0),"無")</f>
        <v>-1</v>
      </c>
      <c r="F802" s="6">
        <f>IFERROR(VLOOKUP($G802,基本資料!$A:$J,8,0),"無")</f>
        <v>5.31</v>
      </c>
      <c r="G802" s="79">
        <v>8163</v>
      </c>
      <c r="H802" s="46" t="s">
        <v>1145</v>
      </c>
      <c r="I802" s="22" t="s">
        <v>4118</v>
      </c>
      <c r="J802" s="8">
        <f>IFERROR(VLOOKUP($G802,今日總結!$A:$AN,39,0),"")</f>
        <v>0</v>
      </c>
      <c r="K802" s="5">
        <f>IFERROR(VLOOKUP($G802,今日總結!$A:$AN,40,0),"")</f>
        <v>0</v>
      </c>
      <c r="L802" s="156">
        <f>IFERROR(VLOOKUP($G802,今日總結!$A:$AN,37,0),"")</f>
        <v>0</v>
      </c>
      <c r="M802" s="337">
        <f>IFERROR(VLOOKUP($G802,今日總結!$A:$AN,38,0),"")</f>
        <v>0</v>
      </c>
      <c r="N802" s="240">
        <f t="shared" si="148"/>
        <v>0</v>
      </c>
      <c r="O802" s="359">
        <f>IFERROR(VLOOKUP($G802,融外自投!$A:$J,7,0),"無")</f>
        <v>699</v>
      </c>
      <c r="P802" s="79">
        <f>IFERROR(VLOOKUP($G802,融外自投!$A:$J,9,0),"無")</f>
        <v>350</v>
      </c>
      <c r="Q802" s="342">
        <f>IFERROR(VLOOKUP($G802,融外自投!$A:$J,8,0),"無")</f>
        <v>423</v>
      </c>
      <c r="R802" s="81">
        <f>IFERROR(VLOOKUP($G802,融外自投!$A:$J,10,0),"無")</f>
        <v>403</v>
      </c>
      <c r="S802" s="324">
        <f>IFERROR(VLOOKUP($G802,'321買'!$A:$E,4,0),"'沒有資料'")</f>
        <v>366</v>
      </c>
      <c r="T802" s="186">
        <f>IFERROR(VLOOKUP($G802,基本資料!$A:$J,9,0),"無")</f>
        <v>3</v>
      </c>
      <c r="U802" s="307">
        <f t="shared" si="147"/>
        <v>7.0921985815602842E-2</v>
      </c>
      <c r="V802" s="94">
        <f>IFERROR(VLOOKUP($G802,基本資料!$A:$J,10,0),"無")</f>
        <v>4.09</v>
      </c>
      <c r="W802" s="36">
        <f>RTD("money.excel",,"8163","Price")</f>
        <v>42.3</v>
      </c>
      <c r="X802" s="66"/>
      <c r="Y802" s="15">
        <f t="shared" si="149"/>
        <v>42.3</v>
      </c>
      <c r="Z802" s="3" t="e">
        <f t="shared" si="150"/>
        <v>#DIV/0!</v>
      </c>
      <c r="AA802" s="340">
        <f>IFERROR(VLOOKUP($G802,基本資料!$A:$M,11,0),"無")</f>
        <v>-18.18</v>
      </c>
      <c r="AB802" s="389">
        <f>IFERROR(VLOOKUP($G802,基本資料!$A:$M,12,0),"無")</f>
        <v>26.74</v>
      </c>
      <c r="AC802" s="22" t="s">
        <v>4118</v>
      </c>
      <c r="AF802" s="33">
        <f t="shared" si="151"/>
        <v>0</v>
      </c>
      <c r="AG802" s="117" t="s">
        <v>4119</v>
      </c>
      <c r="AH802" s="66">
        <f t="shared" si="152"/>
        <v>0.46082436977125546</v>
      </c>
      <c r="AI802" s="283">
        <f>RTD("money.excel",,$G802,"PredictVolume")</f>
        <v>829</v>
      </c>
      <c r="AJ802" s="391">
        <f>IFERROR(VLOOKUP($G802,基本資料!$A:$M,13,0),"無")</f>
        <v>1798.95</v>
      </c>
      <c r="AR802" s="245" t="str">
        <f>INDEX(基本資料!N:N,MATCH($G802,基本資料!A:A,0))</f>
        <v>低</v>
      </c>
    </row>
    <row r="803" spans="1:44">
      <c r="A803" s="343">
        <f>IFERROR(VLOOKUP($G803,基本資料!$A:$J,3,0),"無")</f>
        <v>12.07</v>
      </c>
      <c r="B803" s="79">
        <f>IFERROR(VLOOKUP($G803,基本資料!$A:$J,4,0),"無")</f>
        <v>-30</v>
      </c>
      <c r="C803" s="79">
        <f>IFERROR(VLOOKUP($G803,基本資料!$A:$J,5,0),"無")</f>
        <v>-8</v>
      </c>
      <c r="D803" s="79">
        <f>IFERROR(VLOOKUP($G803,基本資料!$A:$J,6,0),"無")</f>
        <v>-36</v>
      </c>
      <c r="E803" s="79">
        <f>IFERROR(VLOOKUP($G803,基本資料!$A:$J,7,0),"無")</f>
        <v>-31</v>
      </c>
      <c r="F803" s="6">
        <f>IFERROR(VLOOKUP($G803,基本資料!$A:$J,8,0),"無")</f>
        <v>9.36</v>
      </c>
      <c r="G803" s="79">
        <v>8210</v>
      </c>
      <c r="H803" s="192" t="s">
        <v>1145</v>
      </c>
      <c r="I803" s="22" t="s">
        <v>4120</v>
      </c>
      <c r="J803" s="8">
        <f>IFERROR(VLOOKUP($G803,今日總結!$A:$AN,39,0),"")</f>
        <v>0</v>
      </c>
      <c r="K803" s="5" t="str">
        <f>IFERROR(VLOOKUP($G803,今日總結!$A:$AN,40,0),"")</f>
        <v>融</v>
      </c>
      <c r="L803" s="156">
        <f>IFERROR(VLOOKUP($G803,今日總結!$A:$AN,37,0),"")</f>
        <v>0</v>
      </c>
      <c r="M803" s="337">
        <f>IFERROR(VLOOKUP($G803,今日總結!$A:$AN,38,0),"")</f>
        <v>2</v>
      </c>
      <c r="N803" s="240">
        <f t="shared" si="148"/>
        <v>-2</v>
      </c>
      <c r="O803" s="359">
        <f>IFERROR(VLOOKUP($G803,融外自投!$A:$J,7,0),"無")</f>
        <v>915</v>
      </c>
      <c r="P803" s="79">
        <f>IFERROR(VLOOKUP($G803,融外自投!$A:$J,9,0),"無")</f>
        <v>426</v>
      </c>
      <c r="Q803" s="342">
        <f>IFERROR(VLOOKUP($G803,融外自投!$A:$J,8,0),"無")</f>
        <v>634</v>
      </c>
      <c r="R803" s="81">
        <f>IFERROR(VLOOKUP($G803,融外自投!$A:$J,10,0),"無")</f>
        <v>413</v>
      </c>
      <c r="S803" s="324">
        <f>IFERROR(VLOOKUP($G803,'321買'!$A:$E,4,0),"'沒有資料'")</f>
        <v>891</v>
      </c>
      <c r="T803" s="186">
        <f>IFERROR(VLOOKUP($G803,基本資料!$A:$J,9,0),"無")</f>
        <v>3</v>
      </c>
      <c r="U803" s="307">
        <f t="shared" si="147"/>
        <v>4.6082949308755762E-2</v>
      </c>
      <c r="V803" s="94">
        <f>IFERROR(VLOOKUP($G803,基本資料!$A:$J,10,0),"無")</f>
        <v>5.62</v>
      </c>
      <c r="W803" s="36">
        <f>RTD("money.excel",,"8210","Price")</f>
        <v>65.099999999999994</v>
      </c>
      <c r="X803" s="66"/>
      <c r="Y803" s="15">
        <f t="shared" si="149"/>
        <v>65.099999999999994</v>
      </c>
      <c r="Z803" s="3" t="e">
        <f t="shared" si="150"/>
        <v>#DIV/0!</v>
      </c>
      <c r="AA803" s="340">
        <f>IFERROR(VLOOKUP($G803,基本資料!$A:$M,11,0),"無")</f>
        <v>-30.3</v>
      </c>
      <c r="AB803" s="389">
        <f>IFERROR(VLOOKUP($G803,基本資料!$A:$M,12,0),"無")</f>
        <v>14.22</v>
      </c>
      <c r="AC803" s="22" t="s">
        <v>4120</v>
      </c>
      <c r="AF803" s="33">
        <f t="shared" si="151"/>
        <v>0</v>
      </c>
      <c r="AG803" s="43" t="s">
        <v>2216</v>
      </c>
      <c r="AH803" s="66">
        <f t="shared" si="152"/>
        <v>1.262016268178457</v>
      </c>
      <c r="AI803" s="283">
        <f>RTD("money.excel",,$G803,"PredictVolume")</f>
        <v>256</v>
      </c>
      <c r="AJ803" s="391">
        <f>IFERROR(VLOOKUP($G803,基本資料!$A:$M,13,0),"無")</f>
        <v>202.85</v>
      </c>
      <c r="AR803" s="245" t="str">
        <f>INDEX(基本資料!N:N,MATCH($G803,基本資料!A:A,0))</f>
        <v>低</v>
      </c>
    </row>
    <row r="804" spans="1:44">
      <c r="A804" s="343">
        <f>IFERROR(VLOOKUP($G804,基本資料!$A:$J,3,0),"無")</f>
        <v>14.12</v>
      </c>
      <c r="B804" s="79">
        <f>IFERROR(VLOOKUP($G804,基本資料!$A:$J,4,0),"無")</f>
        <v>-3</v>
      </c>
      <c r="C804" s="79">
        <f>IFERROR(VLOOKUP($G804,基本資料!$A:$J,5,0),"無")</f>
        <v>-15</v>
      </c>
      <c r="D804" s="79">
        <f>IFERROR(VLOOKUP($G804,基本資料!$A:$J,6,0),"無")</f>
        <v>-10</v>
      </c>
      <c r="E804" s="79">
        <f>IFERROR(VLOOKUP($G804,基本資料!$A:$J,7,0),"無")</f>
        <v>49</v>
      </c>
      <c r="F804" s="6">
        <f>IFERROR(VLOOKUP($G804,基本資料!$A:$J,8,0),"無")</f>
        <v>2.6</v>
      </c>
      <c r="G804" s="79">
        <v>8234</v>
      </c>
      <c r="H804" s="145" t="s">
        <v>1145</v>
      </c>
      <c r="I804" s="16" t="s">
        <v>4121</v>
      </c>
      <c r="J804" s="8">
        <f>IFERROR(VLOOKUP($G804,今日總結!$A:$AN,39,0),"")</f>
        <v>0</v>
      </c>
      <c r="K804" s="5" t="str">
        <f>IFERROR(VLOOKUP($G804,今日總結!$A:$AN,40,0),"")</f>
        <v>外</v>
      </c>
      <c r="L804" s="156">
        <f>IFERROR(VLOOKUP($G804,今日總結!$A:$AN,37,0),"")</f>
        <v>0</v>
      </c>
      <c r="M804" s="337">
        <f>IFERROR(VLOOKUP($G804,今日總結!$A:$AN,38,0),"")</f>
        <v>2</v>
      </c>
      <c r="N804" s="240">
        <f t="shared" si="148"/>
        <v>-2</v>
      </c>
      <c r="O804" s="359">
        <f>IFERROR(VLOOKUP($G804,融外自投!$A:$J,7,0),"無")</f>
        <v>1014</v>
      </c>
      <c r="P804" s="79">
        <f>IFERROR(VLOOKUP($G804,融外自投!$A:$J,9,0),"無")</f>
        <v>596</v>
      </c>
      <c r="Q804" s="342">
        <f>IFERROR(VLOOKUP($G804,融外自投!$A:$J,8,0),"無")</f>
        <v>950</v>
      </c>
      <c r="R804" s="81" t="str">
        <f>IFERROR(VLOOKUP($G804,融外自投!$A:$J,10,0),"無")</f>
        <v>無</v>
      </c>
      <c r="S804" s="324">
        <f>IFERROR(VLOOKUP($G804,'321買'!$A:$E,4,0),"'沒有資料'")</f>
        <v>1002</v>
      </c>
      <c r="T804" s="186">
        <f>IFERROR(VLOOKUP($G804,基本資料!$A:$J,9,0),"無")</f>
        <v>1</v>
      </c>
      <c r="U804" s="307">
        <f t="shared" si="147"/>
        <v>4.2194092827004218E-2</v>
      </c>
      <c r="V804" s="94">
        <f>IFERROR(VLOOKUP($G804,基本資料!$A:$J,10,0),"無")</f>
        <v>1</v>
      </c>
      <c r="W804" s="36">
        <f>RTD("money.excel",,"8234","Price")</f>
        <v>23.7</v>
      </c>
      <c r="X804" s="66"/>
      <c r="Y804" s="15">
        <f t="shared" si="149"/>
        <v>23.7</v>
      </c>
      <c r="Z804" s="3" t="e">
        <f t="shared" si="150"/>
        <v>#DIV/0!</v>
      </c>
      <c r="AA804" s="340">
        <f>IFERROR(VLOOKUP($G804,基本資料!$A:$M,11,0),"無")</f>
        <v>-18.13</v>
      </c>
      <c r="AB804" s="389">
        <f>IFERROR(VLOOKUP($G804,基本資料!$A:$M,12,0),"無")</f>
        <v>60.49</v>
      </c>
      <c r="AC804" s="16" t="s">
        <v>4121</v>
      </c>
      <c r="AF804" s="33">
        <f t="shared" si="151"/>
        <v>0</v>
      </c>
      <c r="AG804" s="117" t="s">
        <v>2232</v>
      </c>
      <c r="AH804" s="66">
        <f t="shared" si="152"/>
        <v>0.77519379844961245</v>
      </c>
      <c r="AI804" s="283">
        <f>RTD("money.excel",,$G804,"PredictVolume")</f>
        <v>50</v>
      </c>
      <c r="AJ804" s="391">
        <f>IFERROR(VLOOKUP($G804,基本資料!$A:$M,13,0),"無")</f>
        <v>64.5</v>
      </c>
      <c r="AR804" s="245" t="str">
        <f>INDEX(基本資料!N:N,MATCH($G804,基本資料!A:A,0))</f>
        <v>低</v>
      </c>
    </row>
    <row r="805" spans="1:44">
      <c r="A805" s="343">
        <f>IFERROR(VLOOKUP($G805,基本資料!$A:$J,3,0),"無")</f>
        <v>3.65</v>
      </c>
      <c r="B805" s="79">
        <f>IFERROR(VLOOKUP($G805,基本資料!$A:$J,4,0),"無")</f>
        <v>-74</v>
      </c>
      <c r="C805" s="79">
        <f>IFERROR(VLOOKUP($G805,基本資料!$A:$J,5,0),"無")</f>
        <v>-75</v>
      </c>
      <c r="D805" s="79">
        <f>IFERROR(VLOOKUP($G805,基本資料!$A:$J,6,0),"無")</f>
        <v>-24</v>
      </c>
      <c r="E805" s="79">
        <f>IFERROR(VLOOKUP($G805,基本資料!$A:$J,7,0),"無")</f>
        <v>-19</v>
      </c>
      <c r="F805" s="6">
        <f>IFERROR(VLOOKUP($G805,基本資料!$A:$J,8,0),"無")</f>
        <v>5.46</v>
      </c>
      <c r="G805" s="79">
        <v>8410</v>
      </c>
      <c r="H805" s="145" t="s">
        <v>1145</v>
      </c>
      <c r="I805" s="16" t="s">
        <v>4122</v>
      </c>
      <c r="J805" s="8">
        <f>IFERROR(VLOOKUP($G805,今日總結!$A:$AN,39,0),"")</f>
        <v>0</v>
      </c>
      <c r="K805" s="5">
        <f>IFERROR(VLOOKUP($G805,今日總結!$A:$AN,40,0),"")</f>
        <v>0</v>
      </c>
      <c r="L805" s="156">
        <f>IFERROR(VLOOKUP($G805,今日總結!$A:$AN,37,0),"")</f>
        <v>0</v>
      </c>
      <c r="M805" s="337">
        <f>IFERROR(VLOOKUP($G805,今日總結!$A:$AN,38,0),"")</f>
        <v>0</v>
      </c>
      <c r="N805" s="240">
        <f t="shared" si="148"/>
        <v>0</v>
      </c>
      <c r="O805" s="359">
        <f>IFERROR(VLOOKUP($G805,融外自投!$A:$J,7,0),"無")</f>
        <v>995</v>
      </c>
      <c r="P805" s="79" t="str">
        <f>IFERROR(VLOOKUP($G805,融外自投!$A:$J,9,0),"無")</f>
        <v>無</v>
      </c>
      <c r="Q805" s="342">
        <f>IFERROR(VLOOKUP($G805,融外自投!$A:$J,8,0),"無")</f>
        <v>1280</v>
      </c>
      <c r="R805" s="81" t="str">
        <f>IFERROR(VLOOKUP($G805,融外自投!$A:$J,10,0),"無")</f>
        <v>無</v>
      </c>
      <c r="S805" s="324">
        <f>IFERROR(VLOOKUP($G805,'321買'!$A:$E,4,0),"'沒有資料'")</f>
        <v>1002</v>
      </c>
      <c r="T805" s="186">
        <f>IFERROR(VLOOKUP($G805,基本資料!$A:$J,9,0),"無")</f>
        <v>0.6</v>
      </c>
      <c r="U805" s="307">
        <f t="shared" si="147"/>
        <v>2.072538860103627E-2</v>
      </c>
      <c r="V805" s="94">
        <f>IFERROR(VLOOKUP($G805,基本資料!$A:$J,10,0),"無")</f>
        <v>1.1399999999999999</v>
      </c>
      <c r="W805" s="36">
        <f>RTD("money.excel",,"8410","Price")</f>
        <v>28.95</v>
      </c>
      <c r="X805" s="66"/>
      <c r="Y805" s="15">
        <f t="shared" si="149"/>
        <v>28.95</v>
      </c>
      <c r="Z805" s="3" t="e">
        <f t="shared" si="150"/>
        <v>#DIV/0!</v>
      </c>
      <c r="AA805" s="340">
        <f>IFERROR(VLOOKUP($G805,基本資料!$A:$M,11,0),"無")</f>
        <v>-34.35</v>
      </c>
      <c r="AB805" s="389">
        <f>IFERROR(VLOOKUP($G805,基本資料!$A:$M,12,0),"無")</f>
        <v>11.27</v>
      </c>
      <c r="AC805" s="16" t="s">
        <v>4122</v>
      </c>
      <c r="AF805" s="33">
        <f t="shared" si="151"/>
        <v>0</v>
      </c>
      <c r="AG805" s="43" t="s">
        <v>4123</v>
      </c>
      <c r="AH805" s="66">
        <f t="shared" si="152"/>
        <v>0.63604240282685509</v>
      </c>
      <c r="AI805" s="283">
        <f>RTD("money.excel",,$G805,"PredictVolume")</f>
        <v>9</v>
      </c>
      <c r="AJ805" s="391">
        <f>IFERROR(VLOOKUP($G805,基本資料!$A:$M,13,0),"無")</f>
        <v>14.15</v>
      </c>
      <c r="AR805" s="245" t="str">
        <f>INDEX(基本資料!N:N,MATCH($G805,基本資料!A:A,0))</f>
        <v>低</v>
      </c>
    </row>
    <row r="806" spans="1:44">
      <c r="A806" s="343">
        <f>IFERROR(VLOOKUP($G806,基本資料!$A:$J,3,0),"無")</f>
        <v>5.45</v>
      </c>
      <c r="B806" s="79">
        <f>IFERROR(VLOOKUP($G806,基本資料!$A:$J,4,0),"無")</f>
        <v>147</v>
      </c>
      <c r="C806" s="79">
        <f>IFERROR(VLOOKUP($G806,基本資料!$A:$J,5,0),"無")</f>
        <v>194</v>
      </c>
      <c r="D806" s="79">
        <f>IFERROR(VLOOKUP($G806,基本資料!$A:$J,6,0),"無")</f>
        <v>-13</v>
      </c>
      <c r="E806" s="79">
        <f>IFERROR(VLOOKUP($G806,基本資料!$A:$J,7,0),"無")</f>
        <v>-12</v>
      </c>
      <c r="F806" s="6">
        <f>IFERROR(VLOOKUP($G806,基本資料!$A:$J,8,0),"無")</f>
        <v>2.2000000000000002</v>
      </c>
      <c r="G806" s="79">
        <v>9912</v>
      </c>
      <c r="H806" s="192" t="s">
        <v>1145</v>
      </c>
      <c r="I806" s="22" t="s">
        <v>4124</v>
      </c>
      <c r="J806" s="8" t="str">
        <f>IFERROR(VLOOKUP($G806,今日總結!$A:$AN,39,0),"")</f>
        <v/>
      </c>
      <c r="K806" s="5" t="str">
        <f>IFERROR(VLOOKUP($G806,今日總結!$A:$AN,40,0),"")</f>
        <v/>
      </c>
      <c r="L806" s="156" t="str">
        <f>IFERROR(VLOOKUP($G806,今日總結!$A:$AN,37,0),"")</f>
        <v/>
      </c>
      <c r="M806" s="337" t="str">
        <f>IFERROR(VLOOKUP($G806,今日總結!$A:$AN,38,0),"")</f>
        <v/>
      </c>
      <c r="N806" s="240" t="str">
        <f t="shared" si="148"/>
        <v/>
      </c>
      <c r="O806" s="359" t="str">
        <f>IFERROR(VLOOKUP($G806,融外自投!$A:$J,7,0),"無")</f>
        <v>無</v>
      </c>
      <c r="P806" s="79" t="str">
        <f>IFERROR(VLOOKUP($G806,融外自投!$A:$J,9,0),"無")</f>
        <v>無</v>
      </c>
      <c r="Q806" s="342" t="str">
        <f>IFERROR(VLOOKUP($G806,融外自投!$A:$J,8,0),"無")</f>
        <v>無</v>
      </c>
      <c r="R806" s="81" t="str">
        <f>IFERROR(VLOOKUP($G806,融外自投!$A:$J,10,0),"無")</f>
        <v>無</v>
      </c>
      <c r="S806" s="324" t="str">
        <f>IFERROR(VLOOKUP($G806,'321買'!$A:$E,4,0),"'沒有資料'")</f>
        <v>'沒有資料'</v>
      </c>
      <c r="T806" s="186">
        <f>IFERROR(VLOOKUP($G806,基本資料!$A:$J,9,0),"無")</f>
        <v>0</v>
      </c>
      <c r="U806" s="307">
        <f t="shared" si="147"/>
        <v>0</v>
      </c>
      <c r="V806" s="94">
        <f>IFERROR(VLOOKUP($G806,基本資料!$A:$J,10,0),"無")</f>
        <v>0.37</v>
      </c>
      <c r="W806" s="36">
        <f>RTD("money.excel",,"9912","Price")</f>
        <v>9.07</v>
      </c>
      <c r="X806" s="66"/>
      <c r="Y806" s="15">
        <f t="shared" si="149"/>
        <v>9.07</v>
      </c>
      <c r="Z806" s="3" t="e">
        <f t="shared" si="150"/>
        <v>#DIV/0!</v>
      </c>
      <c r="AA806" s="340">
        <f>IFERROR(VLOOKUP($G806,基本資料!$A:$M,11,0),"無")</f>
        <v>-14.84</v>
      </c>
      <c r="AB806" s="389">
        <f>IFERROR(VLOOKUP($G806,基本資料!$A:$M,12,0),"無")</f>
        <v>32.6</v>
      </c>
      <c r="AC806" s="22" t="s">
        <v>4124</v>
      </c>
      <c r="AF806" s="33">
        <f t="shared" si="151"/>
        <v>0</v>
      </c>
      <c r="AG806" s="43" t="s">
        <v>4125</v>
      </c>
      <c r="AH806" s="66">
        <f t="shared" si="152"/>
        <v>0.47186932849364788</v>
      </c>
      <c r="AI806" s="283">
        <f>RTD("money.excel",,$G806,"PredictVolume")</f>
        <v>13</v>
      </c>
      <c r="AJ806" s="391">
        <f>IFERROR(VLOOKUP($G806,基本資料!$A:$M,13,0),"無")</f>
        <v>27.55</v>
      </c>
      <c r="AR806" s="245" t="str">
        <f>INDEX(基本資料!N:N,MATCH($G806,基本資料!A:A,0))</f>
        <v>低</v>
      </c>
    </row>
    <row r="807" spans="1:44">
      <c r="A807" s="142"/>
      <c r="B807" s="90"/>
      <c r="C807" s="90"/>
      <c r="D807" s="90"/>
      <c r="E807" s="90"/>
      <c r="F807" s="6"/>
      <c r="G807" s="79"/>
      <c r="H807" s="192"/>
      <c r="I807" s="22"/>
      <c r="L807" s="2"/>
      <c r="R807" s="81"/>
      <c r="S807" s="324"/>
      <c r="T807" s="34"/>
      <c r="U807" s="307"/>
      <c r="V807" s="94"/>
      <c r="W807" s="36"/>
      <c r="X807" s="66"/>
      <c r="Y807" s="15"/>
      <c r="Z807" s="3"/>
      <c r="AC807" s="22"/>
      <c r="AF807" s="33"/>
      <c r="AG807" s="43"/>
      <c r="AH807" s="66" t="e">
        <f t="shared" si="152"/>
        <v>#DIV/0!</v>
      </c>
      <c r="AI807" s="283"/>
    </row>
    <row r="808" spans="1:44">
      <c r="A808" s="127" t="s">
        <v>3875</v>
      </c>
      <c r="B808" s="90" t="s">
        <v>3876</v>
      </c>
      <c r="C808" s="90" t="s">
        <v>3877</v>
      </c>
      <c r="D808" s="90" t="s">
        <v>3878</v>
      </c>
      <c r="E808" s="90" t="s">
        <v>3879</v>
      </c>
      <c r="F808" s="8" t="s">
        <v>3880</v>
      </c>
      <c r="G808" s="27" t="s">
        <v>428</v>
      </c>
      <c r="H808" s="55" t="s">
        <v>320</v>
      </c>
      <c r="I808" s="8" t="s">
        <v>4126</v>
      </c>
      <c r="J808" s="8" t="s">
        <v>6211</v>
      </c>
      <c r="K808" s="5" t="s">
        <v>6212</v>
      </c>
      <c r="L808" s="334" t="s">
        <v>6197</v>
      </c>
      <c r="M808" s="335" t="s">
        <v>6198</v>
      </c>
      <c r="N808" s="336" t="s">
        <v>6199</v>
      </c>
      <c r="O808" s="89" t="s">
        <v>6275</v>
      </c>
      <c r="P808" s="292" t="s">
        <v>6274</v>
      </c>
      <c r="Q808" s="350" t="s">
        <v>6273</v>
      </c>
      <c r="R808" s="26" t="s">
        <v>6276</v>
      </c>
      <c r="S808" s="318" t="s">
        <v>4715</v>
      </c>
      <c r="T808" s="10" t="s">
        <v>3883</v>
      </c>
      <c r="U808" s="305" t="s">
        <v>4728</v>
      </c>
      <c r="V808" s="68" t="s">
        <v>3272</v>
      </c>
      <c r="W808" s="28" t="s">
        <v>2</v>
      </c>
      <c r="X808" s="17" t="s">
        <v>3884</v>
      </c>
      <c r="Y808" s="14" t="s">
        <v>3885</v>
      </c>
      <c r="Z808" s="21" t="s">
        <v>3886</v>
      </c>
      <c r="AA808" s="96" t="s">
        <v>6166</v>
      </c>
      <c r="AB808" s="378" t="s">
        <v>6404</v>
      </c>
      <c r="AC808" s="8" t="s">
        <v>4126</v>
      </c>
      <c r="AD808" s="71" t="s">
        <v>3887</v>
      </c>
      <c r="AE808" s="72" t="s">
        <v>3888</v>
      </c>
      <c r="AF808" s="32" t="s">
        <v>3889</v>
      </c>
      <c r="AG808" s="25" t="s">
        <v>6200</v>
      </c>
      <c r="AH808" s="8" t="s">
        <v>6696</v>
      </c>
      <c r="AI808" s="50" t="s">
        <v>3360</v>
      </c>
      <c r="AJ808" s="22" t="s">
        <v>6695</v>
      </c>
    </row>
    <row r="809" spans="1:44">
      <c r="A809" s="343">
        <f>IFERROR(VLOOKUP($G809,基本資料!$A:$J,3,0),"無")</f>
        <v>115</v>
      </c>
      <c r="B809" s="79">
        <f>IFERROR(VLOOKUP($G809,基本資料!$A:$J,4,0),"無")</f>
        <v>5</v>
      </c>
      <c r="C809" s="79">
        <f>IFERROR(VLOOKUP($G809,基本資料!$A:$J,5,0),"無")</f>
        <v>44</v>
      </c>
      <c r="D809" s="79">
        <f>IFERROR(VLOOKUP($G809,基本資料!$A:$J,6,0),"無")</f>
        <v>-4</v>
      </c>
      <c r="E809" s="79">
        <f>IFERROR(VLOOKUP($G809,基本資料!$A:$J,7,0),"無")</f>
        <v>0</v>
      </c>
      <c r="F809" s="6">
        <f>IFERROR(VLOOKUP($G809,基本資料!$A:$J,8,0),"無")</f>
        <v>-1.49</v>
      </c>
      <c r="G809" s="79">
        <v>2323</v>
      </c>
      <c r="H809" s="8" t="s">
        <v>1877</v>
      </c>
      <c r="I809" s="22" t="s">
        <v>4127</v>
      </c>
      <c r="J809" s="8">
        <f>IFERROR(VLOOKUP($G809,今日總結!$A:$AN,39,0),"")</f>
        <v>0</v>
      </c>
      <c r="K809" s="5">
        <f>IFERROR(VLOOKUP($G809,今日總結!$A:$AN,40,0),"")</f>
        <v>0</v>
      </c>
      <c r="L809" s="156">
        <f>IFERROR(VLOOKUP($G809,今日總結!$A:$AN,37,0),"")</f>
        <v>0</v>
      </c>
      <c r="M809" s="337">
        <f>IFERROR(VLOOKUP($G809,今日總結!$A:$AN,38,0),"")</f>
        <v>0</v>
      </c>
      <c r="N809" s="240">
        <f t="shared" ref="N809" si="153">IFERROR(L809-M809,"")</f>
        <v>0</v>
      </c>
      <c r="O809" s="359">
        <f>IFERROR(VLOOKUP($G809,融外自投!$A:$J,7,0),"無")</f>
        <v>319</v>
      </c>
      <c r="P809" s="79">
        <f>IFERROR(VLOOKUP($G809,融外自投!$A:$J,9,0),"無")</f>
        <v>33</v>
      </c>
      <c r="Q809" s="342">
        <f>IFERROR(VLOOKUP($G809,融外自投!$A:$J,8,0),"無")</f>
        <v>505</v>
      </c>
      <c r="R809" s="81">
        <f>IFERROR(VLOOKUP($G809,融外自投!$A:$J,10,0),"無")</f>
        <v>495</v>
      </c>
      <c r="S809" s="324">
        <f>IFERROR(VLOOKUP($G809,'321買'!$A:$E,4,0),"'沒有資料'")</f>
        <v>286</v>
      </c>
      <c r="T809" s="186">
        <f>IFERROR(VLOOKUP($G809,基本資料!$A:$J,9,0),"無")</f>
        <v>0.1</v>
      </c>
      <c r="U809" s="307">
        <f t="shared" ref="U809:U872" si="154">$T809/$W809</f>
        <v>1.1248593925759279E-2</v>
      </c>
      <c r="V809" s="94">
        <f>IFERROR(VLOOKUP($G809,基本資料!$A:$J,10,0),"無")</f>
        <v>0.14000000000000001</v>
      </c>
      <c r="W809" s="36">
        <f>RTD("money.excel",,"2323","Price")</f>
        <v>8.89</v>
      </c>
      <c r="X809" s="66"/>
      <c r="Y809" s="15">
        <f t="shared" ref="Y809:Y872" si="155">W809-X809</f>
        <v>8.89</v>
      </c>
      <c r="Z809" s="3" t="e">
        <f t="shared" ref="Z809:Z872" si="156">Y809/X809</f>
        <v>#DIV/0!</v>
      </c>
      <c r="AA809" s="340">
        <f>IFERROR(VLOOKUP($G809,基本資料!$A:$M,11,0),"無")</f>
        <v>-35.58</v>
      </c>
      <c r="AB809" s="389">
        <f>IFERROR(VLOOKUP($G809,基本資料!$A:$M,12,0),"無")</f>
        <v>10.18</v>
      </c>
      <c r="AC809" s="22" t="s">
        <v>4127</v>
      </c>
      <c r="AF809" s="33">
        <f t="shared" ref="AF809:AF872" si="157">AE809-AD809</f>
        <v>0</v>
      </c>
      <c r="AG809" s="43" t="s">
        <v>4128</v>
      </c>
      <c r="AH809" s="66">
        <f t="shared" si="152"/>
        <v>0.71658379643170511</v>
      </c>
      <c r="AI809" s="283">
        <f>RTD("money.excel",,$G809,"PredictVolume")</f>
        <v>3430</v>
      </c>
      <c r="AJ809" s="391">
        <f>IFERROR(VLOOKUP($G809,基本資料!$A:$M,13,0),"無")</f>
        <v>4786.6000000000004</v>
      </c>
      <c r="AR809" s="245" t="str">
        <f>INDEX(基本資料!N:N,MATCH($G809,基本資料!A:A,0))</f>
        <v>低</v>
      </c>
    </row>
    <row r="810" spans="1:44">
      <c r="A810" s="343">
        <f>IFERROR(VLOOKUP($G810,基本資料!$A:$J,3,0),"無")</f>
        <v>43.86</v>
      </c>
      <c r="B810" s="79">
        <f>IFERROR(VLOOKUP($G810,基本資料!$A:$J,4,0),"無")</f>
        <v>44</v>
      </c>
      <c r="C810" s="79">
        <f>IFERROR(VLOOKUP($G810,基本資料!$A:$J,5,0),"無")</f>
        <v>46</v>
      </c>
      <c r="D810" s="79">
        <f>IFERROR(VLOOKUP($G810,基本資料!$A:$J,6,0),"無")</f>
        <v>-8</v>
      </c>
      <c r="E810" s="79">
        <f>IFERROR(VLOOKUP($G810,基本資料!$A:$J,7,0),"無")</f>
        <v>-17</v>
      </c>
      <c r="F810" s="6">
        <f>IFERROR(VLOOKUP($G810,基本資料!$A:$J,8,0),"無")</f>
        <v>16.45</v>
      </c>
      <c r="G810" s="79">
        <v>2340</v>
      </c>
      <c r="H810" s="195" t="s">
        <v>1877</v>
      </c>
      <c r="I810" s="22" t="s">
        <v>4129</v>
      </c>
      <c r="J810" s="8">
        <f>IFERROR(VLOOKUP($G810,今日總結!$A:$AN,39,0),"")</f>
        <v>0</v>
      </c>
      <c r="K810" s="5" t="str">
        <f>IFERROR(VLOOKUP($G810,今日總結!$A:$AN,40,0),"")</f>
        <v>融</v>
      </c>
      <c r="L810" s="156">
        <f>IFERROR(VLOOKUP($G810,今日總結!$A:$AN,37,0),"")</f>
        <v>0</v>
      </c>
      <c r="M810" s="337">
        <f>IFERROR(VLOOKUP($G810,今日總結!$A:$AN,38,0),"")</f>
        <v>3</v>
      </c>
      <c r="N810" s="240">
        <f t="shared" ref="N810:N873" si="158">IFERROR(L810-M810,"")</f>
        <v>-3</v>
      </c>
      <c r="O810" s="359">
        <f>IFERROR(VLOOKUP($G810,融外自投!$A:$J,7,0),"無")</f>
        <v>252</v>
      </c>
      <c r="P810" s="79">
        <f>IFERROR(VLOOKUP($G810,融外自投!$A:$J,9,0),"無")</f>
        <v>159</v>
      </c>
      <c r="Q810" s="342">
        <f>IFERROR(VLOOKUP($G810,融外自投!$A:$J,8,0),"無")</f>
        <v>320</v>
      </c>
      <c r="R810" s="81">
        <f>IFERROR(VLOOKUP($G810,融外自投!$A:$J,10,0),"無")</f>
        <v>476</v>
      </c>
      <c r="S810" s="324">
        <f>IFERROR(VLOOKUP($G810,'321買'!$A:$E,4,0),"'沒有資料'")</f>
        <v>49</v>
      </c>
      <c r="T810" s="186">
        <f>IFERROR(VLOOKUP($G810,基本資料!$A:$J,9,0),"無")</f>
        <v>2.2999999999999998</v>
      </c>
      <c r="U810" s="307">
        <f t="shared" si="154"/>
        <v>5.4892601431980902E-2</v>
      </c>
      <c r="V810" s="94">
        <f>IFERROR(VLOOKUP($G810,基本資料!$A:$J,10,0),"無")</f>
        <v>2.11</v>
      </c>
      <c r="W810" s="36">
        <f>RTD("money.excel",,"2340","Price")</f>
        <v>41.9</v>
      </c>
      <c r="X810" s="66"/>
      <c r="Y810" s="15">
        <f t="shared" si="155"/>
        <v>41.9</v>
      </c>
      <c r="Z810" s="3" t="e">
        <f t="shared" si="156"/>
        <v>#DIV/0!</v>
      </c>
      <c r="AA810" s="340">
        <f>IFERROR(VLOOKUP($G810,基本資料!$A:$M,11,0),"無")</f>
        <v>-47.89</v>
      </c>
      <c r="AB810" s="389">
        <f>IFERROR(VLOOKUP($G810,基本資料!$A:$M,12,0),"無")</f>
        <v>13.55</v>
      </c>
      <c r="AC810" s="22" t="s">
        <v>4129</v>
      </c>
      <c r="AF810" s="33">
        <f t="shared" si="157"/>
        <v>0</v>
      </c>
      <c r="AG810" s="119" t="s">
        <v>4130</v>
      </c>
      <c r="AH810" s="66">
        <f t="shared" si="152"/>
        <v>0.98233391390893254</v>
      </c>
      <c r="AI810" s="283">
        <f>RTD("money.excel",,$G810,"PredictVolume")</f>
        <v>3948</v>
      </c>
      <c r="AJ810" s="391">
        <f>IFERROR(VLOOKUP($G810,基本資料!$A:$M,13,0),"無")</f>
        <v>4019</v>
      </c>
      <c r="AR810" s="245" t="str">
        <f>INDEX(基本資料!N:N,MATCH($G810,基本資料!A:A,0))</f>
        <v>低</v>
      </c>
    </row>
    <row r="811" spans="1:44">
      <c r="A811" s="343">
        <f>IFERROR(VLOOKUP($G811,基本資料!$A:$J,3,0),"無")</f>
        <v>69.36</v>
      </c>
      <c r="B811" s="79">
        <f>IFERROR(VLOOKUP($G811,基本資料!$A:$J,4,0),"無")</f>
        <v>84</v>
      </c>
      <c r="C811" s="79">
        <f>IFERROR(VLOOKUP($G811,基本資料!$A:$J,5,0),"無")</f>
        <v>46</v>
      </c>
      <c r="D811" s="79">
        <f>IFERROR(VLOOKUP($G811,基本資料!$A:$J,6,0),"無")</f>
        <v>-1</v>
      </c>
      <c r="E811" s="79">
        <f>IFERROR(VLOOKUP($G811,基本資料!$A:$J,7,0),"無")</f>
        <v>-7</v>
      </c>
      <c r="F811" s="6">
        <f>IFERROR(VLOOKUP($G811,基本資料!$A:$J,8,0),"無")</f>
        <v>-3.46</v>
      </c>
      <c r="G811" s="79">
        <v>2349</v>
      </c>
      <c r="H811" s="8" t="s">
        <v>1877</v>
      </c>
      <c r="I811" s="22" t="s">
        <v>4131</v>
      </c>
      <c r="J811" s="8" t="str">
        <f>IFERROR(VLOOKUP($G811,今日總結!$A:$AN,39,0),"")</f>
        <v/>
      </c>
      <c r="K811" s="5" t="str">
        <f>IFERROR(VLOOKUP($G811,今日總結!$A:$AN,40,0),"")</f>
        <v/>
      </c>
      <c r="L811" s="156" t="str">
        <f>IFERROR(VLOOKUP($G811,今日總結!$A:$AN,37,0),"")</f>
        <v/>
      </c>
      <c r="M811" s="337" t="str">
        <f>IFERROR(VLOOKUP($G811,今日總結!$A:$AN,38,0),"")</f>
        <v/>
      </c>
      <c r="N811" s="240" t="str">
        <f t="shared" si="158"/>
        <v/>
      </c>
      <c r="O811" s="359" t="str">
        <f>IFERROR(VLOOKUP($G811,融外自投!$A:$J,7,0),"無")</f>
        <v>無</v>
      </c>
      <c r="P811" s="79" t="str">
        <f>IFERROR(VLOOKUP($G811,融外自投!$A:$J,9,0),"無")</f>
        <v>無</v>
      </c>
      <c r="Q811" s="342" t="str">
        <f>IFERROR(VLOOKUP($G811,融外自投!$A:$J,8,0),"無")</f>
        <v>無</v>
      </c>
      <c r="R811" s="81" t="str">
        <f>IFERROR(VLOOKUP($G811,融外自投!$A:$J,10,0),"無")</f>
        <v>無</v>
      </c>
      <c r="S811" s="324" t="str">
        <f>IFERROR(VLOOKUP($G811,'321買'!$A:$E,4,0),"'沒有資料'")</f>
        <v>'沒有資料'</v>
      </c>
      <c r="T811" s="186">
        <f>IFERROR(VLOOKUP($G811,基本資料!$A:$J,9,0),"無")</f>
        <v>0</v>
      </c>
      <c r="U811" s="307">
        <f t="shared" si="154"/>
        <v>0</v>
      </c>
      <c r="V811" s="94">
        <f>IFERROR(VLOOKUP($G811,基本資料!$A:$J,10,0),"無")</f>
        <v>-0.49</v>
      </c>
      <c r="W811" s="36">
        <f>RTD("money.excel",,"2349","Price")</f>
        <v>8.6999999999999993</v>
      </c>
      <c r="X811" s="66"/>
      <c r="Y811" s="15">
        <f t="shared" si="155"/>
        <v>8.6999999999999993</v>
      </c>
      <c r="Z811" s="3" t="e">
        <f t="shared" si="156"/>
        <v>#DIV/0!</v>
      </c>
      <c r="AA811" s="340">
        <f>IFERROR(VLOOKUP($G811,基本資料!$A:$M,11,0),"無")</f>
        <v>-29.27</v>
      </c>
      <c r="AB811" s="389">
        <f>IFERROR(VLOOKUP($G811,基本資料!$A:$M,12,0),"無")</f>
        <v>21.72</v>
      </c>
      <c r="AC811" s="22" t="s">
        <v>4131</v>
      </c>
      <c r="AF811" s="33">
        <f t="shared" si="157"/>
        <v>0</v>
      </c>
      <c r="AG811" s="43" t="s">
        <v>4128</v>
      </c>
      <c r="AH811" s="66">
        <f t="shared" si="152"/>
        <v>0.9838015923858332</v>
      </c>
      <c r="AI811" s="283">
        <f>RTD("money.excel",,$G811,"PredictVolume")</f>
        <v>1075</v>
      </c>
      <c r="AJ811" s="391">
        <f>IFERROR(VLOOKUP($G811,基本資料!$A:$M,13,0),"無")</f>
        <v>1092.7</v>
      </c>
      <c r="AR811" s="245" t="str">
        <f>INDEX(基本資料!N:N,MATCH($G811,基本資料!A:A,0))</f>
        <v>低</v>
      </c>
    </row>
    <row r="812" spans="1:44">
      <c r="A812" s="343">
        <f>IFERROR(VLOOKUP($G812,基本資料!$A:$J,3,0),"無")</f>
        <v>28.75</v>
      </c>
      <c r="B812" s="79">
        <f>IFERROR(VLOOKUP($G812,基本資料!$A:$J,4,0),"無")</f>
        <v>261</v>
      </c>
      <c r="C812" s="79">
        <f>IFERROR(VLOOKUP($G812,基本資料!$A:$J,5,0),"無")</f>
        <v>46</v>
      </c>
      <c r="D812" s="79">
        <f>IFERROR(VLOOKUP($G812,基本資料!$A:$J,6,0),"無")</f>
        <v>5</v>
      </c>
      <c r="E812" s="79">
        <f>IFERROR(VLOOKUP($G812,基本資料!$A:$J,7,0),"無")</f>
        <v>69</v>
      </c>
      <c r="F812" s="6">
        <f>IFERROR(VLOOKUP($G812,基本資料!$A:$J,8,0),"無")</f>
        <v>-9.27</v>
      </c>
      <c r="G812" s="79">
        <v>2374</v>
      </c>
      <c r="H812" s="8" t="s">
        <v>1877</v>
      </c>
      <c r="I812" s="22" t="s">
        <v>4132</v>
      </c>
      <c r="J812" s="8" t="str">
        <f>IFERROR(VLOOKUP($G812,今日總結!$A:$AN,39,0),"")</f>
        <v>外</v>
      </c>
      <c r="K812" s="5">
        <f>IFERROR(VLOOKUP($G812,今日總結!$A:$AN,40,0),"")</f>
        <v>0</v>
      </c>
      <c r="L812" s="156">
        <f>IFERROR(VLOOKUP($G812,今日總結!$A:$AN,37,0),"")</f>
        <v>2</v>
      </c>
      <c r="M812" s="337">
        <f>IFERROR(VLOOKUP($G812,今日總結!$A:$AN,38,0),"")</f>
        <v>0</v>
      </c>
      <c r="N812" s="240">
        <f t="shared" si="158"/>
        <v>2</v>
      </c>
      <c r="O812" s="359">
        <f>IFERROR(VLOOKUP($G812,融外自投!$A:$J,7,0),"無")</f>
        <v>520</v>
      </c>
      <c r="P812" s="79">
        <f>IFERROR(VLOOKUP($G812,融外自投!$A:$J,9,0),"無")</f>
        <v>167</v>
      </c>
      <c r="Q812" s="342">
        <f>IFERROR(VLOOKUP($G812,融外自投!$A:$J,8,0),"無")</f>
        <v>647</v>
      </c>
      <c r="R812" s="81" t="str">
        <f>IFERROR(VLOOKUP($G812,融外自投!$A:$J,10,0),"無")</f>
        <v>無</v>
      </c>
      <c r="S812" s="324">
        <f>IFERROR(VLOOKUP($G812,'321買'!$A:$E,4,0),"'沒有資料'")</f>
        <v>300</v>
      </c>
      <c r="T812" s="186">
        <f>IFERROR(VLOOKUP($G812,基本資料!$A:$J,9,0),"無")</f>
        <v>1</v>
      </c>
      <c r="U812" s="307">
        <f t="shared" si="154"/>
        <v>4.357298474945534E-2</v>
      </c>
      <c r="V812" s="94">
        <f>IFERROR(VLOOKUP($G812,基本資料!$A:$J,10,0),"無")</f>
        <v>2.42</v>
      </c>
      <c r="W812" s="36">
        <f>RTD("money.excel",,"2374","Price")</f>
        <v>22.95</v>
      </c>
      <c r="X812" s="66"/>
      <c r="Y812" s="15">
        <f t="shared" si="155"/>
        <v>22.95</v>
      </c>
      <c r="Z812" s="3" t="e">
        <f t="shared" si="156"/>
        <v>#DIV/0!</v>
      </c>
      <c r="AA812" s="340">
        <f>IFERROR(VLOOKUP($G812,基本資料!$A:$M,11,0),"無")</f>
        <v>-32.200000000000003</v>
      </c>
      <c r="AB812" s="389">
        <f>IFERROR(VLOOKUP($G812,基本資料!$A:$M,12,0),"無")</f>
        <v>13.49</v>
      </c>
      <c r="AC812" s="22" t="s">
        <v>4132</v>
      </c>
      <c r="AF812" s="33">
        <f t="shared" si="157"/>
        <v>0</v>
      </c>
      <c r="AG812" s="117" t="s">
        <v>4133</v>
      </c>
      <c r="AH812" s="66">
        <f t="shared" si="152"/>
        <v>0.7232905362226224</v>
      </c>
      <c r="AI812" s="283">
        <f>RTD("money.excel",,$G812,"PredictVolume")</f>
        <v>1245</v>
      </c>
      <c r="AJ812" s="391">
        <f>IFERROR(VLOOKUP($G812,基本資料!$A:$M,13,0),"無")</f>
        <v>1721.3</v>
      </c>
      <c r="AR812" s="245" t="str">
        <f>INDEX(基本資料!N:N,MATCH($G812,基本資料!A:A,0))</f>
        <v>中</v>
      </c>
    </row>
    <row r="813" spans="1:44">
      <c r="A813" s="343">
        <f>IFERROR(VLOOKUP($G813,基本資料!$A:$J,3,0),"無")</f>
        <v>44.34</v>
      </c>
      <c r="B813" s="79">
        <f>IFERROR(VLOOKUP($G813,基本資料!$A:$J,4,0),"無")</f>
        <v>59</v>
      </c>
      <c r="C813" s="79">
        <f>IFERROR(VLOOKUP($G813,基本資料!$A:$J,5,0),"無")</f>
        <v>78</v>
      </c>
      <c r="D813" s="79">
        <f>IFERROR(VLOOKUP($G813,基本資料!$A:$J,6,0),"無")</f>
        <v>-33</v>
      </c>
      <c r="E813" s="79">
        <f>IFERROR(VLOOKUP($G813,基本資料!$A:$J,7,0),"無")</f>
        <v>-34</v>
      </c>
      <c r="F813" s="6">
        <f>IFERROR(VLOOKUP($G813,基本資料!$A:$J,8,0),"無")</f>
        <v>9.65</v>
      </c>
      <c r="G813" s="79">
        <v>2393</v>
      </c>
      <c r="H813" s="8" t="s">
        <v>306</v>
      </c>
      <c r="I813" s="22" t="s">
        <v>4134</v>
      </c>
      <c r="J813" s="8">
        <f>IFERROR(VLOOKUP($G813,今日總結!$A:$AN,39,0),"")</f>
        <v>0</v>
      </c>
      <c r="K813" s="5">
        <f>IFERROR(VLOOKUP($G813,今日總結!$A:$AN,40,0),"")</f>
        <v>0</v>
      </c>
      <c r="L813" s="156">
        <f>IFERROR(VLOOKUP($G813,今日總結!$A:$AN,37,0),"")</f>
        <v>0</v>
      </c>
      <c r="M813" s="337">
        <f>IFERROR(VLOOKUP($G813,今日總結!$A:$AN,38,0),"")</f>
        <v>0</v>
      </c>
      <c r="N813" s="240">
        <f t="shared" si="158"/>
        <v>0</v>
      </c>
      <c r="O813" s="359">
        <f>IFERROR(VLOOKUP($G813,融外自投!$A:$J,7,0),"無")</f>
        <v>874</v>
      </c>
      <c r="P813" s="79">
        <f>IFERROR(VLOOKUP($G813,融外自投!$A:$J,9,0),"無")</f>
        <v>198</v>
      </c>
      <c r="Q813" s="342">
        <f>IFERROR(VLOOKUP($G813,融外自投!$A:$J,8,0),"無")</f>
        <v>174</v>
      </c>
      <c r="R813" s="81">
        <f>IFERROR(VLOOKUP($G813,融外自投!$A:$J,10,0),"無")</f>
        <v>330</v>
      </c>
      <c r="S813" s="324">
        <f>IFERROR(VLOOKUP($G813,'321買'!$A:$E,4,0),"'沒有資料'")</f>
        <v>202</v>
      </c>
      <c r="T813" s="186">
        <f>IFERROR(VLOOKUP($G813,基本資料!$A:$J,9,0),"無")</f>
        <v>3.5</v>
      </c>
      <c r="U813" s="307">
        <f t="shared" si="154"/>
        <v>7.9908675799086767E-2</v>
      </c>
      <c r="V813" s="94">
        <f>IFERROR(VLOOKUP($G813,基本資料!$A:$J,10,0),"無")</f>
        <v>4.37</v>
      </c>
      <c r="W813" s="36">
        <f>RTD("money.excel",,"2393","Price")</f>
        <v>43.8</v>
      </c>
      <c r="X813" s="66"/>
      <c r="Y813" s="15">
        <f t="shared" si="155"/>
        <v>43.8</v>
      </c>
      <c r="Z813" s="3" t="e">
        <f t="shared" si="156"/>
        <v>#DIV/0!</v>
      </c>
      <c r="AA813" s="340">
        <f>IFERROR(VLOOKUP($G813,基本資料!$A:$M,11,0),"無")</f>
        <v>-36.43</v>
      </c>
      <c r="AB813" s="389">
        <f>IFERROR(VLOOKUP($G813,基本資料!$A:$M,12,0),"無")</f>
        <v>18.399999999999999</v>
      </c>
      <c r="AC813" s="22" t="s">
        <v>4134</v>
      </c>
      <c r="AF813" s="33">
        <f t="shared" si="157"/>
        <v>0</v>
      </c>
      <c r="AG813" s="117" t="s">
        <v>4716</v>
      </c>
      <c r="AH813" s="66">
        <f t="shared" si="152"/>
        <v>0.82354309642898682</v>
      </c>
      <c r="AI813" s="283">
        <f>RTD("money.excel",,$G813,"PredictVolume")</f>
        <v>1416</v>
      </c>
      <c r="AJ813" s="391">
        <f>IFERROR(VLOOKUP($G813,基本資料!$A:$M,13,0),"無")</f>
        <v>1719.4</v>
      </c>
      <c r="AR813" s="245" t="str">
        <f>INDEX(基本資料!N:N,MATCH($G813,基本資料!A:A,0))</f>
        <v>低</v>
      </c>
    </row>
    <row r="814" spans="1:44">
      <c r="A814" s="343">
        <f>IFERROR(VLOOKUP($G814,基本資料!$A:$J,3,0),"無")</f>
        <v>35.090000000000003</v>
      </c>
      <c r="B814" s="79">
        <f>IFERROR(VLOOKUP($G814,基本資料!$A:$J,4,0),"無")</f>
        <v>51</v>
      </c>
      <c r="C814" s="79">
        <f>IFERROR(VLOOKUP($G814,基本資料!$A:$J,5,0),"無")</f>
        <v>57</v>
      </c>
      <c r="D814" s="79">
        <f>IFERROR(VLOOKUP($G814,基本資料!$A:$J,6,0),"無")</f>
        <v>3</v>
      </c>
      <c r="E814" s="79">
        <f>IFERROR(VLOOKUP($G814,基本資料!$A:$J,7,0),"無")</f>
        <v>-16</v>
      </c>
      <c r="F814" s="6">
        <f>IFERROR(VLOOKUP($G814,基本資料!$A:$J,8,0),"無")</f>
        <v>-1.23</v>
      </c>
      <c r="G814" s="79">
        <v>2406</v>
      </c>
      <c r="H814" s="8" t="s">
        <v>306</v>
      </c>
      <c r="I814" s="22" t="s">
        <v>444</v>
      </c>
      <c r="J814" s="8">
        <f>IFERROR(VLOOKUP($G814,今日總結!$A:$AN,39,0),"")</f>
        <v>0</v>
      </c>
      <c r="K814" s="5">
        <f>IFERROR(VLOOKUP($G814,今日總結!$A:$AN,40,0),"")</f>
        <v>0</v>
      </c>
      <c r="L814" s="156">
        <f>IFERROR(VLOOKUP($G814,今日總結!$A:$AN,37,0),"")</f>
        <v>0</v>
      </c>
      <c r="M814" s="337">
        <f>IFERROR(VLOOKUP($G814,今日總結!$A:$AN,38,0),"")</f>
        <v>0</v>
      </c>
      <c r="N814" s="240">
        <f t="shared" si="158"/>
        <v>0</v>
      </c>
      <c r="O814" s="359">
        <f>IFERROR(VLOOKUP($G814,融外自投!$A:$J,7,0),"無")</f>
        <v>174</v>
      </c>
      <c r="P814" s="79">
        <f>IFERROR(VLOOKUP($G814,融外自投!$A:$J,9,0),"無")</f>
        <v>365</v>
      </c>
      <c r="Q814" s="342">
        <f>IFERROR(VLOOKUP($G814,融外自投!$A:$J,8,0),"無")</f>
        <v>768</v>
      </c>
      <c r="R814" s="81" t="str">
        <f>IFERROR(VLOOKUP($G814,融外自投!$A:$J,10,0),"無")</f>
        <v>無</v>
      </c>
      <c r="S814" s="324">
        <f>IFERROR(VLOOKUP($G814,'321買'!$A:$E,4,0),"'沒有資料'")</f>
        <v>164</v>
      </c>
      <c r="T814" s="186">
        <f>IFERROR(VLOOKUP($G814,基本資料!$A:$J,9,0),"無")</f>
        <v>0</v>
      </c>
      <c r="U814" s="307">
        <f t="shared" si="154"/>
        <v>0</v>
      </c>
      <c r="V814" s="94">
        <f>IFERROR(VLOOKUP($G814,基本資料!$A:$J,10,0),"無")</f>
        <v>0.09</v>
      </c>
      <c r="W814" s="36">
        <f>RTD("money.excel",,"2406","Price")</f>
        <v>20.149999999999999</v>
      </c>
      <c r="X814" s="66"/>
      <c r="Y814" s="15">
        <f t="shared" si="155"/>
        <v>20.149999999999999</v>
      </c>
      <c r="Z814" s="3" t="e">
        <f t="shared" si="156"/>
        <v>#DIV/0!</v>
      </c>
      <c r="AA814" s="340">
        <f>IFERROR(VLOOKUP($G814,基本資料!$A:$M,11,0),"無")</f>
        <v>-46.55</v>
      </c>
      <c r="AB814" s="389">
        <f>IFERROR(VLOOKUP($G814,基本資料!$A:$M,12,0),"無")</f>
        <v>14.68</v>
      </c>
      <c r="AC814" s="22" t="s">
        <v>444</v>
      </c>
      <c r="AF814" s="33">
        <f t="shared" si="157"/>
        <v>0</v>
      </c>
      <c r="AG814" s="43" t="s">
        <v>4135</v>
      </c>
      <c r="AH814" s="66">
        <f t="shared" si="152"/>
        <v>0.49659078785292382</v>
      </c>
      <c r="AI814" s="283">
        <f>RTD("money.excel",,$G814,"PredictVolume")</f>
        <v>2560</v>
      </c>
      <c r="AJ814" s="391">
        <f>IFERROR(VLOOKUP($G814,基本資料!$A:$M,13,0),"無")</f>
        <v>5155.1499999999996</v>
      </c>
      <c r="AR814" s="245" t="str">
        <f>INDEX(基本資料!N:N,MATCH($G814,基本資料!A:A,0))</f>
        <v>低</v>
      </c>
    </row>
    <row r="815" spans="1:44">
      <c r="A815" s="343">
        <f>IFERROR(VLOOKUP($G815,基本資料!$A:$J,3,0),"無")</f>
        <v>962</v>
      </c>
      <c r="B815" s="79">
        <f>IFERROR(VLOOKUP($G815,基本資料!$A:$J,4,0),"無")</f>
        <v>2082</v>
      </c>
      <c r="C815" s="79">
        <f>IFERROR(VLOOKUP($G815,基本資料!$A:$J,5,0),"無")</f>
        <v>2928</v>
      </c>
      <c r="D815" s="79">
        <f>IFERROR(VLOOKUP($G815,基本資料!$A:$J,6,0),"無")</f>
        <v>-27</v>
      </c>
      <c r="E815" s="79">
        <f>IFERROR(VLOOKUP($G815,基本資料!$A:$J,7,0),"無")</f>
        <v>-31</v>
      </c>
      <c r="F815" s="6">
        <f>IFERROR(VLOOKUP($G815,基本資料!$A:$J,8,0),"無")</f>
        <v>17.02</v>
      </c>
      <c r="G815" s="79">
        <v>2409</v>
      </c>
      <c r="H815" s="8" t="s">
        <v>1877</v>
      </c>
      <c r="I815" s="22" t="s">
        <v>210</v>
      </c>
      <c r="J815" s="8">
        <f>IFERROR(VLOOKUP($G815,今日總結!$A:$AN,39,0),"")</f>
        <v>0</v>
      </c>
      <c r="K815" s="5">
        <f>IFERROR(VLOOKUP($G815,今日總結!$A:$AN,40,0),"")</f>
        <v>0</v>
      </c>
      <c r="L815" s="156">
        <f>IFERROR(VLOOKUP($G815,今日總結!$A:$AN,37,0),"")</f>
        <v>0</v>
      </c>
      <c r="M815" s="337">
        <f>IFERROR(VLOOKUP($G815,今日總結!$A:$AN,38,0),"")</f>
        <v>0</v>
      </c>
      <c r="N815" s="240">
        <f t="shared" si="158"/>
        <v>0</v>
      </c>
      <c r="O815" s="359">
        <f>IFERROR(VLOOKUP($G815,融外自投!$A:$J,7,0),"無")</f>
        <v>688</v>
      </c>
      <c r="P815" s="79">
        <f>IFERROR(VLOOKUP($G815,融外自投!$A:$J,9,0),"無")</f>
        <v>73</v>
      </c>
      <c r="Q815" s="342">
        <f>IFERROR(VLOOKUP($G815,融外自投!$A:$J,8,0),"無")</f>
        <v>240</v>
      </c>
      <c r="R815" s="81">
        <f>IFERROR(VLOOKUP($G815,融外自投!$A:$J,10,0),"無")</f>
        <v>56</v>
      </c>
      <c r="S815" s="324">
        <f>IFERROR(VLOOKUP($G815,'321買'!$A:$E,4,0),"'沒有資料'")</f>
        <v>286</v>
      </c>
      <c r="T815" s="186">
        <f>IFERROR(VLOOKUP($G815,基本資料!$A:$J,9,0),"無")</f>
        <v>1</v>
      </c>
      <c r="U815" s="307">
        <f t="shared" si="154"/>
        <v>5.830903790087464E-2</v>
      </c>
      <c r="V815" s="94">
        <f>IFERROR(VLOOKUP($G815,基本資料!$A:$J,10,0),"無")</f>
        <v>6.44</v>
      </c>
      <c r="W815" s="36">
        <f>RTD("money.excel",,"2409","Price")</f>
        <v>17.149999999999999</v>
      </c>
      <c r="X815" s="66"/>
      <c r="Y815" s="15">
        <f t="shared" si="155"/>
        <v>17.149999999999999</v>
      </c>
      <c r="Z815" s="3" t="e">
        <f t="shared" si="156"/>
        <v>#DIV/0!</v>
      </c>
      <c r="AA815" s="340">
        <f>IFERROR(VLOOKUP($G815,基本資料!$A:$M,11,0),"無")</f>
        <v>-29.57</v>
      </c>
      <c r="AB815" s="389">
        <f>IFERROR(VLOOKUP($G815,基本資料!$A:$M,12,0),"無")</f>
        <v>21.24</v>
      </c>
      <c r="AC815" s="22" t="s">
        <v>210</v>
      </c>
      <c r="AF815" s="33">
        <f t="shared" si="157"/>
        <v>0</v>
      </c>
      <c r="AG815" s="117" t="s">
        <v>2581</v>
      </c>
      <c r="AH815" s="66">
        <f t="shared" si="152"/>
        <v>0.69358156119052927</v>
      </c>
      <c r="AI815" s="283">
        <f>RTD("money.excel",,$G815,"PredictVolume")</f>
        <v>47463</v>
      </c>
      <c r="AJ815" s="391">
        <f>IFERROR(VLOOKUP($G815,基本資料!$A:$M,13,0),"無")</f>
        <v>68431.75</v>
      </c>
      <c r="AR815" s="245" t="str">
        <f>INDEX(基本資料!N:N,MATCH($G815,基本資料!A:A,0))</f>
        <v>低</v>
      </c>
    </row>
    <row r="816" spans="1:44">
      <c r="A816" s="343">
        <f>IFERROR(VLOOKUP($G816,基本資料!$A:$J,3,0),"無")</f>
        <v>30.06</v>
      </c>
      <c r="B816" s="79">
        <f>IFERROR(VLOOKUP($G816,基本資料!$A:$J,4,0),"無")</f>
        <v>135</v>
      </c>
      <c r="C816" s="79">
        <f>IFERROR(VLOOKUP($G816,基本資料!$A:$J,5,0),"無")</f>
        <v>3628</v>
      </c>
      <c r="D816" s="79">
        <f>IFERROR(VLOOKUP($G816,基本資料!$A:$J,6,0),"無")</f>
        <v>-5</v>
      </c>
      <c r="E816" s="79">
        <f>IFERROR(VLOOKUP($G816,基本資料!$A:$J,7,0),"無")</f>
        <v>-20</v>
      </c>
      <c r="F816" s="6">
        <f>IFERROR(VLOOKUP($G816,基本資料!$A:$J,8,0),"無")</f>
        <v>9.82</v>
      </c>
      <c r="G816" s="79">
        <v>2426</v>
      </c>
      <c r="H816" s="195" t="s">
        <v>1877</v>
      </c>
      <c r="I816" s="22" t="s">
        <v>4136</v>
      </c>
      <c r="J816" s="8">
        <f>IFERROR(VLOOKUP($G816,今日總結!$A:$AN,39,0),"")</f>
        <v>0</v>
      </c>
      <c r="K816" s="5">
        <f>IFERROR(VLOOKUP($G816,今日總結!$A:$AN,40,0),"")</f>
        <v>0</v>
      </c>
      <c r="L816" s="156">
        <f>IFERROR(VLOOKUP($G816,今日總結!$A:$AN,37,0),"")</f>
        <v>0</v>
      </c>
      <c r="M816" s="337">
        <f>IFERROR(VLOOKUP($G816,今日總結!$A:$AN,38,0),"")</f>
        <v>0</v>
      </c>
      <c r="N816" s="240">
        <f t="shared" si="158"/>
        <v>0</v>
      </c>
      <c r="O816" s="359">
        <f>IFERROR(VLOOKUP($G816,融外自投!$A:$J,7,0),"無")</f>
        <v>265</v>
      </c>
      <c r="P816" s="79">
        <f>IFERROR(VLOOKUP($G816,融外自投!$A:$J,9,0),"無")</f>
        <v>584</v>
      </c>
      <c r="Q816" s="342">
        <f>IFERROR(VLOOKUP($G816,融外自投!$A:$J,8,0),"無")</f>
        <v>582</v>
      </c>
      <c r="R816" s="81">
        <f>IFERROR(VLOOKUP($G816,融外自投!$A:$J,10,0),"無")</f>
        <v>476</v>
      </c>
      <c r="S816" s="324">
        <f>IFERROR(VLOOKUP($G816,'321買'!$A:$E,4,0),"'沒有資料'")</f>
        <v>272</v>
      </c>
      <c r="T816" s="186">
        <f>IFERROR(VLOOKUP($G816,基本資料!$A:$J,9,0),"無")</f>
        <v>1</v>
      </c>
      <c r="U816" s="307">
        <f t="shared" si="154"/>
        <v>4.784688995215311E-2</v>
      </c>
      <c r="V816" s="94">
        <f>IFERROR(VLOOKUP($G816,基本資料!$A:$J,10,0),"無")</f>
        <v>2.41</v>
      </c>
      <c r="W816" s="36">
        <f>RTD("money.excel",,"2426","Price")</f>
        <v>20.9</v>
      </c>
      <c r="X816" s="66"/>
      <c r="Y816" s="15">
        <f t="shared" si="155"/>
        <v>20.9</v>
      </c>
      <c r="Z816" s="3" t="e">
        <f t="shared" si="156"/>
        <v>#DIV/0!</v>
      </c>
      <c r="AA816" s="340">
        <f>IFERROR(VLOOKUP($G816,基本資料!$A:$M,11,0),"無")</f>
        <v>-36.57</v>
      </c>
      <c r="AB816" s="389">
        <f>IFERROR(VLOOKUP($G816,基本資料!$A:$M,12,0),"無")</f>
        <v>14.6</v>
      </c>
      <c r="AC816" s="22" t="s">
        <v>4136</v>
      </c>
      <c r="AF816" s="33">
        <f t="shared" si="157"/>
        <v>0</v>
      </c>
      <c r="AG816" s="119" t="s">
        <v>4137</v>
      </c>
      <c r="AH816" s="66">
        <f t="shared" si="152"/>
        <v>0.96902303415409052</v>
      </c>
      <c r="AI816" s="283">
        <f>RTD("money.excel",,$G816,"PredictVolume")</f>
        <v>732</v>
      </c>
      <c r="AJ816" s="391">
        <f>IFERROR(VLOOKUP($G816,基本資料!$A:$M,13,0),"無")</f>
        <v>755.4</v>
      </c>
      <c r="AR816" s="245" t="str">
        <f>INDEX(基本資料!N:N,MATCH($G816,基本資料!A:A,0))</f>
        <v>低</v>
      </c>
    </row>
    <row r="817" spans="1:44">
      <c r="A817" s="343">
        <f>IFERROR(VLOOKUP($G817,基本資料!$A:$J,3,0),"無")</f>
        <v>6.01</v>
      </c>
      <c r="B817" s="79">
        <f>IFERROR(VLOOKUP($G817,基本資料!$A:$J,4,0),"無")</f>
        <v>-17</v>
      </c>
      <c r="C817" s="79">
        <f>IFERROR(VLOOKUP($G817,基本資料!$A:$J,5,0),"無")</f>
        <v>373</v>
      </c>
      <c r="D817" s="79">
        <f>IFERROR(VLOOKUP($G817,基本資料!$A:$J,6,0),"無")</f>
        <v>-9</v>
      </c>
      <c r="E817" s="79">
        <f>IFERROR(VLOOKUP($G817,基本資料!$A:$J,7,0),"無")</f>
        <v>-34</v>
      </c>
      <c r="F817" s="6">
        <f>IFERROR(VLOOKUP($G817,基本資料!$A:$J,8,0),"無")</f>
        <v>6.76</v>
      </c>
      <c r="G817" s="79">
        <v>2438</v>
      </c>
      <c r="H817" s="8" t="s">
        <v>1877</v>
      </c>
      <c r="I817" s="22" t="s">
        <v>4138</v>
      </c>
      <c r="J817" s="8" t="str">
        <f>IFERROR(VLOOKUP($G817,今日總結!$A:$AN,39,0),"")</f>
        <v/>
      </c>
      <c r="K817" s="5" t="str">
        <f>IFERROR(VLOOKUP($G817,今日總結!$A:$AN,40,0),"")</f>
        <v/>
      </c>
      <c r="L817" s="156" t="str">
        <f>IFERROR(VLOOKUP($G817,今日總結!$A:$AN,37,0),"")</f>
        <v/>
      </c>
      <c r="M817" s="337" t="str">
        <f>IFERROR(VLOOKUP($G817,今日總結!$A:$AN,38,0),"")</f>
        <v/>
      </c>
      <c r="N817" s="240" t="str">
        <f t="shared" si="158"/>
        <v/>
      </c>
      <c r="O817" s="359" t="str">
        <f>IFERROR(VLOOKUP($G817,融外自投!$A:$J,7,0),"無")</f>
        <v>無</v>
      </c>
      <c r="P817" s="79" t="str">
        <f>IFERROR(VLOOKUP($G817,融外自投!$A:$J,9,0),"無")</f>
        <v>無</v>
      </c>
      <c r="Q817" s="342" t="str">
        <f>IFERROR(VLOOKUP($G817,融外自投!$A:$J,8,0),"無")</f>
        <v>無</v>
      </c>
      <c r="R817" s="81" t="str">
        <f>IFERROR(VLOOKUP($G817,融外自投!$A:$J,10,0),"無")</f>
        <v>無</v>
      </c>
      <c r="S817" s="324" t="str">
        <f>IFERROR(VLOOKUP($G817,'321買'!$A:$E,4,0),"'沒有資料'")</f>
        <v>'沒有資料'</v>
      </c>
      <c r="T817" s="186">
        <f>IFERROR(VLOOKUP($G817,基本資料!$A:$J,9,0),"無")</f>
        <v>0</v>
      </c>
      <c r="U817" s="307">
        <f t="shared" si="154"/>
        <v>0</v>
      </c>
      <c r="V817" s="94">
        <f>IFERROR(VLOOKUP($G817,基本資料!$A:$J,10,0),"無")</f>
        <v>-7.0000000000000007E-2</v>
      </c>
      <c r="W817" s="36">
        <f>RTD("money.excel",,"2438","Price")</f>
        <v>11.85</v>
      </c>
      <c r="X817" s="66"/>
      <c r="Y817" s="15">
        <f t="shared" si="155"/>
        <v>11.85</v>
      </c>
      <c r="Z817" s="3" t="e">
        <f t="shared" si="156"/>
        <v>#DIV/0!</v>
      </c>
      <c r="AA817" s="340">
        <f>IFERROR(VLOOKUP($G817,基本資料!$A:$M,11,0),"無")</f>
        <v>-31.3</v>
      </c>
      <c r="AB817" s="389">
        <f>IFERROR(VLOOKUP($G817,基本資料!$A:$M,12,0),"無")</f>
        <v>10.24</v>
      </c>
      <c r="AC817" s="22" t="s">
        <v>4138</v>
      </c>
      <c r="AF817" s="33">
        <f t="shared" si="157"/>
        <v>0</v>
      </c>
      <c r="AG817" s="43" t="s">
        <v>4139</v>
      </c>
      <c r="AH817" s="66">
        <f t="shared" si="152"/>
        <v>0.33722438391699094</v>
      </c>
      <c r="AI817" s="283">
        <f>RTD("money.excel",,$G817,"PredictVolume")</f>
        <v>13</v>
      </c>
      <c r="AJ817" s="391">
        <f>IFERROR(VLOOKUP($G817,基本資料!$A:$M,13,0),"無")</f>
        <v>38.549999999999997</v>
      </c>
      <c r="AR817" s="245" t="str">
        <f>INDEX(基本資料!N:N,MATCH($G817,基本資料!A:A,0))</f>
        <v>低</v>
      </c>
    </row>
    <row r="818" spans="1:44">
      <c r="A818" s="343">
        <f>IFERROR(VLOOKUP($G818,基本資料!$A:$J,3,0),"無")</f>
        <v>16.16</v>
      </c>
      <c r="B818" s="79">
        <f>IFERROR(VLOOKUP($G818,基本資料!$A:$J,4,0),"無")</f>
        <v>762</v>
      </c>
      <c r="C818" s="79">
        <f>IFERROR(VLOOKUP($G818,基本資料!$A:$J,5,0),"無")</f>
        <v>100</v>
      </c>
      <c r="D818" s="79">
        <f>IFERROR(VLOOKUP($G818,基本資料!$A:$J,6,0),"無")</f>
        <v>39</v>
      </c>
      <c r="E818" s="79">
        <f>IFERROR(VLOOKUP($G818,基本資料!$A:$J,7,0),"無")</f>
        <v>13</v>
      </c>
      <c r="F818" s="6">
        <f>IFERROR(VLOOKUP($G818,基本資料!$A:$J,8,0),"無")</f>
        <v>0.05</v>
      </c>
      <c r="G818" s="79">
        <v>2466</v>
      </c>
      <c r="H818" s="8" t="s">
        <v>1877</v>
      </c>
      <c r="I818" s="22" t="s">
        <v>4140</v>
      </c>
      <c r="J818" s="8">
        <f>IFERROR(VLOOKUP($G818,今日總結!$A:$AN,39,0),"")</f>
        <v>0</v>
      </c>
      <c r="K818" s="5">
        <f>IFERROR(VLOOKUP($G818,今日總結!$A:$AN,40,0),"")</f>
        <v>0</v>
      </c>
      <c r="L818" s="156">
        <f>IFERROR(VLOOKUP($G818,今日總結!$A:$AN,37,0),"")</f>
        <v>0</v>
      </c>
      <c r="M818" s="337">
        <f>IFERROR(VLOOKUP($G818,今日總結!$A:$AN,38,0),"")</f>
        <v>0</v>
      </c>
      <c r="N818" s="240">
        <f t="shared" si="158"/>
        <v>0</v>
      </c>
      <c r="O818" s="359">
        <f>IFERROR(VLOOKUP($G818,融外自投!$A:$J,7,0),"無")</f>
        <v>747</v>
      </c>
      <c r="P818" s="79" t="str">
        <f>IFERROR(VLOOKUP($G818,融外自投!$A:$J,9,0),"無")</f>
        <v>無</v>
      </c>
      <c r="Q818" s="342">
        <f>IFERROR(VLOOKUP($G818,融外自投!$A:$J,8,0),"無")</f>
        <v>500</v>
      </c>
      <c r="R818" s="81" t="str">
        <f>IFERROR(VLOOKUP($G818,融外自投!$A:$J,10,0),"無")</f>
        <v>無</v>
      </c>
      <c r="S818" s="324">
        <f>IFERROR(VLOOKUP($G818,'321買'!$A:$E,4,0),"'沒有資料'")</f>
        <v>1002</v>
      </c>
      <c r="T818" s="186">
        <f>IFERROR(VLOOKUP($G818,基本資料!$A:$J,9,0),"無")</f>
        <v>0.4</v>
      </c>
      <c r="U818" s="307">
        <f t="shared" si="154"/>
        <v>1.2326656394453005E-2</v>
      </c>
      <c r="V818" s="94">
        <f>IFERROR(VLOOKUP($G818,基本資料!$A:$J,10,0),"無")</f>
        <v>0.35</v>
      </c>
      <c r="W818" s="36">
        <f>RTD("money.excel",,"2466","Price")</f>
        <v>32.450000000000003</v>
      </c>
      <c r="X818" s="66"/>
      <c r="Y818" s="15">
        <f t="shared" si="155"/>
        <v>32.450000000000003</v>
      </c>
      <c r="Z818" s="3" t="e">
        <f t="shared" si="156"/>
        <v>#DIV/0!</v>
      </c>
      <c r="AA818" s="340">
        <f>IFERROR(VLOOKUP($G818,基本資料!$A:$M,11,0),"無")</f>
        <v>-30.96</v>
      </c>
      <c r="AB818" s="389">
        <f>IFERROR(VLOOKUP($G818,基本資料!$A:$M,12,0),"無")</f>
        <v>29.6</v>
      </c>
      <c r="AC818" s="22" t="s">
        <v>4140</v>
      </c>
      <c r="AF818" s="33">
        <f t="shared" si="157"/>
        <v>0</v>
      </c>
      <c r="AG818" s="43" t="s">
        <v>4141</v>
      </c>
      <c r="AH818" s="66">
        <f t="shared" si="152"/>
        <v>1.1293781272337384</v>
      </c>
      <c r="AI818" s="283">
        <f>RTD("money.excel",,$G818,"PredictVolume")</f>
        <v>79</v>
      </c>
      <c r="AJ818" s="391">
        <f>IFERROR(VLOOKUP($G818,基本資料!$A:$M,13,0),"無")</f>
        <v>69.95</v>
      </c>
      <c r="AR818" s="245" t="str">
        <f>INDEX(基本資料!N:N,MATCH($G818,基本資料!A:A,0))</f>
        <v>低</v>
      </c>
    </row>
    <row r="819" spans="1:44">
      <c r="A819" s="343">
        <f>IFERROR(VLOOKUP($G819,基本資料!$A:$J,3,0),"無")</f>
        <v>22.19</v>
      </c>
      <c r="B819" s="79">
        <f>IFERROR(VLOOKUP($G819,基本資料!$A:$J,4,0),"無")</f>
        <v>344</v>
      </c>
      <c r="C819" s="79">
        <f>IFERROR(VLOOKUP($G819,基本資料!$A:$J,5,0),"無")</f>
        <v>1235</v>
      </c>
      <c r="D819" s="79">
        <f>IFERROR(VLOOKUP($G819,基本資料!$A:$J,6,0),"無")</f>
        <v>-2</v>
      </c>
      <c r="E819" s="79">
        <f>IFERROR(VLOOKUP($G819,基本資料!$A:$J,7,0),"無")</f>
        <v>-1</v>
      </c>
      <c r="F819" s="6">
        <f>IFERROR(VLOOKUP($G819,基本資料!$A:$J,8,0),"無")</f>
        <v>8.92</v>
      </c>
      <c r="G819" s="79">
        <v>2486</v>
      </c>
      <c r="H819" s="8" t="s">
        <v>1877</v>
      </c>
      <c r="I819" s="22" t="s">
        <v>4142</v>
      </c>
      <c r="J819" s="8">
        <f>IFERROR(VLOOKUP($G819,今日總結!$A:$AN,39,0),"")</f>
        <v>0</v>
      </c>
      <c r="K819" s="5">
        <f>IFERROR(VLOOKUP($G819,今日總結!$A:$AN,40,0),"")</f>
        <v>0</v>
      </c>
      <c r="L819" s="156">
        <f>IFERROR(VLOOKUP($G819,今日總結!$A:$AN,37,0),"")</f>
        <v>0</v>
      </c>
      <c r="M819" s="337">
        <f>IFERROR(VLOOKUP($G819,今日總結!$A:$AN,38,0),"")</f>
        <v>0</v>
      </c>
      <c r="N819" s="240">
        <f t="shared" si="158"/>
        <v>0</v>
      </c>
      <c r="O819" s="359">
        <f>IFERROR(VLOOKUP($G819,融外自投!$A:$J,7,0),"無")</f>
        <v>129</v>
      </c>
      <c r="P819" s="79">
        <f>IFERROR(VLOOKUP($G819,融外自投!$A:$J,9,0),"無")</f>
        <v>1123</v>
      </c>
      <c r="Q819" s="342">
        <f>IFERROR(VLOOKUP($G819,融外自投!$A:$J,8,0),"無")</f>
        <v>1030</v>
      </c>
      <c r="R819" s="81" t="str">
        <f>IFERROR(VLOOKUP($G819,融外自投!$A:$J,10,0),"無")</f>
        <v>無</v>
      </c>
      <c r="S819" s="324">
        <f>IFERROR(VLOOKUP($G819,'321買'!$A:$E,4,0),"'沒有資料'")</f>
        <v>101</v>
      </c>
      <c r="T819" s="186">
        <f>IFERROR(VLOOKUP($G819,基本資料!$A:$J,9,0),"無")</f>
        <v>0.5</v>
      </c>
      <c r="U819" s="307">
        <f t="shared" si="154"/>
        <v>1.4005602240896357E-2</v>
      </c>
      <c r="V819" s="94">
        <f>IFERROR(VLOOKUP($G819,基本資料!$A:$J,10,0),"無")</f>
        <v>1.79</v>
      </c>
      <c r="W819" s="36">
        <f>RTD("money.excel",,"2486","Price")</f>
        <v>35.700000000000003</v>
      </c>
      <c r="X819" s="66"/>
      <c r="Y819" s="15">
        <f t="shared" si="155"/>
        <v>35.700000000000003</v>
      </c>
      <c r="Z819" s="3" t="e">
        <f t="shared" si="156"/>
        <v>#DIV/0!</v>
      </c>
      <c r="AA819" s="340">
        <f>IFERROR(VLOOKUP($G819,基本資料!$A:$M,11,0),"無")</f>
        <v>-47.11</v>
      </c>
      <c r="AB819" s="389">
        <f>IFERROR(VLOOKUP($G819,基本資料!$A:$M,12,0),"無")</f>
        <v>15.57</v>
      </c>
      <c r="AC819" s="22" t="s">
        <v>4142</v>
      </c>
      <c r="AF819" s="33">
        <f t="shared" si="157"/>
        <v>0</v>
      </c>
      <c r="AG819" s="43" t="s">
        <v>2582</v>
      </c>
      <c r="AH819" s="66">
        <f t="shared" si="152"/>
        <v>0.9560570071258907</v>
      </c>
      <c r="AI819" s="283">
        <f>RTD("money.excel",,$G819,"PredictVolume")</f>
        <v>1610</v>
      </c>
      <c r="AJ819" s="391">
        <f>IFERROR(VLOOKUP($G819,基本資料!$A:$M,13,0),"無")</f>
        <v>1684</v>
      </c>
      <c r="AR819" s="245" t="str">
        <f>INDEX(基本資料!N:N,MATCH($G819,基本資料!A:A,0))</f>
        <v>低</v>
      </c>
    </row>
    <row r="820" spans="1:44">
      <c r="A820" s="343">
        <f>IFERROR(VLOOKUP($G820,基本資料!$A:$J,3,0),"無")</f>
        <v>76</v>
      </c>
      <c r="B820" s="79">
        <f>IFERROR(VLOOKUP($G820,基本資料!$A:$J,4,0),"無")</f>
        <v>781</v>
      </c>
      <c r="C820" s="79">
        <f>IFERROR(VLOOKUP($G820,基本資料!$A:$J,5,0),"無")</f>
        <v>40</v>
      </c>
      <c r="D820" s="79">
        <f>IFERROR(VLOOKUP($G820,基本資料!$A:$J,6,0),"無")</f>
        <v>-37</v>
      </c>
      <c r="E820" s="79">
        <f>IFERROR(VLOOKUP($G820,基本資料!$A:$J,7,0),"無")</f>
        <v>-29</v>
      </c>
      <c r="F820" s="6">
        <f>IFERROR(VLOOKUP($G820,基本資料!$A:$J,8,0),"無")</f>
        <v>-1.48</v>
      </c>
      <c r="G820" s="79">
        <v>2489</v>
      </c>
      <c r="H820" s="195" t="s">
        <v>1877</v>
      </c>
      <c r="I820" s="153" t="s">
        <v>4143</v>
      </c>
      <c r="J820" s="8" t="str">
        <f>IFERROR(VLOOKUP($G820,今日總結!$A:$AN,39,0),"")</f>
        <v>自</v>
      </c>
      <c r="K820" s="5">
        <f>IFERROR(VLOOKUP($G820,今日總結!$A:$AN,40,0),"")</f>
        <v>0</v>
      </c>
      <c r="L820" s="156">
        <f>IFERROR(VLOOKUP($G820,今日總結!$A:$AN,37,0),"")</f>
        <v>1</v>
      </c>
      <c r="M820" s="337">
        <f>IFERROR(VLOOKUP($G820,今日總結!$A:$AN,38,0),"")</f>
        <v>0</v>
      </c>
      <c r="N820" s="240">
        <f t="shared" si="158"/>
        <v>1</v>
      </c>
      <c r="O820" s="359">
        <f>IFERROR(VLOOKUP($G820,融外自投!$A:$J,7,0),"無")</f>
        <v>806</v>
      </c>
      <c r="P820" s="79">
        <f>IFERROR(VLOOKUP($G820,融外自投!$A:$J,9,0),"無")</f>
        <v>426</v>
      </c>
      <c r="Q820" s="342">
        <f>IFERROR(VLOOKUP($G820,融外自投!$A:$J,8,0),"無")</f>
        <v>458</v>
      </c>
      <c r="R820" s="81" t="str">
        <f>IFERROR(VLOOKUP($G820,融外自投!$A:$J,10,0),"無")</f>
        <v>無</v>
      </c>
      <c r="S820" s="324">
        <f>IFERROR(VLOOKUP($G820,'321買'!$A:$E,4,0),"'沒有資料'")</f>
        <v>530</v>
      </c>
      <c r="T820" s="186">
        <f>IFERROR(VLOOKUP($G820,基本資料!$A:$J,9,0),"無")</f>
        <v>1.25</v>
      </c>
      <c r="U820" s="307">
        <f t="shared" si="154"/>
        <v>9.9601593625498003E-2</v>
      </c>
      <c r="V820" s="94">
        <f>IFERROR(VLOOKUP($G820,基本資料!$A:$J,10,0),"無")</f>
        <v>6.3</v>
      </c>
      <c r="W820" s="36">
        <f>RTD("money.excel",,"2489","Price")</f>
        <v>12.55</v>
      </c>
      <c r="X820" s="66"/>
      <c r="Y820" s="15">
        <f t="shared" si="155"/>
        <v>12.55</v>
      </c>
      <c r="Z820" s="3" t="e">
        <f t="shared" si="156"/>
        <v>#DIV/0!</v>
      </c>
      <c r="AA820" s="340">
        <f>IFERROR(VLOOKUP($G820,基本資料!$A:$M,11,0),"無")</f>
        <v>-37.869999999999997</v>
      </c>
      <c r="AB820" s="389">
        <f>IFERROR(VLOOKUP($G820,基本資料!$A:$M,12,0),"無")</f>
        <v>18.88</v>
      </c>
      <c r="AC820" s="22" t="s">
        <v>4143</v>
      </c>
      <c r="AF820" s="33">
        <f t="shared" si="157"/>
        <v>0</v>
      </c>
      <c r="AG820" s="117" t="s">
        <v>4144</v>
      </c>
      <c r="AH820" s="66">
        <f t="shared" si="152"/>
        <v>0.35210163111668757</v>
      </c>
      <c r="AI820" s="283">
        <f>RTD("money.excel",,$G820,"PredictVolume")</f>
        <v>898</v>
      </c>
      <c r="AJ820" s="391">
        <f>IFERROR(VLOOKUP($G820,基本資料!$A:$M,13,0),"無")</f>
        <v>2550.4</v>
      </c>
      <c r="AR820" s="245" t="str">
        <f>INDEX(基本資料!N:N,MATCH($G820,基本資料!A:A,0))</f>
        <v>低</v>
      </c>
    </row>
    <row r="821" spans="1:44">
      <c r="A821" s="343">
        <f>IFERROR(VLOOKUP($G821,基本資料!$A:$J,3,0),"無")</f>
        <v>8.1999999999999993</v>
      </c>
      <c r="B821" s="79">
        <f>IFERROR(VLOOKUP($G821,基本資料!$A:$J,4,0),"無")</f>
        <v>-41</v>
      </c>
      <c r="C821" s="79">
        <f>IFERROR(VLOOKUP($G821,基本資料!$A:$J,5,0),"無")</f>
        <v>-14</v>
      </c>
      <c r="D821" s="79">
        <f>IFERROR(VLOOKUP($G821,基本資料!$A:$J,6,0),"無")</f>
        <v>60</v>
      </c>
      <c r="E821" s="79">
        <f>IFERROR(VLOOKUP($G821,基本資料!$A:$J,7,0),"無")</f>
        <v>-108</v>
      </c>
      <c r="F821" s="6">
        <f>IFERROR(VLOOKUP($G821,基本資料!$A:$J,8,0),"無")</f>
        <v>34.479999999999997</v>
      </c>
      <c r="G821" s="79">
        <v>2491</v>
      </c>
      <c r="H821" s="8" t="s">
        <v>1877</v>
      </c>
      <c r="I821" s="22" t="s">
        <v>4145</v>
      </c>
      <c r="J821" s="8">
        <f>IFERROR(VLOOKUP($G821,今日總結!$A:$AN,39,0),"")</f>
        <v>0</v>
      </c>
      <c r="K821" s="5">
        <f>IFERROR(VLOOKUP($G821,今日總結!$A:$AN,40,0),"")</f>
        <v>0</v>
      </c>
      <c r="L821" s="156">
        <f>IFERROR(VLOOKUP($G821,今日總結!$A:$AN,37,0),"")</f>
        <v>0</v>
      </c>
      <c r="M821" s="337">
        <f>IFERROR(VLOOKUP($G821,今日總結!$A:$AN,38,0),"")</f>
        <v>0</v>
      </c>
      <c r="N821" s="240">
        <f t="shared" si="158"/>
        <v>0</v>
      </c>
      <c r="O821" s="359">
        <f>IFERROR(VLOOKUP($G821,融外自投!$A:$J,7,0),"無")</f>
        <v>854</v>
      </c>
      <c r="P821" s="79">
        <f>IFERROR(VLOOKUP($G821,融外自投!$A:$J,9,0),"無")</f>
        <v>487</v>
      </c>
      <c r="Q821" s="342">
        <f>IFERROR(VLOOKUP($G821,融外自投!$A:$J,8,0),"無")</f>
        <v>744</v>
      </c>
      <c r="R821" s="81">
        <f>IFERROR(VLOOKUP($G821,融外自投!$A:$J,10,0),"無")</f>
        <v>403</v>
      </c>
      <c r="S821" s="324">
        <f>IFERROR(VLOOKUP($G821,'321買'!$A:$E,4,0),"'沒有資料'")</f>
        <v>497</v>
      </c>
      <c r="T821" s="186">
        <f>IFERROR(VLOOKUP($G821,基本資料!$A:$J,9,0),"無")</f>
        <v>0.1</v>
      </c>
      <c r="U821" s="307">
        <f t="shared" si="154"/>
        <v>6.8493150684931512E-3</v>
      </c>
      <c r="V821" s="94">
        <f>IFERROR(VLOOKUP($G821,基本資料!$A:$J,10,0),"無")</f>
        <v>0.63</v>
      </c>
      <c r="W821" s="36">
        <f>RTD("money.excel",,"2491","Price")</f>
        <v>14.6</v>
      </c>
      <c r="X821" s="66"/>
      <c r="Y821" s="15">
        <f t="shared" si="155"/>
        <v>14.6</v>
      </c>
      <c r="Z821" s="3" t="e">
        <f t="shared" si="156"/>
        <v>#DIV/0!</v>
      </c>
      <c r="AA821" s="340">
        <f>IFERROR(VLOOKUP($G821,基本資料!$A:$M,11,0),"無")</f>
        <v>-65.069999999999993</v>
      </c>
      <c r="AB821" s="389">
        <f>IFERROR(VLOOKUP($G821,基本資料!$A:$M,12,0),"無")</f>
        <v>7.17</v>
      </c>
      <c r="AC821" s="22" t="s">
        <v>4145</v>
      </c>
      <c r="AF821" s="33">
        <f t="shared" si="157"/>
        <v>0</v>
      </c>
      <c r="AG821" s="43" t="s">
        <v>4146</v>
      </c>
      <c r="AH821" s="66">
        <f t="shared" si="152"/>
        <v>2.8998699609882963</v>
      </c>
      <c r="AI821" s="283">
        <f>RTD("money.excel",,$G821,"PredictVolume")</f>
        <v>446</v>
      </c>
      <c r="AJ821" s="391">
        <f>IFERROR(VLOOKUP($G821,基本資料!$A:$M,13,0),"無")</f>
        <v>153.80000000000001</v>
      </c>
      <c r="AR821" s="245" t="str">
        <f>INDEX(基本資料!N:N,MATCH($G821,基本資料!A:A,0))</f>
        <v>低</v>
      </c>
    </row>
    <row r="822" spans="1:44">
      <c r="A822" s="343">
        <f>IFERROR(VLOOKUP($G822,基本資料!$A:$J,3,0),"無")</f>
        <v>13.34</v>
      </c>
      <c r="B822" s="79">
        <f>IFERROR(VLOOKUP($G822,基本資料!$A:$J,4,0),"無")</f>
        <v>-23</v>
      </c>
      <c r="C822" s="79">
        <f>IFERROR(VLOOKUP($G822,基本資料!$A:$J,5,0),"無")</f>
        <v>-27</v>
      </c>
      <c r="D822" s="79">
        <f>IFERROR(VLOOKUP($G822,基本資料!$A:$J,6,0),"無")</f>
        <v>-16</v>
      </c>
      <c r="E822" s="79">
        <f>IFERROR(VLOOKUP($G822,基本資料!$A:$J,7,0),"無")</f>
        <v>-7</v>
      </c>
      <c r="F822" s="6">
        <f>IFERROR(VLOOKUP($G822,基本資料!$A:$J,8,0),"無")</f>
        <v>49.29</v>
      </c>
      <c r="G822" s="79">
        <v>3008</v>
      </c>
      <c r="H822" s="17" t="s">
        <v>1877</v>
      </c>
      <c r="I822" s="22" t="s">
        <v>1839</v>
      </c>
      <c r="J822" s="8">
        <f>IFERROR(VLOOKUP($G822,今日總結!$A:$AN,39,0),"")</f>
        <v>0</v>
      </c>
      <c r="K822" s="5">
        <f>IFERROR(VLOOKUP($G822,今日總結!$A:$AN,40,0),"")</f>
        <v>0</v>
      </c>
      <c r="L822" s="156">
        <f>IFERROR(VLOOKUP($G822,今日總結!$A:$AN,37,0),"")</f>
        <v>0</v>
      </c>
      <c r="M822" s="337">
        <f>IFERROR(VLOOKUP($G822,今日總結!$A:$AN,38,0),"")</f>
        <v>0</v>
      </c>
      <c r="N822" s="240">
        <f t="shared" si="158"/>
        <v>0</v>
      </c>
      <c r="O822" s="359">
        <f>IFERROR(VLOOKUP($G822,融外自投!$A:$J,7,0),"無")</f>
        <v>875</v>
      </c>
      <c r="P822" s="79">
        <f>IFERROR(VLOOKUP($G822,融外自投!$A:$J,9,0),"無")</f>
        <v>59</v>
      </c>
      <c r="Q822" s="342">
        <f>IFERROR(VLOOKUP($G822,融外自投!$A:$J,8,0),"無")</f>
        <v>138</v>
      </c>
      <c r="R822" s="81">
        <f>IFERROR(VLOOKUP($G822,融外自投!$A:$J,10,0),"無")</f>
        <v>181</v>
      </c>
      <c r="S822" s="324">
        <f>IFERROR(VLOOKUP($G822,'321買'!$A:$E,4,0),"'沒有資料'")</f>
        <v>650</v>
      </c>
      <c r="T822" s="186">
        <f>IFERROR(VLOOKUP($G822,基本資料!$A:$J,9,0),"無")</f>
        <v>70.16</v>
      </c>
      <c r="U822" s="307">
        <f t="shared" si="154"/>
        <v>4.4125786163522009E-2</v>
      </c>
      <c r="V822" s="94">
        <f>IFERROR(VLOOKUP($G822,基本資料!$A:$J,10,0),"無")</f>
        <v>139.28</v>
      </c>
      <c r="W822" s="354">
        <f>RTD("money.excel",,"3008","Price")</f>
        <v>1590</v>
      </c>
      <c r="X822" s="65"/>
      <c r="Y822" s="137">
        <f t="shared" si="155"/>
        <v>1590</v>
      </c>
      <c r="Z822" s="3" t="e">
        <f t="shared" si="156"/>
        <v>#DIV/0!</v>
      </c>
      <c r="AA822" s="340">
        <f>IFERROR(VLOOKUP($G822,基本資料!$A:$M,11,0),"無")</f>
        <v>-50.77</v>
      </c>
      <c r="AB822" s="389">
        <f>IFERROR(VLOOKUP($G822,基本資料!$A:$M,12,0),"無")</f>
        <v>12.45</v>
      </c>
      <c r="AC822" s="22" t="s">
        <v>1839</v>
      </c>
      <c r="AF822" s="33">
        <f t="shared" si="157"/>
        <v>0</v>
      </c>
      <c r="AG822" s="43" t="s">
        <v>4147</v>
      </c>
      <c r="AH822" s="66">
        <f t="shared" si="152"/>
        <v>0.54963235294117652</v>
      </c>
      <c r="AI822" s="283">
        <f>RTD("money.excel",,$G822,"PredictVolume")</f>
        <v>299</v>
      </c>
      <c r="AJ822" s="391">
        <f>IFERROR(VLOOKUP($G822,基本資料!$A:$M,13,0),"無")</f>
        <v>544</v>
      </c>
      <c r="AR822" s="245" t="str">
        <f>INDEX(基本資料!N:N,MATCH($G822,基本資料!A:A,0))</f>
        <v>低</v>
      </c>
    </row>
    <row r="823" spans="1:44">
      <c r="A823" s="343">
        <f>IFERROR(VLOOKUP($G823,基本資料!$A:$J,3,0),"無")</f>
        <v>28.1</v>
      </c>
      <c r="B823" s="79">
        <f>IFERROR(VLOOKUP($G823,基本資料!$A:$J,4,0),"無")</f>
        <v>208</v>
      </c>
      <c r="C823" s="79">
        <f>IFERROR(VLOOKUP($G823,基本資料!$A:$J,5,0),"無")</f>
        <v>128</v>
      </c>
      <c r="D823" s="79">
        <f>IFERROR(VLOOKUP($G823,基本資料!$A:$J,6,0),"無")</f>
        <v>-13</v>
      </c>
      <c r="E823" s="79">
        <f>IFERROR(VLOOKUP($G823,基本資料!$A:$J,7,0),"無")</f>
        <v>-7</v>
      </c>
      <c r="F823" s="6">
        <f>IFERROR(VLOOKUP($G823,基本資料!$A:$J,8,0),"無")</f>
        <v>9.75</v>
      </c>
      <c r="G823" s="79">
        <v>3019</v>
      </c>
      <c r="H823" s="192" t="s">
        <v>1877</v>
      </c>
      <c r="I823" s="22" t="s">
        <v>4148</v>
      </c>
      <c r="J823" s="8">
        <f>IFERROR(VLOOKUP($G823,今日總結!$A:$AN,39,0),"")</f>
        <v>0</v>
      </c>
      <c r="K823" s="5" t="str">
        <f>IFERROR(VLOOKUP($G823,今日總結!$A:$AN,40,0),"")</f>
        <v>融</v>
      </c>
      <c r="L823" s="156">
        <f>IFERROR(VLOOKUP($G823,今日總結!$A:$AN,37,0),"")</f>
        <v>0</v>
      </c>
      <c r="M823" s="337">
        <f>IFERROR(VLOOKUP($G823,今日總結!$A:$AN,38,0),"")</f>
        <v>7</v>
      </c>
      <c r="N823" s="240">
        <f t="shared" si="158"/>
        <v>-7</v>
      </c>
      <c r="O823" s="359">
        <f>IFERROR(VLOOKUP($G823,融外自投!$A:$J,7,0),"無")</f>
        <v>221</v>
      </c>
      <c r="P823" s="79">
        <f>IFERROR(VLOOKUP($G823,融外自投!$A:$J,9,0),"無")</f>
        <v>225</v>
      </c>
      <c r="Q823" s="342">
        <f>IFERROR(VLOOKUP($G823,融外自投!$A:$J,8,0),"無")</f>
        <v>575</v>
      </c>
      <c r="R823" s="81">
        <f>IFERROR(VLOOKUP($G823,融外自投!$A:$J,10,0),"無")</f>
        <v>324</v>
      </c>
      <c r="S823" s="324">
        <f>IFERROR(VLOOKUP($G823,'321買'!$A:$E,4,0),"'沒有資料'")</f>
        <v>343</v>
      </c>
      <c r="T823" s="186">
        <f>IFERROR(VLOOKUP($G823,基本資料!$A:$J,9,0),"無")</f>
        <v>3.7</v>
      </c>
      <c r="U823" s="307">
        <f t="shared" si="154"/>
        <v>5.845181674565561E-2</v>
      </c>
      <c r="V823" s="94">
        <f>IFERROR(VLOOKUP($G823,基本資料!$A:$J,10,0),"無")</f>
        <v>5.34</v>
      </c>
      <c r="W823" s="36">
        <f>RTD("money.excel",,"3019","Price")</f>
        <v>63.3</v>
      </c>
      <c r="X823" s="66"/>
      <c r="Y823" s="15">
        <f t="shared" si="155"/>
        <v>63.3</v>
      </c>
      <c r="Z823" s="3" t="e">
        <f t="shared" si="156"/>
        <v>#DIV/0!</v>
      </c>
      <c r="AA823" s="340">
        <f>IFERROR(VLOOKUP($G823,基本資料!$A:$M,11,0),"無")</f>
        <v>-38.840000000000003</v>
      </c>
      <c r="AB823" s="389">
        <f>IFERROR(VLOOKUP($G823,基本資料!$A:$M,12,0),"無")</f>
        <v>14.77</v>
      </c>
      <c r="AC823" s="22" t="s">
        <v>4148</v>
      </c>
      <c r="AF823" s="33">
        <f t="shared" si="157"/>
        <v>0</v>
      </c>
      <c r="AG823" s="117" t="s">
        <v>2030</v>
      </c>
      <c r="AH823" s="66">
        <f t="shared" si="152"/>
        <v>0.6139113334188363</v>
      </c>
      <c r="AI823" s="283">
        <f>RTD("money.excel",,$G823,"PredictVolume")</f>
        <v>718</v>
      </c>
      <c r="AJ823" s="391">
        <f>IFERROR(VLOOKUP($G823,基本資料!$A:$M,13,0),"無")</f>
        <v>1169.55</v>
      </c>
      <c r="AR823" s="245" t="str">
        <f>INDEX(基本資料!N:N,MATCH($G823,基本資料!A:A,0))</f>
        <v>低</v>
      </c>
    </row>
    <row r="824" spans="1:44">
      <c r="A824" s="343">
        <f>IFERROR(VLOOKUP($G824,基本資料!$A:$J,3,0),"無")</f>
        <v>27.71</v>
      </c>
      <c r="B824" s="79">
        <f>IFERROR(VLOOKUP($G824,基本資料!$A:$J,4,0),"無")</f>
        <v>381</v>
      </c>
      <c r="C824" s="79">
        <f>IFERROR(VLOOKUP($G824,基本資料!$A:$J,5,0),"無")</f>
        <v>-65</v>
      </c>
      <c r="D824" s="79">
        <f>IFERROR(VLOOKUP($G824,基本資料!$A:$J,6,0),"無")</f>
        <v>1</v>
      </c>
      <c r="E824" s="79">
        <f>IFERROR(VLOOKUP($G824,基本資料!$A:$J,7,0),"無")</f>
        <v>43</v>
      </c>
      <c r="F824" s="6">
        <f>IFERROR(VLOOKUP($G824,基本資料!$A:$J,8,0),"無")</f>
        <v>1</v>
      </c>
      <c r="G824" s="79">
        <v>3024</v>
      </c>
      <c r="H824" s="8" t="s">
        <v>1877</v>
      </c>
      <c r="I824" s="22" t="s">
        <v>4149</v>
      </c>
      <c r="J824" s="8">
        <f>IFERROR(VLOOKUP($G824,今日總結!$A:$AN,39,0),"")</f>
        <v>0</v>
      </c>
      <c r="K824" s="5">
        <f>IFERROR(VLOOKUP($G824,今日總結!$A:$AN,40,0),"")</f>
        <v>0</v>
      </c>
      <c r="L824" s="156">
        <f>IFERROR(VLOOKUP($G824,今日總結!$A:$AN,37,0),"")</f>
        <v>0</v>
      </c>
      <c r="M824" s="337">
        <f>IFERROR(VLOOKUP($G824,今日總結!$A:$AN,38,0),"")</f>
        <v>0</v>
      </c>
      <c r="N824" s="240">
        <f t="shared" si="158"/>
        <v>0</v>
      </c>
      <c r="O824" s="359">
        <f>IFERROR(VLOOKUP($G824,融外自投!$A:$J,7,0),"無")</f>
        <v>1191</v>
      </c>
      <c r="P824" s="79" t="str">
        <f>IFERROR(VLOOKUP($G824,融外自投!$A:$J,9,0),"無")</f>
        <v>無</v>
      </c>
      <c r="Q824" s="342">
        <f>IFERROR(VLOOKUP($G824,融外自投!$A:$J,8,0),"無")</f>
        <v>1211</v>
      </c>
      <c r="R824" s="81" t="str">
        <f>IFERROR(VLOOKUP($G824,融外自投!$A:$J,10,0),"無")</f>
        <v>無</v>
      </c>
      <c r="S824" s="324">
        <f>IFERROR(VLOOKUP($G824,'321買'!$A:$E,4,0),"'沒有資料'")</f>
        <v>1002</v>
      </c>
      <c r="T824" s="186">
        <f>IFERROR(VLOOKUP($G824,基本資料!$A:$J,9,0),"無")</f>
        <v>0.3</v>
      </c>
      <c r="U824" s="307">
        <f t="shared" si="154"/>
        <v>2.553191489361702E-2</v>
      </c>
      <c r="V824" s="94">
        <f>IFERROR(VLOOKUP($G824,基本資料!$A:$J,10,0),"無")</f>
        <v>0.75</v>
      </c>
      <c r="W824" s="36">
        <f>RTD("money.excel",,"3024","Price")</f>
        <v>11.75</v>
      </c>
      <c r="X824" s="66"/>
      <c r="Y824" s="15">
        <f t="shared" si="155"/>
        <v>11.75</v>
      </c>
      <c r="Z824" s="3" t="e">
        <f t="shared" si="156"/>
        <v>#DIV/0!</v>
      </c>
      <c r="AA824" s="340">
        <f>IFERROR(VLOOKUP($G824,基本資料!$A:$M,11,0),"無")</f>
        <v>-23.2</v>
      </c>
      <c r="AB824" s="389">
        <f>IFERROR(VLOOKUP($G824,基本資料!$A:$M,12,0),"無")</f>
        <v>19.54</v>
      </c>
      <c r="AC824" s="22" t="s">
        <v>4149</v>
      </c>
      <c r="AF824" s="33">
        <f t="shared" si="157"/>
        <v>0</v>
      </c>
      <c r="AG824" s="43" t="s">
        <v>4150</v>
      </c>
      <c r="AH824" s="66">
        <f t="shared" si="152"/>
        <v>0.35639180962921968</v>
      </c>
      <c r="AI824" s="283">
        <f>RTD("money.excel",,$G824,"PredictVolume")</f>
        <v>161</v>
      </c>
      <c r="AJ824" s="391">
        <f>IFERROR(VLOOKUP($G824,基本資料!$A:$M,13,0),"無")</f>
        <v>451.75</v>
      </c>
      <c r="AR824" s="245" t="str">
        <f>INDEX(基本資料!N:N,MATCH($G824,基本資料!A:A,0))</f>
        <v>低</v>
      </c>
    </row>
    <row r="825" spans="1:44">
      <c r="A825" s="343">
        <f>IFERROR(VLOOKUP($G825,基本資料!$A:$J,3,0),"無")</f>
        <v>18.16</v>
      </c>
      <c r="B825" s="79">
        <f>IFERROR(VLOOKUP($G825,基本資料!$A:$J,4,0),"無")</f>
        <v>89</v>
      </c>
      <c r="C825" s="79">
        <f>IFERROR(VLOOKUP($G825,基本資料!$A:$J,5,0),"無")</f>
        <v>47</v>
      </c>
      <c r="D825" s="79">
        <f>IFERROR(VLOOKUP($G825,基本資料!$A:$J,6,0),"無")</f>
        <v>23</v>
      </c>
      <c r="E825" s="79">
        <f>IFERROR(VLOOKUP($G825,基本資料!$A:$J,7,0),"無")</f>
        <v>-2</v>
      </c>
      <c r="F825" s="6">
        <f>IFERROR(VLOOKUP($G825,基本資料!$A:$J,8,0),"無")</f>
        <v>10.35</v>
      </c>
      <c r="G825" s="79">
        <v>3031</v>
      </c>
      <c r="H825" s="8" t="s">
        <v>1877</v>
      </c>
      <c r="I825" s="22" t="s">
        <v>4151</v>
      </c>
      <c r="J825" s="8">
        <f>IFERROR(VLOOKUP($G825,今日總結!$A:$AN,39,0),"")</f>
        <v>0</v>
      </c>
      <c r="K825" s="5" t="str">
        <f>IFERROR(VLOOKUP($G825,今日總結!$A:$AN,40,0),"")</f>
        <v>主</v>
      </c>
      <c r="L825" s="156">
        <f>IFERROR(VLOOKUP($G825,今日總結!$A:$AN,37,0),"")</f>
        <v>0</v>
      </c>
      <c r="M825" s="337">
        <f>IFERROR(VLOOKUP($G825,今日總結!$A:$AN,38,0),"")</f>
        <v>1</v>
      </c>
      <c r="N825" s="240">
        <f t="shared" si="158"/>
        <v>-1</v>
      </c>
      <c r="O825" s="359">
        <f>IFERROR(VLOOKUP($G825,融外自投!$A:$J,7,0),"無")</f>
        <v>856</v>
      </c>
      <c r="P825" s="79">
        <f>IFERROR(VLOOKUP($G825,融外自投!$A:$J,9,0),"無")</f>
        <v>946</v>
      </c>
      <c r="Q825" s="342">
        <f>IFERROR(VLOOKUP($G825,融外自投!$A:$J,8,0),"無")</f>
        <v>1117</v>
      </c>
      <c r="R825" s="81" t="str">
        <f>IFERROR(VLOOKUP($G825,融外自投!$A:$J,10,0),"無")</f>
        <v>無</v>
      </c>
      <c r="S825" s="324">
        <f>IFERROR(VLOOKUP($G825,'321買'!$A:$E,4,0),"'沒有資料'")</f>
        <v>343</v>
      </c>
      <c r="T825" s="186">
        <f>IFERROR(VLOOKUP($G825,基本資料!$A:$J,9,0),"無")</f>
        <v>1</v>
      </c>
      <c r="U825" s="307">
        <f t="shared" si="154"/>
        <v>5.5401662049861494E-2</v>
      </c>
      <c r="V825" s="94">
        <f>IFERROR(VLOOKUP($G825,基本資料!$A:$J,10,0),"無")</f>
        <v>1.45</v>
      </c>
      <c r="W825" s="36">
        <f>RTD("money.excel",,"3031","Price")</f>
        <v>18.05</v>
      </c>
      <c r="X825" s="66"/>
      <c r="Y825" s="15">
        <f t="shared" si="155"/>
        <v>18.05</v>
      </c>
      <c r="Z825" s="3" t="e">
        <f t="shared" si="156"/>
        <v>#DIV/0!</v>
      </c>
      <c r="AA825" s="340">
        <f>IFERROR(VLOOKUP($G825,基本資料!$A:$M,11,0),"無")</f>
        <v>-43.33</v>
      </c>
      <c r="AB825" s="389">
        <f>IFERROR(VLOOKUP($G825,基本資料!$A:$M,12,0),"無")</f>
        <v>11.83</v>
      </c>
      <c r="AC825" s="22" t="s">
        <v>4151</v>
      </c>
      <c r="AF825" s="33">
        <f t="shared" si="157"/>
        <v>0</v>
      </c>
      <c r="AG825" s="43" t="s">
        <v>4152</v>
      </c>
      <c r="AH825" s="66">
        <f t="shared" si="152"/>
        <v>0.5270092226613966</v>
      </c>
      <c r="AI825" s="283">
        <f>RTD("money.excel",,$G825,"PredictVolume")</f>
        <v>100</v>
      </c>
      <c r="AJ825" s="391">
        <f>IFERROR(VLOOKUP($G825,基本資料!$A:$M,13,0),"無")</f>
        <v>189.75</v>
      </c>
      <c r="AR825" s="245" t="str">
        <f>INDEX(基本資料!N:N,MATCH($G825,基本資料!A:A,0))</f>
        <v>低</v>
      </c>
    </row>
    <row r="826" spans="1:44">
      <c r="A826" s="343">
        <f>IFERROR(VLOOKUP($G826,基本資料!$A:$J,3,0),"無")</f>
        <v>15.74</v>
      </c>
      <c r="B826" s="79">
        <f>IFERROR(VLOOKUP($G826,基本資料!$A:$J,4,0),"無")</f>
        <v>1</v>
      </c>
      <c r="C826" s="79">
        <f>IFERROR(VLOOKUP($G826,基本資料!$A:$J,5,0),"無")</f>
        <v>-20</v>
      </c>
      <c r="D826" s="79">
        <f>IFERROR(VLOOKUP($G826,基本資料!$A:$J,6,0),"無")</f>
        <v>10</v>
      </c>
      <c r="E826" s="79">
        <f>IFERROR(VLOOKUP($G826,基本資料!$A:$J,7,0),"無")</f>
        <v>11</v>
      </c>
      <c r="F826" s="6">
        <f>IFERROR(VLOOKUP($G826,基本資料!$A:$J,8,0),"無")</f>
        <v>6.38</v>
      </c>
      <c r="G826" s="79">
        <v>3038</v>
      </c>
      <c r="H826" s="8" t="s">
        <v>1877</v>
      </c>
      <c r="I826" s="22" t="s">
        <v>4153</v>
      </c>
      <c r="J826" s="8">
        <f>IFERROR(VLOOKUP($G826,今日總結!$A:$AN,39,0),"")</f>
        <v>0</v>
      </c>
      <c r="K826" s="5">
        <f>IFERROR(VLOOKUP($G826,今日總結!$A:$AN,40,0),"")</f>
        <v>0</v>
      </c>
      <c r="L826" s="156">
        <f>IFERROR(VLOOKUP($G826,今日總結!$A:$AN,37,0),"")</f>
        <v>0</v>
      </c>
      <c r="M826" s="337">
        <f>IFERROR(VLOOKUP($G826,今日總結!$A:$AN,38,0),"")</f>
        <v>0</v>
      </c>
      <c r="N826" s="240">
        <f t="shared" si="158"/>
        <v>0</v>
      </c>
      <c r="O826" s="359">
        <f>IFERROR(VLOOKUP($G826,融外自投!$A:$J,7,0),"無")</f>
        <v>427</v>
      </c>
      <c r="P826" s="79">
        <f>IFERROR(VLOOKUP($G826,融外自投!$A:$J,9,0),"無")</f>
        <v>762</v>
      </c>
      <c r="Q826" s="342">
        <f>IFERROR(VLOOKUP($G826,融外自投!$A:$J,8,0),"無")</f>
        <v>1078</v>
      </c>
      <c r="R826" s="81" t="str">
        <f>IFERROR(VLOOKUP($G826,融外自投!$A:$J,10,0),"無")</f>
        <v>無</v>
      </c>
      <c r="S826" s="324">
        <f>IFERROR(VLOOKUP($G826,'321買'!$A:$E,4,0),"'沒有資料'")</f>
        <v>1002</v>
      </c>
      <c r="T826" s="186">
        <f>IFERROR(VLOOKUP($G826,基本資料!$A:$J,9,0),"無")</f>
        <v>1.2</v>
      </c>
      <c r="U826" s="307">
        <f t="shared" si="154"/>
        <v>6.6666666666666666E-2</v>
      </c>
      <c r="V826" s="94">
        <f>IFERROR(VLOOKUP($G826,基本資料!$A:$J,10,0),"無")</f>
        <v>1.6</v>
      </c>
      <c r="W826" s="36">
        <f>RTD("money.excel",,"3038","Price")</f>
        <v>18</v>
      </c>
      <c r="X826" s="66"/>
      <c r="Y826" s="15">
        <f t="shared" si="155"/>
        <v>18</v>
      </c>
      <c r="Z826" s="3" t="e">
        <f t="shared" si="156"/>
        <v>#DIV/0!</v>
      </c>
      <c r="AA826" s="340">
        <f>IFERROR(VLOOKUP($G826,基本資料!$A:$M,11,0),"無")</f>
        <v>-25.31</v>
      </c>
      <c r="AB826" s="389">
        <f>IFERROR(VLOOKUP($G826,基本資料!$A:$M,12,0),"無")</f>
        <v>23.36</v>
      </c>
      <c r="AC826" s="22" t="s">
        <v>4153</v>
      </c>
      <c r="AF826" s="33">
        <f t="shared" si="157"/>
        <v>0</v>
      </c>
      <c r="AG826" s="43" t="s">
        <v>4154</v>
      </c>
      <c r="AH826" s="66">
        <f t="shared" si="152"/>
        <v>0.45002616431187858</v>
      </c>
      <c r="AI826" s="283">
        <f>RTD("money.excel",,$G826,"PredictVolume")</f>
        <v>86</v>
      </c>
      <c r="AJ826" s="391">
        <f>IFERROR(VLOOKUP($G826,基本資料!$A:$M,13,0),"無")</f>
        <v>191.1</v>
      </c>
      <c r="AR826" s="245" t="str">
        <f>INDEX(基本資料!N:N,MATCH($G826,基本資料!A:A,0))</f>
        <v>中</v>
      </c>
    </row>
    <row r="827" spans="1:44">
      <c r="A827" s="343">
        <f>IFERROR(VLOOKUP($G827,基本資料!$A:$J,3,0),"無")</f>
        <v>80.69</v>
      </c>
      <c r="B827" s="79">
        <f>IFERROR(VLOOKUP($G827,基本資料!$A:$J,4,0),"無")</f>
        <v>191</v>
      </c>
      <c r="C827" s="79">
        <f>IFERROR(VLOOKUP($G827,基本資料!$A:$J,5,0),"無")</f>
        <v>139</v>
      </c>
      <c r="D827" s="79">
        <f>IFERROR(VLOOKUP($G827,基本資料!$A:$J,6,0),"無")</f>
        <v>-21</v>
      </c>
      <c r="E827" s="79">
        <f>IFERROR(VLOOKUP($G827,基本資料!$A:$J,7,0),"無")</f>
        <v>-24</v>
      </c>
      <c r="F827" s="6">
        <f>IFERROR(VLOOKUP($G827,基本資料!$A:$J,8,0),"無")</f>
        <v>26.57</v>
      </c>
      <c r="G827" s="79">
        <v>3049</v>
      </c>
      <c r="H827" s="8" t="s">
        <v>1877</v>
      </c>
      <c r="I827" s="22" t="s">
        <v>4155</v>
      </c>
      <c r="J827" s="8">
        <f>IFERROR(VLOOKUP($G827,今日總結!$A:$AN,39,0),"")</f>
        <v>0</v>
      </c>
      <c r="K827" s="5">
        <f>IFERROR(VLOOKUP($G827,今日總結!$A:$AN,40,0),"")</f>
        <v>0</v>
      </c>
      <c r="L827" s="156">
        <f>IFERROR(VLOOKUP($G827,今日總結!$A:$AN,37,0),"")</f>
        <v>0</v>
      </c>
      <c r="M827" s="337">
        <f>IFERROR(VLOOKUP($G827,今日總結!$A:$AN,38,0),"")</f>
        <v>0</v>
      </c>
      <c r="N827" s="240">
        <f t="shared" si="158"/>
        <v>0</v>
      </c>
      <c r="O827" s="359">
        <f>IFERROR(VLOOKUP($G827,融外自投!$A:$J,7,0),"無")</f>
        <v>568</v>
      </c>
      <c r="P827" s="79">
        <f>IFERROR(VLOOKUP($G827,融外自投!$A:$J,9,0),"無")</f>
        <v>1123</v>
      </c>
      <c r="Q827" s="342">
        <f>IFERROR(VLOOKUP($G827,融外自投!$A:$J,8,0),"無")</f>
        <v>670</v>
      </c>
      <c r="R827" s="81">
        <f>IFERROR(VLOOKUP($G827,融外自投!$A:$J,10,0),"無")</f>
        <v>495</v>
      </c>
      <c r="S827" s="324">
        <f>IFERROR(VLOOKUP($G827,'321買'!$A:$E,4,0),"'沒有資料'")</f>
        <v>465</v>
      </c>
      <c r="T827" s="186">
        <f>IFERROR(VLOOKUP($G827,基本資料!$A:$J,9,0),"無")</f>
        <v>0.35</v>
      </c>
      <c r="U827" s="307">
        <f t="shared" si="154"/>
        <v>3.1531531531531529E-2</v>
      </c>
      <c r="V827" s="94">
        <f>IFERROR(VLOOKUP($G827,基本資料!$A:$J,10,0),"無")</f>
        <v>1.24</v>
      </c>
      <c r="W827" s="36">
        <f>RTD("money.excel",,"3049","Price")</f>
        <v>11.1</v>
      </c>
      <c r="X827" s="66"/>
      <c r="Y827" s="15">
        <f t="shared" si="155"/>
        <v>11.1</v>
      </c>
      <c r="Z827" s="3" t="e">
        <f t="shared" si="156"/>
        <v>#DIV/0!</v>
      </c>
      <c r="AA827" s="340">
        <f>IFERROR(VLOOKUP($G827,基本資料!$A:$M,11,0),"無")</f>
        <v>-43.22</v>
      </c>
      <c r="AB827" s="389">
        <f>IFERROR(VLOOKUP($G827,基本資料!$A:$M,12,0),"無")</f>
        <v>10.16</v>
      </c>
      <c r="AC827" s="22" t="s">
        <v>4155</v>
      </c>
      <c r="AF827" s="33">
        <f t="shared" si="157"/>
        <v>0</v>
      </c>
      <c r="AG827" s="117" t="s">
        <v>4156</v>
      </c>
      <c r="AH827" s="66">
        <f t="shared" si="152"/>
        <v>0.41484064339706012</v>
      </c>
      <c r="AI827" s="283">
        <f>RTD("money.excel",,$G827,"PredictVolume")</f>
        <v>1737</v>
      </c>
      <c r="AJ827" s="391">
        <f>IFERROR(VLOOKUP($G827,基本資料!$A:$M,13,0),"無")</f>
        <v>4187.1499999999996</v>
      </c>
      <c r="AR827" s="245" t="str">
        <f>INDEX(基本資料!N:N,MATCH($G827,基本資料!A:A,0))</f>
        <v>低</v>
      </c>
    </row>
    <row r="828" spans="1:44">
      <c r="A828" s="343">
        <f>IFERROR(VLOOKUP($G828,基本資料!$A:$J,3,0),"無")</f>
        <v>14.59</v>
      </c>
      <c r="B828" s="79">
        <f>IFERROR(VLOOKUP($G828,基本資料!$A:$J,4,0),"無")</f>
        <v>10</v>
      </c>
      <c r="C828" s="79">
        <f>IFERROR(VLOOKUP($G828,基本資料!$A:$J,5,0),"無")</f>
        <v>-38</v>
      </c>
      <c r="D828" s="79">
        <f>IFERROR(VLOOKUP($G828,基本資料!$A:$J,6,0),"無")</f>
        <v>-7</v>
      </c>
      <c r="E828" s="79">
        <f>IFERROR(VLOOKUP($G828,基本資料!$A:$J,7,0),"無")</f>
        <v>11</v>
      </c>
      <c r="F828" s="6">
        <f>IFERROR(VLOOKUP($G828,基本資料!$A:$J,8,0),"無")</f>
        <v>11.12</v>
      </c>
      <c r="G828" s="79">
        <v>3050</v>
      </c>
      <c r="H828" s="8" t="s">
        <v>1877</v>
      </c>
      <c r="I828" s="22" t="s">
        <v>4157</v>
      </c>
      <c r="J828" s="8">
        <f>IFERROR(VLOOKUP($G828,今日總結!$A:$AN,39,0),"")</f>
        <v>0</v>
      </c>
      <c r="K828" s="5" t="str">
        <f>IFERROR(VLOOKUP($G828,今日總結!$A:$AN,40,0),"")</f>
        <v>外</v>
      </c>
      <c r="L828" s="156">
        <f>IFERROR(VLOOKUP($G828,今日總結!$A:$AN,37,0),"")</f>
        <v>0</v>
      </c>
      <c r="M828" s="337">
        <f>IFERROR(VLOOKUP($G828,今日總結!$A:$AN,38,0),"")</f>
        <v>3</v>
      </c>
      <c r="N828" s="240">
        <f t="shared" si="158"/>
        <v>-3</v>
      </c>
      <c r="O828" s="359">
        <f>IFERROR(VLOOKUP($G828,融外自投!$A:$J,7,0),"無")</f>
        <v>134</v>
      </c>
      <c r="P828" s="79">
        <f>IFERROR(VLOOKUP($G828,融外自投!$A:$J,9,0),"無")</f>
        <v>696</v>
      </c>
      <c r="Q828" s="342">
        <f>IFERROR(VLOOKUP($G828,融外自投!$A:$J,8,0),"無")</f>
        <v>482</v>
      </c>
      <c r="R828" s="81" t="str">
        <f>IFERROR(VLOOKUP($G828,融外自投!$A:$J,10,0),"無")</f>
        <v>無</v>
      </c>
      <c r="S828" s="324">
        <f>IFERROR(VLOOKUP($G828,'321買'!$A:$E,4,0),"'沒有資料'")</f>
        <v>253</v>
      </c>
      <c r="T828" s="186">
        <f>IFERROR(VLOOKUP($G828,基本資料!$A:$J,9,0),"無")</f>
        <v>0.6</v>
      </c>
      <c r="U828" s="307">
        <f t="shared" si="154"/>
        <v>3.4682080924855488E-2</v>
      </c>
      <c r="V828" s="94">
        <f>IFERROR(VLOOKUP($G828,基本資料!$A:$J,10,0),"無")</f>
        <v>0.9</v>
      </c>
      <c r="W828" s="36">
        <f>RTD("money.excel",,"3050","Price")</f>
        <v>17.3</v>
      </c>
      <c r="X828" s="66"/>
      <c r="Y828" s="15">
        <f t="shared" si="155"/>
        <v>17.3</v>
      </c>
      <c r="Z828" s="3" t="e">
        <f t="shared" si="156"/>
        <v>#DIV/0!</v>
      </c>
      <c r="AA828" s="340">
        <f>IFERROR(VLOOKUP($G828,基本資料!$A:$M,11,0),"無")</f>
        <v>-12.63</v>
      </c>
      <c r="AB828" s="389">
        <f>IFERROR(VLOOKUP($G828,基本資料!$A:$M,12,0),"無")</f>
        <v>36.229999999999997</v>
      </c>
      <c r="AC828" s="22" t="s">
        <v>4157</v>
      </c>
      <c r="AF828" s="33">
        <f t="shared" si="157"/>
        <v>0</v>
      </c>
      <c r="AG828" s="43" t="s">
        <v>4158</v>
      </c>
      <c r="AH828" s="66">
        <f t="shared" si="152"/>
        <v>0.72315789473684211</v>
      </c>
      <c r="AI828" s="283">
        <f>RTD("money.excel",,$G828,"PredictVolume")</f>
        <v>1374</v>
      </c>
      <c r="AJ828" s="391">
        <f>IFERROR(VLOOKUP($G828,基本資料!$A:$M,13,0),"無")</f>
        <v>1900</v>
      </c>
      <c r="AR828" s="245" t="str">
        <f>INDEX(基本資料!N:N,MATCH($G828,基本資料!A:A,0))</f>
        <v>中</v>
      </c>
    </row>
    <row r="829" spans="1:44">
      <c r="A829" s="343">
        <f>IFERROR(VLOOKUP($G829,基本資料!$A:$J,3,0),"無")</f>
        <v>17</v>
      </c>
      <c r="B829" s="79">
        <f>IFERROR(VLOOKUP($G829,基本資料!$A:$J,4,0),"無")</f>
        <v>4819</v>
      </c>
      <c r="C829" s="79">
        <f>IFERROR(VLOOKUP($G829,基本資料!$A:$J,5,0),"無")</f>
        <v>167</v>
      </c>
      <c r="D829" s="79">
        <f>IFERROR(VLOOKUP($G829,基本資料!$A:$J,6,0),"無")</f>
        <v>12</v>
      </c>
      <c r="E829" s="79">
        <f>IFERROR(VLOOKUP($G829,基本資料!$A:$J,7,0),"無")</f>
        <v>-4</v>
      </c>
      <c r="F829" s="6">
        <f>IFERROR(VLOOKUP($G829,基本資料!$A:$J,8,0),"無")</f>
        <v>9.93</v>
      </c>
      <c r="G829" s="79">
        <v>3051</v>
      </c>
      <c r="H829" s="8" t="s">
        <v>1877</v>
      </c>
      <c r="I829" s="22" t="s">
        <v>4159</v>
      </c>
      <c r="J829" s="8">
        <f>IFERROR(VLOOKUP($G829,今日總結!$A:$AN,39,0),"")</f>
        <v>0</v>
      </c>
      <c r="K829" s="5">
        <f>IFERROR(VLOOKUP($G829,今日總結!$A:$AN,40,0),"")</f>
        <v>0</v>
      </c>
      <c r="L829" s="156">
        <f>IFERROR(VLOOKUP($G829,今日總結!$A:$AN,37,0),"")</f>
        <v>0</v>
      </c>
      <c r="M829" s="337">
        <f>IFERROR(VLOOKUP($G829,今日總結!$A:$AN,38,0),"")</f>
        <v>0</v>
      </c>
      <c r="N829" s="240">
        <f t="shared" si="158"/>
        <v>0</v>
      </c>
      <c r="O829" s="359">
        <f>IFERROR(VLOOKUP($G829,融外自投!$A:$J,7,0),"無")</f>
        <v>1119</v>
      </c>
      <c r="P829" s="79">
        <f>IFERROR(VLOOKUP($G829,融外自投!$A:$J,9,0),"無")</f>
        <v>790</v>
      </c>
      <c r="Q829" s="342">
        <f>IFERROR(VLOOKUP($G829,融外自投!$A:$J,8,0),"無")</f>
        <v>1245</v>
      </c>
      <c r="R829" s="81" t="str">
        <f>IFERROR(VLOOKUP($G829,融外自投!$A:$J,10,0),"無")</f>
        <v>無</v>
      </c>
      <c r="S829" s="324">
        <f>IFERROR(VLOOKUP($G829,'321買'!$A:$E,4,0),"'沒有資料'")</f>
        <v>650</v>
      </c>
      <c r="T829" s="186">
        <f>IFERROR(VLOOKUP($G829,基本資料!$A:$J,9,0),"無")</f>
        <v>0</v>
      </c>
      <c r="U829" s="307">
        <f t="shared" si="154"/>
        <v>0</v>
      </c>
      <c r="V829" s="94">
        <f>IFERROR(VLOOKUP($G829,基本資料!$A:$J,10,0),"無")</f>
        <v>4.76</v>
      </c>
      <c r="W829" s="36">
        <f>RTD("money.excel",,"3051","Price")</f>
        <v>18.8</v>
      </c>
      <c r="X829" s="66"/>
      <c r="Y829" s="15">
        <f t="shared" si="155"/>
        <v>18.8</v>
      </c>
      <c r="Z829" s="3" t="e">
        <f t="shared" si="156"/>
        <v>#DIV/0!</v>
      </c>
      <c r="AA829" s="340">
        <f>IFERROR(VLOOKUP($G829,基本資料!$A:$M,11,0),"無")</f>
        <v>-55.08</v>
      </c>
      <c r="AB829" s="389">
        <f>IFERROR(VLOOKUP($G829,基本資料!$A:$M,12,0),"無")</f>
        <v>14.47</v>
      </c>
      <c r="AC829" s="22" t="s">
        <v>4159</v>
      </c>
      <c r="AF829" s="33">
        <f t="shared" si="157"/>
        <v>0</v>
      </c>
      <c r="AG829" s="43" t="s">
        <v>4160</v>
      </c>
      <c r="AH829" s="66">
        <f t="shared" si="152"/>
        <v>1.2762920357697636</v>
      </c>
      <c r="AI829" s="283">
        <f>RTD("money.excel",,$G829,"PredictVolume")</f>
        <v>1520</v>
      </c>
      <c r="AJ829" s="391">
        <f>IFERROR(VLOOKUP($G829,基本資料!$A:$M,13,0),"無")</f>
        <v>1190.95</v>
      </c>
      <c r="AR829" s="245" t="str">
        <f>INDEX(基本資料!N:N,MATCH($G829,基本資料!A:A,0))</f>
        <v>低</v>
      </c>
    </row>
    <row r="830" spans="1:44">
      <c r="A830" s="343">
        <f>IFERROR(VLOOKUP($G830,基本資料!$A:$J,3,0),"無")</f>
        <v>27.89</v>
      </c>
      <c r="B830" s="79">
        <f>IFERROR(VLOOKUP($G830,基本資料!$A:$J,4,0),"無")</f>
        <v>73</v>
      </c>
      <c r="C830" s="79">
        <f>IFERROR(VLOOKUP($G830,基本資料!$A:$J,5,0),"無")</f>
        <v>172</v>
      </c>
      <c r="D830" s="79">
        <f>IFERROR(VLOOKUP($G830,基本資料!$A:$J,6,0),"無")</f>
        <v>-54</v>
      </c>
      <c r="E830" s="79">
        <f>IFERROR(VLOOKUP($G830,基本資料!$A:$J,7,0),"無")</f>
        <v>-19</v>
      </c>
      <c r="F830" s="6">
        <f>IFERROR(VLOOKUP($G830,基本資料!$A:$J,8,0),"無")</f>
        <v>2.56</v>
      </c>
      <c r="G830" s="79">
        <v>3059</v>
      </c>
      <c r="H830" s="195" t="s">
        <v>1877</v>
      </c>
      <c r="I830" s="22" t="s">
        <v>4161</v>
      </c>
      <c r="J830" s="8">
        <f>IFERROR(VLOOKUP($G830,今日總結!$A:$AN,39,0),"")</f>
        <v>4</v>
      </c>
      <c r="K830" s="5">
        <f>IFERROR(VLOOKUP($G830,今日總結!$A:$AN,40,0),"")</f>
        <v>0</v>
      </c>
      <c r="L830" s="156">
        <f>IFERROR(VLOOKUP($G830,今日總結!$A:$AN,37,0),"")</f>
        <v>1</v>
      </c>
      <c r="M830" s="337">
        <f>IFERROR(VLOOKUP($G830,今日總結!$A:$AN,38,0),"")</f>
        <v>0</v>
      </c>
      <c r="N830" s="240">
        <f t="shared" si="158"/>
        <v>1</v>
      </c>
      <c r="O830" s="359">
        <f>IFERROR(VLOOKUP($G830,融外自投!$A:$J,7,0),"無")</f>
        <v>210</v>
      </c>
      <c r="P830" s="79">
        <f>IFERROR(VLOOKUP($G830,融外自投!$A:$J,9,0),"無")</f>
        <v>218</v>
      </c>
      <c r="Q830" s="342">
        <f>IFERROR(VLOOKUP($G830,融外自投!$A:$J,8,0),"無")</f>
        <v>426</v>
      </c>
      <c r="R830" s="81">
        <f>IFERROR(VLOOKUP($G830,融外自投!$A:$J,10,0),"無")</f>
        <v>136</v>
      </c>
      <c r="S830" s="324">
        <f>IFERROR(VLOOKUP($G830,'321買'!$A:$E,4,0),"'沒有資料'")</f>
        <v>79</v>
      </c>
      <c r="T830" s="186">
        <f>IFERROR(VLOOKUP($G830,基本資料!$A:$J,9,0),"無")</f>
        <v>0.7</v>
      </c>
      <c r="U830" s="307">
        <f t="shared" si="154"/>
        <v>1.9471488178025031E-2</v>
      </c>
      <c r="V830" s="94">
        <f>IFERROR(VLOOKUP($G830,基本資料!$A:$J,10,0),"無")</f>
        <v>0.85</v>
      </c>
      <c r="W830" s="36">
        <f>RTD("money.excel",,"3059","Price")</f>
        <v>35.950000000000003</v>
      </c>
      <c r="X830" s="66"/>
      <c r="Y830" s="15">
        <f t="shared" si="155"/>
        <v>35.950000000000003</v>
      </c>
      <c r="Z830" s="3" t="e">
        <f t="shared" si="156"/>
        <v>#DIV/0!</v>
      </c>
      <c r="AA830" s="340">
        <f>IFERROR(VLOOKUP($G830,基本資料!$A:$M,11,0),"無")</f>
        <v>-32.17</v>
      </c>
      <c r="AB830" s="389">
        <f>IFERROR(VLOOKUP($G830,基本資料!$A:$M,12,0),"無")</f>
        <v>22.65</v>
      </c>
      <c r="AC830" s="22" t="s">
        <v>4161</v>
      </c>
      <c r="AF830" s="33">
        <f t="shared" si="157"/>
        <v>0</v>
      </c>
      <c r="AG830" s="117" t="s">
        <v>4162</v>
      </c>
      <c r="AH830" s="66">
        <f t="shared" si="152"/>
        <v>2.0021235040438334</v>
      </c>
      <c r="AI830" s="283">
        <f>RTD("money.excel",,$G830,"PredictVolume")</f>
        <v>7637</v>
      </c>
      <c r="AJ830" s="391">
        <f>IFERROR(VLOOKUP($G830,基本資料!$A:$M,13,0),"無")</f>
        <v>3814.45</v>
      </c>
      <c r="AR830" s="245" t="str">
        <f>INDEX(基本資料!N:N,MATCH($G830,基本資料!A:A,0))</f>
        <v>低</v>
      </c>
    </row>
    <row r="831" spans="1:44">
      <c r="A831" s="343">
        <f>IFERROR(VLOOKUP($G831,基本資料!$A:$J,3,0),"無")</f>
        <v>8.3000000000000007</v>
      </c>
      <c r="B831" s="79">
        <f>IFERROR(VLOOKUP($G831,基本資料!$A:$J,4,0),"無")</f>
        <v>343</v>
      </c>
      <c r="C831" s="79">
        <f>IFERROR(VLOOKUP($G831,基本資料!$A:$J,5,0),"無")</f>
        <v>156</v>
      </c>
      <c r="D831" s="79">
        <f>IFERROR(VLOOKUP($G831,基本資料!$A:$J,6,0),"無")</f>
        <v>-28</v>
      </c>
      <c r="E831" s="79">
        <f>IFERROR(VLOOKUP($G831,基本資料!$A:$J,7,0),"無")</f>
        <v>-44</v>
      </c>
      <c r="F831" s="6">
        <f>IFERROR(VLOOKUP($G831,基本資料!$A:$J,8,0),"無")</f>
        <v>4.62</v>
      </c>
      <c r="G831" s="79">
        <v>3066</v>
      </c>
      <c r="H831" s="8" t="s">
        <v>1877</v>
      </c>
      <c r="I831" s="16" t="s">
        <v>4163</v>
      </c>
      <c r="J831" s="8" t="str">
        <f>IFERROR(VLOOKUP($G831,今日總結!$A:$AN,39,0),"")</f>
        <v>融</v>
      </c>
      <c r="K831" s="5">
        <f>IFERROR(VLOOKUP($G831,今日總結!$A:$AN,40,0),"")</f>
        <v>0</v>
      </c>
      <c r="L831" s="156">
        <f>IFERROR(VLOOKUP($G831,今日總結!$A:$AN,37,0),"")</f>
        <v>2</v>
      </c>
      <c r="M831" s="337">
        <f>IFERROR(VLOOKUP($G831,今日總結!$A:$AN,38,0),"")</f>
        <v>0</v>
      </c>
      <c r="N831" s="240">
        <f t="shared" si="158"/>
        <v>2</v>
      </c>
      <c r="O831" s="359">
        <f>IFERROR(VLOOKUP($G831,融外自投!$A:$J,7,0),"無")</f>
        <v>1158</v>
      </c>
      <c r="P831" s="79">
        <f>IFERROR(VLOOKUP($G831,融外自投!$A:$J,9,0),"無")</f>
        <v>1123</v>
      </c>
      <c r="Q831" s="342">
        <f>IFERROR(VLOOKUP($G831,融外自投!$A:$J,8,0),"無")</f>
        <v>1446</v>
      </c>
      <c r="R831" s="81" t="str">
        <f>IFERROR(VLOOKUP($G831,融外自投!$A:$J,10,0),"無")</f>
        <v>無</v>
      </c>
      <c r="S831" s="324">
        <f>IFERROR(VLOOKUP($G831,'321買'!$A:$E,4,0),"'沒有資料'")</f>
        <v>891</v>
      </c>
      <c r="T831" s="186">
        <f>IFERROR(VLOOKUP($G831,基本資料!$A:$J,9,0),"無")</f>
        <v>0</v>
      </c>
      <c r="U831" s="307">
        <f t="shared" si="154"/>
        <v>0</v>
      </c>
      <c r="V831" s="94">
        <f>IFERROR(VLOOKUP($G831,基本資料!$A:$J,10,0),"無")</f>
        <v>2.08</v>
      </c>
      <c r="W831" s="36">
        <f>RTD("money.excel",,"3066","Price")</f>
        <v>30.35</v>
      </c>
      <c r="X831" s="66"/>
      <c r="Y831" s="15">
        <f t="shared" si="155"/>
        <v>30.35</v>
      </c>
      <c r="Z831" s="3" t="e">
        <f t="shared" si="156"/>
        <v>#DIV/0!</v>
      </c>
      <c r="AA831" s="340">
        <f>IFERROR(VLOOKUP($G831,基本資料!$A:$M,11,0),"無")</f>
        <v>-37.03</v>
      </c>
      <c r="AB831" s="389">
        <f>IFERROR(VLOOKUP($G831,基本資料!$A:$M,12,0),"無")</f>
        <v>19.84</v>
      </c>
      <c r="AC831" s="16" t="s">
        <v>4163</v>
      </c>
      <c r="AF831" s="33">
        <f t="shared" si="157"/>
        <v>0</v>
      </c>
      <c r="AG831" s="43" t="s">
        <v>4152</v>
      </c>
      <c r="AH831" s="66">
        <f t="shared" si="152"/>
        <v>1.4015304067660088</v>
      </c>
      <c r="AI831" s="283">
        <f>RTD("money.excel",,$G831,"PredictVolume")</f>
        <v>348</v>
      </c>
      <c r="AJ831" s="391">
        <f>IFERROR(VLOOKUP($G831,基本資料!$A:$M,13,0),"無")</f>
        <v>248.3</v>
      </c>
      <c r="AR831" s="245" t="str">
        <f>INDEX(基本資料!N:N,MATCH($G831,基本資料!A:A,0))</f>
        <v>中</v>
      </c>
    </row>
    <row r="832" spans="1:44">
      <c r="A832" s="343">
        <f>IFERROR(VLOOKUP($G832,基本資料!$A:$J,3,0),"無")</f>
        <v>4.2</v>
      </c>
      <c r="B832" s="79">
        <f>IFERROR(VLOOKUP($G832,基本資料!$A:$J,4,0),"無")</f>
        <v>29</v>
      </c>
      <c r="C832" s="79">
        <f>IFERROR(VLOOKUP($G832,基本資料!$A:$J,5,0),"無")</f>
        <v>10</v>
      </c>
      <c r="D832" s="79">
        <f>IFERROR(VLOOKUP($G832,基本資料!$A:$J,6,0),"無")</f>
        <v>-17</v>
      </c>
      <c r="E832" s="79">
        <f>IFERROR(VLOOKUP($G832,基本資料!$A:$J,7,0),"無")</f>
        <v>33</v>
      </c>
      <c r="F832" s="6">
        <f>IFERROR(VLOOKUP($G832,基本資料!$A:$J,8,0),"無")</f>
        <v>4.04</v>
      </c>
      <c r="G832" s="79">
        <v>3128</v>
      </c>
      <c r="H832" s="8" t="s">
        <v>1877</v>
      </c>
      <c r="I832" s="16" t="s">
        <v>4164</v>
      </c>
      <c r="J832" s="8">
        <f>IFERROR(VLOOKUP($G832,今日總結!$A:$AN,39,0),"")</f>
        <v>0</v>
      </c>
      <c r="K832" s="5">
        <f>IFERROR(VLOOKUP($G832,今日總結!$A:$AN,40,0),"")</f>
        <v>5</v>
      </c>
      <c r="L832" s="156">
        <f>IFERROR(VLOOKUP($G832,今日總結!$A:$AN,37,0),"")</f>
        <v>0</v>
      </c>
      <c r="M832" s="337">
        <f>IFERROR(VLOOKUP($G832,今日總結!$A:$AN,38,0),"")</f>
        <v>1</v>
      </c>
      <c r="N832" s="240">
        <f t="shared" si="158"/>
        <v>-1</v>
      </c>
      <c r="O832" s="359">
        <f>IFERROR(VLOOKUP($G832,融外自投!$A:$J,7,0),"無")</f>
        <v>165</v>
      </c>
      <c r="P832" s="79">
        <f>IFERROR(VLOOKUP($G832,融外自投!$A:$J,9,0),"無")</f>
        <v>225</v>
      </c>
      <c r="Q832" s="342">
        <f>IFERROR(VLOOKUP($G832,融外自投!$A:$J,8,0),"無")</f>
        <v>938</v>
      </c>
      <c r="R832" s="81" t="str">
        <f>IFERROR(VLOOKUP($G832,融外自投!$A:$J,10,0),"無")</f>
        <v>無</v>
      </c>
      <c r="S832" s="324">
        <f>IFERROR(VLOOKUP($G832,'321買'!$A:$E,4,0),"'沒有資料'")</f>
        <v>244</v>
      </c>
      <c r="T832" s="186">
        <f>IFERROR(VLOOKUP($G832,基本資料!$A:$J,9,0),"無")</f>
        <v>0.7</v>
      </c>
      <c r="U832" s="307">
        <f t="shared" si="154"/>
        <v>3.8147138964577651E-2</v>
      </c>
      <c r="V832" s="94">
        <f>IFERROR(VLOOKUP($G832,基本資料!$A:$J,10,0),"無")</f>
        <v>0.8</v>
      </c>
      <c r="W832" s="36">
        <f>RTD("money.excel",,"3128","Price")</f>
        <v>18.350000000000001</v>
      </c>
      <c r="X832" s="66"/>
      <c r="Y832" s="15">
        <f t="shared" si="155"/>
        <v>18.350000000000001</v>
      </c>
      <c r="Z832" s="3" t="e">
        <f t="shared" si="156"/>
        <v>#DIV/0!</v>
      </c>
      <c r="AA832" s="340">
        <f>IFERROR(VLOOKUP($G832,基本資料!$A:$M,11,0),"無")</f>
        <v>-36.51</v>
      </c>
      <c r="AB832" s="389">
        <f>IFERROR(VLOOKUP($G832,基本資料!$A:$M,12,0),"無")</f>
        <v>27.37</v>
      </c>
      <c r="AC832" s="16" t="s">
        <v>4164</v>
      </c>
      <c r="AF832" s="33">
        <f t="shared" si="157"/>
        <v>0</v>
      </c>
      <c r="AG832" s="43" t="s">
        <v>4165</v>
      </c>
      <c r="AH832" s="66">
        <f t="shared" si="152"/>
        <v>0.6197802197802198</v>
      </c>
      <c r="AI832" s="283">
        <f>RTD("money.excel",,$G832,"PredictVolume")</f>
        <v>141</v>
      </c>
      <c r="AJ832" s="391">
        <f>IFERROR(VLOOKUP($G832,基本資料!$A:$M,13,0),"無")</f>
        <v>227.5</v>
      </c>
      <c r="AR832" s="245" t="str">
        <f>INDEX(基本資料!N:N,MATCH($G832,基本資料!A:A,0))</f>
        <v>低</v>
      </c>
    </row>
    <row r="833" spans="1:44">
      <c r="A833" s="343">
        <f>IFERROR(VLOOKUP($G833,基本資料!$A:$J,3,0),"無")</f>
        <v>22.33</v>
      </c>
      <c r="B833" s="79">
        <f>IFERROR(VLOOKUP($G833,基本資料!$A:$J,4,0),"無")</f>
        <v>58</v>
      </c>
      <c r="C833" s="79">
        <f>IFERROR(VLOOKUP($G833,基本資料!$A:$J,5,0),"無")</f>
        <v>54</v>
      </c>
      <c r="D833" s="79">
        <f>IFERROR(VLOOKUP($G833,基本資料!$A:$J,6,0),"無")</f>
        <v>37</v>
      </c>
      <c r="E833" s="79">
        <f>IFERROR(VLOOKUP($G833,基本資料!$A:$J,7,0),"無")</f>
        <v>13</v>
      </c>
      <c r="F833" s="6">
        <f>IFERROR(VLOOKUP($G833,基本資料!$A:$J,8,0),"無")</f>
        <v>-7.59</v>
      </c>
      <c r="G833" s="79">
        <v>3149</v>
      </c>
      <c r="H833" s="8" t="s">
        <v>1877</v>
      </c>
      <c r="I833" s="22" t="s">
        <v>4166</v>
      </c>
      <c r="J833" s="8" t="str">
        <f>IFERROR(VLOOKUP($G833,今日總結!$A:$AN,39,0),"")</f>
        <v/>
      </c>
      <c r="K833" s="5" t="str">
        <f>IFERROR(VLOOKUP($G833,今日總結!$A:$AN,40,0),"")</f>
        <v/>
      </c>
      <c r="L833" s="156" t="str">
        <f>IFERROR(VLOOKUP($G833,今日總結!$A:$AN,37,0),"")</f>
        <v/>
      </c>
      <c r="M833" s="337" t="str">
        <f>IFERROR(VLOOKUP($G833,今日總結!$A:$AN,38,0),"")</f>
        <v/>
      </c>
      <c r="N833" s="240" t="str">
        <f t="shared" si="158"/>
        <v/>
      </c>
      <c r="O833" s="359" t="str">
        <f>IFERROR(VLOOKUP($G833,融外自投!$A:$J,7,0),"無")</f>
        <v>無</v>
      </c>
      <c r="P833" s="79" t="str">
        <f>IFERROR(VLOOKUP($G833,融外自投!$A:$J,9,0),"無")</f>
        <v>無</v>
      </c>
      <c r="Q833" s="342" t="str">
        <f>IFERROR(VLOOKUP($G833,融外自投!$A:$J,8,0),"無")</f>
        <v>無</v>
      </c>
      <c r="R833" s="81" t="str">
        <f>IFERROR(VLOOKUP($G833,融外自投!$A:$J,10,0),"無")</f>
        <v>無</v>
      </c>
      <c r="S833" s="324" t="str">
        <f>IFERROR(VLOOKUP($G833,'321買'!$A:$E,4,0),"'沒有資料'")</f>
        <v>'沒有資料'</v>
      </c>
      <c r="T833" s="186">
        <f>IFERROR(VLOOKUP($G833,基本資料!$A:$J,9,0),"無")</f>
        <v>0</v>
      </c>
      <c r="U833" s="307">
        <f t="shared" si="154"/>
        <v>0</v>
      </c>
      <c r="V833" s="94">
        <f>IFERROR(VLOOKUP($G833,基本資料!$A:$J,10,0),"無")</f>
        <v>-0.59</v>
      </c>
      <c r="W833" s="36">
        <f>RTD("money.excel",,"3149","Price")</f>
        <v>22.45</v>
      </c>
      <c r="X833" s="66"/>
      <c r="Y833" s="15">
        <f t="shared" si="155"/>
        <v>22.45</v>
      </c>
      <c r="Z833" s="3" t="e">
        <f t="shared" si="156"/>
        <v>#DIV/0!</v>
      </c>
      <c r="AA833" s="340">
        <f>IFERROR(VLOOKUP($G833,基本資料!$A:$M,11,0),"無")</f>
        <v>-54.04</v>
      </c>
      <c r="AB833" s="389">
        <f>IFERROR(VLOOKUP($G833,基本資料!$A:$M,12,0),"無")</f>
        <v>29.43</v>
      </c>
      <c r="AC833" s="22" t="s">
        <v>4166</v>
      </c>
      <c r="AF833" s="33">
        <f t="shared" si="157"/>
        <v>0</v>
      </c>
      <c r="AG833" s="117" t="s">
        <v>4167</v>
      </c>
      <c r="AH833" s="66">
        <f t="shared" si="152"/>
        <v>0.81294577805046397</v>
      </c>
      <c r="AI833" s="283">
        <f>RTD("money.excel",,$G833,"PredictVolume")</f>
        <v>530</v>
      </c>
      <c r="AJ833" s="391">
        <f>IFERROR(VLOOKUP($G833,基本資料!$A:$M,13,0),"無")</f>
        <v>651.95000000000005</v>
      </c>
      <c r="AR833" s="245" t="str">
        <f>INDEX(基本資料!N:N,MATCH($G833,基本資料!A:A,0))</f>
        <v>低</v>
      </c>
    </row>
    <row r="834" spans="1:44">
      <c r="A834" s="343">
        <f>IFERROR(VLOOKUP($G834,基本資料!$A:$J,3,0),"無")</f>
        <v>7.1</v>
      </c>
      <c r="B834" s="79">
        <f>IFERROR(VLOOKUP($G834,基本資料!$A:$J,4,0),"無")</f>
        <v>-362</v>
      </c>
      <c r="C834" s="79">
        <f>IFERROR(VLOOKUP($G834,基本資料!$A:$J,5,0),"無")</f>
        <v>-80</v>
      </c>
      <c r="D834" s="79">
        <f>IFERROR(VLOOKUP($G834,基本資料!$A:$J,6,0),"無")</f>
        <v>-15</v>
      </c>
      <c r="E834" s="79">
        <f>IFERROR(VLOOKUP($G834,基本資料!$A:$J,7,0),"無")</f>
        <v>-41</v>
      </c>
      <c r="F834" s="6">
        <f>IFERROR(VLOOKUP($G834,基本資料!$A:$J,8,0),"無")</f>
        <v>0.74</v>
      </c>
      <c r="G834" s="79">
        <v>3230</v>
      </c>
      <c r="H834" s="8" t="s">
        <v>1877</v>
      </c>
      <c r="I834" s="16" t="s">
        <v>4168</v>
      </c>
      <c r="J834" s="8" t="str">
        <f>IFERROR(VLOOKUP($G834,今日總結!$A:$AN,39,0),"")</f>
        <v>主</v>
      </c>
      <c r="K834" s="5">
        <f>IFERROR(VLOOKUP($G834,今日總結!$A:$AN,40,0),"")</f>
        <v>0</v>
      </c>
      <c r="L834" s="156">
        <f>IFERROR(VLOOKUP($G834,今日總結!$A:$AN,37,0),"")</f>
        <v>1</v>
      </c>
      <c r="M834" s="337">
        <f>IFERROR(VLOOKUP($G834,今日總結!$A:$AN,38,0),"")</f>
        <v>0</v>
      </c>
      <c r="N834" s="240">
        <f t="shared" si="158"/>
        <v>1</v>
      </c>
      <c r="O834" s="359">
        <f>IFERROR(VLOOKUP($G834,融外自投!$A:$J,7,0),"無")</f>
        <v>32</v>
      </c>
      <c r="P834" s="79" t="str">
        <f>IFERROR(VLOOKUP($G834,融外自投!$A:$J,9,0),"無")</f>
        <v>無</v>
      </c>
      <c r="Q834" s="342">
        <f>IFERROR(VLOOKUP($G834,融外自投!$A:$J,8,0),"無")</f>
        <v>1344</v>
      </c>
      <c r="R834" s="81" t="str">
        <f>IFERROR(VLOOKUP($G834,融外自投!$A:$J,10,0),"無")</f>
        <v>無</v>
      </c>
      <c r="S834" s="324">
        <f>IFERROR(VLOOKUP($G834,'321買'!$A:$E,4,0),"'沒有資料'")</f>
        <v>530</v>
      </c>
      <c r="T834" s="186">
        <f>IFERROR(VLOOKUP($G834,基本資料!$A:$J,9,0),"無")</f>
        <v>0</v>
      </c>
      <c r="U834" s="307">
        <f t="shared" si="154"/>
        <v>0</v>
      </c>
      <c r="V834" s="94">
        <f>IFERROR(VLOOKUP($G834,基本資料!$A:$J,10,0),"無")</f>
        <v>-0.51</v>
      </c>
      <c r="W834" s="36">
        <f>RTD("money.excel",,"3230","Price")</f>
        <v>17.2</v>
      </c>
      <c r="X834" s="66"/>
      <c r="Y834" s="15">
        <f t="shared" si="155"/>
        <v>17.2</v>
      </c>
      <c r="Z834" s="3" t="e">
        <f t="shared" si="156"/>
        <v>#DIV/0!</v>
      </c>
      <c r="AA834" s="340">
        <f>IFERROR(VLOOKUP($G834,基本資料!$A:$M,11,0),"無")</f>
        <v>-26.34</v>
      </c>
      <c r="AB834" s="389">
        <f>IFERROR(VLOOKUP($G834,基本資料!$A:$M,12,0),"無")</f>
        <v>47.21</v>
      </c>
      <c r="AC834" s="16" t="s">
        <v>4168</v>
      </c>
      <c r="AF834" s="33">
        <f t="shared" si="157"/>
        <v>0</v>
      </c>
      <c r="AG834" s="43" t="s">
        <v>2431</v>
      </c>
      <c r="AH834" s="66">
        <f t="shared" si="152"/>
        <v>0.86522462562395996</v>
      </c>
      <c r="AI834" s="283">
        <f>RTD("money.excel",,$G834,"PredictVolume")</f>
        <v>156</v>
      </c>
      <c r="AJ834" s="391">
        <f>IFERROR(VLOOKUP($G834,基本資料!$A:$M,13,0),"無")</f>
        <v>180.3</v>
      </c>
      <c r="AR834" s="245" t="str">
        <f>INDEX(基本資料!N:N,MATCH($G834,基本資料!A:A,0))</f>
        <v>低</v>
      </c>
    </row>
    <row r="835" spans="1:44">
      <c r="A835" s="343">
        <f>IFERROR(VLOOKUP($G835,基本資料!$A:$J,3,0),"無")</f>
        <v>3.6</v>
      </c>
      <c r="B835" s="79">
        <f>IFERROR(VLOOKUP($G835,基本資料!$A:$J,4,0),"無")</f>
        <v>77</v>
      </c>
      <c r="C835" s="79">
        <f>IFERROR(VLOOKUP($G835,基本資料!$A:$J,5,0),"無")</f>
        <v>103</v>
      </c>
      <c r="D835" s="79">
        <f>IFERROR(VLOOKUP($G835,基本資料!$A:$J,6,0),"無")</f>
        <v>16</v>
      </c>
      <c r="E835" s="79">
        <f>IFERROR(VLOOKUP($G835,基本資料!$A:$J,7,0),"無")</f>
        <v>22</v>
      </c>
      <c r="F835" s="6">
        <f>IFERROR(VLOOKUP($G835,基本資料!$A:$J,8,0),"無")</f>
        <v>0.63</v>
      </c>
      <c r="G835" s="79">
        <v>3297</v>
      </c>
      <c r="H835" s="8" t="s">
        <v>1877</v>
      </c>
      <c r="I835" s="16" t="s">
        <v>4169</v>
      </c>
      <c r="J835" s="8">
        <f>IFERROR(VLOOKUP($G835,今日總結!$A:$AN,39,0),"")</f>
        <v>0</v>
      </c>
      <c r="K835" s="5">
        <f>IFERROR(VLOOKUP($G835,今日總結!$A:$AN,40,0),"")</f>
        <v>0</v>
      </c>
      <c r="L835" s="156">
        <f>IFERROR(VLOOKUP($G835,今日總結!$A:$AN,37,0),"")</f>
        <v>0</v>
      </c>
      <c r="M835" s="337">
        <f>IFERROR(VLOOKUP($G835,今日總結!$A:$AN,38,0),"")</f>
        <v>0</v>
      </c>
      <c r="N835" s="240">
        <f t="shared" si="158"/>
        <v>0</v>
      </c>
      <c r="O835" s="359">
        <f>IFERROR(VLOOKUP($G835,融外自投!$A:$J,7,0),"無")</f>
        <v>607</v>
      </c>
      <c r="P835" s="79">
        <f>IFERROR(VLOOKUP($G835,融外自投!$A:$J,9,0),"無")</f>
        <v>525</v>
      </c>
      <c r="Q835" s="342">
        <f>IFERROR(VLOOKUP($G835,融外自投!$A:$J,8,0),"無")</f>
        <v>1140</v>
      </c>
      <c r="R835" s="81" t="str">
        <f>IFERROR(VLOOKUP($G835,融外自投!$A:$J,10,0),"無")</f>
        <v>無</v>
      </c>
      <c r="S835" s="324">
        <f>IFERROR(VLOOKUP($G835,'321買'!$A:$E,4,0),"'沒有資料'")</f>
        <v>465</v>
      </c>
      <c r="T835" s="186">
        <f>IFERROR(VLOOKUP($G835,基本資料!$A:$J,9,0),"無")</f>
        <v>0</v>
      </c>
      <c r="U835" s="307">
        <f t="shared" si="154"/>
        <v>0</v>
      </c>
      <c r="V835" s="94">
        <f>IFERROR(VLOOKUP($G835,基本資料!$A:$J,10,0),"無")</f>
        <v>-0.42</v>
      </c>
      <c r="W835" s="36">
        <f>RTD("money.excel",,"3297","Price")</f>
        <v>15.2</v>
      </c>
      <c r="X835" s="66"/>
      <c r="Y835" s="15">
        <f t="shared" si="155"/>
        <v>15.2</v>
      </c>
      <c r="Z835" s="3" t="e">
        <f t="shared" si="156"/>
        <v>#DIV/0!</v>
      </c>
      <c r="AA835" s="340">
        <f>IFERROR(VLOOKUP($G835,基本資料!$A:$M,11,0),"無")</f>
        <v>-38.96</v>
      </c>
      <c r="AB835" s="389">
        <f>IFERROR(VLOOKUP($G835,基本資料!$A:$M,12,0),"無")</f>
        <v>26.21</v>
      </c>
      <c r="AC835" s="16" t="s">
        <v>4169</v>
      </c>
      <c r="AF835" s="33">
        <f t="shared" si="157"/>
        <v>0</v>
      </c>
      <c r="AG835" s="43" t="s">
        <v>4170</v>
      </c>
      <c r="AH835" s="66">
        <f t="shared" si="152"/>
        <v>1.8201634877384196</v>
      </c>
      <c r="AI835" s="283">
        <f>RTD("money.excel",,$G835,"PredictVolume")</f>
        <v>167</v>
      </c>
      <c r="AJ835" s="391">
        <f>IFERROR(VLOOKUP($G835,基本資料!$A:$M,13,0),"無")</f>
        <v>91.75</v>
      </c>
      <c r="AR835" s="245" t="str">
        <f>INDEX(基本資料!N:N,MATCH($G835,基本資料!A:A,0))</f>
        <v>低</v>
      </c>
    </row>
    <row r="836" spans="1:44">
      <c r="A836" s="343">
        <f>IFERROR(VLOOKUP($G836,基本資料!$A:$J,3,0),"無")</f>
        <v>5.16</v>
      </c>
      <c r="B836" s="79">
        <f>IFERROR(VLOOKUP($G836,基本資料!$A:$J,4,0),"無")</f>
        <v>251</v>
      </c>
      <c r="C836" s="79">
        <f>IFERROR(VLOOKUP($G836,基本資料!$A:$J,5,0),"無")</f>
        <v>82</v>
      </c>
      <c r="D836" s="79">
        <f>IFERROR(VLOOKUP($G836,基本資料!$A:$J,6,0),"無")</f>
        <v>-12</v>
      </c>
      <c r="E836" s="79">
        <f>IFERROR(VLOOKUP($G836,基本資料!$A:$J,7,0),"無")</f>
        <v>-31</v>
      </c>
      <c r="F836" s="6">
        <f>IFERROR(VLOOKUP($G836,基本資料!$A:$J,8,0),"無")</f>
        <v>-1.1100000000000001</v>
      </c>
      <c r="G836" s="79">
        <v>3339</v>
      </c>
      <c r="H836" s="8" t="s">
        <v>1877</v>
      </c>
      <c r="I836" s="16" t="s">
        <v>4171</v>
      </c>
      <c r="J836" s="8">
        <f>IFERROR(VLOOKUP($G836,今日總結!$A:$AN,39,0),"")</f>
        <v>0</v>
      </c>
      <c r="K836" s="5">
        <f>IFERROR(VLOOKUP($G836,今日總結!$A:$AN,40,0),"")</f>
        <v>0</v>
      </c>
      <c r="L836" s="156">
        <f>IFERROR(VLOOKUP($G836,今日總結!$A:$AN,37,0),"")</f>
        <v>0</v>
      </c>
      <c r="M836" s="337">
        <f>IFERROR(VLOOKUP($G836,今日總結!$A:$AN,38,0),"")</f>
        <v>0</v>
      </c>
      <c r="N836" s="240">
        <f t="shared" si="158"/>
        <v>0</v>
      </c>
      <c r="O836" s="359">
        <f>IFERROR(VLOOKUP($G836,融外自投!$A:$J,7,0),"無")</f>
        <v>208</v>
      </c>
      <c r="P836" s="79">
        <f>IFERROR(VLOOKUP($G836,融外自投!$A:$J,9,0),"無")</f>
        <v>365</v>
      </c>
      <c r="Q836" s="342">
        <f>IFERROR(VLOOKUP($G836,融外自投!$A:$J,8,0),"無")</f>
        <v>941</v>
      </c>
      <c r="R836" s="81" t="str">
        <f>IFERROR(VLOOKUP($G836,融外自投!$A:$J,10,0),"無")</f>
        <v>無</v>
      </c>
      <c r="S836" s="324">
        <f>IFERROR(VLOOKUP($G836,'321買'!$A:$E,4,0),"'沒有資料'")</f>
        <v>565</v>
      </c>
      <c r="T836" s="186">
        <f>IFERROR(VLOOKUP($G836,基本資料!$A:$J,9,0),"無")</f>
        <v>0</v>
      </c>
      <c r="U836" s="307">
        <f t="shared" si="154"/>
        <v>0</v>
      </c>
      <c r="V836" s="94">
        <f>IFERROR(VLOOKUP($G836,基本資料!$A:$J,10,0),"無")</f>
        <v>1.77</v>
      </c>
      <c r="W836" s="36">
        <f>RTD("money.excel",,"3339","Price")</f>
        <v>13.7</v>
      </c>
      <c r="X836" s="66"/>
      <c r="Y836" s="15">
        <f t="shared" si="155"/>
        <v>13.7</v>
      </c>
      <c r="Z836" s="3" t="e">
        <f t="shared" si="156"/>
        <v>#DIV/0!</v>
      </c>
      <c r="AA836" s="340">
        <f>IFERROR(VLOOKUP($G836,基本資料!$A:$M,11,0),"無")</f>
        <v>-58.67</v>
      </c>
      <c r="AB836" s="389">
        <f>IFERROR(VLOOKUP($G836,基本資料!$A:$M,12,0),"無")</f>
        <v>5.32</v>
      </c>
      <c r="AC836" s="16" t="s">
        <v>4171</v>
      </c>
      <c r="AF836" s="33">
        <f t="shared" si="157"/>
        <v>0</v>
      </c>
      <c r="AG836" s="43" t="s">
        <v>2432</v>
      </c>
      <c r="AH836" s="66">
        <f t="shared" si="152"/>
        <v>0.69963811821471644</v>
      </c>
      <c r="AI836" s="283">
        <f>RTD("money.excel",,$G836,"PredictVolume")</f>
        <v>116</v>
      </c>
      <c r="AJ836" s="391">
        <f>IFERROR(VLOOKUP($G836,基本資料!$A:$M,13,0),"無")</f>
        <v>165.8</v>
      </c>
      <c r="AR836" s="245" t="str">
        <f>INDEX(基本資料!N:N,MATCH($G836,基本資料!A:A,0))</f>
        <v>低</v>
      </c>
    </row>
    <row r="837" spans="1:44">
      <c r="A837" s="343">
        <f>IFERROR(VLOOKUP($G837,基本資料!$A:$J,3,0),"無")</f>
        <v>8.98</v>
      </c>
      <c r="B837" s="79">
        <f>IFERROR(VLOOKUP($G837,基本資料!$A:$J,4,0),"無")</f>
        <v>11</v>
      </c>
      <c r="C837" s="79">
        <f>IFERROR(VLOOKUP($G837,基本資料!$A:$J,5,0),"無")</f>
        <v>261</v>
      </c>
      <c r="D837" s="79">
        <f>IFERROR(VLOOKUP($G837,基本資料!$A:$J,6,0),"無")</f>
        <v>-10</v>
      </c>
      <c r="E837" s="79">
        <f>IFERROR(VLOOKUP($G837,基本資料!$A:$J,7,0),"無")</f>
        <v>-5</v>
      </c>
      <c r="F837" s="6">
        <f>IFERROR(VLOOKUP($G837,基本資料!$A:$J,8,0),"無")</f>
        <v>12.35</v>
      </c>
      <c r="G837" s="79">
        <v>3356</v>
      </c>
      <c r="H837" s="8" t="s">
        <v>1877</v>
      </c>
      <c r="I837" s="22" t="s">
        <v>4172</v>
      </c>
      <c r="J837" s="8">
        <f>IFERROR(VLOOKUP($G837,今日總結!$A:$AN,39,0),"")</f>
        <v>0</v>
      </c>
      <c r="K837" s="5">
        <f>IFERROR(VLOOKUP($G837,今日總結!$A:$AN,40,0),"")</f>
        <v>0</v>
      </c>
      <c r="L837" s="156">
        <f>IFERROR(VLOOKUP($G837,今日總結!$A:$AN,37,0),"")</f>
        <v>0</v>
      </c>
      <c r="M837" s="337">
        <f>IFERROR(VLOOKUP($G837,今日總結!$A:$AN,38,0),"")</f>
        <v>0</v>
      </c>
      <c r="N837" s="240">
        <f t="shared" si="158"/>
        <v>0</v>
      </c>
      <c r="O837" s="359">
        <f>IFERROR(VLOOKUP($G837,融外自投!$A:$J,7,0),"無")</f>
        <v>498</v>
      </c>
      <c r="P837" s="79">
        <f>IFERROR(VLOOKUP($G837,融外自投!$A:$J,9,0),"無")</f>
        <v>696</v>
      </c>
      <c r="Q837" s="342">
        <f>IFERROR(VLOOKUP($G837,融外自投!$A:$J,8,0),"無")</f>
        <v>875</v>
      </c>
      <c r="R837" s="81" t="str">
        <f>IFERROR(VLOOKUP($G837,融外自投!$A:$J,10,0),"無")</f>
        <v>無</v>
      </c>
      <c r="S837" s="324">
        <f>IFERROR(VLOOKUP($G837,'321買'!$A:$E,4,0),"'沒有資料'")</f>
        <v>696</v>
      </c>
      <c r="T837" s="186">
        <f>IFERROR(VLOOKUP($G837,基本資料!$A:$J,9,0),"無")</f>
        <v>1.2</v>
      </c>
      <c r="U837" s="307">
        <f t="shared" si="154"/>
        <v>4.1308089500860581E-2</v>
      </c>
      <c r="V837" s="94">
        <f>IFERROR(VLOOKUP($G837,基本資料!$A:$J,10,0),"無")</f>
        <v>1.97</v>
      </c>
      <c r="W837" s="36">
        <f>RTD("money.excel",,"3356","Price")</f>
        <v>29.05</v>
      </c>
      <c r="X837" s="66"/>
      <c r="Y837" s="15">
        <f t="shared" si="155"/>
        <v>29.05</v>
      </c>
      <c r="Z837" s="3" t="e">
        <f t="shared" si="156"/>
        <v>#DIV/0!</v>
      </c>
      <c r="AA837" s="340">
        <f>IFERROR(VLOOKUP($G837,基本資料!$A:$M,11,0),"無")</f>
        <v>-34.42</v>
      </c>
      <c r="AB837" s="389">
        <f>IFERROR(VLOOKUP($G837,基本資料!$A:$M,12,0),"無")</f>
        <v>42.23</v>
      </c>
      <c r="AC837" s="22" t="s">
        <v>4172</v>
      </c>
      <c r="AF837" s="33">
        <f t="shared" si="157"/>
        <v>0</v>
      </c>
      <c r="AG837" s="43" t="s">
        <v>4165</v>
      </c>
      <c r="AH837" s="66">
        <f t="shared" ref="AH837:AH900" si="159">AI837/AJ837</f>
        <v>0.50246274898547139</v>
      </c>
      <c r="AI837" s="283">
        <f>RTD("money.excel",,$G837,"PredictVolume")</f>
        <v>811</v>
      </c>
      <c r="AJ837" s="391">
        <f>IFERROR(VLOOKUP($G837,基本資料!$A:$M,13,0),"無")</f>
        <v>1614.05</v>
      </c>
      <c r="AR837" s="245" t="str">
        <f>INDEX(基本資料!N:N,MATCH($G837,基本資料!A:A,0))</f>
        <v>低</v>
      </c>
    </row>
    <row r="838" spans="1:44">
      <c r="A838" s="343">
        <f>IFERROR(VLOOKUP($G838,基本資料!$A:$J,3,0),"無")</f>
        <v>14.15</v>
      </c>
      <c r="B838" s="79">
        <f>IFERROR(VLOOKUP($G838,基本資料!$A:$J,4,0),"無")</f>
        <v>99</v>
      </c>
      <c r="C838" s="79">
        <f>IFERROR(VLOOKUP($G838,基本資料!$A:$J,5,0),"無")</f>
        <v>369</v>
      </c>
      <c r="D838" s="79">
        <f>IFERROR(VLOOKUP($G838,基本資料!$A:$J,6,0),"無")</f>
        <v>0</v>
      </c>
      <c r="E838" s="79">
        <f>IFERROR(VLOOKUP($G838,基本資料!$A:$J,7,0),"無")</f>
        <v>5</v>
      </c>
      <c r="F838" s="6">
        <f>IFERROR(VLOOKUP($G838,基本資料!$A:$J,8,0),"無")</f>
        <v>1.19</v>
      </c>
      <c r="G838" s="79">
        <v>3362</v>
      </c>
      <c r="H838" s="8" t="s">
        <v>1877</v>
      </c>
      <c r="I838" s="16" t="s">
        <v>4173</v>
      </c>
      <c r="J838" s="8" t="str">
        <f>IFERROR(VLOOKUP($G838,今日總結!$A:$AN,39,0),"")</f>
        <v>外</v>
      </c>
      <c r="K838" s="5" t="str">
        <f>IFERROR(VLOOKUP($G838,今日總結!$A:$AN,40,0),"")</f>
        <v>融</v>
      </c>
      <c r="L838" s="156">
        <f>IFERROR(VLOOKUP($G838,今日總結!$A:$AN,37,0),"")</f>
        <v>1</v>
      </c>
      <c r="M838" s="337">
        <f>IFERROR(VLOOKUP($G838,今日總結!$A:$AN,38,0),"")</f>
        <v>3</v>
      </c>
      <c r="N838" s="240">
        <f t="shared" si="158"/>
        <v>-2</v>
      </c>
      <c r="O838" s="359">
        <f>IFERROR(VLOOKUP($G838,融外自投!$A:$J,7,0),"無")</f>
        <v>371</v>
      </c>
      <c r="P838" s="79">
        <f>IFERROR(VLOOKUP($G838,融外自投!$A:$J,9,0),"無")</f>
        <v>125</v>
      </c>
      <c r="Q838" s="342">
        <f>IFERROR(VLOOKUP($G838,融外自投!$A:$J,8,0),"無")</f>
        <v>1226</v>
      </c>
      <c r="R838" s="81" t="str">
        <f>IFERROR(VLOOKUP($G838,融外自投!$A:$J,10,0),"無")</f>
        <v>無</v>
      </c>
      <c r="S838" s="324">
        <f>IFERROR(VLOOKUP($G838,'321買'!$A:$E,4,0),"'沒有資料'")</f>
        <v>696</v>
      </c>
      <c r="T838" s="186">
        <f>IFERROR(VLOOKUP($G838,基本資料!$A:$J,9,0),"無")</f>
        <v>0</v>
      </c>
      <c r="U838" s="307">
        <f t="shared" si="154"/>
        <v>0</v>
      </c>
      <c r="V838" s="94">
        <f>IFERROR(VLOOKUP($G838,基本資料!$A:$J,10,0),"無")</f>
        <v>0.03</v>
      </c>
      <c r="W838" s="36">
        <f>RTD("money.excel",,"3362","Price")</f>
        <v>57</v>
      </c>
      <c r="X838" s="66"/>
      <c r="Y838" s="15">
        <f t="shared" si="155"/>
        <v>57</v>
      </c>
      <c r="Z838" s="3" t="e">
        <f t="shared" si="156"/>
        <v>#DIV/0!</v>
      </c>
      <c r="AA838" s="340">
        <f>IFERROR(VLOOKUP($G838,基本資料!$A:$M,11,0),"無")</f>
        <v>-45.97</v>
      </c>
      <c r="AB838" s="389">
        <f>IFERROR(VLOOKUP($G838,基本資料!$A:$M,12,0),"無")</f>
        <v>25.07</v>
      </c>
      <c r="AC838" s="16" t="s">
        <v>4173</v>
      </c>
      <c r="AF838" s="33">
        <f t="shared" si="157"/>
        <v>0</v>
      </c>
      <c r="AG838" s="119" t="s">
        <v>4174</v>
      </c>
      <c r="AH838" s="66">
        <f t="shared" si="159"/>
        <v>1.2533744697261859</v>
      </c>
      <c r="AI838" s="283">
        <f>RTD("money.excel",,$G838,"PredictVolume")</f>
        <v>325</v>
      </c>
      <c r="AJ838" s="391">
        <f>IFERROR(VLOOKUP($G838,基本資料!$A:$M,13,0),"無")</f>
        <v>259.3</v>
      </c>
      <c r="AR838" s="245" t="str">
        <f>INDEX(基本資料!N:N,MATCH($G838,基本資料!A:A,0))</f>
        <v>低</v>
      </c>
    </row>
    <row r="839" spans="1:44">
      <c r="A839" s="343">
        <f>IFERROR(VLOOKUP($G839,基本資料!$A:$J,3,0),"無")</f>
        <v>7.5</v>
      </c>
      <c r="B839" s="79">
        <f>IFERROR(VLOOKUP($G839,基本資料!$A:$J,4,0),"無")</f>
        <v>63</v>
      </c>
      <c r="C839" s="79">
        <f>IFERROR(VLOOKUP($G839,基本資料!$A:$J,5,0),"無")</f>
        <v>12</v>
      </c>
      <c r="D839" s="79">
        <f>IFERROR(VLOOKUP($G839,基本資料!$A:$J,6,0),"無")</f>
        <v>-10</v>
      </c>
      <c r="E839" s="79">
        <f>IFERROR(VLOOKUP($G839,基本資料!$A:$J,7,0),"無")</f>
        <v>-32</v>
      </c>
      <c r="F839" s="6">
        <f>IFERROR(VLOOKUP($G839,基本資料!$A:$J,8,0),"無")</f>
        <v>-41.11</v>
      </c>
      <c r="G839" s="79">
        <v>3383</v>
      </c>
      <c r="H839" s="8" t="s">
        <v>1877</v>
      </c>
      <c r="I839" s="22" t="s">
        <v>4175</v>
      </c>
      <c r="J839" s="8" t="str">
        <f>IFERROR(VLOOKUP($G839,今日總結!$A:$AN,39,0),"")</f>
        <v/>
      </c>
      <c r="K839" s="5" t="str">
        <f>IFERROR(VLOOKUP($G839,今日總結!$A:$AN,40,0),"")</f>
        <v/>
      </c>
      <c r="L839" s="156" t="str">
        <f>IFERROR(VLOOKUP($G839,今日總結!$A:$AN,37,0),"")</f>
        <v/>
      </c>
      <c r="M839" s="337" t="str">
        <f>IFERROR(VLOOKUP($G839,今日總結!$A:$AN,38,0),"")</f>
        <v/>
      </c>
      <c r="N839" s="240" t="str">
        <f t="shared" si="158"/>
        <v/>
      </c>
      <c r="O839" s="359" t="str">
        <f>IFERROR(VLOOKUP($G839,融外自投!$A:$J,7,0),"無")</f>
        <v>無</v>
      </c>
      <c r="P839" s="79" t="str">
        <f>IFERROR(VLOOKUP($G839,融外自投!$A:$J,9,0),"無")</f>
        <v>無</v>
      </c>
      <c r="Q839" s="342" t="str">
        <f>IFERROR(VLOOKUP($G839,融外自投!$A:$J,8,0),"無")</f>
        <v>無</v>
      </c>
      <c r="R839" s="81" t="str">
        <f>IFERROR(VLOOKUP($G839,融外自投!$A:$J,10,0),"無")</f>
        <v>無</v>
      </c>
      <c r="S839" s="324" t="str">
        <f>IFERROR(VLOOKUP($G839,'321買'!$A:$E,4,0),"'沒有資料'")</f>
        <v>'沒有資料'</v>
      </c>
      <c r="T839" s="186">
        <f>IFERROR(VLOOKUP($G839,基本資料!$A:$J,9,0),"無")</f>
        <v>0</v>
      </c>
      <c r="U839" s="307">
        <f t="shared" si="154"/>
        <v>0</v>
      </c>
      <c r="V839" s="94">
        <f>IFERROR(VLOOKUP($G839,基本資料!$A:$J,10,0),"無")</f>
        <v>-1.48</v>
      </c>
      <c r="W839" s="36">
        <f>RTD("money.excel",,"3383","Price")</f>
        <v>6.21</v>
      </c>
      <c r="X839" s="66"/>
      <c r="Y839" s="15">
        <f t="shared" si="155"/>
        <v>6.21</v>
      </c>
      <c r="Z839" s="3" t="e">
        <f t="shared" si="156"/>
        <v>#DIV/0!</v>
      </c>
      <c r="AA839" s="340">
        <f>IFERROR(VLOOKUP($G839,基本資料!$A:$M,11,0),"無")</f>
        <v>-49.1</v>
      </c>
      <c r="AB839" s="389">
        <f>IFERROR(VLOOKUP($G839,基本資料!$A:$M,12,0),"無")</f>
        <v>11.83</v>
      </c>
      <c r="AC839" s="22" t="s">
        <v>4175</v>
      </c>
      <c r="AF839" s="33">
        <f t="shared" si="157"/>
        <v>0</v>
      </c>
      <c r="AG839" s="43" t="s">
        <v>4176</v>
      </c>
      <c r="AH839" s="66">
        <f t="shared" si="159"/>
        <v>1.3434452871072591</v>
      </c>
      <c r="AI839" s="283">
        <f>RTD("money.excel",,$G839,"PredictVolume")</f>
        <v>186</v>
      </c>
      <c r="AJ839" s="391">
        <f>IFERROR(VLOOKUP($G839,基本資料!$A:$M,13,0),"無")</f>
        <v>138.44999999999999</v>
      </c>
      <c r="AR839" s="245" t="str">
        <f>INDEX(基本資料!N:N,MATCH($G839,基本資料!A:A,0))</f>
        <v>低</v>
      </c>
    </row>
    <row r="840" spans="1:44">
      <c r="A840" s="343">
        <f>IFERROR(VLOOKUP($G840,基本資料!$A:$J,3,0),"無")</f>
        <v>11.26</v>
      </c>
      <c r="B840" s="79">
        <f>IFERROR(VLOOKUP($G840,基本資料!$A:$J,4,0),"無")</f>
        <v>-24</v>
      </c>
      <c r="C840" s="79">
        <f>IFERROR(VLOOKUP($G840,基本資料!$A:$J,5,0),"無")</f>
        <v>-33</v>
      </c>
      <c r="D840" s="79">
        <f>IFERROR(VLOOKUP($G840,基本資料!$A:$J,6,0),"無")</f>
        <v>-26</v>
      </c>
      <c r="E840" s="79">
        <f>IFERROR(VLOOKUP($G840,基本資料!$A:$J,7,0),"無")</f>
        <v>35</v>
      </c>
      <c r="F840" s="6">
        <f>IFERROR(VLOOKUP($G840,基本資料!$A:$J,8,0),"無")</f>
        <v>18.02</v>
      </c>
      <c r="G840" s="79">
        <v>3406</v>
      </c>
      <c r="H840" s="8" t="s">
        <v>1877</v>
      </c>
      <c r="I840" s="22" t="s">
        <v>4177</v>
      </c>
      <c r="J840" s="8">
        <f>IFERROR(VLOOKUP($G840,今日總結!$A:$AN,39,0),"")</f>
        <v>0</v>
      </c>
      <c r="K840" s="5">
        <f>IFERROR(VLOOKUP($G840,今日總結!$A:$AN,40,0),"")</f>
        <v>0</v>
      </c>
      <c r="L840" s="156">
        <f>IFERROR(VLOOKUP($G840,今日總結!$A:$AN,37,0),"")</f>
        <v>0</v>
      </c>
      <c r="M840" s="337">
        <f>IFERROR(VLOOKUP($G840,今日總結!$A:$AN,38,0),"")</f>
        <v>0</v>
      </c>
      <c r="N840" s="240">
        <f t="shared" si="158"/>
        <v>0</v>
      </c>
      <c r="O840" s="359">
        <f>IFERROR(VLOOKUP($G840,融外自投!$A:$J,7,0),"無")</f>
        <v>243</v>
      </c>
      <c r="P840" s="79">
        <f>IFERROR(VLOOKUP($G840,融外自投!$A:$J,9,0),"無")</f>
        <v>15</v>
      </c>
      <c r="Q840" s="342">
        <f>IFERROR(VLOOKUP($G840,融外自投!$A:$J,8,0),"無")</f>
        <v>202</v>
      </c>
      <c r="R840" s="81">
        <f>IFERROR(VLOOKUP($G840,融外自投!$A:$J,10,0),"無")</f>
        <v>131</v>
      </c>
      <c r="S840" s="324">
        <f>IFERROR(VLOOKUP($G840,'321買'!$A:$E,4,0),"'沒有資料'")</f>
        <v>91</v>
      </c>
      <c r="T840" s="186">
        <f>IFERROR(VLOOKUP($G840,基本資料!$A:$J,9,0),"無")</f>
        <v>8</v>
      </c>
      <c r="U840" s="307">
        <f t="shared" si="154"/>
        <v>2.3845007451564829E-2</v>
      </c>
      <c r="V840" s="94">
        <f>IFERROR(VLOOKUP($G840,基本資料!$A:$J,10,0),"無")</f>
        <v>20.52</v>
      </c>
      <c r="W840" s="36">
        <f>RTD("money.excel",,"3406","Price")</f>
        <v>335.5</v>
      </c>
      <c r="X840" s="66"/>
      <c r="Y840" s="15">
        <f t="shared" si="155"/>
        <v>335.5</v>
      </c>
      <c r="Z840" s="3" t="e">
        <f t="shared" si="156"/>
        <v>#DIV/0!</v>
      </c>
      <c r="AA840" s="340">
        <f>IFERROR(VLOOKUP($G840,基本資料!$A:$M,11,0),"無")</f>
        <v>-46.66</v>
      </c>
      <c r="AB840" s="389">
        <f>IFERROR(VLOOKUP($G840,基本資料!$A:$M,12,0),"無")</f>
        <v>8.35</v>
      </c>
      <c r="AC840" s="22" t="s">
        <v>4177</v>
      </c>
      <c r="AF840" s="33">
        <f t="shared" si="157"/>
        <v>0</v>
      </c>
      <c r="AG840" s="117" t="s">
        <v>4178</v>
      </c>
      <c r="AH840" s="66">
        <f t="shared" si="159"/>
        <v>1.331406899042803</v>
      </c>
      <c r="AI840" s="283">
        <f>RTD("money.excel",,$G840,"PredictVolume")</f>
        <v>1843</v>
      </c>
      <c r="AJ840" s="391">
        <f>IFERROR(VLOOKUP($G840,基本資料!$A:$M,13,0),"無")</f>
        <v>1384.25</v>
      </c>
      <c r="AR840" s="245" t="str">
        <f>INDEX(基本資料!N:N,MATCH($G840,基本資料!A:A,0))</f>
        <v>低</v>
      </c>
    </row>
    <row r="841" spans="1:44">
      <c r="A841" s="343">
        <f>IFERROR(VLOOKUP($G841,基本資料!$A:$J,3,0),"無")</f>
        <v>2.27</v>
      </c>
      <c r="B841" s="79">
        <f>IFERROR(VLOOKUP($G841,基本資料!$A:$J,4,0),"無")</f>
        <v>283</v>
      </c>
      <c r="C841" s="79">
        <f>IFERROR(VLOOKUP($G841,基本資料!$A:$J,5,0),"無")</f>
        <v>323</v>
      </c>
      <c r="D841" s="79">
        <f>IFERROR(VLOOKUP($G841,基本資料!$A:$J,6,0),"無")</f>
        <v>-44</v>
      </c>
      <c r="E841" s="79">
        <f>IFERROR(VLOOKUP($G841,基本資料!$A:$J,7,0),"無")</f>
        <v>2</v>
      </c>
      <c r="F841" s="6">
        <f>IFERROR(VLOOKUP($G841,基本資料!$A:$J,8,0),"無")</f>
        <v>3.4</v>
      </c>
      <c r="G841" s="79">
        <v>3434</v>
      </c>
      <c r="H841" s="8" t="s">
        <v>1877</v>
      </c>
      <c r="I841" s="16" t="s">
        <v>4179</v>
      </c>
      <c r="J841" s="8">
        <f>IFERROR(VLOOKUP($G841,今日總結!$A:$AN,39,0),"")</f>
        <v>5</v>
      </c>
      <c r="K841" s="5" t="str">
        <f>IFERROR(VLOOKUP($G841,今日總結!$A:$AN,40,0),"")</f>
        <v>247主</v>
      </c>
      <c r="L841" s="156">
        <f>IFERROR(VLOOKUP($G841,今日總結!$A:$AN,37,0),"")</f>
        <v>1</v>
      </c>
      <c r="M841" s="337">
        <f>IFERROR(VLOOKUP($G841,今日總結!$A:$AN,38,0),"")</f>
        <v>9</v>
      </c>
      <c r="N841" s="240">
        <f t="shared" si="158"/>
        <v>-8</v>
      </c>
      <c r="O841" s="359">
        <f>IFERROR(VLOOKUP($G841,融外自投!$A:$J,7,0),"無")</f>
        <v>326</v>
      </c>
      <c r="P841" s="79">
        <f>IFERROR(VLOOKUP($G841,融外自投!$A:$J,9,0),"無")</f>
        <v>154</v>
      </c>
      <c r="Q841" s="342">
        <f>IFERROR(VLOOKUP($G841,融外自投!$A:$J,8,0),"無")</f>
        <v>781</v>
      </c>
      <c r="R841" s="81" t="str">
        <f>IFERROR(VLOOKUP($G841,融外自投!$A:$J,10,0),"無")</f>
        <v>無</v>
      </c>
      <c r="S841" s="324">
        <f>IFERROR(VLOOKUP($G841,'321買'!$A:$E,4,0),"'沒有資料'")</f>
        <v>91</v>
      </c>
      <c r="T841" s="186">
        <f>IFERROR(VLOOKUP($G841,基本資料!$A:$J,9,0),"無")</f>
        <v>0.8</v>
      </c>
      <c r="U841" s="307">
        <f t="shared" si="154"/>
        <v>2.2759601706970129E-2</v>
      </c>
      <c r="V841" s="94">
        <f>IFERROR(VLOOKUP($G841,基本資料!$A:$J,10,0),"無")</f>
        <v>0.82</v>
      </c>
      <c r="W841" s="36">
        <f>RTD("money.excel",,"3434","Price")</f>
        <v>35.15</v>
      </c>
      <c r="X841" s="66"/>
      <c r="Y841" s="15">
        <f t="shared" si="155"/>
        <v>35.15</v>
      </c>
      <c r="Z841" s="3" t="e">
        <f t="shared" si="156"/>
        <v>#DIV/0!</v>
      </c>
      <c r="AA841" s="340">
        <f>IFERROR(VLOOKUP($G841,基本資料!$A:$M,11,0),"無")</f>
        <v>-31.61</v>
      </c>
      <c r="AB841" s="389">
        <f>IFERROR(VLOOKUP($G841,基本資料!$A:$M,12,0),"無")</f>
        <v>62.13</v>
      </c>
      <c r="AC841" s="16" t="s">
        <v>4179</v>
      </c>
      <c r="AF841" s="33">
        <f t="shared" si="157"/>
        <v>0</v>
      </c>
      <c r="AG841" s="43" t="s">
        <v>4170</v>
      </c>
      <c r="AH841" s="66">
        <f t="shared" si="159"/>
        <v>3.4119745222929936</v>
      </c>
      <c r="AI841" s="283">
        <f>RTD("money.excel",,$G841,"PredictVolume")</f>
        <v>6696</v>
      </c>
      <c r="AJ841" s="391">
        <f>IFERROR(VLOOKUP($G841,基本資料!$A:$M,13,0),"無")</f>
        <v>1962.5</v>
      </c>
      <c r="AR841" s="245" t="str">
        <f>INDEX(基本資料!N:N,MATCH($G841,基本資料!A:A,0))</f>
        <v>中</v>
      </c>
    </row>
    <row r="842" spans="1:44">
      <c r="A842" s="343">
        <f>IFERROR(VLOOKUP($G842,基本資料!$A:$J,3,0),"無")</f>
        <v>14.45</v>
      </c>
      <c r="B842" s="79">
        <f>IFERROR(VLOOKUP($G842,基本資料!$A:$J,4,0),"無")</f>
        <v>179</v>
      </c>
      <c r="C842" s="79">
        <f>IFERROR(VLOOKUP($G842,基本資料!$A:$J,5,0),"無")</f>
        <v>157</v>
      </c>
      <c r="D842" s="79">
        <f>IFERROR(VLOOKUP($G842,基本資料!$A:$J,6,0),"無")</f>
        <v>-24</v>
      </c>
      <c r="E842" s="79">
        <f>IFERROR(VLOOKUP($G842,基本資料!$A:$J,7,0),"無")</f>
        <v>-30</v>
      </c>
      <c r="F842" s="6">
        <f>IFERROR(VLOOKUP($G842,基本資料!$A:$J,8,0),"無")</f>
        <v>1.39</v>
      </c>
      <c r="G842" s="79">
        <v>3437</v>
      </c>
      <c r="H842" s="8" t="s">
        <v>1877</v>
      </c>
      <c r="I842" s="22" t="s">
        <v>4180</v>
      </c>
      <c r="J842" s="8">
        <f>IFERROR(VLOOKUP($G842,今日總結!$A:$AN,39,0),"")</f>
        <v>0</v>
      </c>
      <c r="K842" s="5">
        <f>IFERROR(VLOOKUP($G842,今日總結!$A:$AN,40,0),"")</f>
        <v>0</v>
      </c>
      <c r="L842" s="156">
        <f>IFERROR(VLOOKUP($G842,今日總結!$A:$AN,37,0),"")</f>
        <v>0</v>
      </c>
      <c r="M842" s="337">
        <f>IFERROR(VLOOKUP($G842,今日總結!$A:$AN,38,0),"")</f>
        <v>0</v>
      </c>
      <c r="N842" s="240">
        <f t="shared" si="158"/>
        <v>0</v>
      </c>
      <c r="O842" s="359">
        <f>IFERROR(VLOOKUP($G842,融外自投!$A:$J,7,0),"無")</f>
        <v>274</v>
      </c>
      <c r="P842" s="79">
        <f>IFERROR(VLOOKUP($G842,融外自投!$A:$J,9,0),"無")</f>
        <v>501</v>
      </c>
      <c r="Q842" s="342">
        <f>IFERROR(VLOOKUP($G842,融外自投!$A:$J,8,0),"無")</f>
        <v>847</v>
      </c>
      <c r="R842" s="81" t="str">
        <f>IFERROR(VLOOKUP($G842,融外自投!$A:$J,10,0),"無")</f>
        <v>無</v>
      </c>
      <c r="S842" s="324">
        <f>IFERROR(VLOOKUP($G842,'321買'!$A:$E,4,0),"'沒有資料'")</f>
        <v>530</v>
      </c>
      <c r="T842" s="186">
        <f>IFERROR(VLOOKUP($G842,基本資料!$A:$J,9,0),"無")</f>
        <v>0.45</v>
      </c>
      <c r="U842" s="307">
        <f t="shared" si="154"/>
        <v>2.2113022113022112E-2</v>
      </c>
      <c r="V842" s="94">
        <f>IFERROR(VLOOKUP($G842,基本資料!$A:$J,10,0),"無")</f>
        <v>0.61</v>
      </c>
      <c r="W842" s="36">
        <f>RTD("money.excel",,"3437","Price")</f>
        <v>20.350000000000001</v>
      </c>
      <c r="X842" s="66"/>
      <c r="Y842" s="15">
        <f t="shared" si="155"/>
        <v>20.350000000000001</v>
      </c>
      <c r="Z842" s="3" t="e">
        <f t="shared" si="156"/>
        <v>#DIV/0!</v>
      </c>
      <c r="AA842" s="340">
        <f>IFERROR(VLOOKUP($G842,基本資料!$A:$M,11,0),"無")</f>
        <v>-38.979999999999997</v>
      </c>
      <c r="AB842" s="389">
        <f>IFERROR(VLOOKUP($G842,基本資料!$A:$M,12,0),"無")</f>
        <v>20.98</v>
      </c>
      <c r="AC842" s="22" t="s">
        <v>4180</v>
      </c>
      <c r="AF842" s="33">
        <f t="shared" si="157"/>
        <v>0</v>
      </c>
      <c r="AG842" s="117" t="s">
        <v>4181</v>
      </c>
      <c r="AH842" s="66">
        <f t="shared" si="159"/>
        <v>2.1055354371443351</v>
      </c>
      <c r="AI842" s="283">
        <f>RTD("money.excel",,$G842,"PredictVolume")</f>
        <v>814</v>
      </c>
      <c r="AJ842" s="391">
        <f>IFERROR(VLOOKUP($G842,基本資料!$A:$M,13,0),"無")</f>
        <v>386.6</v>
      </c>
      <c r="AR842" s="245" t="str">
        <f>INDEX(基本資料!N:N,MATCH($G842,基本資料!A:A,0))</f>
        <v>低</v>
      </c>
    </row>
    <row r="843" spans="1:44">
      <c r="A843" s="343">
        <f>IFERROR(VLOOKUP($G843,基本資料!$A:$J,3,0),"無")</f>
        <v>4</v>
      </c>
      <c r="B843" s="79">
        <f>IFERROR(VLOOKUP($G843,基本資料!$A:$J,4,0),"無")</f>
        <v>273</v>
      </c>
      <c r="C843" s="79">
        <f>IFERROR(VLOOKUP($G843,基本資料!$A:$J,5,0),"無")</f>
        <v>324</v>
      </c>
      <c r="D843" s="79">
        <f>IFERROR(VLOOKUP($G843,基本資料!$A:$J,6,0),"無")</f>
        <v>-1</v>
      </c>
      <c r="E843" s="79">
        <f>IFERROR(VLOOKUP($G843,基本資料!$A:$J,7,0),"無")</f>
        <v>38</v>
      </c>
      <c r="F843" s="6">
        <f>IFERROR(VLOOKUP($G843,基本資料!$A:$J,8,0),"無")</f>
        <v>7.08</v>
      </c>
      <c r="G843" s="79">
        <v>3441</v>
      </c>
      <c r="H843" s="8" t="s">
        <v>1877</v>
      </c>
      <c r="I843" s="16" t="s">
        <v>4182</v>
      </c>
      <c r="J843" s="8">
        <f>IFERROR(VLOOKUP($G843,今日總結!$A:$AN,39,0),"")</f>
        <v>0</v>
      </c>
      <c r="K843" s="5">
        <f>IFERROR(VLOOKUP($G843,今日總結!$A:$AN,40,0),"")</f>
        <v>0</v>
      </c>
      <c r="L843" s="156">
        <f>IFERROR(VLOOKUP($G843,今日總結!$A:$AN,37,0),"")</f>
        <v>0</v>
      </c>
      <c r="M843" s="337">
        <f>IFERROR(VLOOKUP($G843,今日總結!$A:$AN,38,0),"")</f>
        <v>0</v>
      </c>
      <c r="N843" s="240">
        <f t="shared" si="158"/>
        <v>0</v>
      </c>
      <c r="O843" s="359">
        <f>IFERROR(VLOOKUP($G843,融外自投!$A:$J,7,0),"無")</f>
        <v>220</v>
      </c>
      <c r="P843" s="79">
        <f>IFERROR(VLOOKUP($G843,融外自投!$A:$J,9,0),"無")</f>
        <v>253</v>
      </c>
      <c r="Q843" s="342">
        <f>IFERROR(VLOOKUP($G843,融外自投!$A:$J,8,0),"無")</f>
        <v>1267</v>
      </c>
      <c r="R843" s="81" t="str">
        <f>IFERROR(VLOOKUP($G843,融外自投!$A:$J,10,0),"無")</f>
        <v>無</v>
      </c>
      <c r="S843" s="324">
        <f>IFERROR(VLOOKUP($G843,'321買'!$A:$E,4,0),"'沒有資料'")</f>
        <v>606</v>
      </c>
      <c r="T843" s="186">
        <f>IFERROR(VLOOKUP($G843,基本資料!$A:$J,9,0),"無")</f>
        <v>0.5</v>
      </c>
      <c r="U843" s="307">
        <f t="shared" si="154"/>
        <v>1.6611295681063121E-2</v>
      </c>
      <c r="V843" s="94">
        <f>IFERROR(VLOOKUP($G843,基本資料!$A:$J,10,0),"無")</f>
        <v>0.63</v>
      </c>
      <c r="W843" s="36">
        <f>RTD("money.excel",,"3441","Price")</f>
        <v>30.1</v>
      </c>
      <c r="X843" s="66"/>
      <c r="Y843" s="15">
        <f t="shared" si="155"/>
        <v>30.1</v>
      </c>
      <c r="Z843" s="3" t="e">
        <f t="shared" si="156"/>
        <v>#DIV/0!</v>
      </c>
      <c r="AA843" s="340">
        <f>IFERROR(VLOOKUP($G843,基本資料!$A:$M,11,0),"無")</f>
        <v>-37.29</v>
      </c>
      <c r="AB843" s="389">
        <f>IFERROR(VLOOKUP($G843,基本資料!$A:$M,12,0),"無")</f>
        <v>30.93</v>
      </c>
      <c r="AC843" s="16" t="s">
        <v>4182</v>
      </c>
      <c r="AF843" s="33">
        <f t="shared" si="157"/>
        <v>0</v>
      </c>
      <c r="AG843" s="43" t="s">
        <v>4183</v>
      </c>
      <c r="AH843" s="66">
        <f t="shared" si="159"/>
        <v>0.70525615435795075</v>
      </c>
      <c r="AI843" s="283">
        <f>RTD("money.excel",,$G843,"PredictVolume")</f>
        <v>53</v>
      </c>
      <c r="AJ843" s="391">
        <f>IFERROR(VLOOKUP($G843,基本資料!$A:$M,13,0),"無")</f>
        <v>75.150000000000006</v>
      </c>
      <c r="AR843" s="245" t="str">
        <f>INDEX(基本資料!N:N,MATCH($G843,基本資料!A:A,0))</f>
        <v>低</v>
      </c>
    </row>
    <row r="844" spans="1:44">
      <c r="A844" s="343">
        <f>IFERROR(VLOOKUP($G844,基本資料!$A:$J,3,0),"無")</f>
        <v>8.65</v>
      </c>
      <c r="B844" s="79">
        <f>IFERROR(VLOOKUP($G844,基本資料!$A:$J,4,0),"無")</f>
        <v>-7</v>
      </c>
      <c r="C844" s="79">
        <f>IFERROR(VLOOKUP($G844,基本資料!$A:$J,5,0),"無")</f>
        <v>-65</v>
      </c>
      <c r="D844" s="79">
        <f>IFERROR(VLOOKUP($G844,基本資料!$A:$J,6,0),"無")</f>
        <v>0</v>
      </c>
      <c r="E844" s="79">
        <f>IFERROR(VLOOKUP($G844,基本資料!$A:$J,7,0),"無")</f>
        <v>51</v>
      </c>
      <c r="F844" s="6">
        <f>IFERROR(VLOOKUP($G844,基本資料!$A:$J,8,0),"無")</f>
        <v>1.67</v>
      </c>
      <c r="G844" s="79">
        <v>3454</v>
      </c>
      <c r="H844" s="8" t="s">
        <v>1877</v>
      </c>
      <c r="I844" s="22" t="s">
        <v>4184</v>
      </c>
      <c r="J844" s="8">
        <f>IFERROR(VLOOKUP($G844,今日總結!$A:$AN,39,0),"")</f>
        <v>0</v>
      </c>
      <c r="K844" s="5">
        <f>IFERROR(VLOOKUP($G844,今日總結!$A:$AN,40,0),"")</f>
        <v>0</v>
      </c>
      <c r="L844" s="156">
        <f>IFERROR(VLOOKUP($G844,今日總結!$A:$AN,37,0),"")</f>
        <v>0</v>
      </c>
      <c r="M844" s="337">
        <f>IFERROR(VLOOKUP($G844,今日總結!$A:$AN,38,0),"")</f>
        <v>0</v>
      </c>
      <c r="N844" s="240">
        <f t="shared" si="158"/>
        <v>0</v>
      </c>
      <c r="O844" s="359">
        <f>IFERROR(VLOOKUP($G844,融外自投!$A:$J,7,0),"無")</f>
        <v>809</v>
      </c>
      <c r="P844" s="79">
        <f>IFERROR(VLOOKUP($G844,融外自投!$A:$J,9,0),"無")</f>
        <v>460</v>
      </c>
      <c r="Q844" s="342">
        <f>IFERROR(VLOOKUP($G844,融外自投!$A:$J,8,0),"無")</f>
        <v>912</v>
      </c>
      <c r="R844" s="81" t="str">
        <f>IFERROR(VLOOKUP($G844,融外自投!$A:$J,10,0),"無")</f>
        <v>無</v>
      </c>
      <c r="S844" s="324">
        <f>IFERROR(VLOOKUP($G844,'321買'!$A:$E,4,0),"'沒有資料'")</f>
        <v>1002</v>
      </c>
      <c r="T844" s="186">
        <f>IFERROR(VLOOKUP($G844,基本資料!$A:$J,9,0),"無")</f>
        <v>1.4</v>
      </c>
      <c r="U844" s="307">
        <f t="shared" si="154"/>
        <v>1.7241379310344827E-2</v>
      </c>
      <c r="V844" s="94">
        <f>IFERROR(VLOOKUP($G844,基本資料!$A:$J,10,0),"無")</f>
        <v>2.17</v>
      </c>
      <c r="W844" s="36">
        <f>RTD("money.excel",,"3454","Price")</f>
        <v>81.2</v>
      </c>
      <c r="X844" s="66"/>
      <c r="Y844" s="15">
        <f t="shared" si="155"/>
        <v>81.2</v>
      </c>
      <c r="Z844" s="3" t="e">
        <f t="shared" si="156"/>
        <v>#DIV/0!</v>
      </c>
      <c r="AA844" s="340">
        <f>IFERROR(VLOOKUP($G844,基本資料!$A:$M,11,0),"無")</f>
        <v>-3.91</v>
      </c>
      <c r="AB844" s="389">
        <f>IFERROR(VLOOKUP($G844,基本資料!$A:$M,12,0),"無")</f>
        <v>67.319999999999993</v>
      </c>
      <c r="AC844" s="22" t="s">
        <v>4184</v>
      </c>
      <c r="AF844" s="33">
        <f t="shared" si="157"/>
        <v>0</v>
      </c>
      <c r="AG844" s="117" t="s">
        <v>4185</v>
      </c>
      <c r="AH844" s="66">
        <f t="shared" si="159"/>
        <v>2.4661730916517746</v>
      </c>
      <c r="AI844" s="283">
        <f>RTD("money.excel",,$G844,"PredictVolume")</f>
        <v>483</v>
      </c>
      <c r="AJ844" s="391">
        <f>IFERROR(VLOOKUP($G844,基本資料!$A:$M,13,0),"無")</f>
        <v>195.85</v>
      </c>
      <c r="AR844" s="245" t="str">
        <f>INDEX(基本資料!N:N,MATCH($G844,基本資料!A:A,0))</f>
        <v>高</v>
      </c>
    </row>
    <row r="845" spans="1:44">
      <c r="A845" s="343">
        <f>IFERROR(VLOOKUP($G845,基本資料!$A:$J,3,0),"無")</f>
        <v>5.98</v>
      </c>
      <c r="B845" s="79">
        <f>IFERROR(VLOOKUP($G845,基本資料!$A:$J,4,0),"無")</f>
        <v>86</v>
      </c>
      <c r="C845" s="79">
        <f>IFERROR(VLOOKUP($G845,基本資料!$A:$J,5,0),"無")</f>
        <v>66</v>
      </c>
      <c r="D845" s="79">
        <f>IFERROR(VLOOKUP($G845,基本資料!$A:$J,6,0),"無")</f>
        <v>33</v>
      </c>
      <c r="E845" s="79">
        <f>IFERROR(VLOOKUP($G845,基本資料!$A:$J,7,0),"無")</f>
        <v>4</v>
      </c>
      <c r="F845" s="6">
        <f>IFERROR(VLOOKUP($G845,基本資料!$A:$J,8,0),"無")</f>
        <v>19.93</v>
      </c>
      <c r="G845" s="79">
        <v>3455</v>
      </c>
      <c r="H845" s="8" t="s">
        <v>306</v>
      </c>
      <c r="I845" s="16" t="s">
        <v>4186</v>
      </c>
      <c r="J845" s="8">
        <f>IFERROR(VLOOKUP($G845,今日總結!$A:$AN,39,0),"")</f>
        <v>0</v>
      </c>
      <c r="K845" s="5">
        <f>IFERROR(VLOOKUP($G845,今日總結!$A:$AN,40,0),"")</f>
        <v>0</v>
      </c>
      <c r="L845" s="156">
        <f>IFERROR(VLOOKUP($G845,今日總結!$A:$AN,37,0),"")</f>
        <v>0</v>
      </c>
      <c r="M845" s="337">
        <f>IFERROR(VLOOKUP($G845,今日總結!$A:$AN,38,0),"")</f>
        <v>0</v>
      </c>
      <c r="N845" s="240">
        <f t="shared" si="158"/>
        <v>0</v>
      </c>
      <c r="O845" s="359">
        <f>IFERROR(VLOOKUP($G845,融外自投!$A:$J,7,0),"無")</f>
        <v>115</v>
      </c>
      <c r="P845" s="79">
        <f>IFERROR(VLOOKUP($G845,融外自投!$A:$J,9,0),"無")</f>
        <v>317</v>
      </c>
      <c r="Q845" s="342">
        <f>IFERROR(VLOOKUP($G845,融外自投!$A:$J,8,0),"無")</f>
        <v>818</v>
      </c>
      <c r="R845" s="81">
        <f>IFERROR(VLOOKUP($G845,融外自投!$A:$J,10,0),"無")</f>
        <v>130</v>
      </c>
      <c r="S845" s="324">
        <f>IFERROR(VLOOKUP($G845,'321買'!$A:$E,4,0),"'沒有資料'")</f>
        <v>83</v>
      </c>
      <c r="T845" s="186">
        <f>IFERROR(VLOOKUP($G845,基本資料!$A:$J,9,0),"無")</f>
        <v>5.5</v>
      </c>
      <c r="U845" s="307">
        <f t="shared" si="154"/>
        <v>6.5947242206235004E-2</v>
      </c>
      <c r="V845" s="94">
        <f>IFERROR(VLOOKUP($G845,基本資料!$A:$J,10,0),"無")</f>
        <v>7.5</v>
      </c>
      <c r="W845" s="36">
        <f>RTD("money.excel",,"3455","Price")</f>
        <v>83.4</v>
      </c>
      <c r="X845" s="66"/>
      <c r="Y845" s="15">
        <f>W845-X845</f>
        <v>83.4</v>
      </c>
      <c r="Z845" s="3" t="e">
        <f>Y845/X845</f>
        <v>#DIV/0!</v>
      </c>
      <c r="AA845" s="340">
        <f>IFERROR(VLOOKUP($G845,基本資料!$A:$M,11,0),"無")</f>
        <v>-29.02</v>
      </c>
      <c r="AB845" s="389">
        <f>IFERROR(VLOOKUP($G845,基本資料!$A:$M,12,0),"無")</f>
        <v>18.399999999999999</v>
      </c>
      <c r="AC845" s="16" t="s">
        <v>4186</v>
      </c>
      <c r="AF845" s="33">
        <f>AE845-AD845</f>
        <v>0</v>
      </c>
      <c r="AG845" s="43" t="s">
        <v>2433</v>
      </c>
      <c r="AH845" s="66">
        <f t="shared" si="159"/>
        <v>0.55201342281879195</v>
      </c>
      <c r="AI845" s="283">
        <f>RTD("money.excel",,$G845,"PredictVolume")</f>
        <v>329</v>
      </c>
      <c r="AJ845" s="391">
        <f>IFERROR(VLOOKUP($G845,基本資料!$A:$M,13,0),"無")</f>
        <v>596</v>
      </c>
      <c r="AR845" s="245" t="str">
        <f>INDEX(基本資料!N:N,MATCH($G845,基本資料!A:A,0))</f>
        <v>中</v>
      </c>
    </row>
    <row r="846" spans="1:44">
      <c r="A846" s="343">
        <f>IFERROR(VLOOKUP($G846,基本資料!$A:$J,3,0),"無")</f>
        <v>1055</v>
      </c>
      <c r="B846" s="79">
        <f>IFERROR(VLOOKUP($G846,基本資料!$A:$J,4,0),"無")</f>
        <v>3409</v>
      </c>
      <c r="C846" s="79">
        <f>IFERROR(VLOOKUP($G846,基本資料!$A:$J,5,0),"無")</f>
        <v>3361</v>
      </c>
      <c r="D846" s="79">
        <f>IFERROR(VLOOKUP($G846,基本資料!$A:$J,6,0),"無")</f>
        <v>-13</v>
      </c>
      <c r="E846" s="79">
        <f>IFERROR(VLOOKUP($G846,基本資料!$A:$J,7,0),"無")</f>
        <v>-32</v>
      </c>
      <c r="F846" s="6">
        <f>IFERROR(VLOOKUP($G846,基本資料!$A:$J,8,0),"無")</f>
        <v>17.91</v>
      </c>
      <c r="G846" s="79">
        <v>3481</v>
      </c>
      <c r="H846" s="8" t="s">
        <v>1877</v>
      </c>
      <c r="I846" s="22" t="s">
        <v>212</v>
      </c>
      <c r="J846" s="8" t="str">
        <f>IFERROR(VLOOKUP($G846,今日總結!$A:$AN,39,0),"")</f>
        <v>自</v>
      </c>
      <c r="K846" s="5">
        <f>IFERROR(VLOOKUP($G846,今日總結!$A:$AN,40,0),"")</f>
        <v>0</v>
      </c>
      <c r="L846" s="156">
        <f>IFERROR(VLOOKUP($G846,今日總結!$A:$AN,37,0),"")</f>
        <v>1</v>
      </c>
      <c r="M846" s="337">
        <f>IFERROR(VLOOKUP($G846,今日總結!$A:$AN,38,0),"")</f>
        <v>0</v>
      </c>
      <c r="N846" s="240">
        <f t="shared" si="158"/>
        <v>1</v>
      </c>
      <c r="O846" s="359">
        <f>IFERROR(VLOOKUP($G846,融外自投!$A:$J,7,0),"無")</f>
        <v>448</v>
      </c>
      <c r="P846" s="79">
        <f>IFERROR(VLOOKUP($G846,融外自投!$A:$J,9,0),"無")</f>
        <v>140</v>
      </c>
      <c r="Q846" s="342">
        <f>IFERROR(VLOOKUP($G846,融外自投!$A:$J,8,0),"無")</f>
        <v>243</v>
      </c>
      <c r="R846" s="81">
        <f>IFERROR(VLOOKUP($G846,融外自投!$A:$J,10,0),"無")</f>
        <v>94</v>
      </c>
      <c r="S846" s="324">
        <f>IFERROR(VLOOKUP($G846,'321買'!$A:$E,4,0),"'沒有資料'")</f>
        <v>202</v>
      </c>
      <c r="T846" s="186">
        <f>IFERROR(VLOOKUP($G846,基本資料!$A:$J,9,0),"無")</f>
        <v>1.05</v>
      </c>
      <c r="U846" s="307">
        <f t="shared" si="154"/>
        <v>7.8651685393258439E-2</v>
      </c>
      <c r="V846" s="94">
        <f>IFERROR(VLOOKUP($G846,基本資料!$A:$J,10,0),"無")</f>
        <v>5.53</v>
      </c>
      <c r="W846" s="36">
        <f>RTD("money.excel",,"3481","Price")</f>
        <v>13.35</v>
      </c>
      <c r="X846" s="66"/>
      <c r="Y846" s="15">
        <f t="shared" si="155"/>
        <v>13.35</v>
      </c>
      <c r="Z846" s="3" t="e">
        <f t="shared" si="156"/>
        <v>#DIV/0!</v>
      </c>
      <c r="AA846" s="340">
        <f>IFERROR(VLOOKUP($G846,基本資料!$A:$M,11,0),"無")</f>
        <v>-39.590000000000003</v>
      </c>
      <c r="AB846" s="389">
        <f>IFERROR(VLOOKUP($G846,基本資料!$A:$M,12,0),"無")</f>
        <v>14.91</v>
      </c>
      <c r="AC846" s="22" t="s">
        <v>212</v>
      </c>
      <c r="AF846" s="33">
        <f t="shared" si="157"/>
        <v>0</v>
      </c>
      <c r="AG846" s="117" t="s">
        <v>4187</v>
      </c>
      <c r="AH846" s="66">
        <f t="shared" si="159"/>
        <v>1.925989271049781</v>
      </c>
      <c r="AI846" s="314">
        <f>RTD("money.excel",,$G846,"PredictVolume")</f>
        <v>178149</v>
      </c>
      <c r="AJ846" s="391">
        <f>IFERROR(VLOOKUP($G846,基本資料!$A:$M,13,0),"無")</f>
        <v>92497.4</v>
      </c>
      <c r="AR846" s="245" t="str">
        <f>INDEX(基本資料!N:N,MATCH($G846,基本資料!A:A,0))</f>
        <v>低</v>
      </c>
    </row>
    <row r="847" spans="1:44">
      <c r="A847" s="343">
        <f>IFERROR(VLOOKUP($G847,基本資料!$A:$J,3,0),"無")</f>
        <v>5.7</v>
      </c>
      <c r="B847" s="79">
        <f>IFERROR(VLOOKUP($G847,基本資料!$A:$J,4,0),"無")</f>
        <v>119</v>
      </c>
      <c r="C847" s="79">
        <f>IFERROR(VLOOKUP($G847,基本資料!$A:$J,5,0),"無")</f>
        <v>259</v>
      </c>
      <c r="D847" s="79">
        <f>IFERROR(VLOOKUP($G847,基本資料!$A:$J,6,0),"無")</f>
        <v>-41</v>
      </c>
      <c r="E847" s="79">
        <f>IFERROR(VLOOKUP($G847,基本資料!$A:$J,7,0),"無")</f>
        <v>-19</v>
      </c>
      <c r="F847" s="6">
        <f>IFERROR(VLOOKUP($G847,基本資料!$A:$J,8,0),"無")</f>
        <v>20.98</v>
      </c>
      <c r="G847" s="79">
        <v>3490</v>
      </c>
      <c r="H847" s="8" t="s">
        <v>1877</v>
      </c>
      <c r="I847" s="16" t="s">
        <v>4188</v>
      </c>
      <c r="J847" s="8">
        <f>IFERROR(VLOOKUP($G847,今日總結!$A:$AN,39,0),"")</f>
        <v>0</v>
      </c>
      <c r="K847" s="5">
        <f>IFERROR(VLOOKUP($G847,今日總結!$A:$AN,40,0),"")</f>
        <v>0</v>
      </c>
      <c r="L847" s="156">
        <f>IFERROR(VLOOKUP($G847,今日總結!$A:$AN,37,0),"")</f>
        <v>0</v>
      </c>
      <c r="M847" s="337">
        <f>IFERROR(VLOOKUP($G847,今日總結!$A:$AN,38,0),"")</f>
        <v>0</v>
      </c>
      <c r="N847" s="240">
        <f t="shared" si="158"/>
        <v>0</v>
      </c>
      <c r="O847" s="359">
        <f>IFERROR(VLOOKUP($G847,融外自投!$A:$J,7,0),"無")</f>
        <v>170</v>
      </c>
      <c r="P847" s="79">
        <f>IFERROR(VLOOKUP($G847,融外自投!$A:$J,9,0),"無")</f>
        <v>286</v>
      </c>
      <c r="Q847" s="342">
        <f>IFERROR(VLOOKUP($G847,融外自投!$A:$J,8,0),"無")</f>
        <v>836</v>
      </c>
      <c r="R847" s="81" t="str">
        <f>IFERROR(VLOOKUP($G847,融外自投!$A:$J,10,0),"無")</f>
        <v>無</v>
      </c>
      <c r="S847" s="324">
        <f>IFERROR(VLOOKUP($G847,'321買'!$A:$E,4,0),"'沒有資料'")</f>
        <v>321</v>
      </c>
      <c r="T847" s="186">
        <f>IFERROR(VLOOKUP($G847,基本資料!$A:$J,9,0),"無")</f>
        <v>1.2</v>
      </c>
      <c r="U847" s="307">
        <f t="shared" si="154"/>
        <v>4.4444444444444446E-2</v>
      </c>
      <c r="V847" s="94">
        <f>IFERROR(VLOOKUP($G847,基本資料!$A:$J,10,0),"無")</f>
        <v>2.19</v>
      </c>
      <c r="W847" s="36">
        <f>RTD("money.excel",,"3490","Price")</f>
        <v>27</v>
      </c>
      <c r="X847" s="66"/>
      <c r="Y847" s="15">
        <f t="shared" si="155"/>
        <v>27</v>
      </c>
      <c r="Z847" s="3" t="e">
        <f t="shared" si="156"/>
        <v>#DIV/0!</v>
      </c>
      <c r="AA847" s="340">
        <f>IFERROR(VLOOKUP($G847,基本資料!$A:$M,11,0),"無")</f>
        <v>-27.42</v>
      </c>
      <c r="AB847" s="389">
        <f>IFERROR(VLOOKUP($G847,基本資料!$A:$M,12,0),"無")</f>
        <v>18.77</v>
      </c>
      <c r="AC847" s="16" t="s">
        <v>4188</v>
      </c>
      <c r="AF847" s="33">
        <f t="shared" si="157"/>
        <v>0</v>
      </c>
      <c r="AG847" s="43" t="s">
        <v>4189</v>
      </c>
      <c r="AH847" s="66">
        <f t="shared" si="159"/>
        <v>0.33212996389891697</v>
      </c>
      <c r="AI847" s="283">
        <f>RTD("money.excel",,$G847,"PredictVolume")</f>
        <v>92</v>
      </c>
      <c r="AJ847" s="391">
        <f>IFERROR(VLOOKUP($G847,基本資料!$A:$M,13,0),"無")</f>
        <v>277</v>
      </c>
      <c r="AR847" s="245" t="str">
        <f>INDEX(基本資料!N:N,MATCH($G847,基本資料!A:A,0))</f>
        <v>低</v>
      </c>
    </row>
    <row r="848" spans="1:44">
      <c r="A848" s="343">
        <f>IFERROR(VLOOKUP($G848,基本資料!$A:$J,3,0),"無")</f>
        <v>11.4</v>
      </c>
      <c r="B848" s="79">
        <f>IFERROR(VLOOKUP($G848,基本資料!$A:$J,4,0),"無")</f>
        <v>111</v>
      </c>
      <c r="C848" s="79">
        <f>IFERROR(VLOOKUP($G848,基本資料!$A:$J,5,0),"無")</f>
        <v>111</v>
      </c>
      <c r="D848" s="79">
        <f>IFERROR(VLOOKUP($G848,基本資料!$A:$J,6,0),"無")</f>
        <v>-55</v>
      </c>
      <c r="E848" s="79">
        <f>IFERROR(VLOOKUP($G848,基本資料!$A:$J,7,0),"無")</f>
        <v>-42</v>
      </c>
      <c r="F848" s="6">
        <f>IFERROR(VLOOKUP($G848,基本資料!$A:$J,8,0),"無")</f>
        <v>0.6</v>
      </c>
      <c r="G848" s="79">
        <v>3504</v>
      </c>
      <c r="H848" s="8" t="s">
        <v>1877</v>
      </c>
      <c r="I848" s="22" t="s">
        <v>4190</v>
      </c>
      <c r="J848" s="8" t="str">
        <f>IFERROR(VLOOKUP($G848,今日總結!$A:$AN,39,0),"")</f>
        <v>外</v>
      </c>
      <c r="K848" s="5">
        <f>IFERROR(VLOOKUP($G848,今日總結!$A:$AN,40,0),"")</f>
        <v>0</v>
      </c>
      <c r="L848" s="156">
        <f>IFERROR(VLOOKUP($G848,今日總結!$A:$AN,37,0),"")</f>
        <v>2</v>
      </c>
      <c r="M848" s="337">
        <f>IFERROR(VLOOKUP($G848,今日總結!$A:$AN,38,0),"")</f>
        <v>0</v>
      </c>
      <c r="N848" s="240">
        <f t="shared" si="158"/>
        <v>2</v>
      </c>
      <c r="O848" s="359">
        <f>IFERROR(VLOOKUP($G848,融外自投!$A:$J,7,0),"無")</f>
        <v>393</v>
      </c>
      <c r="P848" s="79">
        <f>IFERROR(VLOOKUP($G848,融外自投!$A:$J,9,0),"無")</f>
        <v>94</v>
      </c>
      <c r="Q848" s="342">
        <f>IFERROR(VLOOKUP($G848,融外自投!$A:$J,8,0),"無")</f>
        <v>725</v>
      </c>
      <c r="R848" s="81">
        <f>IFERROR(VLOOKUP($G848,融外自投!$A:$J,10,0),"無")</f>
        <v>439</v>
      </c>
      <c r="S848" s="324">
        <f>IFERROR(VLOOKUP($G848,'321買'!$A:$E,4,0),"'沒有資料'")</f>
        <v>101</v>
      </c>
      <c r="T848" s="186">
        <f>IFERROR(VLOOKUP($G848,基本資料!$A:$J,9,0),"無")</f>
        <v>0</v>
      </c>
      <c r="U848" s="307">
        <f t="shared" si="154"/>
        <v>0</v>
      </c>
      <c r="V848" s="94">
        <f>IFERROR(VLOOKUP($G848,基本資料!$A:$J,10,0),"無")</f>
        <v>0.23</v>
      </c>
      <c r="W848" s="36">
        <f>RTD("money.excel",,"3504","Price")</f>
        <v>61.4</v>
      </c>
      <c r="X848" s="66"/>
      <c r="Y848" s="15">
        <f t="shared" si="155"/>
        <v>61.4</v>
      </c>
      <c r="Z848" s="3" t="e">
        <f t="shared" si="156"/>
        <v>#DIV/0!</v>
      </c>
      <c r="AA848" s="340">
        <f>IFERROR(VLOOKUP($G848,基本資料!$A:$M,11,0),"無")</f>
        <v>-60.13</v>
      </c>
      <c r="AB848" s="389">
        <f>IFERROR(VLOOKUP($G848,基本資料!$A:$M,12,0),"無")</f>
        <v>9.43</v>
      </c>
      <c r="AC848" s="22" t="s">
        <v>4190</v>
      </c>
      <c r="AF848" s="33">
        <f t="shared" si="157"/>
        <v>0</v>
      </c>
      <c r="AG848" s="43" t="s">
        <v>4191</v>
      </c>
      <c r="AH848" s="66">
        <f t="shared" si="159"/>
        <v>0.62847167116330738</v>
      </c>
      <c r="AI848" s="283">
        <f>RTD("money.excel",,$G848,"PredictVolume")</f>
        <v>396</v>
      </c>
      <c r="AJ848" s="391">
        <f>IFERROR(VLOOKUP($G848,基本資料!$A:$M,13,0),"無")</f>
        <v>630.1</v>
      </c>
      <c r="AR848" s="245" t="str">
        <f>INDEX(基本資料!N:N,MATCH($G848,基本資料!A:A,0))</f>
        <v>低</v>
      </c>
    </row>
    <row r="849" spans="1:44">
      <c r="A849" s="343">
        <f>IFERROR(VLOOKUP($G849,基本資料!$A:$J,3,0),"無")</f>
        <v>5.05</v>
      </c>
      <c r="B849" s="79">
        <f>IFERROR(VLOOKUP($G849,基本資料!$A:$J,4,0),"無")</f>
        <v>143</v>
      </c>
      <c r="C849" s="79">
        <f>IFERROR(VLOOKUP($G849,基本資料!$A:$J,5,0),"無")</f>
        <v>128</v>
      </c>
      <c r="D849" s="79">
        <f>IFERROR(VLOOKUP($G849,基本資料!$A:$J,6,0),"無")</f>
        <v>-3</v>
      </c>
      <c r="E849" s="79">
        <f>IFERROR(VLOOKUP($G849,基本資料!$A:$J,7,0),"無")</f>
        <v>9</v>
      </c>
      <c r="F849" s="6">
        <f>IFERROR(VLOOKUP($G849,基本資料!$A:$J,8,0),"無")</f>
        <v>0.35</v>
      </c>
      <c r="G849" s="79">
        <v>3516</v>
      </c>
      <c r="H849" s="8" t="s">
        <v>1877</v>
      </c>
      <c r="I849" s="16" t="s">
        <v>4192</v>
      </c>
      <c r="J849" s="8">
        <f>IFERROR(VLOOKUP($G849,今日總結!$A:$AN,39,0),"")</f>
        <v>0</v>
      </c>
      <c r="K849" s="5">
        <f>IFERROR(VLOOKUP($G849,今日總結!$A:$AN,40,0),"")</f>
        <v>0</v>
      </c>
      <c r="L849" s="156">
        <f>IFERROR(VLOOKUP($G849,今日總結!$A:$AN,37,0),"")</f>
        <v>0</v>
      </c>
      <c r="M849" s="337">
        <f>IFERROR(VLOOKUP($G849,今日總結!$A:$AN,38,0),"")</f>
        <v>0</v>
      </c>
      <c r="N849" s="240">
        <f t="shared" si="158"/>
        <v>0</v>
      </c>
      <c r="O849" s="359">
        <f>IFERROR(VLOOKUP($G849,融外自投!$A:$J,7,0),"無")</f>
        <v>3</v>
      </c>
      <c r="P849" s="79" t="str">
        <f>IFERROR(VLOOKUP($G849,融外自投!$A:$J,9,0),"無")</f>
        <v>無</v>
      </c>
      <c r="Q849" s="342">
        <f>IFERROR(VLOOKUP($G849,融外自投!$A:$J,8,0),"無")</f>
        <v>1369</v>
      </c>
      <c r="R849" s="81" t="str">
        <f>IFERROR(VLOOKUP($G849,融外自投!$A:$J,10,0),"無")</f>
        <v>無</v>
      </c>
      <c r="S849" s="324">
        <f>IFERROR(VLOOKUP($G849,'321買'!$A:$E,4,0),"'沒有資料'")</f>
        <v>1002</v>
      </c>
      <c r="T849" s="186">
        <f>IFERROR(VLOOKUP($G849,基本資料!$A:$J,9,0),"無")</f>
        <v>0.2</v>
      </c>
      <c r="U849" s="307">
        <f t="shared" si="154"/>
        <v>1.2658227848101266E-2</v>
      </c>
      <c r="V849" s="94">
        <f>IFERROR(VLOOKUP($G849,基本資料!$A:$J,10,0),"無")</f>
        <v>0.86</v>
      </c>
      <c r="W849" s="36">
        <f>RTD("money.excel",,"3516","Price")</f>
        <v>15.8</v>
      </c>
      <c r="X849" s="66"/>
      <c r="Y849" s="15">
        <f t="shared" si="155"/>
        <v>15.8</v>
      </c>
      <c r="Z849" s="3" t="e">
        <f t="shared" si="156"/>
        <v>#DIV/0!</v>
      </c>
      <c r="AA849" s="340">
        <f>IFERROR(VLOOKUP($G849,基本資料!$A:$M,11,0),"無")</f>
        <v>-17.71</v>
      </c>
      <c r="AB849" s="389">
        <f>IFERROR(VLOOKUP($G849,基本資料!$A:$M,12,0),"無")</f>
        <v>37.97</v>
      </c>
      <c r="AC849" s="16" t="s">
        <v>4192</v>
      </c>
      <c r="AF849" s="33">
        <f t="shared" si="157"/>
        <v>0</v>
      </c>
      <c r="AG849" s="43" t="s">
        <v>4146</v>
      </c>
      <c r="AH849" s="66">
        <f t="shared" si="159"/>
        <v>2.7508455467869219</v>
      </c>
      <c r="AI849" s="283">
        <f>RTD("money.excel",,$G849,"PredictVolume")</f>
        <v>122</v>
      </c>
      <c r="AJ849" s="391">
        <f>IFERROR(VLOOKUP($G849,基本資料!$A:$M,13,0),"無")</f>
        <v>44.35</v>
      </c>
      <c r="AR849" s="245" t="str">
        <f>INDEX(基本資料!N:N,MATCH($G849,基本資料!A:A,0))</f>
        <v>低</v>
      </c>
    </row>
    <row r="850" spans="1:44">
      <c r="A850" s="343">
        <f>IFERROR(VLOOKUP($G850,基本資料!$A:$J,3,0),"無")</f>
        <v>6.11</v>
      </c>
      <c r="B850" s="79">
        <f>IFERROR(VLOOKUP($G850,基本資料!$A:$J,4,0),"無")</f>
        <v>83</v>
      </c>
      <c r="C850" s="79">
        <f>IFERROR(VLOOKUP($G850,基本資料!$A:$J,5,0),"無")</f>
        <v>9</v>
      </c>
      <c r="D850" s="79">
        <f>IFERROR(VLOOKUP($G850,基本資料!$A:$J,6,0),"無")</f>
        <v>-2</v>
      </c>
      <c r="E850" s="79">
        <f>IFERROR(VLOOKUP($G850,基本資料!$A:$J,7,0),"無")</f>
        <v>8</v>
      </c>
      <c r="F850" s="6">
        <f>IFERROR(VLOOKUP($G850,基本資料!$A:$J,8,0),"無")</f>
        <v>4.17</v>
      </c>
      <c r="G850" s="79">
        <v>3531</v>
      </c>
      <c r="H850" s="8" t="s">
        <v>1877</v>
      </c>
      <c r="I850" s="16" t="s">
        <v>4193</v>
      </c>
      <c r="J850" s="8" t="str">
        <f>IFERROR(VLOOKUP($G850,今日總結!$A:$AN,39,0),"")</f>
        <v/>
      </c>
      <c r="K850" s="5" t="str">
        <f>IFERROR(VLOOKUP($G850,今日總結!$A:$AN,40,0),"")</f>
        <v/>
      </c>
      <c r="L850" s="156" t="str">
        <f>IFERROR(VLOOKUP($G850,今日總結!$A:$AN,37,0),"")</f>
        <v/>
      </c>
      <c r="M850" s="337" t="str">
        <f>IFERROR(VLOOKUP($G850,今日總結!$A:$AN,38,0),"")</f>
        <v/>
      </c>
      <c r="N850" s="240" t="str">
        <f t="shared" si="158"/>
        <v/>
      </c>
      <c r="O850" s="359">
        <f>IFERROR(VLOOKUP($G850,融外自投!$A:$J,7,0),"無")</f>
        <v>1400</v>
      </c>
      <c r="P850" s="79" t="str">
        <f>IFERROR(VLOOKUP($G850,融外自投!$A:$J,9,0),"無")</f>
        <v>無</v>
      </c>
      <c r="Q850" s="342">
        <f>IFERROR(VLOOKUP($G850,融外自投!$A:$J,8,0),"無")</f>
        <v>281</v>
      </c>
      <c r="R850" s="81" t="str">
        <f>IFERROR(VLOOKUP($G850,融外自投!$A:$J,10,0),"無")</f>
        <v>無</v>
      </c>
      <c r="S850" s="324" t="str">
        <f>IFERROR(VLOOKUP($G850,'321買'!$A:$E,4,0),"'沒有資料'")</f>
        <v>'沒有資料'</v>
      </c>
      <c r="T850" s="186">
        <f>IFERROR(VLOOKUP($G850,基本資料!$A:$J,9,0),"無")</f>
        <v>1.2</v>
      </c>
      <c r="U850" s="307">
        <f t="shared" si="154"/>
        <v>5.2863436123348019E-2</v>
      </c>
      <c r="V850" s="94">
        <f>IFERROR(VLOOKUP($G850,基本資料!$A:$J,10,0),"無")</f>
        <v>1.38</v>
      </c>
      <c r="W850" s="36">
        <f>RTD("money.excel",,"3531","Price")</f>
        <v>22.7</v>
      </c>
      <c r="X850" s="66"/>
      <c r="Y850" s="15">
        <f t="shared" si="155"/>
        <v>22.7</v>
      </c>
      <c r="Z850" s="3" t="e">
        <f t="shared" si="156"/>
        <v>#DIV/0!</v>
      </c>
      <c r="AA850" s="340">
        <f>IFERROR(VLOOKUP($G850,基本資料!$A:$M,11,0),"無")</f>
        <v>-6.78</v>
      </c>
      <c r="AB850" s="389">
        <f>IFERROR(VLOOKUP($G850,基本資料!$A:$M,12,0),"無")</f>
        <v>63.4</v>
      </c>
      <c r="AC850" s="16" t="s">
        <v>4193</v>
      </c>
      <c r="AF850" s="33">
        <f t="shared" si="157"/>
        <v>0</v>
      </c>
      <c r="AG850" s="43" t="s">
        <v>4194</v>
      </c>
      <c r="AH850" s="66">
        <f t="shared" si="159"/>
        <v>0.75</v>
      </c>
      <c r="AI850" s="283">
        <f>RTD("money.excel",,$G850,"PredictVolume")</f>
        <v>3</v>
      </c>
      <c r="AJ850" s="391">
        <f>IFERROR(VLOOKUP($G850,基本資料!$A:$M,13,0),"無")</f>
        <v>4</v>
      </c>
      <c r="AR850" s="245" t="str">
        <f>INDEX(基本資料!N:N,MATCH($G850,基本資料!A:A,0))</f>
        <v>中</v>
      </c>
    </row>
    <row r="851" spans="1:44">
      <c r="A851" s="343">
        <f>IFERROR(VLOOKUP($G851,基本資料!$A:$J,3,0),"無")</f>
        <v>7.9</v>
      </c>
      <c r="B851" s="79">
        <f>IFERROR(VLOOKUP($G851,基本資料!$A:$J,4,0),"無")</f>
        <v>195</v>
      </c>
      <c r="C851" s="79">
        <f>IFERROR(VLOOKUP($G851,基本資料!$A:$J,5,0),"無")</f>
        <v>455</v>
      </c>
      <c r="D851" s="79">
        <f>IFERROR(VLOOKUP($G851,基本資料!$A:$J,6,0),"無")</f>
        <v>-16</v>
      </c>
      <c r="E851" s="79">
        <f>IFERROR(VLOOKUP($G851,基本資料!$A:$J,7,0),"無")</f>
        <v>132</v>
      </c>
      <c r="F851" s="6">
        <f>IFERROR(VLOOKUP($G851,基本資料!$A:$J,8,0),"無")</f>
        <v>9.0299999999999994</v>
      </c>
      <c r="G851" s="79">
        <v>3535</v>
      </c>
      <c r="H851" s="8" t="s">
        <v>1877</v>
      </c>
      <c r="I851" s="22" t="s">
        <v>4195</v>
      </c>
      <c r="J851" s="8">
        <f>IFERROR(VLOOKUP($G851,今日總結!$A:$AN,39,0),"")</f>
        <v>3</v>
      </c>
      <c r="K851" s="5">
        <f>IFERROR(VLOOKUP($G851,今日總結!$A:$AN,40,0),"")</f>
        <v>7</v>
      </c>
      <c r="L851" s="156">
        <f>IFERROR(VLOOKUP($G851,今日總結!$A:$AN,37,0),"")</f>
        <v>1</v>
      </c>
      <c r="M851" s="337">
        <f>IFERROR(VLOOKUP($G851,今日總結!$A:$AN,38,0),"")</f>
        <v>1</v>
      </c>
      <c r="N851" s="240">
        <f t="shared" si="158"/>
        <v>0</v>
      </c>
      <c r="O851" s="359">
        <f>IFERROR(VLOOKUP($G851,融外自投!$A:$J,7,0),"無")</f>
        <v>130</v>
      </c>
      <c r="P851" s="79">
        <f>IFERROR(VLOOKUP($G851,融外自投!$A:$J,9,0),"無")</f>
        <v>138</v>
      </c>
      <c r="Q851" s="342">
        <f>IFERROR(VLOOKUP($G851,融外自投!$A:$J,8,0),"無")</f>
        <v>580</v>
      </c>
      <c r="R851" s="81" t="str">
        <f>IFERROR(VLOOKUP($G851,融外自投!$A:$J,10,0),"無")</f>
        <v>無</v>
      </c>
      <c r="S851" s="324">
        <f>IFERROR(VLOOKUP($G851,'321買'!$A:$E,4,0),"'沒有資料'")</f>
        <v>178</v>
      </c>
      <c r="T851" s="186">
        <f>IFERROR(VLOOKUP($G851,基本資料!$A:$J,9,0),"無")</f>
        <v>0.5</v>
      </c>
      <c r="U851" s="307">
        <f t="shared" si="154"/>
        <v>1.8148820326678767E-2</v>
      </c>
      <c r="V851" s="94">
        <f>IFERROR(VLOOKUP($G851,基本資料!$A:$J,10,0),"無")</f>
        <v>1.22</v>
      </c>
      <c r="W851" s="36">
        <f>RTD("money.excel",,"3535","Price")</f>
        <v>27.55</v>
      </c>
      <c r="X851" s="66"/>
      <c r="Y851" s="15">
        <f t="shared" si="155"/>
        <v>27.55</v>
      </c>
      <c r="Z851" s="3" t="e">
        <f t="shared" si="156"/>
        <v>#DIV/0!</v>
      </c>
      <c r="AA851" s="340">
        <f>IFERROR(VLOOKUP($G851,基本資料!$A:$M,11,0),"無")</f>
        <v>0</v>
      </c>
      <c r="AB851" s="389">
        <f>IFERROR(VLOOKUP($G851,基本資料!$A:$M,12,0),"無")</f>
        <v>68.430000000000007</v>
      </c>
      <c r="AC851" s="22" t="s">
        <v>4195</v>
      </c>
      <c r="AF851" s="33">
        <f t="shared" si="157"/>
        <v>0</v>
      </c>
      <c r="AG851" s="43" t="s">
        <v>4196</v>
      </c>
      <c r="AH851" s="66">
        <f t="shared" si="159"/>
        <v>5.333830221245881</v>
      </c>
      <c r="AI851" s="283">
        <f>RTD("money.excel",,$G851,"PredictVolume")</f>
        <v>27194</v>
      </c>
      <c r="AJ851" s="391">
        <f>IFERROR(VLOOKUP($G851,基本資料!$A:$M,13,0),"無")</f>
        <v>5098.3999999999996</v>
      </c>
      <c r="AR851" s="245" t="str">
        <f>INDEX(基本資料!N:N,MATCH($G851,基本資料!A:A,0))</f>
        <v>高</v>
      </c>
    </row>
    <row r="852" spans="1:44">
      <c r="A852" s="343">
        <f>IFERROR(VLOOKUP($G852,基本資料!$A:$J,3,0),"無")</f>
        <v>8.92</v>
      </c>
      <c r="B852" s="79">
        <f>IFERROR(VLOOKUP($G852,基本資料!$A:$J,4,0),"無")</f>
        <v>145</v>
      </c>
      <c r="C852" s="79">
        <f>IFERROR(VLOOKUP($G852,基本資料!$A:$J,5,0),"無")</f>
        <v>-92</v>
      </c>
      <c r="D852" s="79">
        <f>IFERROR(VLOOKUP($G852,基本資料!$A:$J,6,0),"無")</f>
        <v>-20</v>
      </c>
      <c r="E852" s="79">
        <f>IFERROR(VLOOKUP($G852,基本資料!$A:$J,7,0),"無")</f>
        <v>-12</v>
      </c>
      <c r="F852" s="6">
        <f>IFERROR(VLOOKUP($G852,基本資料!$A:$J,8,0),"無")</f>
        <v>7.0000000000000007E-2</v>
      </c>
      <c r="G852" s="79">
        <v>3543</v>
      </c>
      <c r="H852" s="8" t="s">
        <v>1877</v>
      </c>
      <c r="I852" s="22" t="s">
        <v>4197</v>
      </c>
      <c r="J852" s="8">
        <f>IFERROR(VLOOKUP($G852,今日總結!$A:$AN,39,0),"")</f>
        <v>0</v>
      </c>
      <c r="K852" s="5">
        <f>IFERROR(VLOOKUP($G852,今日總結!$A:$AN,40,0),"")</f>
        <v>0</v>
      </c>
      <c r="L852" s="156">
        <f>IFERROR(VLOOKUP($G852,今日總結!$A:$AN,37,0),"")</f>
        <v>0</v>
      </c>
      <c r="M852" s="337">
        <f>IFERROR(VLOOKUP($G852,今日總結!$A:$AN,38,0),"")</f>
        <v>0</v>
      </c>
      <c r="N852" s="240">
        <f t="shared" si="158"/>
        <v>0</v>
      </c>
      <c r="O852" s="359">
        <f>IFERROR(VLOOKUP($G852,融外自投!$A:$J,7,0),"無")</f>
        <v>818</v>
      </c>
      <c r="P852" s="79">
        <f>IFERROR(VLOOKUP($G852,融外自投!$A:$J,9,0),"無")</f>
        <v>946</v>
      </c>
      <c r="Q852" s="342">
        <f>IFERROR(VLOOKUP($G852,融外自投!$A:$J,8,0),"無")</f>
        <v>1382</v>
      </c>
      <c r="R852" s="81" t="str">
        <f>IFERROR(VLOOKUP($G852,融外自投!$A:$J,10,0),"無")</f>
        <v>無</v>
      </c>
      <c r="S852" s="324">
        <f>IFERROR(VLOOKUP($G852,'321買'!$A:$E,4,0),"'沒有資料'")</f>
        <v>1002</v>
      </c>
      <c r="T852" s="186">
        <f>IFERROR(VLOOKUP($G852,基本資料!$A:$J,9,0),"無")</f>
        <v>1.2</v>
      </c>
      <c r="U852" s="307">
        <f t="shared" si="154"/>
        <v>5.8536585365853655E-2</v>
      </c>
      <c r="V852" s="94">
        <f>IFERROR(VLOOKUP($G852,基本資料!$A:$J,10,0),"無")</f>
        <v>1.99</v>
      </c>
      <c r="W852" s="36">
        <f>RTD("money.excel",,"3543","Price")</f>
        <v>20.5</v>
      </c>
      <c r="X852" s="66"/>
      <c r="Y852" s="15">
        <f t="shared" si="155"/>
        <v>20.5</v>
      </c>
      <c r="Z852" s="3" t="e">
        <f t="shared" si="156"/>
        <v>#DIV/0!</v>
      </c>
      <c r="AA852" s="340">
        <f>IFERROR(VLOOKUP($G852,基本資料!$A:$M,11,0),"無")</f>
        <v>-32.68</v>
      </c>
      <c r="AB852" s="389">
        <f>IFERROR(VLOOKUP($G852,基本資料!$A:$M,12,0),"無")</f>
        <v>21.17</v>
      </c>
      <c r="AC852" s="22" t="s">
        <v>4197</v>
      </c>
      <c r="AF852" s="33">
        <f t="shared" si="157"/>
        <v>0</v>
      </c>
      <c r="AG852" s="43" t="s">
        <v>1878</v>
      </c>
      <c r="AH852" s="66">
        <f t="shared" si="159"/>
        <v>3.020833333333333</v>
      </c>
      <c r="AI852" s="283">
        <f>RTD("money.excel",,$G852,"PredictVolume")</f>
        <v>87</v>
      </c>
      <c r="AJ852" s="391">
        <f>IFERROR(VLOOKUP($G852,基本資料!$A:$M,13,0),"無")</f>
        <v>28.8</v>
      </c>
      <c r="AR852" s="245" t="str">
        <f>INDEX(基本資料!N:N,MATCH($G852,基本資料!A:A,0))</f>
        <v>低</v>
      </c>
    </row>
    <row r="853" spans="1:44">
      <c r="A853" s="343">
        <f>IFERROR(VLOOKUP($G853,基本資料!$A:$J,3,0),"無")</f>
        <v>4.47</v>
      </c>
      <c r="B853" s="79">
        <f>IFERROR(VLOOKUP($G853,基本資料!$A:$J,4,0),"無")</f>
        <v>26</v>
      </c>
      <c r="C853" s="79">
        <f>IFERROR(VLOOKUP($G853,基本資料!$A:$J,5,0),"無")</f>
        <v>22</v>
      </c>
      <c r="D853" s="79">
        <f>IFERROR(VLOOKUP($G853,基本資料!$A:$J,6,0),"無")</f>
        <v>-6</v>
      </c>
      <c r="E853" s="79">
        <f>IFERROR(VLOOKUP($G853,基本資料!$A:$J,7,0),"無")</f>
        <v>-17</v>
      </c>
      <c r="F853" s="6">
        <f>IFERROR(VLOOKUP($G853,基本資料!$A:$J,8,0),"無")</f>
        <v>38.86</v>
      </c>
      <c r="G853" s="79">
        <v>3563</v>
      </c>
      <c r="H853" s="8" t="s">
        <v>1877</v>
      </c>
      <c r="I853" s="22" t="s">
        <v>179</v>
      </c>
      <c r="J853" s="8" t="str">
        <f>IFERROR(VLOOKUP($G853,今日總結!$A:$AN,39,0),"")</f>
        <v>外</v>
      </c>
      <c r="K853" s="5">
        <f>IFERROR(VLOOKUP($G853,今日總結!$A:$AN,40,0),"")</f>
        <v>0</v>
      </c>
      <c r="L853" s="156">
        <f>IFERROR(VLOOKUP($G853,今日總結!$A:$AN,37,0),"")</f>
        <v>1</v>
      </c>
      <c r="M853" s="337">
        <f>IFERROR(VLOOKUP($G853,今日總結!$A:$AN,38,0),"")</f>
        <v>0</v>
      </c>
      <c r="N853" s="240">
        <f t="shared" si="158"/>
        <v>1</v>
      </c>
      <c r="O853" s="359">
        <f>IFERROR(VLOOKUP($G853,融外自投!$A:$J,7,0),"無")</f>
        <v>444</v>
      </c>
      <c r="P853" s="79">
        <f>IFERROR(VLOOKUP($G853,融外自投!$A:$J,9,0),"無")</f>
        <v>85</v>
      </c>
      <c r="Q853" s="342">
        <f>IFERROR(VLOOKUP($G853,融外自投!$A:$J,8,0),"無")</f>
        <v>558</v>
      </c>
      <c r="R853" s="81" t="str">
        <f>IFERROR(VLOOKUP($G853,融外自投!$A:$J,10,0),"無")</f>
        <v>無</v>
      </c>
      <c r="S853" s="324">
        <f>IFERROR(VLOOKUP($G853,'321買'!$A:$E,4,0),"'沒有資料'")</f>
        <v>411</v>
      </c>
      <c r="T853" s="186">
        <f>IFERROR(VLOOKUP($G853,基本資料!$A:$J,9,0),"無")</f>
        <v>12</v>
      </c>
      <c r="U853" s="307">
        <f t="shared" si="154"/>
        <v>6.6852367688022288E-2</v>
      </c>
      <c r="V853" s="94">
        <f>IFERROR(VLOOKUP($G853,基本資料!$A:$J,10,0),"無")</f>
        <v>18.510000000000002</v>
      </c>
      <c r="W853" s="36">
        <f>RTD("money.excel",,"3563","Price")</f>
        <v>179.5</v>
      </c>
      <c r="X853" s="66"/>
      <c r="Y853" s="15">
        <f t="shared" si="155"/>
        <v>179.5</v>
      </c>
      <c r="Z853" s="3" t="e">
        <f t="shared" si="156"/>
        <v>#DIV/0!</v>
      </c>
      <c r="AA853" s="340">
        <f>IFERROR(VLOOKUP($G853,基本資料!$A:$M,11,0),"無")</f>
        <v>-38.74</v>
      </c>
      <c r="AB853" s="389">
        <f>IFERROR(VLOOKUP($G853,基本資料!$A:$M,12,0),"無")</f>
        <v>11.51</v>
      </c>
      <c r="AC853" s="22" t="s">
        <v>179</v>
      </c>
      <c r="AF853" s="33">
        <f t="shared" si="157"/>
        <v>0</v>
      </c>
      <c r="AG853" s="119" t="s">
        <v>4199</v>
      </c>
      <c r="AH853" s="66">
        <f t="shared" si="159"/>
        <v>0.36603965429588209</v>
      </c>
      <c r="AI853" s="283">
        <f>RTD("money.excel",,$G853,"PredictVolume")</f>
        <v>36</v>
      </c>
      <c r="AJ853" s="391">
        <f>IFERROR(VLOOKUP($G853,基本資料!$A:$M,13,0),"無")</f>
        <v>98.35</v>
      </c>
      <c r="AR853" s="245" t="str">
        <f>INDEX(基本資料!N:N,MATCH($G853,基本資料!A:A,0))</f>
        <v>低</v>
      </c>
    </row>
    <row r="854" spans="1:44">
      <c r="A854" s="343">
        <f>IFERROR(VLOOKUP($G854,基本資料!$A:$J,3,0),"無")</f>
        <v>162</v>
      </c>
      <c r="B854" s="79">
        <f>IFERROR(VLOOKUP($G854,基本資料!$A:$J,4,0),"無")</f>
        <v>78</v>
      </c>
      <c r="C854" s="79">
        <f>IFERROR(VLOOKUP($G854,基本資料!$A:$J,5,0),"無")</f>
        <v>82</v>
      </c>
      <c r="D854" s="79">
        <f>IFERROR(VLOOKUP($G854,基本資料!$A:$J,6,0),"無")</f>
        <v>-35</v>
      </c>
      <c r="E854" s="79">
        <f>IFERROR(VLOOKUP($G854,基本資料!$A:$J,7,0),"無")</f>
        <v>5</v>
      </c>
      <c r="F854" s="6">
        <f>IFERROR(VLOOKUP($G854,基本資料!$A:$J,8,0),"無")</f>
        <v>-5.74</v>
      </c>
      <c r="G854" s="79">
        <v>3576</v>
      </c>
      <c r="H854" s="8" t="s">
        <v>1877</v>
      </c>
      <c r="I854" s="22" t="s">
        <v>4200</v>
      </c>
      <c r="J854" s="8" t="str">
        <f>IFERROR(VLOOKUP($G854,今日總結!$A:$AN,39,0),"")</f>
        <v/>
      </c>
      <c r="K854" s="5" t="str">
        <f>IFERROR(VLOOKUP($G854,今日總結!$A:$AN,40,0),"")</f>
        <v/>
      </c>
      <c r="L854" s="156" t="str">
        <f>IFERROR(VLOOKUP($G854,今日總結!$A:$AN,37,0),"")</f>
        <v/>
      </c>
      <c r="M854" s="337" t="str">
        <f>IFERROR(VLOOKUP($G854,今日總結!$A:$AN,38,0),"")</f>
        <v/>
      </c>
      <c r="N854" s="240" t="str">
        <f t="shared" si="158"/>
        <v/>
      </c>
      <c r="O854" s="359" t="str">
        <f>IFERROR(VLOOKUP($G854,融外自投!$A:$J,7,0),"無")</f>
        <v>無</v>
      </c>
      <c r="P854" s="79" t="str">
        <f>IFERROR(VLOOKUP($G854,融外自投!$A:$J,9,0),"無")</f>
        <v>無</v>
      </c>
      <c r="Q854" s="342" t="str">
        <f>IFERROR(VLOOKUP($G854,融外自投!$A:$J,8,0),"無")</f>
        <v>無</v>
      </c>
      <c r="R854" s="81" t="str">
        <f>IFERROR(VLOOKUP($G854,融外自投!$A:$J,10,0),"無")</f>
        <v>無</v>
      </c>
      <c r="S854" s="324" t="str">
        <f>IFERROR(VLOOKUP($G854,'321買'!$A:$E,4,0),"'沒有資料'")</f>
        <v>'沒有資料'</v>
      </c>
      <c r="T854" s="186">
        <f>IFERROR(VLOOKUP($G854,基本資料!$A:$J,9,0),"無")</f>
        <v>0</v>
      </c>
      <c r="U854" s="307">
        <f t="shared" si="154"/>
        <v>0</v>
      </c>
      <c r="V854" s="94">
        <f>IFERROR(VLOOKUP($G854,基本資料!$A:$J,10,0),"無")</f>
        <v>-0.84</v>
      </c>
      <c r="W854" s="36">
        <f>RTD("money.excel",,"3576","Price")</f>
        <v>20.3</v>
      </c>
      <c r="X854" s="66"/>
      <c r="Y854" s="15">
        <f t="shared" si="155"/>
        <v>20.3</v>
      </c>
      <c r="Z854" s="3" t="e">
        <f t="shared" si="156"/>
        <v>#DIV/0!</v>
      </c>
      <c r="AA854" s="340">
        <f>IFERROR(VLOOKUP($G854,基本資料!$A:$M,11,0),"無")</f>
        <v>-22.67</v>
      </c>
      <c r="AB854" s="389">
        <f>IFERROR(VLOOKUP($G854,基本資料!$A:$M,12,0),"無")</f>
        <v>30.78</v>
      </c>
      <c r="AC854" s="22" t="s">
        <v>4200</v>
      </c>
      <c r="AF854" s="33">
        <f t="shared" si="157"/>
        <v>0</v>
      </c>
      <c r="AG854" s="117" t="s">
        <v>4201</v>
      </c>
      <c r="AH854" s="66">
        <f t="shared" si="159"/>
        <v>0.29118365534088386</v>
      </c>
      <c r="AI854" s="283">
        <f>RTD("money.excel",,$G854,"PredictVolume")</f>
        <v>3278</v>
      </c>
      <c r="AJ854" s="391">
        <f>IFERROR(VLOOKUP($G854,基本資料!$A:$M,13,0),"無")</f>
        <v>11257.5</v>
      </c>
      <c r="AR854" s="245" t="str">
        <f>INDEX(基本資料!N:N,MATCH($G854,基本資料!A:A,0))</f>
        <v>中</v>
      </c>
    </row>
    <row r="855" spans="1:44">
      <c r="A855" s="343">
        <f>IFERROR(VLOOKUP($G855,基本資料!$A:$J,3,0),"無")</f>
        <v>12.88</v>
      </c>
      <c r="B855" s="79">
        <f>IFERROR(VLOOKUP($G855,基本資料!$A:$J,4,0),"無")</f>
        <v>289</v>
      </c>
      <c r="C855" s="79">
        <f>IFERROR(VLOOKUP($G855,基本資料!$A:$J,5,0),"無")</f>
        <v>3804</v>
      </c>
      <c r="D855" s="79">
        <f>IFERROR(VLOOKUP($G855,基本資料!$A:$J,6,0),"無")</f>
        <v>-5</v>
      </c>
      <c r="E855" s="79">
        <f>IFERROR(VLOOKUP($G855,基本資料!$A:$J,7,0),"無")</f>
        <v>-24</v>
      </c>
      <c r="F855" s="6">
        <f>IFERROR(VLOOKUP($G855,基本資料!$A:$J,8,0),"無")</f>
        <v>7.13</v>
      </c>
      <c r="G855" s="79">
        <v>3591</v>
      </c>
      <c r="H855" s="8" t="s">
        <v>1877</v>
      </c>
      <c r="I855" s="22" t="s">
        <v>4202</v>
      </c>
      <c r="J855" s="8">
        <f>IFERROR(VLOOKUP($G855,今日總結!$A:$AN,39,0),"")</f>
        <v>0</v>
      </c>
      <c r="K855" s="5">
        <f>IFERROR(VLOOKUP($G855,今日總結!$A:$AN,40,0),"")</f>
        <v>0</v>
      </c>
      <c r="L855" s="156">
        <f>IFERROR(VLOOKUP($G855,今日總結!$A:$AN,37,0),"")</f>
        <v>0</v>
      </c>
      <c r="M855" s="337">
        <f>IFERROR(VLOOKUP($G855,今日總結!$A:$AN,38,0),"")</f>
        <v>0</v>
      </c>
      <c r="N855" s="240">
        <f t="shared" si="158"/>
        <v>0</v>
      </c>
      <c r="O855" s="359">
        <f>IFERROR(VLOOKUP($G855,融外自投!$A:$J,7,0),"無")</f>
        <v>83</v>
      </c>
      <c r="P855" s="79">
        <f>IFERROR(VLOOKUP($G855,融外自投!$A:$J,9,0),"無")</f>
        <v>741</v>
      </c>
      <c r="Q855" s="342">
        <f>IFERROR(VLOOKUP($G855,融外自投!$A:$J,8,0),"無")</f>
        <v>962</v>
      </c>
      <c r="R855" s="81" t="str">
        <f>IFERROR(VLOOKUP($G855,融外自投!$A:$J,10,0),"無")</f>
        <v>無</v>
      </c>
      <c r="S855" s="324">
        <f>IFERROR(VLOOKUP($G855,'321買'!$A:$E,4,0),"'沒有資料'")</f>
        <v>565</v>
      </c>
      <c r="T855" s="186">
        <f>IFERROR(VLOOKUP($G855,基本資料!$A:$J,9,0),"無")</f>
        <v>0.79</v>
      </c>
      <c r="U855" s="307">
        <f t="shared" si="154"/>
        <v>4.9375000000000002E-2</v>
      </c>
      <c r="V855" s="94">
        <f>IFERROR(VLOOKUP($G855,基本資料!$A:$J,10,0),"無")</f>
        <v>1</v>
      </c>
      <c r="W855" s="36">
        <f>RTD("money.excel",,"3591","Price")</f>
        <v>16</v>
      </c>
      <c r="X855" s="66"/>
      <c r="Y855" s="15">
        <f t="shared" si="155"/>
        <v>16</v>
      </c>
      <c r="Z855" s="3" t="e">
        <f t="shared" si="156"/>
        <v>#DIV/0!</v>
      </c>
      <c r="AA855" s="340">
        <f>IFERROR(VLOOKUP($G855,基本資料!$A:$M,11,0),"無")</f>
        <v>-49.21</v>
      </c>
      <c r="AB855" s="389">
        <f>IFERROR(VLOOKUP($G855,基本資料!$A:$M,12,0),"無")</f>
        <v>12.26</v>
      </c>
      <c r="AC855" s="22" t="s">
        <v>4202</v>
      </c>
      <c r="AF855" s="33">
        <f t="shared" si="157"/>
        <v>0</v>
      </c>
      <c r="AG855" s="43" t="s">
        <v>4203</v>
      </c>
      <c r="AH855" s="66">
        <f t="shared" si="159"/>
        <v>1.1604938271604939</v>
      </c>
      <c r="AI855" s="283">
        <f>RTD("money.excel",,$G855,"PredictVolume")</f>
        <v>282</v>
      </c>
      <c r="AJ855" s="391">
        <f>IFERROR(VLOOKUP($G855,基本資料!$A:$M,13,0),"無")</f>
        <v>243</v>
      </c>
      <c r="AR855" s="245" t="str">
        <f>INDEX(基本資料!N:N,MATCH($G855,基本資料!A:A,0))</f>
        <v>低</v>
      </c>
    </row>
    <row r="856" spans="1:44">
      <c r="A856" s="343">
        <f>IFERROR(VLOOKUP($G856,基本資料!$A:$J,3,0),"無")</f>
        <v>6.84</v>
      </c>
      <c r="B856" s="79">
        <f>IFERROR(VLOOKUP($G856,基本資料!$A:$J,4,0),"無")</f>
        <v>373</v>
      </c>
      <c r="C856" s="79">
        <f>IFERROR(VLOOKUP($G856,基本資料!$A:$J,5,0),"無")</f>
        <v>398</v>
      </c>
      <c r="D856" s="79">
        <f>IFERROR(VLOOKUP($G856,基本資料!$A:$J,6,0),"無")</f>
        <v>-7</v>
      </c>
      <c r="E856" s="79">
        <f>IFERROR(VLOOKUP($G856,基本資料!$A:$J,7,0),"無")</f>
        <v>0</v>
      </c>
      <c r="F856" s="6">
        <f>IFERROR(VLOOKUP($G856,基本資料!$A:$J,8,0),"無")</f>
        <v>8.2100000000000009</v>
      </c>
      <c r="G856" s="79">
        <v>3615</v>
      </c>
      <c r="H856" s="8" t="s">
        <v>306</v>
      </c>
      <c r="I856" s="16" t="s">
        <v>4204</v>
      </c>
      <c r="J856" s="8" t="str">
        <f>IFERROR(VLOOKUP($G856,今日總結!$A:$AN,39,0),"")</f>
        <v>外</v>
      </c>
      <c r="K856" s="5">
        <f>IFERROR(VLOOKUP($G856,今日總結!$A:$AN,40,0),"")</f>
        <v>0</v>
      </c>
      <c r="L856" s="156">
        <f>IFERROR(VLOOKUP($G856,今日總結!$A:$AN,37,0),"")</f>
        <v>1</v>
      </c>
      <c r="M856" s="337">
        <f>IFERROR(VLOOKUP($G856,今日總結!$A:$AN,38,0),"")</f>
        <v>0</v>
      </c>
      <c r="N856" s="240">
        <f t="shared" si="158"/>
        <v>1</v>
      </c>
      <c r="O856" s="359">
        <f>IFERROR(VLOOKUP($G856,融外自投!$A:$J,7,0),"無")</f>
        <v>188</v>
      </c>
      <c r="P856" s="79">
        <f>IFERROR(VLOOKUP($G856,融外自投!$A:$J,9,0),"無")</f>
        <v>696</v>
      </c>
      <c r="Q856" s="342">
        <f>IFERROR(VLOOKUP($G856,融外自投!$A:$J,8,0),"無")</f>
        <v>1240</v>
      </c>
      <c r="R856" s="81" t="str">
        <f>IFERROR(VLOOKUP($G856,融外自投!$A:$J,10,0),"無")</f>
        <v>無</v>
      </c>
      <c r="S856" s="324">
        <f>IFERROR(VLOOKUP($G856,'321買'!$A:$E,4,0),"'沒有資料'")</f>
        <v>530</v>
      </c>
      <c r="T856" s="186">
        <f>IFERROR(VLOOKUP($G856,基本資料!$A:$J,9,0),"無")</f>
        <v>0.37</v>
      </c>
      <c r="U856" s="307">
        <f t="shared" si="154"/>
        <v>1.9786096256684493E-2</v>
      </c>
      <c r="V856" s="94">
        <f>IFERROR(VLOOKUP($G856,基本資料!$A:$J,10,0),"無")</f>
        <v>1.43</v>
      </c>
      <c r="W856" s="36">
        <f>RTD("money.excel",,"3615","Price")</f>
        <v>18.7</v>
      </c>
      <c r="X856" s="66"/>
      <c r="Y856" s="15">
        <f t="shared" si="155"/>
        <v>18.7</v>
      </c>
      <c r="Z856" s="3" t="e">
        <f t="shared" si="156"/>
        <v>#DIV/0!</v>
      </c>
      <c r="AA856" s="340">
        <f>IFERROR(VLOOKUP($G856,基本資料!$A:$M,11,0),"無")</f>
        <v>-37.67</v>
      </c>
      <c r="AB856" s="389">
        <f>IFERROR(VLOOKUP($G856,基本資料!$A:$M,12,0),"無")</f>
        <v>20.53</v>
      </c>
      <c r="AC856" s="16" t="s">
        <v>4204</v>
      </c>
      <c r="AF856" s="33">
        <f t="shared" si="157"/>
        <v>0</v>
      </c>
      <c r="AG856" s="43" t="s">
        <v>4205</v>
      </c>
      <c r="AH856" s="66">
        <f t="shared" si="159"/>
        <v>0.60758082497212929</v>
      </c>
      <c r="AI856" s="283">
        <f>RTD("money.excel",,$G856,"PredictVolume")</f>
        <v>109</v>
      </c>
      <c r="AJ856" s="391">
        <f>IFERROR(VLOOKUP($G856,基本資料!$A:$M,13,0),"無")</f>
        <v>179.4</v>
      </c>
      <c r="AR856" s="245" t="str">
        <f>INDEX(基本資料!N:N,MATCH($G856,基本資料!A:A,0))</f>
        <v>低</v>
      </c>
    </row>
    <row r="857" spans="1:44">
      <c r="A857" s="343">
        <f>IFERROR(VLOOKUP($G857,基本資料!$A:$J,3,0),"無")</f>
        <v>15.13</v>
      </c>
      <c r="B857" s="79">
        <f>IFERROR(VLOOKUP($G857,基本資料!$A:$J,4,0),"無")</f>
        <v>47</v>
      </c>
      <c r="C857" s="79">
        <f>IFERROR(VLOOKUP($G857,基本資料!$A:$J,5,0),"無")</f>
        <v>622</v>
      </c>
      <c r="D857" s="79">
        <f>IFERROR(VLOOKUP($G857,基本資料!$A:$J,6,0),"無")</f>
        <v>-15</v>
      </c>
      <c r="E857" s="79">
        <f>IFERROR(VLOOKUP($G857,基本資料!$A:$J,7,0),"無")</f>
        <v>32</v>
      </c>
      <c r="F857" s="6">
        <f>IFERROR(VLOOKUP($G857,基本資料!$A:$J,8,0),"無")</f>
        <v>3.73</v>
      </c>
      <c r="G857" s="79">
        <v>3622</v>
      </c>
      <c r="H857" s="8" t="s">
        <v>1877</v>
      </c>
      <c r="I857" s="22" t="s">
        <v>4206</v>
      </c>
      <c r="J857" s="8" t="str">
        <f>IFERROR(VLOOKUP($G857,今日總結!$A:$AN,39,0),"")</f>
        <v>主</v>
      </c>
      <c r="K857" s="5">
        <f>IFERROR(VLOOKUP($G857,今日總結!$A:$AN,40,0),"")</f>
        <v>0</v>
      </c>
      <c r="L857" s="156">
        <f>IFERROR(VLOOKUP($G857,今日總結!$A:$AN,37,0),"")</f>
        <v>1</v>
      </c>
      <c r="M857" s="337">
        <f>IFERROR(VLOOKUP($G857,今日總結!$A:$AN,38,0),"")</f>
        <v>0</v>
      </c>
      <c r="N857" s="240">
        <f t="shared" si="158"/>
        <v>1</v>
      </c>
      <c r="O857" s="359">
        <f>IFERROR(VLOOKUP($G857,融外自投!$A:$J,7,0),"無")</f>
        <v>745</v>
      </c>
      <c r="P857" s="79">
        <f>IFERROR(VLOOKUP($G857,融外自投!$A:$J,9,0),"無")</f>
        <v>234</v>
      </c>
      <c r="Q857" s="342">
        <f>IFERROR(VLOOKUP($G857,融外自投!$A:$J,8,0),"無")</f>
        <v>1074</v>
      </c>
      <c r="R857" s="81" t="str">
        <f>IFERROR(VLOOKUP($G857,融外自投!$A:$J,10,0),"無")</f>
        <v>無</v>
      </c>
      <c r="S857" s="324">
        <f>IFERROR(VLOOKUP($G857,'321買'!$A:$E,4,0),"'沒有資料'")</f>
        <v>1002</v>
      </c>
      <c r="T857" s="186">
        <f>IFERROR(VLOOKUP($G857,基本資料!$A:$J,9,0),"無")</f>
        <v>1.2</v>
      </c>
      <c r="U857" s="307">
        <f t="shared" si="154"/>
        <v>3.9538714991762765E-2</v>
      </c>
      <c r="V857" s="94">
        <f>IFERROR(VLOOKUP($G857,基本資料!$A:$J,10,0),"無")</f>
        <v>1.85</v>
      </c>
      <c r="W857" s="36">
        <f>RTD("money.excel",,"3622","Price")</f>
        <v>30.35</v>
      </c>
      <c r="X857" s="66"/>
      <c r="Y857" s="15">
        <f t="shared" si="155"/>
        <v>30.35</v>
      </c>
      <c r="Z857" s="3" t="e">
        <f t="shared" si="156"/>
        <v>#DIV/0!</v>
      </c>
      <c r="AA857" s="340">
        <f>IFERROR(VLOOKUP($G857,基本資料!$A:$M,11,0),"無")</f>
        <v>-9.1300000000000008</v>
      </c>
      <c r="AB857" s="389">
        <f>IFERROR(VLOOKUP($G857,基本資料!$A:$M,12,0),"無")</f>
        <v>66.11</v>
      </c>
      <c r="AC857" s="22" t="s">
        <v>4206</v>
      </c>
      <c r="AF857" s="33">
        <f t="shared" si="157"/>
        <v>0</v>
      </c>
      <c r="AG857" s="43" t="s">
        <v>4207</v>
      </c>
      <c r="AH857" s="66">
        <f t="shared" si="159"/>
        <v>0.47503635482307321</v>
      </c>
      <c r="AI857" s="283">
        <f>RTD("money.excel",,$G857,"PredictVolume")</f>
        <v>147</v>
      </c>
      <c r="AJ857" s="391">
        <f>IFERROR(VLOOKUP($G857,基本資料!$A:$M,13,0),"無")</f>
        <v>309.45</v>
      </c>
      <c r="AR857" s="245" t="str">
        <f>INDEX(基本資料!N:N,MATCH($G857,基本資料!A:A,0))</f>
        <v>中</v>
      </c>
    </row>
    <row r="858" spans="1:44">
      <c r="A858" s="343">
        <f>IFERROR(VLOOKUP($G858,基本資料!$A:$J,3,0),"無")</f>
        <v>2.91</v>
      </c>
      <c r="B858" s="79">
        <f>IFERROR(VLOOKUP($G858,基本資料!$A:$J,4,0),"無")</f>
        <v>-11</v>
      </c>
      <c r="C858" s="79">
        <f>IFERROR(VLOOKUP($G858,基本資料!$A:$J,5,0),"無")</f>
        <v>9</v>
      </c>
      <c r="D858" s="79">
        <f>IFERROR(VLOOKUP($G858,基本資料!$A:$J,6,0),"無")</f>
        <v>1</v>
      </c>
      <c r="E858" s="79">
        <f>IFERROR(VLOOKUP($G858,基本資料!$A:$J,7,0),"無")</f>
        <v>45</v>
      </c>
      <c r="F858" s="6">
        <f>IFERROR(VLOOKUP($G858,基本資料!$A:$J,8,0),"無")</f>
        <v>-10.84</v>
      </c>
      <c r="G858" s="79">
        <v>3623</v>
      </c>
      <c r="H858" s="8" t="s">
        <v>1877</v>
      </c>
      <c r="I858" s="16" t="s">
        <v>4208</v>
      </c>
      <c r="J858" s="8">
        <f>IFERROR(VLOOKUP($G858,今日總結!$A:$AN,39,0),"")</f>
        <v>0</v>
      </c>
      <c r="K858" s="5" t="str">
        <f>IFERROR(VLOOKUP($G858,今日總結!$A:$AN,40,0),"")</f>
        <v>主</v>
      </c>
      <c r="L858" s="156">
        <f>IFERROR(VLOOKUP($G858,今日總結!$A:$AN,37,0),"")</f>
        <v>0</v>
      </c>
      <c r="M858" s="337">
        <f>IFERROR(VLOOKUP($G858,今日總結!$A:$AN,38,0),"")</f>
        <v>2</v>
      </c>
      <c r="N858" s="240">
        <f t="shared" si="158"/>
        <v>-2</v>
      </c>
      <c r="O858" s="359">
        <f>IFERROR(VLOOKUP($G858,融外自投!$A:$J,7,0),"無")</f>
        <v>218</v>
      </c>
      <c r="P858" s="79">
        <f>IFERROR(VLOOKUP($G858,融外自投!$A:$J,9,0),"無")</f>
        <v>397</v>
      </c>
      <c r="Q858" s="342">
        <f>IFERROR(VLOOKUP($G858,融外自投!$A:$J,8,0),"無")</f>
        <v>1352</v>
      </c>
      <c r="R858" s="81" t="str">
        <f>IFERROR(VLOOKUP($G858,融外自投!$A:$J,10,0),"無")</f>
        <v>無</v>
      </c>
      <c r="S858" s="324">
        <f>IFERROR(VLOOKUP($G858,'321買'!$A:$E,4,0),"'沒有資料'")</f>
        <v>696</v>
      </c>
      <c r="T858" s="186">
        <f>IFERROR(VLOOKUP($G858,基本資料!$A:$J,9,0),"無")</f>
        <v>0</v>
      </c>
      <c r="U858" s="307">
        <f t="shared" si="154"/>
        <v>0</v>
      </c>
      <c r="V858" s="94">
        <f>IFERROR(VLOOKUP($G858,基本資料!$A:$J,10,0),"無")</f>
        <v>-1.24</v>
      </c>
      <c r="W858" s="36">
        <f>RTD("money.excel",,"3623","Price")</f>
        <v>16.95</v>
      </c>
      <c r="X858" s="66"/>
      <c r="Y858" s="15">
        <f t="shared" si="155"/>
        <v>16.95</v>
      </c>
      <c r="Z858" s="3" t="e">
        <f t="shared" si="156"/>
        <v>#DIV/0!</v>
      </c>
      <c r="AA858" s="340">
        <f>IFERROR(VLOOKUP($G858,基本資料!$A:$M,11,0),"無")</f>
        <v>-30.25</v>
      </c>
      <c r="AB858" s="389">
        <f>IFERROR(VLOOKUP($G858,基本資料!$A:$M,12,0),"無")</f>
        <v>22.25</v>
      </c>
      <c r="AC858" s="16" t="s">
        <v>4208</v>
      </c>
      <c r="AF858" s="33">
        <f t="shared" si="157"/>
        <v>0</v>
      </c>
      <c r="AG858" s="43" t="s">
        <v>4209</v>
      </c>
      <c r="AH858" s="66">
        <f t="shared" si="159"/>
        <v>0.78137988362427269</v>
      </c>
      <c r="AI858" s="283">
        <f>RTD("money.excel",,$G858,"PredictVolume")</f>
        <v>94</v>
      </c>
      <c r="AJ858" s="391">
        <f>IFERROR(VLOOKUP($G858,基本資料!$A:$M,13,0),"無")</f>
        <v>120.3</v>
      </c>
      <c r="AR858" s="245" t="str">
        <f>INDEX(基本資料!N:N,MATCH($G858,基本資料!A:A,0))</f>
        <v>低</v>
      </c>
    </row>
    <row r="859" spans="1:44">
      <c r="A859" s="343">
        <f>IFERROR(VLOOKUP($G859,基本資料!$A:$J,3,0),"無")</f>
        <v>18.41</v>
      </c>
      <c r="B859" s="79">
        <f>IFERROR(VLOOKUP($G859,基本資料!$A:$J,4,0),"無")</f>
        <v>-128</v>
      </c>
      <c r="C859" s="79">
        <f>IFERROR(VLOOKUP($G859,基本資料!$A:$J,5,0),"無")</f>
        <v>-88</v>
      </c>
      <c r="D859" s="79">
        <f>IFERROR(VLOOKUP($G859,基本資料!$A:$J,6,0),"無")</f>
        <v>-11</v>
      </c>
      <c r="E859" s="79">
        <f>IFERROR(VLOOKUP($G859,基本資料!$A:$J,7,0),"無")</f>
        <v>-23</v>
      </c>
      <c r="F859" s="6">
        <f>IFERROR(VLOOKUP($G859,基本資料!$A:$J,8,0),"無")</f>
        <v>-27.46</v>
      </c>
      <c r="G859" s="79">
        <v>3630</v>
      </c>
      <c r="H859" s="195" t="s">
        <v>1877</v>
      </c>
      <c r="I859" s="24" t="s">
        <v>4210</v>
      </c>
      <c r="J859" s="8" t="str">
        <f>IFERROR(VLOOKUP($G859,今日總結!$A:$AN,39,0),"")</f>
        <v>外</v>
      </c>
      <c r="K859" s="5" t="str">
        <f>IFERROR(VLOOKUP($G859,今日總結!$A:$AN,40,0),"")</f>
        <v>融</v>
      </c>
      <c r="L859" s="156">
        <f>IFERROR(VLOOKUP($G859,今日總結!$A:$AN,37,0),"")</f>
        <v>2</v>
      </c>
      <c r="M859" s="337">
        <f>IFERROR(VLOOKUP($G859,今日總結!$A:$AN,38,0),"")</f>
        <v>4</v>
      </c>
      <c r="N859" s="240">
        <f t="shared" si="158"/>
        <v>-2</v>
      </c>
      <c r="O859" s="359">
        <f>IFERROR(VLOOKUP($G859,融外自投!$A:$J,7,0),"無")</f>
        <v>555</v>
      </c>
      <c r="P859" s="79">
        <f>IFERROR(VLOOKUP($G859,融外自投!$A:$J,9,0),"無")</f>
        <v>414</v>
      </c>
      <c r="Q859" s="342">
        <f>IFERROR(VLOOKUP($G859,融外自投!$A:$J,8,0),"無")</f>
        <v>140</v>
      </c>
      <c r="R859" s="81" t="str">
        <f>IFERROR(VLOOKUP($G859,融外自投!$A:$J,10,0),"無")</f>
        <v>無</v>
      </c>
      <c r="S859" s="324">
        <f>IFERROR(VLOOKUP($G859,'321買'!$A:$E,4,0),"'沒有資料'")</f>
        <v>1002</v>
      </c>
      <c r="T859" s="186">
        <f>IFERROR(VLOOKUP($G859,基本資料!$A:$J,9,0),"無")</f>
        <v>0</v>
      </c>
      <c r="U859" s="307">
        <f t="shared" si="154"/>
        <v>0</v>
      </c>
      <c r="V859" s="94">
        <f>IFERROR(VLOOKUP($G859,基本資料!$A:$J,10,0),"無")</f>
        <v>-3.43</v>
      </c>
      <c r="W859" s="36">
        <f>RTD("money.excel",,"3630","Price")</f>
        <v>28.3</v>
      </c>
      <c r="X859" s="66"/>
      <c r="Y859" s="15">
        <f t="shared" si="155"/>
        <v>28.3</v>
      </c>
      <c r="Z859" s="3" t="e">
        <f t="shared" si="156"/>
        <v>#DIV/0!</v>
      </c>
      <c r="AA859" s="340">
        <f>IFERROR(VLOOKUP($G859,基本資料!$A:$M,11,0),"無")</f>
        <v>-46.5</v>
      </c>
      <c r="AB859" s="389">
        <f>IFERROR(VLOOKUP($G859,基本資料!$A:$M,12,0),"無")</f>
        <v>20.58</v>
      </c>
      <c r="AC859" s="24" t="s">
        <v>4210</v>
      </c>
      <c r="AF859" s="33">
        <f t="shared" si="157"/>
        <v>0</v>
      </c>
      <c r="AG859" s="119" t="s">
        <v>4211</v>
      </c>
      <c r="AH859" s="66">
        <f t="shared" si="159"/>
        <v>0.79345996633806204</v>
      </c>
      <c r="AI859" s="283">
        <f>RTD("money.excel",,$G859,"PredictVolume")</f>
        <v>165</v>
      </c>
      <c r="AJ859" s="391">
        <f>IFERROR(VLOOKUP($G859,基本資料!$A:$M,13,0),"無")</f>
        <v>207.95</v>
      </c>
      <c r="AR859" s="245" t="str">
        <f>INDEX(基本資料!N:N,MATCH($G859,基本資料!A:A,0))</f>
        <v>低</v>
      </c>
    </row>
    <row r="860" spans="1:44">
      <c r="A860" s="343">
        <f>IFERROR(VLOOKUP($G860,基本資料!$A:$J,3,0),"無")</f>
        <v>5.86</v>
      </c>
      <c r="B860" s="79">
        <f>IFERROR(VLOOKUP($G860,基本資料!$A:$J,4,0),"無")</f>
        <v>-124</v>
      </c>
      <c r="C860" s="79">
        <f>IFERROR(VLOOKUP($G860,基本資料!$A:$J,5,0),"無")</f>
        <v>-148</v>
      </c>
      <c r="D860" s="79">
        <f>IFERROR(VLOOKUP($G860,基本資料!$A:$J,6,0),"無")</f>
        <v>-27</v>
      </c>
      <c r="E860" s="79">
        <f>IFERROR(VLOOKUP($G860,基本資料!$A:$J,7,0),"無")</f>
        <v>-46</v>
      </c>
      <c r="F860" s="6">
        <f>IFERROR(VLOOKUP($G860,基本資料!$A:$J,8,0),"無")</f>
        <v>-3.38</v>
      </c>
      <c r="G860" s="79">
        <v>3666</v>
      </c>
      <c r="H860" s="8" t="s">
        <v>1877</v>
      </c>
      <c r="I860" s="16" t="s">
        <v>454</v>
      </c>
      <c r="J860" s="8" t="str">
        <f>IFERROR(VLOOKUP($G860,今日總結!$A:$AN,39,0),"")</f>
        <v>主</v>
      </c>
      <c r="K860" s="5">
        <f>IFERROR(VLOOKUP($G860,今日總結!$A:$AN,40,0),"")</f>
        <v>0</v>
      </c>
      <c r="L860" s="156">
        <f>IFERROR(VLOOKUP($G860,今日總結!$A:$AN,37,0),"")</f>
        <v>2</v>
      </c>
      <c r="M860" s="337">
        <f>IFERROR(VLOOKUP($G860,今日總結!$A:$AN,38,0),"")</f>
        <v>0</v>
      </c>
      <c r="N860" s="240">
        <f t="shared" si="158"/>
        <v>2</v>
      </c>
      <c r="O860" s="359">
        <f>IFERROR(VLOOKUP($G860,融外自投!$A:$J,7,0),"無")</f>
        <v>521</v>
      </c>
      <c r="P860" s="79">
        <f>IFERROR(VLOOKUP($G860,融外自投!$A:$J,9,0),"無")</f>
        <v>442</v>
      </c>
      <c r="Q860" s="342">
        <f>IFERROR(VLOOKUP($G860,融外自投!$A:$J,8,0),"無")</f>
        <v>793</v>
      </c>
      <c r="R860" s="81" t="str">
        <f>IFERROR(VLOOKUP($G860,融外自投!$A:$J,10,0),"無")</f>
        <v>無</v>
      </c>
      <c r="S860" s="324">
        <f>IFERROR(VLOOKUP($G860,'321買'!$A:$E,4,0),"'沒有資料'")</f>
        <v>650</v>
      </c>
      <c r="T860" s="186">
        <f>IFERROR(VLOOKUP($G860,基本資料!$A:$J,9,0),"無")</f>
        <v>0</v>
      </c>
      <c r="U860" s="307">
        <f t="shared" si="154"/>
        <v>0</v>
      </c>
      <c r="V860" s="94">
        <f>IFERROR(VLOOKUP($G860,基本資料!$A:$J,10,0),"無")</f>
        <v>-0.55000000000000004</v>
      </c>
      <c r="W860" s="36">
        <f>RTD("money.excel",,"3666","Price")</f>
        <v>24.3</v>
      </c>
      <c r="X860" s="66"/>
      <c r="Y860" s="15">
        <f t="shared" si="155"/>
        <v>24.3</v>
      </c>
      <c r="Z860" s="3" t="e">
        <f t="shared" si="156"/>
        <v>#DIV/0!</v>
      </c>
      <c r="AA860" s="340">
        <f>IFERROR(VLOOKUP($G860,基本資料!$A:$M,11,0),"無")</f>
        <v>-48.3</v>
      </c>
      <c r="AB860" s="389">
        <f>IFERROR(VLOOKUP($G860,基本資料!$A:$M,12,0),"無")</f>
        <v>30.22</v>
      </c>
      <c r="AC860" s="16" t="s">
        <v>454</v>
      </c>
      <c r="AF860" s="33">
        <f t="shared" si="157"/>
        <v>0</v>
      </c>
      <c r="AG860" s="43" t="s">
        <v>4212</v>
      </c>
      <c r="AH860" s="66">
        <f t="shared" si="159"/>
        <v>0.46984126984126984</v>
      </c>
      <c r="AI860" s="283">
        <f>RTD("money.excel",,$G860,"PredictVolume")</f>
        <v>111</v>
      </c>
      <c r="AJ860" s="391">
        <f>IFERROR(VLOOKUP($G860,基本資料!$A:$M,13,0),"無")</f>
        <v>236.25</v>
      </c>
      <c r="AR860" s="245" t="str">
        <f>INDEX(基本資料!N:N,MATCH($G860,基本資料!A:A,0))</f>
        <v>低</v>
      </c>
    </row>
    <row r="861" spans="1:44">
      <c r="A861" s="343">
        <f>IFERROR(VLOOKUP($G861,基本資料!$A:$J,3,0),"無")</f>
        <v>9.2899999999999991</v>
      </c>
      <c r="B861" s="79">
        <f>IFERROR(VLOOKUP($G861,基本資料!$A:$J,4,0),"無")</f>
        <v>-17</v>
      </c>
      <c r="C861" s="79">
        <f>IFERROR(VLOOKUP($G861,基本資料!$A:$J,5,0),"無")</f>
        <v>-22</v>
      </c>
      <c r="D861" s="79">
        <f>IFERROR(VLOOKUP($G861,基本資料!$A:$J,6,0),"無")</f>
        <v>0</v>
      </c>
      <c r="E861" s="79">
        <f>IFERROR(VLOOKUP($G861,基本資料!$A:$J,7,0),"無")</f>
        <v>-32</v>
      </c>
      <c r="F861" s="6">
        <f>IFERROR(VLOOKUP($G861,基本資料!$A:$J,8,0),"無")</f>
        <v>20.09</v>
      </c>
      <c r="G861" s="79">
        <v>3669</v>
      </c>
      <c r="H861" s="8" t="s">
        <v>1877</v>
      </c>
      <c r="I861" s="22" t="s">
        <v>4213</v>
      </c>
      <c r="J861" s="8">
        <f>IFERROR(VLOOKUP($G861,今日總結!$A:$AN,39,0),"")</f>
        <v>0</v>
      </c>
      <c r="K861" s="5" t="str">
        <f>IFERROR(VLOOKUP($G861,今日總結!$A:$AN,40,0),"")</f>
        <v>融</v>
      </c>
      <c r="L861" s="156">
        <f>IFERROR(VLOOKUP($G861,今日總結!$A:$AN,37,0),"")</f>
        <v>0</v>
      </c>
      <c r="M861" s="337">
        <f>IFERROR(VLOOKUP($G861,今日總結!$A:$AN,38,0),"")</f>
        <v>10</v>
      </c>
      <c r="N861" s="240">
        <f t="shared" si="158"/>
        <v>-10</v>
      </c>
      <c r="O861" s="359">
        <f>IFERROR(VLOOKUP($G861,融外自投!$A:$J,7,0),"無")</f>
        <v>559</v>
      </c>
      <c r="P861" s="79">
        <f>IFERROR(VLOOKUP($G861,融外自投!$A:$J,9,0),"無")</f>
        <v>451</v>
      </c>
      <c r="Q861" s="342">
        <f>IFERROR(VLOOKUP($G861,融外自投!$A:$J,8,0),"無")</f>
        <v>1267</v>
      </c>
      <c r="R861" s="81">
        <f>IFERROR(VLOOKUP($G861,融外自投!$A:$J,10,0),"無")</f>
        <v>262</v>
      </c>
      <c r="S861" s="324">
        <f>IFERROR(VLOOKUP($G861,'321買'!$A:$E,4,0),"'沒有資料'")</f>
        <v>696</v>
      </c>
      <c r="T861" s="186">
        <f>IFERROR(VLOOKUP($G861,基本資料!$A:$J,9,0),"無")</f>
        <v>3.8</v>
      </c>
      <c r="U861" s="307">
        <f t="shared" si="154"/>
        <v>7.5999999999999998E-2</v>
      </c>
      <c r="V861" s="94">
        <f>IFERROR(VLOOKUP($G861,基本資料!$A:$J,10,0),"無")</f>
        <v>7.02</v>
      </c>
      <c r="W861" s="36">
        <f>RTD("money.excel",,"3669","Price")</f>
        <v>50</v>
      </c>
      <c r="X861" s="66"/>
      <c r="Y861" s="15">
        <f t="shared" si="155"/>
        <v>50</v>
      </c>
      <c r="Z861" s="3" t="e">
        <f t="shared" si="156"/>
        <v>#DIV/0!</v>
      </c>
      <c r="AA861" s="340">
        <f>IFERROR(VLOOKUP($G861,基本資料!$A:$M,11,0),"無")</f>
        <v>-41.18</v>
      </c>
      <c r="AB861" s="389">
        <f>IFERROR(VLOOKUP($G861,基本資料!$A:$M,12,0),"無")</f>
        <v>18.489999999999998</v>
      </c>
      <c r="AC861" s="22" t="s">
        <v>4213</v>
      </c>
      <c r="AF861" s="33">
        <f t="shared" si="157"/>
        <v>0</v>
      </c>
      <c r="AG861" s="117" t="s">
        <v>4214</v>
      </c>
      <c r="AH861" s="66">
        <f t="shared" si="159"/>
        <v>8.534905825073226E-2</v>
      </c>
      <c r="AI861" s="283">
        <f>RTD("money.excel",,$G861,"PredictVolume")</f>
        <v>220</v>
      </c>
      <c r="AJ861" s="391">
        <f>IFERROR(VLOOKUP($G861,基本資料!$A:$M,13,0),"無")</f>
        <v>2577.65</v>
      </c>
      <c r="AR861" s="245" t="str">
        <f>INDEX(基本資料!N:N,MATCH($G861,基本資料!A:A,0))</f>
        <v>低</v>
      </c>
    </row>
    <row r="862" spans="1:44">
      <c r="A862" s="343">
        <f>IFERROR(VLOOKUP($G862,基本資料!$A:$J,3,0),"無")</f>
        <v>40.659999999999997</v>
      </c>
      <c r="B862" s="79">
        <f>IFERROR(VLOOKUP($G862,基本資料!$A:$J,4,0),"無")</f>
        <v>6</v>
      </c>
      <c r="C862" s="79">
        <f>IFERROR(VLOOKUP($G862,基本資料!$A:$J,5,0),"無")</f>
        <v>-66</v>
      </c>
      <c r="D862" s="79">
        <f>IFERROR(VLOOKUP($G862,基本資料!$A:$J,6,0),"無")</f>
        <v>-35</v>
      </c>
      <c r="E862" s="79">
        <f>IFERROR(VLOOKUP($G862,基本資料!$A:$J,7,0),"無")</f>
        <v>-25</v>
      </c>
      <c r="F862" s="6">
        <f>IFERROR(VLOOKUP($G862,基本資料!$A:$J,8,0),"無")</f>
        <v>0.3</v>
      </c>
      <c r="G862" s="79">
        <v>3673</v>
      </c>
      <c r="H862" s="8" t="s">
        <v>1877</v>
      </c>
      <c r="I862" s="22" t="s">
        <v>4215</v>
      </c>
      <c r="J862" s="8">
        <f>IFERROR(VLOOKUP($G862,今日總結!$A:$AN,39,0),"")</f>
        <v>0</v>
      </c>
      <c r="K862" s="5">
        <f>IFERROR(VLOOKUP($G862,今日總結!$A:$AN,40,0),"")</f>
        <v>0</v>
      </c>
      <c r="L862" s="156">
        <f>IFERROR(VLOOKUP($G862,今日總結!$A:$AN,37,0),"")</f>
        <v>0</v>
      </c>
      <c r="M862" s="337">
        <f>IFERROR(VLOOKUP($G862,今日總結!$A:$AN,38,0),"")</f>
        <v>0</v>
      </c>
      <c r="N862" s="240">
        <f t="shared" si="158"/>
        <v>0</v>
      </c>
      <c r="O862" s="359">
        <f>IFERROR(VLOOKUP($G862,融外自投!$A:$J,7,0),"無")</f>
        <v>376</v>
      </c>
      <c r="P862" s="79">
        <f>IFERROR(VLOOKUP($G862,融外自投!$A:$J,9,0),"無")</f>
        <v>65</v>
      </c>
      <c r="Q862" s="342">
        <f>IFERROR(VLOOKUP($G862,融外自投!$A:$J,8,0),"無")</f>
        <v>154</v>
      </c>
      <c r="R862" s="81" t="str">
        <f>IFERROR(VLOOKUP($G862,融外自投!$A:$J,10,0),"無")</f>
        <v>無</v>
      </c>
      <c r="S862" s="324">
        <f>IFERROR(VLOOKUP($G862,'321買'!$A:$E,4,0),"'沒有資料'")</f>
        <v>743</v>
      </c>
      <c r="T862" s="186">
        <f>IFERROR(VLOOKUP($G862,基本資料!$A:$J,9,0),"無")</f>
        <v>1.5</v>
      </c>
      <c r="U862" s="307">
        <f t="shared" si="154"/>
        <v>4.6656298600311043E-2</v>
      </c>
      <c r="V862" s="94">
        <f>IFERROR(VLOOKUP($G862,基本資料!$A:$J,10,0),"無")</f>
        <v>2.63</v>
      </c>
      <c r="W862" s="36">
        <f>RTD("money.excel",,"3673","Price")</f>
        <v>32.15</v>
      </c>
      <c r="X862" s="66"/>
      <c r="Y862" s="15">
        <f t="shared" si="155"/>
        <v>32.15</v>
      </c>
      <c r="Z862" s="3" t="e">
        <f t="shared" si="156"/>
        <v>#DIV/0!</v>
      </c>
      <c r="AA862" s="340">
        <f>IFERROR(VLOOKUP($G862,基本資料!$A:$M,11,0),"無")</f>
        <v>-34.19</v>
      </c>
      <c r="AB862" s="389">
        <f>IFERROR(VLOOKUP($G862,基本資料!$A:$M,12,0),"無")</f>
        <v>17.52</v>
      </c>
      <c r="AC862" s="22" t="s">
        <v>4215</v>
      </c>
      <c r="AF862" s="33">
        <f t="shared" si="157"/>
        <v>0</v>
      </c>
      <c r="AG862" s="117" t="s">
        <v>4216</v>
      </c>
      <c r="AH862" s="66">
        <f t="shared" si="159"/>
        <v>0.74941084053417129</v>
      </c>
      <c r="AI862" s="283">
        <f>RTD("money.excel",,$G862,"PredictVolume")</f>
        <v>954</v>
      </c>
      <c r="AJ862" s="391">
        <f>IFERROR(VLOOKUP($G862,基本資料!$A:$M,13,0),"無")</f>
        <v>1273</v>
      </c>
      <c r="AR862" s="245" t="str">
        <f>INDEX(基本資料!N:N,MATCH($G862,基本資料!A:A,0))</f>
        <v>低</v>
      </c>
    </row>
    <row r="863" spans="1:44">
      <c r="A863" s="343">
        <f>IFERROR(VLOOKUP($G863,基本資料!$A:$J,3,0),"無")</f>
        <v>7.95</v>
      </c>
      <c r="B863" s="79">
        <f>IFERROR(VLOOKUP($G863,基本資料!$A:$J,4,0),"無")</f>
        <v>-54</v>
      </c>
      <c r="C863" s="79">
        <f>IFERROR(VLOOKUP($G863,基本資料!$A:$J,5,0),"無")</f>
        <v>56</v>
      </c>
      <c r="D863" s="79">
        <f>IFERROR(VLOOKUP($G863,基本資料!$A:$J,6,0),"無")</f>
        <v>-44</v>
      </c>
      <c r="E863" s="79">
        <f>IFERROR(VLOOKUP($G863,基本資料!$A:$J,7,0),"無")</f>
        <v>-25</v>
      </c>
      <c r="F863" s="6">
        <f>IFERROR(VLOOKUP($G863,基本資料!$A:$J,8,0),"無")</f>
        <v>-0.45</v>
      </c>
      <c r="G863" s="79">
        <v>3685</v>
      </c>
      <c r="H863" s="8" t="s">
        <v>1877</v>
      </c>
      <c r="I863" s="16" t="s">
        <v>4217</v>
      </c>
      <c r="J863" s="8">
        <f>IFERROR(VLOOKUP($G863,今日總結!$A:$AN,39,0),"")</f>
        <v>0</v>
      </c>
      <c r="K863" s="5">
        <f>IFERROR(VLOOKUP($G863,今日總結!$A:$AN,40,0),"")</f>
        <v>0</v>
      </c>
      <c r="L863" s="156">
        <f>IFERROR(VLOOKUP($G863,今日總結!$A:$AN,37,0),"")</f>
        <v>0</v>
      </c>
      <c r="M863" s="337">
        <f>IFERROR(VLOOKUP($G863,今日總結!$A:$AN,38,0),"")</f>
        <v>0</v>
      </c>
      <c r="N863" s="240">
        <f t="shared" si="158"/>
        <v>0</v>
      </c>
      <c r="O863" s="359">
        <f>IFERROR(VLOOKUP($G863,融外自投!$A:$J,7,0),"無")</f>
        <v>773</v>
      </c>
      <c r="P863" s="79">
        <f>IFERROR(VLOOKUP($G863,融外自投!$A:$J,9,0),"無")</f>
        <v>487</v>
      </c>
      <c r="Q863" s="342">
        <f>IFERROR(VLOOKUP($G863,融外自投!$A:$J,8,0),"無")</f>
        <v>1026</v>
      </c>
      <c r="R863" s="81" t="str">
        <f>IFERROR(VLOOKUP($G863,融外自投!$A:$J,10,0),"無")</f>
        <v>無</v>
      </c>
      <c r="S863" s="324">
        <f>IFERROR(VLOOKUP($G863,'321買'!$A:$E,4,0),"'沒有資料'")</f>
        <v>891</v>
      </c>
      <c r="T863" s="186">
        <f>IFERROR(VLOOKUP($G863,基本資料!$A:$J,9,0),"無")</f>
        <v>0</v>
      </c>
      <c r="U863" s="307">
        <f t="shared" si="154"/>
        <v>0</v>
      </c>
      <c r="V863" s="94">
        <f>IFERROR(VLOOKUP($G863,基本資料!$A:$J,10,0),"無")</f>
        <v>0.05</v>
      </c>
      <c r="W863" s="36">
        <f>RTD("money.excel",,"3685","Price")</f>
        <v>24</v>
      </c>
      <c r="X863" s="66"/>
      <c r="Y863" s="15">
        <f t="shared" si="155"/>
        <v>24</v>
      </c>
      <c r="Z863" s="3" t="e">
        <f t="shared" si="156"/>
        <v>#DIV/0!</v>
      </c>
      <c r="AA863" s="340">
        <f>IFERROR(VLOOKUP($G863,基本資料!$A:$M,11,0),"無")</f>
        <v>-49.47</v>
      </c>
      <c r="AB863" s="389">
        <f>IFERROR(VLOOKUP($G863,基本資料!$A:$M,12,0),"無")</f>
        <v>13.91</v>
      </c>
      <c r="AC863" s="16" t="s">
        <v>4217</v>
      </c>
      <c r="AF863" s="33">
        <f t="shared" si="157"/>
        <v>0</v>
      </c>
      <c r="AG863" s="43" t="s">
        <v>4218</v>
      </c>
      <c r="AH863" s="66">
        <f t="shared" si="159"/>
        <v>1.5341440598690363</v>
      </c>
      <c r="AI863" s="283">
        <f>RTD("money.excel",,$G863,"PredictVolume")</f>
        <v>82</v>
      </c>
      <c r="AJ863" s="391">
        <f>IFERROR(VLOOKUP($G863,基本資料!$A:$M,13,0),"無")</f>
        <v>53.45</v>
      </c>
      <c r="AR863" s="245" t="str">
        <f>INDEX(基本資料!N:N,MATCH($G863,基本資料!A:A,0))</f>
        <v>低</v>
      </c>
    </row>
    <row r="864" spans="1:44">
      <c r="A864" s="343">
        <f>IFERROR(VLOOKUP($G864,基本資料!$A:$J,3,0),"無")</f>
        <v>7.58</v>
      </c>
      <c r="B864" s="79">
        <f>IFERROR(VLOOKUP($G864,基本資料!$A:$J,4,0),"無")</f>
        <v>-754</v>
      </c>
      <c r="C864" s="79">
        <f>IFERROR(VLOOKUP($G864,基本資料!$A:$J,5,0),"無")</f>
        <v>-215</v>
      </c>
      <c r="D864" s="79">
        <f>IFERROR(VLOOKUP($G864,基本資料!$A:$J,6,0),"無")</f>
        <v>3</v>
      </c>
      <c r="E864" s="79">
        <f>IFERROR(VLOOKUP($G864,基本資料!$A:$J,7,0),"無")</f>
        <v>-22</v>
      </c>
      <c r="F864" s="6">
        <f>IFERROR(VLOOKUP($G864,基本資料!$A:$J,8,0),"無")</f>
        <v>-3.44</v>
      </c>
      <c r="G864" s="79">
        <v>3691</v>
      </c>
      <c r="H864" s="145" t="s">
        <v>1877</v>
      </c>
      <c r="I864" s="16" t="s">
        <v>4219</v>
      </c>
      <c r="J864" s="8">
        <f>IFERROR(VLOOKUP($G864,今日總結!$A:$AN,39,0),"")</f>
        <v>0</v>
      </c>
      <c r="K864" s="5">
        <f>IFERROR(VLOOKUP($G864,今日總結!$A:$AN,40,0),"")</f>
        <v>0</v>
      </c>
      <c r="L864" s="156">
        <f>IFERROR(VLOOKUP($G864,今日總結!$A:$AN,37,0),"")</f>
        <v>0</v>
      </c>
      <c r="M864" s="337">
        <f>IFERROR(VLOOKUP($G864,今日總結!$A:$AN,38,0),"")</f>
        <v>0</v>
      </c>
      <c r="N864" s="240">
        <f t="shared" si="158"/>
        <v>0</v>
      </c>
      <c r="O864" s="359">
        <f>IFERROR(VLOOKUP($G864,融外自投!$A:$J,7,0),"無")</f>
        <v>434</v>
      </c>
      <c r="P864" s="79">
        <f>IFERROR(VLOOKUP($G864,融外自投!$A:$J,9,0),"無")</f>
        <v>23</v>
      </c>
      <c r="Q864" s="342">
        <f>IFERROR(VLOOKUP($G864,融外自投!$A:$J,8,0),"無")</f>
        <v>678</v>
      </c>
      <c r="R864" s="81" t="str">
        <f>IFERROR(VLOOKUP($G864,融外自投!$A:$J,10,0),"無")</f>
        <v>無</v>
      </c>
      <c r="S864" s="324">
        <f>IFERROR(VLOOKUP($G864,'321買'!$A:$E,4,0),"'沒有資料'")</f>
        <v>343</v>
      </c>
      <c r="T864" s="186">
        <f>IFERROR(VLOOKUP($G864,基本資料!$A:$J,9,0),"無")</f>
        <v>0</v>
      </c>
      <c r="U864" s="307">
        <f t="shared" si="154"/>
        <v>0</v>
      </c>
      <c r="V864" s="94">
        <f>IFERROR(VLOOKUP($G864,基本資料!$A:$J,10,0),"無")</f>
        <v>-5.34</v>
      </c>
      <c r="W864" s="36">
        <f>RTD("money.excel",,"3691","Price")</f>
        <v>138.5</v>
      </c>
      <c r="X864" s="66"/>
      <c r="Y864" s="15">
        <f t="shared" si="155"/>
        <v>138.5</v>
      </c>
      <c r="Z864" s="3" t="e">
        <f t="shared" si="156"/>
        <v>#DIV/0!</v>
      </c>
      <c r="AA864" s="340">
        <f>IFERROR(VLOOKUP($G864,基本資料!$A:$M,11,0),"無")</f>
        <v>-44.04</v>
      </c>
      <c r="AB864" s="389">
        <f>IFERROR(VLOOKUP($G864,基本資料!$A:$M,12,0),"無")</f>
        <v>14.47</v>
      </c>
      <c r="AC864" s="16" t="s">
        <v>4219</v>
      </c>
      <c r="AF864" s="33">
        <f t="shared" si="157"/>
        <v>0</v>
      </c>
      <c r="AG864" s="117" t="s">
        <v>4220</v>
      </c>
      <c r="AH864" s="66">
        <f t="shared" si="159"/>
        <v>0.54730983302411873</v>
      </c>
      <c r="AI864" s="283">
        <f>RTD("money.excel",,$G864,"PredictVolume")</f>
        <v>177</v>
      </c>
      <c r="AJ864" s="391">
        <f>IFERROR(VLOOKUP($G864,基本資料!$A:$M,13,0),"無")</f>
        <v>323.39999999999998</v>
      </c>
      <c r="AR864" s="245" t="str">
        <f>INDEX(基本資料!N:N,MATCH($G864,基本資料!A:A,0))</f>
        <v>低</v>
      </c>
    </row>
    <row r="865" spans="1:44">
      <c r="A865" s="343">
        <f>IFERROR(VLOOKUP($G865,基本資料!$A:$J,3,0),"無")</f>
        <v>7.8</v>
      </c>
      <c r="B865" s="79">
        <f>IFERROR(VLOOKUP($G865,基本資料!$A:$J,4,0),"無")</f>
        <v>771</v>
      </c>
      <c r="C865" s="79">
        <f>IFERROR(VLOOKUP($G865,基本資料!$A:$J,5,0),"無")</f>
        <v>1228</v>
      </c>
      <c r="D865" s="79">
        <f>IFERROR(VLOOKUP($G865,基本資料!$A:$J,6,0),"無")</f>
        <v>-38</v>
      </c>
      <c r="E865" s="79">
        <f>IFERROR(VLOOKUP($G865,基本資料!$A:$J,7,0),"無")</f>
        <v>62</v>
      </c>
      <c r="F865" s="6">
        <f>IFERROR(VLOOKUP($G865,基本資料!$A:$J,8,0),"無")</f>
        <v>6.41</v>
      </c>
      <c r="G865" s="79">
        <v>3713</v>
      </c>
      <c r="H865" s="8" t="s">
        <v>1877</v>
      </c>
      <c r="I865" s="16" t="s">
        <v>4221</v>
      </c>
      <c r="J865" s="8" t="str">
        <f>IFERROR(VLOOKUP($G865,今日總結!$A:$AN,39,0),"")</f>
        <v/>
      </c>
      <c r="K865" s="5" t="str">
        <f>IFERROR(VLOOKUP($G865,今日總結!$A:$AN,40,0),"")</f>
        <v/>
      </c>
      <c r="L865" s="156" t="str">
        <f>IFERROR(VLOOKUP($G865,今日總結!$A:$AN,37,0),"")</f>
        <v/>
      </c>
      <c r="M865" s="337" t="str">
        <f>IFERROR(VLOOKUP($G865,今日總結!$A:$AN,38,0),"")</f>
        <v/>
      </c>
      <c r="N865" s="240" t="str">
        <f t="shared" si="158"/>
        <v/>
      </c>
      <c r="O865" s="359" t="str">
        <f>IFERROR(VLOOKUP($G865,融外自投!$A:$J,7,0),"無")</f>
        <v>無</v>
      </c>
      <c r="P865" s="79" t="str">
        <f>IFERROR(VLOOKUP($G865,融外自投!$A:$J,9,0),"無")</f>
        <v>無</v>
      </c>
      <c r="Q865" s="342" t="str">
        <f>IFERROR(VLOOKUP($G865,融外自投!$A:$J,8,0),"無")</f>
        <v>無</v>
      </c>
      <c r="R865" s="81" t="str">
        <f>IFERROR(VLOOKUP($G865,融外自投!$A:$J,10,0),"無")</f>
        <v>無</v>
      </c>
      <c r="S865" s="324" t="str">
        <f>IFERROR(VLOOKUP($G865,'321買'!$A:$E,4,0),"'沒有資料'")</f>
        <v>'沒有資料'</v>
      </c>
      <c r="T865" s="186">
        <f>IFERROR(VLOOKUP($G865,基本資料!$A:$J,9,0),"無")</f>
        <v>0</v>
      </c>
      <c r="U865" s="307">
        <f t="shared" si="154"/>
        <v>0</v>
      </c>
      <c r="V865" s="94">
        <f>IFERROR(VLOOKUP($G865,基本資料!$A:$J,10,0),"無")</f>
        <v>0.43</v>
      </c>
      <c r="W865" s="36">
        <f>RTD("money.excel",,"3713","Price")</f>
        <v>31.7</v>
      </c>
      <c r="X865" s="66"/>
      <c r="Y865" s="15">
        <f t="shared" si="155"/>
        <v>31.7</v>
      </c>
      <c r="Z865" s="3" t="e">
        <f t="shared" si="156"/>
        <v>#DIV/0!</v>
      </c>
      <c r="AA865" s="340">
        <f>IFERROR(VLOOKUP($G865,基本資料!$A:$M,11,0),"無")</f>
        <v>-31.83</v>
      </c>
      <c r="AB865" s="389">
        <f>IFERROR(VLOOKUP($G865,基本資料!$A:$M,12,0),"無")</f>
        <v>25.01</v>
      </c>
      <c r="AC865" s="16" t="s">
        <v>4221</v>
      </c>
      <c r="AF865" s="33">
        <f t="shared" si="157"/>
        <v>0</v>
      </c>
      <c r="AG865" s="43" t="s">
        <v>4222</v>
      </c>
      <c r="AH865" s="66">
        <f t="shared" si="159"/>
        <v>0.65288356909684431</v>
      </c>
      <c r="AI865" s="283">
        <f>RTD("money.excel",,$G865,"PredictVolume")</f>
        <v>30</v>
      </c>
      <c r="AJ865" s="391">
        <f>IFERROR(VLOOKUP($G865,基本資料!$A:$M,13,0),"無")</f>
        <v>45.95</v>
      </c>
      <c r="AR865" s="245" t="str">
        <f>INDEX(基本資料!N:N,MATCH($G865,基本資料!A:A,0))</f>
        <v>低</v>
      </c>
    </row>
    <row r="866" spans="1:44">
      <c r="A866" s="343">
        <f>IFERROR(VLOOKUP($G866,基本資料!$A:$J,3,0),"無")</f>
        <v>68.47</v>
      </c>
      <c r="B866" s="79">
        <f>IFERROR(VLOOKUP($G866,基本資料!$A:$J,4,0),"無")</f>
        <v>122</v>
      </c>
      <c r="C866" s="79">
        <f>IFERROR(VLOOKUP($G866,基本資料!$A:$J,5,0),"無")</f>
        <v>147</v>
      </c>
      <c r="D866" s="79">
        <f>IFERROR(VLOOKUP($G866,基本資料!$A:$J,6,0),"無")</f>
        <v>0</v>
      </c>
      <c r="E866" s="79">
        <f>IFERROR(VLOOKUP($G866,基本資料!$A:$J,7,0),"無")</f>
        <v>1</v>
      </c>
      <c r="F866" s="6">
        <f>IFERROR(VLOOKUP($G866,基本資料!$A:$J,8,0),"無")</f>
        <v>5.79</v>
      </c>
      <c r="G866" s="79">
        <v>3714</v>
      </c>
      <c r="H866" s="8" t="s">
        <v>1877</v>
      </c>
      <c r="I866" s="22" t="s">
        <v>4223</v>
      </c>
      <c r="J866" s="8" t="str">
        <f>IFERROR(VLOOKUP($G866,今日總結!$A:$AN,39,0),"")</f>
        <v>券</v>
      </c>
      <c r="K866" s="5">
        <f>IFERROR(VLOOKUP($G866,今日總結!$A:$AN,40,0),"")</f>
        <v>0</v>
      </c>
      <c r="L866" s="156">
        <f>IFERROR(VLOOKUP($G866,今日總結!$A:$AN,37,0),"")</f>
        <v>1</v>
      </c>
      <c r="M866" s="337">
        <f>IFERROR(VLOOKUP($G866,今日總結!$A:$AN,38,0),"")</f>
        <v>0</v>
      </c>
      <c r="N866" s="240">
        <f t="shared" si="158"/>
        <v>1</v>
      </c>
      <c r="O866" s="359">
        <f>IFERROR(VLOOKUP($G866,融外自投!$A:$J,7,0),"無")</f>
        <v>166</v>
      </c>
      <c r="P866" s="79">
        <f>IFERROR(VLOOKUP($G866,融外自投!$A:$J,9,0),"無")</f>
        <v>1051</v>
      </c>
      <c r="Q866" s="342">
        <f>IFERROR(VLOOKUP($G866,融外自投!$A:$J,8,0),"無")</f>
        <v>381</v>
      </c>
      <c r="R866" s="81">
        <f>IFERROR(VLOOKUP($G866,融外自投!$A:$J,10,0),"無")</f>
        <v>272</v>
      </c>
      <c r="S866" s="324">
        <f>IFERROR(VLOOKUP($G866,'321買'!$A:$E,4,0),"'沒有資料'")</f>
        <v>156</v>
      </c>
      <c r="T866" s="186">
        <f>IFERROR(VLOOKUP($G866,基本資料!$A:$J,9,0),"無")</f>
        <v>2</v>
      </c>
      <c r="U866" s="307">
        <f t="shared" si="154"/>
        <v>3.3557046979865772E-2</v>
      </c>
      <c r="V866" s="94">
        <f>IFERROR(VLOOKUP($G866,基本資料!$A:$J,10,0),"無")</f>
        <v>3.21</v>
      </c>
      <c r="W866" s="36">
        <f>RTD("money.excel",,"3714","Price")</f>
        <v>59.6</v>
      </c>
      <c r="X866" s="66"/>
      <c r="Y866" s="15">
        <f t="shared" si="155"/>
        <v>59.6</v>
      </c>
      <c r="Z866" s="3" t="e">
        <f t="shared" si="156"/>
        <v>#DIV/0!</v>
      </c>
      <c r="AA866" s="340">
        <f>IFERROR(VLOOKUP($G866,基本資料!$A:$M,11,0),"無")</f>
        <v>-42.69</v>
      </c>
      <c r="AB866" s="389">
        <f>IFERROR(VLOOKUP($G866,基本資料!$A:$M,12,0),"無")</f>
        <v>16.54</v>
      </c>
      <c r="AC866" s="22" t="s">
        <v>4223</v>
      </c>
      <c r="AF866" s="33">
        <f t="shared" si="157"/>
        <v>0</v>
      </c>
      <c r="AG866" s="117" t="s">
        <v>4716</v>
      </c>
      <c r="AH866" s="66">
        <f t="shared" si="159"/>
        <v>0.83832974811966987</v>
      </c>
      <c r="AI866" s="283">
        <f>RTD("money.excel",,$G866,"PredictVolume")</f>
        <v>5495</v>
      </c>
      <c r="AJ866" s="391">
        <f>IFERROR(VLOOKUP($G866,基本資料!$A:$M,13,0),"無")</f>
        <v>6554.7</v>
      </c>
      <c r="AR866" s="245" t="str">
        <f>INDEX(基本資料!N:N,MATCH($G866,基本資料!A:A,0))</f>
        <v>低</v>
      </c>
    </row>
    <row r="867" spans="1:44">
      <c r="A867" s="343">
        <f>IFERROR(VLOOKUP($G867,基本資料!$A:$J,3,0),"無")</f>
        <v>10.220000000000001</v>
      </c>
      <c r="B867" s="79">
        <f>IFERROR(VLOOKUP($G867,基本資料!$A:$J,4,0),"無")</f>
        <v>-41</v>
      </c>
      <c r="C867" s="79">
        <f>IFERROR(VLOOKUP($G867,基本資料!$A:$J,5,0),"無")</f>
        <v>34</v>
      </c>
      <c r="D867" s="79">
        <f>IFERROR(VLOOKUP($G867,基本資料!$A:$J,6,0),"無")</f>
        <v>1</v>
      </c>
      <c r="E867" s="79">
        <f>IFERROR(VLOOKUP($G867,基本資料!$A:$J,7,0),"無")</f>
        <v>1</v>
      </c>
      <c r="F867" s="6">
        <f>IFERROR(VLOOKUP($G867,基本資料!$A:$J,8,0),"無")</f>
        <v>-8.0399999999999991</v>
      </c>
      <c r="G867" s="79">
        <v>4729</v>
      </c>
      <c r="H867" s="8" t="s">
        <v>1877</v>
      </c>
      <c r="I867" s="16" t="s">
        <v>4224</v>
      </c>
      <c r="J867" s="8" t="str">
        <f>IFERROR(VLOOKUP($G867,今日總結!$A:$AN,39,0),"")</f>
        <v/>
      </c>
      <c r="K867" s="5" t="str">
        <f>IFERROR(VLOOKUP($G867,今日總結!$A:$AN,40,0),"")</f>
        <v/>
      </c>
      <c r="L867" s="156" t="str">
        <f>IFERROR(VLOOKUP($G867,今日總結!$A:$AN,37,0),"")</f>
        <v/>
      </c>
      <c r="M867" s="337" t="str">
        <f>IFERROR(VLOOKUP($G867,今日總結!$A:$AN,38,0),"")</f>
        <v/>
      </c>
      <c r="N867" s="240" t="str">
        <f t="shared" si="158"/>
        <v/>
      </c>
      <c r="O867" s="359" t="str">
        <f>IFERROR(VLOOKUP($G867,融外自投!$A:$J,7,0),"無")</f>
        <v>無</v>
      </c>
      <c r="P867" s="79" t="str">
        <f>IFERROR(VLOOKUP($G867,融外自投!$A:$J,9,0),"無")</f>
        <v>無</v>
      </c>
      <c r="Q867" s="342" t="str">
        <f>IFERROR(VLOOKUP($G867,融外自投!$A:$J,8,0),"無")</f>
        <v>無</v>
      </c>
      <c r="R867" s="81" t="str">
        <f>IFERROR(VLOOKUP($G867,融外自投!$A:$J,10,0),"無")</f>
        <v>無</v>
      </c>
      <c r="S867" s="324" t="str">
        <f>IFERROR(VLOOKUP($G867,'321買'!$A:$E,4,0),"'沒有資料'")</f>
        <v>'沒有資料'</v>
      </c>
      <c r="T867" s="186">
        <f>IFERROR(VLOOKUP($G867,基本資料!$A:$J,9,0),"無")</f>
        <v>0</v>
      </c>
      <c r="U867" s="307">
        <f t="shared" si="154"/>
        <v>0</v>
      </c>
      <c r="V867" s="94">
        <f>IFERROR(VLOOKUP($G867,基本資料!$A:$J,10,0),"無")</f>
        <v>-1.26</v>
      </c>
      <c r="W867" s="36">
        <f>RTD("money.excel",,"4729","Price")</f>
        <v>10.55</v>
      </c>
      <c r="X867" s="66"/>
      <c r="Y867" s="15">
        <f t="shared" si="155"/>
        <v>10.55</v>
      </c>
      <c r="Z867" s="3" t="e">
        <f t="shared" si="156"/>
        <v>#DIV/0!</v>
      </c>
      <c r="AA867" s="340">
        <f>IFERROR(VLOOKUP($G867,基本資料!$A:$M,11,0),"無")</f>
        <v>-28.23</v>
      </c>
      <c r="AB867" s="389">
        <f>IFERROR(VLOOKUP($G867,基本資料!$A:$M,12,0),"無")</f>
        <v>9.49</v>
      </c>
      <c r="AC867" s="16" t="s">
        <v>4224</v>
      </c>
      <c r="AF867" s="33">
        <f t="shared" si="157"/>
        <v>0</v>
      </c>
      <c r="AG867" s="43" t="s">
        <v>4225</v>
      </c>
      <c r="AH867" s="66">
        <f t="shared" si="159"/>
        <v>3.8648363252375924</v>
      </c>
      <c r="AI867" s="283">
        <f>RTD("money.excel",,$G867,"PredictVolume")</f>
        <v>183</v>
      </c>
      <c r="AJ867" s="391">
        <f>IFERROR(VLOOKUP($G867,基本資料!$A:$M,13,0),"無")</f>
        <v>47.35</v>
      </c>
      <c r="AR867" s="245" t="str">
        <f>INDEX(基本資料!N:N,MATCH($G867,基本資料!A:A,0))</f>
        <v>低</v>
      </c>
    </row>
    <row r="868" spans="1:44">
      <c r="A868" s="343">
        <f>IFERROR(VLOOKUP($G868,基本資料!$A:$J,3,0),"無")</f>
        <v>8</v>
      </c>
      <c r="B868" s="79">
        <f>IFERROR(VLOOKUP($G868,基本資料!$A:$J,4,0),"無")</f>
        <v>46</v>
      </c>
      <c r="C868" s="79">
        <f>IFERROR(VLOOKUP($G868,基本資料!$A:$J,5,0),"無")</f>
        <v>36</v>
      </c>
      <c r="D868" s="79">
        <f>IFERROR(VLOOKUP($G868,基本資料!$A:$J,6,0),"無")</f>
        <v>-4</v>
      </c>
      <c r="E868" s="79">
        <f>IFERROR(VLOOKUP($G868,基本資料!$A:$J,7,0),"無")</f>
        <v>0</v>
      </c>
      <c r="F868" s="6">
        <f>IFERROR(VLOOKUP($G868,基本資料!$A:$J,8,0),"無")</f>
        <v>12.27</v>
      </c>
      <c r="G868" s="79">
        <v>4933</v>
      </c>
      <c r="H868" s="8" t="s">
        <v>306</v>
      </c>
      <c r="I868" s="16" t="s">
        <v>4226</v>
      </c>
      <c r="J868" s="8">
        <f>IFERROR(VLOOKUP($G868,今日總結!$A:$AN,39,0),"")</f>
        <v>0</v>
      </c>
      <c r="K868" s="5">
        <f>IFERROR(VLOOKUP($G868,今日總結!$A:$AN,40,0),"")</f>
        <v>0</v>
      </c>
      <c r="L868" s="156">
        <f>IFERROR(VLOOKUP($G868,今日總結!$A:$AN,37,0),"")</f>
        <v>0</v>
      </c>
      <c r="M868" s="337">
        <f>IFERROR(VLOOKUP($G868,今日總結!$A:$AN,38,0),"")</f>
        <v>0</v>
      </c>
      <c r="N868" s="240">
        <f t="shared" si="158"/>
        <v>0</v>
      </c>
      <c r="O868" s="359">
        <f>IFERROR(VLOOKUP($G868,融外自投!$A:$J,7,0),"無")</f>
        <v>786</v>
      </c>
      <c r="P868" s="79">
        <f>IFERROR(VLOOKUP($G868,融外自投!$A:$J,9,0),"無")</f>
        <v>869</v>
      </c>
      <c r="Q868" s="342">
        <f>IFERROR(VLOOKUP($G868,融外自投!$A:$J,8,0),"無")</f>
        <v>947</v>
      </c>
      <c r="R868" s="81" t="str">
        <f>IFERROR(VLOOKUP($G868,融外自投!$A:$J,10,0),"無")</f>
        <v>無</v>
      </c>
      <c r="S868" s="324">
        <f>IFERROR(VLOOKUP($G868,'321買'!$A:$E,4,0),"'沒有資料'")</f>
        <v>1002</v>
      </c>
      <c r="T868" s="186">
        <f>IFERROR(VLOOKUP($G868,基本資料!$A:$J,9,0),"無")</f>
        <v>3.32</v>
      </c>
      <c r="U868" s="307">
        <f t="shared" si="154"/>
        <v>8.6233766233766232E-2</v>
      </c>
      <c r="V868" s="94">
        <f>IFERROR(VLOOKUP($G868,基本資料!$A:$J,10,0),"無")</f>
        <v>3.66</v>
      </c>
      <c r="W868" s="36">
        <f>RTD("money.excel",,"4933","Price")</f>
        <v>38.5</v>
      </c>
      <c r="X868" s="66"/>
      <c r="Y868" s="15">
        <f t="shared" si="155"/>
        <v>38.5</v>
      </c>
      <c r="Z868" s="3" t="e">
        <f t="shared" si="156"/>
        <v>#DIV/0!</v>
      </c>
      <c r="AA868" s="340">
        <f>IFERROR(VLOOKUP($G868,基本資料!$A:$M,11,0),"無")</f>
        <v>-12.9</v>
      </c>
      <c r="AB868" s="389">
        <f>IFERROR(VLOOKUP($G868,基本資料!$A:$M,12,0),"無")</f>
        <v>54.41</v>
      </c>
      <c r="AC868" s="16" t="s">
        <v>4226</v>
      </c>
      <c r="AF868" s="33">
        <f t="shared" si="157"/>
        <v>0</v>
      </c>
      <c r="AG868" s="117" t="s">
        <v>4227</v>
      </c>
      <c r="AH868" s="66">
        <f t="shared" si="159"/>
        <v>9.056603773584905E-2</v>
      </c>
      <c r="AI868" s="283">
        <f>RTD("money.excel",,$G868,"PredictVolume")</f>
        <v>6</v>
      </c>
      <c r="AJ868" s="391">
        <f>IFERROR(VLOOKUP($G868,基本資料!$A:$M,13,0),"無")</f>
        <v>66.25</v>
      </c>
      <c r="AR868" s="245" t="str">
        <f>INDEX(基本資料!N:N,MATCH($G868,基本資料!A:A,0))</f>
        <v>高</v>
      </c>
    </row>
    <row r="869" spans="1:44">
      <c r="A869" s="343">
        <f>IFERROR(VLOOKUP($G869,基本資料!$A:$J,3,0),"無")</f>
        <v>22.5</v>
      </c>
      <c r="B869" s="79">
        <f>IFERROR(VLOOKUP($G869,基本資料!$A:$J,4,0),"無")</f>
        <v>-17251</v>
      </c>
      <c r="C869" s="79">
        <f>IFERROR(VLOOKUP($G869,基本資料!$A:$J,5,0),"無")</f>
        <v>-10351</v>
      </c>
      <c r="D869" s="79">
        <f>IFERROR(VLOOKUP($G869,基本資料!$A:$J,6,0),"無")</f>
        <v>45</v>
      </c>
      <c r="E869" s="79">
        <f>IFERROR(VLOOKUP($G869,基本資料!$A:$J,7,0),"無")</f>
        <v>-21</v>
      </c>
      <c r="F869" s="6">
        <f>IFERROR(VLOOKUP($G869,基本資料!$A:$J,8,0),"無")</f>
        <v>-33.979999999999997</v>
      </c>
      <c r="G869" s="79">
        <v>4934</v>
      </c>
      <c r="H869" s="8" t="s">
        <v>1877</v>
      </c>
      <c r="I869" s="22" t="s">
        <v>4228</v>
      </c>
      <c r="J869" s="8" t="str">
        <f>IFERROR(VLOOKUP($G869,今日總結!$A:$AN,39,0),"")</f>
        <v/>
      </c>
      <c r="K869" s="5" t="str">
        <f>IFERROR(VLOOKUP($G869,今日總結!$A:$AN,40,0),"")</f>
        <v/>
      </c>
      <c r="L869" s="156" t="str">
        <f>IFERROR(VLOOKUP($G869,今日總結!$A:$AN,37,0),"")</f>
        <v/>
      </c>
      <c r="M869" s="337" t="str">
        <f>IFERROR(VLOOKUP($G869,今日總結!$A:$AN,38,0),"")</f>
        <v/>
      </c>
      <c r="N869" s="240" t="str">
        <f t="shared" si="158"/>
        <v/>
      </c>
      <c r="O869" s="359" t="str">
        <f>IFERROR(VLOOKUP($G869,融外自投!$A:$J,7,0),"無")</f>
        <v>無</v>
      </c>
      <c r="P869" s="79" t="str">
        <f>IFERROR(VLOOKUP($G869,融外自投!$A:$J,9,0),"無")</f>
        <v>無</v>
      </c>
      <c r="Q869" s="342" t="str">
        <f>IFERROR(VLOOKUP($G869,融外自投!$A:$J,8,0),"無")</f>
        <v>無</v>
      </c>
      <c r="R869" s="81" t="str">
        <f>IFERROR(VLOOKUP($G869,融外自投!$A:$J,10,0),"無")</f>
        <v>無</v>
      </c>
      <c r="S869" s="324" t="str">
        <f>IFERROR(VLOOKUP($G869,'321買'!$A:$E,4,0),"'沒有資料'")</f>
        <v>'沒有資料'</v>
      </c>
      <c r="T869" s="186">
        <f>IFERROR(VLOOKUP($G869,基本資料!$A:$J,9,0),"無")</f>
        <v>0</v>
      </c>
      <c r="U869" s="307">
        <f t="shared" si="154"/>
        <v>0</v>
      </c>
      <c r="V869" s="94">
        <f>IFERROR(VLOOKUP($G869,基本資料!$A:$J,10,0),"無")</f>
        <v>-4.1900000000000004</v>
      </c>
      <c r="W869" s="36">
        <f>RTD("money.excel",,"4934","Price")</f>
        <v>22.15</v>
      </c>
      <c r="X869" s="66"/>
      <c r="Y869" s="15">
        <f t="shared" si="155"/>
        <v>22.15</v>
      </c>
      <c r="Z869" s="3" t="e">
        <f t="shared" si="156"/>
        <v>#DIV/0!</v>
      </c>
      <c r="AA869" s="340">
        <f>IFERROR(VLOOKUP($G869,基本資料!$A:$M,11,0),"無")</f>
        <v>-47.26</v>
      </c>
      <c r="AB869" s="389">
        <f>IFERROR(VLOOKUP($G869,基本資料!$A:$M,12,0),"無")</f>
        <v>8.92</v>
      </c>
      <c r="AC869" s="22" t="s">
        <v>4228</v>
      </c>
      <c r="AF869" s="33">
        <f t="shared" si="157"/>
        <v>0</v>
      </c>
      <c r="AG869" s="43" t="s">
        <v>2019</v>
      </c>
      <c r="AH869" s="66">
        <f t="shared" si="159"/>
        <v>0.66702528240989778</v>
      </c>
      <c r="AI869" s="283">
        <f>RTD("money.excel",,$G869,"PredictVolume")</f>
        <v>558</v>
      </c>
      <c r="AJ869" s="391">
        <f>IFERROR(VLOOKUP($G869,基本資料!$A:$M,13,0),"無")</f>
        <v>836.55</v>
      </c>
      <c r="AR869" s="245" t="str">
        <f>INDEX(基本資料!N:N,MATCH($G869,基本資料!A:A,0))</f>
        <v>低</v>
      </c>
    </row>
    <row r="870" spans="1:44">
      <c r="A870" s="343">
        <f>IFERROR(VLOOKUP($G870,基本資料!$A:$J,3,0),"無")</f>
        <v>12.88</v>
      </c>
      <c r="B870" s="79">
        <f>IFERROR(VLOOKUP($G870,基本資料!$A:$J,4,0),"無")</f>
        <v>-5</v>
      </c>
      <c r="C870" s="79">
        <f>IFERROR(VLOOKUP($G870,基本資料!$A:$J,5,0),"無")</f>
        <v>-15</v>
      </c>
      <c r="D870" s="79">
        <f>IFERROR(VLOOKUP($G870,基本資料!$A:$J,6,0),"無")</f>
        <v>-54</v>
      </c>
      <c r="E870" s="79">
        <f>IFERROR(VLOOKUP($G870,基本資料!$A:$J,7,0),"無")</f>
        <v>-55</v>
      </c>
      <c r="F870" s="6">
        <f>IFERROR(VLOOKUP($G870,基本資料!$A:$J,8,0),"無")</f>
        <v>12.21</v>
      </c>
      <c r="G870" s="79">
        <v>4935</v>
      </c>
      <c r="H870" s="8" t="s">
        <v>1877</v>
      </c>
      <c r="I870" s="22" t="s">
        <v>4229</v>
      </c>
      <c r="J870" s="8">
        <f>IFERROR(VLOOKUP($G870,今日總結!$A:$AN,39,0),"")</f>
        <v>0</v>
      </c>
      <c r="K870" s="5" t="str">
        <f>IFERROR(VLOOKUP($G870,今日總結!$A:$AN,40,0),"")</f>
        <v>借</v>
      </c>
      <c r="L870" s="156">
        <f>IFERROR(VLOOKUP($G870,今日總結!$A:$AN,37,0),"")</f>
        <v>0</v>
      </c>
      <c r="M870" s="337">
        <f>IFERROR(VLOOKUP($G870,今日總結!$A:$AN,38,0),"")</f>
        <v>2</v>
      </c>
      <c r="N870" s="240">
        <f t="shared" si="158"/>
        <v>-2</v>
      </c>
      <c r="O870" s="359">
        <f>IFERROR(VLOOKUP($G870,融外自投!$A:$J,7,0),"無")</f>
        <v>554</v>
      </c>
      <c r="P870" s="79">
        <f>IFERROR(VLOOKUP($G870,融外自投!$A:$J,9,0),"無")</f>
        <v>515</v>
      </c>
      <c r="Q870" s="342">
        <f>IFERROR(VLOOKUP($G870,融外自投!$A:$J,8,0),"無")</f>
        <v>220</v>
      </c>
      <c r="R870" s="81" t="str">
        <f>IFERROR(VLOOKUP($G870,融外自投!$A:$J,10,0),"無")</f>
        <v>無</v>
      </c>
      <c r="S870" s="324">
        <f>IFERROR(VLOOKUP($G870,'321買'!$A:$E,4,0),"'沒有資料'")</f>
        <v>1002</v>
      </c>
      <c r="T870" s="186">
        <f>IFERROR(VLOOKUP($G870,基本資料!$A:$J,9,0),"無")</f>
        <v>5</v>
      </c>
      <c r="U870" s="307">
        <f t="shared" si="154"/>
        <v>8.5034013605442174E-2</v>
      </c>
      <c r="V870" s="94">
        <f>IFERROR(VLOOKUP($G870,基本資料!$A:$J,10,0),"無")</f>
        <v>9.74</v>
      </c>
      <c r="W870" s="36">
        <f>RTD("money.excel",,"4935","Price")</f>
        <v>58.8</v>
      </c>
      <c r="X870" s="66"/>
      <c r="Y870" s="15">
        <f t="shared" si="155"/>
        <v>58.8</v>
      </c>
      <c r="Z870" s="3" t="e">
        <f t="shared" si="156"/>
        <v>#DIV/0!</v>
      </c>
      <c r="AA870" s="340">
        <f>IFERROR(VLOOKUP($G870,基本資料!$A:$M,11,0),"無")</f>
        <v>-44.27</v>
      </c>
      <c r="AB870" s="389">
        <f>IFERROR(VLOOKUP($G870,基本資料!$A:$M,12,0),"無")</f>
        <v>18.73</v>
      </c>
      <c r="AC870" s="22" t="s">
        <v>4229</v>
      </c>
      <c r="AF870" s="33">
        <f t="shared" si="157"/>
        <v>0</v>
      </c>
      <c r="AG870" s="43" t="s">
        <v>2282</v>
      </c>
      <c r="AH870" s="66">
        <f t="shared" si="159"/>
        <v>0.30855539971949508</v>
      </c>
      <c r="AI870" s="283">
        <f>RTD("money.excel",,$G870,"PredictVolume")</f>
        <v>99</v>
      </c>
      <c r="AJ870" s="391">
        <f>IFERROR(VLOOKUP($G870,基本資料!$A:$M,13,0),"無")</f>
        <v>320.85000000000002</v>
      </c>
      <c r="AR870" s="245" t="str">
        <f>INDEX(基本資料!N:N,MATCH($G870,基本資料!A:A,0))</f>
        <v>低</v>
      </c>
    </row>
    <row r="871" spans="1:44">
      <c r="A871" s="343">
        <f>IFERROR(VLOOKUP($G871,基本資料!$A:$J,3,0),"無")</f>
        <v>14.23</v>
      </c>
      <c r="B871" s="79">
        <f>IFERROR(VLOOKUP($G871,基本資料!$A:$J,4,0),"無")</f>
        <v>34</v>
      </c>
      <c r="C871" s="79">
        <f>IFERROR(VLOOKUP($G871,基本資料!$A:$J,5,0),"無")</f>
        <v>30</v>
      </c>
      <c r="D871" s="79">
        <f>IFERROR(VLOOKUP($G871,基本資料!$A:$J,6,0),"無")</f>
        <v>-4</v>
      </c>
      <c r="E871" s="79">
        <f>IFERROR(VLOOKUP($G871,基本資料!$A:$J,7,0),"無")</f>
        <v>6</v>
      </c>
      <c r="F871" s="6">
        <f>IFERROR(VLOOKUP($G871,基本資料!$A:$J,8,0),"無")</f>
        <v>13.48</v>
      </c>
      <c r="G871" s="79">
        <v>4942</v>
      </c>
      <c r="H871" s="8" t="s">
        <v>1877</v>
      </c>
      <c r="I871" s="22" t="s">
        <v>4230</v>
      </c>
      <c r="J871" s="8">
        <f>IFERROR(VLOOKUP($G871,今日總結!$A:$AN,39,0),"")</f>
        <v>0</v>
      </c>
      <c r="K871" s="5" t="str">
        <f>IFERROR(VLOOKUP($G871,今日總結!$A:$AN,40,0),"")</f>
        <v>融</v>
      </c>
      <c r="L871" s="156">
        <f>IFERROR(VLOOKUP($G871,今日總結!$A:$AN,37,0),"")</f>
        <v>0</v>
      </c>
      <c r="M871" s="337">
        <f>IFERROR(VLOOKUP($G871,今日總結!$A:$AN,38,0),"")</f>
        <v>1</v>
      </c>
      <c r="N871" s="240">
        <f t="shared" si="158"/>
        <v>-1</v>
      </c>
      <c r="O871" s="359">
        <f>IFERROR(VLOOKUP($G871,融外自投!$A:$J,7,0),"無")</f>
        <v>875</v>
      </c>
      <c r="P871" s="79">
        <f>IFERROR(VLOOKUP($G871,融外自投!$A:$J,9,0),"無")</f>
        <v>478</v>
      </c>
      <c r="Q871" s="342">
        <f>IFERROR(VLOOKUP($G871,融外自投!$A:$J,8,0),"無")</f>
        <v>379</v>
      </c>
      <c r="R871" s="81">
        <f>IFERROR(VLOOKUP($G871,融外自投!$A:$J,10,0),"無")</f>
        <v>495</v>
      </c>
      <c r="S871" s="324">
        <f>IFERROR(VLOOKUP($G871,'321買'!$A:$E,4,0),"'沒有資料'")</f>
        <v>696</v>
      </c>
      <c r="T871" s="186">
        <f>IFERROR(VLOOKUP($G871,基本資料!$A:$J,9,0),"無")</f>
        <v>3</v>
      </c>
      <c r="U871" s="307">
        <f t="shared" si="154"/>
        <v>6.9767441860465115E-2</v>
      </c>
      <c r="V871" s="94">
        <f>IFERROR(VLOOKUP($G871,基本資料!$A:$J,10,0),"無")</f>
        <v>6.38</v>
      </c>
      <c r="W871" s="36">
        <f>RTD("money.excel",,"4942","Price")</f>
        <v>43</v>
      </c>
      <c r="X871" s="66"/>
      <c r="Y871" s="15">
        <f t="shared" si="155"/>
        <v>43</v>
      </c>
      <c r="Z871" s="3" t="e">
        <f t="shared" si="156"/>
        <v>#DIV/0!</v>
      </c>
      <c r="AA871" s="340">
        <f>IFERROR(VLOOKUP($G871,基本資料!$A:$M,11,0),"無")</f>
        <v>-22.94</v>
      </c>
      <c r="AB871" s="389">
        <f>IFERROR(VLOOKUP($G871,基本資料!$A:$M,12,0),"無")</f>
        <v>15.67</v>
      </c>
      <c r="AC871" s="22" t="s">
        <v>4230</v>
      </c>
      <c r="AF871" s="33">
        <f t="shared" si="157"/>
        <v>0</v>
      </c>
      <c r="AG871" s="43" t="s">
        <v>2583</v>
      </c>
      <c r="AH871" s="66">
        <f t="shared" si="159"/>
        <v>1.2607709750566893</v>
      </c>
      <c r="AI871" s="283">
        <f>RTD("money.excel",,$G871,"PredictVolume")</f>
        <v>278</v>
      </c>
      <c r="AJ871" s="391">
        <f>IFERROR(VLOOKUP($G871,基本資料!$A:$M,13,0),"無")</f>
        <v>220.5</v>
      </c>
      <c r="AR871" s="245" t="str">
        <f>INDEX(基本資料!N:N,MATCH($G871,基本資料!A:A,0))</f>
        <v>低</v>
      </c>
    </row>
    <row r="872" spans="1:44">
      <c r="A872" s="343">
        <f>IFERROR(VLOOKUP($G872,基本資料!$A:$J,3,0),"無")</f>
        <v>8.7899999999999991</v>
      </c>
      <c r="B872" s="79">
        <f>IFERROR(VLOOKUP($G872,基本資料!$A:$J,4,0),"無")</f>
        <v>-137</v>
      </c>
      <c r="C872" s="79">
        <f>IFERROR(VLOOKUP($G872,基本資料!$A:$J,5,0),"無")</f>
        <v>36</v>
      </c>
      <c r="D872" s="79">
        <f>IFERROR(VLOOKUP($G872,基本資料!$A:$J,6,0),"無")</f>
        <v>10</v>
      </c>
      <c r="E872" s="79">
        <f>IFERROR(VLOOKUP($G872,基本資料!$A:$J,7,0),"無")</f>
        <v>-19</v>
      </c>
      <c r="F872" s="6">
        <f>IFERROR(VLOOKUP($G872,基本資料!$A:$J,8,0),"無")</f>
        <v>-29.69</v>
      </c>
      <c r="G872" s="79">
        <v>4944</v>
      </c>
      <c r="H872" s="8" t="s">
        <v>1877</v>
      </c>
      <c r="I872" s="16" t="s">
        <v>4231</v>
      </c>
      <c r="J872" s="8" t="str">
        <f>IFERROR(VLOOKUP($G872,今日總結!$A:$AN,39,0),"")</f>
        <v/>
      </c>
      <c r="K872" s="5" t="str">
        <f>IFERROR(VLOOKUP($G872,今日總結!$A:$AN,40,0),"")</f>
        <v/>
      </c>
      <c r="L872" s="156" t="str">
        <f>IFERROR(VLOOKUP($G872,今日總結!$A:$AN,37,0),"")</f>
        <v/>
      </c>
      <c r="M872" s="337" t="str">
        <f>IFERROR(VLOOKUP($G872,今日總結!$A:$AN,38,0),"")</f>
        <v/>
      </c>
      <c r="N872" s="240" t="str">
        <f t="shared" si="158"/>
        <v/>
      </c>
      <c r="O872" s="359" t="str">
        <f>IFERROR(VLOOKUP($G872,融外自投!$A:$J,7,0),"無")</f>
        <v>無</v>
      </c>
      <c r="P872" s="79" t="str">
        <f>IFERROR(VLOOKUP($G872,融外自投!$A:$J,9,0),"無")</f>
        <v>無</v>
      </c>
      <c r="Q872" s="342" t="str">
        <f>IFERROR(VLOOKUP($G872,融外自投!$A:$J,8,0),"無")</f>
        <v>無</v>
      </c>
      <c r="R872" s="81" t="str">
        <f>IFERROR(VLOOKUP($G872,融外自投!$A:$J,10,0),"無")</f>
        <v>無</v>
      </c>
      <c r="S872" s="324" t="str">
        <f>IFERROR(VLOOKUP($G872,'321買'!$A:$E,4,0),"'沒有資料'")</f>
        <v>'沒有資料'</v>
      </c>
      <c r="T872" s="186">
        <f>IFERROR(VLOOKUP($G872,基本資料!$A:$J,9,0),"無")</f>
        <v>0</v>
      </c>
      <c r="U872" s="307">
        <f t="shared" si="154"/>
        <v>0</v>
      </c>
      <c r="V872" s="94">
        <f>IFERROR(VLOOKUP($G872,基本資料!$A:$J,10,0),"無")</f>
        <v>-3.57</v>
      </c>
      <c r="W872" s="36">
        <f>RTD("money.excel",,"4944","Price")</f>
        <v>8.94</v>
      </c>
      <c r="X872" s="66"/>
      <c r="Y872" s="15">
        <f t="shared" si="155"/>
        <v>8.94</v>
      </c>
      <c r="Z872" s="3" t="e">
        <f t="shared" si="156"/>
        <v>#DIV/0!</v>
      </c>
      <c r="AA872" s="340">
        <f>IFERROR(VLOOKUP($G872,基本資料!$A:$M,11,0),"無")</f>
        <v>-72.489999999999995</v>
      </c>
      <c r="AB872" s="389">
        <f>IFERROR(VLOOKUP($G872,基本資料!$A:$M,12,0),"無")</f>
        <v>5.36</v>
      </c>
      <c r="AC872" s="16" t="s">
        <v>4231</v>
      </c>
      <c r="AF872" s="33">
        <f t="shared" si="157"/>
        <v>0</v>
      </c>
      <c r="AG872" s="43" t="s">
        <v>4232</v>
      </c>
      <c r="AH872" s="66">
        <f t="shared" si="159"/>
        <v>0.64078401809272523</v>
      </c>
      <c r="AI872" s="283">
        <f>RTD("money.excel",,$G872,"PredictVolume")</f>
        <v>85</v>
      </c>
      <c r="AJ872" s="391">
        <f>IFERROR(VLOOKUP($G872,基本資料!$A:$M,13,0),"無")</f>
        <v>132.65</v>
      </c>
      <c r="AR872" s="245" t="str">
        <f>INDEX(基本資料!N:N,MATCH($G872,基本資料!A:A,0))</f>
        <v>低</v>
      </c>
    </row>
    <row r="873" spans="1:44">
      <c r="A873" s="343">
        <f>IFERROR(VLOOKUP($G873,基本資料!$A:$J,3,0),"無")</f>
        <v>10.039999999999999</v>
      </c>
      <c r="B873" s="79">
        <f>IFERROR(VLOOKUP($G873,基本資料!$A:$J,4,0),"無")</f>
        <v>791</v>
      </c>
      <c r="C873" s="79">
        <f>IFERROR(VLOOKUP($G873,基本資料!$A:$J,5,0),"無")</f>
        <v>988</v>
      </c>
      <c r="D873" s="79">
        <f>IFERROR(VLOOKUP($G873,基本資料!$A:$J,6,0),"無")</f>
        <v>-13</v>
      </c>
      <c r="E873" s="79">
        <f>IFERROR(VLOOKUP($G873,基本資料!$A:$J,7,0),"無")</f>
        <v>-29</v>
      </c>
      <c r="F873" s="6">
        <f>IFERROR(VLOOKUP($G873,基本資料!$A:$J,8,0),"無")</f>
        <v>8.8000000000000007</v>
      </c>
      <c r="G873" s="79">
        <v>4956</v>
      </c>
      <c r="H873" s="8" t="s">
        <v>1877</v>
      </c>
      <c r="I873" s="22" t="s">
        <v>4233</v>
      </c>
      <c r="J873" s="8">
        <f>IFERROR(VLOOKUP($G873,今日總結!$A:$AN,39,0),"")</f>
        <v>0</v>
      </c>
      <c r="K873" s="5" t="str">
        <f>IFERROR(VLOOKUP($G873,今日總結!$A:$AN,40,0),"")</f>
        <v>融</v>
      </c>
      <c r="L873" s="156">
        <f>IFERROR(VLOOKUP($G873,今日總結!$A:$AN,37,0),"")</f>
        <v>0</v>
      </c>
      <c r="M873" s="337">
        <f>IFERROR(VLOOKUP($G873,今日總結!$A:$AN,38,0),"")</f>
        <v>2</v>
      </c>
      <c r="N873" s="240">
        <f t="shared" si="158"/>
        <v>-2</v>
      </c>
      <c r="O873" s="359">
        <f>IFERROR(VLOOKUP($G873,融外自投!$A:$J,7,0),"無")</f>
        <v>313</v>
      </c>
      <c r="P873" s="79">
        <f>IFERROR(VLOOKUP($G873,融外自投!$A:$J,9,0),"無")</f>
        <v>433</v>
      </c>
      <c r="Q873" s="342">
        <f>IFERROR(VLOOKUP($G873,融外自投!$A:$J,8,0),"無")</f>
        <v>641</v>
      </c>
      <c r="R873" s="81" t="str">
        <f>IFERROR(VLOOKUP($G873,融外自投!$A:$J,10,0),"無")</f>
        <v>無</v>
      </c>
      <c r="S873" s="324">
        <f>IFERROR(VLOOKUP($G873,'321買'!$A:$E,4,0),"'沒有資料'")</f>
        <v>321</v>
      </c>
      <c r="T873" s="186">
        <f>IFERROR(VLOOKUP($G873,基本資料!$A:$J,9,0),"無")</f>
        <v>0.4</v>
      </c>
      <c r="U873" s="307">
        <f t="shared" ref="U873:U927" si="160">$T873/$W873</f>
        <v>2.1164021164021166E-2</v>
      </c>
      <c r="V873" s="94">
        <f>IFERROR(VLOOKUP($G873,基本資料!$A:$J,10,0),"無")</f>
        <v>1.44</v>
      </c>
      <c r="W873" s="36">
        <f>RTD("money.excel",,"4956","Price")</f>
        <v>18.899999999999999</v>
      </c>
      <c r="X873" s="66"/>
      <c r="Y873" s="15">
        <f t="shared" ref="Y873:Y927" si="161">W873-X873</f>
        <v>18.899999999999999</v>
      </c>
      <c r="Z873" s="3" t="e">
        <f t="shared" ref="Z873:Z927" si="162">Y873/X873</f>
        <v>#DIV/0!</v>
      </c>
      <c r="AA873" s="340">
        <f>IFERROR(VLOOKUP($G873,基本資料!$A:$M,11,0),"無")</f>
        <v>-43.5</v>
      </c>
      <c r="AB873" s="389">
        <f>IFERROR(VLOOKUP($G873,基本資料!$A:$M,12,0),"無")</f>
        <v>20.65</v>
      </c>
      <c r="AC873" s="22" t="s">
        <v>4233</v>
      </c>
      <c r="AF873" s="33">
        <f t="shared" ref="AF873:AF927" si="163">AE873-AD873</f>
        <v>0</v>
      </c>
      <c r="AG873" s="43" t="s">
        <v>4234</v>
      </c>
      <c r="AH873" s="66">
        <f t="shared" si="159"/>
        <v>0.94831268688594628</v>
      </c>
      <c r="AI873" s="283">
        <f>RTD("money.excel",,$G873,"PredictVolume")</f>
        <v>333</v>
      </c>
      <c r="AJ873" s="391">
        <f>IFERROR(VLOOKUP($G873,基本資料!$A:$M,13,0),"無")</f>
        <v>351.15</v>
      </c>
      <c r="AR873" s="245" t="str">
        <f>INDEX(基本資料!N:N,MATCH($G873,基本資料!A:A,0))</f>
        <v>低</v>
      </c>
    </row>
    <row r="874" spans="1:44">
      <c r="A874" s="343">
        <f>IFERROR(VLOOKUP($G874,基本資料!$A:$J,3,0),"無")</f>
        <v>67.52</v>
      </c>
      <c r="B874" s="79">
        <f>IFERROR(VLOOKUP($G874,基本資料!$A:$J,4,0),"無")</f>
        <v>934</v>
      </c>
      <c r="C874" s="79">
        <f>IFERROR(VLOOKUP($G874,基本資料!$A:$J,5,0),"無")</f>
        <v>173</v>
      </c>
      <c r="D874" s="79">
        <f>IFERROR(VLOOKUP($G874,基本資料!$A:$J,6,0),"無")</f>
        <v>15</v>
      </c>
      <c r="E874" s="79">
        <f>IFERROR(VLOOKUP($G874,基本資料!$A:$J,7,0),"無")</f>
        <v>21</v>
      </c>
      <c r="F874" s="6">
        <f>IFERROR(VLOOKUP($G874,基本資料!$A:$J,8,0),"無")</f>
        <v>1.78</v>
      </c>
      <c r="G874" s="79">
        <v>4960</v>
      </c>
      <c r="H874" s="8" t="s">
        <v>1877</v>
      </c>
      <c r="I874" s="22" t="s">
        <v>4235</v>
      </c>
      <c r="J874" s="8">
        <f>IFERROR(VLOOKUP($G874,今日總結!$A:$AN,39,0),"")</f>
        <v>0</v>
      </c>
      <c r="K874" s="5">
        <f>IFERROR(VLOOKUP($G874,今日總結!$A:$AN,40,0),"")</f>
        <v>0</v>
      </c>
      <c r="L874" s="156">
        <f>IFERROR(VLOOKUP($G874,今日總結!$A:$AN,37,0),"")</f>
        <v>0</v>
      </c>
      <c r="M874" s="337">
        <f>IFERROR(VLOOKUP($G874,今日總結!$A:$AN,38,0),"")</f>
        <v>0</v>
      </c>
      <c r="N874" s="240">
        <f t="shared" ref="N874:N927" si="164">IFERROR(L874-M874,"")</f>
        <v>0</v>
      </c>
      <c r="O874" s="359">
        <f>IFERROR(VLOOKUP($G874,融外自投!$A:$J,7,0),"無")</f>
        <v>217</v>
      </c>
      <c r="P874" s="79">
        <f>IFERROR(VLOOKUP($G874,融外自投!$A:$J,9,0),"無")</f>
        <v>565</v>
      </c>
      <c r="Q874" s="342">
        <f>IFERROR(VLOOKUP($G874,融外自投!$A:$J,8,0),"無")</f>
        <v>862</v>
      </c>
      <c r="R874" s="81" t="str">
        <f>IFERROR(VLOOKUP($G874,融外自投!$A:$J,10,0),"無")</f>
        <v>無</v>
      </c>
      <c r="S874" s="324">
        <f>IFERROR(VLOOKUP($G874,'321買'!$A:$E,4,0),"'沒有資料'")</f>
        <v>300</v>
      </c>
      <c r="T874" s="186">
        <f>IFERROR(VLOOKUP($G874,基本資料!$A:$J,9,0),"無")</f>
        <v>0.5</v>
      </c>
      <c r="U874" s="307">
        <f t="shared" si="160"/>
        <v>4.3859649122807015E-2</v>
      </c>
      <c r="V874" s="94">
        <f>IFERROR(VLOOKUP($G874,基本資料!$A:$J,10,0),"無")</f>
        <v>1.1499999999999999</v>
      </c>
      <c r="W874" s="36">
        <f>RTD("money.excel",,"4960","Price")</f>
        <v>11.4</v>
      </c>
      <c r="X874" s="66"/>
      <c r="Y874" s="15">
        <f t="shared" si="161"/>
        <v>11.4</v>
      </c>
      <c r="Z874" s="3" t="e">
        <f t="shared" si="162"/>
        <v>#DIV/0!</v>
      </c>
      <c r="AA874" s="340">
        <f>IFERROR(VLOOKUP($G874,基本資料!$A:$M,11,0),"無")</f>
        <v>-20</v>
      </c>
      <c r="AB874" s="389">
        <f>IFERROR(VLOOKUP($G874,基本資料!$A:$M,12,0),"無")</f>
        <v>26.13</v>
      </c>
      <c r="AC874" s="22" t="s">
        <v>4235</v>
      </c>
      <c r="AF874" s="33">
        <f t="shared" si="163"/>
        <v>0</v>
      </c>
      <c r="AG874" s="43" t="s">
        <v>4160</v>
      </c>
      <c r="AH874" s="66">
        <f t="shared" si="159"/>
        <v>0.4943581963468352</v>
      </c>
      <c r="AI874" s="283">
        <f>RTD("money.excel",,$G874,"PredictVolume")</f>
        <v>5735</v>
      </c>
      <c r="AJ874" s="391">
        <f>IFERROR(VLOOKUP($G874,基本資料!$A:$M,13,0),"無")</f>
        <v>11600.9</v>
      </c>
      <c r="AR874" s="245" t="str">
        <f>INDEX(基本資料!N:N,MATCH($G874,基本資料!A:A,0))</f>
        <v>低</v>
      </c>
    </row>
    <row r="875" spans="1:44">
      <c r="A875" s="343">
        <f>IFERROR(VLOOKUP($G875,基本資料!$A:$J,3,0),"無")</f>
        <v>3.94</v>
      </c>
      <c r="B875" s="79">
        <f>IFERROR(VLOOKUP($G875,基本資料!$A:$J,4,0),"無")</f>
        <v>21</v>
      </c>
      <c r="C875" s="79">
        <f>IFERROR(VLOOKUP($G875,基本資料!$A:$J,5,0),"無")</f>
        <v>64</v>
      </c>
      <c r="D875" s="79">
        <f>IFERROR(VLOOKUP($G875,基本資料!$A:$J,6,0),"無")</f>
        <v>1</v>
      </c>
      <c r="E875" s="79">
        <f>IFERROR(VLOOKUP($G875,基本資料!$A:$J,7,0),"無")</f>
        <v>25</v>
      </c>
      <c r="F875" s="6">
        <f>IFERROR(VLOOKUP($G875,基本資料!$A:$J,8,0),"無")</f>
        <v>13.57</v>
      </c>
      <c r="G875" s="79">
        <v>4972</v>
      </c>
      <c r="H875" s="8" t="s">
        <v>1877</v>
      </c>
      <c r="I875" s="16" t="s">
        <v>4236</v>
      </c>
      <c r="J875" s="8" t="str">
        <f>IFERROR(VLOOKUP($G875,今日總結!$A:$AN,39,0),"")</f>
        <v/>
      </c>
      <c r="K875" s="5" t="str">
        <f>IFERROR(VLOOKUP($G875,今日總結!$A:$AN,40,0),"")</f>
        <v/>
      </c>
      <c r="L875" s="156" t="str">
        <f>IFERROR(VLOOKUP($G875,今日總結!$A:$AN,37,0),"")</f>
        <v/>
      </c>
      <c r="M875" s="337" t="str">
        <f>IFERROR(VLOOKUP($G875,今日總結!$A:$AN,38,0),"")</f>
        <v/>
      </c>
      <c r="N875" s="240" t="str">
        <f t="shared" si="164"/>
        <v/>
      </c>
      <c r="O875" s="359">
        <f>IFERROR(VLOOKUP($G875,融外自投!$A:$J,7,0),"無")</f>
        <v>936</v>
      </c>
      <c r="P875" s="79" t="str">
        <f>IFERROR(VLOOKUP($G875,融外自投!$A:$J,9,0),"無")</f>
        <v>無</v>
      </c>
      <c r="Q875" s="342">
        <f>IFERROR(VLOOKUP($G875,融外自投!$A:$J,8,0),"無")</f>
        <v>1222</v>
      </c>
      <c r="R875" s="81" t="str">
        <f>IFERROR(VLOOKUP($G875,融外自投!$A:$J,10,0),"無")</f>
        <v>無</v>
      </c>
      <c r="S875" s="324" t="str">
        <f>IFERROR(VLOOKUP($G875,'321買'!$A:$E,4,0),"'沒有資料'")</f>
        <v>'沒有資料'</v>
      </c>
      <c r="T875" s="186">
        <f>IFERROR(VLOOKUP($G875,基本資料!$A:$J,9,0),"無")</f>
        <v>2.1</v>
      </c>
      <c r="U875" s="307">
        <f t="shared" si="160"/>
        <v>6.5727699530516437E-2</v>
      </c>
      <c r="V875" s="94">
        <f>IFERROR(VLOOKUP($G875,基本資料!$A:$J,10,0),"無")</f>
        <v>2.5099999999999998</v>
      </c>
      <c r="W875" s="36">
        <f>RTD("money.excel",,"4972","Price")</f>
        <v>31.95</v>
      </c>
      <c r="X875" s="66"/>
      <c r="Y875" s="15">
        <f t="shared" si="161"/>
        <v>31.95</v>
      </c>
      <c r="Z875" s="3" t="e">
        <f t="shared" si="162"/>
        <v>#DIV/0!</v>
      </c>
      <c r="AA875" s="340">
        <f>IFERROR(VLOOKUP($G875,基本資料!$A:$M,11,0),"無")</f>
        <v>-9.1</v>
      </c>
      <c r="AB875" s="389">
        <f>IFERROR(VLOOKUP($G875,基本資料!$A:$M,12,0),"無")</f>
        <v>28.84</v>
      </c>
      <c r="AC875" s="16" t="s">
        <v>4236</v>
      </c>
      <c r="AF875" s="33">
        <f t="shared" si="163"/>
        <v>0</v>
      </c>
      <c r="AG875" s="117" t="s">
        <v>4237</v>
      </c>
      <c r="AH875" s="66">
        <f t="shared" si="159"/>
        <v>0.58319039451114929</v>
      </c>
      <c r="AI875" s="283">
        <f>RTD("money.excel",,$G875,"PredictVolume")</f>
        <v>17</v>
      </c>
      <c r="AJ875" s="391">
        <f>IFERROR(VLOOKUP($G875,基本資料!$A:$M,13,0),"無")</f>
        <v>29.15</v>
      </c>
      <c r="AR875" s="245" t="str">
        <f>INDEX(基本資料!N:N,MATCH($G875,基本資料!A:A,0))</f>
        <v>中</v>
      </c>
    </row>
    <row r="876" spans="1:44">
      <c r="A876" s="343">
        <f>IFERROR(VLOOKUP($G876,基本資料!$A:$J,3,0),"無")</f>
        <v>13.87</v>
      </c>
      <c r="B876" s="79">
        <f>IFERROR(VLOOKUP($G876,基本資料!$A:$J,4,0),"無")</f>
        <v>110</v>
      </c>
      <c r="C876" s="79">
        <f>IFERROR(VLOOKUP($G876,基本資料!$A:$J,5,0),"無")</f>
        <v>119</v>
      </c>
      <c r="D876" s="79">
        <f>IFERROR(VLOOKUP($G876,基本資料!$A:$J,6,0),"無")</f>
        <v>16</v>
      </c>
      <c r="E876" s="79">
        <f>IFERROR(VLOOKUP($G876,基本資料!$A:$J,7,0),"無")</f>
        <v>-28</v>
      </c>
      <c r="F876" s="6">
        <f>IFERROR(VLOOKUP($G876,基本資料!$A:$J,8,0),"無")</f>
        <v>0.85</v>
      </c>
      <c r="G876" s="79">
        <v>4976</v>
      </c>
      <c r="H876" s="8" t="s">
        <v>1877</v>
      </c>
      <c r="I876" s="22" t="s">
        <v>4238</v>
      </c>
      <c r="J876" s="8" t="str">
        <f>IFERROR(VLOOKUP($G876,今日總結!$A:$AN,39,0),"")</f>
        <v>主外</v>
      </c>
      <c r="K876" s="5">
        <f>IFERROR(VLOOKUP($G876,今日總結!$A:$AN,40,0),"")</f>
        <v>0</v>
      </c>
      <c r="L876" s="156">
        <f>IFERROR(VLOOKUP($G876,今日總結!$A:$AN,37,0),"")</f>
        <v>2</v>
      </c>
      <c r="M876" s="337">
        <f>IFERROR(VLOOKUP($G876,今日總結!$A:$AN,38,0),"")</f>
        <v>0</v>
      </c>
      <c r="N876" s="240">
        <f t="shared" si="164"/>
        <v>2</v>
      </c>
      <c r="O876" s="359">
        <f>IFERROR(VLOOKUP($G876,融外自投!$A:$J,7,0),"無")</f>
        <v>178</v>
      </c>
      <c r="P876" s="79">
        <f>IFERROR(VLOOKUP($G876,融外自投!$A:$J,9,0),"無")</f>
        <v>550</v>
      </c>
      <c r="Q876" s="342">
        <f>IFERROR(VLOOKUP($G876,融外自投!$A:$J,8,0),"無")</f>
        <v>1216</v>
      </c>
      <c r="R876" s="81" t="str">
        <f>IFERROR(VLOOKUP($G876,融外自投!$A:$J,10,0),"無")</f>
        <v>無</v>
      </c>
      <c r="S876" s="324">
        <f>IFERROR(VLOOKUP($G876,'321買'!$A:$E,4,0),"'沒有資料'")</f>
        <v>286</v>
      </c>
      <c r="T876" s="186">
        <f>IFERROR(VLOOKUP($G876,基本資料!$A:$J,9,0),"無")</f>
        <v>0</v>
      </c>
      <c r="U876" s="307">
        <f t="shared" si="160"/>
        <v>0</v>
      </c>
      <c r="V876" s="94">
        <f>IFERROR(VLOOKUP($G876,基本資料!$A:$J,10,0),"無")</f>
        <v>0.05</v>
      </c>
      <c r="W876" s="36">
        <f>RTD("money.excel",,"4976","Price")</f>
        <v>48.5</v>
      </c>
      <c r="X876" s="66"/>
      <c r="Y876" s="15">
        <f t="shared" si="161"/>
        <v>48.5</v>
      </c>
      <c r="Z876" s="3" t="e">
        <f t="shared" si="162"/>
        <v>#DIV/0!</v>
      </c>
      <c r="AA876" s="340">
        <f>IFERROR(VLOOKUP($G876,基本資料!$A:$M,11,0),"無")</f>
        <v>-54.25</v>
      </c>
      <c r="AB876" s="389">
        <f>IFERROR(VLOOKUP($G876,基本資料!$A:$M,12,0),"無")</f>
        <v>36.49</v>
      </c>
      <c r="AC876" s="22" t="s">
        <v>4238</v>
      </c>
      <c r="AF876" s="33">
        <f t="shared" si="163"/>
        <v>0</v>
      </c>
      <c r="AG876" s="43" t="s">
        <v>2122</v>
      </c>
      <c r="AH876" s="66">
        <f t="shared" si="159"/>
        <v>2.5781547327787746</v>
      </c>
      <c r="AI876" s="283">
        <f>RTD("money.excel",,$G876,"PredictVolume")</f>
        <v>2371</v>
      </c>
      <c r="AJ876" s="391">
        <f>IFERROR(VLOOKUP($G876,基本資料!$A:$M,13,0),"無")</f>
        <v>919.65</v>
      </c>
      <c r="AR876" s="245" t="str">
        <f>INDEX(基本資料!N:N,MATCH($G876,基本資料!A:A,0))</f>
        <v>低</v>
      </c>
    </row>
    <row r="877" spans="1:44">
      <c r="A877" s="343">
        <f>IFERROR(VLOOKUP($G877,基本資料!$A:$J,3,0),"無")</f>
        <v>4.18</v>
      </c>
      <c r="B877" s="79">
        <f>IFERROR(VLOOKUP($G877,基本資料!$A:$J,4,0),"無")</f>
        <v>62</v>
      </c>
      <c r="C877" s="79">
        <f>IFERROR(VLOOKUP($G877,基本資料!$A:$J,5,0),"無")</f>
        <v>65</v>
      </c>
      <c r="D877" s="79">
        <f>IFERROR(VLOOKUP($G877,基本資料!$A:$J,6,0),"無")</f>
        <v>-2</v>
      </c>
      <c r="E877" s="79">
        <f>IFERROR(VLOOKUP($G877,基本資料!$A:$J,7,0),"無")</f>
        <v>79</v>
      </c>
      <c r="F877" s="6">
        <f>IFERROR(VLOOKUP($G877,基本資料!$A:$J,8,0),"無")</f>
        <v>10.87</v>
      </c>
      <c r="G877" s="79">
        <v>4995</v>
      </c>
      <c r="H877" s="8" t="s">
        <v>1877</v>
      </c>
      <c r="I877" s="16" t="s">
        <v>4239</v>
      </c>
      <c r="J877" s="8">
        <f>IFERROR(VLOOKUP($G877,今日總結!$A:$AN,39,0),"")</f>
        <v>0</v>
      </c>
      <c r="K877" s="5" t="str">
        <f>IFERROR(VLOOKUP($G877,今日總結!$A:$AN,40,0),"")</f>
        <v>外</v>
      </c>
      <c r="L877" s="156">
        <f>IFERROR(VLOOKUP($G877,今日總結!$A:$AN,37,0),"")</f>
        <v>0</v>
      </c>
      <c r="M877" s="337">
        <f>IFERROR(VLOOKUP($G877,今日總結!$A:$AN,38,0),"")</f>
        <v>2</v>
      </c>
      <c r="N877" s="240">
        <f t="shared" si="164"/>
        <v>-2</v>
      </c>
      <c r="O877" s="359">
        <f>IFERROR(VLOOKUP($G877,融外自投!$A:$J,7,0),"無")</f>
        <v>33</v>
      </c>
      <c r="P877" s="79" t="str">
        <f>IFERROR(VLOOKUP($G877,融外自投!$A:$J,9,0),"無")</f>
        <v>無</v>
      </c>
      <c r="Q877" s="342">
        <f>IFERROR(VLOOKUP($G877,融外自投!$A:$J,8,0),"無")</f>
        <v>931</v>
      </c>
      <c r="R877" s="81" t="str">
        <f>IFERROR(VLOOKUP($G877,融外自投!$A:$J,10,0),"無")</f>
        <v>無</v>
      </c>
      <c r="S877" s="324">
        <f>IFERROR(VLOOKUP($G877,'321買'!$A:$E,4,0),"'沒有資料'")</f>
        <v>1002</v>
      </c>
      <c r="T877" s="186">
        <f>IFERROR(VLOOKUP($G877,基本資料!$A:$J,9,0),"無")</f>
        <v>2.5</v>
      </c>
      <c r="U877" s="307">
        <f t="shared" si="160"/>
        <v>6.3694267515923567E-2</v>
      </c>
      <c r="V877" s="94">
        <f>IFERROR(VLOOKUP($G877,基本資料!$A:$J,10,0),"無")</f>
        <v>2.68</v>
      </c>
      <c r="W877" s="36">
        <f>RTD("money.excel",,"4995","Price")</f>
        <v>39.25</v>
      </c>
      <c r="X877" s="66"/>
      <c r="Y877" s="15">
        <f t="shared" si="161"/>
        <v>39.25</v>
      </c>
      <c r="Z877" s="3" t="e">
        <f t="shared" si="162"/>
        <v>#DIV/0!</v>
      </c>
      <c r="AA877" s="340">
        <f>IFERROR(VLOOKUP($G877,基本資料!$A:$M,11,0),"無")</f>
        <v>-11.6</v>
      </c>
      <c r="AB877" s="389">
        <f>IFERROR(VLOOKUP($G877,基本資料!$A:$M,12,0),"無")</f>
        <v>33.18</v>
      </c>
      <c r="AC877" s="16" t="s">
        <v>4239</v>
      </c>
      <c r="AF877" s="33">
        <f t="shared" si="163"/>
        <v>0</v>
      </c>
      <c r="AG877" s="43" t="s">
        <v>4240</v>
      </c>
      <c r="AH877" s="66">
        <f t="shared" si="159"/>
        <v>0.43967828418230565</v>
      </c>
      <c r="AI877" s="283">
        <f>RTD("money.excel",,$G877,"PredictVolume")</f>
        <v>41</v>
      </c>
      <c r="AJ877" s="391">
        <f>IFERROR(VLOOKUP($G877,基本資料!$A:$M,13,0),"無")</f>
        <v>93.25</v>
      </c>
      <c r="AR877" s="245" t="str">
        <f>INDEX(基本資料!N:N,MATCH($G877,基本資料!A:A,0))</f>
        <v>中</v>
      </c>
    </row>
    <row r="878" spans="1:44">
      <c r="A878" s="343">
        <f>IFERROR(VLOOKUP($G878,基本資料!$A:$J,3,0),"無")</f>
        <v>3.96</v>
      </c>
      <c r="B878" s="79">
        <f>IFERROR(VLOOKUP($G878,基本資料!$A:$J,4,0),"無")</f>
        <v>-27</v>
      </c>
      <c r="C878" s="79">
        <f>IFERROR(VLOOKUP($G878,基本資料!$A:$J,5,0),"無")</f>
        <v>-35</v>
      </c>
      <c r="D878" s="79">
        <f>IFERROR(VLOOKUP($G878,基本資料!$A:$J,6,0),"無")</f>
        <v>-18</v>
      </c>
      <c r="E878" s="79">
        <f>IFERROR(VLOOKUP($G878,基本資料!$A:$J,7,0),"無")</f>
        <v>16</v>
      </c>
      <c r="F878" s="6">
        <f>IFERROR(VLOOKUP($G878,基本資料!$A:$J,8,0),"無")</f>
        <v>16.11</v>
      </c>
      <c r="G878" s="79">
        <v>5220</v>
      </c>
      <c r="H878" s="8" t="s">
        <v>1877</v>
      </c>
      <c r="I878" s="16" t="s">
        <v>4241</v>
      </c>
      <c r="J878" s="8">
        <f>IFERROR(VLOOKUP($G878,今日總結!$A:$AN,39,0),"")</f>
        <v>0</v>
      </c>
      <c r="K878" s="5">
        <f>IFERROR(VLOOKUP($G878,今日總結!$A:$AN,40,0),"")</f>
        <v>0</v>
      </c>
      <c r="L878" s="156">
        <f>IFERROR(VLOOKUP($G878,今日總結!$A:$AN,37,0),"")</f>
        <v>0</v>
      </c>
      <c r="M878" s="337">
        <f>IFERROR(VLOOKUP($G878,今日總結!$A:$AN,38,0),"")</f>
        <v>0</v>
      </c>
      <c r="N878" s="240">
        <f t="shared" si="164"/>
        <v>0</v>
      </c>
      <c r="O878" s="359">
        <f>IFERROR(VLOOKUP($G878,融外自投!$A:$J,7,0),"無")</f>
        <v>844</v>
      </c>
      <c r="P878" s="79" t="str">
        <f>IFERROR(VLOOKUP($G878,融外自投!$A:$J,9,0),"無")</f>
        <v>無</v>
      </c>
      <c r="Q878" s="342">
        <f>IFERROR(VLOOKUP($G878,融外自投!$A:$J,8,0),"無")</f>
        <v>1245</v>
      </c>
      <c r="R878" s="81">
        <f>IFERROR(VLOOKUP($G878,融外自投!$A:$J,10,0),"無")</f>
        <v>145</v>
      </c>
      <c r="S878" s="324">
        <f>IFERROR(VLOOKUP($G878,'321買'!$A:$E,4,0),"'沒有資料'")</f>
        <v>1002</v>
      </c>
      <c r="T878" s="186">
        <f>IFERROR(VLOOKUP($G878,基本資料!$A:$J,9,0),"無")</f>
        <v>2.2000000000000002</v>
      </c>
      <c r="U878" s="307">
        <f t="shared" si="160"/>
        <v>6.1797752808988769E-2</v>
      </c>
      <c r="V878" s="94">
        <f>IFERROR(VLOOKUP($G878,基本資料!$A:$J,10,0),"無")</f>
        <v>3.43</v>
      </c>
      <c r="W878" s="36">
        <f>RTD("money.excel",,"5220","Price")</f>
        <v>35.6</v>
      </c>
      <c r="X878" s="66"/>
      <c r="Y878" s="15">
        <f t="shared" si="161"/>
        <v>35.6</v>
      </c>
      <c r="Z878" s="3" t="e">
        <f t="shared" si="162"/>
        <v>#DIV/0!</v>
      </c>
      <c r="AA878" s="340">
        <f>IFERROR(VLOOKUP($G878,基本資料!$A:$M,11,0),"無")</f>
        <v>-16.82</v>
      </c>
      <c r="AB878" s="389">
        <f>IFERROR(VLOOKUP($G878,基本資料!$A:$M,12,0),"無")</f>
        <v>58.86</v>
      </c>
      <c r="AC878" s="16" t="s">
        <v>4242</v>
      </c>
      <c r="AF878" s="33">
        <f t="shared" si="163"/>
        <v>0</v>
      </c>
      <c r="AG878" s="43" t="s">
        <v>4243</v>
      </c>
      <c r="AH878" s="66">
        <f t="shared" si="159"/>
        <v>1.1805555555555556</v>
      </c>
      <c r="AI878" s="283">
        <f>RTD("money.excel",,$G878,"PredictVolume")</f>
        <v>51</v>
      </c>
      <c r="AJ878" s="391">
        <f>IFERROR(VLOOKUP($G878,基本資料!$A:$M,13,0),"無")</f>
        <v>43.2</v>
      </c>
      <c r="AR878" s="245" t="str">
        <f>INDEX(基本資料!N:N,MATCH($G878,基本資料!A:A,0))</f>
        <v>低</v>
      </c>
    </row>
    <row r="879" spans="1:44">
      <c r="A879" s="343">
        <f>IFERROR(VLOOKUP($G879,基本資料!$A:$J,3,0),"無")</f>
        <v>4.6900000000000004</v>
      </c>
      <c r="B879" s="79">
        <f>IFERROR(VLOOKUP($G879,基本資料!$A:$J,4,0),"無")</f>
        <v>2071</v>
      </c>
      <c r="C879" s="79">
        <f>IFERROR(VLOOKUP($G879,基本資料!$A:$J,5,0),"無")</f>
        <v>864</v>
      </c>
      <c r="D879" s="79">
        <f>IFERROR(VLOOKUP($G879,基本資料!$A:$J,6,0),"無")</f>
        <v>-4</v>
      </c>
      <c r="E879" s="79">
        <f>IFERROR(VLOOKUP($G879,基本資料!$A:$J,7,0),"無")</f>
        <v>0</v>
      </c>
      <c r="F879" s="6">
        <f>IFERROR(VLOOKUP($G879,基本資料!$A:$J,8,0),"無")</f>
        <v>5.95</v>
      </c>
      <c r="G879" s="79">
        <v>5230</v>
      </c>
      <c r="H879" s="8" t="s">
        <v>1877</v>
      </c>
      <c r="I879" s="16" t="s">
        <v>4244</v>
      </c>
      <c r="J879" s="8">
        <f>IFERROR(VLOOKUP($G879,今日總結!$A:$AN,39,0),"")</f>
        <v>0</v>
      </c>
      <c r="K879" s="5">
        <f>IFERROR(VLOOKUP($G879,今日總結!$A:$AN,40,0),"")</f>
        <v>0</v>
      </c>
      <c r="L879" s="156">
        <f>IFERROR(VLOOKUP($G879,今日總結!$A:$AN,37,0),"")</f>
        <v>0</v>
      </c>
      <c r="M879" s="337">
        <f>IFERROR(VLOOKUP($G879,今日總結!$A:$AN,38,0),"")</f>
        <v>0</v>
      </c>
      <c r="N879" s="240">
        <f t="shared" si="164"/>
        <v>0</v>
      </c>
      <c r="O879" s="359">
        <f>IFERROR(VLOOKUP($G879,融外自投!$A:$J,7,0),"無")</f>
        <v>537</v>
      </c>
      <c r="P879" s="79">
        <f>IFERROR(VLOOKUP($G879,融外自投!$A:$J,9,0),"無")</f>
        <v>460</v>
      </c>
      <c r="Q879" s="342">
        <f>IFERROR(VLOOKUP($G879,融外自投!$A:$J,8,0),"無")</f>
        <v>977</v>
      </c>
      <c r="R879" s="81">
        <f>IFERROR(VLOOKUP($G879,融外自投!$A:$J,10,0),"無")</f>
        <v>221</v>
      </c>
      <c r="S879" s="324">
        <f>IFERROR(VLOOKUP($G879,'321買'!$A:$E,4,0),"'沒有資料'")</f>
        <v>743</v>
      </c>
      <c r="T879" s="186">
        <f>IFERROR(VLOOKUP($G879,基本資料!$A:$J,9,0),"無")</f>
        <v>0.8</v>
      </c>
      <c r="U879" s="307">
        <f t="shared" si="160"/>
        <v>3.4115138592750539E-2</v>
      </c>
      <c r="V879" s="94">
        <f>IFERROR(VLOOKUP($G879,基本資料!$A:$J,10,0),"無")</f>
        <v>1.28</v>
      </c>
      <c r="W879" s="36">
        <f>RTD("money.excel",,"5230","Price")</f>
        <v>23.45</v>
      </c>
      <c r="X879" s="66"/>
      <c r="Y879" s="15">
        <f t="shared" si="161"/>
        <v>23.45</v>
      </c>
      <c r="Z879" s="3" t="e">
        <f t="shared" si="162"/>
        <v>#DIV/0!</v>
      </c>
      <c r="AA879" s="340">
        <f>IFERROR(VLOOKUP($G879,基本資料!$A:$M,11,0),"無")</f>
        <v>-39.409999999999997</v>
      </c>
      <c r="AB879" s="389">
        <f>IFERROR(VLOOKUP($G879,基本資料!$A:$M,12,0),"無")</f>
        <v>8.3000000000000007</v>
      </c>
      <c r="AC879" s="16" t="s">
        <v>4244</v>
      </c>
      <c r="AF879" s="33">
        <f t="shared" si="163"/>
        <v>0</v>
      </c>
      <c r="AG879" s="43" t="s">
        <v>4245</v>
      </c>
      <c r="AH879" s="66">
        <f t="shared" si="159"/>
        <v>0.58823529411764708</v>
      </c>
      <c r="AI879" s="283">
        <f>RTD("money.excel",,$G879,"PredictVolume")</f>
        <v>44</v>
      </c>
      <c r="AJ879" s="391">
        <f>IFERROR(VLOOKUP($G879,基本資料!$A:$M,13,0),"無")</f>
        <v>74.8</v>
      </c>
      <c r="AR879" s="245" t="str">
        <f>INDEX(基本資料!N:N,MATCH($G879,基本資料!A:A,0))</f>
        <v>低</v>
      </c>
    </row>
    <row r="880" spans="1:44">
      <c r="A880" s="343">
        <f>IFERROR(VLOOKUP($G880,基本資料!$A:$J,3,0),"無")</f>
        <v>10.27</v>
      </c>
      <c r="B880" s="79">
        <f>IFERROR(VLOOKUP($G880,基本資料!$A:$J,4,0),"無")</f>
        <v>7</v>
      </c>
      <c r="C880" s="79">
        <f>IFERROR(VLOOKUP($G880,基本資料!$A:$J,5,0),"無")</f>
        <v>4</v>
      </c>
      <c r="D880" s="79">
        <f>IFERROR(VLOOKUP($G880,基本資料!$A:$J,6,0),"無")</f>
        <v>-8</v>
      </c>
      <c r="E880" s="79">
        <f>IFERROR(VLOOKUP($G880,基本資料!$A:$J,7,0),"無")</f>
        <v>3</v>
      </c>
      <c r="F880" s="6">
        <f>IFERROR(VLOOKUP($G880,基本資料!$A:$J,8,0),"無")</f>
        <v>17.010000000000002</v>
      </c>
      <c r="G880" s="79">
        <v>5234</v>
      </c>
      <c r="H880" s="8" t="s">
        <v>1877</v>
      </c>
      <c r="I880" s="22" t="s">
        <v>4246</v>
      </c>
      <c r="J880" s="8">
        <f>IFERROR(VLOOKUP($G880,今日總結!$A:$AN,39,0),"")</f>
        <v>0</v>
      </c>
      <c r="K880" s="5" t="str">
        <f>IFERROR(VLOOKUP($G880,今日總結!$A:$AN,40,0),"")</f>
        <v>融</v>
      </c>
      <c r="L880" s="156">
        <f>IFERROR(VLOOKUP($G880,今日總結!$A:$AN,37,0),"")</f>
        <v>0</v>
      </c>
      <c r="M880" s="337">
        <f>IFERROR(VLOOKUP($G880,今日總結!$A:$AN,38,0),"")</f>
        <v>1</v>
      </c>
      <c r="N880" s="240">
        <f t="shared" si="164"/>
        <v>-1</v>
      </c>
      <c r="O880" s="359">
        <f>IFERROR(VLOOKUP($G880,融外自投!$A:$J,7,0),"無")</f>
        <v>846</v>
      </c>
      <c r="P880" s="79">
        <f>IFERROR(VLOOKUP($G880,融外自投!$A:$J,9,0),"無")</f>
        <v>525</v>
      </c>
      <c r="Q880" s="342">
        <f>IFERROR(VLOOKUP($G880,融外自投!$A:$J,8,0),"無")</f>
        <v>481</v>
      </c>
      <c r="R880" s="81">
        <f>IFERROR(VLOOKUP($G880,融外自投!$A:$J,10,0),"無")</f>
        <v>184</v>
      </c>
      <c r="S880" s="324">
        <f>IFERROR(VLOOKUP($G880,'321買'!$A:$E,4,0),"'沒有資料'")</f>
        <v>440</v>
      </c>
      <c r="T880" s="186">
        <f>IFERROR(VLOOKUP($G880,基本資料!$A:$J,9,0),"無")</f>
        <v>5.3</v>
      </c>
      <c r="U880" s="307">
        <f t="shared" si="160"/>
        <v>5.5789473684210528E-2</v>
      </c>
      <c r="V880" s="94">
        <f>IFERROR(VLOOKUP($G880,基本資料!$A:$J,10,0),"無")</f>
        <v>6.62</v>
      </c>
      <c r="W880" s="36">
        <f>RTD("money.excel",,"5234","Price")</f>
        <v>95</v>
      </c>
      <c r="X880" s="66"/>
      <c r="Y880" s="15">
        <f t="shared" si="161"/>
        <v>95</v>
      </c>
      <c r="Z880" s="3" t="e">
        <f t="shared" si="162"/>
        <v>#DIV/0!</v>
      </c>
      <c r="AA880" s="340">
        <f>IFERROR(VLOOKUP($G880,基本資料!$A:$M,11,0),"無")</f>
        <v>-41.72</v>
      </c>
      <c r="AB880" s="389">
        <f>IFERROR(VLOOKUP($G880,基本資料!$A:$M,12,0),"無")</f>
        <v>10.25</v>
      </c>
      <c r="AC880" s="22" t="s">
        <v>4246</v>
      </c>
      <c r="AF880" s="33">
        <f t="shared" si="163"/>
        <v>0</v>
      </c>
      <c r="AG880" s="43" t="s">
        <v>4247</v>
      </c>
      <c r="AH880" s="66">
        <f t="shared" si="159"/>
        <v>0.46351537402478199</v>
      </c>
      <c r="AI880" s="283">
        <f>RTD("money.excel",,$G880,"PredictVolume")</f>
        <v>101</v>
      </c>
      <c r="AJ880" s="391">
        <f>IFERROR(VLOOKUP($G880,基本資料!$A:$M,13,0),"無")</f>
        <v>217.9</v>
      </c>
      <c r="AR880" s="245" t="str">
        <f>INDEX(基本資料!N:N,MATCH($G880,基本資料!A:A,0))</f>
        <v>低</v>
      </c>
    </row>
    <row r="881" spans="1:44">
      <c r="A881" s="343">
        <f>IFERROR(VLOOKUP($G881,基本資料!$A:$J,3,0),"無")</f>
        <v>16.850000000000001</v>
      </c>
      <c r="B881" s="79">
        <f>IFERROR(VLOOKUP($G881,基本資料!$A:$J,4,0),"無")</f>
        <v>0</v>
      </c>
      <c r="C881" s="79">
        <f>IFERROR(VLOOKUP($G881,基本資料!$A:$J,5,0),"無")</f>
        <v>-4</v>
      </c>
      <c r="D881" s="79">
        <f>IFERROR(VLOOKUP($G881,基本資料!$A:$J,6,0),"無")</f>
        <v>-29</v>
      </c>
      <c r="E881" s="79">
        <f>IFERROR(VLOOKUP($G881,基本資料!$A:$J,7,0),"無")</f>
        <v>-22</v>
      </c>
      <c r="F881" s="6">
        <f>IFERROR(VLOOKUP($G881,基本資料!$A:$J,8,0),"無")</f>
        <v>5.34</v>
      </c>
      <c r="G881" s="79">
        <v>5243</v>
      </c>
      <c r="H881" s="195" t="s">
        <v>1877</v>
      </c>
      <c r="I881" s="22" t="s">
        <v>4248</v>
      </c>
      <c r="J881" s="8">
        <f>IFERROR(VLOOKUP($G881,今日總結!$A:$AN,39,0),"")</f>
        <v>0</v>
      </c>
      <c r="K881" s="5">
        <f>IFERROR(VLOOKUP($G881,今日總結!$A:$AN,40,0),"")</f>
        <v>0</v>
      </c>
      <c r="L881" s="156">
        <f>IFERROR(VLOOKUP($G881,今日總結!$A:$AN,37,0),"")</f>
        <v>0</v>
      </c>
      <c r="M881" s="337">
        <f>IFERROR(VLOOKUP($G881,今日總結!$A:$AN,38,0),"")</f>
        <v>0</v>
      </c>
      <c r="N881" s="240">
        <f t="shared" si="164"/>
        <v>0</v>
      </c>
      <c r="O881" s="359">
        <f>IFERROR(VLOOKUP($G881,融外自投!$A:$J,7,0),"無")</f>
        <v>338</v>
      </c>
      <c r="P881" s="79">
        <f>IFERROR(VLOOKUP($G881,融外自投!$A:$J,9,0),"無")</f>
        <v>762</v>
      </c>
      <c r="Q881" s="342">
        <f>IFERROR(VLOOKUP($G881,融外自投!$A:$J,8,0),"無")</f>
        <v>66</v>
      </c>
      <c r="R881" s="81" t="str">
        <f>IFERROR(VLOOKUP($G881,融外自投!$A:$J,10,0),"無")</f>
        <v>無</v>
      </c>
      <c r="S881" s="324">
        <f>IFERROR(VLOOKUP($G881,'321買'!$A:$E,4,0),"'沒有資料'")</f>
        <v>440</v>
      </c>
      <c r="T881" s="186">
        <f>IFERROR(VLOOKUP($G881,基本資料!$A:$J,9,0),"無")</f>
        <v>1.4</v>
      </c>
      <c r="U881" s="307">
        <f t="shared" si="160"/>
        <v>2.4432809773123908E-2</v>
      </c>
      <c r="V881" s="94">
        <f>IFERROR(VLOOKUP($G881,基本資料!$A:$J,10,0),"無")</f>
        <v>2.75</v>
      </c>
      <c r="W881" s="36">
        <f>RTD("money.excel",,"5243","Price")</f>
        <v>57.3</v>
      </c>
      <c r="X881" s="66"/>
      <c r="Y881" s="15">
        <f t="shared" si="161"/>
        <v>57.3</v>
      </c>
      <c r="Z881" s="3" t="e">
        <f t="shared" si="162"/>
        <v>#DIV/0!</v>
      </c>
      <c r="AA881" s="340">
        <f>IFERROR(VLOOKUP($G881,基本資料!$A:$M,11,0),"無")</f>
        <v>-25</v>
      </c>
      <c r="AB881" s="389">
        <f>IFERROR(VLOOKUP($G881,基本資料!$A:$M,12,0),"無")</f>
        <v>26.3</v>
      </c>
      <c r="AC881" s="22" t="s">
        <v>4248</v>
      </c>
      <c r="AF881" s="33">
        <f t="shared" si="163"/>
        <v>0</v>
      </c>
      <c r="AG881" s="117" t="s">
        <v>4249</v>
      </c>
      <c r="AH881" s="66">
        <f t="shared" si="159"/>
        <v>0.36445332001997005</v>
      </c>
      <c r="AI881" s="283">
        <f>RTD("money.excel",,$G881,"PredictVolume")</f>
        <v>876</v>
      </c>
      <c r="AJ881" s="391">
        <f>IFERROR(VLOOKUP($G881,基本資料!$A:$M,13,0),"無")</f>
        <v>2403.6</v>
      </c>
      <c r="AR881" s="245" t="str">
        <f>INDEX(基本資料!N:N,MATCH($G881,基本資料!A:A,0))</f>
        <v>低</v>
      </c>
    </row>
    <row r="882" spans="1:44">
      <c r="A882" s="343" t="str">
        <f>IFERROR(VLOOKUP($G882,基本資料!$A:$J,3,0),"無")</f>
        <v>無</v>
      </c>
      <c r="B882" s="79" t="str">
        <f>IFERROR(VLOOKUP($G882,基本資料!$A:$J,4,0),"無")</f>
        <v>無</v>
      </c>
      <c r="C882" s="79" t="str">
        <f>IFERROR(VLOOKUP($G882,基本資料!$A:$J,5,0),"無")</f>
        <v>無</v>
      </c>
      <c r="D882" s="79" t="str">
        <f>IFERROR(VLOOKUP($G882,基本資料!$A:$J,6,0),"無")</f>
        <v>無</v>
      </c>
      <c r="E882" s="79" t="str">
        <f>IFERROR(VLOOKUP($G882,基本資料!$A:$J,7,0),"無")</f>
        <v>無</v>
      </c>
      <c r="F882" s="6" t="str">
        <f>IFERROR(VLOOKUP($G882,基本資料!$A:$J,8,0),"無")</f>
        <v>無</v>
      </c>
      <c r="G882" s="79">
        <v>5244</v>
      </c>
      <c r="H882" s="8" t="s">
        <v>306</v>
      </c>
      <c r="I882" s="22" t="s">
        <v>4708</v>
      </c>
      <c r="J882" s="8" t="str">
        <f>IFERROR(VLOOKUP($G882,今日總結!$A:$AN,39,0),"")</f>
        <v/>
      </c>
      <c r="K882" s="5" t="str">
        <f>IFERROR(VLOOKUP($G882,今日總結!$A:$AN,40,0),"")</f>
        <v/>
      </c>
      <c r="L882" s="156" t="str">
        <f>IFERROR(VLOOKUP($G882,今日總結!$A:$AN,37,0),"")</f>
        <v/>
      </c>
      <c r="M882" s="337" t="str">
        <f>IFERROR(VLOOKUP($G882,今日總結!$A:$AN,38,0),"")</f>
        <v/>
      </c>
      <c r="N882" s="240" t="str">
        <f t="shared" si="164"/>
        <v/>
      </c>
      <c r="O882" s="359" t="str">
        <f>IFERROR(VLOOKUP($G882,融外自投!$A:$J,7,0),"無")</f>
        <v>無</v>
      </c>
      <c r="P882" s="79" t="str">
        <f>IFERROR(VLOOKUP($G882,融外自投!$A:$J,9,0),"無")</f>
        <v>無</v>
      </c>
      <c r="Q882" s="342" t="str">
        <f>IFERROR(VLOOKUP($G882,融外自投!$A:$J,8,0),"無")</f>
        <v>無</v>
      </c>
      <c r="R882" s="81" t="str">
        <f>IFERROR(VLOOKUP($G882,融外自投!$A:$J,10,0),"無")</f>
        <v>無</v>
      </c>
      <c r="S882" s="324" t="str">
        <f>IFERROR(VLOOKUP($G882,'321買'!$A:$E,4,0),"'沒有資料'")</f>
        <v>'沒有資料'</v>
      </c>
      <c r="T882" s="186" t="str">
        <f>IFERROR(VLOOKUP($G882,基本資料!$A:$J,9,0),"無")</f>
        <v>無</v>
      </c>
      <c r="U882" s="307" t="e">
        <f t="shared" si="160"/>
        <v>#VALUE!</v>
      </c>
      <c r="V882" s="94" t="str">
        <f>IFERROR(VLOOKUP($G882,基本資料!$A:$J,10,0),"無")</f>
        <v>無</v>
      </c>
      <c r="W882" s="36">
        <f>RTD("money.excel",,"5244","Price")</f>
        <v>35.549999999999997</v>
      </c>
      <c r="X882" s="66"/>
      <c r="Y882" s="15">
        <f>W882-X882</f>
        <v>35.549999999999997</v>
      </c>
      <c r="Z882" s="3" t="e">
        <f>Y882/X882</f>
        <v>#DIV/0!</v>
      </c>
      <c r="AA882" s="340" t="str">
        <f>IFERROR(VLOOKUP($G882,基本資料!$A:$M,11,0),"無")</f>
        <v>無</v>
      </c>
      <c r="AB882" s="389" t="str">
        <f>IFERROR(VLOOKUP($G882,基本資料!$A:$M,12,0),"無")</f>
        <v>無</v>
      </c>
      <c r="AC882" s="22" t="s">
        <v>4708</v>
      </c>
      <c r="AF882" s="33">
        <f>AE882-AD882</f>
        <v>0</v>
      </c>
      <c r="AG882" s="43" t="s">
        <v>2509</v>
      </c>
      <c r="AH882" s="66" t="e">
        <f t="shared" si="159"/>
        <v>#VALUE!</v>
      </c>
      <c r="AI882" s="283">
        <f>RTD("money.excel",,$G882,"PredictVolume")</f>
        <v>37</v>
      </c>
      <c r="AJ882" s="391" t="str">
        <f>IFERROR(VLOOKUP($G882,基本資料!$A:$M,13,0),"無")</f>
        <v>無</v>
      </c>
      <c r="AR882" s="245" t="e">
        <f>INDEX(基本資料!N:N,MATCH($G882,基本資料!A:A,0))</f>
        <v>#N/A</v>
      </c>
    </row>
    <row r="883" spans="1:44">
      <c r="A883" s="343">
        <f>IFERROR(VLOOKUP($G883,基本資料!$A:$J,3,0),"無")</f>
        <v>4.49</v>
      </c>
      <c r="B883" s="79">
        <f>IFERROR(VLOOKUP($G883,基本資料!$A:$J,4,0),"無")</f>
        <v>120</v>
      </c>
      <c r="C883" s="79">
        <f>IFERROR(VLOOKUP($G883,基本資料!$A:$J,5,0),"無")</f>
        <v>142</v>
      </c>
      <c r="D883" s="79">
        <f>IFERROR(VLOOKUP($G883,基本資料!$A:$J,6,0),"無")</f>
        <v>-1</v>
      </c>
      <c r="E883" s="79">
        <f>IFERROR(VLOOKUP($G883,基本資料!$A:$J,7,0),"無")</f>
        <v>3</v>
      </c>
      <c r="F883" s="6">
        <f>IFERROR(VLOOKUP($G883,基本資料!$A:$J,8,0),"無")</f>
        <v>16.13</v>
      </c>
      <c r="G883" s="79">
        <v>5245</v>
      </c>
      <c r="H883" s="8" t="s">
        <v>306</v>
      </c>
      <c r="I883" s="16" t="s">
        <v>4250</v>
      </c>
      <c r="J883" s="8">
        <f>IFERROR(VLOOKUP($G883,今日總結!$A:$AN,39,0),"")</f>
        <v>0</v>
      </c>
      <c r="K883" s="5">
        <f>IFERROR(VLOOKUP($G883,今日總結!$A:$AN,40,0),"")</f>
        <v>0</v>
      </c>
      <c r="L883" s="156">
        <f>IFERROR(VLOOKUP($G883,今日總結!$A:$AN,37,0),"")</f>
        <v>0</v>
      </c>
      <c r="M883" s="337">
        <f>IFERROR(VLOOKUP($G883,今日總結!$A:$AN,38,0),"")</f>
        <v>0</v>
      </c>
      <c r="N883" s="240">
        <f t="shared" si="164"/>
        <v>0</v>
      </c>
      <c r="O883" s="359">
        <f>IFERROR(VLOOKUP($G883,融外自投!$A:$J,7,0),"無")</f>
        <v>120</v>
      </c>
      <c r="P883" s="79">
        <f>IFERROR(VLOOKUP($G883,融外自投!$A:$J,9,0),"無")</f>
        <v>234</v>
      </c>
      <c r="Q883" s="342">
        <f>IFERROR(VLOOKUP($G883,融外自投!$A:$J,8,0),"無")</f>
        <v>400</v>
      </c>
      <c r="R883" s="81">
        <f>IFERROR(VLOOKUP($G883,融外自投!$A:$J,10,0),"無")</f>
        <v>332</v>
      </c>
      <c r="S883" s="324">
        <f>IFERROR(VLOOKUP($G883,'321買'!$A:$E,4,0),"'沒有資料'")</f>
        <v>253</v>
      </c>
      <c r="T883" s="186">
        <f>IFERROR(VLOOKUP($G883,基本資料!$A:$J,9,0),"無")</f>
        <v>4.5</v>
      </c>
      <c r="U883" s="307">
        <f t="shared" si="160"/>
        <v>7.0754716981132074E-2</v>
      </c>
      <c r="V883" s="94">
        <f>IFERROR(VLOOKUP($G883,基本資料!$A:$J,10,0),"無")</f>
        <v>4.47</v>
      </c>
      <c r="W883" s="36">
        <f>RTD("money.excel",,"5245","Price")</f>
        <v>63.6</v>
      </c>
      <c r="X883" s="66"/>
      <c r="Y883" s="15">
        <f>W883-X883</f>
        <v>63.6</v>
      </c>
      <c r="Z883" s="3" t="e">
        <f>Y883/X883</f>
        <v>#DIV/0!</v>
      </c>
      <c r="AA883" s="340">
        <f>IFERROR(VLOOKUP($G883,基本資料!$A:$M,11,0),"無")</f>
        <v>-41.92</v>
      </c>
      <c r="AB883" s="389">
        <f>IFERROR(VLOOKUP($G883,基本資料!$A:$M,12,0),"無")</f>
        <v>22.14</v>
      </c>
      <c r="AC883" s="16" t="s">
        <v>4250</v>
      </c>
      <c r="AF883" s="33">
        <f>AE883-AD883</f>
        <v>0</v>
      </c>
      <c r="AG883" s="160" t="s">
        <v>4251</v>
      </c>
      <c r="AH883" s="66">
        <f t="shared" si="159"/>
        <v>0.981271432339752</v>
      </c>
      <c r="AI883" s="283">
        <f>RTD("money.excel",,$G883,"PredictVolume")</f>
        <v>186</v>
      </c>
      <c r="AJ883" s="391">
        <f>IFERROR(VLOOKUP($G883,基本資料!$A:$M,13,0),"無")</f>
        <v>189.55</v>
      </c>
      <c r="AR883" s="245" t="str">
        <f>INDEX(基本資料!N:N,MATCH($G883,基本資料!A:A,0))</f>
        <v>中</v>
      </c>
    </row>
    <row r="884" spans="1:44">
      <c r="A884" s="343">
        <f>IFERROR(VLOOKUP($G884,基本資料!$A:$J,3,0),"無")</f>
        <v>3.57</v>
      </c>
      <c r="B884" s="79">
        <f>IFERROR(VLOOKUP($G884,基本資料!$A:$J,4,0),"無")</f>
        <v>-40</v>
      </c>
      <c r="C884" s="79">
        <f>IFERROR(VLOOKUP($G884,基本資料!$A:$J,5,0),"無")</f>
        <v>-4</v>
      </c>
      <c r="D884" s="79">
        <f>IFERROR(VLOOKUP($G884,基本資料!$A:$J,6,0),"無")</f>
        <v>75</v>
      </c>
      <c r="E884" s="79">
        <f>IFERROR(VLOOKUP($G884,基本資料!$A:$J,7,0),"無")</f>
        <v>117</v>
      </c>
      <c r="F884" s="6">
        <f>IFERROR(VLOOKUP($G884,基本資料!$A:$J,8,0),"無")</f>
        <v>-39.520000000000003</v>
      </c>
      <c r="G884" s="79">
        <v>5251</v>
      </c>
      <c r="H884" s="8" t="s">
        <v>1877</v>
      </c>
      <c r="I884" s="16" t="s">
        <v>4252</v>
      </c>
      <c r="J884" s="8">
        <f>IFERROR(VLOOKUP($G884,今日總結!$A:$AN,39,0),"")</f>
        <v>0</v>
      </c>
      <c r="K884" s="5">
        <f>IFERROR(VLOOKUP($G884,今日總結!$A:$AN,40,0),"")</f>
        <v>0</v>
      </c>
      <c r="L884" s="156">
        <f>IFERROR(VLOOKUP($G884,今日總結!$A:$AN,37,0),"")</f>
        <v>0</v>
      </c>
      <c r="M884" s="337">
        <f>IFERROR(VLOOKUP($G884,今日總結!$A:$AN,38,0),"")</f>
        <v>0</v>
      </c>
      <c r="N884" s="240">
        <f t="shared" si="164"/>
        <v>0</v>
      </c>
      <c r="O884" s="359">
        <f>IFERROR(VLOOKUP($G884,融外自投!$A:$J,7,0),"無")</f>
        <v>396</v>
      </c>
      <c r="P884" s="79">
        <f>IFERROR(VLOOKUP($G884,融外自投!$A:$J,9,0),"無")</f>
        <v>790</v>
      </c>
      <c r="Q884" s="342">
        <f>IFERROR(VLOOKUP($G884,融外自投!$A:$J,8,0),"無")</f>
        <v>252</v>
      </c>
      <c r="R884" s="81" t="str">
        <f>IFERROR(VLOOKUP($G884,融外自投!$A:$J,10,0),"無")</f>
        <v>無</v>
      </c>
      <c r="S884" s="324">
        <f>IFERROR(VLOOKUP($G884,'321買'!$A:$E,4,0),"'沒有資料'")</f>
        <v>606</v>
      </c>
      <c r="T884" s="186">
        <f>IFERROR(VLOOKUP($G884,基本資料!$A:$J,9,0),"無")</f>
        <v>0</v>
      </c>
      <c r="U884" s="307">
        <f t="shared" si="160"/>
        <v>0</v>
      </c>
      <c r="V884" s="94">
        <f>IFERROR(VLOOKUP($G884,基本資料!$A:$J,10,0),"無")</f>
        <v>-2.3199999999999998</v>
      </c>
      <c r="W884" s="36">
        <f>RTD("money.excel",,"5251","Price")</f>
        <v>16.45</v>
      </c>
      <c r="X884" s="66"/>
      <c r="Y884" s="15">
        <f t="shared" si="161"/>
        <v>16.45</v>
      </c>
      <c r="Z884" s="3" t="e">
        <f t="shared" si="162"/>
        <v>#DIV/0!</v>
      </c>
      <c r="AA884" s="340">
        <f>IFERROR(VLOOKUP($G884,基本資料!$A:$M,11,0),"無")</f>
        <v>-28.48</v>
      </c>
      <c r="AB884" s="389">
        <f>IFERROR(VLOOKUP($G884,基本資料!$A:$M,12,0),"無")</f>
        <v>28.8</v>
      </c>
      <c r="AC884" s="16" t="s">
        <v>4252</v>
      </c>
      <c r="AF884" s="33">
        <f t="shared" si="163"/>
        <v>0</v>
      </c>
      <c r="AG884" s="43" t="s">
        <v>4165</v>
      </c>
      <c r="AH884" s="66">
        <f t="shared" si="159"/>
        <v>0.505924497106641</v>
      </c>
      <c r="AI884" s="283">
        <f>RTD("money.excel",,$G884,"PredictVolume")</f>
        <v>459</v>
      </c>
      <c r="AJ884" s="391">
        <f>IFERROR(VLOOKUP($G884,基本資料!$A:$M,13,0),"無")</f>
        <v>907.25</v>
      </c>
      <c r="AR884" s="245" t="str">
        <f>INDEX(基本資料!N:N,MATCH($G884,基本資料!A:A,0))</f>
        <v>中</v>
      </c>
    </row>
    <row r="885" spans="1:44">
      <c r="A885" s="343">
        <f>IFERROR(VLOOKUP($G885,基本資料!$A:$J,3,0),"無")</f>
        <v>3.7</v>
      </c>
      <c r="B885" s="79">
        <f>IFERROR(VLOOKUP($G885,基本資料!$A:$J,4,0),"無")</f>
        <v>-144</v>
      </c>
      <c r="C885" s="79">
        <f>IFERROR(VLOOKUP($G885,基本資料!$A:$J,5,0),"無")</f>
        <v>-176</v>
      </c>
      <c r="D885" s="79">
        <f>IFERROR(VLOOKUP($G885,基本資料!$A:$J,6,0),"無")</f>
        <v>-54</v>
      </c>
      <c r="E885" s="79">
        <f>IFERROR(VLOOKUP($G885,基本資料!$A:$J,7,0),"無")</f>
        <v>-65</v>
      </c>
      <c r="F885" s="6">
        <f>IFERROR(VLOOKUP($G885,基本資料!$A:$J,8,0),"無")</f>
        <v>-4.28</v>
      </c>
      <c r="G885" s="79">
        <v>5281</v>
      </c>
      <c r="H885" s="8" t="s">
        <v>1877</v>
      </c>
      <c r="I885" s="16" t="s">
        <v>4253</v>
      </c>
      <c r="J885" s="8" t="str">
        <f>IFERROR(VLOOKUP($G885,今日總結!$A:$AN,39,0),"")</f>
        <v/>
      </c>
      <c r="K885" s="5" t="str">
        <f>IFERROR(VLOOKUP($G885,今日總結!$A:$AN,40,0),"")</f>
        <v/>
      </c>
      <c r="L885" s="156" t="str">
        <f>IFERROR(VLOOKUP($G885,今日總結!$A:$AN,37,0),"")</f>
        <v/>
      </c>
      <c r="M885" s="337" t="str">
        <f>IFERROR(VLOOKUP($G885,今日總結!$A:$AN,38,0),"")</f>
        <v/>
      </c>
      <c r="N885" s="240" t="str">
        <f t="shared" si="164"/>
        <v/>
      </c>
      <c r="O885" s="359">
        <f>IFERROR(VLOOKUP($G885,融外自投!$A:$J,7,0),"無")</f>
        <v>888</v>
      </c>
      <c r="P885" s="79">
        <f>IFERROR(VLOOKUP($G885,融外自投!$A:$J,9,0),"無")</f>
        <v>990</v>
      </c>
      <c r="Q885" s="342">
        <f>IFERROR(VLOOKUP($G885,融外自投!$A:$J,8,0),"無")</f>
        <v>112</v>
      </c>
      <c r="R885" s="81" t="str">
        <f>IFERROR(VLOOKUP($G885,融外自投!$A:$J,10,0),"無")</f>
        <v>無</v>
      </c>
      <c r="S885" s="324" t="str">
        <f>IFERROR(VLOOKUP($G885,'321買'!$A:$E,4,0),"'沒有資料'")</f>
        <v>'沒有資料'</v>
      </c>
      <c r="T885" s="186">
        <f>IFERROR(VLOOKUP($G885,基本資料!$A:$J,9,0),"無")</f>
        <v>0</v>
      </c>
      <c r="U885" s="307" t="e">
        <f t="shared" si="160"/>
        <v>#VALUE!</v>
      </c>
      <c r="V885" s="94">
        <f>IFERROR(VLOOKUP($G885,基本資料!$A:$J,10,0),"無")</f>
        <v>-0.63</v>
      </c>
      <c r="W885" s="36" t="str">
        <f>RTD("money.excel",,"5281","Price")</f>
        <v>無資料</v>
      </c>
      <c r="X885" s="66"/>
      <c r="Y885" s="15" t="e">
        <f t="shared" si="161"/>
        <v>#VALUE!</v>
      </c>
      <c r="Z885" s="3" t="e">
        <f t="shared" si="162"/>
        <v>#VALUE!</v>
      </c>
      <c r="AA885" s="340">
        <f>IFERROR(VLOOKUP($G885,基本資料!$A:$M,11,0),"無")</f>
        <v>-20</v>
      </c>
      <c r="AB885" s="389">
        <f>IFERROR(VLOOKUP($G885,基本資料!$A:$M,12,0),"無")</f>
        <v>23.14</v>
      </c>
      <c r="AC885" s="16" t="s">
        <v>4253</v>
      </c>
      <c r="AF885" s="33">
        <f t="shared" si="163"/>
        <v>0</v>
      </c>
      <c r="AG885" s="43" t="s">
        <v>4146</v>
      </c>
      <c r="AH885" s="66">
        <f t="shared" si="159"/>
        <v>0</v>
      </c>
      <c r="AI885" s="283">
        <f>RTD("money.excel",,$G885,"PredictVolume")</f>
        <v>0</v>
      </c>
      <c r="AJ885" s="391">
        <f>IFERROR(VLOOKUP($G885,基本資料!$A:$M,13,0),"無")</f>
        <v>6.15</v>
      </c>
      <c r="AR885" s="245" t="str">
        <f>INDEX(基本資料!N:N,MATCH($G885,基本資料!A:A,0))</f>
        <v>低</v>
      </c>
    </row>
    <row r="886" spans="1:44">
      <c r="A886" s="343">
        <f>IFERROR(VLOOKUP($G886,基本資料!$A:$J,3,0),"無")</f>
        <v>10.63</v>
      </c>
      <c r="B886" s="79">
        <f>IFERROR(VLOOKUP($G886,基本資料!$A:$J,4,0),"無")</f>
        <v>97</v>
      </c>
      <c r="C886" s="79">
        <f>IFERROR(VLOOKUP($G886,基本資料!$A:$J,5,0),"無")</f>
        <v>55</v>
      </c>
      <c r="D886" s="79">
        <f>IFERROR(VLOOKUP($G886,基本資料!$A:$J,6,0),"無")</f>
        <v>8</v>
      </c>
      <c r="E886" s="79">
        <f>IFERROR(VLOOKUP($G886,基本資料!$A:$J,7,0),"無")</f>
        <v>-7</v>
      </c>
      <c r="F886" s="6">
        <f>IFERROR(VLOOKUP($G886,基本資料!$A:$J,8,0),"無")</f>
        <v>7.08</v>
      </c>
      <c r="G886" s="79">
        <v>5315</v>
      </c>
      <c r="H886" s="8" t="s">
        <v>1877</v>
      </c>
      <c r="I886" s="16" t="s">
        <v>4254</v>
      </c>
      <c r="J886" s="8">
        <f>IFERROR(VLOOKUP($G886,今日總結!$A:$AN,39,0),"")</f>
        <v>0</v>
      </c>
      <c r="K886" s="5" t="str">
        <f>IFERROR(VLOOKUP($G886,今日總結!$A:$AN,40,0),"")</f>
        <v>外</v>
      </c>
      <c r="L886" s="156">
        <f>IFERROR(VLOOKUP($G886,今日總結!$A:$AN,37,0),"")</f>
        <v>0</v>
      </c>
      <c r="M886" s="337">
        <f>IFERROR(VLOOKUP($G886,今日總結!$A:$AN,38,0),"")</f>
        <v>8</v>
      </c>
      <c r="N886" s="240">
        <f t="shared" si="164"/>
        <v>-8</v>
      </c>
      <c r="O886" s="359">
        <f>IFERROR(VLOOKUP($G886,融外自投!$A:$J,7,0),"無")</f>
        <v>578</v>
      </c>
      <c r="P886" s="79">
        <f>IFERROR(VLOOKUP($G886,融外自投!$A:$J,9,0),"無")</f>
        <v>671</v>
      </c>
      <c r="Q886" s="342">
        <f>IFERROR(VLOOKUP($G886,融外自投!$A:$J,8,0),"無")</f>
        <v>755</v>
      </c>
      <c r="R886" s="81" t="str">
        <f>IFERROR(VLOOKUP($G886,融外自投!$A:$J,10,0),"無")</f>
        <v>無</v>
      </c>
      <c r="S886" s="324">
        <f>IFERROR(VLOOKUP($G886,'321買'!$A:$E,4,0),"'沒有資料'")</f>
        <v>1002</v>
      </c>
      <c r="T886" s="186">
        <f>IFERROR(VLOOKUP($G886,基本資料!$A:$J,9,0),"無")</f>
        <v>1.3</v>
      </c>
      <c r="U886" s="307">
        <f t="shared" si="160"/>
        <v>7.5144508670520235E-2</v>
      </c>
      <c r="V886" s="94">
        <f>IFERROR(VLOOKUP($G886,基本資料!$A:$J,10,0),"無")</f>
        <v>1.74</v>
      </c>
      <c r="W886" s="36">
        <f>RTD("money.excel",,"5315","Price")</f>
        <v>17.3</v>
      </c>
      <c r="X886" s="66"/>
      <c r="Y886" s="15">
        <f t="shared" si="161"/>
        <v>17.3</v>
      </c>
      <c r="Z886" s="3" t="e">
        <f t="shared" si="162"/>
        <v>#DIV/0!</v>
      </c>
      <c r="AA886" s="340">
        <f>IFERROR(VLOOKUP($G886,基本資料!$A:$M,11,0),"無")</f>
        <v>-17.809999999999999</v>
      </c>
      <c r="AB886" s="389">
        <f>IFERROR(VLOOKUP($G886,基本資料!$A:$M,12,0),"無")</f>
        <v>31.21</v>
      </c>
      <c r="AC886" s="16" t="s">
        <v>4254</v>
      </c>
      <c r="AF886" s="33">
        <f t="shared" si="163"/>
        <v>0</v>
      </c>
      <c r="AG886" s="117" t="s">
        <v>2276</v>
      </c>
      <c r="AH886" s="66">
        <f t="shared" si="159"/>
        <v>0.54054054054054057</v>
      </c>
      <c r="AI886" s="283">
        <f>RTD("money.excel",,$G886,"PredictVolume")</f>
        <v>110</v>
      </c>
      <c r="AJ886" s="391">
        <f>IFERROR(VLOOKUP($G886,基本資料!$A:$M,13,0),"無")</f>
        <v>203.5</v>
      </c>
      <c r="AR886" s="245" t="str">
        <f>INDEX(基本資料!N:N,MATCH($G886,基本資料!A:A,0))</f>
        <v>中</v>
      </c>
    </row>
    <row r="887" spans="1:44">
      <c r="A887" s="343">
        <f>IFERROR(VLOOKUP($G887,基本資料!$A:$J,3,0),"無")</f>
        <v>39.090000000000003</v>
      </c>
      <c r="B887" s="79">
        <f>IFERROR(VLOOKUP($G887,基本資料!$A:$J,4,0),"無")</f>
        <v>46</v>
      </c>
      <c r="C887" s="79">
        <f>IFERROR(VLOOKUP($G887,基本資料!$A:$J,5,0),"無")</f>
        <v>137</v>
      </c>
      <c r="D887" s="79">
        <f>IFERROR(VLOOKUP($G887,基本資料!$A:$J,6,0),"無")</f>
        <v>-35</v>
      </c>
      <c r="E887" s="79">
        <f>IFERROR(VLOOKUP($G887,基本資料!$A:$J,7,0),"無")</f>
        <v>-19</v>
      </c>
      <c r="F887" s="6">
        <f>IFERROR(VLOOKUP($G887,基本資料!$A:$J,8,0),"無")</f>
        <v>3.3</v>
      </c>
      <c r="G887" s="79">
        <v>5371</v>
      </c>
      <c r="H887" s="8" t="s">
        <v>1877</v>
      </c>
      <c r="I887" s="16" t="s">
        <v>4255</v>
      </c>
      <c r="J887" s="8">
        <f>IFERROR(VLOOKUP($G887,今日總結!$A:$AN,39,0),"")</f>
        <v>0</v>
      </c>
      <c r="K887" s="5" t="str">
        <f>IFERROR(VLOOKUP($G887,今日總結!$A:$AN,40,0),"")</f>
        <v>外</v>
      </c>
      <c r="L887" s="156">
        <f>IFERROR(VLOOKUP($G887,今日總結!$A:$AN,37,0),"")</f>
        <v>0</v>
      </c>
      <c r="M887" s="337">
        <f>IFERROR(VLOOKUP($G887,今日總結!$A:$AN,38,0),"")</f>
        <v>8</v>
      </c>
      <c r="N887" s="240">
        <f t="shared" si="164"/>
        <v>-8</v>
      </c>
      <c r="O887" s="359">
        <f>IFERROR(VLOOKUP($G887,融外自投!$A:$J,7,0),"無")</f>
        <v>957</v>
      </c>
      <c r="P887" s="79">
        <f>IFERROR(VLOOKUP($G887,融外自投!$A:$J,9,0),"無")</f>
        <v>123</v>
      </c>
      <c r="Q887" s="342">
        <f>IFERROR(VLOOKUP($G887,融外自投!$A:$J,8,0),"無")</f>
        <v>227</v>
      </c>
      <c r="R887" s="81" t="str">
        <f>IFERROR(VLOOKUP($G887,融外自投!$A:$J,10,0),"無")</f>
        <v>無</v>
      </c>
      <c r="S887" s="324">
        <f>IFERROR(VLOOKUP($G887,'321買'!$A:$E,4,0),"'沒有資料'")</f>
        <v>440</v>
      </c>
      <c r="T887" s="186">
        <f>IFERROR(VLOOKUP($G887,基本資料!$A:$J,9,0),"無")</f>
        <v>4</v>
      </c>
      <c r="U887" s="307">
        <f t="shared" si="160"/>
        <v>7.130124777183601E-2</v>
      </c>
      <c r="V887" s="94">
        <f>IFERROR(VLOOKUP($G887,基本資料!$A:$J,10,0),"無")</f>
        <v>5.12</v>
      </c>
      <c r="W887" s="36">
        <f>RTD("money.excel",,"5371","Price")</f>
        <v>56.1</v>
      </c>
      <c r="X887" s="66"/>
      <c r="Y887" s="15">
        <f t="shared" si="161"/>
        <v>56.1</v>
      </c>
      <c r="Z887" s="3" t="e">
        <f t="shared" si="162"/>
        <v>#DIV/0!</v>
      </c>
      <c r="AA887" s="340">
        <f>IFERROR(VLOOKUP($G887,基本資料!$A:$M,11,0),"無")</f>
        <v>-41.56</v>
      </c>
      <c r="AB887" s="389">
        <f>IFERROR(VLOOKUP($G887,基本資料!$A:$M,12,0),"無")</f>
        <v>10.06</v>
      </c>
      <c r="AC887" s="16" t="s">
        <v>4255</v>
      </c>
      <c r="AF887" s="33">
        <f t="shared" si="163"/>
        <v>0</v>
      </c>
      <c r="AG887" s="117" t="s">
        <v>4194</v>
      </c>
      <c r="AH887" s="66">
        <f t="shared" si="159"/>
        <v>1.140108019788499</v>
      </c>
      <c r="AI887" s="283">
        <f>RTD("money.excel",,$G887,"PredictVolume")</f>
        <v>1256</v>
      </c>
      <c r="AJ887" s="391">
        <f>IFERROR(VLOOKUP($G887,基本資料!$A:$M,13,0),"無")</f>
        <v>1101.6500000000001</v>
      </c>
      <c r="AR887" s="245" t="str">
        <f>INDEX(基本資料!N:N,MATCH($G887,基本資料!A:A,0))</f>
        <v>低</v>
      </c>
    </row>
    <row r="888" spans="1:44">
      <c r="A888" s="343">
        <f>IFERROR(VLOOKUP($G888,基本資料!$A:$J,3,0),"無")</f>
        <v>16.989999999999998</v>
      </c>
      <c r="B888" s="79">
        <f>IFERROR(VLOOKUP($G888,基本資料!$A:$J,4,0),"無")</f>
        <v>375</v>
      </c>
      <c r="C888" s="79">
        <f>IFERROR(VLOOKUP($G888,基本資料!$A:$J,5,0),"無")</f>
        <v>119</v>
      </c>
      <c r="D888" s="79">
        <f>IFERROR(VLOOKUP($G888,基本資料!$A:$J,6,0),"無")</f>
        <v>-13</v>
      </c>
      <c r="E888" s="79">
        <f>IFERROR(VLOOKUP($G888,基本資料!$A:$J,7,0),"無")</f>
        <v>-11</v>
      </c>
      <c r="F888" s="6">
        <f>IFERROR(VLOOKUP($G888,基本資料!$A:$J,8,0),"無")</f>
        <v>2.19</v>
      </c>
      <c r="G888" s="79">
        <v>5392</v>
      </c>
      <c r="H888" s="8" t="s">
        <v>1877</v>
      </c>
      <c r="I888" s="16" t="s">
        <v>4256</v>
      </c>
      <c r="J888" s="8">
        <f>IFERROR(VLOOKUP($G888,今日總結!$A:$AN,39,0),"")</f>
        <v>0</v>
      </c>
      <c r="K888" s="5" t="str">
        <f>IFERROR(VLOOKUP($G888,今日總結!$A:$AN,40,0),"")</f>
        <v>主</v>
      </c>
      <c r="L888" s="156">
        <f>IFERROR(VLOOKUP($G888,今日總結!$A:$AN,37,0),"")</f>
        <v>0</v>
      </c>
      <c r="M888" s="337">
        <f>IFERROR(VLOOKUP($G888,今日總結!$A:$AN,38,0),"")</f>
        <v>6</v>
      </c>
      <c r="N888" s="240">
        <f t="shared" si="164"/>
        <v>-6</v>
      </c>
      <c r="O888" s="359">
        <f>IFERROR(VLOOKUP($G888,融外自投!$A:$J,7,0),"無")</f>
        <v>582</v>
      </c>
      <c r="P888" s="79">
        <f>IFERROR(VLOOKUP($G888,融外自投!$A:$J,9,0),"無")</f>
        <v>298</v>
      </c>
      <c r="Q888" s="342">
        <f>IFERROR(VLOOKUP($G888,融外自投!$A:$J,8,0),"無")</f>
        <v>848</v>
      </c>
      <c r="R888" s="81" t="str">
        <f>IFERROR(VLOOKUP($G888,融外自投!$A:$J,10,0),"無")</f>
        <v>無</v>
      </c>
      <c r="S888" s="324">
        <f>IFERROR(VLOOKUP($G888,'321買'!$A:$E,4,0),"'沒有資料'")</f>
        <v>743</v>
      </c>
      <c r="T888" s="186">
        <f>IFERROR(VLOOKUP($G888,基本資料!$A:$J,9,0),"無")</f>
        <v>0.3</v>
      </c>
      <c r="U888" s="307">
        <f t="shared" si="160"/>
        <v>1.5075376884422112E-2</v>
      </c>
      <c r="V888" s="94">
        <f>IFERROR(VLOOKUP($G888,基本資料!$A:$J,10,0),"無")</f>
        <v>0.35</v>
      </c>
      <c r="W888" s="36">
        <f>RTD("money.excel",,"5392","Price")</f>
        <v>19.899999999999999</v>
      </c>
      <c r="X888" s="66"/>
      <c r="Y888" s="15">
        <f t="shared" si="161"/>
        <v>19.899999999999999</v>
      </c>
      <c r="Z888" s="3" t="e">
        <f t="shared" si="162"/>
        <v>#DIV/0!</v>
      </c>
      <c r="AA888" s="340">
        <f>IFERROR(VLOOKUP($G888,基本資料!$A:$M,11,0),"無")</f>
        <v>-34.86</v>
      </c>
      <c r="AB888" s="389">
        <f>IFERROR(VLOOKUP($G888,基本資料!$A:$M,12,0),"無")</f>
        <v>6.4</v>
      </c>
      <c r="AC888" s="16" t="s">
        <v>4256</v>
      </c>
      <c r="AF888" s="33">
        <f t="shared" si="163"/>
        <v>0</v>
      </c>
      <c r="AG888" s="119" t="s">
        <v>4257</v>
      </c>
      <c r="AH888" s="66">
        <f t="shared" si="159"/>
        <v>0.63346228239845259</v>
      </c>
      <c r="AI888" s="283">
        <f>RTD("money.excel",,$G888,"PredictVolume")</f>
        <v>131</v>
      </c>
      <c r="AJ888" s="391">
        <f>IFERROR(VLOOKUP($G888,基本資料!$A:$M,13,0),"無")</f>
        <v>206.8</v>
      </c>
      <c r="AR888" s="245" t="str">
        <f>INDEX(基本資料!N:N,MATCH($G888,基本資料!A:A,0))</f>
        <v>低</v>
      </c>
    </row>
    <row r="889" spans="1:44">
      <c r="A889" s="343">
        <f>IFERROR(VLOOKUP($G889,基本資料!$A:$J,3,0),"無")</f>
        <v>2.06</v>
      </c>
      <c r="B889" s="79">
        <f>IFERROR(VLOOKUP($G889,基本資料!$A:$J,4,0),"無")</f>
        <v>215</v>
      </c>
      <c r="C889" s="79">
        <f>IFERROR(VLOOKUP($G889,基本資料!$A:$J,5,0),"無")</f>
        <v>1300</v>
      </c>
      <c r="D889" s="79">
        <f>IFERROR(VLOOKUP($G889,基本資料!$A:$J,6,0),"無")</f>
        <v>25</v>
      </c>
      <c r="E889" s="79">
        <f>IFERROR(VLOOKUP($G889,基本資料!$A:$J,7,0),"無")</f>
        <v>560</v>
      </c>
      <c r="F889" s="6">
        <f>IFERROR(VLOOKUP($G889,基本資料!$A:$J,8,0),"無")</f>
        <v>7.23</v>
      </c>
      <c r="G889" s="79">
        <v>5432</v>
      </c>
      <c r="H889" s="8" t="s">
        <v>1877</v>
      </c>
      <c r="I889" s="16" t="s">
        <v>4258</v>
      </c>
      <c r="J889" s="8">
        <f>IFERROR(VLOOKUP($G889,今日總結!$A:$AN,39,0),"")</f>
        <v>0</v>
      </c>
      <c r="K889" s="5">
        <f>IFERROR(VLOOKUP($G889,今日總結!$A:$AN,40,0),"")</f>
        <v>0</v>
      </c>
      <c r="L889" s="156">
        <f>IFERROR(VLOOKUP($G889,今日總結!$A:$AN,37,0),"")</f>
        <v>0</v>
      </c>
      <c r="M889" s="337">
        <f>IFERROR(VLOOKUP($G889,今日總結!$A:$AN,38,0),"")</f>
        <v>0</v>
      </c>
      <c r="N889" s="240">
        <f t="shared" si="164"/>
        <v>0</v>
      </c>
      <c r="O889" s="359">
        <f>IFERROR(VLOOKUP($G889,融外自投!$A:$J,7,0),"無")</f>
        <v>203</v>
      </c>
      <c r="P889" s="79" t="str">
        <f>IFERROR(VLOOKUP($G889,融外自投!$A:$J,9,0),"無")</f>
        <v>無</v>
      </c>
      <c r="Q889" s="342">
        <f>IFERROR(VLOOKUP($G889,融外自投!$A:$J,8,0),"無")</f>
        <v>1454</v>
      </c>
      <c r="R889" s="81" t="str">
        <f>IFERROR(VLOOKUP($G889,融外自投!$A:$J,10,0),"無")</f>
        <v>無</v>
      </c>
      <c r="S889" s="324">
        <f>IFERROR(VLOOKUP($G889,'321買'!$A:$E,4,0),"'沒有資料'")</f>
        <v>1002</v>
      </c>
      <c r="T889" s="186">
        <f>IFERROR(VLOOKUP($G889,基本資料!$A:$J,9,0),"無")</f>
        <v>0</v>
      </c>
      <c r="U889" s="307">
        <f t="shared" si="160"/>
        <v>0</v>
      </c>
      <c r="V889" s="94">
        <f>IFERROR(VLOOKUP($G889,基本資料!$A:$J,10,0),"無")</f>
        <v>0.32</v>
      </c>
      <c r="W889" s="36">
        <f>RTD("money.excel",,"5432","Price")</f>
        <v>38.450000000000003</v>
      </c>
      <c r="X889" s="66"/>
      <c r="Y889" s="15">
        <f t="shared" si="161"/>
        <v>38.450000000000003</v>
      </c>
      <c r="Z889" s="3" t="e">
        <f t="shared" si="162"/>
        <v>#DIV/0!</v>
      </c>
      <c r="AA889" s="340">
        <f>IFERROR(VLOOKUP($G889,基本資料!$A:$M,11,0),"無")</f>
        <v>-10.58</v>
      </c>
      <c r="AB889" s="389">
        <f>IFERROR(VLOOKUP($G889,基本資料!$A:$M,12,0),"無")</f>
        <v>41.36</v>
      </c>
      <c r="AC889" s="16" t="s">
        <v>4258</v>
      </c>
      <c r="AF889" s="33">
        <f t="shared" si="163"/>
        <v>0</v>
      </c>
      <c r="AG889" s="43" t="s">
        <v>2276</v>
      </c>
      <c r="AH889" s="66">
        <f t="shared" si="159"/>
        <v>1.9540229885057472</v>
      </c>
      <c r="AI889" s="283">
        <f>RTD("money.excel",,$G889,"PredictVolume")</f>
        <v>17</v>
      </c>
      <c r="AJ889" s="391">
        <f>IFERROR(VLOOKUP($G889,基本資料!$A:$M,13,0),"無")</f>
        <v>8.6999999999999993</v>
      </c>
      <c r="AR889" s="245" t="str">
        <f>INDEX(基本資料!N:N,MATCH($G889,基本資料!A:A,0))</f>
        <v>高</v>
      </c>
    </row>
    <row r="890" spans="1:44">
      <c r="A890" s="343">
        <f>IFERROR(VLOOKUP($G890,基本資料!$A:$J,3,0),"無")</f>
        <v>16.510000000000002</v>
      </c>
      <c r="B890" s="79">
        <f>IFERROR(VLOOKUP($G890,基本資料!$A:$J,4,0),"無")</f>
        <v>100</v>
      </c>
      <c r="C890" s="79">
        <f>IFERROR(VLOOKUP($G890,基本資料!$A:$J,5,0),"無")</f>
        <v>308</v>
      </c>
      <c r="D890" s="79">
        <f>IFERROR(VLOOKUP($G890,基本資料!$A:$J,6,0),"無")</f>
        <v>-29</v>
      </c>
      <c r="E890" s="79">
        <f>IFERROR(VLOOKUP($G890,基本資料!$A:$J,7,0),"無")</f>
        <v>-27</v>
      </c>
      <c r="F890" s="6">
        <f>IFERROR(VLOOKUP($G890,基本資料!$A:$J,8,0),"無")</f>
        <v>6.59</v>
      </c>
      <c r="G890" s="79">
        <v>5443</v>
      </c>
      <c r="H890" s="8" t="s">
        <v>1877</v>
      </c>
      <c r="I890" s="16" t="s">
        <v>4259</v>
      </c>
      <c r="J890" s="8">
        <f>IFERROR(VLOOKUP($G890,今日總結!$A:$AN,39,0),"")</f>
        <v>0</v>
      </c>
      <c r="K890" s="5">
        <f>IFERROR(VLOOKUP($G890,今日總結!$A:$AN,40,0),"")</f>
        <v>0</v>
      </c>
      <c r="L890" s="156">
        <f>IFERROR(VLOOKUP($G890,今日總結!$A:$AN,37,0),"")</f>
        <v>0</v>
      </c>
      <c r="M890" s="337">
        <f>IFERROR(VLOOKUP($G890,今日總結!$A:$AN,38,0),"")</f>
        <v>0</v>
      </c>
      <c r="N890" s="240">
        <f t="shared" si="164"/>
        <v>0</v>
      </c>
      <c r="O890" s="359">
        <f>IFERROR(VLOOKUP($G890,融外自投!$A:$J,7,0),"無")</f>
        <v>408</v>
      </c>
      <c r="P890" s="79">
        <f>IFERROR(VLOOKUP($G890,融外自投!$A:$J,9,0),"無")</f>
        <v>671</v>
      </c>
      <c r="Q890" s="342">
        <f>IFERROR(VLOOKUP($G890,融外自投!$A:$J,8,0),"無")</f>
        <v>968</v>
      </c>
      <c r="R890" s="81" t="str">
        <f>IFERROR(VLOOKUP($G890,融外自投!$A:$J,10,0),"無")</f>
        <v>無</v>
      </c>
      <c r="S890" s="324">
        <f>IFERROR(VLOOKUP($G890,'321買'!$A:$E,4,0),"'沒有資料'")</f>
        <v>801</v>
      </c>
      <c r="T890" s="186">
        <f>IFERROR(VLOOKUP($G890,基本資料!$A:$J,9,0),"無")</f>
        <v>1.5</v>
      </c>
      <c r="U890" s="307">
        <f t="shared" si="160"/>
        <v>5.434782608695652E-2</v>
      </c>
      <c r="V890" s="94">
        <f>IFERROR(VLOOKUP($G890,基本資料!$A:$J,10,0),"無")</f>
        <v>1.54</v>
      </c>
      <c r="W890" s="36">
        <f>RTD("money.excel",,"5443","Price")</f>
        <v>27.6</v>
      </c>
      <c r="X890" s="66"/>
      <c r="Y890" s="15">
        <f t="shared" si="161"/>
        <v>27.6</v>
      </c>
      <c r="Z890" s="3" t="e">
        <f t="shared" si="162"/>
        <v>#DIV/0!</v>
      </c>
      <c r="AA890" s="340">
        <f>IFERROR(VLOOKUP($G890,基本資料!$A:$M,11,0),"無")</f>
        <v>-43.56</v>
      </c>
      <c r="AB890" s="389">
        <f>IFERROR(VLOOKUP($G890,基本資料!$A:$M,12,0),"無")</f>
        <v>15.23</v>
      </c>
      <c r="AC890" s="16" t="s">
        <v>4259</v>
      </c>
      <c r="AF890" s="33">
        <f t="shared" si="163"/>
        <v>0</v>
      </c>
      <c r="AG890" s="43" t="s">
        <v>2308</v>
      </c>
      <c r="AH890" s="66">
        <f t="shared" si="159"/>
        <v>0.78529136802742294</v>
      </c>
      <c r="AI890" s="283">
        <f>RTD("money.excel",,$G890,"PredictVolume")</f>
        <v>126</v>
      </c>
      <c r="AJ890" s="391">
        <f>IFERROR(VLOOKUP($G890,基本資料!$A:$M,13,0),"無")</f>
        <v>160.44999999999999</v>
      </c>
      <c r="AR890" s="245" t="str">
        <f>INDEX(基本資料!N:N,MATCH($G890,基本資料!A:A,0))</f>
        <v>低</v>
      </c>
    </row>
    <row r="891" spans="1:44">
      <c r="A891" s="343">
        <f>IFERROR(VLOOKUP($G891,基本資料!$A:$J,3,0),"無")</f>
        <v>6.68</v>
      </c>
      <c r="B891" s="79">
        <f>IFERROR(VLOOKUP($G891,基本資料!$A:$J,4,0),"無")</f>
        <v>30</v>
      </c>
      <c r="C891" s="79">
        <f>IFERROR(VLOOKUP($G891,基本資料!$A:$J,5,0),"無")</f>
        <v>56</v>
      </c>
      <c r="D891" s="79">
        <f>IFERROR(VLOOKUP($G891,基本資料!$A:$J,6,0),"無")</f>
        <v>-4</v>
      </c>
      <c r="E891" s="79">
        <f>IFERROR(VLOOKUP($G891,基本資料!$A:$J,7,0),"無")</f>
        <v>-60</v>
      </c>
      <c r="F891" s="6">
        <f>IFERROR(VLOOKUP($G891,基本資料!$A:$J,8,0),"無")</f>
        <v>-8</v>
      </c>
      <c r="G891" s="79">
        <v>5484</v>
      </c>
      <c r="H891" s="8" t="s">
        <v>306</v>
      </c>
      <c r="I891" s="22" t="s">
        <v>4260</v>
      </c>
      <c r="J891" s="8" t="str">
        <f>IFERROR(VLOOKUP($G891,今日總結!$A:$AN,39,0),"")</f>
        <v/>
      </c>
      <c r="K891" s="5" t="str">
        <f>IFERROR(VLOOKUP($G891,今日總結!$A:$AN,40,0),"")</f>
        <v/>
      </c>
      <c r="L891" s="156" t="str">
        <f>IFERROR(VLOOKUP($G891,今日總結!$A:$AN,37,0),"")</f>
        <v/>
      </c>
      <c r="M891" s="337" t="str">
        <f>IFERROR(VLOOKUP($G891,今日總結!$A:$AN,38,0),"")</f>
        <v/>
      </c>
      <c r="N891" s="240" t="str">
        <f t="shared" si="164"/>
        <v/>
      </c>
      <c r="O891" s="359" t="str">
        <f>IFERROR(VLOOKUP($G891,融外自投!$A:$J,7,0),"無")</f>
        <v>無</v>
      </c>
      <c r="P891" s="79" t="str">
        <f>IFERROR(VLOOKUP($G891,融外自投!$A:$J,9,0),"無")</f>
        <v>無</v>
      </c>
      <c r="Q891" s="342" t="str">
        <f>IFERROR(VLOOKUP($G891,融外自投!$A:$J,8,0),"無")</f>
        <v>無</v>
      </c>
      <c r="R891" s="81" t="str">
        <f>IFERROR(VLOOKUP($G891,融外自投!$A:$J,10,0),"無")</f>
        <v>無</v>
      </c>
      <c r="S891" s="324" t="str">
        <f>IFERROR(VLOOKUP($G891,'321買'!$A:$E,4,0),"'沒有資料'")</f>
        <v>'沒有資料'</v>
      </c>
      <c r="T891" s="186">
        <f>IFERROR(VLOOKUP($G891,基本資料!$A:$J,9,0),"無")</f>
        <v>0</v>
      </c>
      <c r="U891" s="307">
        <f t="shared" si="160"/>
        <v>0</v>
      </c>
      <c r="V891" s="94">
        <f>IFERROR(VLOOKUP($G891,基本資料!$A:$J,10,0),"無")</f>
        <v>-0.63</v>
      </c>
      <c r="W891" s="36">
        <f>RTD("money.excel",,"5484","Price")</f>
        <v>11.6</v>
      </c>
      <c r="X891" s="66"/>
      <c r="Y891" s="15">
        <f t="shared" si="161"/>
        <v>11.6</v>
      </c>
      <c r="Z891" s="3" t="e">
        <f t="shared" si="162"/>
        <v>#DIV/0!</v>
      </c>
      <c r="AA891" s="340">
        <f>IFERROR(VLOOKUP($G891,基本資料!$A:$M,11,0),"無")</f>
        <v>-39.9</v>
      </c>
      <c r="AB891" s="389">
        <f>IFERROR(VLOOKUP($G891,基本資料!$A:$M,12,0),"無")</f>
        <v>7.58</v>
      </c>
      <c r="AC891" s="22" t="s">
        <v>4260</v>
      </c>
      <c r="AF891" s="33">
        <f t="shared" si="163"/>
        <v>0</v>
      </c>
      <c r="AG891" s="43" t="s">
        <v>4261</v>
      </c>
      <c r="AH891" s="66">
        <f t="shared" si="159"/>
        <v>0.21252796420581654</v>
      </c>
      <c r="AI891" s="283">
        <f>RTD("money.excel",,$G891,"PredictVolume")</f>
        <v>19</v>
      </c>
      <c r="AJ891" s="391">
        <f>IFERROR(VLOOKUP($G891,基本資料!$A:$M,13,0),"無")</f>
        <v>89.4</v>
      </c>
      <c r="AR891" s="245" t="str">
        <f>INDEX(基本資料!N:N,MATCH($G891,基本資料!A:A,0))</f>
        <v>低</v>
      </c>
    </row>
    <row r="892" spans="1:44">
      <c r="A892" s="343">
        <f>IFERROR(VLOOKUP($G892,基本資料!$A:$J,3,0),"無")</f>
        <v>302</v>
      </c>
      <c r="B892" s="79">
        <f>IFERROR(VLOOKUP($G892,基本資料!$A:$J,4,0),"無")</f>
        <v>116</v>
      </c>
      <c r="C892" s="79">
        <f>IFERROR(VLOOKUP($G892,基本資料!$A:$J,5,0),"無")</f>
        <v>153</v>
      </c>
      <c r="D892" s="79">
        <f>IFERROR(VLOOKUP($G892,基本資料!$A:$J,6,0),"無")</f>
        <v>-20</v>
      </c>
      <c r="E892" s="79">
        <f>IFERROR(VLOOKUP($G892,基本資料!$A:$J,7,0),"無")</f>
        <v>-49</v>
      </c>
      <c r="F892" s="6">
        <f>IFERROR(VLOOKUP($G892,基本資料!$A:$J,8,0),"無")</f>
        <v>25.11</v>
      </c>
      <c r="G892" s="79">
        <v>6116</v>
      </c>
      <c r="H892" s="192" t="s">
        <v>1877</v>
      </c>
      <c r="I892" s="22" t="s">
        <v>4262</v>
      </c>
      <c r="J892" s="8">
        <f>IFERROR(VLOOKUP($G892,今日總結!$A:$AN,39,0),"")</f>
        <v>0</v>
      </c>
      <c r="K892" s="5">
        <f>IFERROR(VLOOKUP($G892,今日總結!$A:$AN,40,0),"")</f>
        <v>0</v>
      </c>
      <c r="L892" s="156">
        <f>IFERROR(VLOOKUP($G892,今日總結!$A:$AN,37,0),"")</f>
        <v>0</v>
      </c>
      <c r="M892" s="337">
        <f>IFERROR(VLOOKUP($G892,今日總結!$A:$AN,38,0),"")</f>
        <v>0</v>
      </c>
      <c r="N892" s="240">
        <f t="shared" si="164"/>
        <v>0</v>
      </c>
      <c r="O892" s="359">
        <f>IFERROR(VLOOKUP($G892,融外自投!$A:$J,7,0),"無")</f>
        <v>556</v>
      </c>
      <c r="P892" s="79">
        <f>IFERROR(VLOOKUP($G892,融外自投!$A:$J,9,0),"無")</f>
        <v>61</v>
      </c>
      <c r="Q892" s="342">
        <f>IFERROR(VLOOKUP($G892,融外自投!$A:$J,8,0),"無")</f>
        <v>618</v>
      </c>
      <c r="R892" s="81">
        <f>IFERROR(VLOOKUP($G892,融外自投!$A:$J,10,0),"無")</f>
        <v>459</v>
      </c>
      <c r="S892" s="324">
        <f>IFERROR(VLOOKUP($G892,'321買'!$A:$E,4,0),"'沒有資料'")</f>
        <v>394</v>
      </c>
      <c r="T892" s="186">
        <f>IFERROR(VLOOKUP($G892,基本資料!$A:$J,9,0),"無")</f>
        <v>1</v>
      </c>
      <c r="U892" s="307">
        <f t="shared" si="160"/>
        <v>8.0321285140562249E-2</v>
      </c>
      <c r="V892" s="94">
        <f>IFERROR(VLOOKUP($G892,基本資料!$A:$J,10,0),"無")</f>
        <v>2.75</v>
      </c>
      <c r="W892" s="36">
        <f>RTD("money.excel",,"6116","Price")</f>
        <v>12.45</v>
      </c>
      <c r="X892" s="66"/>
      <c r="Y892" s="15">
        <f t="shared" si="161"/>
        <v>12.45</v>
      </c>
      <c r="Z892" s="3" t="e">
        <f t="shared" si="162"/>
        <v>#DIV/0!</v>
      </c>
      <c r="AA892" s="340">
        <f>IFERROR(VLOOKUP($G892,基本資料!$A:$M,11,0),"無")</f>
        <v>-48.23</v>
      </c>
      <c r="AB892" s="389">
        <f>IFERROR(VLOOKUP($G892,基本資料!$A:$M,12,0),"無")</f>
        <v>9.27</v>
      </c>
      <c r="AC892" s="22" t="s">
        <v>4262</v>
      </c>
      <c r="AF892" s="33">
        <f t="shared" si="163"/>
        <v>0</v>
      </c>
      <c r="AG892" s="117" t="s">
        <v>4263</v>
      </c>
      <c r="AH892" s="66">
        <f t="shared" si="159"/>
        <v>0.64960114299321348</v>
      </c>
      <c r="AI892" s="283">
        <f>RTD("money.excel",,$G892,"PredictVolume")</f>
        <v>9548</v>
      </c>
      <c r="AJ892" s="391">
        <f>IFERROR(VLOOKUP($G892,基本資料!$A:$M,13,0),"無")</f>
        <v>14698.25</v>
      </c>
      <c r="AR892" s="245" t="str">
        <f>INDEX(基本資料!N:N,MATCH($G892,基本資料!A:A,0))</f>
        <v>低</v>
      </c>
    </row>
    <row r="893" spans="1:44">
      <c r="A893" s="343">
        <f>IFERROR(VLOOKUP($G893,基本資料!$A:$J,3,0),"無")</f>
        <v>66.55</v>
      </c>
      <c r="B893" s="79">
        <f>IFERROR(VLOOKUP($G893,基本資料!$A:$J,4,0),"無")</f>
        <v>47</v>
      </c>
      <c r="C893" s="79">
        <f>IFERROR(VLOOKUP($G893,基本資料!$A:$J,5,0),"無")</f>
        <v>19</v>
      </c>
      <c r="D893" s="79">
        <f>IFERROR(VLOOKUP($G893,基本資料!$A:$J,6,0),"無")</f>
        <v>-13</v>
      </c>
      <c r="E893" s="79">
        <f>IFERROR(VLOOKUP($G893,基本資料!$A:$J,7,0),"無")</f>
        <v>-11</v>
      </c>
      <c r="F893" s="6">
        <f>IFERROR(VLOOKUP($G893,基本資料!$A:$J,8,0),"無")</f>
        <v>-6.29</v>
      </c>
      <c r="G893" s="79">
        <v>6120</v>
      </c>
      <c r="H893" s="8" t="s">
        <v>1877</v>
      </c>
      <c r="I893" s="22" t="s">
        <v>4264</v>
      </c>
      <c r="J893" s="8">
        <f>IFERROR(VLOOKUP($G893,今日總結!$A:$AN,39,0),"")</f>
        <v>0</v>
      </c>
      <c r="K893" s="5" t="str">
        <f>IFERROR(VLOOKUP($G893,今日總結!$A:$AN,40,0),"")</f>
        <v>借</v>
      </c>
      <c r="L893" s="156">
        <f>IFERROR(VLOOKUP($G893,今日總結!$A:$AN,37,0),"")</f>
        <v>0</v>
      </c>
      <c r="M893" s="337">
        <f>IFERROR(VLOOKUP($G893,今日總結!$A:$AN,38,0),"")</f>
        <v>7</v>
      </c>
      <c r="N893" s="240">
        <f t="shared" si="164"/>
        <v>-7</v>
      </c>
      <c r="O893" s="359">
        <f>IFERROR(VLOOKUP($G893,融外自投!$A:$J,7,0),"無")</f>
        <v>759</v>
      </c>
      <c r="P893" s="79">
        <f>IFERROR(VLOOKUP($G893,融外自投!$A:$J,9,0),"無")</f>
        <v>869</v>
      </c>
      <c r="Q893" s="342">
        <f>IFERROR(VLOOKUP($G893,融外自投!$A:$J,8,0),"無")</f>
        <v>658</v>
      </c>
      <c r="R893" s="81" t="str">
        <f>IFERROR(VLOOKUP($G893,融外自投!$A:$J,10,0),"無")</f>
        <v>無</v>
      </c>
      <c r="S893" s="324">
        <f>IFERROR(VLOOKUP($G893,'321買'!$A:$E,4,0),"'沒有資料'")</f>
        <v>743</v>
      </c>
      <c r="T893" s="186">
        <f>IFERROR(VLOOKUP($G893,基本資料!$A:$J,9,0),"無")</f>
        <v>0</v>
      </c>
      <c r="U893" s="307">
        <f t="shared" si="160"/>
        <v>0</v>
      </c>
      <c r="V893" s="94">
        <f>IFERROR(VLOOKUP($G893,基本資料!$A:$J,10,0),"無")</f>
        <v>-0.98</v>
      </c>
      <c r="W893" s="36">
        <f>RTD("money.excel",,"6120","Price")</f>
        <v>10.35</v>
      </c>
      <c r="X893" s="66"/>
      <c r="Y893" s="15">
        <f t="shared" si="161"/>
        <v>10.35</v>
      </c>
      <c r="Z893" s="3" t="e">
        <f t="shared" si="162"/>
        <v>#DIV/0!</v>
      </c>
      <c r="AA893" s="340">
        <f>IFERROR(VLOOKUP($G893,基本資料!$A:$M,11,0),"無")</f>
        <v>-38.020000000000003</v>
      </c>
      <c r="AB893" s="389">
        <f>IFERROR(VLOOKUP($G893,基本資料!$A:$M,12,0),"無")</f>
        <v>11.46</v>
      </c>
      <c r="AC893" s="22" t="s">
        <v>4264</v>
      </c>
      <c r="AF893" s="33">
        <f t="shared" si="163"/>
        <v>0</v>
      </c>
      <c r="AG893" s="43" t="s">
        <v>4265</v>
      </c>
      <c r="AH893" s="66">
        <f t="shared" si="159"/>
        <v>0.70716103735296143</v>
      </c>
      <c r="AI893" s="283">
        <f>RTD("money.excel",,$G893,"PredictVolume")</f>
        <v>1028</v>
      </c>
      <c r="AJ893" s="391">
        <f>IFERROR(VLOOKUP($G893,基本資料!$A:$M,13,0),"無")</f>
        <v>1453.7</v>
      </c>
      <c r="AR893" s="245" t="str">
        <f>INDEX(基本資料!N:N,MATCH($G893,基本資料!A:A,0))</f>
        <v>低</v>
      </c>
    </row>
    <row r="894" spans="1:44">
      <c r="A894" s="343">
        <f>IFERROR(VLOOKUP($G894,基本資料!$A:$J,3,0),"無")</f>
        <v>24.9</v>
      </c>
      <c r="B894" s="79">
        <f>IFERROR(VLOOKUP($G894,基本資料!$A:$J,4,0),"無")</f>
        <v>-858</v>
      </c>
      <c r="C894" s="79">
        <f>IFERROR(VLOOKUP($G894,基本資料!$A:$J,5,0),"無")</f>
        <v>-375</v>
      </c>
      <c r="D894" s="79">
        <f>IFERROR(VLOOKUP($G894,基本資料!$A:$J,6,0),"無")</f>
        <v>3</v>
      </c>
      <c r="E894" s="79">
        <f>IFERROR(VLOOKUP($G894,基本資料!$A:$J,7,0),"無")</f>
        <v>8</v>
      </c>
      <c r="F894" s="6">
        <f>IFERROR(VLOOKUP($G894,基本資料!$A:$J,8,0),"無")</f>
        <v>-18.04</v>
      </c>
      <c r="G894" s="79">
        <v>6125</v>
      </c>
      <c r="H894" s="8" t="s">
        <v>1877</v>
      </c>
      <c r="I894" s="16" t="s">
        <v>4266</v>
      </c>
      <c r="J894" s="8" t="str">
        <f>IFERROR(VLOOKUP($G894,今日總結!$A:$AN,39,0),"")</f>
        <v>主</v>
      </c>
      <c r="K894" s="5" t="str">
        <f>IFERROR(VLOOKUP($G894,今日總結!$A:$AN,40,0),"")</f>
        <v>融</v>
      </c>
      <c r="L894" s="156">
        <f>IFERROR(VLOOKUP($G894,今日總結!$A:$AN,37,0),"")</f>
        <v>1</v>
      </c>
      <c r="M894" s="337">
        <f>IFERROR(VLOOKUP($G894,今日總結!$A:$AN,38,0),"")</f>
        <v>3</v>
      </c>
      <c r="N894" s="240">
        <f t="shared" si="164"/>
        <v>-2</v>
      </c>
      <c r="O894" s="359">
        <f>IFERROR(VLOOKUP($G894,融外自投!$A:$J,7,0),"無")</f>
        <v>388</v>
      </c>
      <c r="P894" s="79">
        <f>IFERROR(VLOOKUP($G894,融外自投!$A:$J,9,0),"無")</f>
        <v>515</v>
      </c>
      <c r="Q894" s="342">
        <f>IFERROR(VLOOKUP($G894,融外自投!$A:$J,8,0),"無")</f>
        <v>1075</v>
      </c>
      <c r="R894" s="81">
        <f>IFERROR(VLOOKUP($G894,融外自投!$A:$J,10,0),"無")</f>
        <v>495</v>
      </c>
      <c r="S894" s="324">
        <f>IFERROR(VLOOKUP($G894,'321買'!$A:$E,4,0),"'沒有資料'")</f>
        <v>321</v>
      </c>
      <c r="T894" s="186">
        <f>IFERROR(VLOOKUP($G894,基本資料!$A:$J,9,0),"無")</f>
        <v>1.6</v>
      </c>
      <c r="U894" s="307">
        <f t="shared" si="160"/>
        <v>6.9414316702819959E-2</v>
      </c>
      <c r="V894" s="94">
        <f>IFERROR(VLOOKUP($G894,基本資料!$A:$J,10,0),"無")</f>
        <v>-1.1399999999999999</v>
      </c>
      <c r="W894" s="36">
        <f>RTD("money.excel",,"6125","Price")</f>
        <v>23.05</v>
      </c>
      <c r="X894" s="66"/>
      <c r="Y894" s="15">
        <f t="shared" si="161"/>
        <v>23.05</v>
      </c>
      <c r="Z894" s="3" t="e">
        <f t="shared" si="162"/>
        <v>#DIV/0!</v>
      </c>
      <c r="AA894" s="340">
        <f>IFERROR(VLOOKUP($G894,基本資料!$A:$M,11,0),"無")</f>
        <v>-25.65</v>
      </c>
      <c r="AB894" s="389">
        <f>IFERROR(VLOOKUP($G894,基本資料!$A:$M,12,0),"無")</f>
        <v>23.29</v>
      </c>
      <c r="AC894" s="16" t="s">
        <v>4266</v>
      </c>
      <c r="AF894" s="33">
        <f t="shared" si="163"/>
        <v>0</v>
      </c>
      <c r="AG894" s="43" t="s">
        <v>1436</v>
      </c>
      <c r="AH894" s="66">
        <f t="shared" si="159"/>
        <v>0.58463251670378624</v>
      </c>
      <c r="AI894" s="283">
        <f>RTD("money.excel",,$G894,"PredictVolume")</f>
        <v>420</v>
      </c>
      <c r="AJ894" s="391">
        <f>IFERROR(VLOOKUP($G894,基本資料!$A:$M,13,0),"無")</f>
        <v>718.4</v>
      </c>
      <c r="AR894" s="245" t="str">
        <f>INDEX(基本資料!N:N,MATCH($G894,基本資料!A:A,0))</f>
        <v>低</v>
      </c>
    </row>
    <row r="895" spans="1:44">
      <c r="A895" s="343">
        <f>IFERROR(VLOOKUP($G895,基本資料!$A:$J,3,0),"無")</f>
        <v>10</v>
      </c>
      <c r="B895" s="79">
        <f>IFERROR(VLOOKUP($G895,基本資料!$A:$J,4,0),"無")</f>
        <v>148</v>
      </c>
      <c r="C895" s="79">
        <f>IFERROR(VLOOKUP($G895,基本資料!$A:$J,5,0),"無")</f>
        <v>123</v>
      </c>
      <c r="D895" s="79">
        <f>IFERROR(VLOOKUP($G895,基本資料!$A:$J,6,0),"無")</f>
        <v>8</v>
      </c>
      <c r="E895" s="79">
        <f>IFERROR(VLOOKUP($G895,基本資料!$A:$J,7,0),"無")</f>
        <v>18</v>
      </c>
      <c r="F895" s="6">
        <f>IFERROR(VLOOKUP($G895,基本資料!$A:$J,8,0),"無")</f>
        <v>1.44</v>
      </c>
      <c r="G895" s="79">
        <v>6164</v>
      </c>
      <c r="H895" s="8" t="s">
        <v>1877</v>
      </c>
      <c r="I895" s="22" t="s">
        <v>4267</v>
      </c>
      <c r="J895" s="8">
        <f>IFERROR(VLOOKUP($G895,今日總結!$A:$AN,39,0),"")</f>
        <v>0</v>
      </c>
      <c r="K895" s="5">
        <f>IFERROR(VLOOKUP($G895,今日總結!$A:$AN,40,0),"")</f>
        <v>0</v>
      </c>
      <c r="L895" s="156">
        <f>IFERROR(VLOOKUP($G895,今日總結!$A:$AN,37,0),"")</f>
        <v>0</v>
      </c>
      <c r="M895" s="337">
        <f>IFERROR(VLOOKUP($G895,今日總結!$A:$AN,38,0),"")</f>
        <v>0</v>
      </c>
      <c r="N895" s="240">
        <f t="shared" si="164"/>
        <v>0</v>
      </c>
      <c r="O895" s="359">
        <f>IFERROR(VLOOKUP($G895,融外自投!$A:$J,7,0),"無")</f>
        <v>206</v>
      </c>
      <c r="P895" s="79">
        <f>IFERROR(VLOOKUP($G895,融外自投!$A:$J,9,0),"無")</f>
        <v>762</v>
      </c>
      <c r="Q895" s="342">
        <f>IFERROR(VLOOKUP($G895,融外自投!$A:$J,8,0),"無")</f>
        <v>1226</v>
      </c>
      <c r="R895" s="81" t="str">
        <f>IFERROR(VLOOKUP($G895,融外自投!$A:$J,10,0),"無")</f>
        <v>無</v>
      </c>
      <c r="S895" s="324">
        <f>IFERROR(VLOOKUP($G895,'321買'!$A:$E,4,0),"'沒有資料'")</f>
        <v>114</v>
      </c>
      <c r="T895" s="186">
        <f>IFERROR(VLOOKUP($G895,基本資料!$A:$J,9,0),"無")</f>
        <v>0</v>
      </c>
      <c r="U895" s="307">
        <f t="shared" si="160"/>
        <v>0</v>
      </c>
      <c r="V895" s="94">
        <f>IFERROR(VLOOKUP($G895,基本資料!$A:$J,10,0),"無")</f>
        <v>0.06</v>
      </c>
      <c r="W895" s="36">
        <f>RTD("money.excel",,"6164","Price")</f>
        <v>12.2</v>
      </c>
      <c r="X895" s="66"/>
      <c r="Y895" s="15">
        <f t="shared" si="161"/>
        <v>12.2</v>
      </c>
      <c r="Z895" s="3" t="e">
        <f t="shared" si="162"/>
        <v>#DIV/0!</v>
      </c>
      <c r="AA895" s="340">
        <f>IFERROR(VLOOKUP($G895,基本資料!$A:$M,11,0),"無")</f>
        <v>-41.63</v>
      </c>
      <c r="AB895" s="389">
        <f>IFERROR(VLOOKUP($G895,基本資料!$A:$M,12,0),"無")</f>
        <v>18.07</v>
      </c>
      <c r="AC895" s="22" t="s">
        <v>4267</v>
      </c>
      <c r="AF895" s="33">
        <f t="shared" si="163"/>
        <v>0</v>
      </c>
      <c r="AG895" s="43" t="s">
        <v>4268</v>
      </c>
      <c r="AH895" s="66">
        <f t="shared" si="159"/>
        <v>0.37763410609462494</v>
      </c>
      <c r="AI895" s="283">
        <f>RTD("money.excel",,$G895,"PredictVolume")</f>
        <v>698</v>
      </c>
      <c r="AJ895" s="391">
        <f>IFERROR(VLOOKUP($G895,基本資料!$A:$M,13,0),"無")</f>
        <v>1848.35</v>
      </c>
      <c r="AR895" s="245" t="str">
        <f>INDEX(基本資料!N:N,MATCH($G895,基本資料!A:A,0))</f>
        <v>低</v>
      </c>
    </row>
    <row r="896" spans="1:44">
      <c r="A896" s="343">
        <f>IFERROR(VLOOKUP($G896,基本資料!$A:$J,3,0),"無")</f>
        <v>16.21</v>
      </c>
      <c r="B896" s="79">
        <f>IFERROR(VLOOKUP($G896,基本資料!$A:$J,4,0),"無")</f>
        <v>97</v>
      </c>
      <c r="C896" s="79">
        <f>IFERROR(VLOOKUP($G896,基本資料!$A:$J,5,0),"無")</f>
        <v>104</v>
      </c>
      <c r="D896" s="79">
        <f>IFERROR(VLOOKUP($G896,基本資料!$A:$J,6,0),"無")</f>
        <v>-10</v>
      </c>
      <c r="E896" s="79">
        <f>IFERROR(VLOOKUP($G896,基本資料!$A:$J,7,0),"無")</f>
        <v>24</v>
      </c>
      <c r="F896" s="6">
        <f>IFERROR(VLOOKUP($G896,基本資料!$A:$J,8,0),"無")</f>
        <v>2.04</v>
      </c>
      <c r="G896" s="79">
        <v>6167</v>
      </c>
      <c r="H896" s="8" t="s">
        <v>1877</v>
      </c>
      <c r="I896" s="16" t="s">
        <v>4269</v>
      </c>
      <c r="J896" s="8" t="str">
        <f>IFERROR(VLOOKUP($G896,今日總結!$A:$AN,39,0),"")</f>
        <v/>
      </c>
      <c r="K896" s="5" t="str">
        <f>IFERROR(VLOOKUP($G896,今日總結!$A:$AN,40,0),"")</f>
        <v/>
      </c>
      <c r="L896" s="156" t="str">
        <f>IFERROR(VLOOKUP($G896,今日總結!$A:$AN,37,0),"")</f>
        <v/>
      </c>
      <c r="M896" s="337" t="str">
        <f>IFERROR(VLOOKUP($G896,今日總結!$A:$AN,38,0),"")</f>
        <v/>
      </c>
      <c r="N896" s="240" t="str">
        <f t="shared" si="164"/>
        <v/>
      </c>
      <c r="O896" s="359" t="str">
        <f>IFERROR(VLOOKUP($G896,融外自投!$A:$J,7,0),"無")</f>
        <v>無</v>
      </c>
      <c r="P896" s="79" t="str">
        <f>IFERROR(VLOOKUP($G896,融外自投!$A:$J,9,0),"無")</f>
        <v>無</v>
      </c>
      <c r="Q896" s="342" t="str">
        <f>IFERROR(VLOOKUP($G896,融外自投!$A:$J,8,0),"無")</f>
        <v>無</v>
      </c>
      <c r="R896" s="81" t="str">
        <f>IFERROR(VLOOKUP($G896,融外自投!$A:$J,10,0),"無")</f>
        <v>無</v>
      </c>
      <c r="S896" s="324" t="str">
        <f>IFERROR(VLOOKUP($G896,'321買'!$A:$E,4,0),"'沒有資料'")</f>
        <v>'沒有資料'</v>
      </c>
      <c r="T896" s="186">
        <f>IFERROR(VLOOKUP($G896,基本資料!$A:$J,9,0),"無")</f>
        <v>0.19</v>
      </c>
      <c r="U896" s="307">
        <f t="shared" si="160"/>
        <v>1.6101694915254237E-2</v>
      </c>
      <c r="V896" s="94">
        <f>IFERROR(VLOOKUP($G896,基本資料!$A:$J,10,0),"無")</f>
        <v>0.5</v>
      </c>
      <c r="W896" s="36">
        <f>RTD("money.excel",,"6167","Price")</f>
        <v>11.8</v>
      </c>
      <c r="X896" s="66"/>
      <c r="Y896" s="15">
        <f t="shared" si="161"/>
        <v>11.8</v>
      </c>
      <c r="Z896" s="3" t="e">
        <f t="shared" si="162"/>
        <v>#DIV/0!</v>
      </c>
      <c r="AA896" s="340">
        <f>IFERROR(VLOOKUP($G896,基本資料!$A:$M,11,0),"無")</f>
        <v>-32.380000000000003</v>
      </c>
      <c r="AB896" s="389">
        <f>IFERROR(VLOOKUP($G896,基本資料!$A:$M,12,0),"無")</f>
        <v>29.61</v>
      </c>
      <c r="AC896" s="16" t="s">
        <v>4269</v>
      </c>
      <c r="AF896" s="33">
        <f t="shared" si="163"/>
        <v>0</v>
      </c>
      <c r="AG896" s="43" t="s">
        <v>4154</v>
      </c>
      <c r="AH896" s="66">
        <f t="shared" si="159"/>
        <v>3.1395860854249231</v>
      </c>
      <c r="AI896" s="283">
        <f>RTD("money.excel",,$G896,"PredictVolume")</f>
        <v>1426</v>
      </c>
      <c r="AJ896" s="391">
        <f>IFERROR(VLOOKUP($G896,基本資料!$A:$M,13,0),"無")</f>
        <v>454.2</v>
      </c>
      <c r="AR896" s="245" t="str">
        <f>INDEX(基本資料!N:N,MATCH($G896,基本資料!A:A,0))</f>
        <v>中</v>
      </c>
    </row>
    <row r="897" spans="1:44">
      <c r="A897" s="343">
        <f>IFERROR(VLOOKUP($G897,基本資料!$A:$J,3,0),"無")</f>
        <v>20.6</v>
      </c>
      <c r="B897" s="79">
        <f>IFERROR(VLOOKUP($G897,基本資料!$A:$J,4,0),"無")</f>
        <v>170</v>
      </c>
      <c r="C897" s="79">
        <f>IFERROR(VLOOKUP($G897,基本資料!$A:$J,5,0),"無")</f>
        <v>78</v>
      </c>
      <c r="D897" s="79">
        <f>IFERROR(VLOOKUP($G897,基本資料!$A:$J,6,0),"無")</f>
        <v>6</v>
      </c>
      <c r="E897" s="79">
        <f>IFERROR(VLOOKUP($G897,基本資料!$A:$J,7,0),"無")</f>
        <v>-4</v>
      </c>
      <c r="F897" s="6">
        <f>IFERROR(VLOOKUP($G897,基本資料!$A:$J,8,0),"無")</f>
        <v>13.3</v>
      </c>
      <c r="G897" s="79">
        <v>6168</v>
      </c>
      <c r="H897" s="8" t="s">
        <v>1877</v>
      </c>
      <c r="I897" s="22" t="s">
        <v>4270</v>
      </c>
      <c r="J897" s="8">
        <f>IFERROR(VLOOKUP($G897,今日總結!$A:$AN,39,0),"")</f>
        <v>0</v>
      </c>
      <c r="K897" s="5">
        <f>IFERROR(VLOOKUP($G897,今日總結!$A:$AN,40,0),"")</f>
        <v>0</v>
      </c>
      <c r="L897" s="156">
        <f>IFERROR(VLOOKUP($G897,今日總結!$A:$AN,37,0),"")</f>
        <v>0</v>
      </c>
      <c r="M897" s="337">
        <f>IFERROR(VLOOKUP($G897,今日總結!$A:$AN,38,0),"")</f>
        <v>0</v>
      </c>
      <c r="N897" s="240">
        <f t="shared" si="164"/>
        <v>0</v>
      </c>
      <c r="O897" s="359">
        <f>IFERROR(VLOOKUP($G897,融外自投!$A:$J,7,0),"無")</f>
        <v>454</v>
      </c>
      <c r="P897" s="79">
        <f>IFERROR(VLOOKUP($G897,融外自投!$A:$J,9,0),"無")</f>
        <v>225</v>
      </c>
      <c r="Q897" s="342">
        <f>IFERROR(VLOOKUP($G897,融外自投!$A:$J,8,0),"無")</f>
        <v>1018</v>
      </c>
      <c r="R897" s="81">
        <f>IFERROR(VLOOKUP($G897,融外自投!$A:$J,10,0),"無")</f>
        <v>495</v>
      </c>
      <c r="S897" s="324">
        <f>IFERROR(VLOOKUP($G897,'321買'!$A:$E,4,0),"'沒有資料'")</f>
        <v>286</v>
      </c>
      <c r="T897" s="186">
        <f>IFERROR(VLOOKUP($G897,基本資料!$A:$J,9,0),"無")</f>
        <v>1.5</v>
      </c>
      <c r="U897" s="307">
        <f t="shared" si="160"/>
        <v>6.9284064665127029E-2</v>
      </c>
      <c r="V897" s="94">
        <f>IFERROR(VLOOKUP($G897,基本資料!$A:$J,10,0),"無")</f>
        <v>1.8</v>
      </c>
      <c r="W897" s="36">
        <f>RTD("money.excel",,"6168","Price")</f>
        <v>21.65</v>
      </c>
      <c r="X897" s="66"/>
      <c r="Y897" s="15">
        <f t="shared" si="161"/>
        <v>21.65</v>
      </c>
      <c r="Z897" s="3" t="e">
        <f t="shared" si="162"/>
        <v>#DIV/0!</v>
      </c>
      <c r="AA897" s="340">
        <f>IFERROR(VLOOKUP($G897,基本資料!$A:$M,11,0),"無")</f>
        <v>-41.09</v>
      </c>
      <c r="AB897" s="389">
        <f>IFERROR(VLOOKUP($G897,基本資料!$A:$M,12,0),"無")</f>
        <v>32.72</v>
      </c>
      <c r="AC897" s="22" t="s">
        <v>4270</v>
      </c>
      <c r="AF897" s="33">
        <f t="shared" si="163"/>
        <v>0</v>
      </c>
      <c r="AG897" s="117" t="s">
        <v>4152</v>
      </c>
      <c r="AH897" s="66">
        <f t="shared" si="159"/>
        <v>0.85223077734416197</v>
      </c>
      <c r="AI897" s="283">
        <f>RTD("money.excel",,$G897,"PredictVolume")</f>
        <v>404</v>
      </c>
      <c r="AJ897" s="391">
        <f>IFERROR(VLOOKUP($G897,基本資料!$A:$M,13,0),"無")</f>
        <v>474.05</v>
      </c>
      <c r="AR897" s="245" t="str">
        <f>INDEX(基本資料!N:N,MATCH($G897,基本資料!A:A,0))</f>
        <v>低</v>
      </c>
    </row>
    <row r="898" spans="1:44">
      <c r="A898" s="343">
        <f>IFERROR(VLOOKUP($G898,基本資料!$A:$J,3,0),"無")</f>
        <v>46.5</v>
      </c>
      <c r="B898" s="79">
        <f>IFERROR(VLOOKUP($G898,基本資料!$A:$J,4,0),"無")</f>
        <v>0</v>
      </c>
      <c r="C898" s="79">
        <f>IFERROR(VLOOKUP($G898,基本資料!$A:$J,5,0),"無")</f>
        <v>-5</v>
      </c>
      <c r="D898" s="79">
        <f>IFERROR(VLOOKUP($G898,基本資料!$A:$J,6,0),"無")</f>
        <v>-51</v>
      </c>
      <c r="E898" s="79">
        <f>IFERROR(VLOOKUP($G898,基本資料!$A:$J,7,0),"無")</f>
        <v>-43</v>
      </c>
      <c r="F898" s="6">
        <f>IFERROR(VLOOKUP($G898,基本資料!$A:$J,8,0),"無")</f>
        <v>13.29</v>
      </c>
      <c r="G898" s="79">
        <v>6176</v>
      </c>
      <c r="H898" s="192" t="s">
        <v>1877</v>
      </c>
      <c r="I898" s="22" t="s">
        <v>4271</v>
      </c>
      <c r="J898" s="8" t="str">
        <f>IFERROR(VLOOKUP($G898,今日總結!$A:$AN,39,0),"")</f>
        <v>自投</v>
      </c>
      <c r="K898" s="5">
        <f>IFERROR(VLOOKUP($G898,今日總結!$A:$AN,40,0),"")</f>
        <v>0</v>
      </c>
      <c r="L898" s="156">
        <f>IFERROR(VLOOKUP($G898,今日總結!$A:$AN,37,0),"")</f>
        <v>10</v>
      </c>
      <c r="M898" s="337">
        <f>IFERROR(VLOOKUP($G898,今日總結!$A:$AN,38,0),"")</f>
        <v>0</v>
      </c>
      <c r="N898" s="240">
        <f t="shared" si="164"/>
        <v>10</v>
      </c>
      <c r="O898" s="359">
        <f>IFERROR(VLOOKUP($G898,融外自投!$A:$J,7,0),"無")</f>
        <v>1073</v>
      </c>
      <c r="P898" s="79">
        <f>IFERROR(VLOOKUP($G898,融外自投!$A:$J,9,0),"無")</f>
        <v>4</v>
      </c>
      <c r="Q898" s="342">
        <f>IFERROR(VLOOKUP($G898,融外自投!$A:$J,8,0),"無")</f>
        <v>177</v>
      </c>
      <c r="R898" s="81">
        <f>IFERROR(VLOOKUP($G898,融外自投!$A:$J,10,0),"無")</f>
        <v>31</v>
      </c>
      <c r="S898" s="324">
        <f>IFERROR(VLOOKUP($G898,'321買'!$A:$E,4,0),"'沒有資料'")</f>
        <v>440</v>
      </c>
      <c r="T898" s="186">
        <f>IFERROR(VLOOKUP($G898,基本資料!$A:$J,9,0),"無")</f>
        <v>8</v>
      </c>
      <c r="U898" s="307">
        <f t="shared" si="160"/>
        <v>7.7669902912621352E-2</v>
      </c>
      <c r="V898" s="94">
        <f>IFERROR(VLOOKUP($G898,基本資料!$A:$J,10,0),"無")</f>
        <v>11.16</v>
      </c>
      <c r="W898" s="36">
        <f>RTD("money.excel",,"6176","Price")</f>
        <v>103</v>
      </c>
      <c r="X898" s="66"/>
      <c r="Y898" s="15">
        <f t="shared" si="161"/>
        <v>103</v>
      </c>
      <c r="Z898" s="3" t="e">
        <f t="shared" si="162"/>
        <v>#DIV/0!</v>
      </c>
      <c r="AA898" s="340">
        <f>IFERROR(VLOOKUP($G898,基本資料!$A:$M,11,0),"無")</f>
        <v>-21.07</v>
      </c>
      <c r="AB898" s="389">
        <f>IFERROR(VLOOKUP($G898,基本資料!$A:$M,12,0),"無")</f>
        <v>42.38</v>
      </c>
      <c r="AC898" s="22" t="s">
        <v>4271</v>
      </c>
      <c r="AF898" s="33">
        <f t="shared" si="163"/>
        <v>0</v>
      </c>
      <c r="AG898" s="117" t="s">
        <v>4194</v>
      </c>
      <c r="AH898" s="66">
        <f t="shared" si="159"/>
        <v>0.96042962125494624</v>
      </c>
      <c r="AI898" s="283">
        <f>RTD("money.excel",,$G898,"PredictVolume")</f>
        <v>1699</v>
      </c>
      <c r="AJ898" s="391">
        <f>IFERROR(VLOOKUP($G898,基本資料!$A:$M,13,0),"無")</f>
        <v>1769</v>
      </c>
      <c r="AR898" s="245" t="str">
        <f>INDEX(基本資料!N:N,MATCH($G898,基本資料!A:A,0))</f>
        <v>中</v>
      </c>
    </row>
    <row r="899" spans="1:44">
      <c r="A899" s="343">
        <f>IFERROR(VLOOKUP($G899,基本資料!$A:$J,3,0),"無")</f>
        <v>17.420000000000002</v>
      </c>
      <c r="B899" s="79">
        <f>IFERROR(VLOOKUP($G899,基本資料!$A:$J,4,0),"無")</f>
        <v>30</v>
      </c>
      <c r="C899" s="79">
        <f>IFERROR(VLOOKUP($G899,基本資料!$A:$J,5,0),"無")</f>
        <v>-3</v>
      </c>
      <c r="D899" s="79">
        <f>IFERROR(VLOOKUP($G899,基本資料!$A:$J,6,0),"無")</f>
        <v>-19</v>
      </c>
      <c r="E899" s="79">
        <f>IFERROR(VLOOKUP($G899,基本資料!$A:$J,7,0),"無")</f>
        <v>10</v>
      </c>
      <c r="F899" s="6">
        <f>IFERROR(VLOOKUP($G899,基本資料!$A:$J,8,0),"無")</f>
        <v>-6.13</v>
      </c>
      <c r="G899" s="79">
        <v>6209</v>
      </c>
      <c r="H899" s="195" t="s">
        <v>1877</v>
      </c>
      <c r="I899" s="22" t="s">
        <v>4272</v>
      </c>
      <c r="J899" s="8">
        <f>IFERROR(VLOOKUP($G899,今日總結!$A:$AN,39,0),"")</f>
        <v>0</v>
      </c>
      <c r="K899" s="5">
        <f>IFERROR(VLOOKUP($G899,今日總結!$A:$AN,40,0),"")</f>
        <v>0</v>
      </c>
      <c r="L899" s="156">
        <f>IFERROR(VLOOKUP($G899,今日總結!$A:$AN,37,0),"")</f>
        <v>0</v>
      </c>
      <c r="M899" s="337">
        <f>IFERROR(VLOOKUP($G899,今日總結!$A:$AN,38,0),"")</f>
        <v>0</v>
      </c>
      <c r="N899" s="240">
        <f t="shared" si="164"/>
        <v>0</v>
      </c>
      <c r="O899" s="359">
        <f>IFERROR(VLOOKUP($G899,融外自投!$A:$J,7,0),"無")</f>
        <v>223</v>
      </c>
      <c r="P899" s="79">
        <f>IFERROR(VLOOKUP($G899,融外自投!$A:$J,9,0),"無")</f>
        <v>577</v>
      </c>
      <c r="Q899" s="342">
        <f>IFERROR(VLOOKUP($G899,融外自投!$A:$J,8,0),"無")</f>
        <v>1178</v>
      </c>
      <c r="R899" s="81" t="str">
        <f>IFERROR(VLOOKUP($G899,融外自投!$A:$J,10,0),"無")</f>
        <v>無</v>
      </c>
      <c r="S899" s="324">
        <f>IFERROR(VLOOKUP($G899,'321買'!$A:$E,4,0),"'沒有資料'")</f>
        <v>565</v>
      </c>
      <c r="T899" s="186">
        <f>IFERROR(VLOOKUP($G899,基本資料!$A:$J,9,0),"無")</f>
        <v>0.5</v>
      </c>
      <c r="U899" s="307">
        <f t="shared" si="160"/>
        <v>1.8315018315018316E-2</v>
      </c>
      <c r="V899" s="94">
        <f>IFERROR(VLOOKUP($G899,基本資料!$A:$J,10,0),"無")</f>
        <v>-0.91</v>
      </c>
      <c r="W899" s="36">
        <f>RTD("money.excel",,"6209","Price")</f>
        <v>27.3</v>
      </c>
      <c r="X899" s="66"/>
      <c r="Y899" s="15">
        <f t="shared" si="161"/>
        <v>27.3</v>
      </c>
      <c r="Z899" s="3" t="e">
        <f t="shared" si="162"/>
        <v>#DIV/0!</v>
      </c>
      <c r="AA899" s="340">
        <f>IFERROR(VLOOKUP($G899,基本資料!$A:$M,11,0),"無")</f>
        <v>-31.84</v>
      </c>
      <c r="AB899" s="389">
        <f>IFERROR(VLOOKUP($G899,基本資料!$A:$M,12,0),"無")</f>
        <v>23.54</v>
      </c>
      <c r="AC899" s="22" t="s">
        <v>4272</v>
      </c>
      <c r="AF899" s="33">
        <f t="shared" si="163"/>
        <v>0</v>
      </c>
      <c r="AG899" s="119" t="s">
        <v>2030</v>
      </c>
      <c r="AH899" s="66">
        <f t="shared" si="159"/>
        <v>0.82262210796915169</v>
      </c>
      <c r="AI899" s="283">
        <f>RTD("money.excel",,$G899,"PredictVolume")</f>
        <v>240</v>
      </c>
      <c r="AJ899" s="391">
        <f>IFERROR(VLOOKUP($G899,基本資料!$A:$M,13,0),"無")</f>
        <v>291.75</v>
      </c>
      <c r="AR899" s="245" t="str">
        <f>INDEX(基本資料!N:N,MATCH($G899,基本資料!A:A,0))</f>
        <v>低</v>
      </c>
    </row>
    <row r="900" spans="1:44">
      <c r="A900" s="343">
        <f>IFERROR(VLOOKUP($G900,基本資料!$A:$J,3,0),"無")</f>
        <v>4.05</v>
      </c>
      <c r="B900" s="79">
        <f>IFERROR(VLOOKUP($G900,基本資料!$A:$J,4,0),"無")</f>
        <v>-326</v>
      </c>
      <c r="C900" s="79">
        <f>IFERROR(VLOOKUP($G900,基本資料!$A:$J,5,0),"無")</f>
        <v>-146</v>
      </c>
      <c r="D900" s="79">
        <f>IFERROR(VLOOKUP($G900,基本資料!$A:$J,6,0),"無")</f>
        <v>-43</v>
      </c>
      <c r="E900" s="79">
        <f>IFERROR(VLOOKUP($G900,基本資料!$A:$J,7,0),"無")</f>
        <v>-97</v>
      </c>
      <c r="F900" s="6">
        <f>IFERROR(VLOOKUP($G900,基本資料!$A:$J,8,0),"無")</f>
        <v>-2.16</v>
      </c>
      <c r="G900" s="79">
        <v>6222</v>
      </c>
      <c r="H900" s="8" t="s">
        <v>1877</v>
      </c>
      <c r="I900" s="16" t="s">
        <v>4273</v>
      </c>
      <c r="J900" s="8" t="str">
        <f>IFERROR(VLOOKUP($G900,今日總結!$A:$AN,39,0),"")</f>
        <v/>
      </c>
      <c r="K900" s="5" t="str">
        <f>IFERROR(VLOOKUP($G900,今日總結!$A:$AN,40,0),"")</f>
        <v/>
      </c>
      <c r="L900" s="156" t="str">
        <f>IFERROR(VLOOKUP($G900,今日總結!$A:$AN,37,0),"")</f>
        <v/>
      </c>
      <c r="M900" s="337" t="str">
        <f>IFERROR(VLOOKUP($G900,今日總結!$A:$AN,38,0),"")</f>
        <v/>
      </c>
      <c r="N900" s="240" t="str">
        <f t="shared" si="164"/>
        <v/>
      </c>
      <c r="O900" s="359" t="str">
        <f>IFERROR(VLOOKUP($G900,融外自投!$A:$J,7,0),"無")</f>
        <v>無</v>
      </c>
      <c r="P900" s="79" t="str">
        <f>IFERROR(VLOOKUP($G900,融外自投!$A:$J,9,0),"無")</f>
        <v>無</v>
      </c>
      <c r="Q900" s="342" t="str">
        <f>IFERROR(VLOOKUP($G900,融外自投!$A:$J,8,0),"無")</f>
        <v>無</v>
      </c>
      <c r="R900" s="81" t="str">
        <f>IFERROR(VLOOKUP($G900,融外自投!$A:$J,10,0),"無")</f>
        <v>無</v>
      </c>
      <c r="S900" s="324" t="str">
        <f>IFERROR(VLOOKUP($G900,'321買'!$A:$E,4,0),"'沒有資料'")</f>
        <v>'沒有資料'</v>
      </c>
      <c r="T900" s="186">
        <f>IFERROR(VLOOKUP($G900,基本資料!$A:$J,9,0),"無")</f>
        <v>0</v>
      </c>
      <c r="U900" s="307">
        <f t="shared" si="160"/>
        <v>0</v>
      </c>
      <c r="V900" s="94">
        <f>IFERROR(VLOOKUP($G900,基本資料!$A:$J,10,0),"無")</f>
        <v>-0.38</v>
      </c>
      <c r="W900" s="36">
        <f>RTD("money.excel",,"6246","Price")</f>
        <v>13.4</v>
      </c>
      <c r="X900" s="66"/>
      <c r="Y900" s="15">
        <f t="shared" si="161"/>
        <v>13.4</v>
      </c>
      <c r="Z900" s="3" t="e">
        <f t="shared" si="162"/>
        <v>#DIV/0!</v>
      </c>
      <c r="AA900" s="340">
        <f>IFERROR(VLOOKUP($G900,基本資料!$A:$M,11,0),"無")</f>
        <v>-15.43</v>
      </c>
      <c r="AB900" s="389">
        <f>IFERROR(VLOOKUP($G900,基本資料!$A:$M,12,0),"無")</f>
        <v>63.85</v>
      </c>
      <c r="AC900" s="16" t="s">
        <v>4273</v>
      </c>
      <c r="AF900" s="33">
        <f t="shared" si="163"/>
        <v>0</v>
      </c>
      <c r="AG900" s="43" t="s">
        <v>4146</v>
      </c>
      <c r="AH900" s="66">
        <f t="shared" si="159"/>
        <v>0.26952315134761579</v>
      </c>
      <c r="AI900" s="283">
        <f>RTD("money.excel",,$G900,"PredictVolume")</f>
        <v>39</v>
      </c>
      <c r="AJ900" s="391">
        <f>IFERROR(VLOOKUP($G900,基本資料!$A:$M,13,0),"無")</f>
        <v>144.69999999999999</v>
      </c>
      <c r="AR900" s="245" t="str">
        <f>INDEX(基本資料!N:N,MATCH($G900,基本資料!A:A,0))</f>
        <v>中</v>
      </c>
    </row>
    <row r="901" spans="1:44">
      <c r="A901" s="343">
        <f>IFERROR(VLOOKUP($G901,基本資料!$A:$J,3,0),"無")</f>
        <v>4.37</v>
      </c>
      <c r="B901" s="79">
        <f>IFERROR(VLOOKUP($G901,基本資料!$A:$J,4,0),"無")</f>
        <v>44</v>
      </c>
      <c r="C901" s="79">
        <f>IFERROR(VLOOKUP($G901,基本資料!$A:$J,5,0),"無")</f>
        <v>41</v>
      </c>
      <c r="D901" s="79">
        <f>IFERROR(VLOOKUP($G901,基本資料!$A:$J,6,0),"無")</f>
        <v>-45</v>
      </c>
      <c r="E901" s="79">
        <f>IFERROR(VLOOKUP($G901,基本資料!$A:$J,7,0),"無")</f>
        <v>-20</v>
      </c>
      <c r="F901" s="6">
        <f>IFERROR(VLOOKUP($G901,基本資料!$A:$J,8,0),"無")</f>
        <v>-12.42</v>
      </c>
      <c r="G901" s="79">
        <v>6225</v>
      </c>
      <c r="H901" s="8" t="s">
        <v>1877</v>
      </c>
      <c r="I901" s="22" t="s">
        <v>4274</v>
      </c>
      <c r="J901" s="8" t="str">
        <f>IFERROR(VLOOKUP($G901,今日總結!$A:$AN,39,0),"")</f>
        <v/>
      </c>
      <c r="K901" s="5" t="str">
        <f>IFERROR(VLOOKUP($G901,今日總結!$A:$AN,40,0),"")</f>
        <v/>
      </c>
      <c r="L901" s="156" t="str">
        <f>IFERROR(VLOOKUP($G901,今日總結!$A:$AN,37,0),"")</f>
        <v/>
      </c>
      <c r="M901" s="337" t="str">
        <f>IFERROR(VLOOKUP($G901,今日總結!$A:$AN,38,0),"")</f>
        <v/>
      </c>
      <c r="N901" s="240" t="str">
        <f t="shared" si="164"/>
        <v/>
      </c>
      <c r="O901" s="359" t="str">
        <f>IFERROR(VLOOKUP($G901,融外自投!$A:$J,7,0),"無")</f>
        <v>無</v>
      </c>
      <c r="P901" s="79" t="str">
        <f>IFERROR(VLOOKUP($G901,融外自投!$A:$J,9,0),"無")</f>
        <v>無</v>
      </c>
      <c r="Q901" s="342" t="str">
        <f>IFERROR(VLOOKUP($G901,融外自投!$A:$J,8,0),"無")</f>
        <v>無</v>
      </c>
      <c r="R901" s="81" t="str">
        <f>IFERROR(VLOOKUP($G901,融外自投!$A:$J,10,0),"無")</f>
        <v>無</v>
      </c>
      <c r="S901" s="324" t="str">
        <f>IFERROR(VLOOKUP($G901,'321買'!$A:$E,4,0),"'沒有資料'")</f>
        <v>'沒有資料'</v>
      </c>
      <c r="T901" s="186">
        <f>IFERROR(VLOOKUP($G901,基本資料!$A:$J,9,0),"無")</f>
        <v>0</v>
      </c>
      <c r="U901" s="307">
        <f t="shared" si="160"/>
        <v>0</v>
      </c>
      <c r="V901" s="94">
        <f>IFERROR(VLOOKUP($G901,基本資料!$A:$J,10,0),"無")</f>
        <v>-0.09</v>
      </c>
      <c r="W901" s="36">
        <f>RTD("money.excel",,"6225","Price")</f>
        <v>11.55</v>
      </c>
      <c r="X901" s="66"/>
      <c r="Y901" s="15">
        <f t="shared" si="161"/>
        <v>11.55</v>
      </c>
      <c r="Z901" s="3" t="e">
        <f t="shared" si="162"/>
        <v>#DIV/0!</v>
      </c>
      <c r="AA901" s="340">
        <f>IFERROR(VLOOKUP($G901,基本資料!$A:$M,11,0),"無")</f>
        <v>-15.69</v>
      </c>
      <c r="AB901" s="389">
        <f>IFERROR(VLOOKUP($G901,基本資料!$A:$M,12,0),"無")</f>
        <v>56.97</v>
      </c>
      <c r="AC901" s="22" t="s">
        <v>4274</v>
      </c>
      <c r="AF901" s="33">
        <f t="shared" si="163"/>
        <v>0</v>
      </c>
      <c r="AG901" s="43" t="s">
        <v>4275</v>
      </c>
      <c r="AH901" s="66">
        <f t="shared" ref="AH901:AH964" si="165">AI901/AJ901</f>
        <v>0.20654044750430292</v>
      </c>
      <c r="AI901" s="283">
        <f>RTD("money.excel",,$G901,"PredictVolume")</f>
        <v>12</v>
      </c>
      <c r="AJ901" s="391">
        <f>IFERROR(VLOOKUP($G901,基本資料!$A:$M,13,0),"無")</f>
        <v>58.1</v>
      </c>
      <c r="AR901" s="245" t="str">
        <f>INDEX(基本資料!N:N,MATCH($G901,基本資料!A:A,0))</f>
        <v>高</v>
      </c>
    </row>
    <row r="902" spans="1:44">
      <c r="A902" s="343">
        <f>IFERROR(VLOOKUP($G902,基本資料!$A:$J,3,0),"無")</f>
        <v>11.65</v>
      </c>
      <c r="B902" s="79">
        <f>IFERROR(VLOOKUP($G902,基本資料!$A:$J,4,0),"無")</f>
        <v>85</v>
      </c>
      <c r="C902" s="79">
        <f>IFERROR(VLOOKUP($G902,基本資料!$A:$J,5,0),"無")</f>
        <v>142</v>
      </c>
      <c r="D902" s="79">
        <f>IFERROR(VLOOKUP($G902,基本資料!$A:$J,6,0),"無")</f>
        <v>-54</v>
      </c>
      <c r="E902" s="79">
        <f>IFERROR(VLOOKUP($G902,基本資料!$A:$J,7,0),"無")</f>
        <v>-24</v>
      </c>
      <c r="F902" s="6">
        <f>IFERROR(VLOOKUP($G902,基本資料!$A:$J,8,0),"無")</f>
        <v>0.55000000000000004</v>
      </c>
      <c r="G902" s="79">
        <v>6226</v>
      </c>
      <c r="H902" s="8" t="s">
        <v>1877</v>
      </c>
      <c r="I902" s="22" t="s">
        <v>4276</v>
      </c>
      <c r="J902" s="8">
        <f>IFERROR(VLOOKUP($G902,今日總結!$A:$AN,39,0),"")</f>
        <v>0</v>
      </c>
      <c r="K902" s="5">
        <f>IFERROR(VLOOKUP($G902,今日總結!$A:$AN,40,0),"")</f>
        <v>0</v>
      </c>
      <c r="L902" s="156">
        <f>IFERROR(VLOOKUP($G902,今日總結!$A:$AN,37,0),"")</f>
        <v>0</v>
      </c>
      <c r="M902" s="337">
        <f>IFERROR(VLOOKUP($G902,今日總結!$A:$AN,38,0),"")</f>
        <v>0</v>
      </c>
      <c r="N902" s="240">
        <f t="shared" si="164"/>
        <v>0</v>
      </c>
      <c r="O902" s="359">
        <f>IFERROR(VLOOKUP($G902,融外自投!$A:$J,7,0),"無")</f>
        <v>381</v>
      </c>
      <c r="P902" s="79">
        <f>IFERROR(VLOOKUP($G902,融外自投!$A:$J,9,0),"無")</f>
        <v>442</v>
      </c>
      <c r="Q902" s="342">
        <f>IFERROR(VLOOKUP($G902,融外自投!$A:$J,8,0),"無")</f>
        <v>876</v>
      </c>
      <c r="R902" s="81" t="str">
        <f>IFERROR(VLOOKUP($G902,融外自投!$A:$J,10,0),"無")</f>
        <v>無</v>
      </c>
      <c r="S902" s="324">
        <f>IFERROR(VLOOKUP($G902,'321買'!$A:$E,4,0),"'沒有資料'")</f>
        <v>77</v>
      </c>
      <c r="T902" s="186">
        <f>IFERROR(VLOOKUP($G902,基本資料!$A:$J,9,0),"無")</f>
        <v>0.12</v>
      </c>
      <c r="U902" s="307">
        <f t="shared" si="160"/>
        <v>1.0212765957446808E-2</v>
      </c>
      <c r="V902" s="94">
        <f>IFERROR(VLOOKUP($G902,基本資料!$A:$J,10,0),"無")</f>
        <v>0.01</v>
      </c>
      <c r="W902" s="36">
        <f>RTD("money.excel",,"6226","Price")</f>
        <v>11.75</v>
      </c>
      <c r="X902" s="66"/>
      <c r="Y902" s="15">
        <f t="shared" si="161"/>
        <v>11.75</v>
      </c>
      <c r="Z902" s="3" t="e">
        <f t="shared" si="162"/>
        <v>#DIV/0!</v>
      </c>
      <c r="AA902" s="340">
        <f>IFERROR(VLOOKUP($G902,基本資料!$A:$M,11,0),"無")</f>
        <v>-42.12</v>
      </c>
      <c r="AB902" s="389">
        <f>IFERROR(VLOOKUP($G902,基本資料!$A:$M,12,0),"無")</f>
        <v>36.93</v>
      </c>
      <c r="AC902" s="22" t="s">
        <v>4276</v>
      </c>
      <c r="AF902" s="33">
        <f t="shared" si="163"/>
        <v>0</v>
      </c>
      <c r="AG902" s="43" t="s">
        <v>4152</v>
      </c>
      <c r="AH902" s="66">
        <f t="shared" si="165"/>
        <v>2.5065274151436032</v>
      </c>
      <c r="AI902" s="283">
        <f>RTD("money.excel",,$G902,"PredictVolume")</f>
        <v>3360</v>
      </c>
      <c r="AJ902" s="391">
        <f>IFERROR(VLOOKUP($G902,基本資料!$A:$M,13,0),"無")</f>
        <v>1340.5</v>
      </c>
      <c r="AR902" s="245" t="str">
        <f>INDEX(基本資料!N:N,MATCH($G902,基本資料!A:A,0))</f>
        <v>低</v>
      </c>
    </row>
    <row r="903" spans="1:44">
      <c r="A903" s="343">
        <f>IFERROR(VLOOKUP($G903,基本資料!$A:$J,3,0),"無")</f>
        <v>10.029999999999999</v>
      </c>
      <c r="B903" s="79">
        <f>IFERROR(VLOOKUP($G903,基本資料!$A:$J,4,0),"無")</f>
        <v>12</v>
      </c>
      <c r="C903" s="79">
        <f>IFERROR(VLOOKUP($G903,基本資料!$A:$J,5,0),"無")</f>
        <v>14</v>
      </c>
      <c r="D903" s="79">
        <f>IFERROR(VLOOKUP($G903,基本資料!$A:$J,6,0),"無")</f>
        <v>-91</v>
      </c>
      <c r="E903" s="79">
        <f>IFERROR(VLOOKUP($G903,基本資料!$A:$J,7,0),"無")</f>
        <v>-32</v>
      </c>
      <c r="F903" s="6">
        <f>IFERROR(VLOOKUP($G903,基本資料!$A:$J,8,0),"無")</f>
        <v>12.73</v>
      </c>
      <c r="G903" s="79">
        <v>6234</v>
      </c>
      <c r="H903" s="8" t="s">
        <v>1877</v>
      </c>
      <c r="I903" s="16" t="s">
        <v>4277</v>
      </c>
      <c r="J903" s="8" t="str">
        <f>IFERROR(VLOOKUP($G903,今日總結!$A:$AN,39,0),"")</f>
        <v>融</v>
      </c>
      <c r="K903" s="5">
        <f>IFERROR(VLOOKUP($G903,今日總結!$A:$AN,40,0),"")</f>
        <v>0</v>
      </c>
      <c r="L903" s="156">
        <f>IFERROR(VLOOKUP($G903,今日總結!$A:$AN,37,0),"")</f>
        <v>1</v>
      </c>
      <c r="M903" s="337">
        <f>IFERROR(VLOOKUP($G903,今日總結!$A:$AN,38,0),"")</f>
        <v>0</v>
      </c>
      <c r="N903" s="240">
        <f t="shared" si="164"/>
        <v>1</v>
      </c>
      <c r="O903" s="359">
        <f>IFERROR(VLOOKUP($G903,融外自投!$A:$J,7,0),"無")</f>
        <v>721</v>
      </c>
      <c r="P903" s="79" t="str">
        <f>IFERROR(VLOOKUP($G903,融外自投!$A:$J,9,0),"無")</f>
        <v>無</v>
      </c>
      <c r="Q903" s="342">
        <f>IFERROR(VLOOKUP($G903,融外自投!$A:$J,8,0),"無")</f>
        <v>471</v>
      </c>
      <c r="R903" s="81" t="str">
        <f>IFERROR(VLOOKUP($G903,融外自投!$A:$J,10,0),"無")</f>
        <v>無</v>
      </c>
      <c r="S903" s="324">
        <f>IFERROR(VLOOKUP($G903,'321買'!$A:$E,4,0),"'沒有資料'")</f>
        <v>1002</v>
      </c>
      <c r="T903" s="186">
        <f>IFERROR(VLOOKUP($G903,基本資料!$A:$J,9,0),"無")</f>
        <v>0.75</v>
      </c>
      <c r="U903" s="307">
        <f t="shared" si="160"/>
        <v>3.694581280788177E-2</v>
      </c>
      <c r="V903" s="94">
        <f>IFERROR(VLOOKUP($G903,基本資料!$A:$J,10,0),"無")</f>
        <v>1.24</v>
      </c>
      <c r="W903" s="36">
        <f>RTD("money.excel",,"6234","Price")</f>
        <v>20.3</v>
      </c>
      <c r="X903" s="66"/>
      <c r="Y903" s="15">
        <f t="shared" si="161"/>
        <v>20.3</v>
      </c>
      <c r="Z903" s="3" t="e">
        <f t="shared" si="162"/>
        <v>#DIV/0!</v>
      </c>
      <c r="AA903" s="340">
        <f>IFERROR(VLOOKUP($G903,基本資料!$A:$M,11,0),"無")</f>
        <v>-16.97</v>
      </c>
      <c r="AB903" s="389">
        <f>IFERROR(VLOOKUP($G903,基本資料!$A:$M,12,0),"無")</f>
        <v>39.25</v>
      </c>
      <c r="AC903" s="16" t="s">
        <v>4277</v>
      </c>
      <c r="AF903" s="33">
        <f t="shared" si="163"/>
        <v>0</v>
      </c>
      <c r="AG903" s="43" t="s">
        <v>423</v>
      </c>
      <c r="AH903" s="66">
        <f t="shared" si="165"/>
        <v>0.82246740220661985</v>
      </c>
      <c r="AI903" s="283">
        <f>RTD("money.excel",,$G903,"PredictVolume")</f>
        <v>82</v>
      </c>
      <c r="AJ903" s="391">
        <f>IFERROR(VLOOKUP($G903,基本資料!$A:$M,13,0),"無")</f>
        <v>99.7</v>
      </c>
      <c r="AR903" s="245" t="str">
        <f>INDEX(基本資料!N:N,MATCH($G903,基本資料!A:A,0))</f>
        <v>中</v>
      </c>
    </row>
    <row r="904" spans="1:44">
      <c r="A904" s="343">
        <f>IFERROR(VLOOKUP($G904,基本資料!$A:$J,3,0),"無")</f>
        <v>35.5</v>
      </c>
      <c r="B904" s="79">
        <f>IFERROR(VLOOKUP($G904,基本資料!$A:$J,4,0),"無")</f>
        <v>-4</v>
      </c>
      <c r="C904" s="79">
        <f>IFERROR(VLOOKUP($G904,基本資料!$A:$J,5,0),"無")</f>
        <v>1789</v>
      </c>
      <c r="D904" s="79">
        <f>IFERROR(VLOOKUP($G904,基本資料!$A:$J,6,0),"無")</f>
        <v>6</v>
      </c>
      <c r="E904" s="79">
        <f>IFERROR(VLOOKUP($G904,基本資料!$A:$J,7,0),"無")</f>
        <v>-16</v>
      </c>
      <c r="F904" s="6">
        <f>IFERROR(VLOOKUP($G904,基本資料!$A:$J,8,0),"無")</f>
        <v>2.87</v>
      </c>
      <c r="G904" s="79">
        <v>6244</v>
      </c>
      <c r="H904" s="8" t="s">
        <v>1877</v>
      </c>
      <c r="I904" s="16" t="s">
        <v>4278</v>
      </c>
      <c r="J904" s="8">
        <f>IFERROR(VLOOKUP($G904,今日總結!$A:$AN,39,0),"")</f>
        <v>0</v>
      </c>
      <c r="K904" s="5">
        <f>IFERROR(VLOOKUP($G904,今日總結!$A:$AN,40,0),"")</f>
        <v>0</v>
      </c>
      <c r="L904" s="156">
        <f>IFERROR(VLOOKUP($G904,今日總結!$A:$AN,37,0),"")</f>
        <v>0</v>
      </c>
      <c r="M904" s="337">
        <f>IFERROR(VLOOKUP($G904,今日總結!$A:$AN,38,0),"")</f>
        <v>0</v>
      </c>
      <c r="N904" s="240">
        <f t="shared" si="164"/>
        <v>0</v>
      </c>
      <c r="O904" s="359" t="str">
        <f>IFERROR(VLOOKUP($G904,融外自投!$A:$J,7,0),"無")</f>
        <v>無</v>
      </c>
      <c r="P904" s="79" t="str">
        <f>IFERROR(VLOOKUP($G904,融外自投!$A:$J,9,0),"無")</f>
        <v>無</v>
      </c>
      <c r="Q904" s="342" t="str">
        <f>IFERROR(VLOOKUP($G904,融外自投!$A:$J,8,0),"無")</f>
        <v>無</v>
      </c>
      <c r="R904" s="81" t="str">
        <f>IFERROR(VLOOKUP($G904,融外自投!$A:$J,10,0),"無")</f>
        <v>無</v>
      </c>
      <c r="S904" s="324">
        <f>IFERROR(VLOOKUP($G904,'321買'!$A:$E,4,0),"'沒有資料'")</f>
        <v>440</v>
      </c>
      <c r="T904" s="186">
        <f>IFERROR(VLOOKUP($G904,基本資料!$A:$J,9,0),"無")</f>
        <v>0.2</v>
      </c>
      <c r="U904" s="307">
        <f t="shared" si="160"/>
        <v>7.3126142595978062E-3</v>
      </c>
      <c r="V904" s="94">
        <f>IFERROR(VLOOKUP($G904,基本資料!$A:$J,10,0),"無")</f>
        <v>0.3</v>
      </c>
      <c r="W904" s="36">
        <f>RTD("money.excel",,"6244","Price")</f>
        <v>27.35</v>
      </c>
      <c r="X904" s="66"/>
      <c r="Y904" s="15">
        <f t="shared" si="161"/>
        <v>27.35</v>
      </c>
      <c r="Z904" s="3" t="e">
        <f t="shared" si="162"/>
        <v>#DIV/0!</v>
      </c>
      <c r="AA904" s="340">
        <f>IFERROR(VLOOKUP($G904,基本資料!$A:$M,11,0),"無")</f>
        <v>-30.5</v>
      </c>
      <c r="AB904" s="389">
        <f>IFERROR(VLOOKUP($G904,基本資料!$A:$M,12,0),"無")</f>
        <v>16.64</v>
      </c>
      <c r="AC904" s="16" t="s">
        <v>4278</v>
      </c>
      <c r="AF904" s="33">
        <f t="shared" si="163"/>
        <v>0</v>
      </c>
      <c r="AG904" s="43" t="s">
        <v>3508</v>
      </c>
      <c r="AH904" s="66">
        <f t="shared" si="165"/>
        <v>0.42016547295628554</v>
      </c>
      <c r="AI904" s="283">
        <f>RTD("money.excel",,$G904,"PredictVolume")</f>
        <v>1361</v>
      </c>
      <c r="AJ904" s="391">
        <f>IFERROR(VLOOKUP($G904,基本資料!$A:$M,13,0),"無")</f>
        <v>3239.2</v>
      </c>
      <c r="AR904" s="245" t="str">
        <f>INDEX(基本資料!N:N,MATCH($G904,基本資料!A:A,0))</f>
        <v>低</v>
      </c>
    </row>
    <row r="905" spans="1:44">
      <c r="A905" s="343">
        <f>IFERROR(VLOOKUP($G905,基本資料!$A:$J,3,0),"無")</f>
        <v>3.71</v>
      </c>
      <c r="B905" s="79">
        <f>IFERROR(VLOOKUP($G905,基本資料!$A:$J,4,0),"無")</f>
        <v>144</v>
      </c>
      <c r="C905" s="79">
        <f>IFERROR(VLOOKUP($G905,基本資料!$A:$J,5,0),"無")</f>
        <v>21</v>
      </c>
      <c r="D905" s="79">
        <f>IFERROR(VLOOKUP($G905,基本資料!$A:$J,6,0),"無")</f>
        <v>4</v>
      </c>
      <c r="E905" s="79">
        <f>IFERROR(VLOOKUP($G905,基本資料!$A:$J,7,0),"無")</f>
        <v>11</v>
      </c>
      <c r="F905" s="6">
        <f>IFERROR(VLOOKUP($G905,基本資料!$A:$J,8,0),"無")</f>
        <v>2.2799999999999998</v>
      </c>
      <c r="G905" s="79">
        <v>6246</v>
      </c>
      <c r="H905" s="8" t="s">
        <v>1877</v>
      </c>
      <c r="I905" s="16" t="s">
        <v>4279</v>
      </c>
      <c r="J905" s="8">
        <f>IFERROR(VLOOKUP($G905,今日總結!$A:$AN,39,0),"")</f>
        <v>0</v>
      </c>
      <c r="K905" s="5">
        <f>IFERROR(VLOOKUP($G905,今日總結!$A:$AN,40,0),"")</f>
        <v>0</v>
      </c>
      <c r="L905" s="156">
        <f>IFERROR(VLOOKUP($G905,今日總結!$A:$AN,37,0),"")</f>
        <v>0</v>
      </c>
      <c r="M905" s="337">
        <f>IFERROR(VLOOKUP($G905,今日總結!$A:$AN,38,0),"")</f>
        <v>0</v>
      </c>
      <c r="N905" s="240">
        <f t="shared" si="164"/>
        <v>0</v>
      </c>
      <c r="O905" s="359">
        <f>IFERROR(VLOOKUP($G905,融外自投!$A:$J,7,0),"無")</f>
        <v>65</v>
      </c>
      <c r="P905" s="79" t="str">
        <f>IFERROR(VLOOKUP($G905,融外自投!$A:$J,9,0),"無")</f>
        <v>無</v>
      </c>
      <c r="Q905" s="342">
        <f>IFERROR(VLOOKUP($G905,融外自投!$A:$J,8,0),"無")</f>
        <v>1382</v>
      </c>
      <c r="R905" s="81" t="str">
        <f>IFERROR(VLOOKUP($G905,融外自投!$A:$J,10,0),"無")</f>
        <v>無</v>
      </c>
      <c r="S905" s="324">
        <f>IFERROR(VLOOKUP($G905,'321買'!$A:$E,4,0),"'沒有資料'")</f>
        <v>565</v>
      </c>
      <c r="T905" s="186">
        <f>IFERROR(VLOOKUP($G905,基本資料!$A:$J,9,0),"無")</f>
        <v>0</v>
      </c>
      <c r="U905" s="307">
        <f t="shared" si="160"/>
        <v>0</v>
      </c>
      <c r="V905" s="94">
        <f>IFERROR(VLOOKUP($G905,基本資料!$A:$J,10,0),"無")</f>
        <v>0.91</v>
      </c>
      <c r="W905" s="36">
        <f>RTD("money.excel",,"6246","Price")</f>
        <v>13.4</v>
      </c>
      <c r="X905" s="66"/>
      <c r="Y905" s="15">
        <f t="shared" si="161"/>
        <v>13.4</v>
      </c>
      <c r="Z905" s="3" t="e">
        <f t="shared" si="162"/>
        <v>#DIV/0!</v>
      </c>
      <c r="AA905" s="340">
        <f>IFERROR(VLOOKUP($G905,基本資料!$A:$M,11,0),"無")</f>
        <v>-46.08</v>
      </c>
      <c r="AB905" s="389">
        <f>IFERROR(VLOOKUP($G905,基本資料!$A:$M,12,0),"無")</f>
        <v>18.010000000000002</v>
      </c>
      <c r="AC905" s="16" t="s">
        <v>4279</v>
      </c>
      <c r="AF905" s="33">
        <f t="shared" si="163"/>
        <v>0</v>
      </c>
      <c r="AG905" s="43" t="s">
        <v>4216</v>
      </c>
      <c r="AH905" s="66">
        <f t="shared" si="165"/>
        <v>1.9863945578231292</v>
      </c>
      <c r="AI905" s="283">
        <f>RTD("money.excel",,$G905,"PredictVolume")</f>
        <v>146</v>
      </c>
      <c r="AJ905" s="391">
        <f>IFERROR(VLOOKUP($G905,基本資料!$A:$M,13,0),"無")</f>
        <v>73.5</v>
      </c>
      <c r="AR905" s="245" t="str">
        <f>INDEX(基本資料!N:N,MATCH($G905,基本資料!A:A,0))</f>
        <v>低</v>
      </c>
    </row>
    <row r="906" spans="1:44">
      <c r="A906" s="343">
        <f>IFERROR(VLOOKUP($G906,基本資料!$A:$J,3,0),"無")</f>
        <v>29.23</v>
      </c>
      <c r="B906" s="79">
        <f>IFERROR(VLOOKUP($G906,基本資料!$A:$J,4,0),"無")</f>
        <v>69</v>
      </c>
      <c r="C906" s="79">
        <f>IFERROR(VLOOKUP($G906,基本資料!$A:$J,5,0),"無")</f>
        <v>88</v>
      </c>
      <c r="D906" s="79">
        <f>IFERROR(VLOOKUP($G906,基本資料!$A:$J,6,0),"無")</f>
        <v>-24</v>
      </c>
      <c r="E906" s="79">
        <f>IFERROR(VLOOKUP($G906,基本資料!$A:$J,7,0),"無")</f>
        <v>-7</v>
      </c>
      <c r="F906" s="6">
        <f>IFERROR(VLOOKUP($G906,基本資料!$A:$J,8,0),"無")</f>
        <v>7.15</v>
      </c>
      <c r="G906" s="79">
        <v>6278</v>
      </c>
      <c r="H906" s="8" t="s">
        <v>306</v>
      </c>
      <c r="I906" s="22" t="s">
        <v>4280</v>
      </c>
      <c r="J906" s="8">
        <f>IFERROR(VLOOKUP($G906,今日總結!$A:$AN,39,0),"")</f>
        <v>0</v>
      </c>
      <c r="K906" s="5">
        <f>IFERROR(VLOOKUP($G906,今日總結!$A:$AN,40,0),"")</f>
        <v>0</v>
      </c>
      <c r="L906" s="156">
        <f>IFERROR(VLOOKUP($G906,今日總結!$A:$AN,37,0),"")</f>
        <v>0</v>
      </c>
      <c r="M906" s="337">
        <f>IFERROR(VLOOKUP($G906,今日總結!$A:$AN,38,0),"")</f>
        <v>0</v>
      </c>
      <c r="N906" s="240">
        <f t="shared" si="164"/>
        <v>0</v>
      </c>
      <c r="O906" s="359">
        <f>IFERROR(VLOOKUP($G906,融外自投!$A:$J,7,0),"無")</f>
        <v>390</v>
      </c>
      <c r="P906" s="79">
        <f>IFERROR(VLOOKUP($G906,融外自投!$A:$J,9,0),"無")</f>
        <v>272</v>
      </c>
      <c r="Q906" s="342">
        <f>IFERROR(VLOOKUP($G906,融外自投!$A:$J,8,0),"無")</f>
        <v>377</v>
      </c>
      <c r="R906" s="81">
        <f>IFERROR(VLOOKUP($G906,融外自投!$A:$J,10,0),"無")</f>
        <v>137</v>
      </c>
      <c r="S906" s="324">
        <f>IFERROR(VLOOKUP($G906,'321買'!$A:$E,4,0),"'沒有資料'")</f>
        <v>164</v>
      </c>
      <c r="T906" s="186">
        <f>IFERROR(VLOOKUP($G906,基本資料!$A:$J,9,0),"無")</f>
        <v>6</v>
      </c>
      <c r="U906" s="307">
        <f t="shared" si="160"/>
        <v>5.7692307692307696E-2</v>
      </c>
      <c r="V906" s="94">
        <f>IFERROR(VLOOKUP($G906,基本資料!$A:$J,10,0),"無")</f>
        <v>12.7</v>
      </c>
      <c r="W906" s="36">
        <f>RTD("money.excel",,"6278","Price")</f>
        <v>104</v>
      </c>
      <c r="X906" s="66"/>
      <c r="Y906" s="15">
        <f t="shared" si="161"/>
        <v>104</v>
      </c>
      <c r="Z906" s="3" t="e">
        <f t="shared" si="162"/>
        <v>#DIV/0!</v>
      </c>
      <c r="AA906" s="340">
        <f>IFERROR(VLOOKUP($G906,基本資料!$A:$M,11,0),"無")</f>
        <v>-27.78</v>
      </c>
      <c r="AB906" s="389">
        <f>IFERROR(VLOOKUP($G906,基本資料!$A:$M,12,0),"無")</f>
        <v>26.59</v>
      </c>
      <c r="AC906" s="22" t="s">
        <v>4280</v>
      </c>
      <c r="AF906" s="33">
        <f t="shared" si="163"/>
        <v>0</v>
      </c>
      <c r="AG906" s="43" t="s">
        <v>4281</v>
      </c>
      <c r="AH906" s="66">
        <f t="shared" si="165"/>
        <v>0.64916014131939415</v>
      </c>
      <c r="AI906" s="283">
        <f>RTD("money.excel",,$G906,"PredictVolume")</f>
        <v>1571</v>
      </c>
      <c r="AJ906" s="391">
        <f>IFERROR(VLOOKUP($G906,基本資料!$A:$M,13,0),"無")</f>
        <v>2420.0500000000002</v>
      </c>
      <c r="AR906" s="245" t="str">
        <f>INDEX(基本資料!N:N,MATCH($G906,基本資料!A:A,0))</f>
        <v>低</v>
      </c>
    </row>
    <row r="907" spans="1:44">
      <c r="A907" s="343">
        <f>IFERROR(VLOOKUP($G907,基本資料!$A:$J,3,0),"無")</f>
        <v>10.47</v>
      </c>
      <c r="B907" s="79">
        <f>IFERROR(VLOOKUP($G907,基本資料!$A:$J,4,0),"無")</f>
        <v>96</v>
      </c>
      <c r="C907" s="79">
        <f>IFERROR(VLOOKUP($G907,基本資料!$A:$J,5,0),"無")</f>
        <v>17</v>
      </c>
      <c r="D907" s="79">
        <f>IFERROR(VLOOKUP($G907,基本資料!$A:$J,6,0),"無")</f>
        <v>-53</v>
      </c>
      <c r="E907" s="79">
        <f>IFERROR(VLOOKUP($G907,基本資料!$A:$J,7,0),"無")</f>
        <v>-55</v>
      </c>
      <c r="F907" s="6">
        <f>IFERROR(VLOOKUP($G907,基本資料!$A:$J,8,0),"無")</f>
        <v>-181.44</v>
      </c>
      <c r="G907" s="79">
        <v>6289</v>
      </c>
      <c r="H907" s="8" t="s">
        <v>1877</v>
      </c>
      <c r="I907" s="22" t="s">
        <v>4282</v>
      </c>
      <c r="J907" s="8" t="str">
        <f>IFERROR(VLOOKUP($G907,今日總結!$A:$AN,39,0),"")</f>
        <v/>
      </c>
      <c r="K907" s="5" t="str">
        <f>IFERROR(VLOOKUP($G907,今日總結!$A:$AN,40,0),"")</f>
        <v/>
      </c>
      <c r="L907" s="156" t="str">
        <f>IFERROR(VLOOKUP($G907,今日總結!$A:$AN,37,0),"")</f>
        <v/>
      </c>
      <c r="M907" s="337" t="str">
        <f>IFERROR(VLOOKUP($G907,今日總結!$A:$AN,38,0),"")</f>
        <v/>
      </c>
      <c r="N907" s="240" t="str">
        <f t="shared" si="164"/>
        <v/>
      </c>
      <c r="O907" s="359" t="str">
        <f>IFERROR(VLOOKUP($G907,融外自投!$A:$J,7,0),"無")</f>
        <v>無</v>
      </c>
      <c r="P907" s="79" t="str">
        <f>IFERROR(VLOOKUP($G907,融外自投!$A:$J,9,0),"無")</f>
        <v>無</v>
      </c>
      <c r="Q907" s="342" t="str">
        <f>IFERROR(VLOOKUP($G907,融外自投!$A:$J,8,0),"無")</f>
        <v>無</v>
      </c>
      <c r="R907" s="81" t="str">
        <f>IFERROR(VLOOKUP($G907,融外自投!$A:$J,10,0),"無")</f>
        <v>無</v>
      </c>
      <c r="S907" s="324" t="str">
        <f>IFERROR(VLOOKUP($G907,'321買'!$A:$E,4,0),"'沒有資料'")</f>
        <v>'沒有資料'</v>
      </c>
      <c r="T907" s="186">
        <f>IFERROR(VLOOKUP($G907,基本資料!$A:$J,9,0),"無")</f>
        <v>0</v>
      </c>
      <c r="U907" s="307">
        <f t="shared" si="160"/>
        <v>0</v>
      </c>
      <c r="V907" s="94">
        <f>IFERROR(VLOOKUP($G907,基本資料!$A:$J,10,0),"無")</f>
        <v>-0.02</v>
      </c>
      <c r="W907" s="36">
        <f>RTD("money.excel",,"6289","Price")</f>
        <v>2.5499999999999998</v>
      </c>
      <c r="X907" s="66"/>
      <c r="Y907" s="15">
        <f t="shared" si="161"/>
        <v>2.5499999999999998</v>
      </c>
      <c r="Z907" s="3" t="e">
        <f t="shared" si="162"/>
        <v>#DIV/0!</v>
      </c>
      <c r="AA907" s="340">
        <f>IFERROR(VLOOKUP($G907,基本資料!$A:$M,11,0),"無")</f>
        <v>-37.04</v>
      </c>
      <c r="AB907" s="389">
        <f>IFERROR(VLOOKUP($G907,基本資料!$A:$M,12,0),"無")</f>
        <v>9.66</v>
      </c>
      <c r="AC907" s="22" t="s">
        <v>4282</v>
      </c>
      <c r="AF907" s="33">
        <f t="shared" si="163"/>
        <v>0</v>
      </c>
      <c r="AG907" s="43" t="s">
        <v>4283</v>
      </c>
      <c r="AH907" s="66">
        <f t="shared" si="165"/>
        <v>0.42953020134228187</v>
      </c>
      <c r="AI907" s="283">
        <f>RTD("money.excel",,$G907,"PredictVolume")</f>
        <v>16</v>
      </c>
      <c r="AJ907" s="391">
        <f>IFERROR(VLOOKUP($G907,基本資料!$A:$M,13,0),"無")</f>
        <v>37.25</v>
      </c>
      <c r="AR907" s="245" t="str">
        <f>INDEX(基本資料!N:N,MATCH($G907,基本資料!A:A,0))</f>
        <v>低</v>
      </c>
    </row>
    <row r="908" spans="1:44">
      <c r="A908" s="343">
        <f>IFERROR(VLOOKUP($G908,基本資料!$A:$J,3,0),"無")</f>
        <v>6.58</v>
      </c>
      <c r="B908" s="79">
        <f>IFERROR(VLOOKUP($G908,基本資料!$A:$J,4,0),"無")</f>
        <v>14</v>
      </c>
      <c r="C908" s="79">
        <f>IFERROR(VLOOKUP($G908,基本資料!$A:$J,5,0),"無")</f>
        <v>128</v>
      </c>
      <c r="D908" s="79">
        <f>IFERROR(VLOOKUP($G908,基本資料!$A:$J,6,0),"無")</f>
        <v>-14</v>
      </c>
      <c r="E908" s="79">
        <f>IFERROR(VLOOKUP($G908,基本資料!$A:$J,7,0),"無")</f>
        <v>-6</v>
      </c>
      <c r="F908" s="6">
        <f>IFERROR(VLOOKUP($G908,基本資料!$A:$J,8,0),"無")</f>
        <v>4.38</v>
      </c>
      <c r="G908" s="79">
        <v>6405</v>
      </c>
      <c r="H908" s="8" t="s">
        <v>1877</v>
      </c>
      <c r="I908" s="22" t="s">
        <v>4284</v>
      </c>
      <c r="J908" s="8" t="str">
        <f>IFERROR(VLOOKUP($G908,今日總結!$A:$AN,39,0),"")</f>
        <v>外</v>
      </c>
      <c r="K908" s="5" t="str">
        <f>IFERROR(VLOOKUP($G908,今日總結!$A:$AN,40,0),"")</f>
        <v>主</v>
      </c>
      <c r="L908" s="156">
        <f>IFERROR(VLOOKUP($G908,今日總結!$A:$AN,37,0),"")</f>
        <v>2</v>
      </c>
      <c r="M908" s="337">
        <f>IFERROR(VLOOKUP($G908,今日總結!$A:$AN,38,0),"")</f>
        <v>6</v>
      </c>
      <c r="N908" s="240">
        <f t="shared" si="164"/>
        <v>-4</v>
      </c>
      <c r="O908" s="359">
        <f>IFERROR(VLOOKUP($G908,融外自投!$A:$J,7,0),"無")</f>
        <v>194</v>
      </c>
      <c r="P908" s="79">
        <f>IFERROR(VLOOKUP($G908,融外自投!$A:$J,9,0),"無")</f>
        <v>990</v>
      </c>
      <c r="Q908" s="342">
        <f>IFERROR(VLOOKUP($G908,融外自投!$A:$J,8,0),"無")</f>
        <v>1312</v>
      </c>
      <c r="R908" s="81" t="str">
        <f>IFERROR(VLOOKUP($G908,融外自投!$A:$J,10,0),"無")</f>
        <v>無</v>
      </c>
      <c r="S908" s="324">
        <f>IFERROR(VLOOKUP($G908,'321買'!$A:$E,4,0),"'沒有資料'")</f>
        <v>891</v>
      </c>
      <c r="T908" s="186">
        <f>IFERROR(VLOOKUP($G908,基本資料!$A:$J,9,0),"無")</f>
        <v>2</v>
      </c>
      <c r="U908" s="307">
        <f t="shared" si="160"/>
        <v>8.6956521739130432E-2</v>
      </c>
      <c r="V908" s="94">
        <f>IFERROR(VLOOKUP($G908,基本資料!$A:$J,10,0),"無")</f>
        <v>1.51</v>
      </c>
      <c r="W908" s="36">
        <f>RTD("money.excel",,"6405","Price")</f>
        <v>23</v>
      </c>
      <c r="X908" s="66"/>
      <c r="Y908" s="15">
        <f t="shared" si="161"/>
        <v>23</v>
      </c>
      <c r="Z908" s="3" t="e">
        <f t="shared" si="162"/>
        <v>#DIV/0!</v>
      </c>
      <c r="AA908" s="340">
        <f>IFERROR(VLOOKUP($G908,基本資料!$A:$M,11,0),"無")</f>
        <v>-55.51</v>
      </c>
      <c r="AB908" s="389">
        <f>IFERROR(VLOOKUP($G908,基本資料!$A:$M,12,0),"無")</f>
        <v>8.11</v>
      </c>
      <c r="AC908" s="22" t="s">
        <v>4284</v>
      </c>
      <c r="AF908" s="33">
        <f t="shared" si="163"/>
        <v>0</v>
      </c>
      <c r="AG908" s="43" t="s">
        <v>2030</v>
      </c>
      <c r="AH908" s="66">
        <f t="shared" si="165"/>
        <v>1.8168279970215933</v>
      </c>
      <c r="AI908" s="283">
        <f>RTD("money.excel",,$G908,"PredictVolume")</f>
        <v>122</v>
      </c>
      <c r="AJ908" s="391">
        <f>IFERROR(VLOOKUP($G908,基本資料!$A:$M,13,0),"無")</f>
        <v>67.150000000000006</v>
      </c>
      <c r="AR908" s="245" t="str">
        <f>INDEX(基本資料!N:N,MATCH($G908,基本資料!A:A,0))</f>
        <v>低</v>
      </c>
    </row>
    <row r="909" spans="1:44">
      <c r="A909" s="343">
        <f>IFERROR(VLOOKUP($G909,基本資料!$A:$J,3,0),"無")</f>
        <v>1.31</v>
      </c>
      <c r="B909" s="79">
        <f>IFERROR(VLOOKUP($G909,基本資料!$A:$J,4,0),"無")</f>
        <v>186</v>
      </c>
      <c r="C909" s="79">
        <f>IFERROR(VLOOKUP($G909,基本資料!$A:$J,5,0),"無")</f>
        <v>73</v>
      </c>
      <c r="D909" s="79">
        <f>IFERROR(VLOOKUP($G909,基本資料!$A:$J,6,0),"無")</f>
        <v>-15</v>
      </c>
      <c r="E909" s="79">
        <f>IFERROR(VLOOKUP($G909,基本資料!$A:$J,7,0),"無")</f>
        <v>-32</v>
      </c>
      <c r="F909" s="6">
        <f>IFERROR(VLOOKUP($G909,基本資料!$A:$J,8,0),"無")</f>
        <v>-5.13</v>
      </c>
      <c r="G909" s="79">
        <v>6419</v>
      </c>
      <c r="H909" s="8" t="s">
        <v>1877</v>
      </c>
      <c r="I909" s="16" t="s">
        <v>4285</v>
      </c>
      <c r="J909" s="8" t="str">
        <f>IFERROR(VLOOKUP($G909,今日總結!$A:$AN,39,0),"")</f>
        <v/>
      </c>
      <c r="K909" s="5" t="str">
        <f>IFERROR(VLOOKUP($G909,今日總結!$A:$AN,40,0),"")</f>
        <v/>
      </c>
      <c r="L909" s="156" t="str">
        <f>IFERROR(VLOOKUP($G909,今日總結!$A:$AN,37,0),"")</f>
        <v/>
      </c>
      <c r="M909" s="337" t="str">
        <f>IFERROR(VLOOKUP($G909,今日總結!$A:$AN,38,0),"")</f>
        <v/>
      </c>
      <c r="N909" s="240" t="str">
        <f t="shared" si="164"/>
        <v/>
      </c>
      <c r="O909" s="359" t="str">
        <f>IFERROR(VLOOKUP($G909,融外自投!$A:$J,7,0),"無")</f>
        <v>無</v>
      </c>
      <c r="P909" s="79" t="str">
        <f>IFERROR(VLOOKUP($G909,融外自投!$A:$J,9,0),"無")</f>
        <v>無</v>
      </c>
      <c r="Q909" s="342" t="str">
        <f>IFERROR(VLOOKUP($G909,融外自投!$A:$J,8,0),"無")</f>
        <v>無</v>
      </c>
      <c r="R909" s="81" t="str">
        <f>IFERROR(VLOOKUP($G909,融外自投!$A:$J,10,0),"無")</f>
        <v>無</v>
      </c>
      <c r="S909" s="324" t="str">
        <f>IFERROR(VLOOKUP($G909,'321買'!$A:$E,4,0),"'沒有資料'")</f>
        <v>'沒有資料'</v>
      </c>
      <c r="T909" s="186">
        <f>IFERROR(VLOOKUP($G909,基本資料!$A:$J,9,0),"無")</f>
        <v>0</v>
      </c>
      <c r="U909" s="307">
        <f t="shared" si="160"/>
        <v>0</v>
      </c>
      <c r="V909" s="94">
        <f>IFERROR(VLOOKUP($G909,基本資料!$A:$J,10,0),"無")</f>
        <v>4.87</v>
      </c>
      <c r="W909" s="36">
        <f>RTD("money.excel",,"6419","Price")</f>
        <v>27.5</v>
      </c>
      <c r="X909" s="66"/>
      <c r="Y909" s="15">
        <f t="shared" si="161"/>
        <v>27.5</v>
      </c>
      <c r="Z909" s="3" t="e">
        <f t="shared" si="162"/>
        <v>#DIV/0!</v>
      </c>
      <c r="AA909" s="340">
        <f>IFERROR(VLOOKUP($G909,基本資料!$A:$M,11,0),"無")</f>
        <v>-49.07</v>
      </c>
      <c r="AB909" s="389">
        <f>IFERROR(VLOOKUP($G909,基本資料!$A:$M,12,0),"無")</f>
        <v>24.73</v>
      </c>
      <c r="AC909" s="16" t="s">
        <v>4285</v>
      </c>
      <c r="AF909" s="33">
        <f t="shared" si="163"/>
        <v>0</v>
      </c>
      <c r="AG909" s="43" t="s">
        <v>2434</v>
      </c>
      <c r="AH909" s="66">
        <f t="shared" si="165"/>
        <v>4.6437994722955143</v>
      </c>
      <c r="AI909" s="283">
        <f>RTD("money.excel",,$G909,"PredictVolume")</f>
        <v>88</v>
      </c>
      <c r="AJ909" s="391">
        <f>IFERROR(VLOOKUP($G909,基本資料!$A:$M,13,0),"無")</f>
        <v>18.95</v>
      </c>
      <c r="AR909" s="245" t="str">
        <f>INDEX(基本資料!N:N,MATCH($G909,基本資料!A:A,0))</f>
        <v>低</v>
      </c>
    </row>
    <row r="910" spans="1:44">
      <c r="A910" s="343">
        <f>IFERROR(VLOOKUP($G910,基本資料!$A:$J,3,0),"無")</f>
        <v>5.72</v>
      </c>
      <c r="B910" s="79">
        <f>IFERROR(VLOOKUP($G910,基本資料!$A:$J,4,0),"無")</f>
        <v>157</v>
      </c>
      <c r="C910" s="79">
        <f>IFERROR(VLOOKUP($G910,基本資料!$A:$J,5,0),"無")</f>
        <v>84</v>
      </c>
      <c r="D910" s="79">
        <f>IFERROR(VLOOKUP($G910,基本資料!$A:$J,6,0),"無")</f>
        <v>-82</v>
      </c>
      <c r="E910" s="79">
        <f>IFERROR(VLOOKUP($G910,基本資料!$A:$J,7,0),"無")</f>
        <v>-31</v>
      </c>
      <c r="F910" s="6">
        <f>IFERROR(VLOOKUP($G910,基本資料!$A:$J,8,0),"無")</f>
        <v>-2.82</v>
      </c>
      <c r="G910" s="79">
        <v>6431</v>
      </c>
      <c r="H910" s="8" t="s">
        <v>1877</v>
      </c>
      <c r="I910" s="22" t="s">
        <v>4286</v>
      </c>
      <c r="J910" s="8" t="str">
        <f>IFERROR(VLOOKUP($G910,今日總結!$A:$AN,39,0),"")</f>
        <v/>
      </c>
      <c r="K910" s="5" t="str">
        <f>IFERROR(VLOOKUP($G910,今日總結!$A:$AN,40,0),"")</f>
        <v/>
      </c>
      <c r="L910" s="156" t="str">
        <f>IFERROR(VLOOKUP($G910,今日總結!$A:$AN,37,0),"")</f>
        <v/>
      </c>
      <c r="M910" s="337" t="str">
        <f>IFERROR(VLOOKUP($G910,今日總結!$A:$AN,38,0),"")</f>
        <v/>
      </c>
      <c r="N910" s="240" t="str">
        <f t="shared" si="164"/>
        <v/>
      </c>
      <c r="O910" s="359" t="str">
        <f>IFERROR(VLOOKUP($G910,融外自投!$A:$J,7,0),"無")</f>
        <v>無</v>
      </c>
      <c r="P910" s="79" t="str">
        <f>IFERROR(VLOOKUP($G910,融外自投!$A:$J,9,0),"無")</f>
        <v>無</v>
      </c>
      <c r="Q910" s="342" t="str">
        <f>IFERROR(VLOOKUP($G910,融外自投!$A:$J,8,0),"無")</f>
        <v>無</v>
      </c>
      <c r="R910" s="81" t="str">
        <f>IFERROR(VLOOKUP($G910,融外自投!$A:$J,10,0),"無")</f>
        <v>無</v>
      </c>
      <c r="S910" s="324" t="str">
        <f>IFERROR(VLOOKUP($G910,'321買'!$A:$E,4,0),"'沒有資料'")</f>
        <v>'沒有資料'</v>
      </c>
      <c r="T910" s="186">
        <f>IFERROR(VLOOKUP($G910,基本資料!$A:$J,9,0),"無")</f>
        <v>0</v>
      </c>
      <c r="U910" s="307">
        <f t="shared" si="160"/>
        <v>0</v>
      </c>
      <c r="V910" s="94">
        <f>IFERROR(VLOOKUP($G910,基本資料!$A:$J,10,0),"無")</f>
        <v>0.51</v>
      </c>
      <c r="W910" s="36">
        <f>RTD("money.excel",,"6431","Price")</f>
        <v>27.2</v>
      </c>
      <c r="X910" s="66"/>
      <c r="Y910" s="15">
        <f t="shared" si="161"/>
        <v>27.2</v>
      </c>
      <c r="Z910" s="3" t="e">
        <f t="shared" si="162"/>
        <v>#DIV/0!</v>
      </c>
      <c r="AA910" s="340">
        <f>IFERROR(VLOOKUP($G910,基本資料!$A:$M,11,0),"無")</f>
        <v>-32.08</v>
      </c>
      <c r="AB910" s="389">
        <f>IFERROR(VLOOKUP($G910,基本資料!$A:$M,12,0),"無")</f>
        <v>30.09</v>
      </c>
      <c r="AC910" s="22" t="s">
        <v>4286</v>
      </c>
      <c r="AF910" s="33">
        <f t="shared" si="163"/>
        <v>0</v>
      </c>
      <c r="AG910" s="43" t="s">
        <v>2188</v>
      </c>
      <c r="AH910" s="66">
        <f t="shared" si="165"/>
        <v>0.3133159268929504</v>
      </c>
      <c r="AI910" s="283">
        <f>RTD("money.excel",,$G910,"PredictVolume")</f>
        <v>12</v>
      </c>
      <c r="AJ910" s="391">
        <f>IFERROR(VLOOKUP($G910,基本資料!$A:$M,13,0),"無")</f>
        <v>38.299999999999997</v>
      </c>
      <c r="AR910" s="245" t="str">
        <f>INDEX(基本資料!N:N,MATCH($G910,基本資料!A:A,0))</f>
        <v>低</v>
      </c>
    </row>
    <row r="911" spans="1:44">
      <c r="A911" s="343">
        <f>IFERROR(VLOOKUP($G911,基本資料!$A:$J,3,0),"無")</f>
        <v>44.57</v>
      </c>
      <c r="B911" s="79">
        <f>IFERROR(VLOOKUP($G911,基本資料!$A:$J,4,0),"無")</f>
        <v>116</v>
      </c>
      <c r="C911" s="79">
        <f>IFERROR(VLOOKUP($G911,基本資料!$A:$J,5,0),"無")</f>
        <v>119</v>
      </c>
      <c r="D911" s="79">
        <f>IFERROR(VLOOKUP($G911,基本資料!$A:$J,6,0),"無")</f>
        <v>1</v>
      </c>
      <c r="E911" s="79">
        <f>IFERROR(VLOOKUP($G911,基本資料!$A:$J,7,0),"無")</f>
        <v>54</v>
      </c>
      <c r="F911" s="6">
        <f>IFERROR(VLOOKUP($G911,基本資料!$A:$J,8,0),"無")</f>
        <v>0.92</v>
      </c>
      <c r="G911" s="79">
        <v>6443</v>
      </c>
      <c r="H911" s="8" t="s">
        <v>1877</v>
      </c>
      <c r="I911" s="22" t="s">
        <v>4287</v>
      </c>
      <c r="J911" s="8">
        <f>IFERROR(VLOOKUP($G911,今日總結!$A:$AN,39,0),"")</f>
        <v>0</v>
      </c>
      <c r="K911" s="5" t="str">
        <f>IFERROR(VLOOKUP($G911,今日總結!$A:$AN,40,0),"")</f>
        <v>246同主投</v>
      </c>
      <c r="L911" s="156">
        <f>IFERROR(VLOOKUP($G911,今日總結!$A:$AN,37,0),"")</f>
        <v>0</v>
      </c>
      <c r="M911" s="337">
        <f>IFERROR(VLOOKUP($G911,今日總結!$A:$AN,38,0),"")</f>
        <v>9</v>
      </c>
      <c r="N911" s="240">
        <f t="shared" si="164"/>
        <v>-9</v>
      </c>
      <c r="O911" s="359">
        <f>IFERROR(VLOOKUP($G911,融外自投!$A:$J,7,0),"無")</f>
        <v>116</v>
      </c>
      <c r="P911" s="79">
        <f>IFERROR(VLOOKUP($G911,融外自投!$A:$J,9,0),"無")</f>
        <v>331</v>
      </c>
      <c r="Q911" s="342">
        <f>IFERROR(VLOOKUP($G911,融外自投!$A:$J,8,0),"無")</f>
        <v>312</v>
      </c>
      <c r="R911" s="81">
        <f>IFERROR(VLOOKUP($G911,融外自投!$A:$J,10,0),"無")</f>
        <v>36</v>
      </c>
      <c r="S911" s="324">
        <f>IFERROR(VLOOKUP($G911,'321買'!$A:$E,4,0),"'沒有資料'")</f>
        <v>57</v>
      </c>
      <c r="T911" s="186">
        <f>IFERROR(VLOOKUP($G911,基本資料!$A:$J,9,0),"無")</f>
        <v>0</v>
      </c>
      <c r="U911" s="307">
        <f t="shared" si="160"/>
        <v>0</v>
      </c>
      <c r="V911" s="94">
        <f>IFERROR(VLOOKUP($G911,基本資料!$A:$J,10,0),"無")</f>
        <v>0.1</v>
      </c>
      <c r="W911" s="36">
        <f>RTD("money.excel",,"6443","Price")</f>
        <v>35</v>
      </c>
      <c r="X911" s="66"/>
      <c r="Y911" s="15">
        <f t="shared" si="161"/>
        <v>35</v>
      </c>
      <c r="Z911" s="3" t="e">
        <f t="shared" si="162"/>
        <v>#DIV/0!</v>
      </c>
      <c r="AA911" s="340">
        <f>IFERROR(VLOOKUP($G911,基本資料!$A:$M,11,0),"無")</f>
        <v>-30.56</v>
      </c>
      <c r="AB911" s="389">
        <f>IFERROR(VLOOKUP($G911,基本資料!$A:$M,12,0),"無")</f>
        <v>26.98</v>
      </c>
      <c r="AC911" s="22" t="s">
        <v>4287</v>
      </c>
      <c r="AF911" s="33">
        <f t="shared" si="163"/>
        <v>0</v>
      </c>
      <c r="AG911" s="43" t="s">
        <v>4288</v>
      </c>
      <c r="AH911" s="66">
        <f t="shared" si="165"/>
        <v>0.68519522133356692</v>
      </c>
      <c r="AI911" s="314">
        <f>RTD("money.excel",,$G911,"PredictVolume")</f>
        <v>37550</v>
      </c>
      <c r="AJ911" s="391">
        <f>IFERROR(VLOOKUP($G911,基本資料!$A:$M,13,0),"無")</f>
        <v>54801.9</v>
      </c>
      <c r="AR911" s="245" t="str">
        <f>INDEX(基本資料!N:N,MATCH($G911,基本資料!A:A,0))</f>
        <v>中</v>
      </c>
    </row>
    <row r="912" spans="1:44">
      <c r="A912" s="343">
        <f>IFERROR(VLOOKUP($G912,基本資料!$A:$J,3,0),"無")</f>
        <v>33.79</v>
      </c>
      <c r="B912" s="79">
        <f>IFERROR(VLOOKUP($G912,基本資料!$A:$J,4,0),"無")</f>
        <v>16</v>
      </c>
      <c r="C912" s="79">
        <f>IFERROR(VLOOKUP($G912,基本資料!$A:$J,5,0),"無")</f>
        <v>47</v>
      </c>
      <c r="D912" s="79">
        <f>IFERROR(VLOOKUP($G912,基本資料!$A:$J,6,0),"無")</f>
        <v>-36</v>
      </c>
      <c r="E912" s="79">
        <f>IFERROR(VLOOKUP($G912,基本資料!$A:$J,7,0),"無")</f>
        <v>-23</v>
      </c>
      <c r="F912" s="6">
        <f>IFERROR(VLOOKUP($G912,基本資料!$A:$J,8,0),"無")</f>
        <v>2.83</v>
      </c>
      <c r="G912" s="79">
        <v>6456</v>
      </c>
      <c r="H912" s="192" t="s">
        <v>1877</v>
      </c>
      <c r="I912" s="22" t="s">
        <v>4289</v>
      </c>
      <c r="J912" s="8">
        <f>IFERROR(VLOOKUP($G912,今日總結!$A:$AN,39,0),"")</f>
        <v>0</v>
      </c>
      <c r="K912" s="5" t="str">
        <f>IFERROR(VLOOKUP($G912,今日總結!$A:$AN,40,0),"")</f>
        <v>主借</v>
      </c>
      <c r="L912" s="156">
        <f>IFERROR(VLOOKUP($G912,今日總結!$A:$AN,37,0),"")</f>
        <v>0</v>
      </c>
      <c r="M912" s="337">
        <f>IFERROR(VLOOKUP($G912,今日總結!$A:$AN,38,0),"")</f>
        <v>5</v>
      </c>
      <c r="N912" s="240">
        <f t="shared" si="164"/>
        <v>-5</v>
      </c>
      <c r="O912" s="359">
        <f>IFERROR(VLOOKUP($G912,融外自投!$A:$J,7,0),"無")</f>
        <v>626</v>
      </c>
      <c r="P912" s="79">
        <f>IFERROR(VLOOKUP($G912,融外自投!$A:$J,9,0),"無")</f>
        <v>365</v>
      </c>
      <c r="Q912" s="342">
        <f>IFERROR(VLOOKUP($G912,融外自投!$A:$J,8,0),"無")</f>
        <v>60</v>
      </c>
      <c r="R912" s="81">
        <f>IFERROR(VLOOKUP($G912,融外自投!$A:$J,10,0),"無")</f>
        <v>307</v>
      </c>
      <c r="S912" s="324">
        <f>IFERROR(VLOOKUP($G912,'321買'!$A:$E,4,0),"'沒有資料'")</f>
        <v>650</v>
      </c>
      <c r="T912" s="186">
        <f>IFERROR(VLOOKUP($G912,基本資料!$A:$J,9,0),"無")</f>
        <v>5</v>
      </c>
      <c r="U912" s="307">
        <f t="shared" si="160"/>
        <v>6.0679611650485431E-2</v>
      </c>
      <c r="V912" s="94">
        <f>IFERROR(VLOOKUP($G912,基本資料!$A:$J,10,0),"無")</f>
        <v>12.97</v>
      </c>
      <c r="W912" s="36">
        <f>RTD("money.excel",,"6456","Price")</f>
        <v>82.4</v>
      </c>
      <c r="X912" s="66"/>
      <c r="Y912" s="15">
        <f t="shared" si="161"/>
        <v>82.4</v>
      </c>
      <c r="Z912" s="3" t="e">
        <f t="shared" si="162"/>
        <v>#DIV/0!</v>
      </c>
      <c r="AA912" s="340">
        <f>IFERROR(VLOOKUP($G912,基本資料!$A:$M,11,0),"無")</f>
        <v>-36.86</v>
      </c>
      <c r="AB912" s="389">
        <f>IFERROR(VLOOKUP($G912,基本資料!$A:$M,12,0),"無")</f>
        <v>23.97</v>
      </c>
      <c r="AC912" s="22" t="s">
        <v>4289</v>
      </c>
      <c r="AF912" s="33">
        <f t="shared" si="163"/>
        <v>0</v>
      </c>
      <c r="AG912" s="117" t="s">
        <v>4290</v>
      </c>
      <c r="AH912" s="66">
        <f t="shared" si="165"/>
        <v>0.75070028011204482</v>
      </c>
      <c r="AI912" s="283">
        <f>RTD("money.excel",,$G912,"PredictVolume")</f>
        <v>737</v>
      </c>
      <c r="AJ912" s="391">
        <f>IFERROR(VLOOKUP($G912,基本資料!$A:$M,13,0),"無")</f>
        <v>981.75</v>
      </c>
      <c r="AR912" s="245" t="str">
        <f>INDEX(基本資料!N:N,MATCH($G912,基本資料!A:A,0))</f>
        <v>低</v>
      </c>
    </row>
    <row r="913" spans="1:44">
      <c r="A913" s="343">
        <f>IFERROR(VLOOKUP($G913,基本資料!$A:$J,3,0),"無")</f>
        <v>11.75</v>
      </c>
      <c r="B913" s="79">
        <f>IFERROR(VLOOKUP($G913,基本資料!$A:$J,4,0),"無")</f>
        <v>-49</v>
      </c>
      <c r="C913" s="79">
        <f>IFERROR(VLOOKUP($G913,基本資料!$A:$J,5,0),"無")</f>
        <v>-45</v>
      </c>
      <c r="D913" s="79">
        <f>IFERROR(VLOOKUP($G913,基本資料!$A:$J,6,0),"無")</f>
        <v>21</v>
      </c>
      <c r="E913" s="79">
        <f>IFERROR(VLOOKUP($G913,基本資料!$A:$J,7,0),"無")</f>
        <v>292</v>
      </c>
      <c r="F913" s="6">
        <f>IFERROR(VLOOKUP($G913,基本資料!$A:$J,8,0),"無")</f>
        <v>11.76</v>
      </c>
      <c r="G913" s="79">
        <v>6477</v>
      </c>
      <c r="H913" s="8" t="s">
        <v>1877</v>
      </c>
      <c r="I913" s="22" t="s">
        <v>451</v>
      </c>
      <c r="J913" s="8">
        <f>IFERROR(VLOOKUP($G913,今日總結!$A:$AN,39,0),"")</f>
        <v>0</v>
      </c>
      <c r="K913" s="5">
        <f>IFERROR(VLOOKUP($G913,今日總結!$A:$AN,40,0),"")</f>
        <v>6</v>
      </c>
      <c r="L913" s="156">
        <f>IFERROR(VLOOKUP($G913,今日總結!$A:$AN,37,0),"")</f>
        <v>0</v>
      </c>
      <c r="M913" s="337">
        <f>IFERROR(VLOOKUP($G913,今日總結!$A:$AN,38,0),"")</f>
        <v>1</v>
      </c>
      <c r="N913" s="240">
        <f t="shared" si="164"/>
        <v>-1</v>
      </c>
      <c r="O913" s="359">
        <f>IFERROR(VLOOKUP($G913,融外自投!$A:$J,7,0),"無")</f>
        <v>181</v>
      </c>
      <c r="P913" s="79">
        <f>IFERROR(VLOOKUP($G913,融外自投!$A:$J,9,0),"無")</f>
        <v>253</v>
      </c>
      <c r="Q913" s="342">
        <f>IFERROR(VLOOKUP($G913,融外自投!$A:$J,8,0),"無")</f>
        <v>894</v>
      </c>
      <c r="R913" s="81">
        <f>IFERROR(VLOOKUP($G913,融外自投!$A:$J,10,0),"無")</f>
        <v>27</v>
      </c>
      <c r="S913" s="324">
        <f>IFERROR(VLOOKUP($G913,'321買'!$A:$E,4,0),"'沒有資料'")</f>
        <v>57</v>
      </c>
      <c r="T913" s="186">
        <f>IFERROR(VLOOKUP($G913,基本資料!$A:$J,9,0),"無")</f>
        <v>0.52</v>
      </c>
      <c r="U913" s="307">
        <f t="shared" si="160"/>
        <v>9.9047619047619058E-3</v>
      </c>
      <c r="V913" s="94">
        <f>IFERROR(VLOOKUP($G913,基本資料!$A:$J,10,0),"無")</f>
        <v>1.1599999999999999</v>
      </c>
      <c r="W913" s="36">
        <f>RTD("money.excel",,"6477","Price")</f>
        <v>52.5</v>
      </c>
      <c r="X913" s="66"/>
      <c r="Y913" s="15">
        <f t="shared" si="161"/>
        <v>52.5</v>
      </c>
      <c r="Z913" s="3" t="e">
        <f t="shared" si="162"/>
        <v>#DIV/0!</v>
      </c>
      <c r="AA913" s="340">
        <f>IFERROR(VLOOKUP($G913,基本資料!$A:$M,11,0),"無")</f>
        <v>-21.76</v>
      </c>
      <c r="AB913" s="389">
        <f>IFERROR(VLOOKUP($G913,基本資料!$A:$M,12,0),"無")</f>
        <v>38.36</v>
      </c>
      <c r="AC913" s="22" t="s">
        <v>451</v>
      </c>
      <c r="AF913" s="33">
        <f t="shared" si="163"/>
        <v>0</v>
      </c>
      <c r="AG913" s="43" t="s">
        <v>3508</v>
      </c>
      <c r="AH913" s="66">
        <f t="shared" si="165"/>
        <v>0.58232490954279281</v>
      </c>
      <c r="AI913" s="283">
        <f>RTD("money.excel",,$G913,"PredictVolume")</f>
        <v>4112</v>
      </c>
      <c r="AJ913" s="391">
        <f>IFERROR(VLOOKUP($G913,基本資料!$A:$M,13,0),"無")</f>
        <v>7061.35</v>
      </c>
      <c r="AR913" s="245" t="str">
        <f>INDEX(基本資料!N:N,MATCH($G913,基本資料!A:A,0))</f>
        <v>中</v>
      </c>
    </row>
    <row r="914" spans="1:44">
      <c r="A914" s="343">
        <f>IFERROR(VLOOKUP($G914,基本資料!$A:$J,3,0),"無")</f>
        <v>2.87</v>
      </c>
      <c r="B914" s="79">
        <f>IFERROR(VLOOKUP($G914,基本資料!$A:$J,4,0),"無")</f>
        <v>107</v>
      </c>
      <c r="C914" s="79">
        <f>IFERROR(VLOOKUP($G914,基本資料!$A:$J,5,0),"無")</f>
        <v>90</v>
      </c>
      <c r="D914" s="79">
        <f>IFERROR(VLOOKUP($G914,基本資料!$A:$J,6,0),"無")</f>
        <v>-19</v>
      </c>
      <c r="E914" s="79">
        <f>IFERROR(VLOOKUP($G914,基本資料!$A:$J,7,0),"無")</f>
        <v>17</v>
      </c>
      <c r="F914" s="6">
        <f>IFERROR(VLOOKUP($G914,基本資料!$A:$J,8,0),"無")</f>
        <v>8.16</v>
      </c>
      <c r="G914" s="79">
        <v>6556</v>
      </c>
      <c r="H914" s="8" t="s">
        <v>1877</v>
      </c>
      <c r="I914" s="16" t="s">
        <v>4291</v>
      </c>
      <c r="J914" s="8" t="str">
        <f>IFERROR(VLOOKUP($G914,今日總結!$A:$AN,39,0),"")</f>
        <v/>
      </c>
      <c r="K914" s="5" t="str">
        <f>IFERROR(VLOOKUP($G914,今日總結!$A:$AN,40,0),"")</f>
        <v/>
      </c>
      <c r="L914" s="156" t="str">
        <f>IFERROR(VLOOKUP($G914,今日總結!$A:$AN,37,0),"")</f>
        <v/>
      </c>
      <c r="M914" s="337" t="str">
        <f>IFERROR(VLOOKUP($G914,今日總結!$A:$AN,38,0),"")</f>
        <v/>
      </c>
      <c r="N914" s="240" t="str">
        <f t="shared" si="164"/>
        <v/>
      </c>
      <c r="O914" s="359" t="str">
        <f>IFERROR(VLOOKUP($G914,融外自投!$A:$J,7,0),"無")</f>
        <v>無</v>
      </c>
      <c r="P914" s="79" t="str">
        <f>IFERROR(VLOOKUP($G914,融外自投!$A:$J,9,0),"無")</f>
        <v>無</v>
      </c>
      <c r="Q914" s="342" t="str">
        <f>IFERROR(VLOOKUP($G914,融外自投!$A:$J,8,0),"無")</f>
        <v>無</v>
      </c>
      <c r="R914" s="81" t="str">
        <f>IFERROR(VLOOKUP($G914,融外自投!$A:$J,10,0),"無")</f>
        <v>無</v>
      </c>
      <c r="S914" s="324" t="str">
        <f>IFERROR(VLOOKUP($G914,'321買'!$A:$E,4,0),"'沒有資料'")</f>
        <v>'沒有資料'</v>
      </c>
      <c r="T914" s="186">
        <f>IFERROR(VLOOKUP($G914,基本資料!$A:$J,9,0),"無")</f>
        <v>3.2</v>
      </c>
      <c r="U914" s="307">
        <f t="shared" si="160"/>
        <v>5.2459016393442623E-2</v>
      </c>
      <c r="V914" s="94">
        <f>IFERROR(VLOOKUP($G914,基本資料!$A:$J,10,0),"無")</f>
        <v>4.46</v>
      </c>
      <c r="W914" s="36">
        <f>RTD("money.excel",,"6556","Price")</f>
        <v>61</v>
      </c>
      <c r="X914" s="66"/>
      <c r="Y914" s="15">
        <f t="shared" si="161"/>
        <v>61</v>
      </c>
      <c r="Z914" s="3" t="e">
        <f t="shared" si="162"/>
        <v>#DIV/0!</v>
      </c>
      <c r="AA914" s="340">
        <f>IFERROR(VLOOKUP($G914,基本資料!$A:$M,11,0),"無")</f>
        <v>-23.65</v>
      </c>
      <c r="AB914" s="389">
        <f>IFERROR(VLOOKUP($G914,基本資料!$A:$M,12,0),"無")</f>
        <v>30.94</v>
      </c>
      <c r="AC914" s="16" t="s">
        <v>4291</v>
      </c>
      <c r="AF914" s="33">
        <f t="shared" si="163"/>
        <v>0</v>
      </c>
      <c r="AG914" s="43" t="s">
        <v>4292</v>
      </c>
      <c r="AH914" s="66">
        <f t="shared" si="165"/>
        <v>0.43103448275862072</v>
      </c>
      <c r="AI914" s="283">
        <f>RTD("money.excel",,$G914,"PredictVolume")</f>
        <v>5</v>
      </c>
      <c r="AJ914" s="391">
        <f>IFERROR(VLOOKUP($G914,基本資料!$A:$M,13,0),"無")</f>
        <v>11.6</v>
      </c>
      <c r="AR914" s="245" t="str">
        <f>INDEX(基本資料!N:N,MATCH($G914,基本資料!A:A,0))</f>
        <v>中</v>
      </c>
    </row>
    <row r="915" spans="1:44">
      <c r="A915" s="343">
        <f>IFERROR(VLOOKUP($G915,基本資料!$A:$J,3,0),"無")</f>
        <v>2.06</v>
      </c>
      <c r="B915" s="79">
        <f>IFERROR(VLOOKUP($G915,基本資料!$A:$J,4,0),"無")</f>
        <v>76</v>
      </c>
      <c r="C915" s="79">
        <f>IFERROR(VLOOKUP($G915,基本資料!$A:$J,5,0),"無")</f>
        <v>67</v>
      </c>
      <c r="D915" s="79">
        <f>IFERROR(VLOOKUP($G915,基本資料!$A:$J,6,0),"無")</f>
        <v>-3</v>
      </c>
      <c r="E915" s="79">
        <f>IFERROR(VLOOKUP($G915,基本資料!$A:$J,7,0),"無")</f>
        <v>-55</v>
      </c>
      <c r="F915" s="6">
        <f>IFERROR(VLOOKUP($G915,基本資料!$A:$J,8,0),"無")</f>
        <v>19.850000000000001</v>
      </c>
      <c r="G915" s="79">
        <v>6560</v>
      </c>
      <c r="H915" s="8" t="s">
        <v>1877</v>
      </c>
      <c r="I915" s="16" t="s">
        <v>4293</v>
      </c>
      <c r="J915" s="8" t="str">
        <f>IFERROR(VLOOKUP($G915,今日總結!$A:$AN,39,0),"")</f>
        <v/>
      </c>
      <c r="K915" s="5" t="str">
        <f>IFERROR(VLOOKUP($G915,今日總結!$A:$AN,40,0),"")</f>
        <v/>
      </c>
      <c r="L915" s="156" t="str">
        <f>IFERROR(VLOOKUP($G915,今日總結!$A:$AN,37,0),"")</f>
        <v/>
      </c>
      <c r="M915" s="337" t="str">
        <f>IFERROR(VLOOKUP($G915,今日總結!$A:$AN,38,0),"")</f>
        <v/>
      </c>
      <c r="N915" s="240" t="str">
        <f t="shared" si="164"/>
        <v/>
      </c>
      <c r="O915" s="359" t="str">
        <f>IFERROR(VLOOKUP($G915,融外自投!$A:$J,7,0),"無")</f>
        <v>無</v>
      </c>
      <c r="P915" s="79" t="str">
        <f>IFERROR(VLOOKUP($G915,融外自投!$A:$J,9,0),"無")</f>
        <v>無</v>
      </c>
      <c r="Q915" s="342" t="str">
        <f>IFERROR(VLOOKUP($G915,融外自投!$A:$J,8,0),"無")</f>
        <v>無</v>
      </c>
      <c r="R915" s="81" t="str">
        <f>IFERROR(VLOOKUP($G915,融外自投!$A:$J,10,0),"無")</f>
        <v>無</v>
      </c>
      <c r="S915" s="324" t="str">
        <f>IFERROR(VLOOKUP($G915,'321買'!$A:$E,4,0),"'沒有資料'")</f>
        <v>'沒有資料'</v>
      </c>
      <c r="T915" s="186">
        <f>IFERROR(VLOOKUP($G915,基本資料!$A:$J,9,0),"無")</f>
        <v>7.5</v>
      </c>
      <c r="U915" s="307">
        <f t="shared" si="160"/>
        <v>0.12274959083469722</v>
      </c>
      <c r="V915" s="94">
        <f>IFERROR(VLOOKUP($G915,基本資料!$A:$J,10,0),"無")</f>
        <v>9.43</v>
      </c>
      <c r="W915" s="36">
        <f>RTD("money.excel",,"6560","Price")</f>
        <v>61.1</v>
      </c>
      <c r="X915" s="66"/>
      <c r="Y915" s="15">
        <f t="shared" si="161"/>
        <v>61.1</v>
      </c>
      <c r="Z915" s="3" t="e">
        <f t="shared" si="162"/>
        <v>#DIV/0!</v>
      </c>
      <c r="AA915" s="340">
        <f>IFERROR(VLOOKUP($G915,基本資料!$A:$M,11,0),"無")</f>
        <v>-48.44</v>
      </c>
      <c r="AB915" s="389">
        <f>IFERROR(VLOOKUP($G915,基本資料!$A:$M,12,0),"無")</f>
        <v>12.61</v>
      </c>
      <c r="AC915" s="16" t="s">
        <v>4293</v>
      </c>
      <c r="AF915" s="33">
        <f t="shared" si="163"/>
        <v>0</v>
      </c>
      <c r="AG915" s="43" t="s">
        <v>2047</v>
      </c>
      <c r="AH915" s="66">
        <f t="shared" si="165"/>
        <v>0.46303211351755041</v>
      </c>
      <c r="AI915" s="283">
        <f>RTD("money.excel",,$G915,"PredictVolume")</f>
        <v>31</v>
      </c>
      <c r="AJ915" s="391">
        <f>IFERROR(VLOOKUP($G915,基本資料!$A:$M,13,0),"無")</f>
        <v>66.95</v>
      </c>
      <c r="AR915" s="245" t="str">
        <f>INDEX(基本資料!N:N,MATCH($G915,基本資料!A:A,0))</f>
        <v>低</v>
      </c>
    </row>
    <row r="916" spans="1:44">
      <c r="A916" s="343">
        <f>IFERROR(VLOOKUP($G916,基本資料!$A:$J,3,0),"無")</f>
        <v>7.82</v>
      </c>
      <c r="B916" s="79">
        <f>IFERROR(VLOOKUP($G916,基本資料!$A:$J,4,0),"無")</f>
        <v>-341</v>
      </c>
      <c r="C916" s="79">
        <f>IFERROR(VLOOKUP($G916,基本資料!$A:$J,5,0),"無")</f>
        <v>-214</v>
      </c>
      <c r="D916" s="79">
        <f>IFERROR(VLOOKUP($G916,基本資料!$A:$J,6,0),"無")</f>
        <v>1</v>
      </c>
      <c r="E916" s="79">
        <f>IFERROR(VLOOKUP($G916,基本資料!$A:$J,7,0),"無")</f>
        <v>6</v>
      </c>
      <c r="F916" s="6">
        <f>IFERROR(VLOOKUP($G916,基本資料!$A:$J,8,0),"無")</f>
        <v>-18.920000000000002</v>
      </c>
      <c r="G916" s="79">
        <v>6668</v>
      </c>
      <c r="H916" s="192" t="s">
        <v>1877</v>
      </c>
      <c r="I916" s="22" t="s">
        <v>4294</v>
      </c>
      <c r="J916" s="8">
        <f>IFERROR(VLOOKUP($G916,今日總結!$A:$AN,39,0),"")</f>
        <v>0</v>
      </c>
      <c r="K916" s="5">
        <f>IFERROR(VLOOKUP($G916,今日總結!$A:$AN,40,0),"")</f>
        <v>0</v>
      </c>
      <c r="L916" s="156">
        <f>IFERROR(VLOOKUP($G916,今日總結!$A:$AN,37,0),"")</f>
        <v>0</v>
      </c>
      <c r="M916" s="337">
        <f>IFERROR(VLOOKUP($G916,今日總結!$A:$AN,38,0),"")</f>
        <v>0</v>
      </c>
      <c r="N916" s="240">
        <f t="shared" si="164"/>
        <v>0</v>
      </c>
      <c r="O916" s="359">
        <f>IFERROR(VLOOKUP($G916,融外自投!$A:$J,7,0),"無")</f>
        <v>486</v>
      </c>
      <c r="P916" s="79">
        <f>IFERROR(VLOOKUP($G916,融外自投!$A:$J,9,0),"無")</f>
        <v>240</v>
      </c>
      <c r="Q916" s="342">
        <f>IFERROR(VLOOKUP($G916,融外自投!$A:$J,8,0),"無")</f>
        <v>258</v>
      </c>
      <c r="R916" s="81" t="str">
        <f>IFERROR(VLOOKUP($G916,融外自投!$A:$J,10,0),"無")</f>
        <v>無</v>
      </c>
      <c r="S916" s="324">
        <f>IFERROR(VLOOKUP($G916,'321買'!$A:$E,4,0),"'沒有資料'")</f>
        <v>696</v>
      </c>
      <c r="T916" s="186">
        <f>IFERROR(VLOOKUP($G916,基本資料!$A:$J,9,0),"無")</f>
        <v>0</v>
      </c>
      <c r="U916" s="307">
        <f t="shared" si="160"/>
        <v>0</v>
      </c>
      <c r="V916" s="94">
        <f>IFERROR(VLOOKUP($G916,基本資料!$A:$J,10,0),"無")</f>
        <v>-4.0199999999999996</v>
      </c>
      <c r="W916" s="36">
        <f>RTD("money.excel",,"6668","Price")</f>
        <v>37.700000000000003</v>
      </c>
      <c r="X916" s="66"/>
      <c r="Y916" s="15">
        <f t="shared" si="161"/>
        <v>37.700000000000003</v>
      </c>
      <c r="Z916" s="3" t="e">
        <f t="shared" si="162"/>
        <v>#DIV/0!</v>
      </c>
      <c r="AA916" s="340">
        <f>IFERROR(VLOOKUP($G916,基本資料!$A:$M,11,0),"無")</f>
        <v>-54.41</v>
      </c>
      <c r="AB916" s="389">
        <f>IFERROR(VLOOKUP($G916,基本資料!$A:$M,12,0),"無")</f>
        <v>9.06</v>
      </c>
      <c r="AC916" s="22" t="s">
        <v>4294</v>
      </c>
      <c r="AF916" s="33">
        <f t="shared" si="163"/>
        <v>0</v>
      </c>
      <c r="AG916" s="117" t="s">
        <v>2706</v>
      </c>
      <c r="AH916" s="66">
        <f t="shared" si="165"/>
        <v>0.55045871559633031</v>
      </c>
      <c r="AI916" s="283">
        <f>RTD("money.excel",,$G916,"PredictVolume")</f>
        <v>78</v>
      </c>
      <c r="AJ916" s="391">
        <f>IFERROR(VLOOKUP($G916,基本資料!$A:$M,13,0),"無")</f>
        <v>141.69999999999999</v>
      </c>
      <c r="AR916" s="245" t="str">
        <f>INDEX(基本資料!N:N,MATCH($G916,基本資料!A:A,0))</f>
        <v>低</v>
      </c>
    </row>
    <row r="917" spans="1:44">
      <c r="A917" s="343">
        <f>IFERROR(VLOOKUP($G917,基本資料!$A:$J,3,0),"無")</f>
        <v>7.35</v>
      </c>
      <c r="B917" s="79">
        <f>IFERROR(VLOOKUP($G917,基本資料!$A:$J,4,0),"無")</f>
        <v>191</v>
      </c>
      <c r="C917" s="79">
        <f>IFERROR(VLOOKUP($G917,基本資料!$A:$J,5,0),"無")</f>
        <v>178</v>
      </c>
      <c r="D917" s="79">
        <f>IFERROR(VLOOKUP($G917,基本資料!$A:$J,6,0),"無")</f>
        <v>-9</v>
      </c>
      <c r="E917" s="79">
        <f>IFERROR(VLOOKUP($G917,基本資料!$A:$J,7,0),"無")</f>
        <v>27</v>
      </c>
      <c r="F917" s="6">
        <f>IFERROR(VLOOKUP($G917,基本資料!$A:$J,8,0),"無")</f>
        <v>21.45</v>
      </c>
      <c r="G917" s="79">
        <v>6706</v>
      </c>
      <c r="H917" s="8" t="s">
        <v>306</v>
      </c>
      <c r="I917" s="22" t="s">
        <v>1741</v>
      </c>
      <c r="J917" s="8">
        <f>IFERROR(VLOOKUP($G917,今日總結!$A:$AN,39,0),"")</f>
        <v>0</v>
      </c>
      <c r="K917" s="5" t="str">
        <f>IFERROR(VLOOKUP($G917,今日總結!$A:$AN,40,0),"")</f>
        <v>24主借</v>
      </c>
      <c r="L917" s="156">
        <f>IFERROR(VLOOKUP($G917,今日總結!$A:$AN,37,0),"")</f>
        <v>0</v>
      </c>
      <c r="M917" s="337">
        <f>IFERROR(VLOOKUP($G917,今日總結!$A:$AN,38,0),"")</f>
        <v>10</v>
      </c>
      <c r="N917" s="240">
        <f t="shared" si="164"/>
        <v>-10</v>
      </c>
      <c r="O917" s="359">
        <f>IFERROR(VLOOKUP($G917,融外自投!$A:$J,7,0),"無")</f>
        <v>95</v>
      </c>
      <c r="P917" s="79">
        <f>IFERROR(VLOOKUP($G917,融外自投!$A:$J,9,0),"無")</f>
        <v>478</v>
      </c>
      <c r="Q917" s="342">
        <f>IFERROR(VLOOKUP($G917,融外自投!$A:$J,8,0),"無")</f>
        <v>494</v>
      </c>
      <c r="R917" s="81" t="str">
        <f>IFERROR(VLOOKUP($G917,融外自投!$A:$J,10,0),"無")</f>
        <v>無</v>
      </c>
      <c r="S917" s="324">
        <f>IFERROR(VLOOKUP($G917,'321買'!$A:$E,4,0),"'沒有資料'")</f>
        <v>33</v>
      </c>
      <c r="T917" s="186">
        <f>IFERROR(VLOOKUP($G917,基本資料!$A:$J,9,0),"無")</f>
        <v>10</v>
      </c>
      <c r="U917" s="307">
        <f t="shared" si="160"/>
        <v>6.8027210884353748E-2</v>
      </c>
      <c r="V917" s="94">
        <f>IFERROR(VLOOKUP($G917,基本資料!$A:$J,10,0),"無")</f>
        <v>13.98</v>
      </c>
      <c r="W917" s="36">
        <f>RTD("money.excel",,"6706","Price")</f>
        <v>147</v>
      </c>
      <c r="X917" s="66"/>
      <c r="Y917" s="15">
        <f t="shared" si="161"/>
        <v>147</v>
      </c>
      <c r="Z917" s="35" t="e">
        <f t="shared" si="162"/>
        <v>#DIV/0!</v>
      </c>
      <c r="AA917" s="340">
        <f>IFERROR(VLOOKUP($G917,基本資料!$A:$M,11,0),"無")</f>
        <v>-43.24</v>
      </c>
      <c r="AB917" s="389">
        <f>IFERROR(VLOOKUP($G917,基本資料!$A:$M,12,0),"無")</f>
        <v>7.89</v>
      </c>
      <c r="AC917" s="22" t="s">
        <v>1741</v>
      </c>
      <c r="AF917" s="33">
        <f t="shared" si="163"/>
        <v>0</v>
      </c>
      <c r="AG917" s="119" t="s">
        <v>1864</v>
      </c>
      <c r="AH917" s="66">
        <f t="shared" si="165"/>
        <v>1.9985153414714614</v>
      </c>
      <c r="AI917" s="283">
        <f>RTD("money.excel",,$G917,"PredictVolume")</f>
        <v>2423</v>
      </c>
      <c r="AJ917" s="391">
        <f>IFERROR(VLOOKUP($G917,基本資料!$A:$M,13,0),"無")</f>
        <v>1212.4000000000001</v>
      </c>
      <c r="AR917" s="245" t="str">
        <f>INDEX(基本資料!N:N,MATCH($G917,基本資料!A:A,0))</f>
        <v>低</v>
      </c>
    </row>
    <row r="918" spans="1:44">
      <c r="A918" s="343">
        <f>IFERROR(VLOOKUP($G918,基本資料!$A:$J,3,0),"無")</f>
        <v>2.48</v>
      </c>
      <c r="B918" s="79">
        <f>IFERROR(VLOOKUP($G918,基本資料!$A:$J,4,0),"無")</f>
        <v>54</v>
      </c>
      <c r="C918" s="79">
        <f>IFERROR(VLOOKUP($G918,基本資料!$A:$J,5,0),"無")</f>
        <v>93</v>
      </c>
      <c r="D918" s="79">
        <f>IFERROR(VLOOKUP($G918,基本資料!$A:$J,6,0),"無")</f>
        <v>28</v>
      </c>
      <c r="E918" s="79">
        <f>IFERROR(VLOOKUP($G918,基本資料!$A:$J,7,0),"無")</f>
        <v>49</v>
      </c>
      <c r="F918" s="6">
        <f>IFERROR(VLOOKUP($G918,基本資料!$A:$J,8,0),"無")</f>
        <v>10.01</v>
      </c>
      <c r="G918" s="79">
        <v>7402</v>
      </c>
      <c r="H918" s="8" t="s">
        <v>1877</v>
      </c>
      <c r="I918" s="16" t="s">
        <v>4295</v>
      </c>
      <c r="J918" s="8" t="str">
        <f>IFERROR(VLOOKUP($G918,今日總結!$A:$AN,39,0),"")</f>
        <v/>
      </c>
      <c r="K918" s="5" t="str">
        <f>IFERROR(VLOOKUP($G918,今日總結!$A:$AN,40,0),"")</f>
        <v/>
      </c>
      <c r="L918" s="156" t="str">
        <f>IFERROR(VLOOKUP($G918,今日總結!$A:$AN,37,0),"")</f>
        <v/>
      </c>
      <c r="M918" s="337" t="str">
        <f>IFERROR(VLOOKUP($G918,今日總結!$A:$AN,38,0),"")</f>
        <v/>
      </c>
      <c r="N918" s="240" t="str">
        <f t="shared" si="164"/>
        <v/>
      </c>
      <c r="O918" s="359" t="str">
        <f>IFERROR(VLOOKUP($G918,融外自投!$A:$J,7,0),"無")</f>
        <v>無</v>
      </c>
      <c r="P918" s="79" t="str">
        <f>IFERROR(VLOOKUP($G918,融外自投!$A:$J,9,0),"無")</f>
        <v>無</v>
      </c>
      <c r="Q918" s="342" t="str">
        <f>IFERROR(VLOOKUP($G918,融外自投!$A:$J,8,0),"無")</f>
        <v>無</v>
      </c>
      <c r="R918" s="81" t="str">
        <f>IFERROR(VLOOKUP($G918,融外自投!$A:$J,10,0),"無")</f>
        <v>無</v>
      </c>
      <c r="S918" s="324" t="str">
        <f>IFERROR(VLOOKUP($G918,'321買'!$A:$E,4,0),"'沒有資料'")</f>
        <v>'沒有資料'</v>
      </c>
      <c r="T918" s="186">
        <f>IFERROR(VLOOKUP($G918,基本資料!$A:$J,9,0),"無")</f>
        <v>1.5</v>
      </c>
      <c r="U918" s="307" t="e">
        <f t="shared" si="160"/>
        <v>#VALUE!</v>
      </c>
      <c r="V918" s="94">
        <f>IFERROR(VLOOKUP($G918,基本資料!$A:$J,10,0),"無")</f>
        <v>1.56</v>
      </c>
      <c r="W918" s="36" t="str">
        <f>RTD("money.excel",,"7402","Price")</f>
        <v>無資料</v>
      </c>
      <c r="X918" s="66"/>
      <c r="Y918" s="15" t="e">
        <f t="shared" si="161"/>
        <v>#VALUE!</v>
      </c>
      <c r="Z918" s="3" t="e">
        <f t="shared" si="162"/>
        <v>#VALUE!</v>
      </c>
      <c r="AA918" s="340">
        <f>IFERROR(VLOOKUP($G918,基本資料!$A:$M,11,0),"無")</f>
        <v>-11.93</v>
      </c>
      <c r="AB918" s="389">
        <f>IFERROR(VLOOKUP($G918,基本資料!$A:$M,12,0),"無")</f>
        <v>71.53</v>
      </c>
      <c r="AC918" s="16" t="s">
        <v>4295</v>
      </c>
      <c r="AF918" s="33">
        <f t="shared" si="163"/>
        <v>0</v>
      </c>
      <c r="AG918" s="43" t="s">
        <v>4296</v>
      </c>
      <c r="AH918" s="66">
        <f t="shared" si="165"/>
        <v>0</v>
      </c>
      <c r="AI918" s="283">
        <f>RTD("money.excel",,$G918,"PredictVolume")</f>
        <v>0</v>
      </c>
      <c r="AJ918" s="391">
        <f>IFERROR(VLOOKUP($G918,基本資料!$A:$M,13,0),"無")</f>
        <v>20.9</v>
      </c>
      <c r="AR918" s="245" t="str">
        <f>INDEX(基本資料!N:N,MATCH($G918,基本資料!A:A,0))</f>
        <v>中</v>
      </c>
    </row>
    <row r="919" spans="1:44">
      <c r="A919" s="343">
        <f>IFERROR(VLOOKUP($G919,基本資料!$A:$J,3,0),"無")</f>
        <v>11.82</v>
      </c>
      <c r="B919" s="79">
        <f>IFERROR(VLOOKUP($G919,基本資料!$A:$J,4,0),"無")</f>
        <v>26</v>
      </c>
      <c r="C919" s="79">
        <f>IFERROR(VLOOKUP($G919,基本資料!$A:$J,5,0),"無")</f>
        <v>11</v>
      </c>
      <c r="D919" s="79">
        <f>IFERROR(VLOOKUP($G919,基本資料!$A:$J,6,0),"無")</f>
        <v>-16</v>
      </c>
      <c r="E919" s="79">
        <f>IFERROR(VLOOKUP($G919,基本資料!$A:$J,7,0),"無")</f>
        <v>7</v>
      </c>
      <c r="F919" s="6">
        <f>IFERROR(VLOOKUP($G919,基本資料!$A:$J,8,0),"無")</f>
        <v>16.72</v>
      </c>
      <c r="G919" s="79">
        <v>8049</v>
      </c>
      <c r="H919" s="8" t="s">
        <v>1877</v>
      </c>
      <c r="I919" s="16" t="s">
        <v>4297</v>
      </c>
      <c r="J919" s="8">
        <f>IFERROR(VLOOKUP($G919,今日總結!$A:$AN,39,0),"")</f>
        <v>0</v>
      </c>
      <c r="K919" s="5" t="str">
        <f>IFERROR(VLOOKUP($G919,今日總結!$A:$AN,40,0),"")</f>
        <v>主</v>
      </c>
      <c r="L919" s="156">
        <f>IFERROR(VLOOKUP($G919,今日總結!$A:$AN,37,0),"")</f>
        <v>0</v>
      </c>
      <c r="M919" s="337">
        <f>IFERROR(VLOOKUP($G919,今日總結!$A:$AN,38,0),"")</f>
        <v>6</v>
      </c>
      <c r="N919" s="240">
        <f t="shared" si="164"/>
        <v>-6</v>
      </c>
      <c r="O919" s="359">
        <f>IFERROR(VLOOKUP($G919,融外自投!$A:$J,7,0),"無")</f>
        <v>1075</v>
      </c>
      <c r="P919" s="79">
        <f>IFERROR(VLOOKUP($G919,融外自投!$A:$J,9,0),"無")</f>
        <v>649</v>
      </c>
      <c r="Q919" s="342">
        <f>IFERROR(VLOOKUP($G919,融外自投!$A:$J,8,0),"無")</f>
        <v>838</v>
      </c>
      <c r="R919" s="81" t="str">
        <f>IFERROR(VLOOKUP($G919,融外自投!$A:$J,10,0),"無")</f>
        <v>無</v>
      </c>
      <c r="S919" s="324">
        <f>IFERROR(VLOOKUP($G919,'321買'!$A:$E,4,0),"'沒有資料'")</f>
        <v>891</v>
      </c>
      <c r="T919" s="186">
        <f>IFERROR(VLOOKUP($G919,基本資料!$A:$J,9,0),"無")</f>
        <v>2.1</v>
      </c>
      <c r="U919" s="307">
        <f t="shared" si="160"/>
        <v>8.519269776876269E-2</v>
      </c>
      <c r="V919" s="94">
        <f>IFERROR(VLOOKUP($G919,基本資料!$A:$J,10,0),"無")</f>
        <v>2.61</v>
      </c>
      <c r="W919" s="36">
        <f>RTD("money.excel",,"8049","Price")</f>
        <v>24.65</v>
      </c>
      <c r="X919" s="66"/>
      <c r="Y919" s="15">
        <f t="shared" si="161"/>
        <v>24.65</v>
      </c>
      <c r="Z919" s="3" t="e">
        <f t="shared" si="162"/>
        <v>#DIV/0!</v>
      </c>
      <c r="AA919" s="340">
        <f>IFERROR(VLOOKUP($G919,基本資料!$A:$M,11,0),"無")</f>
        <v>-11.17</v>
      </c>
      <c r="AB919" s="389">
        <f>IFERROR(VLOOKUP($G919,基本資料!$A:$M,12,0),"無")</f>
        <v>21.36</v>
      </c>
      <c r="AC919" s="16" t="s">
        <v>4297</v>
      </c>
      <c r="AF919" s="33">
        <f t="shared" si="163"/>
        <v>0</v>
      </c>
      <c r="AG919" s="43" t="s">
        <v>4298</v>
      </c>
      <c r="AH919" s="66">
        <f t="shared" si="165"/>
        <v>0.34544371649791544</v>
      </c>
      <c r="AI919" s="283">
        <f>RTD("money.excel",,$G919,"PredictVolume")</f>
        <v>87</v>
      </c>
      <c r="AJ919" s="391">
        <f>IFERROR(VLOOKUP($G919,基本資料!$A:$M,13,0),"無")</f>
        <v>251.85</v>
      </c>
      <c r="AR919" s="245" t="str">
        <f>INDEX(基本資料!N:N,MATCH($G919,基本資料!A:A,0))</f>
        <v>中</v>
      </c>
    </row>
    <row r="920" spans="1:44">
      <c r="A920" s="343">
        <f>IFERROR(VLOOKUP($G920,基本資料!$A:$J,3,0),"無")</f>
        <v>16.48</v>
      </c>
      <c r="B920" s="79">
        <f>IFERROR(VLOOKUP($G920,基本資料!$A:$J,4,0),"無")</f>
        <v>462</v>
      </c>
      <c r="C920" s="79">
        <f>IFERROR(VLOOKUP($G920,基本資料!$A:$J,5,0),"無")</f>
        <v>214</v>
      </c>
      <c r="D920" s="79">
        <f>IFERROR(VLOOKUP($G920,基本資料!$A:$J,6,0),"無")</f>
        <v>-5</v>
      </c>
      <c r="E920" s="79">
        <f>IFERROR(VLOOKUP($G920,基本資料!$A:$J,7,0),"無")</f>
        <v>-33</v>
      </c>
      <c r="F920" s="6">
        <f>IFERROR(VLOOKUP($G920,基本資料!$A:$J,8,0),"無")</f>
        <v>13.8</v>
      </c>
      <c r="G920" s="79">
        <v>8064</v>
      </c>
      <c r="H920" s="8" t="s">
        <v>1877</v>
      </c>
      <c r="I920" s="16" t="s">
        <v>4299</v>
      </c>
      <c r="J920" s="8">
        <f>IFERROR(VLOOKUP($G920,今日總結!$A:$AN,39,0),"")</f>
        <v>0</v>
      </c>
      <c r="K920" s="5">
        <f>IFERROR(VLOOKUP($G920,今日總結!$A:$AN,40,0),"")</f>
        <v>0</v>
      </c>
      <c r="L920" s="156">
        <f>IFERROR(VLOOKUP($G920,今日總結!$A:$AN,37,0),"")</f>
        <v>0</v>
      </c>
      <c r="M920" s="337">
        <f>IFERROR(VLOOKUP($G920,今日總結!$A:$AN,38,0),"")</f>
        <v>0</v>
      </c>
      <c r="N920" s="240">
        <f t="shared" si="164"/>
        <v>0</v>
      </c>
      <c r="O920" s="359">
        <f>IFERROR(VLOOKUP($G920,融外自投!$A:$J,7,0),"無")</f>
        <v>362</v>
      </c>
      <c r="P920" s="79">
        <f>IFERROR(VLOOKUP($G920,融外自投!$A:$J,9,0),"無")</f>
        <v>550</v>
      </c>
      <c r="Q920" s="342">
        <f>IFERROR(VLOOKUP($G920,融外自投!$A:$J,8,0),"無")</f>
        <v>560</v>
      </c>
      <c r="R920" s="81" t="str">
        <f>IFERROR(VLOOKUP($G920,融外自投!$A:$J,10,0),"無")</f>
        <v>無</v>
      </c>
      <c r="S920" s="324">
        <f>IFERROR(VLOOKUP($G920,'321買'!$A:$E,4,0),"'沒有資料'")</f>
        <v>231</v>
      </c>
      <c r="T920" s="186">
        <f>IFERROR(VLOOKUP($G920,基本資料!$A:$J,9,0),"無")</f>
        <v>1.25</v>
      </c>
      <c r="U920" s="307">
        <f t="shared" si="160"/>
        <v>6.9252077562326861E-2</v>
      </c>
      <c r="V920" s="94">
        <f>IFERROR(VLOOKUP($G920,基本資料!$A:$J,10,0),"無")</f>
        <v>2.12</v>
      </c>
      <c r="W920" s="36">
        <f>RTD("money.excel",,"8064","Price")</f>
        <v>18.05</v>
      </c>
      <c r="X920" s="66"/>
      <c r="Y920" s="15">
        <f t="shared" si="161"/>
        <v>18.05</v>
      </c>
      <c r="Z920" s="3" t="e">
        <f t="shared" si="162"/>
        <v>#DIV/0!</v>
      </c>
      <c r="AA920" s="340">
        <f>IFERROR(VLOOKUP($G920,基本資料!$A:$M,11,0),"無")</f>
        <v>-27.22</v>
      </c>
      <c r="AB920" s="389">
        <f>IFERROR(VLOOKUP($G920,基本資料!$A:$M,12,0),"無")</f>
        <v>21.22</v>
      </c>
      <c r="AC920" s="16" t="s">
        <v>4299</v>
      </c>
      <c r="AF920" s="33">
        <f t="shared" si="163"/>
        <v>0</v>
      </c>
      <c r="AG920" s="117" t="s">
        <v>4300</v>
      </c>
      <c r="AH920" s="66">
        <f t="shared" si="165"/>
        <v>0.92421441774491686</v>
      </c>
      <c r="AI920" s="283">
        <f>RTD("money.excel",,$G920,"PredictVolume")</f>
        <v>375</v>
      </c>
      <c r="AJ920" s="391">
        <f>IFERROR(VLOOKUP($G920,基本資料!$A:$M,13,0),"無")</f>
        <v>405.75</v>
      </c>
      <c r="AR920" s="245" t="str">
        <f>INDEX(基本資料!N:N,MATCH($G920,基本資料!A:A,0))</f>
        <v>低</v>
      </c>
    </row>
    <row r="921" spans="1:44">
      <c r="A921" s="343">
        <f>IFERROR(VLOOKUP($G921,基本資料!$A:$J,3,0),"無")</f>
        <v>114</v>
      </c>
      <c r="B921" s="79">
        <f>IFERROR(VLOOKUP($G921,基本資料!$A:$J,4,0),"無")</f>
        <v>41</v>
      </c>
      <c r="C921" s="79">
        <f>IFERROR(VLOOKUP($G921,基本資料!$A:$J,5,0),"無")</f>
        <v>63</v>
      </c>
      <c r="D921" s="79">
        <f>IFERROR(VLOOKUP($G921,基本資料!$A:$J,6,0),"無")</f>
        <v>1</v>
      </c>
      <c r="E921" s="79">
        <f>IFERROR(VLOOKUP($G921,基本資料!$A:$J,7,0),"無")</f>
        <v>66</v>
      </c>
      <c r="F921" s="6">
        <f>IFERROR(VLOOKUP($G921,基本資料!$A:$J,8,0),"無")</f>
        <v>15.39</v>
      </c>
      <c r="G921" s="79">
        <v>8069</v>
      </c>
      <c r="H921" s="145" t="s">
        <v>1877</v>
      </c>
      <c r="I921" s="16" t="s">
        <v>4301</v>
      </c>
      <c r="J921" s="8">
        <f>IFERROR(VLOOKUP($G921,今日總結!$A:$AN,39,0),"")</f>
        <v>24</v>
      </c>
      <c r="K921" s="5">
        <f>IFERROR(VLOOKUP($G921,今日總結!$A:$AN,40,0),"")</f>
        <v>0</v>
      </c>
      <c r="L921" s="156">
        <f>IFERROR(VLOOKUP($G921,今日總結!$A:$AN,37,0),"")</f>
        <v>2</v>
      </c>
      <c r="M921" s="337">
        <f>IFERROR(VLOOKUP($G921,今日總結!$A:$AN,38,0),"")</f>
        <v>0</v>
      </c>
      <c r="N921" s="240">
        <f t="shared" si="164"/>
        <v>2</v>
      </c>
      <c r="O921" s="359">
        <f>IFERROR(VLOOKUP($G921,融外自投!$A:$J,7,0),"無")</f>
        <v>827</v>
      </c>
      <c r="P921" s="79">
        <f>IFERROR(VLOOKUP($G921,融外自投!$A:$J,9,0),"無")</f>
        <v>142</v>
      </c>
      <c r="Q921" s="342">
        <f>IFERROR(VLOOKUP($G921,融外自投!$A:$J,8,0),"無")</f>
        <v>134</v>
      </c>
      <c r="R921" s="81">
        <f>IFERROR(VLOOKUP($G921,融外自投!$A:$J,10,0),"無")</f>
        <v>58</v>
      </c>
      <c r="S921" s="324">
        <f>IFERROR(VLOOKUP($G921,'321買'!$A:$E,4,0),"'沒有資料'")</f>
        <v>117</v>
      </c>
      <c r="T921" s="186">
        <f>IFERROR(VLOOKUP($G921,基本資料!$A:$J,9,0),"無")</f>
        <v>3.2</v>
      </c>
      <c r="U921" s="307">
        <f t="shared" si="160"/>
        <v>1.7927170868347341E-2</v>
      </c>
      <c r="V921" s="94">
        <f>IFERROR(VLOOKUP($G921,基本資料!$A:$J,10,0),"無")</f>
        <v>4.53</v>
      </c>
      <c r="W921" s="36">
        <f>RTD("money.excel",,"8069","Price")</f>
        <v>178.5</v>
      </c>
      <c r="X921" s="66"/>
      <c r="Y921" s="15">
        <f t="shared" si="161"/>
        <v>178.5</v>
      </c>
      <c r="Z921" s="3" t="e">
        <f t="shared" si="162"/>
        <v>#DIV/0!</v>
      </c>
      <c r="AA921" s="340">
        <f>IFERROR(VLOOKUP($G921,基本資料!$A:$M,11,0),"無")</f>
        <v>-8.93</v>
      </c>
      <c r="AB921" s="389">
        <f>IFERROR(VLOOKUP($G921,基本資料!$A:$M,12,0),"無")</f>
        <v>66.13</v>
      </c>
      <c r="AC921" s="16" t="s">
        <v>4301</v>
      </c>
      <c r="AF921" s="33">
        <f t="shared" si="163"/>
        <v>0</v>
      </c>
      <c r="AG921" s="117" t="s">
        <v>4302</v>
      </c>
      <c r="AH921" s="66">
        <f t="shared" si="165"/>
        <v>1.5687483937291185</v>
      </c>
      <c r="AI921" s="283">
        <f>RTD("money.excel",,$G921,"PredictVolume")</f>
        <v>36624</v>
      </c>
      <c r="AJ921" s="391">
        <f>IFERROR(VLOOKUP($G921,基本資料!$A:$M,13,0),"無")</f>
        <v>23346</v>
      </c>
      <c r="AR921" s="245" t="str">
        <f>INDEX(基本資料!N:N,MATCH($G921,基本資料!A:A,0))</f>
        <v>高</v>
      </c>
    </row>
    <row r="922" spans="1:44">
      <c r="A922" s="343">
        <f>IFERROR(VLOOKUP($G922,基本資料!$A:$J,3,0),"無")</f>
        <v>2.9</v>
      </c>
      <c r="B922" s="79">
        <f>IFERROR(VLOOKUP($G922,基本資料!$A:$J,4,0),"無")</f>
        <v>-324</v>
      </c>
      <c r="C922" s="79">
        <f>IFERROR(VLOOKUP($G922,基本資料!$A:$J,5,0),"無")</f>
        <v>-251</v>
      </c>
      <c r="D922" s="79">
        <f>IFERROR(VLOOKUP($G922,基本資料!$A:$J,6,0),"無")</f>
        <v>-30</v>
      </c>
      <c r="E922" s="79">
        <f>IFERROR(VLOOKUP($G922,基本資料!$A:$J,7,0),"無")</f>
        <v>757</v>
      </c>
      <c r="F922" s="6">
        <f>IFERROR(VLOOKUP($G922,基本資料!$A:$J,8,0),"無")</f>
        <v>-63.11</v>
      </c>
      <c r="G922" s="79">
        <v>8087</v>
      </c>
      <c r="H922" s="8" t="s">
        <v>1877</v>
      </c>
      <c r="I922" s="16" t="s">
        <v>4303</v>
      </c>
      <c r="J922" s="8" t="str">
        <f>IFERROR(VLOOKUP($G922,今日總結!$A:$AN,39,0),"")</f>
        <v/>
      </c>
      <c r="K922" s="5" t="str">
        <f>IFERROR(VLOOKUP($G922,今日總結!$A:$AN,40,0),"")</f>
        <v/>
      </c>
      <c r="L922" s="156" t="str">
        <f>IFERROR(VLOOKUP($G922,今日總結!$A:$AN,37,0),"")</f>
        <v/>
      </c>
      <c r="M922" s="337" t="str">
        <f>IFERROR(VLOOKUP($G922,今日總結!$A:$AN,38,0),"")</f>
        <v/>
      </c>
      <c r="N922" s="240" t="str">
        <f t="shared" si="164"/>
        <v/>
      </c>
      <c r="O922" s="359" t="str">
        <f>IFERROR(VLOOKUP($G922,融外自投!$A:$J,7,0),"無")</f>
        <v>無</v>
      </c>
      <c r="P922" s="79" t="str">
        <f>IFERROR(VLOOKUP($G922,融外自投!$A:$J,9,0),"無")</f>
        <v>無</v>
      </c>
      <c r="Q922" s="342" t="str">
        <f>IFERROR(VLOOKUP($G922,融外自投!$A:$J,8,0),"無")</f>
        <v>無</v>
      </c>
      <c r="R922" s="81" t="str">
        <f>IFERROR(VLOOKUP($G922,融外自投!$A:$J,10,0),"無")</f>
        <v>無</v>
      </c>
      <c r="S922" s="324" t="str">
        <f>IFERROR(VLOOKUP($G922,'321買'!$A:$E,4,0),"'沒有資料'")</f>
        <v>'沒有資料'</v>
      </c>
      <c r="T922" s="186">
        <f>IFERROR(VLOOKUP($G922,基本資料!$A:$J,9,0),"無")</f>
        <v>0</v>
      </c>
      <c r="U922" s="307">
        <f t="shared" si="160"/>
        <v>0</v>
      </c>
      <c r="V922" s="94">
        <f>IFERROR(VLOOKUP($G922,基本資料!$A:$J,10,0),"無")</f>
        <v>-0.84</v>
      </c>
      <c r="W922" s="36">
        <f>RTD("money.excel",,"8087","Price")</f>
        <v>38.6</v>
      </c>
      <c r="X922" s="66"/>
      <c r="Y922" s="15">
        <f t="shared" si="161"/>
        <v>38.6</v>
      </c>
      <c r="Z922" s="3" t="e">
        <f t="shared" si="162"/>
        <v>#DIV/0!</v>
      </c>
      <c r="AA922" s="340">
        <f>IFERROR(VLOOKUP($G922,基本資料!$A:$M,11,0),"無")</f>
        <v>-32.28</v>
      </c>
      <c r="AB922" s="389">
        <f>IFERROR(VLOOKUP($G922,基本資料!$A:$M,12,0),"無")</f>
        <v>57.05</v>
      </c>
      <c r="AC922" s="16" t="s">
        <v>4303</v>
      </c>
      <c r="AF922" s="33">
        <f t="shared" si="163"/>
        <v>0</v>
      </c>
      <c r="AG922" s="43" t="s">
        <v>4304</v>
      </c>
      <c r="AH922" s="66">
        <f t="shared" si="165"/>
        <v>0.74963809225713052</v>
      </c>
      <c r="AI922" s="283">
        <f>RTD("money.excel",,$G922,"PredictVolume")</f>
        <v>958</v>
      </c>
      <c r="AJ922" s="391">
        <f>IFERROR(VLOOKUP($G922,基本資料!$A:$M,13,0),"無")</f>
        <v>1277.95</v>
      </c>
      <c r="AR922" s="245" t="str">
        <f>INDEX(基本資料!N:N,MATCH($G922,基本資料!A:A,0))</f>
        <v>中</v>
      </c>
    </row>
    <row r="923" spans="1:44">
      <c r="A923" s="343">
        <f>IFERROR(VLOOKUP($G923,基本資料!$A:$J,3,0),"無")</f>
        <v>7.46</v>
      </c>
      <c r="B923" s="79">
        <f>IFERROR(VLOOKUP($G923,基本資料!$A:$J,4,0),"無")</f>
        <v>1</v>
      </c>
      <c r="C923" s="79">
        <f>IFERROR(VLOOKUP($G923,基本資料!$A:$J,5,0),"無")</f>
        <v>-14</v>
      </c>
      <c r="D923" s="79">
        <f>IFERROR(VLOOKUP($G923,基本資料!$A:$J,6,0),"無")</f>
        <v>62</v>
      </c>
      <c r="E923" s="79">
        <f>IFERROR(VLOOKUP($G923,基本資料!$A:$J,7,0),"無")</f>
        <v>4</v>
      </c>
      <c r="F923" s="6">
        <f>IFERROR(VLOOKUP($G923,基本資料!$A:$J,8,0),"無")</f>
        <v>6.7</v>
      </c>
      <c r="G923" s="79">
        <v>8104</v>
      </c>
      <c r="H923" s="8" t="s">
        <v>1877</v>
      </c>
      <c r="I923" s="22" t="s">
        <v>4305</v>
      </c>
      <c r="J923" s="8">
        <f>IFERROR(VLOOKUP($G923,今日總結!$A:$AN,39,0),"")</f>
        <v>0</v>
      </c>
      <c r="K923" s="5">
        <f>IFERROR(VLOOKUP($G923,今日總結!$A:$AN,40,0),"")</f>
        <v>0</v>
      </c>
      <c r="L923" s="156">
        <f>IFERROR(VLOOKUP($G923,今日總結!$A:$AN,37,0),"")</f>
        <v>0</v>
      </c>
      <c r="M923" s="337">
        <f>IFERROR(VLOOKUP($G923,今日總結!$A:$AN,38,0),"")</f>
        <v>0</v>
      </c>
      <c r="N923" s="240">
        <f t="shared" si="164"/>
        <v>0</v>
      </c>
      <c r="O923" s="359">
        <f>IFERROR(VLOOKUP($G923,融外自投!$A:$J,7,0),"無")</f>
        <v>228</v>
      </c>
      <c r="P923" s="79">
        <f>IFERROR(VLOOKUP($G923,融外自投!$A:$J,9,0),"無")</f>
        <v>762</v>
      </c>
      <c r="Q923" s="342">
        <f>IFERROR(VLOOKUP($G923,融外自投!$A:$J,8,0),"無")</f>
        <v>726</v>
      </c>
      <c r="R923" s="81">
        <f>IFERROR(VLOOKUP($G923,融外自投!$A:$J,10,0),"無")</f>
        <v>64</v>
      </c>
      <c r="S923" s="324">
        <f>IFERROR(VLOOKUP($G923,'321買'!$A:$E,4,0),"'沒有資料'")</f>
        <v>186</v>
      </c>
      <c r="T923" s="186">
        <f>IFERROR(VLOOKUP($G923,基本資料!$A:$J,9,0),"無")</f>
        <v>2</v>
      </c>
      <c r="U923" s="307">
        <f t="shared" si="160"/>
        <v>4.2016806722689072E-2</v>
      </c>
      <c r="V923" s="94">
        <f>IFERROR(VLOOKUP($G923,基本資料!$A:$J,10,0),"無")</f>
        <v>2.86</v>
      </c>
      <c r="W923" s="36">
        <f>RTD("money.excel",,"8104","Price")</f>
        <v>47.6</v>
      </c>
      <c r="X923" s="66"/>
      <c r="Y923" s="15">
        <f t="shared" si="161"/>
        <v>47.6</v>
      </c>
      <c r="Z923" s="3" t="e">
        <f t="shared" si="162"/>
        <v>#DIV/0!</v>
      </c>
      <c r="AA923" s="340">
        <f>IFERROR(VLOOKUP($G923,基本資料!$A:$M,11,0),"無")</f>
        <v>-49.36</v>
      </c>
      <c r="AB923" s="389">
        <f>IFERROR(VLOOKUP($G923,基本資料!$A:$M,12,0),"無")</f>
        <v>9.51</v>
      </c>
      <c r="AC923" s="22" t="s">
        <v>4305</v>
      </c>
      <c r="AF923" s="33">
        <f t="shared" si="163"/>
        <v>0</v>
      </c>
      <c r="AG923" s="117" t="s">
        <v>4306</v>
      </c>
      <c r="AH923" s="66">
        <f t="shared" si="165"/>
        <v>0.91948917268184338</v>
      </c>
      <c r="AI923" s="283">
        <f>RTD("money.excel",,$G923,"PredictVolume")</f>
        <v>414</v>
      </c>
      <c r="AJ923" s="391">
        <f>IFERROR(VLOOKUP($G923,基本資料!$A:$M,13,0),"無")</f>
        <v>450.25</v>
      </c>
      <c r="AR923" s="245" t="str">
        <f>INDEX(基本資料!N:N,MATCH($G923,基本資料!A:A,0))</f>
        <v>低</v>
      </c>
    </row>
    <row r="924" spans="1:44">
      <c r="A924" s="343">
        <f>IFERROR(VLOOKUP($G924,基本資料!$A:$J,3,0),"無")</f>
        <v>44.15</v>
      </c>
      <c r="B924" s="79">
        <f>IFERROR(VLOOKUP($G924,基本資料!$A:$J,4,0),"無")</f>
        <v>108</v>
      </c>
      <c r="C924" s="79">
        <f>IFERROR(VLOOKUP($G924,基本資料!$A:$J,5,0),"無")</f>
        <v>116</v>
      </c>
      <c r="D924" s="79">
        <f>IFERROR(VLOOKUP($G924,基本資料!$A:$J,6,0),"無")</f>
        <v>-18</v>
      </c>
      <c r="E924" s="79">
        <f>IFERROR(VLOOKUP($G924,基本資料!$A:$J,7,0),"無")</f>
        <v>-17</v>
      </c>
      <c r="F924" s="6">
        <f>IFERROR(VLOOKUP($G924,基本資料!$A:$J,8,0),"無")</f>
        <v>1.23</v>
      </c>
      <c r="G924" s="79">
        <v>8105</v>
      </c>
      <c r="H924" s="8" t="s">
        <v>1877</v>
      </c>
      <c r="I924" s="22" t="s">
        <v>4307</v>
      </c>
      <c r="J924" s="8">
        <f>IFERROR(VLOOKUP($G924,今日總結!$A:$AN,39,0),"")</f>
        <v>0</v>
      </c>
      <c r="K924" s="5">
        <f>IFERROR(VLOOKUP($G924,今日總結!$A:$AN,40,0),"")</f>
        <v>0</v>
      </c>
      <c r="L924" s="156">
        <f>IFERROR(VLOOKUP($G924,今日總結!$A:$AN,37,0),"")</f>
        <v>0</v>
      </c>
      <c r="M924" s="337">
        <f>IFERROR(VLOOKUP($G924,今日總結!$A:$AN,38,0),"")</f>
        <v>0</v>
      </c>
      <c r="N924" s="240">
        <f t="shared" si="164"/>
        <v>0</v>
      </c>
      <c r="O924" s="359">
        <f>IFERROR(VLOOKUP($G924,融外自投!$A:$J,7,0),"無")</f>
        <v>612</v>
      </c>
      <c r="P924" s="79">
        <f>IFERROR(VLOOKUP($G924,融外自投!$A:$J,9,0),"無")</f>
        <v>219</v>
      </c>
      <c r="Q924" s="342">
        <f>IFERROR(VLOOKUP($G924,融外自投!$A:$J,8,0),"無")</f>
        <v>51</v>
      </c>
      <c r="R924" s="81" t="str">
        <f>IFERROR(VLOOKUP($G924,融外自投!$A:$J,10,0),"無")</f>
        <v>無</v>
      </c>
      <c r="S924" s="324">
        <f>IFERROR(VLOOKUP($G924,'321買'!$A:$E,4,0),"'沒有資料'")</f>
        <v>891</v>
      </c>
      <c r="T924" s="186">
        <f>IFERROR(VLOOKUP($G924,基本資料!$A:$J,9,0),"無")</f>
        <v>0</v>
      </c>
      <c r="U924" s="307">
        <f t="shared" si="160"/>
        <v>0</v>
      </c>
      <c r="V924" s="94">
        <f>IFERROR(VLOOKUP($G924,基本資料!$A:$J,10,0),"無")</f>
        <v>0.21</v>
      </c>
      <c r="W924" s="36">
        <f>RTD("money.excel",,"8105","Price")</f>
        <v>10.45</v>
      </c>
      <c r="X924" s="66"/>
      <c r="Y924" s="15">
        <f t="shared" si="161"/>
        <v>10.45</v>
      </c>
      <c r="Z924" s="3" t="e">
        <f t="shared" si="162"/>
        <v>#DIV/0!</v>
      </c>
      <c r="AA924" s="340">
        <f>IFERROR(VLOOKUP($G924,基本資料!$A:$M,11,0),"無")</f>
        <v>-27.93</v>
      </c>
      <c r="AB924" s="389">
        <f>IFERROR(VLOOKUP($G924,基本資料!$A:$M,12,0),"無")</f>
        <v>17.72</v>
      </c>
      <c r="AC924" s="22" t="s">
        <v>4307</v>
      </c>
      <c r="AF924" s="33">
        <f t="shared" si="163"/>
        <v>0</v>
      </c>
      <c r="AG924" s="117" t="s">
        <v>4308</v>
      </c>
      <c r="AH924" s="66">
        <f t="shared" si="165"/>
        <v>1.0033927669096947</v>
      </c>
      <c r="AI924" s="283">
        <f>RTD("money.excel",,$G924,"PredictVolume")</f>
        <v>695</v>
      </c>
      <c r="AJ924" s="391">
        <f>IFERROR(VLOOKUP($G924,基本資料!$A:$M,13,0),"無")</f>
        <v>692.65</v>
      </c>
      <c r="AR924" s="245" t="str">
        <f>INDEX(基本資料!N:N,MATCH($G924,基本資料!A:A,0))</f>
        <v>低</v>
      </c>
    </row>
    <row r="925" spans="1:44">
      <c r="A925" s="343">
        <f>IFERROR(VLOOKUP($G925,基本資料!$A:$J,3,0),"無")</f>
        <v>10.91</v>
      </c>
      <c r="B925" s="79">
        <f>IFERROR(VLOOKUP($G925,基本資料!$A:$J,4,0),"無")</f>
        <v>191</v>
      </c>
      <c r="C925" s="79">
        <f>IFERROR(VLOOKUP($G925,基本資料!$A:$J,5,0),"無")</f>
        <v>10</v>
      </c>
      <c r="D925" s="79">
        <f>IFERROR(VLOOKUP($G925,基本資料!$A:$J,6,0),"無")</f>
        <v>1</v>
      </c>
      <c r="E925" s="79">
        <f>IFERROR(VLOOKUP($G925,基本資料!$A:$J,7,0),"無")</f>
        <v>-32</v>
      </c>
      <c r="F925" s="6">
        <f>IFERROR(VLOOKUP($G925,基本資料!$A:$J,8,0),"無")</f>
        <v>13.97</v>
      </c>
      <c r="G925" s="79">
        <v>8111</v>
      </c>
      <c r="H925" s="8" t="s">
        <v>1877</v>
      </c>
      <c r="I925" s="16" t="s">
        <v>4309</v>
      </c>
      <c r="J925" s="8">
        <f>IFERROR(VLOOKUP($G925,今日總結!$A:$AN,39,0),"")</f>
        <v>0</v>
      </c>
      <c r="K925" s="5">
        <f>IFERROR(VLOOKUP($G925,今日總結!$A:$AN,40,0),"")</f>
        <v>0</v>
      </c>
      <c r="L925" s="156">
        <f>IFERROR(VLOOKUP($G925,今日總結!$A:$AN,37,0),"")</f>
        <v>0</v>
      </c>
      <c r="M925" s="337">
        <f>IFERROR(VLOOKUP($G925,今日總結!$A:$AN,38,0),"")</f>
        <v>0</v>
      </c>
      <c r="N925" s="240">
        <f t="shared" si="164"/>
        <v>0</v>
      </c>
      <c r="O925" s="359">
        <f>IFERROR(VLOOKUP($G925,融外自投!$A:$J,7,0),"無")</f>
        <v>302</v>
      </c>
      <c r="P925" s="79">
        <f>IFERROR(VLOOKUP($G925,融外自投!$A:$J,9,0),"無")</f>
        <v>225</v>
      </c>
      <c r="Q925" s="342">
        <f>IFERROR(VLOOKUP($G925,融外自投!$A:$J,8,0),"無")</f>
        <v>991</v>
      </c>
      <c r="R925" s="81" t="str">
        <f>IFERROR(VLOOKUP($G925,融外自投!$A:$J,10,0),"無")</f>
        <v>無</v>
      </c>
      <c r="S925" s="324">
        <f>IFERROR(VLOOKUP($G925,'321買'!$A:$E,4,0),"'沒有資料'")</f>
        <v>272</v>
      </c>
      <c r="T925" s="186">
        <f>IFERROR(VLOOKUP($G925,基本資料!$A:$J,9,0),"無")</f>
        <v>2.1</v>
      </c>
      <c r="U925" s="307">
        <f t="shared" si="160"/>
        <v>9.8823529411764713E-2</v>
      </c>
      <c r="V925" s="94">
        <f>IFERROR(VLOOKUP($G925,基本資料!$A:$J,10,0),"無")</f>
        <v>3.61</v>
      </c>
      <c r="W925" s="36">
        <f>RTD("money.excel",,"8111","Price")</f>
        <v>21.25</v>
      </c>
      <c r="X925" s="66"/>
      <c r="Y925" s="15">
        <f t="shared" si="161"/>
        <v>21.25</v>
      </c>
      <c r="Z925" s="3" t="e">
        <f t="shared" si="162"/>
        <v>#DIV/0!</v>
      </c>
      <c r="AA925" s="340">
        <f>IFERROR(VLOOKUP($G925,基本資料!$A:$M,11,0),"無")</f>
        <v>-36.57</v>
      </c>
      <c r="AB925" s="389">
        <f>IFERROR(VLOOKUP($G925,基本資料!$A:$M,12,0),"無")</f>
        <v>15.02</v>
      </c>
      <c r="AC925" s="16" t="s">
        <v>4309</v>
      </c>
      <c r="AF925" s="33">
        <f t="shared" si="163"/>
        <v>0</v>
      </c>
      <c r="AG925" s="43" t="s">
        <v>4310</v>
      </c>
      <c r="AH925" s="66">
        <f t="shared" si="165"/>
        <v>1.0789865871833084</v>
      </c>
      <c r="AI925" s="283">
        <f>RTD("money.excel",,$G925,"PredictVolume")</f>
        <v>543</v>
      </c>
      <c r="AJ925" s="391">
        <f>IFERROR(VLOOKUP($G925,基本資料!$A:$M,13,0),"無")</f>
        <v>503.25</v>
      </c>
      <c r="AR925" s="245" t="str">
        <f>INDEX(基本資料!N:N,MATCH($G925,基本資料!A:A,0))</f>
        <v>低</v>
      </c>
    </row>
    <row r="926" spans="1:44">
      <c r="A926" s="343">
        <f>IFERROR(VLOOKUP($G926,基本資料!$A:$J,3,0),"無")</f>
        <v>32.06</v>
      </c>
      <c r="B926" s="79">
        <f>IFERROR(VLOOKUP($G926,基本資料!$A:$J,4,0),"無")</f>
        <v>144</v>
      </c>
      <c r="C926" s="79">
        <f>IFERROR(VLOOKUP($G926,基本資料!$A:$J,5,0),"無")</f>
        <v>78</v>
      </c>
      <c r="D926" s="79">
        <f>IFERROR(VLOOKUP($G926,基本資料!$A:$J,6,0),"無")</f>
        <v>1</v>
      </c>
      <c r="E926" s="79">
        <f>IFERROR(VLOOKUP($G926,基本資料!$A:$J,7,0),"無")</f>
        <v>3</v>
      </c>
      <c r="F926" s="6">
        <f>IFERROR(VLOOKUP($G926,基本資料!$A:$J,8,0),"無")</f>
        <v>5.93</v>
      </c>
      <c r="G926" s="79">
        <v>8215</v>
      </c>
      <c r="H926" s="8" t="s">
        <v>1877</v>
      </c>
      <c r="I926" s="22" t="s">
        <v>4311</v>
      </c>
      <c r="J926" s="8">
        <f>IFERROR(VLOOKUP($G926,今日總結!$A:$AN,39,0),"")</f>
        <v>0</v>
      </c>
      <c r="K926" s="5">
        <f>IFERROR(VLOOKUP($G926,今日總結!$A:$AN,40,0),"")</f>
        <v>0</v>
      </c>
      <c r="L926" s="156">
        <f>IFERROR(VLOOKUP($G926,今日總結!$A:$AN,37,0),"")</f>
        <v>0</v>
      </c>
      <c r="M926" s="337">
        <f>IFERROR(VLOOKUP($G926,今日總結!$A:$AN,38,0),"")</f>
        <v>0</v>
      </c>
      <c r="N926" s="240">
        <f t="shared" si="164"/>
        <v>0</v>
      </c>
      <c r="O926" s="359">
        <f>IFERROR(VLOOKUP($G926,融外自投!$A:$J,7,0),"無")</f>
        <v>437</v>
      </c>
      <c r="P926" s="79">
        <f>IFERROR(VLOOKUP($G926,融外自投!$A:$J,9,0),"無")</f>
        <v>515</v>
      </c>
      <c r="Q926" s="342">
        <f>IFERROR(VLOOKUP($G926,融外自投!$A:$J,8,0),"無")</f>
        <v>929</v>
      </c>
      <c r="R926" s="81">
        <f>IFERROR(VLOOKUP($G926,融外自投!$A:$J,10,0),"無")</f>
        <v>413</v>
      </c>
      <c r="S926" s="324">
        <f>IFERROR(VLOOKUP($G926,'321買'!$A:$E,4,0),"'沒有資料'")</f>
        <v>164</v>
      </c>
      <c r="T926" s="186">
        <f>IFERROR(VLOOKUP($G926,基本資料!$A:$J,9,0),"無")</f>
        <v>1.5</v>
      </c>
      <c r="U926" s="307">
        <f t="shared" si="160"/>
        <v>4.4843049327354258E-2</v>
      </c>
      <c r="V926" s="94">
        <f>IFERROR(VLOOKUP($G926,基本資料!$A:$J,10,0),"無")</f>
        <v>3.03</v>
      </c>
      <c r="W926" s="36">
        <f>RTD("money.excel",,"8215","Price")</f>
        <v>33.450000000000003</v>
      </c>
      <c r="X926" s="66"/>
      <c r="Y926" s="15">
        <f t="shared" si="161"/>
        <v>33.450000000000003</v>
      </c>
      <c r="Z926" s="3" t="e">
        <f t="shared" si="162"/>
        <v>#DIV/0!</v>
      </c>
      <c r="AA926" s="340">
        <f>IFERROR(VLOOKUP($G926,基本資料!$A:$M,11,0),"無")</f>
        <v>-25.08</v>
      </c>
      <c r="AB926" s="389">
        <f>IFERROR(VLOOKUP($G926,基本資料!$A:$M,12,0),"無")</f>
        <v>34.32</v>
      </c>
      <c r="AC926" s="22" t="s">
        <v>4311</v>
      </c>
      <c r="AF926" s="33">
        <f t="shared" si="163"/>
        <v>0</v>
      </c>
      <c r="AG926" s="43" t="s">
        <v>4160</v>
      </c>
      <c r="AH926" s="66">
        <f t="shared" si="165"/>
        <v>1.0540592908351094</v>
      </c>
      <c r="AI926" s="283">
        <f>RTD("money.excel",,$G926,"PredictVolume")</f>
        <v>2992</v>
      </c>
      <c r="AJ926" s="391">
        <f>IFERROR(VLOOKUP($G926,基本資料!$A:$M,13,0),"無")</f>
        <v>2838.55</v>
      </c>
      <c r="AR926" s="245" t="str">
        <f>INDEX(基本資料!N:N,MATCH($G926,基本資料!A:A,0))</f>
        <v>低</v>
      </c>
    </row>
    <row r="927" spans="1:44">
      <c r="A927" s="343">
        <f>IFERROR(VLOOKUP($G927,基本資料!$A:$J,3,0),"無")</f>
        <v>10</v>
      </c>
      <c r="B927" s="79">
        <f>IFERROR(VLOOKUP($G927,基本資料!$A:$J,4,0),"無")</f>
        <v>88</v>
      </c>
      <c r="C927" s="79">
        <f>IFERROR(VLOOKUP($G927,基本資料!$A:$J,5,0),"無")</f>
        <v>38</v>
      </c>
      <c r="D927" s="79">
        <f>IFERROR(VLOOKUP($G927,基本資料!$A:$J,6,0),"無")</f>
        <v>-13</v>
      </c>
      <c r="E927" s="79">
        <f>IFERROR(VLOOKUP($G927,基本資料!$A:$J,7,0),"無")</f>
        <v>-4</v>
      </c>
      <c r="F927" s="6">
        <f>IFERROR(VLOOKUP($G927,基本資料!$A:$J,8,0),"無")</f>
        <v>3.37</v>
      </c>
      <c r="G927" s="79">
        <v>8240</v>
      </c>
      <c r="H927" s="8" t="s">
        <v>1877</v>
      </c>
      <c r="I927" s="16" t="s">
        <v>4312</v>
      </c>
      <c r="J927" s="8">
        <f>IFERROR(VLOOKUP($G927,今日總結!$A:$AN,39,0),"")</f>
        <v>0</v>
      </c>
      <c r="K927" s="5">
        <f>IFERROR(VLOOKUP($G927,今日總結!$A:$AN,40,0),"")</f>
        <v>0</v>
      </c>
      <c r="L927" s="156">
        <f>IFERROR(VLOOKUP($G927,今日總結!$A:$AN,37,0),"")</f>
        <v>0</v>
      </c>
      <c r="M927" s="337">
        <f>IFERROR(VLOOKUP($G927,今日總結!$A:$AN,38,0),"")</f>
        <v>0</v>
      </c>
      <c r="N927" s="240">
        <f t="shared" si="164"/>
        <v>0</v>
      </c>
      <c r="O927" s="359">
        <f>IFERROR(VLOOKUP($G927,融外自投!$A:$J,7,0),"無")</f>
        <v>822</v>
      </c>
      <c r="P927" s="79" t="str">
        <f>IFERROR(VLOOKUP($G927,融外自投!$A:$J,9,0),"無")</f>
        <v>無</v>
      </c>
      <c r="Q927" s="342">
        <f>IFERROR(VLOOKUP($G927,融外自投!$A:$J,8,0),"無")</f>
        <v>730</v>
      </c>
      <c r="R927" s="81" t="str">
        <f>IFERROR(VLOOKUP($G927,融外自投!$A:$J,10,0),"無")</f>
        <v>無</v>
      </c>
      <c r="S927" s="324">
        <f>IFERROR(VLOOKUP($G927,'321買'!$A:$E,4,0),"'沒有資料'")</f>
        <v>1002</v>
      </c>
      <c r="T927" s="186">
        <f>IFERROR(VLOOKUP($G927,基本資料!$A:$J,9,0),"無")</f>
        <v>2.5</v>
      </c>
      <c r="U927" s="307">
        <f t="shared" si="160"/>
        <v>8.1967213114754092E-2</v>
      </c>
      <c r="V927" s="94">
        <f>IFERROR(VLOOKUP($G927,基本資料!$A:$J,10,0),"無")</f>
        <v>4.3899999999999997</v>
      </c>
      <c r="W927" s="36">
        <f>RTD("money.excel",,"8240","Price")</f>
        <v>30.5</v>
      </c>
      <c r="X927" s="66"/>
      <c r="Y927" s="15">
        <f t="shared" si="161"/>
        <v>30.5</v>
      </c>
      <c r="Z927" s="3" t="e">
        <f t="shared" si="162"/>
        <v>#DIV/0!</v>
      </c>
      <c r="AA927" s="340">
        <f>IFERROR(VLOOKUP($G927,基本資料!$A:$M,11,0),"無")</f>
        <v>-17.46</v>
      </c>
      <c r="AB927" s="389">
        <f>IFERROR(VLOOKUP($G927,基本資料!$A:$M,12,0),"無")</f>
        <v>26.9</v>
      </c>
      <c r="AC927" s="16" t="s">
        <v>4312</v>
      </c>
      <c r="AF927" s="33">
        <f t="shared" si="163"/>
        <v>0</v>
      </c>
      <c r="AG927" s="43" t="s">
        <v>4313</v>
      </c>
      <c r="AH927" s="66">
        <f t="shared" si="165"/>
        <v>0.92687950566426369</v>
      </c>
      <c r="AI927" s="283">
        <f>RTD("money.excel",,$G927,"PredictVolume")</f>
        <v>45</v>
      </c>
      <c r="AJ927" s="391">
        <f>IFERROR(VLOOKUP($G927,基本資料!$A:$M,13,0),"無")</f>
        <v>48.55</v>
      </c>
      <c r="AR927" s="245" t="str">
        <f>INDEX(基本資料!N:N,MATCH($G927,基本資料!A:A,0))</f>
        <v>中</v>
      </c>
    </row>
    <row r="928" spans="1:44">
      <c r="A928" s="142"/>
      <c r="B928" s="80"/>
      <c r="C928" s="80"/>
      <c r="D928" s="79"/>
      <c r="E928" s="79"/>
      <c r="F928" s="6"/>
      <c r="G928" s="79"/>
      <c r="H928" s="8"/>
      <c r="I928" s="16"/>
      <c r="L928" s="2"/>
      <c r="R928" s="26"/>
      <c r="T928" s="34"/>
      <c r="V928" s="94"/>
      <c r="W928" s="36"/>
      <c r="X928" s="66"/>
      <c r="Y928" s="15"/>
      <c r="Z928" s="3"/>
      <c r="AC928" s="16"/>
      <c r="AF928" s="33"/>
      <c r="AG928" s="43"/>
      <c r="AH928" s="66" t="e">
        <f t="shared" si="165"/>
        <v>#DIV/0!</v>
      </c>
      <c r="AI928" s="283"/>
    </row>
    <row r="929" spans="1:44">
      <c r="A929" s="127" t="s">
        <v>3875</v>
      </c>
      <c r="B929" s="90" t="s">
        <v>3876</v>
      </c>
      <c r="C929" s="90" t="s">
        <v>3877</v>
      </c>
      <c r="D929" s="90" t="s">
        <v>3878</v>
      </c>
      <c r="E929" s="90" t="s">
        <v>3879</v>
      </c>
      <c r="F929" s="8" t="s">
        <v>3880</v>
      </c>
      <c r="G929" s="27" t="s">
        <v>514</v>
      </c>
      <c r="H929" s="55" t="s">
        <v>320</v>
      </c>
      <c r="I929" s="8" t="s">
        <v>4314</v>
      </c>
      <c r="J929" s="8" t="s">
        <v>6211</v>
      </c>
      <c r="K929" s="5" t="s">
        <v>6212</v>
      </c>
      <c r="L929" s="334" t="s">
        <v>6197</v>
      </c>
      <c r="M929" s="335" t="s">
        <v>6198</v>
      </c>
      <c r="N929" s="336" t="s">
        <v>6199</v>
      </c>
      <c r="O929" s="89" t="s">
        <v>6275</v>
      </c>
      <c r="P929" s="292" t="s">
        <v>6274</v>
      </c>
      <c r="Q929" s="350" t="s">
        <v>6273</v>
      </c>
      <c r="R929" s="26" t="s">
        <v>6276</v>
      </c>
      <c r="S929" s="318" t="s">
        <v>4715</v>
      </c>
      <c r="T929" s="10" t="s">
        <v>3883</v>
      </c>
      <c r="U929" s="305" t="s">
        <v>4728</v>
      </c>
      <c r="V929" s="68" t="s">
        <v>3272</v>
      </c>
      <c r="W929" s="28" t="s">
        <v>2</v>
      </c>
      <c r="X929" s="17" t="s">
        <v>3884</v>
      </c>
      <c r="Y929" s="14" t="s">
        <v>3885</v>
      </c>
      <c r="Z929" s="21" t="s">
        <v>3886</v>
      </c>
      <c r="AA929" s="96" t="s">
        <v>6166</v>
      </c>
      <c r="AB929" s="378" t="s">
        <v>6404</v>
      </c>
      <c r="AC929" s="8" t="s">
        <v>4314</v>
      </c>
      <c r="AD929" s="71" t="s">
        <v>3887</v>
      </c>
      <c r="AE929" s="72" t="s">
        <v>3888</v>
      </c>
      <c r="AF929" s="32" t="s">
        <v>3889</v>
      </c>
      <c r="AG929" s="25" t="s">
        <v>6200</v>
      </c>
      <c r="AH929" s="8" t="s">
        <v>6696</v>
      </c>
      <c r="AI929" s="50" t="s">
        <v>3360</v>
      </c>
      <c r="AJ929" s="22" t="s">
        <v>6695</v>
      </c>
    </row>
    <row r="930" spans="1:44">
      <c r="A930" s="343">
        <f>IFERROR(VLOOKUP($G930,基本資料!$A:$J,3,0),"無")</f>
        <v>23.8</v>
      </c>
      <c r="B930" s="79">
        <f>IFERROR(VLOOKUP($G930,基本資料!$A:$J,4,0),"無")</f>
        <v>-371</v>
      </c>
      <c r="C930" s="79">
        <f>IFERROR(VLOOKUP($G930,基本資料!$A:$J,5,0),"無")</f>
        <v>-246</v>
      </c>
      <c r="D930" s="79">
        <f>IFERROR(VLOOKUP($G930,基本資料!$A:$J,6,0),"無")</f>
        <v>-13</v>
      </c>
      <c r="E930" s="79">
        <f>IFERROR(VLOOKUP($G930,基本資料!$A:$J,7,0),"無")</f>
        <v>8</v>
      </c>
      <c r="F930" s="6">
        <f>IFERROR(VLOOKUP($G930,基本資料!$A:$J,8,0),"無")</f>
        <v>-12.09</v>
      </c>
      <c r="G930" s="79">
        <v>2314</v>
      </c>
      <c r="H930" s="8" t="s">
        <v>311</v>
      </c>
      <c r="I930" s="22" t="s">
        <v>4315</v>
      </c>
      <c r="J930" s="8" t="str">
        <f>IFERROR(VLOOKUP($G930,今日總結!$A:$AN,39,0),"")</f>
        <v/>
      </c>
      <c r="K930" s="5" t="str">
        <f>IFERROR(VLOOKUP($G930,今日總結!$A:$AN,40,0),"")</f>
        <v/>
      </c>
      <c r="L930" s="156" t="str">
        <f>IFERROR(VLOOKUP($G930,今日總結!$A:$AN,37,0),"")</f>
        <v/>
      </c>
      <c r="M930" s="337" t="str">
        <f>IFERROR(VLOOKUP($G930,今日總結!$A:$AN,38,0),"")</f>
        <v/>
      </c>
      <c r="N930" s="240" t="str">
        <f t="shared" ref="N930" si="166">IFERROR(L930-M930,"")</f>
        <v/>
      </c>
      <c r="O930" s="359" t="str">
        <f>IFERROR(VLOOKUP($G930,融外自投!$A:$J,7,0),"無")</f>
        <v>無</v>
      </c>
      <c r="P930" s="79" t="str">
        <f>IFERROR(VLOOKUP($G930,融外自投!$A:$J,9,0),"無")</f>
        <v>無</v>
      </c>
      <c r="Q930" s="342" t="str">
        <f>IFERROR(VLOOKUP($G930,融外自投!$A:$J,8,0),"無")</f>
        <v>無</v>
      </c>
      <c r="R930" s="81" t="str">
        <f>IFERROR(VLOOKUP($G930,融外自投!$A:$J,10,0),"無")</f>
        <v>無</v>
      </c>
      <c r="S930" s="324" t="str">
        <f>IFERROR(VLOOKUP($G930,'321買'!$A:$E,4,0),"'沒有資料'")</f>
        <v>'沒有資料'</v>
      </c>
      <c r="T930" s="186">
        <f>IFERROR(VLOOKUP($G930,基本資料!$A:$J,9,0),"無")</f>
        <v>0</v>
      </c>
      <c r="U930" s="307">
        <f t="shared" ref="U930:U993" si="167">$T930/$W930</f>
        <v>0</v>
      </c>
      <c r="V930" s="94">
        <f>IFERROR(VLOOKUP($G930,基本資料!$A:$J,10,0),"無")</f>
        <v>-1.97</v>
      </c>
      <c r="W930" s="36">
        <f>RTD("money.excel",,"2314","Price")</f>
        <v>54.3</v>
      </c>
      <c r="X930" s="66"/>
      <c r="Y930" s="15">
        <f>W930-X930</f>
        <v>54.3</v>
      </c>
      <c r="Z930" s="3" t="e">
        <f>Y930/X930</f>
        <v>#DIV/0!</v>
      </c>
      <c r="AA930" s="340">
        <f>IFERROR(VLOOKUP($G930,基本資料!$A:$M,11,0),"無")</f>
        <v>-43.73</v>
      </c>
      <c r="AB930" s="389">
        <f>IFERROR(VLOOKUP($G930,基本資料!$A:$M,12,0),"無")</f>
        <v>21.99</v>
      </c>
      <c r="AC930" s="22" t="s">
        <v>4315</v>
      </c>
      <c r="AF930" s="33">
        <f>AE930-AD930</f>
        <v>0</v>
      </c>
      <c r="AG930" s="119" t="s">
        <v>4316</v>
      </c>
      <c r="AH930" s="66">
        <f t="shared" si="165"/>
        <v>0.585592943482522</v>
      </c>
      <c r="AI930" s="283">
        <f>RTD("money.excel",,$G930,"PredictVolume")</f>
        <v>717</v>
      </c>
      <c r="AJ930" s="391">
        <f>IFERROR(VLOOKUP($G930,基本資料!$A:$M,13,0),"無")</f>
        <v>1224.4000000000001</v>
      </c>
      <c r="AR930" s="245" t="str">
        <f>INDEX(基本資料!N:N,MATCH($G930,基本資料!A:A,0))</f>
        <v>低</v>
      </c>
    </row>
    <row r="931" spans="1:44">
      <c r="A931" s="343">
        <f>IFERROR(VLOOKUP($G931,基本資料!$A:$J,3,0),"無")</f>
        <v>4.45</v>
      </c>
      <c r="B931" s="79">
        <f>IFERROR(VLOOKUP($G931,基本資料!$A:$J,4,0),"無")</f>
        <v>151</v>
      </c>
      <c r="C931" s="79">
        <f>IFERROR(VLOOKUP($G931,基本資料!$A:$J,5,0),"無")</f>
        <v>113</v>
      </c>
      <c r="D931" s="79">
        <f>IFERROR(VLOOKUP($G931,基本資料!$A:$J,6,0),"無")</f>
        <v>-8</v>
      </c>
      <c r="E931" s="79">
        <f>IFERROR(VLOOKUP($G931,基本資料!$A:$J,7,0),"無")</f>
        <v>4</v>
      </c>
      <c r="F931" s="6">
        <f>IFERROR(VLOOKUP($G931,基本資料!$A:$J,8,0),"無")</f>
        <v>0.68</v>
      </c>
      <c r="G931" s="79">
        <v>2321</v>
      </c>
      <c r="H931" s="8" t="s">
        <v>311</v>
      </c>
      <c r="I931" s="22" t="s">
        <v>4317</v>
      </c>
      <c r="J931" s="8" t="str">
        <f>IFERROR(VLOOKUP($G931,今日總結!$A:$AN,39,0),"")</f>
        <v/>
      </c>
      <c r="K931" s="5" t="str">
        <f>IFERROR(VLOOKUP($G931,今日總結!$A:$AN,40,0),"")</f>
        <v/>
      </c>
      <c r="L931" s="156" t="str">
        <f>IFERROR(VLOOKUP($G931,今日總結!$A:$AN,37,0),"")</f>
        <v/>
      </c>
      <c r="M931" s="337" t="str">
        <f>IFERROR(VLOOKUP($G931,今日總結!$A:$AN,38,0),"")</f>
        <v/>
      </c>
      <c r="N931" s="240" t="str">
        <f t="shared" ref="N931:N994" si="168">IFERROR(L931-M931,"")</f>
        <v/>
      </c>
      <c r="O931" s="359" t="str">
        <f>IFERROR(VLOOKUP($G931,融外自投!$A:$J,7,0),"無")</f>
        <v>無</v>
      </c>
      <c r="P931" s="79" t="str">
        <f>IFERROR(VLOOKUP($G931,融外自投!$A:$J,9,0),"無")</f>
        <v>無</v>
      </c>
      <c r="Q931" s="342" t="str">
        <f>IFERROR(VLOOKUP($G931,融外自投!$A:$J,8,0),"無")</f>
        <v>無</v>
      </c>
      <c r="R931" s="81" t="str">
        <f>IFERROR(VLOOKUP($G931,融外自投!$A:$J,10,0),"無")</f>
        <v>無</v>
      </c>
      <c r="S931" s="324" t="str">
        <f>IFERROR(VLOOKUP($G931,'321買'!$A:$E,4,0),"'沒有資料'")</f>
        <v>'沒有資料'</v>
      </c>
      <c r="T931" s="186">
        <f>IFERROR(VLOOKUP($G931,基本資料!$A:$J,9,0),"無")</f>
        <v>0</v>
      </c>
      <c r="U931" s="307" t="e">
        <f t="shared" si="167"/>
        <v>#VALUE!</v>
      </c>
      <c r="V931" s="94">
        <f>IFERROR(VLOOKUP($G931,基本資料!$A:$J,10,0),"無")</f>
        <v>0.12</v>
      </c>
      <c r="W931" s="36" t="str">
        <f>RTD("money.excel",,"2321","Price")</f>
        <v>無資料</v>
      </c>
      <c r="X931" s="66"/>
      <c r="Y931" s="15" t="e">
        <f t="shared" ref="Y931:Y993" si="169">W931-X931</f>
        <v>#VALUE!</v>
      </c>
      <c r="Z931" s="3" t="e">
        <f t="shared" ref="Z931:Z993" si="170">Y931/X931</f>
        <v>#VALUE!</v>
      </c>
      <c r="AA931" s="340">
        <f>IFERROR(VLOOKUP($G931,基本資料!$A:$M,11,0),"無")</f>
        <v>-30.37</v>
      </c>
      <c r="AB931" s="389">
        <f>IFERROR(VLOOKUP($G931,基本資料!$A:$M,12,0),"無")</f>
        <v>7.96</v>
      </c>
      <c r="AC931" s="22" t="s">
        <v>4317</v>
      </c>
      <c r="AF931" s="33">
        <f t="shared" ref="AF931:AF993" si="171">AE931-AD931</f>
        <v>0</v>
      </c>
      <c r="AG931" s="43" t="s">
        <v>4318</v>
      </c>
      <c r="AH931" s="66">
        <f t="shared" si="165"/>
        <v>0</v>
      </c>
      <c r="AI931" s="283">
        <f>RTD("money.excel",,$G931,"PredictVolume")</f>
        <v>0</v>
      </c>
      <c r="AJ931" s="391">
        <f>IFERROR(VLOOKUP($G931,基本資料!$A:$M,13,0),"無")</f>
        <v>13.4</v>
      </c>
      <c r="AR931" s="245" t="str">
        <f>INDEX(基本資料!N:N,MATCH($G931,基本資料!A:A,0))</f>
        <v>低</v>
      </c>
    </row>
    <row r="932" spans="1:44">
      <c r="A932" s="343">
        <f>IFERROR(VLOOKUP($G932,基本資料!$A:$J,3,0),"無")</f>
        <v>59.98</v>
      </c>
      <c r="B932" s="79">
        <f>IFERROR(VLOOKUP($G932,基本資料!$A:$J,4,0),"無")</f>
        <v>-75</v>
      </c>
      <c r="C932" s="79">
        <f>IFERROR(VLOOKUP($G932,基本資料!$A:$J,5,0),"無")</f>
        <v>111</v>
      </c>
      <c r="D932" s="79">
        <f>IFERROR(VLOOKUP($G932,基本資料!$A:$J,6,0),"無")</f>
        <v>-16</v>
      </c>
      <c r="E932" s="79">
        <f>IFERROR(VLOOKUP($G932,基本資料!$A:$J,7,0),"無")</f>
        <v>11</v>
      </c>
      <c r="F932" s="6">
        <f>IFERROR(VLOOKUP($G932,基本資料!$A:$J,8,0),"無")</f>
        <v>1.0900000000000001</v>
      </c>
      <c r="G932" s="79">
        <v>2332</v>
      </c>
      <c r="H932" s="195" t="s">
        <v>311</v>
      </c>
      <c r="I932" s="22" t="s">
        <v>4319</v>
      </c>
      <c r="J932" s="8">
        <f>IFERROR(VLOOKUP($G932,今日總結!$A:$AN,39,0),"")</f>
        <v>0</v>
      </c>
      <c r="K932" s="5">
        <f>IFERROR(VLOOKUP($G932,今日總結!$A:$AN,40,0),"")</f>
        <v>0</v>
      </c>
      <c r="L932" s="156">
        <f>IFERROR(VLOOKUP($G932,今日總結!$A:$AN,37,0),"")</f>
        <v>0</v>
      </c>
      <c r="M932" s="337">
        <f>IFERROR(VLOOKUP($G932,今日總結!$A:$AN,38,0),"")</f>
        <v>0</v>
      </c>
      <c r="N932" s="240">
        <f t="shared" si="168"/>
        <v>0</v>
      </c>
      <c r="O932" s="359">
        <f>IFERROR(VLOOKUP($G932,融外自投!$A:$J,7,0),"無")</f>
        <v>549</v>
      </c>
      <c r="P932" s="79">
        <f>IFERROR(VLOOKUP($G932,融外自投!$A:$J,9,0),"無")</f>
        <v>790</v>
      </c>
      <c r="Q932" s="342">
        <f>IFERROR(VLOOKUP($G932,融外自投!$A:$J,8,0),"無")</f>
        <v>607</v>
      </c>
      <c r="R932" s="81" t="str">
        <f>IFERROR(VLOOKUP($G932,融外自投!$A:$J,10,0),"無")</f>
        <v>無</v>
      </c>
      <c r="S932" s="324">
        <f>IFERROR(VLOOKUP($G932,'321買'!$A:$E,4,0),"'沒有資料'")</f>
        <v>696</v>
      </c>
      <c r="T932" s="186">
        <f>IFERROR(VLOOKUP($G932,基本資料!$A:$J,9,0),"無")</f>
        <v>0.3</v>
      </c>
      <c r="U932" s="307">
        <f t="shared" si="167"/>
        <v>1.9933554817275746E-2</v>
      </c>
      <c r="V932" s="94">
        <f>IFERROR(VLOOKUP($G932,基本資料!$A:$J,10,0),"無")</f>
        <v>0.38</v>
      </c>
      <c r="W932" s="36">
        <f>RTD("money.excel",,"2332","Price")</f>
        <v>15.05</v>
      </c>
      <c r="X932" s="66"/>
      <c r="Y932" s="15">
        <f t="shared" si="169"/>
        <v>15.05</v>
      </c>
      <c r="Z932" s="3" t="e">
        <f t="shared" si="170"/>
        <v>#DIV/0!</v>
      </c>
      <c r="AA932" s="340">
        <f>IFERROR(VLOOKUP($G932,基本資料!$A:$M,11,0),"無")</f>
        <v>-32.36</v>
      </c>
      <c r="AB932" s="389">
        <f>IFERROR(VLOOKUP($G932,基本資料!$A:$M,12,0),"無")</f>
        <v>25.87</v>
      </c>
      <c r="AC932" s="22" t="s">
        <v>4319</v>
      </c>
      <c r="AF932" s="33">
        <f t="shared" si="171"/>
        <v>0</v>
      </c>
      <c r="AG932" s="119" t="s">
        <v>4320</v>
      </c>
      <c r="AH932" s="66">
        <f t="shared" si="165"/>
        <v>0.454445931151928</v>
      </c>
      <c r="AI932" s="283">
        <f>RTD("money.excel",,$G932,"PredictVolume")</f>
        <v>934</v>
      </c>
      <c r="AJ932" s="391">
        <f>IFERROR(VLOOKUP($G932,基本資料!$A:$M,13,0),"無")</f>
        <v>2055.25</v>
      </c>
      <c r="AR932" s="245" t="str">
        <f>INDEX(基本資料!N:N,MATCH($G932,基本資料!A:A,0))</f>
        <v>低</v>
      </c>
    </row>
    <row r="933" spans="1:44">
      <c r="A933" s="343">
        <f>IFERROR(VLOOKUP($G933,基本資料!$A:$J,3,0),"無")</f>
        <v>56</v>
      </c>
      <c r="B933" s="79">
        <f>IFERROR(VLOOKUP($G933,基本資料!$A:$J,4,0),"無")</f>
        <v>-6</v>
      </c>
      <c r="C933" s="79">
        <f>IFERROR(VLOOKUP($G933,基本資料!$A:$J,5,0),"無")</f>
        <v>-15</v>
      </c>
      <c r="D933" s="79">
        <f>IFERROR(VLOOKUP($G933,基本資料!$A:$J,6,0),"無")</f>
        <v>-16</v>
      </c>
      <c r="E933" s="79">
        <f>IFERROR(VLOOKUP($G933,基本資料!$A:$J,7,0),"無")</f>
        <v>21</v>
      </c>
      <c r="F933" s="6">
        <f>IFERROR(VLOOKUP($G933,基本資料!$A:$J,8,0),"無")</f>
        <v>9.1300000000000008</v>
      </c>
      <c r="G933" s="79">
        <v>2345</v>
      </c>
      <c r="H933" s="195" t="s">
        <v>311</v>
      </c>
      <c r="I933" s="22" t="s">
        <v>4321</v>
      </c>
      <c r="J933" s="8">
        <f>IFERROR(VLOOKUP($G933,今日總結!$A:$AN,39,0),"")</f>
        <v>0</v>
      </c>
      <c r="K933" s="5">
        <f>IFERROR(VLOOKUP($G933,今日總結!$A:$AN,40,0),"")</f>
        <v>0</v>
      </c>
      <c r="L933" s="156">
        <f>IFERROR(VLOOKUP($G933,今日總結!$A:$AN,37,0),"")</f>
        <v>0</v>
      </c>
      <c r="M933" s="337">
        <f>IFERROR(VLOOKUP($G933,今日總結!$A:$AN,38,0),"")</f>
        <v>0</v>
      </c>
      <c r="N933" s="240">
        <f t="shared" si="168"/>
        <v>0</v>
      </c>
      <c r="O933" s="359">
        <f>IFERROR(VLOOKUP($G933,融外自投!$A:$J,7,0),"無")</f>
        <v>1249</v>
      </c>
      <c r="P933" s="79">
        <f>IFERROR(VLOOKUP($G933,融外自投!$A:$J,9,0),"無")</f>
        <v>111</v>
      </c>
      <c r="Q933" s="342">
        <f>IFERROR(VLOOKUP($G933,融外自投!$A:$J,8,0),"無")</f>
        <v>30</v>
      </c>
      <c r="R933" s="81">
        <f>IFERROR(VLOOKUP($G933,融外自投!$A:$J,10,0),"無")</f>
        <v>151</v>
      </c>
      <c r="S933" s="324">
        <f>IFERROR(VLOOKUP($G933,'321買'!$A:$E,4,0),"'沒有資料'")</f>
        <v>650</v>
      </c>
      <c r="T933" s="186">
        <f>IFERROR(VLOOKUP($G933,基本資料!$A:$J,9,0),"無")</f>
        <v>6</v>
      </c>
      <c r="U933" s="307">
        <f t="shared" si="167"/>
        <v>2.5477707006369428E-2</v>
      </c>
      <c r="V933" s="94">
        <f>IFERROR(VLOOKUP($G933,基本資料!$A:$J,10,0),"無")</f>
        <v>8.44</v>
      </c>
      <c r="W933" s="36">
        <f>RTD("money.excel",,"2345","Price")</f>
        <v>235.5</v>
      </c>
      <c r="X933" s="66"/>
      <c r="Y933" s="15">
        <f t="shared" si="169"/>
        <v>235.5</v>
      </c>
      <c r="Z933" s="3" t="e">
        <f t="shared" si="170"/>
        <v>#DIV/0!</v>
      </c>
      <c r="AA933" s="340">
        <f>IFERROR(VLOOKUP($G933,基本資料!$A:$M,11,0),"無")</f>
        <v>-33.47</v>
      </c>
      <c r="AB933" s="389">
        <f>IFERROR(VLOOKUP($G933,基本資料!$A:$M,12,0),"無")</f>
        <v>69.05</v>
      </c>
      <c r="AC933" s="22" t="s">
        <v>4321</v>
      </c>
      <c r="AF933" s="33">
        <f t="shared" si="171"/>
        <v>0</v>
      </c>
      <c r="AG933" s="117" t="s">
        <v>4322</v>
      </c>
      <c r="AH933" s="66">
        <f t="shared" si="165"/>
        <v>1.1354627229760634</v>
      </c>
      <c r="AI933" s="283">
        <f>RTD("money.excel",,$G933,"PredictVolume")</f>
        <v>2979</v>
      </c>
      <c r="AJ933" s="391">
        <f>IFERROR(VLOOKUP($G933,基本資料!$A:$M,13,0),"無")</f>
        <v>2623.6</v>
      </c>
      <c r="AR933" s="245" t="str">
        <f>INDEX(基本資料!N:N,MATCH($G933,基本資料!A:A,0))</f>
        <v>低</v>
      </c>
    </row>
    <row r="934" spans="1:44">
      <c r="A934" s="343">
        <f>IFERROR(VLOOKUP($G934,基本資料!$A:$J,3,0),"無")</f>
        <v>775</v>
      </c>
      <c r="B934" s="79">
        <f>IFERROR(VLOOKUP($G934,基本資料!$A:$J,4,0),"無")</f>
        <v>7</v>
      </c>
      <c r="C934" s="79">
        <f>IFERROR(VLOOKUP($G934,基本資料!$A:$J,5,0),"無")</f>
        <v>6</v>
      </c>
      <c r="D934" s="79">
        <f>IFERROR(VLOOKUP($G934,基本資料!$A:$J,6,0),"無")</f>
        <v>1</v>
      </c>
      <c r="E934" s="79">
        <f>IFERROR(VLOOKUP($G934,基本資料!$A:$J,7,0),"無")</f>
        <v>7</v>
      </c>
      <c r="F934" s="6">
        <f>IFERROR(VLOOKUP($G934,基本資料!$A:$J,8,0),"無")</f>
        <v>21.35</v>
      </c>
      <c r="G934" s="79">
        <v>2412</v>
      </c>
      <c r="H934" s="17" t="s">
        <v>311</v>
      </c>
      <c r="I934" s="22" t="s">
        <v>4323</v>
      </c>
      <c r="J934" s="8" t="str">
        <f>IFERROR(VLOOKUP($G934,今日總結!$A:$AN,39,0),"")</f>
        <v>外</v>
      </c>
      <c r="K934" s="5">
        <f>IFERROR(VLOOKUP($G934,今日總結!$A:$AN,40,0),"")</f>
        <v>0</v>
      </c>
      <c r="L934" s="156">
        <f>IFERROR(VLOOKUP($G934,今日總結!$A:$AN,37,0),"")</f>
        <v>2</v>
      </c>
      <c r="M934" s="337">
        <f>IFERROR(VLOOKUP($G934,今日總結!$A:$AN,38,0),"")</f>
        <v>0</v>
      </c>
      <c r="N934" s="240">
        <f t="shared" si="168"/>
        <v>2</v>
      </c>
      <c r="O934" s="359">
        <f>IFERROR(VLOOKUP($G934,融外自投!$A:$J,7,0),"無")</f>
        <v>1365</v>
      </c>
      <c r="P934" s="79">
        <f>IFERROR(VLOOKUP($G934,融外自投!$A:$J,9,0),"無")</f>
        <v>240</v>
      </c>
      <c r="Q934" s="342">
        <f>IFERROR(VLOOKUP($G934,融外自投!$A:$J,8,0),"無")</f>
        <v>322</v>
      </c>
      <c r="R934" s="81">
        <f>IFERROR(VLOOKUP($G934,融外自投!$A:$J,10,0),"無")</f>
        <v>199</v>
      </c>
      <c r="S934" s="324">
        <f>IFERROR(VLOOKUP($G934,'321買'!$A:$E,4,0),"'沒有資料'")</f>
        <v>178</v>
      </c>
      <c r="T934" s="186">
        <f>IFERROR(VLOOKUP($G934,基本資料!$A:$J,9,0),"無")</f>
        <v>4.6100000000000003</v>
      </c>
      <c r="U934" s="307">
        <f t="shared" si="167"/>
        <v>3.717741935483871E-2</v>
      </c>
      <c r="V934" s="94">
        <f>IFERROR(VLOOKUP($G934,基本資料!$A:$J,10,0),"無")</f>
        <v>4.6100000000000003</v>
      </c>
      <c r="W934" s="36">
        <f>RTD("money.excel",,"2412","Price")</f>
        <v>124</v>
      </c>
      <c r="X934" s="65"/>
      <c r="Y934" s="15">
        <f t="shared" si="169"/>
        <v>124</v>
      </c>
      <c r="Z934" s="3" t="e">
        <f t="shared" si="170"/>
        <v>#DIV/0!</v>
      </c>
      <c r="AA934" s="340">
        <f>IFERROR(VLOOKUP($G934,基本資料!$A:$M,11,0),"無")</f>
        <v>-6.42</v>
      </c>
      <c r="AB934" s="389">
        <f>IFERROR(VLOOKUP($G934,基本資料!$A:$M,12,0),"無")</f>
        <v>41.45</v>
      </c>
      <c r="AC934" s="22" t="s">
        <v>4323</v>
      </c>
      <c r="AF934" s="33">
        <f t="shared" si="171"/>
        <v>0</v>
      </c>
      <c r="AG934" s="117" t="s">
        <v>4324</v>
      </c>
      <c r="AH934" s="66">
        <f t="shared" si="165"/>
        <v>0.7415827265115571</v>
      </c>
      <c r="AI934" s="283">
        <f>RTD("money.excel",,$G934,"PredictVolume")</f>
        <v>7307</v>
      </c>
      <c r="AJ934" s="391">
        <f>IFERROR(VLOOKUP($G934,基本資料!$A:$M,13,0),"無")</f>
        <v>9853.25</v>
      </c>
      <c r="AR934" s="245" t="str">
        <f>INDEX(基本資料!N:N,MATCH($G934,基本資料!A:A,0))</f>
        <v>中</v>
      </c>
    </row>
    <row r="935" spans="1:44">
      <c r="A935" s="343">
        <f>IFERROR(VLOOKUP($G935,基本資料!$A:$J,3,0),"無")</f>
        <v>32.130000000000003</v>
      </c>
      <c r="B935" s="79">
        <f>IFERROR(VLOOKUP($G935,基本資料!$A:$J,4,0),"無")</f>
        <v>-45</v>
      </c>
      <c r="C935" s="79">
        <f>IFERROR(VLOOKUP($G935,基本資料!$A:$J,5,0),"無")</f>
        <v>-33</v>
      </c>
      <c r="D935" s="79">
        <f>IFERROR(VLOOKUP($G935,基本資料!$A:$J,6,0),"無")</f>
        <v>-14</v>
      </c>
      <c r="E935" s="79">
        <f>IFERROR(VLOOKUP($G935,基本資料!$A:$J,7,0),"無")</f>
        <v>3</v>
      </c>
      <c r="F935" s="6">
        <f>IFERROR(VLOOKUP($G935,基本資料!$A:$J,8,0),"無")</f>
        <v>3.06</v>
      </c>
      <c r="G935" s="79">
        <v>2419</v>
      </c>
      <c r="H935" s="195" t="s">
        <v>311</v>
      </c>
      <c r="I935" s="22" t="s">
        <v>4325</v>
      </c>
      <c r="J935" s="8" t="str">
        <f>IFERROR(VLOOKUP($G935,今日總結!$A:$AN,39,0),"")</f>
        <v>券</v>
      </c>
      <c r="K935" s="5">
        <f>IFERROR(VLOOKUP($G935,今日總結!$A:$AN,40,0),"")</f>
        <v>0</v>
      </c>
      <c r="L935" s="156">
        <f>IFERROR(VLOOKUP($G935,今日總結!$A:$AN,37,0),"")</f>
        <v>5</v>
      </c>
      <c r="M935" s="337">
        <f>IFERROR(VLOOKUP($G935,今日總結!$A:$AN,38,0),"")</f>
        <v>0</v>
      </c>
      <c r="N935" s="240">
        <f t="shared" si="168"/>
        <v>5</v>
      </c>
      <c r="O935" s="359">
        <f>IFERROR(VLOOKUP($G935,融外自投!$A:$J,7,0),"無")</f>
        <v>664</v>
      </c>
      <c r="P935" s="79">
        <f>IFERROR(VLOOKUP($G935,融外自投!$A:$J,9,0),"無")</f>
        <v>615</v>
      </c>
      <c r="Q935" s="342">
        <f>IFERROR(VLOOKUP($G935,融外自投!$A:$J,8,0),"無")</f>
        <v>1192</v>
      </c>
      <c r="R935" s="81" t="str">
        <f>IFERROR(VLOOKUP($G935,融外自投!$A:$J,10,0),"無")</f>
        <v>無</v>
      </c>
      <c r="S935" s="324">
        <f>IFERROR(VLOOKUP($G935,'321買'!$A:$E,4,0),"'沒有資料'")</f>
        <v>891</v>
      </c>
      <c r="T935" s="186">
        <f>IFERROR(VLOOKUP($G935,基本資料!$A:$J,9,0),"無")</f>
        <v>0.5</v>
      </c>
      <c r="U935" s="307">
        <f t="shared" si="167"/>
        <v>2.6315789473684209E-2</v>
      </c>
      <c r="V935" s="94">
        <f>IFERROR(VLOOKUP($G935,基本資料!$A:$J,10,0),"無")</f>
        <v>0.22</v>
      </c>
      <c r="W935" s="36">
        <f>RTD("money.excel",,"2419","Price")</f>
        <v>19</v>
      </c>
      <c r="X935" s="66"/>
      <c r="Y935" s="15">
        <f t="shared" si="169"/>
        <v>19</v>
      </c>
      <c r="Z935" s="3" t="e">
        <f t="shared" si="170"/>
        <v>#DIV/0!</v>
      </c>
      <c r="AA935" s="340">
        <f>IFERROR(VLOOKUP($G935,基本資料!$A:$M,11,0),"無")</f>
        <v>-30.91</v>
      </c>
      <c r="AB935" s="389">
        <f>IFERROR(VLOOKUP($G935,基本資料!$A:$M,12,0),"無")</f>
        <v>24.87</v>
      </c>
      <c r="AC935" s="22" t="s">
        <v>4325</v>
      </c>
      <c r="AF935" s="33">
        <f t="shared" si="171"/>
        <v>0</v>
      </c>
      <c r="AG935" s="43" t="s">
        <v>4326</v>
      </c>
      <c r="AH935" s="66">
        <f t="shared" si="165"/>
        <v>0.24694886672192529</v>
      </c>
      <c r="AI935" s="283">
        <f>RTD("money.excel",,$G935,"PredictVolume")</f>
        <v>432</v>
      </c>
      <c r="AJ935" s="391">
        <f>IFERROR(VLOOKUP($G935,基本資料!$A:$M,13,0),"無")</f>
        <v>1749.35</v>
      </c>
      <c r="AR935" s="245" t="str">
        <f>INDEX(基本資料!N:N,MATCH($G935,基本資料!A:A,0))</f>
        <v>低</v>
      </c>
    </row>
    <row r="936" spans="1:44">
      <c r="A936" s="343">
        <f>IFERROR(VLOOKUP($G936,基本資料!$A:$J,3,0),"無")</f>
        <v>21.64</v>
      </c>
      <c r="B936" s="79">
        <f>IFERROR(VLOOKUP($G936,基本資料!$A:$J,4,0),"無")</f>
        <v>-2</v>
      </c>
      <c r="C936" s="79">
        <f>IFERROR(VLOOKUP($G936,基本資料!$A:$J,5,0),"無")</f>
        <v>-3</v>
      </c>
      <c r="D936" s="79">
        <f>IFERROR(VLOOKUP($G936,基本資料!$A:$J,6,0),"無")</f>
        <v>-3</v>
      </c>
      <c r="E936" s="79">
        <f>IFERROR(VLOOKUP($G936,基本資料!$A:$J,7,0),"無")</f>
        <v>-25</v>
      </c>
      <c r="F936" s="6">
        <f>IFERROR(VLOOKUP($G936,基本資料!$A:$J,8,0),"無")</f>
        <v>3.04</v>
      </c>
      <c r="G936" s="79">
        <v>2439</v>
      </c>
      <c r="H936" s="195" t="s">
        <v>311</v>
      </c>
      <c r="I936" s="22" t="s">
        <v>211</v>
      </c>
      <c r="J936" s="8">
        <f>IFERROR(VLOOKUP($G936,今日總結!$A:$AN,39,0),"")</f>
        <v>0</v>
      </c>
      <c r="K936" s="5" t="str">
        <f>IFERROR(VLOOKUP($G936,今日總結!$A:$AN,40,0),"")</f>
        <v>主外</v>
      </c>
      <c r="L936" s="156">
        <f>IFERROR(VLOOKUP($G936,今日總結!$A:$AN,37,0),"")</f>
        <v>0</v>
      </c>
      <c r="M936" s="337">
        <f>IFERROR(VLOOKUP($G936,今日總結!$A:$AN,38,0),"")</f>
        <v>4</v>
      </c>
      <c r="N936" s="240">
        <f t="shared" si="168"/>
        <v>-4</v>
      </c>
      <c r="O936" s="359">
        <f>IFERROR(VLOOKUP($G936,融外自投!$A:$J,7,0),"無")</f>
        <v>535</v>
      </c>
      <c r="P936" s="79">
        <f>IFERROR(VLOOKUP($G936,融外自投!$A:$J,9,0),"無")</f>
        <v>17</v>
      </c>
      <c r="Q936" s="342">
        <f>IFERROR(VLOOKUP($G936,融外自投!$A:$J,8,0),"無")</f>
        <v>499</v>
      </c>
      <c r="R936" s="81">
        <f>IFERROR(VLOOKUP($G936,融外自投!$A:$J,10,0),"無")</f>
        <v>495</v>
      </c>
      <c r="S936" s="324">
        <f>IFERROR(VLOOKUP($G936,'321買'!$A:$E,4,0),"'沒有資料'")</f>
        <v>606</v>
      </c>
      <c r="T936" s="186">
        <f>IFERROR(VLOOKUP($G936,基本資料!$A:$J,9,0),"無")</f>
        <v>4</v>
      </c>
      <c r="U936" s="307">
        <f t="shared" si="167"/>
        <v>5.0955414012738856E-2</v>
      </c>
      <c r="V936" s="94">
        <f>IFERROR(VLOOKUP($G936,基本資料!$A:$J,10,0),"無")</f>
        <v>5.4</v>
      </c>
      <c r="W936" s="36">
        <f>RTD("money.excel",,"2439","Price")</f>
        <v>78.5</v>
      </c>
      <c r="X936" s="66"/>
      <c r="Y936" s="15">
        <f t="shared" si="169"/>
        <v>78.5</v>
      </c>
      <c r="Z936" s="3" t="e">
        <f t="shared" si="170"/>
        <v>#DIV/0!</v>
      </c>
      <c r="AA936" s="340">
        <f>IFERROR(VLOOKUP($G936,基本資料!$A:$M,11,0),"無")</f>
        <v>-35.39</v>
      </c>
      <c r="AB936" s="389">
        <f>IFERROR(VLOOKUP($G936,基本資料!$A:$M,12,0),"無")</f>
        <v>19.78</v>
      </c>
      <c r="AC936" s="22" t="s">
        <v>211</v>
      </c>
      <c r="AF936" s="33">
        <f t="shared" si="171"/>
        <v>0</v>
      </c>
      <c r="AG936" s="117" t="s">
        <v>2374</v>
      </c>
      <c r="AH936" s="66">
        <f t="shared" si="165"/>
        <v>1.1527950310559005</v>
      </c>
      <c r="AI936" s="283">
        <f>RTD("money.excel",,$G936,"PredictVolume")</f>
        <v>464</v>
      </c>
      <c r="AJ936" s="391">
        <f>IFERROR(VLOOKUP($G936,基本資料!$A:$M,13,0),"無")</f>
        <v>402.5</v>
      </c>
      <c r="AR936" s="245" t="str">
        <f>INDEX(基本資料!N:N,MATCH($G936,基本資料!A:A,0))</f>
        <v>低</v>
      </c>
    </row>
    <row r="937" spans="1:44">
      <c r="A937" s="343">
        <f>IFERROR(VLOOKUP($G937,基本資料!$A:$J,3,0),"無")</f>
        <v>10.55</v>
      </c>
      <c r="B937" s="79">
        <f>IFERROR(VLOOKUP($G937,基本資料!$A:$J,4,0),"無")</f>
        <v>112</v>
      </c>
      <c r="C937" s="79">
        <f>IFERROR(VLOOKUP($G937,基本資料!$A:$J,5,0),"無")</f>
        <v>132</v>
      </c>
      <c r="D937" s="79">
        <f>IFERROR(VLOOKUP($G937,基本資料!$A:$J,6,0),"無")</f>
        <v>-14</v>
      </c>
      <c r="E937" s="79">
        <f>IFERROR(VLOOKUP($G937,基本資料!$A:$J,7,0),"無")</f>
        <v>52</v>
      </c>
      <c r="F937" s="6">
        <f>IFERROR(VLOOKUP($G937,基本資料!$A:$J,8,0),"無")</f>
        <v>1.45</v>
      </c>
      <c r="G937" s="79">
        <v>2444</v>
      </c>
      <c r="H937" s="195" t="s">
        <v>311</v>
      </c>
      <c r="I937" s="22" t="s">
        <v>4328</v>
      </c>
      <c r="J937" s="8" t="str">
        <f>IFERROR(VLOOKUP($G937,今日總結!$A:$AN,39,0),"")</f>
        <v/>
      </c>
      <c r="K937" s="5" t="str">
        <f>IFERROR(VLOOKUP($G937,今日總結!$A:$AN,40,0),"")</f>
        <v/>
      </c>
      <c r="L937" s="156" t="str">
        <f>IFERROR(VLOOKUP($G937,今日總結!$A:$AN,37,0),"")</f>
        <v/>
      </c>
      <c r="M937" s="337" t="str">
        <f>IFERROR(VLOOKUP($G937,今日總結!$A:$AN,38,0),"")</f>
        <v/>
      </c>
      <c r="N937" s="240" t="str">
        <f t="shared" si="168"/>
        <v/>
      </c>
      <c r="O937" s="359" t="str">
        <f>IFERROR(VLOOKUP($G937,融外自投!$A:$J,7,0),"無")</f>
        <v>無</v>
      </c>
      <c r="P937" s="79" t="str">
        <f>IFERROR(VLOOKUP($G937,融外自投!$A:$J,9,0),"無")</f>
        <v>無</v>
      </c>
      <c r="Q937" s="342" t="str">
        <f>IFERROR(VLOOKUP($G937,融外自投!$A:$J,8,0),"無")</f>
        <v>無</v>
      </c>
      <c r="R937" s="81" t="str">
        <f>IFERROR(VLOOKUP($G937,融外自投!$A:$J,10,0),"無")</f>
        <v>無</v>
      </c>
      <c r="S937" s="324" t="str">
        <f>IFERROR(VLOOKUP($G937,'321買'!$A:$E,4,0),"'沒有資料'")</f>
        <v>'沒有資料'</v>
      </c>
      <c r="T937" s="186">
        <f>IFERROR(VLOOKUP($G937,基本資料!$A:$J,9,0),"無")</f>
        <v>0</v>
      </c>
      <c r="U937" s="307">
        <f t="shared" si="167"/>
        <v>0</v>
      </c>
      <c r="V937" s="94">
        <f>IFERROR(VLOOKUP($G937,基本資料!$A:$J,10,0),"無")</f>
        <v>0.12</v>
      </c>
      <c r="W937" s="36">
        <f>RTD("money.excel",,"2444","Price")</f>
        <v>12.1</v>
      </c>
      <c r="X937" s="66"/>
      <c r="Y937" s="15">
        <f t="shared" si="169"/>
        <v>12.1</v>
      </c>
      <c r="Z937" s="3" t="e">
        <f t="shared" si="170"/>
        <v>#DIV/0!</v>
      </c>
      <c r="AA937" s="340">
        <f>IFERROR(VLOOKUP($G937,基本資料!$A:$M,11,0),"無")</f>
        <v>-23.17</v>
      </c>
      <c r="AB937" s="389">
        <f>IFERROR(VLOOKUP($G937,基本資料!$A:$M,12,0),"無")</f>
        <v>45.11</v>
      </c>
      <c r="AC937" s="22" t="s">
        <v>4328</v>
      </c>
      <c r="AF937" s="33">
        <f t="shared" si="171"/>
        <v>0</v>
      </c>
      <c r="AG937" s="43" t="s">
        <v>4329</v>
      </c>
      <c r="AH937" s="66">
        <f t="shared" si="165"/>
        <v>2.9248141007986779</v>
      </c>
      <c r="AI937" s="283">
        <f>RTD("money.excel",,$G937,"PredictVolume")</f>
        <v>1062</v>
      </c>
      <c r="AJ937" s="391">
        <f>IFERROR(VLOOKUP($G937,基本資料!$A:$M,13,0),"無")</f>
        <v>363.1</v>
      </c>
      <c r="AR937" s="245" t="str">
        <f>INDEX(基本資料!N:N,MATCH($G937,基本資料!A:A,0))</f>
        <v>中</v>
      </c>
    </row>
    <row r="938" spans="1:44">
      <c r="A938" s="343">
        <f>IFERROR(VLOOKUP($G938,基本資料!$A:$J,3,0),"無")</f>
        <v>25.82</v>
      </c>
      <c r="B938" s="79">
        <f>IFERROR(VLOOKUP($G938,基本資料!$A:$J,4,0),"無")</f>
        <v>36</v>
      </c>
      <c r="C938" s="79">
        <f>IFERROR(VLOOKUP($G938,基本資料!$A:$J,5,0),"無")</f>
        <v>56</v>
      </c>
      <c r="D938" s="79">
        <f>IFERROR(VLOOKUP($G938,基本資料!$A:$J,6,0),"無")</f>
        <v>-16</v>
      </c>
      <c r="E938" s="79">
        <f>IFERROR(VLOOKUP($G938,基本資料!$A:$J,7,0),"無")</f>
        <v>9</v>
      </c>
      <c r="F938" s="6">
        <f>IFERROR(VLOOKUP($G938,基本資料!$A:$J,8,0),"無")</f>
        <v>1.56</v>
      </c>
      <c r="G938" s="79">
        <v>2450</v>
      </c>
      <c r="H938" s="195" t="s">
        <v>311</v>
      </c>
      <c r="I938" s="22" t="s">
        <v>4330</v>
      </c>
      <c r="J938" s="8">
        <f>IFERROR(VLOOKUP($G938,今日總結!$A:$AN,39,0),"")</f>
        <v>0</v>
      </c>
      <c r="K938" s="5" t="str">
        <f>IFERROR(VLOOKUP($G938,今日總結!$A:$AN,40,0),"")</f>
        <v>融</v>
      </c>
      <c r="L938" s="156">
        <f>IFERROR(VLOOKUP($G938,今日總結!$A:$AN,37,0),"")</f>
        <v>0</v>
      </c>
      <c r="M938" s="337">
        <f>IFERROR(VLOOKUP($G938,今日總結!$A:$AN,38,0),"")</f>
        <v>6</v>
      </c>
      <c r="N938" s="240">
        <f t="shared" si="168"/>
        <v>-6</v>
      </c>
      <c r="O938" s="359">
        <f>IFERROR(VLOOKUP($G938,融外自投!$A:$J,7,0),"無")</f>
        <v>1271</v>
      </c>
      <c r="P938" s="79">
        <f>IFERROR(VLOOKUP($G938,融外自投!$A:$J,9,0),"無")</f>
        <v>635</v>
      </c>
      <c r="Q938" s="342">
        <f>IFERROR(VLOOKUP($G938,融外自投!$A:$J,8,0),"無")</f>
        <v>889</v>
      </c>
      <c r="R938" s="81" t="str">
        <f>IFERROR(VLOOKUP($G938,融外自投!$A:$J,10,0),"無")</f>
        <v>無</v>
      </c>
      <c r="S938" s="324">
        <f>IFERROR(VLOOKUP($G938,'321買'!$A:$E,4,0),"'沒有資料'")</f>
        <v>1002</v>
      </c>
      <c r="T938" s="186">
        <f>IFERROR(VLOOKUP($G938,基本資料!$A:$J,9,0),"無")</f>
        <v>2</v>
      </c>
      <c r="U938" s="307">
        <f t="shared" si="167"/>
        <v>6.0331825037707391E-2</v>
      </c>
      <c r="V938" s="94">
        <f>IFERROR(VLOOKUP($G938,基本資料!$A:$J,10,0),"無")</f>
        <v>2.31</v>
      </c>
      <c r="W938" s="36">
        <f>RTD("money.excel",,"2450","Price")</f>
        <v>33.15</v>
      </c>
      <c r="X938" s="66"/>
      <c r="Y938" s="15">
        <f t="shared" si="169"/>
        <v>33.15</v>
      </c>
      <c r="Z938" s="3" t="e">
        <f t="shared" si="170"/>
        <v>#DIV/0!</v>
      </c>
      <c r="AA938" s="340">
        <f>IFERROR(VLOOKUP($G938,基本資料!$A:$M,11,0),"無")</f>
        <v>-6.49</v>
      </c>
      <c r="AB938" s="389">
        <f>IFERROR(VLOOKUP($G938,基本資料!$A:$M,12,0),"無")</f>
        <v>35.409999999999997</v>
      </c>
      <c r="AC938" s="22" t="s">
        <v>4330</v>
      </c>
      <c r="AF938" s="33">
        <f t="shared" si="171"/>
        <v>0</v>
      </c>
      <c r="AG938" s="117" t="s">
        <v>4331</v>
      </c>
      <c r="AH938" s="66">
        <f t="shared" si="165"/>
        <v>0.68865740740740733</v>
      </c>
      <c r="AI938" s="283">
        <f>RTD("money.excel",,$G938,"PredictVolume")</f>
        <v>119</v>
      </c>
      <c r="AJ938" s="391">
        <f>IFERROR(VLOOKUP($G938,基本資料!$A:$M,13,0),"無")</f>
        <v>172.8</v>
      </c>
      <c r="AR938" s="245" t="str">
        <f>INDEX(基本資料!N:N,MATCH($G938,基本資料!A:A,0))</f>
        <v>中</v>
      </c>
    </row>
    <row r="939" spans="1:44">
      <c r="A939" s="343">
        <f>IFERROR(VLOOKUP($G939,基本資料!$A:$J,3,0),"無")</f>
        <v>18.489999999999998</v>
      </c>
      <c r="B939" s="79">
        <f>IFERROR(VLOOKUP($G939,基本資料!$A:$J,4,0),"無")</f>
        <v>60</v>
      </c>
      <c r="C939" s="79">
        <f>IFERROR(VLOOKUP($G939,基本資料!$A:$J,5,0),"無")</f>
        <v>53</v>
      </c>
      <c r="D939" s="79">
        <f>IFERROR(VLOOKUP($G939,基本資料!$A:$J,6,0),"無")</f>
        <v>-10</v>
      </c>
      <c r="E939" s="79">
        <f>IFERROR(VLOOKUP($G939,基本資料!$A:$J,7,0),"無")</f>
        <v>-11</v>
      </c>
      <c r="F939" s="6">
        <f>IFERROR(VLOOKUP($G939,基本資料!$A:$J,8,0),"無")</f>
        <v>29.28</v>
      </c>
      <c r="G939" s="79">
        <v>2455</v>
      </c>
      <c r="H939" s="195" t="s">
        <v>311</v>
      </c>
      <c r="I939" s="22" t="s">
        <v>4332</v>
      </c>
      <c r="J939" s="8" t="str">
        <f>IFERROR(VLOOKUP($G939,今日總結!$A:$AN,39,0),"")</f>
        <v>投</v>
      </c>
      <c r="K939" s="5">
        <f>IFERROR(VLOOKUP($G939,今日總結!$A:$AN,40,0),"")</f>
        <v>0</v>
      </c>
      <c r="L939" s="156">
        <f>IFERROR(VLOOKUP($G939,今日總結!$A:$AN,37,0),"")</f>
        <v>1</v>
      </c>
      <c r="M939" s="337">
        <f>IFERROR(VLOOKUP($G939,今日總結!$A:$AN,38,0),"")</f>
        <v>0</v>
      </c>
      <c r="N939" s="240">
        <f t="shared" si="168"/>
        <v>1</v>
      </c>
      <c r="O939" s="359">
        <f>IFERROR(VLOOKUP($G939,融外自投!$A:$J,7,0),"無")</f>
        <v>175</v>
      </c>
      <c r="P939" s="79">
        <f>IFERROR(VLOOKUP($G939,融外自投!$A:$J,9,0),"無")</f>
        <v>85</v>
      </c>
      <c r="Q939" s="342">
        <f>IFERROR(VLOOKUP($G939,融外自投!$A:$J,8,0),"無")</f>
        <v>198</v>
      </c>
      <c r="R939" s="81">
        <f>IFERROR(VLOOKUP($G939,融外自投!$A:$J,10,0),"無")</f>
        <v>187</v>
      </c>
      <c r="S939" s="324">
        <f>IFERROR(VLOOKUP($G939,'321買'!$A:$E,4,0),"'沒有資料'")</f>
        <v>71</v>
      </c>
      <c r="T939" s="186">
        <f>IFERROR(VLOOKUP($G939,基本資料!$A:$J,9,0),"無")</f>
        <v>4</v>
      </c>
      <c r="U939" s="307">
        <f t="shared" si="167"/>
        <v>4.4593088071348937E-2</v>
      </c>
      <c r="V939" s="94">
        <f>IFERROR(VLOOKUP($G939,基本資料!$A:$J,10,0),"無")</f>
        <v>4.62</v>
      </c>
      <c r="W939" s="36">
        <f>RTD("money.excel",,"2455","Price")</f>
        <v>89.7</v>
      </c>
      <c r="X939" s="66"/>
      <c r="Y939" s="15">
        <f t="shared" si="169"/>
        <v>89.7</v>
      </c>
      <c r="Z939" s="3" t="e">
        <f t="shared" si="170"/>
        <v>#DIV/0!</v>
      </c>
      <c r="AA939" s="340">
        <f>IFERROR(VLOOKUP($G939,基本資料!$A:$M,11,0),"無")</f>
        <v>-44.8</v>
      </c>
      <c r="AB939" s="389">
        <f>IFERROR(VLOOKUP($G939,基本資料!$A:$M,12,0),"無")</f>
        <v>16.34</v>
      </c>
      <c r="AC939" s="22" t="s">
        <v>4332</v>
      </c>
      <c r="AF939" s="33">
        <f t="shared" si="171"/>
        <v>0</v>
      </c>
      <c r="AG939" s="117" t="s">
        <v>2324</v>
      </c>
      <c r="AH939" s="66">
        <f t="shared" si="165"/>
        <v>0.66844183270590396</v>
      </c>
      <c r="AI939" s="283">
        <f>RTD("money.excel",,$G939,"PredictVolume")</f>
        <v>2548</v>
      </c>
      <c r="AJ939" s="391">
        <f>IFERROR(VLOOKUP($G939,基本資料!$A:$M,13,0),"無")</f>
        <v>3811.85</v>
      </c>
      <c r="AR939" s="245" t="str">
        <f>INDEX(基本資料!N:N,MATCH($G939,基本資料!A:A,0))</f>
        <v>低</v>
      </c>
    </row>
    <row r="940" spans="1:44">
      <c r="A940" s="343">
        <f>IFERROR(VLOOKUP($G940,基本資料!$A:$J,3,0),"無")</f>
        <v>31.76</v>
      </c>
      <c r="B940" s="79">
        <f>IFERROR(VLOOKUP($G940,基本資料!$A:$J,4,0),"無")</f>
        <v>-137</v>
      </c>
      <c r="C940" s="79">
        <f>IFERROR(VLOOKUP($G940,基本資料!$A:$J,5,0),"無")</f>
        <v>-90</v>
      </c>
      <c r="D940" s="79">
        <f>IFERROR(VLOOKUP($G940,基本資料!$A:$J,6,0),"無")</f>
        <v>-22</v>
      </c>
      <c r="E940" s="79">
        <f>IFERROR(VLOOKUP($G940,基本資料!$A:$J,7,0),"無")</f>
        <v>-21</v>
      </c>
      <c r="F940" s="6">
        <f>IFERROR(VLOOKUP($G940,基本資料!$A:$J,8,0),"無")</f>
        <v>-7.85</v>
      </c>
      <c r="G940" s="79">
        <v>2485</v>
      </c>
      <c r="H940" s="8" t="s">
        <v>311</v>
      </c>
      <c r="I940" s="22" t="s">
        <v>4333</v>
      </c>
      <c r="J940" s="8">
        <f>IFERROR(VLOOKUP($G940,今日總結!$A:$AN,39,0),"")</f>
        <v>0</v>
      </c>
      <c r="K940" s="5" t="str">
        <f>IFERROR(VLOOKUP($G940,今日總結!$A:$AN,40,0),"")</f>
        <v>主借</v>
      </c>
      <c r="L940" s="156">
        <f>IFERROR(VLOOKUP($G940,今日總結!$A:$AN,37,0),"")</f>
        <v>0</v>
      </c>
      <c r="M940" s="337">
        <f>IFERROR(VLOOKUP($G940,今日總結!$A:$AN,38,0),"")</f>
        <v>7</v>
      </c>
      <c r="N940" s="240">
        <f t="shared" si="168"/>
        <v>-7</v>
      </c>
      <c r="O940" s="359">
        <f>IFERROR(VLOOKUP($G940,融外自投!$A:$J,7,0),"無")</f>
        <v>355</v>
      </c>
      <c r="P940" s="79">
        <f>IFERROR(VLOOKUP($G940,融外自投!$A:$J,9,0),"無")</f>
        <v>615</v>
      </c>
      <c r="Q940" s="342">
        <f>IFERROR(VLOOKUP($G940,融外自投!$A:$J,8,0),"無")</f>
        <v>780</v>
      </c>
      <c r="R940" s="81" t="str">
        <f>IFERROR(VLOOKUP($G940,融外自投!$A:$J,10,0),"無")</f>
        <v>無</v>
      </c>
      <c r="S940" s="324">
        <f>IFERROR(VLOOKUP($G940,'321買'!$A:$E,4,0),"'沒有資料'")</f>
        <v>497</v>
      </c>
      <c r="T940" s="186">
        <f>IFERROR(VLOOKUP($G940,基本資料!$A:$J,9,0),"無")</f>
        <v>0</v>
      </c>
      <c r="U940" s="307">
        <f t="shared" si="167"/>
        <v>0</v>
      </c>
      <c r="V940" s="94">
        <f>IFERROR(VLOOKUP($G940,基本資料!$A:$J,10,0),"無")</f>
        <v>-1.1100000000000001</v>
      </c>
      <c r="W940" s="36">
        <f>RTD("money.excel",,"2485","Price")</f>
        <v>16.149999999999999</v>
      </c>
      <c r="X940" s="66"/>
      <c r="Y940" s="15">
        <f t="shared" si="169"/>
        <v>16.149999999999999</v>
      </c>
      <c r="Z940" s="3" t="e">
        <f t="shared" si="170"/>
        <v>#DIV/0!</v>
      </c>
      <c r="AA940" s="340">
        <f>IFERROR(VLOOKUP($G940,基本資料!$A:$M,11,0),"無")</f>
        <v>-34.08</v>
      </c>
      <c r="AB940" s="389">
        <f>IFERROR(VLOOKUP($G940,基本資料!$A:$M,12,0),"無")</f>
        <v>14.2</v>
      </c>
      <c r="AC940" s="22" t="s">
        <v>4333</v>
      </c>
      <c r="AF940" s="33">
        <f t="shared" si="171"/>
        <v>0</v>
      </c>
      <c r="AG940" s="43" t="s">
        <v>4334</v>
      </c>
      <c r="AH940" s="66">
        <f t="shared" si="165"/>
        <v>1.6211682171724873</v>
      </c>
      <c r="AI940" s="283">
        <f>RTD("money.excel",,$G940,"PredictVolume")</f>
        <v>1063</v>
      </c>
      <c r="AJ940" s="391">
        <f>IFERROR(VLOOKUP($G940,基本資料!$A:$M,13,0),"無")</f>
        <v>655.7</v>
      </c>
      <c r="AR940" s="245" t="str">
        <f>INDEX(基本資料!N:N,MATCH($G940,基本資料!A:A,0))</f>
        <v>低</v>
      </c>
    </row>
    <row r="941" spans="1:44">
      <c r="A941" s="343">
        <f>IFERROR(VLOOKUP($G941,基本資料!$A:$J,3,0),"無")</f>
        <v>82.49</v>
      </c>
      <c r="B941" s="79">
        <f>IFERROR(VLOOKUP($G941,基本資料!$A:$J,4,0),"無")</f>
        <v>48</v>
      </c>
      <c r="C941" s="79">
        <f>IFERROR(VLOOKUP($G941,基本資料!$A:$J,5,0),"無")</f>
        <v>35</v>
      </c>
      <c r="D941" s="79">
        <f>IFERROR(VLOOKUP($G941,基本資料!$A:$J,6,0),"無")</f>
        <v>-50</v>
      </c>
      <c r="E941" s="79">
        <f>IFERROR(VLOOKUP($G941,基本資料!$A:$J,7,0),"無")</f>
        <v>-44</v>
      </c>
      <c r="F941" s="6">
        <f>IFERROR(VLOOKUP($G941,基本資料!$A:$J,8,0),"無")</f>
        <v>-78.36</v>
      </c>
      <c r="G941" s="79">
        <v>2498</v>
      </c>
      <c r="H941" s="8" t="s">
        <v>311</v>
      </c>
      <c r="I941" s="22" t="s">
        <v>1840</v>
      </c>
      <c r="J941" s="8" t="str">
        <f>IFERROR(VLOOKUP($G941,今日總結!$A:$AN,39,0),"")</f>
        <v>外</v>
      </c>
      <c r="K941" s="5" t="str">
        <f>IFERROR(VLOOKUP($G941,今日總結!$A:$AN,40,0),"")</f>
        <v>融</v>
      </c>
      <c r="L941" s="156">
        <f>IFERROR(VLOOKUP($G941,今日總結!$A:$AN,37,0),"")</f>
        <v>1</v>
      </c>
      <c r="M941" s="337">
        <f>IFERROR(VLOOKUP($G941,今日總結!$A:$AN,38,0),"")</f>
        <v>2</v>
      </c>
      <c r="N941" s="240">
        <f t="shared" si="168"/>
        <v>-1</v>
      </c>
      <c r="O941" s="359">
        <f>IFERROR(VLOOKUP($G941,融外自投!$A:$J,7,0),"無")</f>
        <v>239</v>
      </c>
      <c r="P941" s="79">
        <f>IFERROR(VLOOKUP($G941,融外自投!$A:$J,9,0),"無")</f>
        <v>32</v>
      </c>
      <c r="Q941" s="342">
        <f>IFERROR(VLOOKUP($G941,融外自投!$A:$J,8,0),"無")</f>
        <v>342</v>
      </c>
      <c r="R941" s="81">
        <f>IFERROR(VLOOKUP($G941,融外自投!$A:$J,10,0),"無")</f>
        <v>324</v>
      </c>
      <c r="S941" s="324">
        <f>IFERROR(VLOOKUP($G941,'321買'!$A:$E,4,0),"'沒有資料'")</f>
        <v>71</v>
      </c>
      <c r="T941" s="186">
        <f>IFERROR(VLOOKUP($G941,基本資料!$A:$J,9,0),"無")</f>
        <v>0</v>
      </c>
      <c r="U941" s="307">
        <f t="shared" si="167"/>
        <v>0</v>
      </c>
      <c r="V941" s="94">
        <f>IFERROR(VLOOKUP($G941,基本資料!$A:$J,10,0),"無")</f>
        <v>-3.75</v>
      </c>
      <c r="W941" s="36">
        <f>RTD("money.excel",,"2498","Price")</f>
        <v>45.7</v>
      </c>
      <c r="X941" s="66"/>
      <c r="Y941" s="15">
        <f t="shared" si="169"/>
        <v>45.7</v>
      </c>
      <c r="Z941" s="3" t="e">
        <f t="shared" si="170"/>
        <v>#DIV/0!</v>
      </c>
      <c r="AA941" s="340">
        <f>IFERROR(VLOOKUP($G941,基本資料!$A:$M,11,0),"無")</f>
        <v>-53.03</v>
      </c>
      <c r="AB941" s="389">
        <f>IFERROR(VLOOKUP($G941,基本資料!$A:$M,12,0),"無")</f>
        <v>9.0299999999999994</v>
      </c>
      <c r="AC941" s="22" t="s">
        <v>1840</v>
      </c>
      <c r="AF941" s="33">
        <f t="shared" si="171"/>
        <v>0</v>
      </c>
      <c r="AG941" s="117" t="s">
        <v>4335</v>
      </c>
      <c r="AH941" s="66">
        <f t="shared" si="165"/>
        <v>0.58228462020116478</v>
      </c>
      <c r="AI941" s="283">
        <f>RTD("money.excel",,$G941,"PredictVolume")</f>
        <v>8044</v>
      </c>
      <c r="AJ941" s="391">
        <f>IFERROR(VLOOKUP($G941,基本資料!$A:$M,13,0),"無")</f>
        <v>13814.55</v>
      </c>
      <c r="AR941" s="245" t="str">
        <f>INDEX(基本資料!N:N,MATCH($G941,基本資料!A:A,0))</f>
        <v>低</v>
      </c>
    </row>
    <row r="942" spans="1:44">
      <c r="A942" s="343">
        <f>IFERROR(VLOOKUP($G942,基本資料!$A:$J,3,0),"無")</f>
        <v>7.09</v>
      </c>
      <c r="B942" s="79">
        <f>IFERROR(VLOOKUP($G942,基本資料!$A:$J,4,0),"無")</f>
        <v>-58</v>
      </c>
      <c r="C942" s="79">
        <f>IFERROR(VLOOKUP($G942,基本資料!$A:$J,5,0),"無")</f>
        <v>-57</v>
      </c>
      <c r="D942" s="79">
        <f>IFERROR(VLOOKUP($G942,基本資料!$A:$J,6,0),"無")</f>
        <v>18</v>
      </c>
      <c r="E942" s="79">
        <f>IFERROR(VLOOKUP($G942,基本資料!$A:$J,7,0),"無")</f>
        <v>49</v>
      </c>
      <c r="F942" s="6">
        <f>IFERROR(VLOOKUP($G942,基本資料!$A:$J,8,0),"無")</f>
        <v>7.76</v>
      </c>
      <c r="G942" s="79">
        <v>3025</v>
      </c>
      <c r="H942" s="8" t="s">
        <v>311</v>
      </c>
      <c r="I942" s="22" t="s">
        <v>4336</v>
      </c>
      <c r="J942" s="8">
        <f>IFERROR(VLOOKUP($G942,今日總結!$A:$AN,39,0),"")</f>
        <v>0</v>
      </c>
      <c r="K942" s="5">
        <f>IFERROR(VLOOKUP($G942,今日總結!$A:$AN,40,0),"")</f>
        <v>0</v>
      </c>
      <c r="L942" s="156">
        <f>IFERROR(VLOOKUP($G942,今日總結!$A:$AN,37,0),"")</f>
        <v>0</v>
      </c>
      <c r="M942" s="337">
        <f>IFERROR(VLOOKUP($G942,今日總結!$A:$AN,38,0),"")</f>
        <v>0</v>
      </c>
      <c r="N942" s="240">
        <f t="shared" si="168"/>
        <v>0</v>
      </c>
      <c r="O942" s="359">
        <f>IFERROR(VLOOKUP($G942,融外自投!$A:$J,7,0),"無")</f>
        <v>177</v>
      </c>
      <c r="P942" s="79">
        <f>IFERROR(VLOOKUP($G942,融外自投!$A:$J,9,0),"無")</f>
        <v>403</v>
      </c>
      <c r="Q942" s="342">
        <f>IFERROR(VLOOKUP($G942,融外自投!$A:$J,8,0),"無")</f>
        <v>1133</v>
      </c>
      <c r="R942" s="81" t="str">
        <f>IFERROR(VLOOKUP($G942,融外自投!$A:$J,10,0),"無")</f>
        <v>無</v>
      </c>
      <c r="S942" s="324">
        <f>IFERROR(VLOOKUP($G942,'321買'!$A:$E,4,0),"'沒有資料'")</f>
        <v>606</v>
      </c>
      <c r="T942" s="186">
        <f>IFERROR(VLOOKUP($G942,基本資料!$A:$J,9,0),"無")</f>
        <v>0.4</v>
      </c>
      <c r="U942" s="307">
        <f t="shared" si="167"/>
        <v>0.02</v>
      </c>
      <c r="V942" s="94">
        <f>IFERROR(VLOOKUP($G942,基本資料!$A:$J,10,0),"無")</f>
        <v>0.47</v>
      </c>
      <c r="W942" s="36">
        <f>RTD("money.excel",,"3025","Price")</f>
        <v>20</v>
      </c>
      <c r="X942" s="66"/>
      <c r="Y942" s="15">
        <f t="shared" si="169"/>
        <v>20</v>
      </c>
      <c r="Z942" s="3" t="e">
        <f t="shared" si="170"/>
        <v>#DIV/0!</v>
      </c>
      <c r="AA942" s="340">
        <f>IFERROR(VLOOKUP($G942,基本資料!$A:$M,11,0),"無")</f>
        <v>-30.31</v>
      </c>
      <c r="AB942" s="389">
        <f>IFERROR(VLOOKUP($G942,基本資料!$A:$M,12,0),"無")</f>
        <v>34.840000000000003</v>
      </c>
      <c r="AC942" s="22" t="s">
        <v>4336</v>
      </c>
      <c r="AF942" s="33">
        <f t="shared" si="171"/>
        <v>0</v>
      </c>
      <c r="AG942" s="43" t="s">
        <v>4337</v>
      </c>
      <c r="AH942" s="66">
        <f t="shared" si="165"/>
        <v>1.2190309142731857</v>
      </c>
      <c r="AI942" s="283">
        <f>RTD("money.excel",,$G942,"PredictVolume")</f>
        <v>278</v>
      </c>
      <c r="AJ942" s="391">
        <f>IFERROR(VLOOKUP($G942,基本資料!$A:$M,13,0),"無")</f>
        <v>228.05</v>
      </c>
      <c r="AR942" s="245" t="str">
        <f>INDEX(基本資料!N:N,MATCH($G942,基本資料!A:A,0))</f>
        <v>低</v>
      </c>
    </row>
    <row r="943" spans="1:44">
      <c r="A943" s="343">
        <f>IFERROR(VLOOKUP($G943,基本資料!$A:$J,3,0),"無")</f>
        <v>9.8800000000000008</v>
      </c>
      <c r="B943" s="79">
        <f>IFERROR(VLOOKUP($G943,基本資料!$A:$J,4,0),"無")</f>
        <v>1</v>
      </c>
      <c r="C943" s="79">
        <f>IFERROR(VLOOKUP($G943,基本資料!$A:$J,5,0),"無")</f>
        <v>-85</v>
      </c>
      <c r="D943" s="79">
        <f>IFERROR(VLOOKUP($G943,基本資料!$A:$J,6,0),"無")</f>
        <v>0</v>
      </c>
      <c r="E943" s="79">
        <f>IFERROR(VLOOKUP($G943,基本資料!$A:$J,7,0),"無")</f>
        <v>-5</v>
      </c>
      <c r="F943" s="6">
        <f>IFERROR(VLOOKUP($G943,基本資料!$A:$J,8,0),"無")</f>
        <v>0.53</v>
      </c>
      <c r="G943" s="79">
        <v>3027</v>
      </c>
      <c r="H943" s="8" t="s">
        <v>311</v>
      </c>
      <c r="I943" s="22" t="s">
        <v>4338</v>
      </c>
      <c r="J943" s="8">
        <f>IFERROR(VLOOKUP($G943,今日總結!$A:$AN,39,0),"")</f>
        <v>0</v>
      </c>
      <c r="K943" s="5">
        <f>IFERROR(VLOOKUP($G943,今日總結!$A:$AN,40,0),"")</f>
        <v>0</v>
      </c>
      <c r="L943" s="156">
        <f>IFERROR(VLOOKUP($G943,今日總結!$A:$AN,37,0),"")</f>
        <v>0</v>
      </c>
      <c r="M943" s="337">
        <f>IFERROR(VLOOKUP($G943,今日總結!$A:$AN,38,0),"")</f>
        <v>0</v>
      </c>
      <c r="N943" s="240">
        <f t="shared" si="168"/>
        <v>0</v>
      </c>
      <c r="O943" s="359">
        <f>IFERROR(VLOOKUP($G943,融外自投!$A:$J,7,0),"無")</f>
        <v>114</v>
      </c>
      <c r="P943" s="79">
        <f>IFERROR(VLOOKUP($G943,融外自投!$A:$J,9,0),"無")</f>
        <v>696</v>
      </c>
      <c r="Q943" s="342">
        <f>IFERROR(VLOOKUP($G943,融外自投!$A:$J,8,0),"無")</f>
        <v>1202</v>
      </c>
      <c r="R943" s="81" t="str">
        <f>IFERROR(VLOOKUP($G943,融外自投!$A:$J,10,0),"無")</f>
        <v>無</v>
      </c>
      <c r="S943" s="324">
        <f>IFERROR(VLOOKUP($G943,'321買'!$A:$E,4,0),"'沒有資料'")</f>
        <v>650</v>
      </c>
      <c r="T943" s="186">
        <f>IFERROR(VLOOKUP($G943,基本資料!$A:$J,9,0),"無")</f>
        <v>0</v>
      </c>
      <c r="U943" s="307">
        <f t="shared" si="167"/>
        <v>0</v>
      </c>
      <c r="V943" s="94">
        <f>IFERROR(VLOOKUP($G943,基本資料!$A:$J,10,0),"無")</f>
        <v>0.28000000000000003</v>
      </c>
      <c r="W943" s="36">
        <f>RTD("money.excel",,"3027","Price")</f>
        <v>18.3</v>
      </c>
      <c r="X943" s="66"/>
      <c r="Y943" s="15">
        <f t="shared" si="169"/>
        <v>18.3</v>
      </c>
      <c r="Z943" s="3" t="e">
        <f t="shared" si="170"/>
        <v>#DIV/0!</v>
      </c>
      <c r="AA943" s="340">
        <f>IFERROR(VLOOKUP($G943,基本資料!$A:$M,11,0),"無")</f>
        <v>-34.53</v>
      </c>
      <c r="AB943" s="389">
        <f>IFERROR(VLOOKUP($G943,基本資料!$A:$M,12,0),"無")</f>
        <v>17.559999999999999</v>
      </c>
      <c r="AC943" s="22" t="s">
        <v>4338</v>
      </c>
      <c r="AF943" s="33">
        <f t="shared" si="171"/>
        <v>0</v>
      </c>
      <c r="AG943" s="43" t="s">
        <v>4339</v>
      </c>
      <c r="AH943" s="66">
        <f t="shared" si="165"/>
        <v>1.5160753880266076</v>
      </c>
      <c r="AI943" s="283">
        <f>RTD("money.excel",,$G943,"PredictVolume")</f>
        <v>547</v>
      </c>
      <c r="AJ943" s="391">
        <f>IFERROR(VLOOKUP($G943,基本資料!$A:$M,13,0),"無")</f>
        <v>360.8</v>
      </c>
      <c r="AR943" s="245" t="str">
        <f>INDEX(基本資料!N:N,MATCH($G943,基本資料!A:A,0))</f>
        <v>低</v>
      </c>
    </row>
    <row r="944" spans="1:44">
      <c r="A944" s="343">
        <f>IFERROR(VLOOKUP($G944,基本資料!$A:$J,3,0),"無")</f>
        <v>351</v>
      </c>
      <c r="B944" s="79">
        <f>IFERROR(VLOOKUP($G944,基本資料!$A:$J,4,0),"無")</f>
        <v>3</v>
      </c>
      <c r="C944" s="79">
        <f>IFERROR(VLOOKUP($G944,基本資料!$A:$J,5,0),"無")</f>
        <v>0</v>
      </c>
      <c r="D944" s="79">
        <f>IFERROR(VLOOKUP($G944,基本資料!$A:$J,6,0),"無")</f>
        <v>-3</v>
      </c>
      <c r="E944" s="79">
        <f>IFERROR(VLOOKUP($G944,基本資料!$A:$J,7,0),"無")</f>
        <v>15</v>
      </c>
      <c r="F944" s="6">
        <f>IFERROR(VLOOKUP($G944,基本資料!$A:$J,8,0),"無")</f>
        <v>10.28</v>
      </c>
      <c r="G944" s="79">
        <v>3045</v>
      </c>
      <c r="H944" s="8" t="s">
        <v>311</v>
      </c>
      <c r="I944" s="22" t="s">
        <v>4340</v>
      </c>
      <c r="J944" s="8" t="str">
        <f>IFERROR(VLOOKUP($G944,今日總結!$A:$AN,39,0),"")</f>
        <v>主投</v>
      </c>
      <c r="K944" s="5">
        <f>IFERROR(VLOOKUP($G944,今日總結!$A:$AN,40,0),"")</f>
        <v>0</v>
      </c>
      <c r="L944" s="156">
        <f>IFERROR(VLOOKUP($G944,今日總結!$A:$AN,37,0),"")</f>
        <v>20</v>
      </c>
      <c r="M944" s="337">
        <f>IFERROR(VLOOKUP($G944,今日總結!$A:$AN,38,0),"")</f>
        <v>0</v>
      </c>
      <c r="N944" s="240">
        <f t="shared" si="168"/>
        <v>20</v>
      </c>
      <c r="O944" s="359">
        <f>IFERROR(VLOOKUP($G944,融外自投!$A:$J,7,0),"無")</f>
        <v>1446</v>
      </c>
      <c r="P944" s="79">
        <f>IFERROR(VLOOKUP($G944,融外自投!$A:$J,9,0),"無")</f>
        <v>269</v>
      </c>
      <c r="Q944" s="342">
        <f>IFERROR(VLOOKUP($G944,融外自投!$A:$J,8,0),"無")</f>
        <v>344</v>
      </c>
      <c r="R944" s="81">
        <f>IFERROR(VLOOKUP($G944,融外自投!$A:$J,10,0),"無")</f>
        <v>140</v>
      </c>
      <c r="S944" s="324">
        <f>IFERROR(VLOOKUP($G944,'321買'!$A:$E,4,0),"'沒有資料'")</f>
        <v>286</v>
      </c>
      <c r="T944" s="186">
        <f>IFERROR(VLOOKUP($G944,基本資料!$A:$J,9,0),"無")</f>
        <v>4.3</v>
      </c>
      <c r="U944" s="307">
        <f t="shared" si="167"/>
        <v>4.0375586854460091E-2</v>
      </c>
      <c r="V944" s="94">
        <f>IFERROR(VLOOKUP($G944,基本資料!$A:$J,10,0),"無")</f>
        <v>3.9</v>
      </c>
      <c r="W944" s="36">
        <f>RTD("money.excel",,"3045","Price")</f>
        <v>106.5</v>
      </c>
      <c r="X944" s="66"/>
      <c r="Y944" s="15">
        <f t="shared" si="169"/>
        <v>106.5</v>
      </c>
      <c r="Z944" s="3" t="e">
        <f t="shared" si="170"/>
        <v>#DIV/0!</v>
      </c>
      <c r="AA944" s="340">
        <f>IFERROR(VLOOKUP($G944,基本資料!$A:$M,11,0),"無")</f>
        <v>-2.74</v>
      </c>
      <c r="AB944" s="389">
        <f>IFERROR(VLOOKUP($G944,基本資料!$A:$M,12,0),"無")</f>
        <v>58.78</v>
      </c>
      <c r="AC944" s="22" t="s">
        <v>4340</v>
      </c>
      <c r="AF944" s="33">
        <f t="shared" si="171"/>
        <v>0</v>
      </c>
      <c r="AG944" s="117" t="s">
        <v>4341</v>
      </c>
      <c r="AH944" s="66">
        <f t="shared" si="165"/>
        <v>0.52547527461082333</v>
      </c>
      <c r="AI944" s="283">
        <f>RTD("money.excel",,$G944,"PredictVolume")</f>
        <v>1892</v>
      </c>
      <c r="AJ944" s="391">
        <f>IFERROR(VLOOKUP($G944,基本資料!$A:$M,13,0),"無")</f>
        <v>3600.55</v>
      </c>
      <c r="AR944" s="245" t="str">
        <f>INDEX(基本資料!N:N,MATCH($G944,基本資料!A:A,0))</f>
        <v>高</v>
      </c>
    </row>
    <row r="945" spans="1:44">
      <c r="A945" s="343">
        <f>IFERROR(VLOOKUP($G945,基本資料!$A:$J,3,0),"無")</f>
        <v>19.07</v>
      </c>
      <c r="B945" s="79">
        <f>IFERROR(VLOOKUP($G945,基本資料!$A:$J,4,0),"無")</f>
        <v>-131</v>
      </c>
      <c r="C945" s="79">
        <f>IFERROR(VLOOKUP($G945,基本資料!$A:$J,5,0),"無")</f>
        <v>-110</v>
      </c>
      <c r="D945" s="79">
        <f>IFERROR(VLOOKUP($G945,基本資料!$A:$J,6,0),"無")</f>
        <v>-5</v>
      </c>
      <c r="E945" s="79">
        <f>IFERROR(VLOOKUP($G945,基本資料!$A:$J,7,0),"無")</f>
        <v>10</v>
      </c>
      <c r="F945" s="6">
        <f>IFERROR(VLOOKUP($G945,基本資料!$A:$J,8,0),"無")</f>
        <v>-0.72</v>
      </c>
      <c r="G945" s="79">
        <v>3047</v>
      </c>
      <c r="H945" s="8" t="s">
        <v>311</v>
      </c>
      <c r="I945" s="22" t="s">
        <v>4342</v>
      </c>
      <c r="J945" s="8">
        <f>IFERROR(VLOOKUP($G945,今日總結!$A:$AN,39,0),"")</f>
        <v>0</v>
      </c>
      <c r="K945" s="5">
        <f>IFERROR(VLOOKUP($G945,今日總結!$A:$AN,40,0),"")</f>
        <v>0</v>
      </c>
      <c r="L945" s="156">
        <f>IFERROR(VLOOKUP($G945,今日總結!$A:$AN,37,0),"")</f>
        <v>0</v>
      </c>
      <c r="M945" s="337">
        <f>IFERROR(VLOOKUP($G945,今日總結!$A:$AN,38,0),"")</f>
        <v>0</v>
      </c>
      <c r="N945" s="240">
        <f t="shared" si="168"/>
        <v>0</v>
      </c>
      <c r="O945" s="359">
        <f>IFERROR(VLOOKUP($G945,融外自投!$A:$J,7,0),"無")</f>
        <v>404</v>
      </c>
      <c r="P945" s="79">
        <f>IFERROR(VLOOKUP($G945,融外自投!$A:$J,9,0),"無")</f>
        <v>392</v>
      </c>
      <c r="Q945" s="342">
        <f>IFERROR(VLOOKUP($G945,融外自投!$A:$J,8,0),"無")</f>
        <v>885</v>
      </c>
      <c r="R945" s="81" t="str">
        <f>IFERROR(VLOOKUP($G945,融外自投!$A:$J,10,0),"無")</f>
        <v>無</v>
      </c>
      <c r="S945" s="324">
        <f>IFERROR(VLOOKUP($G945,'321買'!$A:$E,4,0),"'沒有資料'")</f>
        <v>411</v>
      </c>
      <c r="T945" s="186">
        <f>IFERROR(VLOOKUP($G945,基本資料!$A:$J,9,0),"無")</f>
        <v>0</v>
      </c>
      <c r="U945" s="307">
        <f t="shared" si="167"/>
        <v>0</v>
      </c>
      <c r="V945" s="94">
        <f>IFERROR(VLOOKUP($G945,基本資料!$A:$J,10,0),"無")</f>
        <v>-0.28999999999999998</v>
      </c>
      <c r="W945" s="36">
        <f>RTD("money.excel",,"3047","Price")</f>
        <v>11.25</v>
      </c>
      <c r="X945" s="66"/>
      <c r="Y945" s="15">
        <f t="shared" si="169"/>
        <v>11.25</v>
      </c>
      <c r="Z945" s="3" t="e">
        <f t="shared" si="170"/>
        <v>#DIV/0!</v>
      </c>
      <c r="AA945" s="340">
        <f>IFERROR(VLOOKUP($G945,基本資料!$A:$M,11,0),"無")</f>
        <v>-24.5</v>
      </c>
      <c r="AB945" s="389">
        <f>IFERROR(VLOOKUP($G945,基本資料!$A:$M,12,0),"無")</f>
        <v>25.49</v>
      </c>
      <c r="AC945" s="22" t="s">
        <v>4342</v>
      </c>
      <c r="AF945" s="33">
        <f t="shared" si="171"/>
        <v>0</v>
      </c>
      <c r="AG945" s="43" t="s">
        <v>4320</v>
      </c>
      <c r="AH945" s="66">
        <f t="shared" si="165"/>
        <v>4.8384235204663542</v>
      </c>
      <c r="AI945" s="283">
        <f>RTD("money.excel",,$G945,"PredictVolume")</f>
        <v>3818</v>
      </c>
      <c r="AJ945" s="391">
        <f>IFERROR(VLOOKUP($G945,基本資料!$A:$M,13,0),"無")</f>
        <v>789.1</v>
      </c>
      <c r="AR945" s="245" t="str">
        <f>INDEX(基本資料!N:N,MATCH($G945,基本資料!A:A,0))</f>
        <v>低</v>
      </c>
    </row>
    <row r="946" spans="1:44">
      <c r="A946" s="343">
        <f>IFERROR(VLOOKUP($G946,基本資料!$A:$J,3,0),"無")</f>
        <v>32.86</v>
      </c>
      <c r="B946" s="79">
        <f>IFERROR(VLOOKUP($G946,基本資料!$A:$J,4,0),"無")</f>
        <v>3</v>
      </c>
      <c r="C946" s="79">
        <f>IFERROR(VLOOKUP($G946,基本資料!$A:$J,5,0),"無")</f>
        <v>-1000</v>
      </c>
      <c r="D946" s="79">
        <f>IFERROR(VLOOKUP($G946,基本資料!$A:$J,6,0),"無")</f>
        <v>-17</v>
      </c>
      <c r="E946" s="79">
        <f>IFERROR(VLOOKUP($G946,基本資料!$A:$J,7,0),"無")</f>
        <v>-35</v>
      </c>
      <c r="F946" s="6">
        <f>IFERROR(VLOOKUP($G946,基本資料!$A:$J,8,0),"無")</f>
        <v>-7.11</v>
      </c>
      <c r="G946" s="79">
        <v>3062</v>
      </c>
      <c r="H946" s="8" t="s">
        <v>311</v>
      </c>
      <c r="I946" s="22" t="s">
        <v>4343</v>
      </c>
      <c r="J946" s="8" t="str">
        <f>IFERROR(VLOOKUP($G946,今日總結!$A:$AN,39,0),"")</f>
        <v>主外</v>
      </c>
      <c r="K946" s="5" t="str">
        <f>IFERROR(VLOOKUP($G946,今日總結!$A:$AN,40,0),"")</f>
        <v>融</v>
      </c>
      <c r="L946" s="156">
        <f>IFERROR(VLOOKUP($G946,今日總結!$A:$AN,37,0),"")</f>
        <v>2</v>
      </c>
      <c r="M946" s="337">
        <f>IFERROR(VLOOKUP($G946,今日總結!$A:$AN,38,0),"")</f>
        <v>2</v>
      </c>
      <c r="N946" s="240">
        <f t="shared" si="168"/>
        <v>0</v>
      </c>
      <c r="O946" s="359">
        <f>IFERROR(VLOOKUP($G946,融外自投!$A:$J,7,0),"無")</f>
        <v>189</v>
      </c>
      <c r="P946" s="79">
        <f>IFERROR(VLOOKUP($G946,融外自投!$A:$J,9,0),"無")</f>
        <v>508</v>
      </c>
      <c r="Q946" s="342">
        <f>IFERROR(VLOOKUP($G946,融外自投!$A:$J,8,0),"無")</f>
        <v>434</v>
      </c>
      <c r="R946" s="81" t="str">
        <f>IFERROR(VLOOKUP($G946,融外自投!$A:$J,10,0),"無")</f>
        <v>無</v>
      </c>
      <c r="S946" s="324">
        <f>IFERROR(VLOOKUP($G946,'321買'!$A:$E,4,0),"'沒有資料'")</f>
        <v>123</v>
      </c>
      <c r="T946" s="186">
        <f>IFERROR(VLOOKUP($G946,基本資料!$A:$J,9,0),"無")</f>
        <v>0.05</v>
      </c>
      <c r="U946" s="307">
        <f t="shared" si="167"/>
        <v>2.2935779816513763E-3</v>
      </c>
      <c r="V946" s="94">
        <f>IFERROR(VLOOKUP($G946,基本資料!$A:$J,10,0),"無")</f>
        <v>7.0000000000000007E-2</v>
      </c>
      <c r="W946" s="36">
        <f>RTD("money.excel",,"3062","Price")</f>
        <v>21.8</v>
      </c>
      <c r="X946" s="66"/>
      <c r="Y946" s="15">
        <f t="shared" si="169"/>
        <v>21.8</v>
      </c>
      <c r="Z946" s="3" t="e">
        <f t="shared" si="170"/>
        <v>#DIV/0!</v>
      </c>
      <c r="AA946" s="340">
        <f>IFERROR(VLOOKUP($G946,基本資料!$A:$M,11,0),"無")</f>
        <v>-42.1</v>
      </c>
      <c r="AB946" s="389">
        <f>IFERROR(VLOOKUP($G946,基本資料!$A:$M,12,0),"無")</f>
        <v>18.3</v>
      </c>
      <c r="AC946" s="22" t="s">
        <v>4343</v>
      </c>
      <c r="AF946" s="33">
        <f t="shared" si="171"/>
        <v>0</v>
      </c>
      <c r="AG946" s="117" t="s">
        <v>4344</v>
      </c>
      <c r="AH946" s="66">
        <f t="shared" si="165"/>
        <v>0.65760732994413618</v>
      </c>
      <c r="AI946" s="283">
        <f>RTD("money.excel",,$G946,"PredictVolume")</f>
        <v>1701</v>
      </c>
      <c r="AJ946" s="391">
        <f>IFERROR(VLOOKUP($G946,基本資料!$A:$M,13,0),"無")</f>
        <v>2586.65</v>
      </c>
      <c r="AR946" s="245" t="str">
        <f>INDEX(基本資料!N:N,MATCH($G946,基本資料!A:A,0))</f>
        <v>低</v>
      </c>
    </row>
    <row r="947" spans="1:44">
      <c r="A947" s="343">
        <f>IFERROR(VLOOKUP($G947,基本資料!$A:$J,3,0),"無")</f>
        <v>9.1300000000000008</v>
      </c>
      <c r="B947" s="79">
        <f>IFERROR(VLOOKUP($G947,基本資料!$A:$J,4,0),"無")</f>
        <v>-42</v>
      </c>
      <c r="C947" s="79">
        <f>IFERROR(VLOOKUP($G947,基本資料!$A:$J,5,0),"無")</f>
        <v>-41</v>
      </c>
      <c r="D947" s="79">
        <f>IFERROR(VLOOKUP($G947,基本資料!$A:$J,6,0),"無")</f>
        <v>8</v>
      </c>
      <c r="E947" s="79">
        <f>IFERROR(VLOOKUP($G947,基本資料!$A:$J,7,0),"無")</f>
        <v>-7</v>
      </c>
      <c r="F947" s="6">
        <f>IFERROR(VLOOKUP($G947,基本資料!$A:$J,8,0),"無")</f>
        <v>22</v>
      </c>
      <c r="G947" s="79">
        <v>3081</v>
      </c>
      <c r="H947" s="145" t="s">
        <v>311</v>
      </c>
      <c r="I947" s="16" t="s">
        <v>4345</v>
      </c>
      <c r="J947" s="8">
        <f>IFERROR(VLOOKUP($G947,今日總結!$A:$AN,39,0),"")</f>
        <v>0</v>
      </c>
      <c r="K947" s="5">
        <f>IFERROR(VLOOKUP($G947,今日總結!$A:$AN,40,0),"")</f>
        <v>0</v>
      </c>
      <c r="L947" s="156">
        <f>IFERROR(VLOOKUP($G947,今日總結!$A:$AN,37,0),"")</f>
        <v>0</v>
      </c>
      <c r="M947" s="337">
        <f>IFERROR(VLOOKUP($G947,今日總結!$A:$AN,38,0),"")</f>
        <v>0</v>
      </c>
      <c r="N947" s="240">
        <f t="shared" si="168"/>
        <v>0</v>
      </c>
      <c r="O947" s="359">
        <f>IFERROR(VLOOKUP($G947,融外自投!$A:$J,7,0),"無")</f>
        <v>643</v>
      </c>
      <c r="P947" s="79">
        <f>IFERROR(VLOOKUP($G947,融外自投!$A:$J,9,0),"無")</f>
        <v>194</v>
      </c>
      <c r="Q947" s="342">
        <f>IFERROR(VLOOKUP($G947,融外自投!$A:$J,8,0),"無")</f>
        <v>77</v>
      </c>
      <c r="R947" s="81">
        <f>IFERROR(VLOOKUP($G947,融外自投!$A:$J,10,0),"無")</f>
        <v>348</v>
      </c>
      <c r="S947" s="324">
        <f>IFERROR(VLOOKUP($G947,'321買'!$A:$E,4,0),"'沒有資料'")</f>
        <v>606</v>
      </c>
      <c r="T947" s="186">
        <f>IFERROR(VLOOKUP($G947,基本資料!$A:$J,9,0),"無")</f>
        <v>3.5</v>
      </c>
      <c r="U947" s="307">
        <f t="shared" si="167"/>
        <v>2.5454545454545455E-2</v>
      </c>
      <c r="V947" s="94">
        <f>IFERROR(VLOOKUP($G947,基本資料!$A:$J,10,0),"無")</f>
        <v>3.71</v>
      </c>
      <c r="W947" s="36">
        <f>RTD("money.excel",,"3081","Price")</f>
        <v>137.5</v>
      </c>
      <c r="X947" s="66"/>
      <c r="Y947" s="15">
        <f t="shared" si="169"/>
        <v>137.5</v>
      </c>
      <c r="Z947" s="3" t="e">
        <f t="shared" si="170"/>
        <v>#DIV/0!</v>
      </c>
      <c r="AA947" s="340">
        <f>IFERROR(VLOOKUP($G947,基本資料!$A:$M,11,0),"無")</f>
        <v>-51.84</v>
      </c>
      <c r="AB947" s="389">
        <f>IFERROR(VLOOKUP($G947,基本資料!$A:$M,12,0),"無")</f>
        <v>9.59</v>
      </c>
      <c r="AC947" s="16" t="s">
        <v>4345</v>
      </c>
      <c r="AF947" s="33">
        <f t="shared" si="171"/>
        <v>0</v>
      </c>
      <c r="AG947" s="117" t="s">
        <v>4346</v>
      </c>
      <c r="AH947" s="66">
        <f t="shared" si="165"/>
        <v>0.57573891625615758</v>
      </c>
      <c r="AI947" s="283">
        <f>RTD("money.excel",,$G947,"PredictVolume")</f>
        <v>187</v>
      </c>
      <c r="AJ947" s="391">
        <f>IFERROR(VLOOKUP($G947,基本資料!$A:$M,13,0),"無")</f>
        <v>324.8</v>
      </c>
      <c r="AR947" s="245" t="str">
        <f>INDEX(基本資料!N:N,MATCH($G947,基本資料!A:A,0))</f>
        <v>低</v>
      </c>
    </row>
    <row r="948" spans="1:44">
      <c r="A948" s="343">
        <f>IFERROR(VLOOKUP($G948,基本資料!$A:$J,3,0),"無")</f>
        <v>10.92</v>
      </c>
      <c r="B948" s="79">
        <f>IFERROR(VLOOKUP($G948,基本資料!$A:$J,4,0),"無")</f>
        <v>52</v>
      </c>
      <c r="C948" s="79">
        <f>IFERROR(VLOOKUP($G948,基本資料!$A:$J,5,0),"無")</f>
        <v>44</v>
      </c>
      <c r="D948" s="79">
        <f>IFERROR(VLOOKUP($G948,基本資料!$A:$J,6,0),"無")</f>
        <v>-11</v>
      </c>
      <c r="E948" s="79">
        <f>IFERROR(VLOOKUP($G948,基本資料!$A:$J,7,0),"無")</f>
        <v>-2</v>
      </c>
      <c r="F948" s="6">
        <f>IFERROR(VLOOKUP($G948,基本資料!$A:$J,8,0),"無")</f>
        <v>-5.98</v>
      </c>
      <c r="G948" s="79">
        <v>3095</v>
      </c>
      <c r="H948" s="8" t="s">
        <v>311</v>
      </c>
      <c r="I948" s="16" t="s">
        <v>4347</v>
      </c>
      <c r="J948" s="8" t="str">
        <f>IFERROR(VLOOKUP($G948,今日總結!$A:$AN,39,0),"")</f>
        <v/>
      </c>
      <c r="K948" s="5" t="str">
        <f>IFERROR(VLOOKUP($G948,今日總結!$A:$AN,40,0),"")</f>
        <v/>
      </c>
      <c r="L948" s="156" t="str">
        <f>IFERROR(VLOOKUP($G948,今日總結!$A:$AN,37,0),"")</f>
        <v/>
      </c>
      <c r="M948" s="337" t="str">
        <f>IFERROR(VLOOKUP($G948,今日總結!$A:$AN,38,0),"")</f>
        <v/>
      </c>
      <c r="N948" s="240" t="str">
        <f t="shared" si="168"/>
        <v/>
      </c>
      <c r="O948" s="359" t="str">
        <f>IFERROR(VLOOKUP($G948,融外自投!$A:$J,7,0),"無")</f>
        <v>無</v>
      </c>
      <c r="P948" s="79" t="str">
        <f>IFERROR(VLOOKUP($G948,融外自投!$A:$J,9,0),"無")</f>
        <v>無</v>
      </c>
      <c r="Q948" s="342" t="str">
        <f>IFERROR(VLOOKUP($G948,融外自投!$A:$J,8,0),"無")</f>
        <v>無</v>
      </c>
      <c r="R948" s="81" t="str">
        <f>IFERROR(VLOOKUP($G948,融外自投!$A:$J,10,0),"無")</f>
        <v>無</v>
      </c>
      <c r="S948" s="324" t="str">
        <f>IFERROR(VLOOKUP($G948,'321買'!$A:$E,4,0),"'沒有資料'")</f>
        <v>'沒有資料'</v>
      </c>
      <c r="T948" s="186">
        <f>IFERROR(VLOOKUP($G948,基本資料!$A:$J,9,0),"無")</f>
        <v>0</v>
      </c>
      <c r="U948" s="307">
        <f t="shared" si="167"/>
        <v>0</v>
      </c>
      <c r="V948" s="94">
        <f>IFERROR(VLOOKUP($G948,基本資料!$A:$J,10,0),"無")</f>
        <v>-0.28000000000000003</v>
      </c>
      <c r="W948" s="36">
        <f>RTD("money.excel",,"3095","Price")</f>
        <v>2.75</v>
      </c>
      <c r="X948" s="66"/>
      <c r="Y948" s="15">
        <f t="shared" si="169"/>
        <v>2.75</v>
      </c>
      <c r="Z948" s="3" t="e">
        <f t="shared" si="170"/>
        <v>#DIV/0!</v>
      </c>
      <c r="AA948" s="340">
        <f>IFERROR(VLOOKUP($G948,基本資料!$A:$M,11,0),"無")</f>
        <v>-41.86</v>
      </c>
      <c r="AB948" s="389">
        <f>IFERROR(VLOOKUP($G948,基本資料!$A:$M,12,0),"無")</f>
        <v>6.59</v>
      </c>
      <c r="AC948" s="16" t="s">
        <v>4347</v>
      </c>
      <c r="AF948" s="33">
        <f t="shared" si="171"/>
        <v>0</v>
      </c>
      <c r="AG948" s="43" t="s">
        <v>2583</v>
      </c>
      <c r="AH948" s="66">
        <f t="shared" si="165"/>
        <v>1.0180623973727423</v>
      </c>
      <c r="AI948" s="283">
        <f>RTD("money.excel",,$G948,"PredictVolume")</f>
        <v>31</v>
      </c>
      <c r="AJ948" s="391">
        <f>IFERROR(VLOOKUP($G948,基本資料!$A:$M,13,0),"無")</f>
        <v>30.45</v>
      </c>
      <c r="AR948" s="245" t="str">
        <f>INDEX(基本資料!N:N,MATCH($G948,基本資料!A:A,0))</f>
        <v>低</v>
      </c>
    </row>
    <row r="949" spans="1:44">
      <c r="A949" s="343">
        <f>IFERROR(VLOOKUP($G949,基本資料!$A:$J,3,0),"無")</f>
        <v>4.87</v>
      </c>
      <c r="B949" s="79">
        <f>IFERROR(VLOOKUP($G949,基本資料!$A:$J,4,0),"無")</f>
        <v>155</v>
      </c>
      <c r="C949" s="79">
        <f>IFERROR(VLOOKUP($G949,基本資料!$A:$J,5,0),"無")</f>
        <v>55</v>
      </c>
      <c r="D949" s="79">
        <f>IFERROR(VLOOKUP($G949,基本資料!$A:$J,6,0),"無")</f>
        <v>-25</v>
      </c>
      <c r="E949" s="79">
        <f>IFERROR(VLOOKUP($G949,基本資料!$A:$J,7,0),"無")</f>
        <v>-20</v>
      </c>
      <c r="F949" s="6">
        <f>IFERROR(VLOOKUP($G949,基本資料!$A:$J,8,0),"無")</f>
        <v>10.83</v>
      </c>
      <c r="G949" s="79">
        <v>3138</v>
      </c>
      <c r="H949" s="8" t="s">
        <v>311</v>
      </c>
      <c r="I949" s="22" t="s">
        <v>2110</v>
      </c>
      <c r="J949" s="8">
        <f>IFERROR(VLOOKUP($G949,今日總結!$A:$AN,39,0),"")</f>
        <v>0</v>
      </c>
      <c r="K949" s="5">
        <f>IFERROR(VLOOKUP($G949,今日總結!$A:$AN,40,0),"")</f>
        <v>0</v>
      </c>
      <c r="L949" s="156">
        <f>IFERROR(VLOOKUP($G949,今日總結!$A:$AN,37,0),"")</f>
        <v>0</v>
      </c>
      <c r="M949" s="337">
        <f>IFERROR(VLOOKUP($G949,今日總結!$A:$AN,38,0),"")</f>
        <v>0</v>
      </c>
      <c r="N949" s="240">
        <f t="shared" si="168"/>
        <v>0</v>
      </c>
      <c r="O949" s="359">
        <f>IFERROR(VLOOKUP($G949,融外自投!$A:$J,7,0),"無")</f>
        <v>430</v>
      </c>
      <c r="P949" s="79">
        <f>IFERROR(VLOOKUP($G949,融外自投!$A:$J,9,0),"無")</f>
        <v>635</v>
      </c>
      <c r="Q949" s="342">
        <f>IFERROR(VLOOKUP($G949,融外自投!$A:$J,8,0),"無")</f>
        <v>1300</v>
      </c>
      <c r="R949" s="81" t="str">
        <f>IFERROR(VLOOKUP($G949,融外自投!$A:$J,10,0),"無")</f>
        <v>無</v>
      </c>
      <c r="S949" s="324">
        <f>IFERROR(VLOOKUP($G949,'321買'!$A:$E,4,0),"'沒有資料'")</f>
        <v>394</v>
      </c>
      <c r="T949" s="186">
        <f>IFERROR(VLOOKUP($G949,基本資料!$A:$J,9,0),"無")</f>
        <v>3</v>
      </c>
      <c r="U949" s="307">
        <f t="shared" si="167"/>
        <v>1.9933554817275746E-2</v>
      </c>
      <c r="V949" s="94">
        <f>IFERROR(VLOOKUP($G949,基本資料!$A:$J,10,0),"無")</f>
        <v>5.96</v>
      </c>
      <c r="W949" s="36">
        <f>RTD("money.excel",,"3138","Price")</f>
        <v>150.5</v>
      </c>
      <c r="X949" s="66"/>
      <c r="Y949" s="15">
        <f>W949-X949</f>
        <v>150.5</v>
      </c>
      <c r="Z949" s="3" t="e">
        <f>Y949/X949</f>
        <v>#DIV/0!</v>
      </c>
      <c r="AA949" s="340">
        <f>IFERROR(VLOOKUP($G949,基本資料!$A:$M,11,0),"無")</f>
        <v>-46.82</v>
      </c>
      <c r="AB949" s="389">
        <f>IFERROR(VLOOKUP($G949,基本資料!$A:$M,12,0),"無")</f>
        <v>14.86</v>
      </c>
      <c r="AC949" s="22" t="s">
        <v>2110</v>
      </c>
      <c r="AF949" s="33">
        <f>AE949-AD949</f>
        <v>0</v>
      </c>
      <c r="AG949" s="117" t="s">
        <v>4348</v>
      </c>
      <c r="AH949" s="66">
        <f t="shared" si="165"/>
        <v>1.5474847732912249</v>
      </c>
      <c r="AI949" s="283">
        <f>RTD("money.excel",,$G949,"PredictVolume")</f>
        <v>343</v>
      </c>
      <c r="AJ949" s="391">
        <f>IFERROR(VLOOKUP($G949,基本資料!$A:$M,13,0),"無")</f>
        <v>221.65</v>
      </c>
      <c r="AR949" s="245" t="str">
        <f>INDEX(基本資料!N:N,MATCH($G949,基本資料!A:A,0))</f>
        <v>低</v>
      </c>
    </row>
    <row r="950" spans="1:44">
      <c r="A950" s="343">
        <f>IFERROR(VLOOKUP($G950,基本資料!$A:$J,3,0),"無")</f>
        <v>6.9</v>
      </c>
      <c r="B950" s="79">
        <f>IFERROR(VLOOKUP($G950,基本資料!$A:$J,4,0),"無")</f>
        <v>23</v>
      </c>
      <c r="C950" s="79">
        <f>IFERROR(VLOOKUP($G950,基本資料!$A:$J,5,0),"無")</f>
        <v>24</v>
      </c>
      <c r="D950" s="79">
        <f>IFERROR(VLOOKUP($G950,基本資料!$A:$J,6,0),"無")</f>
        <v>-4</v>
      </c>
      <c r="E950" s="79">
        <f>IFERROR(VLOOKUP($G950,基本資料!$A:$J,7,0),"無")</f>
        <v>-52</v>
      </c>
      <c r="F950" s="6">
        <f>IFERROR(VLOOKUP($G950,基本資料!$A:$J,8,0),"無")</f>
        <v>45.67</v>
      </c>
      <c r="G950" s="79">
        <v>3152</v>
      </c>
      <c r="H950" s="145" t="s">
        <v>311</v>
      </c>
      <c r="I950" s="16" t="s">
        <v>4349</v>
      </c>
      <c r="J950" s="8" t="str">
        <f>IFERROR(VLOOKUP($G950,今日總結!$A:$AN,39,0),"")</f>
        <v>外</v>
      </c>
      <c r="K950" s="5">
        <f>IFERROR(VLOOKUP($G950,今日總結!$A:$AN,40,0),"")</f>
        <v>0</v>
      </c>
      <c r="L950" s="156">
        <f>IFERROR(VLOOKUP($G950,今日總結!$A:$AN,37,0),"")</f>
        <v>1</v>
      </c>
      <c r="M950" s="337">
        <f>IFERROR(VLOOKUP($G950,今日總結!$A:$AN,38,0),"")</f>
        <v>0</v>
      </c>
      <c r="N950" s="240">
        <f t="shared" si="168"/>
        <v>1</v>
      </c>
      <c r="O950" s="359">
        <f>IFERROR(VLOOKUP($G950,融外自投!$A:$J,7,0),"無")</f>
        <v>754</v>
      </c>
      <c r="P950" s="79">
        <f>IFERROR(VLOOKUP($G950,融外自投!$A:$J,9,0),"無")</f>
        <v>216</v>
      </c>
      <c r="Q950" s="342">
        <f>IFERROR(VLOOKUP($G950,融外自投!$A:$J,8,0),"無")</f>
        <v>312</v>
      </c>
      <c r="R950" s="81">
        <f>IFERROR(VLOOKUP($G950,融外自投!$A:$J,10,0),"無")</f>
        <v>291</v>
      </c>
      <c r="S950" s="324">
        <f>IFERROR(VLOOKUP($G950,'321買'!$A:$E,4,0),"'沒有資料'")</f>
        <v>801</v>
      </c>
      <c r="T950" s="186">
        <f>IFERROR(VLOOKUP($G950,基本資料!$A:$J,9,0),"無")</f>
        <v>8</v>
      </c>
      <c r="U950" s="307">
        <f t="shared" si="167"/>
        <v>3.3333333333333333E-2</v>
      </c>
      <c r="V950" s="94">
        <f>IFERROR(VLOOKUP($G950,基本資料!$A:$J,10,0),"無")</f>
        <v>14.88</v>
      </c>
      <c r="W950" s="36">
        <f>RTD("money.excel",,"3152","Price")</f>
        <v>240</v>
      </c>
      <c r="X950" s="66"/>
      <c r="Y950" s="15">
        <f t="shared" ref="Y950" si="172">W950-X950</f>
        <v>240</v>
      </c>
      <c r="Z950" s="3" t="e">
        <f t="shared" ref="Z950" si="173">Y950/X950</f>
        <v>#DIV/0!</v>
      </c>
      <c r="AA950" s="340">
        <f>IFERROR(VLOOKUP($G950,基本資料!$A:$M,11,0),"無")</f>
        <v>-55.96</v>
      </c>
      <c r="AB950" s="389">
        <f>IFERROR(VLOOKUP($G950,基本資料!$A:$M,12,0),"無")</f>
        <v>29.28</v>
      </c>
      <c r="AC950" s="16" t="s">
        <v>4349</v>
      </c>
      <c r="AF950" s="33">
        <f t="shared" ref="AF950" si="174">AE950-AD950</f>
        <v>0</v>
      </c>
      <c r="AG950" s="117" t="s">
        <v>4350</v>
      </c>
      <c r="AH950" s="66">
        <f t="shared" si="165"/>
        <v>0.47080126754187412</v>
      </c>
      <c r="AI950" s="283">
        <f>RTD("money.excel",,$G950,"PredictVolume")</f>
        <v>52</v>
      </c>
      <c r="AJ950" s="391">
        <f>IFERROR(VLOOKUP($G950,基本資料!$A:$M,13,0),"無")</f>
        <v>110.45</v>
      </c>
      <c r="AR950" s="245" t="str">
        <f>INDEX(基本資料!N:N,MATCH($G950,基本資料!A:A,0))</f>
        <v>低</v>
      </c>
    </row>
    <row r="951" spans="1:44">
      <c r="A951" s="343">
        <f>IFERROR(VLOOKUP($G951,基本資料!$A:$J,3,0),"無")</f>
        <v>7.52</v>
      </c>
      <c r="B951" s="79">
        <f>IFERROR(VLOOKUP($G951,基本資料!$A:$J,4,0),"無")</f>
        <v>-64</v>
      </c>
      <c r="C951" s="79">
        <f>IFERROR(VLOOKUP($G951,基本資料!$A:$J,5,0),"無")</f>
        <v>-75</v>
      </c>
      <c r="D951" s="79">
        <f>IFERROR(VLOOKUP($G951,基本資料!$A:$J,6,0),"無")</f>
        <v>8</v>
      </c>
      <c r="E951" s="79">
        <f>IFERROR(VLOOKUP($G951,基本資料!$A:$J,7,0),"無")</f>
        <v>56</v>
      </c>
      <c r="F951" s="6">
        <f>IFERROR(VLOOKUP($G951,基本資料!$A:$J,8,0),"無")</f>
        <v>4.6900000000000004</v>
      </c>
      <c r="G951" s="79">
        <v>3163</v>
      </c>
      <c r="H951" s="8" t="s">
        <v>311</v>
      </c>
      <c r="I951" s="16" t="s">
        <v>4351</v>
      </c>
      <c r="J951" s="8">
        <f>IFERROR(VLOOKUP($G951,今日總結!$A:$AN,39,0),"")</f>
        <v>3</v>
      </c>
      <c r="K951" s="5">
        <f>IFERROR(VLOOKUP($G951,今日總結!$A:$AN,40,0),"")</f>
        <v>4</v>
      </c>
      <c r="L951" s="156">
        <f>IFERROR(VLOOKUP($G951,今日總結!$A:$AN,37,0),"")</f>
        <v>1</v>
      </c>
      <c r="M951" s="337">
        <f>IFERROR(VLOOKUP($G951,今日總結!$A:$AN,38,0),"")</f>
        <v>1</v>
      </c>
      <c r="N951" s="240">
        <f t="shared" si="168"/>
        <v>0</v>
      </c>
      <c r="O951" s="359">
        <f>IFERROR(VLOOKUP($G951,融外自投!$A:$J,7,0),"無")</f>
        <v>103</v>
      </c>
      <c r="P951" s="79">
        <f>IFERROR(VLOOKUP($G951,融外自投!$A:$J,9,0),"無")</f>
        <v>460</v>
      </c>
      <c r="Q951" s="342">
        <f>IFERROR(VLOOKUP($G951,融外自投!$A:$J,8,0),"無")</f>
        <v>623</v>
      </c>
      <c r="R951" s="81" t="str">
        <f>IFERROR(VLOOKUP($G951,融外自投!$A:$J,10,0),"無")</f>
        <v>無</v>
      </c>
      <c r="S951" s="324">
        <f>IFERROR(VLOOKUP($G951,'321買'!$A:$E,4,0),"'沒有資料'")</f>
        <v>650</v>
      </c>
      <c r="T951" s="186">
        <f>IFERROR(VLOOKUP($G951,基本資料!$A:$J,9,0),"無")</f>
        <v>1</v>
      </c>
      <c r="U951" s="307">
        <f t="shared" si="167"/>
        <v>1.9455252918287938E-2</v>
      </c>
      <c r="V951" s="94">
        <f>IFERROR(VLOOKUP($G951,基本資料!$A:$J,10,0),"無")</f>
        <v>1.0900000000000001</v>
      </c>
      <c r="W951" s="36">
        <f>RTD("money.excel",,"3163","Price")</f>
        <v>51.4</v>
      </c>
      <c r="X951" s="66"/>
      <c r="Y951" s="15">
        <f t="shared" si="169"/>
        <v>51.4</v>
      </c>
      <c r="Z951" s="3" t="e">
        <f t="shared" si="170"/>
        <v>#DIV/0!</v>
      </c>
      <c r="AA951" s="340">
        <f>IFERROR(VLOOKUP($G951,基本資料!$A:$M,11,0),"無")</f>
        <v>-3.93</v>
      </c>
      <c r="AB951" s="389">
        <f>IFERROR(VLOOKUP($G951,基本資料!$A:$M,12,0),"無")</f>
        <v>78.099999999999994</v>
      </c>
      <c r="AC951" s="16" t="s">
        <v>4351</v>
      </c>
      <c r="AF951" s="33">
        <f t="shared" si="171"/>
        <v>0</v>
      </c>
      <c r="AG951" s="43" t="s">
        <v>4352</v>
      </c>
      <c r="AH951" s="66">
        <f t="shared" si="165"/>
        <v>6.6541353383458643</v>
      </c>
      <c r="AI951" s="283">
        <f>RTD("money.excel",,$G951,"PredictVolume")</f>
        <v>7788</v>
      </c>
      <c r="AJ951" s="391">
        <f>IFERROR(VLOOKUP($G951,基本資料!$A:$M,13,0),"無")</f>
        <v>1170.4000000000001</v>
      </c>
      <c r="AR951" s="245" t="str">
        <f>INDEX(基本資料!N:N,MATCH($G951,基本資料!A:A,0))</f>
        <v>高</v>
      </c>
    </row>
    <row r="952" spans="1:44">
      <c r="A952" s="343">
        <f>IFERROR(VLOOKUP($G952,基本資料!$A:$J,3,0),"無")</f>
        <v>10.28</v>
      </c>
      <c r="B952" s="79">
        <f>IFERROR(VLOOKUP($G952,基本資料!$A:$J,4,0),"無")</f>
        <v>851</v>
      </c>
      <c r="C952" s="79">
        <f>IFERROR(VLOOKUP($G952,基本資料!$A:$J,5,0),"無")</f>
        <v>1692</v>
      </c>
      <c r="D952" s="79">
        <f>IFERROR(VLOOKUP($G952,基本資料!$A:$J,6,0),"無")</f>
        <v>2</v>
      </c>
      <c r="E952" s="79">
        <f>IFERROR(VLOOKUP($G952,基本資料!$A:$J,7,0),"無")</f>
        <v>11</v>
      </c>
      <c r="F952" s="6">
        <f>IFERROR(VLOOKUP($G952,基本資料!$A:$J,8,0),"無")</f>
        <v>7.82</v>
      </c>
      <c r="G952" s="79">
        <v>3221</v>
      </c>
      <c r="H952" s="8" t="s">
        <v>311</v>
      </c>
      <c r="I952" s="16" t="s">
        <v>4353</v>
      </c>
      <c r="J952" s="8">
        <f>IFERROR(VLOOKUP($G952,今日總結!$A:$AN,39,0),"")</f>
        <v>0</v>
      </c>
      <c r="K952" s="5">
        <f>IFERROR(VLOOKUP($G952,今日總結!$A:$AN,40,0),"")</f>
        <v>0</v>
      </c>
      <c r="L952" s="156">
        <f>IFERROR(VLOOKUP($G952,今日總結!$A:$AN,37,0),"")</f>
        <v>0</v>
      </c>
      <c r="M952" s="337">
        <f>IFERROR(VLOOKUP($G952,今日總結!$A:$AN,38,0),"")</f>
        <v>0</v>
      </c>
      <c r="N952" s="240">
        <f t="shared" si="168"/>
        <v>0</v>
      </c>
      <c r="O952" s="359">
        <f>IFERROR(VLOOKUP($G952,融外自投!$A:$J,7,0),"無")</f>
        <v>119</v>
      </c>
      <c r="P952" s="79">
        <f>IFERROR(VLOOKUP($G952,融外自投!$A:$J,9,0),"無")</f>
        <v>565</v>
      </c>
      <c r="Q952" s="342">
        <f>IFERROR(VLOOKUP($G952,融外自投!$A:$J,8,0),"無")</f>
        <v>748</v>
      </c>
      <c r="R952" s="81" t="str">
        <f>IFERROR(VLOOKUP($G952,融外自投!$A:$J,10,0),"無")</f>
        <v>無</v>
      </c>
      <c r="S952" s="324">
        <f>IFERROR(VLOOKUP($G952,'321買'!$A:$E,4,0),"'沒有資料'")</f>
        <v>83</v>
      </c>
      <c r="T952" s="186">
        <f>IFERROR(VLOOKUP($G952,基本資料!$A:$J,9,0),"無")</f>
        <v>2.1</v>
      </c>
      <c r="U952" s="307">
        <f t="shared" si="167"/>
        <v>6.1674008810572695E-2</v>
      </c>
      <c r="V952" s="94">
        <f>IFERROR(VLOOKUP($G952,基本資料!$A:$J,10,0),"無")</f>
        <v>5.28</v>
      </c>
      <c r="W952" s="36">
        <f>RTD("money.excel",,"3221","Price")</f>
        <v>34.049999999999997</v>
      </c>
      <c r="X952" s="66"/>
      <c r="Y952" s="15">
        <f t="shared" si="169"/>
        <v>34.049999999999997</v>
      </c>
      <c r="Z952" s="3" t="e">
        <f t="shared" si="170"/>
        <v>#DIV/0!</v>
      </c>
      <c r="AA952" s="340">
        <f>IFERROR(VLOOKUP($G952,基本資料!$A:$M,11,0),"無")</f>
        <v>-28.47</v>
      </c>
      <c r="AB952" s="389">
        <f>IFERROR(VLOOKUP($G952,基本資料!$A:$M,12,0),"無")</f>
        <v>45.74</v>
      </c>
      <c r="AC952" s="16" t="s">
        <v>4353</v>
      </c>
      <c r="AF952" s="33">
        <f t="shared" si="171"/>
        <v>0</v>
      </c>
      <c r="AG952" s="43" t="s">
        <v>4354</v>
      </c>
      <c r="AH952" s="66">
        <f t="shared" si="165"/>
        <v>0.20019677460752022</v>
      </c>
      <c r="AI952" s="283">
        <f>RTD("money.excel",,$G952,"PredictVolume")</f>
        <v>1170</v>
      </c>
      <c r="AJ952" s="391">
        <f>IFERROR(VLOOKUP($G952,基本資料!$A:$M,13,0),"無")</f>
        <v>5844.25</v>
      </c>
      <c r="AR952" s="245" t="str">
        <f>INDEX(基本資料!N:N,MATCH($G952,基本資料!A:A,0))</f>
        <v>中</v>
      </c>
    </row>
    <row r="953" spans="1:44">
      <c r="A953" s="343">
        <f>IFERROR(VLOOKUP($G953,基本資料!$A:$J,3,0),"無")</f>
        <v>7.64</v>
      </c>
      <c r="B953" s="79">
        <f>IFERROR(VLOOKUP($G953,基本資料!$A:$J,4,0),"無")</f>
        <v>-8612</v>
      </c>
      <c r="C953" s="79">
        <f>IFERROR(VLOOKUP($G953,基本資料!$A:$J,5,0),"無")</f>
        <v>-385</v>
      </c>
      <c r="D953" s="79">
        <f>IFERROR(VLOOKUP($G953,基本資料!$A:$J,6,0),"無")</f>
        <v>-9</v>
      </c>
      <c r="E953" s="79">
        <f>IFERROR(VLOOKUP($G953,基本資料!$A:$J,7,0),"無")</f>
        <v>-25</v>
      </c>
      <c r="F953" s="6">
        <f>IFERROR(VLOOKUP($G953,基本資料!$A:$J,8,0),"無")</f>
        <v>-9.18</v>
      </c>
      <c r="G953" s="79">
        <v>3234</v>
      </c>
      <c r="H953" s="8" t="s">
        <v>311</v>
      </c>
      <c r="I953" s="16" t="s">
        <v>4355</v>
      </c>
      <c r="J953" s="8" t="str">
        <f>IFERROR(VLOOKUP($G953,今日總結!$A:$AN,39,0),"")</f>
        <v>主</v>
      </c>
      <c r="K953" s="5" t="str">
        <f>IFERROR(VLOOKUP($G953,今日總結!$A:$AN,40,0),"")</f>
        <v>券</v>
      </c>
      <c r="L953" s="156">
        <f>IFERROR(VLOOKUP($G953,今日總結!$A:$AN,37,0),"")</f>
        <v>1</v>
      </c>
      <c r="M953" s="337">
        <f>IFERROR(VLOOKUP($G953,今日總結!$A:$AN,38,0),"")</f>
        <v>3</v>
      </c>
      <c r="N953" s="240">
        <f t="shared" si="168"/>
        <v>-2</v>
      </c>
      <c r="O953" s="359">
        <f>IFERROR(VLOOKUP($G953,融外自投!$A:$J,7,0),"無")</f>
        <v>245</v>
      </c>
      <c r="P953" s="79">
        <f>IFERROR(VLOOKUP($G953,融外自投!$A:$J,9,0),"無")</f>
        <v>40</v>
      </c>
      <c r="Q953" s="342">
        <f>IFERROR(VLOOKUP($G953,融外自投!$A:$J,8,0),"無")</f>
        <v>1064</v>
      </c>
      <c r="R953" s="81" t="str">
        <f>IFERROR(VLOOKUP($G953,融外自投!$A:$J,10,0),"無")</f>
        <v>無</v>
      </c>
      <c r="S953" s="324">
        <f>IFERROR(VLOOKUP($G953,'321買'!$A:$E,4,0),"'沒有資料'")</f>
        <v>650</v>
      </c>
      <c r="T953" s="186">
        <f>IFERROR(VLOOKUP($G953,基本資料!$A:$J,9,0),"無")</f>
        <v>0</v>
      </c>
      <c r="U953" s="307">
        <f t="shared" si="167"/>
        <v>0</v>
      </c>
      <c r="V953" s="94">
        <f>IFERROR(VLOOKUP($G953,基本資料!$A:$J,10,0),"無")</f>
        <v>-1.74</v>
      </c>
      <c r="W953" s="36">
        <f>RTD("money.excel",,"3234","Price")</f>
        <v>19.8</v>
      </c>
      <c r="X953" s="66"/>
      <c r="Y953" s="15">
        <f t="shared" si="169"/>
        <v>19.8</v>
      </c>
      <c r="Z953" s="3" t="e">
        <f t="shared" si="170"/>
        <v>#DIV/0!</v>
      </c>
      <c r="AA953" s="340">
        <f>IFERROR(VLOOKUP($G953,基本資料!$A:$M,11,0),"無")</f>
        <v>-42.86</v>
      </c>
      <c r="AB953" s="389">
        <f>IFERROR(VLOOKUP($G953,基本資料!$A:$M,12,0),"無")</f>
        <v>17.739999999999998</v>
      </c>
      <c r="AC953" s="16" t="s">
        <v>4355</v>
      </c>
      <c r="AF953" s="33">
        <f t="shared" si="171"/>
        <v>0</v>
      </c>
      <c r="AG953" s="117" t="s">
        <v>4356</v>
      </c>
      <c r="AH953" s="66">
        <f t="shared" si="165"/>
        <v>0.66523605150214593</v>
      </c>
      <c r="AI953" s="283">
        <f>RTD("money.excel",,$G953,"PredictVolume")</f>
        <v>124</v>
      </c>
      <c r="AJ953" s="391">
        <f>IFERROR(VLOOKUP($G953,基本資料!$A:$M,13,0),"無")</f>
        <v>186.4</v>
      </c>
      <c r="AR953" s="245" t="str">
        <f>INDEX(基本資料!N:N,MATCH($G953,基本資料!A:A,0))</f>
        <v>低</v>
      </c>
    </row>
    <row r="954" spans="1:44">
      <c r="A954" s="343">
        <f>IFERROR(VLOOKUP($G954,基本資料!$A:$J,3,0),"無")</f>
        <v>5.0599999999999996</v>
      </c>
      <c r="B954" s="79">
        <f>IFERROR(VLOOKUP($G954,基本資料!$A:$J,4,0),"無")</f>
        <v>197</v>
      </c>
      <c r="C954" s="79">
        <f>IFERROR(VLOOKUP($G954,基本資料!$A:$J,5,0),"無")</f>
        <v>115</v>
      </c>
      <c r="D954" s="79">
        <f>IFERROR(VLOOKUP($G954,基本資料!$A:$J,6,0),"無")</f>
        <v>-50</v>
      </c>
      <c r="E954" s="79">
        <f>IFERROR(VLOOKUP($G954,基本資料!$A:$J,7,0),"無")</f>
        <v>-48</v>
      </c>
      <c r="F954" s="6">
        <f>IFERROR(VLOOKUP($G954,基本資料!$A:$J,8,0),"無")</f>
        <v>0.28000000000000003</v>
      </c>
      <c r="G954" s="79">
        <v>3306</v>
      </c>
      <c r="H954" s="8" t="s">
        <v>311</v>
      </c>
      <c r="I954" s="16" t="s">
        <v>4357</v>
      </c>
      <c r="J954" s="8">
        <f>IFERROR(VLOOKUP($G954,今日總結!$A:$AN,39,0),"")</f>
        <v>0</v>
      </c>
      <c r="K954" s="5" t="str">
        <f>IFERROR(VLOOKUP($G954,今日總結!$A:$AN,40,0),"")</f>
        <v>融</v>
      </c>
      <c r="L954" s="156">
        <f>IFERROR(VLOOKUP($G954,今日總結!$A:$AN,37,0),"")</f>
        <v>0</v>
      </c>
      <c r="M954" s="337">
        <f>IFERROR(VLOOKUP($G954,今日總結!$A:$AN,38,0),"")</f>
        <v>2</v>
      </c>
      <c r="N954" s="240">
        <f t="shared" si="168"/>
        <v>-2</v>
      </c>
      <c r="O954" s="359">
        <f>IFERROR(VLOOKUP($G954,融外自投!$A:$J,7,0),"無")</f>
        <v>449</v>
      </c>
      <c r="P954" s="79">
        <f>IFERROR(VLOOKUP($G954,融外自投!$A:$J,9,0),"無")</f>
        <v>508</v>
      </c>
      <c r="Q954" s="342">
        <f>IFERROR(VLOOKUP($G954,融外自投!$A:$J,8,0),"無")</f>
        <v>995</v>
      </c>
      <c r="R954" s="81" t="str">
        <f>IFERROR(VLOOKUP($G954,融外自投!$A:$J,10,0),"無")</f>
        <v>無</v>
      </c>
      <c r="S954" s="324">
        <f>IFERROR(VLOOKUP($G954,'321買'!$A:$E,4,0),"'沒有資料'")</f>
        <v>366</v>
      </c>
      <c r="T954" s="186">
        <f>IFERROR(VLOOKUP($G954,基本資料!$A:$J,9,0),"無")</f>
        <v>0.8</v>
      </c>
      <c r="U954" s="307">
        <f t="shared" si="167"/>
        <v>3.7296037296037296E-2</v>
      </c>
      <c r="V954" s="94">
        <f>IFERROR(VLOOKUP($G954,基本資料!$A:$J,10,0),"無")</f>
        <v>1.05</v>
      </c>
      <c r="W954" s="36">
        <f>RTD("money.excel",,"3306","Price")</f>
        <v>21.45</v>
      </c>
      <c r="X954" s="66"/>
      <c r="Y954" s="15">
        <f t="shared" si="169"/>
        <v>21.45</v>
      </c>
      <c r="Z954" s="3" t="e">
        <f t="shared" si="170"/>
        <v>#DIV/0!</v>
      </c>
      <c r="AA954" s="340">
        <f>IFERROR(VLOOKUP($G954,基本資料!$A:$M,11,0),"無")</f>
        <v>-49.82</v>
      </c>
      <c r="AB954" s="389">
        <f>IFERROR(VLOOKUP($G954,基本資料!$A:$M,12,0),"無")</f>
        <v>8.01</v>
      </c>
      <c r="AC954" s="16" t="s">
        <v>4357</v>
      </c>
      <c r="AF954" s="33">
        <f t="shared" si="171"/>
        <v>0</v>
      </c>
      <c r="AG954" s="43" t="s">
        <v>4358</v>
      </c>
      <c r="AH954" s="66">
        <f t="shared" si="165"/>
        <v>0.85163007318695938</v>
      </c>
      <c r="AI954" s="283">
        <f>RTD("money.excel",,$G954,"PredictVolume")</f>
        <v>128</v>
      </c>
      <c r="AJ954" s="391">
        <f>IFERROR(VLOOKUP($G954,基本資料!$A:$M,13,0),"無")</f>
        <v>150.30000000000001</v>
      </c>
      <c r="AR954" s="245" t="str">
        <f>INDEX(基本資料!N:N,MATCH($G954,基本資料!A:A,0))</f>
        <v>低</v>
      </c>
    </row>
    <row r="955" spans="1:44">
      <c r="A955" s="343">
        <f>IFERROR(VLOOKUP($G955,基本資料!$A:$J,3,0),"無")</f>
        <v>6.8</v>
      </c>
      <c r="B955" s="79">
        <f>IFERROR(VLOOKUP($G955,基本資料!$A:$J,4,0),"無")</f>
        <v>116</v>
      </c>
      <c r="C955" s="79">
        <f>IFERROR(VLOOKUP($G955,基本資料!$A:$J,5,0),"無")</f>
        <v>131</v>
      </c>
      <c r="D955" s="79">
        <f>IFERROR(VLOOKUP($G955,基本資料!$A:$J,6,0),"無")</f>
        <v>4</v>
      </c>
      <c r="E955" s="79">
        <f>IFERROR(VLOOKUP($G955,基本資料!$A:$J,7,0),"無")</f>
        <v>18</v>
      </c>
      <c r="F955" s="6">
        <f>IFERROR(VLOOKUP($G955,基本資料!$A:$J,8,0),"無")</f>
        <v>3.16</v>
      </c>
      <c r="G955" s="79">
        <v>3311</v>
      </c>
      <c r="H955" s="8" t="s">
        <v>311</v>
      </c>
      <c r="I955" s="22" t="s">
        <v>4359</v>
      </c>
      <c r="J955" s="8">
        <f>IFERROR(VLOOKUP($G955,今日總結!$A:$AN,39,0),"")</f>
        <v>0</v>
      </c>
      <c r="K955" s="5">
        <f>IFERROR(VLOOKUP($G955,今日總結!$A:$AN,40,0),"")</f>
        <v>0</v>
      </c>
      <c r="L955" s="156">
        <f>IFERROR(VLOOKUP($G955,今日總結!$A:$AN,37,0),"")</f>
        <v>0</v>
      </c>
      <c r="M955" s="337">
        <f>IFERROR(VLOOKUP($G955,今日總結!$A:$AN,38,0),"")</f>
        <v>0</v>
      </c>
      <c r="N955" s="240">
        <f t="shared" si="168"/>
        <v>0</v>
      </c>
      <c r="O955" s="359">
        <f>IFERROR(VLOOKUP($G955,融外自投!$A:$J,7,0),"無")</f>
        <v>532</v>
      </c>
      <c r="P955" s="79">
        <f>IFERROR(VLOOKUP($G955,融外自投!$A:$J,9,0),"無")</f>
        <v>649</v>
      </c>
      <c r="Q955" s="342">
        <f>IFERROR(VLOOKUP($G955,融外自投!$A:$J,8,0),"無")</f>
        <v>1314</v>
      </c>
      <c r="R955" s="81" t="str">
        <f>IFERROR(VLOOKUP($G955,融外自投!$A:$J,10,0),"無")</f>
        <v>無</v>
      </c>
      <c r="S955" s="324">
        <f>IFERROR(VLOOKUP($G955,'321買'!$A:$E,4,0),"'沒有資料'")</f>
        <v>1002</v>
      </c>
      <c r="T955" s="186">
        <f>IFERROR(VLOOKUP($G955,基本資料!$A:$J,9,0),"無")</f>
        <v>0.47</v>
      </c>
      <c r="U955" s="307">
        <f t="shared" si="167"/>
        <v>1.4596273291925463E-2</v>
      </c>
      <c r="V955" s="94">
        <f>IFERROR(VLOOKUP($G955,基本資料!$A:$J,10,0),"無")</f>
        <v>0.94</v>
      </c>
      <c r="W955" s="36">
        <f>RTD("money.excel",,"3311","Price")</f>
        <v>32.200000000000003</v>
      </c>
      <c r="X955" s="66"/>
      <c r="Y955" s="15">
        <f t="shared" si="169"/>
        <v>32.200000000000003</v>
      </c>
      <c r="Z955" s="3" t="e">
        <f t="shared" si="170"/>
        <v>#DIV/0!</v>
      </c>
      <c r="AA955" s="340">
        <f>IFERROR(VLOOKUP($G955,基本資料!$A:$M,11,0),"無")</f>
        <v>-19.7</v>
      </c>
      <c r="AB955" s="389">
        <f>IFERROR(VLOOKUP($G955,基本資料!$A:$M,12,0),"無")</f>
        <v>32.24</v>
      </c>
      <c r="AC955" s="22" t="s">
        <v>4359</v>
      </c>
      <c r="AF955" s="33">
        <f t="shared" si="171"/>
        <v>0</v>
      </c>
      <c r="AG955" s="43" t="s">
        <v>4360</v>
      </c>
      <c r="AH955" s="66">
        <f t="shared" si="165"/>
        <v>0.78374455732946291</v>
      </c>
      <c r="AI955" s="283">
        <f>RTD("money.excel",,$G955,"PredictVolume")</f>
        <v>27</v>
      </c>
      <c r="AJ955" s="391">
        <f>IFERROR(VLOOKUP($G955,基本資料!$A:$M,13,0),"無")</f>
        <v>34.450000000000003</v>
      </c>
      <c r="AR955" s="245" t="str">
        <f>INDEX(基本資料!N:N,MATCH($G955,基本資料!A:A,0))</f>
        <v>低</v>
      </c>
    </row>
    <row r="956" spans="1:44">
      <c r="A956" s="343">
        <f>IFERROR(VLOOKUP($G956,基本資料!$A:$J,3,0),"無")</f>
        <v>8.83</v>
      </c>
      <c r="B956" s="79">
        <f>IFERROR(VLOOKUP($G956,基本資料!$A:$J,4,0),"無")</f>
        <v>112</v>
      </c>
      <c r="C956" s="79">
        <f>IFERROR(VLOOKUP($G956,基本資料!$A:$J,5,0),"無")</f>
        <v>189</v>
      </c>
      <c r="D956" s="79">
        <f>IFERROR(VLOOKUP($G956,基本資料!$A:$J,6,0),"無")</f>
        <v>-14</v>
      </c>
      <c r="E956" s="79">
        <f>IFERROR(VLOOKUP($G956,基本資料!$A:$J,7,0),"無")</f>
        <v>-12</v>
      </c>
      <c r="F956" s="6">
        <f>IFERROR(VLOOKUP($G956,基本資料!$A:$J,8,0),"無")</f>
        <v>12.13</v>
      </c>
      <c r="G956" s="79">
        <v>3363</v>
      </c>
      <c r="H956" s="8" t="s">
        <v>311</v>
      </c>
      <c r="I956" s="16" t="s">
        <v>4361</v>
      </c>
      <c r="J956" s="8">
        <f>IFERROR(VLOOKUP($G956,今日總結!$A:$AN,39,0),"")</f>
        <v>0</v>
      </c>
      <c r="K956" s="5">
        <f>IFERROR(VLOOKUP($G956,今日總結!$A:$AN,40,0),"")</f>
        <v>0</v>
      </c>
      <c r="L956" s="156">
        <f>IFERROR(VLOOKUP($G956,今日總結!$A:$AN,37,0),"")</f>
        <v>0</v>
      </c>
      <c r="M956" s="337">
        <f>IFERROR(VLOOKUP($G956,今日總結!$A:$AN,38,0),"")</f>
        <v>0</v>
      </c>
      <c r="N956" s="240">
        <f t="shared" si="168"/>
        <v>0</v>
      </c>
      <c r="O956" s="359">
        <f>IFERROR(VLOOKUP($G956,融外自投!$A:$J,7,0),"無")</f>
        <v>211</v>
      </c>
      <c r="P956" s="79" t="str">
        <f>IFERROR(VLOOKUP($G956,融外自投!$A:$J,9,0),"無")</f>
        <v>無</v>
      </c>
      <c r="Q956" s="342">
        <f>IFERROR(VLOOKUP($G956,融外自投!$A:$J,8,0),"無")</f>
        <v>716</v>
      </c>
      <c r="R956" s="81" t="str">
        <f>IFERROR(VLOOKUP($G956,融外自投!$A:$J,10,0),"無")</f>
        <v>無</v>
      </c>
      <c r="S956" s="324">
        <f>IFERROR(VLOOKUP($G956,'321買'!$A:$E,4,0),"'沒有資料'")</f>
        <v>223</v>
      </c>
      <c r="T956" s="186">
        <f>IFERROR(VLOOKUP($G956,基本資料!$A:$J,9,0),"無")</f>
        <v>1.6</v>
      </c>
      <c r="U956" s="307">
        <f t="shared" si="167"/>
        <v>6.4000000000000001E-2</v>
      </c>
      <c r="V956" s="94">
        <f>IFERROR(VLOOKUP($G956,基本資料!$A:$J,10,0),"無")</f>
        <v>2.31</v>
      </c>
      <c r="W956" s="36">
        <f>RTD("money.excel",,"3363","Price")</f>
        <v>25</v>
      </c>
      <c r="X956" s="66"/>
      <c r="Y956" s="15">
        <f t="shared" si="169"/>
        <v>25</v>
      </c>
      <c r="Z956" s="3" t="e">
        <f t="shared" si="170"/>
        <v>#DIV/0!</v>
      </c>
      <c r="AA956" s="340">
        <f>IFERROR(VLOOKUP($G956,基本資料!$A:$M,11,0),"無")</f>
        <v>-37.26</v>
      </c>
      <c r="AB956" s="389">
        <f>IFERROR(VLOOKUP($G956,基本資料!$A:$M,12,0),"無")</f>
        <v>12.7</v>
      </c>
      <c r="AC956" s="16" t="s">
        <v>4361</v>
      </c>
      <c r="AF956" s="33">
        <f t="shared" si="171"/>
        <v>0</v>
      </c>
      <c r="AG956" s="43" t="s">
        <v>4362</v>
      </c>
      <c r="AH956" s="66">
        <f t="shared" si="165"/>
        <v>0.52631578947368418</v>
      </c>
      <c r="AI956" s="283">
        <f>RTD("money.excel",,$G956,"PredictVolume")</f>
        <v>129</v>
      </c>
      <c r="AJ956" s="391">
        <f>IFERROR(VLOOKUP($G956,基本資料!$A:$M,13,0),"無")</f>
        <v>245.1</v>
      </c>
      <c r="AR956" s="245" t="str">
        <f>INDEX(基本資料!N:N,MATCH($G956,基本資料!A:A,0))</f>
        <v>低</v>
      </c>
    </row>
    <row r="957" spans="1:44">
      <c r="A957" s="343">
        <f>IFERROR(VLOOKUP($G957,基本資料!$A:$J,3,0),"無")</f>
        <v>54.17</v>
      </c>
      <c r="B957" s="79">
        <f>IFERROR(VLOOKUP($G957,基本資料!$A:$J,4,0),"無")</f>
        <v>-25</v>
      </c>
      <c r="C957" s="79">
        <f>IFERROR(VLOOKUP($G957,基本資料!$A:$J,5,0),"無")</f>
        <v>-20</v>
      </c>
      <c r="D957" s="79">
        <f>IFERROR(VLOOKUP($G957,基本資料!$A:$J,6,0),"無")</f>
        <v>-27</v>
      </c>
      <c r="E957" s="79">
        <f>IFERROR(VLOOKUP($G957,基本資料!$A:$J,7,0),"無")</f>
        <v>-2</v>
      </c>
      <c r="F957" s="6">
        <f>IFERROR(VLOOKUP($G957,基本資料!$A:$J,8,0),"無")</f>
        <v>2.5499999999999998</v>
      </c>
      <c r="G957" s="79">
        <v>3380</v>
      </c>
      <c r="H957" s="8" t="s">
        <v>311</v>
      </c>
      <c r="I957" s="22" t="s">
        <v>4363</v>
      </c>
      <c r="J957" s="8">
        <f>IFERROR(VLOOKUP($G957,今日總結!$A:$AN,39,0),"")</f>
        <v>0</v>
      </c>
      <c r="K957" s="5">
        <f>IFERROR(VLOOKUP($G957,今日總結!$A:$AN,40,0),"")</f>
        <v>0</v>
      </c>
      <c r="L957" s="156">
        <f>IFERROR(VLOOKUP($G957,今日總結!$A:$AN,37,0),"")</f>
        <v>0</v>
      </c>
      <c r="M957" s="337">
        <f>IFERROR(VLOOKUP($G957,今日總結!$A:$AN,38,0),"")</f>
        <v>0</v>
      </c>
      <c r="N957" s="240">
        <f t="shared" si="168"/>
        <v>0</v>
      </c>
      <c r="O957" s="359">
        <f>IFERROR(VLOOKUP($G957,融外自投!$A:$J,7,0),"無")</f>
        <v>841</v>
      </c>
      <c r="P957" s="79" t="str">
        <f>IFERROR(VLOOKUP($G957,融外自投!$A:$J,9,0),"無")</f>
        <v>無</v>
      </c>
      <c r="Q957" s="342">
        <f>IFERROR(VLOOKUP($G957,融外自投!$A:$J,8,0),"無")</f>
        <v>761</v>
      </c>
      <c r="R957" s="81" t="str">
        <f>IFERROR(VLOOKUP($G957,融外自投!$A:$J,10,0),"無")</f>
        <v>無</v>
      </c>
      <c r="S957" s="324">
        <f>IFERROR(VLOOKUP($G957,'321買'!$A:$E,4,0),"'沒有資料'")</f>
        <v>891</v>
      </c>
      <c r="T957" s="186">
        <f>IFERROR(VLOOKUP($G957,基本資料!$A:$J,9,0),"無")</f>
        <v>0.8</v>
      </c>
      <c r="U957" s="307">
        <f t="shared" si="167"/>
        <v>3.0131826741996236E-2</v>
      </c>
      <c r="V957" s="94">
        <f>IFERROR(VLOOKUP($G957,基本資料!$A:$J,10,0),"無")</f>
        <v>0.8</v>
      </c>
      <c r="W957" s="36">
        <f>RTD("money.excel",,"3380","Price")</f>
        <v>26.55</v>
      </c>
      <c r="X957" s="66"/>
      <c r="Y957" s="15">
        <f t="shared" si="169"/>
        <v>26.55</v>
      </c>
      <c r="Z957" s="3" t="e">
        <f t="shared" si="170"/>
        <v>#DIV/0!</v>
      </c>
      <c r="AA957" s="340">
        <f>IFERROR(VLOOKUP($G957,基本資料!$A:$M,11,0),"無")</f>
        <v>-27.95</v>
      </c>
      <c r="AB957" s="389">
        <f>IFERROR(VLOOKUP($G957,基本資料!$A:$M,12,0),"無")</f>
        <v>19.010000000000002</v>
      </c>
      <c r="AC957" s="22" t="s">
        <v>4363</v>
      </c>
      <c r="AF957" s="33">
        <f t="shared" si="171"/>
        <v>0</v>
      </c>
      <c r="AG957" s="117" t="s">
        <v>4320</v>
      </c>
      <c r="AH957" s="66">
        <f t="shared" si="165"/>
        <v>0.31003593842192778</v>
      </c>
      <c r="AI957" s="283">
        <f>RTD("money.excel",,$G957,"PredictVolume")</f>
        <v>289</v>
      </c>
      <c r="AJ957" s="391">
        <f>IFERROR(VLOOKUP($G957,基本資料!$A:$M,13,0),"無")</f>
        <v>932.15</v>
      </c>
      <c r="AR957" s="245" t="str">
        <f>INDEX(基本資料!N:N,MATCH($G957,基本資料!A:A,0))</f>
        <v>低</v>
      </c>
    </row>
    <row r="958" spans="1:44">
      <c r="A958" s="343">
        <f>IFERROR(VLOOKUP($G958,基本資料!$A:$J,3,0),"無")</f>
        <v>12.04</v>
      </c>
      <c r="B958" s="79">
        <f>IFERROR(VLOOKUP($G958,基本資料!$A:$J,4,0),"無")</f>
        <v>-155</v>
      </c>
      <c r="C958" s="79">
        <f>IFERROR(VLOOKUP($G958,基本資料!$A:$J,5,0),"無")</f>
        <v>-15</v>
      </c>
      <c r="D958" s="79">
        <f>IFERROR(VLOOKUP($G958,基本資料!$A:$J,6,0),"無")</f>
        <v>11</v>
      </c>
      <c r="E958" s="79">
        <f>IFERROR(VLOOKUP($G958,基本資料!$A:$J,7,0),"無")</f>
        <v>7</v>
      </c>
      <c r="F958" s="6">
        <f>IFERROR(VLOOKUP($G958,基本資料!$A:$J,8,0),"無")</f>
        <v>-3.45</v>
      </c>
      <c r="G958" s="79">
        <v>3419</v>
      </c>
      <c r="H958" s="8" t="s">
        <v>311</v>
      </c>
      <c r="I958" s="22" t="s">
        <v>4364</v>
      </c>
      <c r="J958" s="8">
        <f>IFERROR(VLOOKUP($G958,今日總結!$A:$AN,39,0),"")</f>
        <v>0</v>
      </c>
      <c r="K958" s="5" t="str">
        <f>IFERROR(VLOOKUP($G958,今日總結!$A:$AN,40,0),"")</f>
        <v>融</v>
      </c>
      <c r="L958" s="156">
        <f>IFERROR(VLOOKUP($G958,今日總結!$A:$AN,37,0),"")</f>
        <v>0</v>
      </c>
      <c r="M958" s="337">
        <f>IFERROR(VLOOKUP($G958,今日總結!$A:$AN,38,0),"")</f>
        <v>6</v>
      </c>
      <c r="N958" s="240">
        <f t="shared" si="168"/>
        <v>-6</v>
      </c>
      <c r="O958" s="359">
        <f>IFERROR(VLOOKUP($G958,融外自投!$A:$J,7,0),"無")</f>
        <v>240</v>
      </c>
      <c r="P958" s="79">
        <f>IFERROR(VLOOKUP($G958,融外自投!$A:$J,9,0),"無")</f>
        <v>433</v>
      </c>
      <c r="Q958" s="342">
        <f>IFERROR(VLOOKUP($G958,融外自投!$A:$J,8,0),"無")</f>
        <v>634</v>
      </c>
      <c r="R958" s="81" t="str">
        <f>IFERROR(VLOOKUP($G958,融外自投!$A:$J,10,0),"無")</f>
        <v>無</v>
      </c>
      <c r="S958" s="324">
        <f>IFERROR(VLOOKUP($G958,'321買'!$A:$E,4,0),"'沒有資料'")</f>
        <v>244</v>
      </c>
      <c r="T958" s="186">
        <f>IFERROR(VLOOKUP($G958,基本資料!$A:$J,9,0),"無")</f>
        <v>0</v>
      </c>
      <c r="U958" s="307">
        <f t="shared" si="167"/>
        <v>0</v>
      </c>
      <c r="V958" s="94">
        <f>IFERROR(VLOOKUP($G958,基本資料!$A:$J,10,0),"無")</f>
        <v>-0.33</v>
      </c>
      <c r="W958" s="36">
        <f>RTD("money.excel",,"3419","Price")</f>
        <v>17</v>
      </c>
      <c r="X958" s="66"/>
      <c r="Y958" s="15">
        <f t="shared" si="169"/>
        <v>17</v>
      </c>
      <c r="Z958" s="3" t="e">
        <f t="shared" si="170"/>
        <v>#DIV/0!</v>
      </c>
      <c r="AA958" s="340">
        <f>IFERROR(VLOOKUP($G958,基本資料!$A:$M,11,0),"無")</f>
        <v>-47.53</v>
      </c>
      <c r="AB958" s="389">
        <f>IFERROR(VLOOKUP($G958,基本資料!$A:$M,12,0),"無")</f>
        <v>14.8</v>
      </c>
      <c r="AC958" s="22" t="s">
        <v>4364</v>
      </c>
      <c r="AF958" s="33">
        <f t="shared" si="171"/>
        <v>0</v>
      </c>
      <c r="AG958" s="119" t="s">
        <v>4348</v>
      </c>
      <c r="AH958" s="66">
        <f t="shared" si="165"/>
        <v>0.53720223507499265</v>
      </c>
      <c r="AI958" s="283">
        <f>RTD("money.excel",,$G958,"PredictVolume")</f>
        <v>274</v>
      </c>
      <c r="AJ958" s="391">
        <f>IFERROR(VLOOKUP($G958,基本資料!$A:$M,13,0),"無")</f>
        <v>510.05</v>
      </c>
      <c r="AR958" s="245" t="str">
        <f>INDEX(基本資料!N:N,MATCH($G958,基本資料!A:A,0))</f>
        <v>低</v>
      </c>
    </row>
    <row r="959" spans="1:44">
      <c r="A959" s="343">
        <f>IFERROR(VLOOKUP($G959,基本資料!$A:$J,3,0),"無")</f>
        <v>6.08</v>
      </c>
      <c r="B959" s="79">
        <f>IFERROR(VLOOKUP($G959,基本資料!$A:$J,4,0),"無")</f>
        <v>47</v>
      </c>
      <c r="C959" s="79">
        <f>IFERROR(VLOOKUP($G959,基本資料!$A:$J,5,0),"無")</f>
        <v>-32</v>
      </c>
      <c r="D959" s="79">
        <f>IFERROR(VLOOKUP($G959,基本資料!$A:$J,6,0),"無")</f>
        <v>174</v>
      </c>
      <c r="E959" s="79">
        <f>IFERROR(VLOOKUP($G959,基本資料!$A:$J,7,0),"無")</f>
        <v>-7</v>
      </c>
      <c r="F959" s="6">
        <f>IFERROR(VLOOKUP($G959,基本資料!$A:$J,8,0),"無")</f>
        <v>-7.77</v>
      </c>
      <c r="G959" s="79">
        <v>3466</v>
      </c>
      <c r="H959" s="8" t="s">
        <v>311</v>
      </c>
      <c r="I959" s="16" t="s">
        <v>4365</v>
      </c>
      <c r="J959" s="8">
        <f>IFERROR(VLOOKUP($G959,今日總結!$A:$AN,39,0),"")</f>
        <v>0</v>
      </c>
      <c r="K959" s="5">
        <f>IFERROR(VLOOKUP($G959,今日總結!$A:$AN,40,0),"")</f>
        <v>0</v>
      </c>
      <c r="L959" s="156">
        <f>IFERROR(VLOOKUP($G959,今日總結!$A:$AN,37,0),"")</f>
        <v>0</v>
      </c>
      <c r="M959" s="337">
        <f>IFERROR(VLOOKUP($G959,今日總結!$A:$AN,38,0),"")</f>
        <v>0</v>
      </c>
      <c r="N959" s="240">
        <f t="shared" si="168"/>
        <v>0</v>
      </c>
      <c r="O959" s="359">
        <f>IFERROR(VLOOKUP($G959,融外自投!$A:$J,7,0),"無")</f>
        <v>400</v>
      </c>
      <c r="P959" s="79" t="str">
        <f>IFERROR(VLOOKUP($G959,融外自投!$A:$J,9,0),"無")</f>
        <v>無</v>
      </c>
      <c r="Q959" s="342">
        <f>IFERROR(VLOOKUP($G959,融外自投!$A:$J,8,0),"無")</f>
        <v>604</v>
      </c>
      <c r="R959" s="81" t="str">
        <f>IFERROR(VLOOKUP($G959,融外自投!$A:$J,10,0),"無")</f>
        <v>無</v>
      </c>
      <c r="S959" s="324">
        <f>IFERROR(VLOOKUP($G959,'321買'!$A:$E,4,0),"'沒有資料'")</f>
        <v>394</v>
      </c>
      <c r="T959" s="186">
        <f>IFERROR(VLOOKUP($G959,基本資料!$A:$J,9,0),"無")</f>
        <v>0</v>
      </c>
      <c r="U959" s="307">
        <f t="shared" si="167"/>
        <v>0</v>
      </c>
      <c r="V959" s="94">
        <f>IFERROR(VLOOKUP($G959,基本資料!$A:$J,10,0),"無")</f>
        <v>-1.31</v>
      </c>
      <c r="W959" s="36">
        <f>RTD("money.excel",,"3466","Price")</f>
        <v>19.25</v>
      </c>
      <c r="X959" s="66"/>
      <c r="Y959" s="15">
        <f t="shared" si="169"/>
        <v>19.25</v>
      </c>
      <c r="Z959" s="3" t="e">
        <f t="shared" si="170"/>
        <v>#DIV/0!</v>
      </c>
      <c r="AA959" s="340">
        <f>IFERROR(VLOOKUP($G959,基本資料!$A:$M,11,0),"無")</f>
        <v>-18.260000000000002</v>
      </c>
      <c r="AB959" s="389">
        <f>IFERROR(VLOOKUP($G959,基本資料!$A:$M,12,0),"無")</f>
        <v>68.47</v>
      </c>
      <c r="AC959" s="16" t="s">
        <v>4365</v>
      </c>
      <c r="AF959" s="33">
        <f t="shared" si="171"/>
        <v>0</v>
      </c>
      <c r="AG959" s="43" t="s">
        <v>4366</v>
      </c>
      <c r="AH959" s="66">
        <f t="shared" si="165"/>
        <v>1.54328077686123</v>
      </c>
      <c r="AI959" s="283">
        <f>RTD("money.excel",,$G959,"PredictVolume")</f>
        <v>739</v>
      </c>
      <c r="AJ959" s="391">
        <f>IFERROR(VLOOKUP($G959,基本資料!$A:$M,13,0),"無")</f>
        <v>478.85</v>
      </c>
      <c r="AR959" s="245" t="str">
        <f>INDEX(基本資料!N:N,MATCH($G959,基本資料!A:A,0))</f>
        <v>中</v>
      </c>
    </row>
    <row r="960" spans="1:44">
      <c r="A960" s="343">
        <f>IFERROR(VLOOKUP($G960,基本資料!$A:$J,3,0),"無")</f>
        <v>6.21</v>
      </c>
      <c r="B960" s="79">
        <f>IFERROR(VLOOKUP($G960,基本資料!$A:$J,4,0),"無")</f>
        <v>80</v>
      </c>
      <c r="C960" s="79">
        <f>IFERROR(VLOOKUP($G960,基本資料!$A:$J,5,0),"無")</f>
        <v>24</v>
      </c>
      <c r="D960" s="79">
        <f>IFERROR(VLOOKUP($G960,基本資料!$A:$J,6,0),"無")</f>
        <v>-48</v>
      </c>
      <c r="E960" s="79">
        <f>IFERROR(VLOOKUP($G960,基本資料!$A:$J,7,0),"無")</f>
        <v>-29</v>
      </c>
      <c r="F960" s="6">
        <f>IFERROR(VLOOKUP($G960,基本資料!$A:$J,8,0),"無")</f>
        <v>12.59</v>
      </c>
      <c r="G960" s="79">
        <v>3491</v>
      </c>
      <c r="H960" s="8" t="s">
        <v>311</v>
      </c>
      <c r="I960" s="16" t="s">
        <v>4367</v>
      </c>
      <c r="J960" s="8">
        <f>IFERROR(VLOOKUP($G960,今日總結!$A:$AN,39,0),"")</f>
        <v>0</v>
      </c>
      <c r="K960" s="5">
        <f>IFERROR(VLOOKUP($G960,今日總結!$A:$AN,40,0),"")</f>
        <v>0</v>
      </c>
      <c r="L960" s="156">
        <f>IFERROR(VLOOKUP($G960,今日總結!$A:$AN,37,0),"")</f>
        <v>0</v>
      </c>
      <c r="M960" s="337">
        <f>IFERROR(VLOOKUP($G960,今日總結!$A:$AN,38,0),"")</f>
        <v>0</v>
      </c>
      <c r="N960" s="240">
        <f t="shared" si="168"/>
        <v>0</v>
      </c>
      <c r="O960" s="359">
        <f>IFERROR(VLOOKUP($G960,融外自投!$A:$J,7,0),"無")</f>
        <v>162</v>
      </c>
      <c r="P960" s="79">
        <f>IFERROR(VLOOKUP($G960,融外自投!$A:$J,9,0),"無")</f>
        <v>221</v>
      </c>
      <c r="Q960" s="342">
        <f>IFERROR(VLOOKUP($G960,融外自投!$A:$J,8,0),"無")</f>
        <v>389</v>
      </c>
      <c r="R960" s="81">
        <f>IFERROR(VLOOKUP($G960,融外自投!$A:$J,10,0),"無")</f>
        <v>159</v>
      </c>
      <c r="S960" s="324">
        <f>IFERROR(VLOOKUP($G960,'321買'!$A:$E,4,0),"'沒有資料'")</f>
        <v>16</v>
      </c>
      <c r="T960" s="186">
        <f>IFERROR(VLOOKUP($G960,基本資料!$A:$J,9,0),"無")</f>
        <v>4</v>
      </c>
      <c r="U960" s="307">
        <f t="shared" si="167"/>
        <v>2.9090909090909091E-2</v>
      </c>
      <c r="V960" s="94">
        <f>IFERROR(VLOOKUP($G960,基本資料!$A:$J,10,0),"無")</f>
        <v>3.81</v>
      </c>
      <c r="W960" s="36">
        <f>RTD("money.excel",,"3491","Price")</f>
        <v>137.5</v>
      </c>
      <c r="X960" s="66"/>
      <c r="Y960" s="15">
        <f t="shared" si="169"/>
        <v>137.5</v>
      </c>
      <c r="Z960" s="3" t="e">
        <f t="shared" si="170"/>
        <v>#DIV/0!</v>
      </c>
      <c r="AA960" s="340">
        <f>IFERROR(VLOOKUP($G960,基本資料!$A:$M,11,0),"無")</f>
        <v>-39.96</v>
      </c>
      <c r="AB960" s="389">
        <f>IFERROR(VLOOKUP($G960,基本資料!$A:$M,12,0),"無")</f>
        <v>18.64</v>
      </c>
      <c r="AC960" s="16" t="s">
        <v>4367</v>
      </c>
      <c r="AF960" s="33">
        <f t="shared" si="171"/>
        <v>0</v>
      </c>
      <c r="AG960" s="117" t="s">
        <v>4368</v>
      </c>
      <c r="AH960" s="66">
        <f t="shared" si="165"/>
        <v>0.459299681673488</v>
      </c>
      <c r="AI960" s="283">
        <f>RTD("money.excel",,$G960,"PredictVolume")</f>
        <v>1313</v>
      </c>
      <c r="AJ960" s="391">
        <f>IFERROR(VLOOKUP($G960,基本資料!$A:$M,13,0),"無")</f>
        <v>2858.7</v>
      </c>
      <c r="AR960" s="245" t="str">
        <f>INDEX(基本資料!N:N,MATCH($G960,基本資料!A:A,0))</f>
        <v>中</v>
      </c>
    </row>
    <row r="961" spans="1:44">
      <c r="A961" s="343">
        <f>IFERROR(VLOOKUP($G961,基本資料!$A:$J,3,0),"無")</f>
        <v>5.49</v>
      </c>
      <c r="B961" s="79">
        <f>IFERROR(VLOOKUP($G961,基本資料!$A:$J,4,0),"無")</f>
        <v>62</v>
      </c>
      <c r="C961" s="79">
        <f>IFERROR(VLOOKUP($G961,基本資料!$A:$J,5,0),"無")</f>
        <v>16</v>
      </c>
      <c r="D961" s="79">
        <f>IFERROR(VLOOKUP($G961,基本資料!$A:$J,6,0),"無")</f>
        <v>14</v>
      </c>
      <c r="E961" s="79">
        <f>IFERROR(VLOOKUP($G961,基本資料!$A:$J,7,0),"無")</f>
        <v>6</v>
      </c>
      <c r="F961" s="6">
        <f>IFERROR(VLOOKUP($G961,基本資料!$A:$J,8,0),"無")</f>
        <v>-10.9</v>
      </c>
      <c r="G961" s="79">
        <v>3499</v>
      </c>
      <c r="H961" s="8" t="s">
        <v>311</v>
      </c>
      <c r="I961" s="16" t="s">
        <v>4369</v>
      </c>
      <c r="J961" s="8" t="str">
        <f>IFERROR(VLOOKUP($G961,今日總結!$A:$AN,39,0),"")</f>
        <v>外</v>
      </c>
      <c r="K961" s="5">
        <f>IFERROR(VLOOKUP($G961,今日總結!$A:$AN,40,0),"")</f>
        <v>0</v>
      </c>
      <c r="L961" s="156">
        <f>IFERROR(VLOOKUP($G961,今日總結!$A:$AN,37,0),"")</f>
        <v>1</v>
      </c>
      <c r="M961" s="337">
        <f>IFERROR(VLOOKUP($G961,今日總結!$A:$AN,38,0),"")</f>
        <v>0</v>
      </c>
      <c r="N961" s="240">
        <f t="shared" si="168"/>
        <v>1</v>
      </c>
      <c r="O961" s="359">
        <f>IFERROR(VLOOKUP($G961,融外自投!$A:$J,7,0),"無")</f>
        <v>378</v>
      </c>
      <c r="P961" s="79">
        <f>IFERROR(VLOOKUP($G961,融外自投!$A:$J,9,0),"無")</f>
        <v>584</v>
      </c>
      <c r="Q961" s="342">
        <f>IFERROR(VLOOKUP($G961,融外自投!$A:$J,8,0),"無")</f>
        <v>885</v>
      </c>
      <c r="R961" s="81" t="str">
        <f>IFERROR(VLOOKUP($G961,融外自投!$A:$J,10,0),"無")</f>
        <v>無</v>
      </c>
      <c r="S961" s="324">
        <f>IFERROR(VLOOKUP($G961,'321買'!$A:$E,4,0),"'沒有資料'")</f>
        <v>214</v>
      </c>
      <c r="T961" s="186">
        <f>IFERROR(VLOOKUP($G961,基本資料!$A:$J,9,0),"無")</f>
        <v>0</v>
      </c>
      <c r="U961" s="307">
        <f t="shared" si="167"/>
        <v>0</v>
      </c>
      <c r="V961" s="94">
        <f>IFERROR(VLOOKUP($G961,基本資料!$A:$J,10,0),"無")</f>
        <v>-0.18</v>
      </c>
      <c r="W961" s="36">
        <f>RTD("money.excel",,"3499","Price")</f>
        <v>17.05</v>
      </c>
      <c r="X961" s="66"/>
      <c r="Y961" s="15">
        <f t="shared" si="169"/>
        <v>17.05</v>
      </c>
      <c r="Z961" s="3" t="e">
        <f t="shared" si="170"/>
        <v>#DIV/0!</v>
      </c>
      <c r="AA961" s="340">
        <f>IFERROR(VLOOKUP($G961,基本資料!$A:$M,11,0),"無")</f>
        <v>-43.17</v>
      </c>
      <c r="AB961" s="389">
        <f>IFERROR(VLOOKUP($G961,基本資料!$A:$M,12,0),"無")</f>
        <v>16.87</v>
      </c>
      <c r="AC961" s="16" t="s">
        <v>4369</v>
      </c>
      <c r="AF961" s="33">
        <f t="shared" si="171"/>
        <v>0</v>
      </c>
      <c r="AG961" s="43" t="s">
        <v>4370</v>
      </c>
      <c r="AH961" s="66">
        <f t="shared" si="165"/>
        <v>0.60039370078740151</v>
      </c>
      <c r="AI961" s="283">
        <f>RTD("money.excel",,$G961,"PredictVolume")</f>
        <v>183</v>
      </c>
      <c r="AJ961" s="391">
        <f>IFERROR(VLOOKUP($G961,基本資料!$A:$M,13,0),"無")</f>
        <v>304.8</v>
      </c>
      <c r="AR961" s="245" t="str">
        <f>INDEX(基本資料!N:N,MATCH($G961,基本資料!A:A,0))</f>
        <v>低</v>
      </c>
    </row>
    <row r="962" spans="1:44">
      <c r="A962" s="343">
        <f>IFERROR(VLOOKUP($G962,基本資料!$A:$J,3,0),"無")</f>
        <v>4.9000000000000004</v>
      </c>
      <c r="B962" s="79">
        <f>IFERROR(VLOOKUP($G962,基本資料!$A:$J,4,0),"無")</f>
        <v>18</v>
      </c>
      <c r="C962" s="79">
        <f>IFERROR(VLOOKUP($G962,基本資料!$A:$J,5,0),"無")</f>
        <v>-5</v>
      </c>
      <c r="D962" s="79">
        <f>IFERROR(VLOOKUP($G962,基本資料!$A:$J,6,0),"無")</f>
        <v>-24</v>
      </c>
      <c r="E962" s="79">
        <f>IFERROR(VLOOKUP($G962,基本資料!$A:$J,7,0),"無")</f>
        <v>25</v>
      </c>
      <c r="F962" s="6">
        <f>IFERROR(VLOOKUP($G962,基本資料!$A:$J,8,0),"無")</f>
        <v>5.71</v>
      </c>
      <c r="G962" s="79">
        <v>3558</v>
      </c>
      <c r="H962" s="8" t="s">
        <v>311</v>
      </c>
      <c r="I962" s="16" t="s">
        <v>4371</v>
      </c>
      <c r="J962" s="8" t="str">
        <f>IFERROR(VLOOKUP($G962,今日總結!$A:$AN,39,0),"")</f>
        <v>6投</v>
      </c>
      <c r="K962" s="5">
        <f>IFERROR(VLOOKUP($G962,今日總結!$A:$AN,40,0),"")</f>
        <v>0</v>
      </c>
      <c r="L962" s="156">
        <f>IFERROR(VLOOKUP($G962,今日總結!$A:$AN,37,0),"")</f>
        <v>2</v>
      </c>
      <c r="M962" s="337">
        <f>IFERROR(VLOOKUP($G962,今日總結!$A:$AN,38,0),"")</f>
        <v>0</v>
      </c>
      <c r="N962" s="240">
        <f t="shared" si="168"/>
        <v>2</v>
      </c>
      <c r="O962" s="359">
        <f>IFERROR(VLOOKUP($G962,融外自投!$A:$J,7,0),"無")</f>
        <v>110</v>
      </c>
      <c r="P962" s="79">
        <f>IFERROR(VLOOKUP($G962,融外自投!$A:$J,9,0),"無")</f>
        <v>157</v>
      </c>
      <c r="Q962" s="342">
        <f>IFERROR(VLOOKUP($G962,融外自投!$A:$J,8,0),"無")</f>
        <v>878</v>
      </c>
      <c r="R962" s="81">
        <f>IFERROR(VLOOKUP($G962,融外自投!$A:$J,10,0),"無")</f>
        <v>11</v>
      </c>
      <c r="S962" s="324">
        <f>IFERROR(VLOOKUP($G962,'321買'!$A:$E,4,0),"'沒有資料'")</f>
        <v>156</v>
      </c>
      <c r="T962" s="186">
        <f>IFERROR(VLOOKUP($G962,基本資料!$A:$J,9,0),"無")</f>
        <v>3</v>
      </c>
      <c r="U962" s="307">
        <f t="shared" si="167"/>
        <v>1.662049861495845E-2</v>
      </c>
      <c r="V962" s="94">
        <f>IFERROR(VLOOKUP($G962,基本資料!$A:$J,10,0),"無")</f>
        <v>9.16</v>
      </c>
      <c r="W962" s="36">
        <f>RTD("money.excel",,"3558","Price")</f>
        <v>180.5</v>
      </c>
      <c r="X962" s="66"/>
      <c r="Y962" s="15">
        <f t="shared" si="169"/>
        <v>180.5</v>
      </c>
      <c r="Z962" s="3" t="e">
        <f t="shared" si="170"/>
        <v>#DIV/0!</v>
      </c>
      <c r="AA962" s="340">
        <f>IFERROR(VLOOKUP($G962,基本資料!$A:$M,11,0),"無")</f>
        <v>-17.39</v>
      </c>
      <c r="AB962" s="389">
        <f>IFERROR(VLOOKUP($G962,基本資料!$A:$M,12,0),"無")</f>
        <v>68.510000000000005</v>
      </c>
      <c r="AC962" s="16" t="s">
        <v>4371</v>
      </c>
      <c r="AF962" s="33">
        <f t="shared" si="171"/>
        <v>0</v>
      </c>
      <c r="AG962" s="117" t="s">
        <v>4372</v>
      </c>
      <c r="AH962" s="66">
        <f t="shared" si="165"/>
        <v>0.46892133664223462</v>
      </c>
      <c r="AI962" s="283">
        <f>RTD("money.excel",,$G962,"PredictVolume")</f>
        <v>4875</v>
      </c>
      <c r="AJ962" s="391">
        <f>IFERROR(VLOOKUP($G962,基本資料!$A:$M,13,0),"無")</f>
        <v>10396.200000000001</v>
      </c>
      <c r="AR962" s="245" t="str">
        <f>INDEX(基本資料!N:N,MATCH($G962,基本資料!A:A,0))</f>
        <v>高</v>
      </c>
    </row>
    <row r="963" spans="1:44">
      <c r="A963" s="343">
        <f>IFERROR(VLOOKUP($G963,基本資料!$A:$J,3,0),"無")</f>
        <v>5.91</v>
      </c>
      <c r="B963" s="79">
        <f>IFERROR(VLOOKUP($G963,基本資料!$A:$J,4,0),"無")</f>
        <v>-16</v>
      </c>
      <c r="C963" s="79">
        <f>IFERROR(VLOOKUP($G963,基本資料!$A:$J,5,0),"無")</f>
        <v>-2</v>
      </c>
      <c r="D963" s="79">
        <f>IFERROR(VLOOKUP($G963,基本資料!$A:$J,6,0),"無")</f>
        <v>32</v>
      </c>
      <c r="E963" s="79">
        <f>IFERROR(VLOOKUP($G963,基本資料!$A:$J,7,0),"無")</f>
        <v>109</v>
      </c>
      <c r="F963" s="6">
        <f>IFERROR(VLOOKUP($G963,基本資料!$A:$J,8,0),"無")</f>
        <v>3.94</v>
      </c>
      <c r="G963" s="79">
        <v>3564</v>
      </c>
      <c r="H963" s="8" t="s">
        <v>311</v>
      </c>
      <c r="I963" s="16" t="s">
        <v>4373</v>
      </c>
      <c r="J963" s="8" t="str">
        <f>IFERROR(VLOOKUP($G963,今日總結!$A:$AN,39,0),"")</f>
        <v/>
      </c>
      <c r="K963" s="5" t="str">
        <f>IFERROR(VLOOKUP($G963,今日總結!$A:$AN,40,0),"")</f>
        <v/>
      </c>
      <c r="L963" s="156" t="str">
        <f>IFERROR(VLOOKUP($G963,今日總結!$A:$AN,37,0),"")</f>
        <v/>
      </c>
      <c r="M963" s="337" t="str">
        <f>IFERROR(VLOOKUP($G963,今日總結!$A:$AN,38,0),"")</f>
        <v/>
      </c>
      <c r="N963" s="240" t="str">
        <f t="shared" si="168"/>
        <v/>
      </c>
      <c r="O963" s="359" t="str">
        <f>IFERROR(VLOOKUP($G963,融外自投!$A:$J,7,0),"無")</f>
        <v>無</v>
      </c>
      <c r="P963" s="79" t="str">
        <f>IFERROR(VLOOKUP($G963,融外自投!$A:$J,9,0),"無")</f>
        <v>無</v>
      </c>
      <c r="Q963" s="342" t="str">
        <f>IFERROR(VLOOKUP($G963,融外自投!$A:$J,8,0),"無")</f>
        <v>無</v>
      </c>
      <c r="R963" s="81" t="str">
        <f>IFERROR(VLOOKUP($G963,融外自投!$A:$J,10,0),"無")</f>
        <v>無</v>
      </c>
      <c r="S963" s="324" t="str">
        <f>IFERROR(VLOOKUP($G963,'321買'!$A:$E,4,0),"'沒有資料'")</f>
        <v>'沒有資料'</v>
      </c>
      <c r="T963" s="186">
        <f>IFERROR(VLOOKUP($G963,基本資料!$A:$J,9,0),"無")</f>
        <v>0.6</v>
      </c>
      <c r="U963" s="307">
        <f t="shared" si="167"/>
        <v>2.2429906542056073E-2</v>
      </c>
      <c r="V963" s="94">
        <f>IFERROR(VLOOKUP($G963,基本資料!$A:$J,10,0),"無")</f>
        <v>0.75</v>
      </c>
      <c r="W963" s="36">
        <f>RTD("money.excel",,"3564","Price")</f>
        <v>26.75</v>
      </c>
      <c r="X963" s="66"/>
      <c r="Y963" s="15">
        <f t="shared" si="169"/>
        <v>26.75</v>
      </c>
      <c r="Z963" s="3" t="e">
        <f t="shared" si="170"/>
        <v>#DIV/0!</v>
      </c>
      <c r="AA963" s="340">
        <f>IFERROR(VLOOKUP($G963,基本資料!$A:$M,11,0),"無")</f>
        <v>-24.65</v>
      </c>
      <c r="AB963" s="389">
        <f>IFERROR(VLOOKUP($G963,基本資料!$A:$M,12,0),"無")</f>
        <v>49.29</v>
      </c>
      <c r="AC963" s="16" t="s">
        <v>4373</v>
      </c>
      <c r="AF963" s="33">
        <f t="shared" si="171"/>
        <v>0</v>
      </c>
      <c r="AG963" s="43" t="s">
        <v>2232</v>
      </c>
      <c r="AH963" s="66">
        <f t="shared" si="165"/>
        <v>0.40671072699542454</v>
      </c>
      <c r="AI963" s="283">
        <f>RTD("money.excel",,$G963,"PredictVolume")</f>
        <v>40</v>
      </c>
      <c r="AJ963" s="391">
        <f>IFERROR(VLOOKUP($G963,基本資料!$A:$M,13,0),"無")</f>
        <v>98.35</v>
      </c>
      <c r="AR963" s="245" t="str">
        <f>INDEX(基本資料!N:N,MATCH($G963,基本資料!A:A,0))</f>
        <v>低</v>
      </c>
    </row>
    <row r="964" spans="1:44">
      <c r="A964" s="343">
        <f>IFERROR(VLOOKUP($G964,基本資料!$A:$J,3,0),"無")</f>
        <v>22.67</v>
      </c>
      <c r="B964" s="79">
        <f>IFERROR(VLOOKUP($G964,基本資料!$A:$J,4,0),"無")</f>
        <v>4</v>
      </c>
      <c r="C964" s="79">
        <f>IFERROR(VLOOKUP($G964,基本資料!$A:$J,5,0),"無")</f>
        <v>-3</v>
      </c>
      <c r="D964" s="79">
        <f>IFERROR(VLOOKUP($G964,基本資料!$A:$J,6,0),"無")</f>
        <v>-26</v>
      </c>
      <c r="E964" s="79">
        <f>IFERROR(VLOOKUP($G964,基本資料!$A:$J,7,0),"無")</f>
        <v>-18</v>
      </c>
      <c r="F964" s="6">
        <f>IFERROR(VLOOKUP($G964,基本資料!$A:$J,8,0),"無")</f>
        <v>5.75</v>
      </c>
      <c r="G964" s="79">
        <v>3596</v>
      </c>
      <c r="H964" s="195" t="s">
        <v>311</v>
      </c>
      <c r="I964" s="22" t="s">
        <v>4374</v>
      </c>
      <c r="J964" s="8" t="str">
        <f>IFERROR(VLOOKUP($G964,今日總結!$A:$AN,39,0),"")</f>
        <v>2同投</v>
      </c>
      <c r="K964" s="5">
        <f>IFERROR(VLOOKUP($G964,今日總結!$A:$AN,40,0),"")</f>
        <v>9</v>
      </c>
      <c r="L964" s="156">
        <f>IFERROR(VLOOKUP($G964,今日總結!$A:$AN,37,0),"")</f>
        <v>4</v>
      </c>
      <c r="M964" s="337">
        <f>IFERROR(VLOOKUP($G964,今日總結!$A:$AN,38,0),"")</f>
        <v>1</v>
      </c>
      <c r="N964" s="240">
        <f t="shared" si="168"/>
        <v>3</v>
      </c>
      <c r="O964" s="359">
        <f>IFERROR(VLOOKUP($G964,融外自投!$A:$J,7,0),"無")</f>
        <v>510</v>
      </c>
      <c r="P964" s="79">
        <f>IFERROR(VLOOKUP($G964,融外自投!$A:$J,9,0),"無")</f>
        <v>537</v>
      </c>
      <c r="Q964" s="342">
        <f>IFERROR(VLOOKUP($G964,融外自投!$A:$J,8,0),"無")</f>
        <v>440</v>
      </c>
      <c r="R964" s="81">
        <f>IFERROR(VLOOKUP($G964,融外自投!$A:$J,10,0),"無")</f>
        <v>18</v>
      </c>
      <c r="S964" s="324">
        <f>IFERROR(VLOOKUP($G964,'321買'!$A:$E,4,0),"'沒有資料'")</f>
        <v>91</v>
      </c>
      <c r="T964" s="186">
        <f>IFERROR(VLOOKUP($G964,基本資料!$A:$J,9,0),"無")</f>
        <v>6.71</v>
      </c>
      <c r="U964" s="307">
        <f t="shared" si="167"/>
        <v>5.7350427350427349E-2</v>
      </c>
      <c r="V964" s="94">
        <f>IFERROR(VLOOKUP($G964,基本資料!$A:$J,10,0),"無")</f>
        <v>8.6</v>
      </c>
      <c r="W964" s="36">
        <f>RTD("money.excel",,"3596","Price")</f>
        <v>117</v>
      </c>
      <c r="X964" s="66"/>
      <c r="Y964" s="15">
        <f t="shared" si="169"/>
        <v>117</v>
      </c>
      <c r="Z964" s="3" t="e">
        <f t="shared" si="170"/>
        <v>#DIV/0!</v>
      </c>
      <c r="AA964" s="340">
        <f>IFERROR(VLOOKUP($G964,基本資料!$A:$M,11,0),"無")</f>
        <v>-15.83</v>
      </c>
      <c r="AB964" s="389">
        <f>IFERROR(VLOOKUP($G964,基本資料!$A:$M,12,0),"無")</f>
        <v>39.549999999999997</v>
      </c>
      <c r="AC964" s="22" t="s">
        <v>4374</v>
      </c>
      <c r="AF964" s="33">
        <f t="shared" si="171"/>
        <v>0</v>
      </c>
      <c r="AG964" s="117" t="s">
        <v>4375</v>
      </c>
      <c r="AH964" s="66">
        <f t="shared" si="165"/>
        <v>0.76074606477639761</v>
      </c>
      <c r="AI964" s="283">
        <f>RTD("money.excel",,$G964,"PredictVolume")</f>
        <v>5959</v>
      </c>
      <c r="AJ964" s="391">
        <f>IFERROR(VLOOKUP($G964,基本資料!$A:$M,13,0),"無")</f>
        <v>7833.1</v>
      </c>
      <c r="AR964" s="245" t="str">
        <f>INDEX(基本資料!N:N,MATCH($G964,基本資料!A:A,0))</f>
        <v>中</v>
      </c>
    </row>
    <row r="965" spans="1:44">
      <c r="A965" s="343">
        <f>IFERROR(VLOOKUP($G965,基本資料!$A:$J,3,0),"無")</f>
        <v>4.08</v>
      </c>
      <c r="B965" s="79">
        <f>IFERROR(VLOOKUP($G965,基本資料!$A:$J,4,0),"無")</f>
        <v>80</v>
      </c>
      <c r="C965" s="79">
        <f>IFERROR(VLOOKUP($G965,基本資料!$A:$J,5,0),"無")</f>
        <v>-8</v>
      </c>
      <c r="D965" s="79">
        <f>IFERROR(VLOOKUP($G965,基本資料!$A:$J,6,0),"無")</f>
        <v>19</v>
      </c>
      <c r="E965" s="79">
        <f>IFERROR(VLOOKUP($G965,基本資料!$A:$J,7,0),"無")</f>
        <v>-18</v>
      </c>
      <c r="F965" s="6">
        <f>IFERROR(VLOOKUP($G965,基本資料!$A:$J,8,0),"無")</f>
        <v>-43.29</v>
      </c>
      <c r="G965" s="79">
        <v>3632</v>
      </c>
      <c r="H965" s="8" t="s">
        <v>311</v>
      </c>
      <c r="I965" s="16" t="s">
        <v>4376</v>
      </c>
      <c r="J965" s="8" t="str">
        <f>IFERROR(VLOOKUP($G965,今日總結!$A:$AN,39,0),"")</f>
        <v/>
      </c>
      <c r="K965" s="5" t="str">
        <f>IFERROR(VLOOKUP($G965,今日總結!$A:$AN,40,0),"")</f>
        <v/>
      </c>
      <c r="L965" s="156" t="str">
        <f>IFERROR(VLOOKUP($G965,今日總結!$A:$AN,37,0),"")</f>
        <v/>
      </c>
      <c r="M965" s="337" t="str">
        <f>IFERROR(VLOOKUP($G965,今日總結!$A:$AN,38,0),"")</f>
        <v/>
      </c>
      <c r="N965" s="240" t="str">
        <f t="shared" si="168"/>
        <v/>
      </c>
      <c r="O965" s="359" t="str">
        <f>IFERROR(VLOOKUP($G965,融外自投!$A:$J,7,0),"無")</f>
        <v>無</v>
      </c>
      <c r="P965" s="79" t="str">
        <f>IFERROR(VLOOKUP($G965,融外自投!$A:$J,9,0),"無")</f>
        <v>無</v>
      </c>
      <c r="Q965" s="342" t="str">
        <f>IFERROR(VLOOKUP($G965,融外自投!$A:$J,8,0),"無")</f>
        <v>無</v>
      </c>
      <c r="R965" s="81" t="str">
        <f>IFERROR(VLOOKUP($G965,融外自投!$A:$J,10,0),"無")</f>
        <v>無</v>
      </c>
      <c r="S965" s="324" t="str">
        <f>IFERROR(VLOOKUP($G965,'321買'!$A:$E,4,0),"'沒有資料'")</f>
        <v>'沒有資料'</v>
      </c>
      <c r="T965" s="186">
        <f>IFERROR(VLOOKUP($G965,基本資料!$A:$J,9,0),"無")</f>
        <v>0</v>
      </c>
      <c r="U965" s="307">
        <f t="shared" si="167"/>
        <v>0</v>
      </c>
      <c r="V965" s="94">
        <f>IFERROR(VLOOKUP($G965,基本資料!$A:$J,10,0),"無")</f>
        <v>-0.71</v>
      </c>
      <c r="W965" s="36">
        <f>RTD("money.excel",,"3632","Price")</f>
        <v>8.6999999999999993</v>
      </c>
      <c r="X965" s="66"/>
      <c r="Y965" s="15">
        <f t="shared" si="169"/>
        <v>8.6999999999999993</v>
      </c>
      <c r="Z965" s="3" t="e">
        <f t="shared" si="170"/>
        <v>#DIV/0!</v>
      </c>
      <c r="AA965" s="340">
        <f>IFERROR(VLOOKUP($G965,基本資料!$A:$M,11,0),"無")</f>
        <v>-15.53</v>
      </c>
      <c r="AB965" s="389">
        <f>IFERROR(VLOOKUP($G965,基本資料!$A:$M,12,0),"無")</f>
        <v>19.75</v>
      </c>
      <c r="AC965" s="16" t="s">
        <v>4376</v>
      </c>
      <c r="AF965" s="33">
        <f t="shared" si="171"/>
        <v>0</v>
      </c>
      <c r="AG965" s="43" t="s">
        <v>4377</v>
      </c>
      <c r="AH965" s="66">
        <f t="shared" ref="AH965:AH1029" si="175">AI965/AJ965</f>
        <v>0.60085836909871237</v>
      </c>
      <c r="AI965" s="283">
        <f>RTD("money.excel",,$G965,"PredictVolume")</f>
        <v>7</v>
      </c>
      <c r="AJ965" s="391">
        <f>IFERROR(VLOOKUP($G965,基本資料!$A:$M,13,0),"無")</f>
        <v>11.65</v>
      </c>
      <c r="AR965" s="245" t="str">
        <f>INDEX(基本資料!N:N,MATCH($G965,基本資料!A:A,0))</f>
        <v>中</v>
      </c>
    </row>
    <row r="966" spans="1:44">
      <c r="A966" s="343">
        <f>IFERROR(VLOOKUP($G966,基本資料!$A:$J,3,0),"無")</f>
        <v>5.1100000000000003</v>
      </c>
      <c r="B966" s="79">
        <f>IFERROR(VLOOKUP($G966,基本資料!$A:$J,4,0),"無")</f>
        <v>7</v>
      </c>
      <c r="C966" s="79">
        <f>IFERROR(VLOOKUP($G966,基本資料!$A:$J,5,0),"無")</f>
        <v>-41</v>
      </c>
      <c r="D966" s="79">
        <f>IFERROR(VLOOKUP($G966,基本資料!$A:$J,6,0),"無")</f>
        <v>-11</v>
      </c>
      <c r="E966" s="79">
        <f>IFERROR(VLOOKUP($G966,基本資料!$A:$J,7,0),"無")</f>
        <v>-3</v>
      </c>
      <c r="F966" s="6">
        <f>IFERROR(VLOOKUP($G966,基本資料!$A:$J,8,0),"無")</f>
        <v>-24.69</v>
      </c>
      <c r="G966" s="79">
        <v>3664</v>
      </c>
      <c r="H966" s="8" t="s">
        <v>311</v>
      </c>
      <c r="I966" s="16" t="s">
        <v>4378</v>
      </c>
      <c r="J966" s="8" t="str">
        <f>IFERROR(VLOOKUP($G966,今日總結!$A:$AN,39,0),"")</f>
        <v/>
      </c>
      <c r="K966" s="5" t="str">
        <f>IFERROR(VLOOKUP($G966,今日總結!$A:$AN,40,0),"")</f>
        <v/>
      </c>
      <c r="L966" s="156" t="str">
        <f>IFERROR(VLOOKUP($G966,今日總結!$A:$AN,37,0),"")</f>
        <v/>
      </c>
      <c r="M966" s="337" t="str">
        <f>IFERROR(VLOOKUP($G966,今日總結!$A:$AN,38,0),"")</f>
        <v/>
      </c>
      <c r="N966" s="240" t="str">
        <f t="shared" si="168"/>
        <v/>
      </c>
      <c r="O966" s="359" t="str">
        <f>IFERROR(VLOOKUP($G966,融外自投!$A:$J,7,0),"無")</f>
        <v>無</v>
      </c>
      <c r="P966" s="79" t="str">
        <f>IFERROR(VLOOKUP($G966,融外自投!$A:$J,9,0),"無")</f>
        <v>無</v>
      </c>
      <c r="Q966" s="342" t="str">
        <f>IFERROR(VLOOKUP($G966,融外自投!$A:$J,8,0),"無")</f>
        <v>無</v>
      </c>
      <c r="R966" s="81" t="str">
        <f>IFERROR(VLOOKUP($G966,融外自投!$A:$J,10,0),"無")</f>
        <v>無</v>
      </c>
      <c r="S966" s="324" t="str">
        <f>IFERROR(VLOOKUP($G966,'321買'!$A:$E,4,0),"'沒有資料'")</f>
        <v>'沒有資料'</v>
      </c>
      <c r="T966" s="186">
        <f>IFERROR(VLOOKUP($G966,基本資料!$A:$J,9,0),"無")</f>
        <v>0</v>
      </c>
      <c r="U966" s="307">
        <f t="shared" si="167"/>
        <v>0</v>
      </c>
      <c r="V966" s="94">
        <f>IFERROR(VLOOKUP($G966,基本資料!$A:$J,10,0),"無")</f>
        <v>-1.94</v>
      </c>
      <c r="W966" s="36">
        <f>RTD("money.excel",,"3664","Price")</f>
        <v>8.6199999999999992</v>
      </c>
      <c r="X966" s="66"/>
      <c r="Y966" s="15">
        <f t="shared" si="169"/>
        <v>8.6199999999999992</v>
      </c>
      <c r="Z966" s="3" t="e">
        <f t="shared" si="170"/>
        <v>#DIV/0!</v>
      </c>
      <c r="AA966" s="340">
        <f>IFERROR(VLOOKUP($G966,基本資料!$A:$M,11,0),"無")</f>
        <v>-22.34</v>
      </c>
      <c r="AB966" s="389">
        <f>IFERROR(VLOOKUP($G966,基本資料!$A:$M,12,0),"無")</f>
        <v>35.07</v>
      </c>
      <c r="AC966" s="16" t="s">
        <v>4378</v>
      </c>
      <c r="AF966" s="33">
        <f t="shared" si="171"/>
        <v>0</v>
      </c>
      <c r="AG966" s="43" t="s">
        <v>4379</v>
      </c>
      <c r="AH966" s="66">
        <f t="shared" si="175"/>
        <v>0.20672882042967167</v>
      </c>
      <c r="AI966" s="283">
        <f>RTD("money.excel",,$G966,"PredictVolume")</f>
        <v>51</v>
      </c>
      <c r="AJ966" s="391">
        <f>IFERROR(VLOOKUP($G966,基本資料!$A:$M,13,0),"無")</f>
        <v>246.7</v>
      </c>
      <c r="AR966" s="245" t="str">
        <f>INDEX(基本資料!N:N,MATCH($G966,基本資料!A:A,0))</f>
        <v>低</v>
      </c>
    </row>
    <row r="967" spans="1:44">
      <c r="A967" s="343">
        <f>IFERROR(VLOOKUP($G967,基本資料!$A:$J,3,0),"無")</f>
        <v>3.17</v>
      </c>
      <c r="B967" s="79">
        <f>IFERROR(VLOOKUP($G967,基本資料!$A:$J,4,0),"無")</f>
        <v>-63</v>
      </c>
      <c r="C967" s="79">
        <f>IFERROR(VLOOKUP($G967,基本資料!$A:$J,5,0),"無")</f>
        <v>9</v>
      </c>
      <c r="D967" s="79">
        <f>IFERROR(VLOOKUP($G967,基本資料!$A:$J,6,0),"無")</f>
        <v>-2</v>
      </c>
      <c r="E967" s="79">
        <f>IFERROR(VLOOKUP($G967,基本資料!$A:$J,7,0),"無")</f>
        <v>16</v>
      </c>
      <c r="F967" s="6">
        <f>IFERROR(VLOOKUP($G967,基本資料!$A:$J,8,0),"無")</f>
        <v>3.35</v>
      </c>
      <c r="G967" s="79">
        <v>3672</v>
      </c>
      <c r="H967" s="8" t="s">
        <v>311</v>
      </c>
      <c r="I967" s="16" t="s">
        <v>4380</v>
      </c>
      <c r="J967" s="8">
        <f>IFERROR(VLOOKUP($G967,今日總結!$A:$AN,39,0),"")</f>
        <v>0</v>
      </c>
      <c r="K967" s="5" t="str">
        <f>IFERROR(VLOOKUP($G967,今日總結!$A:$AN,40,0),"")</f>
        <v>借</v>
      </c>
      <c r="L967" s="156">
        <f>IFERROR(VLOOKUP($G967,今日總結!$A:$AN,37,0),"")</f>
        <v>0</v>
      </c>
      <c r="M967" s="337">
        <f>IFERROR(VLOOKUP($G967,今日總結!$A:$AN,38,0),"")</f>
        <v>5</v>
      </c>
      <c r="N967" s="240">
        <f t="shared" si="168"/>
        <v>-5</v>
      </c>
      <c r="O967" s="359">
        <f>IFERROR(VLOOKUP($G967,融外自投!$A:$J,7,0),"無")</f>
        <v>25</v>
      </c>
      <c r="P967" s="79">
        <f>IFERROR(VLOOKUP($G967,融外自投!$A:$J,9,0),"無")</f>
        <v>990</v>
      </c>
      <c r="Q967" s="342">
        <f>IFERROR(VLOOKUP($G967,融外自投!$A:$J,8,0),"無")</f>
        <v>1373</v>
      </c>
      <c r="R967" s="81" t="str">
        <f>IFERROR(VLOOKUP($G967,融外自投!$A:$J,10,0),"無")</f>
        <v>無</v>
      </c>
      <c r="S967" s="324">
        <f>IFERROR(VLOOKUP($G967,'321買'!$A:$E,4,0),"'沒有資料'")</f>
        <v>214</v>
      </c>
      <c r="T967" s="186">
        <f>IFERROR(VLOOKUP($G967,基本資料!$A:$J,9,0),"無")</f>
        <v>0.1</v>
      </c>
      <c r="U967" s="307">
        <f t="shared" si="167"/>
        <v>2.7777777777777779E-3</v>
      </c>
      <c r="V967" s="94">
        <f>IFERROR(VLOOKUP($G967,基本資料!$A:$J,10,0),"無")</f>
        <v>0.24</v>
      </c>
      <c r="W967" s="36">
        <f>RTD("money.excel",,"3672","Price")</f>
        <v>36</v>
      </c>
      <c r="X967" s="66"/>
      <c r="Y967" s="15">
        <f t="shared" si="169"/>
        <v>36</v>
      </c>
      <c r="Z967" s="3" t="e">
        <f t="shared" si="170"/>
        <v>#DIV/0!</v>
      </c>
      <c r="AA967" s="340">
        <f>IFERROR(VLOOKUP($G967,基本資料!$A:$M,11,0),"無")</f>
        <v>-29.82</v>
      </c>
      <c r="AB967" s="389">
        <f>IFERROR(VLOOKUP($G967,基本資料!$A:$M,12,0),"無")</f>
        <v>46.7</v>
      </c>
      <c r="AC967" s="16" t="s">
        <v>4380</v>
      </c>
      <c r="AF967" s="33">
        <f t="shared" si="171"/>
        <v>0</v>
      </c>
      <c r="AG967" s="43" t="s">
        <v>4381</v>
      </c>
      <c r="AH967" s="66">
        <f t="shared" si="175"/>
        <v>0.54123711340206182</v>
      </c>
      <c r="AI967" s="283">
        <f>RTD("money.excel",,$G967,"PredictVolume")</f>
        <v>147</v>
      </c>
      <c r="AJ967" s="391">
        <f>IFERROR(VLOOKUP($G967,基本資料!$A:$M,13,0),"無")</f>
        <v>271.60000000000002</v>
      </c>
      <c r="AR967" s="245" t="str">
        <f>INDEX(基本資料!N:N,MATCH($G967,基本資料!A:A,0))</f>
        <v>中</v>
      </c>
    </row>
    <row r="968" spans="1:44">
      <c r="A968" s="343">
        <f>IFERROR(VLOOKUP($G968,基本資料!$A:$J,3,0),"無")</f>
        <v>431</v>
      </c>
      <c r="B968" s="79">
        <f>IFERROR(VLOOKUP($G968,基本資料!$A:$J,4,0),"無")</f>
        <v>7</v>
      </c>
      <c r="C968" s="79">
        <f>IFERROR(VLOOKUP($G968,基本資料!$A:$J,5,0),"無")</f>
        <v>9</v>
      </c>
      <c r="D968" s="79">
        <f>IFERROR(VLOOKUP($G968,基本資料!$A:$J,6,0),"無")</f>
        <v>1</v>
      </c>
      <c r="E968" s="79">
        <f>IFERROR(VLOOKUP($G968,基本資料!$A:$J,7,0),"無")</f>
        <v>3</v>
      </c>
      <c r="F968" s="6">
        <f>IFERROR(VLOOKUP($G968,基本資料!$A:$J,8,0),"無")</f>
        <v>-39.479999999999997</v>
      </c>
      <c r="G968" s="79">
        <v>3682</v>
      </c>
      <c r="H968" s="8" t="s">
        <v>311</v>
      </c>
      <c r="I968" s="22" t="s">
        <v>4382</v>
      </c>
      <c r="J968" s="8" t="str">
        <f>IFERROR(VLOOKUP($G968,今日總結!$A:$AN,39,0),"")</f>
        <v/>
      </c>
      <c r="K968" s="5" t="str">
        <f>IFERROR(VLOOKUP($G968,今日總結!$A:$AN,40,0),"")</f>
        <v/>
      </c>
      <c r="L968" s="156" t="str">
        <f>IFERROR(VLOOKUP($G968,今日總結!$A:$AN,37,0),"")</f>
        <v/>
      </c>
      <c r="M968" s="337" t="str">
        <f>IFERROR(VLOOKUP($G968,今日總結!$A:$AN,38,0),"")</f>
        <v/>
      </c>
      <c r="N968" s="240" t="str">
        <f t="shared" si="168"/>
        <v/>
      </c>
      <c r="O968" s="359" t="str">
        <f>IFERROR(VLOOKUP($G968,融外自投!$A:$J,7,0),"無")</f>
        <v>無</v>
      </c>
      <c r="P968" s="79" t="str">
        <f>IFERROR(VLOOKUP($G968,融外自投!$A:$J,9,0),"無")</f>
        <v>無</v>
      </c>
      <c r="Q968" s="342" t="str">
        <f>IFERROR(VLOOKUP($G968,融外自投!$A:$J,8,0),"無")</f>
        <v>無</v>
      </c>
      <c r="R968" s="81" t="str">
        <f>IFERROR(VLOOKUP($G968,融外自投!$A:$J,10,0),"無")</f>
        <v>無</v>
      </c>
      <c r="S968" s="324" t="str">
        <f>IFERROR(VLOOKUP($G968,'321買'!$A:$E,4,0),"'沒有資料'")</f>
        <v>'沒有資料'</v>
      </c>
      <c r="T968" s="186">
        <f>IFERROR(VLOOKUP($G968,基本資料!$A:$J,9,0),"無")</f>
        <v>0</v>
      </c>
      <c r="U968" s="307">
        <f t="shared" si="167"/>
        <v>0</v>
      </c>
      <c r="V968" s="94">
        <f>IFERROR(VLOOKUP($G968,基本資料!$A:$J,10,0),"無")</f>
        <v>-1.35</v>
      </c>
      <c r="W968" s="36">
        <f>RTD("money.excel",,"3682","Price")</f>
        <v>7.12</v>
      </c>
      <c r="X968" s="66"/>
      <c r="Y968" s="15">
        <f t="shared" si="169"/>
        <v>7.12</v>
      </c>
      <c r="Z968" s="3" t="e">
        <f t="shared" si="170"/>
        <v>#DIV/0!</v>
      </c>
      <c r="AA968" s="340">
        <f>IFERROR(VLOOKUP($G968,基本資料!$A:$M,11,0),"無")</f>
        <v>-24.09</v>
      </c>
      <c r="AB968" s="389">
        <f>IFERROR(VLOOKUP($G968,基本資料!$A:$M,12,0),"無")</f>
        <v>55.39</v>
      </c>
      <c r="AC968" s="22" t="s">
        <v>4382</v>
      </c>
      <c r="AF968" s="33">
        <f t="shared" si="171"/>
        <v>0</v>
      </c>
      <c r="AG968" s="117" t="s">
        <v>4383</v>
      </c>
      <c r="AH968" s="66">
        <f t="shared" si="175"/>
        <v>0.24486418375470953</v>
      </c>
      <c r="AI968" s="283">
        <f>RTD("money.excel",,$G968,"PredictVolume")</f>
        <v>1953</v>
      </c>
      <c r="AJ968" s="391">
        <f>IFERROR(VLOOKUP($G968,基本資料!$A:$M,13,0),"無")</f>
        <v>7975.85</v>
      </c>
      <c r="AR968" s="245" t="str">
        <f>INDEX(基本資料!N:N,MATCH($G968,基本資料!A:A,0))</f>
        <v>低</v>
      </c>
    </row>
    <row r="969" spans="1:44">
      <c r="A969" s="343">
        <f>IFERROR(VLOOKUP($G969,基本資料!$A:$J,3,0),"無")</f>
        <v>2.4500000000000002</v>
      </c>
      <c r="B969" s="79">
        <f>IFERROR(VLOOKUP($G969,基本資料!$A:$J,4,0),"無")</f>
        <v>75</v>
      </c>
      <c r="C969" s="79">
        <f>IFERROR(VLOOKUP($G969,基本資料!$A:$J,5,0),"無")</f>
        <v>55</v>
      </c>
      <c r="D969" s="79">
        <f>IFERROR(VLOOKUP($G969,基本資料!$A:$J,6,0),"無")</f>
        <v>7</v>
      </c>
      <c r="E969" s="79">
        <f>IFERROR(VLOOKUP($G969,基本資料!$A:$J,7,0),"無")</f>
        <v>48</v>
      </c>
      <c r="F969" s="6">
        <f>IFERROR(VLOOKUP($G969,基本資料!$A:$J,8,0),"無")</f>
        <v>12.32</v>
      </c>
      <c r="G969" s="79">
        <v>3684</v>
      </c>
      <c r="H969" s="8" t="s">
        <v>311</v>
      </c>
      <c r="I969" s="16" t="s">
        <v>4384</v>
      </c>
      <c r="J969" s="8" t="str">
        <f>IFERROR(VLOOKUP($G969,今日總結!$A:$AN,39,0),"")</f>
        <v/>
      </c>
      <c r="K969" s="5" t="str">
        <f>IFERROR(VLOOKUP($G969,今日總結!$A:$AN,40,0),"")</f>
        <v/>
      </c>
      <c r="L969" s="156" t="str">
        <f>IFERROR(VLOOKUP($G969,今日總結!$A:$AN,37,0),"")</f>
        <v/>
      </c>
      <c r="M969" s="337" t="str">
        <f>IFERROR(VLOOKUP($G969,今日總結!$A:$AN,38,0),"")</f>
        <v/>
      </c>
      <c r="N969" s="240" t="str">
        <f t="shared" si="168"/>
        <v/>
      </c>
      <c r="O969" s="359" t="str">
        <f>IFERROR(VLOOKUP($G969,融外自投!$A:$J,7,0),"無")</f>
        <v>無</v>
      </c>
      <c r="P969" s="79" t="str">
        <f>IFERROR(VLOOKUP($G969,融外自投!$A:$J,9,0),"無")</f>
        <v>無</v>
      </c>
      <c r="Q969" s="342" t="str">
        <f>IFERROR(VLOOKUP($G969,融外自投!$A:$J,8,0),"無")</f>
        <v>無</v>
      </c>
      <c r="R969" s="81" t="str">
        <f>IFERROR(VLOOKUP($G969,融外自投!$A:$J,10,0),"無")</f>
        <v>無</v>
      </c>
      <c r="S969" s="324" t="str">
        <f>IFERROR(VLOOKUP($G969,'321買'!$A:$E,4,0),"'沒有資料'")</f>
        <v>'沒有資料'</v>
      </c>
      <c r="T969" s="186">
        <f>IFERROR(VLOOKUP($G969,基本資料!$A:$J,9,0),"無")</f>
        <v>3</v>
      </c>
      <c r="U969" s="307">
        <f t="shared" si="167"/>
        <v>5.9523809523809527E-2</v>
      </c>
      <c r="V969" s="94">
        <f>IFERROR(VLOOKUP($G969,基本資料!$A:$J,10,0),"無")</f>
        <v>3.5</v>
      </c>
      <c r="W969" s="36">
        <f>RTD("money.excel",,"3684","Price")</f>
        <v>50.4</v>
      </c>
      <c r="X969" s="66"/>
      <c r="Y969" s="15">
        <f t="shared" si="169"/>
        <v>50.4</v>
      </c>
      <c r="Z969" s="3" t="e">
        <f t="shared" si="170"/>
        <v>#DIV/0!</v>
      </c>
      <c r="AA969" s="340">
        <f>IFERROR(VLOOKUP($G969,基本資料!$A:$M,11,0),"無")</f>
        <v>-29.31</v>
      </c>
      <c r="AB969" s="389">
        <f>IFERROR(VLOOKUP($G969,基本資料!$A:$M,12,0),"無")</f>
        <v>27.38</v>
      </c>
      <c r="AC969" s="16" t="s">
        <v>4384</v>
      </c>
      <c r="AF969" s="33">
        <f t="shared" si="171"/>
        <v>0</v>
      </c>
      <c r="AG969" s="43" t="s">
        <v>4381</v>
      </c>
      <c r="AH969" s="66">
        <f t="shared" si="175"/>
        <v>0.46511627906976744</v>
      </c>
      <c r="AI969" s="283">
        <f>RTD("money.excel",,$G969,"PredictVolume")</f>
        <v>8</v>
      </c>
      <c r="AJ969" s="391">
        <f>IFERROR(VLOOKUP($G969,基本資料!$A:$M,13,0),"無")</f>
        <v>17.2</v>
      </c>
      <c r="AR969" s="245" t="str">
        <f>INDEX(基本資料!N:N,MATCH($G969,基本資料!A:A,0))</f>
        <v>中</v>
      </c>
    </row>
    <row r="970" spans="1:44">
      <c r="A970" s="343">
        <f>IFERROR(VLOOKUP($G970,基本資料!$A:$J,3,0),"無")</f>
        <v>15.28</v>
      </c>
      <c r="B970" s="79">
        <f>IFERROR(VLOOKUP($G970,基本資料!$A:$J,4,0),"無")</f>
        <v>1</v>
      </c>
      <c r="C970" s="79">
        <f>IFERROR(VLOOKUP($G970,基本資料!$A:$J,5,0),"無")</f>
        <v>-17</v>
      </c>
      <c r="D970" s="79">
        <f>IFERROR(VLOOKUP($G970,基本資料!$A:$J,6,0),"無")</f>
        <v>-26</v>
      </c>
      <c r="E970" s="79">
        <f>IFERROR(VLOOKUP($G970,基本資料!$A:$J,7,0),"無")</f>
        <v>-28</v>
      </c>
      <c r="F970" s="6">
        <f>IFERROR(VLOOKUP($G970,基本資料!$A:$J,8,0),"無")</f>
        <v>2.31</v>
      </c>
      <c r="G970" s="79">
        <v>3694</v>
      </c>
      <c r="H970" s="8" t="s">
        <v>311</v>
      </c>
      <c r="I970" s="22" t="s">
        <v>4385</v>
      </c>
      <c r="J970" s="8">
        <f>IFERROR(VLOOKUP($G970,今日總結!$A:$AN,39,0),"")</f>
        <v>0</v>
      </c>
      <c r="K970" s="5">
        <f>IFERROR(VLOOKUP($G970,今日總結!$A:$AN,40,0),"")</f>
        <v>0</v>
      </c>
      <c r="L970" s="156">
        <f>IFERROR(VLOOKUP($G970,今日總結!$A:$AN,37,0),"")</f>
        <v>0</v>
      </c>
      <c r="M970" s="337">
        <f>IFERROR(VLOOKUP($G970,今日總結!$A:$AN,38,0),"")</f>
        <v>0</v>
      </c>
      <c r="N970" s="240">
        <f t="shared" si="168"/>
        <v>0</v>
      </c>
      <c r="O970" s="359">
        <f>IFERROR(VLOOKUP($G970,融外自投!$A:$J,7,0),"無")</f>
        <v>487</v>
      </c>
      <c r="P970" s="79">
        <f>IFERROR(VLOOKUP($G970,融外自投!$A:$J,9,0),"無")</f>
        <v>825</v>
      </c>
      <c r="Q970" s="342">
        <f>IFERROR(VLOOKUP($G970,融外自投!$A:$J,8,0),"無")</f>
        <v>1117</v>
      </c>
      <c r="R970" s="81" t="str">
        <f>IFERROR(VLOOKUP($G970,融外自投!$A:$J,10,0),"無")</f>
        <v>無</v>
      </c>
      <c r="S970" s="324">
        <f>IFERROR(VLOOKUP($G970,'321買'!$A:$E,4,0),"'沒有資料'")</f>
        <v>1002</v>
      </c>
      <c r="T970" s="186">
        <f>IFERROR(VLOOKUP($G970,基本資料!$A:$J,9,0),"無")</f>
        <v>0</v>
      </c>
      <c r="U970" s="307">
        <f t="shared" si="167"/>
        <v>0</v>
      </c>
      <c r="V970" s="94">
        <f>IFERROR(VLOOKUP($G970,基本資料!$A:$J,10,0),"無")</f>
        <v>2.0499999999999998</v>
      </c>
      <c r="W970" s="36">
        <f>RTD("money.excel",,"3694","Price")</f>
        <v>18.8</v>
      </c>
      <c r="X970" s="66"/>
      <c r="Y970" s="15">
        <f t="shared" si="169"/>
        <v>18.8</v>
      </c>
      <c r="Z970" s="3" t="e">
        <f t="shared" si="170"/>
        <v>#DIV/0!</v>
      </c>
      <c r="AA970" s="340">
        <f>IFERROR(VLOOKUP($G970,基本資料!$A:$M,11,0),"無")</f>
        <v>-36.380000000000003</v>
      </c>
      <c r="AB970" s="389">
        <f>IFERROR(VLOOKUP($G970,基本資料!$A:$M,12,0),"無")</f>
        <v>17.440000000000001</v>
      </c>
      <c r="AC970" s="22" t="s">
        <v>4385</v>
      </c>
      <c r="AF970" s="33">
        <f t="shared" si="171"/>
        <v>0</v>
      </c>
      <c r="AG970" s="43" t="s">
        <v>4386</v>
      </c>
      <c r="AH970" s="66">
        <f t="shared" si="175"/>
        <v>1.277882797731569</v>
      </c>
      <c r="AI970" s="283">
        <f>RTD("money.excel",,$G970,"PredictVolume")</f>
        <v>169</v>
      </c>
      <c r="AJ970" s="391">
        <f>IFERROR(VLOOKUP($G970,基本資料!$A:$M,13,0),"無")</f>
        <v>132.25</v>
      </c>
      <c r="AR970" s="245" t="str">
        <f>INDEX(基本資料!N:N,MATCH($G970,基本資料!A:A,0))</f>
        <v>低</v>
      </c>
    </row>
    <row r="971" spans="1:44">
      <c r="A971" s="343">
        <f>IFERROR(VLOOKUP($G971,基本資料!$A:$J,3,0),"無")</f>
        <v>44.23</v>
      </c>
      <c r="B971" s="79">
        <f>IFERROR(VLOOKUP($G971,基本資料!$A:$J,4,0),"無")</f>
        <v>31</v>
      </c>
      <c r="C971" s="79">
        <f>IFERROR(VLOOKUP($G971,基本資料!$A:$J,5,0),"無")</f>
        <v>10</v>
      </c>
      <c r="D971" s="79">
        <f>IFERROR(VLOOKUP($G971,基本資料!$A:$J,6,0),"無")</f>
        <v>-49</v>
      </c>
      <c r="E971" s="79">
        <f>IFERROR(VLOOKUP($G971,基本資料!$A:$J,7,0),"無")</f>
        <v>-27</v>
      </c>
      <c r="F971" s="6">
        <f>IFERROR(VLOOKUP($G971,基本資料!$A:$J,8,0),"無")</f>
        <v>5.55</v>
      </c>
      <c r="G971" s="79">
        <v>3704</v>
      </c>
      <c r="H971" s="8" t="s">
        <v>311</v>
      </c>
      <c r="I971" s="22" t="s">
        <v>4387</v>
      </c>
      <c r="J971" s="8">
        <f>IFERROR(VLOOKUP($G971,今日總結!$A:$AN,39,0),"")</f>
        <v>0</v>
      </c>
      <c r="K971" s="5">
        <f>IFERROR(VLOOKUP($G971,今日總結!$A:$AN,40,0),"")</f>
        <v>0</v>
      </c>
      <c r="L971" s="156">
        <f>IFERROR(VLOOKUP($G971,今日總結!$A:$AN,37,0),"")</f>
        <v>0</v>
      </c>
      <c r="M971" s="337">
        <f>IFERROR(VLOOKUP($G971,今日總結!$A:$AN,38,0),"")</f>
        <v>0</v>
      </c>
      <c r="N971" s="240">
        <f t="shared" si="168"/>
        <v>0</v>
      </c>
      <c r="O971" s="359">
        <f>IFERROR(VLOOKUP($G971,融外自投!$A:$J,7,0),"無")</f>
        <v>475</v>
      </c>
      <c r="P971" s="79">
        <f>IFERROR(VLOOKUP($G971,融外自投!$A:$J,9,0),"無")</f>
        <v>596</v>
      </c>
      <c r="Q971" s="342">
        <f>IFERROR(VLOOKUP($G971,融外自投!$A:$J,8,0),"無")</f>
        <v>637</v>
      </c>
      <c r="R971" s="81" t="str">
        <f>IFERROR(VLOOKUP($G971,融外自投!$A:$J,10,0),"無")</f>
        <v>無</v>
      </c>
      <c r="S971" s="324">
        <f>IFERROR(VLOOKUP($G971,'321買'!$A:$E,4,0),"'沒有資料'")</f>
        <v>465</v>
      </c>
      <c r="T971" s="186">
        <f>IFERROR(VLOOKUP($G971,基本資料!$A:$J,9,0),"無")</f>
        <v>0.5</v>
      </c>
      <c r="U971" s="307">
        <f t="shared" si="167"/>
        <v>1.9083969465648856E-2</v>
      </c>
      <c r="V971" s="94">
        <f>IFERROR(VLOOKUP($G971,基本資料!$A:$J,10,0),"無")</f>
        <v>2.4900000000000002</v>
      </c>
      <c r="W971" s="36">
        <f>RTD("money.excel",,"3704","Price")</f>
        <v>26.2</v>
      </c>
      <c r="X971" s="66"/>
      <c r="Y971" s="15">
        <f t="shared" si="169"/>
        <v>26.2</v>
      </c>
      <c r="Z971" s="3" t="e">
        <f t="shared" si="170"/>
        <v>#DIV/0!</v>
      </c>
      <c r="AA971" s="340">
        <f>IFERROR(VLOOKUP($G971,基本資料!$A:$M,11,0),"無")</f>
        <v>-31.32</v>
      </c>
      <c r="AB971" s="389">
        <f>IFERROR(VLOOKUP($G971,基本資料!$A:$M,12,0),"無")</f>
        <v>25.32</v>
      </c>
      <c r="AC971" s="22" t="s">
        <v>4387</v>
      </c>
      <c r="AF971" s="33">
        <f t="shared" si="171"/>
        <v>0</v>
      </c>
      <c r="AG971" s="117" t="s">
        <v>4320</v>
      </c>
      <c r="AH971" s="66">
        <f t="shared" si="175"/>
        <v>0.30215588221963707</v>
      </c>
      <c r="AI971" s="283">
        <f>RTD("money.excel",,$G971,"PredictVolume")</f>
        <v>1000</v>
      </c>
      <c r="AJ971" s="391">
        <f>IFERROR(VLOOKUP($G971,基本資料!$A:$M,13,0),"無")</f>
        <v>3309.55</v>
      </c>
      <c r="AR971" s="245" t="str">
        <f>INDEX(基本資料!N:N,MATCH($G971,基本資料!A:A,0))</f>
        <v>低</v>
      </c>
    </row>
    <row r="972" spans="1:44">
      <c r="A972" s="343">
        <f>IFERROR(VLOOKUP($G972,基本資料!$A:$J,3,0),"無")</f>
        <v>9.02</v>
      </c>
      <c r="B972" s="79">
        <f>IFERROR(VLOOKUP($G972,基本資料!$A:$J,4,0),"無")</f>
        <v>74</v>
      </c>
      <c r="C972" s="79">
        <f>IFERROR(VLOOKUP($G972,基本資料!$A:$J,5,0),"無")</f>
        <v>79</v>
      </c>
      <c r="D972" s="79">
        <f>IFERROR(VLOOKUP($G972,基本資料!$A:$J,6,0),"無")</f>
        <v>-25</v>
      </c>
      <c r="E972" s="79">
        <f>IFERROR(VLOOKUP($G972,基本資料!$A:$J,7,0),"無")</f>
        <v>-36</v>
      </c>
      <c r="F972" s="6">
        <f>IFERROR(VLOOKUP($G972,基本資料!$A:$J,8,0),"無")</f>
        <v>-4.1900000000000004</v>
      </c>
      <c r="G972" s="79">
        <v>4903</v>
      </c>
      <c r="H972" s="8" t="s">
        <v>311</v>
      </c>
      <c r="I972" s="16" t="s">
        <v>4388</v>
      </c>
      <c r="J972" s="8" t="str">
        <f>IFERROR(VLOOKUP($G972,今日總結!$A:$AN,39,0),"")</f>
        <v/>
      </c>
      <c r="K972" s="5" t="str">
        <f>IFERROR(VLOOKUP($G972,今日總結!$A:$AN,40,0),"")</f>
        <v/>
      </c>
      <c r="L972" s="156" t="str">
        <f>IFERROR(VLOOKUP($G972,今日總結!$A:$AN,37,0),"")</f>
        <v/>
      </c>
      <c r="M972" s="337" t="str">
        <f>IFERROR(VLOOKUP($G972,今日總結!$A:$AN,38,0),"")</f>
        <v/>
      </c>
      <c r="N972" s="240" t="str">
        <f t="shared" si="168"/>
        <v/>
      </c>
      <c r="O972" s="359" t="str">
        <f>IFERROR(VLOOKUP($G972,融外自投!$A:$J,7,0),"無")</f>
        <v>無</v>
      </c>
      <c r="P972" s="79" t="str">
        <f>IFERROR(VLOOKUP($G972,融外自投!$A:$J,9,0),"無")</f>
        <v>無</v>
      </c>
      <c r="Q972" s="342" t="str">
        <f>IFERROR(VLOOKUP($G972,融外自投!$A:$J,8,0),"無")</f>
        <v>無</v>
      </c>
      <c r="R972" s="81" t="str">
        <f>IFERROR(VLOOKUP($G972,融外自投!$A:$J,10,0),"無")</f>
        <v>無</v>
      </c>
      <c r="S972" s="324" t="str">
        <f>IFERROR(VLOOKUP($G972,'321買'!$A:$E,4,0),"'沒有資料'")</f>
        <v>'沒有資料'</v>
      </c>
      <c r="T972" s="186">
        <f>IFERROR(VLOOKUP($G972,基本資料!$A:$J,9,0),"無")</f>
        <v>0</v>
      </c>
      <c r="U972" s="307">
        <f t="shared" si="167"/>
        <v>0</v>
      </c>
      <c r="V972" s="94">
        <f>IFERROR(VLOOKUP($G972,基本資料!$A:$J,10,0),"無")</f>
        <v>-0.35</v>
      </c>
      <c r="W972" s="36">
        <f>RTD("money.excel",,"4903","Price")</f>
        <v>10.199999999999999</v>
      </c>
      <c r="X972" s="66"/>
      <c r="Y972" s="15">
        <f t="shared" si="169"/>
        <v>10.199999999999999</v>
      </c>
      <c r="Z972" s="3" t="e">
        <f t="shared" si="170"/>
        <v>#DIV/0!</v>
      </c>
      <c r="AA972" s="340">
        <f>IFERROR(VLOOKUP($G972,基本資料!$A:$M,11,0),"無")</f>
        <v>-35.65</v>
      </c>
      <c r="AB972" s="389">
        <f>IFERROR(VLOOKUP($G972,基本資料!$A:$M,12,0),"無")</f>
        <v>27.37</v>
      </c>
      <c r="AC972" s="16" t="s">
        <v>4388</v>
      </c>
      <c r="AF972" s="33">
        <f t="shared" si="171"/>
        <v>0</v>
      </c>
      <c r="AG972" s="43" t="s">
        <v>4389</v>
      </c>
      <c r="AH972" s="66">
        <f t="shared" si="175"/>
        <v>1.3563308506468053</v>
      </c>
      <c r="AI972" s="283">
        <f>RTD("money.excel",,$G972,"PredictVolume")</f>
        <v>173</v>
      </c>
      <c r="AJ972" s="391">
        <f>IFERROR(VLOOKUP($G972,基本資料!$A:$M,13,0),"無")</f>
        <v>127.55</v>
      </c>
      <c r="AR972" s="245" t="str">
        <f>INDEX(基本資料!N:N,MATCH($G972,基本資料!A:A,0))</f>
        <v>中</v>
      </c>
    </row>
    <row r="973" spans="1:44">
      <c r="A973" s="343">
        <f>IFERROR(VLOOKUP($G973,基本資料!$A:$J,3,0),"無")</f>
        <v>325</v>
      </c>
      <c r="B973" s="79">
        <f>IFERROR(VLOOKUP($G973,基本資料!$A:$J,4,0),"無")</f>
        <v>9</v>
      </c>
      <c r="C973" s="79">
        <f>IFERROR(VLOOKUP($G973,基本資料!$A:$J,5,0),"無")</f>
        <v>-6</v>
      </c>
      <c r="D973" s="79">
        <f>IFERROR(VLOOKUP($G973,基本資料!$A:$J,6,0),"無")</f>
        <v>-3</v>
      </c>
      <c r="E973" s="79">
        <f>IFERROR(VLOOKUP($G973,基本資料!$A:$J,7,0),"無")</f>
        <v>8</v>
      </c>
      <c r="F973" s="6">
        <f>IFERROR(VLOOKUP($G973,基本資料!$A:$J,8,0),"無")</f>
        <v>12.14</v>
      </c>
      <c r="G973" s="79">
        <v>4904</v>
      </c>
      <c r="H973" s="8" t="s">
        <v>311</v>
      </c>
      <c r="I973" s="22" t="s">
        <v>4390</v>
      </c>
      <c r="J973" s="8" t="str">
        <f>IFERROR(VLOOKUP($G973,今日總結!$A:$AN,39,0),"")</f>
        <v>同主外</v>
      </c>
      <c r="K973" s="5">
        <f>IFERROR(VLOOKUP($G973,今日總結!$A:$AN,40,0),"")</f>
        <v>0</v>
      </c>
      <c r="L973" s="156">
        <f>IFERROR(VLOOKUP($G973,今日總結!$A:$AN,37,0),"")</f>
        <v>15</v>
      </c>
      <c r="M973" s="337">
        <f>IFERROR(VLOOKUP($G973,今日總結!$A:$AN,38,0),"")</f>
        <v>0</v>
      </c>
      <c r="N973" s="240">
        <f t="shared" si="168"/>
        <v>15</v>
      </c>
      <c r="O973" s="359">
        <f>IFERROR(VLOOKUP($G973,融外自投!$A:$J,7,0),"無")</f>
        <v>1450</v>
      </c>
      <c r="P973" s="79">
        <f>IFERROR(VLOOKUP($G973,融外自投!$A:$J,9,0),"無")</f>
        <v>319</v>
      </c>
      <c r="Q973" s="342">
        <f>IFERROR(VLOOKUP($G973,融外自投!$A:$J,8,0),"無")</f>
        <v>233</v>
      </c>
      <c r="R973" s="81">
        <f>IFERROR(VLOOKUP($G973,融外自投!$A:$J,10,0),"無")</f>
        <v>107</v>
      </c>
      <c r="S973" s="324">
        <f>IFERROR(VLOOKUP($G973,'321買'!$A:$E,4,0),"'沒有資料'")</f>
        <v>223</v>
      </c>
      <c r="T973" s="186">
        <f>IFERROR(VLOOKUP($G973,基本資料!$A:$J,9,0),"無")</f>
        <v>3.25</v>
      </c>
      <c r="U973" s="307">
        <f t="shared" si="167"/>
        <v>3.9585870889159568E-2</v>
      </c>
      <c r="V973" s="94">
        <f>IFERROR(VLOOKUP($G973,基本資料!$A:$J,10,0),"無")</f>
        <v>2.8</v>
      </c>
      <c r="W973" s="36">
        <f>RTD("money.excel",,"4904","Price")</f>
        <v>82.1</v>
      </c>
      <c r="X973" s="66"/>
      <c r="Y973" s="15">
        <f t="shared" si="169"/>
        <v>82.1</v>
      </c>
      <c r="Z973" s="3" t="e">
        <f t="shared" si="170"/>
        <v>#DIV/0!</v>
      </c>
      <c r="AA973" s="340">
        <f>IFERROR(VLOOKUP($G973,基本資料!$A:$M,11,0),"無")</f>
        <v>-1.08</v>
      </c>
      <c r="AB973" s="389">
        <f>IFERROR(VLOOKUP($G973,基本資料!$A:$M,12,0),"無")</f>
        <v>89.79</v>
      </c>
      <c r="AC973" s="22" t="s">
        <v>4390</v>
      </c>
      <c r="AF973" s="33">
        <f t="shared" si="171"/>
        <v>0</v>
      </c>
      <c r="AG973" s="117" t="s">
        <v>4391</v>
      </c>
      <c r="AH973" s="66">
        <f t="shared" si="175"/>
        <v>0.98135868885274613</v>
      </c>
      <c r="AI973" s="283">
        <f>RTD("money.excel",,$G973,"PredictVolume")</f>
        <v>7844</v>
      </c>
      <c r="AJ973" s="391">
        <f>IFERROR(VLOOKUP($G973,基本資料!$A:$M,13,0),"無")</f>
        <v>7993</v>
      </c>
      <c r="AR973" s="245" t="str">
        <f>INDEX(基本資料!N:N,MATCH($G973,基本資料!A:A,0))</f>
        <v>高</v>
      </c>
    </row>
    <row r="974" spans="1:44">
      <c r="A974" s="343">
        <f>IFERROR(VLOOKUP($G974,基本資料!$A:$J,3,0),"無")</f>
        <v>40.51</v>
      </c>
      <c r="B974" s="79">
        <f>IFERROR(VLOOKUP($G974,基本資料!$A:$J,4,0),"無")</f>
        <v>-51</v>
      </c>
      <c r="C974" s="79">
        <f>IFERROR(VLOOKUP($G974,基本資料!$A:$J,5,0),"無")</f>
        <v>-23</v>
      </c>
      <c r="D974" s="79">
        <f>IFERROR(VLOOKUP($G974,基本資料!$A:$J,6,0),"無")</f>
        <v>-15</v>
      </c>
      <c r="E974" s="79">
        <f>IFERROR(VLOOKUP($G974,基本資料!$A:$J,7,0),"無")</f>
        <v>-25</v>
      </c>
      <c r="F974" s="6">
        <f>IFERROR(VLOOKUP($G974,基本資料!$A:$J,8,0),"無")</f>
        <v>1.55</v>
      </c>
      <c r="G974" s="79">
        <v>4906</v>
      </c>
      <c r="H974" s="8" t="s">
        <v>311</v>
      </c>
      <c r="I974" s="22" t="s">
        <v>4392</v>
      </c>
      <c r="J974" s="8" t="str">
        <f>IFERROR(VLOOKUP($G974,今日總結!$A:$AN,39,0),"")</f>
        <v>主外</v>
      </c>
      <c r="K974" s="5">
        <f>IFERROR(VLOOKUP($G974,今日總結!$A:$AN,40,0),"")</f>
        <v>0</v>
      </c>
      <c r="L974" s="156">
        <f>IFERROR(VLOOKUP($G974,今日總結!$A:$AN,37,0),"")</f>
        <v>2</v>
      </c>
      <c r="M974" s="337">
        <f>IFERROR(VLOOKUP($G974,今日總結!$A:$AN,38,0),"")</f>
        <v>0</v>
      </c>
      <c r="N974" s="240">
        <f t="shared" si="168"/>
        <v>2</v>
      </c>
      <c r="O974" s="359">
        <f>IFERROR(VLOOKUP($G974,融外自投!$A:$J,7,0),"無")</f>
        <v>351</v>
      </c>
      <c r="P974" s="79" t="str">
        <f>IFERROR(VLOOKUP($G974,融外自投!$A:$J,9,0),"無")</f>
        <v>無</v>
      </c>
      <c r="Q974" s="342">
        <f>IFERROR(VLOOKUP($G974,融外自投!$A:$J,8,0),"無")</f>
        <v>474</v>
      </c>
      <c r="R974" s="81" t="str">
        <f>IFERROR(VLOOKUP($G974,融外自投!$A:$J,10,0),"無")</f>
        <v>無</v>
      </c>
      <c r="S974" s="324">
        <f>IFERROR(VLOOKUP($G974,'321買'!$A:$E,4,0),"'沒有資料'")</f>
        <v>231</v>
      </c>
      <c r="T974" s="186">
        <f>IFERROR(VLOOKUP($G974,基本資料!$A:$J,9,0),"無")</f>
        <v>1.5</v>
      </c>
      <c r="U974" s="307">
        <f t="shared" si="167"/>
        <v>5.1194539249146756E-2</v>
      </c>
      <c r="V974" s="94">
        <f>IFERROR(VLOOKUP($G974,基本資料!$A:$J,10,0),"無")</f>
        <v>1.89</v>
      </c>
      <c r="W974" s="36">
        <f>RTD("money.excel",,"4906","Price")</f>
        <v>29.3</v>
      </c>
      <c r="X974" s="66"/>
      <c r="Y974" s="15">
        <f t="shared" si="169"/>
        <v>29.3</v>
      </c>
      <c r="Z974" s="3" t="e">
        <f t="shared" si="170"/>
        <v>#DIV/0!</v>
      </c>
      <c r="AA974" s="340">
        <f>IFERROR(VLOOKUP($G974,基本資料!$A:$M,11,0),"無")</f>
        <v>-16.760000000000002</v>
      </c>
      <c r="AB974" s="389">
        <f>IFERROR(VLOOKUP($G974,基本資料!$A:$M,12,0),"無")</f>
        <v>33.130000000000003</v>
      </c>
      <c r="AC974" s="22" t="s">
        <v>4392</v>
      </c>
      <c r="AF974" s="33">
        <f t="shared" si="171"/>
        <v>0</v>
      </c>
      <c r="AG974" s="119" t="s">
        <v>4393</v>
      </c>
      <c r="AH974" s="66">
        <f t="shared" si="175"/>
        <v>0.40274326607693073</v>
      </c>
      <c r="AI974" s="283">
        <f>RTD("money.excel",,$G974,"PredictVolume")</f>
        <v>2026</v>
      </c>
      <c r="AJ974" s="391">
        <f>IFERROR(VLOOKUP($G974,基本資料!$A:$M,13,0),"無")</f>
        <v>5030.5</v>
      </c>
      <c r="AR974" s="245" t="str">
        <f>INDEX(基本資料!N:N,MATCH($G974,基本資料!A:A,0))</f>
        <v>中</v>
      </c>
    </row>
    <row r="975" spans="1:44">
      <c r="A975" s="343">
        <f>IFERROR(VLOOKUP($G975,基本資料!$A:$J,3,0),"無")</f>
        <v>7.82</v>
      </c>
      <c r="B975" s="79">
        <f>IFERROR(VLOOKUP($G975,基本資料!$A:$J,4,0),"無")</f>
        <v>19</v>
      </c>
      <c r="C975" s="79">
        <f>IFERROR(VLOOKUP($G975,基本資料!$A:$J,5,0),"無")</f>
        <v>11</v>
      </c>
      <c r="D975" s="79">
        <f>IFERROR(VLOOKUP($G975,基本資料!$A:$J,6,0),"無")</f>
        <v>-22</v>
      </c>
      <c r="E975" s="79">
        <f>IFERROR(VLOOKUP($G975,基本資料!$A:$J,7,0),"無")</f>
        <v>6</v>
      </c>
      <c r="F975" s="6">
        <f>IFERROR(VLOOKUP($G975,基本資料!$A:$J,8,0),"無")</f>
        <v>22.77</v>
      </c>
      <c r="G975" s="79">
        <v>4908</v>
      </c>
      <c r="H975" s="8" t="s">
        <v>311</v>
      </c>
      <c r="I975" s="16" t="s">
        <v>4394</v>
      </c>
      <c r="J975" s="8">
        <f>IFERROR(VLOOKUP($G975,今日總結!$A:$AN,39,0),"")</f>
        <v>0</v>
      </c>
      <c r="K975" s="5">
        <f>IFERROR(VLOOKUP($G975,今日總結!$A:$AN,40,0),"")</f>
        <v>0</v>
      </c>
      <c r="L975" s="156">
        <f>IFERROR(VLOOKUP($G975,今日總結!$A:$AN,37,0),"")</f>
        <v>0</v>
      </c>
      <c r="M975" s="337">
        <f>IFERROR(VLOOKUP($G975,今日總結!$A:$AN,38,0),"")</f>
        <v>0</v>
      </c>
      <c r="N975" s="240">
        <f t="shared" si="168"/>
        <v>0</v>
      </c>
      <c r="O975" s="359">
        <f>IFERROR(VLOOKUP($G975,融外自投!$A:$J,7,0),"無")</f>
        <v>453</v>
      </c>
      <c r="P975" s="79">
        <f>IFERROR(VLOOKUP($G975,融外自投!$A:$J,9,0),"無")</f>
        <v>460</v>
      </c>
      <c r="Q975" s="342">
        <f>IFERROR(VLOOKUP($G975,融外自投!$A:$J,8,0),"無")</f>
        <v>843</v>
      </c>
      <c r="R975" s="81" t="str">
        <f>IFERROR(VLOOKUP($G975,融外自投!$A:$J,10,0),"無")</f>
        <v>無</v>
      </c>
      <c r="S975" s="324">
        <f>IFERROR(VLOOKUP($G975,'321買'!$A:$E,4,0),"'沒有資料'")</f>
        <v>650</v>
      </c>
      <c r="T975" s="186">
        <f>IFERROR(VLOOKUP($G975,基本資料!$A:$J,9,0),"無")</f>
        <v>1.8</v>
      </c>
      <c r="U975" s="307">
        <f t="shared" si="167"/>
        <v>5.7052297939778132E-2</v>
      </c>
      <c r="V975" s="94">
        <f>IFERROR(VLOOKUP($G975,基本資料!$A:$J,10,0),"無")</f>
        <v>1.86</v>
      </c>
      <c r="W975" s="36">
        <f>RTD("money.excel",,"4908","Price")</f>
        <v>31.55</v>
      </c>
      <c r="X975" s="66"/>
      <c r="Y975" s="15">
        <f t="shared" si="169"/>
        <v>31.55</v>
      </c>
      <c r="Z975" s="3" t="e">
        <f t="shared" si="170"/>
        <v>#DIV/0!</v>
      </c>
      <c r="AA975" s="340">
        <f>IFERROR(VLOOKUP($G975,基本資料!$A:$M,11,0),"無")</f>
        <v>-20.329999999999998</v>
      </c>
      <c r="AB975" s="389">
        <f>IFERROR(VLOOKUP($G975,基本資料!$A:$M,12,0),"無")</f>
        <v>36.619999999999997</v>
      </c>
      <c r="AC975" s="16" t="s">
        <v>4394</v>
      </c>
      <c r="AF975" s="33">
        <f t="shared" si="171"/>
        <v>0</v>
      </c>
      <c r="AG975" s="43" t="s">
        <v>4356</v>
      </c>
      <c r="AH975" s="66">
        <f t="shared" si="175"/>
        <v>0.56975282781734393</v>
      </c>
      <c r="AI975" s="283">
        <f>RTD("money.excel",,$G975,"PredictVolume")</f>
        <v>612</v>
      </c>
      <c r="AJ975" s="391">
        <f>IFERROR(VLOOKUP($G975,基本資料!$A:$M,13,0),"無")</f>
        <v>1074.1500000000001</v>
      </c>
      <c r="AR975" s="245" t="str">
        <f>INDEX(基本資料!N:N,MATCH($G975,基本資料!A:A,0))</f>
        <v>中</v>
      </c>
    </row>
    <row r="976" spans="1:44">
      <c r="A976" s="343">
        <f>IFERROR(VLOOKUP($G976,基本資料!$A:$J,3,0),"無")</f>
        <v>9.33</v>
      </c>
      <c r="B976" s="79">
        <f>IFERROR(VLOOKUP($G976,基本資料!$A:$J,4,0),"無")</f>
        <v>-892</v>
      </c>
      <c r="C976" s="79">
        <f>IFERROR(VLOOKUP($G976,基本資料!$A:$J,5,0),"無")</f>
        <v>-201</v>
      </c>
      <c r="D976" s="79">
        <f>IFERROR(VLOOKUP($G976,基本資料!$A:$J,6,0),"無")</f>
        <v>-25</v>
      </c>
      <c r="E976" s="79">
        <f>IFERROR(VLOOKUP($G976,基本資料!$A:$J,7,0),"無")</f>
        <v>-49</v>
      </c>
      <c r="F976" s="6">
        <f>IFERROR(VLOOKUP($G976,基本資料!$A:$J,8,0),"無")</f>
        <v>-17.27</v>
      </c>
      <c r="G976" s="79">
        <v>4909</v>
      </c>
      <c r="H976" s="8" t="s">
        <v>311</v>
      </c>
      <c r="I976" s="16" t="s">
        <v>4395</v>
      </c>
      <c r="J976" s="8">
        <f>IFERROR(VLOOKUP($G976,今日總結!$A:$AN,39,0),"")</f>
        <v>0</v>
      </c>
      <c r="K976" s="5" t="str">
        <f>IFERROR(VLOOKUP($G976,今日總結!$A:$AN,40,0),"")</f>
        <v>主</v>
      </c>
      <c r="L976" s="156">
        <f>IFERROR(VLOOKUP($G976,今日總結!$A:$AN,37,0),"")</f>
        <v>0</v>
      </c>
      <c r="M976" s="337">
        <f>IFERROR(VLOOKUP($G976,今日總結!$A:$AN,38,0),"")</f>
        <v>2</v>
      </c>
      <c r="N976" s="240">
        <f t="shared" si="168"/>
        <v>-2</v>
      </c>
      <c r="O976" s="359">
        <f>IFERROR(VLOOKUP($G976,融外自投!$A:$J,7,0),"無")</f>
        <v>264</v>
      </c>
      <c r="P976" s="79">
        <f>IFERROR(VLOOKUP($G976,融外自投!$A:$J,9,0),"無")</f>
        <v>467</v>
      </c>
      <c r="Q976" s="342">
        <f>IFERROR(VLOOKUP($G976,融外自投!$A:$J,8,0),"無")</f>
        <v>853</v>
      </c>
      <c r="R976" s="81">
        <f>IFERROR(VLOOKUP($G976,融外自投!$A:$J,10,0),"無")</f>
        <v>439</v>
      </c>
      <c r="S976" s="324">
        <f>IFERROR(VLOOKUP($G976,'321買'!$A:$E,4,0),"'沒有資料'")</f>
        <v>891</v>
      </c>
      <c r="T976" s="186">
        <f>IFERROR(VLOOKUP($G976,基本資料!$A:$J,9,0),"無")</f>
        <v>0</v>
      </c>
      <c r="U976" s="307">
        <f t="shared" si="167"/>
        <v>0</v>
      </c>
      <c r="V976" s="94">
        <f>IFERROR(VLOOKUP($G976,基本資料!$A:$J,10,0),"無")</f>
        <v>-1.26</v>
      </c>
      <c r="W976" s="36">
        <f>RTD("money.excel",,"4909","Price")</f>
        <v>16.95</v>
      </c>
      <c r="X976" s="66"/>
      <c r="Y976" s="15">
        <f t="shared" si="169"/>
        <v>16.95</v>
      </c>
      <c r="Z976" s="3" t="e">
        <f t="shared" si="170"/>
        <v>#DIV/0!</v>
      </c>
      <c r="AA976" s="340">
        <f>IFERROR(VLOOKUP($G976,基本資料!$A:$M,11,0),"無")</f>
        <v>-45.23</v>
      </c>
      <c r="AB976" s="389">
        <f>IFERROR(VLOOKUP($G976,基本資料!$A:$M,12,0),"無")</f>
        <v>19.38</v>
      </c>
      <c r="AC976" s="16" t="s">
        <v>4395</v>
      </c>
      <c r="AF976" s="33">
        <f t="shared" si="171"/>
        <v>0</v>
      </c>
      <c r="AG976" s="43" t="s">
        <v>4396</v>
      </c>
      <c r="AH976" s="66">
        <f t="shared" si="175"/>
        <v>0.28158577250833644</v>
      </c>
      <c r="AI976" s="283">
        <f>RTD("money.excel",,$G976,"PredictVolume")</f>
        <v>38</v>
      </c>
      <c r="AJ976" s="391">
        <f>IFERROR(VLOOKUP($G976,基本資料!$A:$M,13,0),"無")</f>
        <v>134.94999999999999</v>
      </c>
      <c r="AR976" s="245" t="str">
        <f>INDEX(基本資料!N:N,MATCH($G976,基本資料!A:A,0))</f>
        <v>低</v>
      </c>
    </row>
    <row r="977" spans="1:44">
      <c r="A977" s="343">
        <f>IFERROR(VLOOKUP($G977,基本資料!$A:$J,3,0),"無")</f>
        <v>6.86</v>
      </c>
      <c r="B977" s="79">
        <f>IFERROR(VLOOKUP($G977,基本資料!$A:$J,4,0),"無")</f>
        <v>-51</v>
      </c>
      <c r="C977" s="79">
        <f>IFERROR(VLOOKUP($G977,基本資料!$A:$J,5,0),"無")</f>
        <v>-54</v>
      </c>
      <c r="D977" s="79">
        <f>IFERROR(VLOOKUP($G977,基本資料!$A:$J,6,0),"無")</f>
        <v>-3</v>
      </c>
      <c r="E977" s="79">
        <f>IFERROR(VLOOKUP($G977,基本資料!$A:$J,7,0),"無")</f>
        <v>-14</v>
      </c>
      <c r="F977" s="6">
        <f>IFERROR(VLOOKUP($G977,基本資料!$A:$J,8,0),"無")</f>
        <v>8.2100000000000009</v>
      </c>
      <c r="G977" s="79">
        <v>4977</v>
      </c>
      <c r="H977" s="8" t="s">
        <v>311</v>
      </c>
      <c r="I977" s="22" t="s">
        <v>4397</v>
      </c>
      <c r="J977" s="8">
        <f>IFERROR(VLOOKUP($G977,今日總結!$A:$AN,39,0),"")</f>
        <v>0</v>
      </c>
      <c r="K977" s="5">
        <f>IFERROR(VLOOKUP($G977,今日總結!$A:$AN,40,0),"")</f>
        <v>0</v>
      </c>
      <c r="L977" s="156">
        <f>IFERROR(VLOOKUP($G977,今日總結!$A:$AN,37,0),"")</f>
        <v>0</v>
      </c>
      <c r="M977" s="337">
        <f>IFERROR(VLOOKUP($G977,今日總結!$A:$AN,38,0),"")</f>
        <v>0</v>
      </c>
      <c r="N977" s="240">
        <f t="shared" si="168"/>
        <v>0</v>
      </c>
      <c r="O977" s="359">
        <f>IFERROR(VLOOKUP($G977,融外自投!$A:$J,7,0),"無")</f>
        <v>605</v>
      </c>
      <c r="P977" s="79">
        <f>IFERROR(VLOOKUP($G977,融外自投!$A:$J,9,0),"無")</f>
        <v>515</v>
      </c>
      <c r="Q977" s="342">
        <f>IFERROR(VLOOKUP($G977,融外自投!$A:$J,8,0),"無")</f>
        <v>123</v>
      </c>
      <c r="R977" s="81" t="str">
        <f>IFERROR(VLOOKUP($G977,融外自投!$A:$J,10,0),"無")</f>
        <v>無</v>
      </c>
      <c r="S977" s="324">
        <f>IFERROR(VLOOKUP($G977,'321買'!$A:$E,4,0),"'沒有資料'")</f>
        <v>1002</v>
      </c>
      <c r="T977" s="186">
        <f>IFERROR(VLOOKUP($G977,基本資料!$A:$J,9,0),"無")</f>
        <v>3.2</v>
      </c>
      <c r="U977" s="307">
        <f t="shared" si="167"/>
        <v>4.1558441558441558E-2</v>
      </c>
      <c r="V977" s="94">
        <f>IFERROR(VLOOKUP($G977,基本資料!$A:$J,10,0),"無")</f>
        <v>3.88</v>
      </c>
      <c r="W977" s="36">
        <f>RTD("money.excel",,"4977","Price")</f>
        <v>77</v>
      </c>
      <c r="X977" s="66"/>
      <c r="Y977" s="15">
        <f t="shared" si="169"/>
        <v>77</v>
      </c>
      <c r="Z977" s="3" t="e">
        <f t="shared" si="170"/>
        <v>#DIV/0!</v>
      </c>
      <c r="AA977" s="340">
        <f>IFERROR(VLOOKUP($G977,基本資料!$A:$M,11,0),"無")</f>
        <v>-18.95</v>
      </c>
      <c r="AB977" s="389">
        <f>IFERROR(VLOOKUP($G977,基本資料!$A:$M,12,0),"無")</f>
        <v>32.75</v>
      </c>
      <c r="AC977" s="22" t="s">
        <v>4397</v>
      </c>
      <c r="AF977" s="33">
        <f t="shared" si="171"/>
        <v>0</v>
      </c>
      <c r="AG977" s="119" t="s">
        <v>4356</v>
      </c>
      <c r="AH977" s="66">
        <f t="shared" si="175"/>
        <v>1.0394736842105263</v>
      </c>
      <c r="AI977" s="283">
        <f>RTD("money.excel",,$G977,"PredictVolume")</f>
        <v>79</v>
      </c>
      <c r="AJ977" s="391">
        <f>IFERROR(VLOOKUP($G977,基本資料!$A:$M,13,0),"無")</f>
        <v>76</v>
      </c>
      <c r="AR977" s="245" t="str">
        <f>INDEX(基本資料!N:N,MATCH($G977,基本資料!A:A,0))</f>
        <v>低</v>
      </c>
    </row>
    <row r="978" spans="1:44">
      <c r="A978" s="343">
        <f>IFERROR(VLOOKUP($G978,基本資料!$A:$J,3,0),"無")</f>
        <v>13.23</v>
      </c>
      <c r="B978" s="79">
        <f>IFERROR(VLOOKUP($G978,基本資料!$A:$J,4,0),"無")</f>
        <v>-223</v>
      </c>
      <c r="C978" s="79">
        <f>IFERROR(VLOOKUP($G978,基本資料!$A:$J,5,0),"無")</f>
        <v>-21</v>
      </c>
      <c r="D978" s="79">
        <f>IFERROR(VLOOKUP($G978,基本資料!$A:$J,6,0),"無")</f>
        <v>3</v>
      </c>
      <c r="E978" s="79">
        <f>IFERROR(VLOOKUP($G978,基本資料!$A:$J,7,0),"無")</f>
        <v>-1</v>
      </c>
      <c r="F978" s="6">
        <f>IFERROR(VLOOKUP($G978,基本資料!$A:$J,8,0),"無")</f>
        <v>-23.74</v>
      </c>
      <c r="G978" s="79">
        <v>4979</v>
      </c>
      <c r="H978" s="8" t="s">
        <v>311</v>
      </c>
      <c r="I978" s="16" t="s">
        <v>4398</v>
      </c>
      <c r="J978" s="8">
        <f>IFERROR(VLOOKUP($G978,今日總結!$A:$AN,39,0),"")</f>
        <v>0</v>
      </c>
      <c r="K978" s="5">
        <f>IFERROR(VLOOKUP($G978,今日總結!$A:$AN,40,0),"")</f>
        <v>0</v>
      </c>
      <c r="L978" s="156">
        <f>IFERROR(VLOOKUP($G978,今日總結!$A:$AN,37,0),"")</f>
        <v>0</v>
      </c>
      <c r="M978" s="337">
        <f>IFERROR(VLOOKUP($G978,今日總結!$A:$AN,38,0),"")</f>
        <v>0</v>
      </c>
      <c r="N978" s="240">
        <f t="shared" si="168"/>
        <v>0</v>
      </c>
      <c r="O978" s="359">
        <f>IFERROR(VLOOKUP($G978,融外自投!$A:$J,7,0),"無")</f>
        <v>330</v>
      </c>
      <c r="P978" s="79">
        <f>IFERROR(VLOOKUP($G978,融外自投!$A:$J,9,0),"無")</f>
        <v>525</v>
      </c>
      <c r="Q978" s="342">
        <f>IFERROR(VLOOKUP($G978,融外自投!$A:$J,8,0),"無")</f>
        <v>844</v>
      </c>
      <c r="R978" s="81" t="str">
        <f>IFERROR(VLOOKUP($G978,融外自投!$A:$J,10,0),"無")</f>
        <v>無</v>
      </c>
      <c r="S978" s="324">
        <f>IFERROR(VLOOKUP($G978,'321買'!$A:$E,4,0),"'沒有資料'")</f>
        <v>1002</v>
      </c>
      <c r="T978" s="186">
        <f>IFERROR(VLOOKUP($G978,基本資料!$A:$J,9,0),"無")</f>
        <v>0</v>
      </c>
      <c r="U978" s="307">
        <f t="shared" si="167"/>
        <v>0</v>
      </c>
      <c r="V978" s="94">
        <f>IFERROR(VLOOKUP($G978,基本資料!$A:$J,10,0),"無")</f>
        <v>-2.2200000000000002</v>
      </c>
      <c r="W978" s="36">
        <f>RTD("money.excel",,"4979","Price")</f>
        <v>19.05</v>
      </c>
      <c r="X978" s="66"/>
      <c r="Y978" s="15">
        <f t="shared" si="169"/>
        <v>19.05</v>
      </c>
      <c r="Z978" s="3" t="e">
        <f t="shared" si="170"/>
        <v>#DIV/0!</v>
      </c>
      <c r="AA978" s="340">
        <f>IFERROR(VLOOKUP($G978,基本資料!$A:$M,11,0),"無")</f>
        <v>-11.19</v>
      </c>
      <c r="AB978" s="389">
        <f>IFERROR(VLOOKUP($G978,基本資料!$A:$M,12,0),"無")</f>
        <v>68.510000000000005</v>
      </c>
      <c r="AC978" s="16" t="s">
        <v>4398</v>
      </c>
      <c r="AF978" s="33">
        <f t="shared" si="171"/>
        <v>0</v>
      </c>
      <c r="AG978" s="117" t="s">
        <v>4389</v>
      </c>
      <c r="AH978" s="66">
        <f t="shared" si="175"/>
        <v>1.8156028368794326</v>
      </c>
      <c r="AI978" s="283">
        <f>RTD("money.excel",,$G978,"PredictVolume")</f>
        <v>832</v>
      </c>
      <c r="AJ978" s="391">
        <f>IFERROR(VLOOKUP($G978,基本資料!$A:$M,13,0),"無")</f>
        <v>458.25</v>
      </c>
      <c r="AR978" s="245" t="str">
        <f>INDEX(基本資料!N:N,MATCH($G978,基本資料!A:A,0))</f>
        <v>中</v>
      </c>
    </row>
    <row r="979" spans="1:44">
      <c r="A979" s="343">
        <f>IFERROR(VLOOKUP($G979,基本資料!$A:$J,3,0),"無")</f>
        <v>2.89</v>
      </c>
      <c r="B979" s="79">
        <f>IFERROR(VLOOKUP($G979,基本資料!$A:$J,4,0),"無")</f>
        <v>19</v>
      </c>
      <c r="C979" s="79">
        <f>IFERROR(VLOOKUP($G979,基本資料!$A:$J,5,0),"無")</f>
        <v>18</v>
      </c>
      <c r="D979" s="79">
        <f>IFERROR(VLOOKUP($G979,基本資料!$A:$J,6,0),"無")</f>
        <v>0</v>
      </c>
      <c r="E979" s="79">
        <f>IFERROR(VLOOKUP($G979,基本資料!$A:$J,7,0),"無")</f>
        <v>8</v>
      </c>
      <c r="F979" s="6">
        <f>IFERROR(VLOOKUP($G979,基本資料!$A:$J,8,0),"無")</f>
        <v>-13.09</v>
      </c>
      <c r="G979" s="79">
        <v>5348</v>
      </c>
      <c r="H979" s="8" t="s">
        <v>311</v>
      </c>
      <c r="I979" s="16" t="s">
        <v>4399</v>
      </c>
      <c r="J979" s="8" t="str">
        <f>IFERROR(VLOOKUP($G979,今日總結!$A:$AN,39,0),"")</f>
        <v/>
      </c>
      <c r="K979" s="5" t="str">
        <f>IFERROR(VLOOKUP($G979,今日總結!$A:$AN,40,0),"")</f>
        <v/>
      </c>
      <c r="L979" s="156" t="str">
        <f>IFERROR(VLOOKUP($G979,今日總結!$A:$AN,37,0),"")</f>
        <v/>
      </c>
      <c r="M979" s="337" t="str">
        <f>IFERROR(VLOOKUP($G979,今日總結!$A:$AN,38,0),"")</f>
        <v/>
      </c>
      <c r="N979" s="240" t="str">
        <f t="shared" si="168"/>
        <v/>
      </c>
      <c r="O979" s="359" t="str">
        <f>IFERROR(VLOOKUP($G979,融外自投!$A:$J,7,0),"無")</f>
        <v>無</v>
      </c>
      <c r="P979" s="79" t="str">
        <f>IFERROR(VLOOKUP($G979,融外自投!$A:$J,9,0),"無")</f>
        <v>無</v>
      </c>
      <c r="Q979" s="342" t="str">
        <f>IFERROR(VLOOKUP($G979,融外自投!$A:$J,8,0),"無")</f>
        <v>無</v>
      </c>
      <c r="R979" s="81" t="str">
        <f>IFERROR(VLOOKUP($G979,融外自投!$A:$J,10,0),"無")</f>
        <v>無</v>
      </c>
      <c r="S979" s="324" t="str">
        <f>IFERROR(VLOOKUP($G979,'321買'!$A:$E,4,0),"'沒有資料'")</f>
        <v>'沒有資料'</v>
      </c>
      <c r="T979" s="186">
        <f>IFERROR(VLOOKUP($G979,基本資料!$A:$J,9,0),"無")</f>
        <v>0</v>
      </c>
      <c r="U979" s="307">
        <f t="shared" si="167"/>
        <v>0</v>
      </c>
      <c r="V979" s="94">
        <f>IFERROR(VLOOKUP($G979,基本資料!$A:$J,10,0),"無")</f>
        <v>-0.53</v>
      </c>
      <c r="W979" s="36">
        <f>RTD("money.excel",,"5348","Price")</f>
        <v>9.16</v>
      </c>
      <c r="X979" s="66"/>
      <c r="Y979" s="15">
        <f t="shared" si="169"/>
        <v>9.16</v>
      </c>
      <c r="Z979" s="3" t="e">
        <f t="shared" si="170"/>
        <v>#DIV/0!</v>
      </c>
      <c r="AA979" s="340">
        <f>IFERROR(VLOOKUP($G979,基本資料!$A:$M,11,0),"無")</f>
        <v>-5.86</v>
      </c>
      <c r="AB979" s="389">
        <f>IFERROR(VLOOKUP($G979,基本資料!$A:$M,12,0),"無")</f>
        <v>77.91</v>
      </c>
      <c r="AC979" s="16" t="s">
        <v>4399</v>
      </c>
      <c r="AF979" s="33">
        <f t="shared" si="171"/>
        <v>0</v>
      </c>
      <c r="AG979" s="43" t="s">
        <v>4370</v>
      </c>
      <c r="AH979" s="66">
        <f t="shared" si="175"/>
        <v>0.59654631083202514</v>
      </c>
      <c r="AI979" s="283">
        <f>RTD("money.excel",,$G979,"PredictVolume")</f>
        <v>19</v>
      </c>
      <c r="AJ979" s="391">
        <f>IFERROR(VLOOKUP($G979,基本資料!$A:$M,13,0),"無")</f>
        <v>31.85</v>
      </c>
      <c r="AR979" s="245" t="str">
        <f>INDEX(基本資料!N:N,MATCH($G979,基本資料!A:A,0))</f>
        <v>高</v>
      </c>
    </row>
    <row r="980" spans="1:44">
      <c r="A980" s="343">
        <f>IFERROR(VLOOKUP($G980,基本資料!$A:$J,3,0),"無")</f>
        <v>7.5</v>
      </c>
      <c r="B980" s="79">
        <f>IFERROR(VLOOKUP($G980,基本資料!$A:$J,4,0),"無")</f>
        <v>14</v>
      </c>
      <c r="C980" s="79">
        <f>IFERROR(VLOOKUP($G980,基本資料!$A:$J,5,0),"無")</f>
        <v>23</v>
      </c>
      <c r="D980" s="79">
        <f>IFERROR(VLOOKUP($G980,基本資料!$A:$J,6,0),"無")</f>
        <v>-2</v>
      </c>
      <c r="E980" s="79">
        <f>IFERROR(VLOOKUP($G980,基本資料!$A:$J,7,0),"無")</f>
        <v>49</v>
      </c>
      <c r="F980" s="6">
        <f>IFERROR(VLOOKUP($G980,基本資料!$A:$J,8,0),"無")</f>
        <v>4.68</v>
      </c>
      <c r="G980" s="79">
        <v>5353</v>
      </c>
      <c r="H980" s="8" t="s">
        <v>311</v>
      </c>
      <c r="I980" s="16" t="s">
        <v>4400</v>
      </c>
      <c r="J980" s="8">
        <f>IFERROR(VLOOKUP($G980,今日總結!$A:$AN,39,0),"")</f>
        <v>0</v>
      </c>
      <c r="K980" s="5">
        <f>IFERROR(VLOOKUP($G980,今日總結!$A:$AN,40,0),"")</f>
        <v>0</v>
      </c>
      <c r="L980" s="156">
        <f>IFERROR(VLOOKUP($G980,今日總結!$A:$AN,37,0),"")</f>
        <v>0</v>
      </c>
      <c r="M980" s="337">
        <f>IFERROR(VLOOKUP($G980,今日總結!$A:$AN,38,0),"")</f>
        <v>0</v>
      </c>
      <c r="N980" s="240">
        <f t="shared" si="168"/>
        <v>0</v>
      </c>
      <c r="O980" s="359">
        <f>IFERROR(VLOOKUP($G980,融外自投!$A:$J,7,0),"無")</f>
        <v>984</v>
      </c>
      <c r="P980" s="79" t="str">
        <f>IFERROR(VLOOKUP($G980,融外自投!$A:$J,9,0),"無")</f>
        <v>無</v>
      </c>
      <c r="Q980" s="342">
        <f>IFERROR(VLOOKUP($G980,融外自投!$A:$J,8,0),"無")</f>
        <v>1414</v>
      </c>
      <c r="R980" s="81" t="str">
        <f>IFERROR(VLOOKUP($G980,融外自投!$A:$J,10,0),"無")</f>
        <v>無</v>
      </c>
      <c r="S980" s="324">
        <f>IFERROR(VLOOKUP($G980,'321買'!$A:$E,4,0),"'沒有資料'")</f>
        <v>801</v>
      </c>
      <c r="T980" s="186">
        <f>IFERROR(VLOOKUP($G980,基本資料!$A:$J,9,0),"無")</f>
        <v>0.9</v>
      </c>
      <c r="U980" s="307">
        <f t="shared" si="167"/>
        <v>4.6997389033942565E-2</v>
      </c>
      <c r="V980" s="94">
        <f>IFERROR(VLOOKUP($G980,基本資料!$A:$J,10,0),"無")</f>
        <v>1.01</v>
      </c>
      <c r="W980" s="36">
        <f>RTD("money.excel",,"5353","Price")</f>
        <v>19.149999999999999</v>
      </c>
      <c r="X980" s="66"/>
      <c r="Y980" s="15">
        <f t="shared" si="169"/>
        <v>19.149999999999999</v>
      </c>
      <c r="Z980" s="3" t="e">
        <f t="shared" si="170"/>
        <v>#DIV/0!</v>
      </c>
      <c r="AA980" s="340">
        <f>IFERROR(VLOOKUP($G980,基本資料!$A:$M,11,0),"無")</f>
        <v>-16.010000000000002</v>
      </c>
      <c r="AB980" s="389">
        <f>IFERROR(VLOOKUP($G980,基本資料!$A:$M,12,0),"無")</f>
        <v>32.43</v>
      </c>
      <c r="AC980" s="16" t="s">
        <v>4400</v>
      </c>
      <c r="AF980" s="33">
        <f t="shared" si="171"/>
        <v>0</v>
      </c>
      <c r="AG980" s="43" t="s">
        <v>2232</v>
      </c>
      <c r="AH980" s="66">
        <f t="shared" si="175"/>
        <v>0.69435833849968998</v>
      </c>
      <c r="AI980" s="283">
        <f>RTD("money.excel",,$G980,"PredictVolume")</f>
        <v>56</v>
      </c>
      <c r="AJ980" s="391">
        <f>IFERROR(VLOOKUP($G980,基本資料!$A:$M,13,0),"無")</f>
        <v>80.650000000000006</v>
      </c>
      <c r="AR980" s="245" t="str">
        <f>INDEX(基本資料!N:N,MATCH($G980,基本資料!A:A,0))</f>
        <v>中</v>
      </c>
    </row>
    <row r="981" spans="1:44">
      <c r="A981" s="343">
        <f>IFERROR(VLOOKUP($G981,基本資料!$A:$J,3,0),"無")</f>
        <v>25.23</v>
      </c>
      <c r="B981" s="79">
        <f>IFERROR(VLOOKUP($G981,基本資料!$A:$J,4,0),"無")</f>
        <v>-4</v>
      </c>
      <c r="C981" s="79">
        <f>IFERROR(VLOOKUP($G981,基本資料!$A:$J,5,0),"無")</f>
        <v>-7</v>
      </c>
      <c r="D981" s="79">
        <f>IFERROR(VLOOKUP($G981,基本資料!$A:$J,6,0),"無")</f>
        <v>1</v>
      </c>
      <c r="E981" s="79">
        <f>IFERROR(VLOOKUP($G981,基本資料!$A:$J,7,0),"無")</f>
        <v>49</v>
      </c>
      <c r="F981" s="6">
        <f>IFERROR(VLOOKUP($G981,基本資料!$A:$J,8,0),"無")</f>
        <v>2.4</v>
      </c>
      <c r="G981" s="79">
        <v>5388</v>
      </c>
      <c r="H981" s="8" t="s">
        <v>311</v>
      </c>
      <c r="I981" s="22" t="s">
        <v>4401</v>
      </c>
      <c r="J981" s="8">
        <f>IFERROR(VLOOKUP($G981,今日總結!$A:$AN,39,0),"")</f>
        <v>6</v>
      </c>
      <c r="K981" s="5">
        <f>IFERROR(VLOOKUP($G981,今日總結!$A:$AN,40,0),"")</f>
        <v>0</v>
      </c>
      <c r="L981" s="156">
        <f>IFERROR(VLOOKUP($G981,今日總結!$A:$AN,37,0),"")</f>
        <v>1</v>
      </c>
      <c r="M981" s="337">
        <f>IFERROR(VLOOKUP($G981,今日總結!$A:$AN,38,0),"")</f>
        <v>0</v>
      </c>
      <c r="N981" s="240">
        <f t="shared" si="168"/>
        <v>1</v>
      </c>
      <c r="O981" s="359">
        <f>IFERROR(VLOOKUP($G981,融外自投!$A:$J,7,0),"無")</f>
        <v>755</v>
      </c>
      <c r="P981" s="79">
        <f>IFERROR(VLOOKUP($G981,融外自投!$A:$J,9,0),"無")</f>
        <v>183</v>
      </c>
      <c r="Q981" s="342">
        <f>IFERROR(VLOOKUP($G981,融外自投!$A:$J,8,0),"無")</f>
        <v>160</v>
      </c>
      <c r="R981" s="81">
        <f>IFERROR(VLOOKUP($G981,融外自投!$A:$J,10,0),"無")</f>
        <v>121</v>
      </c>
      <c r="S981" s="324">
        <f>IFERROR(VLOOKUP($G981,'321買'!$A:$E,4,0),"'沒有資料'")</f>
        <v>144</v>
      </c>
      <c r="T981" s="186">
        <f>IFERROR(VLOOKUP($G981,基本資料!$A:$J,9,0),"無")</f>
        <v>2.4</v>
      </c>
      <c r="U981" s="307">
        <f t="shared" si="167"/>
        <v>3.1007751937984492E-2</v>
      </c>
      <c r="V981" s="94">
        <f>IFERROR(VLOOKUP($G981,基本資料!$A:$J,10,0),"無")</f>
        <v>3.44</v>
      </c>
      <c r="W981" s="36">
        <f>RTD("money.excel",,"5388","Price")</f>
        <v>77.400000000000006</v>
      </c>
      <c r="X981" s="66"/>
      <c r="Y981" s="15">
        <f t="shared" si="169"/>
        <v>77.400000000000006</v>
      </c>
      <c r="Z981" s="3" t="e">
        <f t="shared" si="170"/>
        <v>#DIV/0!</v>
      </c>
      <c r="AA981" s="340">
        <f>IFERROR(VLOOKUP($G981,基本資料!$A:$M,11,0),"無")</f>
        <v>-13.03</v>
      </c>
      <c r="AB981" s="389">
        <f>IFERROR(VLOOKUP($G981,基本資料!$A:$M,12,0),"無")</f>
        <v>42.98</v>
      </c>
      <c r="AC981" s="22" t="s">
        <v>4401</v>
      </c>
      <c r="AF981" s="33">
        <f t="shared" si="171"/>
        <v>0</v>
      </c>
      <c r="AG981" s="117" t="s">
        <v>4320</v>
      </c>
      <c r="AH981" s="66">
        <f t="shared" si="175"/>
        <v>1.0111846444906745</v>
      </c>
      <c r="AI981" s="283">
        <f>RTD("money.excel",,$G981,"PredictVolume")</f>
        <v>6975</v>
      </c>
      <c r="AJ981" s="391">
        <f>IFERROR(VLOOKUP($G981,基本資料!$A:$M,13,0),"無")</f>
        <v>6897.85</v>
      </c>
      <c r="AR981" s="245" t="str">
        <f>INDEX(基本資料!N:N,MATCH($G981,基本資料!A:A,0))</f>
        <v>中</v>
      </c>
    </row>
    <row r="982" spans="1:44">
      <c r="A982" s="343">
        <f>IFERROR(VLOOKUP($G982,基本資料!$A:$J,3,0),"無")</f>
        <v>5.94</v>
      </c>
      <c r="B982" s="79">
        <f>IFERROR(VLOOKUP($G982,基本資料!$A:$J,4,0),"無")</f>
        <v>-840</v>
      </c>
      <c r="C982" s="79">
        <f>IFERROR(VLOOKUP($G982,基本資料!$A:$J,5,0),"無")</f>
        <v>-307</v>
      </c>
      <c r="D982" s="79">
        <f>IFERROR(VLOOKUP($G982,基本資料!$A:$J,6,0),"無")</f>
        <v>-24</v>
      </c>
      <c r="E982" s="79">
        <f>IFERROR(VLOOKUP($G982,基本資料!$A:$J,7,0),"無")</f>
        <v>-8</v>
      </c>
      <c r="F982" s="6">
        <f>IFERROR(VLOOKUP($G982,基本資料!$A:$J,8,0),"無")</f>
        <v>-5.03</v>
      </c>
      <c r="G982" s="79">
        <v>6109</v>
      </c>
      <c r="H982" s="8" t="s">
        <v>311</v>
      </c>
      <c r="I982" s="16" t="s">
        <v>4402</v>
      </c>
      <c r="J982" s="8" t="str">
        <f>IFERROR(VLOOKUP($G982,今日總結!$A:$AN,39,0),"")</f>
        <v/>
      </c>
      <c r="K982" s="5" t="str">
        <f>IFERROR(VLOOKUP($G982,今日總結!$A:$AN,40,0),"")</f>
        <v/>
      </c>
      <c r="L982" s="156" t="str">
        <f>IFERROR(VLOOKUP($G982,今日總結!$A:$AN,37,0),"")</f>
        <v/>
      </c>
      <c r="M982" s="337" t="str">
        <f>IFERROR(VLOOKUP($G982,今日總結!$A:$AN,38,0),"")</f>
        <v/>
      </c>
      <c r="N982" s="240" t="str">
        <f t="shared" si="168"/>
        <v/>
      </c>
      <c r="O982" s="359" t="str">
        <f>IFERROR(VLOOKUP($G982,融外自投!$A:$J,7,0),"無")</f>
        <v>無</v>
      </c>
      <c r="P982" s="79" t="str">
        <f>IFERROR(VLOOKUP($G982,融外自投!$A:$J,9,0),"無")</f>
        <v>無</v>
      </c>
      <c r="Q982" s="342" t="str">
        <f>IFERROR(VLOOKUP($G982,融外自投!$A:$J,8,0),"無")</f>
        <v>無</v>
      </c>
      <c r="R982" s="81" t="str">
        <f>IFERROR(VLOOKUP($G982,融外自投!$A:$J,10,0),"無")</f>
        <v>無</v>
      </c>
      <c r="S982" s="324" t="str">
        <f>IFERROR(VLOOKUP($G982,'321買'!$A:$E,4,0),"'沒有資料'")</f>
        <v>'沒有資料'</v>
      </c>
      <c r="T982" s="186">
        <f>IFERROR(VLOOKUP($G982,基本資料!$A:$J,9,0),"無")</f>
        <v>0</v>
      </c>
      <c r="U982" s="307">
        <f t="shared" si="167"/>
        <v>0</v>
      </c>
      <c r="V982" s="94">
        <f>IFERROR(VLOOKUP($G982,基本資料!$A:$J,10,0),"無")</f>
        <v>-1.39</v>
      </c>
      <c r="W982" s="36">
        <f>RTD("money.excel",,"6109","Price")</f>
        <v>9.92</v>
      </c>
      <c r="X982" s="66"/>
      <c r="Y982" s="15">
        <f t="shared" si="169"/>
        <v>9.92</v>
      </c>
      <c r="Z982" s="3" t="e">
        <f t="shared" si="170"/>
        <v>#DIV/0!</v>
      </c>
      <c r="AA982" s="340">
        <f>IFERROR(VLOOKUP($G982,基本資料!$A:$M,11,0),"無")</f>
        <v>-29.89</v>
      </c>
      <c r="AB982" s="389">
        <f>IFERROR(VLOOKUP($G982,基本資料!$A:$M,12,0),"無")</f>
        <v>57.38</v>
      </c>
      <c r="AC982" s="16" t="s">
        <v>4402</v>
      </c>
      <c r="AF982" s="33">
        <f t="shared" si="171"/>
        <v>0</v>
      </c>
      <c r="AG982" s="43" t="s">
        <v>2372</v>
      </c>
      <c r="AH982" s="66">
        <f t="shared" si="175"/>
        <v>0.39580908032596046</v>
      </c>
      <c r="AI982" s="283">
        <f>RTD("money.excel",,$G982,"PredictVolume")</f>
        <v>51</v>
      </c>
      <c r="AJ982" s="391">
        <f>IFERROR(VLOOKUP($G982,基本資料!$A:$M,13,0),"無")</f>
        <v>128.85</v>
      </c>
      <c r="AR982" s="245" t="str">
        <f>INDEX(基本資料!N:N,MATCH($G982,基本資料!A:A,0))</f>
        <v>低</v>
      </c>
    </row>
    <row r="983" spans="1:44">
      <c r="A983" s="343">
        <f>IFERROR(VLOOKUP($G983,基本資料!$A:$J,3,0),"無")</f>
        <v>11.55</v>
      </c>
      <c r="B983" s="79">
        <f>IFERROR(VLOOKUP($G983,基本資料!$A:$J,4,0),"無")</f>
        <v>153</v>
      </c>
      <c r="C983" s="79">
        <f>IFERROR(VLOOKUP($G983,基本資料!$A:$J,5,0),"無")</f>
        <v>-31</v>
      </c>
      <c r="D983" s="79">
        <f>IFERROR(VLOOKUP($G983,基本資料!$A:$J,6,0),"無")</f>
        <v>-3</v>
      </c>
      <c r="E983" s="79">
        <f>IFERROR(VLOOKUP($G983,基本資料!$A:$J,7,0),"無")</f>
        <v>-23</v>
      </c>
      <c r="F983" s="6">
        <f>IFERROR(VLOOKUP($G983,基本資料!$A:$J,8,0),"無")</f>
        <v>-7.41</v>
      </c>
      <c r="G983" s="79">
        <v>6136</v>
      </c>
      <c r="H983" s="8" t="s">
        <v>311</v>
      </c>
      <c r="I983" s="22" t="s">
        <v>4403</v>
      </c>
      <c r="J983" s="8">
        <f>IFERROR(VLOOKUP($G983,今日總結!$A:$AN,39,0),"")</f>
        <v>0</v>
      </c>
      <c r="K983" s="5">
        <f>IFERROR(VLOOKUP($G983,今日總結!$A:$AN,40,0),"")</f>
        <v>0</v>
      </c>
      <c r="L983" s="156">
        <f>IFERROR(VLOOKUP($G983,今日總結!$A:$AN,37,0),"")</f>
        <v>0</v>
      </c>
      <c r="M983" s="337">
        <f>IFERROR(VLOOKUP($G983,今日總結!$A:$AN,38,0),"")</f>
        <v>0</v>
      </c>
      <c r="N983" s="240">
        <f t="shared" si="168"/>
        <v>0</v>
      </c>
      <c r="O983" s="359">
        <f>IFERROR(VLOOKUP($G983,融外自投!$A:$J,7,0),"無")</f>
        <v>325</v>
      </c>
      <c r="P983" s="79">
        <f>IFERROR(VLOOKUP($G983,融外自投!$A:$J,9,0),"無")</f>
        <v>908</v>
      </c>
      <c r="Q983" s="342">
        <f>IFERROR(VLOOKUP($G983,融外自投!$A:$J,8,0),"無")</f>
        <v>815</v>
      </c>
      <c r="R983" s="81" t="str">
        <f>IFERROR(VLOOKUP($G983,融外自投!$A:$J,10,0),"無")</f>
        <v>無</v>
      </c>
      <c r="S983" s="324">
        <f>IFERROR(VLOOKUP($G983,'321買'!$A:$E,4,0),"'沒有資料'")</f>
        <v>696</v>
      </c>
      <c r="T983" s="186">
        <f>IFERROR(VLOOKUP($G983,基本資料!$A:$J,9,0),"無")</f>
        <v>1.25</v>
      </c>
      <c r="U983" s="307">
        <f t="shared" si="167"/>
        <v>6.7567567567567571E-2</v>
      </c>
      <c r="V983" s="94">
        <f>IFERROR(VLOOKUP($G983,基本資料!$A:$J,10,0),"無")</f>
        <v>1.23</v>
      </c>
      <c r="W983" s="36">
        <f>RTD("money.excel",,"6136","Price")</f>
        <v>18.5</v>
      </c>
      <c r="X983" s="66"/>
      <c r="Y983" s="15">
        <f t="shared" si="169"/>
        <v>18.5</v>
      </c>
      <c r="Z983" s="3" t="e">
        <f t="shared" si="170"/>
        <v>#DIV/0!</v>
      </c>
      <c r="AA983" s="340">
        <f>IFERROR(VLOOKUP($G983,基本資料!$A:$M,11,0),"無")</f>
        <v>-19.04</v>
      </c>
      <c r="AB983" s="389">
        <f>IFERROR(VLOOKUP($G983,基本資料!$A:$M,12,0),"無")</f>
        <v>32.22</v>
      </c>
      <c r="AC983" s="22" t="s">
        <v>4403</v>
      </c>
      <c r="AF983" s="33">
        <f t="shared" si="171"/>
        <v>0</v>
      </c>
      <c r="AG983" s="43" t="s">
        <v>4404</v>
      </c>
      <c r="AH983" s="66">
        <f t="shared" si="175"/>
        <v>0.56244830438378823</v>
      </c>
      <c r="AI983" s="283">
        <f>RTD("money.excel",,$G983,"PredictVolume")</f>
        <v>68</v>
      </c>
      <c r="AJ983" s="391">
        <f>IFERROR(VLOOKUP($G983,基本資料!$A:$M,13,0),"無")</f>
        <v>120.9</v>
      </c>
      <c r="AR983" s="245" t="str">
        <f>INDEX(基本資料!N:N,MATCH($G983,基本資料!A:A,0))</f>
        <v>低</v>
      </c>
    </row>
    <row r="984" spans="1:44">
      <c r="A984" s="343">
        <f>IFERROR(VLOOKUP($G984,基本資料!$A:$J,3,0),"無")</f>
        <v>33.07</v>
      </c>
      <c r="B984" s="79">
        <f>IFERROR(VLOOKUP($G984,基本資料!$A:$J,4,0),"無")</f>
        <v>189</v>
      </c>
      <c r="C984" s="79">
        <f>IFERROR(VLOOKUP($G984,基本資料!$A:$J,5,0),"無")</f>
        <v>-25</v>
      </c>
      <c r="D984" s="79">
        <f>IFERROR(VLOOKUP($G984,基本資料!$A:$J,6,0),"無")</f>
        <v>-18</v>
      </c>
      <c r="E984" s="79">
        <f>IFERROR(VLOOKUP($G984,基本資料!$A:$J,7,0),"無")</f>
        <v>2</v>
      </c>
      <c r="F984" s="6">
        <f>IFERROR(VLOOKUP($G984,基本資料!$A:$J,8,0),"無")</f>
        <v>-25.34</v>
      </c>
      <c r="G984" s="79">
        <v>6142</v>
      </c>
      <c r="H984" s="8" t="s">
        <v>311</v>
      </c>
      <c r="I984" s="22" t="s">
        <v>4405</v>
      </c>
      <c r="J984" s="8" t="str">
        <f>IFERROR(VLOOKUP($G984,今日總結!$A:$AN,39,0),"")</f>
        <v/>
      </c>
      <c r="K984" s="5" t="str">
        <f>IFERROR(VLOOKUP($G984,今日總結!$A:$AN,40,0),"")</f>
        <v/>
      </c>
      <c r="L984" s="156" t="str">
        <f>IFERROR(VLOOKUP($G984,今日總結!$A:$AN,37,0),"")</f>
        <v/>
      </c>
      <c r="M984" s="337" t="str">
        <f>IFERROR(VLOOKUP($G984,今日總結!$A:$AN,38,0),"")</f>
        <v/>
      </c>
      <c r="N984" s="240" t="str">
        <f t="shared" si="168"/>
        <v/>
      </c>
      <c r="O984" s="359" t="str">
        <f>IFERROR(VLOOKUP($G984,融外自投!$A:$J,7,0),"無")</f>
        <v>無</v>
      </c>
      <c r="P984" s="79" t="str">
        <f>IFERROR(VLOOKUP($G984,融外自投!$A:$J,9,0),"無")</f>
        <v>無</v>
      </c>
      <c r="Q984" s="342" t="str">
        <f>IFERROR(VLOOKUP($G984,融外自投!$A:$J,8,0),"無")</f>
        <v>無</v>
      </c>
      <c r="R984" s="81" t="str">
        <f>IFERROR(VLOOKUP($G984,融外自投!$A:$J,10,0),"無")</f>
        <v>無</v>
      </c>
      <c r="S984" s="324" t="str">
        <f>IFERROR(VLOOKUP($G984,'321買'!$A:$E,4,0),"'沒有資料'")</f>
        <v>'沒有資料'</v>
      </c>
      <c r="T984" s="186">
        <f>IFERROR(VLOOKUP($G984,基本資料!$A:$J,9,0),"無")</f>
        <v>0</v>
      </c>
      <c r="U984" s="307">
        <f t="shared" si="167"/>
        <v>0</v>
      </c>
      <c r="V984" s="94">
        <f>IFERROR(VLOOKUP($G984,基本資料!$A:$J,10,0),"無")</f>
        <v>1.23</v>
      </c>
      <c r="W984" s="36">
        <f>RTD("money.excel",,"6142","Price")</f>
        <v>8.77</v>
      </c>
      <c r="X984" s="66"/>
      <c r="Y984" s="15">
        <f t="shared" si="169"/>
        <v>8.77</v>
      </c>
      <c r="Z984" s="3" t="e">
        <f t="shared" si="170"/>
        <v>#DIV/0!</v>
      </c>
      <c r="AA984" s="340">
        <f>IFERROR(VLOOKUP($G984,基本資料!$A:$M,11,0),"無")</f>
        <v>-43.05</v>
      </c>
      <c r="AB984" s="389">
        <f>IFERROR(VLOOKUP($G984,基本資料!$A:$M,12,0),"無")</f>
        <v>31.63</v>
      </c>
      <c r="AC984" s="22" t="s">
        <v>4405</v>
      </c>
      <c r="AF984" s="33">
        <f t="shared" si="171"/>
        <v>0</v>
      </c>
      <c r="AG984" s="43" t="s">
        <v>4406</v>
      </c>
      <c r="AH984" s="66">
        <f t="shared" si="175"/>
        <v>0.85057026870288044</v>
      </c>
      <c r="AI984" s="283">
        <f>RTD("money.excel",,$G984,"PredictVolume")</f>
        <v>220</v>
      </c>
      <c r="AJ984" s="391">
        <f>IFERROR(VLOOKUP($G984,基本資料!$A:$M,13,0),"無")</f>
        <v>258.64999999999998</v>
      </c>
      <c r="AR984" s="245" t="str">
        <f>INDEX(基本資料!N:N,MATCH($G984,基本資料!A:A,0))</f>
        <v>低</v>
      </c>
    </row>
    <row r="985" spans="1:44">
      <c r="A985" s="343">
        <f>IFERROR(VLOOKUP($G985,基本資料!$A:$J,3,0),"無")</f>
        <v>8.3000000000000007</v>
      </c>
      <c r="B985" s="79">
        <f>IFERROR(VLOOKUP($G985,基本資料!$A:$J,4,0),"無")</f>
        <v>11</v>
      </c>
      <c r="C985" s="79">
        <f>IFERROR(VLOOKUP($G985,基本資料!$A:$J,5,0),"無")</f>
        <v>12</v>
      </c>
      <c r="D985" s="79">
        <f>IFERROR(VLOOKUP($G985,基本資料!$A:$J,6,0),"無")</f>
        <v>-13</v>
      </c>
      <c r="E985" s="79">
        <f>IFERROR(VLOOKUP($G985,基本資料!$A:$J,7,0),"無")</f>
        <v>-20</v>
      </c>
      <c r="F985" s="6">
        <f>IFERROR(VLOOKUP($G985,基本資料!$A:$J,8,0),"無")</f>
        <v>6.54</v>
      </c>
      <c r="G985" s="79">
        <v>6143</v>
      </c>
      <c r="H985" s="8" t="s">
        <v>311</v>
      </c>
      <c r="I985" s="16" t="s">
        <v>4407</v>
      </c>
      <c r="J985" s="8" t="str">
        <f>IFERROR(VLOOKUP($G985,今日總結!$A:$AN,39,0),"")</f>
        <v>融</v>
      </c>
      <c r="K985" s="5">
        <f>IFERROR(VLOOKUP($G985,今日總結!$A:$AN,40,0),"")</f>
        <v>5</v>
      </c>
      <c r="L985" s="156">
        <f>IFERROR(VLOOKUP($G985,今日總結!$A:$AN,37,0),"")</f>
        <v>4</v>
      </c>
      <c r="M985" s="337">
        <f>IFERROR(VLOOKUP($G985,今日總結!$A:$AN,38,0),"")</f>
        <v>1</v>
      </c>
      <c r="N985" s="240">
        <f t="shared" si="168"/>
        <v>3</v>
      </c>
      <c r="O985" s="359">
        <f>IFERROR(VLOOKUP($G985,融外自投!$A:$J,7,0),"無")</f>
        <v>75</v>
      </c>
      <c r="P985" s="79">
        <f>IFERROR(VLOOKUP($G985,融外自投!$A:$J,9,0),"無")</f>
        <v>183</v>
      </c>
      <c r="Q985" s="342">
        <f>IFERROR(VLOOKUP($G985,融外自投!$A:$J,8,0),"無")</f>
        <v>870</v>
      </c>
      <c r="R985" s="81">
        <f>IFERROR(VLOOKUP($G985,融外自投!$A:$J,10,0),"無")</f>
        <v>133</v>
      </c>
      <c r="S985" s="324">
        <f>IFERROR(VLOOKUP($G985,'321買'!$A:$E,4,0),"'沒有資料'")</f>
        <v>178</v>
      </c>
      <c r="T985" s="186">
        <f>IFERROR(VLOOKUP($G985,基本資料!$A:$J,9,0),"無")</f>
        <v>2.5</v>
      </c>
      <c r="U985" s="307">
        <f t="shared" si="167"/>
        <v>5.2246603970741899E-2</v>
      </c>
      <c r="V985" s="94">
        <f>IFERROR(VLOOKUP($G985,基本資料!$A:$J,10,0),"無")</f>
        <v>3.33</v>
      </c>
      <c r="W985" s="36">
        <f>RTD("money.excel",,"6143","Price")</f>
        <v>47.85</v>
      </c>
      <c r="X985" s="66"/>
      <c r="Y985" s="15">
        <f t="shared" si="169"/>
        <v>47.85</v>
      </c>
      <c r="Z985" s="3" t="e">
        <f t="shared" si="170"/>
        <v>#DIV/0!</v>
      </c>
      <c r="AA985" s="340">
        <f>IFERROR(VLOOKUP($G985,基本資料!$A:$M,11,0),"無")</f>
        <v>-27.83</v>
      </c>
      <c r="AB985" s="389">
        <f>IFERROR(VLOOKUP($G985,基本資料!$A:$M,12,0),"無")</f>
        <v>47.39</v>
      </c>
      <c r="AC985" s="16" t="s">
        <v>4407</v>
      </c>
      <c r="AF985" s="33">
        <f t="shared" si="171"/>
        <v>0</v>
      </c>
      <c r="AG985" s="117" t="s">
        <v>4408</v>
      </c>
      <c r="AH985" s="66">
        <f t="shared" si="175"/>
        <v>1.7423312883435582</v>
      </c>
      <c r="AI985" s="283">
        <f>RTD("money.excel",,$G985,"PredictVolume")</f>
        <v>639</v>
      </c>
      <c r="AJ985" s="391">
        <f>IFERROR(VLOOKUP($G985,基本資料!$A:$M,13,0),"無")</f>
        <v>366.75</v>
      </c>
      <c r="AR985" s="245" t="str">
        <f>INDEX(基本資料!N:N,MATCH($G985,基本資料!A:A,0))</f>
        <v>低</v>
      </c>
    </row>
    <row r="986" spans="1:44">
      <c r="A986" s="343">
        <f>IFERROR(VLOOKUP($G986,基本資料!$A:$J,3,0),"無")</f>
        <v>16.77</v>
      </c>
      <c r="B986" s="79">
        <f>IFERROR(VLOOKUP($G986,基本資料!$A:$J,4,0),"無")</f>
        <v>-52</v>
      </c>
      <c r="C986" s="79">
        <f>IFERROR(VLOOKUP($G986,基本資料!$A:$J,5,0),"無")</f>
        <v>16</v>
      </c>
      <c r="D986" s="79">
        <f>IFERROR(VLOOKUP($G986,基本資料!$A:$J,6,0),"無")</f>
        <v>75</v>
      </c>
      <c r="E986" s="79">
        <f>IFERROR(VLOOKUP($G986,基本資料!$A:$J,7,0),"無")</f>
        <v>9</v>
      </c>
      <c r="F986" s="6">
        <f>IFERROR(VLOOKUP($G986,基本資料!$A:$J,8,0),"無")</f>
        <v>-1.19</v>
      </c>
      <c r="G986" s="79">
        <v>6152</v>
      </c>
      <c r="H986" s="8" t="s">
        <v>311</v>
      </c>
      <c r="I986" s="22" t="s">
        <v>4409</v>
      </c>
      <c r="J986" s="8" t="str">
        <f>IFERROR(VLOOKUP($G986,今日總結!$A:$AN,39,0),"")</f>
        <v/>
      </c>
      <c r="K986" s="5" t="str">
        <f>IFERROR(VLOOKUP($G986,今日總結!$A:$AN,40,0),"")</f>
        <v/>
      </c>
      <c r="L986" s="156" t="str">
        <f>IFERROR(VLOOKUP($G986,今日總結!$A:$AN,37,0),"")</f>
        <v/>
      </c>
      <c r="M986" s="337" t="str">
        <f>IFERROR(VLOOKUP($G986,今日總結!$A:$AN,38,0),"")</f>
        <v/>
      </c>
      <c r="N986" s="240" t="str">
        <f t="shared" si="168"/>
        <v/>
      </c>
      <c r="O986" s="359" t="str">
        <f>IFERROR(VLOOKUP($G986,融外自投!$A:$J,7,0),"無")</f>
        <v>無</v>
      </c>
      <c r="P986" s="79" t="str">
        <f>IFERROR(VLOOKUP($G986,融外自投!$A:$J,9,0),"無")</f>
        <v>無</v>
      </c>
      <c r="Q986" s="342" t="str">
        <f>IFERROR(VLOOKUP($G986,融外自投!$A:$J,8,0),"無")</f>
        <v>無</v>
      </c>
      <c r="R986" s="81" t="str">
        <f>IFERROR(VLOOKUP($G986,融外自投!$A:$J,10,0),"無")</f>
        <v>無</v>
      </c>
      <c r="S986" s="324" t="str">
        <f>IFERROR(VLOOKUP($G986,'321買'!$A:$E,4,0),"'沒有資料'")</f>
        <v>'沒有資料'</v>
      </c>
      <c r="T986" s="186">
        <f>IFERROR(VLOOKUP($G986,基本資料!$A:$J,9,0),"無")</f>
        <v>0</v>
      </c>
      <c r="U986" s="307">
        <f t="shared" si="167"/>
        <v>0</v>
      </c>
      <c r="V986" s="94">
        <f>IFERROR(VLOOKUP($G986,基本資料!$A:$J,10,0),"無")</f>
        <v>0.05</v>
      </c>
      <c r="W986" s="36">
        <f>RTD("money.excel",,"6152","Price")</f>
        <v>9</v>
      </c>
      <c r="X986" s="66"/>
      <c r="Y986" s="15">
        <f t="shared" si="169"/>
        <v>9</v>
      </c>
      <c r="Z986" s="3" t="e">
        <f t="shared" si="170"/>
        <v>#DIV/0!</v>
      </c>
      <c r="AA986" s="340">
        <f>IFERROR(VLOOKUP($G986,基本資料!$A:$M,11,0),"無")</f>
        <v>-31.82</v>
      </c>
      <c r="AB986" s="389">
        <f>IFERROR(VLOOKUP($G986,基本資料!$A:$M,12,0),"無")</f>
        <v>25.69</v>
      </c>
      <c r="AC986" s="22" t="s">
        <v>4409</v>
      </c>
      <c r="AF986" s="33">
        <f t="shared" si="171"/>
        <v>0</v>
      </c>
      <c r="AG986" s="43" t="s">
        <v>4410</v>
      </c>
      <c r="AH986" s="66">
        <f t="shared" si="175"/>
        <v>0.91688089117395033</v>
      </c>
      <c r="AI986" s="283">
        <f>RTD("money.excel",,$G986,"PredictVolume")</f>
        <v>214</v>
      </c>
      <c r="AJ986" s="391">
        <f>IFERROR(VLOOKUP($G986,基本資料!$A:$M,13,0),"無")</f>
        <v>233.4</v>
      </c>
      <c r="AR986" s="245" t="str">
        <f>INDEX(基本資料!N:N,MATCH($G986,基本資料!A:A,0))</f>
        <v>低</v>
      </c>
    </row>
    <row r="987" spans="1:44">
      <c r="A987" s="343">
        <f>IFERROR(VLOOKUP($G987,基本資料!$A:$J,3,0),"無")</f>
        <v>13.36</v>
      </c>
      <c r="B987" s="79">
        <f>IFERROR(VLOOKUP($G987,基本資料!$A:$J,4,0),"無")</f>
        <v>6623</v>
      </c>
      <c r="C987" s="79">
        <f>IFERROR(VLOOKUP($G987,基本資料!$A:$J,5,0),"無")</f>
        <v>13177</v>
      </c>
      <c r="D987" s="79">
        <f>IFERROR(VLOOKUP($G987,基本資料!$A:$J,6,0),"無")</f>
        <v>-59</v>
      </c>
      <c r="E987" s="79">
        <f>IFERROR(VLOOKUP($G987,基本資料!$A:$J,7,0),"無")</f>
        <v>-57</v>
      </c>
      <c r="F987" s="6">
        <f>IFERROR(VLOOKUP($G987,基本資料!$A:$J,8,0),"無")</f>
        <v>3.41</v>
      </c>
      <c r="G987" s="79">
        <v>6163</v>
      </c>
      <c r="H987" s="8" t="s">
        <v>311</v>
      </c>
      <c r="I987" s="16" t="s">
        <v>4411</v>
      </c>
      <c r="J987" s="8">
        <f>IFERROR(VLOOKUP($G987,今日總結!$A:$AN,39,0),"")</f>
        <v>0</v>
      </c>
      <c r="K987" s="5" t="str">
        <f>IFERROR(VLOOKUP($G987,今日總結!$A:$AN,40,0),"")</f>
        <v>外</v>
      </c>
      <c r="L987" s="156">
        <f>IFERROR(VLOOKUP($G987,今日總結!$A:$AN,37,0),"")</f>
        <v>0</v>
      </c>
      <c r="M987" s="337">
        <f>IFERROR(VLOOKUP($G987,今日總結!$A:$AN,38,0),"")</f>
        <v>2</v>
      </c>
      <c r="N987" s="240">
        <f t="shared" si="168"/>
        <v>-2</v>
      </c>
      <c r="O987" s="359">
        <f>IFERROR(VLOOKUP($G987,融外自投!$A:$J,7,0),"無")</f>
        <v>317</v>
      </c>
      <c r="P987" s="79">
        <f>IFERROR(VLOOKUP($G987,融外自投!$A:$J,9,0),"無")</f>
        <v>869</v>
      </c>
      <c r="Q987" s="342">
        <f>IFERROR(VLOOKUP($G987,融外自投!$A:$J,8,0),"無")</f>
        <v>1026</v>
      </c>
      <c r="R987" s="81" t="str">
        <f>IFERROR(VLOOKUP($G987,融外自投!$A:$J,10,0),"無")</f>
        <v>無</v>
      </c>
      <c r="S987" s="324">
        <f>IFERROR(VLOOKUP($G987,'321買'!$A:$E,4,0),"'沒有資料'")</f>
        <v>394</v>
      </c>
      <c r="T987" s="186">
        <f>IFERROR(VLOOKUP($G987,基本資料!$A:$J,9,0),"無")</f>
        <v>0.3</v>
      </c>
      <c r="U987" s="307">
        <f t="shared" si="167"/>
        <v>2.0066889632107024E-2</v>
      </c>
      <c r="V987" s="94">
        <f>IFERROR(VLOOKUP($G987,基本資料!$A:$J,10,0),"無")</f>
        <v>1.43</v>
      </c>
      <c r="W987" s="36">
        <f>RTD("money.excel",,"6163","Price")</f>
        <v>14.95</v>
      </c>
      <c r="X987" s="66"/>
      <c r="Y987" s="15">
        <f t="shared" si="169"/>
        <v>14.95</v>
      </c>
      <c r="Z987" s="3" t="e">
        <f t="shared" si="170"/>
        <v>#DIV/0!</v>
      </c>
      <c r="AA987" s="340">
        <f>IFERROR(VLOOKUP($G987,基本資料!$A:$M,11,0),"無")</f>
        <v>-35.56</v>
      </c>
      <c r="AB987" s="389">
        <f>IFERROR(VLOOKUP($G987,基本資料!$A:$M,12,0),"無")</f>
        <v>12.96</v>
      </c>
      <c r="AC987" s="16" t="s">
        <v>4411</v>
      </c>
      <c r="AF987" s="33">
        <f t="shared" si="171"/>
        <v>0</v>
      </c>
      <c r="AG987" s="43" t="s">
        <v>4412</v>
      </c>
      <c r="AH987" s="66">
        <f t="shared" si="175"/>
        <v>0.87896043217988029</v>
      </c>
      <c r="AI987" s="283">
        <f>RTD("money.excel",,$G987,"PredictVolume")</f>
        <v>301</v>
      </c>
      <c r="AJ987" s="391">
        <f>IFERROR(VLOOKUP($G987,基本資料!$A:$M,13,0),"無")</f>
        <v>342.45</v>
      </c>
      <c r="AR987" s="245" t="str">
        <f>INDEX(基本資料!N:N,MATCH($G987,基本資料!A:A,0))</f>
        <v>低</v>
      </c>
    </row>
    <row r="988" spans="1:44">
      <c r="A988" s="343">
        <f>IFERROR(VLOOKUP($G988,基本資料!$A:$J,3,0),"無")</f>
        <v>8.9600000000000009</v>
      </c>
      <c r="B988" s="79">
        <f>IFERROR(VLOOKUP($G988,基本資料!$A:$J,4,0),"無")</f>
        <v>13</v>
      </c>
      <c r="C988" s="79">
        <f>IFERROR(VLOOKUP($G988,基本資料!$A:$J,5,0),"無")</f>
        <v>-14</v>
      </c>
      <c r="D988" s="79">
        <f>IFERROR(VLOOKUP($G988,基本資料!$A:$J,6,0),"無")</f>
        <v>-29</v>
      </c>
      <c r="E988" s="79">
        <f>IFERROR(VLOOKUP($G988,基本資料!$A:$J,7,0),"無")</f>
        <v>-28</v>
      </c>
      <c r="F988" s="6">
        <f>IFERROR(VLOOKUP($G988,基本資料!$A:$J,8,0),"無")</f>
        <v>4.82</v>
      </c>
      <c r="G988" s="79">
        <v>6170</v>
      </c>
      <c r="H988" s="8" t="s">
        <v>311</v>
      </c>
      <c r="I988" s="16" t="s">
        <v>4413</v>
      </c>
      <c r="J988" s="8">
        <f>IFERROR(VLOOKUP($G988,今日總結!$A:$AN,39,0),"")</f>
        <v>0</v>
      </c>
      <c r="K988" s="5">
        <f>IFERROR(VLOOKUP($G988,今日總結!$A:$AN,40,0),"")</f>
        <v>0</v>
      </c>
      <c r="L988" s="156">
        <f>IFERROR(VLOOKUP($G988,今日總結!$A:$AN,37,0),"")</f>
        <v>0</v>
      </c>
      <c r="M988" s="337">
        <f>IFERROR(VLOOKUP($G988,今日總結!$A:$AN,38,0),"")</f>
        <v>0</v>
      </c>
      <c r="N988" s="240">
        <f t="shared" si="168"/>
        <v>0</v>
      </c>
      <c r="O988" s="359">
        <f>IFERROR(VLOOKUP($G988,融外自投!$A:$J,7,0),"無")</f>
        <v>199</v>
      </c>
      <c r="P988" s="79">
        <f>IFERROR(VLOOKUP($G988,融外自投!$A:$J,9,0),"無")</f>
        <v>169</v>
      </c>
      <c r="Q988" s="342">
        <f>IFERROR(VLOOKUP($G988,融外自投!$A:$J,8,0),"無")</f>
        <v>1120</v>
      </c>
      <c r="R988" s="81" t="str">
        <f>IFERROR(VLOOKUP($G988,融外自投!$A:$J,10,0),"無")</f>
        <v>無</v>
      </c>
      <c r="S988" s="324">
        <f>IFERROR(VLOOKUP($G988,'321買'!$A:$E,4,0),"'沒有資料'")</f>
        <v>244</v>
      </c>
      <c r="T988" s="186">
        <f>IFERROR(VLOOKUP($G988,基本資料!$A:$J,9,0),"無")</f>
        <v>1.6</v>
      </c>
      <c r="U988" s="307">
        <f t="shared" si="167"/>
        <v>4.7267355982274745E-2</v>
      </c>
      <c r="V988" s="94">
        <f>IFERROR(VLOOKUP($G988,基本資料!$A:$J,10,0),"無")</f>
        <v>1.86</v>
      </c>
      <c r="W988" s="36">
        <f>RTD("money.excel",,"6170","Price")</f>
        <v>33.85</v>
      </c>
      <c r="X988" s="66"/>
      <c r="Y988" s="15">
        <f t="shared" si="169"/>
        <v>33.85</v>
      </c>
      <c r="Z988" s="3" t="e">
        <f t="shared" si="170"/>
        <v>#DIV/0!</v>
      </c>
      <c r="AA988" s="340">
        <f>IFERROR(VLOOKUP($G988,基本資料!$A:$M,11,0),"無")</f>
        <v>-39.979999999999997</v>
      </c>
      <c r="AB988" s="389">
        <f>IFERROR(VLOOKUP($G988,基本資料!$A:$M,12,0),"無")</f>
        <v>67.89</v>
      </c>
      <c r="AC988" s="16" t="s">
        <v>4413</v>
      </c>
      <c r="AF988" s="33">
        <f t="shared" si="171"/>
        <v>0</v>
      </c>
      <c r="AG988" s="43" t="s">
        <v>4414</v>
      </c>
      <c r="AH988" s="66">
        <f t="shared" si="175"/>
        <v>1.2144732336491268</v>
      </c>
      <c r="AI988" s="283">
        <f>RTD("money.excel",,$G988,"PredictVolume")</f>
        <v>1064</v>
      </c>
      <c r="AJ988" s="391">
        <f>IFERROR(VLOOKUP($G988,基本資料!$A:$M,13,0),"無")</f>
        <v>876.1</v>
      </c>
      <c r="AR988" s="245" t="str">
        <f>INDEX(基本資料!N:N,MATCH($G988,基本資料!A:A,0))</f>
        <v>低</v>
      </c>
    </row>
    <row r="989" spans="1:44">
      <c r="A989" s="343">
        <f>IFERROR(VLOOKUP($G989,基本資料!$A:$J,3,0),"無")</f>
        <v>16.11</v>
      </c>
      <c r="B989" s="79">
        <f>IFERROR(VLOOKUP($G989,基本資料!$A:$J,4,0),"無")</f>
        <v>52</v>
      </c>
      <c r="C989" s="79">
        <f>IFERROR(VLOOKUP($G989,基本資料!$A:$J,5,0),"無")</f>
        <v>46</v>
      </c>
      <c r="D989" s="79">
        <f>IFERROR(VLOOKUP($G989,基本資料!$A:$J,6,0),"無")</f>
        <v>7</v>
      </c>
      <c r="E989" s="79">
        <f>IFERROR(VLOOKUP($G989,基本資料!$A:$J,7,0),"無")</f>
        <v>49</v>
      </c>
      <c r="F989" s="6">
        <f>IFERROR(VLOOKUP($G989,基本資料!$A:$J,8,0),"無")</f>
        <v>4.7699999999999996</v>
      </c>
      <c r="G989" s="79">
        <v>6190</v>
      </c>
      <c r="H989" s="8" t="s">
        <v>311</v>
      </c>
      <c r="I989" s="16" t="s">
        <v>4415</v>
      </c>
      <c r="J989" s="8">
        <f>IFERROR(VLOOKUP($G989,今日總結!$A:$AN,39,0),"")</f>
        <v>0</v>
      </c>
      <c r="K989" s="5">
        <f>IFERROR(VLOOKUP($G989,今日總結!$A:$AN,40,0),"")</f>
        <v>0</v>
      </c>
      <c r="L989" s="156">
        <f>IFERROR(VLOOKUP($G989,今日總結!$A:$AN,37,0),"")</f>
        <v>0</v>
      </c>
      <c r="M989" s="337">
        <f>IFERROR(VLOOKUP($G989,今日總結!$A:$AN,38,0),"")</f>
        <v>0</v>
      </c>
      <c r="N989" s="240">
        <f t="shared" si="168"/>
        <v>0</v>
      </c>
      <c r="O989" s="359">
        <f>IFERROR(VLOOKUP($G989,融外自投!$A:$J,7,0),"無")</f>
        <v>159</v>
      </c>
      <c r="P989" s="79">
        <f>IFERROR(VLOOKUP($G989,融外自投!$A:$J,9,0),"無")</f>
        <v>1051</v>
      </c>
      <c r="Q989" s="342">
        <f>IFERROR(VLOOKUP($G989,融外自投!$A:$J,8,0),"無")</f>
        <v>1204</v>
      </c>
      <c r="R989" s="81" t="str">
        <f>IFERROR(VLOOKUP($G989,融外自投!$A:$J,10,0),"無")</f>
        <v>無</v>
      </c>
      <c r="S989" s="324">
        <f>IFERROR(VLOOKUP($G989,'321買'!$A:$E,4,0),"'沒有資料'")</f>
        <v>156</v>
      </c>
      <c r="T989" s="186">
        <f>IFERROR(VLOOKUP($G989,基本資料!$A:$J,9,0),"無")</f>
        <v>1.4</v>
      </c>
      <c r="U989" s="307">
        <f t="shared" si="167"/>
        <v>3.7837837837837833E-2</v>
      </c>
      <c r="V989" s="94">
        <f>IFERROR(VLOOKUP($G989,基本資料!$A:$J,10,0),"無")</f>
        <v>1.68</v>
      </c>
      <c r="W989" s="36">
        <f>RTD("money.excel",,"6190","Price")</f>
        <v>37</v>
      </c>
      <c r="X989" s="66"/>
      <c r="Y989" s="15">
        <f t="shared" si="169"/>
        <v>37</v>
      </c>
      <c r="Z989" s="3" t="e">
        <f t="shared" si="170"/>
        <v>#DIV/0!</v>
      </c>
      <c r="AA989" s="340">
        <f>IFERROR(VLOOKUP($G989,基本資料!$A:$M,11,0),"無")</f>
        <v>-21.78</v>
      </c>
      <c r="AB989" s="389">
        <f>IFERROR(VLOOKUP($G989,基本資料!$A:$M,12,0),"無")</f>
        <v>47.61</v>
      </c>
      <c r="AC989" s="16" t="s">
        <v>4415</v>
      </c>
      <c r="AF989" s="33">
        <f t="shared" si="171"/>
        <v>0</v>
      </c>
      <c r="AG989" s="43" t="s">
        <v>2938</v>
      </c>
      <c r="AH989" s="66">
        <f t="shared" si="175"/>
        <v>1.5671271876866764</v>
      </c>
      <c r="AI989" s="283">
        <f>RTD("money.excel",,$G989,"PredictVolume")</f>
        <v>6165</v>
      </c>
      <c r="AJ989" s="391">
        <f>IFERROR(VLOOKUP($G989,基本資料!$A:$M,13,0),"無")</f>
        <v>3933.95</v>
      </c>
      <c r="AR989" s="245" t="str">
        <f>INDEX(基本資料!N:N,MATCH($G989,基本資料!A:A,0))</f>
        <v>中</v>
      </c>
    </row>
    <row r="990" spans="1:44">
      <c r="A990" s="343">
        <f>IFERROR(VLOOKUP($G990,基本資料!$A:$J,3,0),"無")</f>
        <v>8.9700000000000006</v>
      </c>
      <c r="B990" s="79">
        <f>IFERROR(VLOOKUP($G990,基本資料!$A:$J,4,0),"無")</f>
        <v>48</v>
      </c>
      <c r="C990" s="79">
        <f>IFERROR(VLOOKUP($G990,基本資料!$A:$J,5,0),"無")</f>
        <v>31</v>
      </c>
      <c r="D990" s="79">
        <f>IFERROR(VLOOKUP($G990,基本資料!$A:$J,6,0),"無")</f>
        <v>-25</v>
      </c>
      <c r="E990" s="79">
        <f>IFERROR(VLOOKUP($G990,基本資料!$A:$J,7,0),"無")</f>
        <v>46</v>
      </c>
      <c r="F990" s="6">
        <f>IFERROR(VLOOKUP($G990,基本資料!$A:$J,8,0),"無")</f>
        <v>20.47</v>
      </c>
      <c r="G990" s="79">
        <v>6216</v>
      </c>
      <c r="H990" s="8" t="s">
        <v>311</v>
      </c>
      <c r="I990" s="22" t="s">
        <v>4416</v>
      </c>
      <c r="J990" s="8">
        <f>IFERROR(VLOOKUP($G990,今日總結!$A:$AN,39,0),"")</f>
        <v>0</v>
      </c>
      <c r="K990" s="5" t="str">
        <f>IFERROR(VLOOKUP($G990,今日總結!$A:$AN,40,0),"")</f>
        <v>自</v>
      </c>
      <c r="L990" s="156">
        <f>IFERROR(VLOOKUP($G990,今日總結!$A:$AN,37,0),"")</f>
        <v>0</v>
      </c>
      <c r="M990" s="337">
        <f>IFERROR(VLOOKUP($G990,今日總結!$A:$AN,38,0),"")</f>
        <v>2</v>
      </c>
      <c r="N990" s="240">
        <f t="shared" si="168"/>
        <v>-2</v>
      </c>
      <c r="O990" s="359">
        <f>IFERROR(VLOOKUP($G990,融外自投!$A:$J,7,0),"無")</f>
        <v>671</v>
      </c>
      <c r="P990" s="79">
        <f>IFERROR(VLOOKUP($G990,融外自投!$A:$J,9,0),"無")</f>
        <v>442</v>
      </c>
      <c r="Q990" s="342">
        <f>IFERROR(VLOOKUP($G990,融外自投!$A:$J,8,0),"無")</f>
        <v>1130</v>
      </c>
      <c r="R990" s="81" t="str">
        <f>IFERROR(VLOOKUP($G990,融外自投!$A:$J,10,0),"無")</f>
        <v>無</v>
      </c>
      <c r="S990" s="324">
        <f>IFERROR(VLOOKUP($G990,'321買'!$A:$E,4,0),"'沒有資料'")</f>
        <v>650</v>
      </c>
      <c r="T990" s="186">
        <f>IFERROR(VLOOKUP($G990,基本資料!$A:$J,9,0),"無")</f>
        <v>1.72</v>
      </c>
      <c r="U990" s="307">
        <f t="shared" si="167"/>
        <v>6.1648745519713263E-2</v>
      </c>
      <c r="V990" s="94">
        <f>IFERROR(VLOOKUP($G990,基本資料!$A:$J,10,0),"無")</f>
        <v>1.85</v>
      </c>
      <c r="W990" s="36">
        <f>RTD("money.excel",,"6216","Price")</f>
        <v>27.9</v>
      </c>
      <c r="X990" s="66"/>
      <c r="Y990" s="15">
        <f t="shared" si="169"/>
        <v>27.9</v>
      </c>
      <c r="Z990" s="3" t="e">
        <f t="shared" si="170"/>
        <v>#DIV/0!</v>
      </c>
      <c r="AA990" s="340">
        <f>IFERROR(VLOOKUP($G990,基本資料!$A:$M,11,0),"無")</f>
        <v>-16.84</v>
      </c>
      <c r="AB990" s="389">
        <f>IFERROR(VLOOKUP($G990,基本資料!$A:$M,12,0),"無")</f>
        <v>43.04</v>
      </c>
      <c r="AC990" s="22" t="s">
        <v>4416</v>
      </c>
      <c r="AF990" s="33">
        <f t="shared" si="171"/>
        <v>0</v>
      </c>
      <c r="AG990" s="43" t="s">
        <v>4320</v>
      </c>
      <c r="AH990" s="66">
        <f t="shared" si="175"/>
        <v>0.4277398127056441</v>
      </c>
      <c r="AI990" s="283">
        <f>RTD("money.excel",,$G990,"PredictVolume")</f>
        <v>676</v>
      </c>
      <c r="AJ990" s="391">
        <f>IFERROR(VLOOKUP($G990,基本資料!$A:$M,13,0),"無")</f>
        <v>1580.4</v>
      </c>
      <c r="AR990" s="245" t="str">
        <f>INDEX(基本資料!N:N,MATCH($G990,基本資料!A:A,0))</f>
        <v>中</v>
      </c>
    </row>
    <row r="991" spans="1:44">
      <c r="A991" s="343">
        <f>IFERROR(VLOOKUP($G991,基本資料!$A:$J,3,0),"無")</f>
        <v>6.42</v>
      </c>
      <c r="B991" s="79">
        <f>IFERROR(VLOOKUP($G991,基本資料!$A:$J,4,0),"無")</f>
        <v>-12</v>
      </c>
      <c r="C991" s="79">
        <f>IFERROR(VLOOKUP($G991,基本資料!$A:$J,5,0),"無")</f>
        <v>-51</v>
      </c>
      <c r="D991" s="79">
        <f>IFERROR(VLOOKUP($G991,基本資料!$A:$J,6,0),"無")</f>
        <v>-38</v>
      </c>
      <c r="E991" s="79">
        <f>IFERROR(VLOOKUP($G991,基本資料!$A:$J,7,0),"無")</f>
        <v>-16</v>
      </c>
      <c r="F991" s="6">
        <f>IFERROR(VLOOKUP($G991,基本資料!$A:$J,8,0),"無")</f>
        <v>2.39</v>
      </c>
      <c r="G991" s="79">
        <v>6218</v>
      </c>
      <c r="H991" s="8" t="s">
        <v>311</v>
      </c>
      <c r="I991" s="16" t="s">
        <v>4417</v>
      </c>
      <c r="J991" s="8">
        <f>IFERROR(VLOOKUP($G991,今日總結!$A:$AN,39,0),"")</f>
        <v>0</v>
      </c>
      <c r="K991" s="5">
        <f>IFERROR(VLOOKUP($G991,今日總結!$A:$AN,40,0),"")</f>
        <v>0</v>
      </c>
      <c r="L991" s="156">
        <f>IFERROR(VLOOKUP($G991,今日總結!$A:$AN,37,0),"")</f>
        <v>0</v>
      </c>
      <c r="M991" s="337">
        <f>IFERROR(VLOOKUP($G991,今日總結!$A:$AN,38,0),"")</f>
        <v>0</v>
      </c>
      <c r="N991" s="240">
        <f t="shared" si="168"/>
        <v>0</v>
      </c>
      <c r="O991" s="359">
        <f>IFERROR(VLOOKUP($G991,融外自投!$A:$J,7,0),"無")</f>
        <v>1018</v>
      </c>
      <c r="P991" s="79" t="str">
        <f>IFERROR(VLOOKUP($G991,融外自投!$A:$J,9,0),"無")</f>
        <v>無</v>
      </c>
      <c r="Q991" s="342">
        <f>IFERROR(VLOOKUP($G991,融外自投!$A:$J,8,0),"無")</f>
        <v>1330</v>
      </c>
      <c r="R991" s="81" t="str">
        <f>IFERROR(VLOOKUP($G991,融外自投!$A:$J,10,0),"無")</f>
        <v>無</v>
      </c>
      <c r="S991" s="324">
        <f>IFERROR(VLOOKUP($G991,'321買'!$A:$E,4,0),"'沒有資料'")</f>
        <v>801</v>
      </c>
      <c r="T991" s="186">
        <f>IFERROR(VLOOKUP($G991,基本資料!$A:$J,9,0),"無")</f>
        <v>1</v>
      </c>
      <c r="U991" s="307">
        <f t="shared" si="167"/>
        <v>5.037783375314861E-2</v>
      </c>
      <c r="V991" s="94">
        <f>IFERROR(VLOOKUP($G991,基本資料!$A:$J,10,0),"無")</f>
        <v>0.7</v>
      </c>
      <c r="W991" s="36">
        <f>RTD("money.excel",,"6218","Price")</f>
        <v>19.850000000000001</v>
      </c>
      <c r="X991" s="66"/>
      <c r="Y991" s="15">
        <f t="shared" si="169"/>
        <v>19.850000000000001</v>
      </c>
      <c r="Z991" s="3" t="e">
        <f t="shared" si="170"/>
        <v>#DIV/0!</v>
      </c>
      <c r="AA991" s="340">
        <f>IFERROR(VLOOKUP($G991,基本資料!$A:$M,11,0),"無")</f>
        <v>-21.7</v>
      </c>
      <c r="AB991" s="389">
        <f>IFERROR(VLOOKUP($G991,基本資料!$A:$M,12,0),"無")</f>
        <v>15.25</v>
      </c>
      <c r="AC991" s="16" t="s">
        <v>4417</v>
      </c>
      <c r="AF991" s="33">
        <f t="shared" si="171"/>
        <v>0</v>
      </c>
      <c r="AG991" s="43" t="s">
        <v>4418</v>
      </c>
      <c r="AH991" s="66">
        <f t="shared" si="175"/>
        <v>0.31589338598223099</v>
      </c>
      <c r="AI991" s="283">
        <f>RTD("money.excel",,$G991,"PredictVolume")</f>
        <v>16</v>
      </c>
      <c r="AJ991" s="391">
        <f>IFERROR(VLOOKUP($G991,基本資料!$A:$M,13,0),"無")</f>
        <v>50.65</v>
      </c>
      <c r="AR991" s="245" t="str">
        <f>INDEX(基本資料!N:N,MATCH($G991,基本資料!A:A,0))</f>
        <v>低</v>
      </c>
    </row>
    <row r="992" spans="1:44">
      <c r="A992" s="343">
        <f>IFERROR(VLOOKUP($G992,基本資料!$A:$J,3,0),"無")</f>
        <v>3.37</v>
      </c>
      <c r="B992" s="79">
        <f>IFERROR(VLOOKUP($G992,基本資料!$A:$J,4,0),"無")</f>
        <v>-764</v>
      </c>
      <c r="C992" s="79">
        <f>IFERROR(VLOOKUP($G992,基本資料!$A:$J,5,0),"無")</f>
        <v>-2471</v>
      </c>
      <c r="D992" s="79">
        <f>IFERROR(VLOOKUP($G992,基本資料!$A:$J,6,0),"無")</f>
        <v>-1</v>
      </c>
      <c r="E992" s="79">
        <f>IFERROR(VLOOKUP($G992,基本資料!$A:$J,7,0),"無")</f>
        <v>762</v>
      </c>
      <c r="F992" s="6">
        <f>IFERROR(VLOOKUP($G992,基本資料!$A:$J,8,0),"無")</f>
        <v>-32.799999999999997</v>
      </c>
      <c r="G992" s="79">
        <v>6241</v>
      </c>
      <c r="H992" s="8" t="s">
        <v>311</v>
      </c>
      <c r="I992" s="16" t="s">
        <v>4419</v>
      </c>
      <c r="J992" s="8" t="str">
        <f>IFERROR(VLOOKUP($G992,今日總結!$A:$AN,39,0),"")</f>
        <v/>
      </c>
      <c r="K992" s="5" t="str">
        <f>IFERROR(VLOOKUP($G992,今日總結!$A:$AN,40,0),"")</f>
        <v/>
      </c>
      <c r="L992" s="156" t="str">
        <f>IFERROR(VLOOKUP($G992,今日總結!$A:$AN,37,0),"")</f>
        <v/>
      </c>
      <c r="M992" s="337" t="str">
        <f>IFERROR(VLOOKUP($G992,今日總結!$A:$AN,38,0),"")</f>
        <v/>
      </c>
      <c r="N992" s="240" t="str">
        <f t="shared" si="168"/>
        <v/>
      </c>
      <c r="O992" s="359" t="str">
        <f>IFERROR(VLOOKUP($G992,融外自投!$A:$J,7,0),"無")</f>
        <v>無</v>
      </c>
      <c r="P992" s="79" t="str">
        <f>IFERROR(VLOOKUP($G992,融外自投!$A:$J,9,0),"無")</f>
        <v>無</v>
      </c>
      <c r="Q992" s="342" t="str">
        <f>IFERROR(VLOOKUP($G992,融外自投!$A:$J,8,0),"無")</f>
        <v>無</v>
      </c>
      <c r="R992" s="81" t="str">
        <f>IFERROR(VLOOKUP($G992,融外自投!$A:$J,10,0),"無")</f>
        <v>無</v>
      </c>
      <c r="S992" s="324" t="str">
        <f>IFERROR(VLOOKUP($G992,'321買'!$A:$E,4,0),"'沒有資料'")</f>
        <v>'沒有資料'</v>
      </c>
      <c r="T992" s="186">
        <f>IFERROR(VLOOKUP($G992,基本資料!$A:$J,9,0),"無")</f>
        <v>0</v>
      </c>
      <c r="U992" s="307">
        <f t="shared" si="167"/>
        <v>0</v>
      </c>
      <c r="V992" s="94">
        <f>IFERROR(VLOOKUP($G992,基本資料!$A:$J,10,0),"無")</f>
        <v>-3.15</v>
      </c>
      <c r="W992" s="36">
        <f>RTD("money.excel",,"6241","Price")</f>
        <v>31.05</v>
      </c>
      <c r="X992" s="66"/>
      <c r="Y992" s="15">
        <f t="shared" si="169"/>
        <v>31.05</v>
      </c>
      <c r="Z992" s="3" t="e">
        <f t="shared" si="170"/>
        <v>#DIV/0!</v>
      </c>
      <c r="AA992" s="340">
        <f>IFERROR(VLOOKUP($G992,基本資料!$A:$M,11,0),"無")</f>
        <v>-29.43</v>
      </c>
      <c r="AB992" s="389">
        <f>IFERROR(VLOOKUP($G992,基本資料!$A:$M,12,0),"無")</f>
        <v>51.61</v>
      </c>
      <c r="AC992" s="16" t="s">
        <v>4419</v>
      </c>
      <c r="AF992" s="33">
        <f t="shared" si="171"/>
        <v>0</v>
      </c>
      <c r="AG992" s="43" t="s">
        <v>2622</v>
      </c>
      <c r="AH992" s="66">
        <f t="shared" si="175"/>
        <v>0.59071477683776275</v>
      </c>
      <c r="AI992" s="283">
        <f>RTD("money.excel",,$G992,"PredictVolume")</f>
        <v>988</v>
      </c>
      <c r="AJ992" s="391">
        <f>IFERROR(VLOOKUP($G992,基本資料!$A:$M,13,0),"無")</f>
        <v>1672.55</v>
      </c>
      <c r="AR992" s="245" t="str">
        <f>INDEX(基本資料!N:N,MATCH($G992,基本資料!A:A,0))</f>
        <v>中</v>
      </c>
    </row>
    <row r="993" spans="1:44">
      <c r="A993" s="343">
        <f>IFERROR(VLOOKUP($G993,基本資料!$A:$J,3,0),"無")</f>
        <v>11.8</v>
      </c>
      <c r="B993" s="79">
        <f>IFERROR(VLOOKUP($G993,基本資料!$A:$J,4,0),"無")</f>
        <v>-13</v>
      </c>
      <c r="C993" s="79">
        <f>IFERROR(VLOOKUP($G993,基本資料!$A:$J,5,0),"無")</f>
        <v>-5</v>
      </c>
      <c r="D993" s="79">
        <f>IFERROR(VLOOKUP($G993,基本資料!$A:$J,6,0),"無")</f>
        <v>-17</v>
      </c>
      <c r="E993" s="79">
        <f>IFERROR(VLOOKUP($G993,基本資料!$A:$J,7,0),"無")</f>
        <v>10</v>
      </c>
      <c r="F993" s="6">
        <f>IFERROR(VLOOKUP($G993,基本資料!$A:$J,8,0),"無")</f>
        <v>8.14</v>
      </c>
      <c r="G993" s="79">
        <v>6245</v>
      </c>
      <c r="H993" s="8" t="s">
        <v>311</v>
      </c>
      <c r="I993" s="16" t="s">
        <v>4420</v>
      </c>
      <c r="J993" s="8">
        <f>IFERROR(VLOOKUP($G993,今日總結!$A:$AN,39,0),"")</f>
        <v>0</v>
      </c>
      <c r="K993" s="5" t="str">
        <f>IFERROR(VLOOKUP($G993,今日總結!$A:$AN,40,0),"")</f>
        <v>主</v>
      </c>
      <c r="L993" s="156">
        <f>IFERROR(VLOOKUP($G993,今日總結!$A:$AN,37,0),"")</f>
        <v>0</v>
      </c>
      <c r="M993" s="337">
        <f>IFERROR(VLOOKUP($G993,今日總結!$A:$AN,38,0),"")</f>
        <v>6</v>
      </c>
      <c r="N993" s="240">
        <f t="shared" si="168"/>
        <v>-6</v>
      </c>
      <c r="O993" s="359">
        <f>IFERROR(VLOOKUP($G993,融外自投!$A:$J,7,0),"無")</f>
        <v>362</v>
      </c>
      <c r="P993" s="79">
        <f>IFERROR(VLOOKUP($G993,融外自投!$A:$J,9,0),"無")</f>
        <v>671</v>
      </c>
      <c r="Q993" s="342">
        <f>IFERROR(VLOOKUP($G993,融外自投!$A:$J,8,0),"無")</f>
        <v>398</v>
      </c>
      <c r="R993" s="81">
        <f>IFERROR(VLOOKUP($G993,融外自投!$A:$J,10,0),"無")</f>
        <v>336</v>
      </c>
      <c r="S993" s="324">
        <f>IFERROR(VLOOKUP($G993,'321買'!$A:$E,4,0),"'沒有資料'")</f>
        <v>801</v>
      </c>
      <c r="T993" s="186">
        <f>IFERROR(VLOOKUP($G993,基本資料!$A:$J,9,0),"無")</f>
        <v>3</v>
      </c>
      <c r="U993" s="307">
        <f t="shared" si="167"/>
        <v>5.8708414872798431E-2</v>
      </c>
      <c r="V993" s="94">
        <f>IFERROR(VLOOKUP($G993,基本資料!$A:$J,10,0),"無")</f>
        <v>4.6500000000000004</v>
      </c>
      <c r="W993" s="36">
        <f>RTD("money.excel",,"6245","Price")</f>
        <v>51.1</v>
      </c>
      <c r="X993" s="66"/>
      <c r="Y993" s="15">
        <f t="shared" si="169"/>
        <v>51.1</v>
      </c>
      <c r="Z993" s="3" t="e">
        <f t="shared" si="170"/>
        <v>#DIV/0!</v>
      </c>
      <c r="AA993" s="340">
        <f>IFERROR(VLOOKUP($G993,基本資料!$A:$M,11,0),"無")</f>
        <v>-18.89</v>
      </c>
      <c r="AB993" s="389">
        <f>IFERROR(VLOOKUP($G993,基本資料!$A:$M,12,0),"無")</f>
        <v>35.65</v>
      </c>
      <c r="AC993" s="16" t="s">
        <v>4420</v>
      </c>
      <c r="AF993" s="33">
        <f t="shared" si="171"/>
        <v>0</v>
      </c>
      <c r="AG993" s="117" t="s">
        <v>4421</v>
      </c>
      <c r="AH993" s="66">
        <f t="shared" si="175"/>
        <v>0.64881766660152429</v>
      </c>
      <c r="AI993" s="283">
        <f>RTD("money.excel",,$G993,"PredictVolume")</f>
        <v>664</v>
      </c>
      <c r="AJ993" s="391">
        <f>IFERROR(VLOOKUP($G993,基本資料!$A:$M,13,0),"無")</f>
        <v>1023.4</v>
      </c>
      <c r="AR993" s="245" t="str">
        <f>INDEX(基本資料!N:N,MATCH($G993,基本資料!A:A,0))</f>
        <v>中</v>
      </c>
    </row>
    <row r="994" spans="1:44">
      <c r="A994" s="343">
        <f>IFERROR(VLOOKUP($G994,基本資料!$A:$J,3,0),"無")</f>
        <v>6.25</v>
      </c>
      <c r="B994" s="79">
        <f>IFERROR(VLOOKUP($G994,基本資料!$A:$J,4,0),"無")</f>
        <v>18</v>
      </c>
      <c r="C994" s="79">
        <f>IFERROR(VLOOKUP($G994,基本資料!$A:$J,5,0),"無")</f>
        <v>18</v>
      </c>
      <c r="D994" s="79">
        <f>IFERROR(VLOOKUP($G994,基本資料!$A:$J,6,0),"無")</f>
        <v>1</v>
      </c>
      <c r="E994" s="79">
        <f>IFERROR(VLOOKUP($G994,基本資料!$A:$J,7,0),"無")</f>
        <v>9</v>
      </c>
      <c r="F994" s="6">
        <f>IFERROR(VLOOKUP($G994,基本資料!$A:$J,8,0),"無")</f>
        <v>26.82</v>
      </c>
      <c r="G994" s="79">
        <v>6263</v>
      </c>
      <c r="H994" s="8" t="s">
        <v>311</v>
      </c>
      <c r="I994" s="16" t="s">
        <v>4422</v>
      </c>
      <c r="J994" s="8">
        <f>IFERROR(VLOOKUP($G994,今日總結!$A:$AN,39,0),"")</f>
        <v>0</v>
      </c>
      <c r="K994" s="5">
        <f>IFERROR(VLOOKUP($G994,今日總結!$A:$AN,40,0),"")</f>
        <v>0</v>
      </c>
      <c r="L994" s="156">
        <f>IFERROR(VLOOKUP($G994,今日總結!$A:$AN,37,0),"")</f>
        <v>0</v>
      </c>
      <c r="M994" s="337">
        <f>IFERROR(VLOOKUP($G994,今日總結!$A:$AN,38,0),"")</f>
        <v>0</v>
      </c>
      <c r="N994" s="240">
        <f t="shared" si="168"/>
        <v>0</v>
      </c>
      <c r="O994" s="359">
        <f>IFERROR(VLOOKUP($G994,融外自投!$A:$J,7,0),"無")</f>
        <v>1329</v>
      </c>
      <c r="P994" s="79">
        <f>IFERROR(VLOOKUP($G994,融外自投!$A:$J,9,0),"無")</f>
        <v>717</v>
      </c>
      <c r="Q994" s="342">
        <f>IFERROR(VLOOKUP($G994,融外自投!$A:$J,8,0),"無")</f>
        <v>988</v>
      </c>
      <c r="R994" s="81" t="str">
        <f>IFERROR(VLOOKUP($G994,融外自投!$A:$J,10,0),"無")</f>
        <v>無</v>
      </c>
      <c r="S994" s="324">
        <f>IFERROR(VLOOKUP($G994,'321買'!$A:$E,4,0),"'沒有資料'")</f>
        <v>1002</v>
      </c>
      <c r="T994" s="186">
        <f>IFERROR(VLOOKUP($G994,基本資料!$A:$J,9,0),"無")</f>
        <v>4.7</v>
      </c>
      <c r="U994" s="307">
        <f t="shared" ref="U994:U1017" si="176">$T994/$W994</f>
        <v>6.4383561643835616E-2</v>
      </c>
      <c r="V994" s="94">
        <f>IFERROR(VLOOKUP($G994,基本資料!$A:$J,10,0),"無")</f>
        <v>5.14</v>
      </c>
      <c r="W994" s="36">
        <f>RTD("money.excel",,"6263","Price")</f>
        <v>73</v>
      </c>
      <c r="X994" s="66"/>
      <c r="Y994" s="15">
        <f t="shared" ref="Y994:Y1017" si="177">W994-X994</f>
        <v>73</v>
      </c>
      <c r="Z994" s="3" t="e">
        <f t="shared" ref="Z994:Z1017" si="178">Y994/X994</f>
        <v>#DIV/0!</v>
      </c>
      <c r="AA994" s="340">
        <f>IFERROR(VLOOKUP($G994,基本資料!$A:$M,11,0),"無")</f>
        <v>-5.81</v>
      </c>
      <c r="AB994" s="389">
        <f>IFERROR(VLOOKUP($G994,基本資料!$A:$M,12,0),"無")</f>
        <v>50.14</v>
      </c>
      <c r="AC994" s="16" t="s">
        <v>4422</v>
      </c>
      <c r="AF994" s="33">
        <f t="shared" ref="AF994:AF1017" si="179">AE994-AD994</f>
        <v>0</v>
      </c>
      <c r="AG994" s="117" t="s">
        <v>4320</v>
      </c>
      <c r="AH994" s="66">
        <f t="shared" si="175"/>
        <v>3.2359230220955095</v>
      </c>
      <c r="AI994" s="283">
        <f>RTD("money.excel",,$G994,"PredictVolume")</f>
        <v>227</v>
      </c>
      <c r="AJ994" s="391">
        <f>IFERROR(VLOOKUP($G994,基本資料!$A:$M,13,0),"無")</f>
        <v>70.150000000000006</v>
      </c>
      <c r="AR994" s="245" t="str">
        <f>INDEX(基本資料!N:N,MATCH($G994,基本資料!A:A,0))</f>
        <v>高</v>
      </c>
    </row>
    <row r="995" spans="1:44">
      <c r="A995" s="343">
        <f>IFERROR(VLOOKUP($G995,基本資料!$A:$J,3,0),"無")</f>
        <v>39.64</v>
      </c>
      <c r="B995" s="79">
        <f>IFERROR(VLOOKUP($G995,基本資料!$A:$J,4,0),"無")</f>
        <v>-16</v>
      </c>
      <c r="C995" s="79">
        <f>IFERROR(VLOOKUP($G995,基本資料!$A:$J,5,0),"無")</f>
        <v>-40</v>
      </c>
      <c r="D995" s="79">
        <f>IFERROR(VLOOKUP($G995,基本資料!$A:$J,6,0),"無")</f>
        <v>-30</v>
      </c>
      <c r="E995" s="79">
        <f>IFERROR(VLOOKUP($G995,基本資料!$A:$J,7,0),"無")</f>
        <v>-2</v>
      </c>
      <c r="F995" s="6">
        <f>IFERROR(VLOOKUP($G995,基本資料!$A:$J,8,0),"無")</f>
        <v>1.31</v>
      </c>
      <c r="G995" s="79">
        <v>6285</v>
      </c>
      <c r="H995" s="8" t="s">
        <v>311</v>
      </c>
      <c r="I995" s="22" t="s">
        <v>4423</v>
      </c>
      <c r="J995" s="8">
        <f>IFERROR(VLOOKUP($G995,今日總結!$A:$AN,39,0),"")</f>
        <v>0</v>
      </c>
      <c r="K995" s="5" t="str">
        <f>IFERROR(VLOOKUP($G995,今日總結!$A:$AN,40,0),"")</f>
        <v>外</v>
      </c>
      <c r="L995" s="156">
        <f>IFERROR(VLOOKUP($G995,今日總結!$A:$AN,37,0),"")</f>
        <v>0</v>
      </c>
      <c r="M995" s="337">
        <f>IFERROR(VLOOKUP($G995,今日總結!$A:$AN,38,0),"")</f>
        <v>1</v>
      </c>
      <c r="N995" s="240">
        <f t="shared" ref="N995:N1017" si="180">IFERROR(L995-M995,"")</f>
        <v>-1</v>
      </c>
      <c r="O995" s="359">
        <f>IFERROR(VLOOKUP($G995,融外自投!$A:$J,7,0),"無")</f>
        <v>782</v>
      </c>
      <c r="P995" s="79">
        <f>IFERROR(VLOOKUP($G995,融外自投!$A:$J,9,0),"無")</f>
        <v>565</v>
      </c>
      <c r="Q995" s="342">
        <f>IFERROR(VLOOKUP($G995,融外自投!$A:$J,8,0),"無")</f>
        <v>525</v>
      </c>
      <c r="R995" s="81">
        <f>IFERROR(VLOOKUP($G995,融外自投!$A:$J,10,0),"無")</f>
        <v>113</v>
      </c>
      <c r="S995" s="324">
        <f>IFERROR(VLOOKUP($G995,'321買'!$A:$E,4,0),"'沒有資料'")</f>
        <v>343</v>
      </c>
      <c r="T995" s="186">
        <f>IFERROR(VLOOKUP($G995,基本資料!$A:$J,9,0),"無")</f>
        <v>2.1</v>
      </c>
      <c r="U995" s="307">
        <f t="shared" si="176"/>
        <v>3.2863849765258218E-2</v>
      </c>
      <c r="V995" s="94">
        <f>IFERROR(VLOOKUP($G995,基本資料!$A:$J,10,0),"無")</f>
        <v>3.15</v>
      </c>
      <c r="W995" s="36">
        <f>RTD("money.excel",,"6285","Price")</f>
        <v>63.9</v>
      </c>
      <c r="X995" s="66"/>
      <c r="Y995" s="15">
        <f t="shared" si="177"/>
        <v>63.9</v>
      </c>
      <c r="Z995" s="3" t="e">
        <f t="shared" si="178"/>
        <v>#DIV/0!</v>
      </c>
      <c r="AA995" s="340">
        <f>IFERROR(VLOOKUP($G995,基本資料!$A:$M,11,0),"無")</f>
        <v>-21.11</v>
      </c>
      <c r="AB995" s="389">
        <f>IFERROR(VLOOKUP($G995,基本資料!$A:$M,12,0),"無")</f>
        <v>33.21</v>
      </c>
      <c r="AC995" s="22" t="s">
        <v>4423</v>
      </c>
      <c r="AF995" s="33">
        <f t="shared" si="179"/>
        <v>0</v>
      </c>
      <c r="AG995" s="117" t="s">
        <v>4424</v>
      </c>
      <c r="AH995" s="66">
        <f t="shared" si="175"/>
        <v>0.33408082759072233</v>
      </c>
      <c r="AI995" s="283">
        <f>RTD("money.excel",,$G995,"PredictVolume")</f>
        <v>2041</v>
      </c>
      <c r="AJ995" s="391">
        <f>IFERROR(VLOOKUP($G995,基本資料!$A:$M,13,0),"無")</f>
        <v>6109.3</v>
      </c>
      <c r="AR995" s="245" t="str">
        <f>INDEX(基本資料!N:N,MATCH($G995,基本資料!A:A,0))</f>
        <v>低</v>
      </c>
    </row>
    <row r="996" spans="1:44">
      <c r="A996" s="343">
        <f>IFERROR(VLOOKUP($G996,基本資料!$A:$J,3,0),"無")</f>
        <v>7.31</v>
      </c>
      <c r="B996" s="79">
        <f>IFERROR(VLOOKUP($G996,基本資料!$A:$J,4,0),"無")</f>
        <v>-42</v>
      </c>
      <c r="C996" s="79">
        <f>IFERROR(VLOOKUP($G996,基本資料!$A:$J,5,0),"無")</f>
        <v>-44</v>
      </c>
      <c r="D996" s="79">
        <f>IFERROR(VLOOKUP($G996,基本資料!$A:$J,6,0),"無")</f>
        <v>-13</v>
      </c>
      <c r="E996" s="79">
        <f>IFERROR(VLOOKUP($G996,基本資料!$A:$J,7,0),"無")</f>
        <v>27</v>
      </c>
      <c r="F996" s="6">
        <f>IFERROR(VLOOKUP($G996,基本資料!$A:$J,8,0),"無")</f>
        <v>6.54</v>
      </c>
      <c r="G996" s="79">
        <v>6416</v>
      </c>
      <c r="H996" s="8" t="s">
        <v>311</v>
      </c>
      <c r="I996" s="22" t="s">
        <v>4425</v>
      </c>
      <c r="J996" s="8">
        <f>IFERROR(VLOOKUP($G996,今日總結!$A:$AN,39,0),"")</f>
        <v>0</v>
      </c>
      <c r="K996" s="5">
        <f>IFERROR(VLOOKUP($G996,今日總結!$A:$AN,40,0),"")</f>
        <v>0</v>
      </c>
      <c r="L996" s="156">
        <f>IFERROR(VLOOKUP($G996,今日總結!$A:$AN,37,0),"")</f>
        <v>0</v>
      </c>
      <c r="M996" s="337">
        <f>IFERROR(VLOOKUP($G996,今日總結!$A:$AN,38,0),"")</f>
        <v>0</v>
      </c>
      <c r="N996" s="240">
        <f t="shared" si="180"/>
        <v>0</v>
      </c>
      <c r="O996" s="359">
        <f>IFERROR(VLOOKUP($G996,融外自投!$A:$J,7,0),"無")</f>
        <v>235</v>
      </c>
      <c r="P996" s="79">
        <f>IFERROR(VLOOKUP($G996,融外自投!$A:$J,9,0),"無")</f>
        <v>908</v>
      </c>
      <c r="Q996" s="342">
        <f>IFERROR(VLOOKUP($G996,融外自投!$A:$J,8,0),"無")</f>
        <v>1272</v>
      </c>
      <c r="R996" s="81" t="str">
        <f>IFERROR(VLOOKUP($G996,融外自投!$A:$J,10,0),"無")</f>
        <v>無</v>
      </c>
      <c r="S996" s="324">
        <f>IFERROR(VLOOKUP($G996,'321買'!$A:$E,4,0),"'沒有資料'")</f>
        <v>891</v>
      </c>
      <c r="T996" s="186">
        <f>IFERROR(VLOOKUP($G996,基本資料!$A:$J,9,0),"無")</f>
        <v>2</v>
      </c>
      <c r="U996" s="307">
        <f t="shared" si="176"/>
        <v>2.5673940949935813E-2</v>
      </c>
      <c r="V996" s="94">
        <f>IFERROR(VLOOKUP($G996,基本資料!$A:$J,10,0),"無")</f>
        <v>3</v>
      </c>
      <c r="W996" s="36">
        <f>RTD("money.excel",,"6416","Price")</f>
        <v>77.900000000000006</v>
      </c>
      <c r="X996" s="66"/>
      <c r="Y996" s="15">
        <f t="shared" si="177"/>
        <v>77.900000000000006</v>
      </c>
      <c r="Z996" s="3" t="e">
        <f t="shared" si="178"/>
        <v>#DIV/0!</v>
      </c>
      <c r="AA996" s="340">
        <f>IFERROR(VLOOKUP($G996,基本資料!$A:$M,11,0),"無")</f>
        <v>-39.85</v>
      </c>
      <c r="AB996" s="389">
        <f>IFERROR(VLOOKUP($G996,基本資料!$A:$M,12,0),"無")</f>
        <v>13.37</v>
      </c>
      <c r="AC996" s="22" t="s">
        <v>4425</v>
      </c>
      <c r="AF996" s="33">
        <f t="shared" si="179"/>
        <v>0</v>
      </c>
      <c r="AG996" s="43" t="s">
        <v>4426</v>
      </c>
      <c r="AH996" s="66">
        <f t="shared" si="175"/>
        <v>0.59259259259259256</v>
      </c>
      <c r="AI996" s="283">
        <f>RTD("money.excel",,$G996,"PredictVolume")</f>
        <v>40</v>
      </c>
      <c r="AJ996" s="391">
        <f>IFERROR(VLOOKUP($G996,基本資料!$A:$M,13,0),"無")</f>
        <v>67.5</v>
      </c>
      <c r="AR996" s="245" t="str">
        <f>INDEX(基本資料!N:N,MATCH($G996,基本資料!A:A,0))</f>
        <v>低</v>
      </c>
    </row>
    <row r="997" spans="1:44">
      <c r="A997" s="343">
        <f>IFERROR(VLOOKUP($G997,基本資料!$A:$J,3,0),"無")</f>
        <v>4.22</v>
      </c>
      <c r="B997" s="79">
        <f>IFERROR(VLOOKUP($G997,基本資料!$A:$J,4,0),"無")</f>
        <v>17</v>
      </c>
      <c r="C997" s="79">
        <f>IFERROR(VLOOKUP($G997,基本資料!$A:$J,5,0),"無")</f>
        <v>10</v>
      </c>
      <c r="D997" s="79">
        <f>IFERROR(VLOOKUP($G997,基本資料!$A:$J,6,0),"無")</f>
        <v>12</v>
      </c>
      <c r="E997" s="79">
        <f>IFERROR(VLOOKUP($G997,基本資料!$A:$J,7,0),"無")</f>
        <v>22</v>
      </c>
      <c r="F997" s="6">
        <f>IFERROR(VLOOKUP($G997,基本資料!$A:$J,8,0),"無")</f>
        <v>12.09</v>
      </c>
      <c r="G997" s="79">
        <v>6417</v>
      </c>
      <c r="H997" s="8" t="s">
        <v>311</v>
      </c>
      <c r="I997" s="16" t="s">
        <v>4427</v>
      </c>
      <c r="J997" s="8" t="str">
        <f>IFERROR(VLOOKUP($G997,今日總結!$A:$AN,39,0),"")</f>
        <v/>
      </c>
      <c r="K997" s="5" t="str">
        <f>IFERROR(VLOOKUP($G997,今日總結!$A:$AN,40,0),"")</f>
        <v/>
      </c>
      <c r="L997" s="156" t="str">
        <f>IFERROR(VLOOKUP($G997,今日總結!$A:$AN,37,0),"")</f>
        <v/>
      </c>
      <c r="M997" s="337" t="str">
        <f>IFERROR(VLOOKUP($G997,今日總結!$A:$AN,38,0),"")</f>
        <v/>
      </c>
      <c r="N997" s="240" t="str">
        <f t="shared" si="180"/>
        <v/>
      </c>
      <c r="O997" s="359">
        <f>IFERROR(VLOOKUP($G997,融外自投!$A:$J,7,0),"無")</f>
        <v>149</v>
      </c>
      <c r="P997" s="79" t="str">
        <f>IFERROR(VLOOKUP($G997,融外自投!$A:$J,9,0),"無")</f>
        <v>無</v>
      </c>
      <c r="Q997" s="342">
        <f>IFERROR(VLOOKUP($G997,融外自投!$A:$J,8,0),"無")</f>
        <v>444</v>
      </c>
      <c r="R997" s="81" t="str">
        <f>IFERROR(VLOOKUP($G997,融外自投!$A:$J,10,0),"無")</f>
        <v>無</v>
      </c>
      <c r="S997" s="324" t="str">
        <f>IFERROR(VLOOKUP($G997,'321買'!$A:$E,4,0),"'沒有資料'")</f>
        <v>'沒有資料'</v>
      </c>
      <c r="T997" s="186">
        <f>IFERROR(VLOOKUP($G997,基本資料!$A:$J,9,0),"無")</f>
        <v>1.5</v>
      </c>
      <c r="U997" s="307">
        <f t="shared" si="176"/>
        <v>2.0134228187919462E-2</v>
      </c>
      <c r="V997" s="94">
        <f>IFERROR(VLOOKUP($G997,基本資料!$A:$J,10,0),"無")</f>
        <v>3.02</v>
      </c>
      <c r="W997" s="36">
        <f>RTD("money.excel",,"6417","Price")</f>
        <v>74.5</v>
      </c>
      <c r="X997" s="66"/>
      <c r="Y997" s="15">
        <f t="shared" si="177"/>
        <v>74.5</v>
      </c>
      <c r="Z997" s="3" t="e">
        <f t="shared" si="178"/>
        <v>#DIV/0!</v>
      </c>
      <c r="AA997" s="340">
        <f>IFERROR(VLOOKUP($G997,基本資料!$A:$M,11,0),"無")</f>
        <v>-9.6999999999999993</v>
      </c>
      <c r="AB997" s="389">
        <f>IFERROR(VLOOKUP($G997,基本資料!$A:$M,12,0),"無")</f>
        <v>26.11</v>
      </c>
      <c r="AC997" s="16" t="s">
        <v>4427</v>
      </c>
      <c r="AF997" s="33">
        <f t="shared" si="179"/>
        <v>0</v>
      </c>
      <c r="AG997" s="43" t="s">
        <v>2623</v>
      </c>
      <c r="AH997" s="66">
        <f t="shared" si="175"/>
        <v>8.3086053412462899</v>
      </c>
      <c r="AI997" s="283">
        <f>RTD("money.excel",,$G997,"PredictVolume")</f>
        <v>140</v>
      </c>
      <c r="AJ997" s="391">
        <f>IFERROR(VLOOKUP($G997,基本資料!$A:$M,13,0),"無")</f>
        <v>16.850000000000001</v>
      </c>
      <c r="AR997" s="245" t="str">
        <f>INDEX(基本資料!N:N,MATCH($G997,基本資料!A:A,0))</f>
        <v>高</v>
      </c>
    </row>
    <row r="998" spans="1:44">
      <c r="A998" s="343">
        <f>IFERROR(VLOOKUP($G998,基本資料!$A:$J,3,0),"無")</f>
        <v>3.85</v>
      </c>
      <c r="B998" s="79">
        <f>IFERROR(VLOOKUP($G998,基本資料!$A:$J,4,0),"無")</f>
        <v>-91</v>
      </c>
      <c r="C998" s="79">
        <f>IFERROR(VLOOKUP($G998,基本資料!$A:$J,5,0),"無")</f>
        <v>-93</v>
      </c>
      <c r="D998" s="79">
        <f>IFERROR(VLOOKUP($G998,基本資料!$A:$J,6,0),"無")</f>
        <v>-12</v>
      </c>
      <c r="E998" s="79">
        <f>IFERROR(VLOOKUP($G998,基本資料!$A:$J,7,0),"無")</f>
        <v>5</v>
      </c>
      <c r="F998" s="6">
        <f>IFERROR(VLOOKUP($G998,基本資料!$A:$J,8,0),"無")</f>
        <v>2.31</v>
      </c>
      <c r="G998" s="79">
        <v>6426</v>
      </c>
      <c r="H998" s="195" t="s">
        <v>311</v>
      </c>
      <c r="I998" s="22" t="s">
        <v>4428</v>
      </c>
      <c r="J998" s="8">
        <f>IFERROR(VLOOKUP($G998,今日總結!$A:$AN,39,0),"")</f>
        <v>0</v>
      </c>
      <c r="K998" s="5">
        <f>IFERROR(VLOOKUP($G998,今日總結!$A:$AN,40,0),"")</f>
        <v>0</v>
      </c>
      <c r="L998" s="156">
        <f>IFERROR(VLOOKUP($G998,今日總結!$A:$AN,37,0),"")</f>
        <v>0</v>
      </c>
      <c r="M998" s="337">
        <f>IFERROR(VLOOKUP($G998,今日總結!$A:$AN,38,0),"")</f>
        <v>0</v>
      </c>
      <c r="N998" s="240">
        <f t="shared" si="180"/>
        <v>0</v>
      </c>
      <c r="O998" s="359">
        <f>IFERROR(VLOOKUP($G998,融外自投!$A:$J,7,0),"無")</f>
        <v>226</v>
      </c>
      <c r="P998" s="79">
        <f>IFERROR(VLOOKUP($G998,融外自投!$A:$J,9,0),"無")</f>
        <v>596</v>
      </c>
      <c r="Q998" s="342">
        <f>IFERROR(VLOOKUP($G998,融外自投!$A:$J,8,0),"無")</f>
        <v>721</v>
      </c>
      <c r="R998" s="81" t="str">
        <f>IFERROR(VLOOKUP($G998,融外自投!$A:$J,10,0),"無")</f>
        <v>無</v>
      </c>
      <c r="S998" s="324">
        <f>IFERROR(VLOOKUP($G998,'321買'!$A:$E,4,0),"'沒有資料'")</f>
        <v>891</v>
      </c>
      <c r="T998" s="186">
        <f>IFERROR(VLOOKUP($G998,基本資料!$A:$J,9,0),"無")</f>
        <v>2</v>
      </c>
      <c r="U998" s="307">
        <f t="shared" si="176"/>
        <v>3.125E-2</v>
      </c>
      <c r="V998" s="94">
        <f>IFERROR(VLOOKUP($G998,基本資料!$A:$J,10,0),"無")</f>
        <v>0.3</v>
      </c>
      <c r="W998" s="36">
        <f>RTD("money.excel",,"6426","Price")</f>
        <v>64</v>
      </c>
      <c r="X998" s="66"/>
      <c r="Y998" s="15">
        <f t="shared" si="177"/>
        <v>64</v>
      </c>
      <c r="Z998" s="3" t="e">
        <f t="shared" si="178"/>
        <v>#DIV/0!</v>
      </c>
      <c r="AA998" s="340">
        <f>IFERROR(VLOOKUP($G998,基本資料!$A:$M,11,0),"無")</f>
        <v>-27.11</v>
      </c>
      <c r="AB998" s="389">
        <f>IFERROR(VLOOKUP($G998,基本資料!$A:$M,12,0),"無")</f>
        <v>19.12</v>
      </c>
      <c r="AC998" s="22" t="s">
        <v>4428</v>
      </c>
      <c r="AF998" s="33">
        <f t="shared" si="179"/>
        <v>0</v>
      </c>
      <c r="AG998" s="119" t="s">
        <v>4429</v>
      </c>
      <c r="AH998" s="66">
        <f t="shared" si="175"/>
        <v>1.3470319634703196</v>
      </c>
      <c r="AI998" s="283">
        <f>RTD("money.excel",,$G998,"PredictVolume")</f>
        <v>59</v>
      </c>
      <c r="AJ998" s="391">
        <f>IFERROR(VLOOKUP($G998,基本資料!$A:$M,13,0),"無")</f>
        <v>43.8</v>
      </c>
      <c r="AR998" s="245" t="str">
        <f>INDEX(基本資料!N:N,MATCH($G998,基本資料!A:A,0))</f>
        <v>中</v>
      </c>
    </row>
    <row r="999" spans="1:44">
      <c r="A999" s="343">
        <f>IFERROR(VLOOKUP($G999,基本資料!$A:$J,3,0),"無")</f>
        <v>6.93</v>
      </c>
      <c r="B999" s="79">
        <f>IFERROR(VLOOKUP($G999,基本資料!$A:$J,4,0),"無")</f>
        <v>371</v>
      </c>
      <c r="C999" s="79">
        <f>IFERROR(VLOOKUP($G999,基本資料!$A:$J,5,0),"無")</f>
        <v>562</v>
      </c>
      <c r="D999" s="79">
        <f>IFERROR(VLOOKUP($G999,基本資料!$A:$J,6,0),"無")</f>
        <v>-19</v>
      </c>
      <c r="E999" s="79">
        <f>IFERROR(VLOOKUP($G999,基本資料!$A:$J,7,0),"無")</f>
        <v>-12</v>
      </c>
      <c r="F999" s="6">
        <f>IFERROR(VLOOKUP($G999,基本資料!$A:$J,8,0),"無")</f>
        <v>6.43</v>
      </c>
      <c r="G999" s="79">
        <v>6442</v>
      </c>
      <c r="H999" s="8" t="s">
        <v>311</v>
      </c>
      <c r="I999" s="22" t="s">
        <v>4430</v>
      </c>
      <c r="J999" s="8">
        <f>IFERROR(VLOOKUP($G999,今日總結!$A:$AN,39,0),"")</f>
        <v>0</v>
      </c>
      <c r="K999" s="5">
        <f>IFERROR(VLOOKUP($G999,今日總結!$A:$AN,40,0),"")</f>
        <v>0</v>
      </c>
      <c r="L999" s="156">
        <f>IFERROR(VLOOKUP($G999,今日總結!$A:$AN,37,0),"")</f>
        <v>0</v>
      </c>
      <c r="M999" s="337">
        <f>IFERROR(VLOOKUP($G999,今日總結!$A:$AN,38,0),"")</f>
        <v>0</v>
      </c>
      <c r="N999" s="240">
        <f t="shared" si="180"/>
        <v>0</v>
      </c>
      <c r="O999" s="359">
        <f>IFERROR(VLOOKUP($G999,融外自投!$A:$J,7,0),"無")</f>
        <v>500</v>
      </c>
      <c r="P999" s="79">
        <f>IFERROR(VLOOKUP($G999,融外自投!$A:$J,9,0),"無")</f>
        <v>990</v>
      </c>
      <c r="Q999" s="342">
        <f>IFERROR(VLOOKUP($G999,融外自投!$A:$J,8,0),"無")</f>
        <v>156</v>
      </c>
      <c r="R999" s="81" t="str">
        <f>IFERROR(VLOOKUP($G999,融外自投!$A:$J,10,0),"無")</f>
        <v>無</v>
      </c>
      <c r="S999" s="324">
        <f>IFERROR(VLOOKUP($G999,'321買'!$A:$E,4,0),"'沒有資料'")</f>
        <v>1002</v>
      </c>
      <c r="T999" s="186">
        <f>IFERROR(VLOOKUP($G999,基本資料!$A:$J,9,0),"無")</f>
        <v>1.2</v>
      </c>
      <c r="U999" s="307">
        <f t="shared" si="176"/>
        <v>3.2697547683923703E-2</v>
      </c>
      <c r="V999" s="94">
        <f>IFERROR(VLOOKUP($G999,基本資料!$A:$J,10,0),"無")</f>
        <v>1.56</v>
      </c>
      <c r="W999" s="36">
        <f>RTD("money.excel",,"6442","Price")</f>
        <v>36.700000000000003</v>
      </c>
      <c r="X999" s="66"/>
      <c r="Y999" s="15">
        <f t="shared" si="177"/>
        <v>36.700000000000003</v>
      </c>
      <c r="Z999" s="3" t="e">
        <f t="shared" si="178"/>
        <v>#DIV/0!</v>
      </c>
      <c r="AA999" s="340">
        <f>IFERROR(VLOOKUP($G999,基本資料!$A:$M,11,0),"無")</f>
        <v>-15.92</v>
      </c>
      <c r="AB999" s="389">
        <f>IFERROR(VLOOKUP($G999,基本資料!$A:$M,12,0),"無")</f>
        <v>33.700000000000003</v>
      </c>
      <c r="AC999" s="22" t="s">
        <v>4430</v>
      </c>
      <c r="AF999" s="33">
        <f t="shared" si="179"/>
        <v>0</v>
      </c>
      <c r="AG999" s="43" t="s">
        <v>1902</v>
      </c>
      <c r="AH999" s="66">
        <f t="shared" si="175"/>
        <v>0.35182679296346414</v>
      </c>
      <c r="AI999" s="283">
        <f>RTD("money.excel",,$G999,"PredictVolume")</f>
        <v>26</v>
      </c>
      <c r="AJ999" s="391">
        <f>IFERROR(VLOOKUP($G999,基本資料!$A:$M,13,0),"無")</f>
        <v>73.900000000000006</v>
      </c>
      <c r="AR999" s="245" t="str">
        <f>INDEX(基本資料!N:N,MATCH($G999,基本資料!A:A,0))</f>
        <v>中</v>
      </c>
    </row>
    <row r="1000" spans="1:44">
      <c r="A1000" s="343">
        <f>IFERROR(VLOOKUP($G1000,基本資料!$A:$J,3,0),"無")</f>
        <v>3.26</v>
      </c>
      <c r="B1000" s="79">
        <f>IFERROR(VLOOKUP($G1000,基本資料!$A:$J,4,0),"無")</f>
        <v>-28</v>
      </c>
      <c r="C1000" s="79">
        <f>IFERROR(VLOOKUP($G1000,基本資料!$A:$J,5,0),"無")</f>
        <v>-43</v>
      </c>
      <c r="D1000" s="79">
        <f>IFERROR(VLOOKUP($G1000,基本資料!$A:$J,6,0),"無")</f>
        <v>23</v>
      </c>
      <c r="E1000" s="79">
        <f>IFERROR(VLOOKUP($G1000,基本資料!$A:$J,7,0),"無")</f>
        <v>96</v>
      </c>
      <c r="F1000" s="6">
        <f>IFERROR(VLOOKUP($G1000,基本資料!$A:$J,8,0),"無")</f>
        <v>7.96</v>
      </c>
      <c r="G1000" s="79">
        <v>6470</v>
      </c>
      <c r="H1000" s="8" t="s">
        <v>311</v>
      </c>
      <c r="I1000" s="16" t="s">
        <v>4431</v>
      </c>
      <c r="J1000" s="8">
        <f>IFERROR(VLOOKUP($G1000,今日總結!$A:$AN,39,0),"")</f>
        <v>23</v>
      </c>
      <c r="K1000" s="5" t="str">
        <f>IFERROR(VLOOKUP($G1000,今日總結!$A:$AN,40,0),"")</f>
        <v>47借</v>
      </c>
      <c r="L1000" s="156">
        <f>IFERROR(VLOOKUP($G1000,今日總結!$A:$AN,37,0),"")</f>
        <v>2</v>
      </c>
      <c r="M1000" s="337">
        <f>IFERROR(VLOOKUP($G1000,今日總結!$A:$AN,38,0),"")</f>
        <v>6</v>
      </c>
      <c r="N1000" s="240">
        <f t="shared" si="180"/>
        <v>-4</v>
      </c>
      <c r="O1000" s="359">
        <f>IFERROR(VLOOKUP($G1000,融外自投!$A:$J,7,0),"無")</f>
        <v>12</v>
      </c>
      <c r="P1000" s="79">
        <f>IFERROR(VLOOKUP($G1000,融外自投!$A:$J,9,0),"無")</f>
        <v>990</v>
      </c>
      <c r="Q1000" s="342">
        <f>IFERROR(VLOOKUP($G1000,融外自投!$A:$J,8,0),"無")</f>
        <v>687</v>
      </c>
      <c r="R1000" s="81">
        <f>IFERROR(VLOOKUP($G1000,融外自投!$A:$J,10,0),"無")</f>
        <v>122</v>
      </c>
      <c r="S1000" s="324">
        <f>IFERROR(VLOOKUP($G1000,'321買'!$A:$E,4,0),"'沒有資料'")</f>
        <v>366</v>
      </c>
      <c r="T1000" s="186">
        <f>IFERROR(VLOOKUP($G1000,基本資料!$A:$J,9,0),"無")</f>
        <v>2.7</v>
      </c>
      <c r="U1000" s="307">
        <f t="shared" si="176"/>
        <v>4.2319749216300946E-2</v>
      </c>
      <c r="V1000" s="94">
        <f>IFERROR(VLOOKUP($G1000,基本資料!$A:$J,10,0),"無")</f>
        <v>3.42</v>
      </c>
      <c r="W1000" s="36">
        <f>RTD("money.excel",,"6470","Price")</f>
        <v>63.8</v>
      </c>
      <c r="X1000" s="66"/>
      <c r="Y1000" s="15">
        <f t="shared" si="177"/>
        <v>63.8</v>
      </c>
      <c r="Z1000" s="3" t="e">
        <f t="shared" si="178"/>
        <v>#DIV/0!</v>
      </c>
      <c r="AA1000" s="340">
        <f>IFERROR(VLOOKUP($G1000,基本資料!$A:$M,11,0),"無")</f>
        <v>-3.33</v>
      </c>
      <c r="AB1000" s="389">
        <f>IFERROR(VLOOKUP($G1000,基本資料!$A:$M,12,0),"無")</f>
        <v>80.59</v>
      </c>
      <c r="AC1000" s="16" t="s">
        <v>4431</v>
      </c>
      <c r="AF1000" s="33">
        <f t="shared" si="179"/>
        <v>0</v>
      </c>
      <c r="AG1000" s="43" t="s">
        <v>4432</v>
      </c>
      <c r="AH1000" s="66">
        <f t="shared" si="175"/>
        <v>2.1250492517595432</v>
      </c>
      <c r="AI1000" s="283">
        <f>RTD("money.excel",,$G1000,"PredictVolume")</f>
        <v>13753</v>
      </c>
      <c r="AJ1000" s="391">
        <f>IFERROR(VLOOKUP($G1000,基本資料!$A:$M,13,0),"無")</f>
        <v>6471.85</v>
      </c>
      <c r="AR1000" s="245" t="str">
        <f>INDEX(基本資料!N:N,MATCH($G1000,基本資料!A:A,0))</f>
        <v>高</v>
      </c>
    </row>
    <row r="1001" spans="1:44">
      <c r="A1001" s="343">
        <f>IFERROR(VLOOKUP($G1001,基本資料!$A:$J,3,0),"無")</f>
        <v>3.93</v>
      </c>
      <c r="B1001" s="79">
        <f>IFERROR(VLOOKUP($G1001,基本資料!$A:$J,4,0),"無")</f>
        <v>11</v>
      </c>
      <c r="C1001" s="79">
        <f>IFERROR(VLOOKUP($G1001,基本資料!$A:$J,5,0),"無")</f>
        <v>9</v>
      </c>
      <c r="D1001" s="79">
        <f>IFERROR(VLOOKUP($G1001,基本資料!$A:$J,6,0),"無")</f>
        <v>-26</v>
      </c>
      <c r="E1001" s="79">
        <f>IFERROR(VLOOKUP($G1001,基本資料!$A:$J,7,0),"無")</f>
        <v>-20</v>
      </c>
      <c r="F1001" s="6">
        <f>IFERROR(VLOOKUP($G1001,基本資料!$A:$J,8,0),"無")</f>
        <v>16.03</v>
      </c>
      <c r="G1001" s="79">
        <v>6486</v>
      </c>
      <c r="H1001" s="8" t="s">
        <v>311</v>
      </c>
      <c r="I1001" s="16" t="s">
        <v>4433</v>
      </c>
      <c r="J1001" s="8">
        <f>IFERROR(VLOOKUP($G1001,今日總結!$A:$AN,39,0),"")</f>
        <v>0</v>
      </c>
      <c r="K1001" s="5">
        <f>IFERROR(VLOOKUP($G1001,今日總結!$A:$AN,40,0),"")</f>
        <v>0</v>
      </c>
      <c r="L1001" s="156">
        <f>IFERROR(VLOOKUP($G1001,今日總結!$A:$AN,37,0),"")</f>
        <v>0</v>
      </c>
      <c r="M1001" s="337">
        <f>IFERROR(VLOOKUP($G1001,今日總結!$A:$AN,38,0),"")</f>
        <v>0</v>
      </c>
      <c r="N1001" s="240">
        <f t="shared" si="180"/>
        <v>0</v>
      </c>
      <c r="O1001" s="359">
        <f>IFERROR(VLOOKUP($G1001,融外自投!$A:$J,7,0),"無")</f>
        <v>929</v>
      </c>
      <c r="P1001" s="79" t="str">
        <f>IFERROR(VLOOKUP($G1001,融外自投!$A:$J,9,0),"無")</f>
        <v>無</v>
      </c>
      <c r="Q1001" s="342">
        <f>IFERROR(VLOOKUP($G1001,融外自投!$A:$J,8,0),"無")</f>
        <v>1252</v>
      </c>
      <c r="R1001" s="81" t="str">
        <f>IFERROR(VLOOKUP($G1001,融外自投!$A:$J,10,0),"無")</f>
        <v>無</v>
      </c>
      <c r="S1001" s="324">
        <f>IFERROR(VLOOKUP($G1001,'321買'!$A:$E,4,0),"'沒有資料'")</f>
        <v>1002</v>
      </c>
      <c r="T1001" s="186">
        <f>IFERROR(VLOOKUP($G1001,基本資料!$A:$J,9,0),"無")</f>
        <v>6.5</v>
      </c>
      <c r="U1001" s="307">
        <f t="shared" si="176"/>
        <v>9.0027700831024932E-2</v>
      </c>
      <c r="V1001" s="94">
        <f>IFERROR(VLOOKUP($G1001,基本資料!$A:$J,10,0),"無")</f>
        <v>6.73</v>
      </c>
      <c r="W1001" s="36">
        <f>RTD("money.excel",,"6486","Price")</f>
        <v>72.2</v>
      </c>
      <c r="X1001" s="66"/>
      <c r="Y1001" s="15">
        <f t="shared" si="177"/>
        <v>72.2</v>
      </c>
      <c r="Z1001" s="3" t="e">
        <f t="shared" si="178"/>
        <v>#DIV/0!</v>
      </c>
      <c r="AA1001" s="340">
        <f>IFERROR(VLOOKUP($G1001,基本資料!$A:$M,11,0),"無")</f>
        <v>-11.3</v>
      </c>
      <c r="AB1001" s="389">
        <f>IFERROR(VLOOKUP($G1001,基本資料!$A:$M,12,0),"無")</f>
        <v>21.91</v>
      </c>
      <c r="AC1001" s="16" t="s">
        <v>4433</v>
      </c>
      <c r="AF1001" s="33">
        <f t="shared" si="179"/>
        <v>0</v>
      </c>
      <c r="AG1001" s="43" t="s">
        <v>4434</v>
      </c>
      <c r="AH1001" s="66">
        <f t="shared" si="175"/>
        <v>0.82794307891332475</v>
      </c>
      <c r="AI1001" s="283">
        <f>RTD("money.excel",,$G1001,"PredictVolume")</f>
        <v>32</v>
      </c>
      <c r="AJ1001" s="391">
        <f>IFERROR(VLOOKUP($G1001,基本資料!$A:$M,13,0),"無")</f>
        <v>38.65</v>
      </c>
      <c r="AR1001" s="245" t="str">
        <f>INDEX(基本資料!N:N,MATCH($G1001,基本資料!A:A,0))</f>
        <v>低</v>
      </c>
    </row>
    <row r="1002" spans="1:44">
      <c r="A1002" s="343">
        <f>IFERROR(VLOOKUP($G1002,基本資料!$A:$J,3,0),"無")</f>
        <v>3</v>
      </c>
      <c r="B1002" s="79">
        <f>IFERROR(VLOOKUP($G1002,基本資料!$A:$J,4,0),"無")</f>
        <v>48</v>
      </c>
      <c r="C1002" s="79">
        <f>IFERROR(VLOOKUP($G1002,基本資料!$A:$J,5,0),"無")</f>
        <v>30</v>
      </c>
      <c r="D1002" s="79">
        <f>IFERROR(VLOOKUP($G1002,基本資料!$A:$J,6,0),"無")</f>
        <v>-91</v>
      </c>
      <c r="E1002" s="79">
        <f>IFERROR(VLOOKUP($G1002,基本資料!$A:$J,7,0),"無")</f>
        <v>-91</v>
      </c>
      <c r="F1002" s="6">
        <f>IFERROR(VLOOKUP($G1002,基本資料!$A:$J,8,0),"無")</f>
        <v>14.05</v>
      </c>
      <c r="G1002" s="79">
        <v>6514</v>
      </c>
      <c r="H1002" s="8" t="s">
        <v>311</v>
      </c>
      <c r="I1002" s="16" t="s">
        <v>4435</v>
      </c>
      <c r="J1002" s="8" t="str">
        <f>IFERROR(VLOOKUP($G1002,今日總結!$A:$AN,39,0),"")</f>
        <v>主</v>
      </c>
      <c r="K1002" s="5">
        <f>IFERROR(VLOOKUP($G1002,今日總結!$A:$AN,40,0),"")</f>
        <v>0</v>
      </c>
      <c r="L1002" s="156">
        <f>IFERROR(VLOOKUP($G1002,今日總結!$A:$AN,37,0),"")</f>
        <v>1</v>
      </c>
      <c r="M1002" s="337">
        <f>IFERROR(VLOOKUP($G1002,今日總結!$A:$AN,38,0),"")</f>
        <v>0</v>
      </c>
      <c r="N1002" s="240">
        <f t="shared" si="180"/>
        <v>1</v>
      </c>
      <c r="O1002" s="359">
        <f>IFERROR(VLOOKUP($G1002,融外自投!$A:$J,7,0),"無")</f>
        <v>306</v>
      </c>
      <c r="P1002" s="79" t="str">
        <f>IFERROR(VLOOKUP($G1002,融外自投!$A:$J,9,0),"無")</f>
        <v>無</v>
      </c>
      <c r="Q1002" s="342">
        <f>IFERROR(VLOOKUP($G1002,融外自投!$A:$J,8,0),"無")</f>
        <v>56</v>
      </c>
      <c r="R1002" s="81">
        <f>IFERROR(VLOOKUP($G1002,融外自投!$A:$J,10,0),"無")</f>
        <v>314</v>
      </c>
      <c r="S1002" s="324">
        <f>IFERROR(VLOOKUP($G1002,'321買'!$A:$E,4,0),"'沒有資料'")</f>
        <v>321</v>
      </c>
      <c r="T1002" s="186">
        <f>IFERROR(VLOOKUP($G1002,基本資料!$A:$J,9,0),"無")</f>
        <v>3.2</v>
      </c>
      <c r="U1002" s="307">
        <f t="shared" si="176"/>
        <v>4.8854961832061068E-2</v>
      </c>
      <c r="V1002" s="94">
        <f>IFERROR(VLOOKUP($G1002,基本資料!$A:$J,10,0),"無")</f>
        <v>3.1</v>
      </c>
      <c r="W1002" s="36">
        <f>RTD("money.excel",,"6514","Price")</f>
        <v>65.5</v>
      </c>
      <c r="X1002" s="66"/>
      <c r="Y1002" s="15">
        <f t="shared" si="177"/>
        <v>65.5</v>
      </c>
      <c r="Z1002" s="3" t="e">
        <f t="shared" si="178"/>
        <v>#DIV/0!</v>
      </c>
      <c r="AA1002" s="340">
        <f>IFERROR(VLOOKUP($G1002,基本資料!$A:$M,11,0),"無")</f>
        <v>-29.42</v>
      </c>
      <c r="AB1002" s="389">
        <f>IFERROR(VLOOKUP($G1002,基本資料!$A:$M,12,0),"無")</f>
        <v>38.619999999999997</v>
      </c>
      <c r="AC1002" s="16" t="s">
        <v>4435</v>
      </c>
      <c r="AF1002" s="33">
        <f t="shared" si="179"/>
        <v>0</v>
      </c>
      <c r="AG1002" s="43" t="s">
        <v>4436</v>
      </c>
      <c r="AH1002" s="66">
        <f t="shared" si="175"/>
        <v>0.70372259051504338</v>
      </c>
      <c r="AI1002" s="283">
        <f>RTD("money.excel",,$G1002,"PredictVolume")</f>
        <v>207</v>
      </c>
      <c r="AJ1002" s="391">
        <f>IFERROR(VLOOKUP($G1002,基本資料!$A:$M,13,0),"無")</f>
        <v>294.14999999999998</v>
      </c>
      <c r="AR1002" s="245" t="str">
        <f>INDEX(基本資料!N:N,MATCH($G1002,基本資料!A:A,0))</f>
        <v>中</v>
      </c>
    </row>
    <row r="1003" spans="1:44">
      <c r="A1003" s="343">
        <f>IFERROR(VLOOKUP($G1003,基本資料!$A:$J,3,0),"無")</f>
        <v>3.37</v>
      </c>
      <c r="B1003" s="79">
        <f>IFERROR(VLOOKUP($G1003,基本資料!$A:$J,4,0),"無")</f>
        <v>42</v>
      </c>
      <c r="C1003" s="79">
        <f>IFERROR(VLOOKUP($G1003,基本資料!$A:$J,5,0),"無")</f>
        <v>40</v>
      </c>
      <c r="D1003" s="79">
        <f>IFERROR(VLOOKUP($G1003,基本資料!$A:$J,6,0),"無")</f>
        <v>-17</v>
      </c>
      <c r="E1003" s="79">
        <f>IFERROR(VLOOKUP($G1003,基本資料!$A:$J,7,0),"無")</f>
        <v>-1</v>
      </c>
      <c r="F1003" s="6">
        <f>IFERROR(VLOOKUP($G1003,基本資料!$A:$J,8,0),"無")</f>
        <v>17.010000000000002</v>
      </c>
      <c r="G1003" s="79">
        <v>6530</v>
      </c>
      <c r="H1003" s="8" t="s">
        <v>311</v>
      </c>
      <c r="I1003" s="16" t="s">
        <v>4437</v>
      </c>
      <c r="J1003" s="8">
        <f>IFERROR(VLOOKUP($G1003,今日總結!$A:$AN,39,0),"")</f>
        <v>0</v>
      </c>
      <c r="K1003" s="5">
        <f>IFERROR(VLOOKUP($G1003,今日總結!$A:$AN,40,0),"")</f>
        <v>0</v>
      </c>
      <c r="L1003" s="156">
        <f>IFERROR(VLOOKUP($G1003,今日總結!$A:$AN,37,0),"")</f>
        <v>0</v>
      </c>
      <c r="M1003" s="337">
        <f>IFERROR(VLOOKUP($G1003,今日總結!$A:$AN,38,0),"")</f>
        <v>0</v>
      </c>
      <c r="N1003" s="240">
        <f t="shared" si="180"/>
        <v>0</v>
      </c>
      <c r="O1003" s="359">
        <f>IFERROR(VLOOKUP($G1003,融外自投!$A:$J,7,0),"無")</f>
        <v>518</v>
      </c>
      <c r="P1003" s="79">
        <f>IFERROR(VLOOKUP($G1003,融外自投!$A:$J,9,0),"無")</f>
        <v>946</v>
      </c>
      <c r="Q1003" s="342">
        <f>IFERROR(VLOOKUP($G1003,融外自投!$A:$J,8,0),"無")</f>
        <v>1216</v>
      </c>
      <c r="R1003" s="81" t="str">
        <f>IFERROR(VLOOKUP($G1003,融外自投!$A:$J,10,0),"無")</f>
        <v>無</v>
      </c>
      <c r="S1003" s="324">
        <f>IFERROR(VLOOKUP($G1003,'321買'!$A:$E,4,0),"'沒有資料'")</f>
        <v>530</v>
      </c>
      <c r="T1003" s="186">
        <f>IFERROR(VLOOKUP($G1003,基本資料!$A:$J,9,0),"無")</f>
        <v>1.1000000000000001</v>
      </c>
      <c r="U1003" s="307">
        <f t="shared" si="176"/>
        <v>5.4054054054054057E-2</v>
      </c>
      <c r="V1003" s="94">
        <f>IFERROR(VLOOKUP($G1003,基本資料!$A:$J,10,0),"無")</f>
        <v>1.0900000000000001</v>
      </c>
      <c r="W1003" s="36">
        <f>RTD("money.excel",,"6530","Price")</f>
        <v>20.350000000000001</v>
      </c>
      <c r="X1003" s="66"/>
      <c r="Y1003" s="15">
        <f t="shared" si="177"/>
        <v>20.350000000000001</v>
      </c>
      <c r="Z1003" s="3" t="e">
        <f t="shared" si="178"/>
        <v>#DIV/0!</v>
      </c>
      <c r="AA1003" s="340">
        <f>IFERROR(VLOOKUP($G1003,基本資料!$A:$M,11,0),"無")</f>
        <v>-36.9</v>
      </c>
      <c r="AB1003" s="389">
        <f>IFERROR(VLOOKUP($G1003,基本資料!$A:$M,12,0),"無")</f>
        <v>30.79</v>
      </c>
      <c r="AC1003" s="16" t="s">
        <v>4437</v>
      </c>
      <c r="AF1003" s="33">
        <f t="shared" si="179"/>
        <v>0</v>
      </c>
      <c r="AG1003" s="43" t="s">
        <v>4356</v>
      </c>
      <c r="AH1003" s="66">
        <f t="shared" si="175"/>
        <v>0.18373909049150206</v>
      </c>
      <c r="AI1003" s="283">
        <f>RTD("money.excel",,$G1003,"PredictVolume")</f>
        <v>100</v>
      </c>
      <c r="AJ1003" s="391">
        <f>IFERROR(VLOOKUP($G1003,基本資料!$A:$M,13,0),"無")</f>
        <v>544.25</v>
      </c>
      <c r="AR1003" s="245" t="str">
        <f>INDEX(基本資料!N:N,MATCH($G1003,基本資料!A:A,0))</f>
        <v>低</v>
      </c>
    </row>
    <row r="1004" spans="1:44">
      <c r="A1004" s="343" t="str">
        <f>IFERROR(VLOOKUP($G1004,基本資料!$A:$J,3,0),"無")</f>
        <v>無</v>
      </c>
      <c r="B1004" s="79" t="str">
        <f>IFERROR(VLOOKUP($G1004,基本資料!$A:$J,4,0),"無")</f>
        <v>無</v>
      </c>
      <c r="C1004" s="79" t="str">
        <f>IFERROR(VLOOKUP($G1004,基本資料!$A:$J,5,0),"無")</f>
        <v>無</v>
      </c>
      <c r="D1004" s="79" t="str">
        <f>IFERROR(VLOOKUP($G1004,基本資料!$A:$J,6,0),"無")</f>
        <v>無</v>
      </c>
      <c r="E1004" s="79" t="str">
        <f>IFERROR(VLOOKUP($G1004,基本資料!$A:$J,7,0),"無")</f>
        <v>無</v>
      </c>
      <c r="F1004" s="6" t="str">
        <f>IFERROR(VLOOKUP($G1004,基本資料!$A:$J,8,0),"無")</f>
        <v>無</v>
      </c>
      <c r="G1004" s="79">
        <v>6546</v>
      </c>
      <c r="H1004" s="8" t="s">
        <v>311</v>
      </c>
      <c r="I1004" s="16" t="s">
        <v>6705</v>
      </c>
      <c r="J1004" s="8" t="str">
        <f>IFERROR(VLOOKUP($G1004,今日總結!$A:$AN,39,0),"")</f>
        <v/>
      </c>
      <c r="K1004" s="5" t="str">
        <f>IFERROR(VLOOKUP($G1004,今日總結!$A:$AN,40,0),"")</f>
        <v/>
      </c>
      <c r="L1004" s="156" t="str">
        <f>IFERROR(VLOOKUP($G1004,今日總結!$A:$AN,37,0),"")</f>
        <v/>
      </c>
      <c r="M1004" s="337" t="str">
        <f>IFERROR(VLOOKUP($G1004,今日總結!$A:$AN,38,0),"")</f>
        <v/>
      </c>
      <c r="N1004" s="240" t="str">
        <f t="shared" ref="N1004" si="181">IFERROR(L1004-M1004,"")</f>
        <v/>
      </c>
      <c r="O1004" s="359" t="str">
        <f>IFERROR(VLOOKUP($G1004,融外自投!$A:$J,7,0),"無")</f>
        <v>無</v>
      </c>
      <c r="P1004" s="79" t="str">
        <f>IFERROR(VLOOKUP($G1004,融外自投!$A:$J,9,0),"無")</f>
        <v>無</v>
      </c>
      <c r="Q1004" s="342" t="str">
        <f>IFERROR(VLOOKUP($G1004,融外自投!$A:$J,8,0),"無")</f>
        <v>無</v>
      </c>
      <c r="R1004" s="81" t="str">
        <f>IFERROR(VLOOKUP($G1004,融外自投!$A:$J,10,0),"無")</f>
        <v>無</v>
      </c>
      <c r="S1004" s="324" t="str">
        <f>IFERROR(VLOOKUP($G1004,'321買'!$A:$E,4,0),"'沒有資料'")</f>
        <v>'沒有資料'</v>
      </c>
      <c r="T1004" s="186" t="str">
        <f>IFERROR(VLOOKUP($G1004,基本資料!$A:$J,9,0),"無")</f>
        <v>無</v>
      </c>
      <c r="U1004" s="307" t="e">
        <f t="shared" si="176"/>
        <v>#VALUE!</v>
      </c>
      <c r="V1004" s="94" t="str">
        <f>IFERROR(VLOOKUP($G1004,基本資料!$A:$J,10,0),"無")</f>
        <v>無</v>
      </c>
      <c r="W1004" s="36">
        <f>RTD("money.excel",,"6546","Price")</f>
        <v>113</v>
      </c>
      <c r="X1004" s="66"/>
      <c r="Y1004" s="15">
        <f t="shared" ref="Y1004" si="182">W1004-X1004</f>
        <v>113</v>
      </c>
      <c r="Z1004" s="3" t="e">
        <f t="shared" ref="Z1004" si="183">Y1004/X1004</f>
        <v>#DIV/0!</v>
      </c>
      <c r="AA1004" s="340" t="str">
        <f>IFERROR(VLOOKUP($G1004,基本資料!$A:$M,11,0),"無")</f>
        <v>無</v>
      </c>
      <c r="AB1004" s="389" t="str">
        <f>IFERROR(VLOOKUP($G1004,基本資料!$A:$M,12,0),"無")</f>
        <v>無</v>
      </c>
      <c r="AC1004" s="16" t="s">
        <v>6705</v>
      </c>
      <c r="AF1004" s="33">
        <f t="shared" ref="AF1004" si="184">AE1004-AD1004</f>
        <v>0</v>
      </c>
      <c r="AG1004" s="43" t="s">
        <v>6706</v>
      </c>
      <c r="AH1004" s="66" t="e">
        <f t="shared" ref="AH1004" si="185">AI1004/AJ1004</f>
        <v>#VALUE!</v>
      </c>
      <c r="AI1004" s="283">
        <f>RTD("money.excel",,$G1004,"PredictVolume")</f>
        <v>149</v>
      </c>
      <c r="AJ1004" s="391" t="str">
        <f>IFERROR(VLOOKUP($G1004,基本資料!$A:$M,13,0),"無")</f>
        <v>無</v>
      </c>
      <c r="AR1004" s="245" t="e">
        <f>INDEX(基本資料!N:N,MATCH($G1004,基本資料!A:A,0))</f>
        <v>#N/A</v>
      </c>
    </row>
    <row r="1005" spans="1:44">
      <c r="A1005" s="343">
        <f>IFERROR(VLOOKUP($G1005,基本資料!$A:$J,3,0),"無")</f>
        <v>7.06</v>
      </c>
      <c r="B1005" s="79">
        <f>IFERROR(VLOOKUP($G1005,基本資料!$A:$J,4,0),"無")</f>
        <v>12</v>
      </c>
      <c r="C1005" s="79">
        <f>IFERROR(VLOOKUP($G1005,基本資料!$A:$J,5,0),"無")</f>
        <v>12</v>
      </c>
      <c r="D1005" s="79">
        <f>IFERROR(VLOOKUP($G1005,基本資料!$A:$J,6,0),"無")</f>
        <v>-6</v>
      </c>
      <c r="E1005" s="79">
        <f>IFERROR(VLOOKUP($G1005,基本資料!$A:$J,7,0),"無")</f>
        <v>6</v>
      </c>
      <c r="F1005" s="6">
        <f>IFERROR(VLOOKUP($G1005,基本資料!$A:$J,8,0),"無")</f>
        <v>31.09</v>
      </c>
      <c r="G1005" s="79">
        <v>6561</v>
      </c>
      <c r="H1005" s="8" t="s">
        <v>311</v>
      </c>
      <c r="I1005" s="16" t="s">
        <v>4438</v>
      </c>
      <c r="J1005" s="8">
        <f>IFERROR(VLOOKUP($G1005,今日總結!$A:$AN,39,0),"")</f>
        <v>0</v>
      </c>
      <c r="K1005" s="5">
        <f>IFERROR(VLOOKUP($G1005,今日總結!$A:$AN,40,0),"")</f>
        <v>0</v>
      </c>
      <c r="L1005" s="156">
        <f>IFERROR(VLOOKUP($G1005,今日總結!$A:$AN,37,0),"")</f>
        <v>0</v>
      </c>
      <c r="M1005" s="337">
        <f>IFERROR(VLOOKUP($G1005,今日總結!$A:$AN,38,0),"")</f>
        <v>0</v>
      </c>
      <c r="N1005" s="240">
        <f t="shared" si="180"/>
        <v>0</v>
      </c>
      <c r="O1005" s="359">
        <f>IFERROR(VLOOKUP($G1005,融外自投!$A:$J,7,0),"無")</f>
        <v>1246</v>
      </c>
      <c r="P1005" s="79">
        <f>IFERROR(VLOOKUP($G1005,融外自投!$A:$J,9,0),"無")</f>
        <v>990</v>
      </c>
      <c r="Q1005" s="342">
        <f>IFERROR(VLOOKUP($G1005,融外自投!$A:$J,8,0),"無")</f>
        <v>404</v>
      </c>
      <c r="R1005" s="81">
        <f>IFERROR(VLOOKUP($G1005,融外自投!$A:$J,10,0),"無")</f>
        <v>369</v>
      </c>
      <c r="S1005" s="324">
        <f>IFERROR(VLOOKUP($G1005,'321買'!$A:$E,4,0),"'沒有資料'")</f>
        <v>1002</v>
      </c>
      <c r="T1005" s="186">
        <f>IFERROR(VLOOKUP($G1005,基本資料!$A:$J,9,0),"無")</f>
        <v>9.3000000000000007</v>
      </c>
      <c r="U1005" s="307">
        <f t="shared" si="176"/>
        <v>3.2920353982300886E-2</v>
      </c>
      <c r="V1005" s="94">
        <f>IFERROR(VLOOKUP($G1005,基本資料!$A:$J,10,0),"無")</f>
        <v>9.75</v>
      </c>
      <c r="W1005" s="36">
        <f>RTD("money.excel",,"6561","Price")</f>
        <v>282.5</v>
      </c>
      <c r="X1005" s="66"/>
      <c r="Y1005" s="15">
        <f t="shared" si="177"/>
        <v>282.5</v>
      </c>
      <c r="Z1005" s="3" t="e">
        <f t="shared" si="178"/>
        <v>#DIV/0!</v>
      </c>
      <c r="AA1005" s="340">
        <f>IFERROR(VLOOKUP($G1005,基本資料!$A:$M,11,0),"無")</f>
        <v>-9.16</v>
      </c>
      <c r="AB1005" s="389">
        <f>IFERROR(VLOOKUP($G1005,基本資料!$A:$M,12,0),"無")</f>
        <v>64.61</v>
      </c>
      <c r="AC1005" s="16" t="s">
        <v>4438</v>
      </c>
      <c r="AF1005" s="33">
        <f t="shared" si="179"/>
        <v>0</v>
      </c>
      <c r="AG1005" s="43" t="s">
        <v>4439</v>
      </c>
      <c r="AH1005" s="66">
        <f t="shared" si="175"/>
        <v>0.7748184019370461</v>
      </c>
      <c r="AI1005" s="283">
        <f>RTD("money.excel",,$G1005,"PredictVolume")</f>
        <v>32</v>
      </c>
      <c r="AJ1005" s="391">
        <f>IFERROR(VLOOKUP($G1005,基本資料!$A:$M,13,0),"無")</f>
        <v>41.3</v>
      </c>
      <c r="AR1005" s="245" t="str">
        <f>INDEX(基本資料!N:N,MATCH($G1005,基本資料!A:A,0))</f>
        <v>中</v>
      </c>
    </row>
    <row r="1006" spans="1:44">
      <c r="A1006" s="343">
        <f>IFERROR(VLOOKUP($G1006,基本資料!$A:$J,3,0),"無")</f>
        <v>2.67</v>
      </c>
      <c r="B1006" s="79">
        <f>IFERROR(VLOOKUP($G1006,基本資料!$A:$J,4,0),"無")</f>
        <v>-76</v>
      </c>
      <c r="C1006" s="79">
        <f>IFERROR(VLOOKUP($G1006,基本資料!$A:$J,5,0),"無")</f>
        <v>-79</v>
      </c>
      <c r="D1006" s="79">
        <f>IFERROR(VLOOKUP($G1006,基本資料!$A:$J,6,0),"無")</f>
        <v>-8</v>
      </c>
      <c r="E1006" s="79">
        <f>IFERROR(VLOOKUP($G1006,基本資料!$A:$J,7,0),"無")</f>
        <v>28</v>
      </c>
      <c r="F1006" s="6">
        <f>IFERROR(VLOOKUP($G1006,基本資料!$A:$J,8,0),"無")</f>
        <v>8.11</v>
      </c>
      <c r="G1006" s="79">
        <v>6588</v>
      </c>
      <c r="H1006" s="8" t="s">
        <v>311</v>
      </c>
      <c r="I1006" s="16" t="s">
        <v>4440</v>
      </c>
      <c r="J1006" s="8" t="str">
        <f>IFERROR(VLOOKUP($G1006,今日總結!$A:$AN,39,0),"")</f>
        <v/>
      </c>
      <c r="K1006" s="5" t="str">
        <f>IFERROR(VLOOKUP($G1006,今日總結!$A:$AN,40,0),"")</f>
        <v/>
      </c>
      <c r="L1006" s="156" t="str">
        <f>IFERROR(VLOOKUP($G1006,今日總結!$A:$AN,37,0),"")</f>
        <v/>
      </c>
      <c r="M1006" s="337" t="str">
        <f>IFERROR(VLOOKUP($G1006,今日總結!$A:$AN,38,0),"")</f>
        <v/>
      </c>
      <c r="N1006" s="240" t="str">
        <f t="shared" si="180"/>
        <v/>
      </c>
      <c r="O1006" s="359" t="str">
        <f>IFERROR(VLOOKUP($G1006,融外自投!$A:$J,7,0),"無")</f>
        <v>無</v>
      </c>
      <c r="P1006" s="79" t="str">
        <f>IFERROR(VLOOKUP($G1006,融外自投!$A:$J,9,0),"無")</f>
        <v>無</v>
      </c>
      <c r="Q1006" s="342" t="str">
        <f>IFERROR(VLOOKUP($G1006,融外自投!$A:$J,8,0),"無")</f>
        <v>無</v>
      </c>
      <c r="R1006" s="81" t="str">
        <f>IFERROR(VLOOKUP($G1006,融外自投!$A:$J,10,0),"無")</f>
        <v>無</v>
      </c>
      <c r="S1006" s="324" t="str">
        <f>IFERROR(VLOOKUP($G1006,'321買'!$A:$E,4,0),"'沒有資料'")</f>
        <v>'沒有資料'</v>
      </c>
      <c r="T1006" s="186">
        <f>IFERROR(VLOOKUP($G1006,基本資料!$A:$J,9,0),"無")</f>
        <v>0.75</v>
      </c>
      <c r="U1006" s="307">
        <f t="shared" si="176"/>
        <v>1.8382352941176471E-2</v>
      </c>
      <c r="V1006" s="94">
        <f>IFERROR(VLOOKUP($G1006,基本資料!$A:$J,10,0),"無")</f>
        <v>0.48</v>
      </c>
      <c r="W1006" s="36">
        <f>RTD("money.excel",,"6588","Price")</f>
        <v>40.799999999999997</v>
      </c>
      <c r="X1006" s="66"/>
      <c r="Y1006" s="15">
        <f t="shared" si="177"/>
        <v>40.799999999999997</v>
      </c>
      <c r="Z1006" s="3" t="e">
        <f t="shared" si="178"/>
        <v>#DIV/0!</v>
      </c>
      <c r="AA1006" s="340">
        <f>IFERROR(VLOOKUP($G1006,基本資料!$A:$M,11,0),"無")</f>
        <v>-30.26</v>
      </c>
      <c r="AB1006" s="389">
        <f>IFERROR(VLOOKUP($G1006,基本資料!$A:$M,12,0),"無")</f>
        <v>31.25</v>
      </c>
      <c r="AC1006" s="16" t="s">
        <v>4441</v>
      </c>
      <c r="AF1006" s="33">
        <f t="shared" si="179"/>
        <v>0</v>
      </c>
      <c r="AG1006" s="43" t="s">
        <v>1935</v>
      </c>
      <c r="AH1006" s="66">
        <f t="shared" si="175"/>
        <v>1.0227272727272727</v>
      </c>
      <c r="AI1006" s="283">
        <f>RTD("money.excel",,$G1006,"PredictVolume")</f>
        <v>9</v>
      </c>
      <c r="AJ1006" s="391">
        <f>IFERROR(VLOOKUP($G1006,基本資料!$A:$M,13,0),"無")</f>
        <v>8.8000000000000007</v>
      </c>
      <c r="AR1006" s="245" t="str">
        <f>INDEX(基本資料!N:N,MATCH($G1006,基本資料!A:A,0))</f>
        <v>低</v>
      </c>
    </row>
    <row r="1007" spans="1:44">
      <c r="A1007" s="343">
        <f>IFERROR(VLOOKUP($G1007,基本資料!$A:$J,3,0),"無")</f>
        <v>6.84</v>
      </c>
      <c r="B1007" s="79">
        <f>IFERROR(VLOOKUP($G1007,基本資料!$A:$J,4,0),"無")</f>
        <v>-29</v>
      </c>
      <c r="C1007" s="79">
        <f>IFERROR(VLOOKUP($G1007,基本資料!$A:$J,5,0),"無")</f>
        <v>263</v>
      </c>
      <c r="D1007" s="79">
        <f>IFERROR(VLOOKUP($G1007,基本資料!$A:$J,6,0),"無")</f>
        <v>-11</v>
      </c>
      <c r="E1007" s="79">
        <f>IFERROR(VLOOKUP($G1007,基本資料!$A:$J,7,0),"無")</f>
        <v>-6</v>
      </c>
      <c r="F1007" s="6">
        <f>IFERROR(VLOOKUP($G1007,基本資料!$A:$J,8,0),"無")</f>
        <v>2.88</v>
      </c>
      <c r="G1007" s="79">
        <v>6674</v>
      </c>
      <c r="H1007" s="8" t="s">
        <v>311</v>
      </c>
      <c r="I1007" s="22" t="s">
        <v>4442</v>
      </c>
      <c r="J1007" s="8" t="str">
        <f>IFERROR(VLOOKUP($G1007,今日總結!$A:$AN,39,0),"")</f>
        <v/>
      </c>
      <c r="K1007" s="5" t="str">
        <f>IFERROR(VLOOKUP($G1007,今日總結!$A:$AN,40,0),"")</f>
        <v/>
      </c>
      <c r="L1007" s="156" t="str">
        <f>IFERROR(VLOOKUP($G1007,今日總結!$A:$AN,37,0),"")</f>
        <v/>
      </c>
      <c r="M1007" s="337" t="str">
        <f>IFERROR(VLOOKUP($G1007,今日總結!$A:$AN,38,0),"")</f>
        <v/>
      </c>
      <c r="N1007" s="240" t="str">
        <f t="shared" si="180"/>
        <v/>
      </c>
      <c r="O1007" s="359">
        <f>IFERROR(VLOOKUP($G1007,融外自投!$A:$J,7,0),"無")</f>
        <v>1264</v>
      </c>
      <c r="P1007" s="79">
        <f>IFERROR(VLOOKUP($G1007,融外自投!$A:$J,9,0),"無")</f>
        <v>1123</v>
      </c>
      <c r="Q1007" s="342">
        <f>IFERROR(VLOOKUP($G1007,融外自投!$A:$J,8,0),"無")</f>
        <v>1346</v>
      </c>
      <c r="R1007" s="81" t="str">
        <f>IFERROR(VLOOKUP($G1007,融外自投!$A:$J,10,0),"無")</f>
        <v>無</v>
      </c>
      <c r="S1007" s="324" t="str">
        <f>IFERROR(VLOOKUP($G1007,'321買'!$A:$E,4,0),"'沒有資料'")</f>
        <v>'沒有資料'</v>
      </c>
      <c r="T1007" s="186">
        <f>IFERROR(VLOOKUP($G1007,基本資料!$A:$J,9,0),"無")</f>
        <v>1</v>
      </c>
      <c r="U1007" s="307">
        <f t="shared" si="176"/>
        <v>3.5335689045936397E-2</v>
      </c>
      <c r="V1007" s="94">
        <f>IFERROR(VLOOKUP($G1007,基本資料!$A:$J,10,0),"無")</f>
        <v>0.49</v>
      </c>
      <c r="W1007" s="36">
        <f>RTD("money.excel",,"6674","Price")</f>
        <v>28.3</v>
      </c>
      <c r="X1007" s="66"/>
      <c r="Y1007" s="15">
        <f t="shared" si="177"/>
        <v>28.3</v>
      </c>
      <c r="Z1007" s="3" t="e">
        <f t="shared" si="178"/>
        <v>#DIV/0!</v>
      </c>
      <c r="AA1007" s="340">
        <f>IFERROR(VLOOKUP($G1007,基本資料!$A:$M,11,0),"無")</f>
        <v>-17.73</v>
      </c>
      <c r="AB1007" s="389">
        <f>IFERROR(VLOOKUP($G1007,基本資料!$A:$M,12,0),"無")</f>
        <v>39.31</v>
      </c>
      <c r="AC1007" s="22" t="s">
        <v>4442</v>
      </c>
      <c r="AF1007" s="33">
        <f t="shared" si="179"/>
        <v>0</v>
      </c>
      <c r="AG1007" s="43" t="s">
        <v>4443</v>
      </c>
      <c r="AH1007" s="66">
        <f t="shared" si="175"/>
        <v>5.6022408963585429E-2</v>
      </c>
      <c r="AI1007" s="283">
        <f>RTD("money.excel",,$G1007,"PredictVolume")</f>
        <v>1</v>
      </c>
      <c r="AJ1007" s="391">
        <f>IFERROR(VLOOKUP($G1007,基本資料!$A:$M,13,0),"無")</f>
        <v>17.850000000000001</v>
      </c>
      <c r="AR1007" s="245" t="str">
        <f>INDEX(基本資料!N:N,MATCH($G1007,基本資料!A:A,0))</f>
        <v>中</v>
      </c>
    </row>
    <row r="1008" spans="1:44">
      <c r="A1008" s="343">
        <f>IFERROR(VLOOKUP($G1008,基本資料!$A:$J,3,0),"無")</f>
        <v>4.78</v>
      </c>
      <c r="B1008" s="79">
        <f>IFERROR(VLOOKUP($G1008,基本資料!$A:$J,4,0),"無")</f>
        <v>67</v>
      </c>
      <c r="C1008" s="79">
        <f>IFERROR(VLOOKUP($G1008,基本資料!$A:$J,5,0),"無")</f>
        <v>92</v>
      </c>
      <c r="D1008" s="79">
        <f>IFERROR(VLOOKUP($G1008,基本資料!$A:$J,6,0),"無")</f>
        <v>-12</v>
      </c>
      <c r="E1008" s="79">
        <f>IFERROR(VLOOKUP($G1008,基本資料!$A:$J,7,0),"無")</f>
        <v>8</v>
      </c>
      <c r="F1008" s="6">
        <f>IFERROR(VLOOKUP($G1008,基本資料!$A:$J,8,0),"無")</f>
        <v>20.38</v>
      </c>
      <c r="G1008" s="79">
        <v>6792</v>
      </c>
      <c r="H1008" s="8" t="s">
        <v>311</v>
      </c>
      <c r="I1008" s="22" t="s">
        <v>4444</v>
      </c>
      <c r="J1008" s="8" t="str">
        <f>IFERROR(VLOOKUP($G1008,今日總結!$A:$AN,39,0),"")</f>
        <v/>
      </c>
      <c r="K1008" s="5" t="str">
        <f>IFERROR(VLOOKUP($G1008,今日總結!$A:$AN,40,0),"")</f>
        <v/>
      </c>
      <c r="L1008" s="156" t="str">
        <f>IFERROR(VLOOKUP($G1008,今日總結!$A:$AN,37,0),"")</f>
        <v/>
      </c>
      <c r="M1008" s="337" t="str">
        <f>IFERROR(VLOOKUP($G1008,今日總結!$A:$AN,38,0),"")</f>
        <v/>
      </c>
      <c r="N1008" s="240" t="str">
        <f t="shared" si="180"/>
        <v/>
      </c>
      <c r="O1008" s="359" t="str">
        <f>IFERROR(VLOOKUP($G1008,融外自投!$A:$J,7,0),"無")</f>
        <v>無</v>
      </c>
      <c r="P1008" s="79" t="str">
        <f>IFERROR(VLOOKUP($G1008,融外自投!$A:$J,9,0),"無")</f>
        <v>無</v>
      </c>
      <c r="Q1008" s="342" t="str">
        <f>IFERROR(VLOOKUP($G1008,融外自投!$A:$J,8,0),"無")</f>
        <v>無</v>
      </c>
      <c r="R1008" s="81" t="str">
        <f>IFERROR(VLOOKUP($G1008,融外自投!$A:$J,10,0),"無")</f>
        <v>無</v>
      </c>
      <c r="S1008" s="324" t="str">
        <f>IFERROR(VLOOKUP($G1008,'321買'!$A:$E,4,0),"'沒有資料'")</f>
        <v>'沒有資料'</v>
      </c>
      <c r="T1008" s="186">
        <f>IFERROR(VLOOKUP($G1008,基本資料!$A:$J,9,0),"無")</f>
        <v>5.5</v>
      </c>
      <c r="U1008" s="307">
        <f t="shared" si="176"/>
        <v>5.3398058252427182E-2</v>
      </c>
      <c r="V1008" s="94">
        <f>IFERROR(VLOOKUP($G1008,基本資料!$A:$J,10,0),"無")</f>
        <v>6.6</v>
      </c>
      <c r="W1008" s="36">
        <f>RTD("money.excel",,"6792","Price")</f>
        <v>103</v>
      </c>
      <c r="X1008" s="66"/>
      <c r="Y1008" s="15">
        <f t="shared" si="177"/>
        <v>103</v>
      </c>
      <c r="Z1008" s="3" t="e">
        <f t="shared" si="178"/>
        <v>#DIV/0!</v>
      </c>
      <c r="AA1008" s="340" t="str">
        <f>IFERROR(VLOOKUP($G1008,基本資料!$A:$M,11,0),"無")</f>
        <v>無</v>
      </c>
      <c r="AB1008" s="389" t="str">
        <f>IFERROR(VLOOKUP($G1008,基本資料!$A:$M,12,0),"無")</f>
        <v>無</v>
      </c>
      <c r="AC1008" s="22" t="s">
        <v>4444</v>
      </c>
      <c r="AF1008" s="33">
        <f t="shared" si="179"/>
        <v>0</v>
      </c>
      <c r="AG1008" s="43" t="s">
        <v>3528</v>
      </c>
      <c r="AH1008" s="66" t="e">
        <f t="shared" si="175"/>
        <v>#VALUE!</v>
      </c>
      <c r="AI1008" s="283">
        <f>RTD("money.excel",,$G1008,"PredictVolume")</f>
        <v>109</v>
      </c>
      <c r="AJ1008" s="391" t="str">
        <f>IFERROR(VLOOKUP($G1008,基本資料!$A:$M,13,0),"無")</f>
        <v>無</v>
      </c>
      <c r="AR1008" s="245" t="str">
        <f>INDEX(基本資料!N:N,MATCH($G1008,基本資料!A:A,0))</f>
        <v>無</v>
      </c>
    </row>
    <row r="1009" spans="1:44">
      <c r="A1009" s="343">
        <f>IFERROR(VLOOKUP($G1009,基本資料!$A:$J,3,0),"無")</f>
        <v>14.94</v>
      </c>
      <c r="B1009" s="79">
        <f>IFERROR(VLOOKUP($G1009,基本資料!$A:$J,4,0),"無")</f>
        <v>-283</v>
      </c>
      <c r="C1009" s="79">
        <f>IFERROR(VLOOKUP($G1009,基本資料!$A:$J,5,0),"無")</f>
        <v>-474</v>
      </c>
      <c r="D1009" s="79">
        <f>IFERROR(VLOOKUP($G1009,基本資料!$A:$J,6,0),"無")</f>
        <v>-14</v>
      </c>
      <c r="E1009" s="79">
        <f>IFERROR(VLOOKUP($G1009,基本資料!$A:$J,7,0),"無")</f>
        <v>13</v>
      </c>
      <c r="F1009" s="6">
        <f>IFERROR(VLOOKUP($G1009,基本資料!$A:$J,8,0),"無")</f>
        <v>-10.59</v>
      </c>
      <c r="G1009" s="79">
        <v>8011</v>
      </c>
      <c r="H1009" s="8" t="s">
        <v>311</v>
      </c>
      <c r="I1009" s="22" t="s">
        <v>4445</v>
      </c>
      <c r="J1009" s="8">
        <f>IFERROR(VLOOKUP($G1009,今日總結!$A:$AN,39,0),"")</f>
        <v>0</v>
      </c>
      <c r="K1009" s="5">
        <f>IFERROR(VLOOKUP($G1009,今日總結!$A:$AN,40,0),"")</f>
        <v>0</v>
      </c>
      <c r="L1009" s="156">
        <f>IFERROR(VLOOKUP($G1009,今日總結!$A:$AN,37,0),"")</f>
        <v>0</v>
      </c>
      <c r="M1009" s="337">
        <f>IFERROR(VLOOKUP($G1009,今日總結!$A:$AN,38,0),"")</f>
        <v>0</v>
      </c>
      <c r="N1009" s="240">
        <f t="shared" si="180"/>
        <v>0</v>
      </c>
      <c r="O1009" s="359">
        <f>IFERROR(VLOOKUP($G1009,融外自投!$A:$J,7,0),"無")</f>
        <v>418</v>
      </c>
      <c r="P1009" s="79" t="str">
        <f>IFERROR(VLOOKUP($G1009,融外自投!$A:$J,9,0),"無")</f>
        <v>無</v>
      </c>
      <c r="Q1009" s="342">
        <f>IFERROR(VLOOKUP($G1009,融外自投!$A:$J,8,0),"無")</f>
        <v>993</v>
      </c>
      <c r="R1009" s="81" t="str">
        <f>IFERROR(VLOOKUP($G1009,融外自投!$A:$J,10,0),"無")</f>
        <v>無</v>
      </c>
      <c r="S1009" s="324">
        <f>IFERROR(VLOOKUP($G1009,'321買'!$A:$E,4,0),"'沒有資料'")</f>
        <v>606</v>
      </c>
      <c r="T1009" s="186">
        <f>IFERROR(VLOOKUP($G1009,基本資料!$A:$J,9,0),"無")</f>
        <v>0</v>
      </c>
      <c r="U1009" s="307">
        <f t="shared" si="176"/>
        <v>0</v>
      </c>
      <c r="V1009" s="94">
        <f>IFERROR(VLOOKUP($G1009,基本資料!$A:$J,10,0),"無")</f>
        <v>-1.36</v>
      </c>
      <c r="W1009" s="36">
        <f>RTD("money.excel",,"8011","Price")</f>
        <v>15.45</v>
      </c>
      <c r="X1009" s="66"/>
      <c r="Y1009" s="15">
        <f t="shared" si="177"/>
        <v>15.45</v>
      </c>
      <c r="Z1009" s="3" t="e">
        <f t="shared" si="178"/>
        <v>#DIV/0!</v>
      </c>
      <c r="AA1009" s="340">
        <f>IFERROR(VLOOKUP($G1009,基本資料!$A:$M,11,0),"無")</f>
        <v>-31.49</v>
      </c>
      <c r="AB1009" s="389">
        <f>IFERROR(VLOOKUP($G1009,基本資料!$A:$M,12,0),"無")</f>
        <v>15.81</v>
      </c>
      <c r="AC1009" s="22" t="s">
        <v>4445</v>
      </c>
      <c r="AF1009" s="33">
        <f t="shared" si="179"/>
        <v>0</v>
      </c>
      <c r="AG1009" s="117" t="s">
        <v>4446</v>
      </c>
      <c r="AH1009" s="66">
        <f t="shared" si="175"/>
        <v>0.97722686653214186</v>
      </c>
      <c r="AI1009" s="283">
        <f>RTD("money.excel",,$G1009,"PredictVolume")</f>
        <v>339</v>
      </c>
      <c r="AJ1009" s="391">
        <f>IFERROR(VLOOKUP($G1009,基本資料!$A:$M,13,0),"無")</f>
        <v>346.9</v>
      </c>
      <c r="AR1009" s="245" t="str">
        <f>INDEX(基本資料!N:N,MATCH($G1009,基本資料!A:A,0))</f>
        <v>低</v>
      </c>
    </row>
    <row r="1010" spans="1:44">
      <c r="A1010" s="343">
        <f>IFERROR(VLOOKUP($G1010,基本資料!$A:$J,3,0),"無")</f>
        <v>6.28</v>
      </c>
      <c r="B1010" s="79">
        <f>IFERROR(VLOOKUP($G1010,基本資料!$A:$J,4,0),"無")</f>
        <v>569</v>
      </c>
      <c r="C1010" s="79">
        <f>IFERROR(VLOOKUP($G1010,基本資料!$A:$J,5,0),"無")</f>
        <v>1619</v>
      </c>
      <c r="D1010" s="79">
        <f>IFERROR(VLOOKUP($G1010,基本資料!$A:$J,6,0),"無")</f>
        <v>386</v>
      </c>
      <c r="E1010" s="79">
        <f>IFERROR(VLOOKUP($G1010,基本資料!$A:$J,7,0),"無")</f>
        <v>198</v>
      </c>
      <c r="F1010" s="6">
        <f>IFERROR(VLOOKUP($G1010,基本資料!$A:$J,8,0),"無")</f>
        <v>15.83</v>
      </c>
      <c r="G1010" s="79">
        <v>8034</v>
      </c>
      <c r="H1010" s="8" t="s">
        <v>311</v>
      </c>
      <c r="I1010" s="16" t="s">
        <v>4447</v>
      </c>
      <c r="J1010" s="8">
        <f>IFERROR(VLOOKUP($G1010,今日總結!$A:$AN,39,0),"")</f>
        <v>0</v>
      </c>
      <c r="K1010" s="5" t="str">
        <f>IFERROR(VLOOKUP($G1010,今日總結!$A:$AN,40,0),"")</f>
        <v>5主</v>
      </c>
      <c r="L1010" s="156">
        <f>IFERROR(VLOOKUP($G1010,今日總結!$A:$AN,37,0),"")</f>
        <v>0</v>
      </c>
      <c r="M1010" s="337">
        <f>IFERROR(VLOOKUP($G1010,今日總結!$A:$AN,38,0),"")</f>
        <v>4</v>
      </c>
      <c r="N1010" s="240">
        <f t="shared" si="180"/>
        <v>-4</v>
      </c>
      <c r="O1010" s="359">
        <f>IFERROR(VLOOKUP($G1010,融外自投!$A:$J,7,0),"無")</f>
        <v>230</v>
      </c>
      <c r="P1010" s="79">
        <f>IFERROR(VLOOKUP($G1010,融外自投!$A:$J,9,0),"無")</f>
        <v>183</v>
      </c>
      <c r="Q1010" s="342">
        <f>IFERROR(VLOOKUP($G1010,融外自投!$A:$J,8,0),"無")</f>
        <v>934</v>
      </c>
      <c r="R1010" s="81" t="str">
        <f>IFERROR(VLOOKUP($G1010,融外自投!$A:$J,10,0),"無")</f>
        <v>無</v>
      </c>
      <c r="S1010" s="324">
        <f>IFERROR(VLOOKUP($G1010,'321買'!$A:$E,4,0),"'沒有資料'")</f>
        <v>321</v>
      </c>
      <c r="T1010" s="186">
        <f>IFERROR(VLOOKUP($G1010,基本資料!$A:$J,9,0),"無")</f>
        <v>1</v>
      </c>
      <c r="U1010" s="307">
        <f t="shared" si="176"/>
        <v>6.3694267515923567E-2</v>
      </c>
      <c r="V1010" s="94">
        <f>IFERROR(VLOOKUP($G1010,基本資料!$A:$J,10,0),"無")</f>
        <v>1.28</v>
      </c>
      <c r="W1010" s="36">
        <f>RTD("money.excel",,"8034","Price")</f>
        <v>15.7</v>
      </c>
      <c r="X1010" s="66"/>
      <c r="Y1010" s="15">
        <f t="shared" si="177"/>
        <v>15.7</v>
      </c>
      <c r="Z1010" s="3" t="e">
        <f t="shared" si="178"/>
        <v>#DIV/0!</v>
      </c>
      <c r="AA1010" s="340">
        <f>IFERROR(VLOOKUP($G1010,基本資料!$A:$M,11,0),"無")</f>
        <v>-33.89</v>
      </c>
      <c r="AB1010" s="389">
        <f>IFERROR(VLOOKUP($G1010,基本資料!$A:$M,12,0),"無")</f>
        <v>15.81</v>
      </c>
      <c r="AC1010" s="16" t="s">
        <v>4447</v>
      </c>
      <c r="AF1010" s="33">
        <f t="shared" si="179"/>
        <v>0</v>
      </c>
      <c r="AG1010" s="43" t="s">
        <v>4448</v>
      </c>
      <c r="AH1010" s="66">
        <f t="shared" si="175"/>
        <v>2.0176678445229683</v>
      </c>
      <c r="AI1010" s="283">
        <f>RTD("money.excel",,$G1010,"PredictVolume")</f>
        <v>571</v>
      </c>
      <c r="AJ1010" s="391">
        <f>IFERROR(VLOOKUP($G1010,基本資料!$A:$M,13,0),"無")</f>
        <v>283</v>
      </c>
      <c r="AR1010" s="245" t="str">
        <f>INDEX(基本資料!N:N,MATCH($G1010,基本資料!A:A,0))</f>
        <v>低</v>
      </c>
    </row>
    <row r="1011" spans="1:44">
      <c r="A1011" s="343">
        <f>IFERROR(VLOOKUP($G1011,基本資料!$A:$J,3,0),"無")</f>
        <v>5.44</v>
      </c>
      <c r="B1011" s="79">
        <f>IFERROR(VLOOKUP($G1011,基本資料!$A:$J,4,0),"無")</f>
        <v>12</v>
      </c>
      <c r="C1011" s="79">
        <f>IFERROR(VLOOKUP($G1011,基本資料!$A:$J,5,0),"無")</f>
        <v>14</v>
      </c>
      <c r="D1011" s="79">
        <f>IFERROR(VLOOKUP($G1011,基本資料!$A:$J,6,0),"無")</f>
        <v>-4</v>
      </c>
      <c r="E1011" s="79">
        <f>IFERROR(VLOOKUP($G1011,基本資料!$A:$J,7,0),"無")</f>
        <v>6</v>
      </c>
      <c r="F1011" s="6">
        <f>IFERROR(VLOOKUP($G1011,基本資料!$A:$J,8,0),"無")</f>
        <v>10.96</v>
      </c>
      <c r="G1011" s="79">
        <v>8048</v>
      </c>
      <c r="H1011" s="8" t="s">
        <v>311</v>
      </c>
      <c r="I1011" s="16" t="s">
        <v>4449</v>
      </c>
      <c r="J1011" s="8">
        <f>IFERROR(VLOOKUP($G1011,今日總結!$A:$AN,39,0),"")</f>
        <v>0</v>
      </c>
      <c r="K1011" s="5">
        <f>IFERROR(VLOOKUP($G1011,今日總結!$A:$AN,40,0),"")</f>
        <v>0</v>
      </c>
      <c r="L1011" s="156">
        <f>IFERROR(VLOOKUP($G1011,今日總結!$A:$AN,37,0),"")</f>
        <v>0</v>
      </c>
      <c r="M1011" s="337">
        <f>IFERROR(VLOOKUP($G1011,今日總結!$A:$AN,38,0),"")</f>
        <v>0</v>
      </c>
      <c r="N1011" s="240">
        <f t="shared" si="180"/>
        <v>0</v>
      </c>
      <c r="O1011" s="359">
        <f>IFERROR(VLOOKUP($G1011,融外自投!$A:$J,7,0),"無")</f>
        <v>598</v>
      </c>
      <c r="P1011" s="79">
        <f>IFERROR(VLOOKUP($G1011,融外自投!$A:$J,9,0),"無")</f>
        <v>1123</v>
      </c>
      <c r="Q1011" s="342">
        <f>IFERROR(VLOOKUP($G1011,融外自投!$A:$J,8,0),"無")</f>
        <v>1270</v>
      </c>
      <c r="R1011" s="81" t="str">
        <f>IFERROR(VLOOKUP($G1011,融外自投!$A:$J,10,0),"無")</f>
        <v>無</v>
      </c>
      <c r="S1011" s="324">
        <f>IFERROR(VLOOKUP($G1011,'321買'!$A:$E,4,0),"'沒有資料'")</f>
        <v>1002</v>
      </c>
      <c r="T1011" s="186">
        <f>IFERROR(VLOOKUP($G1011,基本資料!$A:$J,9,0),"無")</f>
        <v>2.2000000000000002</v>
      </c>
      <c r="U1011" s="307">
        <f t="shared" si="176"/>
        <v>6.7796610169491525E-2</v>
      </c>
      <c r="V1011" s="94">
        <f>IFERROR(VLOOKUP($G1011,基本資料!$A:$J,10,0),"無")</f>
        <v>2.94</v>
      </c>
      <c r="W1011" s="36">
        <f>RTD("money.excel",,"8048","Price")</f>
        <v>32.450000000000003</v>
      </c>
      <c r="X1011" s="66"/>
      <c r="Y1011" s="15">
        <f t="shared" si="177"/>
        <v>32.450000000000003</v>
      </c>
      <c r="Z1011" s="3" t="e">
        <f t="shared" si="178"/>
        <v>#DIV/0!</v>
      </c>
      <c r="AA1011" s="340">
        <f>IFERROR(VLOOKUP($G1011,基本資料!$A:$M,11,0),"無")</f>
        <v>-20.85</v>
      </c>
      <c r="AB1011" s="389">
        <f>IFERROR(VLOOKUP($G1011,基本資料!$A:$M,12,0),"無")</f>
        <v>22.64</v>
      </c>
      <c r="AC1011" s="16" t="s">
        <v>4449</v>
      </c>
      <c r="AF1011" s="33">
        <f t="shared" si="179"/>
        <v>0</v>
      </c>
      <c r="AG1011" s="117" t="s">
        <v>4450</v>
      </c>
      <c r="AH1011" s="66">
        <f t="shared" si="175"/>
        <v>0.1589825119236884</v>
      </c>
      <c r="AI1011" s="283">
        <f>RTD("money.excel",,$G1011,"PredictVolume")</f>
        <v>5</v>
      </c>
      <c r="AJ1011" s="391">
        <f>IFERROR(VLOOKUP($G1011,基本資料!$A:$M,13,0),"無")</f>
        <v>31.45</v>
      </c>
      <c r="AR1011" s="245" t="str">
        <f>INDEX(基本資料!N:N,MATCH($G1011,基本資料!A:A,0))</f>
        <v>低</v>
      </c>
    </row>
    <row r="1012" spans="1:44">
      <c r="A1012" s="343">
        <f>IFERROR(VLOOKUP($G1012,基本資料!$A:$J,3,0),"無")</f>
        <v>18.86</v>
      </c>
      <c r="B1012" s="79">
        <f>IFERROR(VLOOKUP($G1012,基本資料!$A:$J,4,0),"無")</f>
        <v>-1905</v>
      </c>
      <c r="C1012" s="79">
        <f>IFERROR(VLOOKUP($G1012,基本資料!$A:$J,5,0),"無")</f>
        <v>-137</v>
      </c>
      <c r="D1012" s="79">
        <f>IFERROR(VLOOKUP($G1012,基本資料!$A:$J,6,0),"無")</f>
        <v>-7</v>
      </c>
      <c r="E1012" s="79">
        <f>IFERROR(VLOOKUP($G1012,基本資料!$A:$J,7,0),"無")</f>
        <v>3</v>
      </c>
      <c r="F1012" s="6">
        <f>IFERROR(VLOOKUP($G1012,基本資料!$A:$J,8,0),"無")</f>
        <v>-9.19</v>
      </c>
      <c r="G1012" s="79">
        <v>8059</v>
      </c>
      <c r="H1012" s="8" t="s">
        <v>311</v>
      </c>
      <c r="I1012" s="16" t="s">
        <v>4451</v>
      </c>
      <c r="J1012" s="8" t="str">
        <f>IFERROR(VLOOKUP($G1012,今日總結!$A:$AN,39,0),"")</f>
        <v/>
      </c>
      <c r="K1012" s="5" t="str">
        <f>IFERROR(VLOOKUP($G1012,今日總結!$A:$AN,40,0),"")</f>
        <v/>
      </c>
      <c r="L1012" s="156" t="str">
        <f>IFERROR(VLOOKUP($G1012,今日總結!$A:$AN,37,0),"")</f>
        <v/>
      </c>
      <c r="M1012" s="337" t="str">
        <f>IFERROR(VLOOKUP($G1012,今日總結!$A:$AN,38,0),"")</f>
        <v/>
      </c>
      <c r="N1012" s="240" t="str">
        <f t="shared" si="180"/>
        <v/>
      </c>
      <c r="O1012" s="359" t="str">
        <f>IFERROR(VLOOKUP($G1012,融外自投!$A:$J,7,0),"無")</f>
        <v>無</v>
      </c>
      <c r="P1012" s="79" t="str">
        <f>IFERROR(VLOOKUP($G1012,融外自投!$A:$J,9,0),"無")</f>
        <v>無</v>
      </c>
      <c r="Q1012" s="342" t="str">
        <f>IFERROR(VLOOKUP($G1012,融外自投!$A:$J,8,0),"無")</f>
        <v>無</v>
      </c>
      <c r="R1012" s="81" t="str">
        <f>IFERROR(VLOOKUP($G1012,融外自投!$A:$J,10,0),"無")</f>
        <v>無</v>
      </c>
      <c r="S1012" s="324" t="str">
        <f>IFERROR(VLOOKUP($G1012,'321買'!$A:$E,4,0),"'沒有資料'")</f>
        <v>'沒有資料'</v>
      </c>
      <c r="T1012" s="186">
        <f>IFERROR(VLOOKUP($G1012,基本資料!$A:$J,9,0),"無")</f>
        <v>0</v>
      </c>
      <c r="U1012" s="307">
        <f t="shared" si="176"/>
        <v>0</v>
      </c>
      <c r="V1012" s="94">
        <f>IFERROR(VLOOKUP($G1012,基本資料!$A:$J,10,0),"無")</f>
        <v>-0.8</v>
      </c>
      <c r="W1012" s="36">
        <f>RTD("money.excel",,"8059","Price")</f>
        <v>9.0399999999999991</v>
      </c>
      <c r="X1012" s="66"/>
      <c r="Y1012" s="15">
        <f t="shared" si="177"/>
        <v>9.0399999999999991</v>
      </c>
      <c r="Z1012" s="3" t="e">
        <f t="shared" si="178"/>
        <v>#DIV/0!</v>
      </c>
      <c r="AA1012" s="340">
        <f>IFERROR(VLOOKUP($G1012,基本資料!$A:$M,11,0),"無")</f>
        <v>-31.25</v>
      </c>
      <c r="AB1012" s="389">
        <f>IFERROR(VLOOKUP($G1012,基本資料!$A:$M,12,0),"無")</f>
        <v>12.72</v>
      </c>
      <c r="AC1012" s="16" t="s">
        <v>4451</v>
      </c>
      <c r="AF1012" s="33">
        <f t="shared" si="179"/>
        <v>0</v>
      </c>
      <c r="AG1012" s="43" t="s">
        <v>4452</v>
      </c>
      <c r="AH1012" s="66">
        <f t="shared" si="175"/>
        <v>3.28125</v>
      </c>
      <c r="AI1012" s="283">
        <f>RTD("money.excel",,$G1012,"PredictVolume")</f>
        <v>147</v>
      </c>
      <c r="AJ1012" s="391">
        <f>IFERROR(VLOOKUP($G1012,基本資料!$A:$M,13,0),"無")</f>
        <v>44.8</v>
      </c>
      <c r="AR1012" s="245" t="str">
        <f>INDEX(基本資料!N:N,MATCH($G1012,基本資料!A:A,0))</f>
        <v>低</v>
      </c>
    </row>
    <row r="1013" spans="1:44">
      <c r="A1013" s="343">
        <f>IFERROR(VLOOKUP($G1013,基本資料!$A:$J,3,0),"無")</f>
        <v>5.79</v>
      </c>
      <c r="B1013" s="79">
        <f>IFERROR(VLOOKUP($G1013,基本資料!$A:$J,4,0),"無")</f>
        <v>-112</v>
      </c>
      <c r="C1013" s="79">
        <f>IFERROR(VLOOKUP($G1013,基本資料!$A:$J,5,0),"無")</f>
        <v>-107</v>
      </c>
      <c r="D1013" s="79">
        <f>IFERROR(VLOOKUP($G1013,基本資料!$A:$J,6,0),"無")</f>
        <v>-14</v>
      </c>
      <c r="E1013" s="79">
        <f>IFERROR(VLOOKUP($G1013,基本資料!$A:$J,7,0),"無")</f>
        <v>-3</v>
      </c>
      <c r="F1013" s="6">
        <f>IFERROR(VLOOKUP($G1013,基本資料!$A:$J,8,0),"無")</f>
        <v>-1.22</v>
      </c>
      <c r="G1013" s="79">
        <v>8089</v>
      </c>
      <c r="H1013" s="8" t="s">
        <v>311</v>
      </c>
      <c r="I1013" s="16" t="s">
        <v>4453</v>
      </c>
      <c r="J1013" s="8">
        <f>IFERROR(VLOOKUP($G1013,今日總結!$A:$AN,39,0),"")</f>
        <v>0</v>
      </c>
      <c r="K1013" s="5">
        <f>IFERROR(VLOOKUP($G1013,今日總結!$A:$AN,40,0),"")</f>
        <v>0</v>
      </c>
      <c r="L1013" s="156">
        <f>IFERROR(VLOOKUP($G1013,今日總結!$A:$AN,37,0),"")</f>
        <v>0</v>
      </c>
      <c r="M1013" s="337">
        <f>IFERROR(VLOOKUP($G1013,今日總結!$A:$AN,38,0),"")</f>
        <v>0</v>
      </c>
      <c r="N1013" s="240">
        <f t="shared" si="180"/>
        <v>0</v>
      </c>
      <c r="O1013" s="359">
        <f>IFERROR(VLOOKUP($G1013,融外自投!$A:$J,7,0),"無")</f>
        <v>924</v>
      </c>
      <c r="P1013" s="79" t="str">
        <f>IFERROR(VLOOKUP($G1013,融外自投!$A:$J,9,0),"無")</f>
        <v>無</v>
      </c>
      <c r="Q1013" s="342">
        <f>IFERROR(VLOOKUP($G1013,融外自投!$A:$J,8,0),"無")</f>
        <v>798</v>
      </c>
      <c r="R1013" s="81" t="str">
        <f>IFERROR(VLOOKUP($G1013,融外自投!$A:$J,10,0),"無")</f>
        <v>無</v>
      </c>
      <c r="S1013" s="324">
        <f>IFERROR(VLOOKUP($G1013,'321買'!$A:$E,4,0),"'沒有資料'")</f>
        <v>743</v>
      </c>
      <c r="T1013" s="186">
        <f>IFERROR(VLOOKUP($G1013,基本資料!$A:$J,9,0),"無")</f>
        <v>1</v>
      </c>
      <c r="U1013" s="307">
        <f t="shared" si="176"/>
        <v>4.2462845010615709E-2</v>
      </c>
      <c r="V1013" s="94">
        <f>IFERROR(VLOOKUP($G1013,基本資料!$A:$J,10,0),"無")</f>
        <v>-0.46</v>
      </c>
      <c r="W1013" s="36">
        <f>RTD("money.excel",,"8089","Price")</f>
        <v>23.55</v>
      </c>
      <c r="X1013" s="66"/>
      <c r="Y1013" s="15">
        <f t="shared" si="177"/>
        <v>23.55</v>
      </c>
      <c r="Z1013" s="159" t="e">
        <f t="shared" si="178"/>
        <v>#DIV/0!</v>
      </c>
      <c r="AA1013" s="340">
        <f>IFERROR(VLOOKUP($G1013,基本資料!$A:$M,11,0),"無")</f>
        <v>-39.229999999999997</v>
      </c>
      <c r="AB1013" s="389">
        <f>IFERROR(VLOOKUP($G1013,基本資料!$A:$M,12,0),"無")</f>
        <v>18.37</v>
      </c>
      <c r="AC1013" s="16" t="s">
        <v>4453</v>
      </c>
      <c r="AF1013" s="33">
        <f t="shared" si="179"/>
        <v>0</v>
      </c>
      <c r="AG1013" s="43" t="s">
        <v>2006</v>
      </c>
      <c r="AH1013" s="66">
        <f t="shared" si="175"/>
        <v>0.42789223454833597</v>
      </c>
      <c r="AI1013" s="283">
        <f>RTD("money.excel",,$G1013,"PredictVolume")</f>
        <v>27</v>
      </c>
      <c r="AJ1013" s="391">
        <f>IFERROR(VLOOKUP($G1013,基本資料!$A:$M,13,0),"無")</f>
        <v>63.1</v>
      </c>
      <c r="AR1013" s="245" t="str">
        <f>INDEX(基本資料!N:N,MATCH($G1013,基本資料!A:A,0))</f>
        <v>低</v>
      </c>
    </row>
    <row r="1014" spans="1:44">
      <c r="A1014" s="343">
        <f>IFERROR(VLOOKUP($G1014,基本資料!$A:$J,3,0),"無")</f>
        <v>4.3099999999999996</v>
      </c>
      <c r="B1014" s="79">
        <f>IFERROR(VLOOKUP($G1014,基本資料!$A:$J,4,0),"無")</f>
        <v>-7</v>
      </c>
      <c r="C1014" s="79">
        <f>IFERROR(VLOOKUP($G1014,基本資料!$A:$J,5,0),"無")</f>
        <v>16</v>
      </c>
      <c r="D1014" s="79">
        <f>IFERROR(VLOOKUP($G1014,基本資料!$A:$J,6,0),"無")</f>
        <v>163</v>
      </c>
      <c r="E1014" s="79">
        <f>IFERROR(VLOOKUP($G1014,基本資料!$A:$J,7,0),"無")</f>
        <v>601</v>
      </c>
      <c r="F1014" s="6">
        <f>IFERROR(VLOOKUP($G1014,基本資料!$A:$J,8,0),"無")</f>
        <v>-3.24</v>
      </c>
      <c r="G1014" s="79">
        <v>8097</v>
      </c>
      <c r="H1014" s="8" t="s">
        <v>311</v>
      </c>
      <c r="I1014" s="16" t="s">
        <v>4454</v>
      </c>
      <c r="J1014" s="8">
        <f>IFERROR(VLOOKUP($G1014,今日總結!$A:$AN,39,0),"")</f>
        <v>0</v>
      </c>
      <c r="K1014" s="5" t="str">
        <f>IFERROR(VLOOKUP($G1014,今日總結!$A:$AN,40,0),"")</f>
        <v>券</v>
      </c>
      <c r="L1014" s="156">
        <f>IFERROR(VLOOKUP($G1014,今日總結!$A:$AN,37,0),"")</f>
        <v>0</v>
      </c>
      <c r="M1014" s="337">
        <f>IFERROR(VLOOKUP($G1014,今日總結!$A:$AN,38,0),"")</f>
        <v>8</v>
      </c>
      <c r="N1014" s="240">
        <f t="shared" si="180"/>
        <v>-8</v>
      </c>
      <c r="O1014" s="359">
        <f>IFERROR(VLOOKUP($G1014,融外自投!$A:$J,7,0),"無")</f>
        <v>2</v>
      </c>
      <c r="P1014" s="79">
        <f>IFERROR(VLOOKUP($G1014,融外自投!$A:$J,9,0),"無")</f>
        <v>825</v>
      </c>
      <c r="Q1014" s="342">
        <f>IFERROR(VLOOKUP($G1014,融外自投!$A:$J,8,0),"無")</f>
        <v>676</v>
      </c>
      <c r="R1014" s="81" t="str">
        <f>IFERROR(VLOOKUP($G1014,融外自投!$A:$J,10,0),"無")</f>
        <v>無</v>
      </c>
      <c r="S1014" s="324">
        <f>IFERROR(VLOOKUP($G1014,'321買'!$A:$E,4,0),"'沒有資料'")</f>
        <v>192</v>
      </c>
      <c r="T1014" s="186">
        <f>IFERROR(VLOOKUP($G1014,基本資料!$A:$J,9,0),"無")</f>
        <v>0</v>
      </c>
      <c r="U1014" s="307">
        <f t="shared" si="176"/>
        <v>0</v>
      </c>
      <c r="V1014" s="94">
        <f>IFERROR(VLOOKUP($G1014,基本資料!$A:$J,10,0),"無")</f>
        <v>-0.31</v>
      </c>
      <c r="W1014" s="36">
        <f>RTD("money.excel",,"8097","Price")</f>
        <v>54.3</v>
      </c>
      <c r="X1014" s="66"/>
      <c r="Y1014" s="15">
        <f t="shared" si="177"/>
        <v>54.3</v>
      </c>
      <c r="Z1014" s="3" t="e">
        <f t="shared" si="178"/>
        <v>#DIV/0!</v>
      </c>
      <c r="AA1014" s="340">
        <f>IFERROR(VLOOKUP($G1014,基本資料!$A:$M,11,0),"無")</f>
        <v>-2.34</v>
      </c>
      <c r="AB1014" s="389">
        <f>IFERROR(VLOOKUP($G1014,基本資料!$A:$M,12,0),"無")</f>
        <v>88.18</v>
      </c>
      <c r="AC1014" s="16" t="s">
        <v>4454</v>
      </c>
      <c r="AF1014" s="33">
        <f t="shared" si="179"/>
        <v>0</v>
      </c>
      <c r="AG1014" s="43" t="s">
        <v>2624</v>
      </c>
      <c r="AH1014" s="66">
        <f t="shared" si="175"/>
        <v>3.1566283179186403</v>
      </c>
      <c r="AI1014" s="283">
        <f>RTD("money.excel",,$G1014,"PredictVolume")</f>
        <v>2099</v>
      </c>
      <c r="AJ1014" s="391">
        <f>IFERROR(VLOOKUP($G1014,基本資料!$A:$M,13,0),"無")</f>
        <v>664.95</v>
      </c>
      <c r="AR1014" s="245" t="str">
        <f>INDEX(基本資料!N:N,MATCH($G1014,基本資料!A:A,0))</f>
        <v>高</v>
      </c>
    </row>
    <row r="1015" spans="1:44">
      <c r="A1015" s="343">
        <f>IFERROR(VLOOKUP($G1015,基本資料!$A:$J,3,0),"無")</f>
        <v>20.8</v>
      </c>
      <c r="B1015" s="79">
        <f>IFERROR(VLOOKUP($G1015,基本資料!$A:$J,4,0),"無")</f>
        <v>100</v>
      </c>
      <c r="C1015" s="79">
        <f>IFERROR(VLOOKUP($G1015,基本資料!$A:$J,5,0),"無")</f>
        <v>22</v>
      </c>
      <c r="D1015" s="79">
        <f>IFERROR(VLOOKUP($G1015,基本資料!$A:$J,6,0),"無")</f>
        <v>-32</v>
      </c>
      <c r="E1015" s="79">
        <f>IFERROR(VLOOKUP($G1015,基本資料!$A:$J,7,0),"無")</f>
        <v>-53</v>
      </c>
      <c r="F1015" s="6">
        <f>IFERROR(VLOOKUP($G1015,基本資料!$A:$J,8,0),"無")</f>
        <v>-73.19</v>
      </c>
      <c r="G1015" s="79">
        <v>8101</v>
      </c>
      <c r="H1015" s="8" t="s">
        <v>311</v>
      </c>
      <c r="I1015" s="22" t="s">
        <v>4455</v>
      </c>
      <c r="J1015" s="8" t="str">
        <f>IFERROR(VLOOKUP($G1015,今日總結!$A:$AN,39,0),"")</f>
        <v/>
      </c>
      <c r="K1015" s="5" t="str">
        <f>IFERROR(VLOOKUP($G1015,今日總結!$A:$AN,40,0),"")</f>
        <v/>
      </c>
      <c r="L1015" s="156" t="str">
        <f>IFERROR(VLOOKUP($G1015,今日總結!$A:$AN,37,0),"")</f>
        <v/>
      </c>
      <c r="M1015" s="337" t="str">
        <f>IFERROR(VLOOKUP($G1015,今日總結!$A:$AN,38,0),"")</f>
        <v/>
      </c>
      <c r="N1015" s="240" t="str">
        <f t="shared" si="180"/>
        <v/>
      </c>
      <c r="O1015" s="359" t="str">
        <f>IFERROR(VLOOKUP($G1015,融外自投!$A:$J,7,0),"無")</f>
        <v>無</v>
      </c>
      <c r="P1015" s="79" t="str">
        <f>IFERROR(VLOOKUP($G1015,融外自投!$A:$J,9,0),"無")</f>
        <v>無</v>
      </c>
      <c r="Q1015" s="342" t="str">
        <f>IFERROR(VLOOKUP($G1015,融外自投!$A:$J,8,0),"無")</f>
        <v>無</v>
      </c>
      <c r="R1015" s="81" t="str">
        <f>IFERROR(VLOOKUP($G1015,融外自投!$A:$J,10,0),"無")</f>
        <v>無</v>
      </c>
      <c r="S1015" s="324" t="str">
        <f>IFERROR(VLOOKUP($G1015,'321買'!$A:$E,4,0),"'沒有資料'")</f>
        <v>'沒有資料'</v>
      </c>
      <c r="T1015" s="186">
        <f>IFERROR(VLOOKUP($G1015,基本資料!$A:$J,9,0),"無")</f>
        <v>0</v>
      </c>
      <c r="U1015" s="307">
        <f t="shared" si="176"/>
        <v>0</v>
      </c>
      <c r="V1015" s="94">
        <f>IFERROR(VLOOKUP($G1015,基本資料!$A:$J,10,0),"無")</f>
        <v>0.03</v>
      </c>
      <c r="W1015" s="36">
        <f>RTD("money.excel",,"8101","Price")</f>
        <v>2.36</v>
      </c>
      <c r="X1015" s="66"/>
      <c r="Y1015" s="15">
        <f t="shared" si="177"/>
        <v>2.36</v>
      </c>
      <c r="Z1015" s="3" t="e">
        <f t="shared" si="178"/>
        <v>#DIV/0!</v>
      </c>
      <c r="AA1015" s="340">
        <f>IFERROR(VLOOKUP($G1015,基本資料!$A:$M,11,0),"無")</f>
        <v>-34.26</v>
      </c>
      <c r="AB1015" s="389">
        <f>IFERROR(VLOOKUP($G1015,基本資料!$A:$M,12,0),"無")</f>
        <v>12.45</v>
      </c>
      <c r="AC1015" s="22" t="s">
        <v>4455</v>
      </c>
      <c r="AF1015" s="33">
        <f t="shared" si="179"/>
        <v>0</v>
      </c>
      <c r="AG1015" s="43" t="s">
        <v>4456</v>
      </c>
      <c r="AH1015" s="66">
        <f t="shared" si="175"/>
        <v>0.82114735658042737</v>
      </c>
      <c r="AI1015" s="283">
        <f>RTD("money.excel",,$G1015,"PredictVolume")</f>
        <v>73</v>
      </c>
      <c r="AJ1015" s="391">
        <f>IFERROR(VLOOKUP($G1015,基本資料!$A:$M,13,0),"無")</f>
        <v>88.9</v>
      </c>
      <c r="AR1015" s="245" t="str">
        <f>INDEX(基本資料!N:N,MATCH($G1015,基本資料!A:A,0))</f>
        <v>低</v>
      </c>
    </row>
    <row r="1016" spans="1:44">
      <c r="A1016" s="343">
        <f>IFERROR(VLOOKUP($G1016,基本資料!$A:$J,3,0),"無")</f>
        <v>5.87</v>
      </c>
      <c r="B1016" s="79">
        <f>IFERROR(VLOOKUP($G1016,基本資料!$A:$J,4,0),"無")</f>
        <v>2</v>
      </c>
      <c r="C1016" s="79">
        <f>IFERROR(VLOOKUP($G1016,基本資料!$A:$J,5,0),"無")</f>
        <v>0</v>
      </c>
      <c r="D1016" s="79">
        <f>IFERROR(VLOOKUP($G1016,基本資料!$A:$J,6,0),"無")</f>
        <v>-30</v>
      </c>
      <c r="E1016" s="79">
        <f>IFERROR(VLOOKUP($G1016,基本資料!$A:$J,7,0),"無")</f>
        <v>93</v>
      </c>
      <c r="F1016" s="6">
        <f>IFERROR(VLOOKUP($G1016,基本資料!$A:$J,8,0),"無")</f>
        <v>-6.81</v>
      </c>
      <c r="G1016" s="79">
        <v>8171</v>
      </c>
      <c r="H1016" s="8" t="s">
        <v>311</v>
      </c>
      <c r="I1016" s="16" t="s">
        <v>4457</v>
      </c>
      <c r="J1016" s="8">
        <f>IFERROR(VLOOKUP($G1016,今日總結!$A:$AN,39,0),"")</f>
        <v>0</v>
      </c>
      <c r="K1016" s="5" t="str">
        <f>IFERROR(VLOOKUP($G1016,今日總結!$A:$AN,40,0),"")</f>
        <v>主</v>
      </c>
      <c r="L1016" s="156">
        <f>IFERROR(VLOOKUP($G1016,今日總結!$A:$AN,37,0),"")</f>
        <v>0</v>
      </c>
      <c r="M1016" s="337">
        <f>IFERROR(VLOOKUP($G1016,今日總結!$A:$AN,38,0),"")</f>
        <v>5</v>
      </c>
      <c r="N1016" s="240">
        <f t="shared" si="180"/>
        <v>-5</v>
      </c>
      <c r="O1016" s="359">
        <f>IFERROR(VLOOKUP($G1016,融外自投!$A:$J,7,0),"無")</f>
        <v>8</v>
      </c>
      <c r="P1016" s="79" t="str">
        <f>IFERROR(VLOOKUP($G1016,融外自投!$A:$J,9,0),"無")</f>
        <v>無</v>
      </c>
      <c r="Q1016" s="342">
        <f>IFERROR(VLOOKUP($G1016,融外自投!$A:$J,8,0),"無")</f>
        <v>1327</v>
      </c>
      <c r="R1016" s="81">
        <f>IFERROR(VLOOKUP($G1016,融外自投!$A:$J,10,0),"無")</f>
        <v>201</v>
      </c>
      <c r="S1016" s="324">
        <f>IFERROR(VLOOKUP($G1016,'321買'!$A:$E,4,0),"'沒有資料'")</f>
        <v>606</v>
      </c>
      <c r="T1016" s="186">
        <f>IFERROR(VLOOKUP($G1016,基本資料!$A:$J,9,0),"無")</f>
        <v>0</v>
      </c>
      <c r="U1016" s="307">
        <f t="shared" si="176"/>
        <v>0</v>
      </c>
      <c r="V1016" s="94">
        <f>IFERROR(VLOOKUP($G1016,基本資料!$A:$J,10,0),"無")</f>
        <v>-1.22</v>
      </c>
      <c r="W1016" s="36">
        <f>RTD("money.excel",,"8171","Price")</f>
        <v>47.9</v>
      </c>
      <c r="X1016" s="66"/>
      <c r="Y1016" s="15">
        <f t="shared" si="177"/>
        <v>47.9</v>
      </c>
      <c r="Z1016" s="3" t="e">
        <f t="shared" si="178"/>
        <v>#DIV/0!</v>
      </c>
      <c r="AA1016" s="340">
        <f>IFERROR(VLOOKUP($G1016,基本資料!$A:$M,11,0),"無")</f>
        <v>-35.44</v>
      </c>
      <c r="AB1016" s="389">
        <f>IFERROR(VLOOKUP($G1016,基本資料!$A:$M,12,0),"無")</f>
        <v>30.31</v>
      </c>
      <c r="AC1016" s="16" t="s">
        <v>4457</v>
      </c>
      <c r="AF1016" s="33">
        <f t="shared" si="179"/>
        <v>0</v>
      </c>
      <c r="AG1016" s="43" t="s">
        <v>2551</v>
      </c>
      <c r="AH1016" s="66">
        <f t="shared" si="175"/>
        <v>0.25950862799304414</v>
      </c>
      <c r="AI1016" s="283">
        <f>RTD("money.excel",,$G1016,"PredictVolume")</f>
        <v>291</v>
      </c>
      <c r="AJ1016" s="391">
        <f>IFERROR(VLOOKUP($G1016,基本資料!$A:$M,13,0),"無")</f>
        <v>1121.3499999999999</v>
      </c>
      <c r="AR1016" s="245" t="str">
        <f>INDEX(基本資料!N:N,MATCH($G1016,基本資料!A:A,0))</f>
        <v>低</v>
      </c>
    </row>
    <row r="1017" spans="1:44">
      <c r="A1017" s="343">
        <f>IFERROR(VLOOKUP($G1017,基本資料!$A:$J,3,0),"無")</f>
        <v>7.17</v>
      </c>
      <c r="B1017" s="79">
        <f>IFERROR(VLOOKUP($G1017,基本資料!$A:$J,4,0),"無")</f>
        <v>96</v>
      </c>
      <c r="C1017" s="79">
        <f>IFERROR(VLOOKUP($G1017,基本資料!$A:$J,5,0),"無")</f>
        <v>7</v>
      </c>
      <c r="D1017" s="79">
        <f>IFERROR(VLOOKUP($G1017,基本資料!$A:$J,6,0),"無")</f>
        <v>-3</v>
      </c>
      <c r="E1017" s="79">
        <f>IFERROR(VLOOKUP($G1017,基本資料!$A:$J,7,0),"無")</f>
        <v>-56</v>
      </c>
      <c r="F1017" s="6">
        <f>IFERROR(VLOOKUP($G1017,基本資料!$A:$J,8,0),"無")</f>
        <v>-50.26</v>
      </c>
      <c r="G1017" s="79">
        <v>8176</v>
      </c>
      <c r="H1017" s="8" t="s">
        <v>311</v>
      </c>
      <c r="I1017" s="16" t="s">
        <v>4458</v>
      </c>
      <c r="J1017" s="8" t="str">
        <f>IFERROR(VLOOKUP($G1017,今日總結!$A:$AN,39,0),"")</f>
        <v/>
      </c>
      <c r="K1017" s="5" t="str">
        <f>IFERROR(VLOOKUP($G1017,今日總結!$A:$AN,40,0),"")</f>
        <v/>
      </c>
      <c r="L1017" s="156" t="str">
        <f>IFERROR(VLOOKUP($G1017,今日總結!$A:$AN,37,0),"")</f>
        <v/>
      </c>
      <c r="M1017" s="337" t="str">
        <f>IFERROR(VLOOKUP($G1017,今日總結!$A:$AN,38,0),"")</f>
        <v/>
      </c>
      <c r="N1017" s="240" t="str">
        <f t="shared" si="180"/>
        <v/>
      </c>
      <c r="O1017" s="359" t="str">
        <f>IFERROR(VLOOKUP($G1017,融外自投!$A:$J,7,0),"無")</f>
        <v>無</v>
      </c>
      <c r="P1017" s="79" t="str">
        <f>IFERROR(VLOOKUP($G1017,融外自投!$A:$J,9,0),"無")</f>
        <v>無</v>
      </c>
      <c r="Q1017" s="342" t="str">
        <f>IFERROR(VLOOKUP($G1017,融外自投!$A:$J,8,0),"無")</f>
        <v>無</v>
      </c>
      <c r="R1017" s="81" t="str">
        <f>IFERROR(VLOOKUP($G1017,融外自投!$A:$J,10,0),"無")</f>
        <v>無</v>
      </c>
      <c r="S1017" s="324" t="str">
        <f>IFERROR(VLOOKUP($G1017,'321買'!$A:$E,4,0),"'沒有資料'")</f>
        <v>'沒有資料'</v>
      </c>
      <c r="T1017" s="186">
        <f>IFERROR(VLOOKUP($G1017,基本資料!$A:$J,9,0),"無")</f>
        <v>0</v>
      </c>
      <c r="U1017" s="307">
        <f t="shared" si="176"/>
        <v>0</v>
      </c>
      <c r="V1017" s="94">
        <f>IFERROR(VLOOKUP($G1017,基本資料!$A:$J,10,0),"無")</f>
        <v>-0.88</v>
      </c>
      <c r="W1017" s="36">
        <f>RTD("money.excel",,"8176","Price")</f>
        <v>9.2200000000000006</v>
      </c>
      <c r="X1017" s="66"/>
      <c r="Y1017" s="15">
        <f t="shared" si="177"/>
        <v>9.2200000000000006</v>
      </c>
      <c r="Z1017" s="3" t="e">
        <f t="shared" si="178"/>
        <v>#DIV/0!</v>
      </c>
      <c r="AA1017" s="340">
        <f>IFERROR(VLOOKUP($G1017,基本資料!$A:$M,11,0),"無")</f>
        <v>-30.15</v>
      </c>
      <c r="AB1017" s="389">
        <f>IFERROR(VLOOKUP($G1017,基本資料!$A:$M,12,0),"無")</f>
        <v>36.19</v>
      </c>
      <c r="AC1017" s="16" t="s">
        <v>4458</v>
      </c>
      <c r="AF1017" s="33">
        <f t="shared" si="179"/>
        <v>0</v>
      </c>
      <c r="AG1017" s="43" t="s">
        <v>4448</v>
      </c>
      <c r="AH1017" s="66">
        <f t="shared" si="175"/>
        <v>0.21834468601287674</v>
      </c>
      <c r="AI1017" s="283">
        <f>RTD("money.excel",,$G1017,"PredictVolume")</f>
        <v>234</v>
      </c>
      <c r="AJ1017" s="391">
        <f>IFERROR(VLOOKUP($G1017,基本資料!$A:$M,13,0),"無")</f>
        <v>1071.7</v>
      </c>
      <c r="AR1017" s="245" t="str">
        <f>INDEX(基本資料!N:N,MATCH($G1017,基本資料!A:A,0))</f>
        <v>低</v>
      </c>
    </row>
    <row r="1018" spans="1:44">
      <c r="A1018" s="142"/>
      <c r="B1018" s="194"/>
      <c r="C1018" s="194"/>
      <c r="D1018" s="90"/>
      <c r="E1018" s="90"/>
      <c r="F1018" s="6"/>
      <c r="G1018" s="79"/>
      <c r="H1018" s="8"/>
      <c r="I1018" s="16"/>
      <c r="L1018" s="2"/>
      <c r="R1018" s="26"/>
      <c r="T1018" s="34"/>
      <c r="V1018" s="94"/>
      <c r="W1018" s="36"/>
      <c r="X1018" s="66"/>
      <c r="Y1018" s="15"/>
      <c r="Z1018" s="3"/>
      <c r="AC1018" s="16"/>
      <c r="AF1018" s="33"/>
      <c r="AG1018" s="43"/>
      <c r="AH1018" s="66" t="e">
        <f t="shared" si="175"/>
        <v>#DIV/0!</v>
      </c>
      <c r="AI1018" s="283"/>
    </row>
    <row r="1019" spans="1:44">
      <c r="A1019" s="127" t="s">
        <v>3875</v>
      </c>
      <c r="B1019" s="90" t="s">
        <v>3876</v>
      </c>
      <c r="C1019" s="90" t="s">
        <v>3877</v>
      </c>
      <c r="D1019" s="90" t="s">
        <v>3878</v>
      </c>
      <c r="E1019" s="90" t="s">
        <v>3879</v>
      </c>
      <c r="F1019" s="8" t="s">
        <v>3880</v>
      </c>
      <c r="G1019" s="27" t="s">
        <v>427</v>
      </c>
      <c r="H1019" s="55" t="s">
        <v>320</v>
      </c>
      <c r="I1019" s="8" t="s">
        <v>4459</v>
      </c>
      <c r="J1019" s="8" t="s">
        <v>6211</v>
      </c>
      <c r="K1019" s="5" t="s">
        <v>6212</v>
      </c>
      <c r="L1019" s="334" t="s">
        <v>6197</v>
      </c>
      <c r="M1019" s="335" t="s">
        <v>6198</v>
      </c>
      <c r="N1019" s="336" t="s">
        <v>6199</v>
      </c>
      <c r="O1019" s="89" t="s">
        <v>6275</v>
      </c>
      <c r="P1019" s="292" t="s">
        <v>6274</v>
      </c>
      <c r="Q1019" s="350" t="s">
        <v>6273</v>
      </c>
      <c r="R1019" s="26" t="s">
        <v>6276</v>
      </c>
      <c r="S1019" s="318" t="s">
        <v>4715</v>
      </c>
      <c r="T1019" s="10" t="s">
        <v>3883</v>
      </c>
      <c r="U1019" s="305" t="s">
        <v>4728</v>
      </c>
      <c r="V1019" s="68" t="s">
        <v>3272</v>
      </c>
      <c r="W1019" s="28" t="s">
        <v>2</v>
      </c>
      <c r="X1019" s="17" t="s">
        <v>3884</v>
      </c>
      <c r="Y1019" s="14" t="s">
        <v>3885</v>
      </c>
      <c r="Z1019" s="21" t="s">
        <v>3886</v>
      </c>
      <c r="AA1019" s="96" t="s">
        <v>6166</v>
      </c>
      <c r="AB1019" s="378" t="s">
        <v>6404</v>
      </c>
      <c r="AC1019" s="8" t="s">
        <v>4459</v>
      </c>
      <c r="AD1019" s="71" t="s">
        <v>3887</v>
      </c>
      <c r="AE1019" s="72" t="s">
        <v>3888</v>
      </c>
      <c r="AF1019" s="32" t="s">
        <v>3889</v>
      </c>
      <c r="AG1019" s="25" t="s">
        <v>6200</v>
      </c>
      <c r="AH1019" s="8" t="s">
        <v>6696</v>
      </c>
      <c r="AI1019" s="50" t="s">
        <v>3360</v>
      </c>
      <c r="AJ1019" s="22" t="s">
        <v>6695</v>
      </c>
    </row>
    <row r="1020" spans="1:44">
      <c r="A1020" s="343">
        <f>IFERROR(VLOOKUP($G1020,基本資料!$A:$J,3,0),"無")</f>
        <v>7.7</v>
      </c>
      <c r="B1020" s="79">
        <f>IFERROR(VLOOKUP($G1020,基本資料!$A:$J,4,0),"無")</f>
        <v>-60</v>
      </c>
      <c r="C1020" s="79">
        <f>IFERROR(VLOOKUP($G1020,基本資料!$A:$J,5,0),"無")</f>
        <v>102</v>
      </c>
      <c r="D1020" s="79">
        <f>IFERROR(VLOOKUP($G1020,基本資料!$A:$J,6,0),"無")</f>
        <v>2</v>
      </c>
      <c r="E1020" s="79">
        <f>IFERROR(VLOOKUP($G1020,基本資料!$A:$J,7,0),"無")</f>
        <v>7</v>
      </c>
      <c r="F1020" s="6">
        <f>IFERROR(VLOOKUP($G1020,基本資料!$A:$J,8,0),"無")</f>
        <v>6.75</v>
      </c>
      <c r="G1020" s="79">
        <v>1336</v>
      </c>
      <c r="H1020" s="8" t="s">
        <v>308</v>
      </c>
      <c r="I1020" s="16" t="s">
        <v>4460</v>
      </c>
      <c r="J1020" s="8" t="str">
        <f>IFERROR(VLOOKUP($G1020,今日總結!$A:$AN,39,0),"")</f>
        <v/>
      </c>
      <c r="K1020" s="5" t="str">
        <f>IFERROR(VLOOKUP($G1020,今日總結!$A:$AN,40,0),"")</f>
        <v/>
      </c>
      <c r="L1020" s="156" t="str">
        <f>IFERROR(VLOOKUP($G1020,今日總結!$A:$AN,37,0),"")</f>
        <v/>
      </c>
      <c r="M1020" s="337" t="str">
        <f>IFERROR(VLOOKUP($G1020,今日總結!$A:$AN,38,0),"")</f>
        <v/>
      </c>
      <c r="N1020" s="240" t="str">
        <f t="shared" ref="N1020" si="186">IFERROR(L1020-M1020,"")</f>
        <v/>
      </c>
      <c r="O1020" s="359">
        <f>IFERROR(VLOOKUP($G1020,融外自投!$A:$J,7,0),"無")</f>
        <v>628</v>
      </c>
      <c r="P1020" s="79" t="str">
        <f>IFERROR(VLOOKUP($G1020,融外自投!$A:$J,9,0),"無")</f>
        <v>無</v>
      </c>
      <c r="Q1020" s="342">
        <f>IFERROR(VLOOKUP($G1020,融外自投!$A:$J,8,0),"無")</f>
        <v>1192</v>
      </c>
      <c r="R1020" s="81" t="str">
        <f>IFERROR(VLOOKUP($G1020,融外自投!$A:$J,10,0),"無")</f>
        <v>無</v>
      </c>
      <c r="S1020" s="324" t="str">
        <f>IFERROR(VLOOKUP($G1020,'321買'!$A:$E,4,0),"'沒有資料'")</f>
        <v>'沒有資料'</v>
      </c>
      <c r="T1020" s="186">
        <f>IFERROR(VLOOKUP($G1020,基本資料!$A:$J,9,0),"無")</f>
        <v>0.4</v>
      </c>
      <c r="U1020" s="307">
        <f t="shared" ref="U1020:U1083" si="187">$T1020/$W1020</f>
        <v>2.1052631578947368E-2</v>
      </c>
      <c r="V1020" s="94">
        <f>IFERROR(VLOOKUP($G1020,基本資料!$A:$J,10,0),"無")</f>
        <v>1</v>
      </c>
      <c r="W1020" s="36">
        <f>RTD("money.excel",,"1336","Price")</f>
        <v>19</v>
      </c>
      <c r="X1020" s="66"/>
      <c r="Y1020" s="15">
        <f t="shared" ref="Y1020:Y1081" si="188">W1020-X1020</f>
        <v>19</v>
      </c>
      <c r="Z1020" s="3" t="e">
        <f t="shared" ref="Z1020:Z1081" si="189">Y1020/X1020</f>
        <v>#DIV/0!</v>
      </c>
      <c r="AA1020" s="340">
        <f>IFERROR(VLOOKUP($G1020,基本資料!$A:$M,11,0),"無")</f>
        <v>-23.69</v>
      </c>
      <c r="AB1020" s="389">
        <f>IFERROR(VLOOKUP($G1020,基本資料!$A:$M,12,0),"無")</f>
        <v>33.020000000000003</v>
      </c>
      <c r="AC1020" s="16" t="s">
        <v>4460</v>
      </c>
      <c r="AF1020" s="33">
        <f t="shared" ref="AF1020:AF1081" si="190">AE1020-AD1020</f>
        <v>0</v>
      </c>
      <c r="AG1020" s="43" t="s">
        <v>4461</v>
      </c>
      <c r="AH1020" s="66">
        <f t="shared" si="175"/>
        <v>0.34899328859060402</v>
      </c>
      <c r="AI1020" s="283">
        <f>RTD("money.excel",,$G1020,"PredictVolume")</f>
        <v>13</v>
      </c>
      <c r="AJ1020" s="391">
        <f>IFERROR(VLOOKUP($G1020,基本資料!$A:$M,13,0),"無")</f>
        <v>37.25</v>
      </c>
      <c r="AR1020" s="245" t="str">
        <f>INDEX(基本資料!N:N,MATCH($G1020,基本資料!A:A,0))</f>
        <v>低</v>
      </c>
    </row>
    <row r="1021" spans="1:44">
      <c r="A1021" s="343">
        <f>IFERROR(VLOOKUP($G1021,基本資料!$A:$J,3,0),"無")</f>
        <v>15.04</v>
      </c>
      <c r="B1021" s="79">
        <f>IFERROR(VLOOKUP($G1021,基本資料!$A:$J,4,0),"無")</f>
        <v>-104</v>
      </c>
      <c r="C1021" s="79">
        <f>IFERROR(VLOOKUP($G1021,基本資料!$A:$J,5,0),"無")</f>
        <v>-34</v>
      </c>
      <c r="D1021" s="79">
        <f>IFERROR(VLOOKUP($G1021,基本資料!$A:$J,6,0),"無")</f>
        <v>43</v>
      </c>
      <c r="E1021" s="79">
        <f>IFERROR(VLOOKUP($G1021,基本資料!$A:$J,7,0),"無")</f>
        <v>-26</v>
      </c>
      <c r="F1021" s="6">
        <f>IFERROR(VLOOKUP($G1021,基本資料!$A:$J,8,0),"無")</f>
        <v>-39.67</v>
      </c>
      <c r="G1021" s="79">
        <v>1471</v>
      </c>
      <c r="H1021" s="8" t="s">
        <v>308</v>
      </c>
      <c r="I1021" s="22" t="s">
        <v>4462</v>
      </c>
      <c r="J1021" s="8" t="str">
        <f>IFERROR(VLOOKUP($G1021,今日總結!$A:$AN,39,0),"")</f>
        <v/>
      </c>
      <c r="K1021" s="5" t="str">
        <f>IFERROR(VLOOKUP($G1021,今日總結!$A:$AN,40,0),"")</f>
        <v/>
      </c>
      <c r="L1021" s="156" t="str">
        <f>IFERROR(VLOOKUP($G1021,今日總結!$A:$AN,37,0),"")</f>
        <v/>
      </c>
      <c r="M1021" s="337" t="str">
        <f>IFERROR(VLOOKUP($G1021,今日總結!$A:$AN,38,0),"")</f>
        <v/>
      </c>
      <c r="N1021" s="240" t="str">
        <f t="shared" ref="N1021:N1084" si="191">IFERROR(L1021-M1021,"")</f>
        <v/>
      </c>
      <c r="O1021" s="359" t="str">
        <f>IFERROR(VLOOKUP($G1021,融外自投!$A:$J,7,0),"無")</f>
        <v>無</v>
      </c>
      <c r="P1021" s="79" t="str">
        <f>IFERROR(VLOOKUP($G1021,融外自投!$A:$J,9,0),"無")</f>
        <v>無</v>
      </c>
      <c r="Q1021" s="342" t="str">
        <f>IFERROR(VLOOKUP($G1021,融外自投!$A:$J,8,0),"無")</f>
        <v>無</v>
      </c>
      <c r="R1021" s="81" t="str">
        <f>IFERROR(VLOOKUP($G1021,融外自投!$A:$J,10,0),"無")</f>
        <v>無</v>
      </c>
      <c r="S1021" s="324" t="str">
        <f>IFERROR(VLOOKUP($G1021,'321買'!$A:$E,4,0),"'沒有資料'")</f>
        <v>'沒有資料'</v>
      </c>
      <c r="T1021" s="186">
        <f>IFERROR(VLOOKUP($G1021,基本資料!$A:$J,9,0),"無")</f>
        <v>0</v>
      </c>
      <c r="U1021" s="307">
        <f t="shared" si="187"/>
        <v>0</v>
      </c>
      <c r="V1021" s="94">
        <f>IFERROR(VLOOKUP($G1021,基本資料!$A:$J,10,0),"無")</f>
        <v>-0.12</v>
      </c>
      <c r="W1021" s="36">
        <f>RTD("money.excel",,"1471","Price")</f>
        <v>6.63</v>
      </c>
      <c r="X1021" s="66"/>
      <c r="Y1021" s="15">
        <f t="shared" si="188"/>
        <v>6.63</v>
      </c>
      <c r="Z1021" s="3" t="e">
        <f t="shared" si="189"/>
        <v>#DIV/0!</v>
      </c>
      <c r="AA1021" s="340">
        <f>IFERROR(VLOOKUP($G1021,基本資料!$A:$M,11,0),"無")</f>
        <v>-47.59</v>
      </c>
      <c r="AB1021" s="389">
        <f>IFERROR(VLOOKUP($G1021,基本資料!$A:$M,12,0),"無")</f>
        <v>16.45</v>
      </c>
      <c r="AC1021" s="22" t="s">
        <v>4462</v>
      </c>
      <c r="AF1021" s="33">
        <f t="shared" si="190"/>
        <v>0</v>
      </c>
      <c r="AG1021" s="43" t="s">
        <v>2372</v>
      </c>
      <c r="AH1021" s="66">
        <f t="shared" si="175"/>
        <v>0.74284465807297362</v>
      </c>
      <c r="AI1021" s="283">
        <f>RTD("money.excel",,$G1021,"PredictVolume")</f>
        <v>170</v>
      </c>
      <c r="AJ1021" s="391">
        <f>IFERROR(VLOOKUP($G1021,基本資料!$A:$M,13,0),"無")</f>
        <v>228.85</v>
      </c>
      <c r="AR1021" s="245" t="str">
        <f>INDEX(基本資料!N:N,MATCH($G1021,基本資料!A:A,0))</f>
        <v>低</v>
      </c>
    </row>
    <row r="1022" spans="1:44">
      <c r="A1022" s="343">
        <f>IFERROR(VLOOKUP($G1022,基本資料!$A:$J,3,0),"無")</f>
        <v>12.37</v>
      </c>
      <c r="B1022" s="79">
        <f>IFERROR(VLOOKUP($G1022,基本資料!$A:$J,4,0),"無")</f>
        <v>-75</v>
      </c>
      <c r="C1022" s="79">
        <f>IFERROR(VLOOKUP($G1022,基本資料!$A:$J,5,0),"無")</f>
        <v>-74</v>
      </c>
      <c r="D1022" s="79">
        <f>IFERROR(VLOOKUP($G1022,基本資料!$A:$J,6,0),"無")</f>
        <v>-29</v>
      </c>
      <c r="E1022" s="79">
        <f>IFERROR(VLOOKUP($G1022,基本資料!$A:$J,7,0),"無")</f>
        <v>-12</v>
      </c>
      <c r="F1022" s="6">
        <f>IFERROR(VLOOKUP($G1022,基本資料!$A:$J,8,0),"無")</f>
        <v>3.87</v>
      </c>
      <c r="G1022" s="79">
        <v>1582</v>
      </c>
      <c r="H1022" s="8" t="s">
        <v>308</v>
      </c>
      <c r="I1022" s="22" t="s">
        <v>4463</v>
      </c>
      <c r="J1022" s="8">
        <f>IFERROR(VLOOKUP($G1022,今日總結!$A:$AN,39,0),"")</f>
        <v>0</v>
      </c>
      <c r="K1022" s="5" t="str">
        <f>IFERROR(VLOOKUP($G1022,今日總結!$A:$AN,40,0),"")</f>
        <v>主</v>
      </c>
      <c r="L1022" s="156">
        <f>IFERROR(VLOOKUP($G1022,今日總結!$A:$AN,37,0),"")</f>
        <v>0</v>
      </c>
      <c r="M1022" s="337">
        <f>IFERROR(VLOOKUP($G1022,今日總結!$A:$AN,38,0),"")</f>
        <v>3</v>
      </c>
      <c r="N1022" s="240">
        <f t="shared" si="191"/>
        <v>-3</v>
      </c>
      <c r="O1022" s="359">
        <f>IFERROR(VLOOKUP($G1022,融外自投!$A:$J,7,0),"無")</f>
        <v>885</v>
      </c>
      <c r="P1022" s="79">
        <f>IFERROR(VLOOKUP($G1022,融外自投!$A:$J,9,0),"無")</f>
        <v>825</v>
      </c>
      <c r="Q1022" s="342">
        <f>IFERROR(VLOOKUP($G1022,融外自投!$A:$J,8,0),"無")</f>
        <v>437</v>
      </c>
      <c r="R1022" s="81" t="str">
        <f>IFERROR(VLOOKUP($G1022,融外自投!$A:$J,10,0),"無")</f>
        <v>無</v>
      </c>
      <c r="S1022" s="324">
        <f>IFERROR(VLOOKUP($G1022,'321買'!$A:$E,4,0),"'沒有資料'")</f>
        <v>891</v>
      </c>
      <c r="T1022" s="186">
        <f>IFERROR(VLOOKUP($G1022,基本資料!$A:$J,9,0),"無")</f>
        <v>5.3</v>
      </c>
      <c r="U1022" s="307">
        <f t="shared" si="187"/>
        <v>7.8402366863905323E-2</v>
      </c>
      <c r="V1022" s="94">
        <f>IFERROR(VLOOKUP($G1022,基本資料!$A:$J,10,0),"無")</f>
        <v>2.0299999999999998</v>
      </c>
      <c r="W1022" s="36">
        <f>RTD("money.excel",,"1582","Price")</f>
        <v>67.599999999999994</v>
      </c>
      <c r="X1022" s="66"/>
      <c r="Y1022" s="15">
        <f t="shared" si="188"/>
        <v>67.599999999999994</v>
      </c>
      <c r="Z1022" s="3" t="e">
        <f t="shared" si="189"/>
        <v>#DIV/0!</v>
      </c>
      <c r="AA1022" s="340">
        <f>IFERROR(VLOOKUP($G1022,基本資料!$A:$M,11,0),"無")</f>
        <v>-20.47</v>
      </c>
      <c r="AB1022" s="389">
        <f>IFERROR(VLOOKUP($G1022,基本資料!$A:$M,12,0),"無")</f>
        <v>27.69</v>
      </c>
      <c r="AC1022" s="22" t="s">
        <v>4463</v>
      </c>
      <c r="AF1022" s="33">
        <f t="shared" si="190"/>
        <v>0</v>
      </c>
      <c r="AG1022" s="43" t="s">
        <v>4464</v>
      </c>
      <c r="AH1022" s="66">
        <f t="shared" si="175"/>
        <v>1.4285714285714286</v>
      </c>
      <c r="AI1022" s="283">
        <f>RTD("money.excel",,$G1022,"PredictVolume")</f>
        <v>230</v>
      </c>
      <c r="AJ1022" s="391">
        <f>IFERROR(VLOOKUP($G1022,基本資料!$A:$M,13,0),"無")</f>
        <v>161</v>
      </c>
      <c r="AR1022" s="245" t="str">
        <f>INDEX(基本資料!N:N,MATCH($G1022,基本資料!A:A,0))</f>
        <v>低</v>
      </c>
    </row>
    <row r="1023" spans="1:44">
      <c r="A1023" s="343">
        <f>IFERROR(VLOOKUP($G1023,基本資料!$A:$J,3,0),"無")</f>
        <v>4.6900000000000004</v>
      </c>
      <c r="B1023" s="79">
        <f>IFERROR(VLOOKUP($G1023,基本資料!$A:$J,4,0),"無")</f>
        <v>2014</v>
      </c>
      <c r="C1023" s="79">
        <f>IFERROR(VLOOKUP($G1023,基本資料!$A:$J,5,0),"無")</f>
        <v>235</v>
      </c>
      <c r="D1023" s="79">
        <f>IFERROR(VLOOKUP($G1023,基本資料!$A:$J,6,0),"無")</f>
        <v>17</v>
      </c>
      <c r="E1023" s="79">
        <f>IFERROR(VLOOKUP($G1023,基本資料!$A:$J,7,0),"無")</f>
        <v>7</v>
      </c>
      <c r="F1023" s="6">
        <f>IFERROR(VLOOKUP($G1023,基本資料!$A:$J,8,0),"無")</f>
        <v>10.37</v>
      </c>
      <c r="G1023" s="79">
        <v>1595</v>
      </c>
      <c r="H1023" s="8" t="s">
        <v>308</v>
      </c>
      <c r="I1023" s="16" t="s">
        <v>4465</v>
      </c>
      <c r="J1023" s="8">
        <f>IFERROR(VLOOKUP($G1023,今日總結!$A:$AN,39,0),"")</f>
        <v>0</v>
      </c>
      <c r="K1023" s="5" t="str">
        <f>IFERROR(VLOOKUP($G1023,今日總結!$A:$AN,40,0),"")</f>
        <v>外</v>
      </c>
      <c r="L1023" s="156">
        <f>IFERROR(VLOOKUP($G1023,今日總結!$A:$AN,37,0),"")</f>
        <v>0</v>
      </c>
      <c r="M1023" s="337">
        <f>IFERROR(VLOOKUP($G1023,今日總結!$A:$AN,38,0),"")</f>
        <v>7</v>
      </c>
      <c r="N1023" s="240">
        <f t="shared" si="191"/>
        <v>-7</v>
      </c>
      <c r="O1023" s="359">
        <f>IFERROR(VLOOKUP($G1023,融外自投!$A:$J,7,0),"無")</f>
        <v>1059</v>
      </c>
      <c r="P1023" s="79" t="str">
        <f>IFERROR(VLOOKUP($G1023,融外自投!$A:$J,9,0),"無")</f>
        <v>無</v>
      </c>
      <c r="Q1023" s="342">
        <f>IFERROR(VLOOKUP($G1023,融外自投!$A:$J,8,0),"無")</f>
        <v>1097</v>
      </c>
      <c r="R1023" s="81" t="str">
        <f>IFERROR(VLOOKUP($G1023,融外自投!$A:$J,10,0),"無")</f>
        <v>無</v>
      </c>
      <c r="S1023" s="324">
        <f>IFERROR(VLOOKUP($G1023,'321買'!$A:$E,4,0),"'沒有資料'")</f>
        <v>891</v>
      </c>
      <c r="T1023" s="186">
        <f>IFERROR(VLOOKUP($G1023,基本資料!$A:$J,9,0),"無")</f>
        <v>2</v>
      </c>
      <c r="U1023" s="307">
        <f t="shared" si="187"/>
        <v>5.181347150259067E-2</v>
      </c>
      <c r="V1023" s="94">
        <f>IFERROR(VLOOKUP($G1023,基本資料!$A:$J,10,0),"無")</f>
        <v>3.93</v>
      </c>
      <c r="W1023" s="36">
        <f>RTD("money.excel",,"1595","Price")</f>
        <v>38.6</v>
      </c>
      <c r="X1023" s="66"/>
      <c r="Y1023" s="15">
        <f t="shared" si="188"/>
        <v>38.6</v>
      </c>
      <c r="Z1023" s="3" t="e">
        <f t="shared" si="189"/>
        <v>#DIV/0!</v>
      </c>
      <c r="AA1023" s="340">
        <f>IFERROR(VLOOKUP($G1023,基本資料!$A:$M,11,0),"無")</f>
        <v>-28.25</v>
      </c>
      <c r="AB1023" s="389">
        <f>IFERROR(VLOOKUP($G1023,基本資料!$A:$M,12,0),"無")</f>
        <v>29.36</v>
      </c>
      <c r="AC1023" s="16" t="s">
        <v>4465</v>
      </c>
      <c r="AF1023" s="33">
        <f t="shared" si="190"/>
        <v>0</v>
      </c>
      <c r="AG1023" s="43" t="s">
        <v>4466</v>
      </c>
      <c r="AH1023" s="66">
        <f t="shared" si="175"/>
        <v>1.1956521739130435</v>
      </c>
      <c r="AI1023" s="283">
        <f>RTD("money.excel",,$G1023,"PredictVolume")</f>
        <v>33</v>
      </c>
      <c r="AJ1023" s="391">
        <f>IFERROR(VLOOKUP($G1023,基本資料!$A:$M,13,0),"無")</f>
        <v>27.6</v>
      </c>
      <c r="AR1023" s="245" t="str">
        <f>INDEX(基本資料!N:N,MATCH($G1023,基本資料!A:A,0))</f>
        <v>低</v>
      </c>
    </row>
    <row r="1024" spans="1:44">
      <c r="A1024" s="343">
        <f>IFERROR(VLOOKUP($G1024,基本資料!$A:$J,3,0),"無")</f>
        <v>42.84</v>
      </c>
      <c r="B1024" s="79">
        <f>IFERROR(VLOOKUP($G1024,基本資料!$A:$J,4,0),"無")</f>
        <v>225</v>
      </c>
      <c r="C1024" s="79">
        <f>IFERROR(VLOOKUP($G1024,基本資料!$A:$J,5,0),"無")</f>
        <v>214</v>
      </c>
      <c r="D1024" s="79">
        <f>IFERROR(VLOOKUP($G1024,基本資料!$A:$J,6,0),"無")</f>
        <v>56</v>
      </c>
      <c r="E1024" s="79">
        <f>IFERROR(VLOOKUP($G1024,基本資料!$A:$J,7,0),"無")</f>
        <v>14</v>
      </c>
      <c r="F1024" s="6">
        <f>IFERROR(VLOOKUP($G1024,基本資料!$A:$J,8,0),"無")</f>
        <v>13.4</v>
      </c>
      <c r="G1024" s="79">
        <v>1815</v>
      </c>
      <c r="H1024" s="8" t="s">
        <v>308</v>
      </c>
      <c r="I1024" s="16" t="s">
        <v>4467</v>
      </c>
      <c r="J1024" s="8">
        <f>IFERROR(VLOOKUP($G1024,今日總結!$A:$AN,39,0),"")</f>
        <v>0</v>
      </c>
      <c r="K1024" s="5">
        <f>IFERROR(VLOOKUP($G1024,今日總結!$A:$AN,40,0),"")</f>
        <v>0</v>
      </c>
      <c r="L1024" s="156">
        <f>IFERROR(VLOOKUP($G1024,今日總結!$A:$AN,37,0),"")</f>
        <v>0</v>
      </c>
      <c r="M1024" s="337">
        <f>IFERROR(VLOOKUP($G1024,今日總結!$A:$AN,38,0),"")</f>
        <v>0</v>
      </c>
      <c r="N1024" s="240">
        <f t="shared" si="191"/>
        <v>0</v>
      </c>
      <c r="O1024" s="359">
        <f>IFERROR(VLOOKUP($G1024,融外自投!$A:$J,7,0),"無")</f>
        <v>360</v>
      </c>
      <c r="P1024" s="79" t="str">
        <f>IFERROR(VLOOKUP($G1024,融外自投!$A:$J,9,0),"無")</f>
        <v>無</v>
      </c>
      <c r="Q1024" s="342">
        <f>IFERROR(VLOOKUP($G1024,融外自投!$A:$J,8,0),"無")</f>
        <v>953</v>
      </c>
      <c r="R1024" s="81" t="str">
        <f>IFERROR(VLOOKUP($G1024,融外自投!$A:$J,10,0),"無")</f>
        <v>無</v>
      </c>
      <c r="S1024" s="324">
        <f>IFERROR(VLOOKUP($G1024,'321買'!$A:$E,4,0),"'沒有資料'")</f>
        <v>565</v>
      </c>
      <c r="T1024" s="186">
        <f>IFERROR(VLOOKUP($G1024,基本資料!$A:$J,9,0),"無")</f>
        <v>0.9</v>
      </c>
      <c r="U1024" s="307">
        <f t="shared" si="187"/>
        <v>6.6176470588235295E-2</v>
      </c>
      <c r="V1024" s="94">
        <f>IFERROR(VLOOKUP($G1024,基本資料!$A:$J,10,0),"無")</f>
        <v>1.43</v>
      </c>
      <c r="W1024" s="36">
        <f>RTD("money.excel",,"1815","Price")</f>
        <v>13.6</v>
      </c>
      <c r="X1024" s="66"/>
      <c r="Y1024" s="15">
        <f t="shared" si="188"/>
        <v>13.6</v>
      </c>
      <c r="Z1024" s="3" t="e">
        <f t="shared" si="189"/>
        <v>#DIV/0!</v>
      </c>
      <c r="AA1024" s="340">
        <f>IFERROR(VLOOKUP($G1024,基本資料!$A:$M,11,0),"無")</f>
        <v>-40.35</v>
      </c>
      <c r="AB1024" s="389">
        <f>IFERROR(VLOOKUP($G1024,基本資料!$A:$M,12,0),"無")</f>
        <v>28.89</v>
      </c>
      <c r="AC1024" s="16" t="s">
        <v>4467</v>
      </c>
      <c r="AF1024" s="33">
        <f t="shared" si="190"/>
        <v>0</v>
      </c>
      <c r="AG1024" s="117" t="s">
        <v>1052</v>
      </c>
      <c r="AH1024" s="66">
        <f t="shared" si="175"/>
        <v>0.57115080811763286</v>
      </c>
      <c r="AI1024" s="283">
        <f>RTD("money.excel",,$G1024,"PredictVolume")</f>
        <v>705</v>
      </c>
      <c r="AJ1024" s="391">
        <f>IFERROR(VLOOKUP($G1024,基本資料!$A:$M,13,0),"無")</f>
        <v>1234.3499999999999</v>
      </c>
      <c r="AR1024" s="245" t="str">
        <f>INDEX(基本資料!N:N,MATCH($G1024,基本資料!A:A,0))</f>
        <v>低</v>
      </c>
    </row>
    <row r="1025" spans="1:44">
      <c r="A1025" s="343">
        <f>IFERROR(VLOOKUP($G1025,基本資料!$A:$J,3,0),"無")</f>
        <v>9.52</v>
      </c>
      <c r="B1025" s="79">
        <f>IFERROR(VLOOKUP($G1025,基本資料!$A:$J,4,0),"無")</f>
        <v>77</v>
      </c>
      <c r="C1025" s="79">
        <f>IFERROR(VLOOKUP($G1025,基本資料!$A:$J,5,0),"無")</f>
        <v>38</v>
      </c>
      <c r="D1025" s="79">
        <f>IFERROR(VLOOKUP($G1025,基本資料!$A:$J,6,0),"無")</f>
        <v>-5</v>
      </c>
      <c r="E1025" s="79">
        <f>IFERROR(VLOOKUP($G1025,基本資料!$A:$J,7,0),"無")</f>
        <v>21</v>
      </c>
      <c r="F1025" s="6">
        <f>IFERROR(VLOOKUP($G1025,基本資料!$A:$J,8,0),"無")</f>
        <v>42.88</v>
      </c>
      <c r="G1025" s="79">
        <v>2059</v>
      </c>
      <c r="H1025" s="192" t="s">
        <v>308</v>
      </c>
      <c r="I1025" s="22" t="s">
        <v>4468</v>
      </c>
      <c r="J1025" s="8">
        <f>IFERROR(VLOOKUP($G1025,今日總結!$A:$AN,39,0),"")</f>
        <v>0</v>
      </c>
      <c r="K1025" s="5">
        <f>IFERROR(VLOOKUP($G1025,今日總結!$A:$AN,40,0),"")</f>
        <v>0</v>
      </c>
      <c r="L1025" s="156">
        <f>IFERROR(VLOOKUP($G1025,今日總結!$A:$AN,37,0),"")</f>
        <v>0</v>
      </c>
      <c r="M1025" s="337">
        <f>IFERROR(VLOOKUP($G1025,今日總結!$A:$AN,38,0),"")</f>
        <v>0</v>
      </c>
      <c r="N1025" s="240">
        <f t="shared" si="191"/>
        <v>0</v>
      </c>
      <c r="O1025" s="359">
        <f>IFERROR(VLOOKUP($G1025,融外自投!$A:$J,7,0),"無")</f>
        <v>1091</v>
      </c>
      <c r="P1025" s="79">
        <f>IFERROR(VLOOKUP($G1025,融外自投!$A:$J,9,0),"無")</f>
        <v>302</v>
      </c>
      <c r="Q1025" s="342">
        <f>IFERROR(VLOOKUP($G1025,融外自投!$A:$J,8,0),"無")</f>
        <v>316</v>
      </c>
      <c r="R1025" s="81">
        <f>IFERROR(VLOOKUP($G1025,融外自投!$A:$J,10,0),"無")</f>
        <v>177</v>
      </c>
      <c r="S1025" s="324">
        <f>IFERROR(VLOOKUP($G1025,'321買'!$A:$E,4,0),"'沒有資料'")</f>
        <v>565</v>
      </c>
      <c r="T1025" s="186">
        <f>IFERROR(VLOOKUP($G1025,基本資料!$A:$J,9,0),"無")</f>
        <v>10.88</v>
      </c>
      <c r="U1025" s="307">
        <f t="shared" si="187"/>
        <v>2.4868571428571431E-2</v>
      </c>
      <c r="V1025" s="94">
        <f>IFERROR(VLOOKUP($G1025,基本資料!$A:$J,10,0),"無")</f>
        <v>21.75</v>
      </c>
      <c r="W1025" s="36">
        <f>RTD("money.excel",,"2059","Price")</f>
        <v>437.5</v>
      </c>
      <c r="X1025" s="66"/>
      <c r="Y1025" s="15">
        <f t="shared" si="188"/>
        <v>437.5</v>
      </c>
      <c r="Z1025" s="3" t="e">
        <f t="shared" si="189"/>
        <v>#DIV/0!</v>
      </c>
      <c r="AA1025" s="340">
        <f>IFERROR(VLOOKUP($G1025,基本資料!$A:$M,11,0),"無")</f>
        <v>-18.829999999999998</v>
      </c>
      <c r="AB1025" s="389">
        <f>IFERROR(VLOOKUP($G1025,基本資料!$A:$M,12,0),"無")</f>
        <v>58.81</v>
      </c>
      <c r="AC1025" s="22" t="s">
        <v>4468</v>
      </c>
      <c r="AF1025" s="33">
        <f t="shared" si="190"/>
        <v>0</v>
      </c>
      <c r="AG1025" s="117" t="s">
        <v>4469</v>
      </c>
      <c r="AH1025" s="66">
        <f t="shared" si="175"/>
        <v>0.94481937276697103</v>
      </c>
      <c r="AI1025" s="283">
        <f>RTD("money.excel",,$G1025,"PredictVolume")</f>
        <v>238</v>
      </c>
      <c r="AJ1025" s="391">
        <f>IFERROR(VLOOKUP($G1025,基本資料!$A:$M,13,0),"無")</f>
        <v>251.9</v>
      </c>
      <c r="AR1025" s="245" t="str">
        <f>INDEX(基本資料!N:N,MATCH($G1025,基本資料!A:A,0))</f>
        <v>中</v>
      </c>
    </row>
    <row r="1026" spans="1:44">
      <c r="A1026" s="343">
        <f>IFERROR(VLOOKUP($G1026,基本資料!$A:$J,3,0),"無")</f>
        <v>259</v>
      </c>
      <c r="B1026" s="79">
        <f>IFERROR(VLOOKUP($G1026,基本資料!$A:$J,4,0),"無")</f>
        <v>4</v>
      </c>
      <c r="C1026" s="79">
        <f>IFERROR(VLOOKUP($G1026,基本資料!$A:$J,5,0),"無")</f>
        <v>0</v>
      </c>
      <c r="D1026" s="79">
        <f>IFERROR(VLOOKUP($G1026,基本資料!$A:$J,6,0),"無")</f>
        <v>-11</v>
      </c>
      <c r="E1026" s="79">
        <f>IFERROR(VLOOKUP($G1026,基本資料!$A:$J,7,0),"無")</f>
        <v>3</v>
      </c>
      <c r="F1026" s="6">
        <f>IFERROR(VLOOKUP($G1026,基本資料!$A:$J,8,0),"無")</f>
        <v>9.9700000000000006</v>
      </c>
      <c r="G1026" s="79">
        <v>2308</v>
      </c>
      <c r="H1026" s="8" t="s">
        <v>308</v>
      </c>
      <c r="I1026" s="22" t="s">
        <v>4470</v>
      </c>
      <c r="J1026" s="8">
        <f>IFERROR(VLOOKUP($G1026,今日總結!$A:$AN,39,0),"")</f>
        <v>0</v>
      </c>
      <c r="K1026" s="5">
        <f>IFERROR(VLOOKUP($G1026,今日總結!$A:$AN,40,0),"")</f>
        <v>0</v>
      </c>
      <c r="L1026" s="156">
        <f>IFERROR(VLOOKUP($G1026,今日總結!$A:$AN,37,0),"")</f>
        <v>0</v>
      </c>
      <c r="M1026" s="337">
        <f>IFERROR(VLOOKUP($G1026,今日總結!$A:$AN,38,0),"")</f>
        <v>0</v>
      </c>
      <c r="N1026" s="240">
        <f t="shared" si="191"/>
        <v>0</v>
      </c>
      <c r="O1026" s="359">
        <f>IFERROR(VLOOKUP($G1026,融外自投!$A:$J,7,0),"無")</f>
        <v>1321</v>
      </c>
      <c r="P1026" s="79">
        <f>IFERROR(VLOOKUP($G1026,融外自投!$A:$J,9,0),"無")</f>
        <v>451</v>
      </c>
      <c r="Q1026" s="342">
        <f>IFERROR(VLOOKUP($G1026,融外自投!$A:$J,8,0),"無")</f>
        <v>34</v>
      </c>
      <c r="R1026" s="81">
        <f>IFERROR(VLOOKUP($G1026,融外自投!$A:$J,10,0),"無")</f>
        <v>141</v>
      </c>
      <c r="S1026" s="324">
        <f>IFERROR(VLOOKUP($G1026,'321買'!$A:$E,4,0),"'沒有資料'")</f>
        <v>606</v>
      </c>
      <c r="T1026" s="186">
        <f>IFERROR(VLOOKUP($G1026,基本資料!$A:$J,9,0),"無")</f>
        <v>5.5</v>
      </c>
      <c r="U1026" s="307">
        <f t="shared" si="187"/>
        <v>2.4663677130044841E-2</v>
      </c>
      <c r="V1026" s="94">
        <f>IFERROR(VLOOKUP($G1026,基本資料!$A:$J,10,0),"無")</f>
        <v>10.32</v>
      </c>
      <c r="W1026" s="36">
        <f>RTD("money.excel",,"2308","Price")</f>
        <v>223</v>
      </c>
      <c r="X1026" s="66"/>
      <c r="Y1026" s="15">
        <f t="shared" si="188"/>
        <v>223</v>
      </c>
      <c r="Z1026" s="3" t="e">
        <f t="shared" si="189"/>
        <v>#DIV/0!</v>
      </c>
      <c r="AA1026" s="340">
        <f>IFERROR(VLOOKUP($G1026,基本資料!$A:$M,11,0),"無")</f>
        <v>-33.43</v>
      </c>
      <c r="AB1026" s="389">
        <f>IFERROR(VLOOKUP($G1026,基本資料!$A:$M,12,0),"無")</f>
        <v>20.07</v>
      </c>
      <c r="AC1026" s="22" t="s">
        <v>4470</v>
      </c>
      <c r="AF1026" s="33">
        <f t="shared" si="190"/>
        <v>0</v>
      </c>
      <c r="AG1026" s="119" t="s">
        <v>4471</v>
      </c>
      <c r="AH1026" s="66">
        <f t="shared" si="175"/>
        <v>0.58725975968337618</v>
      </c>
      <c r="AI1026" s="283">
        <f>RTD("money.excel",,$G1026,"PredictVolume")</f>
        <v>2886</v>
      </c>
      <c r="AJ1026" s="391">
        <f>IFERROR(VLOOKUP($G1026,基本資料!$A:$M,13,0),"無")</f>
        <v>4914.3500000000004</v>
      </c>
      <c r="AR1026" s="245" t="str">
        <f>INDEX(基本資料!N:N,MATCH($G1026,基本資料!A:A,0))</f>
        <v>低</v>
      </c>
    </row>
    <row r="1027" spans="1:44">
      <c r="A1027" s="343">
        <f>IFERROR(VLOOKUP($G1027,基本資料!$A:$J,3,0),"無")</f>
        <v>119</v>
      </c>
      <c r="B1027" s="79">
        <f>IFERROR(VLOOKUP($G1027,基本資料!$A:$J,4,0),"無")</f>
        <v>10</v>
      </c>
      <c r="C1027" s="79">
        <f>IFERROR(VLOOKUP($G1027,基本資料!$A:$J,5,0),"無")</f>
        <v>2</v>
      </c>
      <c r="D1027" s="79">
        <f>IFERROR(VLOOKUP($G1027,基本資料!$A:$J,6,0),"無")</f>
        <v>-14</v>
      </c>
      <c r="E1027" s="79">
        <f>IFERROR(VLOOKUP($G1027,基本資料!$A:$J,7,0),"無")</f>
        <v>15</v>
      </c>
      <c r="F1027" s="6">
        <f>IFERROR(VLOOKUP($G1027,基本資料!$A:$J,8,0),"無")</f>
        <v>10.81</v>
      </c>
      <c r="G1027" s="79">
        <v>2313</v>
      </c>
      <c r="H1027" s="192" t="s">
        <v>308</v>
      </c>
      <c r="I1027" s="22" t="s">
        <v>4472</v>
      </c>
      <c r="J1027" s="8">
        <f>IFERROR(VLOOKUP($G1027,今日總結!$A:$AN,39,0),"")</f>
        <v>0</v>
      </c>
      <c r="K1027" s="5" t="str">
        <f>IFERROR(VLOOKUP($G1027,今日總結!$A:$AN,40,0),"")</f>
        <v>融</v>
      </c>
      <c r="L1027" s="156">
        <f>IFERROR(VLOOKUP($G1027,今日總結!$A:$AN,37,0),"")</f>
        <v>0</v>
      </c>
      <c r="M1027" s="337">
        <f>IFERROR(VLOOKUP($G1027,今日總結!$A:$AN,38,0),"")</f>
        <v>3</v>
      </c>
      <c r="N1027" s="240">
        <f t="shared" si="191"/>
        <v>-3</v>
      </c>
      <c r="O1027" s="359">
        <f>IFERROR(VLOOKUP($G1027,融外自投!$A:$J,7,0),"無")</f>
        <v>595</v>
      </c>
      <c r="P1027" s="79">
        <f>IFERROR(VLOOKUP($G1027,融外自投!$A:$J,9,0),"無")</f>
        <v>132</v>
      </c>
      <c r="Q1027" s="342">
        <f>IFERROR(VLOOKUP($G1027,融外自投!$A:$J,8,0),"無")</f>
        <v>201</v>
      </c>
      <c r="R1027" s="81">
        <f>IFERROR(VLOOKUP($G1027,融外自投!$A:$J,10,0),"無")</f>
        <v>85</v>
      </c>
      <c r="S1027" s="324">
        <f>IFERROR(VLOOKUP($G1027,'321買'!$A:$E,4,0),"'沒有資料'")</f>
        <v>140</v>
      </c>
      <c r="T1027" s="186">
        <f>IFERROR(VLOOKUP($G1027,基本資料!$A:$J,9,0),"無")</f>
        <v>1.8</v>
      </c>
      <c r="U1027" s="307">
        <f t="shared" si="187"/>
        <v>3.9647577092511016E-2</v>
      </c>
      <c r="V1027" s="94">
        <f>IFERROR(VLOOKUP($G1027,基本資料!$A:$J,10,0),"無")</f>
        <v>4.3099999999999996</v>
      </c>
      <c r="W1027" s="36">
        <f>RTD("money.excel",,"2313","Price")</f>
        <v>45.4</v>
      </c>
      <c r="X1027" s="66"/>
      <c r="Y1027" s="15">
        <f t="shared" si="188"/>
        <v>45.4</v>
      </c>
      <c r="Z1027" s="3" t="e">
        <f t="shared" si="189"/>
        <v>#DIV/0!</v>
      </c>
      <c r="AA1027" s="340">
        <f>IFERROR(VLOOKUP($G1027,基本資料!$A:$M,11,0),"無")</f>
        <v>-15.14</v>
      </c>
      <c r="AB1027" s="389">
        <f>IFERROR(VLOOKUP($G1027,基本資料!$A:$M,12,0),"無")</f>
        <v>32.99</v>
      </c>
      <c r="AC1027" s="22" t="s">
        <v>4472</v>
      </c>
      <c r="AF1027" s="33">
        <f t="shared" si="190"/>
        <v>0</v>
      </c>
      <c r="AG1027" s="117" t="s">
        <v>4473</v>
      </c>
      <c r="AH1027" s="66">
        <f t="shared" si="175"/>
        <v>1.9770477686160219</v>
      </c>
      <c r="AI1027" s="283">
        <f>RTD("money.excel",,$G1027,"PredictVolume")</f>
        <v>39718</v>
      </c>
      <c r="AJ1027" s="391">
        <f>IFERROR(VLOOKUP($G1027,基本資料!$A:$M,13,0),"無")</f>
        <v>20089.55</v>
      </c>
      <c r="AR1027" s="245" t="str">
        <f>INDEX(基本資料!N:N,MATCH($G1027,基本資料!A:A,0))</f>
        <v>中</v>
      </c>
    </row>
    <row r="1028" spans="1:44">
      <c r="A1028" s="343">
        <f>IFERROR(VLOOKUP($G1028,基本資料!$A:$J,3,0),"無")</f>
        <v>18.27</v>
      </c>
      <c r="B1028" s="79">
        <f>IFERROR(VLOOKUP($G1028,基本資料!$A:$J,4,0),"無")</f>
        <v>28</v>
      </c>
      <c r="C1028" s="79">
        <f>IFERROR(VLOOKUP($G1028,基本資料!$A:$J,5,0),"無")</f>
        <v>104</v>
      </c>
      <c r="D1028" s="79">
        <f>IFERROR(VLOOKUP($G1028,基本資料!$A:$J,6,0),"無")</f>
        <v>-39</v>
      </c>
      <c r="E1028" s="79">
        <f>IFERROR(VLOOKUP($G1028,基本資料!$A:$J,7,0),"無")</f>
        <v>-17</v>
      </c>
      <c r="F1028" s="6">
        <f>IFERROR(VLOOKUP($G1028,基本資料!$A:$J,8,0),"無")</f>
        <v>0.18</v>
      </c>
      <c r="G1028" s="79">
        <v>2316</v>
      </c>
      <c r="H1028" s="8" t="s">
        <v>308</v>
      </c>
      <c r="I1028" s="22" t="s">
        <v>4474</v>
      </c>
      <c r="J1028" s="8">
        <f>IFERROR(VLOOKUP($G1028,今日總結!$A:$AN,39,0),"")</f>
        <v>0</v>
      </c>
      <c r="K1028" s="5">
        <f>IFERROR(VLOOKUP($G1028,今日總結!$A:$AN,40,0),"")</f>
        <v>0</v>
      </c>
      <c r="L1028" s="156">
        <f>IFERROR(VLOOKUP($G1028,今日總結!$A:$AN,37,0),"")</f>
        <v>0</v>
      </c>
      <c r="M1028" s="337">
        <f>IFERROR(VLOOKUP($G1028,今日總結!$A:$AN,38,0),"")</f>
        <v>0</v>
      </c>
      <c r="N1028" s="240">
        <f t="shared" si="191"/>
        <v>0</v>
      </c>
      <c r="O1028" s="359">
        <f>IFERROR(VLOOKUP($G1028,融外自投!$A:$J,7,0),"無")</f>
        <v>700</v>
      </c>
      <c r="P1028" s="79">
        <f>IFERROR(VLOOKUP($G1028,融外自投!$A:$J,9,0),"無")</f>
        <v>584</v>
      </c>
      <c r="Q1028" s="342">
        <f>IFERROR(VLOOKUP($G1028,融外自投!$A:$J,8,0),"無")</f>
        <v>204</v>
      </c>
      <c r="R1028" s="81" t="str">
        <f>IFERROR(VLOOKUP($G1028,融外自投!$A:$J,10,0),"無")</f>
        <v>無</v>
      </c>
      <c r="S1028" s="324">
        <f>IFERROR(VLOOKUP($G1028,'321買'!$A:$E,4,0),"'沒有資料'")</f>
        <v>743</v>
      </c>
      <c r="T1028" s="186">
        <f>IFERROR(VLOOKUP($G1028,基本資料!$A:$J,9,0),"無")</f>
        <v>1</v>
      </c>
      <c r="U1028" s="307">
        <f t="shared" si="187"/>
        <v>3.5335689045936397E-2</v>
      </c>
      <c r="V1028" s="94">
        <f>IFERROR(VLOOKUP($G1028,基本資料!$A:$J,10,0),"無")</f>
        <v>2.94</v>
      </c>
      <c r="W1028" s="36">
        <f>RTD("money.excel",,"2316","Price")</f>
        <v>28.3</v>
      </c>
      <c r="X1028" s="66"/>
      <c r="Y1028" s="15">
        <f t="shared" si="188"/>
        <v>28.3</v>
      </c>
      <c r="Z1028" s="3" t="e">
        <f t="shared" si="189"/>
        <v>#DIV/0!</v>
      </c>
      <c r="AA1028" s="340">
        <f>IFERROR(VLOOKUP($G1028,基本資料!$A:$M,11,0),"無")</f>
        <v>-29.07</v>
      </c>
      <c r="AB1028" s="389">
        <f>IFERROR(VLOOKUP($G1028,基本資料!$A:$M,12,0),"無")</f>
        <v>12.05</v>
      </c>
      <c r="AC1028" s="22" t="s">
        <v>4474</v>
      </c>
      <c r="AF1028" s="33">
        <f t="shared" si="190"/>
        <v>0</v>
      </c>
      <c r="AG1028" s="43" t="s">
        <v>4475</v>
      </c>
      <c r="AH1028" s="66">
        <f t="shared" si="175"/>
        <v>0.84552845528455289</v>
      </c>
      <c r="AI1028" s="283">
        <f>RTD("money.excel",,$G1028,"PredictVolume")</f>
        <v>182</v>
      </c>
      <c r="AJ1028" s="391">
        <f>IFERROR(VLOOKUP($G1028,基本資料!$A:$M,13,0),"無")</f>
        <v>215.25</v>
      </c>
      <c r="AR1028" s="245" t="str">
        <f>INDEX(基本資料!N:N,MATCH($G1028,基本資料!A:A,0))</f>
        <v>低</v>
      </c>
    </row>
    <row r="1029" spans="1:44">
      <c r="A1029" s="343">
        <f>IFERROR(VLOOKUP($G1029,基本資料!$A:$J,3,0),"無")</f>
        <v>54.4</v>
      </c>
      <c r="B1029" s="79">
        <f>IFERROR(VLOOKUP($G1029,基本資料!$A:$J,4,0),"無")</f>
        <v>90</v>
      </c>
      <c r="C1029" s="79">
        <f>IFERROR(VLOOKUP($G1029,基本資料!$A:$J,5,0),"無")</f>
        <v>79</v>
      </c>
      <c r="D1029" s="79">
        <f>IFERROR(VLOOKUP($G1029,基本資料!$A:$J,6,0),"無")</f>
        <v>-4</v>
      </c>
      <c r="E1029" s="79">
        <f>IFERROR(VLOOKUP($G1029,基本資料!$A:$J,7,0),"無")</f>
        <v>12</v>
      </c>
      <c r="F1029" s="6">
        <f>IFERROR(VLOOKUP($G1029,基本資料!$A:$J,8,0),"無")</f>
        <v>27.29</v>
      </c>
      <c r="G1029" s="79">
        <v>2327</v>
      </c>
      <c r="H1029" s="192" t="s">
        <v>308</v>
      </c>
      <c r="I1029" s="22" t="s">
        <v>4476</v>
      </c>
      <c r="J1029" s="8">
        <f>IFERROR(VLOOKUP($G1029,今日總結!$A:$AN,39,0),"")</f>
        <v>0</v>
      </c>
      <c r="K1029" s="5">
        <f>IFERROR(VLOOKUP($G1029,今日總結!$A:$AN,40,0),"")</f>
        <v>0</v>
      </c>
      <c r="L1029" s="156">
        <f>IFERROR(VLOOKUP($G1029,今日總結!$A:$AN,37,0),"")</f>
        <v>0</v>
      </c>
      <c r="M1029" s="337">
        <f>IFERROR(VLOOKUP($G1029,今日總結!$A:$AN,38,0),"")</f>
        <v>0</v>
      </c>
      <c r="N1029" s="240">
        <f t="shared" si="191"/>
        <v>0</v>
      </c>
      <c r="O1029" s="359">
        <f>IFERROR(VLOOKUP($G1029,融外自投!$A:$J,7,0),"無")</f>
        <v>643</v>
      </c>
      <c r="P1029" s="79">
        <f>IFERROR(VLOOKUP($G1029,融外自投!$A:$J,9,0),"無")</f>
        <v>27</v>
      </c>
      <c r="Q1029" s="342">
        <f>IFERROR(VLOOKUP($G1029,融外自投!$A:$J,8,0),"無")</f>
        <v>111</v>
      </c>
      <c r="R1029" s="81">
        <f>IFERROR(VLOOKUP($G1029,融外自投!$A:$J,10,0),"無")</f>
        <v>119</v>
      </c>
      <c r="S1029" s="324">
        <f>IFERROR(VLOOKUP($G1029,'321買'!$A:$E,4,0),"'沒有資料'")</f>
        <v>497</v>
      </c>
      <c r="T1029" s="186">
        <f>IFERROR(VLOOKUP($G1029,基本資料!$A:$J,9,0),"無")</f>
        <v>10</v>
      </c>
      <c r="U1029" s="307">
        <f t="shared" si="187"/>
        <v>2.621231979030144E-2</v>
      </c>
      <c r="V1029" s="94">
        <f>IFERROR(VLOOKUP($G1029,基本資料!$A:$J,10,0),"無")</f>
        <v>46.46</v>
      </c>
      <c r="W1029" s="36">
        <f>RTD("money.excel",,"2327","Price")</f>
        <v>381.5</v>
      </c>
      <c r="X1029" s="66"/>
      <c r="Y1029" s="15">
        <f t="shared" si="188"/>
        <v>381.5</v>
      </c>
      <c r="Z1029" s="3" t="e">
        <f t="shared" si="189"/>
        <v>#DIV/0!</v>
      </c>
      <c r="AA1029" s="340">
        <f>IFERROR(VLOOKUP($G1029,基本資料!$A:$M,11,0),"無")</f>
        <v>-37.97</v>
      </c>
      <c r="AB1029" s="389">
        <f>IFERROR(VLOOKUP($G1029,基本資料!$A:$M,12,0),"無")</f>
        <v>14.61</v>
      </c>
      <c r="AC1029" s="22" t="s">
        <v>4476</v>
      </c>
      <c r="AF1029" s="33">
        <f t="shared" si="190"/>
        <v>0</v>
      </c>
      <c r="AG1029" s="117" t="s">
        <v>4477</v>
      </c>
      <c r="AH1029" s="66">
        <f t="shared" si="175"/>
        <v>1.0456461303918931</v>
      </c>
      <c r="AI1029" s="283">
        <f>RTD("money.excel",,$G1029,"PredictVolume")</f>
        <v>2332</v>
      </c>
      <c r="AJ1029" s="391">
        <f>IFERROR(VLOOKUP($G1029,基本資料!$A:$M,13,0),"無")</f>
        <v>2230.1999999999998</v>
      </c>
      <c r="AR1029" s="245" t="str">
        <f>INDEX(基本資料!N:N,MATCH($G1029,基本資料!A:A,0))</f>
        <v>低</v>
      </c>
    </row>
    <row r="1030" spans="1:44">
      <c r="A1030" s="343">
        <f>IFERROR(VLOOKUP($G1030,基本資料!$A:$J,3,0),"無")</f>
        <v>51.83</v>
      </c>
      <c r="B1030" s="79">
        <f>IFERROR(VLOOKUP($G1030,基本資料!$A:$J,4,0),"無")</f>
        <v>47</v>
      </c>
      <c r="C1030" s="79">
        <f>IFERROR(VLOOKUP($G1030,基本資料!$A:$J,5,0),"無")</f>
        <v>49</v>
      </c>
      <c r="D1030" s="79">
        <f>IFERROR(VLOOKUP($G1030,基本資料!$A:$J,6,0),"無")</f>
        <v>-8</v>
      </c>
      <c r="E1030" s="79">
        <f>IFERROR(VLOOKUP($G1030,基本資料!$A:$J,7,0),"無")</f>
        <v>15</v>
      </c>
      <c r="F1030" s="6">
        <f>IFERROR(VLOOKUP($G1030,基本資料!$A:$J,8,0),"無")</f>
        <v>5.71</v>
      </c>
      <c r="G1030" s="79">
        <v>2328</v>
      </c>
      <c r="H1030" s="8" t="s">
        <v>308</v>
      </c>
      <c r="I1030" s="22" t="s">
        <v>4478</v>
      </c>
      <c r="J1030" s="8">
        <f>IFERROR(VLOOKUP($G1030,今日總結!$A:$AN,39,0),"")</f>
        <v>0</v>
      </c>
      <c r="K1030" s="5">
        <f>IFERROR(VLOOKUP($G1030,今日總結!$A:$AN,40,0),"")</f>
        <v>0</v>
      </c>
      <c r="L1030" s="156">
        <f>IFERROR(VLOOKUP($G1030,今日總結!$A:$AN,37,0),"")</f>
        <v>0</v>
      </c>
      <c r="M1030" s="337">
        <f>IFERROR(VLOOKUP($G1030,今日總結!$A:$AN,38,0),"")</f>
        <v>0</v>
      </c>
      <c r="N1030" s="240">
        <f t="shared" si="191"/>
        <v>0</v>
      </c>
      <c r="O1030" s="359">
        <f>IFERROR(VLOOKUP($G1030,融外自投!$A:$J,7,0),"無")</f>
        <v>423</v>
      </c>
      <c r="P1030" s="79">
        <f>IFERROR(VLOOKUP($G1030,融外自投!$A:$J,9,0),"無")</f>
        <v>596</v>
      </c>
      <c r="Q1030" s="342">
        <f>IFERROR(VLOOKUP($G1030,融外自投!$A:$J,8,0),"無")</f>
        <v>527</v>
      </c>
      <c r="R1030" s="81" t="str">
        <f>IFERROR(VLOOKUP($G1030,融外自投!$A:$J,10,0),"無")</f>
        <v>無</v>
      </c>
      <c r="S1030" s="324">
        <f>IFERROR(VLOOKUP($G1030,'321買'!$A:$E,4,0),"'沒有資料'")</f>
        <v>411</v>
      </c>
      <c r="T1030" s="186">
        <f>IFERROR(VLOOKUP($G1030,基本資料!$A:$J,9,0),"無")</f>
        <v>1</v>
      </c>
      <c r="U1030" s="307">
        <f t="shared" si="187"/>
        <v>2.9411764705882353E-2</v>
      </c>
      <c r="V1030" s="94">
        <f>IFERROR(VLOOKUP($G1030,基本資料!$A:$J,10,0),"無")</f>
        <v>1.87</v>
      </c>
      <c r="W1030" s="36">
        <f>RTD("money.excel",,"2328","Price")</f>
        <v>34</v>
      </c>
      <c r="X1030" s="66"/>
      <c r="Y1030" s="15">
        <f t="shared" si="188"/>
        <v>34</v>
      </c>
      <c r="Z1030" s="3" t="e">
        <f t="shared" si="189"/>
        <v>#DIV/0!</v>
      </c>
      <c r="AA1030" s="340">
        <f>IFERROR(VLOOKUP($G1030,基本資料!$A:$M,11,0),"無")</f>
        <v>-26.57</v>
      </c>
      <c r="AB1030" s="389">
        <f>IFERROR(VLOOKUP($G1030,基本資料!$A:$M,12,0),"無")</f>
        <v>20.94</v>
      </c>
      <c r="AC1030" s="22" t="s">
        <v>4478</v>
      </c>
      <c r="AF1030" s="33">
        <f t="shared" si="190"/>
        <v>0</v>
      </c>
      <c r="AG1030" s="117" t="s">
        <v>4479</v>
      </c>
      <c r="AH1030" s="66">
        <f t="shared" ref="AH1030:AH1093" si="192">AI1030/AJ1030</f>
        <v>0.55898050321315762</v>
      </c>
      <c r="AI1030" s="283">
        <f>RTD("money.excel",,$G1030,"PredictVolume")</f>
        <v>1283</v>
      </c>
      <c r="AJ1030" s="391">
        <f>IFERROR(VLOOKUP($G1030,基本資料!$A:$M,13,0),"無")</f>
        <v>2295.25</v>
      </c>
      <c r="AR1030" s="245" t="str">
        <f>INDEX(基本資料!N:N,MATCH($G1030,基本資料!A:A,0))</f>
        <v>低</v>
      </c>
    </row>
    <row r="1031" spans="1:44">
      <c r="A1031" s="343">
        <f>IFERROR(VLOOKUP($G1031,基本資料!$A:$J,3,0),"無")</f>
        <v>39.74</v>
      </c>
      <c r="B1031" s="79">
        <f>IFERROR(VLOOKUP($G1031,基本資料!$A:$J,4,0),"無")</f>
        <v>638</v>
      </c>
      <c r="C1031" s="79">
        <f>IFERROR(VLOOKUP($G1031,基本資料!$A:$J,5,0),"無")</f>
        <v>-50</v>
      </c>
      <c r="D1031" s="79">
        <f>IFERROR(VLOOKUP($G1031,基本資料!$A:$J,6,0),"無")</f>
        <v>-18</v>
      </c>
      <c r="E1031" s="79">
        <f>IFERROR(VLOOKUP($G1031,基本資料!$A:$J,7,0),"無")</f>
        <v>-12</v>
      </c>
      <c r="F1031" s="6">
        <f>IFERROR(VLOOKUP($G1031,基本資料!$A:$J,8,0),"無")</f>
        <v>-1.02</v>
      </c>
      <c r="G1031" s="79">
        <v>2355</v>
      </c>
      <c r="H1031" s="8" t="s">
        <v>308</v>
      </c>
      <c r="I1031" s="22" t="s">
        <v>4480</v>
      </c>
      <c r="J1031" s="8">
        <f>IFERROR(VLOOKUP($G1031,今日總結!$A:$AN,39,0),"")</f>
        <v>0</v>
      </c>
      <c r="K1031" s="5">
        <f>IFERROR(VLOOKUP($G1031,今日總結!$A:$AN,40,0),"")</f>
        <v>0</v>
      </c>
      <c r="L1031" s="156">
        <f>IFERROR(VLOOKUP($G1031,今日總結!$A:$AN,37,0),"")</f>
        <v>0</v>
      </c>
      <c r="M1031" s="337">
        <f>IFERROR(VLOOKUP($G1031,今日總結!$A:$AN,38,0),"")</f>
        <v>0</v>
      </c>
      <c r="N1031" s="240">
        <f t="shared" si="191"/>
        <v>0</v>
      </c>
      <c r="O1031" s="359">
        <f>IFERROR(VLOOKUP($G1031,融外自投!$A:$J,7,0),"無")</f>
        <v>834</v>
      </c>
      <c r="P1031" s="79">
        <f>IFERROR(VLOOKUP($G1031,融外自投!$A:$J,9,0),"無")</f>
        <v>825</v>
      </c>
      <c r="Q1031" s="342">
        <f>IFERROR(VLOOKUP($G1031,融外自投!$A:$J,8,0),"無")</f>
        <v>392</v>
      </c>
      <c r="R1031" s="81" t="str">
        <f>IFERROR(VLOOKUP($G1031,融外自投!$A:$J,10,0),"無")</f>
        <v>無</v>
      </c>
      <c r="S1031" s="324">
        <f>IFERROR(VLOOKUP($G1031,'321買'!$A:$E,4,0),"'沒有資料'")</f>
        <v>530</v>
      </c>
      <c r="T1031" s="186">
        <f>IFERROR(VLOOKUP($G1031,基本資料!$A:$J,9,0),"無")</f>
        <v>0.5</v>
      </c>
      <c r="U1031" s="307">
        <f t="shared" si="187"/>
        <v>1.7064846416382253E-2</v>
      </c>
      <c r="V1031" s="94">
        <f>IFERROR(VLOOKUP($G1031,基本資料!$A:$J,10,0),"無")</f>
        <v>0.85</v>
      </c>
      <c r="W1031" s="36">
        <f>RTD("money.excel",,"2355","Price")</f>
        <v>29.3</v>
      </c>
      <c r="X1031" s="66"/>
      <c r="Y1031" s="15">
        <f t="shared" si="188"/>
        <v>29.3</v>
      </c>
      <c r="Z1031" s="3" t="e">
        <f t="shared" si="189"/>
        <v>#DIV/0!</v>
      </c>
      <c r="AA1031" s="340">
        <f>IFERROR(VLOOKUP($G1031,基本資料!$A:$M,11,0),"無")</f>
        <v>-34.01</v>
      </c>
      <c r="AB1031" s="389">
        <f>IFERROR(VLOOKUP($G1031,基本資料!$A:$M,12,0),"無")</f>
        <v>17.05</v>
      </c>
      <c r="AC1031" s="22" t="s">
        <v>4480</v>
      </c>
      <c r="AF1031" s="33">
        <f t="shared" si="190"/>
        <v>0</v>
      </c>
      <c r="AG1031" s="117" t="s">
        <v>4481</v>
      </c>
      <c r="AH1031" s="66">
        <f t="shared" si="192"/>
        <v>0.85656565656565653</v>
      </c>
      <c r="AI1031" s="283">
        <f>RTD("money.excel",,$G1031,"PredictVolume")</f>
        <v>954</v>
      </c>
      <c r="AJ1031" s="391">
        <f>IFERROR(VLOOKUP($G1031,基本資料!$A:$M,13,0),"無")</f>
        <v>1113.75</v>
      </c>
      <c r="AR1031" s="245" t="str">
        <f>INDEX(基本資料!N:N,MATCH($G1031,基本資料!A:A,0))</f>
        <v>低</v>
      </c>
    </row>
    <row r="1032" spans="1:44">
      <c r="A1032" s="343">
        <f>IFERROR(VLOOKUP($G1032,基本資料!$A:$J,3,0),"無")</f>
        <v>61.94</v>
      </c>
      <c r="B1032" s="79">
        <f>IFERROR(VLOOKUP($G1032,基本資料!$A:$J,4,0),"無")</f>
        <v>83</v>
      </c>
      <c r="C1032" s="79">
        <f>IFERROR(VLOOKUP($G1032,基本資料!$A:$J,5,0),"無")</f>
        <v>13</v>
      </c>
      <c r="D1032" s="79">
        <f>IFERROR(VLOOKUP($G1032,基本資料!$A:$J,6,0),"無")</f>
        <v>-9</v>
      </c>
      <c r="E1032" s="79">
        <f>IFERROR(VLOOKUP($G1032,基本資料!$A:$J,7,0),"無")</f>
        <v>26</v>
      </c>
      <c r="F1032" s="6">
        <f>IFERROR(VLOOKUP($G1032,基本資料!$A:$J,8,0),"無")</f>
        <v>-14.79</v>
      </c>
      <c r="G1032" s="79">
        <v>2367</v>
      </c>
      <c r="H1032" s="8" t="s">
        <v>308</v>
      </c>
      <c r="I1032" s="22" t="s">
        <v>4482</v>
      </c>
      <c r="J1032" s="8">
        <f>IFERROR(VLOOKUP($G1032,今日總結!$A:$AN,39,0),"")</f>
        <v>0</v>
      </c>
      <c r="K1032" s="5">
        <f>IFERROR(VLOOKUP($G1032,今日總結!$A:$AN,40,0),"")</f>
        <v>0</v>
      </c>
      <c r="L1032" s="156">
        <f>IFERROR(VLOOKUP($G1032,今日總結!$A:$AN,37,0),"")</f>
        <v>0</v>
      </c>
      <c r="M1032" s="337">
        <f>IFERROR(VLOOKUP($G1032,今日總結!$A:$AN,38,0),"")</f>
        <v>0</v>
      </c>
      <c r="N1032" s="240">
        <f t="shared" si="191"/>
        <v>0</v>
      </c>
      <c r="O1032" s="359">
        <f>IFERROR(VLOOKUP($G1032,融外自投!$A:$J,7,0),"無")</f>
        <v>474</v>
      </c>
      <c r="P1032" s="79">
        <f>IFERROR(VLOOKUP($G1032,融外自投!$A:$J,9,0),"無")</f>
        <v>414</v>
      </c>
      <c r="Q1032" s="342">
        <f>IFERROR(VLOOKUP($G1032,融外自投!$A:$J,8,0),"無")</f>
        <v>699</v>
      </c>
      <c r="R1032" s="81">
        <f>IFERROR(VLOOKUP($G1032,融外自投!$A:$J,10,0),"無")</f>
        <v>459</v>
      </c>
      <c r="S1032" s="324">
        <f>IFERROR(VLOOKUP($G1032,'321買'!$A:$E,4,0),"'沒有資料'")</f>
        <v>650</v>
      </c>
      <c r="T1032" s="186">
        <f>IFERROR(VLOOKUP($G1032,基本資料!$A:$J,9,0),"無")</f>
        <v>0</v>
      </c>
      <c r="U1032" s="307">
        <f t="shared" si="187"/>
        <v>0</v>
      </c>
      <c r="V1032" s="94">
        <f>IFERROR(VLOOKUP($G1032,基本資料!$A:$J,10,0),"無")</f>
        <v>-0.39</v>
      </c>
      <c r="W1032" s="36">
        <f>RTD("money.excel",,"2367","Price")</f>
        <v>15.9</v>
      </c>
      <c r="X1032" s="66"/>
      <c r="Y1032" s="15">
        <f t="shared" si="188"/>
        <v>15.9</v>
      </c>
      <c r="Z1032" s="3" t="e">
        <f t="shared" si="189"/>
        <v>#DIV/0!</v>
      </c>
      <c r="AA1032" s="340">
        <f>IFERROR(VLOOKUP($G1032,基本資料!$A:$M,11,0),"無")</f>
        <v>-35.76</v>
      </c>
      <c r="AB1032" s="389">
        <f>IFERROR(VLOOKUP($G1032,基本資料!$A:$M,12,0),"無")</f>
        <v>16.05</v>
      </c>
      <c r="AC1032" s="22" t="s">
        <v>4482</v>
      </c>
      <c r="AF1032" s="33">
        <f t="shared" si="190"/>
        <v>0</v>
      </c>
      <c r="AG1032" s="117" t="s">
        <v>1043</v>
      </c>
      <c r="AH1032" s="66">
        <f t="shared" si="192"/>
        <v>0.80977784855482116</v>
      </c>
      <c r="AI1032" s="283">
        <f>RTD("money.excel",,$G1032,"PredictVolume")</f>
        <v>1017</v>
      </c>
      <c r="AJ1032" s="391">
        <f>IFERROR(VLOOKUP($G1032,基本資料!$A:$M,13,0),"無")</f>
        <v>1255.9000000000001</v>
      </c>
      <c r="AR1032" s="245" t="str">
        <f>INDEX(基本資料!N:N,MATCH($G1032,基本資料!A:A,0))</f>
        <v>低</v>
      </c>
    </row>
    <row r="1033" spans="1:44">
      <c r="A1033" s="343">
        <f>IFERROR(VLOOKUP($G1033,基本資料!$A:$J,3,0),"無")</f>
        <v>54.64</v>
      </c>
      <c r="B1033" s="79">
        <f>IFERROR(VLOOKUP($G1033,基本資料!$A:$J,4,0),"無")</f>
        <v>41</v>
      </c>
      <c r="C1033" s="79">
        <f>IFERROR(VLOOKUP($G1033,基本資料!$A:$J,5,0),"無")</f>
        <v>34</v>
      </c>
      <c r="D1033" s="79">
        <f>IFERROR(VLOOKUP($G1033,基本資料!$A:$J,6,0),"無")</f>
        <v>-3</v>
      </c>
      <c r="E1033" s="79">
        <f>IFERROR(VLOOKUP($G1033,基本資料!$A:$J,7,0),"無")</f>
        <v>19</v>
      </c>
      <c r="F1033" s="6">
        <f>IFERROR(VLOOKUP($G1033,基本資料!$A:$J,8,0),"無")</f>
        <v>15.49</v>
      </c>
      <c r="G1033" s="79">
        <v>2368</v>
      </c>
      <c r="H1033" s="8" t="s">
        <v>308</v>
      </c>
      <c r="I1033" s="22" t="s">
        <v>4483</v>
      </c>
      <c r="J1033" s="8">
        <f>IFERROR(VLOOKUP($G1033,今日總結!$A:$AN,39,0),"")</f>
        <v>6</v>
      </c>
      <c r="K1033" s="5">
        <f>IFERROR(VLOOKUP($G1033,今日總結!$A:$AN,40,0),"")</f>
        <v>0</v>
      </c>
      <c r="L1033" s="156">
        <f>IFERROR(VLOOKUP($G1033,今日總結!$A:$AN,37,0),"")</f>
        <v>1</v>
      </c>
      <c r="M1033" s="337">
        <f>IFERROR(VLOOKUP($G1033,今日總結!$A:$AN,38,0),"")</f>
        <v>0</v>
      </c>
      <c r="N1033" s="240">
        <f t="shared" si="191"/>
        <v>1</v>
      </c>
      <c r="O1033" s="359">
        <f>IFERROR(VLOOKUP($G1033,融外自投!$A:$J,7,0),"無")</f>
        <v>617</v>
      </c>
      <c r="P1033" s="79">
        <f>IFERROR(VLOOKUP($G1033,融外自投!$A:$J,9,0),"無")</f>
        <v>196</v>
      </c>
      <c r="Q1033" s="342">
        <f>IFERROR(VLOOKUP($G1033,融外自投!$A:$J,8,0),"無")</f>
        <v>309</v>
      </c>
      <c r="R1033" s="81">
        <f>IFERROR(VLOOKUP($G1033,融外自投!$A:$J,10,0),"無")</f>
        <v>8</v>
      </c>
      <c r="S1033" s="324">
        <f>IFERROR(VLOOKUP($G1033,'321買'!$A:$E,4,0),"'沒有資料'")</f>
        <v>33</v>
      </c>
      <c r="T1033" s="186">
        <f>IFERROR(VLOOKUP($G1033,基本資料!$A:$J,9,0),"無")</f>
        <v>2.2000000000000002</v>
      </c>
      <c r="U1033" s="307">
        <f t="shared" si="187"/>
        <v>2.5551684088269459E-2</v>
      </c>
      <c r="V1033" s="94">
        <f>IFERROR(VLOOKUP($G1033,基本資料!$A:$J,10,0),"無")</f>
        <v>5.41</v>
      </c>
      <c r="W1033" s="36">
        <f>RTD("money.excel",,"2368","Price")</f>
        <v>86.1</v>
      </c>
      <c r="X1033" s="66"/>
      <c r="Y1033" s="15">
        <f t="shared" si="188"/>
        <v>86.1</v>
      </c>
      <c r="Z1033" s="3" t="e">
        <f t="shared" si="189"/>
        <v>#DIV/0!</v>
      </c>
      <c r="AA1033" s="340">
        <f>IFERROR(VLOOKUP($G1033,基本資料!$A:$M,11,0),"無")</f>
        <v>-5.49</v>
      </c>
      <c r="AB1033" s="389">
        <f>IFERROR(VLOOKUP($G1033,基本資料!$A:$M,12,0),"無")</f>
        <v>63.54</v>
      </c>
      <c r="AC1033" s="22" t="s">
        <v>4483</v>
      </c>
      <c r="AF1033" s="33">
        <f t="shared" si="190"/>
        <v>0</v>
      </c>
      <c r="AG1033" s="43" t="s">
        <v>1043</v>
      </c>
      <c r="AH1033" s="66">
        <f t="shared" si="192"/>
        <v>1.3912924845239516</v>
      </c>
      <c r="AI1033" s="283">
        <f>RTD("money.excel",,$G1033,"PredictVolume")</f>
        <v>20396</v>
      </c>
      <c r="AJ1033" s="391">
        <f>IFERROR(VLOOKUP($G1033,基本資料!$A:$M,13,0),"無")</f>
        <v>14659.75</v>
      </c>
      <c r="AR1033" s="245" t="str">
        <f>INDEX(基本資料!N:N,MATCH($G1033,基本資料!A:A,0))</f>
        <v>高</v>
      </c>
    </row>
    <row r="1034" spans="1:44">
      <c r="A1034" s="343">
        <f>IFERROR(VLOOKUP($G1034,基本資料!$A:$J,3,0),"無")</f>
        <v>13.58</v>
      </c>
      <c r="B1034" s="79">
        <f>IFERROR(VLOOKUP($G1034,基本資料!$A:$J,4,0),"無")</f>
        <v>36</v>
      </c>
      <c r="C1034" s="79">
        <f>IFERROR(VLOOKUP($G1034,基本資料!$A:$J,5,0),"無")</f>
        <v>29</v>
      </c>
      <c r="D1034" s="79">
        <f>IFERROR(VLOOKUP($G1034,基本資料!$A:$J,6,0),"無")</f>
        <v>-16</v>
      </c>
      <c r="E1034" s="79">
        <f>IFERROR(VLOOKUP($G1034,基本資料!$A:$J,7,0),"無")</f>
        <v>-32</v>
      </c>
      <c r="F1034" s="6">
        <f>IFERROR(VLOOKUP($G1034,基本資料!$A:$J,8,0),"無")</f>
        <v>12.2</v>
      </c>
      <c r="G1034" s="79">
        <v>2375</v>
      </c>
      <c r="H1034" s="195" t="s">
        <v>308</v>
      </c>
      <c r="I1034" s="23" t="s">
        <v>4484</v>
      </c>
      <c r="J1034" s="8">
        <f>IFERROR(VLOOKUP($G1034,今日總結!$A:$AN,39,0),"")</f>
        <v>0</v>
      </c>
      <c r="K1034" s="5">
        <f>IFERROR(VLOOKUP($G1034,今日總結!$A:$AN,40,0),"")</f>
        <v>0</v>
      </c>
      <c r="L1034" s="156">
        <f>IFERROR(VLOOKUP($G1034,今日總結!$A:$AN,37,0),"")</f>
        <v>0</v>
      </c>
      <c r="M1034" s="337">
        <f>IFERROR(VLOOKUP($G1034,今日總結!$A:$AN,38,0),"")</f>
        <v>0</v>
      </c>
      <c r="N1034" s="240">
        <f t="shared" si="191"/>
        <v>0</v>
      </c>
      <c r="O1034" s="359">
        <f>IFERROR(VLOOKUP($G1034,融外自投!$A:$J,7,0),"無")</f>
        <v>146</v>
      </c>
      <c r="P1034" s="79">
        <f>IFERROR(VLOOKUP($G1034,融外自投!$A:$J,9,0),"無")</f>
        <v>1051</v>
      </c>
      <c r="Q1034" s="342">
        <f>IFERROR(VLOOKUP($G1034,融外自投!$A:$J,8,0),"無")</f>
        <v>716</v>
      </c>
      <c r="R1034" s="81" t="str">
        <f>IFERROR(VLOOKUP($G1034,融外自投!$A:$J,10,0),"無")</f>
        <v>無</v>
      </c>
      <c r="S1034" s="324">
        <f>IFERROR(VLOOKUP($G1034,'321買'!$A:$E,4,0),"'沒有資料'")</f>
        <v>366</v>
      </c>
      <c r="T1034" s="186">
        <f>IFERROR(VLOOKUP($G1034,基本資料!$A:$J,9,0),"無")</f>
        <v>2</v>
      </c>
      <c r="U1034" s="307">
        <f t="shared" si="187"/>
        <v>3.2102728731942219E-2</v>
      </c>
      <c r="V1034" s="94">
        <f>IFERROR(VLOOKUP($G1034,基本資料!$A:$J,10,0),"無")</f>
        <v>8.6199999999999992</v>
      </c>
      <c r="W1034" s="36">
        <f>RTD("money.excel",,"2375","Price")</f>
        <v>62.3</v>
      </c>
      <c r="X1034" s="66"/>
      <c r="Y1034" s="15">
        <f t="shared" si="188"/>
        <v>62.3</v>
      </c>
      <c r="Z1034" s="3" t="e">
        <f t="shared" si="189"/>
        <v>#DIV/0!</v>
      </c>
      <c r="AA1034" s="340">
        <f>IFERROR(VLOOKUP($G1034,基本資料!$A:$M,11,0),"無")</f>
        <v>-50.75</v>
      </c>
      <c r="AB1034" s="389">
        <f>IFERROR(VLOOKUP($G1034,基本資料!$A:$M,12,0),"無")</f>
        <v>10.11</v>
      </c>
      <c r="AC1034" s="23" t="s">
        <v>4484</v>
      </c>
      <c r="AF1034" s="33">
        <f t="shared" si="190"/>
        <v>0</v>
      </c>
      <c r="AG1034" s="119" t="s">
        <v>4485</v>
      </c>
      <c r="AH1034" s="66">
        <f t="shared" si="192"/>
        <v>0.74565965277222168</v>
      </c>
      <c r="AI1034" s="283">
        <f>RTD("money.excel",,$G1034,"PredictVolume")</f>
        <v>466</v>
      </c>
      <c r="AJ1034" s="391">
        <f>IFERROR(VLOOKUP($G1034,基本資料!$A:$M,13,0),"無")</f>
        <v>624.95000000000005</v>
      </c>
      <c r="AR1034" s="245" t="str">
        <f>INDEX(基本資料!N:N,MATCH($G1034,基本資料!A:A,0))</f>
        <v>低</v>
      </c>
    </row>
    <row r="1035" spans="1:44">
      <c r="A1035" s="343">
        <f>IFERROR(VLOOKUP($G1035,基本資料!$A:$J,3,0),"無")</f>
        <v>33.29</v>
      </c>
      <c r="B1035" s="79">
        <f>IFERROR(VLOOKUP($G1035,基本資料!$A:$J,4,0),"無")</f>
        <v>48</v>
      </c>
      <c r="C1035" s="79">
        <f>IFERROR(VLOOKUP($G1035,基本資料!$A:$J,5,0),"無")</f>
        <v>47</v>
      </c>
      <c r="D1035" s="79">
        <f>IFERROR(VLOOKUP($G1035,基本資料!$A:$J,6,0),"無")</f>
        <v>-10</v>
      </c>
      <c r="E1035" s="79">
        <f>IFERROR(VLOOKUP($G1035,基本資料!$A:$J,7,0),"無")</f>
        <v>4</v>
      </c>
      <c r="F1035" s="6">
        <f>IFERROR(VLOOKUP($G1035,基本資料!$A:$J,8,0),"無")</f>
        <v>17.98</v>
      </c>
      <c r="G1035" s="79">
        <v>2383</v>
      </c>
      <c r="H1035" s="8" t="s">
        <v>308</v>
      </c>
      <c r="I1035" s="22" t="s">
        <v>4486</v>
      </c>
      <c r="J1035" s="8">
        <f>IFERROR(VLOOKUP($G1035,今日總結!$A:$AN,39,0),"")</f>
        <v>9</v>
      </c>
      <c r="K1035" s="5">
        <f>IFERROR(VLOOKUP($G1035,今日總結!$A:$AN,40,0),"")</f>
        <v>0</v>
      </c>
      <c r="L1035" s="156">
        <f>IFERROR(VLOOKUP($G1035,今日總結!$A:$AN,37,0),"")</f>
        <v>1</v>
      </c>
      <c r="M1035" s="337">
        <f>IFERROR(VLOOKUP($G1035,今日總結!$A:$AN,38,0),"")</f>
        <v>0</v>
      </c>
      <c r="N1035" s="240">
        <f t="shared" si="191"/>
        <v>1</v>
      </c>
      <c r="O1035" s="359">
        <f>IFERROR(VLOOKUP($G1035,融外自投!$A:$J,7,0),"無")</f>
        <v>1108</v>
      </c>
      <c r="P1035" s="79" t="str">
        <f>IFERROR(VLOOKUP($G1035,融外自投!$A:$J,9,0),"無")</f>
        <v>無</v>
      </c>
      <c r="Q1035" s="342">
        <f>IFERROR(VLOOKUP($G1035,融外自投!$A:$J,8,0),"無")</f>
        <v>107</v>
      </c>
      <c r="R1035" s="81">
        <f>IFERROR(VLOOKUP($G1035,融外自投!$A:$J,10,0),"無")</f>
        <v>81</v>
      </c>
      <c r="S1035" s="324">
        <f>IFERROR(VLOOKUP($G1035,'321買'!$A:$E,4,0),"'沒有資料'")</f>
        <v>321</v>
      </c>
      <c r="T1035" s="186">
        <f>IFERROR(VLOOKUP($G1035,基本資料!$A:$J,9,0),"無")</f>
        <v>10</v>
      </c>
      <c r="U1035" s="307">
        <f t="shared" si="187"/>
        <v>4.5558086560364468E-2</v>
      </c>
      <c r="V1035" s="94">
        <f>IFERROR(VLOOKUP($G1035,基本資料!$A:$J,10,0),"無")</f>
        <v>16.5</v>
      </c>
      <c r="W1035" s="36">
        <f>RTD("money.excel",,"2383","Price")</f>
        <v>219.5</v>
      </c>
      <c r="X1035" s="66"/>
      <c r="Y1035" s="15">
        <f t="shared" si="188"/>
        <v>219.5</v>
      </c>
      <c r="Z1035" s="3" t="e">
        <f t="shared" si="189"/>
        <v>#DIV/0!</v>
      </c>
      <c r="AA1035" s="340">
        <f>IFERROR(VLOOKUP($G1035,基本資料!$A:$M,11,0),"無")</f>
        <v>-26.34</v>
      </c>
      <c r="AB1035" s="389">
        <f>IFERROR(VLOOKUP($G1035,基本資料!$A:$M,12,0),"無")</f>
        <v>21.47</v>
      </c>
      <c r="AC1035" s="22" t="s">
        <v>4486</v>
      </c>
      <c r="AF1035" s="33">
        <f t="shared" si="190"/>
        <v>0</v>
      </c>
      <c r="AG1035" s="117" t="s">
        <v>3277</v>
      </c>
      <c r="AH1035" s="66">
        <f t="shared" si="192"/>
        <v>1.7339598099333706</v>
      </c>
      <c r="AI1035" s="283">
        <f>RTD("money.excel",,$G1035,"PredictVolume")</f>
        <v>3266</v>
      </c>
      <c r="AJ1035" s="391">
        <f>IFERROR(VLOOKUP($G1035,基本資料!$A:$M,13,0),"無")</f>
        <v>1883.55</v>
      </c>
      <c r="AR1035" s="245" t="str">
        <f>INDEX(基本資料!N:N,MATCH($G1035,基本資料!A:A,0))</f>
        <v>低</v>
      </c>
    </row>
    <row r="1036" spans="1:44">
      <c r="A1036" s="343">
        <f>IFERROR(VLOOKUP($G1036,基本資料!$A:$J,3,0),"無")</f>
        <v>75.180000000000007</v>
      </c>
      <c r="B1036" s="79">
        <f>IFERROR(VLOOKUP($G1036,基本資料!$A:$J,4,0),"無")</f>
        <v>15</v>
      </c>
      <c r="C1036" s="79">
        <f>IFERROR(VLOOKUP($G1036,基本資料!$A:$J,5,0),"無")</f>
        <v>12</v>
      </c>
      <c r="D1036" s="79">
        <f>IFERROR(VLOOKUP($G1036,基本資料!$A:$J,6,0),"無")</f>
        <v>-23</v>
      </c>
      <c r="E1036" s="79">
        <f>IFERROR(VLOOKUP($G1036,基本資料!$A:$J,7,0),"無")</f>
        <v>0</v>
      </c>
      <c r="F1036" s="6">
        <f>IFERROR(VLOOKUP($G1036,基本資料!$A:$J,8,0),"無")</f>
        <v>8.01</v>
      </c>
      <c r="G1036" s="79">
        <v>2385</v>
      </c>
      <c r="H1036" s="8" t="s">
        <v>308</v>
      </c>
      <c r="I1036" s="22" t="s">
        <v>4487</v>
      </c>
      <c r="J1036" s="8">
        <f>IFERROR(VLOOKUP($G1036,今日總結!$A:$AN,39,0),"")</f>
        <v>0</v>
      </c>
      <c r="K1036" s="5" t="str">
        <f>IFERROR(VLOOKUP($G1036,今日總結!$A:$AN,40,0),"")</f>
        <v>外</v>
      </c>
      <c r="L1036" s="156">
        <f>IFERROR(VLOOKUP($G1036,今日總結!$A:$AN,37,0),"")</f>
        <v>0</v>
      </c>
      <c r="M1036" s="337">
        <f>IFERROR(VLOOKUP($G1036,今日總結!$A:$AN,38,0),"")</f>
        <v>5</v>
      </c>
      <c r="N1036" s="240">
        <f t="shared" si="191"/>
        <v>-5</v>
      </c>
      <c r="O1036" s="359">
        <f>IFERROR(VLOOKUP($G1036,融外自投!$A:$J,7,0),"無")</f>
        <v>1246</v>
      </c>
      <c r="P1036" s="79">
        <f>IFERROR(VLOOKUP($G1036,融外自投!$A:$J,9,0),"無")</f>
        <v>11</v>
      </c>
      <c r="Q1036" s="342">
        <f>IFERROR(VLOOKUP($G1036,融外自投!$A:$J,8,0),"無")</f>
        <v>150</v>
      </c>
      <c r="R1036" s="81">
        <f>IFERROR(VLOOKUP($G1036,融外自投!$A:$J,10,0),"無")</f>
        <v>48</v>
      </c>
      <c r="S1036" s="324">
        <f>IFERROR(VLOOKUP($G1036,'321買'!$A:$E,4,0),"'沒有資料'")</f>
        <v>497</v>
      </c>
      <c r="T1036" s="186">
        <f>IFERROR(VLOOKUP($G1036,基本資料!$A:$J,9,0),"無")</f>
        <v>6.1</v>
      </c>
      <c r="U1036" s="307">
        <f t="shared" si="187"/>
        <v>7.4029126213592228E-2</v>
      </c>
      <c r="V1036" s="94">
        <f>IFERROR(VLOOKUP($G1036,基本資料!$A:$J,10,0),"無")</f>
        <v>8.7100000000000009</v>
      </c>
      <c r="W1036" s="36">
        <f>RTD("money.excel",,"2385","Price")</f>
        <v>82.4</v>
      </c>
      <c r="X1036" s="66"/>
      <c r="Y1036" s="15">
        <f t="shared" si="188"/>
        <v>82.4</v>
      </c>
      <c r="Z1036" s="3" t="e">
        <f t="shared" si="189"/>
        <v>#DIV/0!</v>
      </c>
      <c r="AA1036" s="340">
        <f>IFERROR(VLOOKUP($G1036,基本資料!$A:$M,11,0),"無")</f>
        <v>-10.63</v>
      </c>
      <c r="AB1036" s="389">
        <f>IFERROR(VLOOKUP($G1036,基本資料!$A:$M,12,0),"無")</f>
        <v>14.88</v>
      </c>
      <c r="AC1036" s="22" t="s">
        <v>4487</v>
      </c>
      <c r="AF1036" s="33">
        <f t="shared" si="190"/>
        <v>0</v>
      </c>
      <c r="AG1036" s="117" t="s">
        <v>4488</v>
      </c>
      <c r="AH1036" s="66">
        <f t="shared" si="192"/>
        <v>1.1660688964884476</v>
      </c>
      <c r="AI1036" s="283">
        <f>RTD("money.excel",,$G1036,"PredictVolume")</f>
        <v>1398</v>
      </c>
      <c r="AJ1036" s="391">
        <f>IFERROR(VLOOKUP($G1036,基本資料!$A:$M,13,0),"無")</f>
        <v>1198.9000000000001</v>
      </c>
      <c r="AR1036" s="245" t="str">
        <f>INDEX(基本資料!N:N,MATCH($G1036,基本資料!A:A,0))</f>
        <v>中</v>
      </c>
    </row>
    <row r="1037" spans="1:44">
      <c r="A1037" s="343">
        <f>IFERROR(VLOOKUP($G1037,基本資料!$A:$J,3,0),"無")</f>
        <v>51.23</v>
      </c>
      <c r="B1037" s="79">
        <f>IFERROR(VLOOKUP($G1037,基本資料!$A:$J,4,0),"無")</f>
        <v>-28</v>
      </c>
      <c r="C1037" s="79">
        <f>IFERROR(VLOOKUP($G1037,基本資料!$A:$J,5,0),"無")</f>
        <v>-20</v>
      </c>
      <c r="D1037" s="79">
        <f>IFERROR(VLOOKUP($G1037,基本資料!$A:$J,6,0),"無")</f>
        <v>28</v>
      </c>
      <c r="E1037" s="79">
        <f>IFERROR(VLOOKUP($G1037,基本資料!$A:$J,7,0),"無")</f>
        <v>9</v>
      </c>
      <c r="F1037" s="6">
        <f>IFERROR(VLOOKUP($G1037,基本資料!$A:$J,8,0),"無")</f>
        <v>2.2000000000000002</v>
      </c>
      <c r="G1037" s="79">
        <v>2392</v>
      </c>
      <c r="H1037" s="8" t="s">
        <v>308</v>
      </c>
      <c r="I1037" s="22" t="s">
        <v>4489</v>
      </c>
      <c r="J1037" s="8">
        <f>IFERROR(VLOOKUP($G1037,今日總結!$A:$AN,39,0),"")</f>
        <v>0</v>
      </c>
      <c r="K1037" s="5">
        <f>IFERROR(VLOOKUP($G1037,今日總結!$A:$AN,40,0),"")</f>
        <v>0</v>
      </c>
      <c r="L1037" s="156">
        <f>IFERROR(VLOOKUP($G1037,今日總結!$A:$AN,37,0),"")</f>
        <v>0</v>
      </c>
      <c r="M1037" s="337">
        <f>IFERROR(VLOOKUP($G1037,今日總結!$A:$AN,38,0),"")</f>
        <v>0</v>
      </c>
      <c r="N1037" s="240">
        <f t="shared" si="191"/>
        <v>0</v>
      </c>
      <c r="O1037" s="359">
        <f>IFERROR(VLOOKUP($G1037,融外自投!$A:$J,7,0),"無")</f>
        <v>979</v>
      </c>
      <c r="P1037" s="79">
        <f>IFERROR(VLOOKUP($G1037,融外自投!$A:$J,9,0),"無")</f>
        <v>324</v>
      </c>
      <c r="Q1037" s="342">
        <f>IFERROR(VLOOKUP($G1037,融外自投!$A:$J,8,0),"無")</f>
        <v>518</v>
      </c>
      <c r="R1037" s="81">
        <f>IFERROR(VLOOKUP($G1037,融外自投!$A:$J,10,0),"無")</f>
        <v>476</v>
      </c>
      <c r="S1037" s="324">
        <f>IFERROR(VLOOKUP($G1037,'321買'!$A:$E,4,0),"'沒有資料'")</f>
        <v>801</v>
      </c>
      <c r="T1037" s="186">
        <f>IFERROR(VLOOKUP($G1037,基本資料!$A:$J,9,0),"無")</f>
        <v>1.5</v>
      </c>
      <c r="U1037" s="307">
        <f t="shared" si="187"/>
        <v>4.538577912254161E-2</v>
      </c>
      <c r="V1037" s="94">
        <f>IFERROR(VLOOKUP($G1037,基本資料!$A:$J,10,0),"無")</f>
        <v>1.9</v>
      </c>
      <c r="W1037" s="36">
        <f>RTD("money.excel",,"2392","Price")</f>
        <v>33.049999999999997</v>
      </c>
      <c r="X1037" s="66"/>
      <c r="Y1037" s="15">
        <f t="shared" si="188"/>
        <v>33.049999999999997</v>
      </c>
      <c r="Z1037" s="3" t="e">
        <f t="shared" si="189"/>
        <v>#DIV/0!</v>
      </c>
      <c r="AA1037" s="340">
        <f>IFERROR(VLOOKUP($G1037,基本資料!$A:$M,11,0),"無")</f>
        <v>-31.07</v>
      </c>
      <c r="AB1037" s="389">
        <f>IFERROR(VLOOKUP($G1037,基本資料!$A:$M,12,0),"無")</f>
        <v>7.63</v>
      </c>
      <c r="AC1037" s="22" t="s">
        <v>4489</v>
      </c>
      <c r="AF1037" s="33">
        <f t="shared" si="190"/>
        <v>0</v>
      </c>
      <c r="AG1037" s="117" t="s">
        <v>4490</v>
      </c>
      <c r="AH1037" s="66">
        <f t="shared" si="192"/>
        <v>0.45102723363592928</v>
      </c>
      <c r="AI1037" s="283">
        <f>RTD("money.excel",,$G1037,"PredictVolume")</f>
        <v>236</v>
      </c>
      <c r="AJ1037" s="391">
        <f>IFERROR(VLOOKUP($G1037,基本資料!$A:$M,13,0),"無")</f>
        <v>523.25</v>
      </c>
      <c r="AR1037" s="245" t="str">
        <f>INDEX(基本資料!N:N,MATCH($G1037,基本資料!A:A,0))</f>
        <v>低</v>
      </c>
    </row>
    <row r="1038" spans="1:44">
      <c r="A1038" s="343">
        <f>IFERROR(VLOOKUP($G1038,基本資料!$A:$J,3,0),"無")</f>
        <v>30.75</v>
      </c>
      <c r="B1038" s="79">
        <f>IFERROR(VLOOKUP($G1038,基本資料!$A:$J,4,0),"無")</f>
        <v>85</v>
      </c>
      <c r="C1038" s="79">
        <f>IFERROR(VLOOKUP($G1038,基本資料!$A:$J,5,0),"無")</f>
        <v>6</v>
      </c>
      <c r="D1038" s="79">
        <f>IFERROR(VLOOKUP($G1038,基本資料!$A:$J,6,0),"無")</f>
        <v>-13</v>
      </c>
      <c r="E1038" s="79">
        <f>IFERROR(VLOOKUP($G1038,基本資料!$A:$J,7,0),"無")</f>
        <v>1</v>
      </c>
      <c r="F1038" s="6">
        <f>IFERROR(VLOOKUP($G1038,基本資料!$A:$J,8,0),"無")</f>
        <v>3.21</v>
      </c>
      <c r="G1038" s="79">
        <v>2402</v>
      </c>
      <c r="H1038" s="8" t="s">
        <v>308</v>
      </c>
      <c r="I1038" s="22" t="s">
        <v>4491</v>
      </c>
      <c r="J1038" s="8">
        <f>IFERROR(VLOOKUP($G1038,今日總結!$A:$AN,39,0),"")</f>
        <v>0</v>
      </c>
      <c r="K1038" s="5">
        <f>IFERROR(VLOOKUP($G1038,今日總結!$A:$AN,40,0),"")</f>
        <v>0</v>
      </c>
      <c r="L1038" s="156">
        <f>IFERROR(VLOOKUP($G1038,今日總結!$A:$AN,37,0),"")</f>
        <v>0</v>
      </c>
      <c r="M1038" s="337">
        <f>IFERROR(VLOOKUP($G1038,今日總結!$A:$AN,38,0),"")</f>
        <v>0</v>
      </c>
      <c r="N1038" s="240">
        <f t="shared" si="191"/>
        <v>0</v>
      </c>
      <c r="O1038" s="359">
        <f>IFERROR(VLOOKUP($G1038,融外自投!$A:$J,7,0),"無")</f>
        <v>633</v>
      </c>
      <c r="P1038" s="79">
        <f>IFERROR(VLOOKUP($G1038,融外自投!$A:$J,9,0),"無")</f>
        <v>261</v>
      </c>
      <c r="Q1038" s="342">
        <f>IFERROR(VLOOKUP($G1038,融外自投!$A:$J,8,0),"無")</f>
        <v>502</v>
      </c>
      <c r="R1038" s="81">
        <f>IFERROR(VLOOKUP($G1038,融外自投!$A:$J,10,0),"無")</f>
        <v>495</v>
      </c>
      <c r="S1038" s="324">
        <f>IFERROR(VLOOKUP($G1038,'321買'!$A:$E,4,0),"'沒有資料'")</f>
        <v>801</v>
      </c>
      <c r="T1038" s="186">
        <f>IFERROR(VLOOKUP($G1038,基本資料!$A:$J,9,0),"無")</f>
        <v>0.5</v>
      </c>
      <c r="U1038" s="307">
        <f t="shared" si="187"/>
        <v>3.3444816053511704E-2</v>
      </c>
      <c r="V1038" s="94">
        <f>IFERROR(VLOOKUP($G1038,基本資料!$A:$J,10,0),"無")</f>
        <v>0.75</v>
      </c>
      <c r="W1038" s="36">
        <f>RTD("money.excel",,"2402","Price")</f>
        <v>14.95</v>
      </c>
      <c r="X1038" s="66"/>
      <c r="Y1038" s="15">
        <f t="shared" si="188"/>
        <v>14.95</v>
      </c>
      <c r="Z1038" s="3" t="e">
        <f t="shared" si="189"/>
        <v>#DIV/0!</v>
      </c>
      <c r="AA1038" s="340">
        <f>IFERROR(VLOOKUP($G1038,基本資料!$A:$M,11,0),"無")</f>
        <v>-29.31</v>
      </c>
      <c r="AB1038" s="389">
        <f>IFERROR(VLOOKUP($G1038,基本資料!$A:$M,12,0),"無")</f>
        <v>22.29</v>
      </c>
      <c r="AC1038" s="22" t="s">
        <v>4491</v>
      </c>
      <c r="AF1038" s="33">
        <f t="shared" si="190"/>
        <v>0</v>
      </c>
      <c r="AG1038" s="43" t="s">
        <v>4492</v>
      </c>
      <c r="AH1038" s="66">
        <f t="shared" si="192"/>
        <v>0.5749858517260894</v>
      </c>
      <c r="AI1038" s="283">
        <f>RTD("money.excel",,$G1038,"PredictVolume")</f>
        <v>254</v>
      </c>
      <c r="AJ1038" s="391">
        <f>IFERROR(VLOOKUP($G1038,基本資料!$A:$M,13,0),"無")</f>
        <v>441.75</v>
      </c>
      <c r="AR1038" s="245" t="str">
        <f>INDEX(基本資料!N:N,MATCH($G1038,基本資料!A:A,0))</f>
        <v>低</v>
      </c>
    </row>
    <row r="1039" spans="1:44">
      <c r="A1039" s="343">
        <f>IFERROR(VLOOKUP($G1039,基本資料!$A:$J,3,0),"無")</f>
        <v>12.73</v>
      </c>
      <c r="B1039" s="79">
        <f>IFERROR(VLOOKUP($G1039,基本資料!$A:$J,4,0),"無")</f>
        <v>419</v>
      </c>
      <c r="C1039" s="79">
        <f>IFERROR(VLOOKUP($G1039,基本資料!$A:$J,5,0),"無")</f>
        <v>254</v>
      </c>
      <c r="D1039" s="79">
        <f>IFERROR(VLOOKUP($G1039,基本資料!$A:$J,6,0),"無")</f>
        <v>8</v>
      </c>
      <c r="E1039" s="79">
        <f>IFERROR(VLOOKUP($G1039,基本資料!$A:$J,7,0),"無")</f>
        <v>17</v>
      </c>
      <c r="F1039" s="6">
        <f>IFERROR(VLOOKUP($G1039,基本資料!$A:$J,8,0),"無")</f>
        <v>1.41</v>
      </c>
      <c r="G1039" s="79">
        <v>2413</v>
      </c>
      <c r="H1039" s="8" t="s">
        <v>308</v>
      </c>
      <c r="I1039" s="22" t="s">
        <v>4493</v>
      </c>
      <c r="J1039" s="8">
        <f>IFERROR(VLOOKUP($G1039,今日總結!$A:$AN,39,0),"")</f>
        <v>0</v>
      </c>
      <c r="K1039" s="5">
        <f>IFERROR(VLOOKUP($G1039,今日總結!$A:$AN,40,0),"")</f>
        <v>0</v>
      </c>
      <c r="L1039" s="156">
        <f>IFERROR(VLOOKUP($G1039,今日總結!$A:$AN,37,0),"")</f>
        <v>0</v>
      </c>
      <c r="M1039" s="337">
        <f>IFERROR(VLOOKUP($G1039,今日總結!$A:$AN,38,0),"")</f>
        <v>0</v>
      </c>
      <c r="N1039" s="240">
        <f t="shared" si="191"/>
        <v>0</v>
      </c>
      <c r="O1039" s="359">
        <f>IFERROR(VLOOKUP($G1039,融外自投!$A:$J,7,0),"無")</f>
        <v>488</v>
      </c>
      <c r="P1039" s="79">
        <f>IFERROR(VLOOKUP($G1039,融外自投!$A:$J,9,0),"無")</f>
        <v>365</v>
      </c>
      <c r="Q1039" s="342">
        <f>IFERROR(VLOOKUP($G1039,融外自投!$A:$J,8,0),"無")</f>
        <v>1348</v>
      </c>
      <c r="R1039" s="81" t="str">
        <f>IFERROR(VLOOKUP($G1039,融外自投!$A:$J,10,0),"無")</f>
        <v>無</v>
      </c>
      <c r="S1039" s="324">
        <f>IFERROR(VLOOKUP($G1039,'321買'!$A:$E,4,0),"'沒有資料'")</f>
        <v>891</v>
      </c>
      <c r="T1039" s="186">
        <f>IFERROR(VLOOKUP($G1039,基本資料!$A:$J,9,0),"無")</f>
        <v>0</v>
      </c>
      <c r="U1039" s="307">
        <f t="shared" si="187"/>
        <v>0</v>
      </c>
      <c r="V1039" s="94">
        <f>IFERROR(VLOOKUP($G1039,基本資料!$A:$J,10,0),"無")</f>
        <v>0.35</v>
      </c>
      <c r="W1039" s="36">
        <f>RTD("money.excel",,"2413","Price")</f>
        <v>18.3</v>
      </c>
      <c r="X1039" s="66"/>
      <c r="Y1039" s="15">
        <f t="shared" si="188"/>
        <v>18.3</v>
      </c>
      <c r="Z1039" s="3" t="e">
        <f t="shared" si="189"/>
        <v>#DIV/0!</v>
      </c>
      <c r="AA1039" s="340">
        <f>IFERROR(VLOOKUP($G1039,基本資料!$A:$M,11,0),"無")</f>
        <v>-27.52</v>
      </c>
      <c r="AB1039" s="389">
        <f>IFERROR(VLOOKUP($G1039,基本資料!$A:$M,12,0),"無")</f>
        <v>21.85</v>
      </c>
      <c r="AC1039" s="22" t="s">
        <v>4493</v>
      </c>
      <c r="AF1039" s="33">
        <f t="shared" si="190"/>
        <v>0</v>
      </c>
      <c r="AG1039" s="43" t="s">
        <v>2372</v>
      </c>
      <c r="AH1039" s="66">
        <f t="shared" si="192"/>
        <v>0.66700610997963339</v>
      </c>
      <c r="AI1039" s="283">
        <f>RTD("money.excel",,$G1039,"PredictVolume")</f>
        <v>131</v>
      </c>
      <c r="AJ1039" s="391">
        <f>IFERROR(VLOOKUP($G1039,基本資料!$A:$M,13,0),"無")</f>
        <v>196.4</v>
      </c>
      <c r="AR1039" s="245" t="str">
        <f>INDEX(基本資料!N:N,MATCH($G1039,基本資料!A:A,0))</f>
        <v>低</v>
      </c>
    </row>
    <row r="1040" spans="1:44">
      <c r="A1040" s="343">
        <f>IFERROR(VLOOKUP($G1040,基本資料!$A:$J,3,0),"無")</f>
        <v>8</v>
      </c>
      <c r="B1040" s="79">
        <f>IFERROR(VLOOKUP($G1040,基本資料!$A:$J,4,0),"無")</f>
        <v>253</v>
      </c>
      <c r="C1040" s="79">
        <f>IFERROR(VLOOKUP($G1040,基本資料!$A:$J,5,0),"無")</f>
        <v>89</v>
      </c>
      <c r="D1040" s="79">
        <f>IFERROR(VLOOKUP($G1040,基本資料!$A:$J,6,0),"無")</f>
        <v>-18</v>
      </c>
      <c r="E1040" s="79">
        <f>IFERROR(VLOOKUP($G1040,基本資料!$A:$J,7,0),"無")</f>
        <v>-9</v>
      </c>
      <c r="F1040" s="6">
        <f>IFERROR(VLOOKUP($G1040,基本資料!$A:$J,8,0),"無")</f>
        <v>17.8</v>
      </c>
      <c r="G1040" s="79">
        <v>2415</v>
      </c>
      <c r="H1040" s="8" t="s">
        <v>308</v>
      </c>
      <c r="I1040" s="22" t="s">
        <v>4494</v>
      </c>
      <c r="J1040" s="8">
        <f>IFERROR(VLOOKUP($G1040,今日總結!$A:$AN,39,0),"")</f>
        <v>0</v>
      </c>
      <c r="K1040" s="5">
        <f>IFERROR(VLOOKUP($G1040,今日總結!$A:$AN,40,0),"")</f>
        <v>0</v>
      </c>
      <c r="L1040" s="156">
        <f>IFERROR(VLOOKUP($G1040,今日總結!$A:$AN,37,0),"")</f>
        <v>0</v>
      </c>
      <c r="M1040" s="337">
        <f>IFERROR(VLOOKUP($G1040,今日總結!$A:$AN,38,0),"")</f>
        <v>0</v>
      </c>
      <c r="N1040" s="240">
        <f t="shared" si="191"/>
        <v>0</v>
      </c>
      <c r="O1040" s="359">
        <f>IFERROR(VLOOKUP($G1040,融外自投!$A:$J,7,0),"無")</f>
        <v>329</v>
      </c>
      <c r="P1040" s="79">
        <f>IFERROR(VLOOKUP($G1040,融外自投!$A:$J,9,0),"無")</f>
        <v>649</v>
      </c>
      <c r="Q1040" s="342">
        <f>IFERROR(VLOOKUP($G1040,融外自投!$A:$J,8,0),"無")</f>
        <v>1085</v>
      </c>
      <c r="R1040" s="81" t="str">
        <f>IFERROR(VLOOKUP($G1040,融外自投!$A:$J,10,0),"無")</f>
        <v>無</v>
      </c>
      <c r="S1040" s="324">
        <f>IFERROR(VLOOKUP($G1040,'321買'!$A:$E,4,0),"'沒有資料'")</f>
        <v>530</v>
      </c>
      <c r="T1040" s="186">
        <f>IFERROR(VLOOKUP($G1040,基本資料!$A:$J,9,0),"無")</f>
        <v>2.1</v>
      </c>
      <c r="U1040" s="307">
        <f t="shared" si="187"/>
        <v>6.0606060606060608E-2</v>
      </c>
      <c r="V1040" s="94">
        <f>IFERROR(VLOOKUP($G1040,基本資料!$A:$J,10,0),"無")</f>
        <v>2.73</v>
      </c>
      <c r="W1040" s="36">
        <f>RTD("money.excel",,"2415","Price")</f>
        <v>34.65</v>
      </c>
      <c r="X1040" s="66"/>
      <c r="Y1040" s="15">
        <f t="shared" si="188"/>
        <v>34.65</v>
      </c>
      <c r="Z1040" s="3" t="e">
        <f t="shared" si="189"/>
        <v>#DIV/0!</v>
      </c>
      <c r="AA1040" s="340">
        <f>IFERROR(VLOOKUP($G1040,基本資料!$A:$M,11,0),"無")</f>
        <v>-45.94</v>
      </c>
      <c r="AB1040" s="389">
        <f>IFERROR(VLOOKUP($G1040,基本資料!$A:$M,12,0),"無")</f>
        <v>20.350000000000001</v>
      </c>
      <c r="AC1040" s="22" t="s">
        <v>4494</v>
      </c>
      <c r="AF1040" s="33">
        <f t="shared" si="190"/>
        <v>0</v>
      </c>
      <c r="AG1040" s="43" t="s">
        <v>4495</v>
      </c>
      <c r="AH1040" s="66">
        <f t="shared" si="192"/>
        <v>0.49705354855239559</v>
      </c>
      <c r="AI1040" s="283">
        <f>RTD("money.excel",,$G1040,"PredictVolume")</f>
        <v>97</v>
      </c>
      <c r="AJ1040" s="391">
        <f>IFERROR(VLOOKUP($G1040,基本資料!$A:$M,13,0),"無")</f>
        <v>195.15</v>
      </c>
      <c r="AR1040" s="245" t="str">
        <f>INDEX(基本資料!N:N,MATCH($G1040,基本資料!A:A,0))</f>
        <v>低</v>
      </c>
    </row>
    <row r="1041" spans="1:44">
      <c r="A1041" s="343">
        <f>IFERROR(VLOOKUP($G1041,基本資料!$A:$J,3,0),"無")</f>
        <v>15.26</v>
      </c>
      <c r="B1041" s="79">
        <f>IFERROR(VLOOKUP($G1041,基本資料!$A:$J,4,0),"無")</f>
        <v>31</v>
      </c>
      <c r="C1041" s="79">
        <f>IFERROR(VLOOKUP($G1041,基本資料!$A:$J,5,0),"無")</f>
        <v>22</v>
      </c>
      <c r="D1041" s="79">
        <f>IFERROR(VLOOKUP($G1041,基本資料!$A:$J,6,0),"無")</f>
        <v>1</v>
      </c>
      <c r="E1041" s="79">
        <f>IFERROR(VLOOKUP($G1041,基本資料!$A:$J,7,0),"無")</f>
        <v>1</v>
      </c>
      <c r="F1041" s="6">
        <f>IFERROR(VLOOKUP($G1041,基本資料!$A:$J,8,0),"無")</f>
        <v>23.65</v>
      </c>
      <c r="G1041" s="79">
        <v>2420</v>
      </c>
      <c r="H1041" s="8" t="s">
        <v>308</v>
      </c>
      <c r="I1041" s="22" t="s">
        <v>4496</v>
      </c>
      <c r="J1041" s="8">
        <f>IFERROR(VLOOKUP($G1041,今日總結!$A:$AN,39,0),"")</f>
        <v>0</v>
      </c>
      <c r="K1041" s="5" t="str">
        <f>IFERROR(VLOOKUP($G1041,今日總結!$A:$AN,40,0),"")</f>
        <v>主</v>
      </c>
      <c r="L1041" s="156">
        <f>IFERROR(VLOOKUP($G1041,今日總結!$A:$AN,37,0),"")</f>
        <v>0</v>
      </c>
      <c r="M1041" s="337">
        <f>IFERROR(VLOOKUP($G1041,今日總結!$A:$AN,38,0),"")</f>
        <v>1</v>
      </c>
      <c r="N1041" s="240">
        <f t="shared" si="191"/>
        <v>-1</v>
      </c>
      <c r="O1041" s="359">
        <f>IFERROR(VLOOKUP($G1041,融外自投!$A:$J,7,0),"無")</f>
        <v>1069</v>
      </c>
      <c r="P1041" s="79">
        <f>IFERROR(VLOOKUP($G1041,融外自投!$A:$J,9,0),"無")</f>
        <v>565</v>
      </c>
      <c r="Q1041" s="342">
        <f>IFERROR(VLOOKUP($G1041,融外自投!$A:$J,8,0),"無")</f>
        <v>682</v>
      </c>
      <c r="R1041" s="81" t="str">
        <f>IFERROR(VLOOKUP($G1041,融外自投!$A:$J,10,0),"無")</f>
        <v>無</v>
      </c>
      <c r="S1041" s="324">
        <f>IFERROR(VLOOKUP($G1041,'321買'!$A:$E,4,0),"'沒有資料'")</f>
        <v>891</v>
      </c>
      <c r="T1041" s="186">
        <f>IFERROR(VLOOKUP($G1041,基本資料!$A:$J,9,0),"無")</f>
        <v>3</v>
      </c>
      <c r="U1041" s="307">
        <f t="shared" si="187"/>
        <v>7.1258907363420429E-2</v>
      </c>
      <c r="V1041" s="94">
        <f>IFERROR(VLOOKUP($G1041,基本資料!$A:$J,10,0),"無")</f>
        <v>3.82</v>
      </c>
      <c r="W1041" s="36">
        <f>RTD("money.excel",,"2420","Price")</f>
        <v>42.1</v>
      </c>
      <c r="X1041" s="66"/>
      <c r="Y1041" s="15">
        <f t="shared" si="188"/>
        <v>42.1</v>
      </c>
      <c r="Z1041" s="3" t="e">
        <f t="shared" si="189"/>
        <v>#DIV/0!</v>
      </c>
      <c r="AA1041" s="340">
        <f>IFERROR(VLOOKUP($G1041,基本資料!$A:$M,11,0),"無")</f>
        <v>-13.46</v>
      </c>
      <c r="AB1041" s="389">
        <f>IFERROR(VLOOKUP($G1041,基本資料!$A:$M,12,0),"無")</f>
        <v>32.17</v>
      </c>
      <c r="AC1041" s="22" t="s">
        <v>4496</v>
      </c>
      <c r="AF1041" s="33">
        <f t="shared" si="190"/>
        <v>0</v>
      </c>
      <c r="AG1041" s="43" t="s">
        <v>2372</v>
      </c>
      <c r="AH1041" s="66">
        <f t="shared" si="192"/>
        <v>0.85607940446650133</v>
      </c>
      <c r="AI1041" s="283">
        <f>RTD("money.excel",,$G1041,"PredictVolume")</f>
        <v>138</v>
      </c>
      <c r="AJ1041" s="391">
        <f>IFERROR(VLOOKUP($G1041,基本資料!$A:$M,13,0),"無")</f>
        <v>161.19999999999999</v>
      </c>
      <c r="AR1041" s="245" t="str">
        <f>INDEX(基本資料!N:N,MATCH($G1041,基本資料!A:A,0))</f>
        <v>低</v>
      </c>
    </row>
    <row r="1042" spans="1:44">
      <c r="A1042" s="343">
        <f>IFERROR(VLOOKUP($G1042,基本資料!$A:$J,3,0),"無")</f>
        <v>25.09</v>
      </c>
      <c r="B1042" s="79">
        <f>IFERROR(VLOOKUP($G1042,基本資料!$A:$J,4,0),"無")</f>
        <v>-49</v>
      </c>
      <c r="C1042" s="79">
        <f>IFERROR(VLOOKUP($G1042,基本資料!$A:$J,5,0),"無")</f>
        <v>-58</v>
      </c>
      <c r="D1042" s="79">
        <f>IFERROR(VLOOKUP($G1042,基本資料!$A:$J,6,0),"無")</f>
        <v>-18</v>
      </c>
      <c r="E1042" s="79">
        <f>IFERROR(VLOOKUP($G1042,基本資料!$A:$J,7,0),"無")</f>
        <v>-21</v>
      </c>
      <c r="F1042" s="6">
        <f>IFERROR(VLOOKUP($G1042,基本資料!$A:$J,8,0),"無")</f>
        <v>3.42</v>
      </c>
      <c r="G1042" s="79">
        <v>2421</v>
      </c>
      <c r="H1042" s="8" t="s">
        <v>308</v>
      </c>
      <c r="I1042" s="22" t="s">
        <v>4497</v>
      </c>
      <c r="J1042" s="8">
        <f>IFERROR(VLOOKUP($G1042,今日總結!$A:$AN,39,0),"")</f>
        <v>0</v>
      </c>
      <c r="K1042" s="5" t="str">
        <f>IFERROR(VLOOKUP($G1042,今日總結!$A:$AN,40,0),"")</f>
        <v>融</v>
      </c>
      <c r="L1042" s="156">
        <f>IFERROR(VLOOKUP($G1042,今日總結!$A:$AN,37,0),"")</f>
        <v>0</v>
      </c>
      <c r="M1042" s="337">
        <f>IFERROR(VLOOKUP($G1042,今日總結!$A:$AN,38,0),"")</f>
        <v>3</v>
      </c>
      <c r="N1042" s="240">
        <f t="shared" si="191"/>
        <v>-3</v>
      </c>
      <c r="O1042" s="359">
        <f>IFERROR(VLOOKUP($G1042,融外自投!$A:$J,7,0),"無")</f>
        <v>802</v>
      </c>
      <c r="P1042" s="79">
        <f>IFERROR(VLOOKUP($G1042,融外自投!$A:$J,9,0),"無")</f>
        <v>596</v>
      </c>
      <c r="Q1042" s="342">
        <f>IFERROR(VLOOKUP($G1042,融外自投!$A:$J,8,0),"無")</f>
        <v>306</v>
      </c>
      <c r="R1042" s="81" t="str">
        <f>IFERROR(VLOOKUP($G1042,融外自投!$A:$J,10,0),"無")</f>
        <v>無</v>
      </c>
      <c r="S1042" s="324">
        <f>IFERROR(VLOOKUP($G1042,'321買'!$A:$E,4,0),"'沒有資料'")</f>
        <v>497</v>
      </c>
      <c r="T1042" s="186">
        <f>IFERROR(VLOOKUP($G1042,基本資料!$A:$J,9,0),"無")</f>
        <v>1.2</v>
      </c>
      <c r="U1042" s="307">
        <f t="shared" si="187"/>
        <v>3.3012379642365884E-2</v>
      </c>
      <c r="V1042" s="94">
        <f>IFERROR(VLOOKUP($G1042,基本資料!$A:$J,10,0),"無")</f>
        <v>1.71</v>
      </c>
      <c r="W1042" s="36">
        <f>RTD("money.excel",,"2421","Price")</f>
        <v>36.35</v>
      </c>
      <c r="X1042" s="66"/>
      <c r="Y1042" s="15">
        <f t="shared" si="188"/>
        <v>36.35</v>
      </c>
      <c r="Z1042" s="3" t="e">
        <f t="shared" si="189"/>
        <v>#DIV/0!</v>
      </c>
      <c r="AA1042" s="340">
        <f>IFERROR(VLOOKUP($G1042,基本資料!$A:$M,11,0),"無")</f>
        <v>-25.74</v>
      </c>
      <c r="AB1042" s="389">
        <f>IFERROR(VLOOKUP($G1042,基本資料!$A:$M,12,0),"無")</f>
        <v>16.89</v>
      </c>
      <c r="AC1042" s="22" t="s">
        <v>4497</v>
      </c>
      <c r="AF1042" s="33">
        <f t="shared" si="190"/>
        <v>0</v>
      </c>
      <c r="AG1042" s="117" t="s">
        <v>2274</v>
      </c>
      <c r="AH1042" s="66">
        <f t="shared" si="192"/>
        <v>1.02679262815549</v>
      </c>
      <c r="AI1042" s="283">
        <f>RTD("money.excel",,$G1042,"PredictVolume")</f>
        <v>663</v>
      </c>
      <c r="AJ1042" s="391">
        <f>IFERROR(VLOOKUP($G1042,基本資料!$A:$M,13,0),"無")</f>
        <v>645.70000000000005</v>
      </c>
      <c r="AR1042" s="245" t="str">
        <f>INDEX(基本資料!N:N,MATCH($G1042,基本資料!A:A,0))</f>
        <v>低</v>
      </c>
    </row>
    <row r="1043" spans="1:44">
      <c r="A1043" s="343">
        <f>IFERROR(VLOOKUP($G1043,基本資料!$A:$J,3,0),"無")</f>
        <v>12.81</v>
      </c>
      <c r="B1043" s="79">
        <f>IFERROR(VLOOKUP($G1043,基本資料!$A:$J,4,0),"無")</f>
        <v>15</v>
      </c>
      <c r="C1043" s="79">
        <f>IFERROR(VLOOKUP($G1043,基本資料!$A:$J,5,0),"無")</f>
        <v>15</v>
      </c>
      <c r="D1043" s="79">
        <f>IFERROR(VLOOKUP($G1043,基本資料!$A:$J,6,0),"無")</f>
        <v>11</v>
      </c>
      <c r="E1043" s="79">
        <f>IFERROR(VLOOKUP($G1043,基本資料!$A:$J,7,0),"無")</f>
        <v>1</v>
      </c>
      <c r="F1043" s="6">
        <f>IFERROR(VLOOKUP($G1043,基本資料!$A:$J,8,0),"無")</f>
        <v>28.33</v>
      </c>
      <c r="G1043" s="79">
        <v>2428</v>
      </c>
      <c r="H1043" s="195" t="s">
        <v>308</v>
      </c>
      <c r="I1043" s="22" t="s">
        <v>4498</v>
      </c>
      <c r="J1043" s="8">
        <f>IFERROR(VLOOKUP($G1043,今日總結!$A:$AN,39,0),"")</f>
        <v>0</v>
      </c>
      <c r="K1043" s="5">
        <f>IFERROR(VLOOKUP($G1043,今日總結!$A:$AN,40,0),"")</f>
        <v>0</v>
      </c>
      <c r="L1043" s="156">
        <f>IFERROR(VLOOKUP($G1043,今日總結!$A:$AN,37,0),"")</f>
        <v>0</v>
      </c>
      <c r="M1043" s="337">
        <f>IFERROR(VLOOKUP($G1043,今日總結!$A:$AN,38,0),"")</f>
        <v>0</v>
      </c>
      <c r="N1043" s="240">
        <f t="shared" si="191"/>
        <v>0</v>
      </c>
      <c r="O1043" s="359">
        <f>IFERROR(VLOOKUP($G1043,融外自投!$A:$J,7,0),"無")</f>
        <v>714</v>
      </c>
      <c r="P1043" s="79">
        <f>IFERROR(VLOOKUP($G1043,融外自投!$A:$J,9,0),"無")</f>
        <v>908</v>
      </c>
      <c r="Q1043" s="342">
        <f>IFERROR(VLOOKUP($G1043,融外自投!$A:$J,8,0),"無")</f>
        <v>378</v>
      </c>
      <c r="R1043" s="81">
        <f>IFERROR(VLOOKUP($G1043,融外自投!$A:$J,10,0),"無")</f>
        <v>395</v>
      </c>
      <c r="S1043" s="324">
        <f>IFERROR(VLOOKUP($G1043,'321買'!$A:$E,4,0),"'沒有資料'")</f>
        <v>891</v>
      </c>
      <c r="T1043" s="186">
        <f>IFERROR(VLOOKUP($G1043,基本資料!$A:$J,9,0),"無")</f>
        <v>6.3</v>
      </c>
      <c r="U1043" s="307">
        <f t="shared" si="187"/>
        <v>4.9027237354085602E-2</v>
      </c>
      <c r="V1043" s="94">
        <f>IFERROR(VLOOKUP($G1043,基本資料!$A:$J,10,0),"無")</f>
        <v>12.31</v>
      </c>
      <c r="W1043" s="36">
        <f>RTD("money.excel",,"2428","Price")</f>
        <v>128.5</v>
      </c>
      <c r="X1043" s="66"/>
      <c r="Y1043" s="15">
        <f t="shared" si="188"/>
        <v>128.5</v>
      </c>
      <c r="Z1043" s="3" t="e">
        <f t="shared" si="189"/>
        <v>#DIV/0!</v>
      </c>
      <c r="AA1043" s="340">
        <f>IFERROR(VLOOKUP($G1043,基本資料!$A:$M,11,0),"無")</f>
        <v>-50</v>
      </c>
      <c r="AB1043" s="389">
        <f>IFERROR(VLOOKUP($G1043,基本資料!$A:$M,12,0),"無")</f>
        <v>32.119999999999997</v>
      </c>
      <c r="AC1043" s="22" t="s">
        <v>4498</v>
      </c>
      <c r="AF1043" s="33">
        <f t="shared" si="190"/>
        <v>0</v>
      </c>
      <c r="AG1043" s="43" t="s">
        <v>4499</v>
      </c>
      <c r="AH1043" s="66">
        <f t="shared" si="192"/>
        <v>0.96609503861762014</v>
      </c>
      <c r="AI1043" s="283">
        <f>RTD("money.excel",,$G1043,"PredictVolume")</f>
        <v>738</v>
      </c>
      <c r="AJ1043" s="391">
        <f>IFERROR(VLOOKUP($G1043,基本資料!$A:$M,13,0),"無")</f>
        <v>763.9</v>
      </c>
      <c r="AR1043" s="245" t="str">
        <f>INDEX(基本資料!N:N,MATCH($G1043,基本資料!A:A,0))</f>
        <v>低</v>
      </c>
    </row>
    <row r="1044" spans="1:44">
      <c r="A1044" s="343">
        <f>IFERROR(VLOOKUP($G1044,基本資料!$A:$J,3,0),"無")</f>
        <v>3.97</v>
      </c>
      <c r="B1044" s="79">
        <f>IFERROR(VLOOKUP($G1044,基本資料!$A:$J,4,0),"無")</f>
        <v>86</v>
      </c>
      <c r="C1044" s="79">
        <f>IFERROR(VLOOKUP($G1044,基本資料!$A:$J,5,0),"無")</f>
        <v>86</v>
      </c>
      <c r="D1044" s="79">
        <f>IFERROR(VLOOKUP($G1044,基本資料!$A:$J,6,0),"無")</f>
        <v>-18</v>
      </c>
      <c r="E1044" s="79">
        <f>IFERROR(VLOOKUP($G1044,基本資料!$A:$J,7,0),"無")</f>
        <v>-51</v>
      </c>
      <c r="F1044" s="6">
        <f>IFERROR(VLOOKUP($G1044,基本資料!$A:$J,8,0),"無")</f>
        <v>-0.83</v>
      </c>
      <c r="G1044" s="79">
        <v>2429</v>
      </c>
      <c r="H1044" s="8" t="s">
        <v>308</v>
      </c>
      <c r="I1044" s="22" t="s">
        <v>4500</v>
      </c>
      <c r="J1044" s="8" t="str">
        <f>IFERROR(VLOOKUP($G1044,今日總結!$A:$AN,39,0),"")</f>
        <v/>
      </c>
      <c r="K1044" s="5" t="str">
        <f>IFERROR(VLOOKUP($G1044,今日總結!$A:$AN,40,0),"")</f>
        <v/>
      </c>
      <c r="L1044" s="156" t="str">
        <f>IFERROR(VLOOKUP($G1044,今日總結!$A:$AN,37,0),"")</f>
        <v/>
      </c>
      <c r="M1044" s="337" t="str">
        <f>IFERROR(VLOOKUP($G1044,今日總結!$A:$AN,38,0),"")</f>
        <v/>
      </c>
      <c r="N1044" s="240" t="str">
        <f t="shared" si="191"/>
        <v/>
      </c>
      <c r="O1044" s="359" t="str">
        <f>IFERROR(VLOOKUP($G1044,融外自投!$A:$J,7,0),"無")</f>
        <v>無</v>
      </c>
      <c r="P1044" s="79" t="str">
        <f>IFERROR(VLOOKUP($G1044,融外自投!$A:$J,9,0),"無")</f>
        <v>無</v>
      </c>
      <c r="Q1044" s="342" t="str">
        <f>IFERROR(VLOOKUP($G1044,融外自投!$A:$J,8,0),"無")</f>
        <v>無</v>
      </c>
      <c r="R1044" s="81" t="str">
        <f>IFERROR(VLOOKUP($G1044,融外自投!$A:$J,10,0),"無")</f>
        <v>無</v>
      </c>
      <c r="S1044" s="324" t="str">
        <f>IFERROR(VLOOKUP($G1044,'321買'!$A:$E,4,0),"'沒有資料'")</f>
        <v>'沒有資料'</v>
      </c>
      <c r="T1044" s="186">
        <f>IFERROR(VLOOKUP($G1044,基本資料!$A:$J,9,0),"無")</f>
        <v>0</v>
      </c>
      <c r="U1044" s="307">
        <f t="shared" si="187"/>
        <v>0</v>
      </c>
      <c r="V1044" s="94">
        <f>IFERROR(VLOOKUP($G1044,基本資料!$A:$J,10,0),"無")</f>
        <v>0.05</v>
      </c>
      <c r="W1044" s="36">
        <f>RTD("money.excel",,"2429","Price")</f>
        <v>15.35</v>
      </c>
      <c r="X1044" s="66"/>
      <c r="Y1044" s="15">
        <f t="shared" si="188"/>
        <v>15.35</v>
      </c>
      <c r="Z1044" s="3" t="e">
        <f t="shared" si="189"/>
        <v>#DIV/0!</v>
      </c>
      <c r="AA1044" s="340">
        <f>IFERROR(VLOOKUP($G1044,基本資料!$A:$M,11,0),"無")</f>
        <v>-42.08</v>
      </c>
      <c r="AB1044" s="389">
        <f>IFERROR(VLOOKUP($G1044,基本資料!$A:$M,12,0),"無")</f>
        <v>21.19</v>
      </c>
      <c r="AC1044" s="22" t="s">
        <v>4500</v>
      </c>
      <c r="AF1044" s="33">
        <f t="shared" si="190"/>
        <v>0</v>
      </c>
      <c r="AG1044" s="43" t="s">
        <v>1043</v>
      </c>
      <c r="AH1044" s="66">
        <f t="shared" si="192"/>
        <v>4.4642857142857144E-2</v>
      </c>
      <c r="AI1044" s="283">
        <f>RTD("money.excel",,$G1044,"PredictVolume")</f>
        <v>1</v>
      </c>
      <c r="AJ1044" s="391">
        <f>IFERROR(VLOOKUP($G1044,基本資料!$A:$M,13,0),"無")</f>
        <v>22.4</v>
      </c>
      <c r="AR1044" s="245" t="str">
        <f>INDEX(基本資料!N:N,MATCH($G1044,基本資料!A:A,0))</f>
        <v>低</v>
      </c>
    </row>
    <row r="1045" spans="1:44">
      <c r="A1045" s="343">
        <f>IFERROR(VLOOKUP($G1045,基本資料!$A:$J,3,0),"無")</f>
        <v>11.09</v>
      </c>
      <c r="B1045" s="79">
        <f>IFERROR(VLOOKUP($G1045,基本資料!$A:$J,4,0),"無")</f>
        <v>145</v>
      </c>
      <c r="C1045" s="79">
        <f>IFERROR(VLOOKUP($G1045,基本資料!$A:$J,5,0),"無")</f>
        <v>-406</v>
      </c>
      <c r="D1045" s="79">
        <f>IFERROR(VLOOKUP($G1045,基本資料!$A:$J,6,0),"無")</f>
        <v>-10</v>
      </c>
      <c r="E1045" s="79">
        <f>IFERROR(VLOOKUP($G1045,基本資料!$A:$J,7,0),"無")</f>
        <v>-41</v>
      </c>
      <c r="F1045" s="6">
        <f>IFERROR(VLOOKUP($G1045,基本資料!$A:$J,8,0),"無")</f>
        <v>-6.72</v>
      </c>
      <c r="G1045" s="79">
        <v>2431</v>
      </c>
      <c r="H1045" s="8" t="s">
        <v>308</v>
      </c>
      <c r="I1045" s="22" t="s">
        <v>4501</v>
      </c>
      <c r="J1045" s="8">
        <f>IFERROR(VLOOKUP($G1045,今日總結!$A:$AN,39,0),"")</f>
        <v>0</v>
      </c>
      <c r="K1045" s="5">
        <f>IFERROR(VLOOKUP($G1045,今日總結!$A:$AN,40,0),"")</f>
        <v>0</v>
      </c>
      <c r="L1045" s="156">
        <f>IFERROR(VLOOKUP($G1045,今日總結!$A:$AN,37,0),"")</f>
        <v>0</v>
      </c>
      <c r="M1045" s="337">
        <f>IFERROR(VLOOKUP($G1045,今日總結!$A:$AN,38,0),"")</f>
        <v>0</v>
      </c>
      <c r="N1045" s="240">
        <f t="shared" si="191"/>
        <v>0</v>
      </c>
      <c r="O1045" s="359">
        <f>IFERROR(VLOOKUP($G1045,融外自投!$A:$J,7,0),"無")</f>
        <v>304</v>
      </c>
      <c r="P1045" s="79">
        <f>IFERROR(VLOOKUP($G1045,融外自投!$A:$J,9,0),"無")</f>
        <v>460</v>
      </c>
      <c r="Q1045" s="342">
        <f>IFERROR(VLOOKUP($G1045,融外自投!$A:$J,8,0),"無")</f>
        <v>1276</v>
      </c>
      <c r="R1045" s="81" t="str">
        <f>IFERROR(VLOOKUP($G1045,融外自投!$A:$J,10,0),"無")</f>
        <v>無</v>
      </c>
      <c r="S1045" s="324">
        <f>IFERROR(VLOOKUP($G1045,'321買'!$A:$E,4,0),"'沒有資料'")</f>
        <v>1002</v>
      </c>
      <c r="T1045" s="186">
        <f>IFERROR(VLOOKUP($G1045,基本資料!$A:$J,9,0),"無")</f>
        <v>0.45</v>
      </c>
      <c r="U1045" s="307">
        <f t="shared" si="187"/>
        <v>4.1474654377880185E-2</v>
      </c>
      <c r="V1045" s="94">
        <f>IFERROR(VLOOKUP($G1045,基本資料!$A:$J,10,0),"無")</f>
        <v>1.03</v>
      </c>
      <c r="W1045" s="36">
        <f>RTD("money.excel",,"2431","Price")</f>
        <v>10.85</v>
      </c>
      <c r="X1045" s="66"/>
      <c r="Y1045" s="15">
        <f t="shared" si="188"/>
        <v>10.85</v>
      </c>
      <c r="Z1045" s="3" t="e">
        <f t="shared" si="189"/>
        <v>#DIV/0!</v>
      </c>
      <c r="AA1045" s="340">
        <f>IFERROR(VLOOKUP($G1045,基本資料!$A:$M,11,0),"無")</f>
        <v>-31.11</v>
      </c>
      <c r="AB1045" s="389">
        <f>IFERROR(VLOOKUP($G1045,基本資料!$A:$M,12,0),"無")</f>
        <v>20</v>
      </c>
      <c r="AC1045" s="22" t="s">
        <v>4501</v>
      </c>
      <c r="AF1045" s="33">
        <f t="shared" si="190"/>
        <v>0</v>
      </c>
      <c r="AG1045" s="43" t="s">
        <v>4502</v>
      </c>
      <c r="AH1045" s="66">
        <f t="shared" si="192"/>
        <v>1.1409395973154361</v>
      </c>
      <c r="AI1045" s="283">
        <f>RTD("money.excel",,$G1045,"PredictVolume")</f>
        <v>170</v>
      </c>
      <c r="AJ1045" s="391">
        <f>IFERROR(VLOOKUP($G1045,基本資料!$A:$M,13,0),"無")</f>
        <v>149</v>
      </c>
      <c r="AR1045" s="245" t="str">
        <f>INDEX(基本資料!N:N,MATCH($G1045,基本資料!A:A,0))</f>
        <v>低</v>
      </c>
    </row>
    <row r="1046" spans="1:44">
      <c r="A1046" s="343">
        <f>IFERROR(VLOOKUP($G1046,基本資料!$A:$J,3,0),"無")</f>
        <v>13.91</v>
      </c>
      <c r="B1046" s="79">
        <f>IFERROR(VLOOKUP($G1046,基本資料!$A:$J,4,0),"無")</f>
        <v>-52</v>
      </c>
      <c r="C1046" s="79">
        <f>IFERROR(VLOOKUP($G1046,基本資料!$A:$J,5,0),"無")</f>
        <v>24</v>
      </c>
      <c r="D1046" s="79">
        <f>IFERROR(VLOOKUP($G1046,基本資料!$A:$J,6,0),"無")</f>
        <v>7</v>
      </c>
      <c r="E1046" s="79">
        <f>IFERROR(VLOOKUP($G1046,基本資料!$A:$J,7,0),"無")</f>
        <v>-17</v>
      </c>
      <c r="F1046" s="6">
        <f>IFERROR(VLOOKUP($G1046,基本資料!$A:$J,8,0),"無")</f>
        <v>3.75</v>
      </c>
      <c r="G1046" s="79">
        <v>2440</v>
      </c>
      <c r="H1046" s="8" t="s">
        <v>308</v>
      </c>
      <c r="I1046" s="22" t="s">
        <v>4503</v>
      </c>
      <c r="J1046" s="8">
        <f>IFERROR(VLOOKUP($G1046,今日總結!$A:$AN,39,0),"")</f>
        <v>0</v>
      </c>
      <c r="K1046" s="5">
        <f>IFERROR(VLOOKUP($G1046,今日總結!$A:$AN,40,0),"")</f>
        <v>0</v>
      </c>
      <c r="L1046" s="156">
        <f>IFERROR(VLOOKUP($G1046,今日總結!$A:$AN,37,0),"")</f>
        <v>0</v>
      </c>
      <c r="M1046" s="337">
        <f>IFERROR(VLOOKUP($G1046,今日總結!$A:$AN,38,0),"")</f>
        <v>0</v>
      </c>
      <c r="N1046" s="240">
        <f t="shared" si="191"/>
        <v>0</v>
      </c>
      <c r="O1046" s="359">
        <f>IFERROR(VLOOKUP($G1046,融外自投!$A:$J,7,0),"無")</f>
        <v>1242</v>
      </c>
      <c r="P1046" s="79" t="str">
        <f>IFERROR(VLOOKUP($G1046,融外自投!$A:$J,9,0),"無")</f>
        <v>無</v>
      </c>
      <c r="Q1046" s="342">
        <f>IFERROR(VLOOKUP($G1046,融外自投!$A:$J,8,0),"無")</f>
        <v>1425</v>
      </c>
      <c r="R1046" s="81" t="str">
        <f>IFERROR(VLOOKUP($G1046,融外自投!$A:$J,10,0),"無")</f>
        <v>無</v>
      </c>
      <c r="S1046" s="324">
        <f>IFERROR(VLOOKUP($G1046,'321買'!$A:$E,4,0),"'沒有資料'")</f>
        <v>891</v>
      </c>
      <c r="T1046" s="186">
        <f>IFERROR(VLOOKUP($G1046,基本資料!$A:$J,9,0),"無")</f>
        <v>0</v>
      </c>
      <c r="U1046" s="307">
        <f t="shared" si="187"/>
        <v>0</v>
      </c>
      <c r="V1046" s="94">
        <f>IFERROR(VLOOKUP($G1046,基本資料!$A:$J,10,0),"無")</f>
        <v>0.75</v>
      </c>
      <c r="W1046" s="36">
        <f>RTD("money.excel",,"2440","Price")</f>
        <v>13</v>
      </c>
      <c r="X1046" s="66"/>
      <c r="Y1046" s="15">
        <f t="shared" si="188"/>
        <v>13</v>
      </c>
      <c r="Z1046" s="3" t="e">
        <f t="shared" si="189"/>
        <v>#DIV/0!</v>
      </c>
      <c r="AA1046" s="340">
        <f>IFERROR(VLOOKUP($G1046,基本資料!$A:$M,11,0),"無")</f>
        <v>-50.57</v>
      </c>
      <c r="AB1046" s="389">
        <f>IFERROR(VLOOKUP($G1046,基本資料!$A:$M,12,0),"無")</f>
        <v>10.43</v>
      </c>
      <c r="AC1046" s="22" t="s">
        <v>4503</v>
      </c>
      <c r="AF1046" s="33">
        <f t="shared" si="190"/>
        <v>0</v>
      </c>
      <c r="AG1046" s="43" t="s">
        <v>4504</v>
      </c>
      <c r="AH1046" s="66">
        <f t="shared" si="192"/>
        <v>0.5016648168701443</v>
      </c>
      <c r="AI1046" s="283">
        <f>RTD("money.excel",,$G1046,"PredictVolume")</f>
        <v>113</v>
      </c>
      <c r="AJ1046" s="391">
        <f>IFERROR(VLOOKUP($G1046,基本資料!$A:$M,13,0),"無")</f>
        <v>225.25</v>
      </c>
      <c r="AR1046" s="245" t="str">
        <f>INDEX(基本資料!N:N,MATCH($G1046,基本資料!A:A,0))</f>
        <v>低</v>
      </c>
    </row>
    <row r="1047" spans="1:44">
      <c r="A1047" s="343">
        <f>IFERROR(VLOOKUP($G1047,基本資料!$A:$J,3,0),"無")</f>
        <v>37.520000000000003</v>
      </c>
      <c r="B1047" s="79">
        <f>IFERROR(VLOOKUP($G1047,基本資料!$A:$J,4,0),"無")</f>
        <v>-102</v>
      </c>
      <c r="C1047" s="79">
        <f>IFERROR(VLOOKUP($G1047,基本資料!$A:$J,5,0),"無")</f>
        <v>8</v>
      </c>
      <c r="D1047" s="79">
        <f>IFERROR(VLOOKUP($G1047,基本資料!$A:$J,6,0),"無")</f>
        <v>-11</v>
      </c>
      <c r="E1047" s="79">
        <f>IFERROR(VLOOKUP($G1047,基本資料!$A:$J,7,0),"無")</f>
        <v>0</v>
      </c>
      <c r="F1047" s="6">
        <f>IFERROR(VLOOKUP($G1047,基本資料!$A:$J,8,0),"無")</f>
        <v>-2.76</v>
      </c>
      <c r="G1047" s="79">
        <v>2457</v>
      </c>
      <c r="H1047" s="8" t="s">
        <v>308</v>
      </c>
      <c r="I1047" s="22" t="s">
        <v>4505</v>
      </c>
      <c r="J1047" s="8">
        <f>IFERROR(VLOOKUP($G1047,今日總結!$A:$AN,39,0),"")</f>
        <v>0</v>
      </c>
      <c r="K1047" s="5" t="str">
        <f>IFERROR(VLOOKUP($G1047,今日總結!$A:$AN,40,0),"")</f>
        <v>借</v>
      </c>
      <c r="L1047" s="156">
        <f>IFERROR(VLOOKUP($G1047,今日總結!$A:$AN,37,0),"")</f>
        <v>0</v>
      </c>
      <c r="M1047" s="337">
        <f>IFERROR(VLOOKUP($G1047,今日總結!$A:$AN,38,0),"")</f>
        <v>1</v>
      </c>
      <c r="N1047" s="240">
        <f t="shared" si="191"/>
        <v>-1</v>
      </c>
      <c r="O1047" s="359">
        <f>IFERROR(VLOOKUP($G1047,融外自投!$A:$J,7,0),"無")</f>
        <v>101</v>
      </c>
      <c r="P1047" s="79">
        <f>IFERROR(VLOOKUP($G1047,融外自投!$A:$J,9,0),"無")</f>
        <v>130</v>
      </c>
      <c r="Q1047" s="342">
        <f>IFERROR(VLOOKUP($G1047,融外自投!$A:$J,8,0),"無")</f>
        <v>767</v>
      </c>
      <c r="R1047" s="81" t="str">
        <f>IFERROR(VLOOKUP($G1047,融外自投!$A:$J,10,0),"無")</f>
        <v>無</v>
      </c>
      <c r="S1047" s="324">
        <f>IFERROR(VLOOKUP($G1047,'321買'!$A:$E,4,0),"'沒有資料'")</f>
        <v>178</v>
      </c>
      <c r="T1047" s="186">
        <f>IFERROR(VLOOKUP($G1047,基本資料!$A:$J,9,0),"無")</f>
        <v>0</v>
      </c>
      <c r="U1047" s="307">
        <f t="shared" si="187"/>
        <v>0</v>
      </c>
      <c r="V1047" s="94">
        <f>IFERROR(VLOOKUP($G1047,基本資料!$A:$J,10,0),"無")</f>
        <v>-0.92</v>
      </c>
      <c r="W1047" s="36">
        <f>RTD("money.excel",,"2457","Price")</f>
        <v>37.35</v>
      </c>
      <c r="X1047" s="66"/>
      <c r="Y1047" s="15">
        <f t="shared" si="188"/>
        <v>37.35</v>
      </c>
      <c r="Z1047" s="3" t="e">
        <f t="shared" si="189"/>
        <v>#DIV/0!</v>
      </c>
      <c r="AA1047" s="340">
        <f>IFERROR(VLOOKUP($G1047,基本資料!$A:$M,11,0),"無")</f>
        <v>-29.66</v>
      </c>
      <c r="AB1047" s="389">
        <f>IFERROR(VLOOKUP($G1047,基本資料!$A:$M,12,0),"無")</f>
        <v>20.54</v>
      </c>
      <c r="AC1047" s="22" t="s">
        <v>4505</v>
      </c>
      <c r="AF1047" s="33">
        <f t="shared" si="190"/>
        <v>0</v>
      </c>
      <c r="AG1047" s="43" t="s">
        <v>2372</v>
      </c>
      <c r="AH1047" s="66">
        <f t="shared" si="192"/>
        <v>0.81983931073263261</v>
      </c>
      <c r="AI1047" s="283">
        <f>RTD("money.excel",,$G1047,"PredictVolume")</f>
        <v>4301</v>
      </c>
      <c r="AJ1047" s="391">
        <f>IFERROR(VLOOKUP($G1047,基本資料!$A:$M,13,0),"無")</f>
        <v>5246.15</v>
      </c>
      <c r="AR1047" s="245" t="str">
        <f>INDEX(基本資料!N:N,MATCH($G1047,基本資料!A:A,0))</f>
        <v>中</v>
      </c>
    </row>
    <row r="1048" spans="1:44">
      <c r="A1048" s="343">
        <f>IFERROR(VLOOKUP($G1048,基本資料!$A:$J,3,0),"無")</f>
        <v>16.920000000000002</v>
      </c>
      <c r="B1048" s="79">
        <f>IFERROR(VLOOKUP($G1048,基本資料!$A:$J,4,0),"無")</f>
        <v>672</v>
      </c>
      <c r="C1048" s="79">
        <f>IFERROR(VLOOKUP($G1048,基本資料!$A:$J,5,0),"無")</f>
        <v>1217</v>
      </c>
      <c r="D1048" s="79">
        <f>IFERROR(VLOOKUP($G1048,基本資料!$A:$J,6,0),"無")</f>
        <v>-19</v>
      </c>
      <c r="E1048" s="79">
        <f>IFERROR(VLOOKUP($G1048,基本資料!$A:$J,7,0),"無")</f>
        <v>-32</v>
      </c>
      <c r="F1048" s="6">
        <f>IFERROR(VLOOKUP($G1048,基本資料!$A:$J,8,0),"無")</f>
        <v>10.29</v>
      </c>
      <c r="G1048" s="79">
        <v>2460</v>
      </c>
      <c r="H1048" s="8" t="s">
        <v>308</v>
      </c>
      <c r="I1048" s="22" t="s">
        <v>4506</v>
      </c>
      <c r="J1048" s="8">
        <f>IFERROR(VLOOKUP($G1048,今日總結!$A:$AN,39,0),"")</f>
        <v>0</v>
      </c>
      <c r="K1048" s="5">
        <f>IFERROR(VLOOKUP($G1048,今日總結!$A:$AN,40,0),"")</f>
        <v>0</v>
      </c>
      <c r="L1048" s="156">
        <f>IFERROR(VLOOKUP($G1048,今日總結!$A:$AN,37,0),"")</f>
        <v>0</v>
      </c>
      <c r="M1048" s="337">
        <f>IFERROR(VLOOKUP($G1048,今日總結!$A:$AN,38,0),"")</f>
        <v>0</v>
      </c>
      <c r="N1048" s="240">
        <f t="shared" si="191"/>
        <v>0</v>
      </c>
      <c r="O1048" s="359">
        <f>IFERROR(VLOOKUP($G1048,融外自投!$A:$J,7,0),"無")</f>
        <v>647</v>
      </c>
      <c r="P1048" s="79">
        <f>IFERROR(VLOOKUP($G1048,融外自投!$A:$J,9,0),"無")</f>
        <v>741</v>
      </c>
      <c r="Q1048" s="342">
        <f>IFERROR(VLOOKUP($G1048,融外自投!$A:$J,8,0),"無")</f>
        <v>1304</v>
      </c>
      <c r="R1048" s="81" t="str">
        <f>IFERROR(VLOOKUP($G1048,融外自投!$A:$J,10,0),"無")</f>
        <v>無</v>
      </c>
      <c r="S1048" s="324">
        <f>IFERROR(VLOOKUP($G1048,'321買'!$A:$E,4,0),"'沒有資料'")</f>
        <v>743</v>
      </c>
      <c r="T1048" s="186">
        <f>IFERROR(VLOOKUP($G1048,基本資料!$A:$J,9,0),"無")</f>
        <v>0.3</v>
      </c>
      <c r="U1048" s="307">
        <f t="shared" si="187"/>
        <v>1.4218009478672985E-2</v>
      </c>
      <c r="V1048" s="94">
        <f>IFERROR(VLOOKUP($G1048,基本資料!$A:$J,10,0),"無")</f>
        <v>1.47</v>
      </c>
      <c r="W1048" s="36">
        <f>RTD("money.excel",,"2460","Price")</f>
        <v>21.1</v>
      </c>
      <c r="X1048" s="66"/>
      <c r="Y1048" s="15">
        <f t="shared" si="188"/>
        <v>21.1</v>
      </c>
      <c r="Z1048" s="3" t="e">
        <f t="shared" si="189"/>
        <v>#DIV/0!</v>
      </c>
      <c r="AA1048" s="340">
        <f>IFERROR(VLOOKUP($G1048,基本資料!$A:$M,11,0),"無")</f>
        <v>-42.82</v>
      </c>
      <c r="AB1048" s="389">
        <f>IFERROR(VLOOKUP($G1048,基本資料!$A:$M,12,0),"無")</f>
        <v>18.52</v>
      </c>
      <c r="AC1048" s="22" t="s">
        <v>4506</v>
      </c>
      <c r="AF1048" s="33">
        <f t="shared" si="190"/>
        <v>0</v>
      </c>
      <c r="AG1048" s="43" t="s">
        <v>1902</v>
      </c>
      <c r="AH1048" s="66">
        <f t="shared" si="192"/>
        <v>0.423336420161397</v>
      </c>
      <c r="AI1048" s="283">
        <f>RTD("money.excel",,$G1048,"PredictVolume")</f>
        <v>160</v>
      </c>
      <c r="AJ1048" s="391">
        <f>IFERROR(VLOOKUP($G1048,基本資料!$A:$M,13,0),"無")</f>
        <v>377.95</v>
      </c>
      <c r="AR1048" s="245" t="str">
        <f>INDEX(基本資料!N:N,MATCH($G1048,基本資料!A:A,0))</f>
        <v>低</v>
      </c>
    </row>
    <row r="1049" spans="1:44">
      <c r="A1049" s="343">
        <f>IFERROR(VLOOKUP($G1049,基本資料!$A:$J,3,0),"無")</f>
        <v>14.19</v>
      </c>
      <c r="B1049" s="79">
        <f>IFERROR(VLOOKUP($G1049,基本資料!$A:$J,4,0),"無")</f>
        <v>-5</v>
      </c>
      <c r="C1049" s="79">
        <f>IFERROR(VLOOKUP($G1049,基本資料!$A:$J,5,0),"無")</f>
        <v>-229</v>
      </c>
      <c r="D1049" s="79">
        <f>IFERROR(VLOOKUP($G1049,基本資料!$A:$J,6,0),"無")</f>
        <v>0</v>
      </c>
      <c r="E1049" s="79">
        <f>IFERROR(VLOOKUP($G1049,基本資料!$A:$J,7,0),"無")</f>
        <v>-7</v>
      </c>
      <c r="F1049" s="6">
        <f>IFERROR(VLOOKUP($G1049,基本資料!$A:$J,8,0),"無")</f>
        <v>-2.95</v>
      </c>
      <c r="G1049" s="79">
        <v>2462</v>
      </c>
      <c r="H1049" s="8" t="s">
        <v>308</v>
      </c>
      <c r="I1049" s="22" t="s">
        <v>4507</v>
      </c>
      <c r="J1049" s="8">
        <f>IFERROR(VLOOKUP($G1049,今日總結!$A:$AN,39,0),"")</f>
        <v>0</v>
      </c>
      <c r="K1049" s="5">
        <f>IFERROR(VLOOKUP($G1049,今日總結!$A:$AN,40,0),"")</f>
        <v>0</v>
      </c>
      <c r="L1049" s="156">
        <f>IFERROR(VLOOKUP($G1049,今日總結!$A:$AN,37,0),"")</f>
        <v>0</v>
      </c>
      <c r="M1049" s="337">
        <f>IFERROR(VLOOKUP($G1049,今日總結!$A:$AN,38,0),"")</f>
        <v>0</v>
      </c>
      <c r="N1049" s="240">
        <f t="shared" si="191"/>
        <v>0</v>
      </c>
      <c r="O1049" s="359">
        <f>IFERROR(VLOOKUP($G1049,融外自投!$A:$J,7,0),"無")</f>
        <v>127</v>
      </c>
      <c r="P1049" s="79">
        <f>IFERROR(VLOOKUP($G1049,融外自投!$A:$J,9,0),"無")</f>
        <v>414</v>
      </c>
      <c r="Q1049" s="342">
        <f>IFERROR(VLOOKUP($G1049,融外自投!$A:$J,8,0),"無")</f>
        <v>1196</v>
      </c>
      <c r="R1049" s="81" t="str">
        <f>IFERROR(VLOOKUP($G1049,融外自投!$A:$J,10,0),"無")</f>
        <v>無</v>
      </c>
      <c r="S1049" s="324">
        <f>IFERROR(VLOOKUP($G1049,'321買'!$A:$E,4,0),"'沒有資料'")</f>
        <v>465</v>
      </c>
      <c r="T1049" s="186">
        <f>IFERROR(VLOOKUP($G1049,基本資料!$A:$J,9,0),"無")</f>
        <v>0.6</v>
      </c>
      <c r="U1049" s="307">
        <f t="shared" si="187"/>
        <v>2.2641509433962263E-2</v>
      </c>
      <c r="V1049" s="94">
        <f>IFERROR(VLOOKUP($G1049,基本資料!$A:$J,10,0),"無")</f>
        <v>0.83</v>
      </c>
      <c r="W1049" s="36">
        <f>RTD("money.excel",,"2462","Price")</f>
        <v>26.5</v>
      </c>
      <c r="X1049" s="66"/>
      <c r="Y1049" s="15">
        <f t="shared" si="188"/>
        <v>26.5</v>
      </c>
      <c r="Z1049" s="3" t="e">
        <f t="shared" si="189"/>
        <v>#DIV/0!</v>
      </c>
      <c r="AA1049" s="340">
        <f>IFERROR(VLOOKUP($G1049,基本資料!$A:$M,11,0),"無")</f>
        <v>-34.08</v>
      </c>
      <c r="AB1049" s="389">
        <f>IFERROR(VLOOKUP($G1049,基本資料!$A:$M,12,0),"無")</f>
        <v>8.9600000000000009</v>
      </c>
      <c r="AC1049" s="22" t="s">
        <v>4507</v>
      </c>
      <c r="AF1049" s="33">
        <f t="shared" si="190"/>
        <v>0</v>
      </c>
      <c r="AG1049" s="43" t="s">
        <v>4508</v>
      </c>
      <c r="AH1049" s="66">
        <f t="shared" si="192"/>
        <v>0.52230685527747556</v>
      </c>
      <c r="AI1049" s="283">
        <f>RTD("money.excel",,$G1049,"PredictVolume")</f>
        <v>360</v>
      </c>
      <c r="AJ1049" s="391">
        <f>IFERROR(VLOOKUP($G1049,基本資料!$A:$M,13,0),"無")</f>
        <v>689.25</v>
      </c>
      <c r="AR1049" s="245" t="str">
        <f>INDEX(基本資料!N:N,MATCH($G1049,基本資料!A:A,0))</f>
        <v>低</v>
      </c>
    </row>
    <row r="1050" spans="1:44">
      <c r="A1050" s="343">
        <f>IFERROR(VLOOKUP($G1050,基本資料!$A:$J,3,0),"無")</f>
        <v>15.21</v>
      </c>
      <c r="B1050" s="79">
        <f>IFERROR(VLOOKUP($G1050,基本資料!$A:$J,4,0),"無")</f>
        <v>50</v>
      </c>
      <c r="C1050" s="79">
        <f>IFERROR(VLOOKUP($G1050,基本資料!$A:$J,5,0),"無")</f>
        <v>39</v>
      </c>
      <c r="D1050" s="79">
        <f>IFERROR(VLOOKUP($G1050,基本資料!$A:$J,6,0),"無")</f>
        <v>-4</v>
      </c>
      <c r="E1050" s="79">
        <f>IFERROR(VLOOKUP($G1050,基本資料!$A:$J,7,0),"無")</f>
        <v>-31</v>
      </c>
      <c r="F1050" s="6">
        <f>IFERROR(VLOOKUP($G1050,基本資料!$A:$J,8,0),"無")</f>
        <v>12.93</v>
      </c>
      <c r="G1050" s="79">
        <v>2467</v>
      </c>
      <c r="H1050" s="8" t="s">
        <v>308</v>
      </c>
      <c r="I1050" s="22" t="s">
        <v>4509</v>
      </c>
      <c r="J1050" s="8">
        <f>IFERROR(VLOOKUP($G1050,今日總結!$A:$AN,39,0),"")</f>
        <v>0</v>
      </c>
      <c r="K1050" s="5">
        <f>IFERROR(VLOOKUP($G1050,今日總結!$A:$AN,40,0),"")</f>
        <v>0</v>
      </c>
      <c r="L1050" s="156">
        <f>IFERROR(VLOOKUP($G1050,今日總結!$A:$AN,37,0),"")</f>
        <v>0</v>
      </c>
      <c r="M1050" s="337">
        <f>IFERROR(VLOOKUP($G1050,今日總結!$A:$AN,38,0),"")</f>
        <v>0</v>
      </c>
      <c r="N1050" s="240">
        <f t="shared" si="191"/>
        <v>0</v>
      </c>
      <c r="O1050" s="359">
        <f>IFERROR(VLOOKUP($G1050,融外自投!$A:$J,7,0),"無")</f>
        <v>945</v>
      </c>
      <c r="P1050" s="79">
        <f>IFERROR(VLOOKUP($G1050,融外自投!$A:$J,9,0),"無")</f>
        <v>1051</v>
      </c>
      <c r="Q1050" s="342">
        <f>IFERROR(VLOOKUP($G1050,融外自投!$A:$J,8,0),"無")</f>
        <v>579</v>
      </c>
      <c r="R1050" s="81" t="str">
        <f>IFERROR(VLOOKUP($G1050,融外自投!$A:$J,10,0),"無")</f>
        <v>無</v>
      </c>
      <c r="S1050" s="324">
        <f>IFERROR(VLOOKUP($G1050,'321買'!$A:$E,4,0),"'沒有資料'")</f>
        <v>743</v>
      </c>
      <c r="T1050" s="186">
        <f>IFERROR(VLOOKUP($G1050,基本資料!$A:$J,9,0),"無")</f>
        <v>3.32</v>
      </c>
      <c r="U1050" s="307">
        <f t="shared" si="187"/>
        <v>7.7570093457943926E-2</v>
      </c>
      <c r="V1050" s="94">
        <f>IFERROR(VLOOKUP($G1050,基本資料!$A:$J,10,0),"無")</f>
        <v>4.3499999999999996</v>
      </c>
      <c r="W1050" s="36">
        <f>RTD("money.excel",,"2467","Price")</f>
        <v>42.8</v>
      </c>
      <c r="X1050" s="66"/>
      <c r="Y1050" s="15">
        <f t="shared" si="188"/>
        <v>42.8</v>
      </c>
      <c r="Z1050" s="3" t="e">
        <f t="shared" si="189"/>
        <v>#DIV/0!</v>
      </c>
      <c r="AA1050" s="340">
        <f>IFERROR(VLOOKUP($G1050,基本資料!$A:$M,11,0),"無")</f>
        <v>-35.049999999999997</v>
      </c>
      <c r="AB1050" s="389">
        <f>IFERROR(VLOOKUP($G1050,基本資料!$A:$M,12,0),"無")</f>
        <v>15.51</v>
      </c>
      <c r="AC1050" s="22" t="s">
        <v>4509</v>
      </c>
      <c r="AF1050" s="33">
        <f t="shared" si="190"/>
        <v>0</v>
      </c>
      <c r="AG1050" s="43" t="s">
        <v>4510</v>
      </c>
      <c r="AH1050" s="66">
        <f t="shared" si="192"/>
        <v>0.94861660079051391</v>
      </c>
      <c r="AI1050" s="283">
        <f>RTD("money.excel",,$G1050,"PredictVolume")</f>
        <v>156</v>
      </c>
      <c r="AJ1050" s="391">
        <f>IFERROR(VLOOKUP($G1050,基本資料!$A:$M,13,0),"無")</f>
        <v>164.45</v>
      </c>
      <c r="AR1050" s="245" t="str">
        <f>INDEX(基本資料!N:N,MATCH($G1050,基本資料!A:A,0))</f>
        <v>低</v>
      </c>
    </row>
    <row r="1051" spans="1:44">
      <c r="A1051" s="343">
        <f>IFERROR(VLOOKUP($G1051,基本資料!$A:$J,3,0),"無")</f>
        <v>16.34</v>
      </c>
      <c r="B1051" s="79">
        <f>IFERROR(VLOOKUP($G1051,基本資料!$A:$J,4,0),"無")</f>
        <v>51</v>
      </c>
      <c r="C1051" s="79">
        <f>IFERROR(VLOOKUP($G1051,基本資料!$A:$J,5,0),"無")</f>
        <v>39</v>
      </c>
      <c r="D1051" s="79">
        <f>IFERROR(VLOOKUP($G1051,基本資料!$A:$J,6,0),"無")</f>
        <v>0</v>
      </c>
      <c r="E1051" s="79">
        <f>IFERROR(VLOOKUP($G1051,基本資料!$A:$J,7,0),"無")</f>
        <v>17</v>
      </c>
      <c r="F1051" s="6">
        <f>IFERROR(VLOOKUP($G1051,基本資料!$A:$J,8,0),"無")</f>
        <v>18.03</v>
      </c>
      <c r="G1051" s="79">
        <v>2472</v>
      </c>
      <c r="H1051" s="195" t="s">
        <v>308</v>
      </c>
      <c r="I1051" s="22" t="s">
        <v>4511</v>
      </c>
      <c r="J1051" s="8">
        <f>IFERROR(VLOOKUP($G1051,今日總結!$A:$AN,39,0),"")</f>
        <v>0</v>
      </c>
      <c r="K1051" s="5">
        <f>IFERROR(VLOOKUP($G1051,今日總結!$A:$AN,40,0),"")</f>
        <v>0</v>
      </c>
      <c r="L1051" s="156">
        <f>IFERROR(VLOOKUP($G1051,今日總結!$A:$AN,37,0),"")</f>
        <v>0</v>
      </c>
      <c r="M1051" s="337">
        <f>IFERROR(VLOOKUP($G1051,今日總結!$A:$AN,38,0),"")</f>
        <v>0</v>
      </c>
      <c r="N1051" s="240">
        <f t="shared" si="191"/>
        <v>0</v>
      </c>
      <c r="O1051" s="359">
        <f>IFERROR(VLOOKUP($G1051,融外自投!$A:$J,7,0),"無")</f>
        <v>296</v>
      </c>
      <c r="P1051" s="79">
        <f>IFERROR(VLOOKUP($G1051,融外自投!$A:$J,9,0),"無")</f>
        <v>537</v>
      </c>
      <c r="Q1051" s="342">
        <f>IFERROR(VLOOKUP($G1051,融外自投!$A:$J,8,0),"無")</f>
        <v>1169</v>
      </c>
      <c r="R1051" s="81">
        <f>IFERROR(VLOOKUP($G1051,融外自投!$A:$J,10,0),"無")</f>
        <v>495</v>
      </c>
      <c r="S1051" s="324">
        <f>IFERROR(VLOOKUP($G1051,'321買'!$A:$E,4,0),"'沒有資料'")</f>
        <v>743</v>
      </c>
      <c r="T1051" s="186">
        <f>IFERROR(VLOOKUP($G1051,基本資料!$A:$J,9,0),"無")</f>
        <v>3.2</v>
      </c>
      <c r="U1051" s="307">
        <f t="shared" si="187"/>
        <v>5.289256198347108E-2</v>
      </c>
      <c r="V1051" s="94">
        <f>IFERROR(VLOOKUP($G1051,基本資料!$A:$J,10,0),"無")</f>
        <v>6.12</v>
      </c>
      <c r="W1051" s="36">
        <f>RTD("money.excel",,"2472","Price")</f>
        <v>60.5</v>
      </c>
      <c r="X1051" s="66"/>
      <c r="Y1051" s="15">
        <f t="shared" si="188"/>
        <v>60.5</v>
      </c>
      <c r="Z1051" s="3" t="e">
        <f t="shared" si="189"/>
        <v>#DIV/0!</v>
      </c>
      <c r="AA1051" s="340">
        <f>IFERROR(VLOOKUP($G1051,基本資料!$A:$M,11,0),"無")</f>
        <v>-24.38</v>
      </c>
      <c r="AB1051" s="389">
        <f>IFERROR(VLOOKUP($G1051,基本資料!$A:$M,12,0),"無")</f>
        <v>29.02</v>
      </c>
      <c r="AC1051" s="22" t="s">
        <v>4511</v>
      </c>
      <c r="AF1051" s="33">
        <f t="shared" si="190"/>
        <v>0</v>
      </c>
      <c r="AG1051" s="119" t="s">
        <v>2329</v>
      </c>
      <c r="AH1051" s="66">
        <f t="shared" si="192"/>
        <v>1.279559442824749</v>
      </c>
      <c r="AI1051" s="283">
        <f>RTD("money.excel",,$G1051,"PredictVolume")</f>
        <v>395</v>
      </c>
      <c r="AJ1051" s="391">
        <f>IFERROR(VLOOKUP($G1051,基本資料!$A:$M,13,0),"無")</f>
        <v>308.7</v>
      </c>
      <c r="AR1051" s="245" t="str">
        <f>INDEX(基本資料!N:N,MATCH($G1051,基本資料!A:A,0))</f>
        <v>低</v>
      </c>
    </row>
    <row r="1052" spans="1:44">
      <c r="A1052" s="343">
        <f>IFERROR(VLOOKUP($G1052,基本資料!$A:$J,3,0),"無")</f>
        <v>18.97</v>
      </c>
      <c r="B1052" s="79">
        <f>IFERROR(VLOOKUP($G1052,基本資料!$A:$J,4,0),"無")</f>
        <v>110</v>
      </c>
      <c r="C1052" s="79">
        <f>IFERROR(VLOOKUP($G1052,基本資料!$A:$J,5,0),"無")</f>
        <v>86</v>
      </c>
      <c r="D1052" s="79">
        <f>IFERROR(VLOOKUP($G1052,基本資料!$A:$J,6,0),"無")</f>
        <v>-8</v>
      </c>
      <c r="E1052" s="79">
        <f>IFERROR(VLOOKUP($G1052,基本資料!$A:$J,7,0),"無")</f>
        <v>-10</v>
      </c>
      <c r="F1052" s="6">
        <f>IFERROR(VLOOKUP($G1052,基本資料!$A:$J,8,0),"無")</f>
        <v>15.62</v>
      </c>
      <c r="G1052" s="79">
        <v>2476</v>
      </c>
      <c r="H1052" s="8" t="s">
        <v>308</v>
      </c>
      <c r="I1052" s="22" t="s">
        <v>4512</v>
      </c>
      <c r="J1052" s="8">
        <f>IFERROR(VLOOKUP($G1052,今日總結!$A:$AN,39,0),"")</f>
        <v>0</v>
      </c>
      <c r="K1052" s="5" t="str">
        <f>IFERROR(VLOOKUP($G1052,今日總結!$A:$AN,40,0),"")</f>
        <v>融</v>
      </c>
      <c r="L1052" s="156">
        <f>IFERROR(VLOOKUP($G1052,今日總結!$A:$AN,37,0),"")</f>
        <v>0</v>
      </c>
      <c r="M1052" s="337">
        <f>IFERROR(VLOOKUP($G1052,今日總結!$A:$AN,38,0),"")</f>
        <v>1</v>
      </c>
      <c r="N1052" s="240">
        <f t="shared" si="191"/>
        <v>-1</v>
      </c>
      <c r="O1052" s="359">
        <f>IFERROR(VLOOKUP($G1052,融外自投!$A:$J,7,0),"無")</f>
        <v>270</v>
      </c>
      <c r="P1052" s="79">
        <f>IFERROR(VLOOKUP($G1052,融外自投!$A:$J,9,0),"無")</f>
        <v>825</v>
      </c>
      <c r="Q1052" s="342">
        <f>IFERROR(VLOOKUP($G1052,融外自投!$A:$J,8,0),"無")</f>
        <v>813</v>
      </c>
      <c r="R1052" s="81" t="str">
        <f>IFERROR(VLOOKUP($G1052,融外自投!$A:$J,10,0),"無")</f>
        <v>無</v>
      </c>
      <c r="S1052" s="324">
        <f>IFERROR(VLOOKUP($G1052,'321買'!$A:$E,4,0),"'沒有資料'")</f>
        <v>144</v>
      </c>
      <c r="T1052" s="186">
        <f>IFERROR(VLOOKUP($G1052,基本資料!$A:$J,9,0),"無")</f>
        <v>2.1</v>
      </c>
      <c r="U1052" s="307">
        <f t="shared" si="187"/>
        <v>4.4164037854889593E-2</v>
      </c>
      <c r="V1052" s="94">
        <f>IFERROR(VLOOKUP($G1052,基本資料!$A:$J,10,0),"無")</f>
        <v>3.49</v>
      </c>
      <c r="W1052" s="36">
        <f>RTD("money.excel",,"2476","Price")</f>
        <v>47.55</v>
      </c>
      <c r="X1052" s="66"/>
      <c r="Y1052" s="15">
        <f t="shared" si="188"/>
        <v>47.55</v>
      </c>
      <c r="Z1052" s="3" t="e">
        <f t="shared" si="189"/>
        <v>#DIV/0!</v>
      </c>
      <c r="AA1052" s="340">
        <f>IFERROR(VLOOKUP($G1052,基本資料!$A:$M,11,0),"無")</f>
        <v>-41.87</v>
      </c>
      <c r="AB1052" s="389">
        <f>IFERROR(VLOOKUP($G1052,基本資料!$A:$M,12,0),"無")</f>
        <v>17.55</v>
      </c>
      <c r="AC1052" s="22" t="s">
        <v>4512</v>
      </c>
      <c r="AF1052" s="33">
        <f t="shared" si="190"/>
        <v>0</v>
      </c>
      <c r="AG1052" s="43" t="s">
        <v>2583</v>
      </c>
      <c r="AH1052" s="66">
        <f t="shared" si="192"/>
        <v>0.55228702601598367</v>
      </c>
      <c r="AI1052" s="283">
        <f>RTD("money.excel",,$G1052,"PredictVolume")</f>
        <v>812</v>
      </c>
      <c r="AJ1052" s="391">
        <f>IFERROR(VLOOKUP($G1052,基本資料!$A:$M,13,0),"無")</f>
        <v>1470.25</v>
      </c>
      <c r="AR1052" s="245" t="str">
        <f>INDEX(基本資料!N:N,MATCH($G1052,基本資料!A:A,0))</f>
        <v>低</v>
      </c>
    </row>
    <row r="1053" spans="1:44">
      <c r="A1053" s="343">
        <f>IFERROR(VLOOKUP($G1053,基本資料!$A:$J,3,0),"無")</f>
        <v>14.47</v>
      </c>
      <c r="B1053" s="79">
        <f>IFERROR(VLOOKUP($G1053,基本資料!$A:$J,4,0),"無")</f>
        <v>42</v>
      </c>
      <c r="C1053" s="79">
        <f>IFERROR(VLOOKUP($G1053,基本資料!$A:$J,5,0),"無")</f>
        <v>53</v>
      </c>
      <c r="D1053" s="79">
        <f>IFERROR(VLOOKUP($G1053,基本資料!$A:$J,6,0),"無")</f>
        <v>-12</v>
      </c>
      <c r="E1053" s="79">
        <f>IFERROR(VLOOKUP($G1053,基本資料!$A:$J,7,0),"無")</f>
        <v>-14</v>
      </c>
      <c r="F1053" s="6">
        <f>IFERROR(VLOOKUP($G1053,基本資料!$A:$J,8,0),"無")</f>
        <v>18.66</v>
      </c>
      <c r="G1053" s="79">
        <v>2478</v>
      </c>
      <c r="H1053" s="8" t="s">
        <v>308</v>
      </c>
      <c r="I1053" s="22" t="s">
        <v>4513</v>
      </c>
      <c r="J1053" s="8" t="str">
        <f>IFERROR(VLOOKUP($G1053,今日總結!$A:$AN,39,0),"")</f>
        <v>自</v>
      </c>
      <c r="K1053" s="5" t="str">
        <f>IFERROR(VLOOKUP($G1053,今日總結!$A:$AN,40,0),"")</f>
        <v>借</v>
      </c>
      <c r="L1053" s="156">
        <f>IFERROR(VLOOKUP($G1053,今日總結!$A:$AN,37,0),"")</f>
        <v>2</v>
      </c>
      <c r="M1053" s="337">
        <f>IFERROR(VLOOKUP($G1053,今日總結!$A:$AN,38,0),"")</f>
        <v>2</v>
      </c>
      <c r="N1053" s="240">
        <f t="shared" si="191"/>
        <v>0</v>
      </c>
      <c r="O1053" s="359">
        <f>IFERROR(VLOOKUP($G1053,融外自投!$A:$J,7,0),"無")</f>
        <v>424</v>
      </c>
      <c r="P1053" s="79">
        <f>IFERROR(VLOOKUP($G1053,融外自投!$A:$J,9,0),"無")</f>
        <v>487</v>
      </c>
      <c r="Q1053" s="342">
        <f>IFERROR(VLOOKUP($G1053,融外自投!$A:$J,8,0),"無")</f>
        <v>781</v>
      </c>
      <c r="R1053" s="81" t="str">
        <f>IFERROR(VLOOKUP($G1053,融外自投!$A:$J,10,0),"無")</f>
        <v>無</v>
      </c>
      <c r="S1053" s="324">
        <f>IFERROR(VLOOKUP($G1053,'321買'!$A:$E,4,0),"'沒有資料'")</f>
        <v>891</v>
      </c>
      <c r="T1053" s="186">
        <f>IFERROR(VLOOKUP($G1053,基本資料!$A:$J,9,0),"無")</f>
        <v>4</v>
      </c>
      <c r="U1053" s="307">
        <f t="shared" si="187"/>
        <v>7.476635514018691E-2</v>
      </c>
      <c r="V1053" s="94">
        <f>IFERROR(VLOOKUP($G1053,基本資料!$A:$J,10,0),"無")</f>
        <v>6.6</v>
      </c>
      <c r="W1053" s="36">
        <f>RTD("money.excel",,"2478","Price")</f>
        <v>53.5</v>
      </c>
      <c r="X1053" s="66"/>
      <c r="Y1053" s="15">
        <f t="shared" si="188"/>
        <v>53.5</v>
      </c>
      <c r="Z1053" s="3" t="e">
        <f t="shared" si="189"/>
        <v>#DIV/0!</v>
      </c>
      <c r="AA1053" s="340">
        <f>IFERROR(VLOOKUP($G1053,基本資料!$A:$M,11,0),"無")</f>
        <v>-32.619999999999997</v>
      </c>
      <c r="AB1053" s="389">
        <f>IFERROR(VLOOKUP($G1053,基本資料!$A:$M,12,0),"無")</f>
        <v>21.27</v>
      </c>
      <c r="AC1053" s="22" t="s">
        <v>4513</v>
      </c>
      <c r="AF1053" s="33">
        <f t="shared" si="190"/>
        <v>0</v>
      </c>
      <c r="AG1053" s="43" t="s">
        <v>4514</v>
      </c>
      <c r="AH1053" s="66">
        <f t="shared" si="192"/>
        <v>0.23978866084129241</v>
      </c>
      <c r="AI1053" s="283">
        <f>RTD("money.excel",,$G1053,"PredictVolume")</f>
        <v>59</v>
      </c>
      <c r="AJ1053" s="391">
        <f>IFERROR(VLOOKUP($G1053,基本資料!$A:$M,13,0),"無")</f>
        <v>246.05</v>
      </c>
      <c r="AR1053" s="245" t="str">
        <f>INDEX(基本資料!N:N,MATCH($G1053,基本資料!A:A,0))</f>
        <v>低</v>
      </c>
    </row>
    <row r="1054" spans="1:44">
      <c r="A1054" s="343">
        <f>IFERROR(VLOOKUP($G1054,基本資料!$A:$J,3,0),"無")</f>
        <v>10.9</v>
      </c>
      <c r="B1054" s="79">
        <f>IFERROR(VLOOKUP($G1054,基本資料!$A:$J,4,0),"無")</f>
        <v>83</v>
      </c>
      <c r="C1054" s="79">
        <f>IFERROR(VLOOKUP($G1054,基本資料!$A:$J,5,0),"無")</f>
        <v>-49</v>
      </c>
      <c r="D1054" s="79">
        <f>IFERROR(VLOOKUP($G1054,基本資料!$A:$J,6,0),"無")</f>
        <v>8</v>
      </c>
      <c r="E1054" s="79">
        <f>IFERROR(VLOOKUP($G1054,基本資料!$A:$J,7,0),"無")</f>
        <v>29</v>
      </c>
      <c r="F1054" s="6">
        <f>IFERROR(VLOOKUP($G1054,基本資料!$A:$J,8,0),"無")</f>
        <v>0.54</v>
      </c>
      <c r="G1054" s="79">
        <v>2483</v>
      </c>
      <c r="H1054" s="8" t="s">
        <v>308</v>
      </c>
      <c r="I1054" s="22" t="s">
        <v>4515</v>
      </c>
      <c r="J1054" s="8">
        <f>IFERROR(VLOOKUP($G1054,今日總結!$A:$AN,39,0),"")</f>
        <v>0</v>
      </c>
      <c r="K1054" s="5">
        <f>IFERROR(VLOOKUP($G1054,今日總結!$A:$AN,40,0),"")</f>
        <v>0</v>
      </c>
      <c r="L1054" s="156">
        <f>IFERROR(VLOOKUP($G1054,今日總結!$A:$AN,37,0),"")</f>
        <v>0</v>
      </c>
      <c r="M1054" s="337">
        <f>IFERROR(VLOOKUP($G1054,今日總結!$A:$AN,38,0),"")</f>
        <v>0</v>
      </c>
      <c r="N1054" s="240">
        <f t="shared" si="191"/>
        <v>0</v>
      </c>
      <c r="O1054" s="359">
        <f>IFERROR(VLOOKUP($G1054,融外自投!$A:$J,7,0),"無")</f>
        <v>760</v>
      </c>
      <c r="P1054" s="79">
        <f>IFERROR(VLOOKUP($G1054,融外自投!$A:$J,9,0),"無")</f>
        <v>946</v>
      </c>
      <c r="Q1054" s="342">
        <f>IFERROR(VLOOKUP($G1054,融外自投!$A:$J,8,0),"無")</f>
        <v>1285</v>
      </c>
      <c r="R1054" s="81" t="str">
        <f>IFERROR(VLOOKUP($G1054,融外自投!$A:$J,10,0),"無")</f>
        <v>無</v>
      </c>
      <c r="S1054" s="324">
        <f>IFERROR(VLOOKUP($G1054,'321買'!$A:$E,4,0),"'沒有資料'")</f>
        <v>801</v>
      </c>
      <c r="T1054" s="186">
        <f>IFERROR(VLOOKUP($G1054,基本資料!$A:$J,9,0),"無")</f>
        <v>1</v>
      </c>
      <c r="U1054" s="307">
        <f t="shared" si="187"/>
        <v>4.3763676148796497E-2</v>
      </c>
      <c r="V1054" s="94">
        <f>IFERROR(VLOOKUP($G1054,基本資料!$A:$J,10,0),"無")</f>
        <v>1.4</v>
      </c>
      <c r="W1054" s="36">
        <f>RTD("money.excel",,"2483","Price")</f>
        <v>22.85</v>
      </c>
      <c r="X1054" s="66"/>
      <c r="Y1054" s="15">
        <f t="shared" si="188"/>
        <v>22.85</v>
      </c>
      <c r="Z1054" s="3" t="e">
        <f t="shared" si="189"/>
        <v>#DIV/0!</v>
      </c>
      <c r="AA1054" s="340">
        <f>IFERROR(VLOOKUP($G1054,基本資料!$A:$M,11,0),"無")</f>
        <v>-27.34</v>
      </c>
      <c r="AB1054" s="389">
        <f>IFERROR(VLOOKUP($G1054,基本資料!$A:$M,12,0),"無")</f>
        <v>35.65</v>
      </c>
      <c r="AC1054" s="22" t="s">
        <v>4515</v>
      </c>
      <c r="AF1054" s="33">
        <f t="shared" si="190"/>
        <v>0</v>
      </c>
      <c r="AG1054" s="43" t="s">
        <v>4516</v>
      </c>
      <c r="AH1054" s="66">
        <f t="shared" si="192"/>
        <v>0.55724417426545081</v>
      </c>
      <c r="AI1054" s="283">
        <f>RTD("money.excel",,$G1054,"PredictVolume")</f>
        <v>55</v>
      </c>
      <c r="AJ1054" s="391">
        <f>IFERROR(VLOOKUP($G1054,基本資料!$A:$M,13,0),"無")</f>
        <v>98.7</v>
      </c>
      <c r="AR1054" s="245" t="str">
        <f>INDEX(基本資料!N:N,MATCH($G1054,基本資料!A:A,0))</f>
        <v>低</v>
      </c>
    </row>
    <row r="1055" spans="1:44">
      <c r="A1055" s="343">
        <f>IFERROR(VLOOKUP($G1055,基本資料!$A:$J,3,0),"無")</f>
        <v>15.94</v>
      </c>
      <c r="B1055" s="79">
        <f>IFERROR(VLOOKUP($G1055,基本資料!$A:$J,4,0),"無")</f>
        <v>150</v>
      </c>
      <c r="C1055" s="79">
        <f>IFERROR(VLOOKUP($G1055,基本資料!$A:$J,5,0),"無")</f>
        <v>155</v>
      </c>
      <c r="D1055" s="79">
        <f>IFERROR(VLOOKUP($G1055,基本資料!$A:$J,6,0),"無")</f>
        <v>5</v>
      </c>
      <c r="E1055" s="79">
        <f>IFERROR(VLOOKUP($G1055,基本資料!$A:$J,7,0),"無")</f>
        <v>16</v>
      </c>
      <c r="F1055" s="6">
        <f>IFERROR(VLOOKUP($G1055,基本資料!$A:$J,8,0),"無")</f>
        <v>15.95</v>
      </c>
      <c r="G1055" s="79">
        <v>2484</v>
      </c>
      <c r="H1055" s="8" t="s">
        <v>308</v>
      </c>
      <c r="I1055" s="22" t="s">
        <v>4517</v>
      </c>
      <c r="J1055" s="8">
        <f>IFERROR(VLOOKUP($G1055,今日總結!$A:$AN,39,0),"")</f>
        <v>24</v>
      </c>
      <c r="K1055" s="5" t="str">
        <f>IFERROR(VLOOKUP($G1055,今日總結!$A:$AN,40,0),"")</f>
        <v>借</v>
      </c>
      <c r="L1055" s="156">
        <f>IFERROR(VLOOKUP($G1055,今日總結!$A:$AN,37,0),"")</f>
        <v>2</v>
      </c>
      <c r="M1055" s="337">
        <f>IFERROR(VLOOKUP($G1055,今日總結!$A:$AN,38,0),"")</f>
        <v>2</v>
      </c>
      <c r="N1055" s="240">
        <f t="shared" si="191"/>
        <v>0</v>
      </c>
      <c r="O1055" s="359">
        <f>IFERROR(VLOOKUP($G1055,融外自投!$A:$J,7,0),"無")</f>
        <v>158</v>
      </c>
      <c r="P1055" s="79">
        <f>IFERROR(VLOOKUP($G1055,融外自投!$A:$J,9,0),"無")</f>
        <v>671</v>
      </c>
      <c r="Q1055" s="342">
        <f>IFERROR(VLOOKUP($G1055,融外自投!$A:$J,8,0),"無")</f>
        <v>752</v>
      </c>
      <c r="R1055" s="81" t="str">
        <f>IFERROR(VLOOKUP($G1055,融外自投!$A:$J,10,0),"無")</f>
        <v>無</v>
      </c>
      <c r="S1055" s="324">
        <f>IFERROR(VLOOKUP($G1055,'321買'!$A:$E,4,0),"'沒有資料'")</f>
        <v>186</v>
      </c>
      <c r="T1055" s="186">
        <f>IFERROR(VLOOKUP($G1055,基本資料!$A:$J,9,0),"無")</f>
        <v>1.5</v>
      </c>
      <c r="U1055" s="307">
        <f t="shared" si="187"/>
        <v>4.2194092827004225E-2</v>
      </c>
      <c r="V1055" s="94">
        <f>IFERROR(VLOOKUP($G1055,基本資料!$A:$J,10,0),"無")</f>
        <v>2.54</v>
      </c>
      <c r="W1055" s="36">
        <f>RTD("money.excel",,"2484","Price")</f>
        <v>35.549999999999997</v>
      </c>
      <c r="X1055" s="66"/>
      <c r="Y1055" s="15">
        <f t="shared" si="188"/>
        <v>35.549999999999997</v>
      </c>
      <c r="Z1055" s="3" t="e">
        <f t="shared" si="189"/>
        <v>#DIV/0!</v>
      </c>
      <c r="AA1055" s="340">
        <f>IFERROR(VLOOKUP($G1055,基本資料!$A:$M,11,0),"無")</f>
        <v>-22.89</v>
      </c>
      <c r="AB1055" s="389">
        <f>IFERROR(VLOOKUP($G1055,基本資料!$A:$M,12,0),"無")</f>
        <v>64.010000000000005</v>
      </c>
      <c r="AC1055" s="22" t="s">
        <v>4517</v>
      </c>
      <c r="AF1055" s="33">
        <f t="shared" si="190"/>
        <v>0</v>
      </c>
      <c r="AG1055" s="43" t="s">
        <v>1727</v>
      </c>
      <c r="AH1055" s="66">
        <f t="shared" si="192"/>
        <v>0.82747883623625573</v>
      </c>
      <c r="AI1055" s="283">
        <f>RTD("money.excel",,$G1055,"PredictVolume")</f>
        <v>4252</v>
      </c>
      <c r="AJ1055" s="391">
        <f>IFERROR(VLOOKUP($G1055,基本資料!$A:$M,13,0),"無")</f>
        <v>5138.5</v>
      </c>
      <c r="AR1055" s="245" t="str">
        <f>INDEX(基本資料!N:N,MATCH($G1055,基本資料!A:A,0))</f>
        <v>中</v>
      </c>
    </row>
    <row r="1056" spans="1:44">
      <c r="A1056" s="343">
        <f>IFERROR(VLOOKUP($G1056,基本資料!$A:$J,3,0),"無")</f>
        <v>48.58</v>
      </c>
      <c r="B1056" s="79">
        <f>IFERROR(VLOOKUP($G1056,基本資料!$A:$J,4,0),"無")</f>
        <v>24</v>
      </c>
      <c r="C1056" s="79">
        <f>IFERROR(VLOOKUP($G1056,基本資料!$A:$J,5,0),"無")</f>
        <v>6</v>
      </c>
      <c r="D1056" s="79">
        <f>IFERROR(VLOOKUP($G1056,基本資料!$A:$J,6,0),"無")</f>
        <v>0</v>
      </c>
      <c r="E1056" s="79">
        <f>IFERROR(VLOOKUP($G1056,基本資料!$A:$J,7,0),"無")</f>
        <v>-10</v>
      </c>
      <c r="F1056" s="6">
        <f>IFERROR(VLOOKUP($G1056,基本資料!$A:$J,8,0),"無")</f>
        <v>19.95</v>
      </c>
      <c r="G1056" s="79">
        <v>2492</v>
      </c>
      <c r="H1056" s="195" t="s">
        <v>308</v>
      </c>
      <c r="I1056" s="22" t="s">
        <v>4518</v>
      </c>
      <c r="J1056" s="8">
        <f>IFERROR(VLOOKUP($G1056,今日總結!$A:$AN,39,0),"")</f>
        <v>0</v>
      </c>
      <c r="K1056" s="5">
        <f>IFERROR(VLOOKUP($G1056,今日總結!$A:$AN,40,0),"")</f>
        <v>0</v>
      </c>
      <c r="L1056" s="156">
        <f>IFERROR(VLOOKUP($G1056,今日總結!$A:$AN,37,0),"")</f>
        <v>0</v>
      </c>
      <c r="M1056" s="337">
        <f>IFERROR(VLOOKUP($G1056,今日總結!$A:$AN,38,0),"")</f>
        <v>0</v>
      </c>
      <c r="N1056" s="240">
        <f t="shared" si="191"/>
        <v>0</v>
      </c>
      <c r="O1056" s="359">
        <f>IFERROR(VLOOKUP($G1056,融外自投!$A:$J,7,0),"無")</f>
        <v>543</v>
      </c>
      <c r="P1056" s="79">
        <f>IFERROR(VLOOKUP($G1056,融外自投!$A:$J,9,0),"無")</f>
        <v>46</v>
      </c>
      <c r="Q1056" s="342">
        <f>IFERROR(VLOOKUP($G1056,融外自投!$A:$J,8,0),"無")</f>
        <v>375</v>
      </c>
      <c r="R1056" s="81">
        <f>IFERROR(VLOOKUP($G1056,融外自投!$A:$J,10,0),"無")</f>
        <v>358</v>
      </c>
      <c r="S1056" s="324">
        <f>IFERROR(VLOOKUP($G1056,'321買'!$A:$E,4,0),"'沒有資料'")</f>
        <v>565</v>
      </c>
      <c r="T1056" s="186">
        <f>IFERROR(VLOOKUP($G1056,基本資料!$A:$J,9,0),"無")</f>
        <v>4.5</v>
      </c>
      <c r="U1056" s="307">
        <f t="shared" si="187"/>
        <v>4.2253521126760563E-2</v>
      </c>
      <c r="V1056" s="94">
        <f>IFERROR(VLOOKUP($G1056,基本資料!$A:$J,10,0),"無")</f>
        <v>16.350000000000001</v>
      </c>
      <c r="W1056" s="36">
        <f>RTD("money.excel",,"2492","Price")</f>
        <v>106.5</v>
      </c>
      <c r="X1056" s="66"/>
      <c r="Y1056" s="15">
        <f t="shared" si="188"/>
        <v>106.5</v>
      </c>
      <c r="Z1056" s="3" t="e">
        <f t="shared" si="189"/>
        <v>#DIV/0!</v>
      </c>
      <c r="AA1056" s="340">
        <f>IFERROR(VLOOKUP($G1056,基本資料!$A:$M,11,0),"無")</f>
        <v>-53.19</v>
      </c>
      <c r="AB1056" s="389">
        <f>IFERROR(VLOOKUP($G1056,基本資料!$A:$M,12,0),"無")</f>
        <v>7.11</v>
      </c>
      <c r="AC1056" s="22" t="s">
        <v>4518</v>
      </c>
      <c r="AF1056" s="33">
        <f t="shared" si="190"/>
        <v>0</v>
      </c>
      <c r="AG1056" s="119" t="s">
        <v>4519</v>
      </c>
      <c r="AH1056" s="66">
        <f t="shared" si="192"/>
        <v>0.5586159056596075</v>
      </c>
      <c r="AI1056" s="283">
        <f>RTD("money.excel",,$G1056,"PredictVolume")</f>
        <v>1369</v>
      </c>
      <c r="AJ1056" s="391">
        <f>IFERROR(VLOOKUP($G1056,基本資料!$A:$M,13,0),"無")</f>
        <v>2450.6999999999998</v>
      </c>
      <c r="AR1056" s="245" t="str">
        <f>INDEX(基本資料!N:N,MATCH($G1056,基本資料!A:A,0))</f>
        <v>低</v>
      </c>
    </row>
    <row r="1057" spans="1:44">
      <c r="A1057" s="343">
        <f>IFERROR(VLOOKUP($G1057,基本資料!$A:$J,3,0),"無")</f>
        <v>11.44</v>
      </c>
      <c r="B1057" s="79">
        <f>IFERROR(VLOOKUP($G1057,基本資料!$A:$J,4,0),"無")</f>
        <v>11</v>
      </c>
      <c r="C1057" s="79">
        <f>IFERROR(VLOOKUP($G1057,基本資料!$A:$J,5,0),"無")</f>
        <v>14</v>
      </c>
      <c r="D1057" s="79">
        <f>IFERROR(VLOOKUP($G1057,基本資料!$A:$J,6,0),"無")</f>
        <v>-21</v>
      </c>
      <c r="E1057" s="79">
        <f>IFERROR(VLOOKUP($G1057,基本資料!$A:$J,7,0),"無")</f>
        <v>8</v>
      </c>
      <c r="F1057" s="6">
        <f>IFERROR(VLOOKUP($G1057,基本資料!$A:$J,8,0),"無")</f>
        <v>15.43</v>
      </c>
      <c r="G1057" s="79">
        <v>2493</v>
      </c>
      <c r="H1057" s="8" t="s">
        <v>308</v>
      </c>
      <c r="I1057" s="22" t="s">
        <v>4520</v>
      </c>
      <c r="J1057" s="8">
        <f>IFERROR(VLOOKUP($G1057,今日總結!$A:$AN,39,0),"")</f>
        <v>0</v>
      </c>
      <c r="K1057" s="5">
        <f>IFERROR(VLOOKUP($G1057,今日總結!$A:$AN,40,0),"")</f>
        <v>0</v>
      </c>
      <c r="L1057" s="156">
        <f>IFERROR(VLOOKUP($G1057,今日總結!$A:$AN,37,0),"")</f>
        <v>0</v>
      </c>
      <c r="M1057" s="337">
        <f>IFERROR(VLOOKUP($G1057,今日總結!$A:$AN,38,0),"")</f>
        <v>0</v>
      </c>
      <c r="N1057" s="240">
        <f t="shared" si="191"/>
        <v>0</v>
      </c>
      <c r="O1057" s="359">
        <f>IFERROR(VLOOKUP($G1057,融外自投!$A:$J,7,0),"無")</f>
        <v>934</v>
      </c>
      <c r="P1057" s="79">
        <f>IFERROR(VLOOKUP($G1057,融外自投!$A:$J,9,0),"無")</f>
        <v>467</v>
      </c>
      <c r="Q1057" s="342">
        <f>IFERROR(VLOOKUP($G1057,融外自投!$A:$J,8,0),"無")</f>
        <v>734</v>
      </c>
      <c r="R1057" s="81" t="str">
        <f>IFERROR(VLOOKUP($G1057,融外自投!$A:$J,10,0),"無")</f>
        <v>無</v>
      </c>
      <c r="S1057" s="324">
        <f>IFERROR(VLOOKUP($G1057,'321買'!$A:$E,4,0),"'沒有資料'")</f>
        <v>1002</v>
      </c>
      <c r="T1057" s="186">
        <f>IFERROR(VLOOKUP($G1057,基本資料!$A:$J,9,0),"無")</f>
        <v>2.75</v>
      </c>
      <c r="U1057" s="307">
        <f t="shared" si="187"/>
        <v>6.6666666666666666E-2</v>
      </c>
      <c r="V1057" s="94">
        <f>IFERROR(VLOOKUP($G1057,基本資料!$A:$J,10,0),"無")</f>
        <v>3</v>
      </c>
      <c r="W1057" s="36">
        <f>RTD("money.excel",,"2493","Price")</f>
        <v>41.25</v>
      </c>
      <c r="X1057" s="66"/>
      <c r="Y1057" s="15">
        <f t="shared" si="188"/>
        <v>41.25</v>
      </c>
      <c r="Z1057" s="3" t="e">
        <f t="shared" si="189"/>
        <v>#DIV/0!</v>
      </c>
      <c r="AA1057" s="340">
        <f>IFERROR(VLOOKUP($G1057,基本資料!$A:$M,11,0),"無")</f>
        <v>-3.4</v>
      </c>
      <c r="AB1057" s="389">
        <f>IFERROR(VLOOKUP($G1057,基本資料!$A:$M,12,0),"無")</f>
        <v>54.61</v>
      </c>
      <c r="AC1057" s="22" t="s">
        <v>4520</v>
      </c>
      <c r="AF1057" s="33">
        <f t="shared" si="190"/>
        <v>0</v>
      </c>
      <c r="AG1057" s="43" t="s">
        <v>4521</v>
      </c>
      <c r="AH1057" s="66">
        <f t="shared" si="192"/>
        <v>1.3604972375690607</v>
      </c>
      <c r="AI1057" s="283">
        <f>RTD("money.excel",,$G1057,"PredictVolume")</f>
        <v>197</v>
      </c>
      <c r="AJ1057" s="391">
        <f>IFERROR(VLOOKUP($G1057,基本資料!$A:$M,13,0),"無")</f>
        <v>144.80000000000001</v>
      </c>
      <c r="AR1057" s="245" t="str">
        <f>INDEX(基本資料!N:N,MATCH($G1057,基本資料!A:A,0))</f>
        <v>高</v>
      </c>
    </row>
    <row r="1058" spans="1:44">
      <c r="A1058" s="343">
        <f>IFERROR(VLOOKUP($G1058,基本資料!$A:$J,3,0),"無")</f>
        <v>15.56</v>
      </c>
      <c r="B1058" s="79">
        <f>IFERROR(VLOOKUP($G1058,基本資料!$A:$J,4,0),"無")</f>
        <v>113</v>
      </c>
      <c r="C1058" s="79">
        <f>IFERROR(VLOOKUP($G1058,基本資料!$A:$J,5,0),"無")</f>
        <v>88</v>
      </c>
      <c r="D1058" s="79">
        <f>IFERROR(VLOOKUP($G1058,基本資料!$A:$J,6,0),"無")</f>
        <v>-2</v>
      </c>
      <c r="E1058" s="79">
        <f>IFERROR(VLOOKUP($G1058,基本資料!$A:$J,7,0),"無")</f>
        <v>0</v>
      </c>
      <c r="F1058" s="6">
        <f>IFERROR(VLOOKUP($G1058,基本資料!$A:$J,8,0),"無")</f>
        <v>23.39</v>
      </c>
      <c r="G1058" s="79">
        <v>3003</v>
      </c>
      <c r="H1058" s="8" t="s">
        <v>308</v>
      </c>
      <c r="I1058" s="22" t="s">
        <v>4522</v>
      </c>
      <c r="J1058" s="8">
        <f>IFERROR(VLOOKUP($G1058,今日總結!$A:$AN,39,0),"")</f>
        <v>9</v>
      </c>
      <c r="K1058" s="5">
        <f>IFERROR(VLOOKUP($G1058,今日總結!$A:$AN,40,0),"")</f>
        <v>0</v>
      </c>
      <c r="L1058" s="156">
        <f>IFERROR(VLOOKUP($G1058,今日總結!$A:$AN,37,0),"")</f>
        <v>1</v>
      </c>
      <c r="M1058" s="337">
        <f>IFERROR(VLOOKUP($G1058,今日總結!$A:$AN,38,0),"")</f>
        <v>0</v>
      </c>
      <c r="N1058" s="240">
        <f t="shared" si="191"/>
        <v>1</v>
      </c>
      <c r="O1058" s="359">
        <f>IFERROR(VLOOKUP($G1058,融外自投!$A:$J,7,0),"無")</f>
        <v>340</v>
      </c>
      <c r="P1058" s="79">
        <f>IFERROR(VLOOKUP($G1058,融外自投!$A:$J,9,0),"無")</f>
        <v>615</v>
      </c>
      <c r="Q1058" s="342">
        <f>IFERROR(VLOOKUP($G1058,融外自投!$A:$J,8,0),"無")</f>
        <v>807</v>
      </c>
      <c r="R1058" s="81" t="str">
        <f>IFERROR(VLOOKUP($G1058,融外自投!$A:$J,10,0),"無")</f>
        <v>無</v>
      </c>
      <c r="S1058" s="324">
        <f>IFERROR(VLOOKUP($G1058,'321買'!$A:$E,4,0),"'沒有資料'")</f>
        <v>178</v>
      </c>
      <c r="T1058" s="186">
        <f>IFERROR(VLOOKUP($G1058,基本資料!$A:$J,9,0),"無")</f>
        <v>2</v>
      </c>
      <c r="U1058" s="307">
        <f t="shared" si="187"/>
        <v>2.8901734104046242E-2</v>
      </c>
      <c r="V1058" s="94">
        <f>IFERROR(VLOOKUP($G1058,基本資料!$A:$J,10,0),"無")</f>
        <v>4.9800000000000004</v>
      </c>
      <c r="W1058" s="36">
        <f>RTD("money.excel",,"3003","Price")</f>
        <v>69.2</v>
      </c>
      <c r="X1058" s="66"/>
      <c r="Y1058" s="15">
        <f t="shared" si="188"/>
        <v>69.2</v>
      </c>
      <c r="Z1058" s="3" t="e">
        <f t="shared" si="189"/>
        <v>#DIV/0!</v>
      </c>
      <c r="AA1058" s="340">
        <f>IFERROR(VLOOKUP($G1058,基本資料!$A:$M,11,0),"無")</f>
        <v>-36.51</v>
      </c>
      <c r="AB1058" s="389">
        <f>IFERROR(VLOOKUP($G1058,基本資料!$A:$M,12,0),"無")</f>
        <v>14.29</v>
      </c>
      <c r="AC1058" s="22" t="s">
        <v>4522</v>
      </c>
      <c r="AF1058" s="33">
        <f t="shared" si="190"/>
        <v>0</v>
      </c>
      <c r="AG1058" s="43" t="s">
        <v>4523</v>
      </c>
      <c r="AH1058" s="66">
        <f t="shared" si="192"/>
        <v>1.0014956625785223</v>
      </c>
      <c r="AI1058" s="283">
        <f>RTD("money.excel",,$G1058,"PredictVolume")</f>
        <v>837</v>
      </c>
      <c r="AJ1058" s="391">
        <f>IFERROR(VLOOKUP($G1058,基本資料!$A:$M,13,0),"無")</f>
        <v>835.75</v>
      </c>
      <c r="AR1058" s="245" t="str">
        <f>INDEX(基本資料!N:N,MATCH($G1058,基本資料!A:A,0))</f>
        <v>低</v>
      </c>
    </row>
    <row r="1059" spans="1:44">
      <c r="A1059" s="343">
        <f>IFERROR(VLOOKUP($G1059,基本資料!$A:$J,3,0),"無")</f>
        <v>11.27</v>
      </c>
      <c r="B1059" s="79">
        <f>IFERROR(VLOOKUP($G1059,基本資料!$A:$J,4,0),"無")</f>
        <v>174</v>
      </c>
      <c r="C1059" s="79">
        <f>IFERROR(VLOOKUP($G1059,基本資料!$A:$J,5,0),"無")</f>
        <v>6</v>
      </c>
      <c r="D1059" s="79">
        <f>IFERROR(VLOOKUP($G1059,基本資料!$A:$J,6,0),"無")</f>
        <v>-6</v>
      </c>
      <c r="E1059" s="79">
        <f>IFERROR(VLOOKUP($G1059,基本資料!$A:$J,7,0),"無")</f>
        <v>-5</v>
      </c>
      <c r="F1059" s="6">
        <f>IFERROR(VLOOKUP($G1059,基本資料!$A:$J,8,0),"無")</f>
        <v>-5.65</v>
      </c>
      <c r="G1059" s="79">
        <v>3011</v>
      </c>
      <c r="H1059" s="8" t="s">
        <v>308</v>
      </c>
      <c r="I1059" s="22" t="s">
        <v>4524</v>
      </c>
      <c r="J1059" s="8" t="str">
        <f>IFERROR(VLOOKUP($G1059,今日總結!$A:$AN,39,0),"")</f>
        <v/>
      </c>
      <c r="K1059" s="5" t="str">
        <f>IFERROR(VLOOKUP($G1059,今日總結!$A:$AN,40,0),"")</f>
        <v/>
      </c>
      <c r="L1059" s="156" t="str">
        <f>IFERROR(VLOOKUP($G1059,今日總結!$A:$AN,37,0),"")</f>
        <v/>
      </c>
      <c r="M1059" s="337" t="str">
        <f>IFERROR(VLOOKUP($G1059,今日總結!$A:$AN,38,0),"")</f>
        <v/>
      </c>
      <c r="N1059" s="240" t="str">
        <f t="shared" si="191"/>
        <v/>
      </c>
      <c r="O1059" s="359" t="str">
        <f>IFERROR(VLOOKUP($G1059,融外自投!$A:$J,7,0),"無")</f>
        <v>無</v>
      </c>
      <c r="P1059" s="79" t="str">
        <f>IFERROR(VLOOKUP($G1059,融外自投!$A:$J,9,0),"無")</f>
        <v>無</v>
      </c>
      <c r="Q1059" s="342" t="str">
        <f>IFERROR(VLOOKUP($G1059,融外自投!$A:$J,8,0),"無")</f>
        <v>無</v>
      </c>
      <c r="R1059" s="81" t="str">
        <f>IFERROR(VLOOKUP($G1059,融外自投!$A:$J,10,0),"無")</f>
        <v>無</v>
      </c>
      <c r="S1059" s="324" t="str">
        <f>IFERROR(VLOOKUP($G1059,'321買'!$A:$E,4,0),"'沒有資料'")</f>
        <v>'沒有資料'</v>
      </c>
      <c r="T1059" s="186">
        <f>IFERROR(VLOOKUP($G1059,基本資料!$A:$J,9,0),"無")</f>
        <v>0</v>
      </c>
      <c r="U1059" s="307">
        <f t="shared" si="187"/>
        <v>0</v>
      </c>
      <c r="V1059" s="94">
        <f>IFERROR(VLOOKUP($G1059,基本資料!$A:$J,10,0),"無")</f>
        <v>0.59</v>
      </c>
      <c r="W1059" s="36">
        <f>RTD("money.excel",,"3011","Price")</f>
        <v>19.25</v>
      </c>
      <c r="X1059" s="66"/>
      <c r="Y1059" s="15">
        <f t="shared" si="188"/>
        <v>19.25</v>
      </c>
      <c r="Z1059" s="3" t="e">
        <f t="shared" si="189"/>
        <v>#DIV/0!</v>
      </c>
      <c r="AA1059" s="340">
        <f>IFERROR(VLOOKUP($G1059,基本資料!$A:$M,11,0),"無")</f>
        <v>-20.78</v>
      </c>
      <c r="AB1059" s="389">
        <f>IFERROR(VLOOKUP($G1059,基本資料!$A:$M,12,0),"無")</f>
        <v>64.599999999999994</v>
      </c>
      <c r="AC1059" s="22" t="s">
        <v>4524</v>
      </c>
      <c r="AF1059" s="33">
        <f t="shared" si="190"/>
        <v>0</v>
      </c>
      <c r="AG1059" s="43" t="s">
        <v>4508</v>
      </c>
      <c r="AH1059" s="66">
        <f t="shared" si="192"/>
        <v>0.58938782038466153</v>
      </c>
      <c r="AI1059" s="283">
        <f>RTD("money.excel",,$G1059,"PredictVolume")</f>
        <v>2211</v>
      </c>
      <c r="AJ1059" s="391">
        <f>IFERROR(VLOOKUP($G1059,基本資料!$A:$M,13,0),"無")</f>
        <v>3751.35</v>
      </c>
      <c r="AR1059" s="245" t="str">
        <f>INDEX(基本資料!N:N,MATCH($G1059,基本資料!A:A,0))</f>
        <v>高</v>
      </c>
    </row>
    <row r="1060" spans="1:44">
      <c r="A1060" s="343">
        <f>IFERROR(VLOOKUP($G1060,基本資料!$A:$J,3,0),"無")</f>
        <v>18.72</v>
      </c>
      <c r="B1060" s="79">
        <f>IFERROR(VLOOKUP($G1060,基本資料!$A:$J,4,0),"無")</f>
        <v>15</v>
      </c>
      <c r="C1060" s="79">
        <f>IFERROR(VLOOKUP($G1060,基本資料!$A:$J,5,0),"無")</f>
        <v>45</v>
      </c>
      <c r="D1060" s="79">
        <f>IFERROR(VLOOKUP($G1060,基本資料!$A:$J,6,0),"無")</f>
        <v>4</v>
      </c>
      <c r="E1060" s="79">
        <f>IFERROR(VLOOKUP($G1060,基本資料!$A:$J,7,0),"無")</f>
        <v>-9</v>
      </c>
      <c r="F1060" s="6">
        <f>IFERROR(VLOOKUP($G1060,基本資料!$A:$J,8,0),"無")</f>
        <v>4.04</v>
      </c>
      <c r="G1060" s="79">
        <v>3015</v>
      </c>
      <c r="H1060" s="8" t="s">
        <v>308</v>
      </c>
      <c r="I1060" s="22" t="s">
        <v>388</v>
      </c>
      <c r="J1060" s="8" t="str">
        <f>IFERROR(VLOOKUP($G1060,今日總結!$A:$AN,39,0),"")</f>
        <v>融</v>
      </c>
      <c r="K1060" s="5">
        <f>IFERROR(VLOOKUP($G1060,今日總結!$A:$AN,40,0),"")</f>
        <v>0</v>
      </c>
      <c r="L1060" s="156">
        <f>IFERROR(VLOOKUP($G1060,今日總結!$A:$AN,37,0),"")</f>
        <v>1</v>
      </c>
      <c r="M1060" s="337">
        <f>IFERROR(VLOOKUP($G1060,今日總結!$A:$AN,38,0),"")</f>
        <v>0</v>
      </c>
      <c r="N1060" s="240">
        <f t="shared" si="191"/>
        <v>1</v>
      </c>
      <c r="O1060" s="359">
        <f>IFERROR(VLOOKUP($G1060,融外自投!$A:$J,7,0),"無")</f>
        <v>822</v>
      </c>
      <c r="P1060" s="79">
        <f>IFERROR(VLOOKUP($G1060,融外自投!$A:$J,9,0),"無")</f>
        <v>990</v>
      </c>
      <c r="Q1060" s="342">
        <f>IFERROR(VLOOKUP($G1060,融外自投!$A:$J,8,0),"無")</f>
        <v>459</v>
      </c>
      <c r="R1060" s="81">
        <f>IFERROR(VLOOKUP($G1060,融外自投!$A:$J,10,0),"無")</f>
        <v>476</v>
      </c>
      <c r="S1060" s="324">
        <f>IFERROR(VLOOKUP($G1060,'321買'!$A:$E,4,0),"'沒有資料'")</f>
        <v>1002</v>
      </c>
      <c r="T1060" s="186">
        <f>IFERROR(VLOOKUP($G1060,基本資料!$A:$J,9,0),"無")</f>
        <v>3.3</v>
      </c>
      <c r="U1060" s="307">
        <f t="shared" si="187"/>
        <v>8.0291970802919707E-2</v>
      </c>
      <c r="V1060" s="94">
        <f>IFERROR(VLOOKUP($G1060,基本資料!$A:$J,10,0),"無")</f>
        <v>4.03</v>
      </c>
      <c r="W1060" s="36">
        <f>RTD("money.excel",,"3015","Price")</f>
        <v>41.1</v>
      </c>
      <c r="X1060" s="66"/>
      <c r="Y1060" s="15">
        <f>W1060-X1060</f>
        <v>41.1</v>
      </c>
      <c r="Z1060" s="3" t="e">
        <f>Y1060/X1060</f>
        <v>#DIV/0!</v>
      </c>
      <c r="AA1060" s="340">
        <f>IFERROR(VLOOKUP($G1060,基本資料!$A:$M,11,0),"無")</f>
        <v>-17.39</v>
      </c>
      <c r="AB1060" s="389">
        <f>IFERROR(VLOOKUP($G1060,基本資料!$A:$M,12,0),"無")</f>
        <v>20.67</v>
      </c>
      <c r="AC1060" s="22" t="s">
        <v>388</v>
      </c>
      <c r="AF1060" s="33">
        <f>AE1060-AD1060</f>
        <v>0</v>
      </c>
      <c r="AG1060" s="43" t="s">
        <v>2372</v>
      </c>
      <c r="AH1060" s="66">
        <f t="shared" si="192"/>
        <v>0.93371757925072041</v>
      </c>
      <c r="AI1060" s="283">
        <f>RTD("money.excel",,$G1060,"PredictVolume")</f>
        <v>81</v>
      </c>
      <c r="AJ1060" s="391">
        <f>IFERROR(VLOOKUP($G1060,基本資料!$A:$M,13,0),"無")</f>
        <v>86.75</v>
      </c>
      <c r="AR1060" s="245" t="str">
        <f>INDEX(基本資料!N:N,MATCH($G1060,基本資料!A:A,0))</f>
        <v>中</v>
      </c>
    </row>
    <row r="1061" spans="1:44">
      <c r="A1061" s="343">
        <f>IFERROR(VLOOKUP($G1061,基本資料!$A:$J,3,0),"無")</f>
        <v>9.3000000000000007</v>
      </c>
      <c r="B1061" s="79">
        <f>IFERROR(VLOOKUP($G1061,基本資料!$A:$J,4,0),"無")</f>
        <v>36</v>
      </c>
      <c r="C1061" s="79">
        <f>IFERROR(VLOOKUP($G1061,基本資料!$A:$J,5,0),"無")</f>
        <v>38</v>
      </c>
      <c r="D1061" s="79">
        <f>IFERROR(VLOOKUP($G1061,基本資料!$A:$J,6,0),"無")</f>
        <v>-25</v>
      </c>
      <c r="E1061" s="79">
        <f>IFERROR(VLOOKUP($G1061,基本資料!$A:$J,7,0),"無")</f>
        <v>1</v>
      </c>
      <c r="F1061" s="6">
        <f>IFERROR(VLOOKUP($G1061,基本資料!$A:$J,8,0),"無")</f>
        <v>7</v>
      </c>
      <c r="G1061" s="79">
        <v>3021</v>
      </c>
      <c r="H1061" s="8" t="s">
        <v>308</v>
      </c>
      <c r="I1061" s="22" t="s">
        <v>4525</v>
      </c>
      <c r="J1061" s="8">
        <f>IFERROR(VLOOKUP($G1061,今日總結!$A:$AN,39,0),"")</f>
        <v>0</v>
      </c>
      <c r="K1061" s="5">
        <f>IFERROR(VLOOKUP($G1061,今日總結!$A:$AN,40,0),"")</f>
        <v>0</v>
      </c>
      <c r="L1061" s="156">
        <f>IFERROR(VLOOKUP($G1061,今日總結!$A:$AN,37,0),"")</f>
        <v>0</v>
      </c>
      <c r="M1061" s="337">
        <f>IFERROR(VLOOKUP($G1061,今日總結!$A:$AN,38,0),"")</f>
        <v>0</v>
      </c>
      <c r="N1061" s="240">
        <f t="shared" si="191"/>
        <v>0</v>
      </c>
      <c r="O1061" s="359">
        <f>IFERROR(VLOOKUP($G1061,融外自投!$A:$J,7,0),"無")</f>
        <v>731</v>
      </c>
      <c r="P1061" s="79">
        <f>IFERROR(VLOOKUP($G1061,融外自投!$A:$J,9,0),"無")</f>
        <v>990</v>
      </c>
      <c r="Q1061" s="342">
        <f>IFERROR(VLOOKUP($G1061,融外自投!$A:$J,8,0),"無")</f>
        <v>949</v>
      </c>
      <c r="R1061" s="81" t="str">
        <f>IFERROR(VLOOKUP($G1061,融外自投!$A:$J,10,0),"無")</f>
        <v>無</v>
      </c>
      <c r="S1061" s="324">
        <f>IFERROR(VLOOKUP($G1061,'321買'!$A:$E,4,0),"'沒有資料'")</f>
        <v>696</v>
      </c>
      <c r="T1061" s="186">
        <f>IFERROR(VLOOKUP($G1061,基本資料!$A:$J,9,0),"無")</f>
        <v>0.6</v>
      </c>
      <c r="U1061" s="307">
        <f t="shared" si="187"/>
        <v>3.0150753768844223E-2</v>
      </c>
      <c r="V1061" s="94">
        <f>IFERROR(VLOOKUP($G1061,基本資料!$A:$J,10,0),"無")</f>
        <v>1.41</v>
      </c>
      <c r="W1061" s="36">
        <f>RTD("money.excel",,"3021","Price")</f>
        <v>19.899999999999999</v>
      </c>
      <c r="X1061" s="66"/>
      <c r="Y1061" s="15">
        <f t="shared" si="188"/>
        <v>19.899999999999999</v>
      </c>
      <c r="Z1061" s="3" t="e">
        <f t="shared" si="189"/>
        <v>#DIV/0!</v>
      </c>
      <c r="AA1061" s="340">
        <f>IFERROR(VLOOKUP($G1061,基本資料!$A:$M,11,0),"無")</f>
        <v>-29.43</v>
      </c>
      <c r="AB1061" s="389">
        <f>IFERROR(VLOOKUP($G1061,基本資料!$A:$M,12,0),"無")</f>
        <v>17.55</v>
      </c>
      <c r="AC1061" s="22" t="s">
        <v>4525</v>
      </c>
      <c r="AF1061" s="33">
        <f t="shared" si="190"/>
        <v>0</v>
      </c>
      <c r="AG1061" s="43" t="s">
        <v>2415</v>
      </c>
      <c r="AH1061" s="66">
        <f t="shared" si="192"/>
        <v>0.81692913385826771</v>
      </c>
      <c r="AI1061" s="283">
        <f>RTD("money.excel",,$G1061,"PredictVolume")</f>
        <v>83</v>
      </c>
      <c r="AJ1061" s="391">
        <f>IFERROR(VLOOKUP($G1061,基本資料!$A:$M,13,0),"無")</f>
        <v>101.6</v>
      </c>
      <c r="AR1061" s="245" t="str">
        <f>INDEX(基本資料!N:N,MATCH($G1061,基本資料!A:A,0))</f>
        <v>低</v>
      </c>
    </row>
    <row r="1062" spans="1:44">
      <c r="A1062" s="343">
        <f>IFERROR(VLOOKUP($G1062,基本資料!$A:$J,3,0),"無")</f>
        <v>23.52</v>
      </c>
      <c r="B1062" s="79">
        <f>IFERROR(VLOOKUP($G1062,基本資料!$A:$J,4,0),"無")</f>
        <v>13</v>
      </c>
      <c r="C1062" s="79">
        <f>IFERROR(VLOOKUP($G1062,基本資料!$A:$J,5,0),"無")</f>
        <v>5</v>
      </c>
      <c r="D1062" s="79">
        <f>IFERROR(VLOOKUP($G1062,基本資料!$A:$J,6,0),"無")</f>
        <v>0</v>
      </c>
      <c r="E1062" s="79">
        <f>IFERROR(VLOOKUP($G1062,基本資料!$A:$J,7,0),"無")</f>
        <v>14</v>
      </c>
      <c r="F1062" s="6">
        <f>IFERROR(VLOOKUP($G1062,基本資料!$A:$J,8,0),"無")</f>
        <v>10.92</v>
      </c>
      <c r="G1062" s="79">
        <v>3023</v>
      </c>
      <c r="H1062" s="8" t="s">
        <v>308</v>
      </c>
      <c r="I1062" s="22" t="s">
        <v>4526</v>
      </c>
      <c r="J1062" s="8" t="str">
        <f>IFERROR(VLOOKUP($G1062,今日總結!$A:$AN,39,0),"")</f>
        <v>外借</v>
      </c>
      <c r="K1062" s="5">
        <f>IFERROR(VLOOKUP($G1062,今日總結!$A:$AN,40,0),"")</f>
        <v>0</v>
      </c>
      <c r="L1062" s="156">
        <f>IFERROR(VLOOKUP($G1062,今日總結!$A:$AN,37,0),"")</f>
        <v>12</v>
      </c>
      <c r="M1062" s="337">
        <f>IFERROR(VLOOKUP($G1062,今日總結!$A:$AN,38,0),"")</f>
        <v>0</v>
      </c>
      <c r="N1062" s="240">
        <f t="shared" si="191"/>
        <v>12</v>
      </c>
      <c r="O1062" s="359">
        <f>IFERROR(VLOOKUP($G1062,融外自投!$A:$J,7,0),"無")</f>
        <v>1345</v>
      </c>
      <c r="P1062" s="79">
        <f>IFERROR(VLOOKUP($G1062,融外自投!$A:$J,9,0),"無")</f>
        <v>1123</v>
      </c>
      <c r="Q1062" s="342">
        <f>IFERROR(VLOOKUP($G1062,融外自投!$A:$J,8,0),"無")</f>
        <v>47</v>
      </c>
      <c r="R1062" s="81">
        <f>IFERROR(VLOOKUP($G1062,融外自投!$A:$J,10,0),"無")</f>
        <v>176</v>
      </c>
      <c r="S1062" s="324">
        <f>IFERROR(VLOOKUP($G1062,'321買'!$A:$E,4,0),"'沒有資料'")</f>
        <v>497</v>
      </c>
      <c r="T1062" s="186">
        <f>IFERROR(VLOOKUP($G1062,基本資料!$A:$J,9,0),"無")</f>
        <v>7</v>
      </c>
      <c r="U1062" s="307">
        <f t="shared" si="187"/>
        <v>2.7027027027027029E-2</v>
      </c>
      <c r="V1062" s="94">
        <f>IFERROR(VLOOKUP($G1062,基本資料!$A:$J,10,0),"無")</f>
        <v>10</v>
      </c>
      <c r="W1062" s="36">
        <f>RTD("money.excel",,"3023","Price")</f>
        <v>259</v>
      </c>
      <c r="X1062" s="66"/>
      <c r="Y1062" s="15">
        <f t="shared" si="188"/>
        <v>259</v>
      </c>
      <c r="Z1062" s="3" t="e">
        <f t="shared" si="189"/>
        <v>#DIV/0!</v>
      </c>
      <c r="AA1062" s="340">
        <f>IFERROR(VLOOKUP($G1062,基本資料!$A:$M,11,0),"無")</f>
        <v>-14.1</v>
      </c>
      <c r="AB1062" s="389">
        <f>IFERROR(VLOOKUP($G1062,基本資料!$A:$M,12,0),"無")</f>
        <v>45.38</v>
      </c>
      <c r="AC1062" s="22" t="s">
        <v>4526</v>
      </c>
      <c r="AF1062" s="33">
        <f t="shared" si="190"/>
        <v>0</v>
      </c>
      <c r="AG1062" s="117" t="s">
        <v>4527</v>
      </c>
      <c r="AH1062" s="66">
        <f t="shared" si="192"/>
        <v>1.1060119320789352</v>
      </c>
      <c r="AI1062" s="283">
        <f>RTD("money.excel",,$G1062,"PredictVolume")</f>
        <v>723</v>
      </c>
      <c r="AJ1062" s="391">
        <f>IFERROR(VLOOKUP($G1062,基本資料!$A:$M,13,0),"無")</f>
        <v>653.70000000000005</v>
      </c>
      <c r="AR1062" s="245" t="str">
        <f>INDEX(基本資料!N:N,MATCH($G1062,基本資料!A:A,0))</f>
        <v>中</v>
      </c>
    </row>
    <row r="1063" spans="1:44">
      <c r="A1063" s="343">
        <f>IFERROR(VLOOKUP($G1063,基本資料!$A:$J,3,0),"無")</f>
        <v>15.79</v>
      </c>
      <c r="B1063" s="79">
        <f>IFERROR(VLOOKUP($G1063,基本資料!$A:$J,4,0),"無")</f>
        <v>49</v>
      </c>
      <c r="C1063" s="79">
        <f>IFERROR(VLOOKUP($G1063,基本資料!$A:$J,5,0),"無")</f>
        <v>33</v>
      </c>
      <c r="D1063" s="79">
        <f>IFERROR(VLOOKUP($G1063,基本資料!$A:$J,6,0),"無")</f>
        <v>-14</v>
      </c>
      <c r="E1063" s="79">
        <f>IFERROR(VLOOKUP($G1063,基本資料!$A:$J,7,0),"無")</f>
        <v>-11</v>
      </c>
      <c r="F1063" s="6">
        <f>IFERROR(VLOOKUP($G1063,基本資料!$A:$J,8,0),"無")</f>
        <v>12.12</v>
      </c>
      <c r="G1063" s="79">
        <v>3026</v>
      </c>
      <c r="H1063" s="192" t="s">
        <v>308</v>
      </c>
      <c r="I1063" s="22" t="s">
        <v>4528</v>
      </c>
      <c r="J1063" s="8">
        <f>IFERROR(VLOOKUP($G1063,今日總結!$A:$AN,39,0),"")</f>
        <v>0</v>
      </c>
      <c r="K1063" s="5">
        <f>IFERROR(VLOOKUP($G1063,今日總結!$A:$AN,40,0),"")</f>
        <v>0</v>
      </c>
      <c r="L1063" s="156">
        <f>IFERROR(VLOOKUP($G1063,今日總結!$A:$AN,37,0),"")</f>
        <v>0</v>
      </c>
      <c r="M1063" s="337">
        <f>IFERROR(VLOOKUP($G1063,今日總結!$A:$AN,38,0),"")</f>
        <v>0</v>
      </c>
      <c r="N1063" s="240">
        <f t="shared" si="191"/>
        <v>0</v>
      </c>
      <c r="O1063" s="359">
        <f>IFERROR(VLOOKUP($G1063,融外自投!$A:$J,7,0),"無")</f>
        <v>899</v>
      </c>
      <c r="P1063" s="79">
        <f>IFERROR(VLOOKUP($G1063,融外自投!$A:$J,9,0),"無")</f>
        <v>100</v>
      </c>
      <c r="Q1063" s="342">
        <f>IFERROR(VLOOKUP($G1063,融外自投!$A:$J,8,0),"無")</f>
        <v>464</v>
      </c>
      <c r="R1063" s="81" t="str">
        <f>IFERROR(VLOOKUP($G1063,融外自投!$A:$J,10,0),"無")</f>
        <v>無</v>
      </c>
      <c r="S1063" s="324">
        <f>IFERROR(VLOOKUP($G1063,'321買'!$A:$E,4,0),"'沒有資料'")</f>
        <v>606</v>
      </c>
      <c r="T1063" s="186">
        <f>IFERROR(VLOOKUP($G1063,基本資料!$A:$J,9,0),"無")</f>
        <v>9</v>
      </c>
      <c r="U1063" s="307">
        <f t="shared" si="187"/>
        <v>8.1081081081081086E-2</v>
      </c>
      <c r="V1063" s="94">
        <f>IFERROR(VLOOKUP($G1063,基本資料!$A:$J,10,0),"無")</f>
        <v>12.36</v>
      </c>
      <c r="W1063" s="36">
        <f>RTD("money.excel",,"3026","Price")</f>
        <v>111</v>
      </c>
      <c r="X1063" s="66"/>
      <c r="Y1063" s="15">
        <f t="shared" si="188"/>
        <v>111</v>
      </c>
      <c r="Z1063" s="3" t="e">
        <f t="shared" si="189"/>
        <v>#DIV/0!</v>
      </c>
      <c r="AA1063" s="340">
        <f>IFERROR(VLOOKUP($G1063,基本資料!$A:$M,11,0),"無")</f>
        <v>-26.73</v>
      </c>
      <c r="AB1063" s="389">
        <f>IFERROR(VLOOKUP($G1063,基本資料!$A:$M,12,0),"無")</f>
        <v>26.51</v>
      </c>
      <c r="AC1063" s="22" t="s">
        <v>4528</v>
      </c>
      <c r="AF1063" s="33">
        <f t="shared" si="190"/>
        <v>0</v>
      </c>
      <c r="AG1063" s="117" t="s">
        <v>4529</v>
      </c>
      <c r="AH1063" s="66">
        <f t="shared" si="192"/>
        <v>0.50600184672206838</v>
      </c>
      <c r="AI1063" s="283">
        <f>RTD("money.excel",,$G1063,"PredictVolume")</f>
        <v>137</v>
      </c>
      <c r="AJ1063" s="391">
        <f>IFERROR(VLOOKUP($G1063,基本資料!$A:$M,13,0),"無")</f>
        <v>270.75</v>
      </c>
      <c r="AR1063" s="245" t="str">
        <f>INDEX(基本資料!N:N,MATCH($G1063,基本資料!A:A,0))</f>
        <v>低</v>
      </c>
    </row>
    <row r="1064" spans="1:44">
      <c r="A1064" s="343">
        <f>IFERROR(VLOOKUP($G1064,基本資料!$A:$J,3,0),"無")</f>
        <v>11.32</v>
      </c>
      <c r="B1064" s="79">
        <f>IFERROR(VLOOKUP($G1064,基本資料!$A:$J,4,0),"無")</f>
        <v>-31</v>
      </c>
      <c r="C1064" s="79">
        <f>IFERROR(VLOOKUP($G1064,基本資料!$A:$J,5,0),"無")</f>
        <v>-25</v>
      </c>
      <c r="D1064" s="79">
        <f>IFERROR(VLOOKUP($G1064,基本資料!$A:$J,6,0),"無")</f>
        <v>0</v>
      </c>
      <c r="E1064" s="79">
        <f>IFERROR(VLOOKUP($G1064,基本資料!$A:$J,7,0),"無")</f>
        <v>-22</v>
      </c>
      <c r="F1064" s="6">
        <f>IFERROR(VLOOKUP($G1064,基本資料!$A:$J,8,0),"無")</f>
        <v>5.42</v>
      </c>
      <c r="G1064" s="79">
        <v>3032</v>
      </c>
      <c r="H1064" s="8" t="s">
        <v>308</v>
      </c>
      <c r="I1064" s="22" t="s">
        <v>4530</v>
      </c>
      <c r="J1064" s="8">
        <f>IFERROR(VLOOKUP($G1064,今日總結!$A:$AN,39,0),"")</f>
        <v>0</v>
      </c>
      <c r="K1064" s="5" t="str">
        <f>IFERROR(VLOOKUP($G1064,今日總結!$A:$AN,40,0),"")</f>
        <v>主</v>
      </c>
      <c r="L1064" s="156">
        <f>IFERROR(VLOOKUP($G1064,今日總結!$A:$AN,37,0),"")</f>
        <v>0</v>
      </c>
      <c r="M1064" s="337">
        <f>IFERROR(VLOOKUP($G1064,今日總結!$A:$AN,38,0),"")</f>
        <v>3</v>
      </c>
      <c r="N1064" s="240">
        <f t="shared" si="191"/>
        <v>-3</v>
      </c>
      <c r="O1064" s="359">
        <f>IFERROR(VLOOKUP($G1064,融外自投!$A:$J,7,0),"無")</f>
        <v>807</v>
      </c>
      <c r="P1064" s="79">
        <f>IFERROR(VLOOKUP($G1064,融外自投!$A:$J,9,0),"無")</f>
        <v>717</v>
      </c>
      <c r="Q1064" s="342">
        <f>IFERROR(VLOOKUP($G1064,融外自投!$A:$J,8,0),"無")</f>
        <v>1150</v>
      </c>
      <c r="R1064" s="81" t="str">
        <f>IFERROR(VLOOKUP($G1064,融外自投!$A:$J,10,0),"無")</f>
        <v>無</v>
      </c>
      <c r="S1064" s="324">
        <f>IFERROR(VLOOKUP($G1064,'321買'!$A:$E,4,0),"'沒有資料'")</f>
        <v>1002</v>
      </c>
      <c r="T1064" s="186">
        <f>IFERROR(VLOOKUP($G1064,基本資料!$A:$J,9,0),"無")</f>
        <v>2</v>
      </c>
      <c r="U1064" s="307">
        <f t="shared" si="187"/>
        <v>7.1174377224199281E-2</v>
      </c>
      <c r="V1064" s="94">
        <f>IFERROR(VLOOKUP($G1064,基本資料!$A:$J,10,0),"無")</f>
        <v>2.63</v>
      </c>
      <c r="W1064" s="36">
        <f>RTD("money.excel",,"3032","Price")</f>
        <v>28.1</v>
      </c>
      <c r="X1064" s="66"/>
      <c r="Y1064" s="15">
        <f t="shared" si="188"/>
        <v>28.1</v>
      </c>
      <c r="Z1064" s="3" t="e">
        <f t="shared" si="189"/>
        <v>#DIV/0!</v>
      </c>
      <c r="AA1064" s="340">
        <f>IFERROR(VLOOKUP($G1064,基本資料!$A:$M,11,0),"無")</f>
        <v>-35.4</v>
      </c>
      <c r="AB1064" s="389">
        <f>IFERROR(VLOOKUP($G1064,基本資料!$A:$M,12,0),"無")</f>
        <v>12.71</v>
      </c>
      <c r="AC1064" s="22" t="s">
        <v>4530</v>
      </c>
      <c r="AF1064" s="33">
        <f t="shared" si="190"/>
        <v>0</v>
      </c>
      <c r="AG1064" s="43" t="s">
        <v>2372</v>
      </c>
      <c r="AH1064" s="66">
        <f t="shared" si="192"/>
        <v>0.83150984682713347</v>
      </c>
      <c r="AI1064" s="283">
        <f>RTD("money.excel",,$G1064,"PredictVolume")</f>
        <v>57</v>
      </c>
      <c r="AJ1064" s="391">
        <f>IFERROR(VLOOKUP($G1064,基本資料!$A:$M,13,0),"無")</f>
        <v>68.55</v>
      </c>
      <c r="AR1064" s="245" t="str">
        <f>INDEX(基本資料!N:N,MATCH($G1064,基本資料!A:A,0))</f>
        <v>低</v>
      </c>
    </row>
    <row r="1065" spans="1:44">
      <c r="A1065" s="343">
        <f>IFERROR(VLOOKUP($G1065,基本資料!$A:$J,3,0),"無")</f>
        <v>147</v>
      </c>
      <c r="B1065" s="79">
        <f>IFERROR(VLOOKUP($G1065,基本資料!$A:$J,4,0),"無")</f>
        <v>154</v>
      </c>
      <c r="C1065" s="79">
        <f>IFERROR(VLOOKUP($G1065,基本資料!$A:$J,5,0),"無")</f>
        <v>227</v>
      </c>
      <c r="D1065" s="79">
        <f>IFERROR(VLOOKUP($G1065,基本資料!$A:$J,6,0),"無")</f>
        <v>4</v>
      </c>
      <c r="E1065" s="79">
        <f>IFERROR(VLOOKUP($G1065,基本資料!$A:$J,7,0),"無")</f>
        <v>41</v>
      </c>
      <c r="F1065" s="6">
        <f>IFERROR(VLOOKUP($G1065,基本資料!$A:$J,8,0),"無")</f>
        <v>12.6</v>
      </c>
      <c r="G1065" s="79">
        <v>3037</v>
      </c>
      <c r="H1065" s="8" t="s">
        <v>308</v>
      </c>
      <c r="I1065" s="22" t="s">
        <v>2916</v>
      </c>
      <c r="J1065" s="8" t="str">
        <f>IFERROR(VLOOKUP($G1065,今日總結!$A:$AN,39,0),"")</f>
        <v>同</v>
      </c>
      <c r="K1065" s="5">
        <f>IFERROR(VLOOKUP($G1065,今日總結!$A:$AN,40,0),"")</f>
        <v>0</v>
      </c>
      <c r="L1065" s="156">
        <f>IFERROR(VLOOKUP($G1065,今日總結!$A:$AN,37,0),"")</f>
        <v>1</v>
      </c>
      <c r="M1065" s="337">
        <f>IFERROR(VLOOKUP($G1065,今日總結!$A:$AN,38,0),"")</f>
        <v>0</v>
      </c>
      <c r="N1065" s="240">
        <f t="shared" si="191"/>
        <v>1</v>
      </c>
      <c r="O1065" s="359">
        <f>IFERROR(VLOOKUP($G1065,融外自投!$A:$J,7,0),"無")</f>
        <v>637</v>
      </c>
      <c r="P1065" s="79">
        <f>IFERROR(VLOOKUP($G1065,融外自投!$A:$J,9,0),"無")</f>
        <v>161</v>
      </c>
      <c r="Q1065" s="342">
        <f>IFERROR(VLOOKUP($G1065,融外自投!$A:$J,8,0),"無")</f>
        <v>118</v>
      </c>
      <c r="R1065" s="81">
        <f>IFERROR(VLOOKUP($G1065,融外自投!$A:$J,10,0),"無")</f>
        <v>23</v>
      </c>
      <c r="S1065" s="324">
        <f>IFERROR(VLOOKUP($G1065,'321買'!$A:$E,4,0),"'沒有資料'")</f>
        <v>140</v>
      </c>
      <c r="T1065" s="186">
        <f>IFERROR(VLOOKUP($G1065,基本資料!$A:$J,9,0),"無")</f>
        <v>3.4</v>
      </c>
      <c r="U1065" s="307">
        <f t="shared" si="187"/>
        <v>1.5850815850815849E-2</v>
      </c>
      <c r="V1065" s="94">
        <f>IFERROR(VLOOKUP($G1065,基本資料!$A:$J,10,0),"無")</f>
        <v>8.98</v>
      </c>
      <c r="W1065" s="36">
        <f>RTD("money.excel",,"3037","Price")</f>
        <v>214.5</v>
      </c>
      <c r="X1065" s="66"/>
      <c r="Y1065" s="15">
        <f t="shared" si="188"/>
        <v>214.5</v>
      </c>
      <c r="Z1065" s="3" t="e">
        <f t="shared" si="189"/>
        <v>#DIV/0!</v>
      </c>
      <c r="AA1065" s="340">
        <f>IFERROR(VLOOKUP($G1065,基本資料!$A:$M,11,0),"無")</f>
        <v>-17.82</v>
      </c>
      <c r="AB1065" s="389">
        <f>IFERROR(VLOOKUP($G1065,基本資料!$A:$M,12,0),"無")</f>
        <v>34.75</v>
      </c>
      <c r="AC1065" s="22" t="s">
        <v>2916</v>
      </c>
      <c r="AF1065" s="33">
        <f t="shared" si="190"/>
        <v>0</v>
      </c>
      <c r="AG1065" s="117" t="s">
        <v>4531</v>
      </c>
      <c r="AH1065" s="66">
        <f t="shared" si="192"/>
        <v>0.8688322540593385</v>
      </c>
      <c r="AI1065" s="283">
        <f>RTD("money.excel",,$G1065,"PredictVolume")</f>
        <v>23862</v>
      </c>
      <c r="AJ1065" s="391">
        <f>IFERROR(VLOOKUP($G1065,基本資料!$A:$M,13,0),"無")</f>
        <v>27464.45</v>
      </c>
      <c r="AR1065" s="245" t="str">
        <f>INDEX(基本資料!N:N,MATCH($G1065,基本資料!A:A,0))</f>
        <v>高</v>
      </c>
    </row>
    <row r="1066" spans="1:44">
      <c r="A1066" s="343">
        <f>IFERROR(VLOOKUP($G1066,基本資料!$A:$J,3,0),"無")</f>
        <v>30.97</v>
      </c>
      <c r="B1066" s="79">
        <f>IFERROR(VLOOKUP($G1066,基本資料!$A:$J,4,0),"無")</f>
        <v>118</v>
      </c>
      <c r="C1066" s="79">
        <f>IFERROR(VLOOKUP($G1066,基本資料!$A:$J,5,0),"無")</f>
        <v>114</v>
      </c>
      <c r="D1066" s="79">
        <f>IFERROR(VLOOKUP($G1066,基本資料!$A:$J,6,0),"無")</f>
        <v>1</v>
      </c>
      <c r="E1066" s="79">
        <f>IFERROR(VLOOKUP($G1066,基本資料!$A:$J,7,0),"無")</f>
        <v>-27</v>
      </c>
      <c r="F1066" s="6">
        <f>IFERROR(VLOOKUP($G1066,基本資料!$A:$J,8,0),"無")</f>
        <v>22.79</v>
      </c>
      <c r="G1066" s="79">
        <v>3042</v>
      </c>
      <c r="H1066" s="8" t="s">
        <v>308</v>
      </c>
      <c r="I1066" s="22" t="s">
        <v>4532</v>
      </c>
      <c r="J1066" s="8">
        <f>IFERROR(VLOOKUP($G1066,今日總結!$A:$AN,39,0),"")</f>
        <v>0</v>
      </c>
      <c r="K1066" s="5">
        <f>IFERROR(VLOOKUP($G1066,今日總結!$A:$AN,40,0),"")</f>
        <v>0</v>
      </c>
      <c r="L1066" s="156">
        <f>IFERROR(VLOOKUP($G1066,今日總結!$A:$AN,37,0),"")</f>
        <v>0</v>
      </c>
      <c r="M1066" s="337">
        <f>IFERROR(VLOOKUP($G1066,今日總結!$A:$AN,38,0),"")</f>
        <v>0</v>
      </c>
      <c r="N1066" s="240">
        <f t="shared" si="191"/>
        <v>0</v>
      </c>
      <c r="O1066" s="359">
        <f>IFERROR(VLOOKUP($G1066,融外自投!$A:$J,7,0),"無")</f>
        <v>261</v>
      </c>
      <c r="P1066" s="79">
        <f>IFERROR(VLOOKUP($G1066,融外自投!$A:$J,9,0),"無")</f>
        <v>280</v>
      </c>
      <c r="Q1066" s="342">
        <f>IFERROR(VLOOKUP($G1066,融外自投!$A:$J,8,0),"無")</f>
        <v>440</v>
      </c>
      <c r="R1066" s="81">
        <f>IFERROR(VLOOKUP($G1066,融外自投!$A:$J,10,0),"無")</f>
        <v>194</v>
      </c>
      <c r="S1066" s="324">
        <f>IFERROR(VLOOKUP($G1066,'321買'!$A:$E,4,0),"'沒有資料'")</f>
        <v>286</v>
      </c>
      <c r="T1066" s="186">
        <f>IFERROR(VLOOKUP($G1066,基本資料!$A:$J,9,0),"無")</f>
        <v>7.5</v>
      </c>
      <c r="U1066" s="307">
        <f t="shared" si="187"/>
        <v>8.3705357142857151E-2</v>
      </c>
      <c r="V1066" s="94">
        <f>IFERROR(VLOOKUP($G1066,基本資料!$A:$J,10,0),"無")</f>
        <v>10.06</v>
      </c>
      <c r="W1066" s="36">
        <f>RTD("money.excel",,"3042","Price")</f>
        <v>89.6</v>
      </c>
      <c r="X1066" s="66"/>
      <c r="Y1066" s="15">
        <f t="shared" si="188"/>
        <v>89.6</v>
      </c>
      <c r="Z1066" s="3" t="e">
        <f t="shared" si="189"/>
        <v>#DIV/0!</v>
      </c>
      <c r="AA1066" s="340">
        <f>IFERROR(VLOOKUP($G1066,基本資料!$A:$M,11,0),"無")</f>
        <v>-37.99</v>
      </c>
      <c r="AB1066" s="389">
        <f>IFERROR(VLOOKUP($G1066,基本資料!$A:$M,12,0),"無")</f>
        <v>23.06</v>
      </c>
      <c r="AC1066" s="22" t="s">
        <v>4532</v>
      </c>
      <c r="AF1066" s="33">
        <f t="shared" si="190"/>
        <v>0</v>
      </c>
      <c r="AG1066" s="117" t="s">
        <v>1727</v>
      </c>
      <c r="AH1066" s="66">
        <f t="shared" si="192"/>
        <v>0.91970157789388851</v>
      </c>
      <c r="AI1066" s="283">
        <f>RTD("money.excel",,$G1066,"PredictVolume")</f>
        <v>1769</v>
      </c>
      <c r="AJ1066" s="391">
        <f>IFERROR(VLOOKUP($G1066,基本資料!$A:$M,13,0),"無")</f>
        <v>1923.45</v>
      </c>
      <c r="AR1066" s="245" t="str">
        <f>INDEX(基本資料!N:N,MATCH($G1066,基本資料!A:A,0))</f>
        <v>低</v>
      </c>
    </row>
    <row r="1067" spans="1:44">
      <c r="A1067" s="343">
        <f>IFERROR(VLOOKUP($G1067,基本資料!$A:$J,3,0),"無")</f>
        <v>52.56</v>
      </c>
      <c r="B1067" s="79">
        <f>IFERROR(VLOOKUP($G1067,基本資料!$A:$J,4,0),"無")</f>
        <v>-4</v>
      </c>
      <c r="C1067" s="79">
        <f>IFERROR(VLOOKUP($G1067,基本資料!$A:$J,5,0),"無")</f>
        <v>0</v>
      </c>
      <c r="D1067" s="79">
        <f>IFERROR(VLOOKUP($G1067,基本資料!$A:$J,6,0),"無")</f>
        <v>-5</v>
      </c>
      <c r="E1067" s="79">
        <f>IFERROR(VLOOKUP($G1067,基本資料!$A:$J,7,0),"無")</f>
        <v>1</v>
      </c>
      <c r="F1067" s="6">
        <f>IFERROR(VLOOKUP($G1067,基本資料!$A:$J,8,0),"無")</f>
        <v>10.5</v>
      </c>
      <c r="G1067" s="79">
        <v>3044</v>
      </c>
      <c r="H1067" s="8" t="s">
        <v>308</v>
      </c>
      <c r="I1067" s="22" t="s">
        <v>4533</v>
      </c>
      <c r="J1067" s="8" t="str">
        <f>IFERROR(VLOOKUP($G1067,今日總結!$A:$AN,39,0),"")</f>
        <v>自</v>
      </c>
      <c r="K1067" s="5">
        <f>IFERROR(VLOOKUP($G1067,今日總結!$A:$AN,40,0),"")</f>
        <v>0</v>
      </c>
      <c r="L1067" s="156">
        <f>IFERROR(VLOOKUP($G1067,今日總結!$A:$AN,37,0),"")</f>
        <v>11</v>
      </c>
      <c r="M1067" s="337">
        <f>IFERROR(VLOOKUP($G1067,今日總結!$A:$AN,38,0),"")</f>
        <v>0</v>
      </c>
      <c r="N1067" s="240">
        <f t="shared" si="191"/>
        <v>11</v>
      </c>
      <c r="O1067" s="359">
        <f>IFERROR(VLOOKUP($G1067,融外自投!$A:$J,7,0),"無")</f>
        <v>1313</v>
      </c>
      <c r="P1067" s="79">
        <f>IFERROR(VLOOKUP($G1067,融外自投!$A:$J,9,0),"無")</f>
        <v>41</v>
      </c>
      <c r="Q1067" s="342">
        <f>IFERROR(VLOOKUP($G1067,融外自投!$A:$J,8,0),"無")</f>
        <v>110</v>
      </c>
      <c r="R1067" s="81">
        <f>IFERROR(VLOOKUP($G1067,融外自投!$A:$J,10,0),"無")</f>
        <v>35</v>
      </c>
      <c r="S1067" s="324">
        <f>IFERROR(VLOOKUP($G1067,'321買'!$A:$E,4,0),"'沒有資料'")</f>
        <v>440</v>
      </c>
      <c r="T1067" s="186">
        <f>IFERROR(VLOOKUP($G1067,基本資料!$A:$J,9,0),"無")</f>
        <v>7</v>
      </c>
      <c r="U1067" s="307">
        <f t="shared" si="187"/>
        <v>5.9071729957805907E-2</v>
      </c>
      <c r="V1067" s="94">
        <f>IFERROR(VLOOKUP($G1067,基本資料!$A:$J,10,0),"無")</f>
        <v>11.15</v>
      </c>
      <c r="W1067" s="36">
        <f>RTD("money.excel",,"3044","Price")</f>
        <v>118.5</v>
      </c>
      <c r="X1067" s="66"/>
      <c r="Y1067" s="15">
        <f t="shared" si="188"/>
        <v>118.5</v>
      </c>
      <c r="Z1067" s="3" t="e">
        <f t="shared" si="189"/>
        <v>#DIV/0!</v>
      </c>
      <c r="AA1067" s="340">
        <f>IFERROR(VLOOKUP($G1067,基本資料!$A:$M,11,0),"無")</f>
        <v>-14.75</v>
      </c>
      <c r="AB1067" s="389">
        <f>IFERROR(VLOOKUP($G1067,基本資料!$A:$M,12,0),"無")</f>
        <v>18.05</v>
      </c>
      <c r="AC1067" s="22" t="s">
        <v>4533</v>
      </c>
      <c r="AF1067" s="33">
        <f t="shared" si="190"/>
        <v>0</v>
      </c>
      <c r="AG1067" s="117" t="s">
        <v>1043</v>
      </c>
      <c r="AH1067" s="66">
        <f t="shared" si="192"/>
        <v>0.78123437031109333</v>
      </c>
      <c r="AI1067" s="283">
        <f>RTD("money.excel",,$G1067,"PredictVolume")</f>
        <v>781</v>
      </c>
      <c r="AJ1067" s="391">
        <f>IFERROR(VLOOKUP($G1067,基本資料!$A:$M,13,0),"無")</f>
        <v>999.7</v>
      </c>
      <c r="AR1067" s="245" t="str">
        <f>INDEX(基本資料!N:N,MATCH($G1067,基本資料!A:A,0))</f>
        <v>中</v>
      </c>
    </row>
    <row r="1068" spans="1:44">
      <c r="A1068" s="343">
        <f>IFERROR(VLOOKUP($G1068,基本資料!$A:$J,3,0),"無")</f>
        <v>15.85</v>
      </c>
      <c r="B1068" s="79">
        <f>IFERROR(VLOOKUP($G1068,基本資料!$A:$J,4,0),"無")</f>
        <v>-165</v>
      </c>
      <c r="C1068" s="79">
        <f>IFERROR(VLOOKUP($G1068,基本資料!$A:$J,5,0),"無")</f>
        <v>-117</v>
      </c>
      <c r="D1068" s="79">
        <f>IFERROR(VLOOKUP($G1068,基本資料!$A:$J,6,0),"無")</f>
        <v>0</v>
      </c>
      <c r="E1068" s="79">
        <f>IFERROR(VLOOKUP($G1068,基本資料!$A:$J,7,0),"無")</f>
        <v>-13</v>
      </c>
      <c r="F1068" s="6">
        <f>IFERROR(VLOOKUP($G1068,基本資料!$A:$J,8,0),"無")</f>
        <v>-6.69</v>
      </c>
      <c r="G1068" s="79">
        <v>3058</v>
      </c>
      <c r="H1068" s="8" t="s">
        <v>308</v>
      </c>
      <c r="I1068" s="22" t="s">
        <v>4534</v>
      </c>
      <c r="J1068" s="8" t="str">
        <f>IFERROR(VLOOKUP($G1068,今日總結!$A:$AN,39,0),"")</f>
        <v/>
      </c>
      <c r="K1068" s="5" t="str">
        <f>IFERROR(VLOOKUP($G1068,今日總結!$A:$AN,40,0),"")</f>
        <v/>
      </c>
      <c r="L1068" s="156" t="str">
        <f>IFERROR(VLOOKUP($G1068,今日總結!$A:$AN,37,0),"")</f>
        <v/>
      </c>
      <c r="M1068" s="337" t="str">
        <f>IFERROR(VLOOKUP($G1068,今日總結!$A:$AN,38,0),"")</f>
        <v/>
      </c>
      <c r="N1068" s="240" t="str">
        <f t="shared" si="191"/>
        <v/>
      </c>
      <c r="O1068" s="359" t="str">
        <f>IFERROR(VLOOKUP($G1068,融外自投!$A:$J,7,0),"無")</f>
        <v>無</v>
      </c>
      <c r="P1068" s="79" t="str">
        <f>IFERROR(VLOOKUP($G1068,融外自投!$A:$J,9,0),"無")</f>
        <v>無</v>
      </c>
      <c r="Q1068" s="342" t="str">
        <f>IFERROR(VLOOKUP($G1068,融外自投!$A:$J,8,0),"無")</f>
        <v>無</v>
      </c>
      <c r="R1068" s="81" t="str">
        <f>IFERROR(VLOOKUP($G1068,融外自投!$A:$J,10,0),"無")</f>
        <v>無</v>
      </c>
      <c r="S1068" s="324" t="str">
        <f>IFERROR(VLOOKUP($G1068,'321買'!$A:$E,4,0),"'沒有資料'")</f>
        <v>'沒有資料'</v>
      </c>
      <c r="T1068" s="186">
        <f>IFERROR(VLOOKUP($G1068,基本資料!$A:$J,9,0),"無")</f>
        <v>0</v>
      </c>
      <c r="U1068" s="307">
        <f t="shared" si="187"/>
        <v>0</v>
      </c>
      <c r="V1068" s="94">
        <f>IFERROR(VLOOKUP($G1068,基本資料!$A:$J,10,0),"無")</f>
        <v>-2.06</v>
      </c>
      <c r="W1068" s="36">
        <f>RTD("money.excel",,"3058","Price")</f>
        <v>10.050000000000001</v>
      </c>
      <c r="X1068" s="66"/>
      <c r="Y1068" s="15">
        <f t="shared" si="188"/>
        <v>10.050000000000001</v>
      </c>
      <c r="Z1068" s="3" t="e">
        <f t="shared" si="189"/>
        <v>#DIV/0!</v>
      </c>
      <c r="AA1068" s="340">
        <f>IFERROR(VLOOKUP($G1068,基本資料!$A:$M,11,0),"無")</f>
        <v>-50.12</v>
      </c>
      <c r="AB1068" s="389">
        <f>IFERROR(VLOOKUP($G1068,基本資料!$A:$M,12,0),"無")</f>
        <v>8.5</v>
      </c>
      <c r="AC1068" s="22" t="s">
        <v>4534</v>
      </c>
      <c r="AF1068" s="33">
        <f t="shared" si="190"/>
        <v>0</v>
      </c>
      <c r="AG1068" s="43" t="s">
        <v>4535</v>
      </c>
      <c r="AH1068" s="66">
        <f t="shared" si="192"/>
        <v>0.61768707482993201</v>
      </c>
      <c r="AI1068" s="283">
        <f>RTD("money.excel",,$G1068,"PredictVolume")</f>
        <v>227</v>
      </c>
      <c r="AJ1068" s="391">
        <f>IFERROR(VLOOKUP($G1068,基本資料!$A:$M,13,0),"無")</f>
        <v>367.5</v>
      </c>
      <c r="AR1068" s="245" t="str">
        <f>INDEX(基本資料!N:N,MATCH($G1068,基本資料!A:A,0))</f>
        <v>低</v>
      </c>
    </row>
    <row r="1069" spans="1:44">
      <c r="A1069" s="343">
        <f>IFERROR(VLOOKUP($G1069,基本資料!$A:$J,3,0),"無")</f>
        <v>22.73</v>
      </c>
      <c r="B1069" s="79">
        <f>IFERROR(VLOOKUP($G1069,基本資料!$A:$J,4,0),"無")</f>
        <v>-5</v>
      </c>
      <c r="C1069" s="79">
        <f>IFERROR(VLOOKUP($G1069,基本資料!$A:$J,5,0),"無")</f>
        <v>-2</v>
      </c>
      <c r="D1069" s="79">
        <f>IFERROR(VLOOKUP($G1069,基本資料!$A:$J,6,0),"無")</f>
        <v>16</v>
      </c>
      <c r="E1069" s="79">
        <f>IFERROR(VLOOKUP($G1069,基本資料!$A:$J,7,0),"無")</f>
        <v>-32</v>
      </c>
      <c r="F1069" s="6">
        <f>IFERROR(VLOOKUP($G1069,基本資料!$A:$J,8,0),"無")</f>
        <v>12.13</v>
      </c>
      <c r="G1069" s="79">
        <v>3078</v>
      </c>
      <c r="H1069" s="8" t="s">
        <v>308</v>
      </c>
      <c r="I1069" s="16" t="s">
        <v>4536</v>
      </c>
      <c r="J1069" s="8">
        <f>IFERROR(VLOOKUP($G1069,今日總結!$A:$AN,39,0),"")</f>
        <v>0</v>
      </c>
      <c r="K1069" s="5" t="str">
        <f>IFERROR(VLOOKUP($G1069,今日總結!$A:$AN,40,0),"")</f>
        <v>借</v>
      </c>
      <c r="L1069" s="156">
        <f>IFERROR(VLOOKUP($G1069,今日總結!$A:$AN,37,0),"")</f>
        <v>0</v>
      </c>
      <c r="M1069" s="337">
        <f>IFERROR(VLOOKUP($G1069,今日總結!$A:$AN,38,0),"")</f>
        <v>4</v>
      </c>
      <c r="N1069" s="240">
        <f t="shared" si="191"/>
        <v>-4</v>
      </c>
      <c r="O1069" s="359">
        <f>IFERROR(VLOOKUP($G1069,融外自投!$A:$J,7,0),"無")</f>
        <v>543</v>
      </c>
      <c r="P1069" s="79">
        <f>IFERROR(VLOOKUP($G1069,融外自投!$A:$J,9,0),"無")</f>
        <v>251</v>
      </c>
      <c r="Q1069" s="342">
        <f>IFERROR(VLOOKUP($G1069,融外自投!$A:$J,8,0),"無")</f>
        <v>1459</v>
      </c>
      <c r="R1069" s="81" t="str">
        <f>IFERROR(VLOOKUP($G1069,融外自投!$A:$J,10,0),"無")</f>
        <v>無</v>
      </c>
      <c r="S1069" s="324">
        <f>IFERROR(VLOOKUP($G1069,'321買'!$A:$E,4,0),"'沒有資料'")</f>
        <v>1002</v>
      </c>
      <c r="T1069" s="186">
        <f>IFERROR(VLOOKUP($G1069,基本資料!$A:$J,9,0),"無")</f>
        <v>3.25</v>
      </c>
      <c r="U1069" s="307">
        <f t="shared" si="187"/>
        <v>9.5870206489675522E-2</v>
      </c>
      <c r="V1069" s="94">
        <f>IFERROR(VLOOKUP($G1069,基本資料!$A:$J,10,0),"無")</f>
        <v>4.3</v>
      </c>
      <c r="W1069" s="36">
        <f>RTD("money.excel",,"3078","Price")</f>
        <v>33.9</v>
      </c>
      <c r="X1069" s="66"/>
      <c r="Y1069" s="15">
        <f t="shared" si="188"/>
        <v>33.9</v>
      </c>
      <c r="Z1069" s="3" t="e">
        <f t="shared" si="189"/>
        <v>#DIV/0!</v>
      </c>
      <c r="AA1069" s="340">
        <f>IFERROR(VLOOKUP($G1069,基本資料!$A:$M,11,0),"無")</f>
        <v>-40.11</v>
      </c>
      <c r="AB1069" s="389">
        <f>IFERROR(VLOOKUP($G1069,基本資料!$A:$M,12,0),"無")</f>
        <v>19.350000000000001</v>
      </c>
      <c r="AC1069" s="16" t="s">
        <v>4536</v>
      </c>
      <c r="AF1069" s="33">
        <f t="shared" si="190"/>
        <v>0</v>
      </c>
      <c r="AG1069" s="117" t="s">
        <v>2372</v>
      </c>
      <c r="AH1069" s="66">
        <f t="shared" si="192"/>
        <v>0.59355772710821564</v>
      </c>
      <c r="AI1069" s="283">
        <f>RTD("money.excel",,$G1069,"PredictVolume")</f>
        <v>164</v>
      </c>
      <c r="AJ1069" s="391">
        <f>IFERROR(VLOOKUP($G1069,基本資料!$A:$M,13,0),"無")</f>
        <v>276.3</v>
      </c>
      <c r="AR1069" s="245" t="str">
        <f>INDEX(基本資料!N:N,MATCH($G1069,基本資料!A:A,0))</f>
        <v>低</v>
      </c>
    </row>
    <row r="1070" spans="1:44">
      <c r="A1070" s="343">
        <f>IFERROR(VLOOKUP($G1070,基本資料!$A:$J,3,0),"無")</f>
        <v>17.86</v>
      </c>
      <c r="B1070" s="79">
        <f>IFERROR(VLOOKUP($G1070,基本資料!$A:$J,4,0),"無")</f>
        <v>39</v>
      </c>
      <c r="C1070" s="79">
        <f>IFERROR(VLOOKUP($G1070,基本資料!$A:$J,5,0),"無")</f>
        <v>29</v>
      </c>
      <c r="D1070" s="79">
        <f>IFERROR(VLOOKUP($G1070,基本資料!$A:$J,6,0),"無")</f>
        <v>-3</v>
      </c>
      <c r="E1070" s="79">
        <f>IFERROR(VLOOKUP($G1070,基本資料!$A:$J,7,0),"無")</f>
        <v>4</v>
      </c>
      <c r="F1070" s="6">
        <f>IFERROR(VLOOKUP($G1070,基本資料!$A:$J,8,0),"無")</f>
        <v>10.56</v>
      </c>
      <c r="G1070" s="79">
        <v>3090</v>
      </c>
      <c r="H1070" s="8" t="s">
        <v>308</v>
      </c>
      <c r="I1070" s="22" t="s">
        <v>4537</v>
      </c>
      <c r="J1070" s="8" t="str">
        <f>IFERROR(VLOOKUP($G1070,今日總結!$A:$AN,39,0),"")</f>
        <v>主</v>
      </c>
      <c r="K1070" s="5">
        <f>IFERROR(VLOOKUP($G1070,今日總結!$A:$AN,40,0),"")</f>
        <v>0</v>
      </c>
      <c r="L1070" s="156">
        <f>IFERROR(VLOOKUP($G1070,今日總結!$A:$AN,37,0),"")</f>
        <v>5</v>
      </c>
      <c r="M1070" s="337">
        <f>IFERROR(VLOOKUP($G1070,今日總結!$A:$AN,38,0),"")</f>
        <v>0</v>
      </c>
      <c r="N1070" s="240">
        <f t="shared" si="191"/>
        <v>5</v>
      </c>
      <c r="O1070" s="359">
        <f>IFERROR(VLOOKUP($G1070,融外自投!$A:$J,7,0),"無")</f>
        <v>802</v>
      </c>
      <c r="P1070" s="79">
        <f>IFERROR(VLOOKUP($G1070,融外自投!$A:$J,9,0),"無")</f>
        <v>525</v>
      </c>
      <c r="Q1070" s="342">
        <f>IFERROR(VLOOKUP($G1070,融外自投!$A:$J,8,0),"無")</f>
        <v>548</v>
      </c>
      <c r="R1070" s="81" t="str">
        <f>IFERROR(VLOOKUP($G1070,融外自投!$A:$J,10,0),"無")</f>
        <v>無</v>
      </c>
      <c r="S1070" s="324">
        <f>IFERROR(VLOOKUP($G1070,'321買'!$A:$E,4,0),"'沒有資料'")</f>
        <v>891</v>
      </c>
      <c r="T1070" s="186">
        <f>IFERROR(VLOOKUP($G1070,基本資料!$A:$J,9,0),"無")</f>
        <v>4</v>
      </c>
      <c r="U1070" s="307">
        <f t="shared" si="187"/>
        <v>7.5046904315197005E-2</v>
      </c>
      <c r="V1070" s="94">
        <f>IFERROR(VLOOKUP($G1070,基本資料!$A:$J,10,0),"無")</f>
        <v>4.59</v>
      </c>
      <c r="W1070" s="36">
        <f>RTD("money.excel",,"3090","Price")</f>
        <v>53.3</v>
      </c>
      <c r="X1070" s="66"/>
      <c r="Y1070" s="15">
        <f t="shared" si="188"/>
        <v>53.3</v>
      </c>
      <c r="Z1070" s="3" t="e">
        <f t="shared" si="189"/>
        <v>#DIV/0!</v>
      </c>
      <c r="AA1070" s="340">
        <f>IFERROR(VLOOKUP($G1070,基本資料!$A:$M,11,0),"無")</f>
        <v>-12.05</v>
      </c>
      <c r="AB1070" s="389">
        <f>IFERROR(VLOOKUP($G1070,基本資料!$A:$M,12,0),"無")</f>
        <v>45.11</v>
      </c>
      <c r="AC1070" s="22" t="s">
        <v>4537</v>
      </c>
      <c r="AF1070" s="33">
        <f t="shared" si="190"/>
        <v>0</v>
      </c>
      <c r="AG1070" s="43" t="s">
        <v>4538</v>
      </c>
      <c r="AH1070" s="66">
        <f t="shared" si="192"/>
        <v>1.3224771773994572</v>
      </c>
      <c r="AI1070" s="283">
        <f>RTD("money.excel",,$G1070,"PredictVolume")</f>
        <v>268</v>
      </c>
      <c r="AJ1070" s="391">
        <f>IFERROR(VLOOKUP($G1070,基本資料!$A:$M,13,0),"無")</f>
        <v>202.65</v>
      </c>
      <c r="AR1070" s="245" t="str">
        <f>INDEX(基本資料!N:N,MATCH($G1070,基本資料!A:A,0))</f>
        <v>中</v>
      </c>
    </row>
    <row r="1071" spans="1:44">
      <c r="A1071" s="343">
        <f>IFERROR(VLOOKUP($G1071,基本資料!$A:$J,3,0),"無")</f>
        <v>9.26</v>
      </c>
      <c r="B1071" s="79">
        <f>IFERROR(VLOOKUP($G1071,基本資料!$A:$J,4,0),"無")</f>
        <v>-82</v>
      </c>
      <c r="C1071" s="79">
        <f>IFERROR(VLOOKUP($G1071,基本資料!$A:$J,5,0),"無")</f>
        <v>-83</v>
      </c>
      <c r="D1071" s="79">
        <f>IFERROR(VLOOKUP($G1071,基本資料!$A:$J,6,0),"無")</f>
        <v>-11</v>
      </c>
      <c r="E1071" s="79">
        <f>IFERROR(VLOOKUP($G1071,基本資料!$A:$J,7,0),"無")</f>
        <v>51</v>
      </c>
      <c r="F1071" s="6">
        <f>IFERROR(VLOOKUP($G1071,基本資料!$A:$J,8,0),"無")</f>
        <v>0.89</v>
      </c>
      <c r="G1071" s="79">
        <v>3092</v>
      </c>
      <c r="H1071" s="8" t="s">
        <v>308</v>
      </c>
      <c r="I1071" s="22" t="s">
        <v>4539</v>
      </c>
      <c r="J1071" s="8">
        <f>IFERROR(VLOOKUP($G1071,今日總結!$A:$AN,39,0),"")</f>
        <v>0</v>
      </c>
      <c r="K1071" s="5" t="str">
        <f>IFERROR(VLOOKUP($G1071,今日總結!$A:$AN,40,0),"")</f>
        <v>融</v>
      </c>
      <c r="L1071" s="156">
        <f>IFERROR(VLOOKUP($G1071,今日總結!$A:$AN,37,0),"")</f>
        <v>0</v>
      </c>
      <c r="M1071" s="337">
        <f>IFERROR(VLOOKUP($G1071,今日總結!$A:$AN,38,0),"")</f>
        <v>3</v>
      </c>
      <c r="N1071" s="240">
        <f t="shared" si="191"/>
        <v>-3</v>
      </c>
      <c r="O1071" s="359">
        <f>IFERROR(VLOOKUP($G1071,融外自投!$A:$J,7,0),"無")</f>
        <v>93</v>
      </c>
      <c r="P1071" s="79" t="str">
        <f>IFERROR(VLOOKUP($G1071,融外自投!$A:$J,9,0),"無")</f>
        <v>無</v>
      </c>
      <c r="Q1071" s="342">
        <f>IFERROR(VLOOKUP($G1071,融外自投!$A:$J,8,0),"無")</f>
        <v>1065</v>
      </c>
      <c r="R1071" s="81" t="str">
        <f>IFERROR(VLOOKUP($G1071,融外自投!$A:$J,10,0),"無")</f>
        <v>無</v>
      </c>
      <c r="S1071" s="324">
        <f>IFERROR(VLOOKUP($G1071,'321買'!$A:$E,4,0),"'沒有資料'")</f>
        <v>164</v>
      </c>
      <c r="T1071" s="186">
        <f>IFERROR(VLOOKUP($G1071,基本資料!$A:$J,9,0),"無")</f>
        <v>0</v>
      </c>
      <c r="U1071" s="307">
        <f t="shared" si="187"/>
        <v>0</v>
      </c>
      <c r="V1071" s="94">
        <f>IFERROR(VLOOKUP($G1071,基本資料!$A:$J,10,0),"無")</f>
        <v>0.25</v>
      </c>
      <c r="W1071" s="36">
        <f>RTD("money.excel",,"3092","Price")</f>
        <v>49.3</v>
      </c>
      <c r="X1071" s="66"/>
      <c r="Y1071" s="15">
        <f t="shared" si="188"/>
        <v>49.3</v>
      </c>
      <c r="Z1071" s="3" t="e">
        <f t="shared" si="189"/>
        <v>#DIV/0!</v>
      </c>
      <c r="AA1071" s="340">
        <f>IFERROR(VLOOKUP($G1071,基本資料!$A:$M,11,0),"無")</f>
        <v>-37.119999999999997</v>
      </c>
      <c r="AB1071" s="389">
        <f>IFERROR(VLOOKUP($G1071,基本資料!$A:$M,12,0),"無")</f>
        <v>19.86</v>
      </c>
      <c r="AC1071" s="22" t="s">
        <v>4539</v>
      </c>
      <c r="AF1071" s="33">
        <f t="shared" si="190"/>
        <v>0</v>
      </c>
      <c r="AG1071" s="117" t="s">
        <v>2402</v>
      </c>
      <c r="AH1071" s="66">
        <f t="shared" si="192"/>
        <v>0.65515187611673609</v>
      </c>
      <c r="AI1071" s="283">
        <f>RTD("money.excel",,$G1071,"PredictVolume")</f>
        <v>1155</v>
      </c>
      <c r="AJ1071" s="391">
        <f>IFERROR(VLOOKUP($G1071,基本資料!$A:$M,13,0),"無")</f>
        <v>1762.95</v>
      </c>
      <c r="AR1071" s="245" t="str">
        <f>INDEX(基本資料!N:N,MATCH($G1071,基本資料!A:A,0))</f>
        <v>低</v>
      </c>
    </row>
    <row r="1072" spans="1:44">
      <c r="A1072" s="343">
        <f>IFERROR(VLOOKUP($G1072,基本資料!$A:$J,3,0),"無")</f>
        <v>5.9</v>
      </c>
      <c r="B1072" s="79">
        <f>IFERROR(VLOOKUP($G1072,基本資料!$A:$J,4,0),"無")</f>
        <v>37</v>
      </c>
      <c r="C1072" s="79">
        <f>IFERROR(VLOOKUP($G1072,基本資料!$A:$J,5,0),"無")</f>
        <v>28</v>
      </c>
      <c r="D1072" s="79">
        <f>IFERROR(VLOOKUP($G1072,基本資料!$A:$J,6,0),"無")</f>
        <v>58</v>
      </c>
      <c r="E1072" s="79">
        <f>IFERROR(VLOOKUP($G1072,基本資料!$A:$J,7,0),"無")</f>
        <v>44</v>
      </c>
      <c r="F1072" s="6">
        <f>IFERROR(VLOOKUP($G1072,基本資料!$A:$J,8,0),"無")</f>
        <v>4.5599999999999996</v>
      </c>
      <c r="G1072" s="79">
        <v>3114</v>
      </c>
      <c r="H1072" s="8" t="s">
        <v>308</v>
      </c>
      <c r="I1072" s="16" t="s">
        <v>4540</v>
      </c>
      <c r="J1072" s="8">
        <f>IFERROR(VLOOKUP($G1072,今日總結!$A:$AN,39,0),"")</f>
        <v>0</v>
      </c>
      <c r="K1072" s="5" t="str">
        <f>IFERROR(VLOOKUP($G1072,今日總結!$A:$AN,40,0),"")</f>
        <v>主</v>
      </c>
      <c r="L1072" s="156">
        <f>IFERROR(VLOOKUP($G1072,今日總結!$A:$AN,37,0),"")</f>
        <v>0</v>
      </c>
      <c r="M1072" s="337">
        <f>IFERROR(VLOOKUP($G1072,今日總結!$A:$AN,38,0),"")</f>
        <v>2</v>
      </c>
      <c r="N1072" s="240">
        <f t="shared" si="191"/>
        <v>-2</v>
      </c>
      <c r="O1072" s="359">
        <f>IFERROR(VLOOKUP($G1072,融外自投!$A:$J,7,0),"無")</f>
        <v>548</v>
      </c>
      <c r="P1072" s="79">
        <f>IFERROR(VLOOKUP($G1072,融外自投!$A:$J,9,0),"無")</f>
        <v>577</v>
      </c>
      <c r="Q1072" s="342">
        <f>IFERROR(VLOOKUP($G1072,融外自投!$A:$J,8,0),"無")</f>
        <v>1300</v>
      </c>
      <c r="R1072" s="81" t="str">
        <f>IFERROR(VLOOKUP($G1072,融外自投!$A:$J,10,0),"無")</f>
        <v>無</v>
      </c>
      <c r="S1072" s="324">
        <f>IFERROR(VLOOKUP($G1072,'321買'!$A:$E,4,0),"'沒有資料'")</f>
        <v>411</v>
      </c>
      <c r="T1072" s="186">
        <f>IFERROR(VLOOKUP($G1072,基本資料!$A:$J,9,0),"無")</f>
        <v>1.5</v>
      </c>
      <c r="U1072" s="307">
        <f t="shared" si="187"/>
        <v>5.6603773584905662E-2</v>
      </c>
      <c r="V1072" s="94">
        <f>IFERROR(VLOOKUP($G1072,基本資料!$A:$J,10,0),"無")</f>
        <v>2.42</v>
      </c>
      <c r="W1072" s="36">
        <f>RTD("money.excel",,"3114","Price")</f>
        <v>26.5</v>
      </c>
      <c r="X1072" s="66"/>
      <c r="Y1072" s="15">
        <f t="shared" si="188"/>
        <v>26.5</v>
      </c>
      <c r="Z1072" s="3" t="e">
        <f t="shared" si="189"/>
        <v>#DIV/0!</v>
      </c>
      <c r="AA1072" s="340">
        <f>IFERROR(VLOOKUP($G1072,基本資料!$A:$M,11,0),"無")</f>
        <v>-38.369999999999997</v>
      </c>
      <c r="AB1072" s="389">
        <f>IFERROR(VLOOKUP($G1072,基本資料!$A:$M,12,0),"無")</f>
        <v>45.68</v>
      </c>
      <c r="AC1072" s="16" t="s">
        <v>4540</v>
      </c>
      <c r="AF1072" s="33">
        <f t="shared" si="190"/>
        <v>0</v>
      </c>
      <c r="AG1072" s="43" t="s">
        <v>4541</v>
      </c>
      <c r="AH1072" s="66">
        <f t="shared" si="192"/>
        <v>1.8475904618976153</v>
      </c>
      <c r="AI1072" s="283">
        <f>RTD("money.excel",,$G1072,"PredictVolume")</f>
        <v>554</v>
      </c>
      <c r="AJ1072" s="391">
        <f>IFERROR(VLOOKUP($G1072,基本資料!$A:$M,13,0),"無")</f>
        <v>299.85000000000002</v>
      </c>
      <c r="AR1072" s="245" t="str">
        <f>INDEX(基本資料!N:N,MATCH($G1072,基本資料!A:A,0))</f>
        <v>低</v>
      </c>
    </row>
    <row r="1073" spans="1:44">
      <c r="A1073" s="343">
        <f>IFERROR(VLOOKUP($G1073,基本資料!$A:$J,3,0),"無")</f>
        <v>4.3600000000000003</v>
      </c>
      <c r="B1073" s="79">
        <f>IFERROR(VLOOKUP($G1073,基本資料!$A:$J,4,0),"無")</f>
        <v>67</v>
      </c>
      <c r="C1073" s="79">
        <f>IFERROR(VLOOKUP($G1073,基本資料!$A:$J,5,0),"無")</f>
        <v>33</v>
      </c>
      <c r="D1073" s="79">
        <f>IFERROR(VLOOKUP($G1073,基本資料!$A:$J,6,0),"無")</f>
        <v>-100</v>
      </c>
      <c r="E1073" s="79">
        <f>IFERROR(VLOOKUP($G1073,基本資料!$A:$J,7,0),"無")</f>
        <v>-100</v>
      </c>
      <c r="F1073" s="6">
        <f>IFERROR(VLOOKUP($G1073,基本資料!$A:$J,8,0),"無")</f>
        <v>-2.4900000000000002</v>
      </c>
      <c r="G1073" s="79">
        <v>3115</v>
      </c>
      <c r="H1073" s="8" t="s">
        <v>308</v>
      </c>
      <c r="I1073" s="16" t="s">
        <v>4542</v>
      </c>
      <c r="J1073" s="8" t="str">
        <f>IFERROR(VLOOKUP($G1073,今日總結!$A:$AN,39,0),"")</f>
        <v/>
      </c>
      <c r="K1073" s="5" t="str">
        <f>IFERROR(VLOOKUP($G1073,今日總結!$A:$AN,40,0),"")</f>
        <v/>
      </c>
      <c r="L1073" s="156" t="str">
        <f>IFERROR(VLOOKUP($G1073,今日總結!$A:$AN,37,0),"")</f>
        <v/>
      </c>
      <c r="M1073" s="337" t="str">
        <f>IFERROR(VLOOKUP($G1073,今日總結!$A:$AN,38,0),"")</f>
        <v/>
      </c>
      <c r="N1073" s="240" t="str">
        <f t="shared" si="191"/>
        <v/>
      </c>
      <c r="O1073" s="359" t="str">
        <f>IFERROR(VLOOKUP($G1073,融外自投!$A:$J,7,0),"無")</f>
        <v>無</v>
      </c>
      <c r="P1073" s="79" t="str">
        <f>IFERROR(VLOOKUP($G1073,融外自投!$A:$J,9,0),"無")</f>
        <v>無</v>
      </c>
      <c r="Q1073" s="342" t="str">
        <f>IFERROR(VLOOKUP($G1073,融外自投!$A:$J,8,0),"無")</f>
        <v>無</v>
      </c>
      <c r="R1073" s="81" t="str">
        <f>IFERROR(VLOOKUP($G1073,融外自投!$A:$J,10,0),"無")</f>
        <v>無</v>
      </c>
      <c r="S1073" s="324" t="str">
        <f>IFERROR(VLOOKUP($G1073,'321買'!$A:$E,4,0),"'沒有資料'")</f>
        <v>'沒有資料'</v>
      </c>
      <c r="T1073" s="186">
        <f>IFERROR(VLOOKUP($G1073,基本資料!$A:$J,9,0),"無")</f>
        <v>0</v>
      </c>
      <c r="U1073" s="307">
        <f t="shared" si="187"/>
        <v>0</v>
      </c>
      <c r="V1073" s="94">
        <f>IFERROR(VLOOKUP($G1073,基本資料!$A:$J,10,0),"無")</f>
        <v>-0.33</v>
      </c>
      <c r="W1073" s="36">
        <f>RTD("money.excel",,"3115","Price")</f>
        <v>11.35</v>
      </c>
      <c r="X1073" s="66"/>
      <c r="Y1073" s="15">
        <f t="shared" si="188"/>
        <v>11.35</v>
      </c>
      <c r="Z1073" s="3" t="e">
        <f t="shared" si="189"/>
        <v>#DIV/0!</v>
      </c>
      <c r="AA1073" s="340">
        <f>IFERROR(VLOOKUP($G1073,基本資料!$A:$M,11,0),"無")</f>
        <v>-32.24</v>
      </c>
      <c r="AB1073" s="389">
        <f>IFERROR(VLOOKUP($G1073,基本資料!$A:$M,12,0),"無")</f>
        <v>13.38</v>
      </c>
      <c r="AC1073" s="16" t="s">
        <v>4542</v>
      </c>
      <c r="AF1073" s="33">
        <f t="shared" si="190"/>
        <v>0</v>
      </c>
      <c r="AG1073" s="43" t="s">
        <v>4543</v>
      </c>
      <c r="AH1073" s="66">
        <f t="shared" si="192"/>
        <v>0.40677966101694918</v>
      </c>
      <c r="AI1073" s="283">
        <f>RTD("money.excel",,$G1073,"PredictVolume")</f>
        <v>6</v>
      </c>
      <c r="AJ1073" s="391">
        <f>IFERROR(VLOOKUP($G1073,基本資料!$A:$M,13,0),"無")</f>
        <v>14.75</v>
      </c>
      <c r="AR1073" s="245" t="str">
        <f>INDEX(基本資料!N:N,MATCH($G1073,基本資料!A:A,0))</f>
        <v>低</v>
      </c>
    </row>
    <row r="1074" spans="1:44">
      <c r="A1074" s="343">
        <f>IFERROR(VLOOKUP($G1074,基本資料!$A:$J,3,0),"無")</f>
        <v>8.7100000000000009</v>
      </c>
      <c r="B1074" s="79">
        <f>IFERROR(VLOOKUP($G1074,基本資料!$A:$J,4,0),"無")</f>
        <v>81</v>
      </c>
      <c r="C1074" s="79">
        <f>IFERROR(VLOOKUP($G1074,基本資料!$A:$J,5,0),"無")</f>
        <v>79</v>
      </c>
      <c r="D1074" s="79">
        <f>IFERROR(VLOOKUP($G1074,基本資料!$A:$J,6,0),"無")</f>
        <v>41</v>
      </c>
      <c r="E1074" s="79">
        <f>IFERROR(VLOOKUP($G1074,基本資料!$A:$J,7,0),"無")</f>
        <v>22</v>
      </c>
      <c r="F1074" s="6">
        <f>IFERROR(VLOOKUP($G1074,基本資料!$A:$J,8,0),"無")</f>
        <v>-6.13</v>
      </c>
      <c r="G1074" s="79">
        <v>3191</v>
      </c>
      <c r="H1074" s="8" t="s">
        <v>308</v>
      </c>
      <c r="I1074" s="16" t="s">
        <v>4544</v>
      </c>
      <c r="J1074" s="8" t="str">
        <f>IFERROR(VLOOKUP($G1074,今日總結!$A:$AN,39,0),"")</f>
        <v/>
      </c>
      <c r="K1074" s="5" t="str">
        <f>IFERROR(VLOOKUP($G1074,今日總結!$A:$AN,40,0),"")</f>
        <v/>
      </c>
      <c r="L1074" s="156" t="str">
        <f>IFERROR(VLOOKUP($G1074,今日總結!$A:$AN,37,0),"")</f>
        <v/>
      </c>
      <c r="M1074" s="337" t="str">
        <f>IFERROR(VLOOKUP($G1074,今日總結!$A:$AN,38,0),"")</f>
        <v/>
      </c>
      <c r="N1074" s="240" t="str">
        <f t="shared" si="191"/>
        <v/>
      </c>
      <c r="O1074" s="359" t="str">
        <f>IFERROR(VLOOKUP($G1074,融外自投!$A:$J,7,0),"無")</f>
        <v>無</v>
      </c>
      <c r="P1074" s="79" t="str">
        <f>IFERROR(VLOOKUP($G1074,融外自投!$A:$J,9,0),"無")</f>
        <v>無</v>
      </c>
      <c r="Q1074" s="342" t="str">
        <f>IFERROR(VLOOKUP($G1074,融外自投!$A:$J,8,0),"無")</f>
        <v>無</v>
      </c>
      <c r="R1074" s="81" t="str">
        <f>IFERROR(VLOOKUP($G1074,融外自投!$A:$J,10,0),"無")</f>
        <v>無</v>
      </c>
      <c r="S1074" s="324" t="str">
        <f>IFERROR(VLOOKUP($G1074,'321買'!$A:$E,4,0),"'沒有資料'")</f>
        <v>'沒有資料'</v>
      </c>
      <c r="T1074" s="186">
        <f>IFERROR(VLOOKUP($G1074,基本資料!$A:$J,9,0),"無")</f>
        <v>0</v>
      </c>
      <c r="U1074" s="307">
        <f t="shared" si="187"/>
        <v>0</v>
      </c>
      <c r="V1074" s="94">
        <f>IFERROR(VLOOKUP($G1074,基本資料!$A:$J,10,0),"無")</f>
        <v>-0.59</v>
      </c>
      <c r="W1074" s="36">
        <f>RTD("money.excel",,"3191","Price")</f>
        <v>9.3000000000000007</v>
      </c>
      <c r="X1074" s="66"/>
      <c r="Y1074" s="15">
        <f t="shared" si="188"/>
        <v>9.3000000000000007</v>
      </c>
      <c r="Z1074" s="3" t="e">
        <f t="shared" si="189"/>
        <v>#DIV/0!</v>
      </c>
      <c r="AA1074" s="340">
        <f>IFERROR(VLOOKUP($G1074,基本資料!$A:$M,11,0),"無")</f>
        <v>-25.6</v>
      </c>
      <c r="AB1074" s="389">
        <f>IFERROR(VLOOKUP($G1074,基本資料!$A:$M,12,0),"無")</f>
        <v>29.8</v>
      </c>
      <c r="AC1074" s="16" t="s">
        <v>4544</v>
      </c>
      <c r="AF1074" s="33">
        <f t="shared" si="190"/>
        <v>0</v>
      </c>
      <c r="AG1074" s="43" t="s">
        <v>4545</v>
      </c>
      <c r="AH1074" s="66">
        <f t="shared" si="192"/>
        <v>0.74168797953964194</v>
      </c>
      <c r="AI1074" s="283">
        <f>RTD("money.excel",,$G1074,"PredictVolume")</f>
        <v>29</v>
      </c>
      <c r="AJ1074" s="391">
        <f>IFERROR(VLOOKUP($G1074,基本資料!$A:$M,13,0),"無")</f>
        <v>39.1</v>
      </c>
      <c r="AR1074" s="245" t="str">
        <f>INDEX(基本資料!N:N,MATCH($G1074,基本資料!A:A,0))</f>
        <v>中</v>
      </c>
    </row>
    <row r="1075" spans="1:44">
      <c r="A1075" s="343">
        <f>IFERROR(VLOOKUP($G1075,基本資料!$A:$J,3,0),"無")</f>
        <v>11.71</v>
      </c>
      <c r="B1075" s="79">
        <f>IFERROR(VLOOKUP($G1075,基本資料!$A:$J,4,0),"無")</f>
        <v>690</v>
      </c>
      <c r="C1075" s="79">
        <f>IFERROR(VLOOKUP($G1075,基本資料!$A:$J,5,0),"無")</f>
        <v>-52</v>
      </c>
      <c r="D1075" s="79">
        <f>IFERROR(VLOOKUP($G1075,基本資料!$A:$J,6,0),"無")</f>
        <v>-22</v>
      </c>
      <c r="E1075" s="79">
        <f>IFERROR(VLOOKUP($G1075,基本資料!$A:$J,7,0),"無")</f>
        <v>-24</v>
      </c>
      <c r="F1075" s="6">
        <f>IFERROR(VLOOKUP($G1075,基本資料!$A:$J,8,0),"無")</f>
        <v>1.21</v>
      </c>
      <c r="G1075" s="79">
        <v>3202</v>
      </c>
      <c r="H1075" s="8" t="s">
        <v>308</v>
      </c>
      <c r="I1075" s="16" t="s">
        <v>4546</v>
      </c>
      <c r="J1075" s="8">
        <f>IFERROR(VLOOKUP($G1075,今日總結!$A:$AN,39,0),"")</f>
        <v>0</v>
      </c>
      <c r="K1075" s="5">
        <f>IFERROR(VLOOKUP($G1075,今日總結!$A:$AN,40,0),"")</f>
        <v>0</v>
      </c>
      <c r="L1075" s="156">
        <f>IFERROR(VLOOKUP($G1075,今日總結!$A:$AN,37,0),"")</f>
        <v>0</v>
      </c>
      <c r="M1075" s="337">
        <f>IFERROR(VLOOKUP($G1075,今日總結!$A:$AN,38,0),"")</f>
        <v>0</v>
      </c>
      <c r="N1075" s="240">
        <f t="shared" si="191"/>
        <v>0</v>
      </c>
      <c r="O1075" s="359" t="str">
        <f>IFERROR(VLOOKUP($G1075,融外自投!$A:$J,7,0),"無")</f>
        <v>無</v>
      </c>
      <c r="P1075" s="79" t="str">
        <f>IFERROR(VLOOKUP($G1075,融外自投!$A:$J,9,0),"無")</f>
        <v>無</v>
      </c>
      <c r="Q1075" s="342" t="str">
        <f>IFERROR(VLOOKUP($G1075,融外自投!$A:$J,8,0),"無")</f>
        <v>無</v>
      </c>
      <c r="R1075" s="81" t="str">
        <f>IFERROR(VLOOKUP($G1075,融外自投!$A:$J,10,0),"無")</f>
        <v>無</v>
      </c>
      <c r="S1075" s="324">
        <f>IFERROR(VLOOKUP($G1075,'321買'!$A:$E,4,0),"'沒有資料'")</f>
        <v>801</v>
      </c>
      <c r="T1075" s="186">
        <f>IFERROR(VLOOKUP($G1075,基本資料!$A:$J,9,0),"無")</f>
        <v>0</v>
      </c>
      <c r="U1075" s="307">
        <f t="shared" si="187"/>
        <v>0</v>
      </c>
      <c r="V1075" s="94">
        <f>IFERROR(VLOOKUP($G1075,基本資料!$A:$J,10,0),"無")</f>
        <v>0.31</v>
      </c>
      <c r="W1075" s="36">
        <f>RTD("money.excel",,"3202","Price")</f>
        <v>13.7</v>
      </c>
      <c r="X1075" s="66"/>
      <c r="Y1075" s="15">
        <f t="shared" si="188"/>
        <v>13.7</v>
      </c>
      <c r="Z1075" s="3" t="e">
        <f t="shared" si="189"/>
        <v>#DIV/0!</v>
      </c>
      <c r="AA1075" s="340">
        <f>IFERROR(VLOOKUP($G1075,基本資料!$A:$M,11,0),"無")</f>
        <v>-35.979999999999997</v>
      </c>
      <c r="AB1075" s="389">
        <f>IFERROR(VLOOKUP($G1075,基本資料!$A:$M,12,0),"無")</f>
        <v>13.29</v>
      </c>
      <c r="AC1075" s="16" t="s">
        <v>4546</v>
      </c>
      <c r="AF1075" s="33">
        <f t="shared" si="190"/>
        <v>0</v>
      </c>
      <c r="AG1075" s="43" t="s">
        <v>4547</v>
      </c>
      <c r="AH1075" s="66">
        <f t="shared" si="192"/>
        <v>0.30987581312832646</v>
      </c>
      <c r="AI1075" s="283">
        <f>RTD("money.excel",,$G1075,"PredictVolume")</f>
        <v>131</v>
      </c>
      <c r="AJ1075" s="391">
        <f>IFERROR(VLOOKUP($G1075,基本資料!$A:$M,13,0),"無")</f>
        <v>422.75</v>
      </c>
      <c r="AR1075" s="245" t="str">
        <f>INDEX(基本資料!N:N,MATCH($G1075,基本資料!A:A,0))</f>
        <v>低</v>
      </c>
    </row>
    <row r="1076" spans="1:44">
      <c r="A1076" s="343">
        <f>IFERROR(VLOOKUP($G1076,基本資料!$A:$J,3,0),"無")</f>
        <v>5.89</v>
      </c>
      <c r="B1076" s="79">
        <f>IFERROR(VLOOKUP($G1076,基本資料!$A:$J,4,0),"無")</f>
        <v>-16</v>
      </c>
      <c r="C1076" s="79">
        <f>IFERROR(VLOOKUP($G1076,基本資料!$A:$J,5,0),"無")</f>
        <v>-31</v>
      </c>
      <c r="D1076" s="79">
        <f>IFERROR(VLOOKUP($G1076,基本資料!$A:$J,6,0),"無")</f>
        <v>1</v>
      </c>
      <c r="E1076" s="79">
        <f>IFERROR(VLOOKUP($G1076,基本資料!$A:$J,7,0),"無")</f>
        <v>-18</v>
      </c>
      <c r="F1076" s="6">
        <f>IFERROR(VLOOKUP($G1076,基本資料!$A:$J,8,0),"無")</f>
        <v>3.34</v>
      </c>
      <c r="G1076" s="79">
        <v>3206</v>
      </c>
      <c r="H1076" s="8" t="s">
        <v>308</v>
      </c>
      <c r="I1076" s="16" t="s">
        <v>4548</v>
      </c>
      <c r="J1076" s="8">
        <f>IFERROR(VLOOKUP($G1076,今日總結!$A:$AN,39,0),"")</f>
        <v>0</v>
      </c>
      <c r="K1076" s="5">
        <f>IFERROR(VLOOKUP($G1076,今日總結!$A:$AN,40,0),"")</f>
        <v>0</v>
      </c>
      <c r="L1076" s="156">
        <f>IFERROR(VLOOKUP($G1076,今日總結!$A:$AN,37,0),"")</f>
        <v>0</v>
      </c>
      <c r="M1076" s="337">
        <f>IFERROR(VLOOKUP($G1076,今日總結!$A:$AN,38,0),"")</f>
        <v>0</v>
      </c>
      <c r="N1076" s="240">
        <f t="shared" si="191"/>
        <v>0</v>
      </c>
      <c r="O1076" s="359">
        <f>IFERROR(VLOOKUP($G1076,融外自投!$A:$J,7,0),"無")</f>
        <v>796</v>
      </c>
      <c r="P1076" s="79" t="str">
        <f>IFERROR(VLOOKUP($G1076,融外自投!$A:$J,9,0),"無")</f>
        <v>無</v>
      </c>
      <c r="Q1076" s="342">
        <f>IFERROR(VLOOKUP($G1076,融外自投!$A:$J,8,0),"無")</f>
        <v>1364</v>
      </c>
      <c r="R1076" s="81" t="str">
        <f>IFERROR(VLOOKUP($G1076,融外自投!$A:$J,10,0),"無")</f>
        <v>無</v>
      </c>
      <c r="S1076" s="324">
        <f>IFERROR(VLOOKUP($G1076,'321買'!$A:$E,4,0),"'沒有資料'")</f>
        <v>891</v>
      </c>
      <c r="T1076" s="186">
        <f>IFERROR(VLOOKUP($G1076,基本資料!$A:$J,9,0),"無")</f>
        <v>1.8</v>
      </c>
      <c r="U1076" s="307">
        <f t="shared" si="187"/>
        <v>6.6055045871559637E-2</v>
      </c>
      <c r="V1076" s="94">
        <f>IFERROR(VLOOKUP($G1076,基本資料!$A:$J,10,0),"無")</f>
        <v>2.39</v>
      </c>
      <c r="W1076" s="36">
        <f>RTD("money.excel",,"3206","Price")</f>
        <v>27.25</v>
      </c>
      <c r="X1076" s="66"/>
      <c r="Y1076" s="15">
        <f t="shared" si="188"/>
        <v>27.25</v>
      </c>
      <c r="Z1076" s="3" t="e">
        <f t="shared" si="189"/>
        <v>#DIV/0!</v>
      </c>
      <c r="AA1076" s="340">
        <f>IFERROR(VLOOKUP($G1076,基本資料!$A:$M,11,0),"無")</f>
        <v>-22.59</v>
      </c>
      <c r="AB1076" s="389">
        <f>IFERROR(VLOOKUP($G1076,基本資料!$A:$M,12,0),"無")</f>
        <v>11.39</v>
      </c>
      <c r="AC1076" s="16" t="s">
        <v>4548</v>
      </c>
      <c r="AF1076" s="33">
        <f t="shared" si="190"/>
        <v>0</v>
      </c>
      <c r="AG1076" s="117" t="s">
        <v>2374</v>
      </c>
      <c r="AH1076" s="66">
        <f t="shared" si="192"/>
        <v>0.38291605301914577</v>
      </c>
      <c r="AI1076" s="283">
        <f>RTD("money.excel",,$G1076,"PredictVolume")</f>
        <v>13</v>
      </c>
      <c r="AJ1076" s="391">
        <f>IFERROR(VLOOKUP($G1076,基本資料!$A:$M,13,0),"無")</f>
        <v>33.950000000000003</v>
      </c>
      <c r="AR1076" s="245" t="str">
        <f>INDEX(基本資料!N:N,MATCH($G1076,基本資料!A:A,0))</f>
        <v>低</v>
      </c>
    </row>
    <row r="1077" spans="1:44">
      <c r="A1077" s="343">
        <f>IFERROR(VLOOKUP($G1077,基本資料!$A:$J,3,0),"無")</f>
        <v>4.37</v>
      </c>
      <c r="B1077" s="79">
        <f>IFERROR(VLOOKUP($G1077,基本資料!$A:$J,4,0),"無")</f>
        <v>247</v>
      </c>
      <c r="C1077" s="79">
        <f>IFERROR(VLOOKUP($G1077,基本資料!$A:$J,5,0),"無")</f>
        <v>117</v>
      </c>
      <c r="D1077" s="79">
        <f>IFERROR(VLOOKUP($G1077,基本資料!$A:$J,6,0),"無")</f>
        <v>15</v>
      </c>
      <c r="E1077" s="79">
        <f>IFERROR(VLOOKUP($G1077,基本資料!$A:$J,7,0),"無")</f>
        <v>36</v>
      </c>
      <c r="F1077" s="6">
        <f>IFERROR(VLOOKUP($G1077,基本資料!$A:$J,8,0),"無")</f>
        <v>0.37</v>
      </c>
      <c r="G1077" s="79">
        <v>3207</v>
      </c>
      <c r="H1077" s="8" t="s">
        <v>308</v>
      </c>
      <c r="I1077" s="16" t="s">
        <v>4549</v>
      </c>
      <c r="J1077" s="8">
        <f>IFERROR(VLOOKUP($G1077,今日總結!$A:$AN,39,0),"")</f>
        <v>0</v>
      </c>
      <c r="K1077" s="5">
        <f>IFERROR(VLOOKUP($G1077,今日總結!$A:$AN,40,0),"")</f>
        <v>0</v>
      </c>
      <c r="L1077" s="156">
        <f>IFERROR(VLOOKUP($G1077,今日總結!$A:$AN,37,0),"")</f>
        <v>0</v>
      </c>
      <c r="M1077" s="337">
        <f>IFERROR(VLOOKUP($G1077,今日總結!$A:$AN,38,0),"")</f>
        <v>0</v>
      </c>
      <c r="N1077" s="240">
        <f t="shared" si="191"/>
        <v>0</v>
      </c>
      <c r="O1077" s="359">
        <f>IFERROR(VLOOKUP($G1077,融外自投!$A:$J,7,0),"無")</f>
        <v>17</v>
      </c>
      <c r="P1077" s="79" t="str">
        <f>IFERROR(VLOOKUP($G1077,融外自投!$A:$J,9,0),"無")</f>
        <v>無</v>
      </c>
      <c r="Q1077" s="342">
        <f>IFERROR(VLOOKUP($G1077,融外自投!$A:$J,8,0),"無")</f>
        <v>611</v>
      </c>
      <c r="R1077" s="81" t="str">
        <f>IFERROR(VLOOKUP($G1077,融外自投!$A:$J,10,0),"無")</f>
        <v>無</v>
      </c>
      <c r="S1077" s="324">
        <f>IFERROR(VLOOKUP($G1077,'321買'!$A:$E,4,0),"'沒有資料'")</f>
        <v>79</v>
      </c>
      <c r="T1077" s="186">
        <f>IFERROR(VLOOKUP($G1077,基本資料!$A:$J,9,0),"無")</f>
        <v>0</v>
      </c>
      <c r="U1077" s="307">
        <f t="shared" si="187"/>
        <v>0</v>
      </c>
      <c r="V1077" s="94">
        <f>IFERROR(VLOOKUP($G1077,基本資料!$A:$J,10,0),"無")</f>
        <v>0.74</v>
      </c>
      <c r="W1077" s="36">
        <f>RTD("money.excel",,"3207","Price")</f>
        <v>25.75</v>
      </c>
      <c r="X1077" s="66"/>
      <c r="Y1077" s="15">
        <f t="shared" si="188"/>
        <v>25.75</v>
      </c>
      <c r="Z1077" s="3" t="e">
        <f t="shared" si="189"/>
        <v>#DIV/0!</v>
      </c>
      <c r="AA1077" s="340">
        <f>IFERROR(VLOOKUP($G1077,基本資料!$A:$M,11,0),"無")</f>
        <v>-15.02</v>
      </c>
      <c r="AB1077" s="389">
        <f>IFERROR(VLOOKUP($G1077,基本資料!$A:$M,12,0),"無")</f>
        <v>57.88</v>
      </c>
      <c r="AC1077" s="16" t="s">
        <v>4549</v>
      </c>
      <c r="AF1077" s="33">
        <f t="shared" si="190"/>
        <v>0</v>
      </c>
      <c r="AG1077" s="43" t="s">
        <v>4550</v>
      </c>
      <c r="AH1077" s="66">
        <f t="shared" si="192"/>
        <v>0.39951937518774405</v>
      </c>
      <c r="AI1077" s="283">
        <f>RTD("money.excel",,$G1077,"PredictVolume")</f>
        <v>665</v>
      </c>
      <c r="AJ1077" s="391">
        <f>IFERROR(VLOOKUP($G1077,基本資料!$A:$M,13,0),"無")</f>
        <v>1664.5</v>
      </c>
      <c r="AR1077" s="245" t="str">
        <f>INDEX(基本資料!N:N,MATCH($G1077,基本資料!A:A,0))</f>
        <v>高</v>
      </c>
    </row>
    <row r="1078" spans="1:44">
      <c r="A1078" s="343">
        <f>IFERROR(VLOOKUP($G1078,基本資料!$A:$J,3,0),"無")</f>
        <v>9.01</v>
      </c>
      <c r="B1078" s="79">
        <f>IFERROR(VLOOKUP($G1078,基本資料!$A:$J,4,0),"無")</f>
        <v>4</v>
      </c>
      <c r="C1078" s="79">
        <f>IFERROR(VLOOKUP($G1078,基本資料!$A:$J,5,0),"無")</f>
        <v>0</v>
      </c>
      <c r="D1078" s="79">
        <f>IFERROR(VLOOKUP($G1078,基本資料!$A:$J,6,0),"無")</f>
        <v>-37</v>
      </c>
      <c r="E1078" s="79">
        <f>IFERROR(VLOOKUP($G1078,基本資料!$A:$J,7,0),"無")</f>
        <v>-29</v>
      </c>
      <c r="F1078" s="6">
        <f>IFERROR(VLOOKUP($G1078,基本資料!$A:$J,8,0),"無")</f>
        <v>26.02</v>
      </c>
      <c r="G1078" s="79">
        <v>3217</v>
      </c>
      <c r="H1078" s="8" t="s">
        <v>308</v>
      </c>
      <c r="I1078" s="16" t="s">
        <v>402</v>
      </c>
      <c r="J1078" s="8" t="str">
        <f>IFERROR(VLOOKUP($G1078,今日總結!$A:$AN,39,0),"")</f>
        <v>外</v>
      </c>
      <c r="K1078" s="5" t="str">
        <f>IFERROR(VLOOKUP($G1078,今日總結!$A:$AN,40,0),"")</f>
        <v>融</v>
      </c>
      <c r="L1078" s="156">
        <f>IFERROR(VLOOKUP($G1078,今日總結!$A:$AN,37,0),"")</f>
        <v>1</v>
      </c>
      <c r="M1078" s="337">
        <f>IFERROR(VLOOKUP($G1078,今日總結!$A:$AN,38,0),"")</f>
        <v>1</v>
      </c>
      <c r="N1078" s="240">
        <f t="shared" si="191"/>
        <v>0</v>
      </c>
      <c r="O1078" s="359">
        <f>IFERROR(VLOOKUP($G1078,融外自投!$A:$J,7,0),"無")</f>
        <v>452</v>
      </c>
      <c r="P1078" s="79">
        <f>IFERROR(VLOOKUP($G1078,融外自投!$A:$J,9,0),"無")</f>
        <v>790</v>
      </c>
      <c r="Q1078" s="342">
        <f>IFERROR(VLOOKUP($G1078,融外自投!$A:$J,8,0),"無")</f>
        <v>809</v>
      </c>
      <c r="R1078" s="81">
        <f>IFERROR(VLOOKUP($G1078,融外自投!$A:$J,10,0),"無")</f>
        <v>80</v>
      </c>
      <c r="S1078" s="324">
        <f>IFERROR(VLOOKUP($G1078,'321買'!$A:$E,4,0),"'沒有資料'")</f>
        <v>144</v>
      </c>
      <c r="T1078" s="186">
        <f>IFERROR(VLOOKUP($G1078,基本資料!$A:$J,9,0),"無")</f>
        <v>5.6</v>
      </c>
      <c r="U1078" s="307">
        <f t="shared" si="187"/>
        <v>6.3564131668558455E-2</v>
      </c>
      <c r="V1078" s="94">
        <f>IFERROR(VLOOKUP($G1078,基本資料!$A:$J,10,0),"無")</f>
        <v>7.11</v>
      </c>
      <c r="W1078" s="36">
        <f>RTD("money.excel",,"3217","Price")</f>
        <v>88.1</v>
      </c>
      <c r="X1078" s="66"/>
      <c r="Y1078" s="15">
        <f t="shared" si="188"/>
        <v>88.1</v>
      </c>
      <c r="Z1078" s="3" t="e">
        <f t="shared" si="189"/>
        <v>#DIV/0!</v>
      </c>
      <c r="AA1078" s="340">
        <f>IFERROR(VLOOKUP($G1078,基本資料!$A:$M,11,0),"無")</f>
        <v>-41.27</v>
      </c>
      <c r="AB1078" s="389">
        <f>IFERROR(VLOOKUP($G1078,基本資料!$A:$M,12,0),"無")</f>
        <v>12.62</v>
      </c>
      <c r="AC1078" s="16" t="s">
        <v>402</v>
      </c>
      <c r="AF1078" s="33">
        <f t="shared" si="190"/>
        <v>0</v>
      </c>
      <c r="AG1078" s="43" t="s">
        <v>4552</v>
      </c>
      <c r="AH1078" s="66">
        <f t="shared" si="192"/>
        <v>0.91190845154368816</v>
      </c>
      <c r="AI1078" s="283">
        <f>RTD("money.excel",,$G1078,"PredictVolume")</f>
        <v>765</v>
      </c>
      <c r="AJ1078" s="391">
        <f>IFERROR(VLOOKUP($G1078,基本資料!$A:$M,13,0),"無")</f>
        <v>838.9</v>
      </c>
      <c r="AR1078" s="245" t="str">
        <f>INDEX(基本資料!N:N,MATCH($G1078,基本資料!A:A,0))</f>
        <v>低</v>
      </c>
    </row>
    <row r="1079" spans="1:44">
      <c r="A1079" s="343">
        <f>IFERROR(VLOOKUP($G1079,基本資料!$A:$J,3,0),"無")</f>
        <v>6.42</v>
      </c>
      <c r="B1079" s="79">
        <f>IFERROR(VLOOKUP($G1079,基本資料!$A:$J,4,0),"無")</f>
        <v>71</v>
      </c>
      <c r="C1079" s="79">
        <f>IFERROR(VLOOKUP($G1079,基本資料!$A:$J,5,0),"無")</f>
        <v>65</v>
      </c>
      <c r="D1079" s="79">
        <f>IFERROR(VLOOKUP($G1079,基本資料!$A:$J,6,0),"無")</f>
        <v>43</v>
      </c>
      <c r="E1079" s="79">
        <f>IFERROR(VLOOKUP($G1079,基本資料!$A:$J,7,0),"無")</f>
        <v>45</v>
      </c>
      <c r="F1079" s="6">
        <f>IFERROR(VLOOKUP($G1079,基本資料!$A:$J,8,0),"無")</f>
        <v>-13.64</v>
      </c>
      <c r="G1079" s="79">
        <v>3229</v>
      </c>
      <c r="H1079" s="8" t="s">
        <v>308</v>
      </c>
      <c r="I1079" s="22" t="s">
        <v>4553</v>
      </c>
      <c r="J1079" s="8" t="str">
        <f>IFERROR(VLOOKUP($G1079,今日總結!$A:$AN,39,0),"")</f>
        <v/>
      </c>
      <c r="K1079" s="5" t="str">
        <f>IFERROR(VLOOKUP($G1079,今日總結!$A:$AN,40,0),"")</f>
        <v/>
      </c>
      <c r="L1079" s="156" t="str">
        <f>IFERROR(VLOOKUP($G1079,今日總結!$A:$AN,37,0),"")</f>
        <v/>
      </c>
      <c r="M1079" s="337" t="str">
        <f>IFERROR(VLOOKUP($G1079,今日總結!$A:$AN,38,0),"")</f>
        <v/>
      </c>
      <c r="N1079" s="240" t="str">
        <f t="shared" si="191"/>
        <v/>
      </c>
      <c r="O1079" s="359" t="str">
        <f>IFERROR(VLOOKUP($G1079,融外自投!$A:$J,7,0),"無")</f>
        <v>無</v>
      </c>
      <c r="P1079" s="79" t="str">
        <f>IFERROR(VLOOKUP($G1079,融外自投!$A:$J,9,0),"無")</f>
        <v>無</v>
      </c>
      <c r="Q1079" s="342" t="str">
        <f>IFERROR(VLOOKUP($G1079,融外自投!$A:$J,8,0),"無")</f>
        <v>無</v>
      </c>
      <c r="R1079" s="81" t="str">
        <f>IFERROR(VLOOKUP($G1079,融外自投!$A:$J,10,0),"無")</f>
        <v>無</v>
      </c>
      <c r="S1079" s="324" t="str">
        <f>IFERROR(VLOOKUP($G1079,'321買'!$A:$E,4,0),"'沒有資料'")</f>
        <v>'沒有資料'</v>
      </c>
      <c r="T1079" s="186">
        <f>IFERROR(VLOOKUP($G1079,基本資料!$A:$J,9,0),"無")</f>
        <v>0</v>
      </c>
      <c r="U1079" s="307">
        <f t="shared" si="187"/>
        <v>0</v>
      </c>
      <c r="V1079" s="94">
        <f>IFERROR(VLOOKUP($G1079,基本資料!$A:$J,10,0),"無")</f>
        <v>-1.72</v>
      </c>
      <c r="W1079" s="36">
        <f>RTD("money.excel",,"3229","Price")</f>
        <v>20</v>
      </c>
      <c r="X1079" s="66"/>
      <c r="Y1079" s="15">
        <f t="shared" si="188"/>
        <v>20</v>
      </c>
      <c r="Z1079" s="3" t="e">
        <f t="shared" si="189"/>
        <v>#DIV/0!</v>
      </c>
      <c r="AA1079" s="340">
        <f>IFERROR(VLOOKUP($G1079,基本資料!$A:$M,11,0),"無")</f>
        <v>-19.52</v>
      </c>
      <c r="AB1079" s="389">
        <f>IFERROR(VLOOKUP($G1079,基本資料!$A:$M,12,0),"無")</f>
        <v>48.45</v>
      </c>
      <c r="AC1079" s="22" t="s">
        <v>4553</v>
      </c>
      <c r="AF1079" s="33">
        <f t="shared" si="190"/>
        <v>0</v>
      </c>
      <c r="AG1079" s="43" t="s">
        <v>1043</v>
      </c>
      <c r="AH1079" s="66">
        <f t="shared" si="192"/>
        <v>0.11538461538461539</v>
      </c>
      <c r="AI1079" s="283">
        <f>RTD("money.excel",,$G1079,"PredictVolume")</f>
        <v>3</v>
      </c>
      <c r="AJ1079" s="391">
        <f>IFERROR(VLOOKUP($G1079,基本資料!$A:$M,13,0),"無")</f>
        <v>26</v>
      </c>
      <c r="AR1079" s="245" t="str">
        <f>INDEX(基本資料!N:N,MATCH($G1079,基本資料!A:A,0))</f>
        <v>高</v>
      </c>
    </row>
    <row r="1080" spans="1:44">
      <c r="A1080" s="343">
        <f>IFERROR(VLOOKUP($G1080,基本資料!$A:$J,3,0),"無")</f>
        <v>9.2899999999999991</v>
      </c>
      <c r="B1080" s="79">
        <f>IFERROR(VLOOKUP($G1080,基本資料!$A:$J,4,0),"無")</f>
        <v>28</v>
      </c>
      <c r="C1080" s="79">
        <f>IFERROR(VLOOKUP($G1080,基本資料!$A:$J,5,0),"無")</f>
        <v>46</v>
      </c>
      <c r="D1080" s="79">
        <f>IFERROR(VLOOKUP($G1080,基本資料!$A:$J,6,0),"無")</f>
        <v>-14</v>
      </c>
      <c r="E1080" s="79">
        <f>IFERROR(VLOOKUP($G1080,基本資料!$A:$J,7,0),"無")</f>
        <v>20</v>
      </c>
      <c r="F1080" s="6">
        <f>IFERROR(VLOOKUP($G1080,基本資料!$A:$J,8,0),"無")</f>
        <v>5.99</v>
      </c>
      <c r="G1080" s="79">
        <v>3236</v>
      </c>
      <c r="H1080" s="8" t="s">
        <v>308</v>
      </c>
      <c r="I1080" s="16" t="s">
        <v>4554</v>
      </c>
      <c r="J1080" s="8">
        <f>IFERROR(VLOOKUP($G1080,今日總結!$A:$AN,39,0),"")</f>
        <v>0</v>
      </c>
      <c r="K1080" s="5" t="str">
        <f>IFERROR(VLOOKUP($G1080,今日總結!$A:$AN,40,0),"")</f>
        <v>融</v>
      </c>
      <c r="L1080" s="156">
        <f>IFERROR(VLOOKUP($G1080,今日總結!$A:$AN,37,0),"")</f>
        <v>0</v>
      </c>
      <c r="M1080" s="337">
        <f>IFERROR(VLOOKUP($G1080,今日總結!$A:$AN,38,0),"")</f>
        <v>3</v>
      </c>
      <c r="N1080" s="240">
        <f t="shared" si="191"/>
        <v>-3</v>
      </c>
      <c r="O1080" s="359">
        <f>IFERROR(VLOOKUP($G1080,融外自投!$A:$J,7,0),"無")</f>
        <v>447</v>
      </c>
      <c r="P1080" s="79" t="str">
        <f>IFERROR(VLOOKUP($G1080,融外自投!$A:$J,9,0),"無")</f>
        <v>無</v>
      </c>
      <c r="Q1080" s="342">
        <f>IFERROR(VLOOKUP($G1080,融外自投!$A:$J,8,0),"無")</f>
        <v>489</v>
      </c>
      <c r="R1080" s="81" t="str">
        <f>IFERROR(VLOOKUP($G1080,融外自投!$A:$J,10,0),"無")</f>
        <v>無</v>
      </c>
      <c r="S1080" s="324">
        <f>IFERROR(VLOOKUP($G1080,'321買'!$A:$E,4,0),"'沒有資料'")</f>
        <v>891</v>
      </c>
      <c r="T1080" s="186">
        <f>IFERROR(VLOOKUP($G1080,基本資料!$A:$J,9,0),"無")</f>
        <v>0.6</v>
      </c>
      <c r="U1080" s="307">
        <f t="shared" si="187"/>
        <v>2.7649769585253454E-2</v>
      </c>
      <c r="V1080" s="94">
        <f>IFERROR(VLOOKUP($G1080,基本資料!$A:$J,10,0),"無")</f>
        <v>1.02</v>
      </c>
      <c r="W1080" s="36">
        <f>RTD("money.excel",,"3236","Price")</f>
        <v>21.7</v>
      </c>
      <c r="X1080" s="66"/>
      <c r="Y1080" s="15">
        <f t="shared" si="188"/>
        <v>21.7</v>
      </c>
      <c r="Z1080" s="3" t="e">
        <f t="shared" si="189"/>
        <v>#DIV/0!</v>
      </c>
      <c r="AA1080" s="340">
        <f>IFERROR(VLOOKUP($G1080,基本資料!$A:$M,11,0),"無")</f>
        <v>-32.61</v>
      </c>
      <c r="AB1080" s="389">
        <f>IFERROR(VLOOKUP($G1080,基本資料!$A:$M,12,0),"無")</f>
        <v>22.79</v>
      </c>
      <c r="AC1080" s="16" t="s">
        <v>4554</v>
      </c>
      <c r="AF1080" s="33">
        <f t="shared" si="190"/>
        <v>0</v>
      </c>
      <c r="AG1080" s="43" t="s">
        <v>2375</v>
      </c>
      <c r="AH1080" s="66">
        <f t="shared" si="192"/>
        <v>0.71348940914158299</v>
      </c>
      <c r="AI1080" s="283">
        <f>RTD("money.excel",,$G1080,"PredictVolume")</f>
        <v>64</v>
      </c>
      <c r="AJ1080" s="391">
        <f>IFERROR(VLOOKUP($G1080,基本資料!$A:$M,13,0),"無")</f>
        <v>89.7</v>
      </c>
      <c r="AR1080" s="245" t="str">
        <f>INDEX(基本資料!N:N,MATCH($G1080,基本資料!A:A,0))</f>
        <v>低</v>
      </c>
    </row>
    <row r="1081" spans="1:44">
      <c r="A1081" s="343">
        <f>IFERROR(VLOOKUP($G1081,基本資料!$A:$J,3,0),"無")</f>
        <v>6.97</v>
      </c>
      <c r="B1081" s="79">
        <f>IFERROR(VLOOKUP($G1081,基本資料!$A:$J,4,0),"無")</f>
        <v>419</v>
      </c>
      <c r="C1081" s="79">
        <f>IFERROR(VLOOKUP($G1081,基本資料!$A:$J,5,0),"無")</f>
        <v>111</v>
      </c>
      <c r="D1081" s="79">
        <f>IFERROR(VLOOKUP($G1081,基本資料!$A:$J,6,0),"無")</f>
        <v>0</v>
      </c>
      <c r="E1081" s="79">
        <f>IFERROR(VLOOKUP($G1081,基本資料!$A:$J,7,0),"無")</f>
        <v>46</v>
      </c>
      <c r="F1081" s="6">
        <f>IFERROR(VLOOKUP($G1081,基本資料!$A:$J,8,0),"無")</f>
        <v>0.82</v>
      </c>
      <c r="G1081" s="79">
        <v>3276</v>
      </c>
      <c r="H1081" s="8" t="s">
        <v>308</v>
      </c>
      <c r="I1081" s="16" t="s">
        <v>4555</v>
      </c>
      <c r="J1081" s="8">
        <f>IFERROR(VLOOKUP($G1081,今日總結!$A:$AN,39,0),"")</f>
        <v>0</v>
      </c>
      <c r="K1081" s="5">
        <f>IFERROR(VLOOKUP($G1081,今日總結!$A:$AN,40,0),"")</f>
        <v>0</v>
      </c>
      <c r="L1081" s="156">
        <f>IFERROR(VLOOKUP($G1081,今日總結!$A:$AN,37,0),"")</f>
        <v>0</v>
      </c>
      <c r="M1081" s="337">
        <f>IFERROR(VLOOKUP($G1081,今日總結!$A:$AN,38,0),"")</f>
        <v>0</v>
      </c>
      <c r="N1081" s="240">
        <f t="shared" si="191"/>
        <v>0</v>
      </c>
      <c r="O1081" s="359">
        <f>IFERROR(VLOOKUP($G1081,融外自投!$A:$J,7,0),"無")</f>
        <v>241</v>
      </c>
      <c r="P1081" s="79">
        <f>IFERROR(VLOOKUP($G1081,融外自投!$A:$J,9,0),"無")</f>
        <v>1051</v>
      </c>
      <c r="Q1081" s="342">
        <f>IFERROR(VLOOKUP($G1081,融外自投!$A:$J,8,0),"無")</f>
        <v>1320</v>
      </c>
      <c r="R1081" s="81" t="str">
        <f>IFERROR(VLOOKUP($G1081,融外自投!$A:$J,10,0),"無")</f>
        <v>無</v>
      </c>
      <c r="S1081" s="324">
        <f>IFERROR(VLOOKUP($G1081,'321買'!$A:$E,4,0),"'沒有資料'")</f>
        <v>530</v>
      </c>
      <c r="T1081" s="186">
        <f>IFERROR(VLOOKUP($G1081,基本資料!$A:$J,9,0),"無")</f>
        <v>0.4</v>
      </c>
      <c r="U1081" s="307">
        <f t="shared" si="187"/>
        <v>2.4316109422492405E-2</v>
      </c>
      <c r="V1081" s="94">
        <f>IFERROR(VLOOKUP($G1081,基本資料!$A:$J,10,0),"無")</f>
        <v>1.18</v>
      </c>
      <c r="W1081" s="36">
        <f>RTD("money.excel",,"3276","Price")</f>
        <v>16.45</v>
      </c>
      <c r="X1081" s="66"/>
      <c r="Y1081" s="15">
        <f t="shared" si="188"/>
        <v>16.45</v>
      </c>
      <c r="Z1081" s="3" t="e">
        <f t="shared" si="189"/>
        <v>#DIV/0!</v>
      </c>
      <c r="AA1081" s="340">
        <f>IFERROR(VLOOKUP($G1081,基本資料!$A:$M,11,0),"無")</f>
        <v>-25.23</v>
      </c>
      <c r="AB1081" s="389">
        <f>IFERROR(VLOOKUP($G1081,基本資料!$A:$M,12,0),"無")</f>
        <v>27.24</v>
      </c>
      <c r="AC1081" s="16" t="s">
        <v>4555</v>
      </c>
      <c r="AF1081" s="33">
        <f t="shared" si="190"/>
        <v>0</v>
      </c>
      <c r="AG1081" s="43" t="s">
        <v>4556</v>
      </c>
      <c r="AH1081" s="66">
        <f t="shared" si="192"/>
        <v>0.52868189174608882</v>
      </c>
      <c r="AI1081" s="283">
        <f>RTD("money.excel",,$G1081,"PredictVolume")</f>
        <v>147</v>
      </c>
      <c r="AJ1081" s="391">
        <f>IFERROR(VLOOKUP($G1081,基本資料!$A:$M,13,0),"無")</f>
        <v>278.05</v>
      </c>
      <c r="AR1081" s="245" t="str">
        <f>INDEX(基本資料!N:N,MATCH($G1081,基本資料!A:A,0))</f>
        <v>中</v>
      </c>
    </row>
    <row r="1082" spans="1:44">
      <c r="A1082" s="343">
        <f>IFERROR(VLOOKUP($G1082,基本資料!$A:$J,3,0),"無")</f>
        <v>2.2599999999999998</v>
      </c>
      <c r="B1082" s="79">
        <f>IFERROR(VLOOKUP($G1082,基本資料!$A:$J,4,0),"無")</f>
        <v>-317</v>
      </c>
      <c r="C1082" s="79">
        <f>IFERROR(VLOOKUP($G1082,基本資料!$A:$J,5,0),"無")</f>
        <v>-49</v>
      </c>
      <c r="D1082" s="79">
        <f>IFERROR(VLOOKUP($G1082,基本資料!$A:$J,6,0),"無")</f>
        <v>-16</v>
      </c>
      <c r="E1082" s="79">
        <f>IFERROR(VLOOKUP($G1082,基本資料!$A:$J,7,0),"無")</f>
        <v>15</v>
      </c>
      <c r="F1082" s="6">
        <f>IFERROR(VLOOKUP($G1082,基本資料!$A:$J,8,0),"無")</f>
        <v>-29.41</v>
      </c>
      <c r="G1082" s="79">
        <v>3288</v>
      </c>
      <c r="H1082" s="8" t="s">
        <v>308</v>
      </c>
      <c r="I1082" s="16" t="s">
        <v>4557</v>
      </c>
      <c r="J1082" s="8" t="str">
        <f>IFERROR(VLOOKUP($G1082,今日總結!$A:$AN,39,0),"")</f>
        <v/>
      </c>
      <c r="K1082" s="5" t="str">
        <f>IFERROR(VLOOKUP($G1082,今日總結!$A:$AN,40,0),"")</f>
        <v/>
      </c>
      <c r="L1082" s="156" t="str">
        <f>IFERROR(VLOOKUP($G1082,今日總結!$A:$AN,37,0),"")</f>
        <v/>
      </c>
      <c r="M1082" s="337" t="str">
        <f>IFERROR(VLOOKUP($G1082,今日總結!$A:$AN,38,0),"")</f>
        <v/>
      </c>
      <c r="N1082" s="240" t="str">
        <f t="shared" si="191"/>
        <v/>
      </c>
      <c r="O1082" s="359" t="str">
        <f>IFERROR(VLOOKUP($G1082,融外自投!$A:$J,7,0),"無")</f>
        <v>無</v>
      </c>
      <c r="P1082" s="79" t="str">
        <f>IFERROR(VLOOKUP($G1082,融外自投!$A:$J,9,0),"無")</f>
        <v>無</v>
      </c>
      <c r="Q1082" s="342" t="str">
        <f>IFERROR(VLOOKUP($G1082,融外自投!$A:$J,8,0),"無")</f>
        <v>無</v>
      </c>
      <c r="R1082" s="81" t="str">
        <f>IFERROR(VLOOKUP($G1082,融外自投!$A:$J,10,0),"無")</f>
        <v>無</v>
      </c>
      <c r="S1082" s="324" t="str">
        <f>IFERROR(VLOOKUP($G1082,'321買'!$A:$E,4,0),"'沒有資料'")</f>
        <v>'沒有資料'</v>
      </c>
      <c r="T1082" s="186">
        <f>IFERROR(VLOOKUP($G1082,基本資料!$A:$J,9,0),"無")</f>
        <v>0</v>
      </c>
      <c r="U1082" s="307" t="e">
        <f t="shared" si="187"/>
        <v>#VALUE!</v>
      </c>
      <c r="V1082" s="94">
        <f>IFERROR(VLOOKUP($G1082,基本資料!$A:$J,10,0),"無")</f>
        <v>-1.48</v>
      </c>
      <c r="W1082" s="36" t="str">
        <f>RTD("money.excel",,"3288","Price")</f>
        <v>無資料</v>
      </c>
      <c r="X1082" s="66"/>
      <c r="Y1082" s="15" t="e">
        <f t="shared" ref="Y1082:Y1146" si="193">W1082-X1082</f>
        <v>#VALUE!</v>
      </c>
      <c r="Z1082" s="3" t="e">
        <f t="shared" ref="Z1082:Z1146" si="194">Y1082/X1082</f>
        <v>#VALUE!</v>
      </c>
      <c r="AA1082" s="340">
        <f>IFERROR(VLOOKUP($G1082,基本資料!$A:$M,11,0),"無")</f>
        <v>-35.880000000000003</v>
      </c>
      <c r="AB1082" s="389">
        <f>IFERROR(VLOOKUP($G1082,基本資料!$A:$M,12,0),"無")</f>
        <v>31.54</v>
      </c>
      <c r="AC1082" s="16" t="s">
        <v>4557</v>
      </c>
      <c r="AF1082" s="33">
        <f t="shared" ref="AF1082:AF1146" si="195">AE1082-AD1082</f>
        <v>0</v>
      </c>
      <c r="AG1082" s="43" t="s">
        <v>4558</v>
      </c>
      <c r="AH1082" s="66">
        <f t="shared" si="192"/>
        <v>0</v>
      </c>
      <c r="AI1082" s="283">
        <f>RTD("money.excel",,$G1082,"PredictVolume")</f>
        <v>0</v>
      </c>
      <c r="AJ1082" s="391">
        <f>IFERROR(VLOOKUP($G1082,基本資料!$A:$M,13,0),"無")</f>
        <v>24.45</v>
      </c>
      <c r="AR1082" s="245" t="str">
        <f>INDEX(基本資料!N:N,MATCH($G1082,基本資料!A:A,0))</f>
        <v>低</v>
      </c>
    </row>
    <row r="1083" spans="1:44">
      <c r="A1083" s="343">
        <f>IFERROR(VLOOKUP($G1083,基本資料!$A:$J,3,0),"無")</f>
        <v>9.9499999999999993</v>
      </c>
      <c r="B1083" s="79">
        <f>IFERROR(VLOOKUP($G1083,基本資料!$A:$J,4,0),"無")</f>
        <v>25</v>
      </c>
      <c r="C1083" s="79">
        <f>IFERROR(VLOOKUP($G1083,基本資料!$A:$J,5,0),"無")</f>
        <v>-31</v>
      </c>
      <c r="D1083" s="79">
        <f>IFERROR(VLOOKUP($G1083,基本資料!$A:$J,6,0),"無")</f>
        <v>20</v>
      </c>
      <c r="E1083" s="79">
        <f>IFERROR(VLOOKUP($G1083,基本資料!$A:$J,7,0),"無")</f>
        <v>6</v>
      </c>
      <c r="F1083" s="6">
        <f>IFERROR(VLOOKUP($G1083,基本資料!$A:$J,8,0),"無")</f>
        <v>3.94</v>
      </c>
      <c r="G1083" s="79">
        <v>3290</v>
      </c>
      <c r="H1083" s="8" t="s">
        <v>308</v>
      </c>
      <c r="I1083" s="16" t="s">
        <v>4559</v>
      </c>
      <c r="J1083" s="8">
        <f>IFERROR(VLOOKUP($G1083,今日總結!$A:$AN,39,0),"")</f>
        <v>0</v>
      </c>
      <c r="K1083" s="5">
        <f>IFERROR(VLOOKUP($G1083,今日總結!$A:$AN,40,0),"")</f>
        <v>0</v>
      </c>
      <c r="L1083" s="156">
        <f>IFERROR(VLOOKUP($G1083,今日總結!$A:$AN,37,0),"")</f>
        <v>0</v>
      </c>
      <c r="M1083" s="337">
        <f>IFERROR(VLOOKUP($G1083,今日總結!$A:$AN,38,0),"")</f>
        <v>0</v>
      </c>
      <c r="N1083" s="240">
        <f t="shared" si="191"/>
        <v>0</v>
      </c>
      <c r="O1083" s="359">
        <f>IFERROR(VLOOKUP($G1083,融外自投!$A:$J,7,0),"無")</f>
        <v>10</v>
      </c>
      <c r="P1083" s="79" t="str">
        <f>IFERROR(VLOOKUP($G1083,融外自投!$A:$J,9,0),"無")</f>
        <v>無</v>
      </c>
      <c r="Q1083" s="342">
        <f>IFERROR(VLOOKUP($G1083,融外自投!$A:$J,8,0),"無")</f>
        <v>968</v>
      </c>
      <c r="R1083" s="81" t="str">
        <f>IFERROR(VLOOKUP($G1083,融外自投!$A:$J,10,0),"無")</f>
        <v>無</v>
      </c>
      <c r="S1083" s="324">
        <f>IFERROR(VLOOKUP($G1083,'321買'!$A:$E,4,0),"'沒有資料'")</f>
        <v>300</v>
      </c>
      <c r="T1083" s="186">
        <f>IFERROR(VLOOKUP($G1083,基本資料!$A:$J,9,0),"無")</f>
        <v>0.5</v>
      </c>
      <c r="U1083" s="307">
        <f t="shared" si="187"/>
        <v>2.6178010471204185E-2</v>
      </c>
      <c r="V1083" s="94">
        <f>IFERROR(VLOOKUP($G1083,基本資料!$A:$J,10,0),"無")</f>
        <v>0.77</v>
      </c>
      <c r="W1083" s="36">
        <f>RTD("money.excel",,"3290","Price")</f>
        <v>19.100000000000001</v>
      </c>
      <c r="X1083" s="66"/>
      <c r="Y1083" s="15">
        <f t="shared" si="193"/>
        <v>19.100000000000001</v>
      </c>
      <c r="Z1083" s="3" t="e">
        <f t="shared" si="194"/>
        <v>#DIV/0!</v>
      </c>
      <c r="AA1083" s="340">
        <f>IFERROR(VLOOKUP($G1083,基本資料!$A:$M,11,0),"無")</f>
        <v>-32.75</v>
      </c>
      <c r="AB1083" s="389">
        <f>IFERROR(VLOOKUP($G1083,基本資料!$A:$M,12,0),"無")</f>
        <v>26.39</v>
      </c>
      <c r="AC1083" s="16" t="s">
        <v>4559</v>
      </c>
      <c r="AF1083" s="33">
        <f t="shared" si="195"/>
        <v>0</v>
      </c>
      <c r="AG1083" s="43" t="s">
        <v>1969</v>
      </c>
      <c r="AH1083" s="66">
        <f t="shared" si="192"/>
        <v>1.2110311750599521</v>
      </c>
      <c r="AI1083" s="283">
        <f>RTD("money.excel",,$G1083,"PredictVolume")</f>
        <v>303</v>
      </c>
      <c r="AJ1083" s="391">
        <f>IFERROR(VLOOKUP($G1083,基本資料!$A:$M,13,0),"無")</f>
        <v>250.2</v>
      </c>
      <c r="AR1083" s="245" t="str">
        <f>INDEX(基本資料!N:N,MATCH($G1083,基本資料!A:A,0))</f>
        <v>中</v>
      </c>
    </row>
    <row r="1084" spans="1:44">
      <c r="A1084" s="343">
        <f>IFERROR(VLOOKUP($G1084,基本資料!$A:$J,3,0),"無")</f>
        <v>13.2</v>
      </c>
      <c r="B1084" s="79">
        <f>IFERROR(VLOOKUP($G1084,基本資料!$A:$J,4,0),"無")</f>
        <v>-72</v>
      </c>
      <c r="C1084" s="79">
        <f>IFERROR(VLOOKUP($G1084,基本資料!$A:$J,5,0),"無")</f>
        <v>-79</v>
      </c>
      <c r="D1084" s="79">
        <f>IFERROR(VLOOKUP($G1084,基本資料!$A:$J,6,0),"無")</f>
        <v>-73</v>
      </c>
      <c r="E1084" s="79">
        <f>IFERROR(VLOOKUP($G1084,基本資料!$A:$J,7,0),"無")</f>
        <v>-67</v>
      </c>
      <c r="F1084" s="6">
        <f>IFERROR(VLOOKUP($G1084,基本資料!$A:$J,8,0),"無")</f>
        <v>0.85</v>
      </c>
      <c r="G1084" s="79">
        <v>3294</v>
      </c>
      <c r="H1084" s="8" t="s">
        <v>308</v>
      </c>
      <c r="I1084" s="16" t="s">
        <v>4560</v>
      </c>
      <c r="J1084" s="8">
        <f>IFERROR(VLOOKUP($G1084,今日總結!$A:$AN,39,0),"")</f>
        <v>0</v>
      </c>
      <c r="K1084" s="5" t="str">
        <f>IFERROR(VLOOKUP($G1084,今日總結!$A:$AN,40,0),"")</f>
        <v>融</v>
      </c>
      <c r="L1084" s="156">
        <f>IFERROR(VLOOKUP($G1084,今日總結!$A:$AN,37,0),"")</f>
        <v>0</v>
      </c>
      <c r="M1084" s="337">
        <f>IFERROR(VLOOKUP($G1084,今日總結!$A:$AN,38,0),"")</f>
        <v>3</v>
      </c>
      <c r="N1084" s="240">
        <f t="shared" si="191"/>
        <v>-3</v>
      </c>
      <c r="O1084" s="359">
        <f>IFERROR(VLOOKUP($G1084,融外自投!$A:$J,7,0),"無")</f>
        <v>140</v>
      </c>
      <c r="P1084" s="79">
        <f>IFERROR(VLOOKUP($G1084,融外自投!$A:$J,9,0),"無")</f>
        <v>596</v>
      </c>
      <c r="Q1084" s="342">
        <f>IFERROR(VLOOKUP($G1084,融外自投!$A:$J,8,0),"無")</f>
        <v>647</v>
      </c>
      <c r="R1084" s="81" t="str">
        <f>IFERROR(VLOOKUP($G1084,融外自投!$A:$J,10,0),"無")</f>
        <v>無</v>
      </c>
      <c r="S1084" s="324">
        <f>IFERROR(VLOOKUP($G1084,'321買'!$A:$E,4,0),"'沒有資料'")</f>
        <v>366</v>
      </c>
      <c r="T1084" s="186">
        <f>IFERROR(VLOOKUP($G1084,基本資料!$A:$J,9,0),"無")</f>
        <v>0.25</v>
      </c>
      <c r="U1084" s="307">
        <f t="shared" ref="U1084:U1148" si="196">$T1084/$W1084</f>
        <v>1.2755102040816325E-2</v>
      </c>
      <c r="V1084" s="94">
        <f>IFERROR(VLOOKUP($G1084,基本資料!$A:$J,10,0),"無")</f>
        <v>0.18</v>
      </c>
      <c r="W1084" s="36">
        <f>RTD("money.excel",,"3294","Price")</f>
        <v>19.600000000000001</v>
      </c>
      <c r="X1084" s="66"/>
      <c r="Y1084" s="15">
        <f t="shared" si="193"/>
        <v>19.600000000000001</v>
      </c>
      <c r="Z1084" s="3" t="e">
        <f t="shared" si="194"/>
        <v>#DIV/0!</v>
      </c>
      <c r="AA1084" s="340">
        <f>IFERROR(VLOOKUP($G1084,基本資料!$A:$M,11,0),"無")</f>
        <v>-50.94</v>
      </c>
      <c r="AB1084" s="389">
        <f>IFERROR(VLOOKUP($G1084,基本資料!$A:$M,12,0),"無")</f>
        <v>22.37</v>
      </c>
      <c r="AC1084" s="16" t="s">
        <v>4560</v>
      </c>
      <c r="AF1084" s="33">
        <f t="shared" si="195"/>
        <v>0</v>
      </c>
      <c r="AG1084" s="43" t="s">
        <v>4561</v>
      </c>
      <c r="AH1084" s="66">
        <f t="shared" si="192"/>
        <v>0.24107232169650894</v>
      </c>
      <c r="AI1084" s="283">
        <f>RTD("money.excel",,$G1084,"PredictVolume")</f>
        <v>241</v>
      </c>
      <c r="AJ1084" s="391">
        <f>IFERROR(VLOOKUP($G1084,基本資料!$A:$M,13,0),"無")</f>
        <v>999.7</v>
      </c>
      <c r="AR1084" s="245" t="str">
        <f>INDEX(基本資料!N:N,MATCH($G1084,基本資料!A:A,0))</f>
        <v>低</v>
      </c>
    </row>
    <row r="1085" spans="1:44">
      <c r="A1085" s="343">
        <f>IFERROR(VLOOKUP($G1085,基本資料!$A:$J,3,0),"無")</f>
        <v>9.67</v>
      </c>
      <c r="B1085" s="79">
        <f>IFERROR(VLOOKUP($G1085,基本資料!$A:$J,4,0),"無")</f>
        <v>-804</v>
      </c>
      <c r="C1085" s="79">
        <f>IFERROR(VLOOKUP($G1085,基本資料!$A:$J,5,0),"無")</f>
        <v>-493</v>
      </c>
      <c r="D1085" s="79">
        <f>IFERROR(VLOOKUP($G1085,基本資料!$A:$J,6,0),"無")</f>
        <v>63</v>
      </c>
      <c r="E1085" s="79">
        <f>IFERROR(VLOOKUP($G1085,基本資料!$A:$J,7,0),"無")</f>
        <v>-4</v>
      </c>
      <c r="F1085" s="6">
        <f>IFERROR(VLOOKUP($G1085,基本資料!$A:$J,8,0),"無")</f>
        <v>-5.01</v>
      </c>
      <c r="G1085" s="79">
        <v>3296</v>
      </c>
      <c r="H1085" s="8" t="s">
        <v>308</v>
      </c>
      <c r="I1085" s="22" t="s">
        <v>4562</v>
      </c>
      <c r="J1085" s="8">
        <f>IFERROR(VLOOKUP($G1085,今日總結!$A:$AN,39,0),"")</f>
        <v>0</v>
      </c>
      <c r="K1085" s="5">
        <f>IFERROR(VLOOKUP($G1085,今日總結!$A:$AN,40,0),"")</f>
        <v>0</v>
      </c>
      <c r="L1085" s="156">
        <f>IFERROR(VLOOKUP($G1085,今日總結!$A:$AN,37,0),"")</f>
        <v>0</v>
      </c>
      <c r="M1085" s="337">
        <f>IFERROR(VLOOKUP($G1085,今日總結!$A:$AN,38,0),"")</f>
        <v>0</v>
      </c>
      <c r="N1085" s="240">
        <f t="shared" ref="N1085:N1148" si="197">IFERROR(L1085-M1085,"")</f>
        <v>0</v>
      </c>
      <c r="O1085" s="359">
        <f>IFERROR(VLOOKUP($G1085,融外自投!$A:$J,7,0),"無")</f>
        <v>70</v>
      </c>
      <c r="P1085" s="79">
        <f>IFERROR(VLOOKUP($G1085,融外自投!$A:$J,9,0),"無")</f>
        <v>1051</v>
      </c>
      <c r="Q1085" s="342">
        <f>IFERROR(VLOOKUP($G1085,融外自投!$A:$J,8,0),"無")</f>
        <v>1014</v>
      </c>
      <c r="R1085" s="81" t="str">
        <f>IFERROR(VLOOKUP($G1085,融外自投!$A:$J,10,0),"無")</f>
        <v>無</v>
      </c>
      <c r="S1085" s="324">
        <f>IFERROR(VLOOKUP($G1085,'321買'!$A:$E,4,0),"'沒有資料'")</f>
        <v>891</v>
      </c>
      <c r="T1085" s="186">
        <f>IFERROR(VLOOKUP($G1085,基本資料!$A:$J,9,0),"無")</f>
        <v>0</v>
      </c>
      <c r="U1085" s="307">
        <f t="shared" si="196"/>
        <v>0</v>
      </c>
      <c r="V1085" s="94">
        <f>IFERROR(VLOOKUP($G1085,基本資料!$A:$J,10,0),"無")</f>
        <v>-1.64</v>
      </c>
      <c r="W1085" s="36">
        <f>RTD("money.excel",,"3296","Price")</f>
        <v>15.15</v>
      </c>
      <c r="X1085" s="66"/>
      <c r="Y1085" s="15">
        <f t="shared" si="193"/>
        <v>15.15</v>
      </c>
      <c r="Z1085" s="3" t="e">
        <f t="shared" si="194"/>
        <v>#DIV/0!</v>
      </c>
      <c r="AA1085" s="340">
        <f>IFERROR(VLOOKUP($G1085,基本資料!$A:$M,11,0),"無")</f>
        <v>-38.79</v>
      </c>
      <c r="AB1085" s="389">
        <f>IFERROR(VLOOKUP($G1085,基本資料!$A:$M,12,0),"無")</f>
        <v>33.42</v>
      </c>
      <c r="AC1085" s="22" t="s">
        <v>4562</v>
      </c>
      <c r="AF1085" s="33">
        <f t="shared" si="195"/>
        <v>0</v>
      </c>
      <c r="AG1085" s="43" t="s">
        <v>4563</v>
      </c>
      <c r="AH1085" s="66">
        <f t="shared" si="192"/>
        <v>1.0005027652086476</v>
      </c>
      <c r="AI1085" s="283">
        <f>RTD("money.excel",,$G1085,"PredictVolume")</f>
        <v>199</v>
      </c>
      <c r="AJ1085" s="391">
        <f>IFERROR(VLOOKUP($G1085,基本資料!$A:$M,13,0),"無")</f>
        <v>198.9</v>
      </c>
      <c r="AR1085" s="245" t="str">
        <f>INDEX(基本資料!N:N,MATCH($G1085,基本資料!A:A,0))</f>
        <v>低</v>
      </c>
    </row>
    <row r="1086" spans="1:44">
      <c r="A1086" s="343">
        <f>IFERROR(VLOOKUP($G1086,基本資料!$A:$J,3,0),"無")</f>
        <v>7.06</v>
      </c>
      <c r="B1086" s="79">
        <f>IFERROR(VLOOKUP($G1086,基本資料!$A:$J,4,0),"無")</f>
        <v>69</v>
      </c>
      <c r="C1086" s="79">
        <f>IFERROR(VLOOKUP($G1086,基本資料!$A:$J,5,0),"無")</f>
        <v>-3</v>
      </c>
      <c r="D1086" s="79">
        <f>IFERROR(VLOOKUP($G1086,基本資料!$A:$J,6,0),"無")</f>
        <v>-13</v>
      </c>
      <c r="E1086" s="79">
        <f>IFERROR(VLOOKUP($G1086,基本資料!$A:$J,7,0),"無")</f>
        <v>-21</v>
      </c>
      <c r="F1086" s="6">
        <f>IFERROR(VLOOKUP($G1086,基本資料!$A:$J,8,0),"無")</f>
        <v>-16.63</v>
      </c>
      <c r="G1086" s="79">
        <v>3308</v>
      </c>
      <c r="H1086" s="8" t="s">
        <v>308</v>
      </c>
      <c r="I1086" s="22" t="s">
        <v>4564</v>
      </c>
      <c r="J1086" s="8" t="str">
        <f>IFERROR(VLOOKUP($G1086,今日總結!$A:$AN,39,0),"")</f>
        <v/>
      </c>
      <c r="K1086" s="5" t="str">
        <f>IFERROR(VLOOKUP($G1086,今日總結!$A:$AN,40,0),"")</f>
        <v/>
      </c>
      <c r="L1086" s="156" t="str">
        <f>IFERROR(VLOOKUP($G1086,今日總結!$A:$AN,37,0),"")</f>
        <v/>
      </c>
      <c r="M1086" s="337" t="str">
        <f>IFERROR(VLOOKUP($G1086,今日總結!$A:$AN,38,0),"")</f>
        <v/>
      </c>
      <c r="N1086" s="240" t="str">
        <f t="shared" si="197"/>
        <v/>
      </c>
      <c r="O1086" s="359" t="str">
        <f>IFERROR(VLOOKUP($G1086,融外自投!$A:$J,7,0),"無")</f>
        <v>無</v>
      </c>
      <c r="P1086" s="79" t="str">
        <f>IFERROR(VLOOKUP($G1086,融外自投!$A:$J,9,0),"無")</f>
        <v>無</v>
      </c>
      <c r="Q1086" s="342" t="str">
        <f>IFERROR(VLOOKUP($G1086,融外自投!$A:$J,8,0),"無")</f>
        <v>無</v>
      </c>
      <c r="R1086" s="81" t="str">
        <f>IFERROR(VLOOKUP($G1086,融外自投!$A:$J,10,0),"無")</f>
        <v>無</v>
      </c>
      <c r="S1086" s="324" t="str">
        <f>IFERROR(VLOOKUP($G1086,'321買'!$A:$E,4,0),"'沒有資料'")</f>
        <v>'沒有資料'</v>
      </c>
      <c r="T1086" s="186">
        <f>IFERROR(VLOOKUP($G1086,基本資料!$A:$J,9,0),"無")</f>
        <v>0</v>
      </c>
      <c r="U1086" s="307">
        <f t="shared" si="196"/>
        <v>0</v>
      </c>
      <c r="V1086" s="94">
        <f>IFERROR(VLOOKUP($G1086,基本資料!$A:$J,10,0),"無")</f>
        <v>-0.37</v>
      </c>
      <c r="W1086" s="36">
        <f>RTD("money.excel",,"3308","Price")</f>
        <v>15.3</v>
      </c>
      <c r="X1086" s="66"/>
      <c r="Y1086" s="15">
        <f t="shared" si="193"/>
        <v>15.3</v>
      </c>
      <c r="Z1086" s="3" t="e">
        <f t="shared" si="194"/>
        <v>#DIV/0!</v>
      </c>
      <c r="AA1086" s="340">
        <f>IFERROR(VLOOKUP($G1086,基本資料!$A:$M,11,0),"無")</f>
        <v>-30.3</v>
      </c>
      <c r="AB1086" s="389">
        <f>IFERROR(VLOOKUP($G1086,基本資料!$A:$M,12,0),"無")</f>
        <v>47.9</v>
      </c>
      <c r="AC1086" s="22" t="s">
        <v>4565</v>
      </c>
      <c r="AF1086" s="33">
        <f t="shared" si="195"/>
        <v>0</v>
      </c>
      <c r="AG1086" s="43" t="s">
        <v>2372</v>
      </c>
      <c r="AH1086" s="66">
        <f t="shared" si="192"/>
        <v>0.7997962302598064</v>
      </c>
      <c r="AI1086" s="283">
        <f>RTD("money.excel",,$G1086,"PredictVolume")</f>
        <v>157</v>
      </c>
      <c r="AJ1086" s="391">
        <f>IFERROR(VLOOKUP($G1086,基本資料!$A:$M,13,0),"無")</f>
        <v>196.3</v>
      </c>
      <c r="AR1086" s="245" t="str">
        <f>INDEX(基本資料!N:N,MATCH($G1086,基本資料!A:A,0))</f>
        <v>中</v>
      </c>
    </row>
    <row r="1087" spans="1:44">
      <c r="A1087" s="343">
        <f>IFERROR(VLOOKUP($G1087,基本資料!$A:$J,3,0),"無")</f>
        <v>5.25</v>
      </c>
      <c r="B1087" s="79">
        <f>IFERROR(VLOOKUP($G1087,基本資料!$A:$J,4,0),"無")</f>
        <v>70</v>
      </c>
      <c r="C1087" s="79">
        <f>IFERROR(VLOOKUP($G1087,基本資料!$A:$J,5,0),"無")</f>
        <v>-22</v>
      </c>
      <c r="D1087" s="79">
        <f>IFERROR(VLOOKUP($G1087,基本資料!$A:$J,6,0),"無")</f>
        <v>-16</v>
      </c>
      <c r="E1087" s="79">
        <f>IFERROR(VLOOKUP($G1087,基本資料!$A:$J,7,0),"無")</f>
        <v>1</v>
      </c>
      <c r="F1087" s="6">
        <f>IFERROR(VLOOKUP($G1087,基本資料!$A:$J,8,0),"無")</f>
        <v>5.42</v>
      </c>
      <c r="G1087" s="79">
        <v>3310</v>
      </c>
      <c r="H1087" s="8" t="s">
        <v>308</v>
      </c>
      <c r="I1087" s="16" t="s">
        <v>403</v>
      </c>
      <c r="J1087" s="8" t="str">
        <f>IFERROR(VLOOKUP($G1087,今日總結!$A:$AN,39,0),"")</f>
        <v/>
      </c>
      <c r="K1087" s="5" t="str">
        <f>IFERROR(VLOOKUP($G1087,今日總結!$A:$AN,40,0),"")</f>
        <v/>
      </c>
      <c r="L1087" s="156" t="str">
        <f>IFERROR(VLOOKUP($G1087,今日總結!$A:$AN,37,0),"")</f>
        <v/>
      </c>
      <c r="M1087" s="337" t="str">
        <f>IFERROR(VLOOKUP($G1087,今日總結!$A:$AN,38,0),"")</f>
        <v/>
      </c>
      <c r="N1087" s="240" t="str">
        <f t="shared" si="197"/>
        <v/>
      </c>
      <c r="O1087" s="359">
        <f>IFERROR(VLOOKUP($G1087,融外自投!$A:$J,7,0),"無")</f>
        <v>89</v>
      </c>
      <c r="P1087" s="79" t="str">
        <f>IFERROR(VLOOKUP($G1087,融外自投!$A:$J,9,0),"無")</f>
        <v>無</v>
      </c>
      <c r="Q1087" s="342">
        <f>IFERROR(VLOOKUP($G1087,融外自投!$A:$J,8,0),"無")</f>
        <v>1446</v>
      </c>
      <c r="R1087" s="81" t="str">
        <f>IFERROR(VLOOKUP($G1087,融外自投!$A:$J,10,0),"無")</f>
        <v>無</v>
      </c>
      <c r="S1087" s="324" t="str">
        <f>IFERROR(VLOOKUP($G1087,'321買'!$A:$E,4,0),"'沒有資料'")</f>
        <v>'沒有資料'</v>
      </c>
      <c r="T1087" s="186">
        <f>IFERROR(VLOOKUP($G1087,基本資料!$A:$J,9,0),"無")</f>
        <v>2.2000000000000002</v>
      </c>
      <c r="U1087" s="307">
        <f t="shared" si="196"/>
        <v>5.9459459459459463E-2</v>
      </c>
      <c r="V1087" s="94">
        <f>IFERROR(VLOOKUP($G1087,基本資料!$A:$J,10,0),"無")</f>
        <v>1.33</v>
      </c>
      <c r="W1087" s="36">
        <f>RTD("money.excel",,"3310","Price")</f>
        <v>37</v>
      </c>
      <c r="X1087" s="66"/>
      <c r="Y1087" s="15">
        <f t="shared" si="193"/>
        <v>37</v>
      </c>
      <c r="Z1087" s="3" t="e">
        <f t="shared" si="194"/>
        <v>#DIV/0!</v>
      </c>
      <c r="AA1087" s="340">
        <f>IFERROR(VLOOKUP($G1087,基本資料!$A:$M,11,0),"無")</f>
        <v>-15.72</v>
      </c>
      <c r="AB1087" s="389">
        <f>IFERROR(VLOOKUP($G1087,基本資料!$A:$M,12,0),"無")</f>
        <v>23.6</v>
      </c>
      <c r="AC1087" s="16" t="s">
        <v>403</v>
      </c>
      <c r="AF1087" s="33">
        <f t="shared" si="195"/>
        <v>0</v>
      </c>
      <c r="AG1087" s="43" t="s">
        <v>2182</v>
      </c>
      <c r="AH1087" s="66">
        <f t="shared" si="192"/>
        <v>0.61946902654867253</v>
      </c>
      <c r="AI1087" s="283">
        <f>RTD("money.excel",,$G1087,"PredictVolume")</f>
        <v>28</v>
      </c>
      <c r="AJ1087" s="391">
        <f>IFERROR(VLOOKUP($G1087,基本資料!$A:$M,13,0),"無")</f>
        <v>45.2</v>
      </c>
      <c r="AR1087" s="245" t="str">
        <f>INDEX(基本資料!N:N,MATCH($G1087,基本資料!A:A,0))</f>
        <v>中</v>
      </c>
    </row>
    <row r="1088" spans="1:44">
      <c r="A1088" s="343">
        <f>IFERROR(VLOOKUP($G1088,基本資料!$A:$J,3,0),"無")</f>
        <v>11.87</v>
      </c>
      <c r="B1088" s="79">
        <f>IFERROR(VLOOKUP($G1088,基本資料!$A:$J,4,0),"無")</f>
        <v>248</v>
      </c>
      <c r="C1088" s="79">
        <f>IFERROR(VLOOKUP($G1088,基本資料!$A:$J,5,0),"無")</f>
        <v>-30</v>
      </c>
      <c r="D1088" s="79">
        <f>IFERROR(VLOOKUP($G1088,基本資料!$A:$J,6,0),"無")</f>
        <v>-12</v>
      </c>
      <c r="E1088" s="79">
        <f>IFERROR(VLOOKUP($G1088,基本資料!$A:$J,7,0),"無")</f>
        <v>-85</v>
      </c>
      <c r="F1088" s="6">
        <f>IFERROR(VLOOKUP($G1088,基本資料!$A:$J,8,0),"無")</f>
        <v>-38.72</v>
      </c>
      <c r="G1088" s="79">
        <v>3313</v>
      </c>
      <c r="H1088" s="8" t="s">
        <v>308</v>
      </c>
      <c r="I1088" s="16" t="s">
        <v>404</v>
      </c>
      <c r="J1088" s="8" t="str">
        <f>IFERROR(VLOOKUP($G1088,今日總結!$A:$AN,39,0),"")</f>
        <v/>
      </c>
      <c r="K1088" s="5" t="str">
        <f>IFERROR(VLOOKUP($G1088,今日總結!$A:$AN,40,0),"")</f>
        <v/>
      </c>
      <c r="L1088" s="156" t="str">
        <f>IFERROR(VLOOKUP($G1088,今日總結!$A:$AN,37,0),"")</f>
        <v/>
      </c>
      <c r="M1088" s="337" t="str">
        <f>IFERROR(VLOOKUP($G1088,今日總結!$A:$AN,38,0),"")</f>
        <v/>
      </c>
      <c r="N1088" s="240" t="str">
        <f t="shared" si="197"/>
        <v/>
      </c>
      <c r="O1088" s="359" t="str">
        <f>IFERROR(VLOOKUP($G1088,融外自投!$A:$J,7,0),"無")</f>
        <v>無</v>
      </c>
      <c r="P1088" s="79" t="str">
        <f>IFERROR(VLOOKUP($G1088,融外自投!$A:$J,9,0),"無")</f>
        <v>無</v>
      </c>
      <c r="Q1088" s="342" t="str">
        <f>IFERROR(VLOOKUP($G1088,融外自投!$A:$J,8,0),"無")</f>
        <v>無</v>
      </c>
      <c r="R1088" s="81" t="str">
        <f>IFERROR(VLOOKUP($G1088,融外自投!$A:$J,10,0),"無")</f>
        <v>無</v>
      </c>
      <c r="S1088" s="324" t="str">
        <f>IFERROR(VLOOKUP($G1088,'321買'!$A:$E,4,0),"'沒有資料'")</f>
        <v>'沒有資料'</v>
      </c>
      <c r="T1088" s="186">
        <f>IFERROR(VLOOKUP($G1088,基本資料!$A:$J,9,0),"無")</f>
        <v>0</v>
      </c>
      <c r="U1088" s="307">
        <f t="shared" si="196"/>
        <v>0</v>
      </c>
      <c r="V1088" s="94">
        <f>IFERROR(VLOOKUP($G1088,基本資料!$A:$J,10,0),"無")</f>
        <v>0.42</v>
      </c>
      <c r="W1088" s="36">
        <f>RTD("money.excel",,"3313","Price")</f>
        <v>12.25</v>
      </c>
      <c r="X1088" s="66"/>
      <c r="Y1088" s="15">
        <f t="shared" si="193"/>
        <v>12.25</v>
      </c>
      <c r="Z1088" s="3" t="e">
        <f t="shared" si="194"/>
        <v>#DIV/0!</v>
      </c>
      <c r="AA1088" s="340">
        <f>IFERROR(VLOOKUP($G1088,基本資料!$A:$M,11,0),"無")</f>
        <v>-19.670000000000002</v>
      </c>
      <c r="AB1088" s="389">
        <f>IFERROR(VLOOKUP($G1088,基本資料!$A:$M,12,0),"無")</f>
        <v>43.75</v>
      </c>
      <c r="AC1088" s="16" t="s">
        <v>404</v>
      </c>
      <c r="AF1088" s="33">
        <f t="shared" si="195"/>
        <v>0</v>
      </c>
      <c r="AG1088" s="43" t="s">
        <v>2376</v>
      </c>
      <c r="AH1088" s="66">
        <f t="shared" si="192"/>
        <v>0.22657266068861659</v>
      </c>
      <c r="AI1088" s="283">
        <f>RTD("money.excel",,$G1088,"PredictVolume")</f>
        <v>331</v>
      </c>
      <c r="AJ1088" s="391">
        <f>IFERROR(VLOOKUP($G1088,基本資料!$A:$M,13,0),"無")</f>
        <v>1460.9</v>
      </c>
      <c r="AR1088" s="245" t="str">
        <f>INDEX(基本資料!N:N,MATCH($G1088,基本資料!A:A,0))</f>
        <v>中</v>
      </c>
    </row>
    <row r="1089" spans="1:44">
      <c r="A1089" s="343">
        <f>IFERROR(VLOOKUP($G1089,基本資料!$A:$J,3,0),"無")</f>
        <v>15.61</v>
      </c>
      <c r="B1089" s="79">
        <f>IFERROR(VLOOKUP($G1089,基本資料!$A:$J,4,0),"無")</f>
        <v>68</v>
      </c>
      <c r="C1089" s="79">
        <f>IFERROR(VLOOKUP($G1089,基本資料!$A:$J,5,0),"無")</f>
        <v>75</v>
      </c>
      <c r="D1089" s="79">
        <f>IFERROR(VLOOKUP($G1089,基本資料!$A:$J,6,0),"無")</f>
        <v>-3</v>
      </c>
      <c r="E1089" s="79">
        <f>IFERROR(VLOOKUP($G1089,基本資料!$A:$J,7,0),"無")</f>
        <v>-5</v>
      </c>
      <c r="F1089" s="6">
        <f>IFERROR(VLOOKUP($G1089,基本資料!$A:$J,8,0),"無")</f>
        <v>-2.4300000000000002</v>
      </c>
      <c r="G1089" s="79">
        <v>3321</v>
      </c>
      <c r="H1089" s="8" t="s">
        <v>308</v>
      </c>
      <c r="I1089" s="22" t="s">
        <v>389</v>
      </c>
      <c r="J1089" s="8" t="str">
        <f>IFERROR(VLOOKUP($G1089,今日總結!$A:$AN,39,0),"")</f>
        <v/>
      </c>
      <c r="K1089" s="5" t="str">
        <f>IFERROR(VLOOKUP($G1089,今日總結!$A:$AN,40,0),"")</f>
        <v/>
      </c>
      <c r="L1089" s="156" t="str">
        <f>IFERROR(VLOOKUP($G1089,今日總結!$A:$AN,37,0),"")</f>
        <v/>
      </c>
      <c r="M1089" s="337" t="str">
        <f>IFERROR(VLOOKUP($G1089,今日總結!$A:$AN,38,0),"")</f>
        <v/>
      </c>
      <c r="N1089" s="240" t="str">
        <f t="shared" si="197"/>
        <v/>
      </c>
      <c r="O1089" s="359" t="str">
        <f>IFERROR(VLOOKUP($G1089,融外自投!$A:$J,7,0),"無")</f>
        <v>無</v>
      </c>
      <c r="P1089" s="79" t="str">
        <f>IFERROR(VLOOKUP($G1089,融外自投!$A:$J,9,0),"無")</f>
        <v>無</v>
      </c>
      <c r="Q1089" s="342" t="str">
        <f>IFERROR(VLOOKUP($G1089,融外自投!$A:$J,8,0),"無")</f>
        <v>無</v>
      </c>
      <c r="R1089" s="81" t="str">
        <f>IFERROR(VLOOKUP($G1089,融外自投!$A:$J,10,0),"無")</f>
        <v>無</v>
      </c>
      <c r="S1089" s="324" t="str">
        <f>IFERROR(VLOOKUP($G1089,'321買'!$A:$E,4,0),"'沒有資料'")</f>
        <v>'沒有資料'</v>
      </c>
      <c r="T1089" s="186">
        <f>IFERROR(VLOOKUP($G1089,基本資料!$A:$J,9,0),"無")</f>
        <v>0</v>
      </c>
      <c r="U1089" s="307">
        <f t="shared" si="196"/>
        <v>0</v>
      </c>
      <c r="V1089" s="94">
        <f>IFERROR(VLOOKUP($G1089,基本資料!$A:$J,10,0),"無")</f>
        <v>-0.54</v>
      </c>
      <c r="W1089" s="36">
        <f>RTD("money.excel",,"3321","Price")</f>
        <v>10.75</v>
      </c>
      <c r="X1089" s="66"/>
      <c r="Y1089" s="15">
        <f t="shared" si="193"/>
        <v>10.75</v>
      </c>
      <c r="Z1089" s="3" t="e">
        <f t="shared" si="194"/>
        <v>#DIV/0!</v>
      </c>
      <c r="AA1089" s="340">
        <f>IFERROR(VLOOKUP($G1089,基本資料!$A:$M,11,0),"無")</f>
        <v>-30.19</v>
      </c>
      <c r="AB1089" s="389">
        <f>IFERROR(VLOOKUP($G1089,基本資料!$A:$M,12,0),"無")</f>
        <v>8.6300000000000008</v>
      </c>
      <c r="AC1089" s="22" t="s">
        <v>389</v>
      </c>
      <c r="AF1089" s="33">
        <f t="shared" si="195"/>
        <v>0</v>
      </c>
      <c r="AG1089" s="43" t="s">
        <v>2181</v>
      </c>
      <c r="AH1089" s="66">
        <f t="shared" si="192"/>
        <v>0.5383022774327122</v>
      </c>
      <c r="AI1089" s="283">
        <f>RTD("money.excel",,$G1089,"PredictVolume")</f>
        <v>91</v>
      </c>
      <c r="AJ1089" s="391">
        <f>IFERROR(VLOOKUP($G1089,基本資料!$A:$M,13,0),"無")</f>
        <v>169.05</v>
      </c>
      <c r="AR1089" s="245" t="str">
        <f>INDEX(基本資料!N:N,MATCH($G1089,基本資料!A:A,0))</f>
        <v>低</v>
      </c>
    </row>
    <row r="1090" spans="1:44">
      <c r="A1090" s="343">
        <f>IFERROR(VLOOKUP($G1090,基本資料!$A:$J,3,0),"無")</f>
        <v>10.74</v>
      </c>
      <c r="B1090" s="79">
        <f>IFERROR(VLOOKUP($G1090,基本資料!$A:$J,4,0),"無")</f>
        <v>2114</v>
      </c>
      <c r="C1090" s="79">
        <f>IFERROR(VLOOKUP($G1090,基本資料!$A:$J,5,0),"無")</f>
        <v>236</v>
      </c>
      <c r="D1090" s="79">
        <f>IFERROR(VLOOKUP($G1090,基本資料!$A:$J,6,0),"無")</f>
        <v>-35</v>
      </c>
      <c r="E1090" s="79">
        <f>IFERROR(VLOOKUP($G1090,基本資料!$A:$J,7,0),"無")</f>
        <v>-46</v>
      </c>
      <c r="F1090" s="6">
        <f>IFERROR(VLOOKUP($G1090,基本資料!$A:$J,8,0),"無")</f>
        <v>4.3099999999999996</v>
      </c>
      <c r="G1090" s="79">
        <v>3322</v>
      </c>
      <c r="H1090" s="8" t="s">
        <v>308</v>
      </c>
      <c r="I1090" s="16" t="s">
        <v>405</v>
      </c>
      <c r="J1090" s="8">
        <f>IFERROR(VLOOKUP($G1090,今日總結!$A:$AN,39,0),"")</f>
        <v>0</v>
      </c>
      <c r="K1090" s="5">
        <f>IFERROR(VLOOKUP($G1090,今日總結!$A:$AN,40,0),"")</f>
        <v>0</v>
      </c>
      <c r="L1090" s="156">
        <f>IFERROR(VLOOKUP($G1090,今日總結!$A:$AN,37,0),"")</f>
        <v>0</v>
      </c>
      <c r="M1090" s="337">
        <f>IFERROR(VLOOKUP($G1090,今日總結!$A:$AN,38,0),"")</f>
        <v>0</v>
      </c>
      <c r="N1090" s="240">
        <f t="shared" si="197"/>
        <v>0</v>
      </c>
      <c r="O1090" s="359">
        <f>IFERROR(VLOOKUP($G1090,融外自投!$A:$J,7,0),"無")</f>
        <v>715</v>
      </c>
      <c r="P1090" s="79" t="str">
        <f>IFERROR(VLOOKUP($G1090,融外自投!$A:$J,9,0),"無")</f>
        <v>無</v>
      </c>
      <c r="Q1090" s="342">
        <f>IFERROR(VLOOKUP($G1090,融外自投!$A:$J,8,0),"無")</f>
        <v>1321</v>
      </c>
      <c r="R1090" s="81" t="str">
        <f>IFERROR(VLOOKUP($G1090,融外自投!$A:$J,10,0),"無")</f>
        <v>無</v>
      </c>
      <c r="S1090" s="324">
        <f>IFERROR(VLOOKUP($G1090,'321買'!$A:$E,4,0),"'沒有資料'")</f>
        <v>214</v>
      </c>
      <c r="T1090" s="186">
        <f>IFERROR(VLOOKUP($G1090,基本資料!$A:$J,9,0),"無")</f>
        <v>0.6</v>
      </c>
      <c r="U1090" s="307">
        <f t="shared" si="196"/>
        <v>2.8985507246376812E-2</v>
      </c>
      <c r="V1090" s="94">
        <f>IFERROR(VLOOKUP($G1090,基本資料!$A:$J,10,0),"無")</f>
        <v>1.85</v>
      </c>
      <c r="W1090" s="36">
        <f>RTD("money.excel",,"3322","Price")</f>
        <v>20.7</v>
      </c>
      <c r="X1090" s="66"/>
      <c r="Y1090" s="15">
        <f t="shared" si="193"/>
        <v>20.7</v>
      </c>
      <c r="Z1090" s="3" t="e">
        <f t="shared" si="194"/>
        <v>#DIV/0!</v>
      </c>
      <c r="AA1090" s="340">
        <f>IFERROR(VLOOKUP($G1090,基本資料!$A:$M,11,0),"無")</f>
        <v>-34.909999999999997</v>
      </c>
      <c r="AB1090" s="389">
        <f>IFERROR(VLOOKUP($G1090,基本資料!$A:$M,12,0),"無")</f>
        <v>21.46</v>
      </c>
      <c r="AC1090" s="16" t="s">
        <v>405</v>
      </c>
      <c r="AF1090" s="33">
        <f t="shared" si="195"/>
        <v>0</v>
      </c>
      <c r="AG1090" s="43" t="s">
        <v>2298</v>
      </c>
      <c r="AH1090" s="66">
        <f t="shared" si="192"/>
        <v>1.3662663102031045</v>
      </c>
      <c r="AI1090" s="283">
        <f>RTD("money.excel",,$G1090,"PredictVolume")</f>
        <v>1712</v>
      </c>
      <c r="AJ1090" s="391">
        <f>IFERROR(VLOOKUP($G1090,基本資料!$A:$M,13,0),"無")</f>
        <v>1253.05</v>
      </c>
      <c r="AR1090" s="245" t="str">
        <f>INDEX(基本資料!N:N,MATCH($G1090,基本資料!A:A,0))</f>
        <v>中</v>
      </c>
    </row>
    <row r="1091" spans="1:44">
      <c r="A1091" s="343">
        <f>IFERROR(VLOOKUP($G1091,基本資料!$A:$J,3,0),"無")</f>
        <v>4.8099999999999996</v>
      </c>
      <c r="B1091" s="79">
        <f>IFERROR(VLOOKUP($G1091,基本資料!$A:$J,4,0),"無")</f>
        <v>-13</v>
      </c>
      <c r="C1091" s="79">
        <f>IFERROR(VLOOKUP($G1091,基本資料!$A:$J,5,0),"無")</f>
        <v>-1</v>
      </c>
      <c r="D1091" s="79">
        <f>IFERROR(VLOOKUP($G1091,基本資料!$A:$J,6,0),"無")</f>
        <v>14</v>
      </c>
      <c r="E1091" s="79">
        <f>IFERROR(VLOOKUP($G1091,基本資料!$A:$J,7,0),"無")</f>
        <v>54</v>
      </c>
      <c r="F1091" s="6">
        <f>IFERROR(VLOOKUP($G1091,基本資料!$A:$J,8,0),"無")</f>
        <v>8.1999999999999993</v>
      </c>
      <c r="G1091" s="79">
        <v>3332</v>
      </c>
      <c r="H1091" s="8" t="s">
        <v>308</v>
      </c>
      <c r="I1091" s="16" t="s">
        <v>4566</v>
      </c>
      <c r="J1091" s="8" t="str">
        <f>IFERROR(VLOOKUP($G1091,今日總結!$A:$AN,39,0),"")</f>
        <v/>
      </c>
      <c r="K1091" s="5" t="str">
        <f>IFERROR(VLOOKUP($G1091,今日總結!$A:$AN,40,0),"")</f>
        <v/>
      </c>
      <c r="L1091" s="156" t="str">
        <f>IFERROR(VLOOKUP($G1091,今日總結!$A:$AN,37,0),"")</f>
        <v/>
      </c>
      <c r="M1091" s="337" t="str">
        <f>IFERROR(VLOOKUP($G1091,今日總結!$A:$AN,38,0),"")</f>
        <v/>
      </c>
      <c r="N1091" s="240" t="str">
        <f t="shared" si="197"/>
        <v/>
      </c>
      <c r="O1091" s="359" t="str">
        <f>IFERROR(VLOOKUP($G1091,融外自投!$A:$J,7,0),"無")</f>
        <v>無</v>
      </c>
      <c r="P1091" s="79" t="str">
        <f>IFERROR(VLOOKUP($G1091,融外自投!$A:$J,9,0),"無")</f>
        <v>無</v>
      </c>
      <c r="Q1091" s="342">
        <f>IFERROR(VLOOKUP($G1091,融外自投!$A:$J,8,0),"無")</f>
        <v>1411</v>
      </c>
      <c r="R1091" s="81" t="str">
        <f>IFERROR(VLOOKUP($G1091,融外自投!$A:$J,10,0),"無")</f>
        <v>無</v>
      </c>
      <c r="S1091" s="324" t="str">
        <f>IFERROR(VLOOKUP($G1091,'321買'!$A:$E,4,0),"'沒有資料'")</f>
        <v>'沒有資料'</v>
      </c>
      <c r="T1091" s="186">
        <f>IFERROR(VLOOKUP($G1091,基本資料!$A:$J,9,0),"無")</f>
        <v>1</v>
      </c>
      <c r="U1091" s="307" t="e">
        <f t="shared" si="196"/>
        <v>#VALUE!</v>
      </c>
      <c r="V1091" s="94">
        <f>IFERROR(VLOOKUP($G1091,基本資料!$A:$J,10,0),"無")</f>
        <v>2.2000000000000002</v>
      </c>
      <c r="W1091" s="36" t="str">
        <f>RTD("money.excel",,"3332","Price")</f>
        <v>無資料</v>
      </c>
      <c r="X1091" s="66"/>
      <c r="Y1091" s="15" t="e">
        <f t="shared" si="193"/>
        <v>#VALUE!</v>
      </c>
      <c r="Z1091" s="3" t="e">
        <f t="shared" si="194"/>
        <v>#VALUE!</v>
      </c>
      <c r="AA1091" s="340">
        <f>IFERROR(VLOOKUP($G1091,基本資料!$A:$M,11,0),"無")</f>
        <v>-5.3</v>
      </c>
      <c r="AB1091" s="389">
        <f>IFERROR(VLOOKUP($G1091,基本資料!$A:$M,12,0),"無")</f>
        <v>39.380000000000003</v>
      </c>
      <c r="AC1091" s="16" t="s">
        <v>4566</v>
      </c>
      <c r="AF1091" s="33">
        <f t="shared" si="195"/>
        <v>0</v>
      </c>
      <c r="AG1091" s="43" t="s">
        <v>2372</v>
      </c>
      <c r="AH1091" s="66">
        <f t="shared" si="192"/>
        <v>0</v>
      </c>
      <c r="AI1091" s="283">
        <f>RTD("money.excel",,$G1091,"PredictVolume")</f>
        <v>0</v>
      </c>
      <c r="AJ1091" s="391">
        <f>IFERROR(VLOOKUP($G1091,基本資料!$A:$M,13,0),"無")</f>
        <v>26.2</v>
      </c>
      <c r="AR1091" s="245" t="str">
        <f>INDEX(基本資料!N:N,MATCH($G1091,基本資料!A:A,0))</f>
        <v>中</v>
      </c>
    </row>
    <row r="1092" spans="1:44">
      <c r="A1092" s="343">
        <f>IFERROR(VLOOKUP($G1092,基本資料!$A:$J,3,0),"無")</f>
        <v>8.7899999999999991</v>
      </c>
      <c r="B1092" s="79">
        <f>IFERROR(VLOOKUP($G1092,基本資料!$A:$J,4,0),"無")</f>
        <v>-16</v>
      </c>
      <c r="C1092" s="79">
        <f>IFERROR(VLOOKUP($G1092,基本資料!$A:$J,5,0),"無")</f>
        <v>-22</v>
      </c>
      <c r="D1092" s="79">
        <f>IFERROR(VLOOKUP($G1092,基本資料!$A:$J,6,0),"無")</f>
        <v>-38</v>
      </c>
      <c r="E1092" s="79">
        <f>IFERROR(VLOOKUP($G1092,基本資料!$A:$J,7,0),"無")</f>
        <v>-26</v>
      </c>
      <c r="F1092" s="6">
        <f>IFERROR(VLOOKUP($G1092,基本資料!$A:$J,8,0),"無")</f>
        <v>5.68</v>
      </c>
      <c r="G1092" s="79">
        <v>3338</v>
      </c>
      <c r="H1092" s="8" t="s">
        <v>308</v>
      </c>
      <c r="I1092" s="22" t="s">
        <v>1046</v>
      </c>
      <c r="J1092" s="8">
        <f>IFERROR(VLOOKUP($G1092,今日總結!$A:$AN,39,0),"")</f>
        <v>0</v>
      </c>
      <c r="K1092" s="5">
        <f>IFERROR(VLOOKUP($G1092,今日總結!$A:$AN,40,0),"")</f>
        <v>0</v>
      </c>
      <c r="L1092" s="156">
        <f>IFERROR(VLOOKUP($G1092,今日總結!$A:$AN,37,0),"")</f>
        <v>0</v>
      </c>
      <c r="M1092" s="337">
        <f>IFERROR(VLOOKUP($G1092,今日總結!$A:$AN,38,0),"")</f>
        <v>0</v>
      </c>
      <c r="N1092" s="240">
        <f t="shared" si="197"/>
        <v>0</v>
      </c>
      <c r="O1092" s="359">
        <f>IFERROR(VLOOKUP($G1092,融外自投!$A:$J,7,0),"無")</f>
        <v>242</v>
      </c>
      <c r="P1092" s="79">
        <f>IFERROR(VLOOKUP($G1092,融外自投!$A:$J,9,0),"無")</f>
        <v>451</v>
      </c>
      <c r="Q1092" s="342">
        <f>IFERROR(VLOOKUP($G1092,融外自投!$A:$J,8,0),"無")</f>
        <v>796</v>
      </c>
      <c r="R1092" s="81" t="str">
        <f>IFERROR(VLOOKUP($G1092,融外自投!$A:$J,10,0),"無")</f>
        <v>無</v>
      </c>
      <c r="S1092" s="324">
        <f>IFERROR(VLOOKUP($G1092,'321買'!$A:$E,4,0),"'沒有資料'")</f>
        <v>343</v>
      </c>
      <c r="T1092" s="186">
        <f>IFERROR(VLOOKUP($G1092,基本資料!$A:$J,9,0),"無")</f>
        <v>1.5</v>
      </c>
      <c r="U1092" s="307">
        <f t="shared" si="196"/>
        <v>3.5928143712574849E-2</v>
      </c>
      <c r="V1092" s="94">
        <f>IFERROR(VLOOKUP($G1092,基本資料!$A:$J,10,0),"無")</f>
        <v>2.13</v>
      </c>
      <c r="W1092" s="36">
        <f>RTD("money.excel",,"3338","Price")</f>
        <v>41.75</v>
      </c>
      <c r="X1092" s="66"/>
      <c r="Y1092" s="15">
        <f t="shared" si="193"/>
        <v>41.75</v>
      </c>
      <c r="Z1092" s="3" t="e">
        <f t="shared" si="194"/>
        <v>#DIV/0!</v>
      </c>
      <c r="AA1092" s="340">
        <f>IFERROR(VLOOKUP($G1092,基本資料!$A:$M,11,0),"無")</f>
        <v>-34.97</v>
      </c>
      <c r="AB1092" s="389">
        <f>IFERROR(VLOOKUP($G1092,基本資料!$A:$M,12,0),"無")</f>
        <v>12.67</v>
      </c>
      <c r="AC1092" s="22" t="s">
        <v>1046</v>
      </c>
      <c r="AF1092" s="33">
        <f t="shared" si="195"/>
        <v>0</v>
      </c>
      <c r="AG1092" s="43" t="s">
        <v>2927</v>
      </c>
      <c r="AH1092" s="66">
        <f t="shared" si="192"/>
        <v>0.69615069615069614</v>
      </c>
      <c r="AI1092" s="283">
        <f>RTD("money.excel",,$G1092,"PredictVolume")</f>
        <v>255</v>
      </c>
      <c r="AJ1092" s="391">
        <f>IFERROR(VLOOKUP($G1092,基本資料!$A:$M,13,0),"無")</f>
        <v>366.3</v>
      </c>
      <c r="AR1092" s="245" t="str">
        <f>INDEX(基本資料!N:N,MATCH($G1092,基本資料!A:A,0))</f>
        <v>低</v>
      </c>
    </row>
    <row r="1093" spans="1:44">
      <c r="A1093" s="343">
        <f>IFERROR(VLOOKUP($G1093,基本資料!$A:$J,3,0),"無")</f>
        <v>7.01</v>
      </c>
      <c r="B1093" s="79">
        <f>IFERROR(VLOOKUP($G1093,基本資料!$A:$J,4,0),"無")</f>
        <v>0</v>
      </c>
      <c r="C1093" s="79">
        <f>IFERROR(VLOOKUP($G1093,基本資料!$A:$J,5,0),"無")</f>
        <v>-98</v>
      </c>
      <c r="D1093" s="79">
        <f>IFERROR(VLOOKUP($G1093,基本資料!$A:$J,6,0),"無")</f>
        <v>-52</v>
      </c>
      <c r="E1093" s="79">
        <f>IFERROR(VLOOKUP($G1093,基本資料!$A:$J,7,0),"無")</f>
        <v>0</v>
      </c>
      <c r="F1093" s="6">
        <f>IFERROR(VLOOKUP($G1093,基本資料!$A:$J,8,0),"無")</f>
        <v>-40.71</v>
      </c>
      <c r="G1093" s="79">
        <v>3354</v>
      </c>
      <c r="H1093" s="8" t="s">
        <v>308</v>
      </c>
      <c r="I1093" s="16" t="s">
        <v>4567</v>
      </c>
      <c r="J1093" s="8">
        <f>IFERROR(VLOOKUP($G1093,今日總結!$A:$AN,39,0),"")</f>
        <v>0</v>
      </c>
      <c r="K1093" s="5">
        <f>IFERROR(VLOOKUP($G1093,今日總結!$A:$AN,40,0),"")</f>
        <v>0</v>
      </c>
      <c r="L1093" s="156">
        <f>IFERROR(VLOOKUP($G1093,今日總結!$A:$AN,37,0),"")</f>
        <v>0</v>
      </c>
      <c r="M1093" s="337">
        <f>IFERROR(VLOOKUP($G1093,今日總結!$A:$AN,38,0),"")</f>
        <v>0</v>
      </c>
      <c r="N1093" s="240">
        <f t="shared" si="197"/>
        <v>0</v>
      </c>
      <c r="O1093" s="359">
        <f>IFERROR(VLOOKUP($G1093,融外自投!$A:$J,7,0),"無")</f>
        <v>708</v>
      </c>
      <c r="P1093" s="79" t="str">
        <f>IFERROR(VLOOKUP($G1093,融外自投!$A:$J,9,0),"無")</f>
        <v>無</v>
      </c>
      <c r="Q1093" s="342">
        <f>IFERROR(VLOOKUP($G1093,融外自投!$A:$J,8,0),"無")</f>
        <v>1172</v>
      </c>
      <c r="R1093" s="81" t="str">
        <f>IFERROR(VLOOKUP($G1093,融外自投!$A:$J,10,0),"無")</f>
        <v>無</v>
      </c>
      <c r="S1093" s="324">
        <f>IFERROR(VLOOKUP($G1093,'321買'!$A:$E,4,0),"'沒有資料'")</f>
        <v>366</v>
      </c>
      <c r="T1093" s="186">
        <f>IFERROR(VLOOKUP($G1093,基本資料!$A:$J,9,0),"無")</f>
        <v>0.3</v>
      </c>
      <c r="U1093" s="307">
        <f t="shared" si="196"/>
        <v>1.8927444794952682E-2</v>
      </c>
      <c r="V1093" s="94">
        <f>IFERROR(VLOOKUP($G1093,基本資料!$A:$J,10,0),"無")</f>
        <v>-0.74</v>
      </c>
      <c r="W1093" s="36">
        <f>RTD("money.excel",,"3354","Price")</f>
        <v>15.85</v>
      </c>
      <c r="X1093" s="66"/>
      <c r="Y1093" s="15">
        <f t="shared" si="193"/>
        <v>15.85</v>
      </c>
      <c r="Z1093" s="3" t="e">
        <f t="shared" si="194"/>
        <v>#DIV/0!</v>
      </c>
      <c r="AA1093" s="340">
        <f>IFERROR(VLOOKUP($G1093,基本資料!$A:$M,11,0),"無")</f>
        <v>-33.68</v>
      </c>
      <c r="AB1093" s="389">
        <f>IFERROR(VLOOKUP($G1093,基本資料!$A:$M,12,0),"無")</f>
        <v>32.42</v>
      </c>
      <c r="AC1093" s="16" t="s">
        <v>4567</v>
      </c>
      <c r="AF1093" s="33">
        <f t="shared" si="195"/>
        <v>0</v>
      </c>
      <c r="AG1093" s="43" t="s">
        <v>2377</v>
      </c>
      <c r="AH1093" s="66">
        <f t="shared" si="192"/>
        <v>1.2658227848101267</v>
      </c>
      <c r="AI1093" s="283">
        <f>RTD("money.excel",,$G1093,"PredictVolume")</f>
        <v>575</v>
      </c>
      <c r="AJ1093" s="391">
        <f>IFERROR(VLOOKUP($G1093,基本資料!$A:$M,13,0),"無")</f>
        <v>454.25</v>
      </c>
      <c r="AR1093" s="245" t="str">
        <f>INDEX(基本資料!N:N,MATCH($G1093,基本資料!A:A,0))</f>
        <v>低</v>
      </c>
    </row>
    <row r="1094" spans="1:44">
      <c r="A1094" s="343">
        <f>IFERROR(VLOOKUP($G1094,基本資料!$A:$J,3,0),"無")</f>
        <v>10.31</v>
      </c>
      <c r="B1094" s="79">
        <f>IFERROR(VLOOKUP($G1094,基本資料!$A:$J,4,0),"無")</f>
        <v>62</v>
      </c>
      <c r="C1094" s="79">
        <f>IFERROR(VLOOKUP($G1094,基本資料!$A:$J,5,0),"無")</f>
        <v>49</v>
      </c>
      <c r="D1094" s="79">
        <f>IFERROR(VLOOKUP($G1094,基本資料!$A:$J,6,0),"無")</f>
        <v>-18</v>
      </c>
      <c r="E1094" s="79">
        <f>IFERROR(VLOOKUP($G1094,基本資料!$A:$J,7,0),"無")</f>
        <v>-13</v>
      </c>
      <c r="F1094" s="6">
        <f>IFERROR(VLOOKUP($G1094,基本資料!$A:$J,8,0),"無")</f>
        <v>21.58</v>
      </c>
      <c r="G1094" s="79">
        <v>3357</v>
      </c>
      <c r="H1094" s="8" t="s">
        <v>308</v>
      </c>
      <c r="I1094" s="16" t="s">
        <v>3235</v>
      </c>
      <c r="J1094" s="8">
        <f>IFERROR(VLOOKUP($G1094,今日總結!$A:$AN,39,0),"")</f>
        <v>0</v>
      </c>
      <c r="K1094" s="5">
        <f>IFERROR(VLOOKUP($G1094,今日總結!$A:$AN,40,0),"")</f>
        <v>0</v>
      </c>
      <c r="L1094" s="156">
        <f>IFERROR(VLOOKUP($G1094,今日總結!$A:$AN,37,0),"")</f>
        <v>0</v>
      </c>
      <c r="M1094" s="337">
        <f>IFERROR(VLOOKUP($G1094,今日總結!$A:$AN,38,0),"")</f>
        <v>0</v>
      </c>
      <c r="N1094" s="240">
        <f t="shared" si="197"/>
        <v>0</v>
      </c>
      <c r="O1094" s="359">
        <f>IFERROR(VLOOKUP($G1094,融外自投!$A:$J,7,0),"無")</f>
        <v>1075</v>
      </c>
      <c r="P1094" s="79" t="str">
        <f>IFERROR(VLOOKUP($G1094,融外自投!$A:$J,9,0),"無")</f>
        <v>無</v>
      </c>
      <c r="Q1094" s="342">
        <f>IFERROR(VLOOKUP($G1094,融外自投!$A:$J,8,0),"無")</f>
        <v>472</v>
      </c>
      <c r="R1094" s="81" t="str">
        <f>IFERROR(VLOOKUP($G1094,融外自投!$A:$J,10,0),"無")</f>
        <v>無</v>
      </c>
      <c r="S1094" s="324">
        <f>IFERROR(VLOOKUP($G1094,'321買'!$A:$E,4,0),"'沒有資料'")</f>
        <v>1002</v>
      </c>
      <c r="T1094" s="186">
        <f>IFERROR(VLOOKUP($G1094,基本資料!$A:$J,9,0),"無")</f>
        <v>7</v>
      </c>
      <c r="U1094" s="307">
        <f t="shared" si="196"/>
        <v>6.6350710900473939E-2</v>
      </c>
      <c r="V1094" s="94">
        <f>IFERROR(VLOOKUP($G1094,基本資料!$A:$J,10,0),"無")</f>
        <v>12.08</v>
      </c>
      <c r="W1094" s="36">
        <f>RTD("money.excel",,"3357","Price")</f>
        <v>105.5</v>
      </c>
      <c r="X1094" s="66"/>
      <c r="Y1094" s="15">
        <f t="shared" si="193"/>
        <v>105.5</v>
      </c>
      <c r="Z1094" s="3" t="e">
        <f t="shared" si="194"/>
        <v>#DIV/0!</v>
      </c>
      <c r="AA1094" s="340">
        <f>IFERROR(VLOOKUP($G1094,基本資料!$A:$M,11,0),"無")</f>
        <v>-42.82</v>
      </c>
      <c r="AB1094" s="389">
        <f>IFERROR(VLOOKUP($G1094,基本資料!$A:$M,12,0),"無")</f>
        <v>22.65</v>
      </c>
      <c r="AC1094" s="16" t="s">
        <v>3235</v>
      </c>
      <c r="AF1094" s="33">
        <f t="shared" si="195"/>
        <v>0</v>
      </c>
      <c r="AG1094" s="43" t="s">
        <v>3236</v>
      </c>
      <c r="AH1094" s="66">
        <f t="shared" ref="AH1094:AH1157" si="198">AI1094/AJ1094</f>
        <v>0.4774535809018568</v>
      </c>
      <c r="AI1094" s="283">
        <f>RTD("money.excel",,$G1094,"PredictVolume")</f>
        <v>54</v>
      </c>
      <c r="AJ1094" s="391">
        <f>IFERROR(VLOOKUP($G1094,基本資料!$A:$M,13,0),"無")</f>
        <v>113.1</v>
      </c>
      <c r="AR1094" s="245" t="str">
        <f>INDEX(基本資料!N:N,MATCH($G1094,基本資料!A:A,0))</f>
        <v>低</v>
      </c>
    </row>
    <row r="1095" spans="1:44">
      <c r="A1095" s="343">
        <f>IFERROR(VLOOKUP($G1095,基本資料!$A:$J,3,0),"無")</f>
        <v>19.239999999999998</v>
      </c>
      <c r="B1095" s="79">
        <f>IFERROR(VLOOKUP($G1095,基本資料!$A:$J,4,0),"無")</f>
        <v>-30</v>
      </c>
      <c r="C1095" s="79">
        <f>IFERROR(VLOOKUP($G1095,基本資料!$A:$J,5,0),"無")</f>
        <v>-41</v>
      </c>
      <c r="D1095" s="79">
        <f>IFERROR(VLOOKUP($G1095,基本資料!$A:$J,6,0),"無")</f>
        <v>-17</v>
      </c>
      <c r="E1095" s="79">
        <f>IFERROR(VLOOKUP($G1095,基本資料!$A:$J,7,0),"無")</f>
        <v>-20</v>
      </c>
      <c r="F1095" s="6">
        <f>IFERROR(VLOOKUP($G1095,基本資料!$A:$J,8,0),"無")</f>
        <v>12.99</v>
      </c>
      <c r="G1095" s="79">
        <v>3376</v>
      </c>
      <c r="H1095" s="8" t="s">
        <v>308</v>
      </c>
      <c r="I1095" s="22" t="s">
        <v>60</v>
      </c>
      <c r="J1095" s="8">
        <f>IFERROR(VLOOKUP($G1095,今日總結!$A:$AN,39,0),"")</f>
        <v>0</v>
      </c>
      <c r="K1095" s="5">
        <f>IFERROR(VLOOKUP($G1095,今日總結!$A:$AN,40,0),"")</f>
        <v>0</v>
      </c>
      <c r="L1095" s="156">
        <f>IFERROR(VLOOKUP($G1095,今日總結!$A:$AN,37,0),"")</f>
        <v>0</v>
      </c>
      <c r="M1095" s="337">
        <f>IFERROR(VLOOKUP($G1095,今日總結!$A:$AN,38,0),"")</f>
        <v>0</v>
      </c>
      <c r="N1095" s="240">
        <f t="shared" si="197"/>
        <v>0</v>
      </c>
      <c r="O1095" s="359">
        <f>IFERROR(VLOOKUP($G1095,融外自投!$A:$J,7,0),"無")</f>
        <v>712</v>
      </c>
      <c r="P1095" s="79">
        <f>IFERROR(VLOOKUP($G1095,融外自投!$A:$J,9,0),"無")</f>
        <v>649</v>
      </c>
      <c r="Q1095" s="342">
        <f>IFERROR(VLOOKUP($G1095,融外自投!$A:$J,8,0),"無")</f>
        <v>274</v>
      </c>
      <c r="R1095" s="81">
        <f>IFERROR(VLOOKUP($G1095,融外自投!$A:$J,10,0),"無")</f>
        <v>287</v>
      </c>
      <c r="S1095" s="324">
        <f>IFERROR(VLOOKUP($G1095,'321買'!$A:$E,4,0),"'沒有資料'")</f>
        <v>696</v>
      </c>
      <c r="T1095" s="186">
        <f>IFERROR(VLOOKUP($G1095,基本資料!$A:$J,9,0),"無")</f>
        <v>5</v>
      </c>
      <c r="U1095" s="307">
        <f t="shared" si="196"/>
        <v>5.9737156511350059E-2</v>
      </c>
      <c r="V1095" s="94">
        <f>IFERROR(VLOOKUP($G1095,基本資料!$A:$J,10,0),"無")</f>
        <v>6.08</v>
      </c>
      <c r="W1095" s="36">
        <f>RTD("money.excel",,"3376","Price")</f>
        <v>83.7</v>
      </c>
      <c r="X1095" s="66"/>
      <c r="Y1095" s="15">
        <f t="shared" si="193"/>
        <v>83.7</v>
      </c>
      <c r="Z1095" s="3" t="e">
        <f t="shared" si="194"/>
        <v>#DIV/0!</v>
      </c>
      <c r="AA1095" s="340">
        <f>IFERROR(VLOOKUP($G1095,基本資料!$A:$M,11,0),"無")</f>
        <v>-35.86</v>
      </c>
      <c r="AB1095" s="389">
        <f>IFERROR(VLOOKUP($G1095,基本資料!$A:$M,12,0),"無")</f>
        <v>55.14</v>
      </c>
      <c r="AC1095" s="22" t="s">
        <v>60</v>
      </c>
      <c r="AF1095" s="33">
        <f t="shared" si="195"/>
        <v>0</v>
      </c>
      <c r="AG1095" s="117" t="s">
        <v>2404</v>
      </c>
      <c r="AH1095" s="66">
        <f t="shared" si="198"/>
        <v>1.2650602409638554</v>
      </c>
      <c r="AI1095" s="283">
        <f>RTD("money.excel",,$G1095,"PredictVolume")</f>
        <v>420</v>
      </c>
      <c r="AJ1095" s="391">
        <f>IFERROR(VLOOKUP($G1095,基本資料!$A:$M,13,0),"無")</f>
        <v>332</v>
      </c>
      <c r="AR1095" s="245" t="str">
        <f>INDEX(基本資料!N:N,MATCH($G1095,基本資料!A:A,0))</f>
        <v>低</v>
      </c>
    </row>
    <row r="1096" spans="1:44">
      <c r="A1096" s="343">
        <f>IFERROR(VLOOKUP($G1096,基本資料!$A:$J,3,0),"無")</f>
        <v>7.4</v>
      </c>
      <c r="B1096" s="79">
        <f>IFERROR(VLOOKUP($G1096,基本資料!$A:$J,4,0),"無")</f>
        <v>49</v>
      </c>
      <c r="C1096" s="79">
        <f>IFERROR(VLOOKUP($G1096,基本資料!$A:$J,5,0),"無")</f>
        <v>53</v>
      </c>
      <c r="D1096" s="79">
        <f>IFERROR(VLOOKUP($G1096,基本資料!$A:$J,6,0),"無")</f>
        <v>-22</v>
      </c>
      <c r="E1096" s="79">
        <f>IFERROR(VLOOKUP($G1096,基本資料!$A:$J,7,0),"無")</f>
        <v>0</v>
      </c>
      <c r="F1096" s="6">
        <f>IFERROR(VLOOKUP($G1096,基本資料!$A:$J,8,0),"無")</f>
        <v>8.1300000000000008</v>
      </c>
      <c r="G1096" s="79">
        <v>3388</v>
      </c>
      <c r="H1096" s="8" t="s">
        <v>308</v>
      </c>
      <c r="I1096" s="16" t="s">
        <v>4568</v>
      </c>
      <c r="J1096" s="8">
        <f>IFERROR(VLOOKUP($G1096,今日總結!$A:$AN,39,0),"")</f>
        <v>0</v>
      </c>
      <c r="K1096" s="5">
        <f>IFERROR(VLOOKUP($G1096,今日總結!$A:$AN,40,0),"")</f>
        <v>0</v>
      </c>
      <c r="L1096" s="156">
        <f>IFERROR(VLOOKUP($G1096,今日總結!$A:$AN,37,0),"")</f>
        <v>0</v>
      </c>
      <c r="M1096" s="337">
        <f>IFERROR(VLOOKUP($G1096,今日總結!$A:$AN,38,0),"")</f>
        <v>0</v>
      </c>
      <c r="N1096" s="240">
        <f t="shared" si="197"/>
        <v>0</v>
      </c>
      <c r="O1096" s="359">
        <f>IFERROR(VLOOKUP($G1096,融外自投!$A:$J,7,0),"無")</f>
        <v>1271</v>
      </c>
      <c r="P1096" s="79">
        <f>IFERROR(VLOOKUP($G1096,融外自投!$A:$J,9,0),"無")</f>
        <v>207</v>
      </c>
      <c r="Q1096" s="342">
        <f>IFERROR(VLOOKUP($G1096,融外自投!$A:$J,8,0),"無")</f>
        <v>678</v>
      </c>
      <c r="R1096" s="81" t="str">
        <f>IFERROR(VLOOKUP($G1096,融外自投!$A:$J,10,0),"無")</f>
        <v>無</v>
      </c>
      <c r="S1096" s="324">
        <f>IFERROR(VLOOKUP($G1096,'321買'!$A:$E,4,0),"'沒有資料'")</f>
        <v>1002</v>
      </c>
      <c r="T1096" s="186">
        <f>IFERROR(VLOOKUP($G1096,基本資料!$A:$J,9,0),"無")</f>
        <v>6</v>
      </c>
      <c r="U1096" s="307">
        <f t="shared" si="196"/>
        <v>7.0588235294117646E-2</v>
      </c>
      <c r="V1096" s="94">
        <f>IFERROR(VLOOKUP($G1096,基本資料!$A:$J,10,0),"無")</f>
        <v>8.0399999999999991</v>
      </c>
      <c r="W1096" s="36">
        <f>RTD("money.excel",,"3388","Price")</f>
        <v>85</v>
      </c>
      <c r="X1096" s="66"/>
      <c r="Y1096" s="15">
        <f t="shared" si="193"/>
        <v>85</v>
      </c>
      <c r="Z1096" s="3" t="e">
        <f t="shared" si="194"/>
        <v>#DIV/0!</v>
      </c>
      <c r="AA1096" s="340">
        <f>IFERROR(VLOOKUP($G1096,基本資料!$A:$M,11,0),"無")</f>
        <v>-7.51</v>
      </c>
      <c r="AB1096" s="389">
        <f>IFERROR(VLOOKUP($G1096,基本資料!$A:$M,12,0),"無")</f>
        <v>43.35</v>
      </c>
      <c r="AC1096" s="16" t="s">
        <v>4568</v>
      </c>
      <c r="AF1096" s="33">
        <f t="shared" si="195"/>
        <v>0</v>
      </c>
      <c r="AG1096" s="43" t="s">
        <v>1697</v>
      </c>
      <c r="AH1096" s="66">
        <f t="shared" si="198"/>
        <v>1.978798586572438</v>
      </c>
      <c r="AI1096" s="283">
        <f>RTD("money.excel",,$G1096,"PredictVolume")</f>
        <v>168</v>
      </c>
      <c r="AJ1096" s="391">
        <f>IFERROR(VLOOKUP($G1096,基本資料!$A:$M,13,0),"無")</f>
        <v>84.9</v>
      </c>
      <c r="AR1096" s="245" t="str">
        <f>INDEX(基本資料!N:N,MATCH($G1096,基本資料!A:A,0))</f>
        <v>中</v>
      </c>
    </row>
    <row r="1097" spans="1:44">
      <c r="A1097" s="343">
        <f>IFERROR(VLOOKUP($G1097,基本資料!$A:$J,3,0),"無")</f>
        <v>6.75</v>
      </c>
      <c r="B1097" s="79">
        <f>IFERROR(VLOOKUP($G1097,基本資料!$A:$J,4,0),"無")</f>
        <v>126</v>
      </c>
      <c r="C1097" s="79">
        <f>IFERROR(VLOOKUP($G1097,基本資料!$A:$J,5,0),"無")</f>
        <v>143</v>
      </c>
      <c r="D1097" s="79">
        <f>IFERROR(VLOOKUP($G1097,基本資料!$A:$J,6,0),"無")</f>
        <v>14</v>
      </c>
      <c r="E1097" s="79">
        <f>IFERROR(VLOOKUP($G1097,基本資料!$A:$J,7,0),"無")</f>
        <v>50</v>
      </c>
      <c r="F1097" s="6">
        <f>IFERROR(VLOOKUP($G1097,基本資料!$A:$J,8,0),"無")</f>
        <v>5.93</v>
      </c>
      <c r="G1097" s="79">
        <v>3390</v>
      </c>
      <c r="H1097" s="8" t="s">
        <v>308</v>
      </c>
      <c r="I1097" s="16" t="s">
        <v>4569</v>
      </c>
      <c r="J1097" s="8">
        <f>IFERROR(VLOOKUP($G1097,今日總結!$A:$AN,39,0),"")</f>
        <v>0</v>
      </c>
      <c r="K1097" s="5">
        <f>IFERROR(VLOOKUP($G1097,今日總結!$A:$AN,40,0),"")</f>
        <v>0</v>
      </c>
      <c r="L1097" s="156">
        <f>IFERROR(VLOOKUP($G1097,今日總結!$A:$AN,37,0),"")</f>
        <v>0</v>
      </c>
      <c r="M1097" s="337">
        <f>IFERROR(VLOOKUP($G1097,今日總結!$A:$AN,38,0),"")</f>
        <v>0</v>
      </c>
      <c r="N1097" s="240">
        <f t="shared" si="197"/>
        <v>0</v>
      </c>
      <c r="O1097" s="359">
        <f>IFERROR(VLOOKUP($G1097,融外自投!$A:$J,7,0),"無")</f>
        <v>300</v>
      </c>
      <c r="P1097" s="79">
        <f>IFERROR(VLOOKUP($G1097,融外自投!$A:$J,9,0),"無")</f>
        <v>1051</v>
      </c>
      <c r="Q1097" s="342">
        <f>IFERROR(VLOOKUP($G1097,融外自投!$A:$J,8,0),"無")</f>
        <v>1070</v>
      </c>
      <c r="R1097" s="81" t="str">
        <f>IFERROR(VLOOKUP($G1097,融外自投!$A:$J,10,0),"無")</f>
        <v>無</v>
      </c>
      <c r="S1097" s="324">
        <f>IFERROR(VLOOKUP($G1097,'321買'!$A:$E,4,0),"'沒有資料'")</f>
        <v>650</v>
      </c>
      <c r="T1097" s="186">
        <f>IFERROR(VLOOKUP($G1097,基本資料!$A:$J,9,0),"無")</f>
        <v>0.38</v>
      </c>
      <c r="U1097" s="307">
        <f t="shared" si="196"/>
        <v>2.1468926553672319E-2</v>
      </c>
      <c r="V1097" s="94">
        <f>IFERROR(VLOOKUP($G1097,基本資料!$A:$J,10,0),"無")</f>
        <v>0.48</v>
      </c>
      <c r="W1097" s="36">
        <f>RTD("money.excel",,"3390","Price")</f>
        <v>17.7</v>
      </c>
      <c r="X1097" s="66"/>
      <c r="Y1097" s="15">
        <f t="shared" si="193"/>
        <v>17.7</v>
      </c>
      <c r="Z1097" s="3" t="e">
        <f t="shared" si="194"/>
        <v>#DIV/0!</v>
      </c>
      <c r="AA1097" s="340">
        <f>IFERROR(VLOOKUP($G1097,基本資料!$A:$M,11,0),"無")</f>
        <v>-43.18</v>
      </c>
      <c r="AB1097" s="389">
        <f>IFERROR(VLOOKUP($G1097,基本資料!$A:$M,12,0),"無")</f>
        <v>32.92</v>
      </c>
      <c r="AC1097" s="16" t="s">
        <v>4569</v>
      </c>
      <c r="AF1097" s="33">
        <f t="shared" si="195"/>
        <v>0</v>
      </c>
      <c r="AG1097" s="43" t="s">
        <v>2399</v>
      </c>
      <c r="AH1097" s="66">
        <f t="shared" si="198"/>
        <v>0.88433674743942037</v>
      </c>
      <c r="AI1097" s="283">
        <f>RTD("money.excel",,$G1097,"PredictVolume")</f>
        <v>177</v>
      </c>
      <c r="AJ1097" s="391">
        <f>IFERROR(VLOOKUP($G1097,基本資料!$A:$M,13,0),"無")</f>
        <v>200.15</v>
      </c>
      <c r="AR1097" s="245" t="str">
        <f>INDEX(基本資料!N:N,MATCH($G1097,基本資料!A:A,0))</f>
        <v>低</v>
      </c>
    </row>
    <row r="1098" spans="1:44">
      <c r="A1098" s="343">
        <f>IFERROR(VLOOKUP($G1098,基本資料!$A:$J,3,0),"無")</f>
        <v>6.65</v>
      </c>
      <c r="B1098" s="79">
        <f>IFERROR(VLOOKUP($G1098,基本資料!$A:$J,4,0),"無")</f>
        <v>75</v>
      </c>
      <c r="C1098" s="79">
        <f>IFERROR(VLOOKUP($G1098,基本資料!$A:$J,5,0),"無")</f>
        <v>10</v>
      </c>
      <c r="D1098" s="79">
        <f>IFERROR(VLOOKUP($G1098,基本資料!$A:$J,6,0),"無")</f>
        <v>81</v>
      </c>
      <c r="E1098" s="79">
        <f>IFERROR(VLOOKUP($G1098,基本資料!$A:$J,7,0),"無")</f>
        <v>-54</v>
      </c>
      <c r="F1098" s="6">
        <f>IFERROR(VLOOKUP($G1098,基本資料!$A:$J,8,0),"無")</f>
        <v>-54.85</v>
      </c>
      <c r="G1098" s="79">
        <v>3432</v>
      </c>
      <c r="H1098" s="8" t="s">
        <v>308</v>
      </c>
      <c r="I1098" s="22" t="s">
        <v>390</v>
      </c>
      <c r="J1098" s="8">
        <f>IFERROR(VLOOKUP($G1098,今日總結!$A:$AN,39,0),"")</f>
        <v>0</v>
      </c>
      <c r="K1098" s="5">
        <f>IFERROR(VLOOKUP($G1098,今日總結!$A:$AN,40,0),"")</f>
        <v>0</v>
      </c>
      <c r="L1098" s="156">
        <f>IFERROR(VLOOKUP($G1098,今日總結!$A:$AN,37,0),"")</f>
        <v>0</v>
      </c>
      <c r="M1098" s="337">
        <f>IFERROR(VLOOKUP($G1098,今日總結!$A:$AN,38,0),"")</f>
        <v>0</v>
      </c>
      <c r="N1098" s="240">
        <f t="shared" si="197"/>
        <v>0</v>
      </c>
      <c r="O1098" s="359">
        <f>IFERROR(VLOOKUP($G1098,融外自投!$A:$J,7,0),"無")</f>
        <v>440</v>
      </c>
      <c r="P1098" s="79">
        <f>IFERROR(VLOOKUP($G1098,融外自投!$A:$J,9,0),"無")</f>
        <v>908</v>
      </c>
      <c r="Q1098" s="342">
        <f>IFERROR(VLOOKUP($G1098,融外自投!$A:$J,8,0),"無")</f>
        <v>795</v>
      </c>
      <c r="R1098" s="81" t="str">
        <f>IFERROR(VLOOKUP($G1098,融外自投!$A:$J,10,0),"無")</f>
        <v>無</v>
      </c>
      <c r="S1098" s="324">
        <f>IFERROR(VLOOKUP($G1098,'321買'!$A:$E,4,0),"'沒有資料'")</f>
        <v>650</v>
      </c>
      <c r="T1098" s="186">
        <f>IFERROR(VLOOKUP($G1098,基本資料!$A:$J,9,0),"無")</f>
        <v>0.5</v>
      </c>
      <c r="U1098" s="307">
        <f t="shared" si="196"/>
        <v>3.7453183520599252E-2</v>
      </c>
      <c r="V1098" s="94">
        <f>IFERROR(VLOOKUP($G1098,基本資料!$A:$J,10,0),"無")</f>
        <v>0.86</v>
      </c>
      <c r="W1098" s="36">
        <f>RTD("money.excel",,"3432","Price")</f>
        <v>13.35</v>
      </c>
      <c r="X1098" s="66"/>
      <c r="Y1098" s="15">
        <f t="shared" si="193"/>
        <v>13.35</v>
      </c>
      <c r="Z1098" s="3" t="e">
        <f t="shared" si="194"/>
        <v>#DIV/0!</v>
      </c>
      <c r="AA1098" s="340">
        <f>IFERROR(VLOOKUP($G1098,基本資料!$A:$M,11,0),"無")</f>
        <v>-22.38</v>
      </c>
      <c r="AB1098" s="389">
        <f>IFERROR(VLOOKUP($G1098,基本資料!$A:$M,12,0),"無")</f>
        <v>29.97</v>
      </c>
      <c r="AC1098" s="22" t="s">
        <v>390</v>
      </c>
      <c r="AF1098" s="33">
        <f t="shared" si="195"/>
        <v>0</v>
      </c>
      <c r="AG1098" s="43" t="s">
        <v>1902</v>
      </c>
      <c r="AH1098" s="66">
        <f t="shared" si="198"/>
        <v>2.9326047358834244</v>
      </c>
      <c r="AI1098" s="283">
        <f>RTD("money.excel",,$G1098,"PredictVolume")</f>
        <v>161</v>
      </c>
      <c r="AJ1098" s="391">
        <f>IFERROR(VLOOKUP($G1098,基本資料!$A:$M,13,0),"無")</f>
        <v>54.9</v>
      </c>
      <c r="AR1098" s="245" t="str">
        <f>INDEX(基本資料!N:N,MATCH($G1098,基本資料!A:A,0))</f>
        <v>低</v>
      </c>
    </row>
    <row r="1099" spans="1:44">
      <c r="A1099" s="343">
        <f>IFERROR(VLOOKUP($G1099,基本資料!$A:$J,3,0),"無")</f>
        <v>3.23</v>
      </c>
      <c r="B1099" s="79">
        <f>IFERROR(VLOOKUP($G1099,基本資料!$A:$J,4,0),"無")</f>
        <v>1102</v>
      </c>
      <c r="C1099" s="79">
        <f>IFERROR(VLOOKUP($G1099,基本資料!$A:$J,5,0),"無")</f>
        <v>1203</v>
      </c>
      <c r="D1099" s="79">
        <f>IFERROR(VLOOKUP($G1099,基本資料!$A:$J,6,0),"無")</f>
        <v>-26</v>
      </c>
      <c r="E1099" s="79">
        <f>IFERROR(VLOOKUP($G1099,基本資料!$A:$J,7,0),"無")</f>
        <v>-45</v>
      </c>
      <c r="F1099" s="6">
        <f>IFERROR(VLOOKUP($G1099,基本資料!$A:$J,8,0),"無")</f>
        <v>20.239999999999998</v>
      </c>
      <c r="G1099" s="79">
        <v>3465</v>
      </c>
      <c r="H1099" s="8" t="s">
        <v>308</v>
      </c>
      <c r="I1099" s="16" t="s">
        <v>2958</v>
      </c>
      <c r="J1099" s="8" t="str">
        <f>IFERROR(VLOOKUP($G1099,今日總結!$A:$AN,39,0),"")</f>
        <v/>
      </c>
      <c r="K1099" s="5" t="str">
        <f>IFERROR(VLOOKUP($G1099,今日總結!$A:$AN,40,0),"")</f>
        <v/>
      </c>
      <c r="L1099" s="156" t="str">
        <f>IFERROR(VLOOKUP($G1099,今日總結!$A:$AN,37,0),"")</f>
        <v/>
      </c>
      <c r="M1099" s="337" t="str">
        <f>IFERROR(VLOOKUP($G1099,今日總結!$A:$AN,38,0),"")</f>
        <v/>
      </c>
      <c r="N1099" s="240" t="str">
        <f t="shared" si="197"/>
        <v/>
      </c>
      <c r="O1099" s="359" t="str">
        <f>IFERROR(VLOOKUP($G1099,融外自投!$A:$J,7,0),"無")</f>
        <v>無</v>
      </c>
      <c r="P1099" s="79" t="str">
        <f>IFERROR(VLOOKUP($G1099,融外自投!$A:$J,9,0),"無")</f>
        <v>無</v>
      </c>
      <c r="Q1099" s="342" t="str">
        <f>IFERROR(VLOOKUP($G1099,融外自投!$A:$J,8,0),"無")</f>
        <v>無</v>
      </c>
      <c r="R1099" s="81" t="str">
        <f>IFERROR(VLOOKUP($G1099,融外自投!$A:$J,10,0),"無")</f>
        <v>無</v>
      </c>
      <c r="S1099" s="324" t="str">
        <f>IFERROR(VLOOKUP($G1099,'321買'!$A:$E,4,0),"'沒有資料'")</f>
        <v>'沒有資料'</v>
      </c>
      <c r="T1099" s="186">
        <f>IFERROR(VLOOKUP($G1099,基本資料!$A:$J,9,0),"無")</f>
        <v>8.5</v>
      </c>
      <c r="U1099" s="307">
        <f t="shared" si="196"/>
        <v>8.8633993743482783E-2</v>
      </c>
      <c r="V1099" s="94">
        <f>IFERROR(VLOOKUP($G1099,基本資料!$A:$J,10,0),"無")</f>
        <v>16.36</v>
      </c>
      <c r="W1099" s="36">
        <f>RTD("money.excel",,"3465","Price")</f>
        <v>95.9</v>
      </c>
      <c r="X1099" s="66"/>
      <c r="Y1099" s="15">
        <f t="shared" si="193"/>
        <v>95.9</v>
      </c>
      <c r="Z1099" s="3" t="e">
        <f t="shared" si="194"/>
        <v>#DIV/0!</v>
      </c>
      <c r="AA1099" s="340">
        <f>IFERROR(VLOOKUP($G1099,基本資料!$A:$M,11,0),"無")</f>
        <v>-64.48</v>
      </c>
      <c r="AB1099" s="389">
        <f>IFERROR(VLOOKUP($G1099,基本資料!$A:$M,12,0),"無")</f>
        <v>7.36</v>
      </c>
      <c r="AC1099" s="16" t="s">
        <v>2958</v>
      </c>
      <c r="AF1099" s="33">
        <f t="shared" si="195"/>
        <v>0</v>
      </c>
      <c r="AG1099" s="43" t="s">
        <v>2400</v>
      </c>
      <c r="AH1099" s="66">
        <f t="shared" si="198"/>
        <v>2.5127334465195248</v>
      </c>
      <c r="AI1099" s="283">
        <f>RTD("money.excel",,$G1099,"PredictVolume")</f>
        <v>74</v>
      </c>
      <c r="AJ1099" s="391">
        <f>IFERROR(VLOOKUP($G1099,基本資料!$A:$M,13,0),"無")</f>
        <v>29.45</v>
      </c>
      <c r="AR1099" s="245" t="str">
        <f>INDEX(基本資料!N:N,MATCH($G1099,基本資料!A:A,0))</f>
        <v>低</v>
      </c>
    </row>
    <row r="1100" spans="1:44">
      <c r="A1100" s="343">
        <f>IFERROR(VLOOKUP($G1100,基本資料!$A:$J,3,0),"無")</f>
        <v>6.97</v>
      </c>
      <c r="B1100" s="79">
        <f>IFERROR(VLOOKUP($G1100,基本資料!$A:$J,4,0),"無")</f>
        <v>56</v>
      </c>
      <c r="C1100" s="79">
        <f>IFERROR(VLOOKUP($G1100,基本資料!$A:$J,5,0),"無")</f>
        <v>51</v>
      </c>
      <c r="D1100" s="79">
        <f>IFERROR(VLOOKUP($G1100,基本資料!$A:$J,6,0),"無")</f>
        <v>-15</v>
      </c>
      <c r="E1100" s="79">
        <f>IFERROR(VLOOKUP($G1100,基本資料!$A:$J,7,0),"無")</f>
        <v>-7</v>
      </c>
      <c r="F1100" s="6">
        <f>IFERROR(VLOOKUP($G1100,基本資料!$A:$J,8,0),"無")</f>
        <v>9.5</v>
      </c>
      <c r="G1100" s="79">
        <v>3484</v>
      </c>
      <c r="H1100" s="8" t="s">
        <v>308</v>
      </c>
      <c r="I1100" s="16" t="s">
        <v>406</v>
      </c>
      <c r="J1100" s="8" t="str">
        <f>IFERROR(VLOOKUP($G1100,今日總結!$A:$AN,39,0),"")</f>
        <v>外</v>
      </c>
      <c r="K1100" s="5" t="str">
        <f>IFERROR(VLOOKUP($G1100,今日總結!$A:$AN,40,0),"")</f>
        <v>自</v>
      </c>
      <c r="L1100" s="156">
        <f>IFERROR(VLOOKUP($G1100,今日總結!$A:$AN,37,0),"")</f>
        <v>1</v>
      </c>
      <c r="M1100" s="337">
        <f>IFERROR(VLOOKUP($G1100,今日總結!$A:$AN,38,0),"")</f>
        <v>3</v>
      </c>
      <c r="N1100" s="240">
        <f t="shared" si="197"/>
        <v>-2</v>
      </c>
      <c r="O1100" s="359">
        <f>IFERROR(VLOOKUP($G1100,融外自投!$A:$J,7,0),"無")</f>
        <v>397</v>
      </c>
      <c r="P1100" s="79">
        <f>IFERROR(VLOOKUP($G1100,融外自投!$A:$J,9,0),"無")</f>
        <v>584</v>
      </c>
      <c r="Q1100" s="342">
        <f>IFERROR(VLOOKUP($G1100,融外自投!$A:$J,8,0),"無")</f>
        <v>958</v>
      </c>
      <c r="R1100" s="81" t="str">
        <f>IFERROR(VLOOKUP($G1100,融外自投!$A:$J,10,0),"無")</f>
        <v>無</v>
      </c>
      <c r="S1100" s="324">
        <f>IFERROR(VLOOKUP($G1100,'321買'!$A:$E,4,0),"'沒有資料'")</f>
        <v>411</v>
      </c>
      <c r="T1100" s="186">
        <f>IFERROR(VLOOKUP($G1100,基本資料!$A:$J,9,0),"無")</f>
        <v>4.0999999999999996</v>
      </c>
      <c r="U1100" s="307">
        <f t="shared" si="196"/>
        <v>6.699346405228758E-2</v>
      </c>
      <c r="V1100" s="94">
        <f>IFERROR(VLOOKUP($G1100,基本資料!$A:$J,10,0),"無")</f>
        <v>8.16</v>
      </c>
      <c r="W1100" s="36">
        <f>RTD("money.excel",,"3484","Price")</f>
        <v>61.2</v>
      </c>
      <c r="X1100" s="66"/>
      <c r="Y1100" s="15">
        <f t="shared" si="193"/>
        <v>61.2</v>
      </c>
      <c r="Z1100" s="3" t="e">
        <f t="shared" si="194"/>
        <v>#DIV/0!</v>
      </c>
      <c r="AA1100" s="340">
        <f>IFERROR(VLOOKUP($G1100,基本資料!$A:$M,11,0),"無")</f>
        <v>-36.25</v>
      </c>
      <c r="AB1100" s="389">
        <f>IFERROR(VLOOKUP($G1100,基本資料!$A:$M,12,0),"無")</f>
        <v>11.59</v>
      </c>
      <c r="AC1100" s="16" t="s">
        <v>406</v>
      </c>
      <c r="AF1100" s="33">
        <f t="shared" si="195"/>
        <v>0</v>
      </c>
      <c r="AG1100" s="43" t="s">
        <v>2893</v>
      </c>
      <c r="AH1100" s="66">
        <f t="shared" si="198"/>
        <v>0.80968858131487886</v>
      </c>
      <c r="AI1100" s="283">
        <f>RTD("money.excel",,$G1100,"PredictVolume")</f>
        <v>234</v>
      </c>
      <c r="AJ1100" s="391">
        <f>IFERROR(VLOOKUP($G1100,基本資料!$A:$M,13,0),"無")</f>
        <v>289</v>
      </c>
      <c r="AR1100" s="245" t="str">
        <f>INDEX(基本資料!N:N,MATCH($G1100,基本資料!A:A,0))</f>
        <v>低</v>
      </c>
    </row>
    <row r="1101" spans="1:44">
      <c r="A1101" s="343">
        <f>IFERROR(VLOOKUP($G1101,基本資料!$A:$J,3,0),"無")</f>
        <v>3.55</v>
      </c>
      <c r="B1101" s="79">
        <f>IFERROR(VLOOKUP($G1101,基本資料!$A:$J,4,0),"無")</f>
        <v>18</v>
      </c>
      <c r="C1101" s="79">
        <f>IFERROR(VLOOKUP($G1101,基本資料!$A:$J,5,0),"無")</f>
        <v>35</v>
      </c>
      <c r="D1101" s="79">
        <f>IFERROR(VLOOKUP($G1101,基本資料!$A:$J,6,0),"無")</f>
        <v>17</v>
      </c>
      <c r="E1101" s="79">
        <f>IFERROR(VLOOKUP($G1101,基本資料!$A:$J,7,0),"無")</f>
        <v>-5</v>
      </c>
      <c r="F1101" s="6">
        <f>IFERROR(VLOOKUP($G1101,基本資料!$A:$J,8,0),"無")</f>
        <v>3.75</v>
      </c>
      <c r="G1101" s="79">
        <v>3492</v>
      </c>
      <c r="H1101" s="8" t="s">
        <v>308</v>
      </c>
      <c r="I1101" s="16" t="s">
        <v>407</v>
      </c>
      <c r="J1101" s="8">
        <f>IFERROR(VLOOKUP($G1101,今日總結!$A:$AN,39,0),"")</f>
        <v>0</v>
      </c>
      <c r="K1101" s="5">
        <f>IFERROR(VLOOKUP($G1101,今日總結!$A:$AN,40,0),"")</f>
        <v>0</v>
      </c>
      <c r="L1101" s="156">
        <f>IFERROR(VLOOKUP($G1101,今日總結!$A:$AN,37,0),"")</f>
        <v>0</v>
      </c>
      <c r="M1101" s="337">
        <f>IFERROR(VLOOKUP($G1101,今日總結!$A:$AN,38,0),"")</f>
        <v>0</v>
      </c>
      <c r="N1101" s="240">
        <f t="shared" si="197"/>
        <v>0</v>
      </c>
      <c r="O1101" s="359">
        <f>IFERROR(VLOOKUP($G1101,融外自投!$A:$J,7,0),"無")</f>
        <v>428</v>
      </c>
      <c r="P1101" s="79" t="str">
        <f>IFERROR(VLOOKUP($G1101,融外自投!$A:$J,9,0),"無")</f>
        <v>無</v>
      </c>
      <c r="Q1101" s="342">
        <f>IFERROR(VLOOKUP($G1101,融外自投!$A:$J,8,0),"無")</f>
        <v>1379</v>
      </c>
      <c r="R1101" s="81" t="str">
        <f>IFERROR(VLOOKUP($G1101,融外自投!$A:$J,10,0),"無")</f>
        <v>無</v>
      </c>
      <c r="S1101" s="324">
        <f>IFERROR(VLOOKUP($G1101,'321買'!$A:$E,4,0),"'沒有資料'")</f>
        <v>801</v>
      </c>
      <c r="T1101" s="186">
        <f>IFERROR(VLOOKUP($G1101,基本資料!$A:$J,9,0),"無")</f>
        <v>0.3</v>
      </c>
      <c r="U1101" s="307">
        <f t="shared" si="196"/>
        <v>1.7543859649122806E-2</v>
      </c>
      <c r="V1101" s="94">
        <f>IFERROR(VLOOKUP($G1101,基本資料!$A:$J,10,0),"無")</f>
        <v>0.5</v>
      </c>
      <c r="W1101" s="36">
        <f>RTD("money.excel",,"3492","Price")</f>
        <v>17.100000000000001</v>
      </c>
      <c r="X1101" s="66"/>
      <c r="Y1101" s="15">
        <f t="shared" si="193"/>
        <v>17.100000000000001</v>
      </c>
      <c r="Z1101" s="3" t="e">
        <f t="shared" si="194"/>
        <v>#DIV/0!</v>
      </c>
      <c r="AA1101" s="340">
        <f>IFERROR(VLOOKUP($G1101,基本資料!$A:$M,11,0),"無")</f>
        <v>-35.71</v>
      </c>
      <c r="AB1101" s="389">
        <f>IFERROR(VLOOKUP($G1101,基本資料!$A:$M,12,0),"無")</f>
        <v>17.2</v>
      </c>
      <c r="AC1101" s="16" t="s">
        <v>407</v>
      </c>
      <c r="AF1101" s="33">
        <f t="shared" si="195"/>
        <v>0</v>
      </c>
      <c r="AG1101" s="43" t="s">
        <v>1902</v>
      </c>
      <c r="AH1101" s="66">
        <f t="shared" si="198"/>
        <v>1.2455516014234875</v>
      </c>
      <c r="AI1101" s="283">
        <f>RTD("money.excel",,$G1101,"PredictVolume")</f>
        <v>70</v>
      </c>
      <c r="AJ1101" s="391">
        <f>IFERROR(VLOOKUP($G1101,基本資料!$A:$M,13,0),"無")</f>
        <v>56.2</v>
      </c>
      <c r="AR1101" s="245" t="str">
        <f>INDEX(基本資料!N:N,MATCH($G1101,基本資料!A:A,0))</f>
        <v>低</v>
      </c>
    </row>
    <row r="1102" spans="1:44">
      <c r="A1102" s="343">
        <f>IFERROR(VLOOKUP($G1102,基本資料!$A:$J,3,0),"無")</f>
        <v>11.82</v>
      </c>
      <c r="B1102" s="79">
        <f>IFERROR(VLOOKUP($G1102,基本資料!$A:$J,4,0),"無")</f>
        <v>-18</v>
      </c>
      <c r="C1102" s="79">
        <f>IFERROR(VLOOKUP($G1102,基本資料!$A:$J,5,0),"無")</f>
        <v>-18</v>
      </c>
      <c r="D1102" s="79">
        <f>IFERROR(VLOOKUP($G1102,基本資料!$A:$J,6,0),"無")</f>
        <v>-26</v>
      </c>
      <c r="E1102" s="79">
        <f>IFERROR(VLOOKUP($G1102,基本資料!$A:$J,7,0),"無")</f>
        <v>-11</v>
      </c>
      <c r="F1102" s="6">
        <f>IFERROR(VLOOKUP($G1102,基本資料!$A:$J,8,0),"無")</f>
        <v>7.95</v>
      </c>
      <c r="G1102" s="79">
        <v>3501</v>
      </c>
      <c r="H1102" s="8" t="s">
        <v>308</v>
      </c>
      <c r="I1102" s="22" t="s">
        <v>4570</v>
      </c>
      <c r="J1102" s="8">
        <f>IFERROR(VLOOKUP($G1102,今日總結!$A:$AN,39,0),"")</f>
        <v>0</v>
      </c>
      <c r="K1102" s="5">
        <f>IFERROR(VLOOKUP($G1102,今日總結!$A:$AN,40,0),"")</f>
        <v>0</v>
      </c>
      <c r="L1102" s="156">
        <f>IFERROR(VLOOKUP($G1102,今日總結!$A:$AN,37,0),"")</f>
        <v>0</v>
      </c>
      <c r="M1102" s="337">
        <f>IFERROR(VLOOKUP($G1102,今日總結!$A:$AN,38,0),"")</f>
        <v>0</v>
      </c>
      <c r="N1102" s="240">
        <f t="shared" si="197"/>
        <v>0</v>
      </c>
      <c r="O1102" s="359">
        <f>IFERROR(VLOOKUP($G1102,融外自投!$A:$J,7,0),"無")</f>
        <v>1230</v>
      </c>
      <c r="P1102" s="79">
        <f>IFERROR(VLOOKUP($G1102,融外自投!$A:$J,9,0),"無")</f>
        <v>1051</v>
      </c>
      <c r="Q1102" s="342">
        <f>IFERROR(VLOOKUP($G1102,融外自投!$A:$J,8,0),"無")</f>
        <v>842</v>
      </c>
      <c r="R1102" s="81" t="str">
        <f>IFERROR(VLOOKUP($G1102,融外自投!$A:$J,10,0),"無")</f>
        <v>無</v>
      </c>
      <c r="S1102" s="324">
        <f>IFERROR(VLOOKUP($G1102,'321買'!$A:$E,4,0),"'沒有資料'")</f>
        <v>1002</v>
      </c>
      <c r="T1102" s="186">
        <f>IFERROR(VLOOKUP($G1102,基本資料!$A:$J,9,0),"無")</f>
        <v>2</v>
      </c>
      <c r="U1102" s="307">
        <f t="shared" si="196"/>
        <v>4.7393364928909949E-2</v>
      </c>
      <c r="V1102" s="94">
        <f>IFERROR(VLOOKUP($G1102,基本資料!$A:$J,10,0),"無")</f>
        <v>2.92</v>
      </c>
      <c r="W1102" s="36">
        <f>RTD("money.excel",,"3501","Price")</f>
        <v>42.2</v>
      </c>
      <c r="X1102" s="66"/>
      <c r="Y1102" s="15">
        <f t="shared" si="193"/>
        <v>42.2</v>
      </c>
      <c r="Z1102" s="3" t="e">
        <f t="shared" si="194"/>
        <v>#DIV/0!</v>
      </c>
      <c r="AA1102" s="340">
        <f>IFERROR(VLOOKUP($G1102,基本資料!$A:$M,11,0),"無")</f>
        <v>-19.47</v>
      </c>
      <c r="AB1102" s="389">
        <f>IFERROR(VLOOKUP($G1102,基本資料!$A:$M,12,0),"無")</f>
        <v>10.31</v>
      </c>
      <c r="AC1102" s="22" t="s">
        <v>4570</v>
      </c>
      <c r="AF1102" s="33">
        <f t="shared" si="195"/>
        <v>0</v>
      </c>
      <c r="AG1102" s="119" t="s">
        <v>1705</v>
      </c>
      <c r="AH1102" s="66">
        <f t="shared" si="198"/>
        <v>0.42617960426179602</v>
      </c>
      <c r="AI1102" s="283">
        <f>RTD("money.excel",,$G1102,"PredictVolume")</f>
        <v>28</v>
      </c>
      <c r="AJ1102" s="391">
        <f>IFERROR(VLOOKUP($G1102,基本資料!$A:$M,13,0),"無")</f>
        <v>65.7</v>
      </c>
      <c r="AR1102" s="245" t="str">
        <f>INDEX(基本資料!N:N,MATCH($G1102,基本資料!A:A,0))</f>
        <v>低</v>
      </c>
    </row>
    <row r="1103" spans="1:44">
      <c r="A1103" s="343">
        <f>IFERROR(VLOOKUP($G1103,基本資料!$A:$J,3,0),"無")</f>
        <v>7.99</v>
      </c>
      <c r="B1103" s="79">
        <f>IFERROR(VLOOKUP($G1103,基本資料!$A:$J,4,0),"無")</f>
        <v>65</v>
      </c>
      <c r="C1103" s="79">
        <f>IFERROR(VLOOKUP($G1103,基本資料!$A:$J,5,0),"無")</f>
        <v>69</v>
      </c>
      <c r="D1103" s="79">
        <f>IFERROR(VLOOKUP($G1103,基本資料!$A:$J,6,0),"無")</f>
        <v>-8</v>
      </c>
      <c r="E1103" s="79">
        <f>IFERROR(VLOOKUP($G1103,基本資料!$A:$J,7,0),"無")</f>
        <v>17</v>
      </c>
      <c r="F1103" s="6">
        <f>IFERROR(VLOOKUP($G1103,基本資料!$A:$J,8,0),"無")</f>
        <v>6.1</v>
      </c>
      <c r="G1103" s="79">
        <v>3511</v>
      </c>
      <c r="H1103" s="8" t="s">
        <v>308</v>
      </c>
      <c r="I1103" s="16" t="s">
        <v>4571</v>
      </c>
      <c r="J1103" s="8">
        <f>IFERROR(VLOOKUP($G1103,今日總結!$A:$AN,39,0),"")</f>
        <v>0</v>
      </c>
      <c r="K1103" s="5">
        <f>IFERROR(VLOOKUP($G1103,今日總結!$A:$AN,40,0),"")</f>
        <v>0</v>
      </c>
      <c r="L1103" s="156">
        <f>IFERROR(VLOOKUP($G1103,今日總結!$A:$AN,37,0),"")</f>
        <v>0</v>
      </c>
      <c r="M1103" s="337">
        <f>IFERROR(VLOOKUP($G1103,今日總結!$A:$AN,38,0),"")</f>
        <v>0</v>
      </c>
      <c r="N1103" s="240">
        <f t="shared" si="197"/>
        <v>0</v>
      </c>
      <c r="O1103" s="359">
        <f>IFERROR(VLOOKUP($G1103,融外自投!$A:$J,7,0),"無")</f>
        <v>24</v>
      </c>
      <c r="P1103" s="79">
        <f>IFERROR(VLOOKUP($G1103,融外自投!$A:$J,9,0),"無")</f>
        <v>487</v>
      </c>
      <c r="Q1103" s="342">
        <f>IFERROR(VLOOKUP($G1103,融外自投!$A:$J,8,0),"無")</f>
        <v>1230</v>
      </c>
      <c r="R1103" s="81" t="str">
        <f>IFERROR(VLOOKUP($G1103,融外自投!$A:$J,10,0),"無")</f>
        <v>無</v>
      </c>
      <c r="S1103" s="324">
        <f>IFERROR(VLOOKUP($G1103,'321買'!$A:$E,4,0),"'沒有資料'")</f>
        <v>321</v>
      </c>
      <c r="T1103" s="186">
        <f>IFERROR(VLOOKUP($G1103,基本資料!$A:$J,9,0),"無")</f>
        <v>1</v>
      </c>
      <c r="U1103" s="307">
        <f t="shared" si="196"/>
        <v>2.8089887640449437E-2</v>
      </c>
      <c r="V1103" s="94">
        <f>IFERROR(VLOOKUP($G1103,基本資料!$A:$J,10,0),"無")</f>
        <v>1.39</v>
      </c>
      <c r="W1103" s="36">
        <f>RTD("money.excel",,"3511","Price")</f>
        <v>35.6</v>
      </c>
      <c r="X1103" s="66"/>
      <c r="Y1103" s="15">
        <f t="shared" si="193"/>
        <v>35.6</v>
      </c>
      <c r="Z1103" s="3" t="e">
        <f t="shared" si="194"/>
        <v>#DIV/0!</v>
      </c>
      <c r="AA1103" s="340">
        <f>IFERROR(VLOOKUP($G1103,基本資料!$A:$M,11,0),"無")</f>
        <v>-40.67</v>
      </c>
      <c r="AB1103" s="389">
        <f>IFERROR(VLOOKUP($G1103,基本資料!$A:$M,12,0),"無")</f>
        <v>30.99</v>
      </c>
      <c r="AC1103" s="16" t="s">
        <v>4571</v>
      </c>
      <c r="AF1103" s="33">
        <f t="shared" si="195"/>
        <v>0</v>
      </c>
      <c r="AG1103" s="43" t="s">
        <v>1902</v>
      </c>
      <c r="AH1103" s="66">
        <f t="shared" si="198"/>
        <v>0.28077823007147662</v>
      </c>
      <c r="AI1103" s="283">
        <f>RTD("money.excel",,$G1103,"PredictVolume")</f>
        <v>438</v>
      </c>
      <c r="AJ1103" s="391">
        <f>IFERROR(VLOOKUP($G1103,基本資料!$A:$M,13,0),"無")</f>
        <v>1559.95</v>
      </c>
      <c r="AR1103" s="245" t="str">
        <f>INDEX(基本資料!N:N,MATCH($G1103,基本資料!A:A,0))</f>
        <v>低</v>
      </c>
    </row>
    <row r="1104" spans="1:44">
      <c r="A1104" s="343">
        <f>IFERROR(VLOOKUP($G1104,基本資料!$A:$J,3,0),"無")</f>
        <v>8.4</v>
      </c>
      <c r="B1104" s="79">
        <f>IFERROR(VLOOKUP($G1104,基本資料!$A:$J,4,0),"無")</f>
        <v>56</v>
      </c>
      <c r="C1104" s="79">
        <f>IFERROR(VLOOKUP($G1104,基本資料!$A:$J,5,0),"無")</f>
        <v>76</v>
      </c>
      <c r="D1104" s="79">
        <f>IFERROR(VLOOKUP($G1104,基本資料!$A:$J,6,0),"無")</f>
        <v>-26</v>
      </c>
      <c r="E1104" s="79">
        <f>IFERROR(VLOOKUP($G1104,基本資料!$A:$J,7,0),"無")</f>
        <v>46</v>
      </c>
      <c r="F1104" s="6">
        <f>IFERROR(VLOOKUP($G1104,基本資料!$A:$J,8,0),"無")</f>
        <v>16.18</v>
      </c>
      <c r="G1104" s="79">
        <v>3512</v>
      </c>
      <c r="H1104" s="8" t="s">
        <v>308</v>
      </c>
      <c r="I1104" s="16" t="s">
        <v>1065</v>
      </c>
      <c r="J1104" s="8">
        <f>IFERROR(VLOOKUP($G1104,今日總結!$A:$AN,39,0),"")</f>
        <v>0</v>
      </c>
      <c r="K1104" s="5">
        <f>IFERROR(VLOOKUP($G1104,今日總結!$A:$AN,40,0),"")</f>
        <v>0</v>
      </c>
      <c r="L1104" s="156">
        <f>IFERROR(VLOOKUP($G1104,今日總結!$A:$AN,37,0),"")</f>
        <v>0</v>
      </c>
      <c r="M1104" s="337">
        <f>IFERROR(VLOOKUP($G1104,今日總結!$A:$AN,38,0),"")</f>
        <v>0</v>
      </c>
      <c r="N1104" s="240">
        <f t="shared" si="197"/>
        <v>0</v>
      </c>
      <c r="O1104" s="359">
        <f>IFERROR(VLOOKUP($G1104,融外自投!$A:$J,7,0),"無")</f>
        <v>492</v>
      </c>
      <c r="P1104" s="79" t="str">
        <f>IFERROR(VLOOKUP($G1104,融外自投!$A:$J,9,0),"無")</f>
        <v>無</v>
      </c>
      <c r="Q1104" s="342">
        <f>IFERROR(VLOOKUP($G1104,融外自投!$A:$J,8,0),"無")</f>
        <v>1439</v>
      </c>
      <c r="R1104" s="81" t="str">
        <f>IFERROR(VLOOKUP($G1104,融外自投!$A:$J,10,0),"無")</f>
        <v>無</v>
      </c>
      <c r="S1104" s="324">
        <f>IFERROR(VLOOKUP($G1104,'321買'!$A:$E,4,0),"'沒有資料'")</f>
        <v>1002</v>
      </c>
      <c r="T1104" s="186">
        <f>IFERROR(VLOOKUP($G1104,基本資料!$A:$J,9,0),"無")</f>
        <v>3</v>
      </c>
      <c r="U1104" s="307">
        <f t="shared" si="196"/>
        <v>9.202453987730061E-2</v>
      </c>
      <c r="V1104" s="94">
        <f>IFERROR(VLOOKUP($G1104,基本資料!$A:$J,10,0),"無")</f>
        <v>3.79</v>
      </c>
      <c r="W1104" s="36">
        <f>RTD("money.excel",,"3512","Price")</f>
        <v>32.6</v>
      </c>
      <c r="X1104" s="66"/>
      <c r="Y1104" s="15">
        <f t="shared" si="193"/>
        <v>32.6</v>
      </c>
      <c r="Z1104" s="3" t="e">
        <f t="shared" si="194"/>
        <v>#DIV/0!</v>
      </c>
      <c r="AA1104" s="340">
        <f>IFERROR(VLOOKUP($G1104,基本資料!$A:$M,11,0),"無")</f>
        <v>-11.77</v>
      </c>
      <c r="AB1104" s="389">
        <f>IFERROR(VLOOKUP($G1104,基本資料!$A:$M,12,0),"無")</f>
        <v>23.43</v>
      </c>
      <c r="AC1104" s="16" t="s">
        <v>1065</v>
      </c>
      <c r="AF1104" s="33">
        <f t="shared" si="195"/>
        <v>0</v>
      </c>
      <c r="AG1104" s="43" t="s">
        <v>2401</v>
      </c>
      <c r="AH1104" s="66">
        <f t="shared" si="198"/>
        <v>0.72343632253202717</v>
      </c>
      <c r="AI1104" s="283">
        <f>RTD("money.excel",,$G1104,"PredictVolume")</f>
        <v>48</v>
      </c>
      <c r="AJ1104" s="391">
        <f>IFERROR(VLOOKUP($G1104,基本資料!$A:$M,13,0),"無")</f>
        <v>66.349999999999994</v>
      </c>
      <c r="AR1104" s="245" t="str">
        <f>INDEX(基本資料!N:N,MATCH($G1104,基本資料!A:A,0))</f>
        <v>中</v>
      </c>
    </row>
    <row r="1105" spans="1:44">
      <c r="A1105" s="343">
        <f>IFERROR(VLOOKUP($G1105,基本資料!$A:$J,3,0),"無")</f>
        <v>6.88</v>
      </c>
      <c r="B1105" s="79">
        <f>IFERROR(VLOOKUP($G1105,基本資料!$A:$J,4,0),"無")</f>
        <v>-27</v>
      </c>
      <c r="C1105" s="79">
        <f>IFERROR(VLOOKUP($G1105,基本資料!$A:$J,5,0),"無")</f>
        <v>-15</v>
      </c>
      <c r="D1105" s="79">
        <f>IFERROR(VLOOKUP($G1105,基本資料!$A:$J,6,0),"無")</f>
        <v>-31</v>
      </c>
      <c r="E1105" s="79">
        <f>IFERROR(VLOOKUP($G1105,基本資料!$A:$J,7,0),"無")</f>
        <v>17</v>
      </c>
      <c r="F1105" s="6">
        <f>IFERROR(VLOOKUP($G1105,基本資料!$A:$J,8,0),"無")</f>
        <v>2.0699999999999998</v>
      </c>
      <c r="G1105" s="79">
        <v>3520</v>
      </c>
      <c r="H1105" s="8" t="s">
        <v>308</v>
      </c>
      <c r="I1105" s="16" t="s">
        <v>2960</v>
      </c>
      <c r="J1105" s="8">
        <f>IFERROR(VLOOKUP($G1105,今日總結!$A:$AN,39,0),"")</f>
        <v>0</v>
      </c>
      <c r="K1105" s="5">
        <f>IFERROR(VLOOKUP($G1105,今日總結!$A:$AN,40,0),"")</f>
        <v>0</v>
      </c>
      <c r="L1105" s="156">
        <f>IFERROR(VLOOKUP($G1105,今日總結!$A:$AN,37,0),"")</f>
        <v>0</v>
      </c>
      <c r="M1105" s="337">
        <f>IFERROR(VLOOKUP($G1105,今日總結!$A:$AN,38,0),"")</f>
        <v>0</v>
      </c>
      <c r="N1105" s="240">
        <f t="shared" si="197"/>
        <v>0</v>
      </c>
      <c r="O1105" s="359">
        <f>IFERROR(VLOOKUP($G1105,融外自投!$A:$J,7,0),"無")</f>
        <v>1213</v>
      </c>
      <c r="P1105" s="79">
        <f>IFERROR(VLOOKUP($G1105,融外自投!$A:$J,9,0),"無")</f>
        <v>1123</v>
      </c>
      <c r="Q1105" s="342">
        <f>IFERROR(VLOOKUP($G1105,融外自投!$A:$J,8,0),"無")</f>
        <v>1440</v>
      </c>
      <c r="R1105" s="81" t="str">
        <f>IFERROR(VLOOKUP($G1105,融外自投!$A:$J,10,0),"無")</f>
        <v>無</v>
      </c>
      <c r="S1105" s="324">
        <f>IFERROR(VLOOKUP($G1105,'321買'!$A:$E,4,0),"'沒有資料'")</f>
        <v>891</v>
      </c>
      <c r="T1105" s="186">
        <f>IFERROR(VLOOKUP($G1105,基本資料!$A:$J,9,0),"無")</f>
        <v>0</v>
      </c>
      <c r="U1105" s="307">
        <f t="shared" si="196"/>
        <v>0</v>
      </c>
      <c r="V1105" s="94">
        <f>IFERROR(VLOOKUP($G1105,基本資料!$A:$J,10,0),"無")</f>
        <v>0.13</v>
      </c>
      <c r="W1105" s="36">
        <f>RTD("money.excel",,"3520","Price")</f>
        <v>13.25</v>
      </c>
      <c r="X1105" s="66"/>
      <c r="Y1105" s="15">
        <f t="shared" si="193"/>
        <v>13.25</v>
      </c>
      <c r="Z1105" s="3" t="e">
        <f t="shared" si="194"/>
        <v>#DIV/0!</v>
      </c>
      <c r="AA1105" s="340">
        <f>IFERROR(VLOOKUP($G1105,基本資料!$A:$M,11,0),"無")</f>
        <v>-25.98</v>
      </c>
      <c r="AB1105" s="389">
        <f>IFERROR(VLOOKUP($G1105,基本資料!$A:$M,12,0),"無")</f>
        <v>17.13</v>
      </c>
      <c r="AC1105" s="16" t="s">
        <v>2960</v>
      </c>
      <c r="AF1105" s="33">
        <f t="shared" si="195"/>
        <v>0</v>
      </c>
      <c r="AG1105" s="43" t="s">
        <v>2402</v>
      </c>
      <c r="AH1105" s="66">
        <f t="shared" si="198"/>
        <v>2.6830015313935682</v>
      </c>
      <c r="AI1105" s="283">
        <f>RTD("money.excel",,$G1105,"PredictVolume")</f>
        <v>438</v>
      </c>
      <c r="AJ1105" s="391">
        <f>IFERROR(VLOOKUP($G1105,基本資料!$A:$M,13,0),"無")</f>
        <v>163.25</v>
      </c>
      <c r="AR1105" s="245" t="str">
        <f>INDEX(基本資料!N:N,MATCH($G1105,基本資料!A:A,0))</f>
        <v>低</v>
      </c>
    </row>
    <row r="1106" spans="1:44">
      <c r="A1106" s="343">
        <f>IFERROR(VLOOKUP($G1106,基本資料!$A:$J,3,0),"無")</f>
        <v>5.89</v>
      </c>
      <c r="B1106" s="79">
        <f>IFERROR(VLOOKUP($G1106,基本資料!$A:$J,4,0),"無")</f>
        <v>23</v>
      </c>
      <c r="C1106" s="79">
        <f>IFERROR(VLOOKUP($G1106,基本資料!$A:$J,5,0),"無")</f>
        <v>17</v>
      </c>
      <c r="D1106" s="79">
        <f>IFERROR(VLOOKUP($G1106,基本資料!$A:$J,6,0),"無")</f>
        <v>-48</v>
      </c>
      <c r="E1106" s="79">
        <f>IFERROR(VLOOKUP($G1106,基本資料!$A:$J,7,0),"無")</f>
        <v>-56</v>
      </c>
      <c r="F1106" s="6">
        <f>IFERROR(VLOOKUP($G1106,基本資料!$A:$J,8,0),"無")</f>
        <v>27.21</v>
      </c>
      <c r="G1106" s="79">
        <v>3526</v>
      </c>
      <c r="H1106" s="8" t="s">
        <v>308</v>
      </c>
      <c r="I1106" s="16" t="s">
        <v>156</v>
      </c>
      <c r="J1106" s="8">
        <f>IFERROR(VLOOKUP($G1106,今日總結!$A:$AN,39,0),"")</f>
        <v>0</v>
      </c>
      <c r="K1106" s="5" t="str">
        <f>IFERROR(VLOOKUP($G1106,今日總結!$A:$AN,40,0),"")</f>
        <v>融</v>
      </c>
      <c r="L1106" s="156">
        <f>IFERROR(VLOOKUP($G1106,今日總結!$A:$AN,37,0),"")</f>
        <v>0</v>
      </c>
      <c r="M1106" s="337">
        <f>IFERROR(VLOOKUP($G1106,今日總結!$A:$AN,38,0),"")</f>
        <v>6</v>
      </c>
      <c r="N1106" s="240">
        <f t="shared" si="197"/>
        <v>-6</v>
      </c>
      <c r="O1106" s="359">
        <f>IFERROR(VLOOKUP($G1106,融外自投!$A:$J,7,0),"無")</f>
        <v>541</v>
      </c>
      <c r="P1106" s="79">
        <f>IFERROR(VLOOKUP($G1106,融外自投!$A:$J,9,0),"無")</f>
        <v>83</v>
      </c>
      <c r="Q1106" s="342">
        <f>IFERROR(VLOOKUP($G1106,融外自投!$A:$J,8,0),"無")</f>
        <v>821</v>
      </c>
      <c r="R1106" s="81">
        <f>IFERROR(VLOOKUP($G1106,融外自投!$A:$J,10,0),"無")</f>
        <v>68</v>
      </c>
      <c r="S1106" s="324">
        <f>IFERROR(VLOOKUP($G1106,'321買'!$A:$E,4,0),"'沒有資料'")</f>
        <v>62</v>
      </c>
      <c r="T1106" s="186">
        <f>IFERROR(VLOOKUP($G1106,基本資料!$A:$J,9,0),"無")</f>
        <v>11.16</v>
      </c>
      <c r="U1106" s="307">
        <f t="shared" si="196"/>
        <v>6.7027027027027022E-2</v>
      </c>
      <c r="V1106" s="94">
        <f>IFERROR(VLOOKUP($G1106,基本資料!$A:$J,10,0),"無")</f>
        <v>11.19</v>
      </c>
      <c r="W1106" s="36">
        <f>RTD("money.excel",,"3526","Price")</f>
        <v>166.5</v>
      </c>
      <c r="X1106" s="66"/>
      <c r="Y1106" s="15">
        <f t="shared" si="193"/>
        <v>166.5</v>
      </c>
      <c r="Z1106" s="3" t="e">
        <f t="shared" si="194"/>
        <v>#DIV/0!</v>
      </c>
      <c r="AA1106" s="340">
        <f>IFERROR(VLOOKUP($G1106,基本資料!$A:$M,11,0),"無")</f>
        <v>-26.65</v>
      </c>
      <c r="AB1106" s="389">
        <f>IFERROR(VLOOKUP($G1106,基本資料!$A:$M,12,0),"無")</f>
        <v>24.51</v>
      </c>
      <c r="AC1106" s="16" t="s">
        <v>156</v>
      </c>
      <c r="AF1106" s="33">
        <f t="shared" si="195"/>
        <v>0</v>
      </c>
      <c r="AG1106" s="117" t="s">
        <v>1902</v>
      </c>
      <c r="AH1106" s="66">
        <f t="shared" si="198"/>
        <v>0.99834983498349827</v>
      </c>
      <c r="AI1106" s="283">
        <f>RTD("money.excel",,$G1106,"PredictVolume")</f>
        <v>484</v>
      </c>
      <c r="AJ1106" s="391">
        <f>IFERROR(VLOOKUP($G1106,基本資料!$A:$M,13,0),"無")</f>
        <v>484.8</v>
      </c>
      <c r="AR1106" s="245" t="str">
        <f>INDEX(基本資料!N:N,MATCH($G1106,基本資料!A:A,0))</f>
        <v>低</v>
      </c>
    </row>
    <row r="1107" spans="1:44">
      <c r="A1107" s="343">
        <f>IFERROR(VLOOKUP($G1107,基本資料!$A:$J,3,0),"無")</f>
        <v>10.61</v>
      </c>
      <c r="B1107" s="79">
        <f>IFERROR(VLOOKUP($G1107,基本資料!$A:$J,4,0),"無")</f>
        <v>24</v>
      </c>
      <c r="C1107" s="79">
        <f>IFERROR(VLOOKUP($G1107,基本資料!$A:$J,5,0),"無")</f>
        <v>17</v>
      </c>
      <c r="D1107" s="79">
        <f>IFERROR(VLOOKUP($G1107,基本資料!$A:$J,6,0),"無")</f>
        <v>-9</v>
      </c>
      <c r="E1107" s="79">
        <f>IFERROR(VLOOKUP($G1107,基本資料!$A:$J,7,0),"無")</f>
        <v>23</v>
      </c>
      <c r="F1107" s="6">
        <f>IFERROR(VLOOKUP($G1107,基本資料!$A:$J,8,0),"無")</f>
        <v>20.38</v>
      </c>
      <c r="G1107" s="79">
        <v>3533</v>
      </c>
      <c r="H1107" s="8" t="s">
        <v>308</v>
      </c>
      <c r="I1107" s="22" t="s">
        <v>4572</v>
      </c>
      <c r="J1107" s="8">
        <f>IFERROR(VLOOKUP($G1107,今日總結!$A:$AN,39,0),"")</f>
        <v>0</v>
      </c>
      <c r="K1107" s="5" t="str">
        <f>IFERROR(VLOOKUP($G1107,今日總結!$A:$AN,40,0),"")</f>
        <v>券</v>
      </c>
      <c r="L1107" s="156">
        <f>IFERROR(VLOOKUP($G1107,今日總結!$A:$AN,37,0),"")</f>
        <v>0</v>
      </c>
      <c r="M1107" s="337">
        <f>IFERROR(VLOOKUP($G1107,今日總結!$A:$AN,38,0),"")</f>
        <v>2</v>
      </c>
      <c r="N1107" s="240">
        <f t="shared" si="197"/>
        <v>-2</v>
      </c>
      <c r="O1107" s="359">
        <f>IFERROR(VLOOKUP($G1107,融外自投!$A:$J,7,0),"無")</f>
        <v>1110</v>
      </c>
      <c r="P1107" s="79">
        <f>IFERROR(VLOOKUP($G1107,融外自投!$A:$J,9,0),"無")</f>
        <v>324</v>
      </c>
      <c r="Q1107" s="342">
        <f>IFERROR(VLOOKUP($G1107,融外自投!$A:$J,8,0),"無")</f>
        <v>142</v>
      </c>
      <c r="R1107" s="81">
        <f>IFERROR(VLOOKUP($G1107,融外自投!$A:$J,10,0),"無")</f>
        <v>15</v>
      </c>
      <c r="S1107" s="324">
        <f>IFERROR(VLOOKUP($G1107,'321買'!$A:$E,4,0),"'沒有資料'")</f>
        <v>231</v>
      </c>
      <c r="T1107" s="186">
        <f>IFERROR(VLOOKUP($G1107,基本資料!$A:$J,9,0),"無")</f>
        <v>16</v>
      </c>
      <c r="U1107" s="307">
        <f t="shared" si="196"/>
        <v>1.9631901840490799E-2</v>
      </c>
      <c r="V1107" s="94">
        <f>IFERROR(VLOOKUP($G1107,基本資料!$A:$J,10,0),"無")</f>
        <v>33.32</v>
      </c>
      <c r="W1107" s="36">
        <f>RTD("money.excel",,"3533","Price")</f>
        <v>815</v>
      </c>
      <c r="X1107" s="66"/>
      <c r="Y1107" s="15">
        <f t="shared" si="193"/>
        <v>815</v>
      </c>
      <c r="Z1107" s="3" t="e">
        <f t="shared" si="194"/>
        <v>#DIV/0!</v>
      </c>
      <c r="AA1107" s="340">
        <f>IFERROR(VLOOKUP($G1107,基本資料!$A:$M,11,0),"無")</f>
        <v>-2.04</v>
      </c>
      <c r="AB1107" s="389">
        <f>IFERROR(VLOOKUP($G1107,基本資料!$A:$M,12,0),"無")</f>
        <v>83.51</v>
      </c>
      <c r="AC1107" s="22" t="s">
        <v>4572</v>
      </c>
      <c r="AF1107" s="33">
        <f t="shared" si="195"/>
        <v>0</v>
      </c>
      <c r="AG1107" s="117" t="s">
        <v>2584</v>
      </c>
      <c r="AH1107" s="66">
        <f t="shared" si="198"/>
        <v>2.0126772528262431</v>
      </c>
      <c r="AI1107" s="283">
        <f>RTD("money.excel",,$G1107,"PredictVolume")</f>
        <v>1540</v>
      </c>
      <c r="AJ1107" s="391">
        <f>IFERROR(VLOOKUP($G1107,基本資料!$A:$M,13,0),"無")</f>
        <v>765.15</v>
      </c>
      <c r="AR1107" s="245" t="str">
        <f>INDEX(基本資料!N:N,MATCH($G1107,基本資料!A:A,0))</f>
        <v>高</v>
      </c>
    </row>
    <row r="1108" spans="1:44">
      <c r="A1108" s="343">
        <f>IFERROR(VLOOKUP($G1108,基本資料!$A:$J,3,0),"無")</f>
        <v>5.35</v>
      </c>
      <c r="B1108" s="79">
        <f>IFERROR(VLOOKUP($G1108,基本資料!$A:$J,4,0),"無")</f>
        <v>41</v>
      </c>
      <c r="C1108" s="79">
        <f>IFERROR(VLOOKUP($G1108,基本資料!$A:$J,5,0),"無")</f>
        <v>26</v>
      </c>
      <c r="D1108" s="79">
        <f>IFERROR(VLOOKUP($G1108,基本資料!$A:$J,6,0),"無")</f>
        <v>-52</v>
      </c>
      <c r="E1108" s="79">
        <f>IFERROR(VLOOKUP($G1108,基本資料!$A:$J,7,0),"無")</f>
        <v>-49</v>
      </c>
      <c r="F1108" s="6">
        <f>IFERROR(VLOOKUP($G1108,基本資料!$A:$J,8,0),"無")</f>
        <v>9.3000000000000007</v>
      </c>
      <c r="G1108" s="79">
        <v>3537</v>
      </c>
      <c r="H1108" s="8" t="s">
        <v>308</v>
      </c>
      <c r="I1108" s="16" t="s">
        <v>4573</v>
      </c>
      <c r="J1108" s="8">
        <f>IFERROR(VLOOKUP($G1108,今日總結!$A:$AN,39,0),"")</f>
        <v>0</v>
      </c>
      <c r="K1108" s="5" t="str">
        <f>IFERROR(VLOOKUP($G1108,今日總結!$A:$AN,40,0),"")</f>
        <v>融外</v>
      </c>
      <c r="L1108" s="156">
        <f>IFERROR(VLOOKUP($G1108,今日總結!$A:$AN,37,0),"")</f>
        <v>0</v>
      </c>
      <c r="M1108" s="337">
        <f>IFERROR(VLOOKUP($G1108,今日總結!$A:$AN,38,0),"")</f>
        <v>12</v>
      </c>
      <c r="N1108" s="240">
        <f t="shared" si="197"/>
        <v>-12</v>
      </c>
      <c r="O1108" s="359">
        <f>IFERROR(VLOOKUP($G1108,融外自投!$A:$J,7,0),"無")</f>
        <v>822</v>
      </c>
      <c r="P1108" s="79">
        <f>IFERROR(VLOOKUP($G1108,融外自投!$A:$J,9,0),"無")</f>
        <v>357</v>
      </c>
      <c r="Q1108" s="342">
        <f>IFERROR(VLOOKUP($G1108,融外自投!$A:$J,8,0),"無")</f>
        <v>823</v>
      </c>
      <c r="R1108" s="81" t="str">
        <f>IFERROR(VLOOKUP($G1108,融外自投!$A:$J,10,0),"無")</f>
        <v>無</v>
      </c>
      <c r="S1108" s="324">
        <f>IFERROR(VLOOKUP($G1108,'321買'!$A:$E,4,0),"'沒有資料'")</f>
        <v>465</v>
      </c>
      <c r="T1108" s="186">
        <f>IFERROR(VLOOKUP($G1108,基本資料!$A:$J,9,0),"無")</f>
        <v>3.5</v>
      </c>
      <c r="U1108" s="307">
        <f t="shared" si="196"/>
        <v>8.9399744572158366E-2</v>
      </c>
      <c r="V1108" s="94">
        <f>IFERROR(VLOOKUP($G1108,基本資料!$A:$J,10,0),"無")</f>
        <v>3.97</v>
      </c>
      <c r="W1108" s="36">
        <f>RTD("money.excel",,"3537","Price")</f>
        <v>39.15</v>
      </c>
      <c r="X1108" s="66"/>
      <c r="Y1108" s="15">
        <f t="shared" si="193"/>
        <v>39.15</v>
      </c>
      <c r="Z1108" s="35" t="e">
        <f t="shared" si="194"/>
        <v>#DIV/0!</v>
      </c>
      <c r="AA1108" s="340">
        <f>IFERROR(VLOOKUP($G1108,基本資料!$A:$M,11,0),"無")</f>
        <v>-11.43</v>
      </c>
      <c r="AB1108" s="389">
        <f>IFERROR(VLOOKUP($G1108,基本資料!$A:$M,12,0),"無")</f>
        <v>41.01</v>
      </c>
      <c r="AC1108" s="16" t="s">
        <v>4573</v>
      </c>
      <c r="AF1108" s="33">
        <f t="shared" si="195"/>
        <v>0</v>
      </c>
      <c r="AG1108" s="43" t="s">
        <v>2403</v>
      </c>
      <c r="AH1108" s="66">
        <f t="shared" si="198"/>
        <v>0.39356551616429802</v>
      </c>
      <c r="AI1108" s="283">
        <f>RTD("money.excel",,$G1108,"PredictVolume")</f>
        <v>126</v>
      </c>
      <c r="AJ1108" s="391">
        <f>IFERROR(VLOOKUP($G1108,基本資料!$A:$M,13,0),"無")</f>
        <v>320.14999999999998</v>
      </c>
      <c r="AR1108" s="245" t="str">
        <f>INDEX(基本資料!N:N,MATCH($G1108,基本資料!A:A,0))</f>
        <v>中</v>
      </c>
    </row>
    <row r="1109" spans="1:44">
      <c r="A1109" s="343">
        <f>IFERROR(VLOOKUP($G1109,基本資料!$A:$J,3,0),"無")</f>
        <v>6.01</v>
      </c>
      <c r="B1109" s="79">
        <f>IFERROR(VLOOKUP($G1109,基本資料!$A:$J,4,0),"無")</f>
        <v>-18</v>
      </c>
      <c r="C1109" s="79">
        <f>IFERROR(VLOOKUP($G1109,基本資料!$A:$J,5,0),"無")</f>
        <v>-25</v>
      </c>
      <c r="D1109" s="79">
        <f>IFERROR(VLOOKUP($G1109,基本資料!$A:$J,6,0),"無")</f>
        <v>-43</v>
      </c>
      <c r="E1109" s="79">
        <f>IFERROR(VLOOKUP($G1109,基本資料!$A:$J,7,0),"無")</f>
        <v>-29</v>
      </c>
      <c r="F1109" s="6">
        <f>IFERROR(VLOOKUP($G1109,基本資料!$A:$J,8,0),"無")</f>
        <v>3.09</v>
      </c>
      <c r="G1109" s="79">
        <v>3548</v>
      </c>
      <c r="H1109" s="8" t="s">
        <v>308</v>
      </c>
      <c r="I1109" s="16" t="s">
        <v>141</v>
      </c>
      <c r="J1109" s="8">
        <f>IFERROR(VLOOKUP($G1109,今日總結!$A:$AN,39,0),"")</f>
        <v>0</v>
      </c>
      <c r="K1109" s="5">
        <f>IFERROR(VLOOKUP($G1109,今日總結!$A:$AN,40,0),"")</f>
        <v>0</v>
      </c>
      <c r="L1109" s="156">
        <f>IFERROR(VLOOKUP($G1109,今日總結!$A:$AN,37,0),"")</f>
        <v>0</v>
      </c>
      <c r="M1109" s="337">
        <f>IFERROR(VLOOKUP($G1109,今日總結!$A:$AN,38,0),"")</f>
        <v>0</v>
      </c>
      <c r="N1109" s="240">
        <f t="shared" si="197"/>
        <v>0</v>
      </c>
      <c r="O1109" s="359">
        <f>IFERROR(VLOOKUP($G1109,融外自投!$A:$J,7,0),"無")</f>
        <v>46</v>
      </c>
      <c r="P1109" s="79">
        <f>IFERROR(VLOOKUP($G1109,融外自投!$A:$J,9,0),"無")</f>
        <v>329</v>
      </c>
      <c r="Q1109" s="342">
        <f>IFERROR(VLOOKUP($G1109,融外自投!$A:$J,8,0),"無")</f>
        <v>662</v>
      </c>
      <c r="R1109" s="81">
        <f>IFERROR(VLOOKUP($G1109,融外自投!$A:$J,10,0),"無")</f>
        <v>476</v>
      </c>
      <c r="S1109" s="324">
        <f>IFERROR(VLOOKUP($G1109,'321買'!$A:$E,4,0),"'沒有資料'")</f>
        <v>440</v>
      </c>
      <c r="T1109" s="186">
        <f>IFERROR(VLOOKUP($G1109,基本資料!$A:$J,9,0),"無")</f>
        <v>2</v>
      </c>
      <c r="U1109" s="307">
        <f t="shared" si="196"/>
        <v>3.1496062992125984E-2</v>
      </c>
      <c r="V1109" s="94">
        <f>IFERROR(VLOOKUP($G1109,基本資料!$A:$J,10,0),"無")</f>
        <v>4.12</v>
      </c>
      <c r="W1109" s="36">
        <f>RTD("money.excel",,"3548","Price")</f>
        <v>63.5</v>
      </c>
      <c r="X1109" s="66"/>
      <c r="Y1109" s="15">
        <f t="shared" si="193"/>
        <v>63.5</v>
      </c>
      <c r="Z1109" s="3" t="e">
        <f t="shared" si="194"/>
        <v>#DIV/0!</v>
      </c>
      <c r="AA1109" s="340">
        <f>IFERROR(VLOOKUP($G1109,基本資料!$A:$M,11,0),"無")</f>
        <v>-22.28</v>
      </c>
      <c r="AB1109" s="389">
        <f>IFERROR(VLOOKUP($G1109,基本資料!$A:$M,12,0),"無")</f>
        <v>24.72</v>
      </c>
      <c r="AC1109" s="16" t="s">
        <v>141</v>
      </c>
      <c r="AF1109" s="33">
        <f t="shared" si="195"/>
        <v>0</v>
      </c>
      <c r="AG1109" s="117" t="s">
        <v>2889</v>
      </c>
      <c r="AH1109" s="66">
        <f t="shared" si="198"/>
        <v>0.86982248520710059</v>
      </c>
      <c r="AI1109" s="283">
        <f>RTD("money.excel",,$G1109,"PredictVolume")</f>
        <v>294</v>
      </c>
      <c r="AJ1109" s="391">
        <f>IFERROR(VLOOKUP($G1109,基本資料!$A:$M,13,0),"無")</f>
        <v>338</v>
      </c>
      <c r="AR1109" s="245" t="str">
        <f>INDEX(基本資料!N:N,MATCH($G1109,基本資料!A:A,0))</f>
        <v>中</v>
      </c>
    </row>
    <row r="1110" spans="1:44">
      <c r="A1110" s="343">
        <f>IFERROR(VLOOKUP($G1110,基本資料!$A:$J,3,0),"無")</f>
        <v>8.5</v>
      </c>
      <c r="B1110" s="79">
        <f>IFERROR(VLOOKUP($G1110,基本資料!$A:$J,4,0),"無")</f>
        <v>0</v>
      </c>
      <c r="C1110" s="79">
        <f>IFERROR(VLOOKUP($G1110,基本資料!$A:$J,5,0),"無")</f>
        <v>4</v>
      </c>
      <c r="D1110" s="79">
        <f>IFERROR(VLOOKUP($G1110,基本資料!$A:$J,6,0),"無")</f>
        <v>-17</v>
      </c>
      <c r="E1110" s="79">
        <f>IFERROR(VLOOKUP($G1110,基本資料!$A:$J,7,0),"無")</f>
        <v>-19</v>
      </c>
      <c r="F1110" s="6">
        <f>IFERROR(VLOOKUP($G1110,基本資料!$A:$J,8,0),"無")</f>
        <v>2.63</v>
      </c>
      <c r="G1110" s="79">
        <v>3550</v>
      </c>
      <c r="H1110" s="8" t="s">
        <v>308</v>
      </c>
      <c r="I1110" s="22" t="s">
        <v>4574</v>
      </c>
      <c r="J1110" s="8">
        <f>IFERROR(VLOOKUP($G1110,今日總結!$A:$AN,39,0),"")</f>
        <v>0</v>
      </c>
      <c r="K1110" s="5" t="str">
        <f>IFERROR(VLOOKUP($G1110,今日總結!$A:$AN,40,0),"")</f>
        <v>主</v>
      </c>
      <c r="L1110" s="156">
        <f>IFERROR(VLOOKUP($G1110,今日總結!$A:$AN,37,0),"")</f>
        <v>0</v>
      </c>
      <c r="M1110" s="337">
        <f>IFERROR(VLOOKUP($G1110,今日總結!$A:$AN,38,0),"")</f>
        <v>6</v>
      </c>
      <c r="N1110" s="240">
        <f t="shared" si="197"/>
        <v>-6</v>
      </c>
      <c r="O1110" s="359">
        <f>IFERROR(VLOOKUP($G1110,融外自投!$A:$J,7,0),"無")</f>
        <v>69</v>
      </c>
      <c r="P1110" s="79">
        <f>IFERROR(VLOOKUP($G1110,融外自投!$A:$J,9,0),"無")</f>
        <v>649</v>
      </c>
      <c r="Q1110" s="342">
        <f>IFERROR(VLOOKUP($G1110,融外自投!$A:$J,8,0),"無")</f>
        <v>1104</v>
      </c>
      <c r="R1110" s="81" t="str">
        <f>IFERROR(VLOOKUP($G1110,融外自投!$A:$J,10,0),"無")</f>
        <v>無</v>
      </c>
      <c r="S1110" s="324">
        <f>IFERROR(VLOOKUP($G1110,'321買'!$A:$E,4,0),"'沒有資料'")</f>
        <v>565</v>
      </c>
      <c r="T1110" s="186">
        <f>IFERROR(VLOOKUP($G1110,基本資料!$A:$J,9,0),"無")</f>
        <v>0.6</v>
      </c>
      <c r="U1110" s="307">
        <f t="shared" si="196"/>
        <v>4.3795620437956206E-2</v>
      </c>
      <c r="V1110" s="94">
        <f>IFERROR(VLOOKUP($G1110,基本資料!$A:$J,10,0),"無")</f>
        <v>0.96</v>
      </c>
      <c r="W1110" s="36">
        <f>RTD("money.excel",,"3550","Price")</f>
        <v>13.7</v>
      </c>
      <c r="X1110" s="66"/>
      <c r="Y1110" s="15">
        <f t="shared" si="193"/>
        <v>13.7</v>
      </c>
      <c r="Z1110" s="3" t="e">
        <f t="shared" si="194"/>
        <v>#DIV/0!</v>
      </c>
      <c r="AA1110" s="340">
        <f>IFERROR(VLOOKUP($G1110,基本資料!$A:$M,11,0),"無")</f>
        <v>-41.33</v>
      </c>
      <c r="AB1110" s="389">
        <f>IFERROR(VLOOKUP($G1110,基本資料!$A:$M,12,0),"無")</f>
        <v>9.56</v>
      </c>
      <c r="AC1110" s="22" t="s">
        <v>4574</v>
      </c>
      <c r="AF1110" s="33">
        <f t="shared" si="195"/>
        <v>0</v>
      </c>
      <c r="AG1110" s="43" t="s">
        <v>2585</v>
      </c>
      <c r="AH1110" s="66">
        <f t="shared" si="198"/>
        <v>0.58863791923340181</v>
      </c>
      <c r="AI1110" s="283">
        <f>RTD("money.excel",,$G1110,"PredictVolume")</f>
        <v>86</v>
      </c>
      <c r="AJ1110" s="391">
        <f>IFERROR(VLOOKUP($G1110,基本資料!$A:$M,13,0),"無")</f>
        <v>146.1</v>
      </c>
      <c r="AR1110" s="245" t="str">
        <f>INDEX(基本資料!N:N,MATCH($G1110,基本資料!A:A,0))</f>
        <v>低</v>
      </c>
    </row>
    <row r="1111" spans="1:44">
      <c r="A1111" s="343">
        <f>IFERROR(VLOOKUP($G1111,基本資料!$A:$J,3,0),"無")</f>
        <v>9.3000000000000007</v>
      </c>
      <c r="B1111" s="79">
        <f>IFERROR(VLOOKUP($G1111,基本資料!$A:$J,4,0),"無")</f>
        <v>-171</v>
      </c>
      <c r="C1111" s="79">
        <f>IFERROR(VLOOKUP($G1111,基本資料!$A:$J,5,0),"無")</f>
        <v>-173</v>
      </c>
      <c r="D1111" s="79">
        <f>IFERROR(VLOOKUP($G1111,基本資料!$A:$J,6,0),"無")</f>
        <v>-48</v>
      </c>
      <c r="E1111" s="79">
        <f>IFERROR(VLOOKUP($G1111,基本資料!$A:$J,7,0),"無")</f>
        <v>-63</v>
      </c>
      <c r="F1111" s="6">
        <f>IFERROR(VLOOKUP($G1111,基本資料!$A:$J,8,0),"無")</f>
        <v>-1.64</v>
      </c>
      <c r="G1111" s="79">
        <v>3593</v>
      </c>
      <c r="H1111" s="8" t="s">
        <v>308</v>
      </c>
      <c r="I1111" s="22" t="s">
        <v>4575</v>
      </c>
      <c r="J1111" s="8" t="str">
        <f>IFERROR(VLOOKUP($G1111,今日總結!$A:$AN,39,0),"")</f>
        <v/>
      </c>
      <c r="K1111" s="5" t="str">
        <f>IFERROR(VLOOKUP($G1111,今日總結!$A:$AN,40,0),"")</f>
        <v/>
      </c>
      <c r="L1111" s="156" t="str">
        <f>IFERROR(VLOOKUP($G1111,今日總結!$A:$AN,37,0),"")</f>
        <v/>
      </c>
      <c r="M1111" s="337" t="str">
        <f>IFERROR(VLOOKUP($G1111,今日總結!$A:$AN,38,0),"")</f>
        <v/>
      </c>
      <c r="N1111" s="240" t="str">
        <f t="shared" si="197"/>
        <v/>
      </c>
      <c r="O1111" s="359" t="str">
        <f>IFERROR(VLOOKUP($G1111,融外自投!$A:$J,7,0),"無")</f>
        <v>無</v>
      </c>
      <c r="P1111" s="79" t="str">
        <f>IFERROR(VLOOKUP($G1111,融外自投!$A:$J,9,0),"無")</f>
        <v>無</v>
      </c>
      <c r="Q1111" s="342" t="str">
        <f>IFERROR(VLOOKUP($G1111,融外自投!$A:$J,8,0),"無")</f>
        <v>無</v>
      </c>
      <c r="R1111" s="81" t="str">
        <f>IFERROR(VLOOKUP($G1111,融外自投!$A:$J,10,0),"無")</f>
        <v>無</v>
      </c>
      <c r="S1111" s="324" t="str">
        <f>IFERROR(VLOOKUP($G1111,'321買'!$A:$E,4,0),"'沒有資料'")</f>
        <v>'沒有資料'</v>
      </c>
      <c r="T1111" s="186">
        <f>IFERROR(VLOOKUP($G1111,基本資料!$A:$J,9,0),"無")</f>
        <v>0</v>
      </c>
      <c r="U1111" s="307">
        <f t="shared" si="196"/>
        <v>0</v>
      </c>
      <c r="V1111" s="94">
        <f>IFERROR(VLOOKUP($G1111,基本資料!$A:$J,10,0),"無")</f>
        <v>0.02</v>
      </c>
      <c r="W1111" s="36">
        <f>RTD("money.excel",,"3593","Price")</f>
        <v>14.75</v>
      </c>
      <c r="X1111" s="66"/>
      <c r="Y1111" s="15">
        <f t="shared" si="193"/>
        <v>14.75</v>
      </c>
      <c r="Z1111" s="3" t="e">
        <f t="shared" si="194"/>
        <v>#DIV/0!</v>
      </c>
      <c r="AA1111" s="340">
        <f>IFERROR(VLOOKUP($G1111,基本資料!$A:$M,11,0),"無")</f>
        <v>-21.12</v>
      </c>
      <c r="AB1111" s="389">
        <f>IFERROR(VLOOKUP($G1111,基本資料!$A:$M,12,0),"無")</f>
        <v>38.130000000000003</v>
      </c>
      <c r="AC1111" s="22" t="s">
        <v>4575</v>
      </c>
      <c r="AF1111" s="33">
        <f t="shared" si="195"/>
        <v>0</v>
      </c>
      <c r="AG1111" s="43" t="s">
        <v>2586</v>
      </c>
      <c r="AH1111" s="66">
        <f t="shared" si="198"/>
        <v>0.25751072961373389</v>
      </c>
      <c r="AI1111" s="283">
        <f>RTD("money.excel",,$G1111,"PredictVolume")</f>
        <v>30</v>
      </c>
      <c r="AJ1111" s="391">
        <f>IFERROR(VLOOKUP($G1111,基本資料!$A:$M,13,0),"無")</f>
        <v>116.5</v>
      </c>
      <c r="AR1111" s="245" t="str">
        <f>INDEX(基本資料!N:N,MATCH($G1111,基本資料!A:A,0))</f>
        <v>中</v>
      </c>
    </row>
    <row r="1112" spans="1:44">
      <c r="A1112" s="343">
        <f>IFERROR(VLOOKUP($G1112,基本資料!$A:$J,3,0),"無")</f>
        <v>3.91</v>
      </c>
      <c r="B1112" s="79">
        <f>IFERROR(VLOOKUP($G1112,基本資料!$A:$J,4,0),"無")</f>
        <v>76</v>
      </c>
      <c r="C1112" s="79">
        <f>IFERROR(VLOOKUP($G1112,基本資料!$A:$J,5,0),"無")</f>
        <v>47</v>
      </c>
      <c r="D1112" s="79">
        <f>IFERROR(VLOOKUP($G1112,基本資料!$A:$J,6,0),"無")</f>
        <v>-28</v>
      </c>
      <c r="E1112" s="79">
        <f>IFERROR(VLOOKUP($G1112,基本資料!$A:$J,7,0),"無")</f>
        <v>-28</v>
      </c>
      <c r="F1112" s="6">
        <f>IFERROR(VLOOKUP($G1112,基本資料!$A:$J,8,0),"無")</f>
        <v>10.4</v>
      </c>
      <c r="G1112" s="79">
        <v>3597</v>
      </c>
      <c r="H1112" s="8" t="s">
        <v>308</v>
      </c>
      <c r="I1112" s="16" t="s">
        <v>1806</v>
      </c>
      <c r="J1112" s="8" t="str">
        <f>IFERROR(VLOOKUP($G1112,今日總結!$A:$AN,39,0),"")</f>
        <v/>
      </c>
      <c r="K1112" s="5" t="str">
        <f>IFERROR(VLOOKUP($G1112,今日總結!$A:$AN,40,0),"")</f>
        <v/>
      </c>
      <c r="L1112" s="156" t="str">
        <f>IFERROR(VLOOKUP($G1112,今日總結!$A:$AN,37,0),"")</f>
        <v/>
      </c>
      <c r="M1112" s="337" t="str">
        <f>IFERROR(VLOOKUP($G1112,今日總結!$A:$AN,38,0),"")</f>
        <v/>
      </c>
      <c r="N1112" s="240" t="str">
        <f t="shared" si="197"/>
        <v/>
      </c>
      <c r="O1112" s="359">
        <f>IFERROR(VLOOKUP($G1112,融外自投!$A:$J,7,0),"無")</f>
        <v>457</v>
      </c>
      <c r="P1112" s="79" t="str">
        <f>IFERROR(VLOOKUP($G1112,融外自投!$A:$J,9,0),"無")</f>
        <v>無</v>
      </c>
      <c r="Q1112" s="342">
        <f>IFERROR(VLOOKUP($G1112,融外自投!$A:$J,8,0),"無")</f>
        <v>1397</v>
      </c>
      <c r="R1112" s="81" t="str">
        <f>IFERROR(VLOOKUP($G1112,融外自投!$A:$J,10,0),"無")</f>
        <v>無</v>
      </c>
      <c r="S1112" s="324" t="str">
        <f>IFERROR(VLOOKUP($G1112,'321買'!$A:$E,4,0),"'沒有資料'")</f>
        <v>'沒有資料'</v>
      </c>
      <c r="T1112" s="186">
        <f>IFERROR(VLOOKUP($G1112,基本資料!$A:$J,9,0),"無")</f>
        <v>1.7</v>
      </c>
      <c r="U1112" s="307">
        <f t="shared" si="196"/>
        <v>6.640625E-2</v>
      </c>
      <c r="V1112" s="94">
        <f>IFERROR(VLOOKUP($G1112,基本資料!$A:$J,10,0),"無")</f>
        <v>2.1</v>
      </c>
      <c r="W1112" s="36">
        <f>RTD("money.excel",,"3597","Price")</f>
        <v>25.6</v>
      </c>
      <c r="X1112" s="66"/>
      <c r="Y1112" s="15">
        <f t="shared" si="193"/>
        <v>25.6</v>
      </c>
      <c r="Z1112" s="35" t="e">
        <f t="shared" si="194"/>
        <v>#DIV/0!</v>
      </c>
      <c r="AA1112" s="340">
        <f>IFERROR(VLOOKUP($G1112,基本資料!$A:$M,11,0),"無")</f>
        <v>-27.58</v>
      </c>
      <c r="AB1112" s="389">
        <f>IFERROR(VLOOKUP($G1112,基本資料!$A:$M,12,0),"無")</f>
        <v>23.2</v>
      </c>
      <c r="AC1112" s="16" t="s">
        <v>1806</v>
      </c>
      <c r="AF1112" s="33">
        <f t="shared" si="195"/>
        <v>0</v>
      </c>
      <c r="AG1112" s="43" t="s">
        <v>1882</v>
      </c>
      <c r="AH1112" s="66">
        <f t="shared" si="198"/>
        <v>0.4144144144144144</v>
      </c>
      <c r="AI1112" s="283">
        <f>RTD("money.excel",,$G1112,"PredictVolume")</f>
        <v>23</v>
      </c>
      <c r="AJ1112" s="391">
        <f>IFERROR(VLOOKUP($G1112,基本資料!$A:$M,13,0),"無")</f>
        <v>55.5</v>
      </c>
      <c r="AR1112" s="245" t="str">
        <f>INDEX(基本資料!N:N,MATCH($G1112,基本資料!A:A,0))</f>
        <v>低</v>
      </c>
    </row>
    <row r="1113" spans="1:44">
      <c r="A1113" s="343">
        <f>IFERROR(VLOOKUP($G1113,基本資料!$A:$J,3,0),"無")</f>
        <v>13.43</v>
      </c>
      <c r="B1113" s="79">
        <f>IFERROR(VLOOKUP($G1113,基本資料!$A:$J,4,0),"無")</f>
        <v>95</v>
      </c>
      <c r="C1113" s="79">
        <f>IFERROR(VLOOKUP($G1113,基本資料!$A:$J,5,0),"無")</f>
        <v>47</v>
      </c>
      <c r="D1113" s="79">
        <f>IFERROR(VLOOKUP($G1113,基本資料!$A:$J,6,0),"無")</f>
        <v>-17</v>
      </c>
      <c r="E1113" s="79">
        <f>IFERROR(VLOOKUP($G1113,基本資料!$A:$J,7,0),"無")</f>
        <v>-9</v>
      </c>
      <c r="F1113" s="6">
        <f>IFERROR(VLOOKUP($G1113,基本資料!$A:$J,8,0),"無")</f>
        <v>4.8600000000000003</v>
      </c>
      <c r="G1113" s="79">
        <v>3605</v>
      </c>
      <c r="H1113" s="8" t="s">
        <v>308</v>
      </c>
      <c r="I1113" s="22" t="s">
        <v>391</v>
      </c>
      <c r="J1113" s="8">
        <f>IFERROR(VLOOKUP($G1113,今日總結!$A:$AN,39,0),"")</f>
        <v>0</v>
      </c>
      <c r="K1113" s="5">
        <f>IFERROR(VLOOKUP($G1113,今日總結!$A:$AN,40,0),"")</f>
        <v>0</v>
      </c>
      <c r="L1113" s="156">
        <f>IFERROR(VLOOKUP($G1113,今日總結!$A:$AN,37,0),"")</f>
        <v>0</v>
      </c>
      <c r="M1113" s="337">
        <f>IFERROR(VLOOKUP($G1113,今日總結!$A:$AN,38,0),"")</f>
        <v>0</v>
      </c>
      <c r="N1113" s="240">
        <f t="shared" si="197"/>
        <v>0</v>
      </c>
      <c r="O1113" s="359">
        <f>IFERROR(VLOOKUP($G1113,融外自投!$A:$J,7,0),"無")</f>
        <v>279</v>
      </c>
      <c r="P1113" s="79">
        <f>IFERROR(VLOOKUP($G1113,融外自投!$A:$J,9,0),"無")</f>
        <v>717</v>
      </c>
      <c r="Q1113" s="342">
        <f>IFERROR(VLOOKUP($G1113,融外自投!$A:$J,8,0),"無")</f>
        <v>538</v>
      </c>
      <c r="R1113" s="81" t="str">
        <f>IFERROR(VLOOKUP($G1113,融外自投!$A:$J,10,0),"無")</f>
        <v>無</v>
      </c>
      <c r="S1113" s="324">
        <f>IFERROR(VLOOKUP($G1113,'321買'!$A:$E,4,0),"'沒有資料'")</f>
        <v>300</v>
      </c>
      <c r="T1113" s="186">
        <f>IFERROR(VLOOKUP($G1113,基本資料!$A:$J,9,0),"無")</f>
        <v>1.5</v>
      </c>
      <c r="U1113" s="307">
        <f t="shared" si="196"/>
        <v>3.7037037037037035E-2</v>
      </c>
      <c r="V1113" s="94">
        <f>IFERROR(VLOOKUP($G1113,基本資料!$A:$J,10,0),"無")</f>
        <v>4.16</v>
      </c>
      <c r="W1113" s="36">
        <f>RTD("money.excel",,"3605","Price")</f>
        <v>40.5</v>
      </c>
      <c r="X1113" s="66"/>
      <c r="Y1113" s="15">
        <f t="shared" si="193"/>
        <v>40.5</v>
      </c>
      <c r="Z1113" s="3" t="e">
        <f t="shared" si="194"/>
        <v>#DIV/0!</v>
      </c>
      <c r="AA1113" s="340">
        <f>IFERROR(VLOOKUP($G1113,基本資料!$A:$M,11,0),"無")</f>
        <v>-38.450000000000003</v>
      </c>
      <c r="AB1113" s="389">
        <f>IFERROR(VLOOKUP($G1113,基本資料!$A:$M,12,0),"無")</f>
        <v>11.39</v>
      </c>
      <c r="AC1113" s="22" t="s">
        <v>391</v>
      </c>
      <c r="AF1113" s="33">
        <f t="shared" si="195"/>
        <v>0</v>
      </c>
      <c r="AG1113" s="43" t="s">
        <v>1902</v>
      </c>
      <c r="AH1113" s="66">
        <f t="shared" si="198"/>
        <v>1.4273297923708352</v>
      </c>
      <c r="AI1113" s="283">
        <f>RTD("money.excel",,$G1113,"PredictVolume")</f>
        <v>739</v>
      </c>
      <c r="AJ1113" s="391">
        <f>IFERROR(VLOOKUP($G1113,基本資料!$A:$M,13,0),"無")</f>
        <v>517.75</v>
      </c>
      <c r="AR1113" s="245" t="str">
        <f>INDEX(基本資料!N:N,MATCH($G1113,基本資料!A:A,0))</f>
        <v>低</v>
      </c>
    </row>
    <row r="1114" spans="1:44">
      <c r="A1114" s="343">
        <f>IFERROR(VLOOKUP($G1114,基本資料!$A:$J,3,0),"無")</f>
        <v>12.16</v>
      </c>
      <c r="B1114" s="79">
        <f>IFERROR(VLOOKUP($G1114,基本資料!$A:$J,4,0),"無")</f>
        <v>30</v>
      </c>
      <c r="C1114" s="79">
        <f>IFERROR(VLOOKUP($G1114,基本資料!$A:$J,5,0),"無")</f>
        <v>-1</v>
      </c>
      <c r="D1114" s="79">
        <f>IFERROR(VLOOKUP($G1114,基本資料!$A:$J,6,0),"無")</f>
        <v>-41</v>
      </c>
      <c r="E1114" s="79">
        <f>IFERROR(VLOOKUP($G1114,基本資料!$A:$J,7,0),"無")</f>
        <v>-42</v>
      </c>
      <c r="F1114" s="6">
        <f>IFERROR(VLOOKUP($G1114,基本資料!$A:$J,8,0),"無")</f>
        <v>-12.13</v>
      </c>
      <c r="G1114" s="79">
        <v>3607</v>
      </c>
      <c r="H1114" s="8" t="s">
        <v>308</v>
      </c>
      <c r="I1114" s="22" t="s">
        <v>233</v>
      </c>
      <c r="J1114" s="8">
        <f>IFERROR(VLOOKUP($G1114,今日總結!$A:$AN,39,0),"")</f>
        <v>0</v>
      </c>
      <c r="K1114" s="5">
        <f>IFERROR(VLOOKUP($G1114,今日總結!$A:$AN,40,0),"")</f>
        <v>0</v>
      </c>
      <c r="L1114" s="156">
        <f>IFERROR(VLOOKUP($G1114,今日總結!$A:$AN,37,0),"")</f>
        <v>0</v>
      </c>
      <c r="M1114" s="337">
        <f>IFERROR(VLOOKUP($G1114,今日總結!$A:$AN,38,0),"")</f>
        <v>0</v>
      </c>
      <c r="N1114" s="240">
        <f t="shared" si="197"/>
        <v>0</v>
      </c>
      <c r="O1114" s="359">
        <f>IFERROR(VLOOKUP($G1114,融外自投!$A:$J,7,0),"無")</f>
        <v>524</v>
      </c>
      <c r="P1114" s="79">
        <f>IFERROR(VLOOKUP($G1114,融外自投!$A:$J,9,0),"無")</f>
        <v>790</v>
      </c>
      <c r="Q1114" s="342">
        <f>IFERROR(VLOOKUP($G1114,融外自投!$A:$J,8,0),"無")</f>
        <v>769</v>
      </c>
      <c r="R1114" s="81" t="str">
        <f>IFERROR(VLOOKUP($G1114,融外自投!$A:$J,10,0),"無")</f>
        <v>無</v>
      </c>
      <c r="S1114" s="324">
        <f>IFERROR(VLOOKUP($G1114,'321買'!$A:$E,4,0),"'沒有資料'")</f>
        <v>530</v>
      </c>
      <c r="T1114" s="186">
        <f>IFERROR(VLOOKUP($G1114,基本資料!$A:$J,9,0),"無")</f>
        <v>1</v>
      </c>
      <c r="U1114" s="307">
        <f t="shared" si="196"/>
        <v>7.4906367041198504E-2</v>
      </c>
      <c r="V1114" s="94">
        <f>IFERROR(VLOOKUP($G1114,基本資料!$A:$J,10,0),"無")</f>
        <v>-2.2200000000000002</v>
      </c>
      <c r="W1114" s="36">
        <f>RTD("money.excel",,"3607","Price")</f>
        <v>13.35</v>
      </c>
      <c r="X1114" s="66"/>
      <c r="Y1114" s="15">
        <f t="shared" si="193"/>
        <v>13.35</v>
      </c>
      <c r="Z1114" s="3" t="e">
        <f t="shared" si="194"/>
        <v>#DIV/0!</v>
      </c>
      <c r="AA1114" s="340">
        <f>IFERROR(VLOOKUP($G1114,基本資料!$A:$M,11,0),"無")</f>
        <v>-34.4</v>
      </c>
      <c r="AB1114" s="389">
        <f>IFERROR(VLOOKUP($G1114,基本資料!$A:$M,12,0),"無")</f>
        <v>43.92</v>
      </c>
      <c r="AC1114" s="22" t="s">
        <v>233</v>
      </c>
      <c r="AF1114" s="33">
        <f t="shared" si="195"/>
        <v>0</v>
      </c>
      <c r="AG1114" s="117" t="s">
        <v>2587</v>
      </c>
      <c r="AH1114" s="66">
        <f t="shared" si="198"/>
        <v>0.67347845402043538</v>
      </c>
      <c r="AI1114" s="283">
        <f>RTD("money.excel",,$G1114,"PredictVolume")</f>
        <v>379</v>
      </c>
      <c r="AJ1114" s="391">
        <f>IFERROR(VLOOKUP($G1114,基本資料!$A:$M,13,0),"無")</f>
        <v>562.75</v>
      </c>
      <c r="AR1114" s="245" t="str">
        <f>INDEX(基本資料!N:N,MATCH($G1114,基本資料!A:A,0))</f>
        <v>低</v>
      </c>
    </row>
    <row r="1115" spans="1:44">
      <c r="A1115" s="343">
        <f>IFERROR(VLOOKUP($G1115,基本資料!$A:$J,3,0),"無")</f>
        <v>3.06</v>
      </c>
      <c r="B1115" s="79">
        <f>IFERROR(VLOOKUP($G1115,基本資料!$A:$J,4,0),"無")</f>
        <v>102</v>
      </c>
      <c r="C1115" s="79">
        <f>IFERROR(VLOOKUP($G1115,基本資料!$A:$J,5,0),"無")</f>
        <v>143</v>
      </c>
      <c r="D1115" s="79">
        <f>IFERROR(VLOOKUP($G1115,基本資料!$A:$J,6,0),"無")</f>
        <v>0</v>
      </c>
      <c r="E1115" s="79">
        <f>IFERROR(VLOOKUP($G1115,基本資料!$A:$J,7,0),"無")</f>
        <v>49</v>
      </c>
      <c r="F1115" s="6">
        <f>IFERROR(VLOOKUP($G1115,基本資料!$A:$J,8,0),"無")</f>
        <v>1.1100000000000001</v>
      </c>
      <c r="G1115" s="79">
        <v>3609</v>
      </c>
      <c r="H1115" s="8" t="s">
        <v>308</v>
      </c>
      <c r="I1115" s="16" t="s">
        <v>4576</v>
      </c>
      <c r="J1115" s="8">
        <f>IFERROR(VLOOKUP($G1115,今日總結!$A:$AN,39,0),"")</f>
        <v>0</v>
      </c>
      <c r="K1115" s="5">
        <f>IFERROR(VLOOKUP($G1115,今日總結!$A:$AN,40,0),"")</f>
        <v>0</v>
      </c>
      <c r="L1115" s="156">
        <f>IFERROR(VLOOKUP($G1115,今日總結!$A:$AN,37,0),"")</f>
        <v>0</v>
      </c>
      <c r="M1115" s="337">
        <f>IFERROR(VLOOKUP($G1115,今日總結!$A:$AN,38,0),"")</f>
        <v>0</v>
      </c>
      <c r="N1115" s="240">
        <f t="shared" si="197"/>
        <v>0</v>
      </c>
      <c r="O1115" s="359">
        <f>IFERROR(VLOOKUP($G1115,融外自投!$A:$J,7,0),"無")</f>
        <v>5</v>
      </c>
      <c r="P1115" s="79">
        <f>IFERROR(VLOOKUP($G1115,融外自投!$A:$J,9,0),"無")</f>
        <v>990</v>
      </c>
      <c r="Q1115" s="342">
        <f>IFERROR(VLOOKUP($G1115,融外自投!$A:$J,8,0),"無")</f>
        <v>1344</v>
      </c>
      <c r="R1115" s="81" t="str">
        <f>IFERROR(VLOOKUP($G1115,融外自投!$A:$J,10,0),"無")</f>
        <v>無</v>
      </c>
      <c r="S1115" s="324">
        <f>IFERROR(VLOOKUP($G1115,'321買'!$A:$E,4,0),"'沒有資料'")</f>
        <v>606</v>
      </c>
      <c r="T1115" s="186">
        <f>IFERROR(VLOOKUP($G1115,基本資料!$A:$J,9,0),"無")</f>
        <v>0</v>
      </c>
      <c r="U1115" s="307">
        <f t="shared" si="196"/>
        <v>0</v>
      </c>
      <c r="V1115" s="94">
        <f>IFERROR(VLOOKUP($G1115,基本資料!$A:$J,10,0),"無")</f>
        <v>0.01</v>
      </c>
      <c r="W1115" s="36">
        <f>RTD("money.excel",,"3609","Price")</f>
        <v>51.4</v>
      </c>
      <c r="X1115" s="66"/>
      <c r="Y1115" s="15">
        <f t="shared" si="193"/>
        <v>51.4</v>
      </c>
      <c r="Z1115" s="35" t="e">
        <f t="shared" si="194"/>
        <v>#DIV/0!</v>
      </c>
      <c r="AA1115" s="340">
        <f>IFERROR(VLOOKUP($G1115,基本資料!$A:$M,11,0),"無")</f>
        <v>-18.54</v>
      </c>
      <c r="AB1115" s="389">
        <f>IFERROR(VLOOKUP($G1115,基本資料!$A:$M,12,0),"無")</f>
        <v>21.26</v>
      </c>
      <c r="AC1115" s="16" t="s">
        <v>4576</v>
      </c>
      <c r="AF1115" s="33">
        <f t="shared" si="195"/>
        <v>0</v>
      </c>
      <c r="AG1115" s="43" t="s">
        <v>2405</v>
      </c>
      <c r="AH1115" s="66">
        <f t="shared" si="198"/>
        <v>0.36876355748373102</v>
      </c>
      <c r="AI1115" s="283">
        <f>RTD("money.excel",,$G1115,"PredictVolume")</f>
        <v>17</v>
      </c>
      <c r="AJ1115" s="391">
        <f>IFERROR(VLOOKUP($G1115,基本資料!$A:$M,13,0),"無")</f>
        <v>46.1</v>
      </c>
      <c r="AR1115" s="245" t="str">
        <f>INDEX(基本資料!N:N,MATCH($G1115,基本資料!A:A,0))</f>
        <v>中</v>
      </c>
    </row>
    <row r="1116" spans="1:44">
      <c r="A1116" s="343">
        <f>IFERROR(VLOOKUP($G1116,基本資料!$A:$J,3,0),"無")</f>
        <v>11.73</v>
      </c>
      <c r="B1116" s="79">
        <f>IFERROR(VLOOKUP($G1116,基本資料!$A:$J,4,0),"無")</f>
        <v>179</v>
      </c>
      <c r="C1116" s="79">
        <f>IFERROR(VLOOKUP($G1116,基本資料!$A:$J,5,0),"無")</f>
        <v>203</v>
      </c>
      <c r="D1116" s="79">
        <f>IFERROR(VLOOKUP($G1116,基本資料!$A:$J,6,0),"無")</f>
        <v>-14</v>
      </c>
      <c r="E1116" s="79">
        <f>IFERROR(VLOOKUP($G1116,基本資料!$A:$J,7,0),"無")</f>
        <v>3</v>
      </c>
      <c r="F1116" s="6">
        <f>IFERROR(VLOOKUP($G1116,基本資料!$A:$J,8,0),"無")</f>
        <v>19.670000000000002</v>
      </c>
      <c r="G1116" s="79">
        <v>3624</v>
      </c>
      <c r="H1116" s="8" t="s">
        <v>308</v>
      </c>
      <c r="I1116" s="16" t="s">
        <v>4577</v>
      </c>
      <c r="J1116" s="8">
        <f>IFERROR(VLOOKUP($G1116,今日總結!$A:$AN,39,0),"")</f>
        <v>0</v>
      </c>
      <c r="K1116" s="5" t="str">
        <f>IFERROR(VLOOKUP($G1116,今日總結!$A:$AN,40,0),"")</f>
        <v>融</v>
      </c>
      <c r="L1116" s="156">
        <f>IFERROR(VLOOKUP($G1116,今日總結!$A:$AN,37,0),"")</f>
        <v>0</v>
      </c>
      <c r="M1116" s="337">
        <f>IFERROR(VLOOKUP($G1116,今日總結!$A:$AN,38,0),"")</f>
        <v>2</v>
      </c>
      <c r="N1116" s="240">
        <f t="shared" si="197"/>
        <v>-2</v>
      </c>
      <c r="O1116" s="359">
        <f>IFERROR(VLOOKUP($G1116,融外自投!$A:$J,7,0),"無")</f>
        <v>257</v>
      </c>
      <c r="P1116" s="79">
        <f>IFERROR(VLOOKUP($G1116,融外自投!$A:$J,9,0),"無")</f>
        <v>174</v>
      </c>
      <c r="Q1116" s="342">
        <f>IFERROR(VLOOKUP($G1116,融外自投!$A:$J,8,0),"無")</f>
        <v>95</v>
      </c>
      <c r="R1116" s="81">
        <f>IFERROR(VLOOKUP($G1116,融外自投!$A:$J,10,0),"無")</f>
        <v>10</v>
      </c>
      <c r="S1116" s="324">
        <f>IFERROR(VLOOKUP($G1116,'321買'!$A:$E,4,0),"'沒有資料'")</f>
        <v>23</v>
      </c>
      <c r="T1116" s="186">
        <f>IFERROR(VLOOKUP($G1116,基本資料!$A:$J,9,0),"無")</f>
        <v>2.2000000000000002</v>
      </c>
      <c r="U1116" s="307">
        <f t="shared" si="196"/>
        <v>2.8571428571428574E-2</v>
      </c>
      <c r="V1116" s="94">
        <f>IFERROR(VLOOKUP($G1116,基本資料!$A:$J,10,0),"無")</f>
        <v>4.04</v>
      </c>
      <c r="W1116" s="36">
        <f>RTD("money.excel",,"3624","Price")</f>
        <v>77</v>
      </c>
      <c r="X1116" s="66"/>
      <c r="Y1116" s="15">
        <f t="shared" si="193"/>
        <v>77</v>
      </c>
      <c r="Z1116" s="35" t="e">
        <f t="shared" si="194"/>
        <v>#DIV/0!</v>
      </c>
      <c r="AA1116" s="340">
        <f>IFERROR(VLOOKUP($G1116,基本資料!$A:$M,11,0),"無")</f>
        <v>-23</v>
      </c>
      <c r="AB1116" s="389">
        <f>IFERROR(VLOOKUP($G1116,基本資料!$A:$M,12,0),"無")</f>
        <v>31.6</v>
      </c>
      <c r="AC1116" s="16" t="s">
        <v>4577</v>
      </c>
      <c r="AF1116" s="33">
        <f t="shared" si="195"/>
        <v>0</v>
      </c>
      <c r="AG1116" s="43" t="s">
        <v>2406</v>
      </c>
      <c r="AH1116" s="66">
        <f t="shared" si="198"/>
        <v>0.68194382801124376</v>
      </c>
      <c r="AI1116" s="283">
        <f>RTD("money.excel",,$G1116,"PredictVolume")</f>
        <v>4379</v>
      </c>
      <c r="AJ1116" s="391">
        <f>IFERROR(VLOOKUP($G1116,基本資料!$A:$M,13,0),"無")</f>
        <v>6421.35</v>
      </c>
      <c r="AR1116" s="245" t="str">
        <f>INDEX(基本資料!N:N,MATCH($G1116,基本資料!A:A,0))</f>
        <v>中</v>
      </c>
    </row>
    <row r="1117" spans="1:44">
      <c r="A1117" s="343">
        <f>IFERROR(VLOOKUP($G1117,基本資料!$A:$J,3,0),"無")</f>
        <v>8.18</v>
      </c>
      <c r="B1117" s="79">
        <f>IFERROR(VLOOKUP($G1117,基本資料!$A:$J,4,0),"無")</f>
        <v>-80</v>
      </c>
      <c r="C1117" s="79">
        <f>IFERROR(VLOOKUP($G1117,基本資料!$A:$J,5,0),"無")</f>
        <v>-50</v>
      </c>
      <c r="D1117" s="79">
        <f>IFERROR(VLOOKUP($G1117,基本資料!$A:$J,6,0),"無")</f>
        <v>56</v>
      </c>
      <c r="E1117" s="79">
        <f>IFERROR(VLOOKUP($G1117,基本資料!$A:$J,7,0),"無")</f>
        <v>21</v>
      </c>
      <c r="F1117" s="6">
        <f>IFERROR(VLOOKUP($G1117,基本資料!$A:$J,8,0),"無")</f>
        <v>-24.03</v>
      </c>
      <c r="G1117" s="79">
        <v>3631</v>
      </c>
      <c r="H1117" s="8" t="s">
        <v>308</v>
      </c>
      <c r="I1117" s="16" t="s">
        <v>408</v>
      </c>
      <c r="J1117" s="8">
        <f>IFERROR(VLOOKUP($G1117,今日總結!$A:$AN,39,0),"")</f>
        <v>0</v>
      </c>
      <c r="K1117" s="5">
        <f>IFERROR(VLOOKUP($G1117,今日總結!$A:$AN,40,0),"")</f>
        <v>0</v>
      </c>
      <c r="L1117" s="156">
        <f>IFERROR(VLOOKUP($G1117,今日總結!$A:$AN,37,0),"")</f>
        <v>0</v>
      </c>
      <c r="M1117" s="337">
        <f>IFERROR(VLOOKUP($G1117,今日總結!$A:$AN,38,0),"")</f>
        <v>0</v>
      </c>
      <c r="N1117" s="240">
        <f t="shared" si="197"/>
        <v>0</v>
      </c>
      <c r="O1117" s="359">
        <f>IFERROR(VLOOKUP($G1117,融外自投!$A:$J,7,0),"無")</f>
        <v>68</v>
      </c>
      <c r="P1117" s="79" t="str">
        <f>IFERROR(VLOOKUP($G1117,融外自投!$A:$J,9,0),"無")</f>
        <v>無</v>
      </c>
      <c r="Q1117" s="342">
        <f>IFERROR(VLOOKUP($G1117,融外自投!$A:$J,8,0),"無")</f>
        <v>412</v>
      </c>
      <c r="R1117" s="81" t="str">
        <f>IFERROR(VLOOKUP($G1117,融外自投!$A:$J,10,0),"無")</f>
        <v>無</v>
      </c>
      <c r="S1117" s="324">
        <f>IFERROR(VLOOKUP($G1117,'321買'!$A:$E,4,0),"'沒有資料'")</f>
        <v>891</v>
      </c>
      <c r="T1117" s="186">
        <f>IFERROR(VLOOKUP($G1117,基本資料!$A:$J,9,0),"無")</f>
        <v>0.5</v>
      </c>
      <c r="U1117" s="307">
        <f t="shared" si="196"/>
        <v>1.2224938875305624E-2</v>
      </c>
      <c r="V1117" s="94">
        <f>IFERROR(VLOOKUP($G1117,基本資料!$A:$J,10,0),"無")</f>
        <v>-0.16</v>
      </c>
      <c r="W1117" s="36">
        <f>RTD("money.excel",,"3631","Price")</f>
        <v>40.9</v>
      </c>
      <c r="X1117" s="66"/>
      <c r="Y1117" s="15">
        <f t="shared" si="193"/>
        <v>40.9</v>
      </c>
      <c r="Z1117" s="35" t="e">
        <f t="shared" si="194"/>
        <v>#DIV/0!</v>
      </c>
      <c r="AA1117" s="340">
        <f>IFERROR(VLOOKUP($G1117,基本資料!$A:$M,11,0),"無")</f>
        <v>-28.5</v>
      </c>
      <c r="AB1117" s="389">
        <f>IFERROR(VLOOKUP($G1117,基本資料!$A:$M,12,0),"無")</f>
        <v>38.130000000000003</v>
      </c>
      <c r="AC1117" s="16" t="s">
        <v>408</v>
      </c>
      <c r="AF1117" s="33">
        <f t="shared" si="195"/>
        <v>0</v>
      </c>
      <c r="AG1117" s="43" t="s">
        <v>2407</v>
      </c>
      <c r="AH1117" s="66">
        <f t="shared" si="198"/>
        <v>0.3524229074889868</v>
      </c>
      <c r="AI1117" s="283">
        <f>RTD("money.excel",,$G1117,"PredictVolume")</f>
        <v>8</v>
      </c>
      <c r="AJ1117" s="391">
        <f>IFERROR(VLOOKUP($G1117,基本資料!$A:$M,13,0),"無")</f>
        <v>22.7</v>
      </c>
      <c r="AR1117" s="245" t="str">
        <f>INDEX(基本資料!N:N,MATCH($G1117,基本資料!A:A,0))</f>
        <v>低</v>
      </c>
    </row>
    <row r="1118" spans="1:44">
      <c r="A1118" s="343">
        <f>IFERROR(VLOOKUP($G1118,基本資料!$A:$J,3,0),"無")</f>
        <v>13.17</v>
      </c>
      <c r="B1118" s="79">
        <f>IFERROR(VLOOKUP($G1118,基本資料!$A:$J,4,0),"無")</f>
        <v>-15</v>
      </c>
      <c r="C1118" s="79">
        <f>IFERROR(VLOOKUP($G1118,基本資料!$A:$J,5,0),"無")</f>
        <v>-6</v>
      </c>
      <c r="D1118" s="79">
        <f>IFERROR(VLOOKUP($G1118,基本資料!$A:$J,6,0),"無")</f>
        <v>-9</v>
      </c>
      <c r="E1118" s="79">
        <f>IFERROR(VLOOKUP($G1118,基本資料!$A:$J,7,0),"無")</f>
        <v>7</v>
      </c>
      <c r="F1118" s="6">
        <f>IFERROR(VLOOKUP($G1118,基本資料!$A:$J,8,0),"無")</f>
        <v>16.329999999999998</v>
      </c>
      <c r="G1118" s="79">
        <v>3645</v>
      </c>
      <c r="H1118" s="195" t="s">
        <v>308</v>
      </c>
      <c r="I1118" s="22" t="s">
        <v>174</v>
      </c>
      <c r="J1118" s="8">
        <f>IFERROR(VLOOKUP($G1118,今日總結!$A:$AN,39,0),"")</f>
        <v>0</v>
      </c>
      <c r="K1118" s="5">
        <f>IFERROR(VLOOKUP($G1118,今日總結!$A:$AN,40,0),"")</f>
        <v>5</v>
      </c>
      <c r="L1118" s="156">
        <f>IFERROR(VLOOKUP($G1118,今日總結!$A:$AN,37,0),"")</f>
        <v>0</v>
      </c>
      <c r="M1118" s="337">
        <f>IFERROR(VLOOKUP($G1118,今日總結!$A:$AN,38,0),"")</f>
        <v>1</v>
      </c>
      <c r="N1118" s="240">
        <f t="shared" si="197"/>
        <v>-1</v>
      </c>
      <c r="O1118" s="359">
        <f>IFERROR(VLOOKUP($G1118,融外自投!$A:$J,7,0),"無")</f>
        <v>315</v>
      </c>
      <c r="P1118" s="79">
        <f>IFERROR(VLOOKUP($G1118,融外自投!$A:$J,9,0),"無")</f>
        <v>383</v>
      </c>
      <c r="Q1118" s="342">
        <f>IFERROR(VLOOKUP($G1118,融外自投!$A:$J,8,0),"無")</f>
        <v>376</v>
      </c>
      <c r="R1118" s="81">
        <f>IFERROR(VLOOKUP($G1118,融外自投!$A:$J,10,0),"無")</f>
        <v>192</v>
      </c>
      <c r="S1118" s="324">
        <f>IFERROR(VLOOKUP($G1118,'321買'!$A:$E,4,0),"'沒有資料'")</f>
        <v>231</v>
      </c>
      <c r="T1118" s="186">
        <f>IFERROR(VLOOKUP($G1118,基本資料!$A:$J,9,0),"無")</f>
        <v>1.2</v>
      </c>
      <c r="U1118" s="307">
        <f t="shared" si="196"/>
        <v>2.5945945945945945E-2</v>
      </c>
      <c r="V1118" s="94">
        <f>IFERROR(VLOOKUP($G1118,基本資料!$A:$J,10,0),"無")</f>
        <v>2.3199999999999998</v>
      </c>
      <c r="W1118" s="36">
        <f>RTD("money.excel",,"3645","Price")</f>
        <v>46.25</v>
      </c>
      <c r="X1118" s="66"/>
      <c r="Y1118" s="15">
        <f t="shared" si="193"/>
        <v>46.25</v>
      </c>
      <c r="Z1118" s="3" t="e">
        <f t="shared" si="194"/>
        <v>#DIV/0!</v>
      </c>
      <c r="AA1118" s="340">
        <f>IFERROR(VLOOKUP($G1118,基本資料!$A:$M,11,0),"無")</f>
        <v>-26.24</v>
      </c>
      <c r="AB1118" s="389">
        <f>IFERROR(VLOOKUP($G1118,基本資料!$A:$M,12,0),"無")</f>
        <v>38.020000000000003</v>
      </c>
      <c r="AC1118" s="22" t="s">
        <v>174</v>
      </c>
      <c r="AF1118" s="33">
        <f t="shared" si="195"/>
        <v>0</v>
      </c>
      <c r="AG1118" s="119" t="s">
        <v>2588</v>
      </c>
      <c r="AH1118" s="66">
        <f t="shared" si="198"/>
        <v>0.41846762574457558</v>
      </c>
      <c r="AI1118" s="283">
        <f>RTD("money.excel",,$G1118,"PredictVolume")</f>
        <v>1946</v>
      </c>
      <c r="AJ1118" s="391">
        <f>IFERROR(VLOOKUP($G1118,基本資料!$A:$M,13,0),"無")</f>
        <v>4650.3</v>
      </c>
      <c r="AR1118" s="245" t="str">
        <f>INDEX(基本資料!N:N,MATCH($G1118,基本資料!A:A,0))</f>
        <v>中</v>
      </c>
    </row>
    <row r="1119" spans="1:44">
      <c r="A1119" s="343">
        <f>IFERROR(VLOOKUP($G1119,基本資料!$A:$J,3,0),"無")</f>
        <v>3.92</v>
      </c>
      <c r="B1119" s="79">
        <f>IFERROR(VLOOKUP($G1119,基本資料!$A:$J,4,0),"無")</f>
        <v>87</v>
      </c>
      <c r="C1119" s="79">
        <f>IFERROR(VLOOKUP($G1119,基本資料!$A:$J,5,0),"無")</f>
        <v>84</v>
      </c>
      <c r="D1119" s="79">
        <f>IFERROR(VLOOKUP($G1119,基本資料!$A:$J,6,0),"無")</f>
        <v>17</v>
      </c>
      <c r="E1119" s="79">
        <f>IFERROR(VLOOKUP($G1119,基本資料!$A:$J,7,0),"無")</f>
        <v>1</v>
      </c>
      <c r="F1119" s="6">
        <f>IFERROR(VLOOKUP($G1119,基本資料!$A:$J,8,0),"無")</f>
        <v>12.82</v>
      </c>
      <c r="G1119" s="79">
        <v>3646</v>
      </c>
      <c r="H1119" s="8" t="s">
        <v>308</v>
      </c>
      <c r="I1119" s="16" t="s">
        <v>4578</v>
      </c>
      <c r="J1119" s="8">
        <f>IFERROR(VLOOKUP($G1119,今日總結!$A:$AN,39,0),"")</f>
        <v>0</v>
      </c>
      <c r="K1119" s="5">
        <f>IFERROR(VLOOKUP($G1119,今日總結!$A:$AN,40,0),"")</f>
        <v>0</v>
      </c>
      <c r="L1119" s="156">
        <f>IFERROR(VLOOKUP($G1119,今日總結!$A:$AN,37,0),"")</f>
        <v>0</v>
      </c>
      <c r="M1119" s="337">
        <f>IFERROR(VLOOKUP($G1119,今日總結!$A:$AN,38,0),"")</f>
        <v>0</v>
      </c>
      <c r="N1119" s="240">
        <f t="shared" si="197"/>
        <v>0</v>
      </c>
      <c r="O1119" s="359">
        <f>IFERROR(VLOOKUP($G1119,融外自投!$A:$J,7,0),"無")</f>
        <v>52</v>
      </c>
      <c r="P1119" s="79" t="str">
        <f>IFERROR(VLOOKUP($G1119,融外自投!$A:$J,9,0),"無")</f>
        <v>無</v>
      </c>
      <c r="Q1119" s="342">
        <f>IFERROR(VLOOKUP($G1119,融外自投!$A:$J,8,0),"無")</f>
        <v>615</v>
      </c>
      <c r="R1119" s="81" t="str">
        <f>IFERROR(VLOOKUP($G1119,融外自投!$A:$J,10,0),"無")</f>
        <v>無</v>
      </c>
      <c r="S1119" s="324">
        <f>IFERROR(VLOOKUP($G1119,'321買'!$A:$E,4,0),"'沒有資料'")</f>
        <v>801</v>
      </c>
      <c r="T1119" s="186">
        <f>IFERROR(VLOOKUP($G1119,基本資料!$A:$J,9,0),"無")</f>
        <v>1.68</v>
      </c>
      <c r="U1119" s="307">
        <f t="shared" si="196"/>
        <v>6.4739884393063579E-2</v>
      </c>
      <c r="V1119" s="94">
        <f>IFERROR(VLOOKUP($G1119,基本資料!$A:$J,10,0),"無")</f>
        <v>2.17</v>
      </c>
      <c r="W1119" s="36">
        <f>RTD("money.excel",,"3646","Price")</f>
        <v>25.95</v>
      </c>
      <c r="X1119" s="66"/>
      <c r="Y1119" s="15">
        <f t="shared" si="193"/>
        <v>25.95</v>
      </c>
      <c r="Z1119" s="3" t="e">
        <f t="shared" si="194"/>
        <v>#DIV/0!</v>
      </c>
      <c r="AA1119" s="340">
        <f>IFERROR(VLOOKUP($G1119,基本資料!$A:$M,11,0),"無")</f>
        <v>-24.12</v>
      </c>
      <c r="AB1119" s="389">
        <f>IFERROR(VLOOKUP($G1119,基本資料!$A:$M,12,0),"無")</f>
        <v>21.21</v>
      </c>
      <c r="AC1119" s="16" t="s">
        <v>4578</v>
      </c>
      <c r="AF1119" s="33">
        <f t="shared" si="195"/>
        <v>0</v>
      </c>
      <c r="AG1119" s="43" t="s">
        <v>1902</v>
      </c>
      <c r="AH1119" s="66">
        <f t="shared" si="198"/>
        <v>0.22210470650449499</v>
      </c>
      <c r="AI1119" s="283">
        <f>RTD("money.excel",,$G1119,"PredictVolume")</f>
        <v>21</v>
      </c>
      <c r="AJ1119" s="391">
        <f>IFERROR(VLOOKUP($G1119,基本資料!$A:$M,13,0),"無")</f>
        <v>94.55</v>
      </c>
      <c r="AR1119" s="245" t="str">
        <f>INDEX(基本資料!N:N,MATCH($G1119,基本資料!A:A,0))</f>
        <v>低</v>
      </c>
    </row>
    <row r="1120" spans="1:44">
      <c r="A1120" s="343">
        <f>IFERROR(VLOOKUP($G1120,基本資料!$A:$J,3,0),"無")</f>
        <v>12.22</v>
      </c>
      <c r="B1120" s="79">
        <f>IFERROR(VLOOKUP($G1120,基本資料!$A:$J,4,0),"無")</f>
        <v>26</v>
      </c>
      <c r="C1120" s="79">
        <f>IFERROR(VLOOKUP($G1120,基本資料!$A:$J,5,0),"無")</f>
        <v>52</v>
      </c>
      <c r="D1120" s="79">
        <f>IFERROR(VLOOKUP($G1120,基本資料!$A:$J,6,0),"無")</f>
        <v>-9</v>
      </c>
      <c r="E1120" s="79">
        <f>IFERROR(VLOOKUP($G1120,基本資料!$A:$J,7,0),"無")</f>
        <v>23</v>
      </c>
      <c r="F1120" s="6">
        <f>IFERROR(VLOOKUP($G1120,基本資料!$A:$J,8,0),"無")</f>
        <v>19.43</v>
      </c>
      <c r="G1120" s="79">
        <v>3653</v>
      </c>
      <c r="H1120" s="195" t="s">
        <v>308</v>
      </c>
      <c r="I1120" s="22" t="s">
        <v>392</v>
      </c>
      <c r="J1120" s="8" t="str">
        <f>IFERROR(VLOOKUP($G1120,今日總結!$A:$AN,39,0),"")</f>
        <v>借</v>
      </c>
      <c r="K1120" s="5">
        <f>IFERROR(VLOOKUP($G1120,今日總結!$A:$AN,40,0),"")</f>
        <v>0</v>
      </c>
      <c r="L1120" s="156">
        <f>IFERROR(VLOOKUP($G1120,今日總結!$A:$AN,37,0),"")</f>
        <v>3</v>
      </c>
      <c r="M1120" s="337">
        <f>IFERROR(VLOOKUP($G1120,今日總結!$A:$AN,38,0),"")</f>
        <v>0</v>
      </c>
      <c r="N1120" s="240">
        <f t="shared" si="197"/>
        <v>3</v>
      </c>
      <c r="O1120" s="359">
        <f>IFERROR(VLOOKUP($G1120,融外自投!$A:$J,7,0),"無")</f>
        <v>945</v>
      </c>
      <c r="P1120" s="79">
        <f>IFERROR(VLOOKUP($G1120,融外自投!$A:$J,9,0),"無")</f>
        <v>357</v>
      </c>
      <c r="Q1120" s="342">
        <f>IFERROR(VLOOKUP($G1120,融外自投!$A:$J,8,0),"無")</f>
        <v>469</v>
      </c>
      <c r="R1120" s="81">
        <f>IFERROR(VLOOKUP($G1120,融外自投!$A:$J,10,0),"無")</f>
        <v>6</v>
      </c>
      <c r="S1120" s="324">
        <f>IFERROR(VLOOKUP($G1120,'321買'!$A:$E,4,0),"'沒有資料'")</f>
        <v>130</v>
      </c>
      <c r="T1120" s="186">
        <f>IFERROR(VLOOKUP($G1120,基本資料!$A:$J,9,0),"無")</f>
        <v>7</v>
      </c>
      <c r="U1120" s="307">
        <f t="shared" si="196"/>
        <v>1.8691588785046728E-2</v>
      </c>
      <c r="V1120" s="94">
        <f>IFERROR(VLOOKUP($G1120,基本資料!$A:$J,10,0),"無")</f>
        <v>9.8800000000000008</v>
      </c>
      <c r="W1120" s="36">
        <f>RTD("money.excel",,"3653","Price")</f>
        <v>374.5</v>
      </c>
      <c r="X1120" s="66"/>
      <c r="Y1120" s="15">
        <f t="shared" si="193"/>
        <v>374.5</v>
      </c>
      <c r="Z1120" s="3" t="e">
        <f t="shared" si="194"/>
        <v>#DIV/0!</v>
      </c>
      <c r="AA1120" s="340">
        <f>IFERROR(VLOOKUP($G1120,基本資料!$A:$M,11,0),"無")</f>
        <v>-18.760000000000002</v>
      </c>
      <c r="AB1120" s="389">
        <f>IFERROR(VLOOKUP($G1120,基本資料!$A:$M,12,0),"無")</f>
        <v>59.01</v>
      </c>
      <c r="AC1120" s="22" t="s">
        <v>392</v>
      </c>
      <c r="AF1120" s="33">
        <f t="shared" si="195"/>
        <v>0</v>
      </c>
      <c r="AG1120" s="43" t="s">
        <v>2401</v>
      </c>
      <c r="AH1120" s="66">
        <f t="shared" si="198"/>
        <v>0.73372927493194751</v>
      </c>
      <c r="AI1120" s="283">
        <f>RTD("money.excel",,$G1120,"PredictVolume")</f>
        <v>593</v>
      </c>
      <c r="AJ1120" s="391">
        <f>IFERROR(VLOOKUP($G1120,基本資料!$A:$M,13,0),"無")</f>
        <v>808.2</v>
      </c>
      <c r="AR1120" s="245" t="str">
        <f>INDEX(基本資料!N:N,MATCH($G1120,基本資料!A:A,0))</f>
        <v>中</v>
      </c>
    </row>
    <row r="1121" spans="1:44">
      <c r="A1121" s="343">
        <f>IFERROR(VLOOKUP($G1121,基本資料!$A:$J,3,0),"無")</f>
        <v>6.26</v>
      </c>
      <c r="B1121" s="79">
        <f>IFERROR(VLOOKUP($G1121,基本資料!$A:$J,4,0),"無")</f>
        <v>-15</v>
      </c>
      <c r="C1121" s="79">
        <f>IFERROR(VLOOKUP($G1121,基本資料!$A:$J,5,0),"無")</f>
        <v>-16</v>
      </c>
      <c r="D1121" s="79">
        <f>IFERROR(VLOOKUP($G1121,基本資料!$A:$J,6,0),"無")</f>
        <v>-57</v>
      </c>
      <c r="E1121" s="79">
        <f>IFERROR(VLOOKUP($G1121,基本資料!$A:$J,7,0),"無")</f>
        <v>-64</v>
      </c>
      <c r="F1121" s="6">
        <f>IFERROR(VLOOKUP($G1121,基本資料!$A:$J,8,0),"無")</f>
        <v>18.420000000000002</v>
      </c>
      <c r="G1121" s="79">
        <v>3679</v>
      </c>
      <c r="H1121" s="195" t="s">
        <v>308</v>
      </c>
      <c r="I1121" s="22" t="s">
        <v>227</v>
      </c>
      <c r="J1121" s="8">
        <f>IFERROR(VLOOKUP($G1121,今日總結!$A:$AN,39,0),"")</f>
        <v>0</v>
      </c>
      <c r="K1121" s="5">
        <f>IFERROR(VLOOKUP($G1121,今日總結!$A:$AN,40,0),"")</f>
        <v>0</v>
      </c>
      <c r="L1121" s="156">
        <f>IFERROR(VLOOKUP($G1121,今日總結!$A:$AN,37,0),"")</f>
        <v>0</v>
      </c>
      <c r="M1121" s="337">
        <f>IFERROR(VLOOKUP($G1121,今日總結!$A:$AN,38,0),"")</f>
        <v>0</v>
      </c>
      <c r="N1121" s="240">
        <f t="shared" si="197"/>
        <v>0</v>
      </c>
      <c r="O1121" s="359">
        <f>IFERROR(VLOOKUP($G1121,融外自投!$A:$J,7,0),"無")</f>
        <v>1141</v>
      </c>
      <c r="P1121" s="79">
        <f>IFERROR(VLOOKUP($G1121,融外自投!$A:$J,9,0),"無")</f>
        <v>671</v>
      </c>
      <c r="Q1121" s="342">
        <f>IFERROR(VLOOKUP($G1121,融外自投!$A:$J,8,0),"無")</f>
        <v>428</v>
      </c>
      <c r="R1121" s="81" t="str">
        <f>IFERROR(VLOOKUP($G1121,融外自投!$A:$J,10,0),"無")</f>
        <v>無</v>
      </c>
      <c r="S1121" s="324">
        <f>IFERROR(VLOOKUP($G1121,'321買'!$A:$E,4,0),"'沒有資料'")</f>
        <v>1002</v>
      </c>
      <c r="T1121" s="186">
        <f>IFERROR(VLOOKUP($G1121,基本資料!$A:$J,9,0),"無")</f>
        <v>9</v>
      </c>
      <c r="U1121" s="307">
        <f t="shared" si="196"/>
        <v>0.10778443113772455</v>
      </c>
      <c r="V1121" s="94">
        <f>IFERROR(VLOOKUP($G1121,基本資料!$A:$J,10,0),"無")</f>
        <v>9.6999999999999993</v>
      </c>
      <c r="W1121" s="36">
        <f>RTD("money.excel",,"3679","Price")</f>
        <v>83.5</v>
      </c>
      <c r="X1121" s="66"/>
      <c r="Y1121" s="15">
        <f t="shared" si="193"/>
        <v>83.5</v>
      </c>
      <c r="Z1121" s="3" t="e">
        <f t="shared" si="194"/>
        <v>#DIV/0!</v>
      </c>
      <c r="AA1121" s="340">
        <f>IFERROR(VLOOKUP($G1121,基本資料!$A:$M,11,0),"無")</f>
        <v>-42.81</v>
      </c>
      <c r="AB1121" s="389">
        <f>IFERROR(VLOOKUP($G1121,基本資料!$A:$M,12,0),"無")</f>
        <v>25.69</v>
      </c>
      <c r="AC1121" s="22" t="s">
        <v>227</v>
      </c>
      <c r="AF1121" s="33">
        <f t="shared" si="195"/>
        <v>0</v>
      </c>
      <c r="AG1121" s="43" t="s">
        <v>1969</v>
      </c>
      <c r="AH1121" s="66">
        <f t="shared" si="198"/>
        <v>2.3964165733482643</v>
      </c>
      <c r="AI1121" s="283">
        <f>RTD("money.excel",,$G1121,"PredictVolume")</f>
        <v>107</v>
      </c>
      <c r="AJ1121" s="391">
        <f>IFERROR(VLOOKUP($G1121,基本資料!$A:$M,13,0),"無")</f>
        <v>44.65</v>
      </c>
      <c r="AR1121" s="245" t="str">
        <f>INDEX(基本資料!N:N,MATCH($G1121,基本資料!A:A,0))</f>
        <v>低</v>
      </c>
    </row>
    <row r="1122" spans="1:44">
      <c r="A1122" s="343">
        <f>IFERROR(VLOOKUP($G1122,基本資料!$A:$J,3,0),"無")</f>
        <v>7.71</v>
      </c>
      <c r="B1122" s="79">
        <f>IFERROR(VLOOKUP($G1122,基本資料!$A:$J,4,0),"無")</f>
        <v>177</v>
      </c>
      <c r="C1122" s="79">
        <f>IFERROR(VLOOKUP($G1122,基本資料!$A:$J,5,0),"無")</f>
        <v>254</v>
      </c>
      <c r="D1122" s="79">
        <f>IFERROR(VLOOKUP($G1122,基本資料!$A:$J,6,0),"無")</f>
        <v>-9</v>
      </c>
      <c r="E1122" s="79">
        <f>IFERROR(VLOOKUP($G1122,基本資料!$A:$J,7,0),"無")</f>
        <v>7</v>
      </c>
      <c r="F1122" s="6">
        <f>IFERROR(VLOOKUP($G1122,基本資料!$A:$J,8,0),"無")</f>
        <v>3.95</v>
      </c>
      <c r="G1122" s="79">
        <v>3689</v>
      </c>
      <c r="H1122" s="8" t="s">
        <v>308</v>
      </c>
      <c r="I1122" s="16" t="s">
        <v>4579</v>
      </c>
      <c r="J1122" s="8">
        <f>IFERROR(VLOOKUP($G1122,今日總結!$A:$AN,39,0),"")</f>
        <v>0</v>
      </c>
      <c r="K1122" s="5" t="str">
        <f>IFERROR(VLOOKUP($G1122,今日總結!$A:$AN,40,0),"")</f>
        <v>融</v>
      </c>
      <c r="L1122" s="156">
        <f>IFERROR(VLOOKUP($G1122,今日總結!$A:$AN,37,0),"")</f>
        <v>0</v>
      </c>
      <c r="M1122" s="337">
        <f>IFERROR(VLOOKUP($G1122,今日總結!$A:$AN,38,0),"")</f>
        <v>2</v>
      </c>
      <c r="N1122" s="240">
        <f t="shared" si="197"/>
        <v>-2</v>
      </c>
      <c r="O1122" s="359">
        <f>IFERROR(VLOOKUP($G1122,融外自投!$A:$J,7,0),"無")</f>
        <v>35</v>
      </c>
      <c r="P1122" s="79">
        <f>IFERROR(VLOOKUP($G1122,融外自投!$A:$J,9,0),"無")</f>
        <v>357</v>
      </c>
      <c r="Q1122" s="342">
        <f>IFERROR(VLOOKUP($G1122,融外自投!$A:$J,8,0),"無")</f>
        <v>1047</v>
      </c>
      <c r="R1122" s="81" t="str">
        <f>IFERROR(VLOOKUP($G1122,融外自投!$A:$J,10,0),"無")</f>
        <v>無</v>
      </c>
      <c r="S1122" s="324">
        <f>IFERROR(VLOOKUP($G1122,'321買'!$A:$E,4,0),"'沒有資料'")</f>
        <v>45</v>
      </c>
      <c r="T1122" s="186">
        <f>IFERROR(VLOOKUP($G1122,基本資料!$A:$J,9,0),"無")</f>
        <v>2.2999999999999998</v>
      </c>
      <c r="U1122" s="307">
        <f t="shared" si="196"/>
        <v>5.3550640279394636E-2</v>
      </c>
      <c r="V1122" s="94">
        <f>IFERROR(VLOOKUP($G1122,基本資料!$A:$J,10,0),"無")</f>
        <v>3.28</v>
      </c>
      <c r="W1122" s="36">
        <f>RTD("money.excel",,"3689","Price")</f>
        <v>42.95</v>
      </c>
      <c r="X1122" s="66"/>
      <c r="Y1122" s="15">
        <f t="shared" si="193"/>
        <v>42.95</v>
      </c>
      <c r="Z1122" s="3" t="e">
        <f t="shared" si="194"/>
        <v>#DIV/0!</v>
      </c>
      <c r="AA1122" s="340">
        <f>IFERROR(VLOOKUP($G1122,基本資料!$A:$M,11,0),"無")</f>
        <v>-23.03</v>
      </c>
      <c r="AB1122" s="389">
        <f>IFERROR(VLOOKUP($G1122,基本資料!$A:$M,12,0),"無")</f>
        <v>25.07</v>
      </c>
      <c r="AC1122" s="16" t="s">
        <v>4579</v>
      </c>
      <c r="AF1122" s="33">
        <f t="shared" si="195"/>
        <v>0</v>
      </c>
      <c r="AG1122" s="43" t="s">
        <v>1902</v>
      </c>
      <c r="AH1122" s="66">
        <f t="shared" si="198"/>
        <v>1.3821368004522327</v>
      </c>
      <c r="AI1122" s="283">
        <f>RTD("money.excel",,$G1122,"PredictVolume")</f>
        <v>978</v>
      </c>
      <c r="AJ1122" s="391">
        <f>IFERROR(VLOOKUP($G1122,基本資料!$A:$M,13,0),"無")</f>
        <v>707.6</v>
      </c>
      <c r="AR1122" s="245" t="str">
        <f>INDEX(基本資料!N:N,MATCH($G1122,基本資料!A:A,0))</f>
        <v>中</v>
      </c>
    </row>
    <row r="1123" spans="1:44">
      <c r="A1123" s="343">
        <f>IFERROR(VLOOKUP($G1123,基本資料!$A:$J,3,0),"無")</f>
        <v>23.29</v>
      </c>
      <c r="B1123" s="79">
        <f>IFERROR(VLOOKUP($G1123,基本資料!$A:$J,4,0),"無")</f>
        <v>-221</v>
      </c>
      <c r="C1123" s="79">
        <f>IFERROR(VLOOKUP($G1123,基本資料!$A:$J,5,0),"無")</f>
        <v>-999</v>
      </c>
      <c r="D1123" s="79">
        <f>IFERROR(VLOOKUP($G1123,基本資料!$A:$J,6,0),"無")</f>
        <v>-12</v>
      </c>
      <c r="E1123" s="79">
        <f>IFERROR(VLOOKUP($G1123,基本資料!$A:$J,7,0),"無")</f>
        <v>-12</v>
      </c>
      <c r="F1123" s="6">
        <f>IFERROR(VLOOKUP($G1123,基本資料!$A:$J,8,0),"無")</f>
        <v>-3.95</v>
      </c>
      <c r="G1123" s="79">
        <v>3710</v>
      </c>
      <c r="H1123" s="8" t="s">
        <v>308</v>
      </c>
      <c r="I1123" s="16" t="s">
        <v>418</v>
      </c>
      <c r="J1123" s="8" t="str">
        <f>IFERROR(VLOOKUP($G1123,今日總結!$A:$AN,39,0),"")</f>
        <v/>
      </c>
      <c r="K1123" s="5" t="str">
        <f>IFERROR(VLOOKUP($G1123,今日總結!$A:$AN,40,0),"")</f>
        <v/>
      </c>
      <c r="L1123" s="156" t="str">
        <f>IFERROR(VLOOKUP($G1123,今日總結!$A:$AN,37,0),"")</f>
        <v/>
      </c>
      <c r="M1123" s="337" t="str">
        <f>IFERROR(VLOOKUP($G1123,今日總結!$A:$AN,38,0),"")</f>
        <v/>
      </c>
      <c r="N1123" s="240" t="str">
        <f t="shared" si="197"/>
        <v/>
      </c>
      <c r="O1123" s="359" t="str">
        <f>IFERROR(VLOOKUP($G1123,融外自投!$A:$J,7,0),"無")</f>
        <v>無</v>
      </c>
      <c r="P1123" s="79" t="str">
        <f>IFERROR(VLOOKUP($G1123,融外自投!$A:$J,9,0),"無")</f>
        <v>無</v>
      </c>
      <c r="Q1123" s="342" t="str">
        <f>IFERROR(VLOOKUP($G1123,融外自投!$A:$J,8,0),"無")</f>
        <v>無</v>
      </c>
      <c r="R1123" s="81" t="str">
        <f>IFERROR(VLOOKUP($G1123,融外自投!$A:$J,10,0),"無")</f>
        <v>無</v>
      </c>
      <c r="S1123" s="324" t="str">
        <f>IFERROR(VLOOKUP($G1123,'321買'!$A:$E,4,0),"'沒有資料'")</f>
        <v>'沒有資料'</v>
      </c>
      <c r="T1123" s="186">
        <f>IFERROR(VLOOKUP($G1123,基本資料!$A:$J,9,0),"無")</f>
        <v>0</v>
      </c>
      <c r="U1123" s="307">
        <f t="shared" si="196"/>
        <v>0</v>
      </c>
      <c r="V1123" s="94">
        <f>IFERROR(VLOOKUP($G1123,基本資料!$A:$J,10,0),"無")</f>
        <v>-2.5</v>
      </c>
      <c r="W1123" s="36">
        <f>RTD("money.excel",,"3710","Price")</f>
        <v>11.6</v>
      </c>
      <c r="X1123" s="66"/>
      <c r="Y1123" s="15">
        <f t="shared" si="193"/>
        <v>11.6</v>
      </c>
      <c r="Z1123" s="3" t="e">
        <f t="shared" si="194"/>
        <v>#DIV/0!</v>
      </c>
      <c r="AA1123" s="340">
        <f>IFERROR(VLOOKUP($G1123,基本資料!$A:$M,11,0),"無")</f>
        <v>-35.200000000000003</v>
      </c>
      <c r="AB1123" s="389">
        <f>IFERROR(VLOOKUP($G1123,基本資料!$A:$M,12,0),"無")</f>
        <v>27.36</v>
      </c>
      <c r="AC1123" s="16" t="s">
        <v>418</v>
      </c>
      <c r="AF1123" s="33">
        <f t="shared" si="195"/>
        <v>0</v>
      </c>
      <c r="AG1123" s="43" t="s">
        <v>2887</v>
      </c>
      <c r="AH1123" s="66">
        <f t="shared" si="198"/>
        <v>0.29778641656130284</v>
      </c>
      <c r="AI1123" s="283">
        <f>RTD("money.excel",,$G1123,"PredictVolume")</f>
        <v>789</v>
      </c>
      <c r="AJ1123" s="391">
        <f>IFERROR(VLOOKUP($G1123,基本資料!$A:$M,13,0),"無")</f>
        <v>2649.55</v>
      </c>
      <c r="AR1123" s="245" t="str">
        <f>INDEX(基本資料!N:N,MATCH($G1123,基本資料!A:A,0))</f>
        <v>中</v>
      </c>
    </row>
    <row r="1124" spans="1:44">
      <c r="A1124" s="343">
        <f>IFERROR(VLOOKUP($G1124,基本資料!$A:$J,3,0),"無")</f>
        <v>3.22</v>
      </c>
      <c r="B1124" s="79">
        <f>IFERROR(VLOOKUP($G1124,基本資料!$A:$J,4,0),"無")</f>
        <v>72</v>
      </c>
      <c r="C1124" s="79">
        <f>IFERROR(VLOOKUP($G1124,基本資料!$A:$J,5,0),"無")</f>
        <v>33</v>
      </c>
      <c r="D1124" s="79">
        <f>IFERROR(VLOOKUP($G1124,基本資料!$A:$J,6,0),"無")</f>
        <v>-8</v>
      </c>
      <c r="E1124" s="79">
        <f>IFERROR(VLOOKUP($G1124,基本資料!$A:$J,7,0),"無")</f>
        <v>34</v>
      </c>
      <c r="F1124" s="6">
        <f>IFERROR(VLOOKUP($G1124,基本資料!$A:$J,8,0),"無")</f>
        <v>5.15</v>
      </c>
      <c r="G1124" s="79">
        <v>4542</v>
      </c>
      <c r="H1124" s="8" t="s">
        <v>3388</v>
      </c>
      <c r="I1124" s="16" t="s">
        <v>409</v>
      </c>
      <c r="J1124" s="8" t="str">
        <f>IFERROR(VLOOKUP($G1124,今日總結!$A:$AN,39,0),"")</f>
        <v/>
      </c>
      <c r="K1124" s="5" t="str">
        <f>IFERROR(VLOOKUP($G1124,今日總結!$A:$AN,40,0),"")</f>
        <v/>
      </c>
      <c r="L1124" s="156" t="str">
        <f>IFERROR(VLOOKUP($G1124,今日總結!$A:$AN,37,0),"")</f>
        <v/>
      </c>
      <c r="M1124" s="337" t="str">
        <f>IFERROR(VLOOKUP($G1124,今日總結!$A:$AN,38,0),"")</f>
        <v/>
      </c>
      <c r="N1124" s="240" t="str">
        <f t="shared" si="197"/>
        <v/>
      </c>
      <c r="O1124" s="359">
        <f>IFERROR(VLOOKUP($G1124,融外自投!$A:$J,7,0),"無")</f>
        <v>964</v>
      </c>
      <c r="P1124" s="79" t="str">
        <f>IFERROR(VLOOKUP($G1124,融外自投!$A:$J,9,0),"無")</f>
        <v>無</v>
      </c>
      <c r="Q1124" s="342">
        <f>IFERROR(VLOOKUP($G1124,融外自投!$A:$J,8,0),"無")</f>
        <v>872</v>
      </c>
      <c r="R1124" s="81" t="str">
        <f>IFERROR(VLOOKUP($G1124,融外自投!$A:$J,10,0),"無")</f>
        <v>無</v>
      </c>
      <c r="S1124" s="324" t="str">
        <f>IFERROR(VLOOKUP($G1124,'321買'!$A:$E,4,0),"'沒有資料'")</f>
        <v>'沒有資料'</v>
      </c>
      <c r="T1124" s="186">
        <f>IFERROR(VLOOKUP($G1124,基本資料!$A:$J,9,0),"無")</f>
        <v>1</v>
      </c>
      <c r="U1124" s="307">
        <f t="shared" si="196"/>
        <v>3.7453183520599252E-2</v>
      </c>
      <c r="V1124" s="94">
        <f>IFERROR(VLOOKUP($G1124,基本資料!$A:$J,10,0),"無")</f>
        <v>1.1100000000000001</v>
      </c>
      <c r="W1124" s="36">
        <f>RTD("money.excel",,"4542","Price")</f>
        <v>26.7</v>
      </c>
      <c r="X1124" s="66"/>
      <c r="Y1124" s="15">
        <f t="shared" si="193"/>
        <v>26.7</v>
      </c>
      <c r="Z1124" s="3" t="e">
        <f t="shared" si="194"/>
        <v>#DIV/0!</v>
      </c>
      <c r="AA1124" s="340">
        <f>IFERROR(VLOOKUP($G1124,基本資料!$A:$M,11,0),"無")</f>
        <v>-23.71</v>
      </c>
      <c r="AB1124" s="389">
        <f>IFERROR(VLOOKUP($G1124,基本資料!$A:$M,12,0),"無")</f>
        <v>42.64</v>
      </c>
      <c r="AC1124" s="16" t="s">
        <v>4580</v>
      </c>
      <c r="AF1124" s="33">
        <f t="shared" si="195"/>
        <v>0</v>
      </c>
      <c r="AG1124" s="43" t="s">
        <v>2291</v>
      </c>
      <c r="AH1124" s="66">
        <f t="shared" si="198"/>
        <v>0.35</v>
      </c>
      <c r="AI1124" s="283">
        <f>RTD("money.excel",,$G1124,"PredictVolume")</f>
        <v>7</v>
      </c>
      <c r="AJ1124" s="391">
        <f>IFERROR(VLOOKUP($G1124,基本資料!$A:$M,13,0),"無")</f>
        <v>20</v>
      </c>
      <c r="AR1124" s="245" t="str">
        <f>INDEX(基本資料!N:N,MATCH($G1124,基本資料!A:A,0))</f>
        <v>低</v>
      </c>
    </row>
    <row r="1125" spans="1:44">
      <c r="A1125" s="343">
        <f>IFERROR(VLOOKUP($G1125,基本資料!$A:$J,3,0),"無")</f>
        <v>7.7</v>
      </c>
      <c r="B1125" s="79">
        <f>IFERROR(VLOOKUP($G1125,基本資料!$A:$J,4,0),"無")</f>
        <v>197</v>
      </c>
      <c r="C1125" s="79">
        <f>IFERROR(VLOOKUP($G1125,基本資料!$A:$J,5,0),"無")</f>
        <v>13</v>
      </c>
      <c r="D1125" s="79">
        <f>IFERROR(VLOOKUP($G1125,基本資料!$A:$J,6,0),"無")</f>
        <v>27</v>
      </c>
      <c r="E1125" s="79">
        <f>IFERROR(VLOOKUP($G1125,基本資料!$A:$J,7,0),"無")</f>
        <v>45</v>
      </c>
      <c r="F1125" s="6">
        <f>IFERROR(VLOOKUP($G1125,基本資料!$A:$J,8,0),"無")</f>
        <v>6</v>
      </c>
      <c r="G1125" s="79">
        <v>4545</v>
      </c>
      <c r="H1125" s="195" t="s">
        <v>308</v>
      </c>
      <c r="I1125" s="22" t="s">
        <v>393</v>
      </c>
      <c r="J1125" s="8">
        <f>IFERROR(VLOOKUP($G1125,今日總結!$A:$AN,39,0),"")</f>
        <v>0</v>
      </c>
      <c r="K1125" s="5">
        <f>IFERROR(VLOOKUP($G1125,今日總結!$A:$AN,40,0),"")</f>
        <v>0</v>
      </c>
      <c r="L1125" s="156">
        <f>IFERROR(VLOOKUP($G1125,今日總結!$A:$AN,37,0),"")</f>
        <v>0</v>
      </c>
      <c r="M1125" s="337">
        <f>IFERROR(VLOOKUP($G1125,今日總結!$A:$AN,38,0),"")</f>
        <v>0</v>
      </c>
      <c r="N1125" s="240">
        <f t="shared" si="197"/>
        <v>0</v>
      </c>
      <c r="O1125" s="359">
        <f>IFERROR(VLOOKUP($G1125,融外自投!$A:$J,7,0),"無")</f>
        <v>893</v>
      </c>
      <c r="P1125" s="79">
        <f>IFERROR(VLOOKUP($G1125,融外自投!$A:$J,9,0),"無")</f>
        <v>908</v>
      </c>
      <c r="Q1125" s="342">
        <f>IFERROR(VLOOKUP($G1125,融外自投!$A:$J,8,0),"無")</f>
        <v>149</v>
      </c>
      <c r="R1125" s="81">
        <f>IFERROR(VLOOKUP($G1125,融外自投!$A:$J,10,0),"無")</f>
        <v>439</v>
      </c>
      <c r="S1125" s="324">
        <f>IFERROR(VLOOKUP($G1125,'321買'!$A:$E,4,0),"'沒有資料'")</f>
        <v>891</v>
      </c>
      <c r="T1125" s="186">
        <f>IFERROR(VLOOKUP($G1125,基本資料!$A:$J,9,0),"無")</f>
        <v>0.7</v>
      </c>
      <c r="U1125" s="307">
        <f t="shared" si="196"/>
        <v>2.4013722126929673E-2</v>
      </c>
      <c r="V1125" s="94">
        <f>IFERROR(VLOOKUP($G1125,基本資料!$A:$J,10,0),"無")</f>
        <v>1.1599999999999999</v>
      </c>
      <c r="W1125" s="36">
        <f>RTD("money.excel",,"4545","Price")</f>
        <v>29.15</v>
      </c>
      <c r="X1125" s="66"/>
      <c r="Y1125" s="15">
        <f t="shared" si="193"/>
        <v>29.15</v>
      </c>
      <c r="Z1125" s="3" t="e">
        <f t="shared" si="194"/>
        <v>#DIV/0!</v>
      </c>
      <c r="AA1125" s="340">
        <f>IFERROR(VLOOKUP($G1125,基本資料!$A:$M,11,0),"無")</f>
        <v>-19.03</v>
      </c>
      <c r="AB1125" s="389">
        <f>IFERROR(VLOOKUP($G1125,基本資料!$A:$M,12,0),"無")</f>
        <v>24.88</v>
      </c>
      <c r="AC1125" s="22" t="s">
        <v>393</v>
      </c>
      <c r="AF1125" s="33">
        <f t="shared" si="195"/>
        <v>0</v>
      </c>
      <c r="AG1125" s="43" t="s">
        <v>2589</v>
      </c>
      <c r="AH1125" s="66">
        <f t="shared" si="198"/>
        <v>0.70112034694615111</v>
      </c>
      <c r="AI1125" s="283">
        <f>RTD("money.excel",,$G1125,"PredictVolume")</f>
        <v>97</v>
      </c>
      <c r="AJ1125" s="391">
        <f>IFERROR(VLOOKUP($G1125,基本資料!$A:$M,13,0),"無")</f>
        <v>138.35</v>
      </c>
      <c r="AR1125" s="245" t="str">
        <f>INDEX(基本資料!N:N,MATCH($G1125,基本資料!A:A,0))</f>
        <v>中</v>
      </c>
    </row>
    <row r="1126" spans="1:44">
      <c r="A1126" s="343">
        <f>IFERROR(VLOOKUP($G1126,基本資料!$A:$J,3,0),"無")</f>
        <v>6.25</v>
      </c>
      <c r="B1126" s="79">
        <f>IFERROR(VLOOKUP($G1126,基本資料!$A:$J,4,0),"無")</f>
        <v>2</v>
      </c>
      <c r="C1126" s="79">
        <f>IFERROR(VLOOKUP($G1126,基本資料!$A:$J,5,0),"無")</f>
        <v>-7</v>
      </c>
      <c r="D1126" s="79">
        <f>IFERROR(VLOOKUP($G1126,基本資料!$A:$J,6,0),"無")</f>
        <v>-27</v>
      </c>
      <c r="E1126" s="79">
        <f>IFERROR(VLOOKUP($G1126,基本資料!$A:$J,7,0),"無")</f>
        <v>-32</v>
      </c>
      <c r="F1126" s="6">
        <f>IFERROR(VLOOKUP($G1126,基本資料!$A:$J,8,0),"無")</f>
        <v>9.92</v>
      </c>
      <c r="G1126" s="79">
        <v>4912</v>
      </c>
      <c r="H1126" s="195" t="s">
        <v>308</v>
      </c>
      <c r="I1126" s="22" t="s">
        <v>3042</v>
      </c>
      <c r="J1126" s="8">
        <f>IFERROR(VLOOKUP($G1126,今日總結!$A:$AN,39,0),"")</f>
        <v>0</v>
      </c>
      <c r="K1126" s="5">
        <f>IFERROR(VLOOKUP($G1126,今日總結!$A:$AN,40,0),"")</f>
        <v>0</v>
      </c>
      <c r="L1126" s="156">
        <f>IFERROR(VLOOKUP($G1126,今日總結!$A:$AN,37,0),"")</f>
        <v>0</v>
      </c>
      <c r="M1126" s="337">
        <f>IFERROR(VLOOKUP($G1126,今日總結!$A:$AN,38,0),"")</f>
        <v>0</v>
      </c>
      <c r="N1126" s="240">
        <f t="shared" si="197"/>
        <v>0</v>
      </c>
      <c r="O1126" s="359">
        <f>IFERROR(VLOOKUP($G1126,融外自投!$A:$J,7,0),"無")</f>
        <v>182</v>
      </c>
      <c r="P1126" s="79">
        <f>IFERROR(VLOOKUP($G1126,融外自投!$A:$J,9,0),"無")</f>
        <v>825</v>
      </c>
      <c r="Q1126" s="342">
        <f>IFERROR(VLOOKUP($G1126,融外自投!$A:$J,8,0),"無")</f>
        <v>180</v>
      </c>
      <c r="R1126" s="81" t="str">
        <f>IFERROR(VLOOKUP($G1126,融外自投!$A:$J,10,0),"無")</f>
        <v>無</v>
      </c>
      <c r="S1126" s="324">
        <f>IFERROR(VLOOKUP($G1126,'321買'!$A:$E,4,0),"'沒有資料'")</f>
        <v>696</v>
      </c>
      <c r="T1126" s="186">
        <f>IFERROR(VLOOKUP($G1126,基本資料!$A:$J,9,0),"無")</f>
        <v>3.87</v>
      </c>
      <c r="U1126" s="307">
        <f t="shared" si="196"/>
        <v>3.8316831683168316E-2</v>
      </c>
      <c r="V1126" s="94">
        <f>IFERROR(VLOOKUP($G1126,基本資料!$A:$J,10,0),"無")</f>
        <v>7.51</v>
      </c>
      <c r="W1126" s="36">
        <f>RTD("money.excel",,"4912","Price")</f>
        <v>101</v>
      </c>
      <c r="X1126" s="66"/>
      <c r="Y1126" s="15">
        <f t="shared" si="193"/>
        <v>101</v>
      </c>
      <c r="Z1126" s="3" t="e">
        <f t="shared" si="194"/>
        <v>#DIV/0!</v>
      </c>
      <c r="AA1126" s="340">
        <f>IFERROR(VLOOKUP($G1126,基本資料!$A:$M,11,0),"無")</f>
        <v>-50.37</v>
      </c>
      <c r="AB1126" s="389">
        <f>IFERROR(VLOOKUP($G1126,基本資料!$A:$M,12,0),"無")</f>
        <v>10.47</v>
      </c>
      <c r="AC1126" s="22" t="s">
        <v>3042</v>
      </c>
      <c r="AF1126" s="33">
        <f t="shared" si="195"/>
        <v>0</v>
      </c>
      <c r="AG1126" s="43" t="s">
        <v>2583</v>
      </c>
      <c r="AH1126" s="66">
        <f t="shared" si="198"/>
        <v>0.53315412186379929</v>
      </c>
      <c r="AI1126" s="283">
        <f>RTD("money.excel",,$G1126,"PredictVolume")</f>
        <v>357</v>
      </c>
      <c r="AJ1126" s="391">
        <f>IFERROR(VLOOKUP($G1126,基本資料!$A:$M,13,0),"無")</f>
        <v>669.6</v>
      </c>
      <c r="AR1126" s="245" t="str">
        <f>INDEX(基本資料!N:N,MATCH($G1126,基本資料!A:A,0))</f>
        <v>低</v>
      </c>
    </row>
    <row r="1127" spans="1:44">
      <c r="A1127" s="343">
        <f>IFERROR(VLOOKUP($G1127,基本資料!$A:$J,3,0),"無")</f>
        <v>45.52</v>
      </c>
      <c r="B1127" s="79">
        <f>IFERROR(VLOOKUP($G1127,基本資料!$A:$J,4,0),"無")</f>
        <v>23</v>
      </c>
      <c r="C1127" s="79">
        <f>IFERROR(VLOOKUP($G1127,基本資料!$A:$J,5,0),"無")</f>
        <v>22</v>
      </c>
      <c r="D1127" s="79">
        <f>IFERROR(VLOOKUP($G1127,基本資料!$A:$J,6,0),"無")</f>
        <v>-8</v>
      </c>
      <c r="E1127" s="79">
        <f>IFERROR(VLOOKUP($G1127,基本資料!$A:$J,7,0),"無")</f>
        <v>4</v>
      </c>
      <c r="F1127" s="6">
        <f>IFERROR(VLOOKUP($G1127,基本資料!$A:$J,8,0),"無")</f>
        <v>3.93</v>
      </c>
      <c r="G1127" s="79">
        <v>4915</v>
      </c>
      <c r="H1127" s="195" t="s">
        <v>308</v>
      </c>
      <c r="I1127" s="22" t="s">
        <v>48</v>
      </c>
      <c r="J1127" s="8">
        <f>IFERROR(VLOOKUP($G1127,今日總結!$A:$AN,39,0),"")</f>
        <v>0</v>
      </c>
      <c r="K1127" s="5">
        <f>IFERROR(VLOOKUP($G1127,今日總結!$A:$AN,40,0),"")</f>
        <v>0</v>
      </c>
      <c r="L1127" s="156">
        <f>IFERROR(VLOOKUP($G1127,今日總結!$A:$AN,37,0),"")</f>
        <v>0</v>
      </c>
      <c r="M1127" s="337">
        <f>IFERROR(VLOOKUP($G1127,今日總結!$A:$AN,38,0),"")</f>
        <v>0</v>
      </c>
      <c r="N1127" s="240">
        <f t="shared" si="197"/>
        <v>0</v>
      </c>
      <c r="O1127" s="359">
        <f>IFERROR(VLOOKUP($G1127,融外自投!$A:$J,7,0),"無")</f>
        <v>588</v>
      </c>
      <c r="P1127" s="79">
        <f>IFERROR(VLOOKUP($G1127,融外自投!$A:$J,9,0),"無")</f>
        <v>178</v>
      </c>
      <c r="Q1127" s="342">
        <f>IFERROR(VLOOKUP($G1127,融外自投!$A:$J,8,0),"無")</f>
        <v>90</v>
      </c>
      <c r="R1127" s="81">
        <f>IFERROR(VLOOKUP($G1127,融外自投!$A:$J,10,0),"無")</f>
        <v>208</v>
      </c>
      <c r="S1127" s="324">
        <f>IFERROR(VLOOKUP($G1127,'321買'!$A:$E,4,0),"'沒有資料'")</f>
        <v>223</v>
      </c>
      <c r="T1127" s="186">
        <f>IFERROR(VLOOKUP($G1127,基本資料!$A:$J,9,0),"無")</f>
        <v>3.1</v>
      </c>
      <c r="U1127" s="307">
        <f t="shared" si="196"/>
        <v>5.6672760511882997E-2</v>
      </c>
      <c r="V1127" s="94">
        <f>IFERROR(VLOOKUP($G1127,基本資料!$A:$J,10,0),"無")</f>
        <v>5.13</v>
      </c>
      <c r="W1127" s="36">
        <f>RTD("money.excel",,"4915","Price")</f>
        <v>54.7</v>
      </c>
      <c r="X1127" s="66"/>
      <c r="Y1127" s="15">
        <f t="shared" si="193"/>
        <v>54.7</v>
      </c>
      <c r="Z1127" s="3" t="e">
        <f t="shared" si="194"/>
        <v>#DIV/0!</v>
      </c>
      <c r="AA1127" s="340">
        <f>IFERROR(VLOOKUP($G1127,基本資料!$A:$M,11,0),"無")</f>
        <v>-15.59</v>
      </c>
      <c r="AB1127" s="389">
        <f>IFERROR(VLOOKUP($G1127,基本資料!$A:$M,12,0),"無")</f>
        <v>61.15</v>
      </c>
      <c r="AC1127" s="22" t="s">
        <v>48</v>
      </c>
      <c r="AF1127" s="33">
        <f t="shared" si="195"/>
        <v>0</v>
      </c>
      <c r="AG1127" s="117" t="s">
        <v>2937</v>
      </c>
      <c r="AH1127" s="66">
        <f t="shared" si="198"/>
        <v>0.67191774881535271</v>
      </c>
      <c r="AI1127" s="283">
        <f>RTD("money.excel",,$G1127,"PredictVolume")</f>
        <v>4261</v>
      </c>
      <c r="AJ1127" s="391">
        <f>IFERROR(VLOOKUP($G1127,基本資料!$A:$M,13,0),"無")</f>
        <v>6341.55</v>
      </c>
      <c r="AR1127" s="245" t="str">
        <f>INDEX(基本資料!N:N,MATCH($G1127,基本資料!A:A,0))</f>
        <v>中</v>
      </c>
    </row>
    <row r="1128" spans="1:44">
      <c r="A1128" s="343">
        <f>IFERROR(VLOOKUP($G1128,基本資料!$A:$J,3,0),"無")</f>
        <v>18.989999999999998</v>
      </c>
      <c r="B1128" s="79">
        <f>IFERROR(VLOOKUP($G1128,基本資料!$A:$J,4,0),"無")</f>
        <v>14</v>
      </c>
      <c r="C1128" s="79">
        <f>IFERROR(VLOOKUP($G1128,基本資料!$A:$J,5,0),"無")</f>
        <v>23</v>
      </c>
      <c r="D1128" s="79">
        <f>IFERROR(VLOOKUP($G1128,基本資料!$A:$J,6,0),"無")</f>
        <v>7</v>
      </c>
      <c r="E1128" s="79">
        <f>IFERROR(VLOOKUP($G1128,基本資料!$A:$J,7,0),"無")</f>
        <v>7</v>
      </c>
      <c r="F1128" s="6">
        <f>IFERROR(VLOOKUP($G1128,基本資料!$A:$J,8,0),"無")</f>
        <v>9.98</v>
      </c>
      <c r="G1128" s="79">
        <v>4927</v>
      </c>
      <c r="H1128" s="17" t="s">
        <v>308</v>
      </c>
      <c r="I1128" s="22" t="s">
        <v>447</v>
      </c>
      <c r="J1128" s="8" t="str">
        <f>IFERROR(VLOOKUP($G1128,今日總結!$A:$AN,39,0),"")</f>
        <v>券</v>
      </c>
      <c r="K1128" s="5" t="str">
        <f>IFERROR(VLOOKUP($G1128,今日總結!$A:$AN,40,0),"")</f>
        <v>外</v>
      </c>
      <c r="L1128" s="156">
        <f>IFERROR(VLOOKUP($G1128,今日總結!$A:$AN,37,0),"")</f>
        <v>1</v>
      </c>
      <c r="M1128" s="337">
        <f>IFERROR(VLOOKUP($G1128,今日總結!$A:$AN,38,0),"")</f>
        <v>3</v>
      </c>
      <c r="N1128" s="240">
        <f t="shared" si="197"/>
        <v>-2</v>
      </c>
      <c r="O1128" s="359">
        <f>IFERROR(VLOOKUP($G1128,融外自投!$A:$J,7,0),"無")</f>
        <v>275</v>
      </c>
      <c r="P1128" s="79">
        <f>IFERROR(VLOOKUP($G1128,融外自投!$A:$J,9,0),"無")</f>
        <v>213</v>
      </c>
      <c r="Q1128" s="342">
        <f>IFERROR(VLOOKUP($G1128,融外自投!$A:$J,8,0),"無")</f>
        <v>289</v>
      </c>
      <c r="R1128" s="81">
        <f>IFERROR(VLOOKUP($G1128,融外自投!$A:$J,10,0),"無")</f>
        <v>39</v>
      </c>
      <c r="S1128" s="324">
        <f>IFERROR(VLOOKUP($G1128,'321買'!$A:$E,4,0),"'沒有資料'")</f>
        <v>33</v>
      </c>
      <c r="T1128" s="186">
        <f>IFERROR(VLOOKUP($G1128,基本資料!$A:$J,9,0),"無")</f>
        <v>4</v>
      </c>
      <c r="U1128" s="307">
        <f t="shared" si="196"/>
        <v>4.2689434364994665E-2</v>
      </c>
      <c r="V1128" s="94">
        <f>IFERROR(VLOOKUP($G1128,基本資料!$A:$J,10,0),"無")</f>
        <v>7.25</v>
      </c>
      <c r="W1128" s="36">
        <f>RTD("money.excel",,"4927","Price")</f>
        <v>93.7</v>
      </c>
      <c r="X1128" s="66"/>
      <c r="Y1128" s="15">
        <f t="shared" si="193"/>
        <v>93.7</v>
      </c>
      <c r="Z1128" s="3" t="e">
        <f t="shared" si="194"/>
        <v>#DIV/0!</v>
      </c>
      <c r="AA1128" s="340">
        <f>IFERROR(VLOOKUP($G1128,基本資料!$A:$M,11,0),"無")</f>
        <v>-32.1</v>
      </c>
      <c r="AB1128" s="389">
        <f>IFERROR(VLOOKUP($G1128,基本資料!$A:$M,12,0),"無")</f>
        <v>29.74</v>
      </c>
      <c r="AC1128" s="22" t="s">
        <v>447</v>
      </c>
      <c r="AF1128" s="33">
        <f t="shared" si="195"/>
        <v>0</v>
      </c>
      <c r="AG1128" s="43" t="s">
        <v>1043</v>
      </c>
      <c r="AH1128" s="66">
        <f t="shared" si="198"/>
        <v>0.4102912841437153</v>
      </c>
      <c r="AI1128" s="283">
        <f>RTD("money.excel",,$G1128,"PredictVolume")</f>
        <v>1086</v>
      </c>
      <c r="AJ1128" s="391">
        <f>IFERROR(VLOOKUP($G1128,基本資料!$A:$M,13,0),"無")</f>
        <v>2646.9</v>
      </c>
      <c r="AL1128" s="239"/>
      <c r="AR1128" s="245" t="str">
        <f>INDEX(基本資料!N:N,MATCH($G1128,基本資料!A:A,0))</f>
        <v>中</v>
      </c>
    </row>
    <row r="1129" spans="1:44">
      <c r="A1129" s="343">
        <f>IFERROR(VLOOKUP($G1129,基本資料!$A:$J,3,0),"無")</f>
        <v>9.82</v>
      </c>
      <c r="B1129" s="79">
        <f>IFERROR(VLOOKUP($G1129,基本資料!$A:$J,4,0),"無")</f>
        <v>9</v>
      </c>
      <c r="C1129" s="79">
        <f>IFERROR(VLOOKUP($G1129,基本資料!$A:$J,5,0),"無")</f>
        <v>25</v>
      </c>
      <c r="D1129" s="79">
        <f>IFERROR(VLOOKUP($G1129,基本資料!$A:$J,6,0),"無")</f>
        <v>-19</v>
      </c>
      <c r="E1129" s="79">
        <f>IFERROR(VLOOKUP($G1129,基本資料!$A:$J,7,0),"無")</f>
        <v>-14</v>
      </c>
      <c r="F1129" s="6">
        <f>IFERROR(VLOOKUP($G1129,基本資料!$A:$J,8,0),"無")</f>
        <v>13.43</v>
      </c>
      <c r="G1129" s="79">
        <v>4939</v>
      </c>
      <c r="H1129" s="8" t="s">
        <v>308</v>
      </c>
      <c r="I1129" s="16" t="s">
        <v>410</v>
      </c>
      <c r="J1129" s="8">
        <f>IFERROR(VLOOKUP($G1129,今日總結!$A:$AN,39,0),"")</f>
        <v>0</v>
      </c>
      <c r="K1129" s="5" t="str">
        <f>IFERROR(VLOOKUP($G1129,今日總結!$A:$AN,40,0),"")</f>
        <v>融</v>
      </c>
      <c r="L1129" s="156">
        <f>IFERROR(VLOOKUP($G1129,今日總結!$A:$AN,37,0),"")</f>
        <v>0</v>
      </c>
      <c r="M1129" s="337">
        <f>IFERROR(VLOOKUP($G1129,今日總結!$A:$AN,38,0),"")</f>
        <v>4</v>
      </c>
      <c r="N1129" s="240">
        <f t="shared" si="197"/>
        <v>-4</v>
      </c>
      <c r="O1129" s="359">
        <f>IFERROR(VLOOKUP($G1129,融外自投!$A:$J,7,0),"無")</f>
        <v>249</v>
      </c>
      <c r="P1129" s="79">
        <f>IFERROR(VLOOKUP($G1129,融外自投!$A:$J,9,0),"無")</f>
        <v>635</v>
      </c>
      <c r="Q1129" s="342">
        <f>IFERROR(VLOOKUP($G1129,融外自投!$A:$J,8,0),"無")</f>
        <v>867</v>
      </c>
      <c r="R1129" s="81" t="str">
        <f>IFERROR(VLOOKUP($G1129,融外自投!$A:$J,10,0),"無")</f>
        <v>無</v>
      </c>
      <c r="S1129" s="324">
        <f>IFERROR(VLOOKUP($G1129,'321買'!$A:$E,4,0),"'沒有資料'")</f>
        <v>606</v>
      </c>
      <c r="T1129" s="186">
        <f>IFERROR(VLOOKUP($G1129,基本資料!$A:$J,9,0),"無")</f>
        <v>1.4</v>
      </c>
      <c r="U1129" s="307">
        <f t="shared" si="196"/>
        <v>6.8126520681265207E-2</v>
      </c>
      <c r="V1129" s="94">
        <f>IFERROR(VLOOKUP($G1129,基本資料!$A:$J,10,0),"無")</f>
        <v>1.76</v>
      </c>
      <c r="W1129" s="36">
        <f>RTD("money.excel",,"4939","Price")</f>
        <v>20.55</v>
      </c>
      <c r="X1129" s="66"/>
      <c r="Y1129" s="15">
        <f t="shared" si="193"/>
        <v>20.55</v>
      </c>
      <c r="Z1129" s="3" t="e">
        <f t="shared" si="194"/>
        <v>#DIV/0!</v>
      </c>
      <c r="AA1129" s="340">
        <f>IFERROR(VLOOKUP($G1129,基本資料!$A:$M,11,0),"無")</f>
        <v>-30.34</v>
      </c>
      <c r="AB1129" s="389">
        <f>IFERROR(VLOOKUP($G1129,基本資料!$A:$M,12,0),"無")</f>
        <v>13.85</v>
      </c>
      <c r="AC1129" s="16" t="s">
        <v>410</v>
      </c>
      <c r="AF1129" s="33">
        <f t="shared" si="195"/>
        <v>0</v>
      </c>
      <c r="AG1129" s="43" t="s">
        <v>1044</v>
      </c>
      <c r="AH1129" s="66">
        <f t="shared" si="198"/>
        <v>0.57880184331797235</v>
      </c>
      <c r="AI1129" s="283">
        <f>RTD("money.excel",,$G1129,"PredictVolume")</f>
        <v>157</v>
      </c>
      <c r="AJ1129" s="391">
        <f>IFERROR(VLOOKUP($G1129,基本資料!$A:$M,13,0),"無")</f>
        <v>271.25</v>
      </c>
      <c r="AR1129" s="245" t="str">
        <f>INDEX(基本資料!N:N,MATCH($G1129,基本資料!A:A,0))</f>
        <v>低</v>
      </c>
    </row>
    <row r="1130" spans="1:44">
      <c r="A1130" s="343">
        <f>IFERROR(VLOOKUP($G1130,基本資料!$A:$J,3,0),"無")</f>
        <v>15.71</v>
      </c>
      <c r="B1130" s="79">
        <f>IFERROR(VLOOKUP($G1130,基本資料!$A:$J,4,0),"無")</f>
        <v>-1996</v>
      </c>
      <c r="C1130" s="79">
        <f>IFERROR(VLOOKUP($G1130,基本資料!$A:$J,5,0),"無")</f>
        <v>-9633</v>
      </c>
      <c r="D1130" s="79">
        <f>IFERROR(VLOOKUP($G1130,基本資料!$A:$J,6,0),"無")</f>
        <v>-81</v>
      </c>
      <c r="E1130" s="79">
        <f>IFERROR(VLOOKUP($G1130,基本資料!$A:$J,7,0),"無")</f>
        <v>-83</v>
      </c>
      <c r="F1130" s="6">
        <f>IFERROR(VLOOKUP($G1130,基本資料!$A:$J,8,0),"無")</f>
        <v>-114.75</v>
      </c>
      <c r="G1130" s="79">
        <v>4943</v>
      </c>
      <c r="H1130" s="192" t="s">
        <v>308</v>
      </c>
      <c r="I1130" s="22" t="s">
        <v>52</v>
      </c>
      <c r="J1130" s="8" t="str">
        <f>IFERROR(VLOOKUP($G1130,今日總結!$A:$AN,39,0),"")</f>
        <v>借</v>
      </c>
      <c r="K1130" s="5" t="str">
        <f>IFERROR(VLOOKUP($G1130,今日總結!$A:$AN,40,0),"")</f>
        <v>融</v>
      </c>
      <c r="L1130" s="156">
        <f>IFERROR(VLOOKUP($G1130,今日總結!$A:$AN,37,0),"")</f>
        <v>9</v>
      </c>
      <c r="M1130" s="337">
        <f>IFERROR(VLOOKUP($G1130,今日總結!$A:$AN,38,0),"")</f>
        <v>3</v>
      </c>
      <c r="N1130" s="240">
        <f t="shared" si="197"/>
        <v>6</v>
      </c>
      <c r="O1130" s="359" t="str">
        <f>IFERROR(VLOOKUP($G1130,融外自投!$A:$J,7,0),"無")</f>
        <v>無</v>
      </c>
      <c r="P1130" s="79" t="str">
        <f>IFERROR(VLOOKUP($G1130,融外自投!$A:$J,9,0),"無")</f>
        <v>無</v>
      </c>
      <c r="Q1130" s="342" t="str">
        <f>IFERROR(VLOOKUP($G1130,融外自投!$A:$J,8,0),"無")</f>
        <v>無</v>
      </c>
      <c r="R1130" s="81" t="str">
        <f>IFERROR(VLOOKUP($G1130,融外自投!$A:$J,10,0),"無")</f>
        <v>無</v>
      </c>
      <c r="S1130" s="324">
        <f>IFERROR(VLOOKUP($G1130,'321買'!$A:$E,4,0),"'沒有資料'")</f>
        <v>801</v>
      </c>
      <c r="T1130" s="186">
        <f>IFERROR(VLOOKUP($G1130,基本資料!$A:$J,9,0),"無")</f>
        <v>0</v>
      </c>
      <c r="U1130" s="307">
        <f t="shared" si="196"/>
        <v>0</v>
      </c>
      <c r="V1130" s="94">
        <f>IFERROR(VLOOKUP($G1130,基本資料!$A:$J,10,0),"無")</f>
        <v>-24.11</v>
      </c>
      <c r="W1130" s="36">
        <f>RTD("money.excel",,"4943","Price")</f>
        <v>19.5</v>
      </c>
      <c r="X1130" s="66"/>
      <c r="Y1130" s="15">
        <f t="shared" si="193"/>
        <v>19.5</v>
      </c>
      <c r="Z1130" s="3" t="e">
        <f t="shared" si="194"/>
        <v>#DIV/0!</v>
      </c>
      <c r="AA1130" s="340">
        <f>IFERROR(VLOOKUP($G1130,基本資料!$A:$M,11,0),"無")</f>
        <v>-76.48</v>
      </c>
      <c r="AB1130" s="389">
        <f>IFERROR(VLOOKUP($G1130,基本資料!$A:$M,12,0),"無")</f>
        <v>9.67</v>
      </c>
      <c r="AC1130" s="22" t="s">
        <v>52</v>
      </c>
      <c r="AF1130" s="33">
        <f t="shared" si="195"/>
        <v>0</v>
      </c>
      <c r="AG1130" s="117" t="s">
        <v>2590</v>
      </c>
      <c r="AH1130" s="66">
        <f t="shared" si="198"/>
        <v>0.91381418092909539</v>
      </c>
      <c r="AI1130" s="283">
        <f>RTD("money.excel",,$G1130,"PredictVolume")</f>
        <v>299</v>
      </c>
      <c r="AJ1130" s="391">
        <f>IFERROR(VLOOKUP($G1130,基本資料!$A:$M,13,0),"無")</f>
        <v>327.2</v>
      </c>
      <c r="AR1130" s="245" t="str">
        <f>INDEX(基本資料!N:N,MATCH($G1130,基本資料!A:A,0))</f>
        <v>低</v>
      </c>
    </row>
    <row r="1131" spans="1:44">
      <c r="A1131" s="343">
        <f>IFERROR(VLOOKUP($G1131,基本資料!$A:$J,3,0),"無")</f>
        <v>94.7</v>
      </c>
      <c r="B1131" s="79">
        <f>IFERROR(VLOOKUP($G1131,基本資料!$A:$J,4,0),"無")</f>
        <v>19</v>
      </c>
      <c r="C1131" s="79">
        <f>IFERROR(VLOOKUP($G1131,基本資料!$A:$J,5,0),"無")</f>
        <v>11</v>
      </c>
      <c r="D1131" s="79">
        <f>IFERROR(VLOOKUP($G1131,基本資料!$A:$J,6,0),"無")</f>
        <v>-23</v>
      </c>
      <c r="E1131" s="79">
        <f>IFERROR(VLOOKUP($G1131,基本資料!$A:$J,7,0),"無")</f>
        <v>8</v>
      </c>
      <c r="F1131" s="6">
        <f>IFERROR(VLOOKUP($G1131,基本資料!$A:$J,8,0),"無")</f>
        <v>10.18</v>
      </c>
      <c r="G1131" s="79">
        <v>4958</v>
      </c>
      <c r="H1131" s="195" t="s">
        <v>308</v>
      </c>
      <c r="I1131" s="22" t="s">
        <v>27</v>
      </c>
      <c r="J1131" s="8">
        <f>IFERROR(VLOOKUP($G1131,今日總結!$A:$AN,39,0),"")</f>
        <v>0</v>
      </c>
      <c r="K1131" s="5">
        <f>IFERROR(VLOOKUP($G1131,今日總結!$A:$AN,40,0),"")</f>
        <v>0</v>
      </c>
      <c r="L1131" s="156">
        <f>IFERROR(VLOOKUP($G1131,今日總結!$A:$AN,37,0),"")</f>
        <v>0</v>
      </c>
      <c r="M1131" s="337">
        <f>IFERROR(VLOOKUP($G1131,今日總結!$A:$AN,38,0),"")</f>
        <v>0</v>
      </c>
      <c r="N1131" s="240">
        <f t="shared" si="197"/>
        <v>0</v>
      </c>
      <c r="O1131" s="359">
        <f>IFERROR(VLOOKUP($G1131,融外自投!$A:$J,7,0),"無")</f>
        <v>938</v>
      </c>
      <c r="P1131" s="79">
        <f>IFERROR(VLOOKUP($G1131,融外自投!$A:$J,9,0),"無")</f>
        <v>467</v>
      </c>
      <c r="Q1131" s="342">
        <f>IFERROR(VLOOKUP($G1131,融外自投!$A:$J,8,0),"無")</f>
        <v>42</v>
      </c>
      <c r="R1131" s="81">
        <f>IFERROR(VLOOKUP($G1131,融外自投!$A:$J,10,0),"無")</f>
        <v>149</v>
      </c>
      <c r="S1131" s="324">
        <f>IFERROR(VLOOKUP($G1131,'321買'!$A:$E,4,0),"'沒有資料'")</f>
        <v>253</v>
      </c>
      <c r="T1131" s="186">
        <f>IFERROR(VLOOKUP($G1131,基本資料!$A:$J,9,0),"無")</f>
        <v>5</v>
      </c>
      <c r="U1131" s="307">
        <f t="shared" si="196"/>
        <v>4.7619047619047616E-2</v>
      </c>
      <c r="V1131" s="94">
        <f>IFERROR(VLOOKUP($G1131,基本資料!$A:$J,10,0),"無")</f>
        <v>10.210000000000001</v>
      </c>
      <c r="W1131" s="36">
        <f>RTD("money.excel",,"4958","Price")</f>
        <v>105</v>
      </c>
      <c r="X1131" s="66"/>
      <c r="Y1131" s="15">
        <f t="shared" si="193"/>
        <v>105</v>
      </c>
      <c r="Z1131" s="3" t="e">
        <f t="shared" si="194"/>
        <v>#DIV/0!</v>
      </c>
      <c r="AA1131" s="340">
        <f>IFERROR(VLOOKUP($G1131,基本資料!$A:$M,11,0),"無")</f>
        <v>-7.49</v>
      </c>
      <c r="AB1131" s="389">
        <f>IFERROR(VLOOKUP($G1131,基本資料!$A:$M,12,0),"無")</f>
        <v>58.68</v>
      </c>
      <c r="AC1131" s="22" t="s">
        <v>27</v>
      </c>
      <c r="AF1131" s="33">
        <f t="shared" si="195"/>
        <v>0</v>
      </c>
      <c r="AG1131" s="117" t="s">
        <v>2303</v>
      </c>
      <c r="AH1131" s="66">
        <f t="shared" si="198"/>
        <v>0.63889538965597936</v>
      </c>
      <c r="AI1131" s="283">
        <f>RTD("money.excel",,$G1131,"PredictVolume")</f>
        <v>2730</v>
      </c>
      <c r="AJ1131" s="391">
        <f>IFERROR(VLOOKUP($G1131,基本資料!$A:$M,13,0),"無")</f>
        <v>4273</v>
      </c>
      <c r="AR1131" s="245" t="str">
        <f>INDEX(基本資料!N:N,MATCH($G1131,基本資料!A:A,0))</f>
        <v>中</v>
      </c>
    </row>
    <row r="1132" spans="1:44">
      <c r="A1132" s="343">
        <f>IFERROR(VLOOKUP($G1132,基本資料!$A:$J,3,0),"無")</f>
        <v>7.25</v>
      </c>
      <c r="B1132" s="79">
        <f>IFERROR(VLOOKUP($G1132,基本資料!$A:$J,4,0),"無")</f>
        <v>13</v>
      </c>
      <c r="C1132" s="79">
        <f>IFERROR(VLOOKUP($G1132,基本資料!$A:$J,5,0),"無")</f>
        <v>-3</v>
      </c>
      <c r="D1132" s="79">
        <f>IFERROR(VLOOKUP($G1132,基本資料!$A:$J,6,0),"無")</f>
        <v>-39</v>
      </c>
      <c r="E1132" s="79">
        <f>IFERROR(VLOOKUP($G1132,基本資料!$A:$J,7,0),"無")</f>
        <v>-12</v>
      </c>
      <c r="F1132" s="6">
        <f>IFERROR(VLOOKUP($G1132,基本資料!$A:$J,8,0),"無")</f>
        <v>12.22</v>
      </c>
      <c r="G1132" s="79">
        <v>4974</v>
      </c>
      <c r="H1132" s="8" t="s">
        <v>308</v>
      </c>
      <c r="I1132" s="16" t="s">
        <v>4581</v>
      </c>
      <c r="J1132" s="8">
        <f>IFERROR(VLOOKUP($G1132,今日總結!$A:$AN,39,0),"")</f>
        <v>0</v>
      </c>
      <c r="K1132" s="5" t="str">
        <f>IFERROR(VLOOKUP($G1132,今日總結!$A:$AN,40,0),"")</f>
        <v>主</v>
      </c>
      <c r="L1132" s="156">
        <f>IFERROR(VLOOKUP($G1132,今日總結!$A:$AN,37,0),"")</f>
        <v>0</v>
      </c>
      <c r="M1132" s="337">
        <f>IFERROR(VLOOKUP($G1132,今日總結!$A:$AN,38,0),"")</f>
        <v>5</v>
      </c>
      <c r="N1132" s="240">
        <f t="shared" si="197"/>
        <v>-5</v>
      </c>
      <c r="O1132" s="359">
        <f>IFERROR(VLOOKUP($G1132,融外自投!$A:$J,7,0),"無")</f>
        <v>992</v>
      </c>
      <c r="P1132" s="79">
        <f>IFERROR(VLOOKUP($G1132,融外自投!$A:$J,9,0),"無")</f>
        <v>144</v>
      </c>
      <c r="Q1132" s="342">
        <f>IFERROR(VLOOKUP($G1132,融外自投!$A:$J,8,0),"無")</f>
        <v>672</v>
      </c>
      <c r="R1132" s="81" t="str">
        <f>IFERROR(VLOOKUP($G1132,融外自投!$A:$J,10,0),"無")</f>
        <v>無</v>
      </c>
      <c r="S1132" s="324">
        <f>IFERROR(VLOOKUP($G1132,'321買'!$A:$E,4,0),"'沒有資料'")</f>
        <v>743</v>
      </c>
      <c r="T1132" s="186">
        <f>IFERROR(VLOOKUP($G1132,基本資料!$A:$J,9,0),"無")</f>
        <v>4.3</v>
      </c>
      <c r="U1132" s="307">
        <f t="shared" si="196"/>
        <v>7.8467153284671534E-2</v>
      </c>
      <c r="V1132" s="94">
        <f>IFERROR(VLOOKUP($G1132,基本資料!$A:$J,10,0),"無")</f>
        <v>5.87</v>
      </c>
      <c r="W1132" s="36">
        <f>RTD("money.excel",,"4974","Price")</f>
        <v>54.8</v>
      </c>
      <c r="X1132" s="66"/>
      <c r="Y1132" s="15">
        <f t="shared" si="193"/>
        <v>54.8</v>
      </c>
      <c r="Z1132" s="3" t="e">
        <f t="shared" si="194"/>
        <v>#DIV/0!</v>
      </c>
      <c r="AA1132" s="340">
        <f>IFERROR(VLOOKUP($G1132,基本資料!$A:$M,11,0),"無")</f>
        <v>-13.84</v>
      </c>
      <c r="AB1132" s="389">
        <f>IFERROR(VLOOKUP($G1132,基本資料!$A:$M,12,0),"無")</f>
        <v>31.21</v>
      </c>
      <c r="AC1132" s="16" t="s">
        <v>4581</v>
      </c>
      <c r="AF1132" s="33">
        <f t="shared" si="195"/>
        <v>0</v>
      </c>
      <c r="AG1132" s="117" t="s">
        <v>2408</v>
      </c>
      <c r="AH1132" s="66">
        <f t="shared" si="198"/>
        <v>1.2254516889238021</v>
      </c>
      <c r="AI1132" s="283">
        <f>RTD("money.excel",,$G1132,"PredictVolume")</f>
        <v>234</v>
      </c>
      <c r="AJ1132" s="391">
        <f>IFERROR(VLOOKUP($G1132,基本資料!$A:$M,13,0),"無")</f>
        <v>190.95</v>
      </c>
      <c r="AR1132" s="245" t="str">
        <f>INDEX(基本資料!N:N,MATCH($G1132,基本資料!A:A,0))</f>
        <v>低</v>
      </c>
    </row>
    <row r="1133" spans="1:44">
      <c r="A1133" s="343">
        <f>IFERROR(VLOOKUP($G1133,基本資料!$A:$J,3,0),"無")</f>
        <v>13.77</v>
      </c>
      <c r="B1133" s="79">
        <f>IFERROR(VLOOKUP($G1133,基本資料!$A:$J,4,0),"無")</f>
        <v>1543</v>
      </c>
      <c r="C1133" s="79">
        <f>IFERROR(VLOOKUP($G1133,基本資料!$A:$J,5,0),"無")</f>
        <v>947</v>
      </c>
      <c r="D1133" s="79">
        <f>IFERROR(VLOOKUP($G1133,基本資料!$A:$J,6,0),"無")</f>
        <v>-27</v>
      </c>
      <c r="E1133" s="79">
        <f>IFERROR(VLOOKUP($G1133,基本資料!$A:$J,7,0),"無")</f>
        <v>-6</v>
      </c>
      <c r="F1133" s="6">
        <f>IFERROR(VLOOKUP($G1133,基本資料!$A:$J,8,0),"無")</f>
        <v>15.98</v>
      </c>
      <c r="G1133" s="79">
        <v>4989</v>
      </c>
      <c r="H1133" s="195" t="s">
        <v>308</v>
      </c>
      <c r="I1133" s="22" t="s">
        <v>3295</v>
      </c>
      <c r="J1133" s="8" t="str">
        <f>IFERROR(VLOOKUP($G1133,今日總結!$A:$AN,39,0),"")</f>
        <v>券</v>
      </c>
      <c r="K1133" s="5">
        <f>IFERROR(VLOOKUP($G1133,今日總結!$A:$AN,40,0),"")</f>
        <v>0</v>
      </c>
      <c r="L1133" s="156">
        <f>IFERROR(VLOOKUP($G1133,今日總結!$A:$AN,37,0),"")</f>
        <v>1</v>
      </c>
      <c r="M1133" s="337">
        <f>IFERROR(VLOOKUP($G1133,今日總結!$A:$AN,38,0),"")</f>
        <v>0</v>
      </c>
      <c r="N1133" s="240">
        <f t="shared" si="197"/>
        <v>1</v>
      </c>
      <c r="O1133" s="359">
        <f>IFERROR(VLOOKUP($G1133,融外自投!$A:$J,7,0),"無")</f>
        <v>680</v>
      </c>
      <c r="P1133" s="79">
        <f>IFERROR(VLOOKUP($G1133,融外自投!$A:$J,9,0),"無")</f>
        <v>392</v>
      </c>
      <c r="Q1133" s="342">
        <f>IFERROR(VLOOKUP($G1133,融外自投!$A:$J,8,0),"無")</f>
        <v>1189</v>
      </c>
      <c r="R1133" s="81">
        <f>IFERROR(VLOOKUP($G1133,融外自投!$A:$J,10,0),"無")</f>
        <v>358</v>
      </c>
      <c r="S1133" s="324">
        <f>IFERROR(VLOOKUP($G1133,'321買'!$A:$E,4,0),"'沒有資料'")</f>
        <v>366</v>
      </c>
      <c r="T1133" s="186">
        <f>IFERROR(VLOOKUP($G1133,基本資料!$A:$J,9,0),"無")</f>
        <v>1.5</v>
      </c>
      <c r="U1133" s="307">
        <f t="shared" si="196"/>
        <v>4.5662100456621002E-2</v>
      </c>
      <c r="V1133" s="94">
        <f>IFERROR(VLOOKUP($G1133,基本資料!$A:$J,10,0),"無")</f>
        <v>3.77</v>
      </c>
      <c r="W1133" s="36">
        <f>RTD("money.excel",,"4989","Price")</f>
        <v>32.85</v>
      </c>
      <c r="X1133" s="66"/>
      <c r="Y1133" s="15">
        <f t="shared" si="193"/>
        <v>32.85</v>
      </c>
      <c r="Z1133" s="3" t="e">
        <f t="shared" si="194"/>
        <v>#DIV/0!</v>
      </c>
      <c r="AA1133" s="340">
        <f>IFERROR(VLOOKUP($G1133,基本資料!$A:$M,11,0),"無")</f>
        <v>-45.16</v>
      </c>
      <c r="AB1133" s="389">
        <f>IFERROR(VLOOKUP($G1133,基本資料!$A:$M,12,0),"無")</f>
        <v>16.23</v>
      </c>
      <c r="AC1133" s="22" t="s">
        <v>3295</v>
      </c>
      <c r="AF1133" s="33">
        <f t="shared" si="195"/>
        <v>0</v>
      </c>
      <c r="AG1133" s="117" t="s">
        <v>3296</v>
      </c>
      <c r="AH1133" s="66">
        <f t="shared" si="198"/>
        <v>0.69340858697843177</v>
      </c>
      <c r="AI1133" s="283">
        <f>RTD("money.excel",,$G1133,"PredictVolume")</f>
        <v>172</v>
      </c>
      <c r="AJ1133" s="391">
        <f>IFERROR(VLOOKUP($G1133,基本資料!$A:$M,13,0),"無")</f>
        <v>248.05</v>
      </c>
      <c r="AR1133" s="245" t="str">
        <f>INDEX(基本資料!N:N,MATCH($G1133,基本資料!A:A,0))</f>
        <v>低</v>
      </c>
    </row>
    <row r="1134" spans="1:44">
      <c r="A1134" s="343">
        <f>IFERROR(VLOOKUP($G1134,基本資料!$A:$J,3,0),"無")</f>
        <v>7.44</v>
      </c>
      <c r="B1134" s="79">
        <f>IFERROR(VLOOKUP($G1134,基本資料!$A:$J,4,0),"無")</f>
        <v>-56</v>
      </c>
      <c r="C1134" s="79">
        <f>IFERROR(VLOOKUP($G1134,基本資料!$A:$J,5,0),"無")</f>
        <v>-52</v>
      </c>
      <c r="D1134" s="79">
        <f>IFERROR(VLOOKUP($G1134,基本資料!$A:$J,6,0),"無")</f>
        <v>-33</v>
      </c>
      <c r="E1134" s="79">
        <f>IFERROR(VLOOKUP($G1134,基本資料!$A:$J,7,0),"無")</f>
        <v>-53</v>
      </c>
      <c r="F1134" s="6">
        <f>IFERROR(VLOOKUP($G1134,基本資料!$A:$J,8,0),"無")</f>
        <v>10.32</v>
      </c>
      <c r="G1134" s="79">
        <v>4999</v>
      </c>
      <c r="H1134" s="8" t="s">
        <v>308</v>
      </c>
      <c r="I1134" s="22" t="s">
        <v>4582</v>
      </c>
      <c r="J1134" s="8">
        <f>IFERROR(VLOOKUP($G1134,今日總結!$A:$AN,39,0),"")</f>
        <v>0</v>
      </c>
      <c r="K1134" s="5">
        <f>IFERROR(VLOOKUP($G1134,今日總結!$A:$AN,40,0),"")</f>
        <v>0</v>
      </c>
      <c r="L1134" s="156">
        <f>IFERROR(VLOOKUP($G1134,今日總結!$A:$AN,37,0),"")</f>
        <v>0</v>
      </c>
      <c r="M1134" s="337">
        <f>IFERROR(VLOOKUP($G1134,今日總結!$A:$AN,38,0),"")</f>
        <v>0</v>
      </c>
      <c r="N1134" s="240">
        <f t="shared" si="197"/>
        <v>0</v>
      </c>
      <c r="O1134" s="359">
        <f>IFERROR(VLOOKUP($G1134,融外自投!$A:$J,7,0),"無")</f>
        <v>805</v>
      </c>
      <c r="P1134" s="79">
        <f>IFERROR(VLOOKUP($G1134,融外自投!$A:$J,9,0),"無")</f>
        <v>1051</v>
      </c>
      <c r="Q1134" s="342">
        <f>IFERROR(VLOOKUP($G1134,融外自投!$A:$J,8,0),"無")</f>
        <v>869</v>
      </c>
      <c r="R1134" s="81">
        <f>IFERROR(VLOOKUP($G1134,融外自投!$A:$J,10,0),"無")</f>
        <v>395</v>
      </c>
      <c r="S1134" s="324">
        <f>IFERROR(VLOOKUP($G1134,'321買'!$A:$E,4,0),"'沒有資料'")</f>
        <v>891</v>
      </c>
      <c r="T1134" s="186">
        <f>IFERROR(VLOOKUP($G1134,基本資料!$A:$J,9,0),"無")</f>
        <v>2</v>
      </c>
      <c r="U1134" s="307">
        <f t="shared" si="196"/>
        <v>5.7142857142857141E-2</v>
      </c>
      <c r="V1134" s="94">
        <f>IFERROR(VLOOKUP($G1134,基本資料!$A:$J,10,0),"無")</f>
        <v>2.44</v>
      </c>
      <c r="W1134" s="36">
        <f>RTD("money.excel",,"4999","Price")</f>
        <v>35</v>
      </c>
      <c r="X1134" s="66"/>
      <c r="Y1134" s="15">
        <f t="shared" si="193"/>
        <v>35</v>
      </c>
      <c r="Z1134" s="35" t="e">
        <f t="shared" si="194"/>
        <v>#DIV/0!</v>
      </c>
      <c r="AA1134" s="340">
        <f>IFERROR(VLOOKUP($G1134,基本資料!$A:$M,11,0),"無")</f>
        <v>-32.43</v>
      </c>
      <c r="AB1134" s="389">
        <f>IFERROR(VLOOKUP($G1134,基本資料!$A:$M,12,0),"無")</f>
        <v>7.28</v>
      </c>
      <c r="AC1134" s="22" t="s">
        <v>4582</v>
      </c>
      <c r="AF1134" s="33">
        <f t="shared" si="195"/>
        <v>0</v>
      </c>
      <c r="AG1134" s="43" t="s">
        <v>2591</v>
      </c>
      <c r="AH1134" s="66">
        <f t="shared" si="198"/>
        <v>0.88235294117647056</v>
      </c>
      <c r="AI1134" s="283">
        <f>RTD("money.excel",,$G1134,"PredictVolume")</f>
        <v>60</v>
      </c>
      <c r="AJ1134" s="391">
        <f>IFERROR(VLOOKUP($G1134,基本資料!$A:$M,13,0),"無")</f>
        <v>68</v>
      </c>
      <c r="AR1134" s="245" t="str">
        <f>INDEX(基本資料!N:N,MATCH($G1134,基本資料!A:A,0))</f>
        <v>低</v>
      </c>
    </row>
    <row r="1135" spans="1:44">
      <c r="A1135" s="343">
        <f>IFERROR(VLOOKUP($G1135,基本資料!$A:$J,3,0),"無")</f>
        <v>7</v>
      </c>
      <c r="B1135" s="79">
        <f>IFERROR(VLOOKUP($G1135,基本資料!$A:$J,4,0),"無")</f>
        <v>17</v>
      </c>
      <c r="C1135" s="79">
        <f>IFERROR(VLOOKUP($G1135,基本資料!$A:$J,5,0),"無")</f>
        <v>27</v>
      </c>
      <c r="D1135" s="79">
        <f>IFERROR(VLOOKUP($G1135,基本資料!$A:$J,6,0),"無")</f>
        <v>-20</v>
      </c>
      <c r="E1135" s="79">
        <f>IFERROR(VLOOKUP($G1135,基本資料!$A:$J,7,0),"無")</f>
        <v>257</v>
      </c>
      <c r="F1135" s="6">
        <f>IFERROR(VLOOKUP($G1135,基本資料!$A:$J,8,0),"無")</f>
        <v>-87.06</v>
      </c>
      <c r="G1135" s="79">
        <v>5227</v>
      </c>
      <c r="H1135" s="8" t="s">
        <v>308</v>
      </c>
      <c r="I1135" s="16" t="s">
        <v>411</v>
      </c>
      <c r="J1135" s="8" t="str">
        <f>IFERROR(VLOOKUP($G1135,今日總結!$A:$AN,39,0),"")</f>
        <v/>
      </c>
      <c r="K1135" s="5" t="str">
        <f>IFERROR(VLOOKUP($G1135,今日總結!$A:$AN,40,0),"")</f>
        <v/>
      </c>
      <c r="L1135" s="156" t="str">
        <f>IFERROR(VLOOKUP($G1135,今日總結!$A:$AN,37,0),"")</f>
        <v/>
      </c>
      <c r="M1135" s="337" t="str">
        <f>IFERROR(VLOOKUP($G1135,今日總結!$A:$AN,38,0),"")</f>
        <v/>
      </c>
      <c r="N1135" s="240" t="str">
        <f t="shared" si="197"/>
        <v/>
      </c>
      <c r="O1135" s="359" t="str">
        <f>IFERROR(VLOOKUP($G1135,融外自投!$A:$J,7,0),"無")</f>
        <v>無</v>
      </c>
      <c r="P1135" s="79" t="str">
        <f>IFERROR(VLOOKUP($G1135,融外自投!$A:$J,9,0),"無")</f>
        <v>無</v>
      </c>
      <c r="Q1135" s="342" t="str">
        <f>IFERROR(VLOOKUP($G1135,融外自投!$A:$J,8,0),"無")</f>
        <v>無</v>
      </c>
      <c r="R1135" s="81" t="str">
        <f>IFERROR(VLOOKUP($G1135,融外自投!$A:$J,10,0),"無")</f>
        <v>無</v>
      </c>
      <c r="S1135" s="324" t="str">
        <f>IFERROR(VLOOKUP($G1135,'321買'!$A:$E,4,0),"'沒有資料'")</f>
        <v>'沒有資料'</v>
      </c>
      <c r="T1135" s="186">
        <f>IFERROR(VLOOKUP($G1135,基本資料!$A:$J,9,0),"無")</f>
        <v>0</v>
      </c>
      <c r="U1135" s="307">
        <f t="shared" si="196"/>
        <v>0</v>
      </c>
      <c r="V1135" s="94">
        <f>IFERROR(VLOOKUP($G1135,基本資料!$A:$J,10,0),"無")</f>
        <v>-9.31</v>
      </c>
      <c r="W1135" s="36">
        <f>RTD("money.excel",,"5227","Price")</f>
        <v>60</v>
      </c>
      <c r="X1135" s="66"/>
      <c r="Y1135" s="15">
        <f t="shared" si="193"/>
        <v>60</v>
      </c>
      <c r="Z1135" s="3" t="e">
        <f t="shared" si="194"/>
        <v>#DIV/0!</v>
      </c>
      <c r="AA1135" s="340">
        <f>IFERROR(VLOOKUP($G1135,基本資料!$A:$M,11,0),"無")</f>
        <v>-41.18</v>
      </c>
      <c r="AB1135" s="389">
        <f>IFERROR(VLOOKUP($G1135,基本資料!$A:$M,12,0),"無")</f>
        <v>7.02</v>
      </c>
      <c r="AC1135" s="16" t="s">
        <v>411</v>
      </c>
      <c r="AF1135" s="33">
        <f t="shared" si="195"/>
        <v>0</v>
      </c>
      <c r="AG1135" s="43" t="s">
        <v>2289</v>
      </c>
      <c r="AH1135" s="66">
        <f t="shared" si="198"/>
        <v>0.46451834076105591</v>
      </c>
      <c r="AI1135" s="283">
        <f>RTD("money.excel",,$G1135,"PredictVolume")</f>
        <v>271</v>
      </c>
      <c r="AJ1135" s="391">
        <f>IFERROR(VLOOKUP($G1135,基本資料!$A:$M,13,0),"無")</f>
        <v>583.4</v>
      </c>
      <c r="AR1135" s="245" t="str">
        <f>INDEX(基本資料!N:N,MATCH($G1135,基本資料!A:A,0))</f>
        <v>中</v>
      </c>
    </row>
    <row r="1136" spans="1:44">
      <c r="A1136" s="343" t="str">
        <f>IFERROR(VLOOKUP($G1136,基本資料!$A:$J,3,0),"無")</f>
        <v>無</v>
      </c>
      <c r="B1136" s="79" t="str">
        <f>IFERROR(VLOOKUP($G1136,基本資料!$A:$J,4,0),"無")</f>
        <v>無</v>
      </c>
      <c r="C1136" s="79" t="str">
        <f>IFERROR(VLOOKUP($G1136,基本資料!$A:$J,5,0),"無")</f>
        <v>無</v>
      </c>
      <c r="D1136" s="79" t="str">
        <f>IFERROR(VLOOKUP($G1136,基本資料!$A:$J,6,0),"無")</f>
        <v>無</v>
      </c>
      <c r="E1136" s="79" t="str">
        <f>IFERROR(VLOOKUP($G1136,基本資料!$A:$J,7,0),"無")</f>
        <v>無</v>
      </c>
      <c r="F1136" s="6" t="str">
        <f>IFERROR(VLOOKUP($G1136,基本資料!$A:$J,8,0),"無")</f>
        <v>無</v>
      </c>
      <c r="G1136" s="79">
        <v>5228</v>
      </c>
      <c r="H1136" s="8" t="s">
        <v>308</v>
      </c>
      <c r="I1136" s="16" t="s">
        <v>6691</v>
      </c>
      <c r="J1136" s="8" t="str">
        <f>IFERROR(VLOOKUP($G1136,今日總結!$A:$AN,39,0),"")</f>
        <v/>
      </c>
      <c r="K1136" s="5" t="str">
        <f>IFERROR(VLOOKUP($G1136,今日總結!$A:$AN,40,0),"")</f>
        <v/>
      </c>
      <c r="L1136" s="156" t="str">
        <f>IFERROR(VLOOKUP($G1136,今日總結!$A:$AN,37,0),"")</f>
        <v/>
      </c>
      <c r="M1136" s="337" t="str">
        <f>IFERROR(VLOOKUP($G1136,今日總結!$A:$AN,38,0),"")</f>
        <v/>
      </c>
      <c r="N1136" s="240" t="str">
        <f t="shared" si="197"/>
        <v/>
      </c>
      <c r="O1136" s="359" t="str">
        <f>IFERROR(VLOOKUP($G1136,融外自投!$A:$J,7,0),"無")</f>
        <v>無</v>
      </c>
      <c r="P1136" s="79" t="str">
        <f>IFERROR(VLOOKUP($G1136,融外自投!$A:$J,9,0),"無")</f>
        <v>無</v>
      </c>
      <c r="Q1136" s="342" t="str">
        <f>IFERROR(VLOOKUP($G1136,融外自投!$A:$J,8,0),"無")</f>
        <v>無</v>
      </c>
      <c r="R1136" s="81" t="str">
        <f>IFERROR(VLOOKUP($G1136,融外自投!$A:$J,10,0),"無")</f>
        <v>無</v>
      </c>
      <c r="S1136" s="324" t="str">
        <f>IFERROR(VLOOKUP($G1136,'321買'!$A:$E,4,0),"'沒有資料'")</f>
        <v>'沒有資料'</v>
      </c>
      <c r="T1136" s="186" t="str">
        <f>IFERROR(VLOOKUP($G1136,基本資料!$A:$J,9,0),"無")</f>
        <v>無</v>
      </c>
      <c r="U1136" s="307" t="e">
        <f t="shared" si="196"/>
        <v>#VALUE!</v>
      </c>
      <c r="V1136" s="94" t="str">
        <f>IFERROR(VLOOKUP($G1136,基本資料!$A:$J,10,0),"無")</f>
        <v>無</v>
      </c>
      <c r="W1136" s="36">
        <f>RTD("money.excel",,"5228","Price")</f>
        <v>24.5</v>
      </c>
      <c r="X1136" s="66"/>
      <c r="Y1136" s="15">
        <f t="shared" ref="Y1136" si="199">W1136-X1136</f>
        <v>24.5</v>
      </c>
      <c r="Z1136" s="3" t="e">
        <f t="shared" ref="Z1136" si="200">Y1136/X1136</f>
        <v>#DIV/0!</v>
      </c>
      <c r="AA1136" s="340" t="str">
        <f>IFERROR(VLOOKUP($G1136,基本資料!$A:$M,11,0),"無")</f>
        <v>無</v>
      </c>
      <c r="AB1136" s="389" t="str">
        <f>IFERROR(VLOOKUP($G1136,基本資料!$A:$M,12,0),"無")</f>
        <v>無</v>
      </c>
      <c r="AC1136" s="16" t="s">
        <v>6691</v>
      </c>
      <c r="AF1136" s="33">
        <f t="shared" ref="AF1136" si="201">AE1136-AD1136</f>
        <v>0</v>
      </c>
      <c r="AG1136" s="43" t="s">
        <v>6692</v>
      </c>
      <c r="AH1136" s="66" t="e">
        <f t="shared" si="198"/>
        <v>#VALUE!</v>
      </c>
      <c r="AI1136" s="283">
        <f>RTD("money.excel",,$G1136,"PredictVolume")</f>
        <v>21</v>
      </c>
      <c r="AJ1136" s="391" t="str">
        <f>IFERROR(VLOOKUP($G1136,基本資料!$A:$M,13,0),"無")</f>
        <v>無</v>
      </c>
      <c r="AR1136" s="245" t="e">
        <f>INDEX(基本資料!N:N,MATCH($G1136,基本資料!A:A,0))</f>
        <v>#N/A</v>
      </c>
    </row>
    <row r="1137" spans="1:44">
      <c r="A1137" s="343">
        <f>IFERROR(VLOOKUP($G1137,基本資料!$A:$J,3,0),"無")</f>
        <v>3.92</v>
      </c>
      <c r="B1137" s="79">
        <f>IFERROR(VLOOKUP($G1137,基本資料!$A:$J,4,0),"無")</f>
        <v>130</v>
      </c>
      <c r="C1137" s="79">
        <f>IFERROR(VLOOKUP($G1137,基本資料!$A:$J,5,0),"無")</f>
        <v>133</v>
      </c>
      <c r="D1137" s="79">
        <f>IFERROR(VLOOKUP($G1137,基本資料!$A:$J,6,0),"無")</f>
        <v>7</v>
      </c>
      <c r="E1137" s="79">
        <f>IFERROR(VLOOKUP($G1137,基本資料!$A:$J,7,0),"無")</f>
        <v>12</v>
      </c>
      <c r="F1137" s="6">
        <f>IFERROR(VLOOKUP($G1137,基本資料!$A:$J,8,0),"無")</f>
        <v>13.11</v>
      </c>
      <c r="G1137" s="79">
        <v>5291</v>
      </c>
      <c r="H1137" s="8" t="s">
        <v>308</v>
      </c>
      <c r="I1137" s="16" t="s">
        <v>412</v>
      </c>
      <c r="J1137" s="8">
        <f>IFERROR(VLOOKUP($G1137,今日總結!$A:$AN,39,0),"")</f>
        <v>0</v>
      </c>
      <c r="K1137" s="5" t="str">
        <f>IFERROR(VLOOKUP($G1137,今日總結!$A:$AN,40,0),"")</f>
        <v>外</v>
      </c>
      <c r="L1137" s="156">
        <f>IFERROR(VLOOKUP($G1137,今日總結!$A:$AN,37,0),"")</f>
        <v>0</v>
      </c>
      <c r="M1137" s="337">
        <f>IFERROR(VLOOKUP($G1137,今日總結!$A:$AN,38,0),"")</f>
        <v>7</v>
      </c>
      <c r="N1137" s="240">
        <f t="shared" si="197"/>
        <v>-7</v>
      </c>
      <c r="O1137" s="359">
        <f>IFERROR(VLOOKUP($G1137,融外自投!$A:$J,7,0),"無")</f>
        <v>11</v>
      </c>
      <c r="P1137" s="79">
        <f>IFERROR(VLOOKUP($G1137,融外自投!$A:$J,9,0),"無")</f>
        <v>1123</v>
      </c>
      <c r="Q1137" s="342">
        <f>IFERROR(VLOOKUP($G1137,融外自投!$A:$J,8,0),"無")</f>
        <v>1060</v>
      </c>
      <c r="R1137" s="81" t="str">
        <f>IFERROR(VLOOKUP($G1137,融外自投!$A:$J,10,0),"無")</f>
        <v>無</v>
      </c>
      <c r="S1137" s="324">
        <f>IFERROR(VLOOKUP($G1137,'321買'!$A:$E,4,0),"'沒有資料'")</f>
        <v>606</v>
      </c>
      <c r="T1137" s="186">
        <f>IFERROR(VLOOKUP($G1137,基本資料!$A:$J,9,0),"無")</f>
        <v>2.1</v>
      </c>
      <c r="U1137" s="307">
        <f t="shared" si="196"/>
        <v>5.592543275632491E-2</v>
      </c>
      <c r="V1137" s="94">
        <f>IFERROR(VLOOKUP($G1137,基本資料!$A:$J,10,0),"無")</f>
        <v>4.18</v>
      </c>
      <c r="W1137" s="36">
        <f>RTD("money.excel",,"5291","Price")</f>
        <v>37.549999999999997</v>
      </c>
      <c r="X1137" s="66"/>
      <c r="Y1137" s="15">
        <f t="shared" si="193"/>
        <v>37.549999999999997</v>
      </c>
      <c r="Z1137" s="3" t="e">
        <f t="shared" si="194"/>
        <v>#DIV/0!</v>
      </c>
      <c r="AA1137" s="340">
        <f>IFERROR(VLOOKUP($G1137,基本資料!$A:$M,11,0),"無")</f>
        <v>-30.07</v>
      </c>
      <c r="AB1137" s="389">
        <f>IFERROR(VLOOKUP($G1137,基本資料!$A:$M,12,0),"無")</f>
        <v>31.41</v>
      </c>
      <c r="AC1137" s="16" t="s">
        <v>412</v>
      </c>
      <c r="AF1137" s="33">
        <f t="shared" si="195"/>
        <v>0</v>
      </c>
      <c r="AG1137" s="291" t="s">
        <v>2275</v>
      </c>
      <c r="AH1137" s="66">
        <f t="shared" si="198"/>
        <v>0.72342793544796891</v>
      </c>
      <c r="AI1137" s="283">
        <f>RTD("money.excel",,$G1137,"PredictVolume")</f>
        <v>65</v>
      </c>
      <c r="AJ1137" s="391">
        <f>IFERROR(VLOOKUP($G1137,基本資料!$A:$M,13,0),"無")</f>
        <v>89.85</v>
      </c>
      <c r="AR1137" s="245" t="str">
        <f>INDEX(基本資料!N:N,MATCH($G1137,基本資料!A:A,0))</f>
        <v>低</v>
      </c>
    </row>
    <row r="1138" spans="1:44">
      <c r="A1138" s="343">
        <f>IFERROR(VLOOKUP($G1138,基本資料!$A:$J,3,0),"無")</f>
        <v>15.55</v>
      </c>
      <c r="B1138" s="79">
        <f>IFERROR(VLOOKUP($G1138,基本資料!$A:$J,4,0),"無")</f>
        <v>195</v>
      </c>
      <c r="C1138" s="79">
        <f>IFERROR(VLOOKUP($G1138,基本資料!$A:$J,5,0),"無")</f>
        <v>182</v>
      </c>
      <c r="D1138" s="79">
        <f>IFERROR(VLOOKUP($G1138,基本資料!$A:$J,6,0),"無")</f>
        <v>-13</v>
      </c>
      <c r="E1138" s="79">
        <f>IFERROR(VLOOKUP($G1138,基本資料!$A:$J,7,0),"無")</f>
        <v>52</v>
      </c>
      <c r="F1138" s="6">
        <f>IFERROR(VLOOKUP($G1138,基本資料!$A:$J,8,0),"無")</f>
        <v>3.4</v>
      </c>
      <c r="G1138" s="79">
        <v>5309</v>
      </c>
      <c r="H1138" s="8" t="s">
        <v>308</v>
      </c>
      <c r="I1138" s="16" t="s">
        <v>413</v>
      </c>
      <c r="J1138" s="8" t="str">
        <f>IFERROR(VLOOKUP($G1138,今日總結!$A:$AN,39,0),"")</f>
        <v/>
      </c>
      <c r="K1138" s="5" t="str">
        <f>IFERROR(VLOOKUP($G1138,今日總結!$A:$AN,40,0),"")</f>
        <v/>
      </c>
      <c r="L1138" s="156" t="str">
        <f>IFERROR(VLOOKUP($G1138,今日總結!$A:$AN,37,0),"")</f>
        <v/>
      </c>
      <c r="M1138" s="337" t="str">
        <f>IFERROR(VLOOKUP($G1138,今日總結!$A:$AN,38,0),"")</f>
        <v/>
      </c>
      <c r="N1138" s="240" t="str">
        <f t="shared" si="197"/>
        <v/>
      </c>
      <c r="O1138" s="359" t="str">
        <f>IFERROR(VLOOKUP($G1138,融外自投!$A:$J,7,0),"無")</f>
        <v>無</v>
      </c>
      <c r="P1138" s="79" t="str">
        <f>IFERROR(VLOOKUP($G1138,融外自投!$A:$J,9,0),"無")</f>
        <v>無</v>
      </c>
      <c r="Q1138" s="342" t="str">
        <f>IFERROR(VLOOKUP($G1138,融外自投!$A:$J,8,0),"無")</f>
        <v>無</v>
      </c>
      <c r="R1138" s="81" t="str">
        <f>IFERROR(VLOOKUP($G1138,融外自投!$A:$J,10,0),"無")</f>
        <v>無</v>
      </c>
      <c r="S1138" s="324" t="str">
        <f>IFERROR(VLOOKUP($G1138,'321買'!$A:$E,4,0),"'沒有資料'")</f>
        <v>'沒有資料'</v>
      </c>
      <c r="T1138" s="186">
        <f>IFERROR(VLOOKUP($G1138,基本資料!$A:$J,9,0),"無")</f>
        <v>0</v>
      </c>
      <c r="U1138" s="307">
        <f t="shared" si="196"/>
        <v>0</v>
      </c>
      <c r="V1138" s="94">
        <f>IFERROR(VLOOKUP($G1138,基本資料!$A:$J,10,0),"無")</f>
        <v>0.62</v>
      </c>
      <c r="W1138" s="36">
        <f>RTD("money.excel",,"5309","Price")</f>
        <v>38.1</v>
      </c>
      <c r="X1138" s="66"/>
      <c r="Y1138" s="15">
        <f t="shared" si="193"/>
        <v>38.1</v>
      </c>
      <c r="Z1138" s="3" t="e">
        <f t="shared" si="194"/>
        <v>#DIV/0!</v>
      </c>
      <c r="AA1138" s="340">
        <f>IFERROR(VLOOKUP($G1138,基本資料!$A:$M,11,0),"無")</f>
        <v>-18.940000000000001</v>
      </c>
      <c r="AB1138" s="389">
        <f>IFERROR(VLOOKUP($G1138,基本資料!$A:$M,12,0),"無")</f>
        <v>27.1</v>
      </c>
      <c r="AC1138" s="16" t="s">
        <v>413</v>
      </c>
      <c r="AF1138" s="33">
        <f t="shared" si="195"/>
        <v>0</v>
      </c>
      <c r="AG1138" s="43" t="s">
        <v>2328</v>
      </c>
      <c r="AH1138" s="66">
        <f t="shared" si="198"/>
        <v>0.51396809355374296</v>
      </c>
      <c r="AI1138" s="283">
        <f>RTD("money.excel",,$G1138,"PredictVolume")</f>
        <v>1068</v>
      </c>
      <c r="AJ1138" s="391">
        <f>IFERROR(VLOOKUP($G1138,基本資料!$A:$M,13,0),"無")</f>
        <v>2077.9499999999998</v>
      </c>
      <c r="AR1138" s="245" t="str">
        <f>INDEX(基本資料!N:N,MATCH($G1138,基本資料!A:A,0))</f>
        <v>中</v>
      </c>
    </row>
    <row r="1139" spans="1:44">
      <c r="A1139" s="343">
        <f>IFERROR(VLOOKUP($G1139,基本資料!$A:$J,3,0),"無")</f>
        <v>3.49</v>
      </c>
      <c r="B1139" s="79">
        <f>IFERROR(VLOOKUP($G1139,基本資料!$A:$J,4,0),"無")</f>
        <v>246</v>
      </c>
      <c r="C1139" s="79">
        <f>IFERROR(VLOOKUP($G1139,基本資料!$A:$J,5,0),"無")</f>
        <v>1010</v>
      </c>
      <c r="D1139" s="79">
        <f>IFERROR(VLOOKUP($G1139,基本資料!$A:$J,6,0),"無")</f>
        <v>-17</v>
      </c>
      <c r="E1139" s="79">
        <f>IFERROR(VLOOKUP($G1139,基本資料!$A:$J,7,0),"無")</f>
        <v>-6</v>
      </c>
      <c r="F1139" s="6">
        <f>IFERROR(VLOOKUP($G1139,基本資料!$A:$J,8,0),"無")</f>
        <v>7.6</v>
      </c>
      <c r="G1139" s="79">
        <v>5321</v>
      </c>
      <c r="H1139" s="8" t="s">
        <v>308</v>
      </c>
      <c r="I1139" s="16" t="s">
        <v>4583</v>
      </c>
      <c r="J1139" s="8">
        <f>IFERROR(VLOOKUP($G1139,今日總結!$A:$AN,39,0),"")</f>
        <v>0</v>
      </c>
      <c r="K1139" s="5">
        <f>IFERROR(VLOOKUP($G1139,今日總結!$A:$AN,40,0),"")</f>
        <v>0</v>
      </c>
      <c r="L1139" s="156">
        <f>IFERROR(VLOOKUP($G1139,今日總結!$A:$AN,37,0),"")</f>
        <v>0</v>
      </c>
      <c r="M1139" s="337">
        <f>IFERROR(VLOOKUP($G1139,今日總結!$A:$AN,38,0),"")</f>
        <v>0</v>
      </c>
      <c r="N1139" s="240">
        <f t="shared" si="197"/>
        <v>0</v>
      </c>
      <c r="O1139" s="359">
        <f>IFERROR(VLOOKUP($G1139,融外自投!$A:$J,7,0),"無")</f>
        <v>47</v>
      </c>
      <c r="P1139" s="79">
        <f>IFERROR(VLOOKUP($G1139,融外自投!$A:$J,9,0),"無")</f>
        <v>164</v>
      </c>
      <c r="Q1139" s="342">
        <f>IFERROR(VLOOKUP($G1139,融外自投!$A:$J,8,0),"無")</f>
        <v>1102</v>
      </c>
      <c r="R1139" s="81" t="str">
        <f>IFERROR(VLOOKUP($G1139,融外自投!$A:$J,10,0),"無")</f>
        <v>無</v>
      </c>
      <c r="S1139" s="324">
        <f>IFERROR(VLOOKUP($G1139,'321買'!$A:$E,4,0),"'沒有資料'")</f>
        <v>86</v>
      </c>
      <c r="T1139" s="186">
        <f>IFERROR(VLOOKUP($G1139,基本資料!$A:$J,9,0),"無")</f>
        <v>2</v>
      </c>
      <c r="U1139" s="307">
        <f t="shared" si="196"/>
        <v>1.5625E-2</v>
      </c>
      <c r="V1139" s="94">
        <f>IFERROR(VLOOKUP($G1139,基本資料!$A:$J,10,0),"無")</f>
        <v>3.11</v>
      </c>
      <c r="W1139" s="36">
        <f>RTD("money.excel",,"5321","Price")</f>
        <v>128</v>
      </c>
      <c r="X1139" s="66"/>
      <c r="Y1139" s="15">
        <f t="shared" si="193"/>
        <v>128</v>
      </c>
      <c r="Z1139" s="3" t="e">
        <f t="shared" si="194"/>
        <v>#DIV/0!</v>
      </c>
      <c r="AA1139" s="340">
        <f>IFERROR(VLOOKUP($G1139,基本資料!$A:$M,11,0),"無")</f>
        <v>-19.5</v>
      </c>
      <c r="AB1139" s="389">
        <f>IFERROR(VLOOKUP($G1139,基本資料!$A:$M,12,0),"無")</f>
        <v>37.47</v>
      </c>
      <c r="AC1139" s="16" t="s">
        <v>4583</v>
      </c>
      <c r="AF1139" s="33">
        <f t="shared" si="195"/>
        <v>0</v>
      </c>
      <c r="AG1139" s="43" t="s">
        <v>2409</v>
      </c>
      <c r="AH1139" s="66">
        <f t="shared" si="198"/>
        <v>0.32233520094072077</v>
      </c>
      <c r="AI1139" s="283">
        <f>RTD("money.excel",,$G1139,"PredictVolume")</f>
        <v>233</v>
      </c>
      <c r="AJ1139" s="391">
        <f>IFERROR(VLOOKUP($G1139,基本資料!$A:$M,13,0),"無")</f>
        <v>722.85</v>
      </c>
      <c r="AR1139" s="245" t="str">
        <f>INDEX(基本資料!N:N,MATCH($G1139,基本資料!A:A,0))</f>
        <v>高</v>
      </c>
    </row>
    <row r="1140" spans="1:44">
      <c r="A1140" s="343">
        <f>IFERROR(VLOOKUP($G1140,基本資料!$A:$J,3,0),"無")</f>
        <v>17.27</v>
      </c>
      <c r="B1140" s="79">
        <f>IFERROR(VLOOKUP($G1140,基本資料!$A:$J,4,0),"無")</f>
        <v>65</v>
      </c>
      <c r="C1140" s="79">
        <f>IFERROR(VLOOKUP($G1140,基本資料!$A:$J,5,0),"無")</f>
        <v>-2</v>
      </c>
      <c r="D1140" s="79">
        <f>IFERROR(VLOOKUP($G1140,基本資料!$A:$J,6,0),"無")</f>
        <v>-12</v>
      </c>
      <c r="E1140" s="79">
        <f>IFERROR(VLOOKUP($G1140,基本資料!$A:$J,7,0),"無")</f>
        <v>-17</v>
      </c>
      <c r="F1140" s="6">
        <f>IFERROR(VLOOKUP($G1140,基本資料!$A:$J,8,0),"無")</f>
        <v>2.0499999999999998</v>
      </c>
      <c r="G1140" s="79">
        <v>5328</v>
      </c>
      <c r="H1140" s="8" t="s">
        <v>308</v>
      </c>
      <c r="I1140" s="16" t="s">
        <v>414</v>
      </c>
      <c r="J1140" s="8">
        <f>IFERROR(VLOOKUP($G1140,今日總結!$A:$AN,39,0),"")</f>
        <v>0</v>
      </c>
      <c r="K1140" s="5">
        <f>IFERROR(VLOOKUP($G1140,今日總結!$A:$AN,40,0),"")</f>
        <v>0</v>
      </c>
      <c r="L1140" s="156">
        <f>IFERROR(VLOOKUP($G1140,今日總結!$A:$AN,37,0),"")</f>
        <v>0</v>
      </c>
      <c r="M1140" s="337">
        <f>IFERROR(VLOOKUP($G1140,今日總結!$A:$AN,38,0),"")</f>
        <v>0</v>
      </c>
      <c r="N1140" s="240">
        <f t="shared" si="197"/>
        <v>0</v>
      </c>
      <c r="O1140" s="359">
        <f>IFERROR(VLOOKUP($G1140,融外自投!$A:$J,7,0),"無")</f>
        <v>696</v>
      </c>
      <c r="P1140" s="79" t="str">
        <f>IFERROR(VLOOKUP($G1140,融外自投!$A:$J,9,0),"無")</f>
        <v>無</v>
      </c>
      <c r="Q1140" s="342">
        <f>IFERROR(VLOOKUP($G1140,融外自投!$A:$J,8,0),"無")</f>
        <v>1290</v>
      </c>
      <c r="R1140" s="81" t="str">
        <f>IFERROR(VLOOKUP($G1140,融外自投!$A:$J,10,0),"無")</f>
        <v>無</v>
      </c>
      <c r="S1140" s="324">
        <f>IFERROR(VLOOKUP($G1140,'321買'!$A:$E,4,0),"'沒有資料'")</f>
        <v>743</v>
      </c>
      <c r="T1140" s="186">
        <f>IFERROR(VLOOKUP($G1140,基本資料!$A:$J,9,0),"無")</f>
        <v>0.15</v>
      </c>
      <c r="U1140" s="307">
        <f t="shared" si="196"/>
        <v>1.4705882352941176E-2</v>
      </c>
      <c r="V1140" s="94">
        <f>IFERROR(VLOOKUP($G1140,基本資料!$A:$J,10,0),"無")</f>
        <v>0.2</v>
      </c>
      <c r="W1140" s="36">
        <f>RTD("money.excel",,"5328","Price")</f>
        <v>10.199999999999999</v>
      </c>
      <c r="X1140" s="66"/>
      <c r="Y1140" s="15">
        <f t="shared" si="193"/>
        <v>10.199999999999999</v>
      </c>
      <c r="Z1140" s="3" t="e">
        <f t="shared" si="194"/>
        <v>#DIV/0!</v>
      </c>
      <c r="AA1140" s="340">
        <f>IFERROR(VLOOKUP($G1140,基本資料!$A:$M,11,0),"無")</f>
        <v>-48.22</v>
      </c>
      <c r="AB1140" s="389">
        <f>IFERROR(VLOOKUP($G1140,基本資料!$A:$M,12,0),"無")</f>
        <v>12.07</v>
      </c>
      <c r="AC1140" s="16" t="s">
        <v>414</v>
      </c>
      <c r="AF1140" s="33">
        <f t="shared" si="195"/>
        <v>0</v>
      </c>
      <c r="AG1140" s="43" t="s">
        <v>2410</v>
      </c>
      <c r="AH1140" s="66">
        <f t="shared" si="198"/>
        <v>0.75387263339070565</v>
      </c>
      <c r="AI1140" s="283">
        <f>RTD("money.excel",,$G1140,"PredictVolume")</f>
        <v>219</v>
      </c>
      <c r="AJ1140" s="391">
        <f>IFERROR(VLOOKUP($G1140,基本資料!$A:$M,13,0),"無")</f>
        <v>290.5</v>
      </c>
      <c r="AR1140" s="245" t="str">
        <f>INDEX(基本資料!N:N,MATCH($G1140,基本資料!A:A,0))</f>
        <v>低</v>
      </c>
    </row>
    <row r="1141" spans="1:44">
      <c r="A1141" s="343">
        <f>IFERROR(VLOOKUP($G1141,基本資料!$A:$J,3,0),"無")</f>
        <v>19.48</v>
      </c>
      <c r="B1141" s="79">
        <f>IFERROR(VLOOKUP($G1141,基本資料!$A:$J,4,0),"無")</f>
        <v>-44</v>
      </c>
      <c r="C1141" s="79">
        <f>IFERROR(VLOOKUP($G1141,基本資料!$A:$J,5,0),"無")</f>
        <v>-18</v>
      </c>
      <c r="D1141" s="79">
        <f>IFERROR(VLOOKUP($G1141,基本資料!$A:$J,6,0),"無")</f>
        <v>10</v>
      </c>
      <c r="E1141" s="79">
        <f>IFERROR(VLOOKUP($G1141,基本資料!$A:$J,7,0),"無")</f>
        <v>4</v>
      </c>
      <c r="F1141" s="6">
        <f>IFERROR(VLOOKUP($G1141,基本資料!$A:$J,8,0),"無")</f>
        <v>5.07</v>
      </c>
      <c r="G1141" s="79">
        <v>5340</v>
      </c>
      <c r="H1141" s="8" t="s">
        <v>308</v>
      </c>
      <c r="I1141" s="16" t="s">
        <v>415</v>
      </c>
      <c r="J1141" s="8" t="str">
        <f>IFERROR(VLOOKUP($G1141,今日總結!$A:$AN,39,0),"")</f>
        <v/>
      </c>
      <c r="K1141" s="5" t="str">
        <f>IFERROR(VLOOKUP($G1141,今日總結!$A:$AN,40,0),"")</f>
        <v/>
      </c>
      <c r="L1141" s="156" t="str">
        <f>IFERROR(VLOOKUP($G1141,今日總結!$A:$AN,37,0),"")</f>
        <v/>
      </c>
      <c r="M1141" s="337" t="str">
        <f>IFERROR(VLOOKUP($G1141,今日總結!$A:$AN,38,0),"")</f>
        <v/>
      </c>
      <c r="N1141" s="240" t="str">
        <f t="shared" si="197"/>
        <v/>
      </c>
      <c r="O1141" s="359" t="str">
        <f>IFERROR(VLOOKUP($G1141,融外自投!$A:$J,7,0),"無")</f>
        <v>無</v>
      </c>
      <c r="P1141" s="79" t="str">
        <f>IFERROR(VLOOKUP($G1141,融外自投!$A:$J,9,0),"無")</f>
        <v>無</v>
      </c>
      <c r="Q1141" s="342" t="str">
        <f>IFERROR(VLOOKUP($G1141,融外自投!$A:$J,8,0),"無")</f>
        <v>無</v>
      </c>
      <c r="R1141" s="81" t="str">
        <f>IFERROR(VLOOKUP($G1141,融外自投!$A:$J,10,0),"無")</f>
        <v>無</v>
      </c>
      <c r="S1141" s="324" t="str">
        <f>IFERROR(VLOOKUP($G1141,'321買'!$A:$E,4,0),"'沒有資料'")</f>
        <v>'沒有資料'</v>
      </c>
      <c r="T1141" s="186">
        <f>IFERROR(VLOOKUP($G1141,基本資料!$A:$J,9,0),"無")</f>
        <v>0</v>
      </c>
      <c r="U1141" s="307">
        <f t="shared" si="196"/>
        <v>0</v>
      </c>
      <c r="V1141" s="94">
        <f>IFERROR(VLOOKUP($G1141,基本資料!$A:$J,10,0),"無")</f>
        <v>0.27</v>
      </c>
      <c r="W1141" s="36">
        <f>RTD("money.excel",,"5340","Price")</f>
        <v>26.8</v>
      </c>
      <c r="X1141" s="66"/>
      <c r="Y1141" s="15">
        <f t="shared" si="193"/>
        <v>26.8</v>
      </c>
      <c r="Z1141" s="3" t="e">
        <f t="shared" si="194"/>
        <v>#DIV/0!</v>
      </c>
      <c r="AA1141" s="340">
        <f>IFERROR(VLOOKUP($G1141,基本資料!$A:$M,11,0),"無")</f>
        <v>-47.24</v>
      </c>
      <c r="AB1141" s="389">
        <f>IFERROR(VLOOKUP($G1141,基本資料!$A:$M,12,0),"無")</f>
        <v>9.92</v>
      </c>
      <c r="AC1141" s="16" t="s">
        <v>415</v>
      </c>
      <c r="AF1141" s="33">
        <f t="shared" si="195"/>
        <v>0</v>
      </c>
      <c r="AG1141" s="43" t="s">
        <v>2411</v>
      </c>
      <c r="AH1141" s="66">
        <f t="shared" si="198"/>
        <v>0.83478260869565213</v>
      </c>
      <c r="AI1141" s="283">
        <f>RTD("money.excel",,$G1141,"PredictVolume")</f>
        <v>48</v>
      </c>
      <c r="AJ1141" s="391">
        <f>IFERROR(VLOOKUP($G1141,基本資料!$A:$M,13,0),"無")</f>
        <v>57.5</v>
      </c>
      <c r="AR1141" s="245" t="str">
        <f>INDEX(基本資料!N:N,MATCH($G1141,基本資料!A:A,0))</f>
        <v>低</v>
      </c>
    </row>
    <row r="1142" spans="1:44">
      <c r="A1142" s="343">
        <f>IFERROR(VLOOKUP($G1142,基本資料!$A:$J,3,0),"無")</f>
        <v>4.75</v>
      </c>
      <c r="B1142" s="79">
        <f>IFERROR(VLOOKUP($G1142,基本資料!$A:$J,4,0),"無")</f>
        <v>88</v>
      </c>
      <c r="C1142" s="79">
        <f>IFERROR(VLOOKUP($G1142,基本資料!$A:$J,5,0),"無")</f>
        <v>55</v>
      </c>
      <c r="D1142" s="79">
        <f>IFERROR(VLOOKUP($G1142,基本資料!$A:$J,6,0),"無")</f>
        <v>0</v>
      </c>
      <c r="E1142" s="79">
        <f>IFERROR(VLOOKUP($G1142,基本資料!$A:$J,7,0),"無")</f>
        <v>30</v>
      </c>
      <c r="F1142" s="6">
        <f>IFERROR(VLOOKUP($G1142,基本資料!$A:$J,8,0),"無")</f>
        <v>-519.45000000000005</v>
      </c>
      <c r="G1142" s="79">
        <v>5345</v>
      </c>
      <c r="H1142" s="8" t="s">
        <v>308</v>
      </c>
      <c r="I1142" s="16" t="s">
        <v>416</v>
      </c>
      <c r="J1142" s="8" t="str">
        <f>IFERROR(VLOOKUP($G1142,今日總結!$A:$AN,39,0),"")</f>
        <v/>
      </c>
      <c r="K1142" s="5" t="str">
        <f>IFERROR(VLOOKUP($G1142,今日總結!$A:$AN,40,0),"")</f>
        <v/>
      </c>
      <c r="L1142" s="156" t="str">
        <f>IFERROR(VLOOKUP($G1142,今日總結!$A:$AN,37,0),"")</f>
        <v/>
      </c>
      <c r="M1142" s="337" t="str">
        <f>IFERROR(VLOOKUP($G1142,今日總結!$A:$AN,38,0),"")</f>
        <v/>
      </c>
      <c r="N1142" s="240" t="str">
        <f t="shared" si="197"/>
        <v/>
      </c>
      <c r="O1142" s="359" t="str">
        <f>IFERROR(VLOOKUP($G1142,融外自投!$A:$J,7,0),"無")</f>
        <v>無</v>
      </c>
      <c r="P1142" s="79" t="str">
        <f>IFERROR(VLOOKUP($G1142,融外自投!$A:$J,9,0),"無")</f>
        <v>無</v>
      </c>
      <c r="Q1142" s="342" t="str">
        <f>IFERROR(VLOOKUP($G1142,融外自投!$A:$J,8,0),"無")</f>
        <v>無</v>
      </c>
      <c r="R1142" s="81" t="str">
        <f>IFERROR(VLOOKUP($G1142,融外自投!$A:$J,10,0),"無")</f>
        <v>無</v>
      </c>
      <c r="S1142" s="324" t="str">
        <f>IFERROR(VLOOKUP($G1142,'321買'!$A:$E,4,0),"'沒有資料'")</f>
        <v>'沒有資料'</v>
      </c>
      <c r="T1142" s="186">
        <f>IFERROR(VLOOKUP($G1142,基本資料!$A:$J,9,0),"無")</f>
        <v>0</v>
      </c>
      <c r="U1142" s="307">
        <f t="shared" si="196"/>
        <v>0</v>
      </c>
      <c r="V1142" s="94">
        <f>IFERROR(VLOOKUP($G1142,基本資料!$A:$J,10,0),"無")</f>
        <v>-0.35</v>
      </c>
      <c r="W1142" s="36">
        <f>RTD("money.excel",,"5345","Price")</f>
        <v>5.2</v>
      </c>
      <c r="X1142" s="66"/>
      <c r="Y1142" s="15">
        <f t="shared" si="193"/>
        <v>5.2</v>
      </c>
      <c r="Z1142" s="3" t="e">
        <f t="shared" si="194"/>
        <v>#DIV/0!</v>
      </c>
      <c r="AA1142" s="340">
        <f>IFERROR(VLOOKUP($G1142,基本資料!$A:$M,11,0),"無")</f>
        <v>-28.47</v>
      </c>
      <c r="AB1142" s="389">
        <f>IFERROR(VLOOKUP($G1142,基本資料!$A:$M,12,0),"無")</f>
        <v>29.81</v>
      </c>
      <c r="AC1142" s="16" t="s">
        <v>416</v>
      </c>
      <c r="AF1142" s="33">
        <f t="shared" si="195"/>
        <v>0</v>
      </c>
      <c r="AG1142" s="43" t="s">
        <v>417</v>
      </c>
      <c r="AH1142" s="66">
        <f t="shared" si="198"/>
        <v>5.3488372093023262</v>
      </c>
      <c r="AI1142" s="283">
        <f>RTD("money.excel",,$G1142,"PredictVolume")</f>
        <v>23</v>
      </c>
      <c r="AJ1142" s="391">
        <f>IFERROR(VLOOKUP($G1142,基本資料!$A:$M,13,0),"無")</f>
        <v>4.3</v>
      </c>
      <c r="AR1142" s="245" t="str">
        <f>INDEX(基本資料!N:N,MATCH($G1142,基本資料!A:A,0))</f>
        <v>低</v>
      </c>
    </row>
    <row r="1143" spans="1:44">
      <c r="A1143" s="343">
        <f>IFERROR(VLOOKUP($G1143,基本資料!$A:$J,3,0),"無")</f>
        <v>16.61</v>
      </c>
      <c r="B1143" s="79">
        <f>IFERROR(VLOOKUP($G1143,基本資料!$A:$J,4,0),"無")</f>
        <v>-1143</v>
      </c>
      <c r="C1143" s="79">
        <f>IFERROR(VLOOKUP($G1143,基本資料!$A:$J,5,0),"無")</f>
        <v>2</v>
      </c>
      <c r="D1143" s="79">
        <f>IFERROR(VLOOKUP($G1143,基本資料!$A:$J,6,0),"無")</f>
        <v>29</v>
      </c>
      <c r="E1143" s="79">
        <f>IFERROR(VLOOKUP($G1143,基本資料!$A:$J,7,0),"無")</f>
        <v>5</v>
      </c>
      <c r="F1143" s="6">
        <f>IFERROR(VLOOKUP($G1143,基本資料!$A:$J,8,0),"無")</f>
        <v>-18.38</v>
      </c>
      <c r="G1143" s="79">
        <v>5355</v>
      </c>
      <c r="H1143" s="8" t="s">
        <v>308</v>
      </c>
      <c r="I1143" s="16" t="s">
        <v>4584</v>
      </c>
      <c r="J1143" s="8" t="str">
        <f>IFERROR(VLOOKUP($G1143,今日總結!$A:$AN,39,0),"")</f>
        <v/>
      </c>
      <c r="K1143" s="5" t="str">
        <f>IFERROR(VLOOKUP($G1143,今日總結!$A:$AN,40,0),"")</f>
        <v/>
      </c>
      <c r="L1143" s="156" t="str">
        <f>IFERROR(VLOOKUP($G1143,今日總結!$A:$AN,37,0),"")</f>
        <v/>
      </c>
      <c r="M1143" s="337" t="str">
        <f>IFERROR(VLOOKUP($G1143,今日總結!$A:$AN,38,0),"")</f>
        <v/>
      </c>
      <c r="N1143" s="240" t="str">
        <f t="shared" si="197"/>
        <v/>
      </c>
      <c r="O1143" s="359" t="str">
        <f>IFERROR(VLOOKUP($G1143,融外自投!$A:$J,7,0),"無")</f>
        <v>無</v>
      </c>
      <c r="P1143" s="79" t="str">
        <f>IFERROR(VLOOKUP($G1143,融外自投!$A:$J,9,0),"無")</f>
        <v>無</v>
      </c>
      <c r="Q1143" s="342" t="str">
        <f>IFERROR(VLOOKUP($G1143,融外自投!$A:$J,8,0),"無")</f>
        <v>無</v>
      </c>
      <c r="R1143" s="81" t="str">
        <f>IFERROR(VLOOKUP($G1143,融外自投!$A:$J,10,0),"無")</f>
        <v>無</v>
      </c>
      <c r="S1143" s="324" t="str">
        <f>IFERROR(VLOOKUP($G1143,'321買'!$A:$E,4,0),"'沒有資料'")</f>
        <v>'沒有資料'</v>
      </c>
      <c r="T1143" s="186">
        <f>IFERROR(VLOOKUP($G1143,基本資料!$A:$J,9,0),"無")</f>
        <v>0</v>
      </c>
      <c r="U1143" s="307">
        <f t="shared" si="196"/>
        <v>0</v>
      </c>
      <c r="V1143" s="94">
        <f>IFERROR(VLOOKUP($G1143,基本資料!$A:$J,10,0),"無")</f>
        <v>-0.67</v>
      </c>
      <c r="W1143" s="36">
        <f>RTD("money.excel",,"5355","Price")</f>
        <v>6.04</v>
      </c>
      <c r="X1143" s="66"/>
      <c r="Y1143" s="15">
        <f t="shared" si="193"/>
        <v>6.04</v>
      </c>
      <c r="Z1143" s="3" t="e">
        <f t="shared" si="194"/>
        <v>#DIV/0!</v>
      </c>
      <c r="AA1143" s="340">
        <f>IFERROR(VLOOKUP($G1143,基本資料!$A:$M,11,0),"無")</f>
        <v>-33.409999999999997</v>
      </c>
      <c r="AB1143" s="389">
        <f>IFERROR(VLOOKUP($G1143,基本資料!$A:$M,12,0),"無")</f>
        <v>28.06</v>
      </c>
      <c r="AC1143" s="16" t="s">
        <v>4584</v>
      </c>
      <c r="AF1143" s="33">
        <f t="shared" si="195"/>
        <v>0</v>
      </c>
      <c r="AG1143" s="43" t="s">
        <v>2412</v>
      </c>
      <c r="AH1143" s="66">
        <f t="shared" si="198"/>
        <v>1.1245865490628444</v>
      </c>
      <c r="AI1143" s="283">
        <f>RTD("money.excel",,$G1143,"PredictVolume")</f>
        <v>153</v>
      </c>
      <c r="AJ1143" s="391">
        <f>IFERROR(VLOOKUP($G1143,基本資料!$A:$M,13,0),"無")</f>
        <v>136.05000000000001</v>
      </c>
      <c r="AR1143" s="245" t="str">
        <f>INDEX(基本資料!N:N,MATCH($G1143,基本資料!A:A,0))</f>
        <v>低</v>
      </c>
    </row>
    <row r="1144" spans="1:44">
      <c r="A1144" s="343">
        <f>IFERROR(VLOOKUP($G1144,基本資料!$A:$J,3,0),"無")</f>
        <v>18.010000000000002</v>
      </c>
      <c r="B1144" s="79">
        <f>IFERROR(VLOOKUP($G1144,基本資料!$A:$J,4,0),"無")</f>
        <v>389</v>
      </c>
      <c r="C1144" s="79">
        <f>IFERROR(VLOOKUP($G1144,基本資料!$A:$J,5,0),"無")</f>
        <v>1057</v>
      </c>
      <c r="D1144" s="79">
        <f>IFERROR(VLOOKUP($G1144,基本資料!$A:$J,6,0),"無")</f>
        <v>7</v>
      </c>
      <c r="E1144" s="79">
        <f>IFERROR(VLOOKUP($G1144,基本資料!$A:$J,7,0),"無")</f>
        <v>5</v>
      </c>
      <c r="F1144" s="6">
        <f>IFERROR(VLOOKUP($G1144,基本資料!$A:$J,8,0),"無")</f>
        <v>2.11</v>
      </c>
      <c r="G1144" s="79">
        <v>5381</v>
      </c>
      <c r="H1144" s="8" t="s">
        <v>308</v>
      </c>
      <c r="I1144" s="16" t="s">
        <v>4585</v>
      </c>
      <c r="J1144" s="8" t="str">
        <f>IFERROR(VLOOKUP($G1144,今日總結!$A:$AN,39,0),"")</f>
        <v/>
      </c>
      <c r="K1144" s="5" t="str">
        <f>IFERROR(VLOOKUP($G1144,今日總結!$A:$AN,40,0),"")</f>
        <v/>
      </c>
      <c r="L1144" s="156" t="str">
        <f>IFERROR(VLOOKUP($G1144,今日總結!$A:$AN,37,0),"")</f>
        <v/>
      </c>
      <c r="M1144" s="337" t="str">
        <f>IFERROR(VLOOKUP($G1144,今日總結!$A:$AN,38,0),"")</f>
        <v/>
      </c>
      <c r="N1144" s="240" t="str">
        <f t="shared" si="197"/>
        <v/>
      </c>
      <c r="O1144" s="359" t="str">
        <f>IFERROR(VLOOKUP($G1144,融外自投!$A:$J,7,0),"無")</f>
        <v>無</v>
      </c>
      <c r="P1144" s="79" t="str">
        <f>IFERROR(VLOOKUP($G1144,融外自投!$A:$J,9,0),"無")</f>
        <v>無</v>
      </c>
      <c r="Q1144" s="342" t="str">
        <f>IFERROR(VLOOKUP($G1144,融外自投!$A:$J,8,0),"無")</f>
        <v>無</v>
      </c>
      <c r="R1144" s="81" t="str">
        <f>IFERROR(VLOOKUP($G1144,融外自投!$A:$J,10,0),"無")</f>
        <v>無</v>
      </c>
      <c r="S1144" s="324" t="str">
        <f>IFERROR(VLOOKUP($G1144,'321買'!$A:$E,4,0),"'沒有資料'")</f>
        <v>'沒有資料'</v>
      </c>
      <c r="T1144" s="186">
        <f>IFERROR(VLOOKUP($G1144,基本資料!$A:$J,9,0),"無")</f>
        <v>0</v>
      </c>
      <c r="U1144" s="307">
        <f t="shared" si="196"/>
        <v>0</v>
      </c>
      <c r="V1144" s="94">
        <f>IFERROR(VLOOKUP($G1144,基本資料!$A:$J,10,0),"無")</f>
        <v>7.0000000000000007E-2</v>
      </c>
      <c r="W1144" s="36">
        <f>RTD("money.excel",,"5381","Price")</f>
        <v>5.92</v>
      </c>
      <c r="X1144" s="66"/>
      <c r="Y1144" s="15">
        <f t="shared" si="193"/>
        <v>5.92</v>
      </c>
      <c r="Z1144" s="3" t="e">
        <f t="shared" si="194"/>
        <v>#DIV/0!</v>
      </c>
      <c r="AA1144" s="340">
        <f>IFERROR(VLOOKUP($G1144,基本資料!$A:$M,11,0),"無")</f>
        <v>-21.38</v>
      </c>
      <c r="AB1144" s="389">
        <f>IFERROR(VLOOKUP($G1144,基本資料!$A:$M,12,0),"無")</f>
        <v>26.66</v>
      </c>
      <c r="AC1144" s="16" t="s">
        <v>4585</v>
      </c>
      <c r="AF1144" s="33">
        <f t="shared" si="195"/>
        <v>0</v>
      </c>
      <c r="AG1144" s="43" t="s">
        <v>2413</v>
      </c>
      <c r="AH1144" s="66">
        <f t="shared" si="198"/>
        <v>2.2462203023758103</v>
      </c>
      <c r="AI1144" s="283">
        <f>RTD("money.excel",,$G1144,"PredictVolume")</f>
        <v>52</v>
      </c>
      <c r="AJ1144" s="391">
        <f>IFERROR(VLOOKUP($G1144,基本資料!$A:$M,13,0),"無")</f>
        <v>23.15</v>
      </c>
      <c r="AR1144" s="245" t="str">
        <f>INDEX(基本資料!N:N,MATCH($G1144,基本資料!A:A,0))</f>
        <v>低</v>
      </c>
    </row>
    <row r="1145" spans="1:44">
      <c r="A1145" s="343">
        <f>IFERROR(VLOOKUP($G1145,基本資料!$A:$J,3,0),"無")</f>
        <v>9.2899999999999991</v>
      </c>
      <c r="B1145" s="79">
        <f>IFERROR(VLOOKUP($G1145,基本資料!$A:$J,4,0),"無")</f>
        <v>38</v>
      </c>
      <c r="C1145" s="79">
        <f>IFERROR(VLOOKUP($G1145,基本資料!$A:$J,5,0),"無")</f>
        <v>29</v>
      </c>
      <c r="D1145" s="79">
        <f>IFERROR(VLOOKUP($G1145,基本資料!$A:$J,6,0),"無")</f>
        <v>-8</v>
      </c>
      <c r="E1145" s="79">
        <f>IFERROR(VLOOKUP($G1145,基本資料!$A:$J,7,0),"無")</f>
        <v>-8</v>
      </c>
      <c r="F1145" s="6">
        <f>IFERROR(VLOOKUP($G1145,基本資料!$A:$J,8,0),"無")</f>
        <v>14.93</v>
      </c>
      <c r="G1145" s="79">
        <v>5439</v>
      </c>
      <c r="H1145" s="8" t="s">
        <v>308</v>
      </c>
      <c r="I1145" s="166" t="s">
        <v>80</v>
      </c>
      <c r="J1145" s="8">
        <f>IFERROR(VLOOKUP($G1145,今日總結!$A:$AN,39,0),"")</f>
        <v>0</v>
      </c>
      <c r="K1145" s="5" t="str">
        <f>IFERROR(VLOOKUP($G1145,今日總結!$A:$AN,40,0),"")</f>
        <v>主投</v>
      </c>
      <c r="L1145" s="156">
        <f>IFERROR(VLOOKUP($G1145,今日總結!$A:$AN,37,0),"")</f>
        <v>0</v>
      </c>
      <c r="M1145" s="337">
        <f>IFERROR(VLOOKUP($G1145,今日總結!$A:$AN,38,0),"")</f>
        <v>26</v>
      </c>
      <c r="N1145" s="240">
        <f t="shared" si="197"/>
        <v>-26</v>
      </c>
      <c r="O1145" s="359">
        <f>IFERROR(VLOOKUP($G1145,融外自投!$A:$J,7,0),"無")</f>
        <v>572</v>
      </c>
      <c r="P1145" s="79" t="str">
        <f>IFERROR(VLOOKUP($G1145,融外自投!$A:$J,9,0),"無")</f>
        <v>無</v>
      </c>
      <c r="Q1145" s="342">
        <f>IFERROR(VLOOKUP($G1145,融外自投!$A:$J,8,0),"無")</f>
        <v>1019</v>
      </c>
      <c r="R1145" s="81">
        <f>IFERROR(VLOOKUP($G1145,融外自投!$A:$J,10,0),"無")</f>
        <v>122</v>
      </c>
      <c r="S1145" s="324">
        <f>IFERROR(VLOOKUP($G1145,'321買'!$A:$E,4,0),"'沒有資料'")</f>
        <v>394</v>
      </c>
      <c r="T1145" s="186">
        <f>IFERROR(VLOOKUP($G1145,基本資料!$A:$J,9,0),"無")</f>
        <v>3.6</v>
      </c>
      <c r="U1145" s="307">
        <f t="shared" si="196"/>
        <v>7.7586206896551727E-2</v>
      </c>
      <c r="V1145" s="94">
        <f>IFERROR(VLOOKUP($G1145,基本資料!$A:$J,10,0),"無")</f>
        <v>4.6100000000000003</v>
      </c>
      <c r="W1145" s="36">
        <f>RTD("money.excel",,"5439","Price")</f>
        <v>46.4</v>
      </c>
      <c r="X1145" s="66"/>
      <c r="Y1145" s="15">
        <f>W1145-X1145</f>
        <v>46.4</v>
      </c>
      <c r="Z1145" s="3" t="e">
        <f>Y1145/X1145</f>
        <v>#DIV/0!</v>
      </c>
      <c r="AA1145" s="340">
        <f>IFERROR(VLOOKUP($G1145,基本資料!$A:$M,11,0),"無")</f>
        <v>-39.11</v>
      </c>
      <c r="AB1145" s="389">
        <f>IFERROR(VLOOKUP($G1145,基本資料!$A:$M,12,0),"無")</f>
        <v>8.74</v>
      </c>
      <c r="AC1145" s="16" t="s">
        <v>80</v>
      </c>
      <c r="AF1145" s="33">
        <f>AE1145-AD1145</f>
        <v>0</v>
      </c>
      <c r="AG1145" s="117" t="s">
        <v>1043</v>
      </c>
      <c r="AH1145" s="66">
        <f t="shared" si="198"/>
        <v>0.68487394957983194</v>
      </c>
      <c r="AI1145" s="283">
        <f>RTD("money.excel",,$G1145,"PredictVolume")</f>
        <v>163</v>
      </c>
      <c r="AJ1145" s="391">
        <f>IFERROR(VLOOKUP($G1145,基本資料!$A:$M,13,0),"無")</f>
        <v>238</v>
      </c>
      <c r="AR1145" s="245" t="str">
        <f>INDEX(基本資料!N:N,MATCH($G1145,基本資料!A:A,0))</f>
        <v>低</v>
      </c>
    </row>
    <row r="1146" spans="1:44">
      <c r="A1146" s="343">
        <f>IFERROR(VLOOKUP($G1146,基本資料!$A:$J,3,0),"無")</f>
        <v>17.03</v>
      </c>
      <c r="B1146" s="79">
        <f>IFERROR(VLOOKUP($G1146,基本資料!$A:$J,4,0),"無")</f>
        <v>16</v>
      </c>
      <c r="C1146" s="79">
        <f>IFERROR(VLOOKUP($G1146,基本資料!$A:$J,5,0),"無")</f>
        <v>14</v>
      </c>
      <c r="D1146" s="79">
        <f>IFERROR(VLOOKUP($G1146,基本資料!$A:$J,6,0),"無")</f>
        <v>-3</v>
      </c>
      <c r="E1146" s="79">
        <f>IFERROR(VLOOKUP($G1146,基本資料!$A:$J,7,0),"無")</f>
        <v>33</v>
      </c>
      <c r="F1146" s="6">
        <f>IFERROR(VLOOKUP($G1146,基本資料!$A:$J,8,0),"無")</f>
        <v>10.91</v>
      </c>
      <c r="G1146" s="79">
        <v>5457</v>
      </c>
      <c r="H1146" s="195" t="s">
        <v>308</v>
      </c>
      <c r="I1146" s="16" t="s">
        <v>178</v>
      </c>
      <c r="J1146" s="8">
        <f>IFERROR(VLOOKUP($G1146,今日總結!$A:$AN,39,0),"")</f>
        <v>0</v>
      </c>
      <c r="K1146" s="5" t="str">
        <f>IFERROR(VLOOKUP($G1146,今日總結!$A:$AN,40,0),"")</f>
        <v>自</v>
      </c>
      <c r="L1146" s="156">
        <f>IFERROR(VLOOKUP($G1146,今日總結!$A:$AN,37,0),"")</f>
        <v>0</v>
      </c>
      <c r="M1146" s="337">
        <f>IFERROR(VLOOKUP($G1146,今日總結!$A:$AN,38,0),"")</f>
        <v>2</v>
      </c>
      <c r="N1146" s="240">
        <f t="shared" si="197"/>
        <v>-2</v>
      </c>
      <c r="O1146" s="359">
        <f>IFERROR(VLOOKUP($G1146,融外自投!$A:$J,7,0),"無")</f>
        <v>277</v>
      </c>
      <c r="P1146" s="79">
        <f>IFERROR(VLOOKUP($G1146,融外自投!$A:$J,9,0),"無")</f>
        <v>584</v>
      </c>
      <c r="Q1146" s="342">
        <f>IFERROR(VLOOKUP($G1146,融外自投!$A:$J,8,0),"無")</f>
        <v>131</v>
      </c>
      <c r="R1146" s="81">
        <f>IFERROR(VLOOKUP($G1146,融外自投!$A:$J,10,0),"無")</f>
        <v>170</v>
      </c>
      <c r="S1146" s="324">
        <f>IFERROR(VLOOKUP($G1146,'321買'!$A:$E,4,0),"'沒有資料'")</f>
        <v>321</v>
      </c>
      <c r="T1146" s="186">
        <f>IFERROR(VLOOKUP($G1146,基本資料!$A:$J,9,0),"無")</f>
        <v>2.5</v>
      </c>
      <c r="U1146" s="307">
        <f t="shared" si="196"/>
        <v>4.6992481203007516E-2</v>
      </c>
      <c r="V1146" s="94">
        <f>IFERROR(VLOOKUP($G1146,基本資料!$A:$J,10,0),"無")</f>
        <v>5.1100000000000003</v>
      </c>
      <c r="W1146" s="36">
        <f>RTD("money.excel",,"5457","Price")</f>
        <v>53.2</v>
      </c>
      <c r="X1146" s="66"/>
      <c r="Y1146" s="15">
        <f t="shared" si="193"/>
        <v>53.2</v>
      </c>
      <c r="Z1146" s="3" t="e">
        <f t="shared" si="194"/>
        <v>#DIV/0!</v>
      </c>
      <c r="AA1146" s="340">
        <f>IFERROR(VLOOKUP($G1146,基本資料!$A:$M,11,0),"無")</f>
        <v>-45.93</v>
      </c>
      <c r="AB1146" s="389">
        <f>IFERROR(VLOOKUP($G1146,基本資料!$A:$M,12,0),"無")</f>
        <v>22.6</v>
      </c>
      <c r="AC1146" s="16" t="s">
        <v>178</v>
      </c>
      <c r="AF1146" s="33">
        <f t="shared" si="195"/>
        <v>0</v>
      </c>
      <c r="AG1146" s="119" t="s">
        <v>2540</v>
      </c>
      <c r="AH1146" s="66">
        <f t="shared" si="198"/>
        <v>0.51344974044360547</v>
      </c>
      <c r="AI1146" s="283">
        <f>RTD("money.excel",,$G1146,"PredictVolume")</f>
        <v>272</v>
      </c>
      <c r="AJ1146" s="391">
        <f>IFERROR(VLOOKUP($G1146,基本資料!$A:$M,13,0),"無")</f>
        <v>529.75</v>
      </c>
      <c r="AR1146" s="245" t="str">
        <f>INDEX(基本資料!N:N,MATCH($G1146,基本資料!A:A,0))</f>
        <v>低</v>
      </c>
    </row>
    <row r="1147" spans="1:44">
      <c r="A1147" s="343">
        <f>IFERROR(VLOOKUP($G1147,基本資料!$A:$J,3,0),"無")</f>
        <v>5.87</v>
      </c>
      <c r="B1147" s="79">
        <f>IFERROR(VLOOKUP($G1147,基本資料!$A:$J,4,0),"無")</f>
        <v>-58</v>
      </c>
      <c r="C1147" s="79">
        <f>IFERROR(VLOOKUP($G1147,基本資料!$A:$J,5,0),"無")</f>
        <v>-137</v>
      </c>
      <c r="D1147" s="79">
        <f>IFERROR(VLOOKUP($G1147,基本資料!$A:$J,6,0),"無")</f>
        <v>-45</v>
      </c>
      <c r="E1147" s="79">
        <f>IFERROR(VLOOKUP($G1147,基本資料!$A:$J,7,0),"無")</f>
        <v>-49</v>
      </c>
      <c r="F1147" s="6">
        <f>IFERROR(VLOOKUP($G1147,基本資料!$A:$J,8,0),"無")</f>
        <v>-0.26</v>
      </c>
      <c r="G1147" s="79">
        <v>5460</v>
      </c>
      <c r="H1147" s="8" t="s">
        <v>308</v>
      </c>
      <c r="I1147" s="16" t="s">
        <v>4586</v>
      </c>
      <c r="J1147" s="8" t="str">
        <f>IFERROR(VLOOKUP($G1147,今日總結!$A:$AN,39,0),"")</f>
        <v/>
      </c>
      <c r="K1147" s="5" t="str">
        <f>IFERROR(VLOOKUP($G1147,今日總結!$A:$AN,40,0),"")</f>
        <v/>
      </c>
      <c r="L1147" s="156" t="str">
        <f>IFERROR(VLOOKUP($G1147,今日總結!$A:$AN,37,0),"")</f>
        <v/>
      </c>
      <c r="M1147" s="337" t="str">
        <f>IFERROR(VLOOKUP($G1147,今日總結!$A:$AN,38,0),"")</f>
        <v/>
      </c>
      <c r="N1147" s="240" t="str">
        <f t="shared" si="197"/>
        <v/>
      </c>
      <c r="O1147" s="359">
        <f>IFERROR(VLOOKUP($G1147,融外自投!$A:$J,7,0),"無")</f>
        <v>932</v>
      </c>
      <c r="P1147" s="79" t="str">
        <f>IFERROR(VLOOKUP($G1147,融外自投!$A:$J,9,0),"無")</f>
        <v>無</v>
      </c>
      <c r="Q1147" s="342">
        <f>IFERROR(VLOOKUP($G1147,融外自投!$A:$J,8,0),"無")</f>
        <v>1369</v>
      </c>
      <c r="R1147" s="81" t="str">
        <f>IFERROR(VLOOKUP($G1147,融外自投!$A:$J,10,0),"無")</f>
        <v>無</v>
      </c>
      <c r="S1147" s="324" t="str">
        <f>IFERROR(VLOOKUP($G1147,'321買'!$A:$E,4,0),"'沒有資料'")</f>
        <v>'沒有資料'</v>
      </c>
      <c r="T1147" s="186">
        <f>IFERROR(VLOOKUP($G1147,基本資料!$A:$J,9,0),"無")</f>
        <v>0</v>
      </c>
      <c r="U1147" s="307">
        <f t="shared" si="196"/>
        <v>0</v>
      </c>
      <c r="V1147" s="94">
        <f>IFERROR(VLOOKUP($G1147,基本資料!$A:$J,10,0),"無")</f>
        <v>0.01</v>
      </c>
      <c r="W1147" s="36">
        <f>RTD("money.excel",,"5460","Price")</f>
        <v>11.1</v>
      </c>
      <c r="X1147" s="66"/>
      <c r="Y1147" s="15">
        <f t="shared" ref="Y1147:Y1211" si="202">W1147-X1147</f>
        <v>11.1</v>
      </c>
      <c r="Z1147" s="3" t="e">
        <f t="shared" ref="Z1147:Z1211" si="203">Y1147/X1147</f>
        <v>#DIV/0!</v>
      </c>
      <c r="AA1147" s="340">
        <f>IFERROR(VLOOKUP($G1147,基本資料!$A:$M,11,0),"無")</f>
        <v>-19.86</v>
      </c>
      <c r="AB1147" s="389">
        <f>IFERROR(VLOOKUP($G1147,基本資料!$A:$M,12,0),"無")</f>
        <v>26.94</v>
      </c>
      <c r="AC1147" s="16" t="s">
        <v>4586</v>
      </c>
      <c r="AF1147" s="33">
        <f t="shared" ref="AF1147:AF1211" si="204">AE1147-AD1147</f>
        <v>0</v>
      </c>
      <c r="AG1147" s="43" t="s">
        <v>2414</v>
      </c>
      <c r="AH1147" s="66">
        <f t="shared" si="198"/>
        <v>0.46915725456125112</v>
      </c>
      <c r="AI1147" s="283">
        <f>RTD("money.excel",,$G1147,"PredictVolume")</f>
        <v>27</v>
      </c>
      <c r="AJ1147" s="391">
        <f>IFERROR(VLOOKUP($G1147,基本資料!$A:$M,13,0),"無")</f>
        <v>57.55</v>
      </c>
      <c r="AR1147" s="245" t="str">
        <f>INDEX(基本資料!N:N,MATCH($G1147,基本資料!A:A,0))</f>
        <v>低</v>
      </c>
    </row>
    <row r="1148" spans="1:44">
      <c r="A1148" s="343">
        <f>IFERROR(VLOOKUP($G1148,基本資料!$A:$J,3,0),"無")</f>
        <v>7.1</v>
      </c>
      <c r="B1148" s="79">
        <f>IFERROR(VLOOKUP($G1148,基本資料!$A:$J,4,0),"無")</f>
        <v>307</v>
      </c>
      <c r="C1148" s="79">
        <f>IFERROR(VLOOKUP($G1148,基本資料!$A:$J,5,0),"無")</f>
        <v>55</v>
      </c>
      <c r="D1148" s="79">
        <f>IFERROR(VLOOKUP($G1148,基本資料!$A:$J,6,0),"無")</f>
        <v>14</v>
      </c>
      <c r="E1148" s="79">
        <f>IFERROR(VLOOKUP($G1148,基本資料!$A:$J,7,0),"無")</f>
        <v>-14</v>
      </c>
      <c r="F1148" s="6">
        <f>IFERROR(VLOOKUP($G1148,基本資料!$A:$J,8,0),"無")</f>
        <v>-2.67</v>
      </c>
      <c r="G1148" s="79">
        <v>5464</v>
      </c>
      <c r="H1148" s="8" t="s">
        <v>308</v>
      </c>
      <c r="I1148" s="16" t="s">
        <v>419</v>
      </c>
      <c r="J1148" s="8">
        <f>IFERROR(VLOOKUP($G1148,今日總結!$A:$AN,39,0),"")</f>
        <v>0</v>
      </c>
      <c r="K1148" s="5">
        <f>IFERROR(VLOOKUP($G1148,今日總結!$A:$AN,40,0),"")</f>
        <v>0</v>
      </c>
      <c r="L1148" s="156">
        <f>IFERROR(VLOOKUP($G1148,今日總結!$A:$AN,37,0),"")</f>
        <v>0</v>
      </c>
      <c r="M1148" s="337">
        <f>IFERROR(VLOOKUP($G1148,今日總結!$A:$AN,38,0),"")</f>
        <v>0</v>
      </c>
      <c r="N1148" s="240">
        <f t="shared" si="197"/>
        <v>0</v>
      </c>
      <c r="O1148" s="359">
        <f>IFERROR(VLOOKUP($G1148,融外自投!$A:$J,7,0),"無")</f>
        <v>715</v>
      </c>
      <c r="P1148" s="79">
        <f>IFERROR(VLOOKUP($G1148,融外自投!$A:$J,9,0),"無")</f>
        <v>696</v>
      </c>
      <c r="Q1148" s="342">
        <f>IFERROR(VLOOKUP($G1148,融外自投!$A:$J,8,0),"無")</f>
        <v>1352</v>
      </c>
      <c r="R1148" s="81" t="str">
        <f>IFERROR(VLOOKUP($G1148,融外自投!$A:$J,10,0),"無")</f>
        <v>無</v>
      </c>
      <c r="S1148" s="324">
        <f>IFERROR(VLOOKUP($G1148,'321買'!$A:$E,4,0),"'沒有資料'")</f>
        <v>801</v>
      </c>
      <c r="T1148" s="186">
        <f>IFERROR(VLOOKUP($G1148,基本資料!$A:$J,9,0),"無")</f>
        <v>2</v>
      </c>
      <c r="U1148" s="307">
        <f t="shared" si="196"/>
        <v>9.3457943925233655E-2</v>
      </c>
      <c r="V1148" s="94">
        <f>IFERROR(VLOOKUP($G1148,基本資料!$A:$J,10,0),"無")</f>
        <v>4.8099999999999996</v>
      </c>
      <c r="W1148" s="36">
        <f>RTD("money.excel",,"5464","Price")</f>
        <v>21.4</v>
      </c>
      <c r="X1148" s="66"/>
      <c r="Y1148" s="15">
        <f t="shared" si="202"/>
        <v>21.4</v>
      </c>
      <c r="Z1148" s="3" t="e">
        <f t="shared" si="203"/>
        <v>#DIV/0!</v>
      </c>
      <c r="AA1148" s="340">
        <f>IFERROR(VLOOKUP($G1148,基本資料!$A:$M,11,0),"無")</f>
        <v>-52.23</v>
      </c>
      <c r="AB1148" s="389">
        <f>IFERROR(VLOOKUP($G1148,基本資料!$A:$M,12,0),"無")</f>
        <v>21.56</v>
      </c>
      <c r="AC1148" s="16" t="s">
        <v>419</v>
      </c>
      <c r="AF1148" s="33">
        <f t="shared" si="204"/>
        <v>0</v>
      </c>
      <c r="AG1148" s="43" t="s">
        <v>1043</v>
      </c>
      <c r="AH1148" s="66">
        <f t="shared" si="198"/>
        <v>1.0803689064558628</v>
      </c>
      <c r="AI1148" s="283">
        <f>RTD("money.excel",,$G1148,"PredictVolume")</f>
        <v>41</v>
      </c>
      <c r="AJ1148" s="391">
        <f>IFERROR(VLOOKUP($G1148,基本資料!$A:$M,13,0),"無")</f>
        <v>37.950000000000003</v>
      </c>
      <c r="AR1148" s="245" t="str">
        <f>INDEX(基本資料!N:N,MATCH($G1148,基本資料!A:A,0))</f>
        <v>低</v>
      </c>
    </row>
    <row r="1149" spans="1:44">
      <c r="A1149" s="343">
        <f>IFERROR(VLOOKUP($G1149,基本資料!$A:$J,3,0),"無")</f>
        <v>52.84</v>
      </c>
      <c r="B1149" s="79">
        <f>IFERROR(VLOOKUP($G1149,基本資料!$A:$J,4,0),"無")</f>
        <v>43</v>
      </c>
      <c r="C1149" s="79">
        <f>IFERROR(VLOOKUP($G1149,基本資料!$A:$J,5,0),"無")</f>
        <v>23</v>
      </c>
      <c r="D1149" s="79">
        <f>IFERROR(VLOOKUP($G1149,基本資料!$A:$J,6,0),"無")</f>
        <v>-21</v>
      </c>
      <c r="E1149" s="79">
        <f>IFERROR(VLOOKUP($G1149,基本資料!$A:$J,7,0),"無")</f>
        <v>-23</v>
      </c>
      <c r="F1149" s="6">
        <f>IFERROR(VLOOKUP($G1149,基本資料!$A:$J,8,0),"無")</f>
        <v>11.59</v>
      </c>
      <c r="G1149" s="79">
        <v>5469</v>
      </c>
      <c r="H1149" s="195" t="s">
        <v>308</v>
      </c>
      <c r="I1149" s="22" t="s">
        <v>237</v>
      </c>
      <c r="J1149" s="8">
        <f>IFERROR(VLOOKUP($G1149,今日總結!$A:$AN,39,0),"")</f>
        <v>0</v>
      </c>
      <c r="K1149" s="5">
        <f>IFERROR(VLOOKUP($G1149,今日總結!$A:$AN,40,0),"")</f>
        <v>0</v>
      </c>
      <c r="L1149" s="156">
        <f>IFERROR(VLOOKUP($G1149,今日總結!$A:$AN,37,0),"")</f>
        <v>0</v>
      </c>
      <c r="M1149" s="337">
        <f>IFERROR(VLOOKUP($G1149,今日總結!$A:$AN,38,0),"")</f>
        <v>0</v>
      </c>
      <c r="N1149" s="240">
        <f t="shared" ref="N1149:N1212" si="205">IFERROR(L1149-M1149,"")</f>
        <v>0</v>
      </c>
      <c r="O1149" s="359">
        <f>IFERROR(VLOOKUP($G1149,融外自投!$A:$J,7,0),"無")</f>
        <v>581</v>
      </c>
      <c r="P1149" s="79">
        <f>IFERROR(VLOOKUP($G1149,融外自投!$A:$J,9,0),"無")</f>
        <v>596</v>
      </c>
      <c r="Q1149" s="342">
        <f>IFERROR(VLOOKUP($G1149,融外自投!$A:$J,8,0),"無")</f>
        <v>451</v>
      </c>
      <c r="R1149" s="81">
        <f>IFERROR(VLOOKUP($G1149,融外自投!$A:$J,10,0),"無")</f>
        <v>276</v>
      </c>
      <c r="S1149" s="324">
        <f>IFERROR(VLOOKUP($G1149,'321買'!$A:$E,4,0),"'沒有資料'")</f>
        <v>696</v>
      </c>
      <c r="T1149" s="186">
        <f>IFERROR(VLOOKUP($G1149,基本資料!$A:$J,9,0),"無")</f>
        <v>2.2000000000000002</v>
      </c>
      <c r="U1149" s="307">
        <f t="shared" ref="U1149:U1212" si="206">$T1149/$W1149</f>
        <v>6.1538461538461542E-2</v>
      </c>
      <c r="V1149" s="94">
        <f>IFERROR(VLOOKUP($G1149,基本資料!$A:$J,10,0),"無")</f>
        <v>7.05</v>
      </c>
      <c r="W1149" s="36">
        <f>RTD("money.excel",,"5469","Price")</f>
        <v>35.75</v>
      </c>
      <c r="X1149" s="66"/>
      <c r="Y1149" s="15">
        <f t="shared" si="202"/>
        <v>35.75</v>
      </c>
      <c r="Z1149" s="35" t="e">
        <f t="shared" si="203"/>
        <v>#DIV/0!</v>
      </c>
      <c r="AA1149" s="340">
        <f>IFERROR(VLOOKUP($G1149,基本資料!$A:$M,11,0),"無")</f>
        <v>-30.18</v>
      </c>
      <c r="AB1149" s="389">
        <f>IFERROR(VLOOKUP($G1149,基本資料!$A:$M,12,0),"無")</f>
        <v>12.61</v>
      </c>
      <c r="AC1149" s="22" t="s">
        <v>237</v>
      </c>
      <c r="AF1149" s="33">
        <f t="shared" si="204"/>
        <v>0</v>
      </c>
      <c r="AG1149" s="117" t="s">
        <v>2592</v>
      </c>
      <c r="AH1149" s="66">
        <f t="shared" si="198"/>
        <v>1.3990941117262206</v>
      </c>
      <c r="AI1149" s="283">
        <f>RTD("money.excel",,$G1149,"PredictVolume")</f>
        <v>1529</v>
      </c>
      <c r="AJ1149" s="391">
        <f>IFERROR(VLOOKUP($G1149,基本資料!$A:$M,13,0),"無")</f>
        <v>1092.8499999999999</v>
      </c>
      <c r="AR1149" s="245" t="str">
        <f>INDEX(基本資料!N:N,MATCH($G1149,基本資料!A:A,0))</f>
        <v>低</v>
      </c>
    </row>
    <row r="1150" spans="1:44">
      <c r="A1150" s="343">
        <f>IFERROR(VLOOKUP($G1150,基本資料!$A:$J,3,0),"無")</f>
        <v>12.71</v>
      </c>
      <c r="B1150" s="79">
        <f>IFERROR(VLOOKUP($G1150,基本資料!$A:$J,4,0),"無")</f>
        <v>587</v>
      </c>
      <c r="C1150" s="79">
        <f>IFERROR(VLOOKUP($G1150,基本資料!$A:$J,5,0),"無")</f>
        <v>441</v>
      </c>
      <c r="D1150" s="79">
        <f>IFERROR(VLOOKUP($G1150,基本資料!$A:$J,6,0),"無")</f>
        <v>-42</v>
      </c>
      <c r="E1150" s="79">
        <f>IFERROR(VLOOKUP($G1150,基本資料!$A:$J,7,0),"無")</f>
        <v>-79</v>
      </c>
      <c r="F1150" s="6">
        <f>IFERROR(VLOOKUP($G1150,基本資料!$A:$J,8,0),"無")</f>
        <v>22.02</v>
      </c>
      <c r="G1150" s="79">
        <v>5475</v>
      </c>
      <c r="H1150" s="8" t="s">
        <v>308</v>
      </c>
      <c r="I1150" s="16" t="s">
        <v>420</v>
      </c>
      <c r="J1150" s="8" t="str">
        <f>IFERROR(VLOOKUP($G1150,今日總結!$A:$AN,39,0),"")</f>
        <v/>
      </c>
      <c r="K1150" s="5" t="str">
        <f>IFERROR(VLOOKUP($G1150,今日總結!$A:$AN,40,0),"")</f>
        <v/>
      </c>
      <c r="L1150" s="156" t="str">
        <f>IFERROR(VLOOKUP($G1150,今日總結!$A:$AN,37,0),"")</f>
        <v/>
      </c>
      <c r="M1150" s="337" t="str">
        <f>IFERROR(VLOOKUP($G1150,今日總結!$A:$AN,38,0),"")</f>
        <v/>
      </c>
      <c r="N1150" s="240" t="str">
        <f t="shared" si="205"/>
        <v/>
      </c>
      <c r="O1150" s="359" t="str">
        <f>IFERROR(VLOOKUP($G1150,融外自投!$A:$J,7,0),"無")</f>
        <v>無</v>
      </c>
      <c r="P1150" s="79" t="str">
        <f>IFERROR(VLOOKUP($G1150,融外自投!$A:$J,9,0),"無")</f>
        <v>無</v>
      </c>
      <c r="Q1150" s="342" t="str">
        <f>IFERROR(VLOOKUP($G1150,融外自投!$A:$J,8,0),"無")</f>
        <v>無</v>
      </c>
      <c r="R1150" s="81" t="str">
        <f>IFERROR(VLOOKUP($G1150,融外自投!$A:$J,10,0),"無")</f>
        <v>無</v>
      </c>
      <c r="S1150" s="324" t="str">
        <f>IFERROR(VLOOKUP($G1150,'321買'!$A:$E,4,0),"'沒有資料'")</f>
        <v>'沒有資料'</v>
      </c>
      <c r="T1150" s="186">
        <f>IFERROR(VLOOKUP($G1150,基本資料!$A:$J,9,0),"無")</f>
        <v>0</v>
      </c>
      <c r="U1150" s="307">
        <f t="shared" si="206"/>
        <v>0</v>
      </c>
      <c r="V1150" s="94">
        <f>IFERROR(VLOOKUP($G1150,基本資料!$A:$J,10,0),"無")</f>
        <v>3.73</v>
      </c>
      <c r="W1150" s="36">
        <f>RTD("money.excel",,"5475","Price")</f>
        <v>13.5</v>
      </c>
      <c r="X1150" s="66"/>
      <c r="Y1150" s="15">
        <f t="shared" si="202"/>
        <v>13.5</v>
      </c>
      <c r="Z1150" s="3" t="e">
        <f t="shared" si="203"/>
        <v>#DIV/0!</v>
      </c>
      <c r="AA1150" s="340">
        <f>IFERROR(VLOOKUP($G1150,基本資料!$A:$M,11,0),"無")</f>
        <v>-74.239999999999995</v>
      </c>
      <c r="AB1150" s="389">
        <f>IFERROR(VLOOKUP($G1150,基本資料!$A:$M,12,0),"無")</f>
        <v>9.3699999999999992</v>
      </c>
      <c r="AC1150" s="16" t="s">
        <v>420</v>
      </c>
      <c r="AF1150" s="33">
        <f t="shared" si="204"/>
        <v>0</v>
      </c>
      <c r="AG1150" s="43" t="s">
        <v>1052</v>
      </c>
      <c r="AH1150" s="66">
        <f t="shared" si="198"/>
        <v>1.2453706609754567</v>
      </c>
      <c r="AI1150" s="283">
        <f>RTD("money.excel",,$G1150,"PredictVolume")</f>
        <v>992</v>
      </c>
      <c r="AJ1150" s="391">
        <f>IFERROR(VLOOKUP($G1150,基本資料!$A:$M,13,0),"無")</f>
        <v>796.55</v>
      </c>
      <c r="AR1150" s="245" t="str">
        <f>INDEX(基本資料!N:N,MATCH($G1150,基本資料!A:A,0))</f>
        <v>低</v>
      </c>
    </row>
    <row r="1151" spans="1:44">
      <c r="A1151" s="343">
        <f>IFERROR(VLOOKUP($G1151,基本資料!$A:$J,3,0),"無")</f>
        <v>9.15</v>
      </c>
      <c r="B1151" s="79">
        <f>IFERROR(VLOOKUP($G1151,基本資料!$A:$J,4,0),"無")</f>
        <v>124</v>
      </c>
      <c r="C1151" s="79">
        <f>IFERROR(VLOOKUP($G1151,基本資料!$A:$J,5,0),"無")</f>
        <v>124</v>
      </c>
      <c r="D1151" s="79">
        <f>IFERROR(VLOOKUP($G1151,基本資料!$A:$J,6,0),"無")</f>
        <v>20</v>
      </c>
      <c r="E1151" s="79">
        <f>IFERROR(VLOOKUP($G1151,基本資料!$A:$J,7,0),"無")</f>
        <v>5</v>
      </c>
      <c r="F1151" s="6">
        <f>IFERROR(VLOOKUP($G1151,基本資料!$A:$J,8,0),"無")</f>
        <v>0.78</v>
      </c>
      <c r="G1151" s="79">
        <v>5488</v>
      </c>
      <c r="H1151" s="8" t="s">
        <v>308</v>
      </c>
      <c r="I1151" s="16" t="s">
        <v>421</v>
      </c>
      <c r="J1151" s="8" t="str">
        <f>IFERROR(VLOOKUP($G1151,今日總結!$A:$AN,39,0),"")</f>
        <v/>
      </c>
      <c r="K1151" s="5" t="str">
        <f>IFERROR(VLOOKUP($G1151,今日總結!$A:$AN,40,0),"")</f>
        <v/>
      </c>
      <c r="L1151" s="156" t="str">
        <f>IFERROR(VLOOKUP($G1151,今日總結!$A:$AN,37,0),"")</f>
        <v/>
      </c>
      <c r="M1151" s="337" t="str">
        <f>IFERROR(VLOOKUP($G1151,今日總結!$A:$AN,38,0),"")</f>
        <v/>
      </c>
      <c r="N1151" s="240" t="str">
        <f t="shared" si="205"/>
        <v/>
      </c>
      <c r="O1151" s="359" t="str">
        <f>IFERROR(VLOOKUP($G1151,融外自投!$A:$J,7,0),"無")</f>
        <v>無</v>
      </c>
      <c r="P1151" s="79" t="str">
        <f>IFERROR(VLOOKUP($G1151,融外自投!$A:$J,9,0),"無")</f>
        <v>無</v>
      </c>
      <c r="Q1151" s="342" t="str">
        <f>IFERROR(VLOOKUP($G1151,融外自投!$A:$J,8,0),"無")</f>
        <v>無</v>
      </c>
      <c r="R1151" s="81" t="str">
        <f>IFERROR(VLOOKUP($G1151,融外自投!$A:$J,10,0),"無")</f>
        <v>無</v>
      </c>
      <c r="S1151" s="324" t="str">
        <f>IFERROR(VLOOKUP($G1151,'321買'!$A:$E,4,0),"'沒有資料'")</f>
        <v>'沒有資料'</v>
      </c>
      <c r="T1151" s="186">
        <f>IFERROR(VLOOKUP($G1151,基本資料!$A:$J,9,0),"無")</f>
        <v>0</v>
      </c>
      <c r="U1151" s="307">
        <f t="shared" si="206"/>
        <v>0</v>
      </c>
      <c r="V1151" s="94">
        <f>IFERROR(VLOOKUP($G1151,基本資料!$A:$J,10,0),"無")</f>
        <v>0.08</v>
      </c>
      <c r="W1151" s="36">
        <f>RTD("money.excel",,"5488","Price")</f>
        <v>7.49</v>
      </c>
      <c r="X1151" s="66"/>
      <c r="Y1151" s="15">
        <f t="shared" si="202"/>
        <v>7.49</v>
      </c>
      <c r="Z1151" s="3" t="e">
        <f t="shared" si="203"/>
        <v>#DIV/0!</v>
      </c>
      <c r="AA1151" s="340">
        <f>IFERROR(VLOOKUP($G1151,基本資料!$A:$M,11,0),"無")</f>
        <v>-31.6</v>
      </c>
      <c r="AB1151" s="389">
        <f>IFERROR(VLOOKUP($G1151,基本資料!$A:$M,12,0),"無")</f>
        <v>14.73</v>
      </c>
      <c r="AC1151" s="16" t="s">
        <v>421</v>
      </c>
      <c r="AF1151" s="33">
        <f t="shared" si="204"/>
        <v>0</v>
      </c>
      <c r="AG1151" s="43" t="s">
        <v>2415</v>
      </c>
      <c r="AH1151" s="66">
        <f t="shared" si="198"/>
        <v>0.88294856217091933</v>
      </c>
      <c r="AI1151" s="283">
        <f>RTD("money.excel",,$G1151,"PredictVolume")</f>
        <v>109</v>
      </c>
      <c r="AJ1151" s="391">
        <f>IFERROR(VLOOKUP($G1151,基本資料!$A:$M,13,0),"無")</f>
        <v>123.45</v>
      </c>
      <c r="AR1151" s="245" t="str">
        <f>INDEX(基本資料!N:N,MATCH($G1151,基本資料!A:A,0))</f>
        <v>低</v>
      </c>
    </row>
    <row r="1152" spans="1:44">
      <c r="A1152" s="343">
        <f>IFERROR(VLOOKUP($G1152,基本資料!$A:$J,3,0),"無")</f>
        <v>18.989999999999998</v>
      </c>
      <c r="B1152" s="79">
        <f>IFERROR(VLOOKUP($G1152,基本資料!$A:$J,4,0),"無")</f>
        <v>-57</v>
      </c>
      <c r="C1152" s="79">
        <f>IFERROR(VLOOKUP($G1152,基本資料!$A:$J,5,0),"無")</f>
        <v>-23</v>
      </c>
      <c r="D1152" s="79">
        <f>IFERROR(VLOOKUP($G1152,基本資料!$A:$J,6,0),"無")</f>
        <v>-28</v>
      </c>
      <c r="E1152" s="79">
        <f>IFERROR(VLOOKUP($G1152,基本資料!$A:$J,7,0),"無")</f>
        <v>-28</v>
      </c>
      <c r="F1152" s="6">
        <f>IFERROR(VLOOKUP($G1152,基本資料!$A:$J,8,0),"無")</f>
        <v>1.79</v>
      </c>
      <c r="G1152" s="79">
        <v>5498</v>
      </c>
      <c r="H1152" s="8" t="s">
        <v>308</v>
      </c>
      <c r="I1152" s="16" t="s">
        <v>422</v>
      </c>
      <c r="J1152" s="8">
        <f>IFERROR(VLOOKUP($G1152,今日總結!$A:$AN,39,0),"")</f>
        <v>0</v>
      </c>
      <c r="K1152" s="5">
        <f>IFERROR(VLOOKUP($G1152,今日總結!$A:$AN,40,0),"")</f>
        <v>0</v>
      </c>
      <c r="L1152" s="156">
        <f>IFERROR(VLOOKUP($G1152,今日總結!$A:$AN,37,0),"")</f>
        <v>0</v>
      </c>
      <c r="M1152" s="337">
        <f>IFERROR(VLOOKUP($G1152,今日總結!$A:$AN,38,0),"")</f>
        <v>0</v>
      </c>
      <c r="N1152" s="240">
        <f t="shared" si="205"/>
        <v>0</v>
      </c>
      <c r="O1152" s="359">
        <f>IFERROR(VLOOKUP($G1152,融外自投!$A:$J,7,0),"無")</f>
        <v>621</v>
      </c>
      <c r="P1152" s="79" t="str">
        <f>IFERROR(VLOOKUP($G1152,融外自投!$A:$J,9,0),"無")</f>
        <v>無</v>
      </c>
      <c r="Q1152" s="342">
        <f>IFERROR(VLOOKUP($G1152,融外自投!$A:$J,8,0),"無")</f>
        <v>1200</v>
      </c>
      <c r="R1152" s="81" t="str">
        <f>IFERROR(VLOOKUP($G1152,融外自投!$A:$J,10,0),"無")</f>
        <v>無</v>
      </c>
      <c r="S1152" s="324">
        <f>IFERROR(VLOOKUP($G1152,'321買'!$A:$E,4,0),"'沒有資料'")</f>
        <v>743</v>
      </c>
      <c r="T1152" s="186">
        <f>IFERROR(VLOOKUP($G1152,基本資料!$A:$J,9,0),"無")</f>
        <v>0</v>
      </c>
      <c r="U1152" s="307">
        <f t="shared" si="206"/>
        <v>0</v>
      </c>
      <c r="V1152" s="94">
        <f>IFERROR(VLOOKUP($G1152,基本資料!$A:$J,10,0),"無")</f>
        <v>0.18</v>
      </c>
      <c r="W1152" s="36">
        <f>RTD("money.excel",,"5498","Price")</f>
        <v>9.92</v>
      </c>
      <c r="X1152" s="66"/>
      <c r="Y1152" s="15">
        <f t="shared" si="202"/>
        <v>9.92</v>
      </c>
      <c r="Z1152" s="3" t="e">
        <f t="shared" si="203"/>
        <v>#DIV/0!</v>
      </c>
      <c r="AA1152" s="340">
        <f>IFERROR(VLOOKUP($G1152,基本資料!$A:$M,11,0),"無")</f>
        <v>-52.42</v>
      </c>
      <c r="AB1152" s="389">
        <f>IFERROR(VLOOKUP($G1152,基本資料!$A:$M,12,0),"無")</f>
        <v>6.14</v>
      </c>
      <c r="AC1152" s="16" t="s">
        <v>422</v>
      </c>
      <c r="AF1152" s="33">
        <f t="shared" si="204"/>
        <v>0</v>
      </c>
      <c r="AG1152" s="43" t="s">
        <v>423</v>
      </c>
      <c r="AH1152" s="66">
        <f t="shared" si="198"/>
        <v>0.35629453681710216</v>
      </c>
      <c r="AI1152" s="283">
        <f>RTD("money.excel",,$G1152,"PredictVolume")</f>
        <v>90</v>
      </c>
      <c r="AJ1152" s="391">
        <f>IFERROR(VLOOKUP($G1152,基本資料!$A:$M,13,0),"無")</f>
        <v>252.6</v>
      </c>
      <c r="AR1152" s="245" t="str">
        <f>INDEX(基本資料!N:N,MATCH($G1152,基本資料!A:A,0))</f>
        <v>低</v>
      </c>
    </row>
    <row r="1153" spans="1:44">
      <c r="A1153" s="343">
        <f>IFERROR(VLOOKUP($G1153,基本資料!$A:$J,3,0),"無")</f>
        <v>15.98</v>
      </c>
      <c r="B1153" s="79">
        <f>IFERROR(VLOOKUP($G1153,基本資料!$A:$J,4,0),"無")</f>
        <v>389</v>
      </c>
      <c r="C1153" s="79">
        <f>IFERROR(VLOOKUP($G1153,基本資料!$A:$J,5,0),"無")</f>
        <v>104</v>
      </c>
      <c r="D1153" s="79">
        <f>IFERROR(VLOOKUP($G1153,基本資料!$A:$J,6,0),"無")</f>
        <v>-45</v>
      </c>
      <c r="E1153" s="79">
        <f>IFERROR(VLOOKUP($G1153,基本資料!$A:$J,7,0),"無")</f>
        <v>-49</v>
      </c>
      <c r="F1153" s="6">
        <f>IFERROR(VLOOKUP($G1153,基本資料!$A:$J,8,0),"無")</f>
        <v>5.23</v>
      </c>
      <c r="G1153" s="79">
        <v>6108</v>
      </c>
      <c r="H1153" s="8" t="s">
        <v>308</v>
      </c>
      <c r="I1153" s="22" t="s">
        <v>4587</v>
      </c>
      <c r="J1153" s="8">
        <f>IFERROR(VLOOKUP($G1153,今日總結!$A:$AN,39,0),"")</f>
        <v>0</v>
      </c>
      <c r="K1153" s="5">
        <f>IFERROR(VLOOKUP($G1153,今日總結!$A:$AN,40,0),"")</f>
        <v>0</v>
      </c>
      <c r="L1153" s="156">
        <f>IFERROR(VLOOKUP($G1153,今日總結!$A:$AN,37,0),"")</f>
        <v>0</v>
      </c>
      <c r="M1153" s="337">
        <f>IFERROR(VLOOKUP($G1153,今日總結!$A:$AN,38,0),"")</f>
        <v>0</v>
      </c>
      <c r="N1153" s="240">
        <f t="shared" si="205"/>
        <v>0</v>
      </c>
      <c r="O1153" s="359">
        <f>IFERROR(VLOOKUP($G1153,融外自投!$A:$J,7,0),"無")</f>
        <v>800</v>
      </c>
      <c r="P1153" s="79">
        <f>IFERROR(VLOOKUP($G1153,融外自投!$A:$J,9,0),"無")</f>
        <v>908</v>
      </c>
      <c r="Q1153" s="342">
        <f>IFERROR(VLOOKUP($G1153,融外自投!$A:$J,8,0),"無")</f>
        <v>862</v>
      </c>
      <c r="R1153" s="81" t="str">
        <f>IFERROR(VLOOKUP($G1153,融外自投!$A:$J,10,0),"無")</f>
        <v>無</v>
      </c>
      <c r="S1153" s="324">
        <f>IFERROR(VLOOKUP($G1153,'321買'!$A:$E,4,0),"'沒有資料'")</f>
        <v>743</v>
      </c>
      <c r="T1153" s="186">
        <f>IFERROR(VLOOKUP($G1153,基本資料!$A:$J,9,0),"無")</f>
        <v>1.05</v>
      </c>
      <c r="U1153" s="307">
        <f t="shared" si="206"/>
        <v>5.5702917771883284E-2</v>
      </c>
      <c r="V1153" s="94">
        <f>IFERROR(VLOOKUP($G1153,基本資料!$A:$J,10,0),"無")</f>
        <v>1.5</v>
      </c>
      <c r="W1153" s="36">
        <f>RTD("money.excel",,"6108","Price")</f>
        <v>18.850000000000001</v>
      </c>
      <c r="X1153" s="66"/>
      <c r="Y1153" s="15">
        <f t="shared" si="202"/>
        <v>18.850000000000001</v>
      </c>
      <c r="Z1153" s="35" t="e">
        <f t="shared" si="203"/>
        <v>#DIV/0!</v>
      </c>
      <c r="AA1153" s="340">
        <f>IFERROR(VLOOKUP($G1153,基本資料!$A:$M,11,0),"無")</f>
        <v>-28.46</v>
      </c>
      <c r="AB1153" s="389">
        <f>IFERROR(VLOOKUP($G1153,基本資料!$A:$M,12,0),"無")</f>
        <v>19.61</v>
      </c>
      <c r="AC1153" s="22" t="s">
        <v>4587</v>
      </c>
      <c r="AF1153" s="33">
        <f t="shared" si="204"/>
        <v>0</v>
      </c>
      <c r="AG1153" s="43" t="s">
        <v>2593</v>
      </c>
      <c r="AH1153" s="66">
        <f t="shared" si="198"/>
        <v>0.47401247401247404</v>
      </c>
      <c r="AI1153" s="283">
        <f>RTD("money.excel",,$G1153,"PredictVolume")</f>
        <v>114</v>
      </c>
      <c r="AJ1153" s="391">
        <f>IFERROR(VLOOKUP($G1153,基本資料!$A:$M,13,0),"無")</f>
        <v>240.5</v>
      </c>
      <c r="AR1153" s="245" t="str">
        <f>INDEX(基本資料!N:N,MATCH($G1153,基本資料!A:A,0))</f>
        <v>低</v>
      </c>
    </row>
    <row r="1154" spans="1:44">
      <c r="A1154" s="343">
        <f>IFERROR(VLOOKUP($G1154,基本資料!$A:$J,3,0),"無")</f>
        <v>4.3899999999999997</v>
      </c>
      <c r="B1154" s="79">
        <f>IFERROR(VLOOKUP($G1154,基本資料!$A:$J,4,0),"無")</f>
        <v>-37</v>
      </c>
      <c r="C1154" s="79">
        <f>IFERROR(VLOOKUP($G1154,基本資料!$A:$J,5,0),"無")</f>
        <v>-36</v>
      </c>
      <c r="D1154" s="79">
        <f>IFERROR(VLOOKUP($G1154,基本資料!$A:$J,6,0),"無")</f>
        <v>-39</v>
      </c>
      <c r="E1154" s="79">
        <f>IFERROR(VLOOKUP($G1154,基本資料!$A:$J,7,0),"無")</f>
        <v>-37</v>
      </c>
      <c r="F1154" s="6">
        <f>IFERROR(VLOOKUP($G1154,基本資料!$A:$J,8,0),"無")</f>
        <v>3.63</v>
      </c>
      <c r="G1154" s="79">
        <v>6114</v>
      </c>
      <c r="H1154" s="8" t="s">
        <v>308</v>
      </c>
      <c r="I1154" s="16" t="s">
        <v>4588</v>
      </c>
      <c r="J1154" s="8">
        <f>IFERROR(VLOOKUP($G1154,今日總結!$A:$AN,39,0),"")</f>
        <v>0</v>
      </c>
      <c r="K1154" s="5">
        <f>IFERROR(VLOOKUP($G1154,今日總結!$A:$AN,40,0),"")</f>
        <v>0</v>
      </c>
      <c r="L1154" s="156">
        <f>IFERROR(VLOOKUP($G1154,今日總結!$A:$AN,37,0),"")</f>
        <v>0</v>
      </c>
      <c r="M1154" s="337">
        <f>IFERROR(VLOOKUP($G1154,今日總結!$A:$AN,38,0),"")</f>
        <v>0</v>
      </c>
      <c r="N1154" s="240">
        <f t="shared" si="205"/>
        <v>0</v>
      </c>
      <c r="O1154" s="359">
        <f>IFERROR(VLOOKUP($G1154,融外自投!$A:$J,7,0),"無")</f>
        <v>517</v>
      </c>
      <c r="P1154" s="79" t="str">
        <f>IFERROR(VLOOKUP($G1154,融外自投!$A:$J,9,0),"無")</f>
        <v>無</v>
      </c>
      <c r="Q1154" s="342">
        <f>IFERROR(VLOOKUP($G1154,融外自投!$A:$J,8,0),"無")</f>
        <v>1354</v>
      </c>
      <c r="R1154" s="81" t="str">
        <f>IFERROR(VLOOKUP($G1154,融外自投!$A:$J,10,0),"無")</f>
        <v>無</v>
      </c>
      <c r="S1154" s="324">
        <f>IFERROR(VLOOKUP($G1154,'321買'!$A:$E,4,0),"'沒有資料'")</f>
        <v>1002</v>
      </c>
      <c r="T1154" s="186">
        <f>IFERROR(VLOOKUP($G1154,基本資料!$A:$J,9,0),"無")</f>
        <v>0.5</v>
      </c>
      <c r="U1154" s="307">
        <f t="shared" si="206"/>
        <v>2.3419203747072598E-2</v>
      </c>
      <c r="V1154" s="94">
        <f>IFERROR(VLOOKUP($G1154,基本資料!$A:$J,10,0),"無")</f>
        <v>0.33</v>
      </c>
      <c r="W1154" s="36">
        <f>RTD("money.excel",,"6114","Price")</f>
        <v>21.35</v>
      </c>
      <c r="X1154" s="66"/>
      <c r="Y1154" s="15">
        <f t="shared" si="202"/>
        <v>21.35</v>
      </c>
      <c r="Z1154" s="3" t="e">
        <f t="shared" si="203"/>
        <v>#DIV/0!</v>
      </c>
      <c r="AA1154" s="340">
        <f>IFERROR(VLOOKUP($G1154,基本資料!$A:$M,11,0),"無")</f>
        <v>-22.36</v>
      </c>
      <c r="AB1154" s="389">
        <f>IFERROR(VLOOKUP($G1154,基本資料!$A:$M,12,0),"無")</f>
        <v>38.880000000000003</v>
      </c>
      <c r="AC1154" s="16" t="s">
        <v>4588</v>
      </c>
      <c r="AF1154" s="33">
        <f t="shared" si="204"/>
        <v>0</v>
      </c>
      <c r="AG1154" s="43" t="s">
        <v>2416</v>
      </c>
      <c r="AH1154" s="66">
        <f t="shared" si="198"/>
        <v>0.58536585365853655</v>
      </c>
      <c r="AI1154" s="283">
        <f>RTD("money.excel",,$G1154,"PredictVolume")</f>
        <v>18</v>
      </c>
      <c r="AJ1154" s="391">
        <f>IFERROR(VLOOKUP($G1154,基本資料!$A:$M,13,0),"無")</f>
        <v>30.75</v>
      </c>
      <c r="AR1154" s="245" t="str">
        <f>INDEX(基本資料!N:N,MATCH($G1154,基本資料!A:A,0))</f>
        <v>低</v>
      </c>
    </row>
    <row r="1155" spans="1:44">
      <c r="A1155" s="343">
        <f>IFERROR(VLOOKUP($G1155,基本資料!$A:$J,3,0),"無")</f>
        <v>18.760000000000002</v>
      </c>
      <c r="B1155" s="79">
        <f>IFERROR(VLOOKUP($G1155,基本資料!$A:$J,4,0),"無")</f>
        <v>4</v>
      </c>
      <c r="C1155" s="79">
        <f>IFERROR(VLOOKUP($G1155,基本資料!$A:$J,5,0),"無")</f>
        <v>-19</v>
      </c>
      <c r="D1155" s="79">
        <f>IFERROR(VLOOKUP($G1155,基本資料!$A:$J,6,0),"無")</f>
        <v>-22</v>
      </c>
      <c r="E1155" s="79">
        <f>IFERROR(VLOOKUP($G1155,基本資料!$A:$J,7,0),"無")</f>
        <v>-12</v>
      </c>
      <c r="F1155" s="6">
        <f>IFERROR(VLOOKUP($G1155,基本資料!$A:$J,8,0),"無")</f>
        <v>8.81</v>
      </c>
      <c r="G1155" s="79">
        <v>6115</v>
      </c>
      <c r="H1155" s="8" t="s">
        <v>308</v>
      </c>
      <c r="I1155" s="22" t="s">
        <v>395</v>
      </c>
      <c r="J1155" s="8">
        <f>IFERROR(VLOOKUP($G1155,今日總結!$A:$AN,39,0),"")</f>
        <v>0</v>
      </c>
      <c r="K1155" s="5" t="str">
        <f>IFERROR(VLOOKUP($G1155,今日總結!$A:$AN,40,0),"")</f>
        <v>主外</v>
      </c>
      <c r="L1155" s="156">
        <f>IFERROR(VLOOKUP($G1155,今日總結!$A:$AN,37,0),"")</f>
        <v>0</v>
      </c>
      <c r="M1155" s="337">
        <f>IFERROR(VLOOKUP($G1155,今日總結!$A:$AN,38,0),"")</f>
        <v>5</v>
      </c>
      <c r="N1155" s="240">
        <f t="shared" si="205"/>
        <v>-5</v>
      </c>
      <c r="O1155" s="359">
        <f>IFERROR(VLOOKUP($G1155,融外自投!$A:$J,7,0),"無")</f>
        <v>1434</v>
      </c>
      <c r="P1155" s="79">
        <f>IFERROR(VLOOKUP($G1155,融外自投!$A:$J,9,0),"無")</f>
        <v>869</v>
      </c>
      <c r="Q1155" s="342">
        <f>IFERROR(VLOOKUP($G1155,融外自投!$A:$J,8,0),"無")</f>
        <v>669</v>
      </c>
      <c r="R1155" s="81" t="str">
        <f>IFERROR(VLOOKUP($G1155,融外自投!$A:$J,10,0),"無")</f>
        <v>無</v>
      </c>
      <c r="S1155" s="324">
        <f>IFERROR(VLOOKUP($G1155,'321買'!$A:$E,4,0),"'沒有資料'")</f>
        <v>1002</v>
      </c>
      <c r="T1155" s="186">
        <f>IFERROR(VLOOKUP($G1155,基本資料!$A:$J,9,0),"無")</f>
        <v>2.8</v>
      </c>
      <c r="U1155" s="307">
        <f t="shared" si="206"/>
        <v>6.6037735849056603E-2</v>
      </c>
      <c r="V1155" s="94">
        <f>IFERROR(VLOOKUP($G1155,基本資料!$A:$J,10,0),"無")</f>
        <v>2.7</v>
      </c>
      <c r="W1155" s="36">
        <f>RTD("money.excel",,"6115","Price")</f>
        <v>42.4</v>
      </c>
      <c r="X1155" s="66"/>
      <c r="Y1155" s="15">
        <f t="shared" si="202"/>
        <v>42.4</v>
      </c>
      <c r="Z1155" s="35" t="e">
        <f t="shared" si="203"/>
        <v>#DIV/0!</v>
      </c>
      <c r="AA1155" s="340">
        <f>IFERROR(VLOOKUP($G1155,基本資料!$A:$M,11,0),"無")</f>
        <v>-7.93</v>
      </c>
      <c r="AB1155" s="389">
        <f>IFERROR(VLOOKUP($G1155,基本資料!$A:$M,12,0),"無")</f>
        <v>20.260000000000002</v>
      </c>
      <c r="AC1155" s="22" t="s">
        <v>395</v>
      </c>
      <c r="AF1155" s="33">
        <f t="shared" si="204"/>
        <v>0</v>
      </c>
      <c r="AG1155" s="43" t="s">
        <v>2594</v>
      </c>
      <c r="AH1155" s="66">
        <f t="shared" si="198"/>
        <v>0.6088992974238876</v>
      </c>
      <c r="AI1155" s="283">
        <f>RTD("money.excel",,$G1155,"PredictVolume")</f>
        <v>52</v>
      </c>
      <c r="AJ1155" s="391">
        <f>IFERROR(VLOOKUP($G1155,基本資料!$A:$M,13,0),"無")</f>
        <v>85.4</v>
      </c>
      <c r="AR1155" s="245" t="str">
        <f>INDEX(基本資料!N:N,MATCH($G1155,基本資料!A:A,0))</f>
        <v>低</v>
      </c>
    </row>
    <row r="1156" spans="1:44">
      <c r="A1156" s="343">
        <f>IFERROR(VLOOKUP($G1156,基本資料!$A:$J,3,0),"無")</f>
        <v>18.239999999999998</v>
      </c>
      <c r="B1156" s="79">
        <f>IFERROR(VLOOKUP($G1156,基本資料!$A:$J,4,0),"無")</f>
        <v>-16</v>
      </c>
      <c r="C1156" s="79">
        <f>IFERROR(VLOOKUP($G1156,基本資料!$A:$J,5,0),"無")</f>
        <v>-21</v>
      </c>
      <c r="D1156" s="79">
        <f>IFERROR(VLOOKUP($G1156,基本資料!$A:$J,6,0),"無")</f>
        <v>-37</v>
      </c>
      <c r="E1156" s="79">
        <f>IFERROR(VLOOKUP($G1156,基本資料!$A:$J,7,0),"無")</f>
        <v>-38</v>
      </c>
      <c r="F1156" s="6">
        <f>IFERROR(VLOOKUP($G1156,基本資料!$A:$J,8,0),"無")</f>
        <v>11.92</v>
      </c>
      <c r="G1156" s="79">
        <v>6124</v>
      </c>
      <c r="H1156" s="8" t="s">
        <v>308</v>
      </c>
      <c r="I1156" s="16" t="s">
        <v>424</v>
      </c>
      <c r="J1156" s="8" t="str">
        <f>IFERROR(VLOOKUP($G1156,今日總結!$A:$AN,39,0),"")</f>
        <v/>
      </c>
      <c r="K1156" s="5" t="str">
        <f>IFERROR(VLOOKUP($G1156,今日總結!$A:$AN,40,0),"")</f>
        <v/>
      </c>
      <c r="L1156" s="156" t="str">
        <f>IFERROR(VLOOKUP($G1156,今日總結!$A:$AN,37,0),"")</f>
        <v/>
      </c>
      <c r="M1156" s="337" t="str">
        <f>IFERROR(VLOOKUP($G1156,今日總結!$A:$AN,38,0),"")</f>
        <v/>
      </c>
      <c r="N1156" s="240" t="str">
        <f t="shared" si="205"/>
        <v/>
      </c>
      <c r="O1156" s="359">
        <f>IFERROR(VLOOKUP($G1156,融外自投!$A:$J,7,0),"無")</f>
        <v>1067</v>
      </c>
      <c r="P1156" s="79">
        <f>IFERROR(VLOOKUP($G1156,融外自投!$A:$J,9,0),"無")</f>
        <v>44</v>
      </c>
      <c r="Q1156" s="342">
        <f>IFERROR(VLOOKUP($G1156,融外自投!$A:$J,8,0),"無")</f>
        <v>106</v>
      </c>
      <c r="R1156" s="81" t="str">
        <f>IFERROR(VLOOKUP($G1156,融外自投!$A:$J,10,0),"無")</f>
        <v>無</v>
      </c>
      <c r="S1156" s="324" t="str">
        <f>IFERROR(VLOOKUP($G1156,'321買'!$A:$E,4,0),"'沒有資料'")</f>
        <v>'沒有資料'</v>
      </c>
      <c r="T1156" s="186">
        <f>IFERROR(VLOOKUP($G1156,基本資料!$A:$J,9,0),"無")</f>
        <v>0</v>
      </c>
      <c r="U1156" s="307">
        <f t="shared" si="206"/>
        <v>0</v>
      </c>
      <c r="V1156" s="94">
        <f>IFERROR(VLOOKUP($G1156,基本資料!$A:$J,10,0),"無")</f>
        <v>1.29</v>
      </c>
      <c r="W1156" s="36">
        <f>RTD("money.excel",,"6124","Price")</f>
        <v>25.25</v>
      </c>
      <c r="X1156" s="66"/>
      <c r="Y1156" s="15">
        <f t="shared" si="202"/>
        <v>25.25</v>
      </c>
      <c r="Z1156" s="3" t="e">
        <f t="shared" si="203"/>
        <v>#DIV/0!</v>
      </c>
      <c r="AA1156" s="340">
        <f>IFERROR(VLOOKUP($G1156,基本資料!$A:$M,11,0),"無")</f>
        <v>-17.21</v>
      </c>
      <c r="AB1156" s="389">
        <f>IFERROR(VLOOKUP($G1156,基本資料!$A:$M,12,0),"無")</f>
        <v>42.73</v>
      </c>
      <c r="AC1156" s="16" t="s">
        <v>424</v>
      </c>
      <c r="AF1156" s="33">
        <f t="shared" si="204"/>
        <v>0</v>
      </c>
      <c r="AG1156" s="43" t="s">
        <v>2417</v>
      </c>
      <c r="AH1156" s="66">
        <f t="shared" si="198"/>
        <v>0.37735849056603776</v>
      </c>
      <c r="AI1156" s="283">
        <f>RTD("money.excel",,$G1156,"PredictVolume")</f>
        <v>4</v>
      </c>
      <c r="AJ1156" s="391">
        <f>IFERROR(VLOOKUP($G1156,基本資料!$A:$M,13,0),"無")</f>
        <v>10.6</v>
      </c>
      <c r="AR1156" s="245" t="str">
        <f>INDEX(基本資料!N:N,MATCH($G1156,基本資料!A:A,0))</f>
        <v>中</v>
      </c>
    </row>
    <row r="1157" spans="1:44">
      <c r="A1157" s="343">
        <f>IFERROR(VLOOKUP($G1157,基本資料!$A:$J,3,0),"無")</f>
        <v>12.27</v>
      </c>
      <c r="B1157" s="79">
        <f>IFERROR(VLOOKUP($G1157,基本資料!$A:$J,4,0),"無")</f>
        <v>2</v>
      </c>
      <c r="C1157" s="79">
        <f>IFERROR(VLOOKUP($G1157,基本資料!$A:$J,5,0),"無")</f>
        <v>-8</v>
      </c>
      <c r="D1157" s="79">
        <f>IFERROR(VLOOKUP($G1157,基本資料!$A:$J,6,0),"無")</f>
        <v>-20</v>
      </c>
      <c r="E1157" s="79">
        <f>IFERROR(VLOOKUP($G1157,基本資料!$A:$J,7,0),"無")</f>
        <v>-14</v>
      </c>
      <c r="F1157" s="6">
        <f>IFERROR(VLOOKUP($G1157,基本資料!$A:$J,8,0),"無")</f>
        <v>10.33</v>
      </c>
      <c r="G1157" s="79">
        <v>6126</v>
      </c>
      <c r="H1157" s="8" t="s">
        <v>308</v>
      </c>
      <c r="I1157" s="16" t="s">
        <v>425</v>
      </c>
      <c r="J1157" s="8">
        <f>IFERROR(VLOOKUP($G1157,今日總結!$A:$AN,39,0),"")</f>
        <v>0</v>
      </c>
      <c r="K1157" s="5">
        <f>IFERROR(VLOOKUP($G1157,今日總結!$A:$AN,40,0),"")</f>
        <v>0</v>
      </c>
      <c r="L1157" s="156">
        <f>IFERROR(VLOOKUP($G1157,今日總結!$A:$AN,37,0),"")</f>
        <v>0</v>
      </c>
      <c r="M1157" s="337">
        <f>IFERROR(VLOOKUP($G1157,今日總結!$A:$AN,38,0),"")</f>
        <v>0</v>
      </c>
      <c r="N1157" s="240">
        <f t="shared" si="205"/>
        <v>0</v>
      </c>
      <c r="O1157" s="359">
        <f>IFERROR(VLOOKUP($G1157,融外自投!$A:$J,7,0),"無")</f>
        <v>246</v>
      </c>
      <c r="P1157" s="79">
        <f>IFERROR(VLOOKUP($G1157,融外自投!$A:$J,9,0),"無")</f>
        <v>550</v>
      </c>
      <c r="Q1157" s="342">
        <f>IFERROR(VLOOKUP($G1157,融外自投!$A:$J,8,0),"無")</f>
        <v>1053</v>
      </c>
      <c r="R1157" s="81" t="str">
        <f>IFERROR(VLOOKUP($G1157,融外自投!$A:$J,10,0),"無")</f>
        <v>無</v>
      </c>
      <c r="S1157" s="324">
        <f>IFERROR(VLOOKUP($G1157,'321買'!$A:$E,4,0),"'沒有資料'")</f>
        <v>366</v>
      </c>
      <c r="T1157" s="186">
        <f>IFERROR(VLOOKUP($G1157,基本資料!$A:$J,9,0),"無")</f>
        <v>1.3</v>
      </c>
      <c r="U1157" s="307">
        <f t="shared" si="206"/>
        <v>5.6277056277056273E-2</v>
      </c>
      <c r="V1157" s="94">
        <f>IFERROR(VLOOKUP($G1157,基本資料!$A:$J,10,0),"無")</f>
        <v>1.97</v>
      </c>
      <c r="W1157" s="36">
        <f>RTD("money.excel",,"6126","Price")</f>
        <v>23.1</v>
      </c>
      <c r="X1157" s="66"/>
      <c r="Y1157" s="15">
        <f t="shared" si="202"/>
        <v>23.1</v>
      </c>
      <c r="Z1157" s="3" t="e">
        <f t="shared" si="203"/>
        <v>#DIV/0!</v>
      </c>
      <c r="AA1157" s="340">
        <f>IFERROR(VLOOKUP($G1157,基本資料!$A:$M,11,0),"無")</f>
        <v>-29.14</v>
      </c>
      <c r="AB1157" s="389">
        <f>IFERROR(VLOOKUP($G1157,基本資料!$A:$M,12,0),"無")</f>
        <v>27.1</v>
      </c>
      <c r="AC1157" s="16" t="s">
        <v>425</v>
      </c>
      <c r="AF1157" s="33">
        <f t="shared" si="204"/>
        <v>0</v>
      </c>
      <c r="AG1157" s="43" t="s">
        <v>1902</v>
      </c>
      <c r="AH1157" s="66">
        <f t="shared" si="198"/>
        <v>0.79108814982240883</v>
      </c>
      <c r="AI1157" s="283">
        <f>RTD("money.excel",,$G1157,"PredictVolume")</f>
        <v>245</v>
      </c>
      <c r="AJ1157" s="391">
        <f>IFERROR(VLOOKUP($G1157,基本資料!$A:$M,13,0),"無")</f>
        <v>309.7</v>
      </c>
      <c r="AR1157" s="245" t="str">
        <f>INDEX(基本資料!N:N,MATCH($G1157,基本資料!A:A,0))</f>
        <v>低</v>
      </c>
    </row>
    <row r="1158" spans="1:44">
      <c r="A1158" s="343">
        <f>IFERROR(VLOOKUP($G1158,基本資料!$A:$J,3,0),"無")</f>
        <v>10.8</v>
      </c>
      <c r="B1158" s="79">
        <f>IFERROR(VLOOKUP($G1158,基本資料!$A:$J,4,0),"無")</f>
        <v>149</v>
      </c>
      <c r="C1158" s="79">
        <f>IFERROR(VLOOKUP($G1158,基本資料!$A:$J,5,0),"無")</f>
        <v>253</v>
      </c>
      <c r="D1158" s="79">
        <f>IFERROR(VLOOKUP($G1158,基本資料!$A:$J,6,0),"無")</f>
        <v>-29</v>
      </c>
      <c r="E1158" s="79">
        <f>IFERROR(VLOOKUP($G1158,基本資料!$A:$J,7,0),"無")</f>
        <v>-21</v>
      </c>
      <c r="F1158" s="6">
        <f>IFERROR(VLOOKUP($G1158,基本資料!$A:$J,8,0),"無")</f>
        <v>9.6</v>
      </c>
      <c r="G1158" s="79">
        <v>6127</v>
      </c>
      <c r="H1158" s="8" t="s">
        <v>308</v>
      </c>
      <c r="I1158" s="16" t="s">
        <v>319</v>
      </c>
      <c r="J1158" s="8">
        <f>IFERROR(VLOOKUP($G1158,今日總結!$A:$AN,39,0),"")</f>
        <v>0</v>
      </c>
      <c r="K1158" s="5">
        <f>IFERROR(VLOOKUP($G1158,今日總結!$A:$AN,40,0),"")</f>
        <v>0</v>
      </c>
      <c r="L1158" s="156">
        <f>IFERROR(VLOOKUP($G1158,今日總結!$A:$AN,37,0),"")</f>
        <v>0</v>
      </c>
      <c r="M1158" s="337">
        <f>IFERROR(VLOOKUP($G1158,今日總結!$A:$AN,38,0),"")</f>
        <v>0</v>
      </c>
      <c r="N1158" s="240">
        <f t="shared" si="205"/>
        <v>0</v>
      </c>
      <c r="O1158" s="359">
        <f>IFERROR(VLOOKUP($G1158,融外自投!$A:$J,7,0),"無")</f>
        <v>212</v>
      </c>
      <c r="P1158" s="79">
        <f>IFERROR(VLOOKUP($G1158,融外自投!$A:$J,9,0),"無")</f>
        <v>762</v>
      </c>
      <c r="Q1158" s="342">
        <f>IFERROR(VLOOKUP($G1158,融外自投!$A:$J,8,0),"無")</f>
        <v>1138</v>
      </c>
      <c r="R1158" s="81" t="str">
        <f>IFERROR(VLOOKUP($G1158,融外自投!$A:$J,10,0),"無")</f>
        <v>無</v>
      </c>
      <c r="S1158" s="324">
        <f>IFERROR(VLOOKUP($G1158,'321買'!$A:$E,4,0),"'沒有資料'")</f>
        <v>465</v>
      </c>
      <c r="T1158" s="186">
        <f>IFERROR(VLOOKUP($G1158,基本資料!$A:$J,9,0),"無")</f>
        <v>0</v>
      </c>
      <c r="U1158" s="307">
        <f t="shared" si="206"/>
        <v>0</v>
      </c>
      <c r="V1158" s="94">
        <f>IFERROR(VLOOKUP($G1158,基本資料!$A:$J,10,0),"無")</f>
        <v>0.47</v>
      </c>
      <c r="W1158" s="36">
        <f>RTD("money.excel",,"6127","Price")</f>
        <v>21.15</v>
      </c>
      <c r="X1158" s="66"/>
      <c r="Y1158" s="15">
        <f t="shared" si="202"/>
        <v>21.15</v>
      </c>
      <c r="Z1158" s="3" t="e">
        <f t="shared" si="203"/>
        <v>#DIV/0!</v>
      </c>
      <c r="AA1158" s="340">
        <f>IFERROR(VLOOKUP($G1158,基本資料!$A:$M,11,0),"無")</f>
        <v>-41.49</v>
      </c>
      <c r="AB1158" s="389">
        <f>IFERROR(VLOOKUP($G1158,基本資料!$A:$M,12,0),"無")</f>
        <v>17.68</v>
      </c>
      <c r="AC1158" s="16" t="s">
        <v>319</v>
      </c>
      <c r="AF1158" s="33">
        <f t="shared" si="204"/>
        <v>0</v>
      </c>
      <c r="AG1158" s="43" t="s">
        <v>2306</v>
      </c>
      <c r="AH1158" s="66">
        <f t="shared" ref="AH1158:AH1221" si="207">AI1158/AJ1158</f>
        <v>0.50428643469490675</v>
      </c>
      <c r="AI1158" s="283">
        <f>RTD("money.excel",,$G1158,"PredictVolume")</f>
        <v>150</v>
      </c>
      <c r="AJ1158" s="391">
        <f>IFERROR(VLOOKUP($G1158,基本資料!$A:$M,13,0),"無")</f>
        <v>297.45</v>
      </c>
      <c r="AR1158" s="245" t="str">
        <f>INDEX(基本資料!N:N,MATCH($G1158,基本資料!A:A,0))</f>
        <v>低</v>
      </c>
    </row>
    <row r="1159" spans="1:44">
      <c r="A1159" s="343">
        <f>IFERROR(VLOOKUP($G1159,基本資料!$A:$J,3,0),"無")</f>
        <v>11.7</v>
      </c>
      <c r="B1159" s="79">
        <f>IFERROR(VLOOKUP($G1159,基本資料!$A:$J,4,0),"無")</f>
        <v>-3026</v>
      </c>
      <c r="C1159" s="79">
        <f>IFERROR(VLOOKUP($G1159,基本資料!$A:$J,5,0),"無")</f>
        <v>-27</v>
      </c>
      <c r="D1159" s="79">
        <f>IFERROR(VLOOKUP($G1159,基本資料!$A:$J,6,0),"無")</f>
        <v>-1</v>
      </c>
      <c r="E1159" s="79">
        <f>IFERROR(VLOOKUP($G1159,基本資料!$A:$J,7,0),"無")</f>
        <v>38</v>
      </c>
      <c r="F1159" s="6">
        <f>IFERROR(VLOOKUP($G1159,基本資料!$A:$J,8,0),"無")</f>
        <v>-5.98</v>
      </c>
      <c r="G1159" s="79">
        <v>6133</v>
      </c>
      <c r="H1159" s="8" t="s">
        <v>308</v>
      </c>
      <c r="I1159" s="22" t="s">
        <v>4589</v>
      </c>
      <c r="J1159" s="8" t="str">
        <f>IFERROR(VLOOKUP($G1159,今日總結!$A:$AN,39,0),"")</f>
        <v>融</v>
      </c>
      <c r="K1159" s="5" t="str">
        <f>IFERROR(VLOOKUP($G1159,今日總結!$A:$AN,40,0),"")</f>
        <v>主</v>
      </c>
      <c r="L1159" s="156">
        <f>IFERROR(VLOOKUP($G1159,今日總結!$A:$AN,37,0),"")</f>
        <v>4</v>
      </c>
      <c r="M1159" s="337">
        <f>IFERROR(VLOOKUP($G1159,今日總結!$A:$AN,38,0),"")</f>
        <v>1</v>
      </c>
      <c r="N1159" s="240">
        <f t="shared" si="205"/>
        <v>3</v>
      </c>
      <c r="O1159" s="359">
        <f>IFERROR(VLOOKUP($G1159,融外自投!$A:$J,7,0),"無")</f>
        <v>736</v>
      </c>
      <c r="P1159" s="79">
        <f>IFERROR(VLOOKUP($G1159,融外自投!$A:$J,9,0),"無")</f>
        <v>717</v>
      </c>
      <c r="Q1159" s="342">
        <f>IFERROR(VLOOKUP($G1159,融外自投!$A:$J,8,0),"無")</f>
        <v>1075</v>
      </c>
      <c r="R1159" s="81" t="str">
        <f>IFERROR(VLOOKUP($G1159,融外自投!$A:$J,10,0),"無")</f>
        <v>無</v>
      </c>
      <c r="S1159" s="324">
        <f>IFERROR(VLOOKUP($G1159,'321買'!$A:$E,4,0),"'沒有資料'")</f>
        <v>1002</v>
      </c>
      <c r="T1159" s="186">
        <f>IFERROR(VLOOKUP($G1159,基本資料!$A:$J,9,0),"無")</f>
        <v>0</v>
      </c>
      <c r="U1159" s="307">
        <f t="shared" si="206"/>
        <v>0</v>
      </c>
      <c r="V1159" s="94">
        <f>IFERROR(VLOOKUP($G1159,基本資料!$A:$J,10,0),"無")</f>
        <v>-0.48</v>
      </c>
      <c r="W1159" s="36">
        <f>RTD("money.excel",,"6133","Price")</f>
        <v>8.2899999999999991</v>
      </c>
      <c r="X1159" s="66"/>
      <c r="Y1159" s="15">
        <f t="shared" si="202"/>
        <v>8.2899999999999991</v>
      </c>
      <c r="Z1159" s="35" t="e">
        <f t="shared" si="203"/>
        <v>#DIV/0!</v>
      </c>
      <c r="AA1159" s="340">
        <f>IFERROR(VLOOKUP($G1159,基本資料!$A:$M,11,0),"無")</f>
        <v>-30.34</v>
      </c>
      <c r="AB1159" s="389">
        <f>IFERROR(VLOOKUP($G1159,基本資料!$A:$M,12,0),"無")</f>
        <v>11.06</v>
      </c>
      <c r="AC1159" s="22" t="s">
        <v>4589</v>
      </c>
      <c r="AF1159" s="33">
        <f t="shared" si="204"/>
        <v>0</v>
      </c>
      <c r="AG1159" s="43" t="s">
        <v>2402</v>
      </c>
      <c r="AH1159" s="66">
        <f t="shared" si="207"/>
        <v>2.1178582111875559</v>
      </c>
      <c r="AI1159" s="283">
        <f>RTD("money.excel",,$G1159,"PredictVolume")</f>
        <v>354</v>
      </c>
      <c r="AJ1159" s="391">
        <f>IFERROR(VLOOKUP($G1159,基本資料!$A:$M,13,0),"無")</f>
        <v>167.15</v>
      </c>
      <c r="AR1159" s="245" t="str">
        <f>INDEX(基本資料!N:N,MATCH($G1159,基本資料!A:A,0))</f>
        <v>低</v>
      </c>
    </row>
    <row r="1160" spans="1:44">
      <c r="A1160" s="343">
        <f>IFERROR(VLOOKUP($G1160,基本資料!$A:$J,3,0),"無")</f>
        <v>7.25</v>
      </c>
      <c r="B1160" s="79">
        <f>IFERROR(VLOOKUP($G1160,基本資料!$A:$J,4,0),"無")</f>
        <v>-294</v>
      </c>
      <c r="C1160" s="79">
        <f>IFERROR(VLOOKUP($G1160,基本資料!$A:$J,5,0),"無")</f>
        <v>-189</v>
      </c>
      <c r="D1160" s="79">
        <f>IFERROR(VLOOKUP($G1160,基本資料!$A:$J,6,0),"無")</f>
        <v>-36</v>
      </c>
      <c r="E1160" s="79">
        <f>IFERROR(VLOOKUP($G1160,基本資料!$A:$J,7,0),"無")</f>
        <v>-45</v>
      </c>
      <c r="F1160" s="6">
        <f>IFERROR(VLOOKUP($G1160,基本資料!$A:$J,8,0),"無")</f>
        <v>-4.1399999999999997</v>
      </c>
      <c r="G1160" s="79">
        <v>6134</v>
      </c>
      <c r="H1160" s="8" t="s">
        <v>308</v>
      </c>
      <c r="I1160" s="16" t="s">
        <v>4590</v>
      </c>
      <c r="J1160" s="8">
        <f>IFERROR(VLOOKUP($G1160,今日總結!$A:$AN,39,0),"")</f>
        <v>0</v>
      </c>
      <c r="K1160" s="5">
        <f>IFERROR(VLOOKUP($G1160,今日總結!$A:$AN,40,0),"")</f>
        <v>0</v>
      </c>
      <c r="L1160" s="156">
        <f>IFERROR(VLOOKUP($G1160,今日總結!$A:$AN,37,0),"")</f>
        <v>0</v>
      </c>
      <c r="M1160" s="337">
        <f>IFERROR(VLOOKUP($G1160,今日總結!$A:$AN,38,0),"")</f>
        <v>0</v>
      </c>
      <c r="N1160" s="240">
        <f t="shared" si="205"/>
        <v>0</v>
      </c>
      <c r="O1160" s="359">
        <f>IFERROR(VLOOKUP($G1160,融外自投!$A:$J,7,0),"無")</f>
        <v>522</v>
      </c>
      <c r="P1160" s="79">
        <f>IFERROR(VLOOKUP($G1160,融外自投!$A:$J,9,0),"無")</f>
        <v>340</v>
      </c>
      <c r="Q1160" s="342">
        <f>IFERROR(VLOOKUP($G1160,融外自投!$A:$J,8,0),"無")</f>
        <v>247</v>
      </c>
      <c r="R1160" s="81" t="str">
        <f>IFERROR(VLOOKUP($G1160,融外自投!$A:$J,10,0),"無")</f>
        <v>無</v>
      </c>
      <c r="S1160" s="324">
        <f>IFERROR(VLOOKUP($G1160,'321買'!$A:$E,4,0),"'沒有資料'")</f>
        <v>272</v>
      </c>
      <c r="T1160" s="186">
        <f>IFERROR(VLOOKUP($G1160,基本資料!$A:$J,9,0),"無")</f>
        <v>0.1</v>
      </c>
      <c r="U1160" s="307">
        <f t="shared" si="206"/>
        <v>4.9875311720698253E-3</v>
      </c>
      <c r="V1160" s="94">
        <f>IFERROR(VLOOKUP($G1160,基本資料!$A:$J,10,0),"無")</f>
        <v>-0.54</v>
      </c>
      <c r="W1160" s="36">
        <f>RTD("money.excel",,"6134","Price")</f>
        <v>20.05</v>
      </c>
      <c r="X1160" s="66"/>
      <c r="Y1160" s="15">
        <f t="shared" si="202"/>
        <v>20.05</v>
      </c>
      <c r="Z1160" s="3" t="e">
        <f t="shared" si="203"/>
        <v>#DIV/0!</v>
      </c>
      <c r="AA1160" s="340">
        <f>IFERROR(VLOOKUP($G1160,基本資料!$A:$M,11,0),"無")</f>
        <v>-45.07</v>
      </c>
      <c r="AB1160" s="389">
        <f>IFERROR(VLOOKUP($G1160,基本資料!$A:$M,12,0),"無")</f>
        <v>15.86</v>
      </c>
      <c r="AC1160" s="16" t="s">
        <v>4590</v>
      </c>
      <c r="AF1160" s="33">
        <f t="shared" si="204"/>
        <v>0</v>
      </c>
      <c r="AG1160" s="43" t="s">
        <v>2373</v>
      </c>
      <c r="AH1160" s="66">
        <f t="shared" si="207"/>
        <v>0.49534674271990392</v>
      </c>
      <c r="AI1160" s="283">
        <f>RTD("money.excel",,$G1160,"PredictVolume")</f>
        <v>165</v>
      </c>
      <c r="AJ1160" s="391">
        <f>IFERROR(VLOOKUP($G1160,基本資料!$A:$M,13,0),"無")</f>
        <v>333.1</v>
      </c>
      <c r="AR1160" s="245" t="str">
        <f>INDEX(基本資料!N:N,MATCH($G1160,基本資料!A:A,0))</f>
        <v>低</v>
      </c>
    </row>
    <row r="1161" spans="1:44">
      <c r="A1161" s="343">
        <f>IFERROR(VLOOKUP($G1161,基本資料!$A:$J,3,0),"無")</f>
        <v>11.6</v>
      </c>
      <c r="B1161" s="79">
        <f>IFERROR(VLOOKUP($G1161,基本資料!$A:$J,4,0),"無")</f>
        <v>11</v>
      </c>
      <c r="C1161" s="79">
        <f>IFERROR(VLOOKUP($G1161,基本資料!$A:$J,5,0),"無")</f>
        <v>26</v>
      </c>
      <c r="D1161" s="79">
        <f>IFERROR(VLOOKUP($G1161,基本資料!$A:$J,6,0),"無")</f>
        <v>-20</v>
      </c>
      <c r="E1161" s="79">
        <f>IFERROR(VLOOKUP($G1161,基本資料!$A:$J,7,0),"無")</f>
        <v>-18</v>
      </c>
      <c r="F1161" s="6">
        <f>IFERROR(VLOOKUP($G1161,基本資料!$A:$J,8,0),"無")</f>
        <v>10.83</v>
      </c>
      <c r="G1161" s="79">
        <v>6141</v>
      </c>
      <c r="H1161" s="8" t="s">
        <v>308</v>
      </c>
      <c r="I1161" s="22" t="s">
        <v>396</v>
      </c>
      <c r="J1161" s="8">
        <f>IFERROR(VLOOKUP($G1161,今日總結!$A:$AN,39,0),"")</f>
        <v>0</v>
      </c>
      <c r="K1161" s="5">
        <f>IFERROR(VLOOKUP($G1161,今日總結!$A:$AN,40,0),"")</f>
        <v>0</v>
      </c>
      <c r="L1161" s="156">
        <f>IFERROR(VLOOKUP($G1161,今日總結!$A:$AN,37,0),"")</f>
        <v>0</v>
      </c>
      <c r="M1161" s="337">
        <f>IFERROR(VLOOKUP($G1161,今日總結!$A:$AN,38,0),"")</f>
        <v>0</v>
      </c>
      <c r="N1161" s="240">
        <f t="shared" si="205"/>
        <v>0</v>
      </c>
      <c r="O1161" s="359">
        <f>IFERROR(VLOOKUP($G1161,融外自投!$A:$J,7,0),"無")</f>
        <v>663</v>
      </c>
      <c r="P1161" s="79">
        <f>IFERROR(VLOOKUP($G1161,融外自投!$A:$J,9,0),"無")</f>
        <v>565</v>
      </c>
      <c r="Q1161" s="342">
        <f>IFERROR(VLOOKUP($G1161,融外自投!$A:$J,8,0),"無")</f>
        <v>878</v>
      </c>
      <c r="R1161" s="81" t="str">
        <f>IFERROR(VLOOKUP($G1161,融外自投!$A:$J,10,0),"無")</f>
        <v>無</v>
      </c>
      <c r="S1161" s="324">
        <f>IFERROR(VLOOKUP($G1161,'321買'!$A:$E,4,0),"'沒有資料'")</f>
        <v>1002</v>
      </c>
      <c r="T1161" s="186">
        <f>IFERROR(VLOOKUP($G1161,基本資料!$A:$J,9,0),"無")</f>
        <v>1</v>
      </c>
      <c r="U1161" s="307">
        <f t="shared" si="206"/>
        <v>4.3010752688172046E-2</v>
      </c>
      <c r="V1161" s="94">
        <f>IFERROR(VLOOKUP($G1161,基本資料!$A:$J,10,0),"無")</f>
        <v>2.88</v>
      </c>
      <c r="W1161" s="36">
        <f>RTD("money.excel",,"6141","Price")</f>
        <v>23.25</v>
      </c>
      <c r="X1161" s="66"/>
      <c r="Y1161" s="15">
        <f t="shared" si="202"/>
        <v>23.25</v>
      </c>
      <c r="Z1161" s="3" t="e">
        <f t="shared" si="203"/>
        <v>#DIV/0!</v>
      </c>
      <c r="AA1161" s="340">
        <f>IFERROR(VLOOKUP($G1161,基本資料!$A:$M,11,0),"無")</f>
        <v>-29.55</v>
      </c>
      <c r="AB1161" s="389">
        <f>IFERROR(VLOOKUP($G1161,基本資料!$A:$M,12,0),"無")</f>
        <v>18.55</v>
      </c>
      <c r="AC1161" s="22" t="s">
        <v>396</v>
      </c>
      <c r="AF1161" s="33">
        <f t="shared" si="204"/>
        <v>0</v>
      </c>
      <c r="AG1161" s="43" t="s">
        <v>1043</v>
      </c>
      <c r="AH1161" s="66">
        <f t="shared" si="207"/>
        <v>1.4414414414414414</v>
      </c>
      <c r="AI1161" s="283">
        <f>RTD("money.excel",,$G1161,"PredictVolume")</f>
        <v>152</v>
      </c>
      <c r="AJ1161" s="391">
        <f>IFERROR(VLOOKUP($G1161,基本資料!$A:$M,13,0),"無")</f>
        <v>105.45</v>
      </c>
      <c r="AR1161" s="245" t="str">
        <f>INDEX(基本資料!N:N,MATCH($G1161,基本資料!A:A,0))</f>
        <v>低</v>
      </c>
    </row>
    <row r="1162" spans="1:44">
      <c r="A1162" s="343">
        <f>IFERROR(VLOOKUP($G1162,基本資料!$A:$J,3,0),"無")</f>
        <v>55.61</v>
      </c>
      <c r="B1162" s="79">
        <f>IFERROR(VLOOKUP($G1162,基本資料!$A:$J,4,0),"無")</f>
        <v>-174</v>
      </c>
      <c r="C1162" s="79">
        <f>IFERROR(VLOOKUP($G1162,基本資料!$A:$J,5,0),"無")</f>
        <v>-197</v>
      </c>
      <c r="D1162" s="79">
        <f>IFERROR(VLOOKUP($G1162,基本資料!$A:$J,6,0),"無")</f>
        <v>-42</v>
      </c>
      <c r="E1162" s="79">
        <f>IFERROR(VLOOKUP($G1162,基本資料!$A:$J,7,0),"無")</f>
        <v>-38</v>
      </c>
      <c r="F1162" s="6">
        <f>IFERROR(VLOOKUP($G1162,基本資料!$A:$J,8,0),"無")</f>
        <v>-2.73</v>
      </c>
      <c r="G1162" s="79">
        <v>6153</v>
      </c>
      <c r="H1162" s="195" t="s">
        <v>308</v>
      </c>
      <c r="I1162" s="22" t="s">
        <v>4591</v>
      </c>
      <c r="J1162" s="8">
        <f>IFERROR(VLOOKUP($G1162,今日總結!$A:$AN,39,0),"")</f>
        <v>0</v>
      </c>
      <c r="K1162" s="5">
        <f>IFERROR(VLOOKUP($G1162,今日總結!$A:$AN,40,0),"")</f>
        <v>0</v>
      </c>
      <c r="L1162" s="156">
        <f>IFERROR(VLOOKUP($G1162,今日總結!$A:$AN,37,0),"")</f>
        <v>0</v>
      </c>
      <c r="M1162" s="337">
        <f>IFERROR(VLOOKUP($G1162,今日總結!$A:$AN,38,0),"")</f>
        <v>0</v>
      </c>
      <c r="N1162" s="240">
        <f t="shared" si="205"/>
        <v>0</v>
      </c>
      <c r="O1162" s="359">
        <f>IFERROR(VLOOKUP($G1162,融外自投!$A:$J,7,0),"無")</f>
        <v>467</v>
      </c>
      <c r="P1162" s="79">
        <f>IFERROR(VLOOKUP($G1162,融外自投!$A:$J,9,0),"無")</f>
        <v>397</v>
      </c>
      <c r="Q1162" s="342">
        <f>IFERROR(VLOOKUP($G1162,融外自投!$A:$J,8,0),"無")</f>
        <v>564</v>
      </c>
      <c r="R1162" s="81" t="str">
        <f>IFERROR(VLOOKUP($G1162,融外自投!$A:$J,10,0),"無")</f>
        <v>無</v>
      </c>
      <c r="S1162" s="324">
        <f>IFERROR(VLOOKUP($G1162,'321買'!$A:$E,4,0),"'沒有資料'")</f>
        <v>1002</v>
      </c>
      <c r="T1162" s="186">
        <f>IFERROR(VLOOKUP($G1162,基本資料!$A:$J,9,0),"無")</f>
        <v>0</v>
      </c>
      <c r="U1162" s="307">
        <f t="shared" si="206"/>
        <v>0</v>
      </c>
      <c r="V1162" s="94">
        <f>IFERROR(VLOOKUP($G1162,基本資料!$A:$J,10,0),"無")</f>
        <v>-0.88</v>
      </c>
      <c r="W1162" s="36">
        <f>RTD("money.excel",,"6153","Price")</f>
        <v>20.149999999999999</v>
      </c>
      <c r="X1162" s="66"/>
      <c r="Y1162" s="15">
        <f t="shared" si="202"/>
        <v>20.149999999999999</v>
      </c>
      <c r="Z1162" s="3" t="e">
        <f t="shared" si="203"/>
        <v>#DIV/0!</v>
      </c>
      <c r="AA1162" s="340">
        <f>IFERROR(VLOOKUP($G1162,基本資料!$A:$M,11,0),"無")</f>
        <v>-38.94</v>
      </c>
      <c r="AB1162" s="389">
        <f>IFERROR(VLOOKUP($G1162,基本資料!$A:$M,12,0),"無")</f>
        <v>22.08</v>
      </c>
      <c r="AC1162" s="22" t="s">
        <v>4591</v>
      </c>
      <c r="AF1162" s="33">
        <f t="shared" si="204"/>
        <v>0</v>
      </c>
      <c r="AG1162" s="117" t="s">
        <v>2399</v>
      </c>
      <c r="AH1162" s="66">
        <f t="shared" si="207"/>
        <v>0.87228750321639925</v>
      </c>
      <c r="AI1162" s="283">
        <f>RTD("money.excel",,$G1162,"PredictVolume")</f>
        <v>1017</v>
      </c>
      <c r="AJ1162" s="391">
        <f>IFERROR(VLOOKUP($G1162,基本資料!$A:$M,13,0),"無")</f>
        <v>1165.9000000000001</v>
      </c>
      <c r="AR1162" s="245" t="str">
        <f>INDEX(基本資料!N:N,MATCH($G1162,基本資料!A:A,0))</f>
        <v>低</v>
      </c>
    </row>
    <row r="1163" spans="1:44">
      <c r="A1163" s="343">
        <f>IFERROR(VLOOKUP($G1163,基本資料!$A:$J,3,0),"無")</f>
        <v>8.69</v>
      </c>
      <c r="B1163" s="79">
        <f>IFERROR(VLOOKUP($G1163,基本資料!$A:$J,4,0),"無")</f>
        <v>137</v>
      </c>
      <c r="C1163" s="79">
        <f>IFERROR(VLOOKUP($G1163,基本資料!$A:$J,5,0),"無")</f>
        <v>200</v>
      </c>
      <c r="D1163" s="79">
        <f>IFERROR(VLOOKUP($G1163,基本資料!$A:$J,6,0),"無")</f>
        <v>-18</v>
      </c>
      <c r="E1163" s="79">
        <f>IFERROR(VLOOKUP($G1163,基本資料!$A:$J,7,0),"無")</f>
        <v>-2</v>
      </c>
      <c r="F1163" s="6">
        <f>IFERROR(VLOOKUP($G1163,基本資料!$A:$J,8,0),"無")</f>
        <v>15.96</v>
      </c>
      <c r="G1163" s="79">
        <v>6155</v>
      </c>
      <c r="H1163" s="8" t="s">
        <v>308</v>
      </c>
      <c r="I1163" s="22" t="s">
        <v>327</v>
      </c>
      <c r="J1163" s="8">
        <f>IFERROR(VLOOKUP($G1163,今日總結!$A:$AN,39,0),"")</f>
        <v>0</v>
      </c>
      <c r="K1163" s="5">
        <f>IFERROR(VLOOKUP($G1163,今日總結!$A:$AN,40,0),"")</f>
        <v>0</v>
      </c>
      <c r="L1163" s="156">
        <f>IFERROR(VLOOKUP($G1163,今日總結!$A:$AN,37,0),"")</f>
        <v>0</v>
      </c>
      <c r="M1163" s="337">
        <f>IFERROR(VLOOKUP($G1163,今日總結!$A:$AN,38,0),"")</f>
        <v>0</v>
      </c>
      <c r="N1163" s="240">
        <f t="shared" si="205"/>
        <v>0</v>
      </c>
      <c r="O1163" s="359">
        <f>IFERROR(VLOOKUP($G1163,融外自投!$A:$J,7,0),"無")</f>
        <v>620</v>
      </c>
      <c r="P1163" s="79">
        <f>IFERROR(VLOOKUP($G1163,融外自投!$A:$J,9,0),"無")</f>
        <v>990</v>
      </c>
      <c r="Q1163" s="342">
        <f>IFERROR(VLOOKUP($G1163,融外自投!$A:$J,8,0),"無")</f>
        <v>1030</v>
      </c>
      <c r="R1163" s="81" t="str">
        <f>IFERROR(VLOOKUP($G1163,融外自投!$A:$J,10,0),"無")</f>
        <v>無</v>
      </c>
      <c r="S1163" s="324">
        <f>IFERROR(VLOOKUP($G1163,'321買'!$A:$E,4,0),"'沒有資料'")</f>
        <v>891</v>
      </c>
      <c r="T1163" s="186">
        <f>IFERROR(VLOOKUP($G1163,基本資料!$A:$J,9,0),"無")</f>
        <v>0.85</v>
      </c>
      <c r="U1163" s="307">
        <f t="shared" si="206"/>
        <v>3.5490605427974949E-2</v>
      </c>
      <c r="V1163" s="94">
        <f>IFERROR(VLOOKUP($G1163,基本資料!$A:$J,10,0),"無")</f>
        <v>0.93</v>
      </c>
      <c r="W1163" s="36">
        <f>RTD("money.excel",,"6155","Price")</f>
        <v>23.95</v>
      </c>
      <c r="X1163" s="66"/>
      <c r="Y1163" s="15">
        <f t="shared" si="202"/>
        <v>23.95</v>
      </c>
      <c r="Z1163" s="3" t="e">
        <f t="shared" si="203"/>
        <v>#DIV/0!</v>
      </c>
      <c r="AA1163" s="340">
        <f>IFERROR(VLOOKUP($G1163,基本資料!$A:$M,11,0),"無")</f>
        <v>-28.4</v>
      </c>
      <c r="AB1163" s="389">
        <f>IFERROR(VLOOKUP($G1163,基本資料!$A:$M,12,0),"無")</f>
        <v>51.68</v>
      </c>
      <c r="AC1163" s="22" t="s">
        <v>327</v>
      </c>
      <c r="AF1163" s="33">
        <f t="shared" si="204"/>
        <v>0</v>
      </c>
      <c r="AG1163" s="43" t="s">
        <v>2375</v>
      </c>
      <c r="AH1163" s="66">
        <f t="shared" si="207"/>
        <v>1.4838709677419355</v>
      </c>
      <c r="AI1163" s="283">
        <f>RTD("money.excel",,$G1163,"PredictVolume")</f>
        <v>138</v>
      </c>
      <c r="AJ1163" s="391">
        <f>IFERROR(VLOOKUP($G1163,基本資料!$A:$M,13,0),"無")</f>
        <v>93</v>
      </c>
      <c r="AR1163" s="245" t="str">
        <f>INDEX(基本資料!N:N,MATCH($G1163,基本資料!A:A,0))</f>
        <v>低</v>
      </c>
    </row>
    <row r="1164" spans="1:44">
      <c r="A1164" s="343">
        <f>IFERROR(VLOOKUP($G1164,基本資料!$A:$J,3,0),"無")</f>
        <v>8.0500000000000007</v>
      </c>
      <c r="B1164" s="79">
        <f>IFERROR(VLOOKUP($G1164,基本資料!$A:$J,4,0),"無")</f>
        <v>-20</v>
      </c>
      <c r="C1164" s="79">
        <f>IFERROR(VLOOKUP($G1164,基本資料!$A:$J,5,0),"無")</f>
        <v>-43</v>
      </c>
      <c r="D1164" s="79">
        <f>IFERROR(VLOOKUP($G1164,基本資料!$A:$J,6,0),"無")</f>
        <v>18</v>
      </c>
      <c r="E1164" s="79">
        <f>IFERROR(VLOOKUP($G1164,基本資料!$A:$J,7,0),"無")</f>
        <v>-2</v>
      </c>
      <c r="F1164" s="6">
        <f>IFERROR(VLOOKUP($G1164,基本資料!$A:$J,8,0),"無")</f>
        <v>2.27</v>
      </c>
      <c r="G1164" s="79">
        <v>6156</v>
      </c>
      <c r="H1164" s="8" t="s">
        <v>308</v>
      </c>
      <c r="I1164" s="16" t="s">
        <v>429</v>
      </c>
      <c r="J1164" s="8">
        <f>IFERROR(VLOOKUP($G1164,今日總結!$A:$AN,39,0),"")</f>
        <v>0</v>
      </c>
      <c r="K1164" s="5">
        <f>IFERROR(VLOOKUP($G1164,今日總結!$A:$AN,40,0),"")</f>
        <v>0</v>
      </c>
      <c r="L1164" s="156">
        <f>IFERROR(VLOOKUP($G1164,今日總結!$A:$AN,37,0),"")</f>
        <v>0</v>
      </c>
      <c r="M1164" s="337">
        <f>IFERROR(VLOOKUP($G1164,今日總結!$A:$AN,38,0),"")</f>
        <v>0</v>
      </c>
      <c r="N1164" s="240">
        <f t="shared" si="205"/>
        <v>0</v>
      </c>
      <c r="O1164" s="359">
        <f>IFERROR(VLOOKUP($G1164,融外自投!$A:$J,7,0),"無")</f>
        <v>311</v>
      </c>
      <c r="P1164" s="79">
        <f>IFERROR(VLOOKUP($G1164,融外自投!$A:$J,9,0),"無")</f>
        <v>1051</v>
      </c>
      <c r="Q1164" s="342">
        <f>IFERROR(VLOOKUP($G1164,融外自投!$A:$J,8,0),"無")</f>
        <v>829</v>
      </c>
      <c r="R1164" s="81" t="str">
        <f>IFERROR(VLOOKUP($G1164,融外自投!$A:$J,10,0),"無")</f>
        <v>無</v>
      </c>
      <c r="S1164" s="324">
        <f>IFERROR(VLOOKUP($G1164,'321買'!$A:$E,4,0),"'沒有資料'")</f>
        <v>497</v>
      </c>
      <c r="T1164" s="186">
        <f>IFERROR(VLOOKUP($G1164,基本資料!$A:$J,9,0),"無")</f>
        <v>0.5</v>
      </c>
      <c r="U1164" s="307">
        <f t="shared" si="206"/>
        <v>2.8901734104046242E-2</v>
      </c>
      <c r="V1164" s="94">
        <f>IFERROR(VLOOKUP($G1164,基本資料!$A:$J,10,0),"無")</f>
        <v>1.29</v>
      </c>
      <c r="W1164" s="36">
        <f>RTD("money.excel",,"6156","Price")</f>
        <v>17.3</v>
      </c>
      <c r="X1164" s="66"/>
      <c r="Y1164" s="15">
        <f t="shared" si="202"/>
        <v>17.3</v>
      </c>
      <c r="Z1164" s="3" t="e">
        <f t="shared" si="203"/>
        <v>#DIV/0!</v>
      </c>
      <c r="AA1164" s="340">
        <f>IFERROR(VLOOKUP($G1164,基本資料!$A:$M,11,0),"無")</f>
        <v>-35.21</v>
      </c>
      <c r="AB1164" s="389">
        <f>IFERROR(VLOOKUP($G1164,基本資料!$A:$M,12,0),"無")</f>
        <v>10.59</v>
      </c>
      <c r="AC1164" s="16" t="s">
        <v>429</v>
      </c>
      <c r="AF1164" s="33">
        <f t="shared" si="204"/>
        <v>0</v>
      </c>
      <c r="AG1164" s="43" t="s">
        <v>2418</v>
      </c>
      <c r="AH1164" s="66">
        <f t="shared" si="207"/>
        <v>0.58511326860841428</v>
      </c>
      <c r="AI1164" s="283">
        <f>RTD("money.excel",,$G1164,"PredictVolume")</f>
        <v>226</v>
      </c>
      <c r="AJ1164" s="391">
        <f>IFERROR(VLOOKUP($G1164,基本資料!$A:$M,13,0),"無")</f>
        <v>386.25</v>
      </c>
      <c r="AR1164" s="245" t="str">
        <f>INDEX(基本資料!N:N,MATCH($G1164,基本資料!A:A,0))</f>
        <v>低</v>
      </c>
    </row>
    <row r="1165" spans="1:44">
      <c r="A1165" s="343">
        <f>IFERROR(VLOOKUP($G1165,基本資料!$A:$J,3,0),"無")</f>
        <v>5.5</v>
      </c>
      <c r="B1165" s="79">
        <f>IFERROR(VLOOKUP($G1165,基本資料!$A:$J,4,0),"無")</f>
        <v>19</v>
      </c>
      <c r="C1165" s="79">
        <f>IFERROR(VLOOKUP($G1165,基本資料!$A:$J,5,0),"無")</f>
        <v>6</v>
      </c>
      <c r="D1165" s="79">
        <f>IFERROR(VLOOKUP($G1165,基本資料!$A:$J,6,0),"無")</f>
        <v>-7</v>
      </c>
      <c r="E1165" s="79">
        <f>IFERROR(VLOOKUP($G1165,基本資料!$A:$J,7,0),"無")</f>
        <v>-3</v>
      </c>
      <c r="F1165" s="6">
        <f>IFERROR(VLOOKUP($G1165,基本資料!$A:$J,8,0),"無")</f>
        <v>7.71</v>
      </c>
      <c r="G1165" s="79">
        <v>6158</v>
      </c>
      <c r="H1165" s="8" t="s">
        <v>308</v>
      </c>
      <c r="I1165" s="16" t="s">
        <v>4592</v>
      </c>
      <c r="J1165" s="8">
        <f>IFERROR(VLOOKUP($G1165,今日總結!$A:$AN,39,0),"")</f>
        <v>0</v>
      </c>
      <c r="K1165" s="5">
        <f>IFERROR(VLOOKUP($G1165,今日總結!$A:$AN,40,0),"")</f>
        <v>0</v>
      </c>
      <c r="L1165" s="156">
        <f>IFERROR(VLOOKUP($G1165,今日總結!$A:$AN,37,0),"")</f>
        <v>0</v>
      </c>
      <c r="M1165" s="337">
        <f>IFERROR(VLOOKUP($G1165,今日總結!$A:$AN,38,0),"")</f>
        <v>0</v>
      </c>
      <c r="N1165" s="240">
        <f t="shared" si="205"/>
        <v>0</v>
      </c>
      <c r="O1165" s="359">
        <f>IFERROR(VLOOKUP($G1165,融外自投!$A:$J,7,0),"無")</f>
        <v>216</v>
      </c>
      <c r="P1165" s="79">
        <f>IFERROR(VLOOKUP($G1165,融外自投!$A:$J,9,0),"無")</f>
        <v>302</v>
      </c>
      <c r="Q1165" s="342">
        <f>IFERROR(VLOOKUP($G1165,融外自投!$A:$J,8,0),"無")</f>
        <v>844</v>
      </c>
      <c r="R1165" s="81" t="str">
        <f>IFERROR(VLOOKUP($G1165,融外自投!$A:$J,10,0),"無")</f>
        <v>無</v>
      </c>
      <c r="S1165" s="324">
        <f>IFERROR(VLOOKUP($G1165,'321買'!$A:$E,4,0),"'沒有資料'")</f>
        <v>286</v>
      </c>
      <c r="T1165" s="186">
        <f>IFERROR(VLOOKUP($G1165,基本資料!$A:$J,9,0),"無")</f>
        <v>1</v>
      </c>
      <c r="U1165" s="307">
        <f t="shared" si="206"/>
        <v>3.0165912518853696E-2</v>
      </c>
      <c r="V1165" s="94">
        <f>IFERROR(VLOOKUP($G1165,基本資料!$A:$J,10,0),"無")</f>
        <v>3.09</v>
      </c>
      <c r="W1165" s="36">
        <f>RTD("money.excel",,"6158","Price")</f>
        <v>33.15</v>
      </c>
      <c r="X1165" s="66"/>
      <c r="Y1165" s="15">
        <f t="shared" si="202"/>
        <v>33.15</v>
      </c>
      <c r="Z1165" s="3" t="e">
        <f t="shared" si="203"/>
        <v>#DIV/0!</v>
      </c>
      <c r="AA1165" s="340">
        <f>IFERROR(VLOOKUP($G1165,基本資料!$A:$M,11,0),"無")</f>
        <v>-43.04</v>
      </c>
      <c r="AB1165" s="389">
        <f>IFERROR(VLOOKUP($G1165,基本資料!$A:$M,12,0),"無")</f>
        <v>23.59</v>
      </c>
      <c r="AC1165" s="16" t="s">
        <v>4592</v>
      </c>
      <c r="AF1165" s="33">
        <f t="shared" si="204"/>
        <v>0</v>
      </c>
      <c r="AG1165" s="43" t="s">
        <v>1902</v>
      </c>
      <c r="AH1165" s="66">
        <f t="shared" si="207"/>
        <v>0.34309375924282753</v>
      </c>
      <c r="AI1165" s="283">
        <f>RTD("money.excel",,$G1165,"PredictVolume")</f>
        <v>58</v>
      </c>
      <c r="AJ1165" s="391">
        <f>IFERROR(VLOOKUP($G1165,基本資料!$A:$M,13,0),"無")</f>
        <v>169.05</v>
      </c>
      <c r="AR1165" s="245" t="str">
        <f>INDEX(基本資料!N:N,MATCH($G1165,基本資料!A:A,0))</f>
        <v>低</v>
      </c>
    </row>
    <row r="1166" spans="1:44">
      <c r="A1166" s="343">
        <f>IFERROR(VLOOKUP($G1166,基本資料!$A:$J,3,0),"無")</f>
        <v>5.32</v>
      </c>
      <c r="B1166" s="79">
        <f>IFERROR(VLOOKUP($G1166,基本資料!$A:$J,4,0),"無")</f>
        <v>108</v>
      </c>
      <c r="C1166" s="79">
        <f>IFERROR(VLOOKUP($G1166,基本資料!$A:$J,5,0),"無")</f>
        <v>1090</v>
      </c>
      <c r="D1166" s="79">
        <f>IFERROR(VLOOKUP($G1166,基本資料!$A:$J,6,0),"無")</f>
        <v>-13</v>
      </c>
      <c r="E1166" s="79">
        <f>IFERROR(VLOOKUP($G1166,基本資料!$A:$J,7,0),"無")</f>
        <v>14</v>
      </c>
      <c r="F1166" s="6">
        <f>IFERROR(VLOOKUP($G1166,基本資料!$A:$J,8,0),"無")</f>
        <v>4.3</v>
      </c>
      <c r="G1166" s="79">
        <v>6165</v>
      </c>
      <c r="H1166" s="8" t="s">
        <v>308</v>
      </c>
      <c r="I1166" s="22" t="s">
        <v>3209</v>
      </c>
      <c r="J1166" s="8">
        <f>IFERROR(VLOOKUP($G1166,今日總結!$A:$AN,39,0),"")</f>
        <v>0</v>
      </c>
      <c r="K1166" s="5" t="str">
        <f>IFERROR(VLOOKUP($G1166,今日總結!$A:$AN,40,0),"")</f>
        <v>融</v>
      </c>
      <c r="L1166" s="156">
        <f>IFERROR(VLOOKUP($G1166,今日總結!$A:$AN,37,0),"")</f>
        <v>0</v>
      </c>
      <c r="M1166" s="337">
        <f>IFERROR(VLOOKUP($G1166,今日總結!$A:$AN,38,0),"")</f>
        <v>2</v>
      </c>
      <c r="N1166" s="240">
        <f t="shared" si="205"/>
        <v>-2</v>
      </c>
      <c r="O1166" s="359">
        <f>IFERROR(VLOOKUP($G1166,融外自投!$A:$J,7,0),"無")</f>
        <v>192</v>
      </c>
      <c r="P1166" s="79">
        <f>IFERROR(VLOOKUP($G1166,融外自投!$A:$J,9,0),"無")</f>
        <v>1051</v>
      </c>
      <c r="Q1166" s="342">
        <f>IFERROR(VLOOKUP($G1166,融外自投!$A:$J,8,0),"無")</f>
        <v>1050</v>
      </c>
      <c r="R1166" s="81" t="str">
        <f>IFERROR(VLOOKUP($G1166,融外自投!$A:$J,10,0),"無")</f>
        <v>無</v>
      </c>
      <c r="S1166" s="324">
        <f>IFERROR(VLOOKUP($G1166,'321買'!$A:$E,4,0),"'沒有資料'")</f>
        <v>530</v>
      </c>
      <c r="T1166" s="186">
        <f>IFERROR(VLOOKUP($G1166,基本資料!$A:$J,9,0),"無")</f>
        <v>0</v>
      </c>
      <c r="U1166" s="307">
        <f t="shared" si="206"/>
        <v>0</v>
      </c>
      <c r="V1166" s="94">
        <f>IFERROR(VLOOKUP($G1166,基本資料!$A:$J,10,0),"無")</f>
        <v>2.6</v>
      </c>
      <c r="W1166" s="36">
        <f>RTD("money.excel",,"6165","Price")</f>
        <v>24.8</v>
      </c>
      <c r="X1166" s="66"/>
      <c r="Y1166" s="15">
        <f t="shared" si="202"/>
        <v>24.8</v>
      </c>
      <c r="Z1166" s="3" t="e">
        <f t="shared" si="203"/>
        <v>#DIV/0!</v>
      </c>
      <c r="AA1166" s="340">
        <f>IFERROR(VLOOKUP($G1166,基本資料!$A:$M,11,0),"無")</f>
        <v>-47.29</v>
      </c>
      <c r="AB1166" s="389">
        <f>IFERROR(VLOOKUP($G1166,基本資料!$A:$M,12,0),"無")</f>
        <v>10.33</v>
      </c>
      <c r="AC1166" s="22" t="s">
        <v>3209</v>
      </c>
      <c r="AF1166" s="33">
        <f t="shared" si="204"/>
        <v>0</v>
      </c>
      <c r="AG1166" s="43" t="s">
        <v>3274</v>
      </c>
      <c r="AH1166" s="66">
        <f t="shared" si="207"/>
        <v>1.9178082191780823</v>
      </c>
      <c r="AI1166" s="283">
        <f>RTD("money.excel",,$G1166,"PredictVolume")</f>
        <v>476</v>
      </c>
      <c r="AJ1166" s="391">
        <f>IFERROR(VLOOKUP($G1166,基本資料!$A:$M,13,0),"無")</f>
        <v>248.2</v>
      </c>
      <c r="AR1166" s="245" t="str">
        <f>INDEX(基本資料!N:N,MATCH($G1166,基本資料!A:A,0))</f>
        <v>低</v>
      </c>
    </row>
    <row r="1167" spans="1:44">
      <c r="A1167" s="343">
        <f>IFERROR(VLOOKUP($G1167,基本資料!$A:$J,3,0),"無")</f>
        <v>17.2</v>
      </c>
      <c r="B1167" s="79">
        <f>IFERROR(VLOOKUP($G1167,基本資料!$A:$J,4,0),"無")</f>
        <v>45</v>
      </c>
      <c r="C1167" s="79">
        <f>IFERROR(VLOOKUP($G1167,基本資料!$A:$J,5,0),"無")</f>
        <v>29</v>
      </c>
      <c r="D1167" s="79">
        <f>IFERROR(VLOOKUP($G1167,基本資料!$A:$J,6,0),"無")</f>
        <v>-4</v>
      </c>
      <c r="E1167" s="79">
        <f>IFERROR(VLOOKUP($G1167,基本資料!$A:$J,7,0),"無")</f>
        <v>-18</v>
      </c>
      <c r="F1167" s="6">
        <f>IFERROR(VLOOKUP($G1167,基本資料!$A:$J,8,0),"無")</f>
        <v>19.600000000000001</v>
      </c>
      <c r="G1167" s="79">
        <v>6173</v>
      </c>
      <c r="H1167" s="195" t="s">
        <v>308</v>
      </c>
      <c r="I1167" s="16" t="s">
        <v>82</v>
      </c>
      <c r="J1167" s="8" t="str">
        <f>IFERROR(VLOOKUP($G1167,今日總結!$A:$AN,39,0),"")</f>
        <v>主外</v>
      </c>
      <c r="K1167" s="5">
        <f>IFERROR(VLOOKUP($G1167,今日總結!$A:$AN,40,0),"")</f>
        <v>0</v>
      </c>
      <c r="L1167" s="156">
        <f>IFERROR(VLOOKUP($G1167,今日總結!$A:$AN,37,0),"")</f>
        <v>2</v>
      </c>
      <c r="M1167" s="337">
        <f>IFERROR(VLOOKUP($G1167,今日總結!$A:$AN,38,0),"")</f>
        <v>0</v>
      </c>
      <c r="N1167" s="240">
        <f t="shared" si="205"/>
        <v>2</v>
      </c>
      <c r="O1167" s="359">
        <f>IFERROR(VLOOKUP($G1167,融外自投!$A:$J,7,0),"無")</f>
        <v>367</v>
      </c>
      <c r="P1167" s="79">
        <f>IFERROR(VLOOKUP($G1167,融外自投!$A:$J,9,0),"無")</f>
        <v>158</v>
      </c>
      <c r="Q1167" s="342">
        <f>IFERROR(VLOOKUP($G1167,融外自投!$A:$J,8,0),"無")</f>
        <v>1087</v>
      </c>
      <c r="R1167" s="81" t="str">
        <f>IFERROR(VLOOKUP($G1167,融外自投!$A:$J,10,0),"無")</f>
        <v>無</v>
      </c>
      <c r="S1167" s="324">
        <f>IFERROR(VLOOKUP($G1167,'321買'!$A:$E,4,0),"'沒有資料'")</f>
        <v>743</v>
      </c>
      <c r="T1167" s="186">
        <f>IFERROR(VLOOKUP($G1167,基本資料!$A:$J,9,0),"無")</f>
        <v>2</v>
      </c>
      <c r="U1167" s="307">
        <f t="shared" si="206"/>
        <v>4.1666666666666664E-2</v>
      </c>
      <c r="V1167" s="94">
        <f>IFERROR(VLOOKUP($G1167,基本資料!$A:$J,10,0),"無")</f>
        <v>6.67</v>
      </c>
      <c r="W1167" s="36">
        <f>RTD("money.excel",,"6173","Price")</f>
        <v>48</v>
      </c>
      <c r="X1167" s="66"/>
      <c r="Y1167" s="15">
        <f t="shared" si="202"/>
        <v>48</v>
      </c>
      <c r="Z1167" s="3" t="e">
        <f t="shared" si="203"/>
        <v>#DIV/0!</v>
      </c>
      <c r="AA1167" s="340">
        <f>IFERROR(VLOOKUP($G1167,基本資料!$A:$M,11,0),"無")</f>
        <v>-40.299999999999997</v>
      </c>
      <c r="AB1167" s="389">
        <f>IFERROR(VLOOKUP($G1167,基本資料!$A:$M,12,0),"無")</f>
        <v>21.65</v>
      </c>
      <c r="AC1167" s="16" t="s">
        <v>82</v>
      </c>
      <c r="AF1167" s="33">
        <f t="shared" si="204"/>
        <v>0</v>
      </c>
      <c r="AG1167" s="117" t="s">
        <v>1730</v>
      </c>
      <c r="AH1167" s="66">
        <f t="shared" si="207"/>
        <v>0.67836257309941517</v>
      </c>
      <c r="AI1167" s="283">
        <f>RTD("money.excel",,$G1167,"PredictVolume")</f>
        <v>174</v>
      </c>
      <c r="AJ1167" s="391">
        <f>IFERROR(VLOOKUP($G1167,基本資料!$A:$M,13,0),"無")</f>
        <v>256.5</v>
      </c>
      <c r="AR1167" s="245" t="str">
        <f>INDEX(基本資料!N:N,MATCH($G1167,基本資料!A:A,0))</f>
        <v>低</v>
      </c>
    </row>
    <row r="1168" spans="1:44">
      <c r="A1168" s="343">
        <f>IFERROR(VLOOKUP($G1168,基本資料!$A:$J,3,0),"無")</f>
        <v>5</v>
      </c>
      <c r="B1168" s="79">
        <f>IFERROR(VLOOKUP($G1168,基本資料!$A:$J,4,0),"無")</f>
        <v>6895</v>
      </c>
      <c r="C1168" s="79">
        <f>IFERROR(VLOOKUP($G1168,基本資料!$A:$J,5,0),"無")</f>
        <v>1478</v>
      </c>
      <c r="D1168" s="79">
        <f>IFERROR(VLOOKUP($G1168,基本資料!$A:$J,6,0),"無")</f>
        <v>-24</v>
      </c>
      <c r="E1168" s="79">
        <f>IFERROR(VLOOKUP($G1168,基本資料!$A:$J,7,0),"無")</f>
        <v>30</v>
      </c>
      <c r="F1168" s="6">
        <f>IFERROR(VLOOKUP($G1168,基本資料!$A:$J,8,0),"無")</f>
        <v>15.63</v>
      </c>
      <c r="G1168" s="79">
        <v>6174</v>
      </c>
      <c r="H1168" s="8" t="s">
        <v>308</v>
      </c>
      <c r="I1168" s="16" t="s">
        <v>430</v>
      </c>
      <c r="J1168" s="8">
        <f>IFERROR(VLOOKUP($G1168,今日總結!$A:$AN,39,0),"")</f>
        <v>0</v>
      </c>
      <c r="K1168" s="5">
        <f>IFERROR(VLOOKUP($G1168,今日總結!$A:$AN,40,0),"")</f>
        <v>0</v>
      </c>
      <c r="L1168" s="156">
        <f>IFERROR(VLOOKUP($G1168,今日總結!$A:$AN,37,0),"")</f>
        <v>0</v>
      </c>
      <c r="M1168" s="337">
        <f>IFERROR(VLOOKUP($G1168,今日總結!$A:$AN,38,0),"")</f>
        <v>0</v>
      </c>
      <c r="N1168" s="240">
        <f t="shared" si="205"/>
        <v>0</v>
      </c>
      <c r="O1168" s="359">
        <f>IFERROR(VLOOKUP($G1168,融外自投!$A:$J,7,0),"無")</f>
        <v>519</v>
      </c>
      <c r="P1168" s="79">
        <f>IFERROR(VLOOKUP($G1168,融外自投!$A:$J,9,0),"無")</f>
        <v>741</v>
      </c>
      <c r="Q1168" s="342">
        <f>IFERROR(VLOOKUP($G1168,融外自投!$A:$J,8,0),"無")</f>
        <v>714</v>
      </c>
      <c r="R1168" s="81" t="str">
        <f>IFERROR(VLOOKUP($G1168,融外自投!$A:$J,10,0),"無")</f>
        <v>無</v>
      </c>
      <c r="S1168" s="324">
        <f>IFERROR(VLOOKUP($G1168,'321買'!$A:$E,4,0),"'沒有資料'")</f>
        <v>244</v>
      </c>
      <c r="T1168" s="186">
        <f>IFERROR(VLOOKUP($G1168,基本資料!$A:$J,9,0),"無")</f>
        <v>1.6</v>
      </c>
      <c r="U1168" s="307">
        <f t="shared" si="206"/>
        <v>5.5172413793103454E-2</v>
      </c>
      <c r="V1168" s="94">
        <f>IFERROR(VLOOKUP($G1168,基本資料!$A:$J,10,0),"無")</f>
        <v>1.79</v>
      </c>
      <c r="W1168" s="36">
        <f>RTD("money.excel",,"6174","Price")</f>
        <v>29</v>
      </c>
      <c r="X1168" s="66"/>
      <c r="Y1168" s="15">
        <f t="shared" si="202"/>
        <v>29</v>
      </c>
      <c r="Z1168" s="3" t="e">
        <f t="shared" si="203"/>
        <v>#DIV/0!</v>
      </c>
      <c r="AA1168" s="340">
        <f>IFERROR(VLOOKUP($G1168,基本資料!$A:$M,11,0),"無")</f>
        <v>-23.68</v>
      </c>
      <c r="AB1168" s="389">
        <f>IFERROR(VLOOKUP($G1168,基本資料!$A:$M,12,0),"無")</f>
        <v>38.82</v>
      </c>
      <c r="AC1168" s="16" t="s">
        <v>430</v>
      </c>
      <c r="AF1168" s="33">
        <f t="shared" si="204"/>
        <v>0</v>
      </c>
      <c r="AG1168" s="43" t="s">
        <v>1727</v>
      </c>
      <c r="AH1168" s="66">
        <f t="shared" si="207"/>
        <v>0.40168213457076563</v>
      </c>
      <c r="AI1168" s="283">
        <f>RTD("money.excel",,$G1168,"PredictVolume")</f>
        <v>277</v>
      </c>
      <c r="AJ1168" s="391">
        <f>IFERROR(VLOOKUP($G1168,基本資料!$A:$M,13,0),"無")</f>
        <v>689.6</v>
      </c>
      <c r="AR1168" s="245" t="str">
        <f>INDEX(基本資料!N:N,MATCH($G1168,基本資料!A:A,0))</f>
        <v>中</v>
      </c>
    </row>
    <row r="1169" spans="1:44">
      <c r="A1169" s="343">
        <f>IFERROR(VLOOKUP($G1169,基本資料!$A:$J,3,0),"無")</f>
        <v>14.32</v>
      </c>
      <c r="B1169" s="79">
        <f>IFERROR(VLOOKUP($G1169,基本資料!$A:$J,4,0),"無")</f>
        <v>67</v>
      </c>
      <c r="C1169" s="79">
        <f>IFERROR(VLOOKUP($G1169,基本資料!$A:$J,5,0),"無")</f>
        <v>54</v>
      </c>
      <c r="D1169" s="79">
        <f>IFERROR(VLOOKUP($G1169,基本資料!$A:$J,6,0),"無")</f>
        <v>-5</v>
      </c>
      <c r="E1169" s="79">
        <f>IFERROR(VLOOKUP($G1169,基本資料!$A:$J,7,0),"無")</f>
        <v>6</v>
      </c>
      <c r="F1169" s="6">
        <f>IFERROR(VLOOKUP($G1169,基本資料!$A:$J,8,0),"無")</f>
        <v>16.57</v>
      </c>
      <c r="G1169" s="79">
        <v>6175</v>
      </c>
      <c r="H1169" s="195" t="s">
        <v>308</v>
      </c>
      <c r="I1169" s="16" t="s">
        <v>4593</v>
      </c>
      <c r="J1169" s="8">
        <f>IFERROR(VLOOKUP($G1169,今日總結!$A:$AN,39,0),"")</f>
        <v>0</v>
      </c>
      <c r="K1169" s="5">
        <f>IFERROR(VLOOKUP($G1169,今日總結!$A:$AN,40,0),"")</f>
        <v>0</v>
      </c>
      <c r="L1169" s="156">
        <f>IFERROR(VLOOKUP($G1169,今日總結!$A:$AN,37,0),"")</f>
        <v>0</v>
      </c>
      <c r="M1169" s="337">
        <f>IFERROR(VLOOKUP($G1169,今日總結!$A:$AN,38,0),"")</f>
        <v>0</v>
      </c>
      <c r="N1169" s="240">
        <f t="shared" si="205"/>
        <v>0</v>
      </c>
      <c r="O1169" s="359">
        <f>IFERROR(VLOOKUP($G1169,融外自投!$A:$J,7,0),"無")</f>
        <v>551</v>
      </c>
      <c r="P1169" s="79" t="str">
        <f>IFERROR(VLOOKUP($G1169,融外自投!$A:$J,9,0),"無")</f>
        <v>無</v>
      </c>
      <c r="Q1169" s="342">
        <f>IFERROR(VLOOKUP($G1169,融外自投!$A:$J,8,0),"無")</f>
        <v>328</v>
      </c>
      <c r="R1169" s="81" t="str">
        <f>IFERROR(VLOOKUP($G1169,融外自投!$A:$J,10,0),"無")</f>
        <v>無</v>
      </c>
      <c r="S1169" s="324">
        <f>IFERROR(VLOOKUP($G1169,'321買'!$A:$E,4,0),"'沒有資料'")</f>
        <v>440</v>
      </c>
      <c r="T1169" s="186">
        <f>IFERROR(VLOOKUP($G1169,基本資料!$A:$J,9,0),"無")</f>
        <v>1.5</v>
      </c>
      <c r="U1169" s="307">
        <f t="shared" si="206"/>
        <v>4.1152263374485597E-2</v>
      </c>
      <c r="V1169" s="94">
        <f>IFERROR(VLOOKUP($G1169,基本資料!$A:$J,10,0),"無")</f>
        <v>3.45</v>
      </c>
      <c r="W1169" s="36">
        <f>RTD("money.excel",,"6175","Price")</f>
        <v>36.450000000000003</v>
      </c>
      <c r="X1169" s="66"/>
      <c r="Y1169" s="15">
        <f t="shared" si="202"/>
        <v>36.450000000000003</v>
      </c>
      <c r="Z1169" s="3" t="e">
        <f t="shared" si="203"/>
        <v>#DIV/0!</v>
      </c>
      <c r="AA1169" s="340">
        <f>IFERROR(VLOOKUP($G1169,基本資料!$A:$M,11,0),"無")</f>
        <v>-38.840000000000003</v>
      </c>
      <c r="AB1169" s="389">
        <f>IFERROR(VLOOKUP($G1169,基本資料!$A:$M,12,0),"無")</f>
        <v>22.07</v>
      </c>
      <c r="AC1169" s="16" t="s">
        <v>4593</v>
      </c>
      <c r="AF1169" s="33">
        <f t="shared" si="204"/>
        <v>0</v>
      </c>
      <c r="AG1169" s="119" t="s">
        <v>2294</v>
      </c>
      <c r="AH1169" s="66">
        <f t="shared" si="207"/>
        <v>3.7107677450507004</v>
      </c>
      <c r="AI1169" s="283">
        <f>RTD("money.excel",,$G1169,"PredictVolume")</f>
        <v>1537</v>
      </c>
      <c r="AJ1169" s="391">
        <f>IFERROR(VLOOKUP($G1169,基本資料!$A:$M,13,0),"無")</f>
        <v>414.2</v>
      </c>
      <c r="AR1169" s="245" t="str">
        <f>INDEX(基本資料!N:N,MATCH($G1169,基本資料!A:A,0))</f>
        <v>低</v>
      </c>
    </row>
    <row r="1170" spans="1:44">
      <c r="A1170" s="343">
        <f>IFERROR(VLOOKUP($G1170,基本資料!$A:$J,3,0),"無")</f>
        <v>14.98</v>
      </c>
      <c r="B1170" s="79">
        <f>IFERROR(VLOOKUP($G1170,基本資料!$A:$J,4,0),"無")</f>
        <v>-11</v>
      </c>
      <c r="C1170" s="79">
        <f>IFERROR(VLOOKUP($G1170,基本資料!$A:$J,5,0),"無")</f>
        <v>-61</v>
      </c>
      <c r="D1170" s="79">
        <f>IFERROR(VLOOKUP($G1170,基本資料!$A:$J,6,0),"無")</f>
        <v>-23</v>
      </c>
      <c r="E1170" s="79">
        <f>IFERROR(VLOOKUP($G1170,基本資料!$A:$J,7,0),"無")</f>
        <v>-24</v>
      </c>
      <c r="F1170" s="6">
        <f>IFERROR(VLOOKUP($G1170,基本資料!$A:$J,8,0),"無")</f>
        <v>-22.29</v>
      </c>
      <c r="G1170" s="79">
        <v>6185</v>
      </c>
      <c r="H1170" s="8" t="s">
        <v>308</v>
      </c>
      <c r="I1170" s="16" t="s">
        <v>431</v>
      </c>
      <c r="J1170" s="8" t="str">
        <f>IFERROR(VLOOKUP($G1170,今日總結!$A:$AN,39,0),"")</f>
        <v>借</v>
      </c>
      <c r="K1170" s="5">
        <f>IFERROR(VLOOKUP($G1170,今日總結!$A:$AN,40,0),"")</f>
        <v>0</v>
      </c>
      <c r="L1170" s="156">
        <f>IFERROR(VLOOKUP($G1170,今日總結!$A:$AN,37,0),"")</f>
        <v>3</v>
      </c>
      <c r="M1170" s="337">
        <f>IFERROR(VLOOKUP($G1170,今日總結!$A:$AN,38,0),"")</f>
        <v>0</v>
      </c>
      <c r="N1170" s="240">
        <f t="shared" si="205"/>
        <v>3</v>
      </c>
      <c r="O1170" s="359">
        <f>IFERROR(VLOOKUP($G1170,融外自投!$A:$J,7,0),"無")</f>
        <v>961</v>
      </c>
      <c r="P1170" s="79" t="str">
        <f>IFERROR(VLOOKUP($G1170,融外自投!$A:$J,9,0),"無")</f>
        <v>無</v>
      </c>
      <c r="Q1170" s="342">
        <f>IFERROR(VLOOKUP($G1170,融外自投!$A:$J,8,0),"無")</f>
        <v>1189</v>
      </c>
      <c r="R1170" s="81" t="str">
        <f>IFERROR(VLOOKUP($G1170,融外自投!$A:$J,10,0),"無")</f>
        <v>無</v>
      </c>
      <c r="S1170" s="324">
        <f>IFERROR(VLOOKUP($G1170,'321買'!$A:$E,4,0),"'沒有資料'")</f>
        <v>1002</v>
      </c>
      <c r="T1170" s="186">
        <f>IFERROR(VLOOKUP($G1170,基本資料!$A:$J,9,0),"無")</f>
        <v>0.2</v>
      </c>
      <c r="U1170" s="307">
        <f t="shared" si="206"/>
        <v>1.6393442622950821E-2</v>
      </c>
      <c r="V1170" s="94">
        <f>IFERROR(VLOOKUP($G1170,基本資料!$A:$J,10,0),"無")</f>
        <v>-0.67</v>
      </c>
      <c r="W1170" s="36">
        <f>RTD("money.excel",,"6185","Price")</f>
        <v>12.2</v>
      </c>
      <c r="X1170" s="66"/>
      <c r="Y1170" s="15">
        <f t="shared" si="202"/>
        <v>12.2</v>
      </c>
      <c r="Z1170" s="3" t="e">
        <f t="shared" si="203"/>
        <v>#DIV/0!</v>
      </c>
      <c r="AA1170" s="340">
        <f>IFERROR(VLOOKUP($G1170,基本資料!$A:$M,11,0),"無")</f>
        <v>-25.84</v>
      </c>
      <c r="AB1170" s="389">
        <f>IFERROR(VLOOKUP($G1170,基本資料!$A:$M,12,0),"無")</f>
        <v>15.01</v>
      </c>
      <c r="AC1170" s="16" t="s">
        <v>431</v>
      </c>
      <c r="AF1170" s="33">
        <f t="shared" si="204"/>
        <v>0</v>
      </c>
      <c r="AG1170" s="43" t="s">
        <v>1902</v>
      </c>
      <c r="AH1170" s="66">
        <f t="shared" si="207"/>
        <v>1.1609353507565336</v>
      </c>
      <c r="AI1170" s="283">
        <f>RTD("money.excel",,$G1170,"PredictVolume")</f>
        <v>211</v>
      </c>
      <c r="AJ1170" s="391">
        <f>IFERROR(VLOOKUP($G1170,基本資料!$A:$M,13,0),"無")</f>
        <v>181.75</v>
      </c>
      <c r="AR1170" s="245" t="str">
        <f>INDEX(基本資料!N:N,MATCH($G1170,基本資料!A:A,0))</f>
        <v>低</v>
      </c>
    </row>
    <row r="1171" spans="1:44">
      <c r="A1171" s="343">
        <f>IFERROR(VLOOKUP($G1171,基本資料!$A:$J,3,0),"無")</f>
        <v>47.43</v>
      </c>
      <c r="B1171" s="79">
        <f>IFERROR(VLOOKUP($G1171,基本資料!$A:$J,4,0),"無")</f>
        <v>78</v>
      </c>
      <c r="C1171" s="79">
        <f>IFERROR(VLOOKUP($G1171,基本資料!$A:$J,5,0),"無")</f>
        <v>31</v>
      </c>
      <c r="D1171" s="79">
        <f>IFERROR(VLOOKUP($G1171,基本資料!$A:$J,6,0),"無")</f>
        <v>-27</v>
      </c>
      <c r="E1171" s="79">
        <f>IFERROR(VLOOKUP($G1171,基本資料!$A:$J,7,0),"無")</f>
        <v>-27</v>
      </c>
      <c r="F1171" s="6">
        <f>IFERROR(VLOOKUP($G1171,基本資料!$A:$J,8,0),"無")</f>
        <v>11.24</v>
      </c>
      <c r="G1171" s="79">
        <v>6191</v>
      </c>
      <c r="H1171" s="195" t="s">
        <v>308</v>
      </c>
      <c r="I1171" s="22" t="s">
        <v>238</v>
      </c>
      <c r="J1171" s="8">
        <f>IFERROR(VLOOKUP($G1171,今日總結!$A:$AN,39,0),"")</f>
        <v>0</v>
      </c>
      <c r="K1171" s="5">
        <f>IFERROR(VLOOKUP($G1171,今日總結!$A:$AN,40,0),"")</f>
        <v>0</v>
      </c>
      <c r="L1171" s="156">
        <f>IFERROR(VLOOKUP($G1171,今日總結!$A:$AN,37,0),"")</f>
        <v>0</v>
      </c>
      <c r="M1171" s="337">
        <f>IFERROR(VLOOKUP($G1171,今日總結!$A:$AN,38,0),"")</f>
        <v>0</v>
      </c>
      <c r="N1171" s="240">
        <f t="shared" si="205"/>
        <v>0</v>
      </c>
      <c r="O1171" s="359">
        <f>IFERROR(VLOOKUP($G1171,融外自投!$A:$J,7,0),"無")</f>
        <v>404</v>
      </c>
      <c r="P1171" s="79">
        <f>IFERROR(VLOOKUP($G1171,融外自投!$A:$J,9,0),"無")</f>
        <v>717</v>
      </c>
      <c r="Q1171" s="342">
        <f>IFERROR(VLOOKUP($G1171,融外自投!$A:$J,8,0),"無")</f>
        <v>698</v>
      </c>
      <c r="R1171" s="81" t="str">
        <f>IFERROR(VLOOKUP($G1171,融外自投!$A:$J,10,0),"無")</f>
        <v>無</v>
      </c>
      <c r="S1171" s="324">
        <f>IFERROR(VLOOKUP($G1171,'321買'!$A:$E,4,0),"'沒有資料'")</f>
        <v>530</v>
      </c>
      <c r="T1171" s="186">
        <f>IFERROR(VLOOKUP($G1171,基本資料!$A:$J,9,0),"無")</f>
        <v>1.74</v>
      </c>
      <c r="U1171" s="307">
        <f t="shared" si="206"/>
        <v>5.7615894039735098E-2</v>
      </c>
      <c r="V1171" s="94">
        <f>IFERROR(VLOOKUP($G1171,基本資料!$A:$J,10,0),"無")</f>
        <v>5.79</v>
      </c>
      <c r="W1171" s="36">
        <f>RTD("money.excel",,"6191","Price")</f>
        <v>30.2</v>
      </c>
      <c r="X1171" s="66"/>
      <c r="Y1171" s="15">
        <f t="shared" si="202"/>
        <v>30.2</v>
      </c>
      <c r="Z1171" s="3" t="e">
        <f t="shared" si="203"/>
        <v>#DIV/0!</v>
      </c>
      <c r="AA1171" s="340">
        <f>IFERROR(VLOOKUP($G1171,基本資料!$A:$M,11,0),"無")</f>
        <v>-28.18</v>
      </c>
      <c r="AB1171" s="389">
        <f>IFERROR(VLOOKUP($G1171,基本資料!$A:$M,12,0),"無")</f>
        <v>26.68</v>
      </c>
      <c r="AC1171" s="22" t="s">
        <v>238</v>
      </c>
      <c r="AF1171" s="33">
        <f t="shared" si="204"/>
        <v>0</v>
      </c>
      <c r="AG1171" s="117" t="s">
        <v>2089</v>
      </c>
      <c r="AH1171" s="66">
        <f t="shared" si="207"/>
        <v>0.80526500175166416</v>
      </c>
      <c r="AI1171" s="283">
        <f>RTD("money.excel",,$G1171,"PredictVolume")</f>
        <v>1609</v>
      </c>
      <c r="AJ1171" s="391">
        <f>IFERROR(VLOOKUP($G1171,基本資料!$A:$M,13,0),"無")</f>
        <v>1998.1</v>
      </c>
      <c r="AR1171" s="245" t="str">
        <f>INDEX(基本資料!N:N,MATCH($G1171,基本資料!A:A,0))</f>
        <v>低</v>
      </c>
    </row>
    <row r="1172" spans="1:44">
      <c r="A1172" s="343">
        <f>IFERROR(VLOOKUP($G1172,基本資料!$A:$J,3,0),"無")</f>
        <v>6</v>
      </c>
      <c r="B1172" s="79">
        <f>IFERROR(VLOOKUP($G1172,基本資料!$A:$J,4,0),"無")</f>
        <v>-89</v>
      </c>
      <c r="C1172" s="79">
        <f>IFERROR(VLOOKUP($G1172,基本資料!$A:$J,5,0),"無")</f>
        <v>-92</v>
      </c>
      <c r="D1172" s="79">
        <f>IFERROR(VLOOKUP($G1172,基本資料!$A:$J,6,0),"無")</f>
        <v>40</v>
      </c>
      <c r="E1172" s="79">
        <f>IFERROR(VLOOKUP($G1172,基本資料!$A:$J,7,0),"無")</f>
        <v>-9</v>
      </c>
      <c r="F1172" s="6">
        <f>IFERROR(VLOOKUP($G1172,基本資料!$A:$J,8,0),"無")</f>
        <v>1.1200000000000001</v>
      </c>
      <c r="G1172" s="79">
        <v>6194</v>
      </c>
      <c r="H1172" s="8" t="s">
        <v>308</v>
      </c>
      <c r="I1172" s="16" t="s">
        <v>432</v>
      </c>
      <c r="J1172" s="8" t="str">
        <f>IFERROR(VLOOKUP($G1172,今日總結!$A:$AN,39,0),"")</f>
        <v/>
      </c>
      <c r="K1172" s="5" t="str">
        <f>IFERROR(VLOOKUP($G1172,今日總結!$A:$AN,40,0),"")</f>
        <v/>
      </c>
      <c r="L1172" s="156" t="str">
        <f>IFERROR(VLOOKUP($G1172,今日總結!$A:$AN,37,0),"")</f>
        <v/>
      </c>
      <c r="M1172" s="337" t="str">
        <f>IFERROR(VLOOKUP($G1172,今日總結!$A:$AN,38,0),"")</f>
        <v/>
      </c>
      <c r="N1172" s="240" t="str">
        <f t="shared" si="205"/>
        <v/>
      </c>
      <c r="O1172" s="359">
        <f>IFERROR(VLOOKUP($G1172,融外自投!$A:$J,7,0),"無")</f>
        <v>694</v>
      </c>
      <c r="P1172" s="79">
        <f>IFERROR(VLOOKUP($G1172,融外自投!$A:$J,9,0),"無")</f>
        <v>990</v>
      </c>
      <c r="Q1172" s="342">
        <f>IFERROR(VLOOKUP($G1172,融外自投!$A:$J,8,0),"無")</f>
        <v>1341</v>
      </c>
      <c r="R1172" s="81">
        <f>IFERROR(VLOOKUP($G1172,融外自投!$A:$J,10,0),"無")</f>
        <v>369</v>
      </c>
      <c r="S1172" s="324" t="str">
        <f>IFERROR(VLOOKUP($G1172,'321買'!$A:$E,4,0),"'沒有資料'")</f>
        <v>'沒有資料'</v>
      </c>
      <c r="T1172" s="186">
        <f>IFERROR(VLOOKUP($G1172,基本資料!$A:$J,9,0),"無")</f>
        <v>0.25</v>
      </c>
      <c r="U1172" s="307">
        <f t="shared" si="206"/>
        <v>1.1520737327188941E-2</v>
      </c>
      <c r="V1172" s="94">
        <f>IFERROR(VLOOKUP($G1172,基本資料!$A:$J,10,0),"無")</f>
        <v>0.26</v>
      </c>
      <c r="W1172" s="36">
        <f>RTD("money.excel",,"6194","Price")</f>
        <v>21.7</v>
      </c>
      <c r="X1172" s="66"/>
      <c r="Y1172" s="15">
        <f t="shared" si="202"/>
        <v>21.7</v>
      </c>
      <c r="Z1172" s="3" t="e">
        <f t="shared" si="203"/>
        <v>#DIV/0!</v>
      </c>
      <c r="AA1172" s="340">
        <f>IFERROR(VLOOKUP($G1172,基本資料!$A:$M,11,0),"無")</f>
        <v>-32.61</v>
      </c>
      <c r="AB1172" s="389">
        <f>IFERROR(VLOOKUP($G1172,基本資料!$A:$M,12,0),"無")</f>
        <v>14.03</v>
      </c>
      <c r="AC1172" s="16" t="s">
        <v>432</v>
      </c>
      <c r="AF1172" s="33">
        <f t="shared" si="204"/>
        <v>0</v>
      </c>
      <c r="AG1172" s="43" t="s">
        <v>1043</v>
      </c>
      <c r="AH1172" s="66">
        <f t="shared" si="207"/>
        <v>1.7872340425531914</v>
      </c>
      <c r="AI1172" s="283">
        <f>RTD("money.excel",,$G1172,"PredictVolume")</f>
        <v>42</v>
      </c>
      <c r="AJ1172" s="391">
        <f>IFERROR(VLOOKUP($G1172,基本資料!$A:$M,13,0),"無")</f>
        <v>23.5</v>
      </c>
      <c r="AR1172" s="245" t="str">
        <f>INDEX(基本資料!N:N,MATCH($G1172,基本資料!A:A,0))</f>
        <v>低</v>
      </c>
    </row>
    <row r="1173" spans="1:44">
      <c r="A1173" s="343">
        <f>IFERROR(VLOOKUP($G1173,基本資料!$A:$J,3,0),"無")</f>
        <v>12.2</v>
      </c>
      <c r="B1173" s="79">
        <f>IFERROR(VLOOKUP($G1173,基本資料!$A:$J,4,0),"無")</f>
        <v>42</v>
      </c>
      <c r="C1173" s="79">
        <f>IFERROR(VLOOKUP($G1173,基本資料!$A:$J,5,0),"無")</f>
        <v>-5</v>
      </c>
      <c r="D1173" s="79">
        <f>IFERROR(VLOOKUP($G1173,基本資料!$A:$J,6,0),"無")</f>
        <v>6</v>
      </c>
      <c r="E1173" s="79">
        <f>IFERROR(VLOOKUP($G1173,基本資料!$A:$J,7,0),"無")</f>
        <v>0</v>
      </c>
      <c r="F1173" s="6">
        <f>IFERROR(VLOOKUP($G1173,基本資料!$A:$J,8,0),"無")</f>
        <v>9.2799999999999994</v>
      </c>
      <c r="G1173" s="79">
        <v>6197</v>
      </c>
      <c r="H1173" s="8" t="s">
        <v>308</v>
      </c>
      <c r="I1173" s="22" t="s">
        <v>397</v>
      </c>
      <c r="J1173" s="8">
        <f>IFERROR(VLOOKUP($G1173,今日總結!$A:$AN,39,0),"")</f>
        <v>0</v>
      </c>
      <c r="K1173" s="5">
        <f>IFERROR(VLOOKUP($G1173,今日總結!$A:$AN,40,0),"")</f>
        <v>0</v>
      </c>
      <c r="L1173" s="156">
        <f>IFERROR(VLOOKUP($G1173,今日總結!$A:$AN,37,0),"")</f>
        <v>0</v>
      </c>
      <c r="M1173" s="337">
        <f>IFERROR(VLOOKUP($G1173,今日總結!$A:$AN,38,0),"")</f>
        <v>0</v>
      </c>
      <c r="N1173" s="240">
        <f t="shared" si="205"/>
        <v>0</v>
      </c>
      <c r="O1173" s="359">
        <f>IFERROR(VLOOKUP($G1173,融外自投!$A:$J,7,0),"無")</f>
        <v>770</v>
      </c>
      <c r="P1173" s="79">
        <f>IFERROR(VLOOKUP($G1173,融外自投!$A:$J,9,0),"無")</f>
        <v>258</v>
      </c>
      <c r="Q1173" s="342">
        <f>IFERROR(VLOOKUP($G1173,融外自投!$A:$J,8,0),"無")</f>
        <v>556</v>
      </c>
      <c r="R1173" s="81" t="str">
        <f>IFERROR(VLOOKUP($G1173,融外自投!$A:$J,10,0),"無")</f>
        <v>無</v>
      </c>
      <c r="S1173" s="324">
        <f>IFERROR(VLOOKUP($G1173,'321買'!$A:$E,4,0),"'沒有資料'")</f>
        <v>801</v>
      </c>
      <c r="T1173" s="186">
        <f>IFERROR(VLOOKUP($G1173,基本資料!$A:$J,9,0),"無")</f>
        <v>3</v>
      </c>
      <c r="U1173" s="307">
        <f t="shared" si="206"/>
        <v>8.1081081081081086E-2</v>
      </c>
      <c r="V1173" s="94">
        <f>IFERROR(VLOOKUP($G1173,基本資料!$A:$J,10,0),"無")</f>
        <v>3.06</v>
      </c>
      <c r="W1173" s="36">
        <f>RTD("money.excel",,"6197","Price")</f>
        <v>37</v>
      </c>
      <c r="X1173" s="66"/>
      <c r="Y1173" s="15">
        <f t="shared" si="202"/>
        <v>37</v>
      </c>
      <c r="Z1173" s="3" t="e">
        <f t="shared" si="203"/>
        <v>#DIV/0!</v>
      </c>
      <c r="AA1173" s="340">
        <f>IFERROR(VLOOKUP($G1173,基本資料!$A:$M,11,0),"無")</f>
        <v>-28.16</v>
      </c>
      <c r="AB1173" s="389">
        <f>IFERROR(VLOOKUP($G1173,基本資料!$A:$M,12,0),"無")</f>
        <v>11.11</v>
      </c>
      <c r="AC1173" s="22" t="s">
        <v>397</v>
      </c>
      <c r="AF1173" s="33">
        <f t="shared" si="204"/>
        <v>0</v>
      </c>
      <c r="AG1173" s="43" t="s">
        <v>2547</v>
      </c>
      <c r="AH1173" s="66">
        <f t="shared" si="207"/>
        <v>0.8012756627466614</v>
      </c>
      <c r="AI1173" s="283">
        <f>RTD("money.excel",,$G1173,"PredictVolume")</f>
        <v>201</v>
      </c>
      <c r="AJ1173" s="391">
        <f>IFERROR(VLOOKUP($G1173,基本資料!$A:$M,13,0),"無")</f>
        <v>250.85</v>
      </c>
      <c r="AR1173" s="245" t="str">
        <f>INDEX(基本資料!N:N,MATCH($G1173,基本資料!A:A,0))</f>
        <v>低</v>
      </c>
    </row>
    <row r="1174" spans="1:44">
      <c r="A1174" s="343">
        <f>IFERROR(VLOOKUP($G1174,基本資料!$A:$J,3,0),"無")</f>
        <v>7.99</v>
      </c>
      <c r="B1174" s="79">
        <f>IFERROR(VLOOKUP($G1174,基本資料!$A:$J,4,0),"無")</f>
        <v>23</v>
      </c>
      <c r="C1174" s="79">
        <f>IFERROR(VLOOKUP($G1174,基本資料!$A:$J,5,0),"無")</f>
        <v>15</v>
      </c>
      <c r="D1174" s="79">
        <f>IFERROR(VLOOKUP($G1174,基本資料!$A:$J,6,0),"無")</f>
        <v>19</v>
      </c>
      <c r="E1174" s="79">
        <f>IFERROR(VLOOKUP($G1174,基本資料!$A:$J,7,0),"無")</f>
        <v>-47</v>
      </c>
      <c r="F1174" s="6">
        <f>IFERROR(VLOOKUP($G1174,基本資料!$A:$J,8,0),"無")</f>
        <v>20.239999999999998</v>
      </c>
      <c r="G1174" s="79">
        <v>6203</v>
      </c>
      <c r="H1174" s="8" t="s">
        <v>308</v>
      </c>
      <c r="I1174" s="16" t="s">
        <v>433</v>
      </c>
      <c r="J1174" s="8">
        <f>IFERROR(VLOOKUP($G1174,今日總結!$A:$AN,39,0),"")</f>
        <v>0</v>
      </c>
      <c r="K1174" s="5">
        <f>IFERROR(VLOOKUP($G1174,今日總結!$A:$AN,40,0),"")</f>
        <v>0</v>
      </c>
      <c r="L1174" s="156">
        <f>IFERROR(VLOOKUP($G1174,今日總結!$A:$AN,37,0),"")</f>
        <v>0</v>
      </c>
      <c r="M1174" s="337">
        <f>IFERROR(VLOOKUP($G1174,今日總結!$A:$AN,38,0),"")</f>
        <v>0</v>
      </c>
      <c r="N1174" s="240">
        <f t="shared" si="205"/>
        <v>0</v>
      </c>
      <c r="O1174" s="359">
        <f>IFERROR(VLOOKUP($G1174,融外自投!$A:$J,7,0),"無")</f>
        <v>768</v>
      </c>
      <c r="P1174" s="79">
        <f>IFERROR(VLOOKUP($G1174,融外自投!$A:$J,9,0),"無")</f>
        <v>869</v>
      </c>
      <c r="Q1174" s="342">
        <f>IFERROR(VLOOKUP($G1174,融外自投!$A:$J,8,0),"無")</f>
        <v>1158</v>
      </c>
      <c r="R1174" s="81" t="str">
        <f>IFERROR(VLOOKUP($G1174,融外自投!$A:$J,10,0),"無")</f>
        <v>無</v>
      </c>
      <c r="S1174" s="324">
        <f>IFERROR(VLOOKUP($G1174,'321買'!$A:$E,4,0),"'沒有資料'")</f>
        <v>1002</v>
      </c>
      <c r="T1174" s="186">
        <f>IFERROR(VLOOKUP($G1174,基本資料!$A:$J,9,0),"無")</f>
        <v>5</v>
      </c>
      <c r="U1174" s="307">
        <f t="shared" si="206"/>
        <v>9.5057034220532313E-2</v>
      </c>
      <c r="V1174" s="94">
        <f>IFERROR(VLOOKUP($G1174,基本資料!$A:$J,10,0),"無")</f>
        <v>9.42</v>
      </c>
      <c r="W1174" s="36">
        <f>RTD("money.excel",,"6203","Price")</f>
        <v>52.6</v>
      </c>
      <c r="X1174" s="66"/>
      <c r="Y1174" s="15">
        <f t="shared" si="202"/>
        <v>52.6</v>
      </c>
      <c r="Z1174" s="3" t="e">
        <f t="shared" si="203"/>
        <v>#DIV/0!</v>
      </c>
      <c r="AA1174" s="340">
        <f>IFERROR(VLOOKUP($G1174,基本資料!$A:$M,11,0),"無")</f>
        <v>-56.17</v>
      </c>
      <c r="AB1174" s="389">
        <f>IFERROR(VLOOKUP($G1174,基本資料!$A:$M,12,0),"無")</f>
        <v>8.43</v>
      </c>
      <c r="AC1174" s="16" t="s">
        <v>433</v>
      </c>
      <c r="AF1174" s="33">
        <f t="shared" si="204"/>
        <v>0</v>
      </c>
      <c r="AG1174" s="43" t="s">
        <v>2372</v>
      </c>
      <c r="AH1174" s="66">
        <f t="shared" si="207"/>
        <v>0.64516129032258063</v>
      </c>
      <c r="AI1174" s="283">
        <f>RTD("money.excel",,$G1174,"PredictVolume")</f>
        <v>86</v>
      </c>
      <c r="AJ1174" s="391">
        <f>IFERROR(VLOOKUP($G1174,基本資料!$A:$M,13,0),"無")</f>
        <v>133.30000000000001</v>
      </c>
      <c r="AR1174" s="245" t="str">
        <f>INDEX(基本資料!N:N,MATCH($G1174,基本資料!A:A,0))</f>
        <v>低</v>
      </c>
    </row>
    <row r="1175" spans="1:44">
      <c r="A1175" s="343">
        <f>IFERROR(VLOOKUP($G1175,基本資料!$A:$J,3,0),"無")</f>
        <v>2.31</v>
      </c>
      <c r="B1175" s="79">
        <f>IFERROR(VLOOKUP($G1175,基本資料!$A:$J,4,0),"無")</f>
        <v>782</v>
      </c>
      <c r="C1175" s="79">
        <f>IFERROR(VLOOKUP($G1175,基本資料!$A:$J,5,0),"無")</f>
        <v>60</v>
      </c>
      <c r="D1175" s="79">
        <f>IFERROR(VLOOKUP($G1175,基本資料!$A:$J,6,0),"無")</f>
        <v>36</v>
      </c>
      <c r="E1175" s="79">
        <f>IFERROR(VLOOKUP($G1175,基本資料!$A:$J,7,0),"無")</f>
        <v>-25</v>
      </c>
      <c r="F1175" s="6">
        <f>IFERROR(VLOOKUP($G1175,基本資料!$A:$J,8,0),"無")</f>
        <v>9.0399999999999991</v>
      </c>
      <c r="G1175" s="79">
        <v>6204</v>
      </c>
      <c r="H1175" s="8" t="s">
        <v>308</v>
      </c>
      <c r="I1175" s="16" t="s">
        <v>4594</v>
      </c>
      <c r="J1175" s="8">
        <f>IFERROR(VLOOKUP($G1175,今日總結!$A:$AN,39,0),"")</f>
        <v>0</v>
      </c>
      <c r="K1175" s="5">
        <f>IFERROR(VLOOKUP($G1175,今日總結!$A:$AN,40,0),"")</f>
        <v>0</v>
      </c>
      <c r="L1175" s="156">
        <f>IFERROR(VLOOKUP($G1175,今日總結!$A:$AN,37,0),"")</f>
        <v>0</v>
      </c>
      <c r="M1175" s="337">
        <f>IFERROR(VLOOKUP($G1175,今日總結!$A:$AN,38,0),"")</f>
        <v>0</v>
      </c>
      <c r="N1175" s="240">
        <f t="shared" si="205"/>
        <v>0</v>
      </c>
      <c r="O1175" s="359">
        <f>IFERROR(VLOOKUP($G1175,融外自投!$A:$J,7,0),"無")</f>
        <v>953</v>
      </c>
      <c r="P1175" s="79">
        <f>IFERROR(VLOOKUP($G1175,融外自投!$A:$J,9,0),"無")</f>
        <v>869</v>
      </c>
      <c r="Q1175" s="342">
        <f>IFERROR(VLOOKUP($G1175,融外自投!$A:$J,8,0),"無")</f>
        <v>1431</v>
      </c>
      <c r="R1175" s="81" t="str">
        <f>IFERROR(VLOOKUP($G1175,融外自投!$A:$J,10,0),"無")</f>
        <v>無</v>
      </c>
      <c r="S1175" s="324">
        <f>IFERROR(VLOOKUP($G1175,'321買'!$A:$E,4,0),"'沒有資料'")</f>
        <v>1002</v>
      </c>
      <c r="T1175" s="186">
        <f>IFERROR(VLOOKUP($G1175,基本資料!$A:$J,9,0),"無")</f>
        <v>20.2</v>
      </c>
      <c r="U1175" s="307">
        <f t="shared" si="206"/>
        <v>0.337228714524207</v>
      </c>
      <c r="V1175" s="94">
        <f>IFERROR(VLOOKUP($G1175,基本資料!$A:$J,10,0),"無")</f>
        <v>12.41</v>
      </c>
      <c r="W1175" s="36">
        <f>RTD("money.excel",,"6204","Price")</f>
        <v>59.9</v>
      </c>
      <c r="X1175" s="66"/>
      <c r="Y1175" s="15">
        <f t="shared" si="202"/>
        <v>59.9</v>
      </c>
      <c r="Z1175" s="3" t="e">
        <f t="shared" si="203"/>
        <v>#DIV/0!</v>
      </c>
      <c r="AA1175" s="340">
        <f>IFERROR(VLOOKUP($G1175,基本資料!$A:$M,11,0),"無")</f>
        <v>-43.22</v>
      </c>
      <c r="AB1175" s="389">
        <f>IFERROR(VLOOKUP($G1175,基本資料!$A:$M,12,0),"無")</f>
        <v>16.559999999999999</v>
      </c>
      <c r="AC1175" s="16" t="s">
        <v>4594</v>
      </c>
      <c r="AF1175" s="33">
        <f t="shared" si="204"/>
        <v>0</v>
      </c>
      <c r="AG1175" s="43" t="s">
        <v>2419</v>
      </c>
      <c r="AH1175" s="66">
        <f t="shared" si="207"/>
        <v>1.0893246187363834</v>
      </c>
      <c r="AI1175" s="283">
        <f>RTD("money.excel",,$G1175,"PredictVolume")</f>
        <v>25</v>
      </c>
      <c r="AJ1175" s="391">
        <f>IFERROR(VLOOKUP($G1175,基本資料!$A:$M,13,0),"無")</f>
        <v>22.95</v>
      </c>
      <c r="AR1175" s="245" t="str">
        <f>INDEX(基本資料!N:N,MATCH($G1175,基本資料!A:A,0))</f>
        <v>低</v>
      </c>
    </row>
    <row r="1176" spans="1:44">
      <c r="A1176" s="343">
        <f>IFERROR(VLOOKUP($G1176,基本資料!$A:$J,3,0),"無")</f>
        <v>7.93</v>
      </c>
      <c r="B1176" s="79">
        <f>IFERROR(VLOOKUP($G1176,基本資料!$A:$J,4,0),"無")</f>
        <v>2</v>
      </c>
      <c r="C1176" s="79">
        <f>IFERROR(VLOOKUP($G1176,基本資料!$A:$J,5,0),"無")</f>
        <v>0</v>
      </c>
      <c r="D1176" s="79">
        <f>IFERROR(VLOOKUP($G1176,基本資料!$A:$J,6,0),"無")</f>
        <v>13</v>
      </c>
      <c r="E1176" s="79">
        <f>IFERROR(VLOOKUP($G1176,基本資料!$A:$J,7,0),"無")</f>
        <v>32</v>
      </c>
      <c r="F1176" s="6">
        <f>IFERROR(VLOOKUP($G1176,基本資料!$A:$J,8,0),"無")</f>
        <v>10.76</v>
      </c>
      <c r="G1176" s="79">
        <v>6205</v>
      </c>
      <c r="H1176" s="8" t="s">
        <v>308</v>
      </c>
      <c r="I1176" s="22" t="s">
        <v>398</v>
      </c>
      <c r="J1176" s="8">
        <f>IFERROR(VLOOKUP($G1176,今日總結!$A:$AN,39,0),"")</f>
        <v>0</v>
      </c>
      <c r="K1176" s="5">
        <f>IFERROR(VLOOKUP($G1176,今日總結!$A:$AN,40,0),"")</f>
        <v>0</v>
      </c>
      <c r="L1176" s="156">
        <f>IFERROR(VLOOKUP($G1176,今日總結!$A:$AN,37,0),"")</f>
        <v>0</v>
      </c>
      <c r="M1176" s="337">
        <f>IFERROR(VLOOKUP($G1176,今日總結!$A:$AN,38,0),"")</f>
        <v>0</v>
      </c>
      <c r="N1176" s="240">
        <f t="shared" si="205"/>
        <v>0</v>
      </c>
      <c r="O1176" s="359">
        <f>IFERROR(VLOOKUP($G1176,融外自投!$A:$J,7,0),"無")</f>
        <v>41</v>
      </c>
      <c r="P1176" s="79">
        <f>IFERROR(VLOOKUP($G1176,融外自投!$A:$J,9,0),"無")</f>
        <v>717</v>
      </c>
      <c r="Q1176" s="342">
        <f>IFERROR(VLOOKUP($G1176,融外自投!$A:$J,8,0),"無")</f>
        <v>1017</v>
      </c>
      <c r="R1176" s="81">
        <f>IFERROR(VLOOKUP($G1176,融外自投!$A:$J,10,0),"無")</f>
        <v>236</v>
      </c>
      <c r="S1176" s="324">
        <f>IFERROR(VLOOKUP($G1176,'321買'!$A:$E,4,0),"'沒有資料'")</f>
        <v>63</v>
      </c>
      <c r="T1176" s="186">
        <f>IFERROR(VLOOKUP($G1176,基本資料!$A:$J,9,0),"無")</f>
        <v>2</v>
      </c>
      <c r="U1176" s="307">
        <f t="shared" si="206"/>
        <v>2.5252525252525252E-2</v>
      </c>
      <c r="V1176" s="94">
        <f>IFERROR(VLOOKUP($G1176,基本資料!$A:$J,10,0),"無")</f>
        <v>2.02</v>
      </c>
      <c r="W1176" s="36">
        <f>RTD("money.excel",,"6205","Price")</f>
        <v>79.2</v>
      </c>
      <c r="X1176" s="66"/>
      <c r="Y1176" s="15">
        <f t="shared" si="202"/>
        <v>79.2</v>
      </c>
      <c r="Z1176" s="3" t="e">
        <f t="shared" si="203"/>
        <v>#DIV/0!</v>
      </c>
      <c r="AA1176" s="340">
        <f>IFERROR(VLOOKUP($G1176,基本資料!$A:$M,11,0),"無")</f>
        <v>-17.239999999999998</v>
      </c>
      <c r="AB1176" s="389">
        <f>IFERROR(VLOOKUP($G1176,基本資料!$A:$M,12,0),"無")</f>
        <v>37.75</v>
      </c>
      <c r="AC1176" s="22" t="s">
        <v>398</v>
      </c>
      <c r="AF1176" s="33">
        <f t="shared" si="204"/>
        <v>0</v>
      </c>
      <c r="AG1176" s="43" t="s">
        <v>1902</v>
      </c>
      <c r="AH1176" s="66">
        <f t="shared" si="207"/>
        <v>0.38429512250510967</v>
      </c>
      <c r="AI1176" s="283">
        <f>RTD("money.excel",,$G1176,"PredictVolume")</f>
        <v>1523</v>
      </c>
      <c r="AJ1176" s="391">
        <f>IFERROR(VLOOKUP($G1176,基本資料!$A:$M,13,0),"無")</f>
        <v>3963.1</v>
      </c>
      <c r="AR1176" s="245" t="str">
        <f>INDEX(基本資料!N:N,MATCH($G1176,基本資料!A:A,0))</f>
        <v>高</v>
      </c>
    </row>
    <row r="1177" spans="1:44">
      <c r="A1177" s="343">
        <f>IFERROR(VLOOKUP($G1177,基本資料!$A:$J,3,0),"無")</f>
        <v>8.3800000000000008</v>
      </c>
      <c r="B1177" s="79">
        <f>IFERROR(VLOOKUP($G1177,基本資料!$A:$J,4,0),"無")</f>
        <v>102</v>
      </c>
      <c r="C1177" s="79">
        <f>IFERROR(VLOOKUP($G1177,基本資料!$A:$J,5,0),"無")</f>
        <v>140</v>
      </c>
      <c r="D1177" s="79">
        <f>IFERROR(VLOOKUP($G1177,基本資料!$A:$J,6,0),"無")</f>
        <v>-37</v>
      </c>
      <c r="E1177" s="79">
        <f>IFERROR(VLOOKUP($G1177,基本資料!$A:$J,7,0),"無")</f>
        <v>-45</v>
      </c>
      <c r="F1177" s="6">
        <f>IFERROR(VLOOKUP($G1177,基本資料!$A:$J,8,0),"無")</f>
        <v>13.33</v>
      </c>
      <c r="G1177" s="79">
        <v>6207</v>
      </c>
      <c r="H1177" s="8" t="s">
        <v>308</v>
      </c>
      <c r="I1177" s="16" t="s">
        <v>318</v>
      </c>
      <c r="J1177" s="8">
        <f>IFERROR(VLOOKUP($G1177,今日總結!$A:$AN,39,0),"")</f>
        <v>0</v>
      </c>
      <c r="K1177" s="5">
        <f>IFERROR(VLOOKUP($G1177,今日總結!$A:$AN,40,0),"")</f>
        <v>0</v>
      </c>
      <c r="L1177" s="156">
        <f>IFERROR(VLOOKUP($G1177,今日總結!$A:$AN,37,0),"")</f>
        <v>0</v>
      </c>
      <c r="M1177" s="337">
        <f>IFERROR(VLOOKUP($G1177,今日總結!$A:$AN,38,0),"")</f>
        <v>0</v>
      </c>
      <c r="N1177" s="240">
        <f t="shared" si="205"/>
        <v>0</v>
      </c>
      <c r="O1177" s="359">
        <f>IFERROR(VLOOKUP($G1177,融外自投!$A:$J,7,0),"無")</f>
        <v>534</v>
      </c>
      <c r="P1177" s="79">
        <f>IFERROR(VLOOKUP($G1177,融外自投!$A:$J,9,0),"無")</f>
        <v>525</v>
      </c>
      <c r="Q1177" s="342">
        <f>IFERROR(VLOOKUP($G1177,融外自投!$A:$J,8,0),"無")</f>
        <v>1057</v>
      </c>
      <c r="R1177" s="81" t="str">
        <f>IFERROR(VLOOKUP($G1177,融外自投!$A:$J,10,0),"無")</f>
        <v>無</v>
      </c>
      <c r="S1177" s="324">
        <f>IFERROR(VLOOKUP($G1177,'321買'!$A:$E,4,0),"'沒有資料'")</f>
        <v>565</v>
      </c>
      <c r="T1177" s="186">
        <f>IFERROR(VLOOKUP($G1177,基本資料!$A:$J,9,0),"無")</f>
        <v>1.5</v>
      </c>
      <c r="U1177" s="307">
        <f t="shared" si="206"/>
        <v>5.2083333333333329E-2</v>
      </c>
      <c r="V1177" s="94">
        <f>IFERROR(VLOOKUP($G1177,基本資料!$A:$J,10,0),"無")</f>
        <v>3.07</v>
      </c>
      <c r="W1177" s="36">
        <f>RTD("money.excel",,"6207","Price")</f>
        <v>28.8</v>
      </c>
      <c r="X1177" s="66"/>
      <c r="Y1177" s="15">
        <f t="shared" si="202"/>
        <v>28.8</v>
      </c>
      <c r="Z1177" s="3" t="e">
        <f t="shared" si="203"/>
        <v>#DIV/0!</v>
      </c>
      <c r="AA1177" s="340">
        <f>IFERROR(VLOOKUP($G1177,基本資料!$A:$M,11,0),"無")</f>
        <v>-32.24</v>
      </c>
      <c r="AB1177" s="389">
        <f>IFERROR(VLOOKUP($G1177,基本資料!$A:$M,12,0),"無")</f>
        <v>11.65</v>
      </c>
      <c r="AC1177" s="16" t="s">
        <v>318</v>
      </c>
      <c r="AF1177" s="33">
        <f t="shared" si="204"/>
        <v>0</v>
      </c>
      <c r="AG1177" s="43" t="s">
        <v>2301</v>
      </c>
      <c r="AH1177" s="66">
        <f t="shared" si="207"/>
        <v>0.3664754620777565</v>
      </c>
      <c r="AI1177" s="283">
        <f>RTD("money.excel",,$G1177,"PredictVolume")</f>
        <v>115</v>
      </c>
      <c r="AJ1177" s="391">
        <f>IFERROR(VLOOKUP($G1177,基本資料!$A:$M,13,0),"無")</f>
        <v>313.8</v>
      </c>
      <c r="AR1177" s="245" t="str">
        <f>INDEX(基本資料!N:N,MATCH($G1177,基本資料!A:A,0))</f>
        <v>低</v>
      </c>
    </row>
    <row r="1178" spans="1:44">
      <c r="A1178" s="343">
        <f>IFERROR(VLOOKUP($G1178,基本資料!$A:$J,3,0),"無")</f>
        <v>11.82</v>
      </c>
      <c r="B1178" s="79">
        <f>IFERROR(VLOOKUP($G1178,基本資料!$A:$J,4,0),"無")</f>
        <v>23</v>
      </c>
      <c r="C1178" s="79">
        <f>IFERROR(VLOOKUP($G1178,基本資料!$A:$J,5,0),"無")</f>
        <v>69</v>
      </c>
      <c r="D1178" s="79">
        <f>IFERROR(VLOOKUP($G1178,基本資料!$A:$J,6,0),"無")</f>
        <v>-7</v>
      </c>
      <c r="E1178" s="79">
        <f>IFERROR(VLOOKUP($G1178,基本資料!$A:$J,7,0),"無")</f>
        <v>15</v>
      </c>
      <c r="F1178" s="6">
        <f>IFERROR(VLOOKUP($G1178,基本資料!$A:$J,8,0),"無")</f>
        <v>14.24</v>
      </c>
      <c r="G1178" s="79">
        <v>6208</v>
      </c>
      <c r="H1178" s="8" t="s">
        <v>308</v>
      </c>
      <c r="I1178" s="16" t="s">
        <v>4595</v>
      </c>
      <c r="J1178" s="8">
        <f>IFERROR(VLOOKUP($G1178,今日總結!$A:$AN,39,0),"")</f>
        <v>0</v>
      </c>
      <c r="K1178" s="5">
        <f>IFERROR(VLOOKUP($G1178,今日總結!$A:$AN,40,0),"")</f>
        <v>0</v>
      </c>
      <c r="L1178" s="156">
        <f>IFERROR(VLOOKUP($G1178,今日總結!$A:$AN,37,0),"")</f>
        <v>0</v>
      </c>
      <c r="M1178" s="337">
        <f>IFERROR(VLOOKUP($G1178,今日總結!$A:$AN,38,0),"")</f>
        <v>0</v>
      </c>
      <c r="N1178" s="240">
        <f t="shared" si="205"/>
        <v>0</v>
      </c>
      <c r="O1178" s="359">
        <f>IFERROR(VLOOKUP($G1178,融外自投!$A:$J,7,0),"無")</f>
        <v>624</v>
      </c>
      <c r="P1178" s="79" t="str">
        <f>IFERROR(VLOOKUP($G1178,融外自投!$A:$J,9,0),"無")</f>
        <v>無</v>
      </c>
      <c r="Q1178" s="342">
        <f>IFERROR(VLOOKUP($G1178,融外自投!$A:$J,8,0),"無")</f>
        <v>1133</v>
      </c>
      <c r="R1178" s="81" t="str">
        <f>IFERROR(VLOOKUP($G1178,融外自投!$A:$J,10,0),"無")</f>
        <v>無</v>
      </c>
      <c r="S1178" s="324">
        <f>IFERROR(VLOOKUP($G1178,'321買'!$A:$E,4,0),"'沒有資料'")</f>
        <v>497</v>
      </c>
      <c r="T1178" s="186">
        <f>IFERROR(VLOOKUP($G1178,基本資料!$A:$J,9,0),"無")</f>
        <v>2.2000000000000002</v>
      </c>
      <c r="U1178" s="307">
        <f t="shared" si="206"/>
        <v>4.4670050761421325E-2</v>
      </c>
      <c r="V1178" s="94">
        <f>IFERROR(VLOOKUP($G1178,基本資料!$A:$J,10,0),"無")</f>
        <v>3.32</v>
      </c>
      <c r="W1178" s="36">
        <f>RTD("money.excel",,"6208","Price")</f>
        <v>49.25</v>
      </c>
      <c r="X1178" s="66"/>
      <c r="Y1178" s="15">
        <f t="shared" si="202"/>
        <v>49.25</v>
      </c>
      <c r="Z1178" s="3" t="e">
        <f t="shared" si="203"/>
        <v>#DIV/0!</v>
      </c>
      <c r="AA1178" s="340">
        <f>IFERROR(VLOOKUP($G1178,基本資料!$A:$M,11,0),"無")</f>
        <v>-23.52</v>
      </c>
      <c r="AB1178" s="389">
        <f>IFERROR(VLOOKUP($G1178,基本資料!$A:$M,12,0),"無")</f>
        <v>15.63</v>
      </c>
      <c r="AC1178" s="16" t="s">
        <v>4595</v>
      </c>
      <c r="AF1178" s="33">
        <f t="shared" si="204"/>
        <v>0</v>
      </c>
      <c r="AG1178" s="43" t="s">
        <v>2941</v>
      </c>
      <c r="AH1178" s="66">
        <f t="shared" si="207"/>
        <v>0.46458923512747874</v>
      </c>
      <c r="AI1178" s="283">
        <f>RTD("money.excel",,$G1178,"PredictVolume")</f>
        <v>123</v>
      </c>
      <c r="AJ1178" s="391">
        <f>IFERROR(VLOOKUP($G1178,基本資料!$A:$M,13,0),"無")</f>
        <v>264.75</v>
      </c>
      <c r="AR1178" s="245" t="str">
        <f>INDEX(基本資料!N:N,MATCH($G1178,基本資料!A:A,0))</f>
        <v>中</v>
      </c>
    </row>
    <row r="1179" spans="1:44">
      <c r="A1179" s="343">
        <f>IFERROR(VLOOKUP($G1179,基本資料!$A:$J,3,0),"無")</f>
        <v>3.5</v>
      </c>
      <c r="B1179" s="79">
        <f>IFERROR(VLOOKUP($G1179,基本資料!$A:$J,4,0),"無")</f>
        <v>-8</v>
      </c>
      <c r="C1179" s="79">
        <f>IFERROR(VLOOKUP($G1179,基本資料!$A:$J,5,0),"無")</f>
        <v>-14</v>
      </c>
      <c r="D1179" s="79">
        <f>IFERROR(VLOOKUP($G1179,基本資料!$A:$J,6,0),"無")</f>
        <v>-3</v>
      </c>
      <c r="E1179" s="79">
        <f>IFERROR(VLOOKUP($G1179,基本資料!$A:$J,7,0),"無")</f>
        <v>32</v>
      </c>
      <c r="F1179" s="6">
        <f>IFERROR(VLOOKUP($G1179,基本資料!$A:$J,8,0),"無")</f>
        <v>16.32</v>
      </c>
      <c r="G1179" s="79">
        <v>6210</v>
      </c>
      <c r="H1179" s="8" t="s">
        <v>308</v>
      </c>
      <c r="I1179" s="16" t="s">
        <v>435</v>
      </c>
      <c r="J1179" s="8">
        <f>IFERROR(VLOOKUP($G1179,今日總結!$A:$AN,39,0),"")</f>
        <v>0</v>
      </c>
      <c r="K1179" s="5">
        <f>IFERROR(VLOOKUP($G1179,今日總結!$A:$AN,40,0),"")</f>
        <v>0</v>
      </c>
      <c r="L1179" s="156">
        <f>IFERROR(VLOOKUP($G1179,今日總結!$A:$AN,37,0),"")</f>
        <v>0</v>
      </c>
      <c r="M1179" s="337">
        <f>IFERROR(VLOOKUP($G1179,今日總結!$A:$AN,38,0),"")</f>
        <v>0</v>
      </c>
      <c r="N1179" s="240">
        <f t="shared" si="205"/>
        <v>0</v>
      </c>
      <c r="O1179" s="359">
        <f>IFERROR(VLOOKUP($G1179,融外自投!$A:$J,7,0),"無")</f>
        <v>1251</v>
      </c>
      <c r="P1179" s="79" t="str">
        <f>IFERROR(VLOOKUP($G1179,融外自投!$A:$J,9,0),"無")</f>
        <v>無</v>
      </c>
      <c r="Q1179" s="342">
        <f>IFERROR(VLOOKUP($G1179,融外自投!$A:$J,8,0),"無")</f>
        <v>1425</v>
      </c>
      <c r="R1179" s="81" t="str">
        <f>IFERROR(VLOOKUP($G1179,融外自投!$A:$J,10,0),"無")</f>
        <v>無</v>
      </c>
      <c r="S1179" s="324">
        <f>IFERROR(VLOOKUP($G1179,'321買'!$A:$E,4,0),"'沒有資料'")</f>
        <v>1002</v>
      </c>
      <c r="T1179" s="186">
        <f>IFERROR(VLOOKUP($G1179,基本資料!$A:$J,9,0),"無")</f>
        <v>3</v>
      </c>
      <c r="U1179" s="307">
        <f t="shared" si="206"/>
        <v>7.2289156626506021E-2</v>
      </c>
      <c r="V1179" s="94">
        <f>IFERROR(VLOOKUP($G1179,基本資料!$A:$J,10,0),"無")</f>
        <v>2.95</v>
      </c>
      <c r="W1179" s="36">
        <f>RTD("money.excel",,"6210","Price")</f>
        <v>41.5</v>
      </c>
      <c r="X1179" s="66"/>
      <c r="Y1179" s="15">
        <f t="shared" si="202"/>
        <v>41.5</v>
      </c>
      <c r="Z1179" s="3" t="e">
        <f t="shared" si="203"/>
        <v>#DIV/0!</v>
      </c>
      <c r="AA1179" s="340">
        <f>IFERROR(VLOOKUP($G1179,基本資料!$A:$M,11,0),"無")</f>
        <v>-4.16</v>
      </c>
      <c r="AB1179" s="389">
        <f>IFERROR(VLOOKUP($G1179,基本資料!$A:$M,12,0),"無")</f>
        <v>47.77</v>
      </c>
      <c r="AC1179" s="16" t="s">
        <v>435</v>
      </c>
      <c r="AF1179" s="33">
        <f t="shared" si="204"/>
        <v>0</v>
      </c>
      <c r="AG1179" s="43" t="s">
        <v>1043</v>
      </c>
      <c r="AH1179" s="66">
        <f t="shared" si="207"/>
        <v>1.0526315789473684</v>
      </c>
      <c r="AI1179" s="283">
        <f>RTD("money.excel",,$G1179,"PredictVolume")</f>
        <v>16</v>
      </c>
      <c r="AJ1179" s="391">
        <f>IFERROR(VLOOKUP($G1179,基本資料!$A:$M,13,0),"無")</f>
        <v>15.2</v>
      </c>
      <c r="AR1179" s="245" t="str">
        <f>INDEX(基本資料!N:N,MATCH($G1179,基本資料!A:A,0))</f>
        <v>中</v>
      </c>
    </row>
    <row r="1180" spans="1:44">
      <c r="A1180" s="343">
        <f>IFERROR(VLOOKUP($G1180,基本資料!$A:$J,3,0),"無")</f>
        <v>38.29</v>
      </c>
      <c r="B1180" s="79">
        <f>IFERROR(VLOOKUP($G1180,基本資料!$A:$J,4,0),"無")</f>
        <v>17</v>
      </c>
      <c r="C1180" s="79">
        <f>IFERROR(VLOOKUP($G1180,基本資料!$A:$J,5,0),"無")</f>
        <v>18</v>
      </c>
      <c r="D1180" s="79">
        <f>IFERROR(VLOOKUP($G1180,基本資料!$A:$J,6,0),"無")</f>
        <v>-3</v>
      </c>
      <c r="E1180" s="79">
        <f>IFERROR(VLOOKUP($G1180,基本資料!$A:$J,7,0),"無")</f>
        <v>0</v>
      </c>
      <c r="F1180" s="6">
        <f>IFERROR(VLOOKUP($G1180,基本資料!$A:$J,8,0),"無")</f>
        <v>11.74</v>
      </c>
      <c r="G1180" s="79">
        <v>6213</v>
      </c>
      <c r="H1180" s="192" t="s">
        <v>308</v>
      </c>
      <c r="I1180" s="22" t="s">
        <v>58</v>
      </c>
      <c r="J1180" s="8">
        <f>IFERROR(VLOOKUP($G1180,今日總結!$A:$AN,39,0),"")</f>
        <v>0</v>
      </c>
      <c r="K1180" s="5">
        <f>IFERROR(VLOOKUP($G1180,今日總結!$A:$AN,40,0),"")</f>
        <v>0</v>
      </c>
      <c r="L1180" s="156">
        <f>IFERROR(VLOOKUP($G1180,今日總結!$A:$AN,37,0),"")</f>
        <v>0</v>
      </c>
      <c r="M1180" s="337">
        <f>IFERROR(VLOOKUP($G1180,今日總結!$A:$AN,38,0),"")</f>
        <v>0</v>
      </c>
      <c r="N1180" s="240">
        <f t="shared" si="205"/>
        <v>0</v>
      </c>
      <c r="O1180" s="359">
        <f>IFERROR(VLOOKUP($G1180,融外自投!$A:$J,7,0),"無")</f>
        <v>808</v>
      </c>
      <c r="P1180" s="79">
        <f>IFERROR(VLOOKUP($G1180,融外自投!$A:$J,9,0),"無")</f>
        <v>825</v>
      </c>
      <c r="Q1180" s="342">
        <f>IFERROR(VLOOKUP($G1180,融外自投!$A:$J,8,0),"無")</f>
        <v>542</v>
      </c>
      <c r="R1180" s="81">
        <f>IFERROR(VLOOKUP($G1180,融外自投!$A:$J,10,0),"無")</f>
        <v>427</v>
      </c>
      <c r="S1180" s="324">
        <f>IFERROR(VLOOKUP($G1180,'321買'!$A:$E,4,0),"'沒有資料'")</f>
        <v>321</v>
      </c>
      <c r="T1180" s="186">
        <f>IFERROR(VLOOKUP($G1180,基本資料!$A:$J,9,0),"無")</f>
        <v>5</v>
      </c>
      <c r="U1180" s="307">
        <f t="shared" si="206"/>
        <v>5.0761421319796954E-2</v>
      </c>
      <c r="V1180" s="94">
        <f>IFERROR(VLOOKUP($G1180,基本資料!$A:$J,10,0),"無")</f>
        <v>9</v>
      </c>
      <c r="W1180" s="36">
        <f>RTD("money.excel",,"6213","Price")</f>
        <v>98.5</v>
      </c>
      <c r="X1180" s="66"/>
      <c r="Y1180" s="15">
        <f t="shared" si="202"/>
        <v>98.5</v>
      </c>
      <c r="Z1180" s="3" t="e">
        <f t="shared" si="203"/>
        <v>#DIV/0!</v>
      </c>
      <c r="AA1180" s="340">
        <f>IFERROR(VLOOKUP($G1180,基本資料!$A:$M,11,0),"無")</f>
        <v>-42.23</v>
      </c>
      <c r="AB1180" s="389">
        <f>IFERROR(VLOOKUP($G1180,基本資料!$A:$M,12,0),"無")</f>
        <v>11.76</v>
      </c>
      <c r="AC1180" s="22" t="s">
        <v>58</v>
      </c>
      <c r="AF1180" s="33">
        <f t="shared" si="204"/>
        <v>0</v>
      </c>
      <c r="AG1180" s="117" t="s">
        <v>3277</v>
      </c>
      <c r="AH1180" s="66">
        <f t="shared" si="207"/>
        <v>0.80761197493618009</v>
      </c>
      <c r="AI1180" s="283">
        <f>RTD("money.excel",,$G1180,"PredictVolume")</f>
        <v>696</v>
      </c>
      <c r="AJ1180" s="391">
        <f>IFERROR(VLOOKUP($G1180,基本資料!$A:$M,13,0),"無")</f>
        <v>861.8</v>
      </c>
      <c r="AR1180" s="245" t="str">
        <f>INDEX(基本資料!N:N,MATCH($G1180,基本資料!A:A,0))</f>
        <v>低</v>
      </c>
    </row>
    <row r="1181" spans="1:44">
      <c r="A1181" s="343">
        <f>IFERROR(VLOOKUP($G1181,基本資料!$A:$J,3,0),"無")</f>
        <v>7.53</v>
      </c>
      <c r="B1181" s="79">
        <f>IFERROR(VLOOKUP($G1181,基本資料!$A:$J,4,0),"無")</f>
        <v>116</v>
      </c>
      <c r="C1181" s="79">
        <f>IFERROR(VLOOKUP($G1181,基本資料!$A:$J,5,0),"無")</f>
        <v>119</v>
      </c>
      <c r="D1181" s="79">
        <f>IFERROR(VLOOKUP($G1181,基本資料!$A:$J,6,0),"無")</f>
        <v>-13</v>
      </c>
      <c r="E1181" s="79">
        <f>IFERROR(VLOOKUP($G1181,基本資料!$A:$J,7,0),"無")</f>
        <v>22</v>
      </c>
      <c r="F1181" s="6">
        <f>IFERROR(VLOOKUP($G1181,基本資料!$A:$J,8,0),"無")</f>
        <v>7.12</v>
      </c>
      <c r="G1181" s="79">
        <v>6217</v>
      </c>
      <c r="H1181" s="8" t="s">
        <v>308</v>
      </c>
      <c r="I1181" s="16" t="s">
        <v>150</v>
      </c>
      <c r="J1181" s="8">
        <f>IFERROR(VLOOKUP($G1181,今日總結!$A:$AN,39,0),"")</f>
        <v>4</v>
      </c>
      <c r="K1181" s="5">
        <f>IFERROR(VLOOKUP($G1181,今日總結!$A:$AN,40,0),"")</f>
        <v>0</v>
      </c>
      <c r="L1181" s="156">
        <f>IFERROR(VLOOKUP($G1181,今日總結!$A:$AN,37,0),"")</f>
        <v>1</v>
      </c>
      <c r="M1181" s="337">
        <f>IFERROR(VLOOKUP($G1181,今日總結!$A:$AN,38,0),"")</f>
        <v>0</v>
      </c>
      <c r="N1181" s="240">
        <f t="shared" si="205"/>
        <v>1</v>
      </c>
      <c r="O1181" s="359">
        <f>IFERROR(VLOOKUP($G1181,融外自投!$A:$J,7,0),"無")</f>
        <v>13</v>
      </c>
      <c r="P1181" s="79">
        <f>IFERROR(VLOOKUP($G1181,融外自投!$A:$J,9,0),"無")</f>
        <v>118</v>
      </c>
      <c r="Q1181" s="342">
        <f>IFERROR(VLOOKUP($G1181,融外自投!$A:$J,8,0),"無")</f>
        <v>916</v>
      </c>
      <c r="R1181" s="81">
        <f>IFERROR(VLOOKUP($G1181,融外自投!$A:$J,10,0),"無")</f>
        <v>37</v>
      </c>
      <c r="S1181" s="324">
        <f>IFERROR(VLOOKUP($G1181,'321買'!$A:$E,4,0),"'沒有資料'")</f>
        <v>9</v>
      </c>
      <c r="T1181" s="186">
        <f>IFERROR(VLOOKUP($G1181,基本資料!$A:$J,9,0),"無")</f>
        <v>1.8</v>
      </c>
      <c r="U1181" s="307">
        <f t="shared" si="206"/>
        <v>3.2786885245901641E-2</v>
      </c>
      <c r="V1181" s="94">
        <f>IFERROR(VLOOKUP($G1181,基本資料!$A:$J,10,0),"無")</f>
        <v>2.7</v>
      </c>
      <c r="W1181" s="36">
        <f>RTD("money.excel",,"6217","Price")</f>
        <v>54.9</v>
      </c>
      <c r="X1181" s="66"/>
      <c r="Y1181" s="15">
        <f t="shared" si="202"/>
        <v>54.9</v>
      </c>
      <c r="Z1181" s="3" t="e">
        <f t="shared" si="203"/>
        <v>#DIV/0!</v>
      </c>
      <c r="AA1181" s="340">
        <f>IFERROR(VLOOKUP($G1181,基本資料!$A:$M,11,0),"無")</f>
        <v>-17.809999999999999</v>
      </c>
      <c r="AB1181" s="389">
        <f>IFERROR(VLOOKUP($G1181,基本資料!$A:$M,12,0),"無")</f>
        <v>42.27</v>
      </c>
      <c r="AC1181" s="16" t="s">
        <v>150</v>
      </c>
      <c r="AF1181" s="33">
        <f t="shared" si="204"/>
        <v>0</v>
      </c>
      <c r="AG1181" s="117" t="s">
        <v>2305</v>
      </c>
      <c r="AH1181" s="66">
        <f t="shared" si="207"/>
        <v>0.61596946179569689</v>
      </c>
      <c r="AI1181" s="283">
        <f>RTD("money.excel",,$G1181,"PredictVolume")</f>
        <v>3905</v>
      </c>
      <c r="AJ1181" s="391">
        <f>IFERROR(VLOOKUP($G1181,基本資料!$A:$M,13,0),"無")</f>
        <v>6339.6</v>
      </c>
      <c r="AR1181" s="245" t="str">
        <f>INDEX(基本資料!N:N,MATCH($G1181,基本資料!A:A,0))</f>
        <v>中</v>
      </c>
    </row>
    <row r="1182" spans="1:44">
      <c r="A1182" s="343">
        <f>IFERROR(VLOOKUP($G1182,基本資料!$A:$J,3,0),"無")</f>
        <v>13.19</v>
      </c>
      <c r="B1182" s="79">
        <f>IFERROR(VLOOKUP($G1182,基本資料!$A:$J,4,0),"無")</f>
        <v>-67</v>
      </c>
      <c r="C1182" s="79">
        <f>IFERROR(VLOOKUP($G1182,基本資料!$A:$J,5,0),"無")</f>
        <v>-60</v>
      </c>
      <c r="D1182" s="79">
        <f>IFERROR(VLOOKUP($G1182,基本資料!$A:$J,6,0),"無")</f>
        <v>-9</v>
      </c>
      <c r="E1182" s="79">
        <f>IFERROR(VLOOKUP($G1182,基本資料!$A:$J,7,0),"無")</f>
        <v>0</v>
      </c>
      <c r="F1182" s="6">
        <f>IFERROR(VLOOKUP($G1182,基本資料!$A:$J,8,0),"無")</f>
        <v>1.71</v>
      </c>
      <c r="G1182" s="79">
        <v>6220</v>
      </c>
      <c r="H1182" s="8" t="s">
        <v>308</v>
      </c>
      <c r="I1182" s="16" t="s">
        <v>4596</v>
      </c>
      <c r="J1182" s="8" t="str">
        <f>IFERROR(VLOOKUP($G1182,今日總結!$A:$AN,39,0),"")</f>
        <v>主</v>
      </c>
      <c r="K1182" s="5">
        <f>IFERROR(VLOOKUP($G1182,今日總結!$A:$AN,40,0),"")</f>
        <v>0</v>
      </c>
      <c r="L1182" s="156">
        <f>IFERROR(VLOOKUP($G1182,今日總結!$A:$AN,37,0),"")</f>
        <v>6</v>
      </c>
      <c r="M1182" s="337">
        <f>IFERROR(VLOOKUP($G1182,今日總結!$A:$AN,38,0),"")</f>
        <v>0</v>
      </c>
      <c r="N1182" s="240">
        <f t="shared" si="205"/>
        <v>6</v>
      </c>
      <c r="O1182" s="359">
        <f>IFERROR(VLOOKUP($G1182,融外自投!$A:$J,7,0),"無")</f>
        <v>870</v>
      </c>
      <c r="P1182" s="79">
        <f>IFERROR(VLOOKUP($G1182,融外自投!$A:$J,9,0),"無")</f>
        <v>302</v>
      </c>
      <c r="Q1182" s="342">
        <f>IFERROR(VLOOKUP($G1182,融外自投!$A:$J,8,0),"無")</f>
        <v>1110</v>
      </c>
      <c r="R1182" s="81" t="str">
        <f>IFERROR(VLOOKUP($G1182,融外自投!$A:$J,10,0),"無")</f>
        <v>無</v>
      </c>
      <c r="S1182" s="324">
        <f>IFERROR(VLOOKUP($G1182,'321買'!$A:$E,4,0),"'沒有資料'")</f>
        <v>1002</v>
      </c>
      <c r="T1182" s="186">
        <f>IFERROR(VLOOKUP($G1182,基本資料!$A:$J,9,0),"無")</f>
        <v>0.13</v>
      </c>
      <c r="U1182" s="307">
        <f t="shared" si="206"/>
        <v>5.6521739130434784E-3</v>
      </c>
      <c r="V1182" s="94">
        <f>IFERROR(VLOOKUP($G1182,基本資料!$A:$J,10,0),"無")</f>
        <v>0.76</v>
      </c>
      <c r="W1182" s="36">
        <f>RTD("money.excel",,"6220","Price")</f>
        <v>23</v>
      </c>
      <c r="X1182" s="66"/>
      <c r="Y1182" s="15">
        <f t="shared" si="202"/>
        <v>23</v>
      </c>
      <c r="Z1182" s="3" t="e">
        <f t="shared" si="203"/>
        <v>#DIV/0!</v>
      </c>
      <c r="AA1182" s="340">
        <f>IFERROR(VLOOKUP($G1182,基本資料!$A:$M,11,0),"無")</f>
        <v>-17.559999999999999</v>
      </c>
      <c r="AB1182" s="389">
        <f>IFERROR(VLOOKUP($G1182,基本資料!$A:$M,12,0),"無")</f>
        <v>59.52</v>
      </c>
      <c r="AC1182" s="16" t="s">
        <v>4596</v>
      </c>
      <c r="AF1182" s="33">
        <f t="shared" si="204"/>
        <v>0</v>
      </c>
      <c r="AG1182" s="117" t="s">
        <v>2415</v>
      </c>
      <c r="AH1182" s="66">
        <f t="shared" si="207"/>
        <v>2.5357142857142856</v>
      </c>
      <c r="AI1182" s="283">
        <f>RTD("money.excel",,$G1182,"PredictVolume")</f>
        <v>426</v>
      </c>
      <c r="AJ1182" s="391">
        <f>IFERROR(VLOOKUP($G1182,基本資料!$A:$M,13,0),"無")</f>
        <v>168</v>
      </c>
      <c r="AR1182" s="245" t="str">
        <f>INDEX(基本資料!N:N,MATCH($G1182,基本資料!A:A,0))</f>
        <v>中</v>
      </c>
    </row>
    <row r="1183" spans="1:44">
      <c r="A1183" s="343">
        <f>IFERROR(VLOOKUP($G1183,基本資料!$A:$J,3,0),"無")</f>
        <v>8.56</v>
      </c>
      <c r="B1183" s="79">
        <f>IFERROR(VLOOKUP($G1183,基本資料!$A:$J,4,0),"無")</f>
        <v>12</v>
      </c>
      <c r="C1183" s="79">
        <f>IFERROR(VLOOKUP($G1183,基本資料!$A:$J,5,0),"無")</f>
        <v>19</v>
      </c>
      <c r="D1183" s="79">
        <f>IFERROR(VLOOKUP($G1183,基本資料!$A:$J,6,0),"無")</f>
        <v>-19</v>
      </c>
      <c r="E1183" s="79">
        <f>IFERROR(VLOOKUP($G1183,基本資料!$A:$J,7,0),"無")</f>
        <v>8</v>
      </c>
      <c r="F1183" s="6">
        <f>IFERROR(VLOOKUP($G1183,基本資料!$A:$J,8,0),"無")</f>
        <v>16.41</v>
      </c>
      <c r="G1183" s="79">
        <v>6224</v>
      </c>
      <c r="H1183" s="195" t="s">
        <v>308</v>
      </c>
      <c r="I1183" s="22" t="s">
        <v>230</v>
      </c>
      <c r="J1183" s="8">
        <f>IFERROR(VLOOKUP($G1183,今日總結!$A:$AN,39,0),"")</f>
        <v>0</v>
      </c>
      <c r="K1183" s="5">
        <f>IFERROR(VLOOKUP($G1183,今日總結!$A:$AN,40,0),"")</f>
        <v>0</v>
      </c>
      <c r="L1183" s="156">
        <f>IFERROR(VLOOKUP($G1183,今日總結!$A:$AN,37,0),"")</f>
        <v>0</v>
      </c>
      <c r="M1183" s="337">
        <f>IFERROR(VLOOKUP($G1183,今日總結!$A:$AN,38,0),"")</f>
        <v>0</v>
      </c>
      <c r="N1183" s="240">
        <f t="shared" si="205"/>
        <v>0</v>
      </c>
      <c r="O1183" s="359">
        <f>IFERROR(VLOOKUP($G1183,融外自投!$A:$J,7,0),"無")</f>
        <v>489</v>
      </c>
      <c r="P1183" s="79">
        <f>IFERROR(VLOOKUP($G1183,融外自投!$A:$J,9,0),"無")</f>
        <v>946</v>
      </c>
      <c r="Q1183" s="342">
        <f>IFERROR(VLOOKUP($G1183,融外自投!$A:$J,8,0),"無")</f>
        <v>572</v>
      </c>
      <c r="R1183" s="81" t="str">
        <f>IFERROR(VLOOKUP($G1183,融外自投!$A:$J,10,0),"無")</f>
        <v>無</v>
      </c>
      <c r="S1183" s="324">
        <f>IFERROR(VLOOKUP($G1183,'321買'!$A:$E,4,0),"'沒有資料'")</f>
        <v>440</v>
      </c>
      <c r="T1183" s="186">
        <f>IFERROR(VLOOKUP($G1183,基本資料!$A:$J,9,0),"無")</f>
        <v>4.25</v>
      </c>
      <c r="U1183" s="307">
        <f t="shared" si="206"/>
        <v>5.1640340218712028E-2</v>
      </c>
      <c r="V1183" s="94">
        <f>IFERROR(VLOOKUP($G1183,基本資料!$A:$J,10,0),"無")</f>
        <v>6.02</v>
      </c>
      <c r="W1183" s="36">
        <f>RTD("money.excel",,"6224","Price")</f>
        <v>82.3</v>
      </c>
      <c r="X1183" s="66"/>
      <c r="Y1183" s="15">
        <f t="shared" si="202"/>
        <v>82.3</v>
      </c>
      <c r="Z1183" s="3" t="e">
        <f t="shared" si="203"/>
        <v>#DIV/0!</v>
      </c>
      <c r="AA1183" s="340">
        <f>IFERROR(VLOOKUP($G1183,基本資料!$A:$M,11,0),"無")</f>
        <v>-56.22</v>
      </c>
      <c r="AB1183" s="389">
        <f>IFERROR(VLOOKUP($G1183,基本資料!$A:$M,12,0),"無")</f>
        <v>17.05</v>
      </c>
      <c r="AC1183" s="22" t="s">
        <v>230</v>
      </c>
      <c r="AF1183" s="33">
        <f t="shared" si="204"/>
        <v>0</v>
      </c>
      <c r="AG1183" s="119" t="s">
        <v>3071</v>
      </c>
      <c r="AH1183" s="66">
        <f t="shared" si="207"/>
        <v>2.2316771891298379</v>
      </c>
      <c r="AI1183" s="283">
        <f>RTD("money.excel",,$G1183,"PredictVolume")</f>
        <v>813</v>
      </c>
      <c r="AJ1183" s="391">
        <f>IFERROR(VLOOKUP($G1183,基本資料!$A:$M,13,0),"無")</f>
        <v>364.3</v>
      </c>
      <c r="AR1183" s="245" t="str">
        <f>INDEX(基本資料!N:N,MATCH($G1183,基本資料!A:A,0))</f>
        <v>低</v>
      </c>
    </row>
    <row r="1184" spans="1:44">
      <c r="A1184" s="343">
        <f>IFERROR(VLOOKUP($G1184,基本資料!$A:$J,3,0),"無")</f>
        <v>27.75</v>
      </c>
      <c r="B1184" s="79">
        <f>IFERROR(VLOOKUP($G1184,基本資料!$A:$J,4,0),"無")</f>
        <v>-30</v>
      </c>
      <c r="C1184" s="79">
        <f>IFERROR(VLOOKUP($G1184,基本資料!$A:$J,5,0),"無")</f>
        <v>18</v>
      </c>
      <c r="D1184" s="79">
        <f>IFERROR(VLOOKUP($G1184,基本資料!$A:$J,6,0),"無")</f>
        <v>-25</v>
      </c>
      <c r="E1184" s="79">
        <f>IFERROR(VLOOKUP($G1184,基本資料!$A:$J,7,0),"無")</f>
        <v>-6</v>
      </c>
      <c r="F1184" s="6">
        <f>IFERROR(VLOOKUP($G1184,基本資料!$A:$J,8,0),"無")</f>
        <v>4.12</v>
      </c>
      <c r="G1184" s="79">
        <v>6251</v>
      </c>
      <c r="H1184" s="195" t="s">
        <v>308</v>
      </c>
      <c r="I1184" s="22" t="s">
        <v>399</v>
      </c>
      <c r="J1184" s="8">
        <f>IFERROR(VLOOKUP($G1184,今日總結!$A:$AN,39,0),"")</f>
        <v>0</v>
      </c>
      <c r="K1184" s="5">
        <f>IFERROR(VLOOKUP($G1184,今日總結!$A:$AN,40,0),"")</f>
        <v>0</v>
      </c>
      <c r="L1184" s="156">
        <f>IFERROR(VLOOKUP($G1184,今日總結!$A:$AN,37,0),"")</f>
        <v>0</v>
      </c>
      <c r="M1184" s="337">
        <f>IFERROR(VLOOKUP($G1184,今日總結!$A:$AN,38,0),"")</f>
        <v>0</v>
      </c>
      <c r="N1184" s="240">
        <f t="shared" si="205"/>
        <v>0</v>
      </c>
      <c r="O1184" s="359">
        <f>IFERROR(VLOOKUP($G1184,融外自投!$A:$J,7,0),"無")</f>
        <v>155</v>
      </c>
      <c r="P1184" s="79">
        <f>IFERROR(VLOOKUP($G1184,融外自投!$A:$J,9,0),"無")</f>
        <v>186</v>
      </c>
      <c r="Q1184" s="342">
        <f>IFERROR(VLOOKUP($G1184,融外自投!$A:$J,8,0),"無")</f>
        <v>340</v>
      </c>
      <c r="R1184" s="81" t="str">
        <f>IFERROR(VLOOKUP($G1184,融外自投!$A:$J,10,0),"無")</f>
        <v>無</v>
      </c>
      <c r="S1184" s="324">
        <f>IFERROR(VLOOKUP($G1184,'321買'!$A:$E,4,0),"'沒有資料'")</f>
        <v>65</v>
      </c>
      <c r="T1184" s="186">
        <f>IFERROR(VLOOKUP($G1184,基本資料!$A:$J,9,0),"無")</f>
        <v>0.7</v>
      </c>
      <c r="U1184" s="307">
        <f t="shared" si="206"/>
        <v>3.2332563510392612E-2</v>
      </c>
      <c r="V1184" s="94">
        <f>IFERROR(VLOOKUP($G1184,基本資料!$A:$J,10,0),"無")</f>
        <v>1.7</v>
      </c>
      <c r="W1184" s="36">
        <f>RTD("money.excel",,"6251","Price")</f>
        <v>21.65</v>
      </c>
      <c r="X1184" s="66"/>
      <c r="Y1184" s="15">
        <f t="shared" si="202"/>
        <v>21.65</v>
      </c>
      <c r="Z1184" s="3" t="e">
        <f t="shared" si="203"/>
        <v>#DIV/0!</v>
      </c>
      <c r="AA1184" s="340">
        <f>IFERROR(VLOOKUP($G1184,基本資料!$A:$M,11,0),"無")</f>
        <v>-17.37</v>
      </c>
      <c r="AB1184" s="389">
        <f>IFERROR(VLOOKUP($G1184,基本資料!$A:$M,12,0),"無")</f>
        <v>27.48</v>
      </c>
      <c r="AC1184" s="22" t="s">
        <v>399</v>
      </c>
      <c r="AF1184" s="33">
        <f t="shared" si="204"/>
        <v>0</v>
      </c>
      <c r="AG1184" s="43" t="s">
        <v>1043</v>
      </c>
      <c r="AH1184" s="66">
        <f t="shared" si="207"/>
        <v>0.67668091670915531</v>
      </c>
      <c r="AI1184" s="283">
        <f>RTD("money.excel",,$G1184,"PredictVolume")</f>
        <v>2588</v>
      </c>
      <c r="AJ1184" s="391">
        <f>IFERROR(VLOOKUP($G1184,基本資料!$A:$M,13,0),"無")</f>
        <v>3824.55</v>
      </c>
      <c r="AR1184" s="245" t="str">
        <f>INDEX(基本資料!N:N,MATCH($G1184,基本資料!A:A,0))</f>
        <v>中</v>
      </c>
    </row>
    <row r="1185" spans="1:44">
      <c r="A1185" s="343">
        <f>IFERROR(VLOOKUP($G1185,基本資料!$A:$J,3,0),"無")</f>
        <v>1.85</v>
      </c>
      <c r="B1185" s="79">
        <f>IFERROR(VLOOKUP($G1185,基本資料!$A:$J,4,0),"無")</f>
        <v>-74</v>
      </c>
      <c r="C1185" s="79">
        <f>IFERROR(VLOOKUP($G1185,基本資料!$A:$J,5,0),"無")</f>
        <v>133</v>
      </c>
      <c r="D1185" s="79">
        <f>IFERROR(VLOOKUP($G1185,基本資料!$A:$J,6,0),"無")</f>
        <v>3</v>
      </c>
      <c r="E1185" s="79">
        <f>IFERROR(VLOOKUP($G1185,基本資料!$A:$J,7,0),"無")</f>
        <v>221</v>
      </c>
      <c r="F1185" s="6">
        <f>IFERROR(VLOOKUP($G1185,基本資料!$A:$J,8,0),"無")</f>
        <v>0.93</v>
      </c>
      <c r="G1185" s="79">
        <v>6259</v>
      </c>
      <c r="H1185" s="8" t="s">
        <v>308</v>
      </c>
      <c r="I1185" s="16" t="s">
        <v>4597</v>
      </c>
      <c r="J1185" s="8" t="str">
        <f>IFERROR(VLOOKUP($G1185,今日總結!$A:$AN,39,0),"")</f>
        <v/>
      </c>
      <c r="K1185" s="5" t="str">
        <f>IFERROR(VLOOKUP($G1185,今日總結!$A:$AN,40,0),"")</f>
        <v/>
      </c>
      <c r="L1185" s="156" t="str">
        <f>IFERROR(VLOOKUP($G1185,今日總結!$A:$AN,37,0),"")</f>
        <v/>
      </c>
      <c r="M1185" s="337" t="str">
        <f>IFERROR(VLOOKUP($G1185,今日總結!$A:$AN,38,0),"")</f>
        <v/>
      </c>
      <c r="N1185" s="240" t="str">
        <f t="shared" si="205"/>
        <v/>
      </c>
      <c r="O1185" s="359" t="str">
        <f>IFERROR(VLOOKUP($G1185,融外自投!$A:$J,7,0),"無")</f>
        <v>無</v>
      </c>
      <c r="P1185" s="79" t="str">
        <f>IFERROR(VLOOKUP($G1185,融外自投!$A:$J,9,0),"無")</f>
        <v>無</v>
      </c>
      <c r="Q1185" s="342" t="str">
        <f>IFERROR(VLOOKUP($G1185,融外自投!$A:$J,8,0),"無")</f>
        <v>無</v>
      </c>
      <c r="R1185" s="81" t="str">
        <f>IFERROR(VLOOKUP($G1185,融外自投!$A:$J,10,0),"無")</f>
        <v>無</v>
      </c>
      <c r="S1185" s="324" t="str">
        <f>IFERROR(VLOOKUP($G1185,'321買'!$A:$E,4,0),"'沒有資料'")</f>
        <v>'沒有資料'</v>
      </c>
      <c r="T1185" s="186">
        <f>IFERROR(VLOOKUP($G1185,基本資料!$A:$J,9,0),"無")</f>
        <v>0.19</v>
      </c>
      <c r="U1185" s="307">
        <f t="shared" si="206"/>
        <v>6.3122923588039863E-3</v>
      </c>
      <c r="V1185" s="94">
        <f>IFERROR(VLOOKUP($G1185,基本資料!$A:$J,10,0),"無")</f>
        <v>0.03</v>
      </c>
      <c r="W1185" s="36">
        <f>RTD("money.excel",,"6259","Price")</f>
        <v>30.1</v>
      </c>
      <c r="X1185" s="66"/>
      <c r="Y1185" s="15">
        <f t="shared" si="202"/>
        <v>30.1</v>
      </c>
      <c r="Z1185" s="3" t="e">
        <f t="shared" si="203"/>
        <v>#DIV/0!</v>
      </c>
      <c r="AA1185" s="340">
        <f>IFERROR(VLOOKUP($G1185,基本資料!$A:$M,11,0),"無")</f>
        <v>-42.12</v>
      </c>
      <c r="AB1185" s="389">
        <f>IFERROR(VLOOKUP($G1185,基本資料!$A:$M,12,0),"無")</f>
        <v>21.76</v>
      </c>
      <c r="AC1185" s="16" t="s">
        <v>4597</v>
      </c>
      <c r="AF1185" s="33">
        <f t="shared" si="204"/>
        <v>0</v>
      </c>
      <c r="AG1185" s="43" t="s">
        <v>2420</v>
      </c>
      <c r="AH1185" s="66">
        <f t="shared" si="207"/>
        <v>0.41964711492608492</v>
      </c>
      <c r="AI1185" s="283">
        <f>RTD("money.excel",,$G1185,"PredictVolume")</f>
        <v>88</v>
      </c>
      <c r="AJ1185" s="391">
        <f>IFERROR(VLOOKUP($G1185,基本資料!$A:$M,13,0),"無")</f>
        <v>209.7</v>
      </c>
      <c r="AR1185" s="245" t="str">
        <f>INDEX(基本資料!N:N,MATCH($G1185,基本資料!A:A,0))</f>
        <v>中</v>
      </c>
    </row>
    <row r="1186" spans="1:44">
      <c r="A1186" s="343">
        <f>IFERROR(VLOOKUP($G1186,基本資料!$A:$J,3,0),"無")</f>
        <v>10.23</v>
      </c>
      <c r="B1186" s="79">
        <f>IFERROR(VLOOKUP($G1186,基本資料!$A:$J,4,0),"無")</f>
        <v>11</v>
      </c>
      <c r="C1186" s="79">
        <f>IFERROR(VLOOKUP($G1186,基本資料!$A:$J,5,0),"無")</f>
        <v>0</v>
      </c>
      <c r="D1186" s="79">
        <f>IFERROR(VLOOKUP($G1186,基本資料!$A:$J,6,0),"無")</f>
        <v>-24</v>
      </c>
      <c r="E1186" s="79">
        <f>IFERROR(VLOOKUP($G1186,基本資料!$A:$J,7,0),"無")</f>
        <v>-1</v>
      </c>
      <c r="F1186" s="6">
        <f>IFERROR(VLOOKUP($G1186,基本資料!$A:$J,8,0),"無")</f>
        <v>7.99</v>
      </c>
      <c r="G1186" s="79">
        <v>6266</v>
      </c>
      <c r="H1186" s="8" t="s">
        <v>308</v>
      </c>
      <c r="I1186" s="16" t="s">
        <v>436</v>
      </c>
      <c r="J1186" s="8">
        <f>IFERROR(VLOOKUP($G1186,今日總結!$A:$AN,39,0),"")</f>
        <v>0</v>
      </c>
      <c r="K1186" s="5">
        <f>IFERROR(VLOOKUP($G1186,今日總結!$A:$AN,40,0),"")</f>
        <v>0</v>
      </c>
      <c r="L1186" s="156">
        <f>IFERROR(VLOOKUP($G1186,今日總結!$A:$AN,37,0),"")</f>
        <v>0</v>
      </c>
      <c r="M1186" s="337">
        <f>IFERROR(VLOOKUP($G1186,今日總結!$A:$AN,38,0),"")</f>
        <v>0</v>
      </c>
      <c r="N1186" s="240">
        <f t="shared" si="205"/>
        <v>0</v>
      </c>
      <c r="O1186" s="359">
        <f>IFERROR(VLOOKUP($G1186,融外自投!$A:$J,7,0),"無")</f>
        <v>345</v>
      </c>
      <c r="P1186" s="79">
        <f>IFERROR(VLOOKUP($G1186,融外自投!$A:$J,9,0),"無")</f>
        <v>261</v>
      </c>
      <c r="Q1186" s="342">
        <f>IFERROR(VLOOKUP($G1186,融外自投!$A:$J,8,0),"無")</f>
        <v>930</v>
      </c>
      <c r="R1186" s="81" t="str">
        <f>IFERROR(VLOOKUP($G1186,融外自投!$A:$J,10,0),"無")</f>
        <v>無</v>
      </c>
      <c r="S1186" s="324">
        <f>IFERROR(VLOOKUP($G1186,'321買'!$A:$E,4,0),"'沒有資料'")</f>
        <v>253</v>
      </c>
      <c r="T1186" s="186">
        <f>IFERROR(VLOOKUP($G1186,基本資料!$A:$J,9,0),"無")</f>
        <v>1.38</v>
      </c>
      <c r="U1186" s="307">
        <f t="shared" si="206"/>
        <v>0.06</v>
      </c>
      <c r="V1186" s="94">
        <f>IFERROR(VLOOKUP($G1186,基本資料!$A:$J,10,0),"無")</f>
        <v>1.59</v>
      </c>
      <c r="W1186" s="36">
        <f>RTD("money.excel",,"6266","Price")</f>
        <v>23</v>
      </c>
      <c r="X1186" s="66"/>
      <c r="Y1186" s="15">
        <f t="shared" si="202"/>
        <v>23</v>
      </c>
      <c r="Z1186" s="3" t="e">
        <f t="shared" si="203"/>
        <v>#DIV/0!</v>
      </c>
      <c r="AA1186" s="340">
        <f>IFERROR(VLOOKUP($G1186,基本資料!$A:$M,11,0),"無")</f>
        <v>-43.83</v>
      </c>
      <c r="AB1186" s="389">
        <f>IFERROR(VLOOKUP($G1186,基本資料!$A:$M,12,0),"無")</f>
        <v>25.94</v>
      </c>
      <c r="AC1186" s="16" t="s">
        <v>436</v>
      </c>
      <c r="AF1186" s="33">
        <f t="shared" si="204"/>
        <v>0</v>
      </c>
      <c r="AG1186" s="43" t="s">
        <v>2421</v>
      </c>
      <c r="AH1186" s="66">
        <f t="shared" si="207"/>
        <v>0.3031306940533377</v>
      </c>
      <c r="AI1186" s="283">
        <f>RTD("money.excel",,$G1186,"PredictVolume")</f>
        <v>366</v>
      </c>
      <c r="AJ1186" s="391">
        <f>IFERROR(VLOOKUP($G1186,基本資料!$A:$M,13,0),"無")</f>
        <v>1207.4000000000001</v>
      </c>
      <c r="AR1186" s="245" t="str">
        <f>INDEX(基本資料!N:N,MATCH($G1186,基本資料!A:A,0))</f>
        <v>低</v>
      </c>
    </row>
    <row r="1187" spans="1:44">
      <c r="A1187" s="343">
        <f>IFERROR(VLOOKUP($G1187,基本資料!$A:$J,3,0),"無")</f>
        <v>32.03</v>
      </c>
      <c r="B1187" s="79">
        <f>IFERROR(VLOOKUP($G1187,基本資料!$A:$J,4,0),"無")</f>
        <v>-1</v>
      </c>
      <c r="C1187" s="79">
        <f>IFERROR(VLOOKUP($G1187,基本資料!$A:$J,5,0),"無")</f>
        <v>-4</v>
      </c>
      <c r="D1187" s="79">
        <f>IFERROR(VLOOKUP($G1187,基本資料!$A:$J,6,0),"無")</f>
        <v>-49</v>
      </c>
      <c r="E1187" s="79">
        <f>IFERROR(VLOOKUP($G1187,基本資料!$A:$J,7,0),"無")</f>
        <v>-27</v>
      </c>
      <c r="F1187" s="6">
        <f>IFERROR(VLOOKUP($G1187,基本資料!$A:$J,8,0),"無")</f>
        <v>9.1999999999999993</v>
      </c>
      <c r="G1187" s="79">
        <v>6269</v>
      </c>
      <c r="H1187" s="195" t="s">
        <v>308</v>
      </c>
      <c r="I1187" s="22" t="s">
        <v>46</v>
      </c>
      <c r="J1187" s="8">
        <f>IFERROR(VLOOKUP($G1187,今日總結!$A:$AN,39,0),"")</f>
        <v>0</v>
      </c>
      <c r="K1187" s="5" t="str">
        <f>IFERROR(VLOOKUP($G1187,今日總結!$A:$AN,40,0),"")</f>
        <v>借</v>
      </c>
      <c r="L1187" s="156">
        <f>IFERROR(VLOOKUP($G1187,今日總結!$A:$AN,37,0),"")</f>
        <v>0</v>
      </c>
      <c r="M1187" s="337">
        <f>IFERROR(VLOOKUP($G1187,今日總結!$A:$AN,38,0),"")</f>
        <v>2</v>
      </c>
      <c r="N1187" s="240">
        <f t="shared" si="205"/>
        <v>-2</v>
      </c>
      <c r="O1187" s="359">
        <f>IFERROR(VLOOKUP($G1187,融外自投!$A:$J,7,0),"無")</f>
        <v>592</v>
      </c>
      <c r="P1187" s="79">
        <f>IFERROR(VLOOKUP($G1187,融外自投!$A:$J,9,0),"無")</f>
        <v>1051</v>
      </c>
      <c r="Q1187" s="342">
        <f>IFERROR(VLOOKUP($G1187,融外自投!$A:$J,8,0),"無")</f>
        <v>330</v>
      </c>
      <c r="R1187" s="81">
        <f>IFERROR(VLOOKUP($G1187,融外自投!$A:$J,10,0),"無")</f>
        <v>103</v>
      </c>
      <c r="S1187" s="324">
        <f>IFERROR(VLOOKUP($G1187,'321買'!$A:$E,4,0),"'沒有資料'")</f>
        <v>411</v>
      </c>
      <c r="T1187" s="186">
        <f>IFERROR(VLOOKUP($G1187,基本資料!$A:$J,9,0),"無")</f>
        <v>5</v>
      </c>
      <c r="U1187" s="307">
        <f t="shared" si="206"/>
        <v>5.4764512595837901E-2</v>
      </c>
      <c r="V1187" s="94">
        <f>IFERROR(VLOOKUP($G1187,基本資料!$A:$J,10,0),"無")</f>
        <v>8.19</v>
      </c>
      <c r="W1187" s="36">
        <f>RTD("money.excel",,"6269","Price")</f>
        <v>91.3</v>
      </c>
      <c r="X1187" s="66"/>
      <c r="Y1187" s="15">
        <f t="shared" si="202"/>
        <v>91.3</v>
      </c>
      <c r="Z1187" s="3" t="e">
        <f t="shared" si="203"/>
        <v>#DIV/0!</v>
      </c>
      <c r="AA1187" s="340">
        <f>IFERROR(VLOOKUP($G1187,基本資料!$A:$M,11,0),"無")</f>
        <v>-35.700000000000003</v>
      </c>
      <c r="AB1187" s="389">
        <f>IFERROR(VLOOKUP($G1187,基本資料!$A:$M,12,0),"無")</f>
        <v>23.39</v>
      </c>
      <c r="AC1187" s="22" t="s">
        <v>46</v>
      </c>
      <c r="AF1187" s="33">
        <f t="shared" si="204"/>
        <v>0</v>
      </c>
      <c r="AG1187" s="117" t="s">
        <v>2399</v>
      </c>
      <c r="AH1187" s="66">
        <f t="shared" si="207"/>
        <v>0.71191829915658433</v>
      </c>
      <c r="AI1187" s="283">
        <f>RTD("money.excel",,$G1187,"PredictVolume")</f>
        <v>1321</v>
      </c>
      <c r="AJ1187" s="391">
        <f>IFERROR(VLOOKUP($G1187,基本資料!$A:$M,13,0),"無")</f>
        <v>1855.55</v>
      </c>
      <c r="AR1187" s="245" t="str">
        <f>INDEX(基本資料!N:N,MATCH($G1187,基本資料!A:A,0))</f>
        <v>低</v>
      </c>
    </row>
    <row r="1188" spans="1:44">
      <c r="A1188" s="343">
        <f>IFERROR(VLOOKUP($G1188,基本資料!$A:$J,3,0),"無")</f>
        <v>26.91</v>
      </c>
      <c r="B1188" s="79">
        <f>IFERROR(VLOOKUP($G1188,基本資料!$A:$J,4,0),"無")</f>
        <v>5</v>
      </c>
      <c r="C1188" s="79">
        <f>IFERROR(VLOOKUP($G1188,基本資料!$A:$J,5,0),"無")</f>
        <v>4</v>
      </c>
      <c r="D1188" s="79">
        <f>IFERROR(VLOOKUP($G1188,基本資料!$A:$J,6,0),"無")</f>
        <v>-5</v>
      </c>
      <c r="E1188" s="79">
        <f>IFERROR(VLOOKUP($G1188,基本資料!$A:$J,7,0),"無")</f>
        <v>-7</v>
      </c>
      <c r="F1188" s="6">
        <f>IFERROR(VLOOKUP($G1188,基本資料!$A:$J,8,0),"無")</f>
        <v>11.26</v>
      </c>
      <c r="G1188" s="79">
        <v>6274</v>
      </c>
      <c r="H1188" s="8" t="s">
        <v>308</v>
      </c>
      <c r="I1188" s="16" t="s">
        <v>3108</v>
      </c>
      <c r="J1188" s="8">
        <f>IFERROR(VLOOKUP($G1188,今日總結!$A:$AN,39,0),"")</f>
        <v>0</v>
      </c>
      <c r="K1188" s="5">
        <f>IFERROR(VLOOKUP($G1188,今日總結!$A:$AN,40,0),"")</f>
        <v>0</v>
      </c>
      <c r="L1188" s="156">
        <f>IFERROR(VLOOKUP($G1188,今日總結!$A:$AN,37,0),"")</f>
        <v>0</v>
      </c>
      <c r="M1188" s="337">
        <f>IFERROR(VLOOKUP($G1188,今日總結!$A:$AN,38,0),"")</f>
        <v>0</v>
      </c>
      <c r="N1188" s="240">
        <f t="shared" si="205"/>
        <v>0</v>
      </c>
      <c r="O1188" s="359">
        <f>IFERROR(VLOOKUP($G1188,融外自投!$A:$J,7,0),"無")</f>
        <v>791</v>
      </c>
      <c r="P1188" s="79">
        <f>IFERROR(VLOOKUP($G1188,融外自投!$A:$J,9,0),"無")</f>
        <v>348</v>
      </c>
      <c r="Q1188" s="342">
        <f>IFERROR(VLOOKUP($G1188,融外自投!$A:$J,8,0),"無")</f>
        <v>139</v>
      </c>
      <c r="R1188" s="81">
        <f>IFERROR(VLOOKUP($G1188,融外自投!$A:$J,10,0),"無")</f>
        <v>150</v>
      </c>
      <c r="S1188" s="324">
        <f>IFERROR(VLOOKUP($G1188,'321買'!$A:$E,4,0),"'沒有資料'")</f>
        <v>366</v>
      </c>
      <c r="T1188" s="186">
        <f>IFERROR(VLOOKUP($G1188,基本資料!$A:$J,9,0),"無")</f>
        <v>5</v>
      </c>
      <c r="U1188" s="307">
        <f t="shared" si="206"/>
        <v>6.9541029207232263E-2</v>
      </c>
      <c r="V1188" s="94">
        <f>IFERROR(VLOOKUP($G1188,基本資料!$A:$J,10,0),"無")</f>
        <v>7.01</v>
      </c>
      <c r="W1188" s="36">
        <f>RTD("money.excel",,"6274","Price")</f>
        <v>71.900000000000006</v>
      </c>
      <c r="X1188" s="66"/>
      <c r="Y1188" s="15">
        <f t="shared" si="202"/>
        <v>71.900000000000006</v>
      </c>
      <c r="Z1188" s="3" t="e">
        <f t="shared" si="203"/>
        <v>#DIV/0!</v>
      </c>
      <c r="AA1188" s="340">
        <f>IFERROR(VLOOKUP($G1188,基本資料!$A:$M,11,0),"無")</f>
        <v>-42.48</v>
      </c>
      <c r="AB1188" s="389">
        <f>IFERROR(VLOOKUP($G1188,基本資料!$A:$M,12,0),"無")</f>
        <v>33.31</v>
      </c>
      <c r="AC1188" s="16" t="s">
        <v>3108</v>
      </c>
      <c r="AF1188" s="33">
        <f t="shared" si="204"/>
        <v>0</v>
      </c>
      <c r="AG1188" s="117" t="s">
        <v>3277</v>
      </c>
      <c r="AH1188" s="66">
        <f t="shared" si="207"/>
        <v>0.64268742318721839</v>
      </c>
      <c r="AI1188" s="283">
        <f>RTD("money.excel",,$G1188,"PredictVolume")</f>
        <v>1961</v>
      </c>
      <c r="AJ1188" s="391">
        <f>IFERROR(VLOOKUP($G1188,基本資料!$A:$M,13,0),"無")</f>
        <v>3051.25</v>
      </c>
      <c r="AR1188" s="245" t="str">
        <f>INDEX(基本資料!N:N,MATCH($G1188,基本資料!A:A,0))</f>
        <v>低</v>
      </c>
    </row>
    <row r="1189" spans="1:44">
      <c r="A1189" s="343">
        <f>IFERROR(VLOOKUP($G1189,基本資料!$A:$J,3,0),"無")</f>
        <v>9.9600000000000009</v>
      </c>
      <c r="B1189" s="79">
        <f>IFERROR(VLOOKUP($G1189,基本資料!$A:$J,4,0),"無")</f>
        <v>42</v>
      </c>
      <c r="C1189" s="79">
        <f>IFERROR(VLOOKUP($G1189,基本資料!$A:$J,5,0),"無")</f>
        <v>39</v>
      </c>
      <c r="D1189" s="79">
        <f>IFERROR(VLOOKUP($G1189,基本資料!$A:$J,6,0),"無")</f>
        <v>0</v>
      </c>
      <c r="E1189" s="79">
        <f>IFERROR(VLOOKUP($G1189,基本資料!$A:$J,7,0),"無")</f>
        <v>12</v>
      </c>
      <c r="F1189" s="6">
        <f>IFERROR(VLOOKUP($G1189,基本資料!$A:$J,8,0),"無")</f>
        <v>19.55</v>
      </c>
      <c r="G1189" s="79">
        <v>6279</v>
      </c>
      <c r="H1189" s="8" t="s">
        <v>308</v>
      </c>
      <c r="I1189" s="16" t="s">
        <v>4598</v>
      </c>
      <c r="J1189" s="8">
        <f>IFERROR(VLOOKUP($G1189,今日總結!$A:$AN,39,0),"")</f>
        <v>0</v>
      </c>
      <c r="K1189" s="5">
        <f>IFERROR(VLOOKUP($G1189,今日總結!$A:$AN,40,0),"")</f>
        <v>0</v>
      </c>
      <c r="L1189" s="156">
        <f>IFERROR(VLOOKUP($G1189,今日總結!$A:$AN,37,0),"")</f>
        <v>0</v>
      </c>
      <c r="M1189" s="337">
        <f>IFERROR(VLOOKUP($G1189,今日總結!$A:$AN,38,0),"")</f>
        <v>0</v>
      </c>
      <c r="N1189" s="240">
        <f t="shared" si="205"/>
        <v>0</v>
      </c>
      <c r="O1189" s="359">
        <f>IFERROR(VLOOKUP($G1189,融外自投!$A:$J,7,0),"無")</f>
        <v>438</v>
      </c>
      <c r="P1189" s="79">
        <f>IFERROR(VLOOKUP($G1189,融外自投!$A:$J,9,0),"無")</f>
        <v>487</v>
      </c>
      <c r="Q1189" s="342">
        <f>IFERROR(VLOOKUP($G1189,融外自投!$A:$J,8,0),"無")</f>
        <v>540</v>
      </c>
      <c r="R1189" s="81">
        <f>IFERROR(VLOOKUP($G1189,融外自投!$A:$J,10,0),"無")</f>
        <v>105</v>
      </c>
      <c r="S1189" s="324">
        <f>IFERROR(VLOOKUP($G1189,'321買'!$A:$E,4,0),"'沒有資料'")</f>
        <v>366</v>
      </c>
      <c r="T1189" s="186">
        <f>IFERROR(VLOOKUP($G1189,基本資料!$A:$J,9,0),"無")</f>
        <v>5</v>
      </c>
      <c r="U1189" s="307">
        <f t="shared" si="206"/>
        <v>4.6511627906976744E-2</v>
      </c>
      <c r="V1189" s="94">
        <f>IFERROR(VLOOKUP($G1189,基本資料!$A:$J,10,0),"無")</f>
        <v>7.91</v>
      </c>
      <c r="W1189" s="36">
        <f>RTD("money.excel",,"6279","Price")</f>
        <v>107.5</v>
      </c>
      <c r="X1189" s="66"/>
      <c r="Y1189" s="15">
        <f t="shared" si="202"/>
        <v>107.5</v>
      </c>
      <c r="Z1189" s="3" t="e">
        <f t="shared" si="203"/>
        <v>#DIV/0!</v>
      </c>
      <c r="AA1189" s="340">
        <f>IFERROR(VLOOKUP($G1189,基本資料!$A:$M,11,0),"無")</f>
        <v>-29.51</v>
      </c>
      <c r="AB1189" s="389">
        <f>IFERROR(VLOOKUP($G1189,基本資料!$A:$M,12,0),"無")</f>
        <v>22.61</v>
      </c>
      <c r="AC1189" s="16" t="s">
        <v>4598</v>
      </c>
      <c r="AF1189" s="33">
        <f t="shared" si="204"/>
        <v>0</v>
      </c>
      <c r="AG1189" s="117" t="s">
        <v>2187</v>
      </c>
      <c r="AH1189" s="66">
        <f t="shared" si="207"/>
        <v>0.83029311863127442</v>
      </c>
      <c r="AI1189" s="283">
        <f>RTD("money.excel",,$G1189,"PredictVolume")</f>
        <v>330</v>
      </c>
      <c r="AJ1189" s="391">
        <f>IFERROR(VLOOKUP($G1189,基本資料!$A:$M,13,0),"無")</f>
        <v>397.45</v>
      </c>
      <c r="AR1189" s="245" t="str">
        <f>INDEX(基本資料!N:N,MATCH($G1189,基本資料!A:A,0))</f>
        <v>低</v>
      </c>
    </row>
    <row r="1190" spans="1:44">
      <c r="A1190" s="343">
        <f>IFERROR(VLOOKUP($G1190,基本資料!$A:$J,3,0),"無")</f>
        <v>51.66</v>
      </c>
      <c r="B1190" s="79">
        <f>IFERROR(VLOOKUP($G1190,基本資料!$A:$J,4,0),"無")</f>
        <v>-52</v>
      </c>
      <c r="C1190" s="79">
        <f>IFERROR(VLOOKUP($G1190,基本資料!$A:$J,5,0),"無")</f>
        <v>6</v>
      </c>
      <c r="D1190" s="79">
        <f>IFERROR(VLOOKUP($G1190,基本資料!$A:$J,6,0),"無")</f>
        <v>-16</v>
      </c>
      <c r="E1190" s="79">
        <f>IFERROR(VLOOKUP($G1190,基本資料!$A:$J,7,0),"無")</f>
        <v>19</v>
      </c>
      <c r="F1190" s="6">
        <f>IFERROR(VLOOKUP($G1190,基本資料!$A:$J,8,0),"無")</f>
        <v>1.91</v>
      </c>
      <c r="G1190" s="79">
        <v>6282</v>
      </c>
      <c r="H1190" s="195" t="s">
        <v>308</v>
      </c>
      <c r="I1190" s="23" t="s">
        <v>241</v>
      </c>
      <c r="J1190" s="8" t="str">
        <f>IFERROR(VLOOKUP($G1190,今日總結!$A:$AN,39,0),"")</f>
        <v>外券</v>
      </c>
      <c r="K1190" s="5" t="str">
        <f>IFERROR(VLOOKUP($G1190,今日總結!$A:$AN,40,0),"")</f>
        <v>融自</v>
      </c>
      <c r="L1190" s="156">
        <f>IFERROR(VLOOKUP($G1190,今日總結!$A:$AN,37,0),"")</f>
        <v>2</v>
      </c>
      <c r="M1190" s="337">
        <f>IFERROR(VLOOKUP($G1190,今日總結!$A:$AN,38,0),"")</f>
        <v>14</v>
      </c>
      <c r="N1190" s="240">
        <f t="shared" si="205"/>
        <v>-12</v>
      </c>
      <c r="O1190" s="359">
        <f>IFERROR(VLOOKUP($G1190,融外自投!$A:$J,7,0),"無")</f>
        <v>446</v>
      </c>
      <c r="P1190" s="79">
        <f>IFERROR(VLOOKUP($G1190,融外自投!$A:$J,9,0),"無")</f>
        <v>790</v>
      </c>
      <c r="Q1190" s="342">
        <f>IFERROR(VLOOKUP($G1190,融外自投!$A:$J,8,0),"無")</f>
        <v>532</v>
      </c>
      <c r="R1190" s="81">
        <f>IFERROR(VLOOKUP($G1190,融外自投!$A:$J,10,0),"無")</f>
        <v>495</v>
      </c>
      <c r="S1190" s="324">
        <f>IFERROR(VLOOKUP($G1190,'321買'!$A:$E,4,0),"'沒有資料'")</f>
        <v>186</v>
      </c>
      <c r="T1190" s="186">
        <f>IFERROR(VLOOKUP($G1190,基本資料!$A:$J,9,0),"無")</f>
        <v>1</v>
      </c>
      <c r="U1190" s="307">
        <f t="shared" si="206"/>
        <v>3.6563071297989032E-2</v>
      </c>
      <c r="V1190" s="94">
        <f>IFERROR(VLOOKUP($G1190,基本資料!$A:$J,10,0),"無")</f>
        <v>1.17</v>
      </c>
      <c r="W1190" s="36">
        <f>RTD("money.excel",,"6282","Price")</f>
        <v>27.35</v>
      </c>
      <c r="X1190" s="66"/>
      <c r="Y1190" s="15">
        <f t="shared" si="202"/>
        <v>27.35</v>
      </c>
      <c r="Z1190" s="3" t="e">
        <f t="shared" si="203"/>
        <v>#DIV/0!</v>
      </c>
      <c r="AA1190" s="340">
        <f>IFERROR(VLOOKUP($G1190,基本資料!$A:$M,11,0),"無")</f>
        <v>-31.54</v>
      </c>
      <c r="AB1190" s="389">
        <f>IFERROR(VLOOKUP($G1190,基本資料!$A:$M,12,0),"無")</f>
        <v>13.72</v>
      </c>
      <c r="AC1190" s="23" t="s">
        <v>241</v>
      </c>
      <c r="AF1190" s="33">
        <f t="shared" si="204"/>
        <v>0</v>
      </c>
      <c r="AG1190" s="119" t="s">
        <v>3067</v>
      </c>
      <c r="AH1190" s="66">
        <f t="shared" si="207"/>
        <v>0.54742904818936633</v>
      </c>
      <c r="AI1190" s="283">
        <f>RTD("money.excel",,$G1190,"PredictVolume")</f>
        <v>2034</v>
      </c>
      <c r="AJ1190" s="391">
        <f>IFERROR(VLOOKUP($G1190,基本資料!$A:$M,13,0),"無")</f>
        <v>3715.55</v>
      </c>
      <c r="AR1190" s="245" t="str">
        <f>INDEX(基本資料!N:N,MATCH($G1190,基本資料!A:A,0))</f>
        <v>低</v>
      </c>
    </row>
    <row r="1191" spans="1:44">
      <c r="A1191" s="343">
        <f>IFERROR(VLOOKUP($G1191,基本資料!$A:$J,3,0),"無")</f>
        <v>14.01</v>
      </c>
      <c r="B1191" s="79">
        <f>IFERROR(VLOOKUP($G1191,基本資料!$A:$J,4,0),"無")</f>
        <v>55</v>
      </c>
      <c r="C1191" s="79">
        <f>IFERROR(VLOOKUP($G1191,基本資料!$A:$J,5,0),"無")</f>
        <v>25</v>
      </c>
      <c r="D1191" s="79">
        <f>IFERROR(VLOOKUP($G1191,基本資料!$A:$J,6,0),"無")</f>
        <v>-10</v>
      </c>
      <c r="E1191" s="79">
        <f>IFERROR(VLOOKUP($G1191,基本資料!$A:$J,7,0),"無")</f>
        <v>-10</v>
      </c>
      <c r="F1191" s="6">
        <f>IFERROR(VLOOKUP($G1191,基本資料!$A:$J,8,0),"無")</f>
        <v>9.93</v>
      </c>
      <c r="G1191" s="79">
        <v>6284</v>
      </c>
      <c r="H1191" s="8" t="s">
        <v>308</v>
      </c>
      <c r="I1191" s="16" t="s">
        <v>287</v>
      </c>
      <c r="J1191" s="8">
        <f>IFERROR(VLOOKUP($G1191,今日總結!$A:$AN,39,0),"")</f>
        <v>0</v>
      </c>
      <c r="K1191" s="5">
        <f>IFERROR(VLOOKUP($G1191,今日總結!$A:$AN,40,0),"")</f>
        <v>0</v>
      </c>
      <c r="L1191" s="156">
        <f>IFERROR(VLOOKUP($G1191,今日總結!$A:$AN,37,0),"")</f>
        <v>0</v>
      </c>
      <c r="M1191" s="337">
        <f>IFERROR(VLOOKUP($G1191,今日總結!$A:$AN,38,0),"")</f>
        <v>0</v>
      </c>
      <c r="N1191" s="240">
        <f t="shared" si="205"/>
        <v>0</v>
      </c>
      <c r="O1191" s="359">
        <f>IFERROR(VLOOKUP($G1191,融外自投!$A:$J,7,0),"無")</f>
        <v>346</v>
      </c>
      <c r="P1191" s="79">
        <f>IFERROR(VLOOKUP($G1191,融外自投!$A:$J,9,0),"無")</f>
        <v>515</v>
      </c>
      <c r="Q1191" s="342">
        <f>IFERROR(VLOOKUP($G1191,融外自投!$A:$J,8,0),"無")</f>
        <v>1237</v>
      </c>
      <c r="R1191" s="81">
        <f>IFERROR(VLOOKUP($G1191,融外自投!$A:$J,10,0),"無")</f>
        <v>318</v>
      </c>
      <c r="S1191" s="324">
        <f>IFERROR(VLOOKUP($G1191,'321買'!$A:$E,4,0),"'沒有資料'")</f>
        <v>465</v>
      </c>
      <c r="T1191" s="186">
        <f>IFERROR(VLOOKUP($G1191,基本資料!$A:$J,9,0),"無")</f>
        <v>1.2</v>
      </c>
      <c r="U1191" s="307">
        <f t="shared" si="206"/>
        <v>2.3762376237623763E-2</v>
      </c>
      <c r="V1191" s="94">
        <f>IFERROR(VLOOKUP($G1191,基本資料!$A:$J,10,0),"無")</f>
        <v>4.04</v>
      </c>
      <c r="W1191" s="36">
        <f>RTD("money.excel",,"6284","Price")</f>
        <v>50.5</v>
      </c>
      <c r="X1191" s="66"/>
      <c r="Y1191" s="15">
        <f t="shared" si="202"/>
        <v>50.5</v>
      </c>
      <c r="Z1191" s="3" t="e">
        <f t="shared" si="203"/>
        <v>#DIV/0!</v>
      </c>
      <c r="AA1191" s="340">
        <f>IFERROR(VLOOKUP($G1191,基本資料!$A:$M,11,0),"無")</f>
        <v>-37.42</v>
      </c>
      <c r="AB1191" s="389">
        <f>IFERROR(VLOOKUP($G1191,基本資料!$A:$M,12,0),"無")</f>
        <v>13.31</v>
      </c>
      <c r="AC1191" s="16" t="s">
        <v>287</v>
      </c>
      <c r="AF1191" s="33">
        <f t="shared" si="204"/>
        <v>0</v>
      </c>
      <c r="AG1191" s="312" t="s">
        <v>3536</v>
      </c>
      <c r="AH1191" s="66">
        <f t="shared" si="207"/>
        <v>0.53418005229734777</v>
      </c>
      <c r="AI1191" s="283">
        <f>RTD("money.excel",,$G1191,"PredictVolume")</f>
        <v>143</v>
      </c>
      <c r="AJ1191" s="391">
        <f>IFERROR(VLOOKUP($G1191,基本資料!$A:$M,13,0),"無")</f>
        <v>267.7</v>
      </c>
      <c r="AR1191" s="245" t="str">
        <f>INDEX(基本資料!N:N,MATCH($G1191,基本資料!A:A,0))</f>
        <v>低</v>
      </c>
    </row>
    <row r="1192" spans="1:44">
      <c r="A1192" s="343">
        <f>IFERROR(VLOOKUP($G1192,基本資料!$A:$J,3,0),"無")</f>
        <v>14.77</v>
      </c>
      <c r="B1192" s="79">
        <f>IFERROR(VLOOKUP($G1192,基本資料!$A:$J,4,0),"無")</f>
        <v>-33</v>
      </c>
      <c r="C1192" s="79">
        <f>IFERROR(VLOOKUP($G1192,基本資料!$A:$J,5,0),"無")</f>
        <v>-37</v>
      </c>
      <c r="D1192" s="79">
        <f>IFERROR(VLOOKUP($G1192,基本資料!$A:$J,6,0),"無")</f>
        <v>0</v>
      </c>
      <c r="E1192" s="79">
        <f>IFERROR(VLOOKUP($G1192,基本資料!$A:$J,7,0),"無")</f>
        <v>-5</v>
      </c>
      <c r="F1192" s="6">
        <f>IFERROR(VLOOKUP($G1192,基本資料!$A:$J,8,0),"無")</f>
        <v>5.93</v>
      </c>
      <c r="G1192" s="79">
        <v>6290</v>
      </c>
      <c r="H1192" s="8" t="s">
        <v>308</v>
      </c>
      <c r="I1192" s="16" t="s">
        <v>160</v>
      </c>
      <c r="J1192" s="8">
        <f>IFERROR(VLOOKUP($G1192,今日總結!$A:$AN,39,0),"")</f>
        <v>0</v>
      </c>
      <c r="K1192" s="5" t="str">
        <f>IFERROR(VLOOKUP($G1192,今日總結!$A:$AN,40,0),"")</f>
        <v>借</v>
      </c>
      <c r="L1192" s="156">
        <f>IFERROR(VLOOKUP($G1192,今日總結!$A:$AN,37,0),"")</f>
        <v>0</v>
      </c>
      <c r="M1192" s="337">
        <f>IFERROR(VLOOKUP($G1192,今日總結!$A:$AN,38,0),"")</f>
        <v>2</v>
      </c>
      <c r="N1192" s="240">
        <f t="shared" si="205"/>
        <v>-2</v>
      </c>
      <c r="O1192" s="359">
        <f>IFERROR(VLOOKUP($G1192,融外自投!$A:$J,7,0),"無")</f>
        <v>168</v>
      </c>
      <c r="P1192" s="79">
        <f>IFERROR(VLOOKUP($G1192,融外自投!$A:$J,9,0),"無")</f>
        <v>790</v>
      </c>
      <c r="Q1192" s="342">
        <f>IFERROR(VLOOKUP($G1192,融外自投!$A:$J,8,0),"無")</f>
        <v>942</v>
      </c>
      <c r="R1192" s="81">
        <f>IFERROR(VLOOKUP($G1192,融外自投!$A:$J,10,0),"無")</f>
        <v>403</v>
      </c>
      <c r="S1192" s="324">
        <f>IFERROR(VLOOKUP($G1192,'321買'!$A:$E,4,0),"'沒有資料'")</f>
        <v>394</v>
      </c>
      <c r="T1192" s="186">
        <f>IFERROR(VLOOKUP($G1192,基本資料!$A:$J,9,0),"無")</f>
        <v>2</v>
      </c>
      <c r="U1192" s="307">
        <f t="shared" si="206"/>
        <v>3.8167938931297711E-2</v>
      </c>
      <c r="V1192" s="94">
        <f>IFERROR(VLOOKUP($G1192,基本資料!$A:$J,10,0),"無")</f>
        <v>3.05</v>
      </c>
      <c r="W1192" s="36">
        <f>RTD("money.excel",,"6290","Price")</f>
        <v>52.4</v>
      </c>
      <c r="X1192" s="66"/>
      <c r="Y1192" s="15">
        <f t="shared" si="202"/>
        <v>52.4</v>
      </c>
      <c r="Z1192" s="3" t="e">
        <f t="shared" si="203"/>
        <v>#DIV/0!</v>
      </c>
      <c r="AA1192" s="340">
        <f>IFERROR(VLOOKUP($G1192,基本資料!$A:$M,11,0),"無")</f>
        <v>-38.130000000000003</v>
      </c>
      <c r="AB1192" s="389">
        <f>IFERROR(VLOOKUP($G1192,基本資料!$A:$M,12,0),"無")</f>
        <v>57.35</v>
      </c>
      <c r="AC1192" s="16" t="s">
        <v>160</v>
      </c>
      <c r="AF1192" s="33">
        <f t="shared" si="204"/>
        <v>0</v>
      </c>
      <c r="AG1192" s="117" t="s">
        <v>3415</v>
      </c>
      <c r="AH1192" s="66">
        <f t="shared" si="207"/>
        <v>1.2931943305610871</v>
      </c>
      <c r="AI1192" s="283">
        <f>RTD("money.excel",,$G1192,"PredictVolume")</f>
        <v>1656</v>
      </c>
      <c r="AJ1192" s="391">
        <f>IFERROR(VLOOKUP($G1192,基本資料!$A:$M,13,0),"無")</f>
        <v>1280.55</v>
      </c>
      <c r="AR1192" s="245" t="str">
        <f>INDEX(基本資料!N:N,MATCH($G1192,基本資料!A:A,0))</f>
        <v>低</v>
      </c>
    </row>
    <row r="1193" spans="1:44">
      <c r="A1193" s="343">
        <f>IFERROR(VLOOKUP($G1193,基本資料!$A:$J,3,0),"無")</f>
        <v>4.6900000000000004</v>
      </c>
      <c r="B1193" s="79">
        <f>IFERROR(VLOOKUP($G1193,基本資料!$A:$J,4,0),"無")</f>
        <v>61</v>
      </c>
      <c r="C1193" s="79">
        <f>IFERROR(VLOOKUP($G1193,基本資料!$A:$J,5,0),"無")</f>
        <v>-6</v>
      </c>
      <c r="D1193" s="79">
        <f>IFERROR(VLOOKUP($G1193,基本資料!$A:$J,6,0),"無")</f>
        <v>-17</v>
      </c>
      <c r="E1193" s="79">
        <f>IFERROR(VLOOKUP($G1193,基本資料!$A:$J,7,0),"無")</f>
        <v>32</v>
      </c>
      <c r="F1193" s="6">
        <f>IFERROR(VLOOKUP($G1193,基本資料!$A:$J,8,0),"無")</f>
        <v>9.35</v>
      </c>
      <c r="G1193" s="79">
        <v>6292</v>
      </c>
      <c r="H1193" s="8" t="s">
        <v>308</v>
      </c>
      <c r="I1193" s="16" t="s">
        <v>437</v>
      </c>
      <c r="J1193" s="8">
        <f>IFERROR(VLOOKUP($G1193,今日總結!$A:$AN,39,0),"")</f>
        <v>0</v>
      </c>
      <c r="K1193" s="5">
        <f>IFERROR(VLOOKUP($G1193,今日總結!$A:$AN,40,0),"")</f>
        <v>0</v>
      </c>
      <c r="L1193" s="156">
        <f>IFERROR(VLOOKUP($G1193,今日總結!$A:$AN,37,0),"")</f>
        <v>0</v>
      </c>
      <c r="M1193" s="337">
        <f>IFERROR(VLOOKUP($G1193,今日總結!$A:$AN,38,0),"")</f>
        <v>0</v>
      </c>
      <c r="N1193" s="240">
        <f t="shared" si="205"/>
        <v>0</v>
      </c>
      <c r="O1193" s="359">
        <f>IFERROR(VLOOKUP($G1193,融外自投!$A:$J,7,0),"無")</f>
        <v>1352</v>
      </c>
      <c r="P1193" s="79" t="str">
        <f>IFERROR(VLOOKUP($G1193,融外自投!$A:$J,9,0),"無")</f>
        <v>無</v>
      </c>
      <c r="Q1193" s="342">
        <f>IFERROR(VLOOKUP($G1193,融外自投!$A:$J,8,0),"無")</f>
        <v>1164</v>
      </c>
      <c r="R1193" s="81" t="str">
        <f>IFERROR(VLOOKUP($G1193,融外自投!$A:$J,10,0),"無")</f>
        <v>無</v>
      </c>
      <c r="S1193" s="324">
        <f>IFERROR(VLOOKUP($G1193,'321買'!$A:$E,4,0),"'沒有資料'")</f>
        <v>891</v>
      </c>
      <c r="T1193" s="186">
        <f>IFERROR(VLOOKUP($G1193,基本資料!$A:$J,9,0),"無")</f>
        <v>3.6</v>
      </c>
      <c r="U1193" s="307">
        <f t="shared" si="206"/>
        <v>7.8602620087336247E-2</v>
      </c>
      <c r="V1193" s="94">
        <f>IFERROR(VLOOKUP($G1193,基本資料!$A:$J,10,0),"無")</f>
        <v>5.01</v>
      </c>
      <c r="W1193" s="36">
        <f>RTD("money.excel",,"6292","Price")</f>
        <v>45.8</v>
      </c>
      <c r="X1193" s="66"/>
      <c r="Y1193" s="15">
        <f t="shared" si="202"/>
        <v>45.8</v>
      </c>
      <c r="Z1193" s="3" t="e">
        <f t="shared" si="203"/>
        <v>#DIV/0!</v>
      </c>
      <c r="AA1193" s="340">
        <f>IFERROR(VLOOKUP($G1193,基本資料!$A:$M,11,0),"無")</f>
        <v>-6.53</v>
      </c>
      <c r="AB1193" s="389">
        <f>IFERROR(VLOOKUP($G1193,基本資料!$A:$M,12,0),"無")</f>
        <v>45.81</v>
      </c>
      <c r="AC1193" s="16" t="s">
        <v>437</v>
      </c>
      <c r="AF1193" s="33">
        <f t="shared" si="204"/>
        <v>0</v>
      </c>
      <c r="AG1193" s="43" t="s">
        <v>2422</v>
      </c>
      <c r="AH1193" s="66">
        <f t="shared" si="207"/>
        <v>0.83798882681564257</v>
      </c>
      <c r="AI1193" s="283">
        <f>RTD("money.excel",,$G1193,"PredictVolume")</f>
        <v>30</v>
      </c>
      <c r="AJ1193" s="391">
        <f>IFERROR(VLOOKUP($G1193,基本資料!$A:$M,13,0),"無")</f>
        <v>35.799999999999997</v>
      </c>
      <c r="AR1193" s="245" t="str">
        <f>INDEX(基本資料!N:N,MATCH($G1193,基本資料!A:A,0))</f>
        <v>高</v>
      </c>
    </row>
    <row r="1194" spans="1:44">
      <c r="A1194" s="343">
        <f>IFERROR(VLOOKUP($G1194,基本資料!$A:$J,3,0),"無")</f>
        <v>39.53</v>
      </c>
      <c r="B1194" s="79">
        <f>IFERROR(VLOOKUP($G1194,基本資料!$A:$J,4,0),"無")</f>
        <v>32</v>
      </c>
      <c r="C1194" s="79">
        <f>IFERROR(VLOOKUP($G1194,基本資料!$A:$J,5,0),"無")</f>
        <v>22</v>
      </c>
      <c r="D1194" s="79">
        <f>IFERROR(VLOOKUP($G1194,基本資料!$A:$J,6,0),"無")</f>
        <v>-19</v>
      </c>
      <c r="E1194" s="79">
        <f>IFERROR(VLOOKUP($G1194,基本資料!$A:$J,7,0),"無")</f>
        <v>-1</v>
      </c>
      <c r="F1194" s="6">
        <f>IFERROR(VLOOKUP($G1194,基本資料!$A:$J,8,0),"無")</f>
        <v>8.5500000000000007</v>
      </c>
      <c r="G1194" s="79">
        <v>6412</v>
      </c>
      <c r="H1194" s="195" t="s">
        <v>308</v>
      </c>
      <c r="I1194" s="22" t="s">
        <v>54</v>
      </c>
      <c r="J1194" s="8">
        <f>IFERROR(VLOOKUP($G1194,今日總結!$A:$AN,39,0),"")</f>
        <v>0</v>
      </c>
      <c r="K1194" s="5">
        <f>IFERROR(VLOOKUP($G1194,今日總結!$A:$AN,40,0),"")</f>
        <v>0</v>
      </c>
      <c r="L1194" s="156">
        <f>IFERROR(VLOOKUP($G1194,今日總結!$A:$AN,37,0),"")</f>
        <v>0</v>
      </c>
      <c r="M1194" s="337">
        <f>IFERROR(VLOOKUP($G1194,今日總結!$A:$AN,38,0),"")</f>
        <v>0</v>
      </c>
      <c r="N1194" s="240">
        <f t="shared" si="205"/>
        <v>0</v>
      </c>
      <c r="O1194" s="359">
        <f>IFERROR(VLOOKUP($G1194,融外自投!$A:$J,7,0),"無")</f>
        <v>1316</v>
      </c>
      <c r="P1194" s="79">
        <f>IFERROR(VLOOKUP($G1194,融外自投!$A:$J,9,0),"無")</f>
        <v>908</v>
      </c>
      <c r="Q1194" s="342">
        <f>IFERROR(VLOOKUP($G1194,融外自投!$A:$J,8,0),"無")</f>
        <v>395</v>
      </c>
      <c r="R1194" s="81">
        <f>IFERROR(VLOOKUP($G1194,融外自投!$A:$J,10,0),"無")</f>
        <v>260</v>
      </c>
      <c r="S1194" s="324">
        <f>IFERROR(VLOOKUP($G1194,'321買'!$A:$E,4,0),"'沒有資料'")</f>
        <v>606</v>
      </c>
      <c r="T1194" s="186">
        <f>IFERROR(VLOOKUP($G1194,基本資料!$A:$J,9,0),"無")</f>
        <v>5.2</v>
      </c>
      <c r="U1194" s="307">
        <f t="shared" si="206"/>
        <v>7.5471698113207544E-2</v>
      </c>
      <c r="V1194" s="94">
        <f>IFERROR(VLOOKUP($G1194,基本資料!$A:$J,10,0),"無")</f>
        <v>7.22</v>
      </c>
      <c r="W1194" s="36">
        <f>RTD("money.excel",,"6412","Price")</f>
        <v>68.900000000000006</v>
      </c>
      <c r="X1194" s="66"/>
      <c r="Y1194" s="15">
        <f t="shared" si="202"/>
        <v>68.900000000000006</v>
      </c>
      <c r="Z1194" s="3" t="e">
        <f t="shared" si="203"/>
        <v>#DIV/0!</v>
      </c>
      <c r="AA1194" s="340">
        <f>IFERROR(VLOOKUP($G1194,基本資料!$A:$M,11,0),"無")</f>
        <v>-21.53</v>
      </c>
      <c r="AB1194" s="389">
        <f>IFERROR(VLOOKUP($G1194,基本資料!$A:$M,12,0),"無")</f>
        <v>14.26</v>
      </c>
      <c r="AC1194" s="22" t="s">
        <v>54</v>
      </c>
      <c r="AF1194" s="33">
        <f t="shared" si="204"/>
        <v>0</v>
      </c>
      <c r="AG1194" s="117" t="s">
        <v>2545</v>
      </c>
      <c r="AH1194" s="66">
        <f t="shared" si="207"/>
        <v>0.68669527896995708</v>
      </c>
      <c r="AI1194" s="283">
        <f>RTD("money.excel",,$G1194,"PredictVolume")</f>
        <v>152</v>
      </c>
      <c r="AJ1194" s="391">
        <f>IFERROR(VLOOKUP($G1194,基本資料!$A:$M,13,0),"無")</f>
        <v>221.35</v>
      </c>
      <c r="AR1194" s="245" t="str">
        <f>INDEX(基本資料!N:N,MATCH($G1194,基本資料!A:A,0))</f>
        <v>低</v>
      </c>
    </row>
    <row r="1195" spans="1:44">
      <c r="A1195" s="343">
        <f>IFERROR(VLOOKUP($G1195,基本資料!$A:$J,3,0),"無")</f>
        <v>3.45</v>
      </c>
      <c r="B1195" s="79">
        <f>IFERROR(VLOOKUP($G1195,基本資料!$A:$J,4,0),"無")</f>
        <v>-502</v>
      </c>
      <c r="C1195" s="79">
        <f>IFERROR(VLOOKUP($G1195,基本資料!$A:$J,5,0),"無")</f>
        <v>-190</v>
      </c>
      <c r="D1195" s="79">
        <f>IFERROR(VLOOKUP($G1195,基本資料!$A:$J,6,0),"無")</f>
        <v>20</v>
      </c>
      <c r="E1195" s="79">
        <f>IFERROR(VLOOKUP($G1195,基本資料!$A:$J,7,0),"無")</f>
        <v>14</v>
      </c>
      <c r="F1195" s="6">
        <f>IFERROR(VLOOKUP($G1195,基本資料!$A:$J,8,0),"無")</f>
        <v>-1.7</v>
      </c>
      <c r="G1195" s="79">
        <v>6418</v>
      </c>
      <c r="H1195" s="8" t="s">
        <v>308</v>
      </c>
      <c r="I1195" s="16" t="s">
        <v>2964</v>
      </c>
      <c r="J1195" s="8">
        <f>IFERROR(VLOOKUP($G1195,今日總結!$A:$AN,39,0),"")</f>
        <v>0</v>
      </c>
      <c r="K1195" s="5" t="str">
        <f>IFERROR(VLOOKUP($G1195,今日總結!$A:$AN,40,0),"")</f>
        <v>融</v>
      </c>
      <c r="L1195" s="156">
        <f>IFERROR(VLOOKUP($G1195,今日總結!$A:$AN,37,0),"")</f>
        <v>0</v>
      </c>
      <c r="M1195" s="337">
        <f>IFERROR(VLOOKUP($G1195,今日總結!$A:$AN,38,0),"")</f>
        <v>2</v>
      </c>
      <c r="N1195" s="240">
        <f t="shared" si="205"/>
        <v>-2</v>
      </c>
      <c r="O1195" s="359">
        <f>IFERROR(VLOOKUP($G1195,融外自投!$A:$J,7,0),"無")</f>
        <v>563</v>
      </c>
      <c r="P1195" s="79" t="str">
        <f>IFERROR(VLOOKUP($G1195,融外自投!$A:$J,9,0),"無")</f>
        <v>無</v>
      </c>
      <c r="Q1195" s="342">
        <f>IFERROR(VLOOKUP($G1195,融外自投!$A:$J,8,0),"無")</f>
        <v>1469</v>
      </c>
      <c r="R1195" s="81" t="str">
        <f>IFERROR(VLOOKUP($G1195,融外自投!$A:$J,10,0),"無")</f>
        <v>無</v>
      </c>
      <c r="S1195" s="324">
        <f>IFERROR(VLOOKUP($G1195,'321買'!$A:$E,4,0),"'沒有資料'")</f>
        <v>366</v>
      </c>
      <c r="T1195" s="186">
        <f>IFERROR(VLOOKUP($G1195,基本資料!$A:$J,9,0),"無")</f>
        <v>0</v>
      </c>
      <c r="U1195" s="307">
        <f t="shared" si="206"/>
        <v>0</v>
      </c>
      <c r="V1195" s="94">
        <f>IFERROR(VLOOKUP($G1195,基本資料!$A:$J,10,0),"無")</f>
        <v>-0.68</v>
      </c>
      <c r="W1195" s="36">
        <f>RTD("money.excel",,"6418","Price")</f>
        <v>14.3</v>
      </c>
      <c r="X1195" s="66"/>
      <c r="Y1195" s="15">
        <f t="shared" si="202"/>
        <v>14.3</v>
      </c>
      <c r="Z1195" s="3" t="e">
        <f t="shared" si="203"/>
        <v>#DIV/0!</v>
      </c>
      <c r="AA1195" s="340">
        <f>IFERROR(VLOOKUP($G1195,基本資料!$A:$M,11,0),"無")</f>
        <v>-52.96</v>
      </c>
      <c r="AB1195" s="389">
        <f>IFERROR(VLOOKUP($G1195,基本資料!$A:$M,12,0),"無")</f>
        <v>9.43</v>
      </c>
      <c r="AC1195" s="16" t="s">
        <v>2964</v>
      </c>
      <c r="AF1195" s="33">
        <f t="shared" si="204"/>
        <v>0</v>
      </c>
      <c r="AG1195" s="43" t="s">
        <v>1902</v>
      </c>
      <c r="AH1195" s="66">
        <f t="shared" si="207"/>
        <v>4.2530487804878057</v>
      </c>
      <c r="AI1195" s="283">
        <f>RTD("money.excel",,$G1195,"PredictVolume")</f>
        <v>279</v>
      </c>
      <c r="AJ1195" s="391">
        <f>IFERROR(VLOOKUP($G1195,基本資料!$A:$M,13,0),"無")</f>
        <v>65.599999999999994</v>
      </c>
      <c r="AR1195" s="245" t="str">
        <f>INDEX(基本資料!N:N,MATCH($G1195,基本資料!A:A,0))</f>
        <v>低</v>
      </c>
    </row>
    <row r="1196" spans="1:44">
      <c r="A1196" s="343">
        <f>IFERROR(VLOOKUP($G1196,基本資料!$A:$J,3,0),"無")</f>
        <v>3.05</v>
      </c>
      <c r="B1196" s="79">
        <f>IFERROR(VLOOKUP($G1196,基本資料!$A:$J,4,0),"無")</f>
        <v>17</v>
      </c>
      <c r="C1196" s="79">
        <f>IFERROR(VLOOKUP($G1196,基本資料!$A:$J,5,0),"無")</f>
        <v>8</v>
      </c>
      <c r="D1196" s="79">
        <f>IFERROR(VLOOKUP($G1196,基本資料!$A:$J,6,0),"無")</f>
        <v>-6</v>
      </c>
      <c r="E1196" s="79">
        <f>IFERROR(VLOOKUP($G1196,基本資料!$A:$J,7,0),"無")</f>
        <v>-21</v>
      </c>
      <c r="F1196" s="6">
        <f>IFERROR(VLOOKUP($G1196,基本資料!$A:$J,8,0),"無")</f>
        <v>8.7799999999999994</v>
      </c>
      <c r="G1196" s="79">
        <v>6432</v>
      </c>
      <c r="H1196" s="8" t="s">
        <v>308</v>
      </c>
      <c r="I1196" s="16" t="s">
        <v>438</v>
      </c>
      <c r="J1196" s="8">
        <f>IFERROR(VLOOKUP($G1196,今日總結!$A:$AN,39,0),"")</f>
        <v>0</v>
      </c>
      <c r="K1196" s="5">
        <f>IFERROR(VLOOKUP($G1196,今日總結!$A:$AN,40,0),"")</f>
        <v>0</v>
      </c>
      <c r="L1196" s="156">
        <f>IFERROR(VLOOKUP($G1196,今日總結!$A:$AN,37,0),"")</f>
        <v>0</v>
      </c>
      <c r="M1196" s="337">
        <f>IFERROR(VLOOKUP($G1196,今日總結!$A:$AN,38,0),"")</f>
        <v>0</v>
      </c>
      <c r="N1196" s="240">
        <f t="shared" si="205"/>
        <v>0</v>
      </c>
      <c r="O1196" s="359">
        <f>IFERROR(VLOOKUP($G1196,融外自投!$A:$J,7,0),"無")</f>
        <v>297</v>
      </c>
      <c r="P1196" s="79">
        <f>IFERROR(VLOOKUP($G1196,融外自投!$A:$J,9,0),"無")</f>
        <v>1123</v>
      </c>
      <c r="Q1196" s="342">
        <f>IFERROR(VLOOKUP($G1196,融外自投!$A:$J,8,0),"無")</f>
        <v>1275</v>
      </c>
      <c r="R1196" s="81" t="str">
        <f>IFERROR(VLOOKUP($G1196,融外自投!$A:$J,10,0),"無")</f>
        <v>無</v>
      </c>
      <c r="S1196" s="324">
        <f>IFERROR(VLOOKUP($G1196,'321買'!$A:$E,4,0),"'沒有資料'")</f>
        <v>606</v>
      </c>
      <c r="T1196" s="186">
        <f>IFERROR(VLOOKUP($G1196,基本資料!$A:$J,9,0),"無")</f>
        <v>1.6</v>
      </c>
      <c r="U1196" s="307">
        <f t="shared" si="206"/>
        <v>4.8484848484848485E-2</v>
      </c>
      <c r="V1196" s="94">
        <f>IFERROR(VLOOKUP($G1196,基本資料!$A:$J,10,0),"無")</f>
        <v>2.91</v>
      </c>
      <c r="W1196" s="36">
        <f>RTD("money.excel",,"6432","Price")</f>
        <v>33</v>
      </c>
      <c r="X1196" s="66"/>
      <c r="Y1196" s="15">
        <f t="shared" si="202"/>
        <v>33</v>
      </c>
      <c r="Z1196" s="3" t="e">
        <f t="shared" si="203"/>
        <v>#DIV/0!</v>
      </c>
      <c r="AA1196" s="340">
        <f>IFERROR(VLOOKUP($G1196,基本資料!$A:$M,11,0),"無")</f>
        <v>-32.65</v>
      </c>
      <c r="AB1196" s="389">
        <f>IFERROR(VLOOKUP($G1196,基本資料!$A:$M,12,0),"無")</f>
        <v>12.53</v>
      </c>
      <c r="AC1196" s="16" t="s">
        <v>438</v>
      </c>
      <c r="AF1196" s="33">
        <f t="shared" si="204"/>
        <v>0</v>
      </c>
      <c r="AG1196" s="43" t="s">
        <v>2375</v>
      </c>
      <c r="AH1196" s="66">
        <f t="shared" si="207"/>
        <v>1.2190812720848057</v>
      </c>
      <c r="AI1196" s="283">
        <f>RTD("money.excel",,$G1196,"PredictVolume")</f>
        <v>69</v>
      </c>
      <c r="AJ1196" s="391">
        <f>IFERROR(VLOOKUP($G1196,基本資料!$A:$M,13,0),"無")</f>
        <v>56.6</v>
      </c>
      <c r="AR1196" s="245" t="str">
        <f>INDEX(基本資料!N:N,MATCH($G1196,基本資料!A:A,0))</f>
        <v>低</v>
      </c>
    </row>
    <row r="1197" spans="1:44">
      <c r="A1197" s="343">
        <f>IFERROR(VLOOKUP($G1197,基本資料!$A:$J,3,0),"無")</f>
        <v>8.89</v>
      </c>
      <c r="B1197" s="79">
        <f>IFERROR(VLOOKUP($G1197,基本資料!$A:$J,4,0),"無")</f>
        <v>17</v>
      </c>
      <c r="C1197" s="79">
        <f>IFERROR(VLOOKUP($G1197,基本資料!$A:$J,5,0),"無")</f>
        <v>4</v>
      </c>
      <c r="D1197" s="79">
        <f>IFERROR(VLOOKUP($G1197,基本資料!$A:$J,6,0),"無")</f>
        <v>-17</v>
      </c>
      <c r="E1197" s="79">
        <f>IFERROR(VLOOKUP($G1197,基本資料!$A:$J,7,0),"無")</f>
        <v>-4</v>
      </c>
      <c r="F1197" s="6">
        <f>IFERROR(VLOOKUP($G1197,基本資料!$A:$J,8,0),"無")</f>
        <v>14.26</v>
      </c>
      <c r="G1197" s="79">
        <v>6449</v>
      </c>
      <c r="H1197" s="8" t="s">
        <v>308</v>
      </c>
      <c r="I1197" s="22" t="s">
        <v>4599</v>
      </c>
      <c r="J1197" s="8">
        <f>IFERROR(VLOOKUP($G1197,今日總結!$A:$AN,39,0),"")</f>
        <v>0</v>
      </c>
      <c r="K1197" s="5">
        <f>IFERROR(VLOOKUP($G1197,今日總結!$A:$AN,40,0),"")</f>
        <v>0</v>
      </c>
      <c r="L1197" s="156">
        <f>IFERROR(VLOOKUP($G1197,今日總結!$A:$AN,37,0),"")</f>
        <v>0</v>
      </c>
      <c r="M1197" s="337">
        <f>IFERROR(VLOOKUP($G1197,今日總結!$A:$AN,38,0),"")</f>
        <v>0</v>
      </c>
      <c r="N1197" s="240">
        <f t="shared" si="205"/>
        <v>0</v>
      </c>
      <c r="O1197" s="359">
        <f>IFERROR(VLOOKUP($G1197,融外自投!$A:$J,7,0),"無")</f>
        <v>811</v>
      </c>
      <c r="P1197" s="79">
        <f>IFERROR(VLOOKUP($G1197,融外自投!$A:$J,9,0),"無")</f>
        <v>324</v>
      </c>
      <c r="Q1197" s="342">
        <f>IFERROR(VLOOKUP($G1197,融外自投!$A:$J,8,0),"無")</f>
        <v>972</v>
      </c>
      <c r="R1197" s="81" t="str">
        <f>IFERROR(VLOOKUP($G1197,融外自投!$A:$J,10,0),"無")</f>
        <v>無</v>
      </c>
      <c r="S1197" s="324">
        <f>IFERROR(VLOOKUP($G1197,'321買'!$A:$E,4,0),"'沒有資料'")</f>
        <v>1002</v>
      </c>
      <c r="T1197" s="186">
        <f>IFERROR(VLOOKUP($G1197,基本資料!$A:$J,9,0),"無")</f>
        <v>2</v>
      </c>
      <c r="U1197" s="307">
        <f t="shared" si="206"/>
        <v>3.9215686274509803E-2</v>
      </c>
      <c r="V1197" s="94">
        <f>IFERROR(VLOOKUP($G1197,基本資料!$A:$J,10,0),"無")</f>
        <v>3.49</v>
      </c>
      <c r="W1197" s="36">
        <f>RTD("money.excel",,"6449","Price")</f>
        <v>51</v>
      </c>
      <c r="X1197" s="66"/>
      <c r="Y1197" s="15">
        <f t="shared" si="202"/>
        <v>51</v>
      </c>
      <c r="Z1197" s="3" t="e">
        <f t="shared" si="203"/>
        <v>#DIV/0!</v>
      </c>
      <c r="AA1197" s="340">
        <f>IFERROR(VLOOKUP($G1197,基本資料!$A:$M,11,0),"無")</f>
        <v>-22.49</v>
      </c>
      <c r="AB1197" s="389">
        <f>IFERROR(VLOOKUP($G1197,基本資料!$A:$M,12,0),"無")</f>
        <v>22.8</v>
      </c>
      <c r="AC1197" s="22" t="s">
        <v>4599</v>
      </c>
      <c r="AF1197" s="33">
        <f t="shared" si="204"/>
        <v>0</v>
      </c>
      <c r="AG1197" s="43" t="s">
        <v>2329</v>
      </c>
      <c r="AH1197" s="66">
        <f t="shared" si="207"/>
        <v>0.9771986970684039</v>
      </c>
      <c r="AI1197" s="283">
        <f>RTD("money.excel",,$G1197,"PredictVolume")</f>
        <v>30</v>
      </c>
      <c r="AJ1197" s="391">
        <f>IFERROR(VLOOKUP($G1197,基本資料!$A:$M,13,0),"無")</f>
        <v>30.7</v>
      </c>
      <c r="AR1197" s="245" t="str">
        <f>INDEX(基本資料!N:N,MATCH($G1197,基本資料!A:A,0))</f>
        <v>低</v>
      </c>
    </row>
    <row r="1198" spans="1:44">
      <c r="A1198" s="343">
        <f>IFERROR(VLOOKUP($G1198,基本資料!$A:$J,3,0),"無")</f>
        <v>3.72</v>
      </c>
      <c r="B1198" s="79">
        <f>IFERROR(VLOOKUP($G1198,基本資料!$A:$J,4,0),"無")</f>
        <v>-64</v>
      </c>
      <c r="C1198" s="79">
        <f>IFERROR(VLOOKUP($G1198,基本資料!$A:$J,5,0),"無")</f>
        <v>-67</v>
      </c>
      <c r="D1198" s="79">
        <f>IFERROR(VLOOKUP($G1198,基本資料!$A:$J,6,0),"無")</f>
        <v>8</v>
      </c>
      <c r="E1198" s="79">
        <f>IFERROR(VLOOKUP($G1198,基本資料!$A:$J,7,0),"無")</f>
        <v>32</v>
      </c>
      <c r="F1198" s="6">
        <f>IFERROR(VLOOKUP($G1198,基本資料!$A:$J,8,0),"無")</f>
        <v>15.33</v>
      </c>
      <c r="G1198" s="79">
        <v>6538</v>
      </c>
      <c r="H1198" s="8" t="s">
        <v>308</v>
      </c>
      <c r="I1198" s="16" t="s">
        <v>439</v>
      </c>
      <c r="J1198" s="8" t="str">
        <f>IFERROR(VLOOKUP($G1198,今日總結!$A:$AN,39,0),"")</f>
        <v>主</v>
      </c>
      <c r="K1198" s="5" t="str">
        <f>IFERROR(VLOOKUP($G1198,今日總結!$A:$AN,40,0),"")</f>
        <v>券</v>
      </c>
      <c r="L1198" s="156">
        <f>IFERROR(VLOOKUP($G1198,今日總結!$A:$AN,37,0),"")</f>
        <v>3</v>
      </c>
      <c r="M1198" s="337">
        <f>IFERROR(VLOOKUP($G1198,今日總結!$A:$AN,38,0),"")</f>
        <v>5</v>
      </c>
      <c r="N1198" s="240">
        <f t="shared" si="205"/>
        <v>-2</v>
      </c>
      <c r="O1198" s="359">
        <f>IFERROR(VLOOKUP($G1198,融外自投!$A:$J,7,0),"無")</f>
        <v>163</v>
      </c>
      <c r="P1198" s="79">
        <f>IFERROR(VLOOKUP($G1198,融外自投!$A:$J,9,0),"無")</f>
        <v>251</v>
      </c>
      <c r="Q1198" s="342">
        <f>IFERROR(VLOOKUP($G1198,融外自投!$A:$J,8,0),"無")</f>
        <v>858</v>
      </c>
      <c r="R1198" s="81">
        <f>IFERROR(VLOOKUP($G1198,融外自投!$A:$J,10,0),"無")</f>
        <v>188</v>
      </c>
      <c r="S1198" s="324">
        <f>IFERROR(VLOOKUP($G1198,'321買'!$A:$E,4,0),"'沒有資料'")</f>
        <v>366</v>
      </c>
      <c r="T1198" s="186">
        <f>IFERROR(VLOOKUP($G1198,基本資料!$A:$J,9,0),"無")</f>
        <v>2.5</v>
      </c>
      <c r="U1198" s="307">
        <f t="shared" si="206"/>
        <v>2.6652452025586356E-2</v>
      </c>
      <c r="V1198" s="94">
        <f>IFERROR(VLOOKUP($G1198,基本資料!$A:$J,10,0),"無")</f>
        <v>4.13</v>
      </c>
      <c r="W1198" s="36">
        <f>RTD("money.excel",,"6538","Price")</f>
        <v>93.8</v>
      </c>
      <c r="X1198" s="66"/>
      <c r="Y1198" s="15">
        <f t="shared" si="202"/>
        <v>93.8</v>
      </c>
      <c r="Z1198" s="3" t="e">
        <f t="shared" si="203"/>
        <v>#DIV/0!</v>
      </c>
      <c r="AA1198" s="340">
        <f>IFERROR(VLOOKUP($G1198,基本資料!$A:$M,11,0),"無")</f>
        <v>-29.21</v>
      </c>
      <c r="AB1198" s="389">
        <f>IFERROR(VLOOKUP($G1198,基本資料!$A:$M,12,0),"無")</f>
        <v>58.86</v>
      </c>
      <c r="AC1198" s="16" t="s">
        <v>439</v>
      </c>
      <c r="AF1198" s="33">
        <f t="shared" si="204"/>
        <v>0</v>
      </c>
      <c r="AG1198" s="43" t="s">
        <v>1713</v>
      </c>
      <c r="AH1198" s="66">
        <f t="shared" si="207"/>
        <v>5.8720819889922184</v>
      </c>
      <c r="AI1198" s="283">
        <f>RTD("money.excel",,$G1198,"PredictVolume")</f>
        <v>3094</v>
      </c>
      <c r="AJ1198" s="391">
        <f>IFERROR(VLOOKUP($G1198,基本資料!$A:$M,13,0),"無")</f>
        <v>526.9</v>
      </c>
      <c r="AR1198" s="245" t="str">
        <f>INDEX(基本資料!N:N,MATCH($G1198,基本資料!A:A,0))</f>
        <v>中</v>
      </c>
    </row>
    <row r="1199" spans="1:44">
      <c r="A1199" s="343">
        <f>IFERROR(VLOOKUP($G1199,基本資料!$A:$J,3,0),"無")</f>
        <v>3.73</v>
      </c>
      <c r="B1199" s="79">
        <f>IFERROR(VLOOKUP($G1199,基本資料!$A:$J,4,0),"無")</f>
        <v>89</v>
      </c>
      <c r="C1199" s="79">
        <f>IFERROR(VLOOKUP($G1199,基本資料!$A:$J,5,0),"無")</f>
        <v>87</v>
      </c>
      <c r="D1199" s="79">
        <f>IFERROR(VLOOKUP($G1199,基本資料!$A:$J,6,0),"無")</f>
        <v>-17</v>
      </c>
      <c r="E1199" s="79">
        <f>IFERROR(VLOOKUP($G1199,基本資料!$A:$J,7,0),"無")</f>
        <v>-8</v>
      </c>
      <c r="F1199" s="6">
        <f>IFERROR(VLOOKUP($G1199,基本資料!$A:$J,8,0),"無")</f>
        <v>32.17</v>
      </c>
      <c r="G1199" s="79">
        <v>6642</v>
      </c>
      <c r="H1199" s="8" t="s">
        <v>308</v>
      </c>
      <c r="I1199" s="16" t="s">
        <v>1681</v>
      </c>
      <c r="J1199" s="8">
        <f>IFERROR(VLOOKUP($G1199,今日總結!$A:$AN,39,0),"")</f>
        <v>0</v>
      </c>
      <c r="K1199" s="5">
        <f>IFERROR(VLOOKUP($G1199,今日總結!$A:$AN,40,0),"")</f>
        <v>0</v>
      </c>
      <c r="L1199" s="156">
        <f>IFERROR(VLOOKUP($G1199,今日總結!$A:$AN,37,0),"")</f>
        <v>0</v>
      </c>
      <c r="M1199" s="337">
        <f>IFERROR(VLOOKUP($G1199,今日總結!$A:$AN,38,0),"")</f>
        <v>0</v>
      </c>
      <c r="N1199" s="240">
        <f t="shared" si="205"/>
        <v>0</v>
      </c>
      <c r="O1199" s="359">
        <f>IFERROR(VLOOKUP($G1199,融外自投!$A:$J,7,0),"無")</f>
        <v>147</v>
      </c>
      <c r="P1199" s="79" t="str">
        <f>IFERROR(VLOOKUP($G1199,融外自投!$A:$J,9,0),"無")</f>
        <v>無</v>
      </c>
      <c r="Q1199" s="342">
        <f>IFERROR(VLOOKUP($G1199,融外自投!$A:$J,8,0),"無")</f>
        <v>898</v>
      </c>
      <c r="R1199" s="81" t="str">
        <f>IFERROR(VLOOKUP($G1199,融外自投!$A:$J,10,0),"無")</f>
        <v>無</v>
      </c>
      <c r="S1199" s="324">
        <f>IFERROR(VLOOKUP($G1199,'321買'!$A:$E,4,0),"'沒有資料'")</f>
        <v>650</v>
      </c>
      <c r="T1199" s="186">
        <f>IFERROR(VLOOKUP($G1199,基本資料!$A:$J,9,0),"無")</f>
        <v>3.6</v>
      </c>
      <c r="U1199" s="307">
        <f t="shared" si="206"/>
        <v>5.6962025316455694E-2</v>
      </c>
      <c r="V1199" s="94">
        <f>IFERROR(VLOOKUP($G1199,基本資料!$A:$J,10,0),"無")</f>
        <v>4.6500000000000004</v>
      </c>
      <c r="W1199" s="36">
        <f>RTD("money.excel",,"6642","Price")</f>
        <v>63.2</v>
      </c>
      <c r="X1199" s="66"/>
      <c r="Y1199" s="15">
        <f t="shared" si="202"/>
        <v>63.2</v>
      </c>
      <c r="Z1199" s="3" t="e">
        <f t="shared" si="203"/>
        <v>#DIV/0!</v>
      </c>
      <c r="AA1199" s="340">
        <f>IFERROR(VLOOKUP($G1199,基本資料!$A:$M,11,0),"無")</f>
        <v>-44.07</v>
      </c>
      <c r="AB1199" s="389">
        <f>IFERROR(VLOOKUP($G1199,基本資料!$A:$M,12,0),"無")</f>
        <v>19.100000000000001</v>
      </c>
      <c r="AC1199" s="16" t="s">
        <v>1681</v>
      </c>
      <c r="AF1199" s="33">
        <f t="shared" si="204"/>
        <v>0</v>
      </c>
      <c r="AG1199" s="43" t="s">
        <v>3072</v>
      </c>
      <c r="AH1199" s="66">
        <f t="shared" si="207"/>
        <v>0.41284403669724767</v>
      </c>
      <c r="AI1199" s="283">
        <f>RTD("money.excel",,$G1199,"PredictVolume")</f>
        <v>9</v>
      </c>
      <c r="AJ1199" s="391">
        <f>IFERROR(VLOOKUP($G1199,基本資料!$A:$M,13,0),"無")</f>
        <v>21.8</v>
      </c>
      <c r="AR1199" s="245" t="str">
        <f>INDEX(基本資料!N:N,MATCH($G1199,基本資料!A:A,0))</f>
        <v>低</v>
      </c>
    </row>
    <row r="1200" spans="1:44">
      <c r="A1200" s="343">
        <f>IFERROR(VLOOKUP($G1200,基本資料!$A:$J,3,0),"無")</f>
        <v>5.5</v>
      </c>
      <c r="B1200" s="79">
        <f>IFERROR(VLOOKUP($G1200,基本資料!$A:$J,4,0),"無")</f>
        <v>8</v>
      </c>
      <c r="C1200" s="79">
        <f>IFERROR(VLOOKUP($G1200,基本資料!$A:$J,5,0),"無")</f>
        <v>8</v>
      </c>
      <c r="D1200" s="79">
        <f>IFERROR(VLOOKUP($G1200,基本資料!$A:$J,6,0),"無")</f>
        <v>11</v>
      </c>
      <c r="E1200" s="79">
        <f>IFERROR(VLOOKUP($G1200,基本資料!$A:$J,7,0),"無")</f>
        <v>46</v>
      </c>
      <c r="F1200" s="6">
        <f>IFERROR(VLOOKUP($G1200,基本資料!$A:$J,8,0),"無")</f>
        <v>24.56</v>
      </c>
      <c r="G1200" s="79">
        <v>6664</v>
      </c>
      <c r="H1200" s="8" t="s">
        <v>308</v>
      </c>
      <c r="I1200" s="16" t="s">
        <v>1066</v>
      </c>
      <c r="J1200" s="8">
        <f>IFERROR(VLOOKUP($G1200,今日總結!$A:$AN,39,0),"")</f>
        <v>0</v>
      </c>
      <c r="K1200" s="5">
        <f>IFERROR(VLOOKUP($G1200,今日總結!$A:$AN,40,0),"")</f>
        <v>0</v>
      </c>
      <c r="L1200" s="156">
        <f>IFERROR(VLOOKUP($G1200,今日總結!$A:$AN,37,0),"")</f>
        <v>0</v>
      </c>
      <c r="M1200" s="337">
        <f>IFERROR(VLOOKUP($G1200,今日總結!$A:$AN,38,0),"")</f>
        <v>0</v>
      </c>
      <c r="N1200" s="240">
        <f t="shared" si="205"/>
        <v>0</v>
      </c>
      <c r="O1200" s="359">
        <f>IFERROR(VLOOKUP($G1200,融外自投!$A:$J,7,0),"無")</f>
        <v>684</v>
      </c>
      <c r="P1200" s="79">
        <f>IFERROR(VLOOKUP($G1200,融外自投!$A:$J,9,0),"無")</f>
        <v>414</v>
      </c>
      <c r="Q1200" s="342">
        <f>IFERROR(VLOOKUP($G1200,融外自投!$A:$J,8,0),"無")</f>
        <v>910</v>
      </c>
      <c r="R1200" s="81" t="str">
        <f>IFERROR(VLOOKUP($G1200,融外自投!$A:$J,10,0),"無")</f>
        <v>無</v>
      </c>
      <c r="S1200" s="324">
        <f>IFERROR(VLOOKUP($G1200,'321買'!$A:$E,4,0),"'沒有資料'")</f>
        <v>743</v>
      </c>
      <c r="T1200" s="186">
        <f>IFERROR(VLOOKUP($G1200,基本資料!$A:$J,9,0),"無")</f>
        <v>4.9000000000000004</v>
      </c>
      <c r="U1200" s="307">
        <f t="shared" si="206"/>
        <v>5.5367231638418085E-2</v>
      </c>
      <c r="V1200" s="94">
        <f>IFERROR(VLOOKUP($G1200,基本資料!$A:$J,10,0),"無")</f>
        <v>6.12</v>
      </c>
      <c r="W1200" s="36">
        <f>RTD("money.excel",,"6664","Price")</f>
        <v>88.5</v>
      </c>
      <c r="X1200" s="66"/>
      <c r="Y1200" s="15">
        <f t="shared" si="202"/>
        <v>88.5</v>
      </c>
      <c r="Z1200" s="3" t="e">
        <f t="shared" si="203"/>
        <v>#DIV/0!</v>
      </c>
      <c r="AA1200" s="340">
        <f>IFERROR(VLOOKUP($G1200,基本資料!$A:$M,11,0),"無")</f>
        <v>-4.84</v>
      </c>
      <c r="AB1200" s="389">
        <f>IFERROR(VLOOKUP($G1200,基本資料!$A:$M,12,0),"無")</f>
        <v>64.319999999999993</v>
      </c>
      <c r="AC1200" s="16" t="s">
        <v>1066</v>
      </c>
      <c r="AF1200" s="33">
        <f t="shared" si="204"/>
        <v>0</v>
      </c>
      <c r="AG1200" s="43" t="s">
        <v>2291</v>
      </c>
      <c r="AH1200" s="66">
        <f t="shared" si="207"/>
        <v>1.0903344745851988</v>
      </c>
      <c r="AI1200" s="283">
        <f>RTD("money.excel",,$G1200,"PredictVolume")</f>
        <v>207</v>
      </c>
      <c r="AJ1200" s="391">
        <f>IFERROR(VLOOKUP($G1200,基本資料!$A:$M,13,0),"無")</f>
        <v>189.85</v>
      </c>
      <c r="AR1200" s="245" t="str">
        <f>INDEX(基本資料!N:N,MATCH($G1200,基本資料!A:A,0))</f>
        <v>高</v>
      </c>
    </row>
    <row r="1201" spans="1:44">
      <c r="A1201" s="343">
        <f>IFERROR(VLOOKUP($G1201,基本資料!$A:$J,3,0),"無")</f>
        <v>7.14</v>
      </c>
      <c r="B1201" s="79">
        <f>IFERROR(VLOOKUP($G1201,基本資料!$A:$J,4,0),"無")</f>
        <v>121</v>
      </c>
      <c r="C1201" s="79">
        <f>IFERROR(VLOOKUP($G1201,基本資料!$A:$J,5,0),"無")</f>
        <v>102</v>
      </c>
      <c r="D1201" s="79">
        <f>IFERROR(VLOOKUP($G1201,基本資料!$A:$J,6,0),"無")</f>
        <v>-11</v>
      </c>
      <c r="E1201" s="79">
        <f>IFERROR(VLOOKUP($G1201,基本資料!$A:$J,7,0),"無")</f>
        <v>-18</v>
      </c>
      <c r="F1201" s="6">
        <f>IFERROR(VLOOKUP($G1201,基本資料!$A:$J,8,0),"無")</f>
        <v>14.04</v>
      </c>
      <c r="G1201" s="79">
        <v>6672</v>
      </c>
      <c r="H1201" s="8" t="s">
        <v>308</v>
      </c>
      <c r="I1201" s="22" t="s">
        <v>1500</v>
      </c>
      <c r="J1201" s="8">
        <f>IFERROR(VLOOKUP($G1201,今日總結!$A:$AN,39,0),"")</f>
        <v>0</v>
      </c>
      <c r="K1201" s="5">
        <f>IFERROR(VLOOKUP($G1201,今日總結!$A:$AN,40,0),"")</f>
        <v>0</v>
      </c>
      <c r="L1201" s="156">
        <f>IFERROR(VLOOKUP($G1201,今日總結!$A:$AN,37,0),"")</f>
        <v>0</v>
      </c>
      <c r="M1201" s="337">
        <f>IFERROR(VLOOKUP($G1201,今日總結!$A:$AN,38,0),"")</f>
        <v>0</v>
      </c>
      <c r="N1201" s="240">
        <f t="shared" si="205"/>
        <v>0</v>
      </c>
      <c r="O1201" s="359">
        <f>IFERROR(VLOOKUP($G1201,融外自投!$A:$J,7,0),"無")</f>
        <v>209</v>
      </c>
      <c r="P1201" s="79">
        <f>IFERROR(VLOOKUP($G1201,融外自投!$A:$J,9,0),"無")</f>
        <v>1051</v>
      </c>
      <c r="Q1201" s="342">
        <f>IFERROR(VLOOKUP($G1201,融外自投!$A:$J,8,0),"無")</f>
        <v>222</v>
      </c>
      <c r="R1201" s="81" t="str">
        <f>IFERROR(VLOOKUP($G1201,融外自投!$A:$J,10,0),"無")</f>
        <v>無</v>
      </c>
      <c r="S1201" s="324">
        <f>IFERROR(VLOOKUP($G1201,'321買'!$A:$E,4,0),"'沒有資料'")</f>
        <v>223</v>
      </c>
      <c r="T1201" s="186">
        <f>IFERROR(VLOOKUP($G1201,基本資料!$A:$J,9,0),"無")</f>
        <v>6.6</v>
      </c>
      <c r="U1201" s="307">
        <f t="shared" si="206"/>
        <v>7.4324324324324328E-2</v>
      </c>
      <c r="V1201" s="94">
        <f>IFERROR(VLOOKUP($G1201,基本資料!$A:$J,10,0),"無")</f>
        <v>11.72</v>
      </c>
      <c r="W1201" s="36">
        <f>RTD("money.excel",,"6672","Price")</f>
        <v>88.8</v>
      </c>
      <c r="X1201" s="66"/>
      <c r="Y1201" s="15">
        <f t="shared" si="202"/>
        <v>88.8</v>
      </c>
      <c r="Z1201" s="3" t="e">
        <f t="shared" si="203"/>
        <v>#DIV/0!</v>
      </c>
      <c r="AA1201" s="340">
        <f>IFERROR(VLOOKUP($G1201,基本資料!$A:$M,11,0),"無")</f>
        <v>-54.23</v>
      </c>
      <c r="AB1201" s="389">
        <f>IFERROR(VLOOKUP($G1201,基本資料!$A:$M,12,0),"無")</f>
        <v>11.48</v>
      </c>
      <c r="AC1201" s="22" t="s">
        <v>1500</v>
      </c>
      <c r="AF1201" s="33">
        <f t="shared" si="204"/>
        <v>0</v>
      </c>
      <c r="AG1201" s="43" t="s">
        <v>3277</v>
      </c>
      <c r="AH1201" s="66">
        <f t="shared" si="207"/>
        <v>0.46287128712871289</v>
      </c>
      <c r="AI1201" s="283">
        <f>RTD("money.excel",,$G1201,"PredictVolume")</f>
        <v>187</v>
      </c>
      <c r="AJ1201" s="391">
        <f>IFERROR(VLOOKUP($G1201,基本資料!$A:$M,13,0),"無")</f>
        <v>404</v>
      </c>
      <c r="AR1201" s="245" t="str">
        <f>INDEX(基本資料!N:N,MATCH($G1201,基本資料!A:A,0))</f>
        <v>低</v>
      </c>
    </row>
    <row r="1202" spans="1:44">
      <c r="A1202" s="343">
        <f>IFERROR(VLOOKUP($G1202,基本資料!$A:$J,3,0),"無")</f>
        <v>6.05</v>
      </c>
      <c r="B1202" s="79">
        <f>IFERROR(VLOOKUP($G1202,基本資料!$A:$J,4,0),"無")</f>
        <v>-33</v>
      </c>
      <c r="C1202" s="79">
        <f>IFERROR(VLOOKUP($G1202,基本資料!$A:$J,5,0),"無")</f>
        <v>-40</v>
      </c>
      <c r="D1202" s="79">
        <f>IFERROR(VLOOKUP($G1202,基本資料!$A:$J,6,0),"無")</f>
        <v>0</v>
      </c>
      <c r="E1202" s="79">
        <f>IFERROR(VLOOKUP($G1202,基本資料!$A:$J,7,0),"無")</f>
        <v>33</v>
      </c>
      <c r="F1202" s="6">
        <f>IFERROR(VLOOKUP($G1202,基本資料!$A:$J,8,0),"無")</f>
        <v>9.75</v>
      </c>
      <c r="G1202" s="79">
        <v>6715</v>
      </c>
      <c r="H1202" s="8" t="s">
        <v>3388</v>
      </c>
      <c r="I1202" s="22" t="s">
        <v>1922</v>
      </c>
      <c r="J1202" s="8" t="str">
        <f>IFERROR(VLOOKUP($G1202,今日總結!$A:$AN,39,0),"")</f>
        <v>融</v>
      </c>
      <c r="K1202" s="5">
        <f>IFERROR(VLOOKUP($G1202,今日總結!$A:$AN,40,0),"")</f>
        <v>0</v>
      </c>
      <c r="L1202" s="156">
        <f>IFERROR(VLOOKUP($G1202,今日總結!$A:$AN,37,0),"")</f>
        <v>1</v>
      </c>
      <c r="M1202" s="337">
        <f>IFERROR(VLOOKUP($G1202,今日總結!$A:$AN,38,0),"")</f>
        <v>0</v>
      </c>
      <c r="N1202" s="240">
        <f t="shared" si="205"/>
        <v>1</v>
      </c>
      <c r="O1202" s="359">
        <f>IFERROR(VLOOKUP($G1202,融外自投!$A:$J,7,0),"無")</f>
        <v>310</v>
      </c>
      <c r="P1202" s="79">
        <f>IFERROR(VLOOKUP($G1202,融外自投!$A:$J,9,0),"無")</f>
        <v>908</v>
      </c>
      <c r="Q1202" s="342">
        <f>IFERROR(VLOOKUP($G1202,融外自投!$A:$J,8,0),"無")</f>
        <v>1124</v>
      </c>
      <c r="R1202" s="81" t="str">
        <f>IFERROR(VLOOKUP($G1202,融外自投!$A:$J,10,0),"無")</f>
        <v>無</v>
      </c>
      <c r="S1202" s="324">
        <f>IFERROR(VLOOKUP($G1202,'321買'!$A:$E,4,0),"'沒有資料'")</f>
        <v>891</v>
      </c>
      <c r="T1202" s="186">
        <f>IFERROR(VLOOKUP($G1202,基本資料!$A:$J,9,0),"無")</f>
        <v>1.8</v>
      </c>
      <c r="U1202" s="307">
        <f t="shared" si="206"/>
        <v>1.6822429906542057E-2</v>
      </c>
      <c r="V1202" s="94">
        <f>IFERROR(VLOOKUP($G1202,基本資料!$A:$J,10,0),"無")</f>
        <v>3.05</v>
      </c>
      <c r="W1202" s="36">
        <f>RTD("money.excel",,"6715","Price")</f>
        <v>107</v>
      </c>
      <c r="X1202" s="66"/>
      <c r="Y1202" s="15">
        <f t="shared" si="202"/>
        <v>107</v>
      </c>
      <c r="Z1202" s="3" t="e">
        <f t="shared" si="203"/>
        <v>#DIV/0!</v>
      </c>
      <c r="AA1202" s="340">
        <f>IFERROR(VLOOKUP($G1202,基本資料!$A:$M,11,0),"無")</f>
        <v>-20.74</v>
      </c>
      <c r="AB1202" s="389">
        <f>IFERROR(VLOOKUP($G1202,基本資料!$A:$M,12,0),"無")</f>
        <v>57.53</v>
      </c>
      <c r="AC1202" s="22" t="s">
        <v>1922</v>
      </c>
      <c r="AF1202" s="33">
        <f t="shared" si="204"/>
        <v>0</v>
      </c>
      <c r="AG1202" s="119" t="s">
        <v>1923</v>
      </c>
      <c r="AH1202" s="66">
        <f t="shared" si="207"/>
        <v>1.4779270633397312</v>
      </c>
      <c r="AI1202" s="283">
        <f>RTD("money.excel",,$G1202,"PredictVolume")</f>
        <v>77</v>
      </c>
      <c r="AJ1202" s="391">
        <f>IFERROR(VLOOKUP($G1202,基本資料!$A:$M,13,0),"無")</f>
        <v>52.1</v>
      </c>
      <c r="AR1202" s="245" t="str">
        <f>INDEX(基本資料!N:N,MATCH($G1202,基本資料!A:A,0))</f>
        <v>低</v>
      </c>
    </row>
    <row r="1203" spans="1:44">
      <c r="A1203" s="343">
        <f>IFERROR(VLOOKUP($G1203,基本資料!$A:$J,3,0),"無")</f>
        <v>2.2599999999999998</v>
      </c>
      <c r="B1203" s="79">
        <f>IFERROR(VLOOKUP($G1203,基本資料!$A:$J,4,0),"無")</f>
        <v>64</v>
      </c>
      <c r="C1203" s="79">
        <f>IFERROR(VLOOKUP($G1203,基本資料!$A:$J,5,0),"無")</f>
        <v>27</v>
      </c>
      <c r="D1203" s="79">
        <f>IFERROR(VLOOKUP($G1203,基本資料!$A:$J,6,0),"無")</f>
        <v>-1</v>
      </c>
      <c r="E1203" s="79">
        <f>IFERROR(VLOOKUP($G1203,基本資料!$A:$J,7,0),"無")</f>
        <v>89</v>
      </c>
      <c r="F1203" s="6">
        <f>IFERROR(VLOOKUP($G1203,基本資料!$A:$J,8,0),"無")</f>
        <v>13.45</v>
      </c>
      <c r="G1203" s="79">
        <v>6727</v>
      </c>
      <c r="H1203" s="8" t="s">
        <v>308</v>
      </c>
      <c r="I1203" s="16" t="s">
        <v>2082</v>
      </c>
      <c r="J1203" s="8" t="str">
        <f>IFERROR(VLOOKUP($G1203,今日總結!$A:$AN,39,0),"")</f>
        <v/>
      </c>
      <c r="K1203" s="5" t="str">
        <f>IFERROR(VLOOKUP($G1203,今日總結!$A:$AN,40,0),"")</f>
        <v/>
      </c>
      <c r="L1203" s="156" t="str">
        <f>IFERROR(VLOOKUP($G1203,今日總結!$A:$AN,37,0),"")</f>
        <v/>
      </c>
      <c r="M1203" s="337" t="str">
        <f>IFERROR(VLOOKUP($G1203,今日總結!$A:$AN,38,0),"")</f>
        <v/>
      </c>
      <c r="N1203" s="240" t="str">
        <f t="shared" si="205"/>
        <v/>
      </c>
      <c r="O1203" s="359" t="str">
        <f>IFERROR(VLOOKUP($G1203,融外自投!$A:$J,7,0),"無")</f>
        <v>無</v>
      </c>
      <c r="P1203" s="79" t="str">
        <f>IFERROR(VLOOKUP($G1203,融外自投!$A:$J,9,0),"無")</f>
        <v>無</v>
      </c>
      <c r="Q1203" s="342" t="str">
        <f>IFERROR(VLOOKUP($G1203,融外自投!$A:$J,8,0),"無")</f>
        <v>無</v>
      </c>
      <c r="R1203" s="81" t="str">
        <f>IFERROR(VLOOKUP($G1203,融外自投!$A:$J,10,0),"無")</f>
        <v>無</v>
      </c>
      <c r="S1203" s="324" t="str">
        <f>IFERROR(VLOOKUP($G1203,'321買'!$A:$E,4,0),"'沒有資料'")</f>
        <v>'沒有資料'</v>
      </c>
      <c r="T1203" s="186">
        <f>IFERROR(VLOOKUP($G1203,基本資料!$A:$J,9,0),"無")</f>
        <v>3</v>
      </c>
      <c r="U1203" s="307">
        <f t="shared" si="206"/>
        <v>4.1095890410958902E-2</v>
      </c>
      <c r="V1203" s="94">
        <f>IFERROR(VLOOKUP($G1203,基本資料!$A:$J,10,0),"無")</f>
        <v>5.75</v>
      </c>
      <c r="W1203" s="36">
        <f>RTD("money.excel",,"6727","Price")</f>
        <v>73</v>
      </c>
      <c r="X1203" s="66"/>
      <c r="Y1203" s="15">
        <f t="shared" si="202"/>
        <v>73</v>
      </c>
      <c r="Z1203" s="3" t="e">
        <f t="shared" si="203"/>
        <v>#DIV/0!</v>
      </c>
      <c r="AA1203" s="340">
        <f>IFERROR(VLOOKUP($G1203,基本資料!$A:$M,11,0),"無")</f>
        <v>-42.97</v>
      </c>
      <c r="AB1203" s="389">
        <f>IFERROR(VLOOKUP($G1203,基本資料!$A:$M,12,0),"無")</f>
        <v>47.53</v>
      </c>
      <c r="AC1203" s="16" t="s">
        <v>2082</v>
      </c>
      <c r="AF1203" s="33">
        <f t="shared" si="204"/>
        <v>0</v>
      </c>
      <c r="AG1203" s="43" t="s">
        <v>2291</v>
      </c>
      <c r="AH1203" s="66">
        <f t="shared" si="207"/>
        <v>1.454673225579761</v>
      </c>
      <c r="AI1203" s="283">
        <f>RTD("money.excel",,$G1203,"PredictVolume")</f>
        <v>207</v>
      </c>
      <c r="AJ1203" s="391">
        <f>IFERROR(VLOOKUP($G1203,基本資料!$A:$M,13,0),"無")</f>
        <v>142.30000000000001</v>
      </c>
      <c r="AR1203" s="245" t="str">
        <f>INDEX(基本資料!N:N,MATCH($G1203,基本資料!A:A,0))</f>
        <v>低</v>
      </c>
    </row>
    <row r="1204" spans="1:44">
      <c r="A1204" s="343">
        <f>IFERROR(VLOOKUP($G1204,基本資料!$A:$J,3,0),"無")</f>
        <v>2.39</v>
      </c>
      <c r="B1204" s="79">
        <f>IFERROR(VLOOKUP($G1204,基本資料!$A:$J,4,0),"無")</f>
        <v>104</v>
      </c>
      <c r="C1204" s="79">
        <f>IFERROR(VLOOKUP($G1204,基本資料!$A:$J,5,0),"無")</f>
        <v>97</v>
      </c>
      <c r="D1204" s="79">
        <f>IFERROR(VLOOKUP($G1204,基本資料!$A:$J,6,0),"無")</f>
        <v>1</v>
      </c>
      <c r="E1204" s="79">
        <f>IFERROR(VLOOKUP($G1204,基本資料!$A:$J,7,0),"無")</f>
        <v>-1</v>
      </c>
      <c r="F1204" s="6">
        <f>IFERROR(VLOOKUP($G1204,基本資料!$A:$J,8,0),"無")</f>
        <v>12.86</v>
      </c>
      <c r="G1204" s="79">
        <v>6761</v>
      </c>
      <c r="H1204" s="8" t="s">
        <v>308</v>
      </c>
      <c r="I1204" s="16" t="s">
        <v>3505</v>
      </c>
      <c r="J1204" s="8" t="str">
        <f>IFERROR(VLOOKUP($G1204,今日總結!$A:$AN,39,0),"")</f>
        <v/>
      </c>
      <c r="K1204" s="5" t="str">
        <f>IFERROR(VLOOKUP($G1204,今日總結!$A:$AN,40,0),"")</f>
        <v/>
      </c>
      <c r="L1204" s="156" t="str">
        <f>IFERROR(VLOOKUP($G1204,今日總結!$A:$AN,37,0),"")</f>
        <v/>
      </c>
      <c r="M1204" s="337" t="str">
        <f>IFERROR(VLOOKUP($G1204,今日總結!$A:$AN,38,0),"")</f>
        <v/>
      </c>
      <c r="N1204" s="240" t="str">
        <f t="shared" si="205"/>
        <v/>
      </c>
      <c r="O1204" s="359" t="str">
        <f>IFERROR(VLOOKUP($G1204,融外自投!$A:$J,7,0),"無")</f>
        <v>無</v>
      </c>
      <c r="P1204" s="79" t="str">
        <f>IFERROR(VLOOKUP($G1204,融外自投!$A:$J,9,0),"無")</f>
        <v>無</v>
      </c>
      <c r="Q1204" s="342" t="str">
        <f>IFERROR(VLOOKUP($G1204,融外自投!$A:$J,8,0),"無")</f>
        <v>無</v>
      </c>
      <c r="R1204" s="81" t="str">
        <f>IFERROR(VLOOKUP($G1204,融外自投!$A:$J,10,0),"無")</f>
        <v>無</v>
      </c>
      <c r="S1204" s="324" t="str">
        <f>IFERROR(VLOOKUP($G1204,'321買'!$A:$E,4,0),"'沒有資料'")</f>
        <v>'沒有資料'</v>
      </c>
      <c r="T1204" s="186">
        <f>IFERROR(VLOOKUP($G1204,基本資料!$A:$J,9,0),"無")</f>
        <v>5.8</v>
      </c>
      <c r="U1204" s="307">
        <f t="shared" si="206"/>
        <v>5.8291457286432161E-2</v>
      </c>
      <c r="V1204" s="94">
        <f>IFERROR(VLOOKUP($G1204,基本資料!$A:$J,10,0),"無")</f>
        <v>8.5399999999999991</v>
      </c>
      <c r="W1204" s="36">
        <f>RTD("money.excel",,"6761","Price")</f>
        <v>99.5</v>
      </c>
      <c r="X1204" s="66"/>
      <c r="Y1204" s="15">
        <f t="shared" si="202"/>
        <v>99.5</v>
      </c>
      <c r="Z1204" s="3" t="e">
        <f t="shared" si="203"/>
        <v>#DIV/0!</v>
      </c>
      <c r="AA1204" s="340" t="str">
        <f>IFERROR(VLOOKUP($G1204,基本資料!$A:$M,11,0),"無")</f>
        <v>無</v>
      </c>
      <c r="AB1204" s="389" t="str">
        <f>IFERROR(VLOOKUP($G1204,基本資料!$A:$M,12,0),"無")</f>
        <v>無</v>
      </c>
      <c r="AC1204" s="16" t="s">
        <v>3505</v>
      </c>
      <c r="AF1204" s="33">
        <f t="shared" si="204"/>
        <v>0</v>
      </c>
      <c r="AG1204" s="43" t="s">
        <v>3506</v>
      </c>
      <c r="AH1204" s="66" t="e">
        <f t="shared" si="207"/>
        <v>#VALUE!</v>
      </c>
      <c r="AI1204" s="283">
        <f>RTD("money.excel",,$G1204,"PredictVolume")</f>
        <v>6</v>
      </c>
      <c r="AJ1204" s="391" t="str">
        <f>IFERROR(VLOOKUP($G1204,基本資料!$A:$M,13,0),"無")</f>
        <v>無</v>
      </c>
      <c r="AR1204" s="245" t="str">
        <f>INDEX(基本資料!N:N,MATCH($G1204,基本資料!A:A,0))</f>
        <v>無</v>
      </c>
    </row>
    <row r="1205" spans="1:44">
      <c r="A1205" s="343">
        <f>IFERROR(VLOOKUP($G1205,基本資料!$A:$J,3,0),"無")</f>
        <v>8.5399999999999991</v>
      </c>
      <c r="B1205" s="79">
        <f>IFERROR(VLOOKUP($G1205,基本資料!$A:$J,4,0),"無")</f>
        <v>168</v>
      </c>
      <c r="C1205" s="79">
        <f>IFERROR(VLOOKUP($G1205,基本資料!$A:$J,5,0),"無")</f>
        <v>146</v>
      </c>
      <c r="D1205" s="79">
        <f>IFERROR(VLOOKUP($G1205,基本資料!$A:$J,6,0),"無")</f>
        <v>0</v>
      </c>
      <c r="E1205" s="79">
        <f>IFERROR(VLOOKUP($G1205,基本資料!$A:$J,7,0),"無")</f>
        <v>40</v>
      </c>
      <c r="F1205" s="6">
        <f>IFERROR(VLOOKUP($G1205,基本資料!$A:$J,8,0),"無")</f>
        <v>26.21</v>
      </c>
      <c r="G1205" s="79">
        <v>6781</v>
      </c>
      <c r="H1205" s="8" t="s">
        <v>308</v>
      </c>
      <c r="I1205" s="22" t="s">
        <v>3092</v>
      </c>
      <c r="J1205" s="8" t="str">
        <f>IFERROR(VLOOKUP($G1205,今日總結!$A:$AN,39,0),"")</f>
        <v>投</v>
      </c>
      <c r="K1205" s="5" t="str">
        <f>IFERROR(VLOOKUP($G1205,今日總結!$A:$AN,40,0),"")</f>
        <v>外</v>
      </c>
      <c r="L1205" s="156">
        <f>IFERROR(VLOOKUP($G1205,今日總結!$A:$AN,37,0),"")</f>
        <v>1</v>
      </c>
      <c r="M1205" s="337">
        <f>IFERROR(VLOOKUP($G1205,今日總結!$A:$AN,38,0),"")</f>
        <v>1</v>
      </c>
      <c r="N1205" s="240">
        <f t="shared" si="205"/>
        <v>0</v>
      </c>
      <c r="O1205" s="359">
        <f>IFERROR(VLOOKUP($G1205,融外自投!$A:$J,7,0),"無")</f>
        <v>894</v>
      </c>
      <c r="P1205" s="79">
        <f>IFERROR(VLOOKUP($G1205,融外自投!$A:$J,9,0),"無")</f>
        <v>717</v>
      </c>
      <c r="Q1205" s="342">
        <f>IFERROR(VLOOKUP($G1205,融外自投!$A:$J,8,0),"無")</f>
        <v>10</v>
      </c>
      <c r="R1205" s="81">
        <f>IFERROR(VLOOKUP($G1205,融外自投!$A:$J,10,0),"無")</f>
        <v>72</v>
      </c>
      <c r="S1205" s="324">
        <f>IFERROR(VLOOKUP($G1205,'321買'!$A:$E,4,0),"'沒有資料'")</f>
        <v>366</v>
      </c>
      <c r="T1205" s="186">
        <f>IFERROR(VLOOKUP($G1205,基本資料!$A:$J,9,0),"無")</f>
        <v>15</v>
      </c>
      <c r="U1205" s="307">
        <f t="shared" si="206"/>
        <v>1.3888888888888888E-2</v>
      </c>
      <c r="V1205" s="94">
        <f>IFERROR(VLOOKUP($G1205,基本資料!$A:$J,10,0),"無")</f>
        <v>30.18</v>
      </c>
      <c r="W1205" s="366">
        <f>RTD("money.excel",,"6781","Price")</f>
        <v>1080</v>
      </c>
      <c r="X1205" s="66"/>
      <c r="Y1205" s="137">
        <f t="shared" si="202"/>
        <v>1080</v>
      </c>
      <c r="Z1205" s="3" t="e">
        <f t="shared" si="203"/>
        <v>#DIV/0!</v>
      </c>
      <c r="AA1205" s="340">
        <f>IFERROR(VLOOKUP($G1205,基本資料!$A:$M,11,0),"無")</f>
        <v>-46.4</v>
      </c>
      <c r="AB1205" s="389">
        <f>IFERROR(VLOOKUP($G1205,基本資料!$A:$M,12,0),"無")</f>
        <v>30.55</v>
      </c>
      <c r="AC1205" s="22" t="s">
        <v>3092</v>
      </c>
      <c r="AF1205" s="33">
        <f t="shared" si="204"/>
        <v>0</v>
      </c>
      <c r="AG1205" s="43" t="s">
        <v>3097</v>
      </c>
      <c r="AH1205" s="66">
        <f t="shared" si="207"/>
        <v>1.5401621223286661</v>
      </c>
      <c r="AI1205" s="283">
        <f>RTD("money.excel",,$G1205,"PredictVolume")</f>
        <v>1463</v>
      </c>
      <c r="AJ1205" s="391">
        <f>IFERROR(VLOOKUP($G1205,基本資料!$A:$M,13,0),"無")</f>
        <v>949.9</v>
      </c>
      <c r="AR1205" s="245" t="str">
        <f>INDEX(基本資料!N:N,MATCH($G1205,基本資料!A:A,0))</f>
        <v>低</v>
      </c>
    </row>
    <row r="1206" spans="1:44">
      <c r="A1206" s="343">
        <f>IFERROR(VLOOKUP($G1206,基本資料!$A:$J,3,0),"無")</f>
        <v>5.98</v>
      </c>
      <c r="B1206" s="79">
        <f>IFERROR(VLOOKUP($G1206,基本資料!$A:$J,4,0),"無")</f>
        <v>-102</v>
      </c>
      <c r="C1206" s="79">
        <f>IFERROR(VLOOKUP($G1206,基本資料!$A:$J,5,0),"無")</f>
        <v>-54</v>
      </c>
      <c r="D1206" s="79">
        <f>IFERROR(VLOOKUP($G1206,基本資料!$A:$J,6,0),"無")</f>
        <v>-81</v>
      </c>
      <c r="E1206" s="79">
        <f>IFERROR(VLOOKUP($G1206,基本資料!$A:$J,7,0),"無")</f>
        <v>-37</v>
      </c>
      <c r="F1206" s="6">
        <f>IFERROR(VLOOKUP($G1206,基本資料!$A:$J,8,0),"無")</f>
        <v>-181.42</v>
      </c>
      <c r="G1206" s="79">
        <v>8038</v>
      </c>
      <c r="H1206" s="8" t="s">
        <v>308</v>
      </c>
      <c r="I1206" s="24" t="s">
        <v>245</v>
      </c>
      <c r="J1206" s="8" t="str">
        <f>IFERROR(VLOOKUP($G1206,今日總結!$A:$AN,39,0),"")</f>
        <v/>
      </c>
      <c r="K1206" s="5" t="str">
        <f>IFERROR(VLOOKUP($G1206,今日總結!$A:$AN,40,0),"")</f>
        <v/>
      </c>
      <c r="L1206" s="156" t="str">
        <f>IFERROR(VLOOKUP($G1206,今日總結!$A:$AN,37,0),"")</f>
        <v/>
      </c>
      <c r="M1206" s="337" t="str">
        <f>IFERROR(VLOOKUP($G1206,今日總結!$A:$AN,38,0),"")</f>
        <v/>
      </c>
      <c r="N1206" s="240" t="str">
        <f t="shared" si="205"/>
        <v/>
      </c>
      <c r="O1206" s="359" t="str">
        <f>IFERROR(VLOOKUP($G1206,融外自投!$A:$J,7,0),"無")</f>
        <v>無</v>
      </c>
      <c r="P1206" s="79" t="str">
        <f>IFERROR(VLOOKUP($G1206,融外自投!$A:$J,9,0),"無")</f>
        <v>無</v>
      </c>
      <c r="Q1206" s="342" t="str">
        <f>IFERROR(VLOOKUP($G1206,融外自投!$A:$J,8,0),"無")</f>
        <v>無</v>
      </c>
      <c r="R1206" s="81" t="str">
        <f>IFERROR(VLOOKUP($G1206,融外自投!$A:$J,10,0),"無")</f>
        <v>無</v>
      </c>
      <c r="S1206" s="324" t="str">
        <f>IFERROR(VLOOKUP($G1206,'321買'!$A:$E,4,0),"'沒有資料'")</f>
        <v>'沒有資料'</v>
      </c>
      <c r="T1206" s="186">
        <f>IFERROR(VLOOKUP($G1206,基本資料!$A:$J,9,0),"無")</f>
        <v>0</v>
      </c>
      <c r="U1206" s="307">
        <f t="shared" si="206"/>
        <v>0</v>
      </c>
      <c r="V1206" s="94">
        <f>IFERROR(VLOOKUP($G1206,基本資料!$A:$J,10,0),"無")</f>
        <v>-2.0499999999999998</v>
      </c>
      <c r="W1206" s="36">
        <f>RTD("money.excel",,"8038","Price")</f>
        <v>35.700000000000003</v>
      </c>
      <c r="X1206" s="66"/>
      <c r="Y1206" s="15">
        <f t="shared" si="202"/>
        <v>35.700000000000003</v>
      </c>
      <c r="Z1206" s="3" t="e">
        <f t="shared" si="203"/>
        <v>#DIV/0!</v>
      </c>
      <c r="AA1206" s="340">
        <f>IFERROR(VLOOKUP($G1206,基本資料!$A:$M,11,0),"無")</f>
        <v>-30.27</v>
      </c>
      <c r="AB1206" s="389">
        <f>IFERROR(VLOOKUP($G1206,基本資料!$A:$M,12,0),"無")</f>
        <v>21.02</v>
      </c>
      <c r="AC1206" s="24" t="s">
        <v>245</v>
      </c>
      <c r="AF1206" s="33">
        <f t="shared" si="204"/>
        <v>0</v>
      </c>
      <c r="AG1206" s="119" t="s">
        <v>2289</v>
      </c>
      <c r="AH1206" s="66">
        <f t="shared" si="207"/>
        <v>0.41799504073680482</v>
      </c>
      <c r="AI1206" s="283">
        <f>RTD("money.excel",,$G1206,"PredictVolume")</f>
        <v>118</v>
      </c>
      <c r="AJ1206" s="391">
        <f>IFERROR(VLOOKUP($G1206,基本資料!$A:$M,13,0),"無")</f>
        <v>282.3</v>
      </c>
      <c r="AR1206" s="245" t="str">
        <f>INDEX(基本資料!N:N,MATCH($G1206,基本資料!A:A,0))</f>
        <v>低</v>
      </c>
    </row>
    <row r="1207" spans="1:44">
      <c r="A1207" s="343">
        <f>IFERROR(VLOOKUP($G1207,基本資料!$A:$J,3,0),"無")</f>
        <v>20.91</v>
      </c>
      <c r="B1207" s="79">
        <f>IFERROR(VLOOKUP($G1207,基本資料!$A:$J,4,0),"無")</f>
        <v>-5</v>
      </c>
      <c r="C1207" s="79">
        <f>IFERROR(VLOOKUP($G1207,基本資料!$A:$J,5,0),"無")</f>
        <v>-9</v>
      </c>
      <c r="D1207" s="79">
        <f>IFERROR(VLOOKUP($G1207,基本資料!$A:$J,6,0),"無")</f>
        <v>1</v>
      </c>
      <c r="E1207" s="79">
        <f>IFERROR(VLOOKUP($G1207,基本資料!$A:$J,7,0),"無")</f>
        <v>11</v>
      </c>
      <c r="F1207" s="6">
        <f>IFERROR(VLOOKUP($G1207,基本資料!$A:$J,8,0),"無")</f>
        <v>10.09</v>
      </c>
      <c r="G1207" s="79">
        <v>8039</v>
      </c>
      <c r="H1207" s="8" t="s">
        <v>308</v>
      </c>
      <c r="I1207" s="22" t="s">
        <v>4600</v>
      </c>
      <c r="J1207" s="8" t="str">
        <f>IFERROR(VLOOKUP($G1207,今日總結!$A:$AN,39,0),"")</f>
        <v>外</v>
      </c>
      <c r="K1207" s="5" t="str">
        <f>IFERROR(VLOOKUP($G1207,今日總結!$A:$AN,40,0),"")</f>
        <v>融</v>
      </c>
      <c r="L1207" s="156">
        <f>IFERROR(VLOOKUP($G1207,今日總結!$A:$AN,37,0),"")</f>
        <v>1</v>
      </c>
      <c r="M1207" s="337">
        <f>IFERROR(VLOOKUP($G1207,今日總結!$A:$AN,38,0),"")</f>
        <v>5</v>
      </c>
      <c r="N1207" s="240">
        <f t="shared" si="205"/>
        <v>-4</v>
      </c>
      <c r="O1207" s="359">
        <f>IFERROR(VLOOKUP($G1207,融外自投!$A:$J,7,0),"無")</f>
        <v>792</v>
      </c>
      <c r="P1207" s="79">
        <f>IFERROR(VLOOKUP($G1207,融外自投!$A:$J,9,0),"無")</f>
        <v>119</v>
      </c>
      <c r="Q1207" s="342">
        <f>IFERROR(VLOOKUP($G1207,融外自投!$A:$J,8,0),"無")</f>
        <v>405</v>
      </c>
      <c r="R1207" s="81" t="str">
        <f>IFERROR(VLOOKUP($G1207,融外自投!$A:$J,10,0),"無")</f>
        <v>無</v>
      </c>
      <c r="S1207" s="324">
        <f>IFERROR(VLOOKUP($G1207,'321買'!$A:$E,4,0),"'沒有資料'")</f>
        <v>650</v>
      </c>
      <c r="T1207" s="186">
        <f>IFERROR(VLOOKUP($G1207,基本資料!$A:$J,9,0),"無")</f>
        <v>2.5</v>
      </c>
      <c r="U1207" s="307">
        <f t="shared" si="206"/>
        <v>5.4945054945054944E-2</v>
      </c>
      <c r="V1207" s="94">
        <f>IFERROR(VLOOKUP($G1207,基本資料!$A:$J,10,0),"無")</f>
        <v>3.51</v>
      </c>
      <c r="W1207" s="36">
        <f>RTD("money.excel",,"8039","Price")</f>
        <v>45.5</v>
      </c>
      <c r="X1207" s="66"/>
      <c r="Y1207" s="15">
        <f t="shared" si="202"/>
        <v>45.5</v>
      </c>
      <c r="Z1207" s="3" t="e">
        <f t="shared" si="203"/>
        <v>#DIV/0!</v>
      </c>
      <c r="AA1207" s="340">
        <f>IFERROR(VLOOKUP($G1207,基本資料!$A:$M,11,0),"無")</f>
        <v>-25.16</v>
      </c>
      <c r="AB1207" s="389">
        <f>IFERROR(VLOOKUP($G1207,基本資料!$A:$M,12,0),"無")</f>
        <v>59.78</v>
      </c>
      <c r="AC1207" s="22" t="s">
        <v>4600</v>
      </c>
      <c r="AF1207" s="33">
        <f t="shared" si="204"/>
        <v>0</v>
      </c>
      <c r="AG1207" s="119" t="s">
        <v>1952</v>
      </c>
      <c r="AH1207" s="66">
        <f t="shared" si="207"/>
        <v>1.4753157290470724</v>
      </c>
      <c r="AI1207" s="283">
        <f>RTD("money.excel",,$G1207,"PredictVolume")</f>
        <v>257</v>
      </c>
      <c r="AJ1207" s="391">
        <f>IFERROR(VLOOKUP($G1207,基本資料!$A:$M,13,0),"無")</f>
        <v>174.2</v>
      </c>
      <c r="AR1207" s="245" t="str">
        <f>INDEX(基本資料!N:N,MATCH($G1207,基本資料!A:A,0))</f>
        <v>低</v>
      </c>
    </row>
    <row r="1208" spans="1:44">
      <c r="A1208" s="343">
        <f>IFERROR(VLOOKUP($G1208,基本資料!$A:$J,3,0),"無")</f>
        <v>12.94</v>
      </c>
      <c r="B1208" s="79">
        <f>IFERROR(VLOOKUP($G1208,基本資料!$A:$J,4,0),"無")</f>
        <v>2061</v>
      </c>
      <c r="C1208" s="79">
        <f>IFERROR(VLOOKUP($G1208,基本資料!$A:$J,5,0),"無")</f>
        <v>4</v>
      </c>
      <c r="D1208" s="79">
        <f>IFERROR(VLOOKUP($G1208,基本資料!$A:$J,6,0),"無")</f>
        <v>1</v>
      </c>
      <c r="E1208" s="79">
        <f>IFERROR(VLOOKUP($G1208,基本資料!$A:$J,7,0),"無")</f>
        <v>-2</v>
      </c>
      <c r="F1208" s="6">
        <f>IFERROR(VLOOKUP($G1208,基本資料!$A:$J,8,0),"無")</f>
        <v>4.59</v>
      </c>
      <c r="G1208" s="79">
        <v>8042</v>
      </c>
      <c r="H1208" s="8" t="s">
        <v>308</v>
      </c>
      <c r="I1208" s="16" t="s">
        <v>4601</v>
      </c>
      <c r="J1208" s="8" t="str">
        <f>IFERROR(VLOOKUP($G1208,今日總結!$A:$AN,39,0),"")</f>
        <v/>
      </c>
      <c r="K1208" s="5" t="str">
        <f>IFERROR(VLOOKUP($G1208,今日總結!$A:$AN,40,0),"")</f>
        <v/>
      </c>
      <c r="L1208" s="156" t="str">
        <f>IFERROR(VLOOKUP($G1208,今日總結!$A:$AN,37,0),"")</f>
        <v/>
      </c>
      <c r="M1208" s="337" t="str">
        <f>IFERROR(VLOOKUP($G1208,今日總結!$A:$AN,38,0),"")</f>
        <v/>
      </c>
      <c r="N1208" s="240" t="str">
        <f t="shared" si="205"/>
        <v/>
      </c>
      <c r="O1208" s="359">
        <f>IFERROR(VLOOKUP($G1208,融外自投!$A:$J,7,0),"無")</f>
        <v>1018</v>
      </c>
      <c r="P1208" s="79">
        <f>IFERROR(VLOOKUP($G1208,融外自投!$A:$J,9,0),"無")</f>
        <v>397</v>
      </c>
      <c r="Q1208" s="342">
        <f>IFERROR(VLOOKUP($G1208,融外自投!$A:$J,8,0),"無")</f>
        <v>803</v>
      </c>
      <c r="R1208" s="81" t="str">
        <f>IFERROR(VLOOKUP($G1208,融外自投!$A:$J,10,0),"無")</f>
        <v>無</v>
      </c>
      <c r="S1208" s="324" t="str">
        <f>IFERROR(VLOOKUP($G1208,'321買'!$A:$E,4,0),"'沒有資料'")</f>
        <v>'沒有資料'</v>
      </c>
      <c r="T1208" s="186">
        <f>IFERROR(VLOOKUP($G1208,基本資料!$A:$J,9,0),"無")</f>
        <v>1</v>
      </c>
      <c r="U1208" s="307">
        <f t="shared" si="206"/>
        <v>2.564102564102564E-2</v>
      </c>
      <c r="V1208" s="94">
        <f>IFERROR(VLOOKUP($G1208,基本資料!$A:$J,10,0),"無")</f>
        <v>1.24</v>
      </c>
      <c r="W1208" s="36">
        <f>RTD("money.excel",,"8042","Price")</f>
        <v>39</v>
      </c>
      <c r="X1208" s="66"/>
      <c r="Y1208" s="15">
        <f t="shared" si="202"/>
        <v>39</v>
      </c>
      <c r="Z1208" s="3" t="e">
        <f t="shared" si="203"/>
        <v>#DIV/0!</v>
      </c>
      <c r="AA1208" s="340">
        <f>IFERROR(VLOOKUP($G1208,基本資料!$A:$M,11,0),"無")</f>
        <v>-30.85</v>
      </c>
      <c r="AB1208" s="389">
        <f>IFERROR(VLOOKUP($G1208,基本資料!$A:$M,12,0),"無")</f>
        <v>19.989999999999998</v>
      </c>
      <c r="AC1208" s="16" t="s">
        <v>4601</v>
      </c>
      <c r="AF1208" s="33">
        <f t="shared" si="204"/>
        <v>0</v>
      </c>
      <c r="AG1208" s="117" t="s">
        <v>2329</v>
      </c>
      <c r="AH1208" s="66">
        <f t="shared" si="207"/>
        <v>0.12121212121212122</v>
      </c>
      <c r="AI1208" s="283">
        <f>RTD("money.excel",,$G1208,"PredictVolume")</f>
        <v>4</v>
      </c>
      <c r="AJ1208" s="391">
        <f>IFERROR(VLOOKUP($G1208,基本資料!$A:$M,13,0),"無")</f>
        <v>33</v>
      </c>
      <c r="AR1208" s="245" t="str">
        <f>INDEX(基本資料!N:N,MATCH($G1208,基本資料!A:A,0))</f>
        <v>低</v>
      </c>
    </row>
    <row r="1209" spans="1:44">
      <c r="A1209" s="343">
        <f>IFERROR(VLOOKUP($G1209,基本資料!$A:$J,3,0),"無")</f>
        <v>7.99</v>
      </c>
      <c r="B1209" s="79">
        <f>IFERROR(VLOOKUP($G1209,基本資料!$A:$J,4,0),"無")</f>
        <v>369</v>
      </c>
      <c r="C1209" s="79">
        <f>IFERROR(VLOOKUP($G1209,基本資料!$A:$J,5,0),"無")</f>
        <v>80</v>
      </c>
      <c r="D1209" s="79">
        <f>IFERROR(VLOOKUP($G1209,基本資料!$A:$J,6,0),"無")</f>
        <v>-40</v>
      </c>
      <c r="E1209" s="79">
        <f>IFERROR(VLOOKUP($G1209,基本資料!$A:$J,7,0),"無")</f>
        <v>-26</v>
      </c>
      <c r="F1209" s="6">
        <f>IFERROR(VLOOKUP($G1209,基本資料!$A:$J,8,0),"無")</f>
        <v>2.0699999999999998</v>
      </c>
      <c r="G1209" s="79">
        <v>8043</v>
      </c>
      <c r="H1209" s="8" t="s">
        <v>308</v>
      </c>
      <c r="I1209" s="16" t="s">
        <v>4602</v>
      </c>
      <c r="J1209" s="8">
        <f>IFERROR(VLOOKUP($G1209,今日總結!$A:$AN,39,0),"")</f>
        <v>0</v>
      </c>
      <c r="K1209" s="5">
        <f>IFERROR(VLOOKUP($G1209,今日總結!$A:$AN,40,0),"")</f>
        <v>0</v>
      </c>
      <c r="L1209" s="156">
        <f>IFERROR(VLOOKUP($G1209,今日總結!$A:$AN,37,0),"")</f>
        <v>0</v>
      </c>
      <c r="M1209" s="337">
        <f>IFERROR(VLOOKUP($G1209,今日總結!$A:$AN,38,0),"")</f>
        <v>0</v>
      </c>
      <c r="N1209" s="240">
        <f t="shared" si="205"/>
        <v>0</v>
      </c>
      <c r="O1209" s="359">
        <f>IFERROR(VLOOKUP($G1209,融外自投!$A:$J,7,0),"無")</f>
        <v>788</v>
      </c>
      <c r="P1209" s="79">
        <f>IFERROR(VLOOKUP($G1209,融外自投!$A:$J,9,0),"無")</f>
        <v>696</v>
      </c>
      <c r="Q1209" s="342">
        <f>IFERROR(VLOOKUP($G1209,融外自投!$A:$J,8,0),"無")</f>
        <v>1300</v>
      </c>
      <c r="R1209" s="81" t="str">
        <f>IFERROR(VLOOKUP($G1209,融外自投!$A:$J,10,0),"無")</f>
        <v>無</v>
      </c>
      <c r="S1209" s="324">
        <f>IFERROR(VLOOKUP($G1209,'321買'!$A:$E,4,0),"'沒有資料'")</f>
        <v>891</v>
      </c>
      <c r="T1209" s="186">
        <f>IFERROR(VLOOKUP($G1209,基本資料!$A:$J,9,0),"無")</f>
        <v>1</v>
      </c>
      <c r="U1209" s="307">
        <f t="shared" si="206"/>
        <v>4.3103448275862072E-2</v>
      </c>
      <c r="V1209" s="94">
        <f>IFERROR(VLOOKUP($G1209,基本資料!$A:$J,10,0),"無")</f>
        <v>1.76</v>
      </c>
      <c r="W1209" s="36">
        <f>RTD("money.excel",,"8043","Price")</f>
        <v>23.2</v>
      </c>
      <c r="X1209" s="66"/>
      <c r="Y1209" s="15">
        <f t="shared" si="202"/>
        <v>23.2</v>
      </c>
      <c r="Z1209" s="3" t="e">
        <f t="shared" si="203"/>
        <v>#DIV/0!</v>
      </c>
      <c r="AA1209" s="340">
        <f>IFERROR(VLOOKUP($G1209,基本資料!$A:$M,11,0),"無")</f>
        <v>-34.090000000000003</v>
      </c>
      <c r="AB1209" s="389">
        <f>IFERROR(VLOOKUP($G1209,基本資料!$A:$M,12,0),"無")</f>
        <v>17.04</v>
      </c>
      <c r="AC1209" s="16" t="s">
        <v>4602</v>
      </c>
      <c r="AF1209" s="33">
        <f t="shared" si="204"/>
        <v>0</v>
      </c>
      <c r="AG1209" s="43" t="s">
        <v>2423</v>
      </c>
      <c r="AH1209" s="66">
        <f t="shared" si="207"/>
        <v>1.0079575596816976</v>
      </c>
      <c r="AI1209" s="283">
        <f>RTD("money.excel",,$G1209,"PredictVolume")</f>
        <v>57</v>
      </c>
      <c r="AJ1209" s="391">
        <f>IFERROR(VLOOKUP($G1209,基本資料!$A:$M,13,0),"無")</f>
        <v>56.55</v>
      </c>
      <c r="AR1209" s="245" t="str">
        <f>INDEX(基本資料!N:N,MATCH($G1209,基本資料!A:A,0))</f>
        <v>低</v>
      </c>
    </row>
    <row r="1210" spans="1:44">
      <c r="A1210" s="343">
        <f>IFERROR(VLOOKUP($G1210,基本資料!$A:$J,3,0),"無")</f>
        <v>64.61</v>
      </c>
      <c r="B1210" s="79">
        <f>IFERROR(VLOOKUP($G1210,基本資料!$A:$J,4,0),"無")</f>
        <v>188</v>
      </c>
      <c r="C1210" s="79">
        <f>IFERROR(VLOOKUP($G1210,基本資料!$A:$J,5,0),"無")</f>
        <v>213</v>
      </c>
      <c r="D1210" s="79">
        <f>IFERROR(VLOOKUP($G1210,基本資料!$A:$J,6,0),"無")</f>
        <v>-14</v>
      </c>
      <c r="E1210" s="79">
        <f>IFERROR(VLOOKUP($G1210,基本資料!$A:$J,7,0),"無")</f>
        <v>7</v>
      </c>
      <c r="F1210" s="6">
        <f>IFERROR(VLOOKUP($G1210,基本資料!$A:$J,8,0),"無")</f>
        <v>24.64</v>
      </c>
      <c r="G1210" s="79">
        <v>8046</v>
      </c>
      <c r="H1210" s="8" t="s">
        <v>308</v>
      </c>
      <c r="I1210" s="22" t="s">
        <v>278</v>
      </c>
      <c r="J1210" s="8">
        <f>IFERROR(VLOOKUP($G1210,今日總結!$A:$AN,39,0),"")</f>
        <v>0</v>
      </c>
      <c r="K1210" s="5" t="str">
        <f>IFERROR(VLOOKUP($G1210,今日總結!$A:$AN,40,0),"")</f>
        <v>投</v>
      </c>
      <c r="L1210" s="156">
        <f>IFERROR(VLOOKUP($G1210,今日總結!$A:$AN,37,0),"")</f>
        <v>0</v>
      </c>
      <c r="M1210" s="337">
        <f>IFERROR(VLOOKUP($G1210,今日總結!$A:$AN,38,0),"")</f>
        <v>1</v>
      </c>
      <c r="N1210" s="240">
        <f t="shared" si="205"/>
        <v>-1</v>
      </c>
      <c r="O1210" s="359">
        <f>IFERROR(VLOOKUP($G1210,融外自投!$A:$J,7,0),"無")</f>
        <v>973</v>
      </c>
      <c r="P1210" s="79">
        <f>IFERROR(VLOOKUP($G1210,融外自投!$A:$J,9,0),"無")</f>
        <v>240</v>
      </c>
      <c r="Q1210" s="342">
        <f>IFERROR(VLOOKUP($G1210,融外自投!$A:$J,8,0),"無")</f>
        <v>497</v>
      </c>
      <c r="R1210" s="81">
        <f>IFERROR(VLOOKUP($G1210,融外自投!$A:$J,10,0),"無")</f>
        <v>45</v>
      </c>
      <c r="S1210" s="324">
        <f>IFERROR(VLOOKUP($G1210,'321買'!$A:$E,4,0),"'沒有資料'")</f>
        <v>465</v>
      </c>
      <c r="T1210" s="186">
        <f>IFERROR(VLOOKUP($G1210,基本資料!$A:$J,9,0),"無")</f>
        <v>10</v>
      </c>
      <c r="U1210" s="307">
        <f t="shared" si="206"/>
        <v>2.4937655860349128E-2</v>
      </c>
      <c r="V1210" s="94">
        <f>IFERROR(VLOOKUP($G1210,基本資料!$A:$J,10,0),"無")</f>
        <v>16.38</v>
      </c>
      <c r="W1210" s="36">
        <f>RTD("money.excel",,"8046","Price")</f>
        <v>401</v>
      </c>
      <c r="X1210" s="66"/>
      <c r="Y1210" s="15">
        <f t="shared" si="202"/>
        <v>401</v>
      </c>
      <c r="Z1210" s="3" t="e">
        <f t="shared" si="203"/>
        <v>#DIV/0!</v>
      </c>
      <c r="AA1210" s="340">
        <f>IFERROR(VLOOKUP($G1210,基本資料!$A:$M,11,0),"無")</f>
        <v>-36.450000000000003</v>
      </c>
      <c r="AB1210" s="389">
        <f>IFERROR(VLOOKUP($G1210,基本資料!$A:$M,12,0),"無")</f>
        <v>13.76</v>
      </c>
      <c r="AC1210" s="22" t="s">
        <v>278</v>
      </c>
      <c r="AF1210" s="33">
        <f t="shared" si="204"/>
        <v>0</v>
      </c>
      <c r="AG1210" s="117" t="s">
        <v>2304</v>
      </c>
      <c r="AH1210" s="66">
        <f t="shared" si="207"/>
        <v>0.98382982652554796</v>
      </c>
      <c r="AI1210" s="283">
        <f>RTD("money.excel",,$G1210,"PredictVolume")</f>
        <v>4262</v>
      </c>
      <c r="AJ1210" s="391">
        <f>IFERROR(VLOOKUP($G1210,基本資料!$A:$M,13,0),"無")</f>
        <v>4332.05</v>
      </c>
      <c r="AR1210" s="245" t="str">
        <f>INDEX(基本資料!N:N,MATCH($G1210,基本資料!A:A,0))</f>
        <v>低</v>
      </c>
    </row>
    <row r="1211" spans="1:44">
      <c r="A1211" s="343">
        <f>IFERROR(VLOOKUP($G1211,基本資料!$A:$J,3,0),"無")</f>
        <v>5.18</v>
      </c>
      <c r="B1211" s="79">
        <f>IFERROR(VLOOKUP($G1211,基本資料!$A:$J,4,0),"無")</f>
        <v>756</v>
      </c>
      <c r="C1211" s="79">
        <f>IFERROR(VLOOKUP($G1211,基本資料!$A:$J,5,0),"無")</f>
        <v>141</v>
      </c>
      <c r="D1211" s="79">
        <f>IFERROR(VLOOKUP($G1211,基本資料!$A:$J,6,0),"無")</f>
        <v>10</v>
      </c>
      <c r="E1211" s="79">
        <f>IFERROR(VLOOKUP($G1211,基本資料!$A:$J,7,0),"無")</f>
        <v>-24</v>
      </c>
      <c r="F1211" s="6">
        <f>IFERROR(VLOOKUP($G1211,基本資料!$A:$J,8,0),"無")</f>
        <v>3.52</v>
      </c>
      <c r="G1211" s="79">
        <v>8071</v>
      </c>
      <c r="H1211" s="8" t="s">
        <v>308</v>
      </c>
      <c r="I1211" s="16" t="s">
        <v>2965</v>
      </c>
      <c r="J1211" s="8">
        <f>IFERROR(VLOOKUP($G1211,今日總結!$A:$AN,39,0),"")</f>
        <v>0</v>
      </c>
      <c r="K1211" s="5">
        <f>IFERROR(VLOOKUP($G1211,今日總結!$A:$AN,40,0),"")</f>
        <v>5</v>
      </c>
      <c r="L1211" s="156">
        <f>IFERROR(VLOOKUP($G1211,今日總結!$A:$AN,37,0),"")</f>
        <v>0</v>
      </c>
      <c r="M1211" s="337">
        <f>IFERROR(VLOOKUP($G1211,今日總結!$A:$AN,38,0),"")</f>
        <v>1</v>
      </c>
      <c r="N1211" s="240">
        <f t="shared" si="205"/>
        <v>-1</v>
      </c>
      <c r="O1211" s="359">
        <f>IFERROR(VLOOKUP($G1211,融外自投!$A:$J,7,0),"無")</f>
        <v>16</v>
      </c>
      <c r="P1211" s="79">
        <f>IFERROR(VLOOKUP($G1211,融外自投!$A:$J,9,0),"無")</f>
        <v>525</v>
      </c>
      <c r="Q1211" s="342">
        <f>IFERROR(VLOOKUP($G1211,融外自投!$A:$J,8,0),"無")</f>
        <v>1085</v>
      </c>
      <c r="R1211" s="81" t="str">
        <f>IFERROR(VLOOKUP($G1211,融外自投!$A:$J,10,0),"無")</f>
        <v>無</v>
      </c>
      <c r="S1211" s="324">
        <f>IFERROR(VLOOKUP($G1211,'321買'!$A:$E,4,0),"'沒有資料'")</f>
        <v>150</v>
      </c>
      <c r="T1211" s="186">
        <f>IFERROR(VLOOKUP($G1211,基本資料!$A:$J,9,0),"無")</f>
        <v>1.2</v>
      </c>
      <c r="U1211" s="307">
        <f t="shared" si="206"/>
        <v>5.755395683453237E-2</v>
      </c>
      <c r="V1211" s="94">
        <f>IFERROR(VLOOKUP($G1211,基本資料!$A:$J,10,0),"無")</f>
        <v>1.1100000000000001</v>
      </c>
      <c r="W1211" s="36">
        <f>RTD("money.excel",,"8071","Price")</f>
        <v>20.85</v>
      </c>
      <c r="X1211" s="66"/>
      <c r="Y1211" s="15">
        <f t="shared" si="202"/>
        <v>20.85</v>
      </c>
      <c r="Z1211" s="3" t="e">
        <f t="shared" si="203"/>
        <v>#DIV/0!</v>
      </c>
      <c r="AA1211" s="340">
        <f>IFERROR(VLOOKUP($G1211,基本資料!$A:$M,11,0),"無")</f>
        <v>-12.39</v>
      </c>
      <c r="AB1211" s="389">
        <f>IFERROR(VLOOKUP($G1211,基本資料!$A:$M,12,0),"無")</f>
        <v>59.41</v>
      </c>
      <c r="AC1211" s="16" t="s">
        <v>2965</v>
      </c>
      <c r="AF1211" s="33">
        <f t="shared" si="204"/>
        <v>0</v>
      </c>
      <c r="AG1211" s="43" t="s">
        <v>2424</v>
      </c>
      <c r="AH1211" s="66">
        <f t="shared" si="207"/>
        <v>0.72161468880788437</v>
      </c>
      <c r="AI1211" s="283">
        <f>RTD("money.excel",,$G1211,"PredictVolume")</f>
        <v>2138</v>
      </c>
      <c r="AJ1211" s="391">
        <f>IFERROR(VLOOKUP($G1211,基本資料!$A:$M,13,0),"無")</f>
        <v>2962.8</v>
      </c>
      <c r="AR1211" s="245" t="str">
        <f>INDEX(基本資料!N:N,MATCH($G1211,基本資料!A:A,0))</f>
        <v>高</v>
      </c>
    </row>
    <row r="1212" spans="1:44">
      <c r="A1212" s="343">
        <f>IFERROR(VLOOKUP($G1212,基本資料!$A:$J,3,0),"無")</f>
        <v>8.4499999999999993</v>
      </c>
      <c r="B1212" s="79">
        <f>IFERROR(VLOOKUP($G1212,基本資料!$A:$J,4,0),"無")</f>
        <v>12</v>
      </c>
      <c r="C1212" s="79">
        <f>IFERROR(VLOOKUP($G1212,基本資料!$A:$J,5,0),"無")</f>
        <v>5</v>
      </c>
      <c r="D1212" s="79">
        <f>IFERROR(VLOOKUP($G1212,基本資料!$A:$J,6,0),"無")</f>
        <v>-27</v>
      </c>
      <c r="E1212" s="79">
        <f>IFERROR(VLOOKUP($G1212,基本資料!$A:$J,7,0),"無")</f>
        <v>-15</v>
      </c>
      <c r="F1212" s="6">
        <f>IFERROR(VLOOKUP($G1212,基本資料!$A:$J,8,0),"無")</f>
        <v>7.89</v>
      </c>
      <c r="G1212" s="79">
        <v>8074</v>
      </c>
      <c r="H1212" s="8" t="s">
        <v>308</v>
      </c>
      <c r="I1212" s="16" t="s">
        <v>440</v>
      </c>
      <c r="J1212" s="8">
        <f>IFERROR(VLOOKUP($G1212,今日總結!$A:$AN,39,0),"")</f>
        <v>0</v>
      </c>
      <c r="K1212" s="5" t="str">
        <f>IFERROR(VLOOKUP($G1212,今日總結!$A:$AN,40,0),"")</f>
        <v>借</v>
      </c>
      <c r="L1212" s="156">
        <f>IFERROR(VLOOKUP($G1212,今日總結!$A:$AN,37,0),"")</f>
        <v>0</v>
      </c>
      <c r="M1212" s="337">
        <f>IFERROR(VLOOKUP($G1212,今日總結!$A:$AN,38,0),"")</f>
        <v>1</v>
      </c>
      <c r="N1212" s="240">
        <f t="shared" si="205"/>
        <v>-1</v>
      </c>
      <c r="O1212" s="359">
        <f>IFERROR(VLOOKUP($G1212,融外自投!$A:$J,7,0),"無")</f>
        <v>494</v>
      </c>
      <c r="P1212" s="79">
        <f>IFERROR(VLOOKUP($G1212,融外自投!$A:$J,9,0),"無")</f>
        <v>615</v>
      </c>
      <c r="Q1212" s="342">
        <f>IFERROR(VLOOKUP($G1212,融外自投!$A:$J,8,0),"無")</f>
        <v>982</v>
      </c>
      <c r="R1212" s="81" t="str">
        <f>IFERROR(VLOOKUP($G1212,融外自投!$A:$J,10,0),"無")</f>
        <v>無</v>
      </c>
      <c r="S1212" s="324">
        <f>IFERROR(VLOOKUP($G1212,'321買'!$A:$E,4,0),"'沒有資料'")</f>
        <v>891</v>
      </c>
      <c r="T1212" s="186">
        <f>IFERROR(VLOOKUP($G1212,基本資料!$A:$J,9,0),"無")</f>
        <v>1</v>
      </c>
      <c r="U1212" s="307">
        <f t="shared" si="206"/>
        <v>4.987531172069825E-2</v>
      </c>
      <c r="V1212" s="94">
        <f>IFERROR(VLOOKUP($G1212,基本資料!$A:$J,10,0),"無")</f>
        <v>0.94</v>
      </c>
      <c r="W1212" s="36">
        <f>RTD("money.excel",,"8074","Price")</f>
        <v>20.05</v>
      </c>
      <c r="X1212" s="66"/>
      <c r="Y1212" s="15">
        <f t="shared" ref="Y1212:Y1226" si="208">W1212-X1212</f>
        <v>20.05</v>
      </c>
      <c r="Z1212" s="3" t="e">
        <f t="shared" ref="Z1212:Z1226" si="209">Y1212/X1212</f>
        <v>#DIV/0!</v>
      </c>
      <c r="AA1212" s="340">
        <f>IFERROR(VLOOKUP($G1212,基本資料!$A:$M,11,0),"無")</f>
        <v>-22.88</v>
      </c>
      <c r="AB1212" s="389">
        <f>IFERROR(VLOOKUP($G1212,基本資料!$A:$M,12,0),"無")</f>
        <v>19.97</v>
      </c>
      <c r="AC1212" s="16" t="s">
        <v>440</v>
      </c>
      <c r="AF1212" s="33">
        <f t="shared" ref="AF1212:AF1226" si="210">AE1212-AD1212</f>
        <v>0</v>
      </c>
      <c r="AG1212" s="43" t="s">
        <v>2425</v>
      </c>
      <c r="AH1212" s="66">
        <f t="shared" si="207"/>
        <v>0.20508613617719443</v>
      </c>
      <c r="AI1212" s="283">
        <f>RTD("money.excel",,$G1212,"PredictVolume")</f>
        <v>150</v>
      </c>
      <c r="AJ1212" s="391">
        <f>IFERROR(VLOOKUP($G1212,基本資料!$A:$M,13,0),"無")</f>
        <v>731.4</v>
      </c>
      <c r="AR1212" s="245" t="str">
        <f>INDEX(基本資料!N:N,MATCH($G1212,基本資料!A:A,0))</f>
        <v>低</v>
      </c>
    </row>
    <row r="1213" spans="1:44">
      <c r="A1213" s="343">
        <f>IFERROR(VLOOKUP($G1213,基本資料!$A:$J,3,0),"無")</f>
        <v>2.31</v>
      </c>
      <c r="B1213" s="79">
        <f>IFERROR(VLOOKUP($G1213,基本資料!$A:$J,4,0),"無")</f>
        <v>15</v>
      </c>
      <c r="C1213" s="79">
        <f>IFERROR(VLOOKUP($G1213,基本資料!$A:$J,5,0),"無")</f>
        <v>105</v>
      </c>
      <c r="D1213" s="79">
        <f>IFERROR(VLOOKUP($G1213,基本資料!$A:$J,6,0),"無")</f>
        <v>68</v>
      </c>
      <c r="E1213" s="79">
        <f>IFERROR(VLOOKUP($G1213,基本資料!$A:$J,7,0),"無")</f>
        <v>217</v>
      </c>
      <c r="F1213" s="6">
        <f>IFERROR(VLOOKUP($G1213,基本資料!$A:$J,8,0),"無")</f>
        <v>1.1399999999999999</v>
      </c>
      <c r="G1213" s="79">
        <v>8080</v>
      </c>
      <c r="H1213" s="8" t="s">
        <v>308</v>
      </c>
      <c r="I1213" s="16" t="s">
        <v>2967</v>
      </c>
      <c r="J1213" s="8" t="str">
        <f>IFERROR(VLOOKUP($G1213,今日總結!$A:$AN,39,0),"")</f>
        <v/>
      </c>
      <c r="K1213" s="5" t="str">
        <f>IFERROR(VLOOKUP($G1213,今日總結!$A:$AN,40,0),"")</f>
        <v/>
      </c>
      <c r="L1213" s="156" t="str">
        <f>IFERROR(VLOOKUP($G1213,今日總結!$A:$AN,37,0),"")</f>
        <v/>
      </c>
      <c r="M1213" s="337" t="str">
        <f>IFERROR(VLOOKUP($G1213,今日總結!$A:$AN,38,0),"")</f>
        <v/>
      </c>
      <c r="N1213" s="240" t="str">
        <f t="shared" ref="N1213:N1226" si="211">IFERROR(L1213-M1213,"")</f>
        <v/>
      </c>
      <c r="O1213" s="359" t="str">
        <f>IFERROR(VLOOKUP($G1213,融外自投!$A:$J,7,0),"無")</f>
        <v>無</v>
      </c>
      <c r="P1213" s="79" t="str">
        <f>IFERROR(VLOOKUP($G1213,融外自投!$A:$J,9,0),"無")</f>
        <v>無</v>
      </c>
      <c r="Q1213" s="342" t="str">
        <f>IFERROR(VLOOKUP($G1213,融外自投!$A:$J,8,0),"無")</f>
        <v>無</v>
      </c>
      <c r="R1213" s="81" t="str">
        <f>IFERROR(VLOOKUP($G1213,融外自投!$A:$J,10,0),"無")</f>
        <v>無</v>
      </c>
      <c r="S1213" s="324" t="str">
        <f>IFERROR(VLOOKUP($G1213,'321買'!$A:$E,4,0),"'沒有資料'")</f>
        <v>'沒有資料'</v>
      </c>
      <c r="T1213" s="186">
        <f>IFERROR(VLOOKUP($G1213,基本資料!$A:$J,9,0),"無")</f>
        <v>0</v>
      </c>
      <c r="U1213" s="307">
        <f t="shared" ref="U1213:U1226" si="212">$T1213/$W1213</f>
        <v>0</v>
      </c>
      <c r="V1213" s="94">
        <f>IFERROR(VLOOKUP($G1213,基本資料!$A:$J,10,0),"無")</f>
        <v>-1.21</v>
      </c>
      <c r="W1213" s="36">
        <f>RTD("money.excel",,"8080","Price")</f>
        <v>11.75</v>
      </c>
      <c r="X1213" s="66"/>
      <c r="Y1213" s="15">
        <f t="shared" si="208"/>
        <v>11.75</v>
      </c>
      <c r="Z1213" s="3" t="e">
        <f t="shared" si="209"/>
        <v>#DIV/0!</v>
      </c>
      <c r="AA1213" s="340">
        <f>IFERROR(VLOOKUP($G1213,基本資料!$A:$M,11,0),"無")</f>
        <v>-36.49</v>
      </c>
      <c r="AB1213" s="389">
        <f>IFERROR(VLOOKUP($G1213,基本資料!$A:$M,12,0),"無")</f>
        <v>29.44</v>
      </c>
      <c r="AC1213" s="16" t="s">
        <v>2967</v>
      </c>
      <c r="AF1213" s="33">
        <f t="shared" si="210"/>
        <v>0</v>
      </c>
      <c r="AG1213" s="43" t="s">
        <v>2426</v>
      </c>
      <c r="AH1213" s="66">
        <f t="shared" si="207"/>
        <v>0.82352941176470584</v>
      </c>
      <c r="AI1213" s="283">
        <f>RTD("money.excel",,$G1213,"PredictVolume")</f>
        <v>14</v>
      </c>
      <c r="AJ1213" s="391">
        <f>IFERROR(VLOOKUP($G1213,基本資料!$A:$M,13,0),"無")</f>
        <v>17</v>
      </c>
      <c r="AR1213" s="245" t="str">
        <f>INDEX(基本資料!N:N,MATCH($G1213,基本資料!A:A,0))</f>
        <v>中</v>
      </c>
    </row>
    <row r="1214" spans="1:44">
      <c r="A1214" s="343">
        <f>IFERROR(VLOOKUP($G1214,基本資料!$A:$J,3,0),"無")</f>
        <v>4.55</v>
      </c>
      <c r="B1214" s="79">
        <f>IFERROR(VLOOKUP($G1214,基本資料!$A:$J,4,0),"無")</f>
        <v>50</v>
      </c>
      <c r="C1214" s="79">
        <f>IFERROR(VLOOKUP($G1214,基本資料!$A:$J,5,0),"無")</f>
        <v>15</v>
      </c>
      <c r="D1214" s="79">
        <f>IFERROR(VLOOKUP($G1214,基本資料!$A:$J,6,0),"無")</f>
        <v>5</v>
      </c>
      <c r="E1214" s="79">
        <f>IFERROR(VLOOKUP($G1214,基本資料!$A:$J,7,0),"無")</f>
        <v>54</v>
      </c>
      <c r="F1214" s="6">
        <f>IFERROR(VLOOKUP($G1214,基本資料!$A:$J,8,0),"無")</f>
        <v>18.2</v>
      </c>
      <c r="G1214" s="79">
        <v>8091</v>
      </c>
      <c r="H1214" s="145" t="s">
        <v>308</v>
      </c>
      <c r="I1214" s="16" t="s">
        <v>162</v>
      </c>
      <c r="J1214" s="8">
        <f>IFERROR(VLOOKUP($G1214,今日總結!$A:$AN,39,0),"")</f>
        <v>0</v>
      </c>
      <c r="K1214" s="5">
        <f>IFERROR(VLOOKUP($G1214,今日總結!$A:$AN,40,0),"")</f>
        <v>0</v>
      </c>
      <c r="L1214" s="156">
        <f>IFERROR(VLOOKUP($G1214,今日總結!$A:$AN,37,0),"")</f>
        <v>0</v>
      </c>
      <c r="M1214" s="337">
        <f>IFERROR(VLOOKUP($G1214,今日總結!$A:$AN,38,0),"")</f>
        <v>0</v>
      </c>
      <c r="N1214" s="240">
        <f t="shared" si="211"/>
        <v>0</v>
      </c>
      <c r="O1214" s="359">
        <f>IFERROR(VLOOKUP($G1214,融外自投!$A:$J,7,0),"無")</f>
        <v>401</v>
      </c>
      <c r="P1214" s="79">
        <f>IFERROR(VLOOKUP($G1214,融外自投!$A:$J,9,0),"無")</f>
        <v>78</v>
      </c>
      <c r="Q1214" s="342">
        <f>IFERROR(VLOOKUP($G1214,融外自投!$A:$J,8,0),"無")</f>
        <v>741</v>
      </c>
      <c r="R1214" s="81">
        <f>IFERROR(VLOOKUP($G1214,融外自投!$A:$J,10,0),"無")</f>
        <v>265</v>
      </c>
      <c r="S1214" s="324">
        <f>IFERROR(VLOOKUP($G1214,'321買'!$A:$E,4,0),"'沒有資料'")</f>
        <v>343</v>
      </c>
      <c r="T1214" s="186">
        <f>IFERROR(VLOOKUP($G1214,基本資料!$A:$J,9,0),"無")</f>
        <v>4</v>
      </c>
      <c r="U1214" s="307">
        <f t="shared" si="212"/>
        <v>4.700352526439483E-2</v>
      </c>
      <c r="V1214" s="94">
        <f>IFERROR(VLOOKUP($G1214,基本資料!$A:$J,10,0),"無")</f>
        <v>5.92</v>
      </c>
      <c r="W1214" s="36">
        <f>RTD("money.excel",,"8091","Price")</f>
        <v>85.1</v>
      </c>
      <c r="X1214" s="66"/>
      <c r="Y1214" s="15">
        <f t="shared" si="208"/>
        <v>85.1</v>
      </c>
      <c r="Z1214" s="3" t="e">
        <f t="shared" si="209"/>
        <v>#DIV/0!</v>
      </c>
      <c r="AA1214" s="340">
        <f>IFERROR(VLOOKUP($G1214,基本資料!$A:$M,11,0),"無")</f>
        <v>-13.34</v>
      </c>
      <c r="AB1214" s="389">
        <f>IFERROR(VLOOKUP($G1214,基本資料!$A:$M,12,0),"無")</f>
        <v>38.78</v>
      </c>
      <c r="AC1214" s="16" t="s">
        <v>162</v>
      </c>
      <c r="AF1214" s="33">
        <f t="shared" si="210"/>
        <v>0</v>
      </c>
      <c r="AG1214" s="117" t="s">
        <v>2427</v>
      </c>
      <c r="AH1214" s="66">
        <f t="shared" si="207"/>
        <v>2.2216157205240177</v>
      </c>
      <c r="AI1214" s="283">
        <f>RTD("money.excel",,$G1214,"PredictVolume")</f>
        <v>814</v>
      </c>
      <c r="AJ1214" s="391">
        <f>IFERROR(VLOOKUP($G1214,基本資料!$A:$M,13,0),"無")</f>
        <v>366.4</v>
      </c>
      <c r="AR1214" s="245" t="str">
        <f>INDEX(基本資料!N:N,MATCH($G1214,基本資料!A:A,0))</f>
        <v>高</v>
      </c>
    </row>
    <row r="1215" spans="1:44">
      <c r="A1215" s="343">
        <f>IFERROR(VLOOKUP($G1215,基本資料!$A:$J,3,0),"無")</f>
        <v>6.42</v>
      </c>
      <c r="B1215" s="79">
        <f>IFERROR(VLOOKUP($G1215,基本資料!$A:$J,4,0),"無")</f>
        <v>-371</v>
      </c>
      <c r="C1215" s="79">
        <f>IFERROR(VLOOKUP($G1215,基本資料!$A:$J,5,0),"無")</f>
        <v>-627</v>
      </c>
      <c r="D1215" s="79">
        <f>IFERROR(VLOOKUP($G1215,基本資料!$A:$J,6,0),"無")</f>
        <v>-7</v>
      </c>
      <c r="E1215" s="79">
        <f>IFERROR(VLOOKUP($G1215,基本資料!$A:$J,7,0),"無")</f>
        <v>-49</v>
      </c>
      <c r="F1215" s="6">
        <f>IFERROR(VLOOKUP($G1215,基本資料!$A:$J,8,0),"無")</f>
        <v>-14.12</v>
      </c>
      <c r="G1215" s="79">
        <v>8093</v>
      </c>
      <c r="H1215" s="8" t="s">
        <v>308</v>
      </c>
      <c r="I1215" s="16" t="s">
        <v>4603</v>
      </c>
      <c r="J1215" s="8" t="str">
        <f>IFERROR(VLOOKUP($G1215,今日總結!$A:$AN,39,0),"")</f>
        <v/>
      </c>
      <c r="K1215" s="5" t="str">
        <f>IFERROR(VLOOKUP($G1215,今日總結!$A:$AN,40,0),"")</f>
        <v/>
      </c>
      <c r="L1215" s="156" t="str">
        <f>IFERROR(VLOOKUP($G1215,今日總結!$A:$AN,37,0),"")</f>
        <v/>
      </c>
      <c r="M1215" s="337" t="str">
        <f>IFERROR(VLOOKUP($G1215,今日總結!$A:$AN,38,0),"")</f>
        <v/>
      </c>
      <c r="N1215" s="240" t="str">
        <f t="shared" si="211"/>
        <v/>
      </c>
      <c r="O1215" s="359" t="str">
        <f>IFERROR(VLOOKUP($G1215,融外自投!$A:$J,7,0),"無")</f>
        <v>無</v>
      </c>
      <c r="P1215" s="79" t="str">
        <f>IFERROR(VLOOKUP($G1215,融外自投!$A:$J,9,0),"無")</f>
        <v>無</v>
      </c>
      <c r="Q1215" s="342" t="str">
        <f>IFERROR(VLOOKUP($G1215,融外自投!$A:$J,8,0),"無")</f>
        <v>無</v>
      </c>
      <c r="R1215" s="81" t="str">
        <f>IFERROR(VLOOKUP($G1215,融外自投!$A:$J,10,0),"無")</f>
        <v>無</v>
      </c>
      <c r="S1215" s="324" t="str">
        <f>IFERROR(VLOOKUP($G1215,'321買'!$A:$E,4,0),"'沒有資料'")</f>
        <v>'沒有資料'</v>
      </c>
      <c r="T1215" s="186">
        <f>IFERROR(VLOOKUP($G1215,基本資料!$A:$J,9,0),"無")</f>
        <v>0</v>
      </c>
      <c r="U1215" s="307">
        <f t="shared" si="212"/>
        <v>0</v>
      </c>
      <c r="V1215" s="94">
        <f>IFERROR(VLOOKUP($G1215,基本資料!$A:$J,10,0),"無")</f>
        <v>-0.83</v>
      </c>
      <c r="W1215" s="36">
        <f>RTD("money.excel",,"8093","Price")</f>
        <v>7.87</v>
      </c>
      <c r="X1215" s="66"/>
      <c r="Y1215" s="15">
        <f t="shared" si="208"/>
        <v>7.87</v>
      </c>
      <c r="Z1215" s="3" t="e">
        <f t="shared" si="209"/>
        <v>#DIV/0!</v>
      </c>
      <c r="AA1215" s="340">
        <f>IFERROR(VLOOKUP($G1215,基本資料!$A:$M,11,0),"無")</f>
        <v>-26.45</v>
      </c>
      <c r="AB1215" s="389">
        <f>IFERROR(VLOOKUP($G1215,基本資料!$A:$M,12,0),"無")</f>
        <v>41.14</v>
      </c>
      <c r="AC1215" s="16" t="s">
        <v>4603</v>
      </c>
      <c r="AF1215" s="33">
        <f t="shared" si="210"/>
        <v>0</v>
      </c>
      <c r="AG1215" s="43" t="s">
        <v>2428</v>
      </c>
      <c r="AH1215" s="66">
        <f t="shared" si="207"/>
        <v>1.0966542750929369</v>
      </c>
      <c r="AI1215" s="283">
        <f>RTD("money.excel",,$G1215,"PredictVolume")</f>
        <v>59</v>
      </c>
      <c r="AJ1215" s="391">
        <f>IFERROR(VLOOKUP($G1215,基本資料!$A:$M,13,0),"無")</f>
        <v>53.8</v>
      </c>
      <c r="AR1215" s="245" t="str">
        <f>INDEX(基本資料!N:N,MATCH($G1215,基本資料!A:A,0))</f>
        <v>低</v>
      </c>
    </row>
    <row r="1216" spans="1:44">
      <c r="A1216" s="343">
        <f>IFERROR(VLOOKUP($G1216,基本資料!$A:$J,3,0),"無")</f>
        <v>7.89</v>
      </c>
      <c r="B1216" s="79">
        <f>IFERROR(VLOOKUP($G1216,基本資料!$A:$J,4,0),"無")</f>
        <v>56</v>
      </c>
      <c r="C1216" s="79">
        <f>IFERROR(VLOOKUP($G1216,基本資料!$A:$J,5,0),"無")</f>
        <v>43</v>
      </c>
      <c r="D1216" s="79">
        <f>IFERROR(VLOOKUP($G1216,基本資料!$A:$J,6,0),"無")</f>
        <v>8</v>
      </c>
      <c r="E1216" s="79">
        <f>IFERROR(VLOOKUP($G1216,基本資料!$A:$J,7,0),"無")</f>
        <v>10</v>
      </c>
      <c r="F1216" s="6">
        <f>IFERROR(VLOOKUP($G1216,基本資料!$A:$J,8,0),"無")</f>
        <v>13.29</v>
      </c>
      <c r="G1216" s="79">
        <v>8103</v>
      </c>
      <c r="H1216" s="8" t="s">
        <v>308</v>
      </c>
      <c r="I1216" s="22" t="s">
        <v>400</v>
      </c>
      <c r="J1216" s="8">
        <f>IFERROR(VLOOKUP($G1216,今日總結!$A:$AN,39,0),"")</f>
        <v>0</v>
      </c>
      <c r="K1216" s="5">
        <f>IFERROR(VLOOKUP($G1216,今日總結!$A:$AN,40,0),"")</f>
        <v>0</v>
      </c>
      <c r="L1216" s="156">
        <f>IFERROR(VLOOKUP($G1216,今日總結!$A:$AN,37,0),"")</f>
        <v>0</v>
      </c>
      <c r="M1216" s="337">
        <f>IFERROR(VLOOKUP($G1216,今日總結!$A:$AN,38,0),"")</f>
        <v>0</v>
      </c>
      <c r="N1216" s="240">
        <f t="shared" si="211"/>
        <v>0</v>
      </c>
      <c r="O1216" s="359">
        <f>IFERROR(VLOOKUP($G1216,融外自投!$A:$J,7,0),"無")</f>
        <v>186</v>
      </c>
      <c r="P1216" s="79">
        <f>IFERROR(VLOOKUP($G1216,融外自投!$A:$J,9,0),"無")</f>
        <v>197</v>
      </c>
      <c r="Q1216" s="342">
        <f>IFERROR(VLOOKUP($G1216,融外自投!$A:$J,8,0),"無")</f>
        <v>403</v>
      </c>
      <c r="R1216" s="81" t="str">
        <f>IFERROR(VLOOKUP($G1216,融外自投!$A:$J,10,0),"無")</f>
        <v>無</v>
      </c>
      <c r="S1216" s="324">
        <f>IFERROR(VLOOKUP($G1216,'321買'!$A:$E,4,0),"'沒有資料'")</f>
        <v>117</v>
      </c>
      <c r="T1216" s="186">
        <f>IFERROR(VLOOKUP($G1216,基本資料!$A:$J,9,0),"無")</f>
        <v>2</v>
      </c>
      <c r="U1216" s="307">
        <f t="shared" si="212"/>
        <v>5.181347150259067E-2</v>
      </c>
      <c r="V1216" s="94">
        <f>IFERROR(VLOOKUP($G1216,基本資料!$A:$J,10,0),"無")</f>
        <v>4.29</v>
      </c>
      <c r="W1216" s="36">
        <f>RTD("money.excel",,"8103","Price")</f>
        <v>38.6</v>
      </c>
      <c r="X1216" s="66"/>
      <c r="Y1216" s="15">
        <f t="shared" si="208"/>
        <v>38.6</v>
      </c>
      <c r="Z1216" s="3" t="e">
        <f t="shared" si="209"/>
        <v>#DIV/0!</v>
      </c>
      <c r="AA1216" s="340">
        <f>IFERROR(VLOOKUP($G1216,基本資料!$A:$M,11,0),"無")</f>
        <v>-31.32</v>
      </c>
      <c r="AB1216" s="389">
        <f>IFERROR(VLOOKUP($G1216,基本資料!$A:$M,12,0),"無")</f>
        <v>9.66</v>
      </c>
      <c r="AC1216" s="22" t="s">
        <v>400</v>
      </c>
      <c r="AF1216" s="33">
        <f t="shared" si="210"/>
        <v>0</v>
      </c>
      <c r="AG1216" s="43" t="s">
        <v>1902</v>
      </c>
      <c r="AH1216" s="66">
        <f t="shared" si="207"/>
        <v>1.0102007239223429</v>
      </c>
      <c r="AI1216" s="283">
        <f>RTD("money.excel",,$G1216,"PredictVolume")</f>
        <v>307</v>
      </c>
      <c r="AJ1216" s="391">
        <f>IFERROR(VLOOKUP($G1216,基本資料!$A:$M,13,0),"無")</f>
        <v>303.89999999999998</v>
      </c>
      <c r="AR1216" s="245" t="str">
        <f>INDEX(基本資料!N:N,MATCH($G1216,基本資料!A:A,0))</f>
        <v>低</v>
      </c>
    </row>
    <row r="1217" spans="1:44">
      <c r="A1217" s="343">
        <f>IFERROR(VLOOKUP($G1217,基本資料!$A:$J,3,0),"無")</f>
        <v>7.76</v>
      </c>
      <c r="B1217" s="79">
        <f>IFERROR(VLOOKUP($G1217,基本資料!$A:$J,4,0),"無")</f>
        <v>22</v>
      </c>
      <c r="C1217" s="79">
        <f>IFERROR(VLOOKUP($G1217,基本資料!$A:$J,5,0),"無")</f>
        <v>22</v>
      </c>
      <c r="D1217" s="79">
        <f>IFERROR(VLOOKUP($G1217,基本資料!$A:$J,6,0),"無")</f>
        <v>-10</v>
      </c>
      <c r="E1217" s="79">
        <f>IFERROR(VLOOKUP($G1217,基本資料!$A:$J,7,0),"無")</f>
        <v>4</v>
      </c>
      <c r="F1217" s="6">
        <f>IFERROR(VLOOKUP($G1217,基本資料!$A:$J,8,0),"無")</f>
        <v>35.26</v>
      </c>
      <c r="G1217" s="79">
        <v>8109</v>
      </c>
      <c r="H1217" s="8" t="s">
        <v>308</v>
      </c>
      <c r="I1217" s="16" t="s">
        <v>441</v>
      </c>
      <c r="J1217" s="8">
        <f>IFERROR(VLOOKUP($G1217,今日總結!$A:$AN,39,0),"")</f>
        <v>0</v>
      </c>
      <c r="K1217" s="5">
        <f>IFERROR(VLOOKUP($G1217,今日總結!$A:$AN,40,0),"")</f>
        <v>0</v>
      </c>
      <c r="L1217" s="156">
        <f>IFERROR(VLOOKUP($G1217,今日總結!$A:$AN,37,0),"")</f>
        <v>0</v>
      </c>
      <c r="M1217" s="337">
        <f>IFERROR(VLOOKUP($G1217,今日總結!$A:$AN,38,0),"")</f>
        <v>0</v>
      </c>
      <c r="N1217" s="240">
        <f t="shared" si="211"/>
        <v>0</v>
      </c>
      <c r="O1217" s="359">
        <f>IFERROR(VLOOKUP($G1217,融外自投!$A:$J,7,0),"無")</f>
        <v>1358</v>
      </c>
      <c r="P1217" s="79" t="str">
        <f>IFERROR(VLOOKUP($G1217,融外自投!$A:$J,9,0),"無")</f>
        <v>無</v>
      </c>
      <c r="Q1217" s="342">
        <f>IFERROR(VLOOKUP($G1217,融外自投!$A:$J,8,0),"無")</f>
        <v>1186</v>
      </c>
      <c r="R1217" s="81">
        <f>IFERROR(VLOOKUP($G1217,融外自投!$A:$J,10,0),"無")</f>
        <v>259</v>
      </c>
      <c r="S1217" s="324">
        <f>IFERROR(VLOOKUP($G1217,'321買'!$A:$E,4,0),"'沒有資料'")</f>
        <v>1002</v>
      </c>
      <c r="T1217" s="186">
        <f>IFERROR(VLOOKUP($G1217,基本資料!$A:$J,9,0),"無")</f>
        <v>4</v>
      </c>
      <c r="U1217" s="307">
        <f t="shared" si="212"/>
        <v>5.6100981767180931E-2</v>
      </c>
      <c r="V1217" s="94">
        <f>IFERROR(VLOOKUP($G1217,基本資料!$A:$J,10,0),"無")</f>
        <v>5.28</v>
      </c>
      <c r="W1217" s="36">
        <f>RTD("money.excel",,"8109","Price")</f>
        <v>71.3</v>
      </c>
      <c r="X1217" s="66"/>
      <c r="Y1217" s="15">
        <f t="shared" si="208"/>
        <v>71.3</v>
      </c>
      <c r="Z1217" s="3" t="e">
        <f t="shared" si="209"/>
        <v>#DIV/0!</v>
      </c>
      <c r="AA1217" s="340">
        <f>IFERROR(VLOOKUP($G1217,基本資料!$A:$M,11,0),"無")</f>
        <v>-12.73</v>
      </c>
      <c r="AB1217" s="389">
        <f>IFERROR(VLOOKUP($G1217,基本資料!$A:$M,12,0),"無")</f>
        <v>16.04</v>
      </c>
      <c r="AC1217" s="16" t="s">
        <v>441</v>
      </c>
      <c r="AF1217" s="33">
        <f t="shared" si="210"/>
        <v>0</v>
      </c>
      <c r="AG1217" s="43" t="s">
        <v>2428</v>
      </c>
      <c r="AH1217" s="66">
        <f t="shared" si="207"/>
        <v>1.9730941704035874</v>
      </c>
      <c r="AI1217" s="283">
        <f>RTD("money.excel",,$G1217,"PredictVolume")</f>
        <v>66</v>
      </c>
      <c r="AJ1217" s="391">
        <f>IFERROR(VLOOKUP($G1217,基本資料!$A:$M,13,0),"無")</f>
        <v>33.450000000000003</v>
      </c>
      <c r="AR1217" s="245" t="str">
        <f>INDEX(基本資料!N:N,MATCH($G1217,基本資料!A:A,0))</f>
        <v>低</v>
      </c>
    </row>
    <row r="1218" spans="1:44">
      <c r="A1218" s="343">
        <f>IFERROR(VLOOKUP($G1218,基本資料!$A:$J,3,0),"無")</f>
        <v>18.29</v>
      </c>
      <c r="B1218" s="79">
        <f>IFERROR(VLOOKUP($G1218,基本資料!$A:$J,4,0),"無")</f>
        <v>142</v>
      </c>
      <c r="C1218" s="79">
        <f>IFERROR(VLOOKUP($G1218,基本資料!$A:$J,5,0),"無")</f>
        <v>53</v>
      </c>
      <c r="D1218" s="79">
        <f>IFERROR(VLOOKUP($G1218,基本資料!$A:$J,6,0),"無")</f>
        <v>-22</v>
      </c>
      <c r="E1218" s="79">
        <f>IFERROR(VLOOKUP($G1218,基本資料!$A:$J,7,0),"無")</f>
        <v>-12</v>
      </c>
      <c r="F1218" s="6">
        <f>IFERROR(VLOOKUP($G1218,基本資料!$A:$J,8,0),"無")</f>
        <v>5.05</v>
      </c>
      <c r="G1218" s="79">
        <v>8121</v>
      </c>
      <c r="H1218" s="8" t="s">
        <v>308</v>
      </c>
      <c r="I1218" s="16" t="s">
        <v>442</v>
      </c>
      <c r="J1218" s="8" t="str">
        <f>IFERROR(VLOOKUP($G1218,今日總結!$A:$AN,39,0),"")</f>
        <v>外</v>
      </c>
      <c r="K1218" s="5">
        <f>IFERROR(VLOOKUP($G1218,今日總結!$A:$AN,40,0),"")</f>
        <v>0</v>
      </c>
      <c r="L1218" s="156">
        <f>IFERROR(VLOOKUP($G1218,今日總結!$A:$AN,37,0),"")</f>
        <v>1</v>
      </c>
      <c r="M1218" s="337">
        <f>IFERROR(VLOOKUP($G1218,今日總結!$A:$AN,38,0),"")</f>
        <v>0</v>
      </c>
      <c r="N1218" s="240">
        <f t="shared" si="211"/>
        <v>1</v>
      </c>
      <c r="O1218" s="359" t="str">
        <f>IFERROR(VLOOKUP($G1218,融外自投!$A:$J,7,0),"無")</f>
        <v>無</v>
      </c>
      <c r="P1218" s="79" t="str">
        <f>IFERROR(VLOOKUP($G1218,融外自投!$A:$J,9,0),"無")</f>
        <v>無</v>
      </c>
      <c r="Q1218" s="342" t="str">
        <f>IFERROR(VLOOKUP($G1218,融外自投!$A:$J,8,0),"無")</f>
        <v>無</v>
      </c>
      <c r="R1218" s="81" t="str">
        <f>IFERROR(VLOOKUP($G1218,融外自投!$A:$J,10,0),"無")</f>
        <v>無</v>
      </c>
      <c r="S1218" s="324">
        <f>IFERROR(VLOOKUP($G1218,'321買'!$A:$E,4,0),"'沒有資料'")</f>
        <v>394</v>
      </c>
      <c r="T1218" s="186">
        <f>IFERROR(VLOOKUP($G1218,基本資料!$A:$J,9,0),"無")</f>
        <v>0</v>
      </c>
      <c r="U1218" s="307">
        <f t="shared" si="212"/>
        <v>0</v>
      </c>
      <c r="V1218" s="94">
        <f>IFERROR(VLOOKUP($G1218,基本資料!$A:$J,10,0),"無")</f>
        <v>0.32</v>
      </c>
      <c r="W1218" s="36">
        <f>RTD("money.excel",,"8121","Price")</f>
        <v>29.45</v>
      </c>
      <c r="X1218" s="66"/>
      <c r="Y1218" s="15">
        <f t="shared" si="208"/>
        <v>29.45</v>
      </c>
      <c r="Z1218" s="3" t="e">
        <f t="shared" si="209"/>
        <v>#DIV/0!</v>
      </c>
      <c r="AA1218" s="340">
        <f>IFERROR(VLOOKUP($G1218,基本資料!$A:$M,11,0),"無")</f>
        <v>-51.48</v>
      </c>
      <c r="AB1218" s="389">
        <f>IFERROR(VLOOKUP($G1218,基本資料!$A:$M,12,0),"無")</f>
        <v>13.22</v>
      </c>
      <c r="AC1218" s="16" t="s">
        <v>442</v>
      </c>
      <c r="AF1218" s="33">
        <f t="shared" si="210"/>
        <v>0</v>
      </c>
      <c r="AG1218" s="43" t="s">
        <v>2429</v>
      </c>
      <c r="AH1218" s="66">
        <f t="shared" si="207"/>
        <v>0.55185977902470063</v>
      </c>
      <c r="AI1218" s="283">
        <f>RTD("money.excel",,$G1218,"PredictVolume")</f>
        <v>477</v>
      </c>
      <c r="AJ1218" s="391">
        <f>IFERROR(VLOOKUP($G1218,基本資料!$A:$M,13,0),"無")</f>
        <v>864.35</v>
      </c>
      <c r="AR1218" s="245" t="str">
        <f>INDEX(基本資料!N:N,MATCH($G1218,基本資料!A:A,0))</f>
        <v>低</v>
      </c>
    </row>
    <row r="1219" spans="1:44">
      <c r="A1219" s="343">
        <f>IFERROR(VLOOKUP($G1219,基本資料!$A:$J,3,0),"無")</f>
        <v>3.23</v>
      </c>
      <c r="B1219" s="79">
        <f>IFERROR(VLOOKUP($G1219,基本資料!$A:$J,4,0),"無")</f>
        <v>205</v>
      </c>
      <c r="C1219" s="79">
        <f>IFERROR(VLOOKUP($G1219,基本資料!$A:$J,5,0),"無")</f>
        <v>285</v>
      </c>
      <c r="D1219" s="79">
        <f>IFERROR(VLOOKUP($G1219,基本資料!$A:$J,6,0),"無")</f>
        <v>19</v>
      </c>
      <c r="E1219" s="79">
        <f>IFERROR(VLOOKUP($G1219,基本資料!$A:$J,7,0),"無")</f>
        <v>33</v>
      </c>
      <c r="F1219" s="6">
        <f>IFERROR(VLOOKUP($G1219,基本資料!$A:$J,8,0),"無")</f>
        <v>6.99</v>
      </c>
      <c r="G1219" s="79">
        <v>8147</v>
      </c>
      <c r="H1219" s="8" t="s">
        <v>308</v>
      </c>
      <c r="I1219" s="16" t="s">
        <v>4604</v>
      </c>
      <c r="J1219" s="8">
        <f>IFERROR(VLOOKUP($G1219,今日總結!$A:$AN,39,0),"")</f>
        <v>0</v>
      </c>
      <c r="K1219" s="5">
        <f>IFERROR(VLOOKUP($G1219,今日總結!$A:$AN,40,0),"")</f>
        <v>0</v>
      </c>
      <c r="L1219" s="156">
        <f>IFERROR(VLOOKUP($G1219,今日總結!$A:$AN,37,0),"")</f>
        <v>0</v>
      </c>
      <c r="M1219" s="337">
        <f>IFERROR(VLOOKUP($G1219,今日總結!$A:$AN,38,0),"")</f>
        <v>0</v>
      </c>
      <c r="N1219" s="240">
        <f t="shared" si="211"/>
        <v>0</v>
      </c>
      <c r="O1219" s="359">
        <f>IFERROR(VLOOKUP($G1219,融外自投!$A:$J,7,0),"無")</f>
        <v>502</v>
      </c>
      <c r="P1219" s="79">
        <f>IFERROR(VLOOKUP($G1219,融外自投!$A:$J,9,0),"無")</f>
        <v>615</v>
      </c>
      <c r="Q1219" s="342">
        <f>IFERROR(VLOOKUP($G1219,融外自投!$A:$J,8,0),"無")</f>
        <v>814</v>
      </c>
      <c r="R1219" s="81" t="str">
        <f>IFERROR(VLOOKUP($G1219,融外自投!$A:$J,10,0),"無")</f>
        <v>無</v>
      </c>
      <c r="S1219" s="324">
        <f>IFERROR(VLOOKUP($G1219,'321買'!$A:$E,4,0),"'沒有資料'")</f>
        <v>650</v>
      </c>
      <c r="T1219" s="186">
        <f>IFERROR(VLOOKUP($G1219,基本資料!$A:$J,9,0),"無")</f>
        <v>1.1000000000000001</v>
      </c>
      <c r="U1219" s="307">
        <f t="shared" si="212"/>
        <v>1.7799352750809065E-2</v>
      </c>
      <c r="V1219" s="94">
        <f>IFERROR(VLOOKUP($G1219,基本資料!$A:$J,10,0),"無")</f>
        <v>1.29</v>
      </c>
      <c r="W1219" s="36">
        <f>RTD("money.excel",,"8147","Price")</f>
        <v>61.8</v>
      </c>
      <c r="X1219" s="66"/>
      <c r="Y1219" s="15">
        <f t="shared" si="208"/>
        <v>61.8</v>
      </c>
      <c r="Z1219" s="3" t="e">
        <f t="shared" si="209"/>
        <v>#DIV/0!</v>
      </c>
      <c r="AA1219" s="340">
        <f>IFERROR(VLOOKUP($G1219,基本資料!$A:$M,11,0),"無")</f>
        <v>-14.17</v>
      </c>
      <c r="AB1219" s="389">
        <f>IFERROR(VLOOKUP($G1219,基本資料!$A:$M,12,0),"無")</f>
        <v>37.65</v>
      </c>
      <c r="AC1219" s="16" t="s">
        <v>4604</v>
      </c>
      <c r="AF1219" s="33">
        <f t="shared" si="210"/>
        <v>0</v>
      </c>
      <c r="AG1219" s="43" t="s">
        <v>1902</v>
      </c>
      <c r="AH1219" s="66">
        <f t="shared" si="207"/>
        <v>0.61427280939476059</v>
      </c>
      <c r="AI1219" s="283">
        <f>RTD("money.excel",,$G1219,"PredictVolume")</f>
        <v>34</v>
      </c>
      <c r="AJ1219" s="391">
        <f>IFERROR(VLOOKUP($G1219,基本資料!$A:$M,13,0),"無")</f>
        <v>55.35</v>
      </c>
      <c r="AR1219" s="245" t="str">
        <f>INDEX(基本資料!N:N,MATCH($G1219,基本資料!A:A,0))</f>
        <v>中</v>
      </c>
    </row>
    <row r="1220" spans="1:44">
      <c r="A1220" s="343">
        <f>IFERROR(VLOOKUP($G1220,基本資料!$A:$J,3,0),"無")</f>
        <v>4.97</v>
      </c>
      <c r="B1220" s="79">
        <f>IFERROR(VLOOKUP($G1220,基本資料!$A:$J,4,0),"無")</f>
        <v>-26</v>
      </c>
      <c r="C1220" s="79">
        <f>IFERROR(VLOOKUP($G1220,基本資料!$A:$J,5,0),"無")</f>
        <v>-29</v>
      </c>
      <c r="D1220" s="79">
        <f>IFERROR(VLOOKUP($G1220,基本資料!$A:$J,6,0),"無")</f>
        <v>1</v>
      </c>
      <c r="E1220" s="79">
        <f>IFERROR(VLOOKUP($G1220,基本資料!$A:$J,7,0),"無")</f>
        <v>37</v>
      </c>
      <c r="F1220" s="6">
        <f>IFERROR(VLOOKUP($G1220,基本資料!$A:$J,8,0),"無")</f>
        <v>15.7</v>
      </c>
      <c r="G1220" s="79">
        <v>8155</v>
      </c>
      <c r="H1220" s="8" t="s">
        <v>308</v>
      </c>
      <c r="I1220" s="16" t="s">
        <v>84</v>
      </c>
      <c r="J1220" s="8" t="str">
        <f>IFERROR(VLOOKUP($G1220,今日總結!$A:$AN,39,0),"")</f>
        <v>6投</v>
      </c>
      <c r="K1220" s="5">
        <f>IFERROR(VLOOKUP($G1220,今日總結!$A:$AN,40,0),"")</f>
        <v>0</v>
      </c>
      <c r="L1220" s="156">
        <f>IFERROR(VLOOKUP($G1220,今日總結!$A:$AN,37,0),"")</f>
        <v>4</v>
      </c>
      <c r="M1220" s="337">
        <f>IFERROR(VLOOKUP($G1220,今日總結!$A:$AN,38,0),"")</f>
        <v>0</v>
      </c>
      <c r="N1220" s="240">
        <f t="shared" si="211"/>
        <v>4</v>
      </c>
      <c r="O1220" s="359">
        <f>IFERROR(VLOOKUP($G1220,融外自投!$A:$J,7,0),"無")</f>
        <v>243</v>
      </c>
      <c r="P1220" s="79">
        <f>IFERROR(VLOOKUP($G1220,融外自投!$A:$J,9,0),"無")</f>
        <v>190</v>
      </c>
      <c r="Q1220" s="342">
        <f>IFERROR(VLOOKUP($G1220,融外自投!$A:$J,8,0),"無")</f>
        <v>1107</v>
      </c>
      <c r="R1220" s="81">
        <f>IFERROR(VLOOKUP($G1220,融外自投!$A:$J,10,0),"無")</f>
        <v>1</v>
      </c>
      <c r="S1220" s="324">
        <f>IFERROR(VLOOKUP($G1220,'321買'!$A:$E,4,0),"'沒有資料'")</f>
        <v>7</v>
      </c>
      <c r="T1220" s="186">
        <f>IFERROR(VLOOKUP($G1220,基本資料!$A:$J,9,0),"無")</f>
        <v>6</v>
      </c>
      <c r="U1220" s="307">
        <f t="shared" si="212"/>
        <v>3.6363636363636362E-2</v>
      </c>
      <c r="V1220" s="94">
        <f>IFERROR(VLOOKUP($G1220,基本資料!$A:$J,10,0),"無")</f>
        <v>7.85</v>
      </c>
      <c r="W1220" s="36">
        <f>RTD("money.excel",,"8155","Price")</f>
        <v>165</v>
      </c>
      <c r="X1220" s="66"/>
      <c r="Y1220" s="15">
        <f t="shared" si="208"/>
        <v>165</v>
      </c>
      <c r="Z1220" s="3" t="e">
        <f t="shared" si="209"/>
        <v>#DIV/0!</v>
      </c>
      <c r="AA1220" s="340">
        <f>IFERROR(VLOOKUP($G1220,基本資料!$A:$M,11,0),"無")</f>
        <v>-23.79</v>
      </c>
      <c r="AB1220" s="389">
        <f>IFERROR(VLOOKUP($G1220,基本資料!$A:$M,12,0),"無")</f>
        <v>30.59</v>
      </c>
      <c r="AC1220" s="16" t="s">
        <v>84</v>
      </c>
      <c r="AF1220" s="33">
        <f t="shared" si="210"/>
        <v>0</v>
      </c>
      <c r="AG1220" s="117" t="s">
        <v>1048</v>
      </c>
      <c r="AH1220" s="66">
        <f t="shared" si="207"/>
        <v>1.2615069894306172</v>
      </c>
      <c r="AI1220" s="283">
        <f>RTD("money.excel",,$G1220,"PredictVolume")</f>
        <v>2590</v>
      </c>
      <c r="AJ1220" s="391">
        <f>IFERROR(VLOOKUP($G1220,基本資料!$A:$M,13,0),"無")</f>
        <v>2053.1</v>
      </c>
      <c r="AR1220" s="245" t="str">
        <f>INDEX(基本資料!N:N,MATCH($G1220,基本資料!A:A,0))</f>
        <v>中</v>
      </c>
    </row>
    <row r="1221" spans="1:44">
      <c r="A1221" s="343">
        <f>IFERROR(VLOOKUP($G1221,基本資料!$A:$J,3,0),"無")</f>
        <v>10.7</v>
      </c>
      <c r="B1221" s="79">
        <f>IFERROR(VLOOKUP($G1221,基本資料!$A:$J,4,0),"無")</f>
        <v>128</v>
      </c>
      <c r="C1221" s="79">
        <f>IFERROR(VLOOKUP($G1221,基本資料!$A:$J,5,0),"無")</f>
        <v>104</v>
      </c>
      <c r="D1221" s="79">
        <f>IFERROR(VLOOKUP($G1221,基本資料!$A:$J,6,0),"無")</f>
        <v>-2</v>
      </c>
      <c r="E1221" s="79">
        <f>IFERROR(VLOOKUP($G1221,基本資料!$A:$J,7,0),"無")</f>
        <v>-16</v>
      </c>
      <c r="F1221" s="6">
        <f>IFERROR(VLOOKUP($G1221,基本資料!$A:$J,8,0),"無")</f>
        <v>18.23</v>
      </c>
      <c r="G1221" s="79">
        <v>8182</v>
      </c>
      <c r="H1221" s="8" t="s">
        <v>308</v>
      </c>
      <c r="I1221" s="16" t="s">
        <v>443</v>
      </c>
      <c r="J1221" s="8">
        <f>IFERROR(VLOOKUP($G1221,今日總結!$A:$AN,39,0),"")</f>
        <v>0</v>
      </c>
      <c r="K1221" s="5">
        <f>IFERROR(VLOOKUP($G1221,今日總結!$A:$AN,40,0),"")</f>
        <v>0</v>
      </c>
      <c r="L1221" s="156">
        <f>IFERROR(VLOOKUP($G1221,今日總結!$A:$AN,37,0),"")</f>
        <v>0</v>
      </c>
      <c r="M1221" s="337">
        <f>IFERROR(VLOOKUP($G1221,今日總結!$A:$AN,38,0),"")</f>
        <v>0</v>
      </c>
      <c r="N1221" s="240">
        <f t="shared" si="211"/>
        <v>0</v>
      </c>
      <c r="O1221" s="359">
        <f>IFERROR(VLOOKUP($G1221,融外自投!$A:$J,7,0),"無")</f>
        <v>375</v>
      </c>
      <c r="P1221" s="79">
        <f>IFERROR(VLOOKUP($G1221,融外自投!$A:$J,9,0),"無")</f>
        <v>990</v>
      </c>
      <c r="Q1221" s="342">
        <f>IFERROR(VLOOKUP($G1221,融外自投!$A:$J,8,0),"無")</f>
        <v>71</v>
      </c>
      <c r="R1221" s="81" t="str">
        <f>IFERROR(VLOOKUP($G1221,融外自投!$A:$J,10,0),"無")</f>
        <v>無</v>
      </c>
      <c r="S1221" s="324">
        <f>IFERROR(VLOOKUP($G1221,'321買'!$A:$E,4,0),"'沒有資料'")</f>
        <v>366</v>
      </c>
      <c r="T1221" s="186">
        <f>IFERROR(VLOOKUP($G1221,基本資料!$A:$J,9,0),"無")</f>
        <v>3</v>
      </c>
      <c r="U1221" s="307">
        <f t="shared" si="212"/>
        <v>7.0588235294117646E-2</v>
      </c>
      <c r="V1221" s="94">
        <f>IFERROR(VLOOKUP($G1221,基本資料!$A:$J,10,0),"無")</f>
        <v>4.76</v>
      </c>
      <c r="W1221" s="36">
        <f>RTD("money.excel",,"8182","Price")</f>
        <v>42.5</v>
      </c>
      <c r="X1221" s="66"/>
      <c r="Y1221" s="15">
        <f t="shared" si="208"/>
        <v>42.5</v>
      </c>
      <c r="Z1221" s="3" t="e">
        <f t="shared" si="209"/>
        <v>#DIV/0!</v>
      </c>
      <c r="AA1221" s="340">
        <f>IFERROR(VLOOKUP($G1221,基本資料!$A:$M,11,0),"無")</f>
        <v>-34.11</v>
      </c>
      <c r="AB1221" s="389">
        <f>IFERROR(VLOOKUP($G1221,基本資料!$A:$M,12,0),"無")</f>
        <v>19</v>
      </c>
      <c r="AC1221" s="16" t="s">
        <v>443</v>
      </c>
      <c r="AF1221" s="33">
        <f t="shared" si="210"/>
        <v>0</v>
      </c>
      <c r="AG1221" s="43" t="s">
        <v>1406</v>
      </c>
      <c r="AH1221" s="66">
        <f t="shared" si="207"/>
        <v>1.0543657331136738</v>
      </c>
      <c r="AI1221" s="283">
        <f>RTD("money.excel",,$G1221,"PredictVolume")</f>
        <v>128</v>
      </c>
      <c r="AJ1221" s="391">
        <f>IFERROR(VLOOKUP($G1221,基本資料!$A:$M,13,0),"無")</f>
        <v>121.4</v>
      </c>
      <c r="AR1221" s="245" t="str">
        <f>INDEX(基本資料!N:N,MATCH($G1221,基本資料!A:A,0))</f>
        <v>低</v>
      </c>
    </row>
    <row r="1222" spans="1:44">
      <c r="A1222" s="343">
        <f>IFERROR(VLOOKUP($G1222,基本資料!$A:$J,3,0),"無")</f>
        <v>27.12</v>
      </c>
      <c r="B1222" s="79">
        <f>IFERROR(VLOOKUP($G1222,基本資料!$A:$J,4,0),"無")</f>
        <v>21</v>
      </c>
      <c r="C1222" s="79">
        <f>IFERROR(VLOOKUP($G1222,基本資料!$A:$J,5,0),"無")</f>
        <v>32</v>
      </c>
      <c r="D1222" s="79">
        <f>IFERROR(VLOOKUP($G1222,基本資料!$A:$J,6,0),"無")</f>
        <v>0</v>
      </c>
      <c r="E1222" s="79">
        <f>IFERROR(VLOOKUP($G1222,基本資料!$A:$J,7,0),"無")</f>
        <v>18</v>
      </c>
      <c r="F1222" s="6">
        <f>IFERROR(VLOOKUP($G1222,基本資料!$A:$J,8,0),"無")</f>
        <v>7.96</v>
      </c>
      <c r="G1222" s="79">
        <v>8213</v>
      </c>
      <c r="H1222" s="8" t="s">
        <v>308</v>
      </c>
      <c r="I1222" s="22" t="s">
        <v>102</v>
      </c>
      <c r="J1222" s="8" t="str">
        <f>IFERROR(VLOOKUP($G1222,今日總結!$A:$AN,39,0),"")</f>
        <v>主外自</v>
      </c>
      <c r="K1222" s="5">
        <f>IFERROR(VLOOKUP($G1222,今日總結!$A:$AN,40,0),"")</f>
        <v>0</v>
      </c>
      <c r="L1222" s="156">
        <f>IFERROR(VLOOKUP($G1222,今日總結!$A:$AN,37,0),"")</f>
        <v>8</v>
      </c>
      <c r="M1222" s="337">
        <f>IFERROR(VLOOKUP($G1222,今日總結!$A:$AN,38,0),"")</f>
        <v>0</v>
      </c>
      <c r="N1222" s="240">
        <f t="shared" si="211"/>
        <v>8</v>
      </c>
      <c r="O1222" s="359">
        <f>IFERROR(VLOOKUP($G1222,融外自投!$A:$J,7,0),"無")</f>
        <v>730</v>
      </c>
      <c r="P1222" s="79">
        <f>IFERROR(VLOOKUP($G1222,融外自投!$A:$J,9,0),"無")</f>
        <v>525</v>
      </c>
      <c r="Q1222" s="342">
        <f>IFERROR(VLOOKUP($G1222,融外自投!$A:$J,8,0),"無")</f>
        <v>238</v>
      </c>
      <c r="R1222" s="81">
        <f>IFERROR(VLOOKUP($G1222,融外自投!$A:$J,10,0),"無")</f>
        <v>348</v>
      </c>
      <c r="S1222" s="324">
        <f>IFERROR(VLOOKUP($G1222,'321買'!$A:$E,4,0),"'沒有資料'")</f>
        <v>650</v>
      </c>
      <c r="T1222" s="186">
        <f>IFERROR(VLOOKUP($G1222,基本資料!$A:$J,9,0),"無")</f>
        <v>5</v>
      </c>
      <c r="U1222" s="307">
        <f t="shared" si="212"/>
        <v>9.727626459143969E-2</v>
      </c>
      <c r="V1222" s="94">
        <f>IFERROR(VLOOKUP($G1222,基本資料!$A:$J,10,0),"無")</f>
        <v>8.6</v>
      </c>
      <c r="W1222" s="36">
        <f>RTD("money.excel",,"8213","Price")</f>
        <v>51.4</v>
      </c>
      <c r="X1222" s="66"/>
      <c r="Y1222" s="15">
        <f t="shared" si="208"/>
        <v>51.4</v>
      </c>
      <c r="Z1222" s="3" t="e">
        <f t="shared" si="209"/>
        <v>#DIV/0!</v>
      </c>
      <c r="AA1222" s="340">
        <f>IFERROR(VLOOKUP($G1222,基本資料!$A:$M,11,0),"無")</f>
        <v>-1.72</v>
      </c>
      <c r="AB1222" s="389">
        <f>IFERROR(VLOOKUP($G1222,基本資料!$A:$M,12,0),"無")</f>
        <v>69.23</v>
      </c>
      <c r="AC1222" s="22" t="s">
        <v>102</v>
      </c>
      <c r="AF1222" s="33">
        <f t="shared" si="210"/>
        <v>0</v>
      </c>
      <c r="AG1222" s="117" t="s">
        <v>2546</v>
      </c>
      <c r="AH1222" s="66">
        <f t="shared" ref="AH1222:AH1285" si="213">AI1222/AJ1222</f>
        <v>1.4970128239278511</v>
      </c>
      <c r="AI1222" s="283">
        <f>RTD("money.excel",,$G1222,"PredictVolume")</f>
        <v>1967</v>
      </c>
      <c r="AJ1222" s="391">
        <f>IFERROR(VLOOKUP($G1222,基本資料!$A:$M,13,0),"無")</f>
        <v>1313.95</v>
      </c>
      <c r="AR1222" s="245" t="str">
        <f>INDEX(基本資料!N:N,MATCH($G1222,基本資料!A:A,0))</f>
        <v>高</v>
      </c>
    </row>
    <row r="1223" spans="1:44">
      <c r="A1223" s="343">
        <f>IFERROR(VLOOKUP($G1223,基本資料!$A:$J,3,0),"無")</f>
        <v>14.9</v>
      </c>
      <c r="B1223" s="79">
        <f>IFERROR(VLOOKUP($G1223,基本資料!$A:$J,4,0),"無")</f>
        <v>-7</v>
      </c>
      <c r="C1223" s="79">
        <f>IFERROR(VLOOKUP($G1223,基本資料!$A:$J,5,0),"無")</f>
        <v>23</v>
      </c>
      <c r="D1223" s="79">
        <f>IFERROR(VLOOKUP($G1223,基本資料!$A:$J,6,0),"無")</f>
        <v>37</v>
      </c>
      <c r="E1223" s="79">
        <f>IFERROR(VLOOKUP($G1223,基本資料!$A:$J,7,0),"無")</f>
        <v>12</v>
      </c>
      <c r="F1223" s="6">
        <f>IFERROR(VLOOKUP($G1223,基本資料!$A:$J,8,0),"無")</f>
        <v>5.05</v>
      </c>
      <c r="G1223" s="79">
        <v>8249</v>
      </c>
      <c r="H1223" s="8" t="s">
        <v>308</v>
      </c>
      <c r="I1223" s="22" t="s">
        <v>401</v>
      </c>
      <c r="J1223" s="8">
        <f>IFERROR(VLOOKUP($G1223,今日總結!$A:$AN,39,0),"")</f>
        <v>0</v>
      </c>
      <c r="K1223" s="5">
        <f>IFERROR(VLOOKUP($G1223,今日總結!$A:$AN,40,0),"")</f>
        <v>0</v>
      </c>
      <c r="L1223" s="156">
        <f>IFERROR(VLOOKUP($G1223,今日總結!$A:$AN,37,0),"")</f>
        <v>0</v>
      </c>
      <c r="M1223" s="337">
        <f>IFERROR(VLOOKUP($G1223,今日總結!$A:$AN,38,0),"")</f>
        <v>0</v>
      </c>
      <c r="N1223" s="240">
        <f t="shared" si="211"/>
        <v>0</v>
      </c>
      <c r="O1223" s="359">
        <f>IFERROR(VLOOKUP($G1223,融外自投!$A:$J,7,0),"無")</f>
        <v>1043</v>
      </c>
      <c r="P1223" s="79">
        <f>IFERROR(VLOOKUP($G1223,融外自投!$A:$J,9,0),"無")</f>
        <v>1123</v>
      </c>
      <c r="Q1223" s="342">
        <f>IFERROR(VLOOKUP($G1223,融外自投!$A:$J,8,0),"無")</f>
        <v>812</v>
      </c>
      <c r="R1223" s="81" t="str">
        <f>IFERROR(VLOOKUP($G1223,融外自投!$A:$J,10,0),"無")</f>
        <v>無</v>
      </c>
      <c r="S1223" s="324">
        <f>IFERROR(VLOOKUP($G1223,'321買'!$A:$E,4,0),"'沒有資料'")</f>
        <v>565</v>
      </c>
      <c r="T1223" s="186">
        <f>IFERROR(VLOOKUP($G1223,基本資料!$A:$J,9,0),"無")</f>
        <v>1.3</v>
      </c>
      <c r="U1223" s="307">
        <f t="shared" si="212"/>
        <v>6.0606060606060608E-2</v>
      </c>
      <c r="V1223" s="94">
        <f>IFERROR(VLOOKUP($G1223,基本資料!$A:$J,10,0),"無")</f>
        <v>1.5</v>
      </c>
      <c r="W1223" s="36">
        <f>RTD("money.excel",,"8249","Price")</f>
        <v>21.45</v>
      </c>
      <c r="X1223" s="66"/>
      <c r="Y1223" s="15">
        <f t="shared" si="208"/>
        <v>21.45</v>
      </c>
      <c r="Z1223" s="3" t="e">
        <f t="shared" si="209"/>
        <v>#DIV/0!</v>
      </c>
      <c r="AA1223" s="340">
        <f>IFERROR(VLOOKUP($G1223,基本資料!$A:$M,11,0),"無")</f>
        <v>-35.68</v>
      </c>
      <c r="AB1223" s="389">
        <f>IFERROR(VLOOKUP($G1223,基本資料!$A:$M,12,0),"無")</f>
        <v>34.36</v>
      </c>
      <c r="AC1223" s="22" t="s">
        <v>401</v>
      </c>
      <c r="AF1223" s="33">
        <f t="shared" si="210"/>
        <v>0</v>
      </c>
      <c r="AG1223" s="43" t="s">
        <v>2408</v>
      </c>
      <c r="AH1223" s="66">
        <f t="shared" si="213"/>
        <v>0.46901172529313229</v>
      </c>
      <c r="AI1223" s="283">
        <f>RTD("money.excel",,$G1223,"PredictVolume")</f>
        <v>28</v>
      </c>
      <c r="AJ1223" s="391">
        <f>IFERROR(VLOOKUP($G1223,基本資料!$A:$M,13,0),"無")</f>
        <v>59.7</v>
      </c>
      <c r="AR1223" s="245" t="str">
        <f>INDEX(基本資料!N:N,MATCH($G1223,基本資料!A:A,0))</f>
        <v>低</v>
      </c>
    </row>
    <row r="1224" spans="1:44">
      <c r="A1224" s="343">
        <f>IFERROR(VLOOKUP($G1224,基本資料!$A:$J,3,0),"無")</f>
        <v>6.83</v>
      </c>
      <c r="B1224" s="79">
        <f>IFERROR(VLOOKUP($G1224,基本資料!$A:$J,4,0),"無")</f>
        <v>4732</v>
      </c>
      <c r="C1224" s="79">
        <f>IFERROR(VLOOKUP($G1224,基本資料!$A:$J,5,0),"無")</f>
        <v>4429</v>
      </c>
      <c r="D1224" s="79">
        <f>IFERROR(VLOOKUP($G1224,基本資料!$A:$J,6,0),"無")</f>
        <v>-6</v>
      </c>
      <c r="E1224" s="79">
        <f>IFERROR(VLOOKUP($G1224,基本資料!$A:$J,7,0),"無")</f>
        <v>14</v>
      </c>
      <c r="F1224" s="6">
        <f>IFERROR(VLOOKUP($G1224,基本資料!$A:$J,8,0),"無")</f>
        <v>13.34</v>
      </c>
      <c r="G1224" s="79">
        <v>8289</v>
      </c>
      <c r="H1224" s="8" t="s">
        <v>308</v>
      </c>
      <c r="I1224" s="16" t="s">
        <v>4605</v>
      </c>
      <c r="J1224" s="8">
        <f>IFERROR(VLOOKUP($G1224,今日總結!$A:$AN,39,0),"")</f>
        <v>0</v>
      </c>
      <c r="K1224" s="5">
        <f>IFERROR(VLOOKUP($G1224,今日總結!$A:$AN,40,0),"")</f>
        <v>0</v>
      </c>
      <c r="L1224" s="156">
        <f>IFERROR(VLOOKUP($G1224,今日總結!$A:$AN,37,0),"")</f>
        <v>0</v>
      </c>
      <c r="M1224" s="337">
        <f>IFERROR(VLOOKUP($G1224,今日總結!$A:$AN,38,0),"")</f>
        <v>0</v>
      </c>
      <c r="N1224" s="240">
        <f t="shared" si="211"/>
        <v>0</v>
      </c>
      <c r="O1224" s="359">
        <f>IFERROR(VLOOKUP($G1224,融外自投!$A:$J,7,0),"無")</f>
        <v>451</v>
      </c>
      <c r="P1224" s="79">
        <f>IFERROR(VLOOKUP($G1224,融外自投!$A:$J,9,0),"無")</f>
        <v>403</v>
      </c>
      <c r="Q1224" s="342">
        <f>IFERROR(VLOOKUP($G1224,融外自投!$A:$J,8,0),"無")</f>
        <v>592</v>
      </c>
      <c r="R1224" s="81" t="str">
        <f>IFERROR(VLOOKUP($G1224,融外自投!$A:$J,10,0),"無")</f>
        <v>無</v>
      </c>
      <c r="S1224" s="324">
        <f>IFERROR(VLOOKUP($G1224,'321買'!$A:$E,4,0),"'沒有資料'")</f>
        <v>91</v>
      </c>
      <c r="T1224" s="186">
        <f>IFERROR(VLOOKUP($G1224,基本資料!$A:$J,9,0),"無")</f>
        <v>2.1</v>
      </c>
      <c r="U1224" s="307">
        <f t="shared" si="212"/>
        <v>5.8495821727019504E-2</v>
      </c>
      <c r="V1224" s="94">
        <f>IFERROR(VLOOKUP($G1224,基本資料!$A:$J,10,0),"無")</f>
        <v>3.12</v>
      </c>
      <c r="W1224" s="36">
        <f>RTD("money.excel",,"8289","Price")</f>
        <v>35.9</v>
      </c>
      <c r="X1224" s="66"/>
      <c r="Y1224" s="15">
        <f t="shared" si="208"/>
        <v>35.9</v>
      </c>
      <c r="Z1224" s="3" t="e">
        <f t="shared" si="209"/>
        <v>#DIV/0!</v>
      </c>
      <c r="AA1224" s="340">
        <f>IFERROR(VLOOKUP($G1224,基本資料!$A:$M,11,0),"無")</f>
        <v>-22.29</v>
      </c>
      <c r="AB1224" s="389">
        <f>IFERROR(VLOOKUP($G1224,基本資料!$A:$M,12,0),"無")</f>
        <v>58.5</v>
      </c>
      <c r="AC1224" s="16" t="s">
        <v>4605</v>
      </c>
      <c r="AF1224" s="33">
        <f t="shared" si="210"/>
        <v>0</v>
      </c>
      <c r="AG1224" s="43" t="s">
        <v>1407</v>
      </c>
      <c r="AH1224" s="66">
        <f t="shared" si="213"/>
        <v>1.9193100423914631</v>
      </c>
      <c r="AI1224" s="283">
        <f>RTD("money.excel",,$G1224,"PredictVolume")</f>
        <v>1313</v>
      </c>
      <c r="AJ1224" s="391">
        <f>IFERROR(VLOOKUP($G1224,基本資料!$A:$M,13,0),"無")</f>
        <v>684.1</v>
      </c>
      <c r="AR1224" s="245" t="str">
        <f>INDEX(基本資料!N:N,MATCH($G1224,基本資料!A:A,0))</f>
        <v>中</v>
      </c>
    </row>
    <row r="1225" spans="1:44">
      <c r="A1225" s="343">
        <f>IFERROR(VLOOKUP($G1225,基本資料!$A:$J,3,0),"無")</f>
        <v>4.7300000000000004</v>
      </c>
      <c r="B1225" s="79">
        <f>IFERROR(VLOOKUP($G1225,基本資料!$A:$J,4,0),"無")</f>
        <v>43</v>
      </c>
      <c r="C1225" s="79">
        <f>IFERROR(VLOOKUP($G1225,基本資料!$A:$J,5,0),"無")</f>
        <v>42</v>
      </c>
      <c r="D1225" s="79">
        <f>IFERROR(VLOOKUP($G1225,基本資料!$A:$J,6,0),"無")</f>
        <v>-21</v>
      </c>
      <c r="E1225" s="79">
        <f>IFERROR(VLOOKUP($G1225,基本資料!$A:$J,7,0),"無")</f>
        <v>-48</v>
      </c>
      <c r="F1225" s="6">
        <f>IFERROR(VLOOKUP($G1225,基本資料!$A:$J,8,0),"無")</f>
        <v>-16.95</v>
      </c>
      <c r="G1225" s="79">
        <v>8291</v>
      </c>
      <c r="H1225" s="8" t="s">
        <v>308</v>
      </c>
      <c r="I1225" s="16" t="s">
        <v>1067</v>
      </c>
      <c r="J1225" s="8" t="str">
        <f>IFERROR(VLOOKUP($G1225,今日總結!$A:$AN,39,0),"")</f>
        <v/>
      </c>
      <c r="K1225" s="5" t="str">
        <f>IFERROR(VLOOKUP($G1225,今日總結!$A:$AN,40,0),"")</f>
        <v/>
      </c>
      <c r="L1225" s="156" t="str">
        <f>IFERROR(VLOOKUP($G1225,今日總結!$A:$AN,37,0),"")</f>
        <v/>
      </c>
      <c r="M1225" s="337" t="str">
        <f>IFERROR(VLOOKUP($G1225,今日總結!$A:$AN,38,0),"")</f>
        <v/>
      </c>
      <c r="N1225" s="240" t="str">
        <f t="shared" si="211"/>
        <v/>
      </c>
      <c r="O1225" s="359" t="str">
        <f>IFERROR(VLOOKUP($G1225,融外自投!$A:$J,7,0),"無")</f>
        <v>無</v>
      </c>
      <c r="P1225" s="79" t="str">
        <f>IFERROR(VLOOKUP($G1225,融外自投!$A:$J,9,0),"無")</f>
        <v>無</v>
      </c>
      <c r="Q1225" s="342" t="str">
        <f>IFERROR(VLOOKUP($G1225,融外自投!$A:$J,8,0),"無")</f>
        <v>無</v>
      </c>
      <c r="R1225" s="81" t="str">
        <f>IFERROR(VLOOKUP($G1225,融外自投!$A:$J,10,0),"無")</f>
        <v>無</v>
      </c>
      <c r="S1225" s="324" t="str">
        <f>IFERROR(VLOOKUP($G1225,'321買'!$A:$E,4,0),"'沒有資料'")</f>
        <v>'沒有資料'</v>
      </c>
      <c r="T1225" s="186">
        <f>IFERROR(VLOOKUP($G1225,基本資料!$A:$J,9,0),"無")</f>
        <v>0</v>
      </c>
      <c r="U1225" s="307" t="e">
        <f t="shared" si="212"/>
        <v>#VALUE!</v>
      </c>
      <c r="V1225" s="94">
        <f>IFERROR(VLOOKUP($G1225,基本資料!$A:$J,10,0),"無")</f>
        <v>-0.66</v>
      </c>
      <c r="W1225" s="36" t="str">
        <f>RTD("money.excel",,"8291","Price")</f>
        <v>無資料</v>
      </c>
      <c r="X1225" s="66"/>
      <c r="Y1225" s="15" t="e">
        <f t="shared" si="208"/>
        <v>#VALUE!</v>
      </c>
      <c r="Z1225" s="3" t="e">
        <f t="shared" si="209"/>
        <v>#VALUE!</v>
      </c>
      <c r="AA1225" s="340">
        <f>IFERROR(VLOOKUP($G1225,基本資料!$A:$M,11,0),"無")</f>
        <v>-17.3</v>
      </c>
      <c r="AB1225" s="389">
        <f>IFERROR(VLOOKUP($G1225,基本資料!$A:$M,12,0),"無")</f>
        <v>47.98</v>
      </c>
      <c r="AC1225" s="16" t="s">
        <v>1067</v>
      </c>
      <c r="AF1225" s="33">
        <f t="shared" si="210"/>
        <v>0</v>
      </c>
      <c r="AG1225" s="43" t="s">
        <v>1044</v>
      </c>
      <c r="AH1225" s="66">
        <f t="shared" si="213"/>
        <v>0</v>
      </c>
      <c r="AI1225" s="283">
        <f>RTD("money.excel",,$G1225,"PredictVolume")</f>
        <v>0</v>
      </c>
      <c r="AJ1225" s="391">
        <f>IFERROR(VLOOKUP($G1225,基本資料!$A:$M,13,0),"無")</f>
        <v>3.3</v>
      </c>
      <c r="AR1225" s="245" t="str">
        <f>INDEX(基本資料!N:N,MATCH($G1225,基本資料!A:A,0))</f>
        <v>中</v>
      </c>
    </row>
    <row r="1226" spans="1:44">
      <c r="A1226" s="343">
        <f>IFERROR(VLOOKUP($G1226,基本資料!$A:$J,3,0),"無")</f>
        <v>25.25</v>
      </c>
      <c r="B1226" s="79">
        <f>IFERROR(VLOOKUP($G1226,基本資料!$A:$J,4,0),"無")</f>
        <v>181</v>
      </c>
      <c r="C1226" s="79">
        <f>IFERROR(VLOOKUP($G1226,基本資料!$A:$J,5,0),"無")</f>
        <v>158</v>
      </c>
      <c r="D1226" s="79">
        <f>IFERROR(VLOOKUP($G1226,基本資料!$A:$J,6,0),"無")</f>
        <v>0</v>
      </c>
      <c r="E1226" s="79">
        <f>IFERROR(VLOOKUP($G1226,基本資料!$A:$J,7,0),"無")</f>
        <v>-8</v>
      </c>
      <c r="F1226" s="6">
        <f>IFERROR(VLOOKUP($G1226,基本資料!$A:$J,8,0),"無")</f>
        <v>21.4</v>
      </c>
      <c r="G1226" s="79">
        <v>8358</v>
      </c>
      <c r="H1226" s="8" t="s">
        <v>308</v>
      </c>
      <c r="I1226" s="16" t="s">
        <v>222</v>
      </c>
      <c r="J1226" s="8">
        <f>IFERROR(VLOOKUP($G1226,今日總結!$A:$AN,39,0),"")</f>
        <v>0</v>
      </c>
      <c r="K1226" s="5">
        <f>IFERROR(VLOOKUP($G1226,今日總結!$A:$AN,40,0),"")</f>
        <v>0</v>
      </c>
      <c r="L1226" s="156">
        <f>IFERROR(VLOOKUP($G1226,今日總結!$A:$AN,37,0),"")</f>
        <v>0</v>
      </c>
      <c r="M1226" s="337">
        <f>IFERROR(VLOOKUP($G1226,今日總結!$A:$AN,38,0),"")</f>
        <v>0</v>
      </c>
      <c r="N1226" s="240">
        <f t="shared" si="211"/>
        <v>0</v>
      </c>
      <c r="O1226" s="359">
        <f>IFERROR(VLOOKUP($G1226,融外自投!$A:$J,7,0),"無")</f>
        <v>308</v>
      </c>
      <c r="P1226" s="79">
        <f>IFERROR(VLOOKUP($G1226,融外自投!$A:$J,9,0),"無")</f>
        <v>310</v>
      </c>
      <c r="Q1226" s="342">
        <f>IFERROR(VLOOKUP($G1226,融外自投!$A:$J,8,0),"無")</f>
        <v>627</v>
      </c>
      <c r="R1226" s="81">
        <f>IFERROR(VLOOKUP($G1226,融外自投!$A:$J,10,0),"無")</f>
        <v>61</v>
      </c>
      <c r="S1226" s="324">
        <f>IFERROR(VLOOKUP($G1226,'321買'!$A:$E,4,0),"'沒有資料'")</f>
        <v>156</v>
      </c>
      <c r="T1226" s="186">
        <f>IFERROR(VLOOKUP($G1226,基本資料!$A:$J,9,0),"無")</f>
        <v>4.2</v>
      </c>
      <c r="U1226" s="307">
        <f t="shared" si="212"/>
        <v>7.6923076923076927E-2</v>
      </c>
      <c r="V1226" s="94">
        <f>IFERROR(VLOOKUP($G1226,基本資料!$A:$J,10,0),"無")</f>
        <v>6.03</v>
      </c>
      <c r="W1226" s="36">
        <f>RTD("money.excel",,"8358","Price")</f>
        <v>54.6</v>
      </c>
      <c r="X1226" s="66"/>
      <c r="Y1226" s="15">
        <f t="shared" si="208"/>
        <v>54.6</v>
      </c>
      <c r="Z1226" s="3" t="e">
        <f t="shared" si="209"/>
        <v>#DIV/0!</v>
      </c>
      <c r="AA1226" s="340">
        <f>IFERROR(VLOOKUP($G1226,基本資料!$A:$M,11,0),"無")</f>
        <v>-41.23</v>
      </c>
      <c r="AB1226" s="389">
        <f>IFERROR(VLOOKUP($G1226,基本資料!$A:$M,12,0),"無")</f>
        <v>10.31</v>
      </c>
      <c r="AC1226" s="16" t="s">
        <v>222</v>
      </c>
      <c r="AF1226" s="33">
        <f t="shared" si="210"/>
        <v>0</v>
      </c>
      <c r="AG1226" s="117" t="s">
        <v>2430</v>
      </c>
      <c r="AH1226" s="66">
        <f t="shared" si="213"/>
        <v>0.68821276033640089</v>
      </c>
      <c r="AI1226" s="283">
        <f>RTD("money.excel",,$G1226,"PredictVolume")</f>
        <v>1563</v>
      </c>
      <c r="AJ1226" s="391">
        <f>IFERROR(VLOOKUP($G1226,基本資料!$A:$M,13,0),"無")</f>
        <v>2271.1</v>
      </c>
      <c r="AR1226" s="245" t="str">
        <f>INDEX(基本資料!N:N,MATCH($G1226,基本資料!A:A,0))</f>
        <v>低</v>
      </c>
    </row>
    <row r="1227" spans="1:44">
      <c r="B1227" s="79"/>
      <c r="C1227" s="79"/>
      <c r="D1227" s="79"/>
      <c r="E1227" s="79"/>
      <c r="F1227" s="57"/>
      <c r="G1227" s="79"/>
      <c r="H1227" s="8"/>
      <c r="I1227" s="16"/>
      <c r="L1227" s="2"/>
      <c r="R1227" s="26"/>
      <c r="T1227" s="34"/>
      <c r="V1227" s="94"/>
      <c r="W1227" s="36"/>
      <c r="X1227" s="66"/>
      <c r="Y1227" s="15"/>
      <c r="Z1227" s="3"/>
      <c r="AC1227" s="16"/>
      <c r="AF1227" s="33"/>
      <c r="AG1227" s="117"/>
      <c r="AH1227" s="66" t="e">
        <f t="shared" si="213"/>
        <v>#DIV/0!</v>
      </c>
      <c r="AI1227" s="283"/>
    </row>
    <row r="1228" spans="1:44">
      <c r="A1228" s="127" t="s">
        <v>1672</v>
      </c>
      <c r="B1228" s="90" t="s">
        <v>1571</v>
      </c>
      <c r="C1228" s="90" t="s">
        <v>1572</v>
      </c>
      <c r="D1228" s="90" t="s">
        <v>1573</v>
      </c>
      <c r="E1228" s="90" t="s">
        <v>1574</v>
      </c>
      <c r="F1228" s="8" t="s">
        <v>1059</v>
      </c>
      <c r="G1228" s="27" t="s">
        <v>4710</v>
      </c>
      <c r="H1228" s="55" t="s">
        <v>320</v>
      </c>
      <c r="I1228" s="8" t="s">
        <v>1042</v>
      </c>
      <c r="J1228" s="8" t="s">
        <v>6211</v>
      </c>
      <c r="K1228" s="5" t="s">
        <v>6212</v>
      </c>
      <c r="L1228" s="334" t="s">
        <v>6197</v>
      </c>
      <c r="M1228" s="335" t="s">
        <v>6198</v>
      </c>
      <c r="N1228" s="336" t="s">
        <v>6199</v>
      </c>
      <c r="O1228" s="89" t="s">
        <v>6275</v>
      </c>
      <c r="P1228" s="292" t="s">
        <v>6274</v>
      </c>
      <c r="Q1228" s="350" t="s">
        <v>6273</v>
      </c>
      <c r="R1228" s="26" t="s">
        <v>6276</v>
      </c>
      <c r="S1228" s="318" t="s">
        <v>4715</v>
      </c>
      <c r="T1228" s="10" t="s">
        <v>66</v>
      </c>
      <c r="U1228" s="305" t="s">
        <v>4728</v>
      </c>
      <c r="V1228" s="68" t="s">
        <v>3272</v>
      </c>
      <c r="W1228" s="28" t="s">
        <v>2</v>
      </c>
      <c r="X1228" s="17" t="s">
        <v>1398</v>
      </c>
      <c r="Y1228" s="14" t="s">
        <v>5</v>
      </c>
      <c r="Z1228" s="21" t="s">
        <v>3</v>
      </c>
      <c r="AA1228" s="96" t="s">
        <v>6166</v>
      </c>
      <c r="AB1228" s="378" t="s">
        <v>6404</v>
      </c>
      <c r="AC1228" s="8" t="s">
        <v>3218</v>
      </c>
      <c r="AD1228" s="71" t="s">
        <v>1399</v>
      </c>
      <c r="AE1228" s="72" t="s">
        <v>1156</v>
      </c>
      <c r="AF1228" s="32" t="s">
        <v>1157</v>
      </c>
      <c r="AG1228" s="25" t="s">
        <v>6200</v>
      </c>
      <c r="AH1228" s="8" t="s">
        <v>6696</v>
      </c>
      <c r="AI1228" s="50" t="s">
        <v>3360</v>
      </c>
      <c r="AJ1228" s="22" t="s">
        <v>6695</v>
      </c>
    </row>
    <row r="1229" spans="1:44">
      <c r="A1229" s="343">
        <f>IFERROR(VLOOKUP($G1229,基本資料!$A:$J,3,0),"無")</f>
        <v>166</v>
      </c>
      <c r="B1229" s="79">
        <f>IFERROR(VLOOKUP($G1229,基本資料!$A:$J,4,0),"無")</f>
        <v>108</v>
      </c>
      <c r="C1229" s="79">
        <f>IFERROR(VLOOKUP($G1229,基本資料!$A:$J,5,0),"無")</f>
        <v>29</v>
      </c>
      <c r="D1229" s="79">
        <f>IFERROR(VLOOKUP($G1229,基本資料!$A:$J,6,0),"無")</f>
        <v>-26</v>
      </c>
      <c r="E1229" s="79">
        <f>IFERROR(VLOOKUP($G1229,基本資料!$A:$J,7,0),"無")</f>
        <v>-6</v>
      </c>
      <c r="F1229" s="6">
        <f>IFERROR(VLOOKUP($G1229,基本資料!$A:$J,8,0),"無")</f>
        <v>2.2799999999999998</v>
      </c>
      <c r="G1229" s="79">
        <v>2347</v>
      </c>
      <c r="H1229" s="8" t="s">
        <v>3218</v>
      </c>
      <c r="I1229" s="22" t="s">
        <v>25</v>
      </c>
      <c r="J1229" s="8" t="str">
        <f>IFERROR(VLOOKUP($G1229,今日總結!$A:$AN,39,0),"")</f>
        <v>自投</v>
      </c>
      <c r="K1229" s="5" t="str">
        <f>IFERROR(VLOOKUP($G1229,今日總結!$A:$AN,40,0),"")</f>
        <v>外</v>
      </c>
      <c r="L1229" s="156">
        <f>IFERROR(VLOOKUP($G1229,今日總結!$A:$AN,37,0),"")</f>
        <v>13</v>
      </c>
      <c r="M1229" s="337">
        <f>IFERROR(VLOOKUP($G1229,今日總結!$A:$AN,38,0),"")</f>
        <v>3</v>
      </c>
      <c r="N1229" s="240">
        <f t="shared" ref="N1229" si="214">IFERROR(L1229-M1229,"")</f>
        <v>10</v>
      </c>
      <c r="O1229" s="359">
        <f>IFERROR(VLOOKUP($G1229,融外自投!$A:$J,7,0),"無")</f>
        <v>1365</v>
      </c>
      <c r="P1229" s="79">
        <f>IFERROR(VLOOKUP($G1229,融外自投!$A:$J,9,0),"無")</f>
        <v>36</v>
      </c>
      <c r="Q1229" s="342">
        <f>IFERROR(VLOOKUP($G1229,融外自投!$A:$J,8,0),"無")</f>
        <v>157</v>
      </c>
      <c r="R1229" s="81">
        <f>IFERROR(VLOOKUP($G1229,融外自投!$A:$J,10,0),"無")</f>
        <v>20</v>
      </c>
      <c r="S1229" s="324">
        <f>IFERROR(VLOOKUP($G1229,'321買'!$A:$E,4,0),"'沒有資料'")</f>
        <v>272</v>
      </c>
      <c r="T1229" s="186">
        <f>IFERROR(VLOOKUP($G1229,基本資料!$A:$J,9,0),"無")</f>
        <v>5</v>
      </c>
      <c r="U1229" s="307">
        <f t="shared" ref="U1229:U1264" si="215">$T1229/$W1229</f>
        <v>6.9832402234636881E-2</v>
      </c>
      <c r="V1229" s="94">
        <f>IFERROR(VLOOKUP($G1229,基本資料!$A:$J,10,0),"無")</f>
        <v>10.35</v>
      </c>
      <c r="W1229" s="36">
        <f>RTD("money.excel",,"2347","Price")</f>
        <v>71.599999999999994</v>
      </c>
      <c r="X1229" s="66"/>
      <c r="Y1229" s="15">
        <f t="shared" ref="Y1229:Y1264" si="216">W1229-X1229</f>
        <v>71.599999999999994</v>
      </c>
      <c r="Z1229" s="3" t="e">
        <f t="shared" ref="Z1229:Z1264" si="217">Y1229/X1229</f>
        <v>#DIV/0!</v>
      </c>
      <c r="AA1229" s="340">
        <f>IFERROR(VLOOKUP($G1229,基本資料!$A:$M,11,0),"無")</f>
        <v>-10.28</v>
      </c>
      <c r="AB1229" s="389">
        <f>IFERROR(VLOOKUP($G1229,基本資料!$A:$M,12,0),"無")</f>
        <v>45.27</v>
      </c>
      <c r="AC1229" s="22" t="s">
        <v>25</v>
      </c>
      <c r="AF1229" s="33">
        <f t="shared" ref="AF1229:AF1264" si="218">AE1229-AD1229</f>
        <v>0</v>
      </c>
      <c r="AG1229" s="117" t="s">
        <v>2870</v>
      </c>
      <c r="AH1229" s="66">
        <f t="shared" si="213"/>
        <v>0.96469603237359869</v>
      </c>
      <c r="AI1229" s="283">
        <f>RTD("money.excel",,$G1229,"PredictVolume")</f>
        <v>4148</v>
      </c>
      <c r="AJ1229" s="391">
        <f>IFERROR(VLOOKUP($G1229,基本資料!$A:$M,13,0),"無")</f>
        <v>4299.8</v>
      </c>
      <c r="AR1229" s="245" t="str">
        <f>INDEX(基本資料!N:N,MATCH($G1229,基本資料!A:A,0))</f>
        <v>高</v>
      </c>
    </row>
    <row r="1230" spans="1:44">
      <c r="A1230" s="343">
        <f>IFERROR(VLOOKUP($G1230,基本資料!$A:$J,3,0),"無")</f>
        <v>16.170000000000002</v>
      </c>
      <c r="B1230" s="79">
        <f>IFERROR(VLOOKUP($G1230,基本資料!$A:$J,4,0),"無")</f>
        <v>54</v>
      </c>
      <c r="C1230" s="79">
        <f>IFERROR(VLOOKUP($G1230,基本資料!$A:$J,5,0),"無")</f>
        <v>58</v>
      </c>
      <c r="D1230" s="79">
        <f>IFERROR(VLOOKUP($G1230,基本資料!$A:$J,6,0),"無")</f>
        <v>-23</v>
      </c>
      <c r="E1230" s="79">
        <f>IFERROR(VLOOKUP($G1230,基本資料!$A:$J,7,0),"無")</f>
        <v>-1</v>
      </c>
      <c r="F1230" s="6">
        <f>IFERROR(VLOOKUP($G1230,基本資料!$A:$J,8,0),"無")</f>
        <v>3.08</v>
      </c>
      <c r="G1230" s="79">
        <v>2414</v>
      </c>
      <c r="H1230" s="8" t="s">
        <v>3218</v>
      </c>
      <c r="I1230" s="22" t="s">
        <v>828</v>
      </c>
      <c r="J1230" s="8">
        <f>IFERROR(VLOOKUP($G1230,今日總結!$A:$AN,39,0),"")</f>
        <v>0</v>
      </c>
      <c r="K1230" s="5" t="str">
        <f>IFERROR(VLOOKUP($G1230,今日總結!$A:$AN,40,0),"")</f>
        <v>主外</v>
      </c>
      <c r="L1230" s="156">
        <f>IFERROR(VLOOKUP($G1230,今日總結!$A:$AN,37,0),"")</f>
        <v>0</v>
      </c>
      <c r="M1230" s="337">
        <f>IFERROR(VLOOKUP($G1230,今日總結!$A:$AN,38,0),"")</f>
        <v>23</v>
      </c>
      <c r="N1230" s="240">
        <f t="shared" ref="N1230:N1264" si="219">IFERROR(L1230-M1230,"")</f>
        <v>-23</v>
      </c>
      <c r="O1230" s="359">
        <f>IFERROR(VLOOKUP($G1230,融外自投!$A:$J,7,0),"無")</f>
        <v>1322</v>
      </c>
      <c r="P1230" s="79">
        <f>IFERROR(VLOOKUP($G1230,融外自投!$A:$J,9,0),"無")</f>
        <v>990</v>
      </c>
      <c r="Q1230" s="342">
        <f>IFERROR(VLOOKUP($G1230,融外自投!$A:$J,8,0),"無")</f>
        <v>628</v>
      </c>
      <c r="R1230" s="81" t="str">
        <f>IFERROR(VLOOKUP($G1230,融外自投!$A:$J,10,0),"無")</f>
        <v>無</v>
      </c>
      <c r="S1230" s="324">
        <f>IFERROR(VLOOKUP($G1230,'321買'!$A:$E,4,0),"'沒有資料'")</f>
        <v>743</v>
      </c>
      <c r="T1230" s="186">
        <f>IFERROR(VLOOKUP($G1230,基本資料!$A:$J,9,0),"無")</f>
        <v>2.8</v>
      </c>
      <c r="U1230" s="307">
        <f t="shared" si="215"/>
        <v>8.2962962962962961E-2</v>
      </c>
      <c r="V1230" s="94">
        <f>IFERROR(VLOOKUP($G1230,基本資料!$A:$J,10,0),"無")</f>
        <v>3.44</v>
      </c>
      <c r="W1230" s="36">
        <f>RTD("money.excel",,"2414","Price")</f>
        <v>33.75</v>
      </c>
      <c r="X1230" s="66"/>
      <c r="Y1230" s="15">
        <f t="shared" si="216"/>
        <v>33.75</v>
      </c>
      <c r="Z1230" s="3" t="e">
        <f t="shared" si="217"/>
        <v>#DIV/0!</v>
      </c>
      <c r="AA1230" s="340">
        <f>IFERROR(VLOOKUP($G1230,基本資料!$A:$M,11,0),"無")</f>
        <v>-20.12</v>
      </c>
      <c r="AB1230" s="389">
        <f>IFERROR(VLOOKUP($G1230,基本資料!$A:$M,12,0),"無")</f>
        <v>18.63</v>
      </c>
      <c r="AC1230" s="22" t="s">
        <v>828</v>
      </c>
      <c r="AF1230" s="33">
        <f t="shared" si="218"/>
        <v>0</v>
      </c>
      <c r="AG1230" s="43" t="s">
        <v>2871</v>
      </c>
      <c r="AH1230" s="66">
        <f t="shared" si="213"/>
        <v>0.99173553719008267</v>
      </c>
      <c r="AI1230" s="283">
        <f>RTD("money.excel",,$G1230,"PredictVolume")</f>
        <v>120</v>
      </c>
      <c r="AJ1230" s="391">
        <f>IFERROR(VLOOKUP($G1230,基本資料!$A:$M,13,0),"無")</f>
        <v>121</v>
      </c>
      <c r="AR1230" s="245" t="str">
        <f>INDEX(基本資料!N:N,MATCH($G1230,基本資料!A:A,0))</f>
        <v>中</v>
      </c>
    </row>
    <row r="1231" spans="1:44">
      <c r="A1231" s="343">
        <f>IFERROR(VLOOKUP($G1231,基本資料!$A:$J,3,0),"無")</f>
        <v>16.64</v>
      </c>
      <c r="B1231" s="79">
        <f>IFERROR(VLOOKUP($G1231,基本資料!$A:$J,4,0),"無")</f>
        <v>111</v>
      </c>
      <c r="C1231" s="79">
        <f>IFERROR(VLOOKUP($G1231,基本資料!$A:$J,5,0),"無")</f>
        <v>91</v>
      </c>
      <c r="D1231" s="79">
        <f>IFERROR(VLOOKUP($G1231,基本資料!$A:$J,6,0),"無")</f>
        <v>22</v>
      </c>
      <c r="E1231" s="79">
        <f>IFERROR(VLOOKUP($G1231,基本資料!$A:$J,7,0),"無")</f>
        <v>24</v>
      </c>
      <c r="F1231" s="6">
        <f>IFERROR(VLOOKUP($G1231,基本資料!$A:$J,8,0),"無")</f>
        <v>3.58</v>
      </c>
      <c r="G1231" s="79">
        <v>2430</v>
      </c>
      <c r="H1231" s="8" t="s">
        <v>3218</v>
      </c>
      <c r="I1231" s="22" t="s">
        <v>89</v>
      </c>
      <c r="J1231" s="8">
        <f>IFERROR(VLOOKUP($G1231,今日總結!$A:$AN,39,0),"")</f>
        <v>0</v>
      </c>
      <c r="K1231" s="5">
        <f>IFERROR(VLOOKUP($G1231,今日總結!$A:$AN,40,0),"")</f>
        <v>0</v>
      </c>
      <c r="L1231" s="156">
        <f>IFERROR(VLOOKUP($G1231,今日總結!$A:$AN,37,0),"")</f>
        <v>0</v>
      </c>
      <c r="M1231" s="337">
        <f>IFERROR(VLOOKUP($G1231,今日總結!$A:$AN,38,0),"")</f>
        <v>0</v>
      </c>
      <c r="N1231" s="240">
        <f t="shared" si="219"/>
        <v>0</v>
      </c>
      <c r="O1231" s="359">
        <f>IFERROR(VLOOKUP($G1231,融外自投!$A:$J,7,0),"無")</f>
        <v>1025</v>
      </c>
      <c r="P1231" s="79">
        <f>IFERROR(VLOOKUP($G1231,融外自投!$A:$J,9,0),"無")</f>
        <v>467</v>
      </c>
      <c r="Q1231" s="342">
        <f>IFERROR(VLOOKUP($G1231,融外自投!$A:$J,8,0),"無")</f>
        <v>656</v>
      </c>
      <c r="R1231" s="81" t="str">
        <f>IFERROR(VLOOKUP($G1231,融外自投!$A:$J,10,0),"無")</f>
        <v>無</v>
      </c>
      <c r="S1231" s="324">
        <f>IFERROR(VLOOKUP($G1231,'321買'!$A:$E,4,0),"'沒有資料'")</f>
        <v>411</v>
      </c>
      <c r="T1231" s="186">
        <f>IFERROR(VLOOKUP($G1231,基本資料!$A:$J,9,0),"無")</f>
        <v>3.54</v>
      </c>
      <c r="U1231" s="307">
        <f t="shared" si="215"/>
        <v>9.7119341563786002E-2</v>
      </c>
      <c r="V1231" s="94">
        <f>IFERROR(VLOOKUP($G1231,基本資料!$A:$J,10,0),"無")</f>
        <v>3.93</v>
      </c>
      <c r="W1231" s="36">
        <f>RTD("money.excel",,"2430","Price")</f>
        <v>36.450000000000003</v>
      </c>
      <c r="X1231" s="66"/>
      <c r="Y1231" s="15">
        <f t="shared" si="216"/>
        <v>36.450000000000003</v>
      </c>
      <c r="Z1231" s="3" t="e">
        <f t="shared" si="217"/>
        <v>#DIV/0!</v>
      </c>
      <c r="AA1231" s="340">
        <f>IFERROR(VLOOKUP($G1231,基本資料!$A:$M,11,0),"無")</f>
        <v>-30.57</v>
      </c>
      <c r="AB1231" s="389">
        <f>IFERROR(VLOOKUP($G1231,基本資料!$A:$M,12,0),"無")</f>
        <v>17.5</v>
      </c>
      <c r="AC1231" s="22" t="s">
        <v>89</v>
      </c>
      <c r="AF1231" s="33">
        <f t="shared" si="218"/>
        <v>0</v>
      </c>
      <c r="AG1231" s="117" t="s">
        <v>2872</v>
      </c>
      <c r="AH1231" s="66">
        <f t="shared" si="213"/>
        <v>1.3534660260809883</v>
      </c>
      <c r="AI1231" s="283">
        <f>RTD("money.excel",,$G1231,"PredictVolume")</f>
        <v>493</v>
      </c>
      <c r="AJ1231" s="391">
        <f>IFERROR(VLOOKUP($G1231,基本資料!$A:$M,13,0),"無")</f>
        <v>364.25</v>
      </c>
      <c r="AR1231" s="245" t="str">
        <f>INDEX(基本資料!N:N,MATCH($G1231,基本資料!A:A,0))</f>
        <v>低</v>
      </c>
    </row>
    <row r="1232" spans="1:44">
      <c r="A1232" s="343">
        <f>IFERROR(VLOOKUP($G1232,基本資料!$A:$J,3,0),"無")</f>
        <v>10.55</v>
      </c>
      <c r="B1232" s="79">
        <f>IFERROR(VLOOKUP($G1232,基本資料!$A:$J,4,0),"無")</f>
        <v>18</v>
      </c>
      <c r="C1232" s="79">
        <f>IFERROR(VLOOKUP($G1232,基本資料!$A:$J,5,0),"無")</f>
        <v>12</v>
      </c>
      <c r="D1232" s="79">
        <f>IFERROR(VLOOKUP($G1232,基本資料!$A:$J,6,0),"無")</f>
        <v>-8</v>
      </c>
      <c r="E1232" s="79">
        <f>IFERROR(VLOOKUP($G1232,基本資料!$A:$J,7,0),"無")</f>
        <v>-13</v>
      </c>
      <c r="F1232" s="6">
        <f>IFERROR(VLOOKUP($G1232,基本資料!$A:$J,8,0),"無")</f>
        <v>10.72</v>
      </c>
      <c r="G1232" s="79">
        <v>2459</v>
      </c>
      <c r="H1232" s="8" t="s">
        <v>3218</v>
      </c>
      <c r="I1232" s="22" t="s">
        <v>829</v>
      </c>
      <c r="J1232" s="8">
        <f>IFERROR(VLOOKUP($G1232,今日總結!$A:$AN,39,0),"")</f>
        <v>0</v>
      </c>
      <c r="K1232" s="5">
        <f>IFERROR(VLOOKUP($G1232,今日總結!$A:$AN,40,0),"")</f>
        <v>0</v>
      </c>
      <c r="L1232" s="156">
        <f>IFERROR(VLOOKUP($G1232,今日總結!$A:$AN,37,0),"")</f>
        <v>0</v>
      </c>
      <c r="M1232" s="337">
        <f>IFERROR(VLOOKUP($G1232,今日總結!$A:$AN,38,0),"")</f>
        <v>0</v>
      </c>
      <c r="N1232" s="240">
        <f t="shared" si="219"/>
        <v>0</v>
      </c>
      <c r="O1232" s="359">
        <f>IFERROR(VLOOKUP($G1232,融外自投!$A:$J,7,0),"無")</f>
        <v>1298</v>
      </c>
      <c r="P1232" s="79">
        <f>IFERROR(VLOOKUP($G1232,融外自投!$A:$J,9,0),"無")</f>
        <v>392</v>
      </c>
      <c r="Q1232" s="342">
        <f>IFERROR(VLOOKUP($G1232,融外自投!$A:$J,8,0),"無")</f>
        <v>317</v>
      </c>
      <c r="R1232" s="81">
        <f>IFERROR(VLOOKUP($G1232,融外自投!$A:$J,10,0),"無")</f>
        <v>495</v>
      </c>
      <c r="S1232" s="324">
        <f>IFERROR(VLOOKUP($G1232,'321買'!$A:$E,4,0),"'沒有資料'")</f>
        <v>1002</v>
      </c>
      <c r="T1232" s="186">
        <f>IFERROR(VLOOKUP($G1232,基本資料!$A:$J,9,0),"無")</f>
        <v>3.5</v>
      </c>
      <c r="U1232" s="307">
        <f t="shared" si="215"/>
        <v>7.0921985815602828E-2</v>
      </c>
      <c r="V1232" s="94">
        <f>IFERROR(VLOOKUP($G1232,基本資料!$A:$J,10,0),"無")</f>
        <v>5.01</v>
      </c>
      <c r="W1232" s="36">
        <f>RTD("money.excel",,"2459","Price")</f>
        <v>49.35</v>
      </c>
      <c r="X1232" s="66"/>
      <c r="Y1232" s="15">
        <f t="shared" si="216"/>
        <v>49.35</v>
      </c>
      <c r="Z1232" s="3" t="e">
        <f t="shared" si="217"/>
        <v>#DIV/0!</v>
      </c>
      <c r="AA1232" s="340">
        <f>IFERROR(VLOOKUP($G1232,基本資料!$A:$M,11,0),"無")</f>
        <v>-19.89</v>
      </c>
      <c r="AB1232" s="389">
        <f>IFERROR(VLOOKUP($G1232,基本資料!$A:$M,12,0),"無")</f>
        <v>9.2200000000000006</v>
      </c>
      <c r="AC1232" s="22" t="s">
        <v>829</v>
      </c>
      <c r="AF1232" s="33">
        <f t="shared" si="218"/>
        <v>0</v>
      </c>
      <c r="AG1232" s="43" t="s">
        <v>2873</v>
      </c>
      <c r="AH1232" s="66">
        <f t="shared" si="213"/>
        <v>0.83172891798228732</v>
      </c>
      <c r="AI1232" s="283">
        <f>RTD("money.excel",,$G1232,"PredictVolume")</f>
        <v>108</v>
      </c>
      <c r="AJ1232" s="391">
        <f>IFERROR(VLOOKUP($G1232,基本資料!$A:$M,13,0),"無")</f>
        <v>129.85</v>
      </c>
      <c r="AR1232" s="245" t="str">
        <f>INDEX(基本資料!N:N,MATCH($G1232,基本資料!A:A,0))</f>
        <v>低</v>
      </c>
    </row>
    <row r="1233" spans="1:44">
      <c r="A1233" s="343">
        <f>IFERROR(VLOOKUP($G1233,基本資料!$A:$J,3,0),"無")</f>
        <v>23.6</v>
      </c>
      <c r="B1233" s="79">
        <f>IFERROR(VLOOKUP($G1233,基本資料!$A:$J,4,0),"無")</f>
        <v>51</v>
      </c>
      <c r="C1233" s="79">
        <f>IFERROR(VLOOKUP($G1233,基本資料!$A:$J,5,0),"無")</f>
        <v>45</v>
      </c>
      <c r="D1233" s="79">
        <f>IFERROR(VLOOKUP($G1233,基本資料!$A:$J,6,0),"無")</f>
        <v>-16</v>
      </c>
      <c r="E1233" s="79">
        <f>IFERROR(VLOOKUP($G1233,基本資料!$A:$J,7,0),"無")</f>
        <v>5</v>
      </c>
      <c r="F1233" s="6">
        <f>IFERROR(VLOOKUP($G1233,基本資料!$A:$J,8,0),"無")</f>
        <v>4.3600000000000003</v>
      </c>
      <c r="G1233" s="79">
        <v>3010</v>
      </c>
      <c r="H1233" s="8" t="s">
        <v>3218</v>
      </c>
      <c r="I1233" s="22" t="s">
        <v>96</v>
      </c>
      <c r="J1233" s="8">
        <f>IFERROR(VLOOKUP($G1233,今日總結!$A:$AN,39,0),"")</f>
        <v>0</v>
      </c>
      <c r="K1233" s="5" t="str">
        <f>IFERROR(VLOOKUP($G1233,今日總結!$A:$AN,40,0),"")</f>
        <v>外</v>
      </c>
      <c r="L1233" s="156">
        <f>IFERROR(VLOOKUP($G1233,今日總結!$A:$AN,37,0),"")</f>
        <v>0</v>
      </c>
      <c r="M1233" s="337">
        <f>IFERROR(VLOOKUP($G1233,今日總結!$A:$AN,38,0),"")</f>
        <v>2</v>
      </c>
      <c r="N1233" s="240">
        <f t="shared" si="219"/>
        <v>-2</v>
      </c>
      <c r="O1233" s="359">
        <f>IFERROR(VLOOKUP($G1233,融外自投!$A:$J,7,0),"無")</f>
        <v>1118</v>
      </c>
      <c r="P1233" s="79">
        <f>IFERROR(VLOOKUP($G1233,融外自投!$A:$J,9,0),"無")</f>
        <v>1123</v>
      </c>
      <c r="Q1233" s="342">
        <f>IFERROR(VLOOKUP($G1233,融外自投!$A:$J,8,0),"無")</f>
        <v>412</v>
      </c>
      <c r="R1233" s="81">
        <f>IFERROR(VLOOKUP($G1233,融外自投!$A:$J,10,0),"無")</f>
        <v>252</v>
      </c>
      <c r="S1233" s="324">
        <f>IFERROR(VLOOKUP($G1233,'321買'!$A:$E,4,0),"'沒有資料'")</f>
        <v>650</v>
      </c>
      <c r="T1233" s="186">
        <f>IFERROR(VLOOKUP($G1233,基本資料!$A:$J,9,0),"無")</f>
        <v>6.8</v>
      </c>
      <c r="U1233" s="307">
        <f t="shared" si="215"/>
        <v>6.820461384152457E-2</v>
      </c>
      <c r="V1233" s="94">
        <f>IFERROR(VLOOKUP($G1233,基本資料!$A:$J,10,0),"無")</f>
        <v>12.05</v>
      </c>
      <c r="W1233" s="36">
        <f>RTD("money.excel",,"3010","Price")</f>
        <v>99.7</v>
      </c>
      <c r="X1233" s="66"/>
      <c r="Y1233" s="15">
        <f t="shared" si="216"/>
        <v>99.7</v>
      </c>
      <c r="Z1233" s="3" t="e">
        <f t="shared" si="217"/>
        <v>#DIV/0!</v>
      </c>
      <c r="AA1233" s="340">
        <f>IFERROR(VLOOKUP($G1233,基本資料!$A:$M,11,0),"無")</f>
        <v>-13.68</v>
      </c>
      <c r="AB1233" s="389">
        <f>IFERROR(VLOOKUP($G1233,基本資料!$A:$M,12,0),"無")</f>
        <v>19.28</v>
      </c>
      <c r="AC1233" s="22" t="s">
        <v>96</v>
      </c>
      <c r="AF1233" s="33">
        <f t="shared" si="218"/>
        <v>0</v>
      </c>
      <c r="AG1233" s="117" t="s">
        <v>2093</v>
      </c>
      <c r="AH1233" s="66">
        <f t="shared" si="213"/>
        <v>0.6057351519707872</v>
      </c>
      <c r="AI1233" s="283">
        <f>RTD("money.excel",,$G1233,"PredictVolume")</f>
        <v>282</v>
      </c>
      <c r="AJ1233" s="391">
        <f>IFERROR(VLOOKUP($G1233,基本資料!$A:$M,13,0),"無")</f>
        <v>465.55</v>
      </c>
      <c r="AR1233" s="245" t="str">
        <f>INDEX(基本資料!N:N,MATCH($G1233,基本資料!A:A,0))</f>
        <v>中</v>
      </c>
    </row>
    <row r="1234" spans="1:44">
      <c r="A1234" s="343">
        <f>IFERROR(VLOOKUP($G1234,基本資料!$A:$J,3,0),"無")</f>
        <v>21.58</v>
      </c>
      <c r="B1234" s="79">
        <f>IFERROR(VLOOKUP($G1234,基本資料!$A:$J,4,0),"無")</f>
        <v>85</v>
      </c>
      <c r="C1234" s="79">
        <f>IFERROR(VLOOKUP($G1234,基本資料!$A:$J,5,0),"無")</f>
        <v>149</v>
      </c>
      <c r="D1234" s="79">
        <f>IFERROR(VLOOKUP($G1234,基本資料!$A:$J,6,0),"無")</f>
        <v>-19</v>
      </c>
      <c r="E1234" s="79">
        <f>IFERROR(VLOOKUP($G1234,基本資料!$A:$J,7,0),"無")</f>
        <v>10</v>
      </c>
      <c r="F1234" s="6">
        <f>IFERROR(VLOOKUP($G1234,基本資料!$A:$J,8,0),"無")</f>
        <v>2.5299999999999998</v>
      </c>
      <c r="G1234" s="79">
        <v>3028</v>
      </c>
      <c r="H1234" s="8" t="s">
        <v>3218</v>
      </c>
      <c r="I1234" s="22" t="s">
        <v>830</v>
      </c>
      <c r="J1234" s="8">
        <f>IFERROR(VLOOKUP($G1234,今日總結!$A:$AN,39,0),"")</f>
        <v>0</v>
      </c>
      <c r="K1234" s="5" t="str">
        <f>IFERROR(VLOOKUP($G1234,今日總結!$A:$AN,40,0),"")</f>
        <v>主</v>
      </c>
      <c r="L1234" s="156">
        <f>IFERROR(VLOOKUP($G1234,今日總結!$A:$AN,37,0),"")</f>
        <v>0</v>
      </c>
      <c r="M1234" s="337">
        <f>IFERROR(VLOOKUP($G1234,今日總結!$A:$AN,38,0),"")</f>
        <v>6</v>
      </c>
      <c r="N1234" s="240">
        <f t="shared" si="219"/>
        <v>-6</v>
      </c>
      <c r="O1234" s="359">
        <f>IFERROR(VLOOKUP($G1234,融外自投!$A:$J,7,0),"無")</f>
        <v>949</v>
      </c>
      <c r="P1234" s="79" t="str">
        <f>IFERROR(VLOOKUP($G1234,融外自投!$A:$J,9,0),"無")</f>
        <v>無</v>
      </c>
      <c r="Q1234" s="342">
        <f>IFERROR(VLOOKUP($G1234,融外自投!$A:$J,8,0),"無")</f>
        <v>659</v>
      </c>
      <c r="R1234" s="81" t="str">
        <f>IFERROR(VLOOKUP($G1234,融外自投!$A:$J,10,0),"無")</f>
        <v>無</v>
      </c>
      <c r="S1234" s="324">
        <f>IFERROR(VLOOKUP($G1234,'321買'!$A:$E,4,0),"'沒有資料'")</f>
        <v>743</v>
      </c>
      <c r="T1234" s="186">
        <f>IFERROR(VLOOKUP($G1234,基本資料!$A:$J,9,0),"無")</f>
        <v>3.5</v>
      </c>
      <c r="U1234" s="307">
        <f t="shared" si="215"/>
        <v>9.6551724137931033E-2</v>
      </c>
      <c r="V1234" s="94">
        <f>IFERROR(VLOOKUP($G1234,基本資料!$A:$J,10,0),"無")</f>
        <v>4.0999999999999996</v>
      </c>
      <c r="W1234" s="36">
        <f>RTD("money.excel",,"3028","Price")</f>
        <v>36.25</v>
      </c>
      <c r="X1234" s="66"/>
      <c r="Y1234" s="15">
        <f t="shared" si="216"/>
        <v>36.25</v>
      </c>
      <c r="Z1234" s="3" t="e">
        <f t="shared" si="217"/>
        <v>#DIV/0!</v>
      </c>
      <c r="AA1234" s="340">
        <f>IFERROR(VLOOKUP($G1234,基本資料!$A:$M,11,0),"無")</f>
        <v>-11.48</v>
      </c>
      <c r="AB1234" s="389">
        <f>IFERROR(VLOOKUP($G1234,基本資料!$A:$M,12,0),"無")</f>
        <v>31.75</v>
      </c>
      <c r="AC1234" s="22" t="s">
        <v>830</v>
      </c>
      <c r="AF1234" s="33">
        <f t="shared" si="218"/>
        <v>0</v>
      </c>
      <c r="AG1234" s="43" t="s">
        <v>2874</v>
      </c>
      <c r="AH1234" s="66">
        <f t="shared" si="213"/>
        <v>0.88108645246770456</v>
      </c>
      <c r="AI1234" s="283">
        <f>RTD("money.excel",,$G1234,"PredictVolume")</f>
        <v>532</v>
      </c>
      <c r="AJ1234" s="391">
        <f>IFERROR(VLOOKUP($G1234,基本資料!$A:$M,13,0),"無")</f>
        <v>603.79999999999995</v>
      </c>
      <c r="AR1234" s="245" t="str">
        <f>INDEX(基本資料!N:N,MATCH($G1234,基本資料!A:A,0))</f>
        <v>中</v>
      </c>
    </row>
    <row r="1235" spans="1:44">
      <c r="A1235" s="343">
        <f>IFERROR(VLOOKUP($G1235,基本資料!$A:$J,3,0),"無")</f>
        <v>42.09</v>
      </c>
      <c r="B1235" s="79">
        <f>IFERROR(VLOOKUP($G1235,基本資料!$A:$J,4,0),"無")</f>
        <v>146</v>
      </c>
      <c r="C1235" s="79">
        <f>IFERROR(VLOOKUP($G1235,基本資料!$A:$J,5,0),"無")</f>
        <v>158</v>
      </c>
      <c r="D1235" s="79">
        <f>IFERROR(VLOOKUP($G1235,基本資料!$A:$J,6,0),"無")</f>
        <v>-18</v>
      </c>
      <c r="E1235" s="79">
        <f>IFERROR(VLOOKUP($G1235,基本資料!$A:$J,7,0),"無")</f>
        <v>-16</v>
      </c>
      <c r="F1235" s="6">
        <f>IFERROR(VLOOKUP($G1235,基本資料!$A:$J,8,0),"無")</f>
        <v>3.49</v>
      </c>
      <c r="G1235" s="79">
        <v>3033</v>
      </c>
      <c r="H1235" s="8" t="s">
        <v>3218</v>
      </c>
      <c r="I1235" s="22" t="s">
        <v>99</v>
      </c>
      <c r="J1235" s="8">
        <f>IFERROR(VLOOKUP($G1235,今日總結!$A:$AN,39,0),"")</f>
        <v>0</v>
      </c>
      <c r="K1235" s="5" t="str">
        <f>IFERROR(VLOOKUP($G1235,今日總結!$A:$AN,40,0),"")</f>
        <v>主自</v>
      </c>
      <c r="L1235" s="156">
        <f>IFERROR(VLOOKUP($G1235,今日總結!$A:$AN,37,0),"")</f>
        <v>0</v>
      </c>
      <c r="M1235" s="337">
        <f>IFERROR(VLOOKUP($G1235,今日總結!$A:$AN,38,0),"")</f>
        <v>5</v>
      </c>
      <c r="N1235" s="240">
        <f t="shared" si="219"/>
        <v>-5</v>
      </c>
      <c r="O1235" s="359">
        <f>IFERROR(VLOOKUP($G1235,融外自投!$A:$J,7,0),"無")</f>
        <v>692</v>
      </c>
      <c r="P1235" s="79" t="str">
        <f>IFERROR(VLOOKUP($G1235,融外自投!$A:$J,9,0),"無")</f>
        <v>無</v>
      </c>
      <c r="Q1235" s="342">
        <f>IFERROR(VLOOKUP($G1235,融外自投!$A:$J,8,0),"無")</f>
        <v>580</v>
      </c>
      <c r="R1235" s="81">
        <f>IFERROR(VLOOKUP($G1235,融外自投!$A:$J,10,0),"無")</f>
        <v>495</v>
      </c>
      <c r="S1235" s="324">
        <f>IFERROR(VLOOKUP($G1235,'321買'!$A:$E,4,0),"'沒有資料'")</f>
        <v>140</v>
      </c>
      <c r="T1235" s="186">
        <f>IFERROR(VLOOKUP($G1235,基本資料!$A:$J,9,0),"無")</f>
        <v>3.02</v>
      </c>
      <c r="U1235" s="307">
        <f t="shared" si="215"/>
        <v>0.1008347245409015</v>
      </c>
      <c r="V1235" s="94">
        <f>IFERROR(VLOOKUP($G1235,基本資料!$A:$J,10,0),"無")</f>
        <v>4.54</v>
      </c>
      <c r="W1235" s="36">
        <f>RTD("money.excel",,"3033","Price")</f>
        <v>29.95</v>
      </c>
      <c r="X1235" s="66"/>
      <c r="Y1235" s="15">
        <f t="shared" si="216"/>
        <v>29.95</v>
      </c>
      <c r="Z1235" s="3" t="e">
        <f t="shared" si="217"/>
        <v>#DIV/0!</v>
      </c>
      <c r="AA1235" s="340">
        <f>IFERROR(VLOOKUP($G1235,基本資料!$A:$M,11,0),"無")</f>
        <v>-13.81</v>
      </c>
      <c r="AB1235" s="389">
        <f>IFERROR(VLOOKUP($G1235,基本資料!$A:$M,12,0),"無")</f>
        <v>19.57</v>
      </c>
      <c r="AC1235" s="22" t="s">
        <v>99</v>
      </c>
      <c r="AF1235" s="33">
        <f t="shared" si="218"/>
        <v>0</v>
      </c>
      <c r="AG1235" s="117" t="s">
        <v>2875</v>
      </c>
      <c r="AH1235" s="66">
        <f t="shared" si="213"/>
        <v>0.53430016219826348</v>
      </c>
      <c r="AI1235" s="283">
        <f>RTD("money.excel",,$G1235,"PredictVolume")</f>
        <v>1400</v>
      </c>
      <c r="AJ1235" s="391">
        <f>IFERROR(VLOOKUP($G1235,基本資料!$A:$M,13,0),"無")</f>
        <v>2620.25</v>
      </c>
      <c r="AR1235" s="245" t="str">
        <f>INDEX(基本資料!N:N,MATCH($G1235,基本資料!A:A,0))</f>
        <v>中</v>
      </c>
    </row>
    <row r="1236" spans="1:44">
      <c r="A1236" s="343">
        <f>IFERROR(VLOOKUP($G1236,基本資料!$A:$J,3,0),"無")</f>
        <v>88.36</v>
      </c>
      <c r="B1236" s="79">
        <f>IFERROR(VLOOKUP($G1236,基本資料!$A:$J,4,0),"無")</f>
        <v>107</v>
      </c>
      <c r="C1236" s="79">
        <f>IFERROR(VLOOKUP($G1236,基本資料!$A:$J,5,0),"無")</f>
        <v>98</v>
      </c>
      <c r="D1236" s="79">
        <f>IFERROR(VLOOKUP($G1236,基本資料!$A:$J,6,0),"無")</f>
        <v>-6</v>
      </c>
      <c r="E1236" s="79">
        <f>IFERROR(VLOOKUP($G1236,基本資料!$A:$J,7,0),"無")</f>
        <v>23</v>
      </c>
      <c r="F1236" s="6">
        <f>IFERROR(VLOOKUP($G1236,基本資料!$A:$J,8,0),"無")</f>
        <v>2.36</v>
      </c>
      <c r="G1236" s="79">
        <v>3036</v>
      </c>
      <c r="H1236" s="8" t="s">
        <v>3218</v>
      </c>
      <c r="I1236" s="22" t="s">
        <v>266</v>
      </c>
      <c r="J1236" s="8" t="str">
        <f>IFERROR(VLOOKUP($G1236,今日總結!$A:$AN,39,0),"")</f>
        <v>券</v>
      </c>
      <c r="K1236" s="5" t="str">
        <f>IFERROR(VLOOKUP($G1236,今日總結!$A:$AN,40,0),"")</f>
        <v>外</v>
      </c>
      <c r="L1236" s="156">
        <f>IFERROR(VLOOKUP($G1236,今日總結!$A:$AN,37,0),"")</f>
        <v>1</v>
      </c>
      <c r="M1236" s="337">
        <f>IFERROR(VLOOKUP($G1236,今日總結!$A:$AN,38,0),"")</f>
        <v>7</v>
      </c>
      <c r="N1236" s="240">
        <f t="shared" si="219"/>
        <v>-6</v>
      </c>
      <c r="O1236" s="359">
        <f>IFERROR(VLOOKUP($G1236,融外自投!$A:$J,7,0),"無")</f>
        <v>1051</v>
      </c>
      <c r="P1236" s="79">
        <f>IFERROR(VLOOKUP($G1236,融外自投!$A:$J,9,0),"無")</f>
        <v>1051</v>
      </c>
      <c r="Q1236" s="342">
        <f>IFERROR(VLOOKUP($G1236,融外自投!$A:$J,8,0),"無")</f>
        <v>275</v>
      </c>
      <c r="R1236" s="81">
        <f>IFERROR(VLOOKUP($G1236,融外自投!$A:$J,10,0),"無")</f>
        <v>243</v>
      </c>
      <c r="S1236" s="324">
        <f>IFERROR(VLOOKUP($G1236,'321買'!$A:$E,4,0),"'沒有資料'")</f>
        <v>497</v>
      </c>
      <c r="T1236" s="186">
        <f>IFERROR(VLOOKUP($G1236,基本資料!$A:$J,9,0),"無")</f>
        <v>5.5</v>
      </c>
      <c r="U1236" s="307">
        <f t="shared" si="215"/>
        <v>8.0763582966226141E-2</v>
      </c>
      <c r="V1236" s="94">
        <f>IFERROR(VLOOKUP($G1236,基本資料!$A:$J,10,0),"無")</f>
        <v>9.9600000000000009</v>
      </c>
      <c r="W1236" s="36">
        <f>RTD("money.excel",,"3036","Price")</f>
        <v>68.099999999999994</v>
      </c>
      <c r="X1236" s="66"/>
      <c r="Y1236" s="15">
        <f t="shared" si="216"/>
        <v>68.099999999999994</v>
      </c>
      <c r="Z1236" s="3" t="e">
        <f t="shared" si="217"/>
        <v>#DIV/0!</v>
      </c>
      <c r="AA1236" s="340">
        <f>IFERROR(VLOOKUP($G1236,基本資料!$A:$M,11,0),"無")</f>
        <v>-32.57</v>
      </c>
      <c r="AB1236" s="389">
        <f>IFERROR(VLOOKUP($G1236,基本資料!$A:$M,12,0),"無")</f>
        <v>9.0399999999999991</v>
      </c>
      <c r="AC1236" s="22" t="s">
        <v>266</v>
      </c>
      <c r="AF1236" s="33">
        <f t="shared" si="218"/>
        <v>0</v>
      </c>
      <c r="AG1236" s="117" t="s">
        <v>2876</v>
      </c>
      <c r="AH1236" s="66">
        <f t="shared" si="213"/>
        <v>0.67837451826791884</v>
      </c>
      <c r="AI1236" s="283">
        <f>RTD("money.excel",,$G1236,"PredictVolume")</f>
        <v>4251</v>
      </c>
      <c r="AJ1236" s="391">
        <f>IFERROR(VLOOKUP($G1236,基本資料!$A:$M,13,0),"無")</f>
        <v>6266.45</v>
      </c>
      <c r="AR1236" s="245" t="str">
        <f>INDEX(基本資料!N:N,MATCH($G1236,基本資料!A:A,0))</f>
        <v>低</v>
      </c>
    </row>
    <row r="1237" spans="1:44">
      <c r="A1237" s="343">
        <f>IFERROR(VLOOKUP($G1237,基本資料!$A:$J,3,0),"無")</f>
        <v>26.98</v>
      </c>
      <c r="B1237" s="79">
        <f>IFERROR(VLOOKUP($G1237,基本資料!$A:$J,4,0),"無")</f>
        <v>62</v>
      </c>
      <c r="C1237" s="79">
        <f>IFERROR(VLOOKUP($G1237,基本資料!$A:$J,5,0),"無")</f>
        <v>24</v>
      </c>
      <c r="D1237" s="79">
        <f>IFERROR(VLOOKUP($G1237,基本資料!$A:$J,6,0),"無")</f>
        <v>-24</v>
      </c>
      <c r="E1237" s="79">
        <f>IFERROR(VLOOKUP($G1237,基本資料!$A:$J,7,0),"無")</f>
        <v>1</v>
      </c>
      <c r="F1237" s="6">
        <f>IFERROR(VLOOKUP($G1237,基本資料!$A:$J,8,0),"無")</f>
        <v>1.49</v>
      </c>
      <c r="G1237" s="79">
        <v>3048</v>
      </c>
      <c r="H1237" s="8" t="s">
        <v>3218</v>
      </c>
      <c r="I1237" s="22" t="s">
        <v>831</v>
      </c>
      <c r="J1237" s="8">
        <f>IFERROR(VLOOKUP($G1237,今日總結!$A:$AN,39,0),"")</f>
        <v>0</v>
      </c>
      <c r="K1237" s="5" t="str">
        <f>IFERROR(VLOOKUP($G1237,今日總結!$A:$AN,40,0),"")</f>
        <v>借</v>
      </c>
      <c r="L1237" s="156">
        <f>IFERROR(VLOOKUP($G1237,今日總結!$A:$AN,37,0),"")</f>
        <v>0</v>
      </c>
      <c r="M1237" s="337">
        <f>IFERROR(VLOOKUP($G1237,今日總結!$A:$AN,38,0),"")</f>
        <v>3</v>
      </c>
      <c r="N1237" s="240">
        <f t="shared" si="219"/>
        <v>-3</v>
      </c>
      <c r="O1237" s="359">
        <f>IFERROR(VLOOKUP($G1237,融外自投!$A:$J,7,0),"無")</f>
        <v>667</v>
      </c>
      <c r="P1237" s="79">
        <f>IFERROR(VLOOKUP($G1237,融外自投!$A:$J,9,0),"無")</f>
        <v>1051</v>
      </c>
      <c r="Q1237" s="342">
        <f>IFERROR(VLOOKUP($G1237,融外自投!$A:$J,8,0),"無")</f>
        <v>760</v>
      </c>
      <c r="R1237" s="81" t="str">
        <f>IFERROR(VLOOKUP($G1237,融外自投!$A:$J,10,0),"無")</f>
        <v>無</v>
      </c>
      <c r="S1237" s="324">
        <f>IFERROR(VLOOKUP($G1237,'321買'!$A:$E,4,0),"'沒有資料'")</f>
        <v>497</v>
      </c>
      <c r="T1237" s="186">
        <f>IFERROR(VLOOKUP($G1237,基本資料!$A:$J,9,0),"無")</f>
        <v>3.4</v>
      </c>
      <c r="U1237" s="307">
        <f t="shared" si="215"/>
        <v>9.9125364431486881E-2</v>
      </c>
      <c r="V1237" s="94">
        <f>IFERROR(VLOOKUP($G1237,基本資料!$A:$J,10,0),"無")</f>
        <v>4.63</v>
      </c>
      <c r="W1237" s="36">
        <f>RTD("money.excel",,"3048","Price")</f>
        <v>34.299999999999997</v>
      </c>
      <c r="X1237" s="66"/>
      <c r="Y1237" s="15">
        <f t="shared" si="216"/>
        <v>34.299999999999997</v>
      </c>
      <c r="Z1237" s="3" t="e">
        <f t="shared" si="217"/>
        <v>#DIV/0!</v>
      </c>
      <c r="AA1237" s="340">
        <f>IFERROR(VLOOKUP($G1237,基本資料!$A:$M,11,0),"無")</f>
        <v>-14.36</v>
      </c>
      <c r="AB1237" s="389">
        <f>IFERROR(VLOOKUP($G1237,基本資料!$A:$M,12,0),"無")</f>
        <v>26.56</v>
      </c>
      <c r="AC1237" s="22" t="s">
        <v>831</v>
      </c>
      <c r="AF1237" s="33">
        <f t="shared" si="218"/>
        <v>0</v>
      </c>
      <c r="AG1237" s="43" t="s">
        <v>2875</v>
      </c>
      <c r="AH1237" s="66">
        <f t="shared" si="213"/>
        <v>0.76707458809051754</v>
      </c>
      <c r="AI1237" s="283">
        <f>RTD("money.excel",,$G1237,"PredictVolume")</f>
        <v>561</v>
      </c>
      <c r="AJ1237" s="391">
        <f>IFERROR(VLOOKUP($G1237,基本資料!$A:$M,13,0),"無")</f>
        <v>731.35</v>
      </c>
      <c r="AR1237" s="245" t="str">
        <f>INDEX(基本資料!N:N,MATCH($G1237,基本資料!A:A,0))</f>
        <v>中</v>
      </c>
    </row>
    <row r="1238" spans="1:44">
      <c r="A1238" s="343">
        <f>IFERROR(VLOOKUP($G1238,基本資料!$A:$J,3,0),"無")</f>
        <v>11.87</v>
      </c>
      <c r="B1238" s="79">
        <f>IFERROR(VLOOKUP($G1238,基本資料!$A:$J,4,0),"無")</f>
        <v>-910</v>
      </c>
      <c r="C1238" s="79">
        <f>IFERROR(VLOOKUP($G1238,基本資料!$A:$J,5,0),"無")</f>
        <v>-207</v>
      </c>
      <c r="D1238" s="79">
        <f>IFERROR(VLOOKUP($G1238,基本資料!$A:$J,6,0),"無")</f>
        <v>-44</v>
      </c>
      <c r="E1238" s="79">
        <f>IFERROR(VLOOKUP($G1238,基本資料!$A:$J,7,0),"無")</f>
        <v>-58</v>
      </c>
      <c r="F1238" s="6">
        <f>IFERROR(VLOOKUP($G1238,基本資料!$A:$J,8,0),"無")</f>
        <v>-13.37</v>
      </c>
      <c r="G1238" s="79">
        <v>3055</v>
      </c>
      <c r="H1238" s="8" t="s">
        <v>3218</v>
      </c>
      <c r="I1238" s="22" t="s">
        <v>832</v>
      </c>
      <c r="J1238" s="8">
        <f>IFERROR(VLOOKUP($G1238,今日總結!$A:$AN,39,0),"")</f>
        <v>0</v>
      </c>
      <c r="K1238" s="5">
        <f>IFERROR(VLOOKUP($G1238,今日總結!$A:$AN,40,0),"")</f>
        <v>0</v>
      </c>
      <c r="L1238" s="156">
        <f>IFERROR(VLOOKUP($G1238,今日總結!$A:$AN,37,0),"")</f>
        <v>0</v>
      </c>
      <c r="M1238" s="337">
        <f>IFERROR(VLOOKUP($G1238,今日總結!$A:$AN,38,0),"")</f>
        <v>0</v>
      </c>
      <c r="N1238" s="240">
        <f t="shared" si="219"/>
        <v>0</v>
      </c>
      <c r="O1238" s="359">
        <f>IFERROR(VLOOKUP($G1238,融外自投!$A:$J,7,0),"無")</f>
        <v>172</v>
      </c>
      <c r="P1238" s="79">
        <f>IFERROR(VLOOKUP($G1238,融外自投!$A:$J,9,0),"無")</f>
        <v>946</v>
      </c>
      <c r="Q1238" s="342">
        <f>IFERROR(VLOOKUP($G1238,融外自投!$A:$J,8,0),"無")</f>
        <v>1100</v>
      </c>
      <c r="R1238" s="81" t="str">
        <f>IFERROR(VLOOKUP($G1238,融外自投!$A:$J,10,0),"無")</f>
        <v>無</v>
      </c>
      <c r="S1238" s="324">
        <f>IFERROR(VLOOKUP($G1238,'321買'!$A:$E,4,0),"'沒有資料'")</f>
        <v>1002</v>
      </c>
      <c r="T1238" s="186">
        <f>IFERROR(VLOOKUP($G1238,基本資料!$A:$J,9,0),"無")</f>
        <v>0.2</v>
      </c>
      <c r="U1238" s="307">
        <f t="shared" si="215"/>
        <v>7.4074074074074077E-3</v>
      </c>
      <c r="V1238" s="94">
        <f>IFERROR(VLOOKUP($G1238,基本資料!$A:$J,10,0),"無")</f>
        <v>-3.7</v>
      </c>
      <c r="W1238" s="36">
        <f>RTD("money.excel",,"3055","Price")</f>
        <v>27</v>
      </c>
      <c r="X1238" s="66"/>
      <c r="Y1238" s="15">
        <f t="shared" si="216"/>
        <v>27</v>
      </c>
      <c r="Z1238" s="3" t="e">
        <f t="shared" si="217"/>
        <v>#DIV/0!</v>
      </c>
      <c r="AA1238" s="340">
        <f>IFERROR(VLOOKUP($G1238,基本資料!$A:$M,11,0),"無")</f>
        <v>-26.13</v>
      </c>
      <c r="AB1238" s="389">
        <f>IFERROR(VLOOKUP($G1238,基本資料!$A:$M,12,0),"無")</f>
        <v>30.4</v>
      </c>
      <c r="AC1238" s="22" t="s">
        <v>832</v>
      </c>
      <c r="AF1238" s="33">
        <f t="shared" si="218"/>
        <v>0</v>
      </c>
      <c r="AG1238" s="43" t="s">
        <v>2877</v>
      </c>
      <c r="AH1238" s="66">
        <f t="shared" si="213"/>
        <v>0.32848427968090099</v>
      </c>
      <c r="AI1238" s="283">
        <f>RTD("money.excel",,$G1238,"PredictVolume")</f>
        <v>35</v>
      </c>
      <c r="AJ1238" s="391">
        <f>IFERROR(VLOOKUP($G1238,基本資料!$A:$M,13,0),"無")</f>
        <v>106.55</v>
      </c>
      <c r="AR1238" s="245" t="str">
        <f>INDEX(基本資料!N:N,MATCH($G1238,基本資料!A:A,0))</f>
        <v>低</v>
      </c>
    </row>
    <row r="1239" spans="1:44">
      <c r="A1239" s="343">
        <f>IFERROR(VLOOKUP($G1239,基本資料!$A:$J,3,0),"無")</f>
        <v>20.05</v>
      </c>
      <c r="B1239" s="79">
        <f>IFERROR(VLOOKUP($G1239,基本資料!$A:$J,4,0),"無")</f>
        <v>74</v>
      </c>
      <c r="C1239" s="79">
        <f>IFERROR(VLOOKUP($G1239,基本資料!$A:$J,5,0),"無")</f>
        <v>90</v>
      </c>
      <c r="D1239" s="79">
        <f>IFERROR(VLOOKUP($G1239,基本資料!$A:$J,6,0),"無")</f>
        <v>15</v>
      </c>
      <c r="E1239" s="79">
        <f>IFERROR(VLOOKUP($G1239,基本資料!$A:$J,7,0),"無")</f>
        <v>20</v>
      </c>
      <c r="F1239" s="6">
        <f>IFERROR(VLOOKUP($G1239,基本資料!$A:$J,8,0),"無")</f>
        <v>2.3199999999999998</v>
      </c>
      <c r="G1239" s="79">
        <v>3209</v>
      </c>
      <c r="H1239" s="8" t="s">
        <v>3218</v>
      </c>
      <c r="I1239" s="22" t="s">
        <v>833</v>
      </c>
      <c r="J1239" s="8">
        <f>IFERROR(VLOOKUP($G1239,今日總結!$A:$AN,39,0),"")</f>
        <v>0</v>
      </c>
      <c r="K1239" s="5">
        <f>IFERROR(VLOOKUP($G1239,今日總結!$A:$AN,40,0),"")</f>
        <v>0</v>
      </c>
      <c r="L1239" s="156">
        <f>IFERROR(VLOOKUP($G1239,今日總結!$A:$AN,37,0),"")</f>
        <v>0</v>
      </c>
      <c r="M1239" s="337">
        <f>IFERROR(VLOOKUP($G1239,今日總結!$A:$AN,38,0),"")</f>
        <v>0</v>
      </c>
      <c r="N1239" s="240">
        <f t="shared" si="219"/>
        <v>0</v>
      </c>
      <c r="O1239" s="359">
        <f>IFERROR(VLOOKUP($G1239,融外自投!$A:$J,7,0),"無")</f>
        <v>924</v>
      </c>
      <c r="P1239" s="79">
        <f>IFERROR(VLOOKUP($G1239,融外自投!$A:$J,9,0),"無")</f>
        <v>649</v>
      </c>
      <c r="Q1239" s="342">
        <f>IFERROR(VLOOKUP($G1239,融外自投!$A:$J,8,0),"無")</f>
        <v>622</v>
      </c>
      <c r="R1239" s="81">
        <f>IFERROR(VLOOKUP($G1239,融外自投!$A:$J,10,0),"無")</f>
        <v>427</v>
      </c>
      <c r="S1239" s="324">
        <f>IFERROR(VLOOKUP($G1239,'321買'!$A:$E,4,0),"'沒有資料'")</f>
        <v>530</v>
      </c>
      <c r="T1239" s="186">
        <f>IFERROR(VLOOKUP($G1239,基本資料!$A:$J,9,0),"無")</f>
        <v>3.2</v>
      </c>
      <c r="U1239" s="307">
        <f t="shared" si="215"/>
        <v>8.1424936386768454E-2</v>
      </c>
      <c r="V1239" s="94">
        <f>IFERROR(VLOOKUP($G1239,基本資料!$A:$J,10,0),"無")</f>
        <v>4.05</v>
      </c>
      <c r="W1239" s="36">
        <f>RTD("money.excel",,"3209","Price")</f>
        <v>39.299999999999997</v>
      </c>
      <c r="X1239" s="66"/>
      <c r="Y1239" s="15">
        <f t="shared" si="216"/>
        <v>39.299999999999997</v>
      </c>
      <c r="Z1239" s="3" t="e">
        <f t="shared" si="217"/>
        <v>#DIV/0!</v>
      </c>
      <c r="AA1239" s="340">
        <f>IFERROR(VLOOKUP($G1239,基本資料!$A:$M,11,0),"無")</f>
        <v>-5.07</v>
      </c>
      <c r="AB1239" s="389">
        <f>IFERROR(VLOOKUP($G1239,基本資料!$A:$M,12,0),"無")</f>
        <v>71.39</v>
      </c>
      <c r="AC1239" s="22" t="s">
        <v>833</v>
      </c>
      <c r="AF1239" s="33">
        <f t="shared" si="218"/>
        <v>0</v>
      </c>
      <c r="AG1239" s="43" t="s">
        <v>2878</v>
      </c>
      <c r="AH1239" s="66">
        <f t="shared" si="213"/>
        <v>0.84193068461744824</v>
      </c>
      <c r="AI1239" s="283">
        <f>RTD("money.excel",,$G1239,"PredictVolume")</f>
        <v>1726</v>
      </c>
      <c r="AJ1239" s="391">
        <f>IFERROR(VLOOKUP($G1239,基本資料!$A:$M,13,0),"無")</f>
        <v>2050.0500000000002</v>
      </c>
      <c r="AR1239" s="245" t="str">
        <f>INDEX(基本資料!N:N,MATCH($G1239,基本資料!A:A,0))</f>
        <v>高</v>
      </c>
    </row>
    <row r="1240" spans="1:44">
      <c r="A1240" s="343">
        <f>IFERROR(VLOOKUP($G1240,基本資料!$A:$J,3,0),"無")</f>
        <v>6.81</v>
      </c>
      <c r="B1240" s="79">
        <f>IFERROR(VLOOKUP($G1240,基本資料!$A:$J,4,0),"無")</f>
        <v>35</v>
      </c>
      <c r="C1240" s="79">
        <f>IFERROR(VLOOKUP($G1240,基本資料!$A:$J,5,0),"無")</f>
        <v>55</v>
      </c>
      <c r="D1240" s="79">
        <f>IFERROR(VLOOKUP($G1240,基本資料!$A:$J,6,0),"無")</f>
        <v>-24</v>
      </c>
      <c r="E1240" s="79">
        <f>IFERROR(VLOOKUP($G1240,基本資料!$A:$J,7,0),"無")</f>
        <v>36</v>
      </c>
      <c r="F1240" s="6">
        <f>IFERROR(VLOOKUP($G1240,基本資料!$A:$J,8,0),"無")</f>
        <v>-1.79</v>
      </c>
      <c r="G1240" s="79">
        <v>3224</v>
      </c>
      <c r="H1240" s="8" t="s">
        <v>3218</v>
      </c>
      <c r="I1240" s="16" t="s">
        <v>814</v>
      </c>
      <c r="J1240" s="8">
        <f>IFERROR(VLOOKUP($G1240,今日總結!$A:$AN,39,0),"")</f>
        <v>0</v>
      </c>
      <c r="K1240" s="5" t="str">
        <f>IFERROR(VLOOKUP($G1240,今日總結!$A:$AN,40,0),"")</f>
        <v>主</v>
      </c>
      <c r="L1240" s="156">
        <f>IFERROR(VLOOKUP($G1240,今日總結!$A:$AN,37,0),"")</f>
        <v>0</v>
      </c>
      <c r="M1240" s="337">
        <f>IFERROR(VLOOKUP($G1240,今日總結!$A:$AN,38,0),"")</f>
        <v>6</v>
      </c>
      <c r="N1240" s="240">
        <f t="shared" si="219"/>
        <v>-6</v>
      </c>
      <c r="O1240" s="359">
        <f>IFERROR(VLOOKUP($G1240,融外自投!$A:$J,7,0),"無")</f>
        <v>71</v>
      </c>
      <c r="P1240" s="79">
        <f>IFERROR(VLOOKUP($G1240,融外自投!$A:$J,9,0),"無")</f>
        <v>762</v>
      </c>
      <c r="Q1240" s="342">
        <f>IFERROR(VLOOKUP($G1240,融外自投!$A:$J,8,0),"無")</f>
        <v>1164</v>
      </c>
      <c r="R1240" s="81" t="str">
        <f>IFERROR(VLOOKUP($G1240,融外自投!$A:$J,10,0),"無")</f>
        <v>無</v>
      </c>
      <c r="S1240" s="324">
        <f>IFERROR(VLOOKUP($G1240,'321買'!$A:$E,4,0),"'沒有資料'")</f>
        <v>606</v>
      </c>
      <c r="T1240" s="186">
        <f>IFERROR(VLOOKUP($G1240,基本資料!$A:$J,9,0),"無")</f>
        <v>0</v>
      </c>
      <c r="U1240" s="307">
        <f t="shared" si="215"/>
        <v>0</v>
      </c>
      <c r="V1240" s="94">
        <f>IFERROR(VLOOKUP($G1240,基本資料!$A:$J,10,0),"無")</f>
        <v>-0.4</v>
      </c>
      <c r="W1240" s="36">
        <f>RTD("money.excel",,"3224","Price")</f>
        <v>50</v>
      </c>
      <c r="X1240" s="66"/>
      <c r="Y1240" s="15">
        <f t="shared" si="216"/>
        <v>50</v>
      </c>
      <c r="Z1240" s="3" t="e">
        <f t="shared" si="217"/>
        <v>#DIV/0!</v>
      </c>
      <c r="AA1240" s="340">
        <f>IFERROR(VLOOKUP($G1240,基本資料!$A:$M,11,0),"無")</f>
        <v>-27.64</v>
      </c>
      <c r="AB1240" s="389">
        <f>IFERROR(VLOOKUP($G1240,基本資料!$A:$M,12,0),"無")</f>
        <v>38.01</v>
      </c>
      <c r="AC1240" s="16" t="s">
        <v>814</v>
      </c>
      <c r="AF1240" s="33">
        <f t="shared" si="218"/>
        <v>0</v>
      </c>
      <c r="AG1240" s="43" t="s">
        <v>2650</v>
      </c>
      <c r="AH1240" s="66">
        <f t="shared" si="213"/>
        <v>0.52848213832003654</v>
      </c>
      <c r="AI1240" s="283">
        <f>RTD("money.excel",,$G1240,"PredictVolume")</f>
        <v>520</v>
      </c>
      <c r="AJ1240" s="391">
        <f>IFERROR(VLOOKUP($G1240,基本資料!$A:$M,13,0),"無")</f>
        <v>983.95</v>
      </c>
      <c r="AR1240" s="245" t="str">
        <f>INDEX(基本資料!N:N,MATCH($G1240,基本資料!A:A,0))</f>
        <v>中</v>
      </c>
    </row>
    <row r="1241" spans="1:44">
      <c r="A1241" s="343">
        <f>IFERROR(VLOOKUP($G1241,基本資料!$A:$J,3,0),"無")</f>
        <v>3.65</v>
      </c>
      <c r="B1241" s="79">
        <f>IFERROR(VLOOKUP($G1241,基本資料!$A:$J,4,0),"無")</f>
        <v>104</v>
      </c>
      <c r="C1241" s="79">
        <f>IFERROR(VLOOKUP($G1241,基本資料!$A:$J,5,0),"無")</f>
        <v>657</v>
      </c>
      <c r="D1241" s="79">
        <f>IFERROR(VLOOKUP($G1241,基本資料!$A:$J,6,0),"無")</f>
        <v>-10</v>
      </c>
      <c r="E1241" s="79">
        <f>IFERROR(VLOOKUP($G1241,基本資料!$A:$J,7,0),"無")</f>
        <v>23</v>
      </c>
      <c r="F1241" s="6">
        <f>IFERROR(VLOOKUP($G1241,基本資料!$A:$J,8,0),"無")</f>
        <v>3.78</v>
      </c>
      <c r="G1241" s="79">
        <v>3232</v>
      </c>
      <c r="H1241" s="8" t="s">
        <v>329</v>
      </c>
      <c r="I1241" s="16" t="s">
        <v>815</v>
      </c>
      <c r="J1241" s="8">
        <f>IFERROR(VLOOKUP($G1241,今日總結!$A:$AN,39,0),"")</f>
        <v>45</v>
      </c>
      <c r="K1241" s="5">
        <f>IFERROR(VLOOKUP($G1241,今日總結!$A:$AN,40,0),"")</f>
        <v>0</v>
      </c>
      <c r="L1241" s="156">
        <f>IFERROR(VLOOKUP($G1241,今日總結!$A:$AN,37,0),"")</f>
        <v>2</v>
      </c>
      <c r="M1241" s="337">
        <f>IFERROR(VLOOKUP($G1241,今日總結!$A:$AN,38,0),"")</f>
        <v>0</v>
      </c>
      <c r="N1241" s="240">
        <f t="shared" si="219"/>
        <v>2</v>
      </c>
      <c r="O1241" s="359">
        <f>IFERROR(VLOOKUP($G1241,融外自投!$A:$J,7,0),"無")</f>
        <v>7</v>
      </c>
      <c r="P1241" s="79">
        <f>IFERROR(VLOOKUP($G1241,融外自投!$A:$J,9,0),"無")</f>
        <v>302</v>
      </c>
      <c r="Q1241" s="342">
        <f>IFERROR(VLOOKUP($G1241,融外自投!$A:$J,8,0),"無")</f>
        <v>656</v>
      </c>
      <c r="R1241" s="81" t="str">
        <f>IFERROR(VLOOKUP($G1241,融外自投!$A:$J,10,0),"無")</f>
        <v>無</v>
      </c>
      <c r="S1241" s="324">
        <f>IFERROR(VLOOKUP($G1241,'321買'!$A:$E,4,0),"'沒有資料'")</f>
        <v>46</v>
      </c>
      <c r="T1241" s="186">
        <f>IFERROR(VLOOKUP($G1241,基本資料!$A:$J,9,0),"無")</f>
        <v>0.5</v>
      </c>
      <c r="U1241" s="307">
        <f t="shared" si="215"/>
        <v>1.4925373134328358E-2</v>
      </c>
      <c r="V1241" s="94">
        <f>IFERROR(VLOOKUP($G1241,基本資料!$A:$J,10,0),"無")</f>
        <v>0.84</v>
      </c>
      <c r="W1241" s="36">
        <f>RTD("money.excel",,"3232","Price")</f>
        <v>33.5</v>
      </c>
      <c r="X1241" s="66"/>
      <c r="Y1241" s="15">
        <f t="shared" si="216"/>
        <v>33.5</v>
      </c>
      <c r="Z1241" s="3" t="e">
        <f t="shared" si="217"/>
        <v>#DIV/0!</v>
      </c>
      <c r="AA1241" s="340">
        <f>IFERROR(VLOOKUP($G1241,基本資料!$A:$M,11,0),"無")</f>
        <v>-24.89</v>
      </c>
      <c r="AB1241" s="389">
        <f>IFERROR(VLOOKUP($G1241,基本資料!$A:$M,12,0),"無")</f>
        <v>74.98</v>
      </c>
      <c r="AC1241" s="16" t="s">
        <v>815</v>
      </c>
      <c r="AF1241" s="33">
        <f t="shared" si="218"/>
        <v>0</v>
      </c>
      <c r="AG1241" s="43" t="s">
        <v>2651</v>
      </c>
      <c r="AH1241" s="66">
        <f t="shared" si="213"/>
        <v>1.113558077813541</v>
      </c>
      <c r="AI1241" s="283">
        <f>RTD("money.excel",,$G1241,"PredictVolume")</f>
        <v>986</v>
      </c>
      <c r="AJ1241" s="391">
        <f>IFERROR(VLOOKUP($G1241,基本資料!$A:$M,13,0),"無")</f>
        <v>885.45</v>
      </c>
      <c r="AR1241" s="245" t="str">
        <f>INDEX(基本資料!N:N,MATCH($G1241,基本資料!A:A,0))</f>
        <v>中</v>
      </c>
    </row>
    <row r="1242" spans="1:44">
      <c r="A1242" s="343">
        <f>IFERROR(VLOOKUP($G1242,基本資料!$A:$J,3,0),"無")</f>
        <v>13.76</v>
      </c>
      <c r="B1242" s="79">
        <f>IFERROR(VLOOKUP($G1242,基本資料!$A:$J,4,0),"無")</f>
        <v>125</v>
      </c>
      <c r="C1242" s="79">
        <f>IFERROR(VLOOKUP($G1242,基本資料!$A:$J,5,0),"無")</f>
        <v>98</v>
      </c>
      <c r="D1242" s="79">
        <f>IFERROR(VLOOKUP($G1242,基本資料!$A:$J,6,0),"無")</f>
        <v>-19</v>
      </c>
      <c r="E1242" s="79">
        <f>IFERROR(VLOOKUP($G1242,基本資料!$A:$J,7,0),"無")</f>
        <v>8</v>
      </c>
      <c r="F1242" s="6">
        <f>IFERROR(VLOOKUP($G1242,基本資料!$A:$J,8,0),"無")</f>
        <v>2.9</v>
      </c>
      <c r="G1242" s="79">
        <v>3312</v>
      </c>
      <c r="H1242" s="8" t="s">
        <v>3218</v>
      </c>
      <c r="I1242" s="22" t="s">
        <v>834</v>
      </c>
      <c r="J1242" s="8">
        <f>IFERROR(VLOOKUP($G1242,今日總結!$A:$AN,39,0),"")</f>
        <v>0</v>
      </c>
      <c r="K1242" s="5" t="str">
        <f>IFERROR(VLOOKUP($G1242,今日總結!$A:$AN,40,0),"")</f>
        <v>借</v>
      </c>
      <c r="L1242" s="156">
        <f>IFERROR(VLOOKUP($G1242,今日總結!$A:$AN,37,0),"")</f>
        <v>0</v>
      </c>
      <c r="M1242" s="337">
        <f>IFERROR(VLOOKUP($G1242,今日總結!$A:$AN,38,0),"")</f>
        <v>2</v>
      </c>
      <c r="N1242" s="240">
        <f t="shared" si="219"/>
        <v>-2</v>
      </c>
      <c r="O1242" s="359">
        <f>IFERROR(VLOOKUP($G1242,融外自投!$A:$J,7,0),"無")</f>
        <v>509</v>
      </c>
      <c r="P1242" s="79">
        <f>IFERROR(VLOOKUP($G1242,融外自投!$A:$J,9,0),"無")</f>
        <v>1051</v>
      </c>
      <c r="Q1242" s="342">
        <f>IFERROR(VLOOKUP($G1242,融外自投!$A:$J,8,0),"無")</f>
        <v>806</v>
      </c>
      <c r="R1242" s="81">
        <f>IFERROR(VLOOKUP($G1242,融外自投!$A:$J,10,0),"無")</f>
        <v>354</v>
      </c>
      <c r="S1242" s="324">
        <f>IFERROR(VLOOKUP($G1242,'321買'!$A:$E,4,0),"'沒有資料'")</f>
        <v>321</v>
      </c>
      <c r="T1242" s="186">
        <f>IFERROR(VLOOKUP($G1242,基本資料!$A:$J,9,0),"無")</f>
        <v>2</v>
      </c>
      <c r="U1242" s="307">
        <f t="shared" si="215"/>
        <v>8.2304526748971193E-2</v>
      </c>
      <c r="V1242" s="94">
        <f>IFERROR(VLOOKUP($G1242,基本資料!$A:$J,10,0),"無")</f>
        <v>3.24</v>
      </c>
      <c r="W1242" s="36">
        <f>RTD("money.excel",,"3312","Price")</f>
        <v>24.3</v>
      </c>
      <c r="X1242" s="66"/>
      <c r="Y1242" s="15">
        <f t="shared" si="216"/>
        <v>24.3</v>
      </c>
      <c r="Z1242" s="3" t="e">
        <f t="shared" si="217"/>
        <v>#DIV/0!</v>
      </c>
      <c r="AA1242" s="340">
        <f>IFERROR(VLOOKUP($G1242,基本資料!$A:$M,11,0),"無")</f>
        <v>-16.350000000000001</v>
      </c>
      <c r="AB1242" s="389">
        <f>IFERROR(VLOOKUP($G1242,基本資料!$A:$M,12,0),"無")</f>
        <v>25.99</v>
      </c>
      <c r="AC1242" s="22" t="s">
        <v>834</v>
      </c>
      <c r="AF1242" s="33">
        <f t="shared" si="218"/>
        <v>0</v>
      </c>
      <c r="AG1242" s="43" t="s">
        <v>2879</v>
      </c>
      <c r="AH1242" s="66">
        <f t="shared" si="213"/>
        <v>2.6189455636519505</v>
      </c>
      <c r="AI1242" s="283">
        <f>RTD("money.excel",,$G1242,"PredictVolume")</f>
        <v>1833</v>
      </c>
      <c r="AJ1242" s="391">
        <f>IFERROR(VLOOKUP($G1242,基本資料!$A:$M,13,0),"無")</f>
        <v>699.9</v>
      </c>
      <c r="AR1242" s="245" t="str">
        <f>INDEX(基本資料!N:N,MATCH($G1242,基本資料!A:A,0))</f>
        <v>中</v>
      </c>
    </row>
    <row r="1243" spans="1:44">
      <c r="A1243" s="343">
        <f>IFERROR(VLOOKUP($G1243,基本資料!$A:$J,3,0),"無")</f>
        <v>6.87</v>
      </c>
      <c r="B1243" s="79">
        <f>IFERROR(VLOOKUP($G1243,基本資料!$A:$J,4,0),"無")</f>
        <v>44</v>
      </c>
      <c r="C1243" s="79">
        <f>IFERROR(VLOOKUP($G1243,基本資料!$A:$J,5,0),"無")</f>
        <v>-11</v>
      </c>
      <c r="D1243" s="79">
        <f>IFERROR(VLOOKUP($G1243,基本資料!$A:$J,6,0),"無")</f>
        <v>-30</v>
      </c>
      <c r="E1243" s="79">
        <f>IFERROR(VLOOKUP($G1243,基本資料!$A:$J,7,0),"無")</f>
        <v>-10</v>
      </c>
      <c r="F1243" s="6">
        <f>IFERROR(VLOOKUP($G1243,基本資料!$A:$J,8,0),"無")</f>
        <v>1.45</v>
      </c>
      <c r="G1243" s="79">
        <v>3360</v>
      </c>
      <c r="H1243" s="8" t="s">
        <v>3218</v>
      </c>
      <c r="I1243" s="16" t="s">
        <v>328</v>
      </c>
      <c r="J1243" s="8">
        <f>IFERROR(VLOOKUP($G1243,今日總結!$A:$AN,39,0),"")</f>
        <v>0</v>
      </c>
      <c r="K1243" s="5" t="str">
        <f>IFERROR(VLOOKUP($G1243,今日總結!$A:$AN,40,0),"")</f>
        <v>主融</v>
      </c>
      <c r="L1243" s="156">
        <f>IFERROR(VLOOKUP($G1243,今日總結!$A:$AN,37,0),"")</f>
        <v>0</v>
      </c>
      <c r="M1243" s="337">
        <f>IFERROR(VLOOKUP($G1243,今日總結!$A:$AN,38,0),"")</f>
        <v>9</v>
      </c>
      <c r="N1243" s="240">
        <f t="shared" si="219"/>
        <v>-9</v>
      </c>
      <c r="O1243" s="359">
        <f>IFERROR(VLOOKUP($G1243,融外自投!$A:$J,7,0),"無")</f>
        <v>485</v>
      </c>
      <c r="P1243" s="79" t="str">
        <f>IFERROR(VLOOKUP($G1243,融外自投!$A:$J,9,0),"無")</f>
        <v>無</v>
      </c>
      <c r="Q1243" s="342">
        <f>IFERROR(VLOOKUP($G1243,融外自投!$A:$J,8,0),"無")</f>
        <v>1057</v>
      </c>
      <c r="R1243" s="81" t="str">
        <f>IFERROR(VLOOKUP($G1243,融外自投!$A:$J,10,0),"無")</f>
        <v>無</v>
      </c>
      <c r="S1243" s="324">
        <f>IFERROR(VLOOKUP($G1243,'321買'!$A:$E,4,0),"'沒有資料'")</f>
        <v>801</v>
      </c>
      <c r="T1243" s="186">
        <f>IFERROR(VLOOKUP($G1243,基本資料!$A:$J,9,0),"無")</f>
        <v>1.25</v>
      </c>
      <c r="U1243" s="307">
        <f t="shared" si="215"/>
        <v>8.0645161290322578E-2</v>
      </c>
      <c r="V1243" s="94">
        <f>IFERROR(VLOOKUP($G1243,基本資料!$A:$J,10,0),"無")</f>
        <v>1.45</v>
      </c>
      <c r="W1243" s="36">
        <f>RTD("money.excel",,"3360","Price")</f>
        <v>15.5</v>
      </c>
      <c r="X1243" s="66"/>
      <c r="Y1243" s="15">
        <f t="shared" si="216"/>
        <v>15.5</v>
      </c>
      <c r="Z1243" s="3" t="e">
        <f t="shared" si="217"/>
        <v>#DIV/0!</v>
      </c>
      <c r="AA1243" s="340">
        <f>IFERROR(VLOOKUP($G1243,基本資料!$A:$M,11,0),"無")</f>
        <v>-14.84</v>
      </c>
      <c r="AB1243" s="389">
        <f>IFERROR(VLOOKUP($G1243,基本資料!$A:$M,12,0),"無")</f>
        <v>41.62</v>
      </c>
      <c r="AC1243" s="16" t="s">
        <v>328</v>
      </c>
      <c r="AF1243" s="33">
        <f t="shared" si="218"/>
        <v>0</v>
      </c>
      <c r="AG1243" s="43" t="s">
        <v>2992</v>
      </c>
      <c r="AH1243" s="66">
        <f t="shared" si="213"/>
        <v>0.42738867755650034</v>
      </c>
      <c r="AI1243" s="283">
        <f>RTD("money.excel",,$G1243,"PredictVolume")</f>
        <v>191</v>
      </c>
      <c r="AJ1243" s="391">
        <f>IFERROR(VLOOKUP($G1243,基本資料!$A:$M,13,0),"無")</f>
        <v>446.9</v>
      </c>
      <c r="AR1243" s="245" t="str">
        <f>INDEX(基本資料!N:N,MATCH($G1243,基本資料!A:A,0))</f>
        <v>中</v>
      </c>
    </row>
    <row r="1244" spans="1:44">
      <c r="A1244" s="343">
        <f>IFERROR(VLOOKUP($G1244,基本資料!$A:$J,3,0),"無")</f>
        <v>3.91</v>
      </c>
      <c r="B1244" s="79">
        <f>IFERROR(VLOOKUP($G1244,基本資料!$A:$J,4,0),"無")</f>
        <v>26</v>
      </c>
      <c r="C1244" s="79">
        <f>IFERROR(VLOOKUP($G1244,基本資料!$A:$J,5,0),"無")</f>
        <v>26</v>
      </c>
      <c r="D1244" s="79">
        <f>IFERROR(VLOOKUP($G1244,基本資料!$A:$J,6,0),"無")</f>
        <v>2</v>
      </c>
      <c r="E1244" s="79">
        <f>IFERROR(VLOOKUP($G1244,基本資料!$A:$J,7,0),"無")</f>
        <v>12</v>
      </c>
      <c r="F1244" s="6">
        <f>IFERROR(VLOOKUP($G1244,基本資料!$A:$J,8,0),"無")</f>
        <v>12.35</v>
      </c>
      <c r="G1244" s="79">
        <v>3444</v>
      </c>
      <c r="H1244" s="8" t="s">
        <v>3218</v>
      </c>
      <c r="I1244" s="16" t="s">
        <v>816</v>
      </c>
      <c r="J1244" s="8" t="str">
        <f>IFERROR(VLOOKUP($G1244,今日總結!$A:$AN,39,0),"")</f>
        <v>5券</v>
      </c>
      <c r="K1244" s="5" t="str">
        <f>IFERROR(VLOOKUP($G1244,今日總結!$A:$AN,40,0),"")</f>
        <v>融</v>
      </c>
      <c r="L1244" s="156">
        <f>IFERROR(VLOOKUP($G1244,今日總結!$A:$AN,37,0),"")</f>
        <v>2</v>
      </c>
      <c r="M1244" s="337">
        <f>IFERROR(VLOOKUP($G1244,今日總結!$A:$AN,38,0),"")</f>
        <v>1</v>
      </c>
      <c r="N1244" s="240">
        <f t="shared" si="219"/>
        <v>1</v>
      </c>
      <c r="O1244" s="359">
        <f>IFERROR(VLOOKUP($G1244,融外自投!$A:$J,7,0),"無")</f>
        <v>369</v>
      </c>
      <c r="P1244" s="79">
        <f>IFERROR(VLOOKUP($G1244,融外自投!$A:$J,9,0),"無")</f>
        <v>225</v>
      </c>
      <c r="Q1244" s="342">
        <f>IFERROR(VLOOKUP($G1244,融外自投!$A:$J,8,0),"無")</f>
        <v>532</v>
      </c>
      <c r="R1244" s="81" t="str">
        <f>IFERROR(VLOOKUP($G1244,融外自投!$A:$J,10,0),"無")</f>
        <v>無</v>
      </c>
      <c r="S1244" s="324">
        <f>IFERROR(VLOOKUP($G1244,'321買'!$A:$E,4,0),"'沒有資料'")</f>
        <v>321</v>
      </c>
      <c r="T1244" s="186">
        <f>IFERROR(VLOOKUP($G1244,基本資料!$A:$J,9,0),"無")</f>
        <v>2.2999999999999998</v>
      </c>
      <c r="U1244" s="307">
        <f t="shared" si="215"/>
        <v>4.2513863216266171E-2</v>
      </c>
      <c r="V1244" s="94">
        <f>IFERROR(VLOOKUP($G1244,基本資料!$A:$J,10,0),"無")</f>
        <v>3.44</v>
      </c>
      <c r="W1244" s="36">
        <f>RTD("money.excel",,"3444","Price")</f>
        <v>54.1</v>
      </c>
      <c r="X1244" s="66"/>
      <c r="Y1244" s="15">
        <f t="shared" si="216"/>
        <v>54.1</v>
      </c>
      <c r="Z1244" s="3" t="e">
        <f t="shared" si="217"/>
        <v>#DIV/0!</v>
      </c>
      <c r="AA1244" s="340">
        <f>IFERROR(VLOOKUP($G1244,基本資料!$A:$M,11,0),"無")</f>
        <v>-31.69</v>
      </c>
      <c r="AB1244" s="389">
        <f>IFERROR(VLOOKUP($G1244,基本資料!$A:$M,12,0),"無")</f>
        <v>54.18</v>
      </c>
      <c r="AC1244" s="16" t="s">
        <v>816</v>
      </c>
      <c r="AF1244" s="33">
        <f t="shared" si="218"/>
        <v>0</v>
      </c>
      <c r="AG1244" s="43" t="s">
        <v>2652</v>
      </c>
      <c r="AH1244" s="66">
        <f t="shared" si="213"/>
        <v>0.6139249337240128</v>
      </c>
      <c r="AI1244" s="283">
        <f>RTD("money.excel",,$G1244,"PredictVolume")</f>
        <v>220</v>
      </c>
      <c r="AJ1244" s="391">
        <f>IFERROR(VLOOKUP($G1244,基本資料!$A:$M,13,0),"無")</f>
        <v>358.35</v>
      </c>
      <c r="AR1244" s="245" t="str">
        <f>INDEX(基本資料!N:N,MATCH($G1244,基本資料!A:A,0))</f>
        <v>中</v>
      </c>
    </row>
    <row r="1245" spans="1:44">
      <c r="A1245" s="343">
        <f>IFERROR(VLOOKUP($G1245,基本資料!$A:$J,3,0),"無")</f>
        <v>6.61</v>
      </c>
      <c r="B1245" s="79">
        <f>IFERROR(VLOOKUP($G1245,基本資料!$A:$J,4,0),"無")</f>
        <v>43</v>
      </c>
      <c r="C1245" s="79">
        <f>IFERROR(VLOOKUP($G1245,基本資料!$A:$J,5,0),"無")</f>
        <v>63</v>
      </c>
      <c r="D1245" s="79">
        <f>IFERROR(VLOOKUP($G1245,基本資料!$A:$J,6,0),"無")</f>
        <v>6</v>
      </c>
      <c r="E1245" s="79">
        <f>IFERROR(VLOOKUP($G1245,基本資料!$A:$J,7,0),"無")</f>
        <v>8</v>
      </c>
      <c r="F1245" s="6">
        <f>IFERROR(VLOOKUP($G1245,基本資料!$A:$J,8,0),"無")</f>
        <v>5.45</v>
      </c>
      <c r="G1245" s="79">
        <v>3528</v>
      </c>
      <c r="H1245" s="8" t="s">
        <v>3218</v>
      </c>
      <c r="I1245" s="22" t="s">
        <v>835</v>
      </c>
      <c r="J1245" s="8">
        <f>IFERROR(VLOOKUP($G1245,今日總結!$A:$AN,39,0),"")</f>
        <v>0</v>
      </c>
      <c r="K1245" s="5">
        <f>IFERROR(VLOOKUP($G1245,今日總結!$A:$AN,40,0),"")</f>
        <v>0</v>
      </c>
      <c r="L1245" s="156">
        <f>IFERROR(VLOOKUP($G1245,今日總結!$A:$AN,37,0),"")</f>
        <v>0</v>
      </c>
      <c r="M1245" s="337">
        <f>IFERROR(VLOOKUP($G1245,今日總結!$A:$AN,38,0),"")</f>
        <v>0</v>
      </c>
      <c r="N1245" s="240">
        <f t="shared" si="219"/>
        <v>0</v>
      </c>
      <c r="O1245" s="359">
        <f>IFERROR(VLOOKUP($G1245,融外自投!$A:$J,7,0),"無")</f>
        <v>1230</v>
      </c>
      <c r="P1245" s="79">
        <f>IFERROR(VLOOKUP($G1245,融外自投!$A:$J,9,0),"無")</f>
        <v>990</v>
      </c>
      <c r="Q1245" s="342">
        <f>IFERROR(VLOOKUP($G1245,融外自投!$A:$J,8,0),"無")</f>
        <v>986</v>
      </c>
      <c r="R1245" s="81" t="str">
        <f>IFERROR(VLOOKUP($G1245,融外自投!$A:$J,10,0),"無")</f>
        <v>無</v>
      </c>
      <c r="S1245" s="324">
        <f>IFERROR(VLOOKUP($G1245,'321買'!$A:$E,4,0),"'沒有資料'")</f>
        <v>1002</v>
      </c>
      <c r="T1245" s="186">
        <f>IFERROR(VLOOKUP($G1245,基本資料!$A:$J,9,0),"無")</f>
        <v>3.8</v>
      </c>
      <c r="U1245" s="307">
        <f t="shared" si="215"/>
        <v>7.3217726396917149E-2</v>
      </c>
      <c r="V1245" s="94">
        <f>IFERROR(VLOOKUP($G1245,基本資料!$A:$J,10,0),"無")</f>
        <v>4.57</v>
      </c>
      <c r="W1245" s="36">
        <f>RTD("money.excel",,"3528","Price")</f>
        <v>51.9</v>
      </c>
      <c r="X1245" s="66"/>
      <c r="Y1245" s="15">
        <f t="shared" si="216"/>
        <v>51.9</v>
      </c>
      <c r="Z1245" s="3" t="e">
        <f t="shared" si="217"/>
        <v>#DIV/0!</v>
      </c>
      <c r="AA1245" s="340">
        <f>IFERROR(VLOOKUP($G1245,基本資料!$A:$M,11,0),"無")</f>
        <v>-12.63</v>
      </c>
      <c r="AB1245" s="389">
        <f>IFERROR(VLOOKUP($G1245,基本資料!$A:$M,12,0),"無")</f>
        <v>50.99</v>
      </c>
      <c r="AC1245" s="22" t="s">
        <v>835</v>
      </c>
      <c r="AF1245" s="33">
        <f t="shared" si="218"/>
        <v>0</v>
      </c>
      <c r="AG1245" s="43" t="s">
        <v>2876</v>
      </c>
      <c r="AH1245" s="66">
        <f t="shared" si="213"/>
        <v>1.6246498599439774</v>
      </c>
      <c r="AI1245" s="283">
        <f>RTD("money.excel",,$G1245,"PredictVolume")</f>
        <v>29</v>
      </c>
      <c r="AJ1245" s="391">
        <f>IFERROR(VLOOKUP($G1245,基本資料!$A:$M,13,0),"無")</f>
        <v>17.850000000000001</v>
      </c>
      <c r="AR1245" s="245" t="str">
        <f>INDEX(基本資料!N:N,MATCH($G1245,基本資料!A:A,0))</f>
        <v>高</v>
      </c>
    </row>
    <row r="1246" spans="1:44">
      <c r="A1246" s="343">
        <f>IFERROR(VLOOKUP($G1246,基本資料!$A:$J,3,0),"無")</f>
        <v>167</v>
      </c>
      <c r="B1246" s="79">
        <f>IFERROR(VLOOKUP($G1246,基本資料!$A:$J,4,0),"無")</f>
        <v>42</v>
      </c>
      <c r="C1246" s="79">
        <f>IFERROR(VLOOKUP($G1246,基本資料!$A:$J,5,0),"無")</f>
        <v>37</v>
      </c>
      <c r="D1246" s="79">
        <f>IFERROR(VLOOKUP($G1246,基本資料!$A:$J,6,0),"無")</f>
        <v>-20</v>
      </c>
      <c r="E1246" s="79">
        <f>IFERROR(VLOOKUP($G1246,基本資料!$A:$J,7,0),"無")</f>
        <v>-3</v>
      </c>
      <c r="F1246" s="6">
        <f>IFERROR(VLOOKUP($G1246,基本資料!$A:$J,8,0),"無")</f>
        <v>1.77</v>
      </c>
      <c r="G1246" s="79">
        <v>3702</v>
      </c>
      <c r="H1246" s="8" t="s">
        <v>3218</v>
      </c>
      <c r="I1246" s="22" t="s">
        <v>4606</v>
      </c>
      <c r="J1246" s="8" t="str">
        <f>IFERROR(VLOOKUP($G1246,今日總結!$A:$AN,39,0),"")</f>
        <v>自投</v>
      </c>
      <c r="K1246" s="5">
        <f>IFERROR(VLOOKUP($G1246,今日總結!$A:$AN,40,0),"")</f>
        <v>0</v>
      </c>
      <c r="L1246" s="156">
        <f>IFERROR(VLOOKUP($G1246,今日總結!$A:$AN,37,0),"")</f>
        <v>29</v>
      </c>
      <c r="M1246" s="337">
        <f>IFERROR(VLOOKUP($G1246,今日總結!$A:$AN,38,0),"")</f>
        <v>0</v>
      </c>
      <c r="N1246" s="240">
        <f t="shared" si="219"/>
        <v>29</v>
      </c>
      <c r="O1246" s="359">
        <f>IFERROR(VLOOKUP($G1246,融外自投!$A:$J,7,0),"無")</f>
        <v>1304</v>
      </c>
      <c r="P1246" s="79">
        <f>IFERROR(VLOOKUP($G1246,融外自投!$A:$J,9,0),"無")</f>
        <v>12</v>
      </c>
      <c r="Q1246" s="342">
        <f>IFERROR(VLOOKUP($G1246,融外自投!$A:$J,8,0),"無")</f>
        <v>193</v>
      </c>
      <c r="R1246" s="81">
        <f>IFERROR(VLOOKUP($G1246,融外自投!$A:$J,10,0),"無")</f>
        <v>44</v>
      </c>
      <c r="S1246" s="324">
        <f>IFERROR(VLOOKUP($G1246,'321買'!$A:$E,4,0),"'沒有資料'")</f>
        <v>253</v>
      </c>
      <c r="T1246" s="186">
        <f>IFERROR(VLOOKUP($G1246,基本資料!$A:$J,9,0),"無")</f>
        <v>3.5</v>
      </c>
      <c r="U1246" s="307">
        <f t="shared" si="215"/>
        <v>6.4695009242144177E-2</v>
      </c>
      <c r="V1246" s="94">
        <f>IFERROR(VLOOKUP($G1246,基本資料!$A:$J,10,0),"無")</f>
        <v>6.61</v>
      </c>
      <c r="W1246" s="36">
        <f>RTD("money.excel",,"3702","Price")</f>
        <v>54.1</v>
      </c>
      <c r="X1246" s="66"/>
      <c r="Y1246" s="15">
        <f t="shared" si="216"/>
        <v>54.1</v>
      </c>
      <c r="Z1246" s="3" t="e">
        <f t="shared" si="217"/>
        <v>#DIV/0!</v>
      </c>
      <c r="AA1246" s="340">
        <f>IFERROR(VLOOKUP($G1246,基本資料!$A:$M,11,0),"無")</f>
        <v>-11.31</v>
      </c>
      <c r="AB1246" s="389">
        <f>IFERROR(VLOOKUP($G1246,基本資料!$A:$M,12,0),"無")</f>
        <v>35.92</v>
      </c>
      <c r="AC1246" s="22" t="s">
        <v>4606</v>
      </c>
      <c r="AF1246" s="33">
        <f t="shared" si="218"/>
        <v>0</v>
      </c>
      <c r="AG1246" s="117" t="s">
        <v>2876</v>
      </c>
      <c r="AH1246" s="66">
        <f t="shared" si="213"/>
        <v>1.1782208588957055</v>
      </c>
      <c r="AI1246" s="283">
        <f>RTD("money.excel",,$G1246,"PredictVolume")</f>
        <v>3841</v>
      </c>
      <c r="AJ1246" s="391">
        <f>IFERROR(VLOOKUP($G1246,基本資料!$A:$M,13,0),"無")</f>
        <v>3260</v>
      </c>
      <c r="AR1246" s="245" t="str">
        <f>INDEX(基本資料!N:N,MATCH($G1246,基本資料!A:A,0))</f>
        <v>中</v>
      </c>
    </row>
    <row r="1247" spans="1:44">
      <c r="A1247" s="343">
        <f>IFERROR(VLOOKUP($G1247,基本資料!$A:$J,3,0),"無")</f>
        <v>18.16</v>
      </c>
      <c r="B1247" s="79">
        <f>IFERROR(VLOOKUP($G1247,基本資料!$A:$J,4,0),"無")</f>
        <v>11</v>
      </c>
      <c r="C1247" s="79">
        <f>IFERROR(VLOOKUP($G1247,基本資料!$A:$J,5,0),"無")</f>
        <v>23</v>
      </c>
      <c r="D1247" s="79">
        <f>IFERROR(VLOOKUP($G1247,基本資料!$A:$J,6,0),"無")</f>
        <v>-11</v>
      </c>
      <c r="E1247" s="79">
        <f>IFERROR(VLOOKUP($G1247,基本資料!$A:$J,7,0),"無")</f>
        <v>7</v>
      </c>
      <c r="F1247" s="6">
        <f>IFERROR(VLOOKUP($G1247,基本資料!$A:$J,8,0),"無")</f>
        <v>5.98</v>
      </c>
      <c r="G1247" s="79">
        <v>5434</v>
      </c>
      <c r="H1247" s="8" t="s">
        <v>3218</v>
      </c>
      <c r="I1247" s="22" t="s">
        <v>4607</v>
      </c>
      <c r="J1247" s="8">
        <f>IFERROR(VLOOKUP($G1247,今日總結!$A:$AN,39,0),"")</f>
        <v>0</v>
      </c>
      <c r="K1247" s="5">
        <f>IFERROR(VLOOKUP($G1247,今日總結!$A:$AN,40,0),"")</f>
        <v>0</v>
      </c>
      <c r="L1247" s="156">
        <f>IFERROR(VLOOKUP($G1247,今日總結!$A:$AN,37,0),"")</f>
        <v>0</v>
      </c>
      <c r="M1247" s="337">
        <f>IFERROR(VLOOKUP($G1247,今日總結!$A:$AN,38,0),"")</f>
        <v>0</v>
      </c>
      <c r="N1247" s="240">
        <f t="shared" si="219"/>
        <v>0</v>
      </c>
      <c r="O1247" s="359">
        <f>IFERROR(VLOOKUP($G1247,融外自投!$A:$J,7,0),"無")</f>
        <v>1181</v>
      </c>
      <c r="P1247" s="79">
        <f>IFERROR(VLOOKUP($G1247,融外自投!$A:$J,9,0),"無")</f>
        <v>433</v>
      </c>
      <c r="Q1247" s="342">
        <f>IFERROR(VLOOKUP($G1247,融外自投!$A:$J,8,0),"無")</f>
        <v>167</v>
      </c>
      <c r="R1247" s="81">
        <f>IFERROR(VLOOKUP($G1247,融外自投!$A:$J,10,0),"無")</f>
        <v>152</v>
      </c>
      <c r="S1247" s="324">
        <f>IFERROR(VLOOKUP($G1247,'321買'!$A:$E,4,0),"'沒有資料'")</f>
        <v>411</v>
      </c>
      <c r="T1247" s="186">
        <f>IFERROR(VLOOKUP($G1247,基本資料!$A:$J,9,0),"無")</f>
        <v>8.8000000000000007</v>
      </c>
      <c r="U1247" s="307">
        <f t="shared" si="215"/>
        <v>5.4320987654320994E-2</v>
      </c>
      <c r="V1247" s="94">
        <f>IFERROR(VLOOKUP($G1247,基本資料!$A:$J,10,0),"無")</f>
        <v>12.63</v>
      </c>
      <c r="W1247" s="36">
        <f>RTD("money.excel",,"5434","Price")</f>
        <v>162</v>
      </c>
      <c r="X1247" s="66"/>
      <c r="Y1247" s="15">
        <f t="shared" si="216"/>
        <v>162</v>
      </c>
      <c r="Z1247" s="3" t="e">
        <f t="shared" si="217"/>
        <v>#DIV/0!</v>
      </c>
      <c r="AA1247" s="340">
        <f>IFERROR(VLOOKUP($G1247,基本資料!$A:$M,11,0),"無")</f>
        <v>-12.67</v>
      </c>
      <c r="AB1247" s="389">
        <f>IFERROR(VLOOKUP($G1247,基本資料!$A:$M,12,0),"無")</f>
        <v>26.6</v>
      </c>
      <c r="AC1247" s="22" t="s">
        <v>4607</v>
      </c>
      <c r="AF1247" s="33">
        <f t="shared" si="218"/>
        <v>0</v>
      </c>
      <c r="AG1247" s="117" t="s">
        <v>2880</v>
      </c>
      <c r="AH1247" s="66">
        <f t="shared" si="213"/>
        <v>0.87716698770188184</v>
      </c>
      <c r="AI1247" s="283">
        <f>RTD("money.excel",,$G1247,"PredictVolume")</f>
        <v>296</v>
      </c>
      <c r="AJ1247" s="391">
        <f>IFERROR(VLOOKUP($G1247,基本資料!$A:$M,13,0),"無")</f>
        <v>337.45</v>
      </c>
      <c r="AR1247" s="245" t="str">
        <f>INDEX(基本資料!N:N,MATCH($G1247,基本資料!A:A,0))</f>
        <v>中</v>
      </c>
    </row>
    <row r="1248" spans="1:44">
      <c r="A1248" s="343">
        <f>IFERROR(VLOOKUP($G1248,基本資料!$A:$J,3,0),"無")</f>
        <v>5</v>
      </c>
      <c r="B1248" s="79">
        <f>IFERROR(VLOOKUP($G1248,基本資料!$A:$J,4,0),"無")</f>
        <v>412</v>
      </c>
      <c r="C1248" s="79">
        <f>IFERROR(VLOOKUP($G1248,基本資料!$A:$J,5,0),"無")</f>
        <v>180</v>
      </c>
      <c r="D1248" s="79">
        <f>IFERROR(VLOOKUP($G1248,基本資料!$A:$J,6,0),"無")</f>
        <v>23</v>
      </c>
      <c r="E1248" s="79">
        <f>IFERROR(VLOOKUP($G1248,基本資料!$A:$J,7,0),"無")</f>
        <v>76</v>
      </c>
      <c r="F1248" s="6">
        <f>IFERROR(VLOOKUP($G1248,基本資料!$A:$J,8,0),"無")</f>
        <v>0.88</v>
      </c>
      <c r="G1248" s="79">
        <v>6113</v>
      </c>
      <c r="H1248" s="8" t="s">
        <v>3218</v>
      </c>
      <c r="I1248" s="16" t="s">
        <v>817</v>
      </c>
      <c r="J1248" s="8" t="str">
        <f>IFERROR(VLOOKUP($G1248,今日總結!$A:$AN,39,0),"")</f>
        <v>3融</v>
      </c>
      <c r="K1248" s="5" t="str">
        <f>IFERROR(VLOOKUP($G1248,今日總結!$A:$AN,40,0),"")</f>
        <v>券</v>
      </c>
      <c r="L1248" s="156">
        <f>IFERROR(VLOOKUP($G1248,今日總結!$A:$AN,37,0),"")</f>
        <v>4</v>
      </c>
      <c r="M1248" s="337">
        <f>IFERROR(VLOOKUP($G1248,今日總結!$A:$AN,38,0),"")</f>
        <v>3</v>
      </c>
      <c r="N1248" s="240">
        <f t="shared" si="219"/>
        <v>1</v>
      </c>
      <c r="O1248" s="359">
        <f>IFERROR(VLOOKUP($G1248,融外自投!$A:$J,7,0),"無")</f>
        <v>121</v>
      </c>
      <c r="P1248" s="79">
        <f>IFERROR(VLOOKUP($G1248,融外自投!$A:$J,9,0),"無")</f>
        <v>365</v>
      </c>
      <c r="Q1248" s="342">
        <f>IFERROR(VLOOKUP($G1248,融外自投!$A:$J,8,0),"無")</f>
        <v>1446</v>
      </c>
      <c r="R1248" s="81" t="str">
        <f>IFERROR(VLOOKUP($G1248,融外自投!$A:$J,10,0),"無")</f>
        <v>無</v>
      </c>
      <c r="S1248" s="324">
        <f>IFERROR(VLOOKUP($G1248,'321買'!$A:$E,4,0),"'沒有資料'")</f>
        <v>530</v>
      </c>
      <c r="T1248" s="186">
        <f>IFERROR(VLOOKUP($G1248,基本資料!$A:$J,9,0),"無")</f>
        <v>0</v>
      </c>
      <c r="U1248" s="307">
        <f t="shared" si="215"/>
        <v>0</v>
      </c>
      <c r="V1248" s="94">
        <f>IFERROR(VLOOKUP($G1248,基本資料!$A:$J,10,0),"無")</f>
        <v>0.85</v>
      </c>
      <c r="W1248" s="36">
        <f>RTD("money.excel",,"6113","Price")</f>
        <v>19.7</v>
      </c>
      <c r="X1248" s="66"/>
      <c r="Y1248" s="15">
        <f t="shared" si="216"/>
        <v>19.7</v>
      </c>
      <c r="Z1248" s="3" t="e">
        <f t="shared" si="217"/>
        <v>#DIV/0!</v>
      </c>
      <c r="AA1248" s="340">
        <f>IFERROR(VLOOKUP($G1248,基本資料!$A:$M,11,0),"無")</f>
        <v>-4.37</v>
      </c>
      <c r="AB1248" s="389">
        <f>IFERROR(VLOOKUP($G1248,基本資料!$A:$M,12,0),"無")</f>
        <v>76.69</v>
      </c>
      <c r="AC1248" s="16" t="s">
        <v>817</v>
      </c>
      <c r="AF1248" s="33">
        <f t="shared" si="218"/>
        <v>0</v>
      </c>
      <c r="AG1248" s="43" t="s">
        <v>2653</v>
      </c>
      <c r="AH1248" s="66">
        <f t="shared" si="213"/>
        <v>0.91553664805459534</v>
      </c>
      <c r="AI1248" s="283">
        <f>RTD("money.excel",,$G1248,"PredictVolume")</f>
        <v>3099</v>
      </c>
      <c r="AJ1248" s="391">
        <f>IFERROR(VLOOKUP($G1248,基本資料!$A:$M,13,0),"無")</f>
        <v>3384.9</v>
      </c>
      <c r="AR1248" s="245" t="str">
        <f>INDEX(基本資料!N:N,MATCH($G1248,基本資料!A:A,0))</f>
        <v>高</v>
      </c>
    </row>
    <row r="1249" spans="1:44">
      <c r="A1249" s="343">
        <f>IFERROR(VLOOKUP($G1249,基本資料!$A:$J,3,0),"無")</f>
        <v>9.08</v>
      </c>
      <c r="B1249" s="79">
        <f>IFERROR(VLOOKUP($G1249,基本資料!$A:$J,4,0),"無")</f>
        <v>50</v>
      </c>
      <c r="C1249" s="79">
        <f>IFERROR(VLOOKUP($G1249,基本資料!$A:$J,5,0),"無")</f>
        <v>37</v>
      </c>
      <c r="D1249" s="79">
        <f>IFERROR(VLOOKUP($G1249,基本資料!$A:$J,6,0),"無")</f>
        <v>-17</v>
      </c>
      <c r="E1249" s="79">
        <f>IFERROR(VLOOKUP($G1249,基本資料!$A:$J,7,0),"無")</f>
        <v>4</v>
      </c>
      <c r="F1249" s="6">
        <f>IFERROR(VLOOKUP($G1249,基本資料!$A:$J,8,0),"無")</f>
        <v>0.46</v>
      </c>
      <c r="G1249" s="79">
        <v>6118</v>
      </c>
      <c r="H1249" s="8" t="s">
        <v>3218</v>
      </c>
      <c r="I1249" s="16" t="s">
        <v>818</v>
      </c>
      <c r="J1249" s="8">
        <f>IFERROR(VLOOKUP($G1249,今日總結!$A:$AN,39,0),"")</f>
        <v>0</v>
      </c>
      <c r="K1249" s="5">
        <f>IFERROR(VLOOKUP($G1249,今日總結!$A:$AN,40,0),"")</f>
        <v>0</v>
      </c>
      <c r="L1249" s="156">
        <f>IFERROR(VLOOKUP($G1249,今日總結!$A:$AN,37,0),"")</f>
        <v>0</v>
      </c>
      <c r="M1249" s="337">
        <f>IFERROR(VLOOKUP($G1249,今日總結!$A:$AN,38,0),"")</f>
        <v>0</v>
      </c>
      <c r="N1249" s="240">
        <f t="shared" si="219"/>
        <v>0</v>
      </c>
      <c r="O1249" s="359">
        <f>IFERROR(VLOOKUP($G1249,融外自投!$A:$J,7,0),"無")</f>
        <v>461</v>
      </c>
      <c r="P1249" s="79">
        <f>IFERROR(VLOOKUP($G1249,融外自投!$A:$J,9,0),"無")</f>
        <v>154</v>
      </c>
      <c r="Q1249" s="342">
        <f>IFERROR(VLOOKUP($G1249,融外自投!$A:$J,8,0),"無")</f>
        <v>1036</v>
      </c>
      <c r="R1249" s="81" t="str">
        <f>IFERROR(VLOOKUP($G1249,融外自投!$A:$J,10,0),"無")</f>
        <v>無</v>
      </c>
      <c r="S1249" s="324">
        <f>IFERROR(VLOOKUP($G1249,'321買'!$A:$E,4,0),"'沒有資料'")</f>
        <v>130</v>
      </c>
      <c r="T1249" s="186">
        <f>IFERROR(VLOOKUP($G1249,基本資料!$A:$J,9,0),"無")</f>
        <v>0.3</v>
      </c>
      <c r="U1249" s="307">
        <f t="shared" si="215"/>
        <v>1.1450381679389313E-2</v>
      </c>
      <c r="V1249" s="94">
        <f>IFERROR(VLOOKUP($G1249,基本資料!$A:$J,10,0),"無")</f>
        <v>0.6</v>
      </c>
      <c r="W1249" s="36">
        <f>RTD("money.excel",,"6118","Price")</f>
        <v>26.2</v>
      </c>
      <c r="X1249" s="66"/>
      <c r="Y1249" s="15">
        <f t="shared" si="216"/>
        <v>26.2</v>
      </c>
      <c r="Z1249" s="3" t="e">
        <f t="shared" si="217"/>
        <v>#DIV/0!</v>
      </c>
      <c r="AA1249" s="340">
        <f>IFERROR(VLOOKUP($G1249,基本資料!$A:$M,11,0),"無")</f>
        <v>-49.13</v>
      </c>
      <c r="AB1249" s="389">
        <f>IFERROR(VLOOKUP($G1249,基本資料!$A:$M,12,0),"無")</f>
        <v>17.940000000000001</v>
      </c>
      <c r="AC1249" s="16" t="s">
        <v>818</v>
      </c>
      <c r="AF1249" s="33">
        <f t="shared" si="218"/>
        <v>0</v>
      </c>
      <c r="AG1249" s="43" t="s">
        <v>2331</v>
      </c>
      <c r="AH1249" s="66">
        <f t="shared" si="213"/>
        <v>0.91187026452213205</v>
      </c>
      <c r="AI1249" s="283">
        <f>RTD("money.excel",,$G1249,"PredictVolume")</f>
        <v>1029</v>
      </c>
      <c r="AJ1249" s="391">
        <f>IFERROR(VLOOKUP($G1249,基本資料!$A:$M,13,0),"無")</f>
        <v>1128.45</v>
      </c>
      <c r="AR1249" s="245" t="str">
        <f>INDEX(基本資料!N:N,MATCH($G1249,基本資料!A:A,0))</f>
        <v>中</v>
      </c>
    </row>
    <row r="1250" spans="1:44">
      <c r="A1250" s="343">
        <f>IFERROR(VLOOKUP($G1250,基本資料!$A:$J,3,0),"無")</f>
        <v>8</v>
      </c>
      <c r="B1250" s="79">
        <f>IFERROR(VLOOKUP($G1250,基本資料!$A:$J,4,0),"無")</f>
        <v>214</v>
      </c>
      <c r="C1250" s="79">
        <f>IFERROR(VLOOKUP($G1250,基本資料!$A:$J,5,0),"無")</f>
        <v>195</v>
      </c>
      <c r="D1250" s="79">
        <f>IFERROR(VLOOKUP($G1250,基本資料!$A:$J,6,0),"無")</f>
        <v>0</v>
      </c>
      <c r="E1250" s="79">
        <f>IFERROR(VLOOKUP($G1250,基本資料!$A:$J,7,0),"無")</f>
        <v>11</v>
      </c>
      <c r="F1250" s="6">
        <f>IFERROR(VLOOKUP($G1250,基本資料!$A:$J,8,0),"無")</f>
        <v>3.44</v>
      </c>
      <c r="G1250" s="79">
        <v>6154</v>
      </c>
      <c r="H1250" s="8" t="s">
        <v>3218</v>
      </c>
      <c r="I1250" s="16" t="s">
        <v>819</v>
      </c>
      <c r="J1250" s="8">
        <f>IFERROR(VLOOKUP($G1250,今日總結!$A:$AN,39,0),"")</f>
        <v>0</v>
      </c>
      <c r="K1250" s="5">
        <f>IFERROR(VLOOKUP($G1250,今日總結!$A:$AN,40,0),"")</f>
        <v>0</v>
      </c>
      <c r="L1250" s="156">
        <f>IFERROR(VLOOKUP($G1250,今日總結!$A:$AN,37,0),"")</f>
        <v>0</v>
      </c>
      <c r="M1250" s="337">
        <f>IFERROR(VLOOKUP($G1250,今日總結!$A:$AN,38,0),"")</f>
        <v>0</v>
      </c>
      <c r="N1250" s="240">
        <f t="shared" si="219"/>
        <v>0</v>
      </c>
      <c r="O1250" s="359">
        <f>IFERROR(VLOOKUP($G1250,融外自投!$A:$J,7,0),"無")</f>
        <v>1010</v>
      </c>
      <c r="P1250" s="79" t="str">
        <f>IFERROR(VLOOKUP($G1250,融外自投!$A:$J,9,0),"無")</f>
        <v>無</v>
      </c>
      <c r="Q1250" s="342">
        <f>IFERROR(VLOOKUP($G1250,融外自投!$A:$J,8,0),"無")</f>
        <v>1224</v>
      </c>
      <c r="R1250" s="81" t="str">
        <f>IFERROR(VLOOKUP($G1250,融外自投!$A:$J,10,0),"無")</f>
        <v>無</v>
      </c>
      <c r="S1250" s="324">
        <f>IFERROR(VLOOKUP($G1250,'321買'!$A:$E,4,0),"'沒有資料'")</f>
        <v>743</v>
      </c>
      <c r="T1250" s="186">
        <f>IFERROR(VLOOKUP($G1250,基本資料!$A:$J,9,0),"無")</f>
        <v>1.2</v>
      </c>
      <c r="U1250" s="307">
        <f t="shared" si="215"/>
        <v>7.0381231671554245E-2</v>
      </c>
      <c r="V1250" s="94">
        <f>IFERROR(VLOOKUP($G1250,基本資料!$A:$J,10,0),"無")</f>
        <v>1.76</v>
      </c>
      <c r="W1250" s="36">
        <f>RTD("money.excel",,"6154","Price")</f>
        <v>17.05</v>
      </c>
      <c r="X1250" s="66"/>
      <c r="Y1250" s="15">
        <f t="shared" si="216"/>
        <v>17.05</v>
      </c>
      <c r="Z1250" s="3" t="e">
        <f t="shared" si="217"/>
        <v>#DIV/0!</v>
      </c>
      <c r="AA1250" s="340">
        <f>IFERROR(VLOOKUP($G1250,基本資料!$A:$M,11,0),"無")</f>
        <v>-28.21</v>
      </c>
      <c r="AB1250" s="389">
        <f>IFERROR(VLOOKUP($G1250,基本資料!$A:$M,12,0),"無")</f>
        <v>28.65</v>
      </c>
      <c r="AC1250" s="16" t="s">
        <v>819</v>
      </c>
      <c r="AF1250" s="33">
        <f t="shared" si="218"/>
        <v>0</v>
      </c>
      <c r="AG1250" s="43" t="s">
        <v>2654</v>
      </c>
      <c r="AH1250" s="66">
        <f t="shared" si="213"/>
        <v>1.8394160583941606</v>
      </c>
      <c r="AI1250" s="283">
        <f>RTD("money.excel",,$G1250,"PredictVolume")</f>
        <v>63</v>
      </c>
      <c r="AJ1250" s="391">
        <f>IFERROR(VLOOKUP($G1250,基本資料!$A:$M,13,0),"無")</f>
        <v>34.25</v>
      </c>
      <c r="AR1250" s="245" t="str">
        <f>INDEX(基本資料!N:N,MATCH($G1250,基本資料!A:A,0))</f>
        <v>低</v>
      </c>
    </row>
    <row r="1251" spans="1:44">
      <c r="A1251" s="343">
        <f>IFERROR(VLOOKUP($G1251,基本資料!$A:$J,3,0),"無")</f>
        <v>19.82</v>
      </c>
      <c r="B1251" s="79">
        <f>IFERROR(VLOOKUP($G1251,基本資料!$A:$J,4,0),"無")</f>
        <v>40</v>
      </c>
      <c r="C1251" s="79">
        <f>IFERROR(VLOOKUP($G1251,基本資料!$A:$J,5,0),"無")</f>
        <v>19</v>
      </c>
      <c r="D1251" s="79">
        <f>IFERROR(VLOOKUP($G1251,基本資料!$A:$J,6,0),"無")</f>
        <v>-18</v>
      </c>
      <c r="E1251" s="79">
        <f>IFERROR(VLOOKUP($G1251,基本資料!$A:$J,7,0),"無")</f>
        <v>-9</v>
      </c>
      <c r="F1251" s="6">
        <f>IFERROR(VLOOKUP($G1251,基本資料!$A:$J,8,0),"無")</f>
        <v>3.8</v>
      </c>
      <c r="G1251" s="79">
        <v>6189</v>
      </c>
      <c r="H1251" s="8" t="s">
        <v>3218</v>
      </c>
      <c r="I1251" s="22" t="s">
        <v>836</v>
      </c>
      <c r="J1251" s="8">
        <f>IFERROR(VLOOKUP($G1251,今日總結!$A:$AN,39,0),"")</f>
        <v>0</v>
      </c>
      <c r="K1251" s="5" t="str">
        <f>IFERROR(VLOOKUP($G1251,今日總結!$A:$AN,40,0),"")</f>
        <v>外</v>
      </c>
      <c r="L1251" s="156">
        <f>IFERROR(VLOOKUP($G1251,今日總結!$A:$AN,37,0),"")</f>
        <v>0</v>
      </c>
      <c r="M1251" s="337">
        <f>IFERROR(VLOOKUP($G1251,今日總結!$A:$AN,38,0),"")</f>
        <v>7</v>
      </c>
      <c r="N1251" s="240">
        <f t="shared" si="219"/>
        <v>-7</v>
      </c>
      <c r="O1251" s="359">
        <f>IFERROR(VLOOKUP($G1251,融外自投!$A:$J,7,0),"無")</f>
        <v>1362</v>
      </c>
      <c r="P1251" s="79">
        <f>IFERROR(VLOOKUP($G1251,融外自投!$A:$J,9,0),"無")</f>
        <v>790</v>
      </c>
      <c r="Q1251" s="342">
        <f>IFERROR(VLOOKUP($G1251,融外自投!$A:$J,8,0),"無")</f>
        <v>606</v>
      </c>
      <c r="R1251" s="81" t="str">
        <f>IFERROR(VLOOKUP($G1251,融外自投!$A:$J,10,0),"無")</f>
        <v>無</v>
      </c>
      <c r="S1251" s="324">
        <f>IFERROR(VLOOKUP($G1251,'321買'!$A:$E,4,0),"'沒有資料'")</f>
        <v>1002</v>
      </c>
      <c r="T1251" s="186">
        <f>IFERROR(VLOOKUP($G1251,基本資料!$A:$J,9,0),"無")</f>
        <v>3.78</v>
      </c>
      <c r="U1251" s="307">
        <f t="shared" si="215"/>
        <v>8.8836662749706224E-2</v>
      </c>
      <c r="V1251" s="94">
        <f>IFERROR(VLOOKUP($G1251,基本資料!$A:$J,10,0),"無")</f>
        <v>4.3099999999999996</v>
      </c>
      <c r="W1251" s="36">
        <f>RTD("money.excel",,"6189","Price")</f>
        <v>42.55</v>
      </c>
      <c r="X1251" s="66"/>
      <c r="Y1251" s="15">
        <f t="shared" si="216"/>
        <v>42.55</v>
      </c>
      <c r="Z1251" s="3" t="e">
        <f t="shared" si="217"/>
        <v>#DIV/0!</v>
      </c>
      <c r="AA1251" s="340">
        <f>IFERROR(VLOOKUP($G1251,基本資料!$A:$M,11,0),"無")</f>
        <v>-7.7</v>
      </c>
      <c r="AB1251" s="389">
        <f>IFERROR(VLOOKUP($G1251,基本資料!$A:$M,12,0),"無")</f>
        <v>25.39</v>
      </c>
      <c r="AC1251" s="22" t="s">
        <v>836</v>
      </c>
      <c r="AF1251" s="33">
        <f t="shared" si="218"/>
        <v>0</v>
      </c>
      <c r="AG1251" s="43" t="s">
        <v>2875</v>
      </c>
      <c r="AH1251" s="66">
        <f t="shared" si="213"/>
        <v>1.0526315789473684</v>
      </c>
      <c r="AI1251" s="283">
        <f>RTD("money.excel",,$G1251,"PredictVolume")</f>
        <v>374</v>
      </c>
      <c r="AJ1251" s="391">
        <f>IFERROR(VLOOKUP($G1251,基本資料!$A:$M,13,0),"無")</f>
        <v>355.3</v>
      </c>
      <c r="AR1251" s="245" t="str">
        <f>INDEX(基本資料!N:N,MATCH($G1251,基本資料!A:A,0))</f>
        <v>中</v>
      </c>
    </row>
    <row r="1252" spans="1:44">
      <c r="A1252" s="343">
        <f>IFERROR(VLOOKUP($G1252,基本資料!$A:$J,3,0),"無")</f>
        <v>7.61</v>
      </c>
      <c r="B1252" s="79">
        <f>IFERROR(VLOOKUP($G1252,基本資料!$A:$J,4,0),"無")</f>
        <v>112</v>
      </c>
      <c r="C1252" s="79">
        <f>IFERROR(VLOOKUP($G1252,基本資料!$A:$J,5,0),"無")</f>
        <v>113</v>
      </c>
      <c r="D1252" s="79">
        <f>IFERROR(VLOOKUP($G1252,基本資料!$A:$J,6,0),"無")</f>
        <v>1</v>
      </c>
      <c r="E1252" s="79">
        <f>IFERROR(VLOOKUP($G1252,基本資料!$A:$J,7,0),"無")</f>
        <v>-14</v>
      </c>
      <c r="F1252" s="6">
        <f>IFERROR(VLOOKUP($G1252,基本資料!$A:$J,8,0),"無")</f>
        <v>3.73</v>
      </c>
      <c r="G1252" s="79">
        <v>6227</v>
      </c>
      <c r="H1252" s="8" t="s">
        <v>3218</v>
      </c>
      <c r="I1252" s="16" t="s">
        <v>820</v>
      </c>
      <c r="J1252" s="8">
        <f>IFERROR(VLOOKUP($G1252,今日總結!$A:$AN,39,0),"")</f>
        <v>0</v>
      </c>
      <c r="K1252" s="5">
        <f>IFERROR(VLOOKUP($G1252,今日總結!$A:$AN,40,0),"")</f>
        <v>0</v>
      </c>
      <c r="L1252" s="156">
        <f>IFERROR(VLOOKUP($G1252,今日總結!$A:$AN,37,0),"")</f>
        <v>0</v>
      </c>
      <c r="M1252" s="337">
        <f>IFERROR(VLOOKUP($G1252,今日總結!$A:$AN,38,0),"")</f>
        <v>0</v>
      </c>
      <c r="N1252" s="240">
        <f t="shared" si="219"/>
        <v>0</v>
      </c>
      <c r="O1252" s="359">
        <f>IFERROR(VLOOKUP($G1252,融外自投!$A:$J,7,0),"無")</f>
        <v>718</v>
      </c>
      <c r="P1252" s="79" t="str">
        <f>IFERROR(VLOOKUP($G1252,融外自投!$A:$J,9,0),"無")</f>
        <v>無</v>
      </c>
      <c r="Q1252" s="342">
        <f>IFERROR(VLOOKUP($G1252,融外自投!$A:$J,8,0),"無")</f>
        <v>912</v>
      </c>
      <c r="R1252" s="81" t="str">
        <f>IFERROR(VLOOKUP($G1252,融外自投!$A:$J,10,0),"無")</f>
        <v>無</v>
      </c>
      <c r="S1252" s="324">
        <f>IFERROR(VLOOKUP($G1252,'321買'!$A:$E,4,0),"'沒有資料'")</f>
        <v>497</v>
      </c>
      <c r="T1252" s="186">
        <f>IFERROR(VLOOKUP($G1252,基本資料!$A:$J,9,0),"無")</f>
        <v>3.35</v>
      </c>
      <c r="U1252" s="307">
        <f t="shared" si="215"/>
        <v>9.103260869565219E-2</v>
      </c>
      <c r="V1252" s="94">
        <f>IFERROR(VLOOKUP($G1252,基本資料!$A:$J,10,0),"無")</f>
        <v>5.56</v>
      </c>
      <c r="W1252" s="36">
        <f>RTD("money.excel",,"6227","Price")</f>
        <v>36.799999999999997</v>
      </c>
      <c r="X1252" s="66"/>
      <c r="Y1252" s="15">
        <f t="shared" si="216"/>
        <v>36.799999999999997</v>
      </c>
      <c r="Z1252" s="3" t="e">
        <f t="shared" si="217"/>
        <v>#DIV/0!</v>
      </c>
      <c r="AA1252" s="340">
        <f>IFERROR(VLOOKUP($G1252,基本資料!$A:$M,11,0),"無")</f>
        <v>-17.77</v>
      </c>
      <c r="AB1252" s="389">
        <f>IFERROR(VLOOKUP($G1252,基本資料!$A:$M,12,0),"無")</f>
        <v>39.51</v>
      </c>
      <c r="AC1252" s="16" t="s">
        <v>820</v>
      </c>
      <c r="AF1252" s="33">
        <f t="shared" si="218"/>
        <v>0</v>
      </c>
      <c r="AG1252" s="43" t="s">
        <v>2651</v>
      </c>
      <c r="AH1252" s="66">
        <f t="shared" si="213"/>
        <v>0.94335150509599441</v>
      </c>
      <c r="AI1252" s="283">
        <f>RTD("money.excel",,$G1252,"PredictVolume")</f>
        <v>199</v>
      </c>
      <c r="AJ1252" s="391">
        <f>IFERROR(VLOOKUP($G1252,基本資料!$A:$M,13,0),"無")</f>
        <v>210.95</v>
      </c>
      <c r="AR1252" s="245" t="str">
        <f>INDEX(基本資料!N:N,MATCH($G1252,基本資料!A:A,0))</f>
        <v>中</v>
      </c>
    </row>
    <row r="1253" spans="1:44">
      <c r="A1253" s="343">
        <f>IFERROR(VLOOKUP($G1253,基本資料!$A:$J,3,0),"無")</f>
        <v>11.81</v>
      </c>
      <c r="B1253" s="79">
        <f>IFERROR(VLOOKUP($G1253,基本資料!$A:$J,4,0),"無")</f>
        <v>358</v>
      </c>
      <c r="C1253" s="79">
        <f>IFERROR(VLOOKUP($G1253,基本資料!$A:$J,5,0),"無")</f>
        <v>315</v>
      </c>
      <c r="D1253" s="79">
        <f>IFERROR(VLOOKUP($G1253,基本資料!$A:$J,6,0),"無")</f>
        <v>-34</v>
      </c>
      <c r="E1253" s="79">
        <f>IFERROR(VLOOKUP($G1253,基本資料!$A:$J,7,0),"無")</f>
        <v>-14</v>
      </c>
      <c r="F1253" s="6">
        <f>IFERROR(VLOOKUP($G1253,基本資料!$A:$J,8,0),"無")</f>
        <v>4.5</v>
      </c>
      <c r="G1253" s="79">
        <v>6265</v>
      </c>
      <c r="H1253" s="8" t="s">
        <v>3218</v>
      </c>
      <c r="I1253" s="16" t="s">
        <v>821</v>
      </c>
      <c r="J1253" s="8">
        <f>IFERROR(VLOOKUP($G1253,今日總結!$A:$AN,39,0),"")</f>
        <v>0</v>
      </c>
      <c r="K1253" s="5">
        <f>IFERROR(VLOOKUP($G1253,今日總結!$A:$AN,40,0),"")</f>
        <v>0</v>
      </c>
      <c r="L1253" s="156">
        <f>IFERROR(VLOOKUP($G1253,今日總結!$A:$AN,37,0),"")</f>
        <v>0</v>
      </c>
      <c r="M1253" s="337">
        <f>IFERROR(VLOOKUP($G1253,今日總結!$A:$AN,38,0),"")</f>
        <v>0</v>
      </c>
      <c r="N1253" s="240">
        <f t="shared" si="219"/>
        <v>0</v>
      </c>
      <c r="O1253" s="359">
        <f>IFERROR(VLOOKUP($G1253,融外自投!$A:$J,7,0),"無")</f>
        <v>289</v>
      </c>
      <c r="P1253" s="79">
        <f>IFERROR(VLOOKUP($G1253,融外自投!$A:$J,9,0),"無")</f>
        <v>365</v>
      </c>
      <c r="Q1253" s="342">
        <f>IFERROR(VLOOKUP($G1253,融外自投!$A:$J,8,0),"無")</f>
        <v>811</v>
      </c>
      <c r="R1253" s="81" t="str">
        <f>IFERROR(VLOOKUP($G1253,融外自投!$A:$J,10,0),"無")</f>
        <v>無</v>
      </c>
      <c r="S1253" s="324">
        <f>IFERROR(VLOOKUP($G1253,'321買'!$A:$E,4,0),"'沒有資料'")</f>
        <v>186</v>
      </c>
      <c r="T1253" s="186">
        <f>IFERROR(VLOOKUP($G1253,基本資料!$A:$J,9,0),"無")</f>
        <v>0</v>
      </c>
      <c r="U1253" s="307">
        <f t="shared" si="215"/>
        <v>0</v>
      </c>
      <c r="V1253" s="94">
        <f>IFERROR(VLOOKUP($G1253,基本資料!$A:$J,10,0),"無")</f>
        <v>0.64</v>
      </c>
      <c r="W1253" s="36">
        <f>RTD("money.excel",,"6265","Price")</f>
        <v>10.3</v>
      </c>
      <c r="X1253" s="66"/>
      <c r="Y1253" s="15">
        <f t="shared" si="216"/>
        <v>10.3</v>
      </c>
      <c r="Z1253" s="3" t="e">
        <f t="shared" si="217"/>
        <v>#DIV/0!</v>
      </c>
      <c r="AA1253" s="340">
        <f>IFERROR(VLOOKUP($G1253,基本資料!$A:$M,11,0),"無")</f>
        <v>-50.84</v>
      </c>
      <c r="AB1253" s="389">
        <f>IFERROR(VLOOKUP($G1253,基本資料!$A:$M,12,0),"無")</f>
        <v>10.15</v>
      </c>
      <c r="AC1253" s="16" t="s">
        <v>821</v>
      </c>
      <c r="AF1253" s="33">
        <f t="shared" si="218"/>
        <v>0</v>
      </c>
      <c r="AG1253" s="43" t="s">
        <v>2651</v>
      </c>
      <c r="AH1253" s="66">
        <f t="shared" si="213"/>
        <v>0.47749669816112977</v>
      </c>
      <c r="AI1253" s="283">
        <f>RTD("money.excel",,$G1253,"PredictVolume")</f>
        <v>235</v>
      </c>
      <c r="AJ1253" s="391">
        <f>IFERROR(VLOOKUP($G1253,基本資料!$A:$M,13,0),"無")</f>
        <v>492.15</v>
      </c>
      <c r="AR1253" s="245" t="str">
        <f>INDEX(基本資料!N:N,MATCH($G1253,基本資料!A:A,0))</f>
        <v>低</v>
      </c>
    </row>
    <row r="1254" spans="1:44">
      <c r="A1254" s="343">
        <f>IFERROR(VLOOKUP($G1254,基本資料!$A:$J,3,0),"無")</f>
        <v>7.21</v>
      </c>
      <c r="B1254" s="79">
        <f>IFERROR(VLOOKUP($G1254,基本資料!$A:$J,4,0),"無")</f>
        <v>84</v>
      </c>
      <c r="C1254" s="79">
        <f>IFERROR(VLOOKUP($G1254,基本資料!$A:$J,5,0),"無")</f>
        <v>61</v>
      </c>
      <c r="D1254" s="79">
        <f>IFERROR(VLOOKUP($G1254,基本資料!$A:$J,6,0),"無")</f>
        <v>-25</v>
      </c>
      <c r="E1254" s="79">
        <f>IFERROR(VLOOKUP($G1254,基本資料!$A:$J,7,0),"無")</f>
        <v>4</v>
      </c>
      <c r="F1254" s="6">
        <f>IFERROR(VLOOKUP($G1254,基本資料!$A:$J,8,0),"無")</f>
        <v>3.78</v>
      </c>
      <c r="G1254" s="79">
        <v>6270</v>
      </c>
      <c r="H1254" s="8" t="s">
        <v>3218</v>
      </c>
      <c r="I1254" s="16" t="s">
        <v>822</v>
      </c>
      <c r="J1254" s="8">
        <f>IFERROR(VLOOKUP($G1254,今日總結!$A:$AN,39,0),"")</f>
        <v>0</v>
      </c>
      <c r="K1254" s="5" t="str">
        <f>IFERROR(VLOOKUP($G1254,今日總結!$A:$AN,40,0),"")</f>
        <v>融</v>
      </c>
      <c r="L1254" s="156">
        <f>IFERROR(VLOOKUP($G1254,今日總結!$A:$AN,37,0),"")</f>
        <v>0</v>
      </c>
      <c r="M1254" s="337">
        <f>IFERROR(VLOOKUP($G1254,今日總結!$A:$AN,38,0),"")</f>
        <v>1</v>
      </c>
      <c r="N1254" s="240">
        <f t="shared" si="219"/>
        <v>-1</v>
      </c>
      <c r="O1254" s="359">
        <f>IFERROR(VLOOKUP($G1254,融外自投!$A:$J,7,0),"無")</f>
        <v>903</v>
      </c>
      <c r="P1254" s="79" t="str">
        <f>IFERROR(VLOOKUP($G1254,融外自投!$A:$J,9,0),"無")</f>
        <v>無</v>
      </c>
      <c r="Q1254" s="342">
        <f>IFERROR(VLOOKUP($G1254,融外自投!$A:$J,8,0),"無")</f>
        <v>1014</v>
      </c>
      <c r="R1254" s="81" t="str">
        <f>IFERROR(VLOOKUP($G1254,融外自投!$A:$J,10,0),"無")</f>
        <v>無</v>
      </c>
      <c r="S1254" s="324">
        <f>IFERROR(VLOOKUP($G1254,'321買'!$A:$E,4,0),"'沒有資料'")</f>
        <v>891</v>
      </c>
      <c r="T1254" s="186">
        <f>IFERROR(VLOOKUP($G1254,基本資料!$A:$J,9,0),"無")</f>
        <v>2</v>
      </c>
      <c r="U1254" s="307">
        <f t="shared" si="215"/>
        <v>8.1466395112016296E-2</v>
      </c>
      <c r="V1254" s="94">
        <f>IFERROR(VLOOKUP($G1254,基本資料!$A:$J,10,0),"無")</f>
        <v>2.36</v>
      </c>
      <c r="W1254" s="36">
        <f>RTD("money.excel",,"6270","Price")</f>
        <v>24.55</v>
      </c>
      <c r="X1254" s="66"/>
      <c r="Y1254" s="15">
        <f t="shared" si="216"/>
        <v>24.55</v>
      </c>
      <c r="Z1254" s="3" t="e">
        <f t="shared" si="217"/>
        <v>#DIV/0!</v>
      </c>
      <c r="AA1254" s="340">
        <f>IFERROR(VLOOKUP($G1254,基本資料!$A:$M,11,0),"無")</f>
        <v>-7.71</v>
      </c>
      <c r="AB1254" s="389">
        <f>IFERROR(VLOOKUP($G1254,基本資料!$A:$M,12,0),"無")</f>
        <v>48.02</v>
      </c>
      <c r="AC1254" s="16" t="s">
        <v>822</v>
      </c>
      <c r="AF1254" s="33">
        <f t="shared" si="218"/>
        <v>0</v>
      </c>
      <c r="AG1254" s="43" t="s">
        <v>2655</v>
      </c>
      <c r="AH1254" s="66">
        <f t="shared" si="213"/>
        <v>0.37610092835039272</v>
      </c>
      <c r="AI1254" s="283">
        <f>RTD("money.excel",,$G1254,"PredictVolume")</f>
        <v>79</v>
      </c>
      <c r="AJ1254" s="391">
        <f>IFERROR(VLOOKUP($G1254,基本資料!$A:$M,13,0),"無")</f>
        <v>210.05</v>
      </c>
      <c r="AR1254" s="245" t="str">
        <f>INDEX(基本資料!N:N,MATCH($G1254,基本資料!A:A,0))</f>
        <v>高</v>
      </c>
    </row>
    <row r="1255" spans="1:44">
      <c r="A1255" s="343">
        <f>IFERROR(VLOOKUP($G1255,基本資料!$A:$J,3,0),"無")</f>
        <v>9.91</v>
      </c>
      <c r="B1255" s="79">
        <f>IFERROR(VLOOKUP($G1255,基本資料!$A:$J,4,0),"無")</f>
        <v>3</v>
      </c>
      <c r="C1255" s="79">
        <f>IFERROR(VLOOKUP($G1255,基本資料!$A:$J,5,0),"無")</f>
        <v>2</v>
      </c>
      <c r="D1255" s="79">
        <f>IFERROR(VLOOKUP($G1255,基本資料!$A:$J,6,0),"無")</f>
        <v>28</v>
      </c>
      <c r="E1255" s="79">
        <f>IFERROR(VLOOKUP($G1255,基本資料!$A:$J,7,0),"無")</f>
        <v>19</v>
      </c>
      <c r="F1255" s="6">
        <f>IFERROR(VLOOKUP($G1255,基本資料!$A:$J,8,0),"無")</f>
        <v>3.64</v>
      </c>
      <c r="G1255" s="79">
        <v>6281</v>
      </c>
      <c r="H1255" s="8" t="s">
        <v>3218</v>
      </c>
      <c r="I1255" s="22" t="s">
        <v>837</v>
      </c>
      <c r="J1255" s="8">
        <f>IFERROR(VLOOKUP($G1255,今日總結!$A:$AN,39,0),"")</f>
        <v>0</v>
      </c>
      <c r="K1255" s="5">
        <f>IFERROR(VLOOKUP($G1255,今日總結!$A:$AN,40,0),"")</f>
        <v>0</v>
      </c>
      <c r="L1255" s="156">
        <f>IFERROR(VLOOKUP($G1255,今日總結!$A:$AN,37,0),"")</f>
        <v>0</v>
      </c>
      <c r="M1255" s="337">
        <f>IFERROR(VLOOKUP($G1255,今日總結!$A:$AN,38,0),"")</f>
        <v>0</v>
      </c>
      <c r="N1255" s="240">
        <f t="shared" si="219"/>
        <v>0</v>
      </c>
      <c r="O1255" s="359">
        <f>IFERROR(VLOOKUP($G1255,融外自投!$A:$J,7,0),"無")</f>
        <v>1462</v>
      </c>
      <c r="P1255" s="79">
        <f>IFERROR(VLOOKUP($G1255,融外自投!$A:$J,9,0),"無")</f>
        <v>302</v>
      </c>
      <c r="Q1255" s="342">
        <f>IFERROR(VLOOKUP($G1255,融外自投!$A:$J,8,0),"無")</f>
        <v>1066</v>
      </c>
      <c r="R1255" s="81" t="str">
        <f>IFERROR(VLOOKUP($G1255,融外自投!$A:$J,10,0),"無")</f>
        <v>無</v>
      </c>
      <c r="S1255" s="324">
        <f>IFERROR(VLOOKUP($G1255,'321買'!$A:$E,4,0),"'沒有資料'")</f>
        <v>1002</v>
      </c>
      <c r="T1255" s="186">
        <f>IFERROR(VLOOKUP($G1255,基本資料!$A:$J,9,0),"無")</f>
        <v>5</v>
      </c>
      <c r="U1255" s="307">
        <f t="shared" si="215"/>
        <v>5.8139534883720929E-2</v>
      </c>
      <c r="V1255" s="94">
        <f>IFERROR(VLOOKUP($G1255,基本資料!$A:$J,10,0),"無")</f>
        <v>6.05</v>
      </c>
      <c r="W1255" s="36">
        <f>RTD("money.excel",,"6281","Price")</f>
        <v>86</v>
      </c>
      <c r="X1255" s="66"/>
      <c r="Y1255" s="15">
        <f t="shared" si="216"/>
        <v>86</v>
      </c>
      <c r="Z1255" s="3" t="e">
        <f t="shared" si="217"/>
        <v>#DIV/0!</v>
      </c>
      <c r="AA1255" s="340">
        <f>IFERROR(VLOOKUP($G1255,基本資料!$A:$M,11,0),"無")</f>
        <v>-1.94</v>
      </c>
      <c r="AB1255" s="389">
        <f>IFERROR(VLOOKUP($G1255,基本資料!$A:$M,12,0),"無")</f>
        <v>53.03</v>
      </c>
      <c r="AC1255" s="22" t="s">
        <v>837</v>
      </c>
      <c r="AF1255" s="33">
        <f t="shared" si="218"/>
        <v>0</v>
      </c>
      <c r="AG1255" s="43" t="s">
        <v>2881</v>
      </c>
      <c r="AH1255" s="66">
        <f t="shared" si="213"/>
        <v>0.77994428969359331</v>
      </c>
      <c r="AI1255" s="283">
        <f>RTD("money.excel",,$G1255,"PredictVolume")</f>
        <v>28</v>
      </c>
      <c r="AJ1255" s="391">
        <f>IFERROR(VLOOKUP($G1255,基本資料!$A:$M,13,0),"無")</f>
        <v>35.9</v>
      </c>
      <c r="AR1255" s="245" t="str">
        <f>INDEX(基本資料!N:N,MATCH($G1255,基本資料!A:A,0))</f>
        <v>高</v>
      </c>
    </row>
    <row r="1256" spans="1:44">
      <c r="A1256" s="343">
        <f>IFERROR(VLOOKUP($G1256,基本資料!$A:$J,3,0),"無")</f>
        <v>8.15</v>
      </c>
      <c r="B1256" s="79">
        <f>IFERROR(VLOOKUP($G1256,基本資料!$A:$J,4,0),"無")</f>
        <v>85</v>
      </c>
      <c r="C1256" s="79">
        <f>IFERROR(VLOOKUP($G1256,基本資料!$A:$J,5,0),"無")</f>
        <v>79</v>
      </c>
      <c r="D1256" s="79">
        <f>IFERROR(VLOOKUP($G1256,基本資料!$A:$J,6,0),"無")</f>
        <v>-15</v>
      </c>
      <c r="E1256" s="79">
        <f>IFERROR(VLOOKUP($G1256,基本資料!$A:$J,7,0),"無")</f>
        <v>41</v>
      </c>
      <c r="F1256" s="6">
        <f>IFERROR(VLOOKUP($G1256,基本資料!$A:$J,8,0),"無")</f>
        <v>1.49</v>
      </c>
      <c r="G1256" s="79">
        <v>6776</v>
      </c>
      <c r="H1256" s="8" t="s">
        <v>3218</v>
      </c>
      <c r="I1256" s="22" t="s">
        <v>3091</v>
      </c>
      <c r="J1256" s="8">
        <f>IFERROR(VLOOKUP($G1256,今日總結!$A:$AN,39,0),"")</f>
        <v>0</v>
      </c>
      <c r="K1256" s="5">
        <f>IFERROR(VLOOKUP($G1256,今日總結!$A:$AN,40,0),"")</f>
        <v>0</v>
      </c>
      <c r="L1256" s="156">
        <f>IFERROR(VLOOKUP($G1256,今日總結!$A:$AN,37,0),"")</f>
        <v>0</v>
      </c>
      <c r="M1256" s="337">
        <f>IFERROR(VLOOKUP($G1256,今日總結!$A:$AN,38,0),"")</f>
        <v>0</v>
      </c>
      <c r="N1256" s="240">
        <f t="shared" si="219"/>
        <v>0</v>
      </c>
      <c r="O1256" s="359">
        <f>IFERROR(VLOOKUP($G1256,融外自投!$A:$J,7,0),"無")</f>
        <v>1379</v>
      </c>
      <c r="P1256" s="79">
        <f>IFERROR(VLOOKUP($G1256,融外自投!$A:$J,9,0),"無")</f>
        <v>1123</v>
      </c>
      <c r="Q1256" s="342">
        <f>IFERROR(VLOOKUP($G1256,融外自投!$A:$J,8,0),"無")</f>
        <v>1327</v>
      </c>
      <c r="R1256" s="81" t="str">
        <f>IFERROR(VLOOKUP($G1256,融外自投!$A:$J,10,0),"無")</f>
        <v>無</v>
      </c>
      <c r="S1256" s="324">
        <f>IFERROR(VLOOKUP($G1256,'321買'!$A:$E,4,0),"'沒有資料'")</f>
        <v>1002</v>
      </c>
      <c r="T1256" s="186">
        <f>IFERROR(VLOOKUP($G1256,基本資料!$A:$J,9,0),"無")</f>
        <v>3.2</v>
      </c>
      <c r="U1256" s="307">
        <f t="shared" si="215"/>
        <v>7.4941451990632318E-2</v>
      </c>
      <c r="V1256" s="94">
        <f>IFERROR(VLOOKUP($G1256,基本資料!$A:$J,10,0),"無")</f>
        <v>4.28</v>
      </c>
      <c r="W1256" s="36">
        <f>RTD("money.excel",,"6776","Price")</f>
        <v>42.7</v>
      </c>
      <c r="X1256" s="66"/>
      <c r="Y1256" s="15">
        <f t="shared" si="216"/>
        <v>42.7</v>
      </c>
      <c r="Z1256" s="3" t="e">
        <f t="shared" si="217"/>
        <v>#DIV/0!</v>
      </c>
      <c r="AA1256" s="340">
        <f>IFERROR(VLOOKUP($G1256,基本資料!$A:$M,11,0),"無")</f>
        <v>-12.86</v>
      </c>
      <c r="AB1256" s="389">
        <f>IFERROR(VLOOKUP($G1256,基本資料!$A:$M,12,0),"無")</f>
        <v>55.25</v>
      </c>
      <c r="AC1256" s="22" t="s">
        <v>3091</v>
      </c>
      <c r="AF1256" s="33">
        <f t="shared" si="218"/>
        <v>0</v>
      </c>
      <c r="AG1256" s="43" t="s">
        <v>1042</v>
      </c>
      <c r="AH1256" s="66">
        <f t="shared" si="213"/>
        <v>1.2392755004766443</v>
      </c>
      <c r="AI1256" s="283">
        <f>RTD("money.excel",,$G1256,"PredictVolume")</f>
        <v>65</v>
      </c>
      <c r="AJ1256" s="391">
        <f>IFERROR(VLOOKUP($G1256,基本資料!$A:$M,13,0),"無")</f>
        <v>52.45</v>
      </c>
      <c r="AR1256" s="245" t="str">
        <f>INDEX(基本資料!N:N,MATCH($G1256,基本資料!A:A,0))</f>
        <v>中</v>
      </c>
    </row>
    <row r="1257" spans="1:44">
      <c r="A1257" s="343">
        <f>IFERROR(VLOOKUP($G1257,基本資料!$A:$J,3,0),"無")</f>
        <v>5.18</v>
      </c>
      <c r="B1257" s="79">
        <f>IFERROR(VLOOKUP($G1257,基本資料!$A:$J,4,0),"無")</f>
        <v>129</v>
      </c>
      <c r="C1257" s="79">
        <f>IFERROR(VLOOKUP($G1257,基本資料!$A:$J,5,0),"無")</f>
        <v>191</v>
      </c>
      <c r="D1257" s="79">
        <f>IFERROR(VLOOKUP($G1257,基本資料!$A:$J,6,0),"無")</f>
        <v>-37</v>
      </c>
      <c r="E1257" s="79">
        <f>IFERROR(VLOOKUP($G1257,基本資料!$A:$J,7,0),"無")</f>
        <v>-24</v>
      </c>
      <c r="F1257" s="6">
        <f>IFERROR(VLOOKUP($G1257,基本資料!$A:$J,8,0),"無")</f>
        <v>4.95</v>
      </c>
      <c r="G1257" s="79">
        <v>8032</v>
      </c>
      <c r="H1257" s="8" t="s">
        <v>3218</v>
      </c>
      <c r="I1257" s="16" t="s">
        <v>823</v>
      </c>
      <c r="J1257" s="8">
        <f>IFERROR(VLOOKUP($G1257,今日總結!$A:$AN,39,0),"")</f>
        <v>0</v>
      </c>
      <c r="K1257" s="5">
        <f>IFERROR(VLOOKUP($G1257,今日總結!$A:$AN,40,0),"")</f>
        <v>0</v>
      </c>
      <c r="L1257" s="156">
        <f>IFERROR(VLOOKUP($G1257,今日總結!$A:$AN,37,0),"")</f>
        <v>0</v>
      </c>
      <c r="M1257" s="337">
        <f>IFERROR(VLOOKUP($G1257,今日總結!$A:$AN,38,0),"")</f>
        <v>0</v>
      </c>
      <c r="N1257" s="240">
        <f t="shared" si="219"/>
        <v>0</v>
      </c>
      <c r="O1257" s="359">
        <f>IFERROR(VLOOKUP($G1257,融外自投!$A:$J,7,0),"無")</f>
        <v>1084</v>
      </c>
      <c r="P1257" s="79" t="str">
        <f>IFERROR(VLOOKUP($G1257,融外自投!$A:$J,9,0),"無")</f>
        <v>無</v>
      </c>
      <c r="Q1257" s="342">
        <f>IFERROR(VLOOKUP($G1257,融外自投!$A:$J,8,0),"無")</f>
        <v>1354</v>
      </c>
      <c r="R1257" s="81" t="str">
        <f>IFERROR(VLOOKUP($G1257,融外自投!$A:$J,10,0),"無")</f>
        <v>無</v>
      </c>
      <c r="S1257" s="324">
        <f>IFERROR(VLOOKUP($G1257,'321買'!$A:$E,4,0),"'沒有資料'")</f>
        <v>1002</v>
      </c>
      <c r="T1257" s="186">
        <f>IFERROR(VLOOKUP($G1257,基本資料!$A:$J,9,0),"無")</f>
        <v>1.8</v>
      </c>
      <c r="U1257" s="307">
        <f t="shared" si="215"/>
        <v>6.3380281690140844E-2</v>
      </c>
      <c r="V1257" s="94">
        <f>IFERROR(VLOOKUP($G1257,基本資料!$A:$J,10,0),"無")</f>
        <v>2.91</v>
      </c>
      <c r="W1257" s="36">
        <f>RTD("money.excel",,"8032","Price")</f>
        <v>28.4</v>
      </c>
      <c r="X1257" s="66"/>
      <c r="Y1257" s="15">
        <f t="shared" si="216"/>
        <v>28.4</v>
      </c>
      <c r="Z1257" s="3" t="e">
        <f t="shared" si="217"/>
        <v>#DIV/0!</v>
      </c>
      <c r="AA1257" s="340">
        <f>IFERROR(VLOOKUP($G1257,基本資料!$A:$M,11,0),"無")</f>
        <v>-13.55</v>
      </c>
      <c r="AB1257" s="389">
        <f>IFERROR(VLOOKUP($G1257,基本資料!$A:$M,12,0),"無")</f>
        <v>50.98</v>
      </c>
      <c r="AC1257" s="16" t="s">
        <v>823</v>
      </c>
      <c r="AF1257" s="33">
        <f t="shared" si="218"/>
        <v>0</v>
      </c>
      <c r="AG1257" s="43" t="s">
        <v>2656</v>
      </c>
      <c r="AH1257" s="66">
        <f t="shared" si="213"/>
        <v>1.096774193548387</v>
      </c>
      <c r="AI1257" s="283">
        <f>RTD("money.excel",,$G1257,"PredictVolume")</f>
        <v>17</v>
      </c>
      <c r="AJ1257" s="391">
        <f>IFERROR(VLOOKUP($G1257,基本資料!$A:$M,13,0),"無")</f>
        <v>15.5</v>
      </c>
      <c r="AR1257" s="245" t="str">
        <f>INDEX(基本資料!N:N,MATCH($G1257,基本資料!A:A,0))</f>
        <v>中</v>
      </c>
    </row>
    <row r="1258" spans="1:44">
      <c r="A1258" s="343">
        <f>IFERROR(VLOOKUP($G1258,基本資料!$A:$J,3,0),"無")</f>
        <v>3</v>
      </c>
      <c r="B1258" s="79">
        <f>IFERROR(VLOOKUP($G1258,基本資料!$A:$J,4,0),"無")</f>
        <v>12</v>
      </c>
      <c r="C1258" s="79">
        <f>IFERROR(VLOOKUP($G1258,基本資料!$A:$J,5,0),"無")</f>
        <v>13</v>
      </c>
      <c r="D1258" s="79">
        <f>IFERROR(VLOOKUP($G1258,基本資料!$A:$J,6,0),"無")</f>
        <v>-61</v>
      </c>
      <c r="E1258" s="79">
        <f>IFERROR(VLOOKUP($G1258,基本資料!$A:$J,7,0),"無")</f>
        <v>-34</v>
      </c>
      <c r="F1258" s="6">
        <f>IFERROR(VLOOKUP($G1258,基本資料!$A:$J,8,0),"無")</f>
        <v>-12.07</v>
      </c>
      <c r="G1258" s="79">
        <v>8067</v>
      </c>
      <c r="H1258" s="8" t="s">
        <v>3218</v>
      </c>
      <c r="I1258" s="16" t="s">
        <v>824</v>
      </c>
      <c r="J1258" s="8" t="str">
        <f>IFERROR(VLOOKUP($G1258,今日總結!$A:$AN,39,0),"")</f>
        <v/>
      </c>
      <c r="K1258" s="5" t="str">
        <f>IFERROR(VLOOKUP($G1258,今日總結!$A:$AN,40,0),"")</f>
        <v/>
      </c>
      <c r="L1258" s="156" t="str">
        <f>IFERROR(VLOOKUP($G1258,今日總結!$A:$AN,37,0),"")</f>
        <v/>
      </c>
      <c r="M1258" s="337" t="str">
        <f>IFERROR(VLOOKUP($G1258,今日總結!$A:$AN,38,0),"")</f>
        <v/>
      </c>
      <c r="N1258" s="240" t="str">
        <f t="shared" si="219"/>
        <v/>
      </c>
      <c r="O1258" s="359" t="str">
        <f>IFERROR(VLOOKUP($G1258,融外自投!$A:$J,7,0),"無")</f>
        <v>無</v>
      </c>
      <c r="P1258" s="79" t="str">
        <f>IFERROR(VLOOKUP($G1258,融外自投!$A:$J,9,0),"無")</f>
        <v>無</v>
      </c>
      <c r="Q1258" s="342" t="str">
        <f>IFERROR(VLOOKUP($G1258,融外自投!$A:$J,8,0),"無")</f>
        <v>無</v>
      </c>
      <c r="R1258" s="81" t="str">
        <f>IFERROR(VLOOKUP($G1258,融外自投!$A:$J,10,0),"無")</f>
        <v>無</v>
      </c>
      <c r="S1258" s="324" t="str">
        <f>IFERROR(VLOOKUP($G1258,'321買'!$A:$E,4,0),"'沒有資料'")</f>
        <v>'沒有資料'</v>
      </c>
      <c r="T1258" s="186">
        <f>IFERROR(VLOOKUP($G1258,基本資料!$A:$J,9,0),"無")</f>
        <v>0</v>
      </c>
      <c r="U1258" s="307">
        <f t="shared" si="215"/>
        <v>0</v>
      </c>
      <c r="V1258" s="94">
        <f>IFERROR(VLOOKUP($G1258,基本資料!$A:$J,10,0),"無")</f>
        <v>-0.92</v>
      </c>
      <c r="W1258" s="36">
        <f>RTD("money.excel",,"8067","Price")</f>
        <v>9</v>
      </c>
      <c r="X1258" s="66"/>
      <c r="Y1258" s="15">
        <f t="shared" si="216"/>
        <v>9</v>
      </c>
      <c r="Z1258" s="3" t="e">
        <f t="shared" si="217"/>
        <v>#DIV/0!</v>
      </c>
      <c r="AA1258" s="340">
        <f>IFERROR(VLOOKUP($G1258,基本資料!$A:$M,11,0),"無")</f>
        <v>-24.69</v>
      </c>
      <c r="AB1258" s="389">
        <f>IFERROR(VLOOKUP($G1258,基本資料!$A:$M,12,0),"無")</f>
        <v>25.91</v>
      </c>
      <c r="AC1258" s="16" t="s">
        <v>824</v>
      </c>
      <c r="AF1258" s="33">
        <f t="shared" si="218"/>
        <v>0</v>
      </c>
      <c r="AG1258" s="43" t="s">
        <v>2657</v>
      </c>
      <c r="AH1258" s="66">
        <f t="shared" si="213"/>
        <v>0.94117647058823528</v>
      </c>
      <c r="AI1258" s="283">
        <f>RTD("money.excel",,$G1258,"PredictVolume")</f>
        <v>12</v>
      </c>
      <c r="AJ1258" s="391">
        <f>IFERROR(VLOOKUP($G1258,基本資料!$A:$M,13,0),"無")</f>
        <v>12.75</v>
      </c>
      <c r="AR1258" s="245" t="str">
        <f>INDEX(基本資料!N:N,MATCH($G1258,基本資料!A:A,0))</f>
        <v>低</v>
      </c>
    </row>
    <row r="1259" spans="1:44">
      <c r="A1259" s="343">
        <f>IFERROR(VLOOKUP($G1259,基本資料!$A:$J,3,0),"無")</f>
        <v>6.86</v>
      </c>
      <c r="B1259" s="79">
        <f>IFERROR(VLOOKUP($G1259,基本資料!$A:$J,4,0),"無")</f>
        <v>-44</v>
      </c>
      <c r="C1259" s="79">
        <f>IFERROR(VLOOKUP($G1259,基本資料!$A:$J,5,0),"無")</f>
        <v>-362</v>
      </c>
      <c r="D1259" s="79">
        <f>IFERROR(VLOOKUP($G1259,基本資料!$A:$J,6,0),"無")</f>
        <v>-45</v>
      </c>
      <c r="E1259" s="79">
        <f>IFERROR(VLOOKUP($G1259,基本資料!$A:$J,7,0),"無")</f>
        <v>350</v>
      </c>
      <c r="F1259" s="6">
        <f>IFERROR(VLOOKUP($G1259,基本資料!$A:$J,8,0),"無")</f>
        <v>-12.45</v>
      </c>
      <c r="G1259" s="79">
        <v>8068</v>
      </c>
      <c r="H1259" s="8" t="s">
        <v>3218</v>
      </c>
      <c r="I1259" s="16" t="s">
        <v>825</v>
      </c>
      <c r="J1259" s="8" t="str">
        <f>IFERROR(VLOOKUP($G1259,今日總結!$A:$AN,39,0),"")</f>
        <v/>
      </c>
      <c r="K1259" s="5" t="str">
        <f>IFERROR(VLOOKUP($G1259,今日總結!$A:$AN,40,0),"")</f>
        <v/>
      </c>
      <c r="L1259" s="156" t="str">
        <f>IFERROR(VLOOKUP($G1259,今日總結!$A:$AN,37,0),"")</f>
        <v/>
      </c>
      <c r="M1259" s="337" t="str">
        <f>IFERROR(VLOOKUP($G1259,今日總結!$A:$AN,38,0),"")</f>
        <v/>
      </c>
      <c r="N1259" s="240" t="str">
        <f t="shared" si="219"/>
        <v/>
      </c>
      <c r="O1259" s="359" t="str">
        <f>IFERROR(VLOOKUP($G1259,融外自投!$A:$J,7,0),"無")</f>
        <v>無</v>
      </c>
      <c r="P1259" s="79" t="str">
        <f>IFERROR(VLOOKUP($G1259,融外自投!$A:$J,9,0),"無")</f>
        <v>無</v>
      </c>
      <c r="Q1259" s="342" t="str">
        <f>IFERROR(VLOOKUP($G1259,融外自投!$A:$J,8,0),"無")</f>
        <v>無</v>
      </c>
      <c r="R1259" s="81" t="str">
        <f>IFERROR(VLOOKUP($G1259,融外自投!$A:$J,10,0),"無")</f>
        <v>無</v>
      </c>
      <c r="S1259" s="324" t="str">
        <f>IFERROR(VLOOKUP($G1259,'321買'!$A:$E,4,0),"'沒有資料'")</f>
        <v>'沒有資料'</v>
      </c>
      <c r="T1259" s="186">
        <f>IFERROR(VLOOKUP($G1259,基本資料!$A:$J,9,0),"無")</f>
        <v>0</v>
      </c>
      <c r="U1259" s="307">
        <f t="shared" si="215"/>
        <v>0</v>
      </c>
      <c r="V1259" s="94">
        <f>IFERROR(VLOOKUP($G1259,基本資料!$A:$J,10,0),"無")</f>
        <v>-0.52</v>
      </c>
      <c r="W1259" s="36">
        <f>RTD("money.excel",,"8068","Price")</f>
        <v>25.9</v>
      </c>
      <c r="X1259" s="66"/>
      <c r="Y1259" s="15">
        <f t="shared" si="216"/>
        <v>25.9</v>
      </c>
      <c r="Z1259" s="3" t="e">
        <f t="shared" si="217"/>
        <v>#DIV/0!</v>
      </c>
      <c r="AA1259" s="340">
        <f>IFERROR(VLOOKUP($G1259,基本資料!$A:$M,11,0),"無")</f>
        <v>-46.38</v>
      </c>
      <c r="AB1259" s="389">
        <f>IFERROR(VLOOKUP($G1259,基本資料!$A:$M,12,0),"無")</f>
        <v>10.68</v>
      </c>
      <c r="AC1259" s="16" t="s">
        <v>825</v>
      </c>
      <c r="AF1259" s="33">
        <f t="shared" si="218"/>
        <v>0</v>
      </c>
      <c r="AG1259" s="43" t="s">
        <v>2658</v>
      </c>
      <c r="AH1259" s="66">
        <f t="shared" si="213"/>
        <v>0.59225512528473812</v>
      </c>
      <c r="AI1259" s="283">
        <f>RTD("money.excel",,$G1259,"PredictVolume")</f>
        <v>26</v>
      </c>
      <c r="AJ1259" s="391">
        <f>IFERROR(VLOOKUP($G1259,基本資料!$A:$M,13,0),"無")</f>
        <v>43.9</v>
      </c>
      <c r="AR1259" s="245" t="str">
        <f>INDEX(基本資料!N:N,MATCH($G1259,基本資料!A:A,0))</f>
        <v>低</v>
      </c>
    </row>
    <row r="1260" spans="1:44">
      <c r="A1260" s="343">
        <f>IFERROR(VLOOKUP($G1260,基本資料!$A:$J,3,0),"無")</f>
        <v>6.89</v>
      </c>
      <c r="B1260" s="79">
        <f>IFERROR(VLOOKUP($G1260,基本資料!$A:$J,4,0),"無")</f>
        <v>82</v>
      </c>
      <c r="C1260" s="79">
        <f>IFERROR(VLOOKUP($G1260,基本資料!$A:$J,5,0),"無")</f>
        <v>93</v>
      </c>
      <c r="D1260" s="79">
        <f>IFERROR(VLOOKUP($G1260,基本資料!$A:$J,6,0),"無")</f>
        <v>-8</v>
      </c>
      <c r="E1260" s="79">
        <f>IFERROR(VLOOKUP($G1260,基本資料!$A:$J,7,0),"無")</f>
        <v>16</v>
      </c>
      <c r="F1260" s="6">
        <f>IFERROR(VLOOKUP($G1260,基本資料!$A:$J,8,0),"無")</f>
        <v>12.38</v>
      </c>
      <c r="G1260" s="79">
        <v>8070</v>
      </c>
      <c r="H1260" s="8" t="s">
        <v>3218</v>
      </c>
      <c r="I1260" s="22" t="s">
        <v>225</v>
      </c>
      <c r="J1260" s="8" t="str">
        <f>IFERROR(VLOOKUP($G1260,今日總結!$A:$AN,39,0),"")</f>
        <v>主</v>
      </c>
      <c r="K1260" s="5" t="str">
        <f>IFERROR(VLOOKUP($G1260,今日總結!$A:$AN,40,0),"")</f>
        <v>借</v>
      </c>
      <c r="L1260" s="156">
        <f>IFERROR(VLOOKUP($G1260,今日總結!$A:$AN,37,0),"")</f>
        <v>1</v>
      </c>
      <c r="M1260" s="337">
        <f>IFERROR(VLOOKUP($G1260,今日總結!$A:$AN,38,0),"")</f>
        <v>2</v>
      </c>
      <c r="N1260" s="240">
        <f t="shared" si="219"/>
        <v>-1</v>
      </c>
      <c r="O1260" s="359">
        <f>IFERROR(VLOOKUP($G1260,融外自投!$A:$J,7,0),"無")</f>
        <v>698</v>
      </c>
      <c r="P1260" s="79">
        <f>IFERROR(VLOOKUP($G1260,融外自投!$A:$J,9,0),"無")</f>
        <v>946</v>
      </c>
      <c r="Q1260" s="342">
        <f>IFERROR(VLOOKUP($G1260,融外自投!$A:$J,8,0),"無")</f>
        <v>453</v>
      </c>
      <c r="R1260" s="81" t="str">
        <f>IFERROR(VLOOKUP($G1260,融外自投!$A:$J,10,0),"無")</f>
        <v>無</v>
      </c>
      <c r="S1260" s="324">
        <f>IFERROR(VLOOKUP($G1260,'321買'!$A:$E,4,0),"'沒有資料'")</f>
        <v>23</v>
      </c>
      <c r="T1260" s="186">
        <f>IFERROR(VLOOKUP($G1260,基本資料!$A:$J,9,0),"無")</f>
        <v>2</v>
      </c>
      <c r="U1260" s="307">
        <f t="shared" si="215"/>
        <v>5.4945054945054944E-2</v>
      </c>
      <c r="V1260" s="94">
        <f>IFERROR(VLOOKUP($G1260,基本資料!$A:$J,10,0),"無")</f>
        <v>2.54</v>
      </c>
      <c r="W1260" s="36">
        <f>RTD("money.excel",,"8070","Price")</f>
        <v>36.4</v>
      </c>
      <c r="X1260" s="66"/>
      <c r="Y1260" s="15">
        <f t="shared" si="216"/>
        <v>36.4</v>
      </c>
      <c r="Z1260" s="3" t="e">
        <f t="shared" si="217"/>
        <v>#DIV/0!</v>
      </c>
      <c r="AA1260" s="340">
        <f>IFERROR(VLOOKUP($G1260,基本資料!$A:$M,11,0),"無")</f>
        <v>-9.34</v>
      </c>
      <c r="AB1260" s="389">
        <f>IFERROR(VLOOKUP($G1260,基本資料!$A:$M,12,0),"無")</f>
        <v>49.13</v>
      </c>
      <c r="AC1260" s="22" t="s">
        <v>225</v>
      </c>
      <c r="AF1260" s="33">
        <f t="shared" si="218"/>
        <v>0</v>
      </c>
      <c r="AG1260" s="117" t="s">
        <v>2882</v>
      </c>
      <c r="AH1260" s="66">
        <f t="shared" si="213"/>
        <v>0.96540155168798492</v>
      </c>
      <c r="AI1260" s="283">
        <f>RTD("money.excel",,$G1260,"PredictVolume")</f>
        <v>1151</v>
      </c>
      <c r="AJ1260" s="391">
        <f>IFERROR(VLOOKUP($G1260,基本資料!$A:$M,13,0),"無")</f>
        <v>1192.25</v>
      </c>
      <c r="AR1260" s="245" t="str">
        <f>INDEX(基本資料!N:N,MATCH($G1260,基本資料!A:A,0))</f>
        <v>中</v>
      </c>
    </row>
    <row r="1261" spans="1:44">
      <c r="A1261" s="343">
        <f>IFERROR(VLOOKUP($G1261,基本資料!$A:$J,3,0),"無")</f>
        <v>8</v>
      </c>
      <c r="B1261" s="79">
        <f>IFERROR(VLOOKUP($G1261,基本資料!$A:$J,4,0),"無")</f>
        <v>1375</v>
      </c>
      <c r="C1261" s="79">
        <f>IFERROR(VLOOKUP($G1261,基本資料!$A:$J,5,0),"無")</f>
        <v>1036</v>
      </c>
      <c r="D1261" s="79">
        <f>IFERROR(VLOOKUP($G1261,基本資料!$A:$J,6,0),"無")</f>
        <v>-1</v>
      </c>
      <c r="E1261" s="79">
        <f>IFERROR(VLOOKUP($G1261,基本資料!$A:$J,7,0),"無")</f>
        <v>-3</v>
      </c>
      <c r="F1261" s="6">
        <f>IFERROR(VLOOKUP($G1261,基本資料!$A:$J,8,0),"無")</f>
        <v>2.42</v>
      </c>
      <c r="G1261" s="79">
        <v>8072</v>
      </c>
      <c r="H1261" s="8" t="s">
        <v>3218</v>
      </c>
      <c r="I1261" s="22" t="s">
        <v>838</v>
      </c>
      <c r="J1261" s="8">
        <f>IFERROR(VLOOKUP($G1261,今日總結!$A:$AN,39,0),"")</f>
        <v>0</v>
      </c>
      <c r="K1261" s="5" t="str">
        <f>IFERROR(VLOOKUP($G1261,今日總結!$A:$AN,40,0),"")</f>
        <v>主</v>
      </c>
      <c r="L1261" s="156">
        <f>IFERROR(VLOOKUP($G1261,今日總結!$A:$AN,37,0),"")</f>
        <v>0</v>
      </c>
      <c r="M1261" s="337">
        <f>IFERROR(VLOOKUP($G1261,今日總結!$A:$AN,38,0),"")</f>
        <v>2</v>
      </c>
      <c r="N1261" s="240">
        <f t="shared" si="219"/>
        <v>-2</v>
      </c>
      <c r="O1261" s="359">
        <f>IFERROR(VLOOKUP($G1261,融外自投!$A:$J,7,0),"無")</f>
        <v>1133</v>
      </c>
      <c r="P1261" s="79">
        <f>IFERROR(VLOOKUP($G1261,融外自投!$A:$J,9,0),"無")</f>
        <v>990</v>
      </c>
      <c r="Q1261" s="342">
        <f>IFERROR(VLOOKUP($G1261,融外自投!$A:$J,8,0),"無")</f>
        <v>1189</v>
      </c>
      <c r="R1261" s="81" t="str">
        <f>IFERROR(VLOOKUP($G1261,融外自投!$A:$J,10,0),"無")</f>
        <v>無</v>
      </c>
      <c r="S1261" s="324">
        <f>IFERROR(VLOOKUP($G1261,'321買'!$A:$E,4,0),"'沒有資料'")</f>
        <v>1002</v>
      </c>
      <c r="T1261" s="186">
        <f>IFERROR(VLOOKUP($G1261,基本資料!$A:$J,9,0),"無")</f>
        <v>0.35</v>
      </c>
      <c r="U1261" s="307">
        <f t="shared" si="215"/>
        <v>1.4861995753715497E-2</v>
      </c>
      <c r="V1261" s="94">
        <f>IFERROR(VLOOKUP($G1261,基本資料!$A:$J,10,0),"無")</f>
        <v>0.39</v>
      </c>
      <c r="W1261" s="36">
        <f>RTD("money.excel",,"8072","Price")</f>
        <v>23.55</v>
      </c>
      <c r="X1261" s="66"/>
      <c r="Y1261" s="15">
        <f t="shared" si="216"/>
        <v>23.55</v>
      </c>
      <c r="Z1261" s="3" t="e">
        <f t="shared" si="217"/>
        <v>#DIV/0!</v>
      </c>
      <c r="AA1261" s="340">
        <f>IFERROR(VLOOKUP($G1261,基本資料!$A:$M,11,0),"無")</f>
        <v>-18.23</v>
      </c>
      <c r="AB1261" s="389">
        <f>IFERROR(VLOOKUP($G1261,基本資料!$A:$M,12,0),"無")</f>
        <v>22.47</v>
      </c>
      <c r="AC1261" s="22" t="s">
        <v>838</v>
      </c>
      <c r="AF1261" s="33">
        <f t="shared" si="218"/>
        <v>0</v>
      </c>
      <c r="AG1261" s="43" t="s">
        <v>2883</v>
      </c>
      <c r="AH1261" s="66">
        <f t="shared" si="213"/>
        <v>1.2371134020618557</v>
      </c>
      <c r="AI1261" s="283">
        <f>RTD("money.excel",,$G1261,"PredictVolume")</f>
        <v>24</v>
      </c>
      <c r="AJ1261" s="391">
        <f>IFERROR(VLOOKUP($G1261,基本資料!$A:$M,13,0),"無")</f>
        <v>19.399999999999999</v>
      </c>
      <c r="AR1261" s="245" t="str">
        <f>INDEX(基本資料!N:N,MATCH($G1261,基本資料!A:A,0))</f>
        <v>低</v>
      </c>
    </row>
    <row r="1262" spans="1:44">
      <c r="A1262" s="343">
        <f>IFERROR(VLOOKUP($G1262,基本資料!$A:$J,3,0),"無")</f>
        <v>6.95</v>
      </c>
      <c r="B1262" s="79">
        <f>IFERROR(VLOOKUP($G1262,基本資料!$A:$J,4,0),"無")</f>
        <v>62</v>
      </c>
      <c r="C1262" s="79">
        <f>IFERROR(VLOOKUP($G1262,基本資料!$A:$J,5,0),"無")</f>
        <v>64</v>
      </c>
      <c r="D1262" s="79">
        <f>IFERROR(VLOOKUP($G1262,基本資料!$A:$J,6,0),"無")</f>
        <v>-19</v>
      </c>
      <c r="E1262" s="79">
        <f>IFERROR(VLOOKUP($G1262,基本資料!$A:$J,7,0),"無")</f>
        <v>9</v>
      </c>
      <c r="F1262" s="6">
        <f>IFERROR(VLOOKUP($G1262,基本資料!$A:$J,8,0),"無")</f>
        <v>-7.56</v>
      </c>
      <c r="G1262" s="79">
        <v>8084</v>
      </c>
      <c r="H1262" s="8" t="s">
        <v>3218</v>
      </c>
      <c r="I1262" s="16" t="s">
        <v>826</v>
      </c>
      <c r="J1262" s="8" t="str">
        <f>IFERROR(VLOOKUP($G1262,今日總結!$A:$AN,39,0),"")</f>
        <v/>
      </c>
      <c r="K1262" s="5" t="str">
        <f>IFERROR(VLOOKUP($G1262,今日總結!$A:$AN,40,0),"")</f>
        <v/>
      </c>
      <c r="L1262" s="156" t="str">
        <f>IFERROR(VLOOKUP($G1262,今日總結!$A:$AN,37,0),"")</f>
        <v/>
      </c>
      <c r="M1262" s="337" t="str">
        <f>IFERROR(VLOOKUP($G1262,今日總結!$A:$AN,38,0),"")</f>
        <v/>
      </c>
      <c r="N1262" s="240" t="str">
        <f t="shared" si="219"/>
        <v/>
      </c>
      <c r="O1262" s="359" t="str">
        <f>IFERROR(VLOOKUP($G1262,融外自投!$A:$J,7,0),"無")</f>
        <v>無</v>
      </c>
      <c r="P1262" s="79" t="str">
        <f>IFERROR(VLOOKUP($G1262,融外自投!$A:$J,9,0),"無")</f>
        <v>無</v>
      </c>
      <c r="Q1262" s="342" t="str">
        <f>IFERROR(VLOOKUP($G1262,融外自投!$A:$J,8,0),"無")</f>
        <v>無</v>
      </c>
      <c r="R1262" s="81" t="str">
        <f>IFERROR(VLOOKUP($G1262,融外自投!$A:$J,10,0),"無")</f>
        <v>無</v>
      </c>
      <c r="S1262" s="324" t="str">
        <f>IFERROR(VLOOKUP($G1262,'321買'!$A:$E,4,0),"'沒有資料'")</f>
        <v>'沒有資料'</v>
      </c>
      <c r="T1262" s="186">
        <f>IFERROR(VLOOKUP($G1262,基本資料!$A:$J,9,0),"無")</f>
        <v>0</v>
      </c>
      <c r="U1262" s="307">
        <f t="shared" si="215"/>
        <v>0</v>
      </c>
      <c r="V1262" s="94">
        <f>IFERROR(VLOOKUP($G1262,基本資料!$A:$J,10,0),"無")</f>
        <v>-0.83</v>
      </c>
      <c r="W1262" s="36">
        <f>RTD("money.excel",,"8084","Price")</f>
        <v>78.5</v>
      </c>
      <c r="X1262" s="66"/>
      <c r="Y1262" s="15">
        <f t="shared" si="216"/>
        <v>78.5</v>
      </c>
      <c r="Z1262" s="3" t="e">
        <f t="shared" si="217"/>
        <v>#DIV/0!</v>
      </c>
      <c r="AA1262" s="340">
        <f>IFERROR(VLOOKUP($G1262,基本資料!$A:$M,11,0),"無")</f>
        <v>-10.8</v>
      </c>
      <c r="AB1262" s="389">
        <f>IFERROR(VLOOKUP($G1262,基本資料!$A:$M,12,0),"無")</f>
        <v>82.53</v>
      </c>
      <c r="AC1262" s="16" t="s">
        <v>826</v>
      </c>
      <c r="AF1262" s="33">
        <f t="shared" si="218"/>
        <v>0</v>
      </c>
      <c r="AG1262" s="43" t="s">
        <v>2042</v>
      </c>
      <c r="AH1262" s="66">
        <f t="shared" si="213"/>
        <v>0.50615595075239406</v>
      </c>
      <c r="AI1262" s="283">
        <f>RTD("money.excel",,$G1262,"PredictVolume")</f>
        <v>74</v>
      </c>
      <c r="AJ1262" s="391">
        <f>IFERROR(VLOOKUP($G1262,基本資料!$A:$M,13,0),"無")</f>
        <v>146.19999999999999</v>
      </c>
      <c r="AR1262" s="245" t="str">
        <f>INDEX(基本資料!N:N,MATCH($G1262,基本資料!A:A,0))</f>
        <v>高</v>
      </c>
    </row>
    <row r="1263" spans="1:44">
      <c r="A1263" s="343">
        <f>IFERROR(VLOOKUP($G1263,基本資料!$A:$J,3,0),"無")</f>
        <v>14.52</v>
      </c>
      <c r="B1263" s="79">
        <f>IFERROR(VLOOKUP($G1263,基本資料!$A:$J,4,0),"無")</f>
        <v>71</v>
      </c>
      <c r="C1263" s="79">
        <f>IFERROR(VLOOKUP($G1263,基本資料!$A:$J,5,0),"無")</f>
        <v>2</v>
      </c>
      <c r="D1263" s="79">
        <f>IFERROR(VLOOKUP($G1263,基本資料!$A:$J,6,0),"無")</f>
        <v>-25</v>
      </c>
      <c r="E1263" s="79">
        <f>IFERROR(VLOOKUP($G1263,基本資料!$A:$J,7,0),"無")</f>
        <v>-3</v>
      </c>
      <c r="F1263" s="6">
        <f>IFERROR(VLOOKUP($G1263,基本資料!$A:$J,8,0),"無")</f>
        <v>0.96</v>
      </c>
      <c r="G1263" s="79">
        <v>8096</v>
      </c>
      <c r="H1263" s="8" t="s">
        <v>3218</v>
      </c>
      <c r="I1263" s="16" t="s">
        <v>827</v>
      </c>
      <c r="J1263" s="8" t="str">
        <f>IFERROR(VLOOKUP($G1263,今日總結!$A:$AN,39,0),"")</f>
        <v>3融</v>
      </c>
      <c r="K1263" s="5">
        <f>IFERROR(VLOOKUP($G1263,今日總結!$A:$AN,40,0),"")</f>
        <v>2</v>
      </c>
      <c r="L1263" s="156">
        <f>IFERROR(VLOOKUP($G1263,今日總結!$A:$AN,37,0),"")</f>
        <v>4</v>
      </c>
      <c r="M1263" s="337">
        <f>IFERROR(VLOOKUP($G1263,今日總結!$A:$AN,38,0),"")</f>
        <v>1</v>
      </c>
      <c r="N1263" s="240">
        <f t="shared" si="219"/>
        <v>3</v>
      </c>
      <c r="O1263" s="359">
        <f>IFERROR(VLOOKUP($G1263,融外自投!$A:$J,7,0),"無")</f>
        <v>324</v>
      </c>
      <c r="P1263" s="79">
        <f>IFERROR(VLOOKUP($G1263,融外自投!$A:$J,9,0),"無")</f>
        <v>869</v>
      </c>
      <c r="Q1263" s="342">
        <f>IFERROR(VLOOKUP($G1263,融外自投!$A:$J,8,0),"無")</f>
        <v>258</v>
      </c>
      <c r="R1263" s="81" t="str">
        <f>IFERROR(VLOOKUP($G1263,融外自投!$A:$J,10,0),"無")</f>
        <v>無</v>
      </c>
      <c r="S1263" s="324">
        <f>IFERROR(VLOOKUP($G1263,'321買'!$A:$E,4,0),"'沒有資料'")</f>
        <v>465</v>
      </c>
      <c r="T1263" s="186">
        <f>IFERROR(VLOOKUP($G1263,基本資料!$A:$J,9,0),"無")</f>
        <v>0.5</v>
      </c>
      <c r="U1263" s="307">
        <f t="shared" si="215"/>
        <v>3.484320557491289E-2</v>
      </c>
      <c r="V1263" s="94">
        <f>IFERROR(VLOOKUP($G1263,基本資料!$A:$J,10,0),"無")</f>
        <v>1.1299999999999999</v>
      </c>
      <c r="W1263" s="36">
        <f>RTD("money.excel",,"8096","Price")</f>
        <v>14.35</v>
      </c>
      <c r="X1263" s="66"/>
      <c r="Y1263" s="15">
        <f t="shared" si="216"/>
        <v>14.35</v>
      </c>
      <c r="Z1263" s="3" t="e">
        <f t="shared" si="217"/>
        <v>#DIV/0!</v>
      </c>
      <c r="AA1263" s="340">
        <f>IFERROR(VLOOKUP($G1263,基本資料!$A:$M,11,0),"無")</f>
        <v>-13.29</v>
      </c>
      <c r="AB1263" s="389">
        <f>IFERROR(VLOOKUP($G1263,基本資料!$A:$M,12,0),"無")</f>
        <v>57.44</v>
      </c>
      <c r="AC1263" s="16" t="s">
        <v>827</v>
      </c>
      <c r="AF1263" s="33">
        <f t="shared" si="218"/>
        <v>0</v>
      </c>
      <c r="AG1263" s="43" t="s">
        <v>2541</v>
      </c>
      <c r="AH1263" s="66">
        <f t="shared" si="213"/>
        <v>13.425065818886296</v>
      </c>
      <c r="AI1263" s="283">
        <f>RTD("money.excel",,$G1263,"PredictVolume")</f>
        <v>13513</v>
      </c>
      <c r="AJ1263" s="391">
        <f>IFERROR(VLOOKUP($G1263,基本資料!$A:$M,13,0),"無")</f>
        <v>1006.55</v>
      </c>
      <c r="AR1263" s="245" t="str">
        <f>INDEX(基本資料!N:N,MATCH($G1263,基本資料!A:A,0))</f>
        <v>中</v>
      </c>
    </row>
    <row r="1264" spans="1:44">
      <c r="A1264" s="343">
        <f>IFERROR(VLOOKUP($G1264,基本資料!$A:$J,3,0),"無")</f>
        <v>42.84</v>
      </c>
      <c r="B1264" s="79">
        <f>IFERROR(VLOOKUP($G1264,基本資料!$A:$J,4,0),"無")</f>
        <v>71</v>
      </c>
      <c r="C1264" s="79">
        <f>IFERROR(VLOOKUP($G1264,基本資料!$A:$J,5,0),"無")</f>
        <v>93</v>
      </c>
      <c r="D1264" s="79">
        <f>IFERROR(VLOOKUP($G1264,基本資料!$A:$J,6,0),"無")</f>
        <v>-19</v>
      </c>
      <c r="E1264" s="79">
        <f>IFERROR(VLOOKUP($G1264,基本資料!$A:$J,7,0),"無")</f>
        <v>-3</v>
      </c>
      <c r="F1264" s="6">
        <f>IFERROR(VLOOKUP($G1264,基本資料!$A:$J,8,0),"無")</f>
        <v>2.15</v>
      </c>
      <c r="G1264" s="79">
        <v>8112</v>
      </c>
      <c r="H1264" s="8" t="s">
        <v>3218</v>
      </c>
      <c r="I1264" s="22" t="s">
        <v>120</v>
      </c>
      <c r="J1264" s="8">
        <f>IFERROR(VLOOKUP($G1264,今日總結!$A:$AN,39,0),"")</f>
        <v>0</v>
      </c>
      <c r="K1264" s="5">
        <f>IFERROR(VLOOKUP($G1264,今日總結!$A:$AN,40,0),"")</f>
        <v>0</v>
      </c>
      <c r="L1264" s="156">
        <f>IFERROR(VLOOKUP($G1264,今日總結!$A:$AN,37,0),"")</f>
        <v>0</v>
      </c>
      <c r="M1264" s="337">
        <f>IFERROR(VLOOKUP($G1264,今日總結!$A:$AN,38,0),"")</f>
        <v>0</v>
      </c>
      <c r="N1264" s="240">
        <f t="shared" si="219"/>
        <v>0</v>
      </c>
      <c r="O1264" s="359">
        <f>IFERROR(VLOOKUP($G1264,融外自投!$A:$J,7,0),"無")</f>
        <v>757</v>
      </c>
      <c r="P1264" s="79">
        <f>IFERROR(VLOOKUP($G1264,融外自投!$A:$J,9,0),"無")</f>
        <v>57</v>
      </c>
      <c r="Q1264" s="342">
        <f>IFERROR(VLOOKUP($G1264,融外自投!$A:$J,8,0),"無")</f>
        <v>338</v>
      </c>
      <c r="R1264" s="81" t="str">
        <f>IFERROR(VLOOKUP($G1264,融外自投!$A:$J,10,0),"無")</f>
        <v>無</v>
      </c>
      <c r="S1264" s="324">
        <f>IFERROR(VLOOKUP($G1264,'321買'!$A:$E,4,0),"'沒有資料'")</f>
        <v>202</v>
      </c>
      <c r="T1264" s="186">
        <f>IFERROR(VLOOKUP($G1264,基本資料!$A:$J,9,0),"無")</f>
        <v>4</v>
      </c>
      <c r="U1264" s="307">
        <f t="shared" si="215"/>
        <v>8.6299892125134836E-2</v>
      </c>
      <c r="V1264" s="94">
        <f>IFERROR(VLOOKUP($G1264,基本資料!$A:$J,10,0),"無")</f>
        <v>7.02</v>
      </c>
      <c r="W1264" s="36">
        <f>RTD("money.excel",,"8112","Price")</f>
        <v>46.35</v>
      </c>
      <c r="X1264" s="66"/>
      <c r="Y1264" s="15">
        <f t="shared" si="216"/>
        <v>46.35</v>
      </c>
      <c r="Z1264" s="3" t="e">
        <f t="shared" si="217"/>
        <v>#DIV/0!</v>
      </c>
      <c r="AA1264" s="340">
        <f>IFERROR(VLOOKUP($G1264,基本資料!$A:$M,11,0),"無")</f>
        <v>-20.36</v>
      </c>
      <c r="AB1264" s="389">
        <f>IFERROR(VLOOKUP($G1264,基本資料!$A:$M,12,0),"無")</f>
        <v>20.28</v>
      </c>
      <c r="AC1264" s="22" t="s">
        <v>120</v>
      </c>
      <c r="AF1264" s="33">
        <f t="shared" si="218"/>
        <v>0</v>
      </c>
      <c r="AG1264" s="117" t="s">
        <v>1964</v>
      </c>
      <c r="AH1264" s="66">
        <f t="shared" si="213"/>
        <v>0.8585346052364522</v>
      </c>
      <c r="AI1264" s="283">
        <f>RTD("money.excel",,$G1264,"PredictVolume")</f>
        <v>2115</v>
      </c>
      <c r="AJ1264" s="391">
        <f>IFERROR(VLOOKUP($G1264,基本資料!$A:$M,13,0),"無")</f>
        <v>2463.5</v>
      </c>
      <c r="AR1264" s="245" t="str">
        <f>INDEX(基本資料!N:N,MATCH($G1264,基本資料!A:A,0))</f>
        <v>低</v>
      </c>
    </row>
    <row r="1265" spans="1:44">
      <c r="A1265" s="142"/>
      <c r="B1265" s="79"/>
      <c r="C1265" s="79"/>
      <c r="D1265" s="79"/>
      <c r="E1265" s="79"/>
      <c r="F1265" s="6"/>
      <c r="G1265" s="79"/>
      <c r="H1265" s="8"/>
      <c r="I1265" s="22"/>
      <c r="L1265" s="2"/>
      <c r="R1265" s="26"/>
      <c r="T1265" s="66"/>
      <c r="V1265" s="94"/>
      <c r="W1265" s="36"/>
      <c r="X1265" s="66"/>
      <c r="Y1265" s="15"/>
      <c r="Z1265" s="3"/>
      <c r="AC1265" s="22"/>
      <c r="AF1265" s="33"/>
      <c r="AG1265" s="117"/>
      <c r="AH1265" s="66" t="e">
        <f t="shared" si="213"/>
        <v>#DIV/0!</v>
      </c>
      <c r="AI1265" s="283"/>
    </row>
    <row r="1266" spans="1:44">
      <c r="A1266" s="127" t="s">
        <v>1672</v>
      </c>
      <c r="B1266" s="90" t="s">
        <v>1571</v>
      </c>
      <c r="C1266" s="90" t="s">
        <v>1572</v>
      </c>
      <c r="D1266" s="90" t="s">
        <v>1573</v>
      </c>
      <c r="E1266" s="90" t="s">
        <v>1574</v>
      </c>
      <c r="F1266" s="8" t="s">
        <v>1059</v>
      </c>
      <c r="G1266" s="27" t="s">
        <v>990</v>
      </c>
      <c r="H1266" s="55" t="s">
        <v>320</v>
      </c>
      <c r="I1266" s="8" t="s">
        <v>313</v>
      </c>
      <c r="J1266" s="8" t="s">
        <v>6211</v>
      </c>
      <c r="K1266" s="5" t="s">
        <v>6212</v>
      </c>
      <c r="L1266" s="334" t="s">
        <v>6197</v>
      </c>
      <c r="M1266" s="335" t="s">
        <v>6198</v>
      </c>
      <c r="N1266" s="336" t="s">
        <v>6199</v>
      </c>
      <c r="O1266" s="89" t="s">
        <v>6275</v>
      </c>
      <c r="P1266" s="292" t="s">
        <v>6274</v>
      </c>
      <c r="Q1266" s="350" t="s">
        <v>6273</v>
      </c>
      <c r="R1266" s="26" t="s">
        <v>6276</v>
      </c>
      <c r="S1266" s="318" t="s">
        <v>4715</v>
      </c>
      <c r="T1266" s="10" t="s">
        <v>66</v>
      </c>
      <c r="U1266" s="305" t="s">
        <v>4728</v>
      </c>
      <c r="V1266" s="68" t="s">
        <v>3272</v>
      </c>
      <c r="W1266" s="28" t="s">
        <v>2</v>
      </c>
      <c r="X1266" s="17" t="s">
        <v>1398</v>
      </c>
      <c r="Y1266" s="14" t="s">
        <v>5</v>
      </c>
      <c r="Z1266" s="21" t="s">
        <v>3</v>
      </c>
      <c r="AA1266" s="96" t="s">
        <v>6166</v>
      </c>
      <c r="AB1266" s="378" t="s">
        <v>6404</v>
      </c>
      <c r="AC1266" s="8" t="s">
        <v>313</v>
      </c>
      <c r="AD1266" s="71" t="s">
        <v>1399</v>
      </c>
      <c r="AE1266" s="72" t="s">
        <v>1156</v>
      </c>
      <c r="AF1266" s="32" t="s">
        <v>1157</v>
      </c>
      <c r="AG1266" s="25" t="s">
        <v>6200</v>
      </c>
      <c r="AH1266" s="8" t="s">
        <v>6696</v>
      </c>
      <c r="AI1266" s="50" t="s">
        <v>3360</v>
      </c>
      <c r="AJ1266" s="22" t="s">
        <v>6695</v>
      </c>
    </row>
    <row r="1267" spans="1:44">
      <c r="A1267" s="343">
        <f>IFERROR(VLOOKUP($G1267,基本資料!$A:$J,3,0),"無")</f>
        <v>18.43</v>
      </c>
      <c r="B1267" s="79">
        <f>IFERROR(VLOOKUP($G1267,基本資料!$A:$J,4,0),"無")</f>
        <v>29</v>
      </c>
      <c r="C1267" s="79">
        <f>IFERROR(VLOOKUP($G1267,基本資料!$A:$J,5,0),"無")</f>
        <v>34</v>
      </c>
      <c r="D1267" s="79">
        <f>IFERROR(VLOOKUP($G1267,基本資料!$A:$J,6,0),"無")</f>
        <v>-27</v>
      </c>
      <c r="E1267" s="79">
        <f>IFERROR(VLOOKUP($G1267,基本資料!$A:$J,7,0),"無")</f>
        <v>-11</v>
      </c>
      <c r="F1267" s="6">
        <f>IFERROR(VLOOKUP($G1267,基本資料!$A:$J,8,0),"無")</f>
        <v>4.3499999999999996</v>
      </c>
      <c r="G1267" s="79">
        <v>2427</v>
      </c>
      <c r="H1267" s="8" t="s">
        <v>313</v>
      </c>
      <c r="I1267" s="22" t="s">
        <v>1013</v>
      </c>
      <c r="J1267" s="8">
        <f>IFERROR(VLOOKUP($G1267,今日總結!$A:$AN,39,0),"")</f>
        <v>0</v>
      </c>
      <c r="K1267" s="5" t="str">
        <f>IFERROR(VLOOKUP($G1267,今日總結!$A:$AN,40,0),"")</f>
        <v>外</v>
      </c>
      <c r="L1267" s="156">
        <f>IFERROR(VLOOKUP($G1267,今日總結!$A:$AN,37,0),"")</f>
        <v>0</v>
      </c>
      <c r="M1267" s="337">
        <f>IFERROR(VLOOKUP($G1267,今日總結!$A:$AN,38,0),"")</f>
        <v>3</v>
      </c>
      <c r="N1267" s="240">
        <f t="shared" ref="N1267:N1268" si="220">IFERROR(L1267-M1267,"")</f>
        <v>-3</v>
      </c>
      <c r="O1267" s="359">
        <f>IFERROR(VLOOKUP($G1267,融外自投!$A:$J,7,0),"無")</f>
        <v>564</v>
      </c>
      <c r="P1267" s="79">
        <f>IFERROR(VLOOKUP($G1267,融外自投!$A:$J,9,0),"無")</f>
        <v>869</v>
      </c>
      <c r="Q1267" s="342">
        <f>IFERROR(VLOOKUP($G1267,融外自投!$A:$J,8,0),"無")</f>
        <v>968</v>
      </c>
      <c r="R1267" s="81" t="str">
        <f>IFERROR(VLOOKUP($G1267,融外自投!$A:$J,10,0),"無")</f>
        <v>無</v>
      </c>
      <c r="S1267" s="324">
        <f>IFERROR(VLOOKUP($G1267,'321買'!$A:$E,4,0),"'沒有資料'")</f>
        <v>1002</v>
      </c>
      <c r="T1267" s="186">
        <f>IFERROR(VLOOKUP($G1267,基本資料!$A:$J,9,0),"無")</f>
        <v>0.35</v>
      </c>
      <c r="U1267" s="307">
        <f t="shared" ref="U1267:U1306" si="221">$T1267/$W1267</f>
        <v>2.8806584362139915E-2</v>
      </c>
      <c r="V1267" s="94">
        <f>IFERROR(VLOOKUP($G1267,基本資料!$A:$J,10,0),"無")</f>
        <v>0.81</v>
      </c>
      <c r="W1267" s="36">
        <f>RTD("money.excel",,"2427","Price")</f>
        <v>12.15</v>
      </c>
      <c r="X1267" s="66"/>
      <c r="Y1267" s="15">
        <f t="shared" ref="Y1267:Y1306" si="222">W1267-X1267</f>
        <v>12.15</v>
      </c>
      <c r="Z1267" s="3" t="e">
        <f t="shared" ref="Z1267:Z1306" si="223">Y1267/X1267</f>
        <v>#DIV/0!</v>
      </c>
      <c r="AA1267" s="340">
        <f>IFERROR(VLOOKUP($G1267,基本資料!$A:$M,11,0),"無")</f>
        <v>-15.33</v>
      </c>
      <c r="AB1267" s="389">
        <f>IFERROR(VLOOKUP($G1267,基本資料!$A:$M,12,0),"無")</f>
        <v>36.020000000000003</v>
      </c>
      <c r="AC1267" s="22" t="s">
        <v>1013</v>
      </c>
      <c r="AF1267" s="33">
        <f t="shared" ref="AF1267:AF1306" si="224">AE1267-AD1267</f>
        <v>0</v>
      </c>
      <c r="AG1267" s="43" t="s">
        <v>304</v>
      </c>
      <c r="AH1267" s="66">
        <f t="shared" si="213"/>
        <v>0.3831748775569</v>
      </c>
      <c r="AI1267" s="283">
        <f>RTD("money.excel",,$G1267,"PredictVolume")</f>
        <v>133</v>
      </c>
      <c r="AJ1267" s="391">
        <f>IFERROR(VLOOKUP($G1267,基本資料!$A:$M,13,0),"無")</f>
        <v>347.1</v>
      </c>
      <c r="AR1267" s="245" t="str">
        <f>INDEX(基本資料!N:N,MATCH($G1267,基本資料!A:A,0))</f>
        <v>中</v>
      </c>
    </row>
    <row r="1268" spans="1:44">
      <c r="A1268" s="343">
        <f>IFERROR(VLOOKUP($G1268,基本資料!$A:$J,3,0),"無")</f>
        <v>10</v>
      </c>
      <c r="B1268" s="79">
        <f>IFERROR(VLOOKUP($G1268,基本資料!$A:$J,4,0),"無")</f>
        <v>28</v>
      </c>
      <c r="C1268" s="79">
        <f>IFERROR(VLOOKUP($G1268,基本資料!$A:$J,5,0),"無")</f>
        <v>56</v>
      </c>
      <c r="D1268" s="79">
        <f>IFERROR(VLOOKUP($G1268,基本資料!$A:$J,6,0),"無")</f>
        <v>2</v>
      </c>
      <c r="E1268" s="79">
        <f>IFERROR(VLOOKUP($G1268,基本資料!$A:$J,7,0),"無")</f>
        <v>0</v>
      </c>
      <c r="F1268" s="6">
        <f>IFERROR(VLOOKUP($G1268,基本資料!$A:$J,8,0),"無")</f>
        <v>4.34</v>
      </c>
      <c r="G1268" s="79">
        <v>2453</v>
      </c>
      <c r="H1268" s="8" t="s">
        <v>313</v>
      </c>
      <c r="I1268" s="22" t="s">
        <v>1014</v>
      </c>
      <c r="J1268" s="8">
        <f>IFERROR(VLOOKUP($G1268,今日總結!$A:$AN,39,0),"")</f>
        <v>0</v>
      </c>
      <c r="K1268" s="5">
        <f>IFERROR(VLOOKUP($G1268,今日總結!$A:$AN,40,0),"")</f>
        <v>5</v>
      </c>
      <c r="L1268" s="156">
        <f>IFERROR(VLOOKUP($G1268,今日總結!$A:$AN,37,0),"")</f>
        <v>0</v>
      </c>
      <c r="M1268" s="337">
        <f>IFERROR(VLOOKUP($G1268,今日總結!$A:$AN,38,0),"")</f>
        <v>1</v>
      </c>
      <c r="N1268" s="240">
        <f t="shared" si="220"/>
        <v>-1</v>
      </c>
      <c r="O1268" s="359">
        <f>IFERROR(VLOOKUP($G1268,融外自投!$A:$J,7,0),"無")</f>
        <v>689</v>
      </c>
      <c r="P1268" s="79">
        <f>IFERROR(VLOOKUP($G1268,融外自投!$A:$J,9,0),"無")</f>
        <v>276</v>
      </c>
      <c r="Q1268" s="342">
        <f>IFERROR(VLOOKUP($G1268,融外自投!$A:$J,8,0),"無")</f>
        <v>704</v>
      </c>
      <c r="R1268" s="81">
        <f>IFERROR(VLOOKUP($G1268,融外自投!$A:$J,10,0),"無")</f>
        <v>377</v>
      </c>
      <c r="S1268" s="324">
        <f>IFERROR(VLOOKUP($G1268,'321買'!$A:$E,4,0),"'沒有資料'")</f>
        <v>606</v>
      </c>
      <c r="T1268" s="186">
        <f>IFERROR(VLOOKUP($G1268,基本資料!$A:$J,9,0),"無")</f>
        <v>1.9</v>
      </c>
      <c r="U1268" s="307">
        <f t="shared" si="221"/>
        <v>7.0370370370370361E-2</v>
      </c>
      <c r="V1268" s="94">
        <f>IFERROR(VLOOKUP($G1268,基本資料!$A:$J,10,0),"無")</f>
        <v>2.16</v>
      </c>
      <c r="W1268" s="36">
        <f>RTD("money.excel",,"2453","Price")</f>
        <v>27</v>
      </c>
      <c r="X1268" s="66"/>
      <c r="Y1268" s="15">
        <f t="shared" si="222"/>
        <v>27</v>
      </c>
      <c r="Z1268" s="3" t="e">
        <f t="shared" si="223"/>
        <v>#DIV/0!</v>
      </c>
      <c r="AA1268" s="340">
        <f>IFERROR(VLOOKUP($G1268,基本資料!$A:$M,11,0),"無")</f>
        <v>-16.54</v>
      </c>
      <c r="AB1268" s="389">
        <f>IFERROR(VLOOKUP($G1268,基本資料!$A:$M,12,0),"無")</f>
        <v>45.51</v>
      </c>
      <c r="AC1268" s="22" t="s">
        <v>1014</v>
      </c>
      <c r="AF1268" s="33">
        <f t="shared" si="224"/>
        <v>0</v>
      </c>
      <c r="AG1268" s="43" t="s">
        <v>304</v>
      </c>
      <c r="AH1268" s="66">
        <f t="shared" si="213"/>
        <v>2.378598429776098</v>
      </c>
      <c r="AI1268" s="283">
        <f>RTD("money.excel",,$G1268,"PredictVolume")</f>
        <v>818</v>
      </c>
      <c r="AJ1268" s="391">
        <f>IFERROR(VLOOKUP($G1268,基本資料!$A:$M,13,0),"無")</f>
        <v>343.9</v>
      </c>
      <c r="AR1268" s="245" t="str">
        <f>INDEX(基本資料!N:N,MATCH($G1268,基本資料!A:A,0))</f>
        <v>中</v>
      </c>
    </row>
    <row r="1269" spans="1:44">
      <c r="A1269" s="343">
        <f>IFERROR(VLOOKUP($G1269,基本資料!$A:$J,3,0),"無")</f>
        <v>6.99</v>
      </c>
      <c r="B1269" s="79">
        <f>IFERROR(VLOOKUP($G1269,基本資料!$A:$J,4,0),"無")</f>
        <v>15</v>
      </c>
      <c r="C1269" s="79">
        <f>IFERROR(VLOOKUP($G1269,基本資料!$A:$J,5,0),"無")</f>
        <v>12</v>
      </c>
      <c r="D1269" s="79">
        <f>IFERROR(VLOOKUP($G1269,基本資料!$A:$J,6,0),"無")</f>
        <v>-24</v>
      </c>
      <c r="E1269" s="79">
        <f>IFERROR(VLOOKUP($G1269,基本資料!$A:$J,7,0),"無")</f>
        <v>-32</v>
      </c>
      <c r="F1269" s="6">
        <f>IFERROR(VLOOKUP($G1269,基本資料!$A:$J,8,0),"無")</f>
        <v>2.4700000000000002</v>
      </c>
      <c r="G1269" s="79">
        <v>2468</v>
      </c>
      <c r="H1269" s="8" t="s">
        <v>313</v>
      </c>
      <c r="I1269" s="22" t="s">
        <v>1015</v>
      </c>
      <c r="J1269" s="8">
        <f>IFERROR(VLOOKUP($G1269,今日總結!$A:$AN,39,0),"")</f>
        <v>0</v>
      </c>
      <c r="K1269" s="5">
        <f>IFERROR(VLOOKUP($G1269,今日總結!$A:$AN,40,0),"")</f>
        <v>0</v>
      </c>
      <c r="L1269" s="156">
        <f>IFERROR(VLOOKUP($G1269,今日總結!$A:$AN,37,0),"")</f>
        <v>0</v>
      </c>
      <c r="M1269" s="337">
        <f>IFERROR(VLOOKUP($G1269,今日總結!$A:$AN,38,0),"")</f>
        <v>0</v>
      </c>
      <c r="N1269" s="240">
        <f t="shared" ref="N1269:N1306" si="225">IFERROR(L1269-M1269,"")</f>
        <v>0</v>
      </c>
      <c r="O1269" s="359">
        <f>IFERROR(VLOOKUP($G1269,融外自投!$A:$J,7,0),"無")</f>
        <v>361</v>
      </c>
      <c r="P1269" s="79">
        <f>IFERROR(VLOOKUP($G1269,融外自投!$A:$J,9,0),"無")</f>
        <v>990</v>
      </c>
      <c r="Q1269" s="342">
        <f>IFERROR(VLOOKUP($G1269,融外自投!$A:$J,8,0),"無")</f>
        <v>1402</v>
      </c>
      <c r="R1269" s="81" t="str">
        <f>IFERROR(VLOOKUP($G1269,融外自投!$A:$J,10,0),"無")</f>
        <v>無</v>
      </c>
      <c r="S1269" s="324">
        <f>IFERROR(VLOOKUP($G1269,'321買'!$A:$E,4,0),"'沒有資料'")</f>
        <v>1002</v>
      </c>
      <c r="T1269" s="186">
        <f>IFERROR(VLOOKUP($G1269,基本資料!$A:$J,9,0),"無")</f>
        <v>0.4</v>
      </c>
      <c r="U1269" s="307">
        <f t="shared" si="221"/>
        <v>3.1007751937984496E-2</v>
      </c>
      <c r="V1269" s="94">
        <f>IFERROR(VLOOKUP($G1269,基本資料!$A:$J,10,0),"無")</f>
        <v>0.64</v>
      </c>
      <c r="W1269" s="36">
        <f>RTD("money.excel",,"2468","Price")</f>
        <v>12.9</v>
      </c>
      <c r="X1269" s="66"/>
      <c r="Y1269" s="15">
        <f t="shared" si="222"/>
        <v>12.9</v>
      </c>
      <c r="Z1269" s="3" t="e">
        <f t="shared" si="223"/>
        <v>#DIV/0!</v>
      </c>
      <c r="AA1269" s="340">
        <f>IFERROR(VLOOKUP($G1269,基本資料!$A:$M,11,0),"無")</f>
        <v>-13.71</v>
      </c>
      <c r="AB1269" s="389">
        <f>IFERROR(VLOOKUP($G1269,基本資料!$A:$M,12,0),"無")</f>
        <v>29.69</v>
      </c>
      <c r="AC1269" s="22" t="s">
        <v>1015</v>
      </c>
      <c r="AF1269" s="33">
        <f t="shared" si="224"/>
        <v>0</v>
      </c>
      <c r="AG1269" s="43" t="s">
        <v>2047</v>
      </c>
      <c r="AH1269" s="66">
        <f t="shared" si="213"/>
        <v>0.26637069922308548</v>
      </c>
      <c r="AI1269" s="283">
        <f>RTD("money.excel",,$G1269,"PredictVolume")</f>
        <v>12</v>
      </c>
      <c r="AJ1269" s="391">
        <f>IFERROR(VLOOKUP($G1269,基本資料!$A:$M,13,0),"無")</f>
        <v>45.05</v>
      </c>
      <c r="AR1269" s="245" t="str">
        <f>INDEX(基本資料!N:N,MATCH($G1269,基本資料!A:A,0))</f>
        <v>低</v>
      </c>
    </row>
    <row r="1270" spans="1:44">
      <c r="A1270" s="343">
        <f>IFERROR(VLOOKUP($G1270,基本資料!$A:$J,3,0),"無")</f>
        <v>4.72</v>
      </c>
      <c r="B1270" s="79">
        <f>IFERROR(VLOOKUP($G1270,基本資料!$A:$J,4,0),"無")</f>
        <v>17</v>
      </c>
      <c r="C1270" s="79">
        <f>IFERROR(VLOOKUP($G1270,基本資料!$A:$J,5,0),"無")</f>
        <v>49</v>
      </c>
      <c r="D1270" s="79">
        <f>IFERROR(VLOOKUP($G1270,基本資料!$A:$J,6,0),"無")</f>
        <v>7</v>
      </c>
      <c r="E1270" s="79">
        <f>IFERROR(VLOOKUP($G1270,基本資料!$A:$J,7,0),"無")</f>
        <v>11</v>
      </c>
      <c r="F1270" s="6">
        <f>IFERROR(VLOOKUP($G1270,基本資料!$A:$J,8,0),"無")</f>
        <v>15.42</v>
      </c>
      <c r="G1270" s="79">
        <v>2471</v>
      </c>
      <c r="H1270" s="8" t="s">
        <v>313</v>
      </c>
      <c r="I1270" s="22" t="s">
        <v>1016</v>
      </c>
      <c r="J1270" s="8">
        <f>IFERROR(VLOOKUP($G1270,今日總結!$A:$AN,39,0),"")</f>
        <v>0</v>
      </c>
      <c r="K1270" s="5" t="str">
        <f>IFERROR(VLOOKUP($G1270,今日總結!$A:$AN,40,0),"")</f>
        <v>主</v>
      </c>
      <c r="L1270" s="156">
        <f>IFERROR(VLOOKUP($G1270,今日總結!$A:$AN,37,0),"")</f>
        <v>0</v>
      </c>
      <c r="M1270" s="337">
        <f>IFERROR(VLOOKUP($G1270,今日總結!$A:$AN,38,0),"")</f>
        <v>6</v>
      </c>
      <c r="N1270" s="240">
        <f t="shared" si="225"/>
        <v>-6</v>
      </c>
      <c r="O1270" s="359">
        <f>IFERROR(VLOOKUP($G1270,融外自投!$A:$J,7,0),"無")</f>
        <v>891</v>
      </c>
      <c r="P1270" s="79">
        <f>IFERROR(VLOOKUP($G1270,融外自投!$A:$J,9,0),"無")</f>
        <v>946</v>
      </c>
      <c r="Q1270" s="342">
        <f>IFERROR(VLOOKUP($G1270,融外自投!$A:$J,8,0),"無")</f>
        <v>985</v>
      </c>
      <c r="R1270" s="81" t="str">
        <f>IFERROR(VLOOKUP($G1270,融外自投!$A:$J,10,0),"無")</f>
        <v>無</v>
      </c>
      <c r="S1270" s="324">
        <f>IFERROR(VLOOKUP($G1270,'321買'!$A:$E,4,0),"'沒有資料'")</f>
        <v>801</v>
      </c>
      <c r="T1270" s="186">
        <f>IFERROR(VLOOKUP($G1270,基本資料!$A:$J,9,0),"無")</f>
        <v>2.2400000000000002</v>
      </c>
      <c r="U1270" s="307">
        <f t="shared" si="221"/>
        <v>8.4848484848484867E-2</v>
      </c>
      <c r="V1270" s="94">
        <f>IFERROR(VLOOKUP($G1270,基本資料!$A:$J,10,0),"無")</f>
        <v>2.42</v>
      </c>
      <c r="W1270" s="36">
        <f>RTD("money.excel",,"2471","Price")</f>
        <v>26.4</v>
      </c>
      <c r="X1270" s="66"/>
      <c r="Y1270" s="15">
        <f t="shared" si="222"/>
        <v>26.4</v>
      </c>
      <c r="Z1270" s="3" t="e">
        <f t="shared" si="223"/>
        <v>#DIV/0!</v>
      </c>
      <c r="AA1270" s="340">
        <f>IFERROR(VLOOKUP($G1270,基本資料!$A:$M,11,0),"無")</f>
        <v>-9.43</v>
      </c>
      <c r="AB1270" s="389">
        <f>IFERROR(VLOOKUP($G1270,基本資料!$A:$M,12,0),"無")</f>
        <v>46.88</v>
      </c>
      <c r="AC1270" s="22" t="s">
        <v>1016</v>
      </c>
      <c r="AF1270" s="33">
        <f t="shared" si="224"/>
        <v>0</v>
      </c>
      <c r="AG1270" s="43" t="s">
        <v>304</v>
      </c>
      <c r="AH1270" s="66">
        <f t="shared" si="213"/>
        <v>0.42147117296222664</v>
      </c>
      <c r="AI1270" s="283">
        <f>RTD("money.excel",,$G1270,"PredictVolume")</f>
        <v>53</v>
      </c>
      <c r="AJ1270" s="391">
        <f>IFERROR(VLOOKUP($G1270,基本資料!$A:$M,13,0),"無")</f>
        <v>125.75</v>
      </c>
      <c r="AR1270" s="245" t="str">
        <f>INDEX(基本資料!N:N,MATCH($G1270,基本資料!A:A,0))</f>
        <v>中</v>
      </c>
    </row>
    <row r="1271" spans="1:44">
      <c r="A1271" s="343">
        <f>IFERROR(VLOOKUP($G1271,基本資料!$A:$J,3,0),"無")</f>
        <v>10.63</v>
      </c>
      <c r="B1271" s="79">
        <f>IFERROR(VLOOKUP($G1271,基本資料!$A:$J,4,0),"無")</f>
        <v>28</v>
      </c>
      <c r="C1271" s="79">
        <f>IFERROR(VLOOKUP($G1271,基本資料!$A:$J,5,0),"無")</f>
        <v>39</v>
      </c>
      <c r="D1271" s="79">
        <f>IFERROR(VLOOKUP($G1271,基本資料!$A:$J,6,0),"無")</f>
        <v>-3</v>
      </c>
      <c r="E1271" s="79">
        <f>IFERROR(VLOOKUP($G1271,基本資料!$A:$J,7,0),"無")</f>
        <v>15</v>
      </c>
      <c r="F1271" s="6">
        <f>IFERROR(VLOOKUP($G1271,基本資料!$A:$J,8,0),"無")</f>
        <v>11.56</v>
      </c>
      <c r="G1271" s="79">
        <v>2480</v>
      </c>
      <c r="H1271" s="8" t="s">
        <v>313</v>
      </c>
      <c r="I1271" s="22" t="s">
        <v>1017</v>
      </c>
      <c r="J1271" s="8">
        <f>IFERROR(VLOOKUP($G1271,今日總結!$A:$AN,39,0),"")</f>
        <v>0</v>
      </c>
      <c r="K1271" s="5" t="str">
        <f>IFERROR(VLOOKUP($G1271,今日總結!$A:$AN,40,0),"")</f>
        <v>借</v>
      </c>
      <c r="L1271" s="156">
        <f>IFERROR(VLOOKUP($G1271,今日總結!$A:$AN,37,0),"")</f>
        <v>0</v>
      </c>
      <c r="M1271" s="337">
        <f>IFERROR(VLOOKUP($G1271,今日總結!$A:$AN,38,0),"")</f>
        <v>2</v>
      </c>
      <c r="N1271" s="240">
        <f t="shared" si="225"/>
        <v>-2</v>
      </c>
      <c r="O1271" s="359">
        <f>IFERROR(VLOOKUP($G1271,融外自投!$A:$J,7,0),"無")</f>
        <v>1161</v>
      </c>
      <c r="P1271" s="79">
        <f>IFERROR(VLOOKUP($G1271,融外自投!$A:$J,9,0),"無")</f>
        <v>213</v>
      </c>
      <c r="Q1271" s="342">
        <f>IFERROR(VLOOKUP($G1271,融外自投!$A:$J,8,0),"無")</f>
        <v>568</v>
      </c>
      <c r="R1271" s="81">
        <f>IFERROR(VLOOKUP($G1271,融外自投!$A:$J,10,0),"無")</f>
        <v>287</v>
      </c>
      <c r="S1271" s="324">
        <f>IFERROR(VLOOKUP($G1271,'321買'!$A:$E,4,0),"'沒有資料'")</f>
        <v>891</v>
      </c>
      <c r="T1271" s="186">
        <f>IFERROR(VLOOKUP($G1271,基本資料!$A:$J,9,0),"無")</f>
        <v>5.62</v>
      </c>
      <c r="U1271" s="307">
        <f t="shared" si="221"/>
        <v>6.1826182618261824E-2</v>
      </c>
      <c r="V1271" s="94">
        <f>IFERROR(VLOOKUP($G1271,基本資料!$A:$J,10,0),"無")</f>
        <v>6</v>
      </c>
      <c r="W1271" s="36">
        <f>RTD("money.excel",,"2480","Price")</f>
        <v>90.9</v>
      </c>
      <c r="X1271" s="66"/>
      <c r="Y1271" s="15">
        <f t="shared" si="222"/>
        <v>90.9</v>
      </c>
      <c r="Z1271" s="3" t="e">
        <f t="shared" si="223"/>
        <v>#DIV/0!</v>
      </c>
      <c r="AA1271" s="340">
        <f>IFERROR(VLOOKUP($G1271,基本資料!$A:$M,11,0),"無")</f>
        <v>-10.44</v>
      </c>
      <c r="AB1271" s="389">
        <f>IFERROR(VLOOKUP($G1271,基本資料!$A:$M,12,0),"無")</f>
        <v>25.39</v>
      </c>
      <c r="AC1271" s="22" t="s">
        <v>1017</v>
      </c>
      <c r="AF1271" s="33">
        <f t="shared" si="224"/>
        <v>0</v>
      </c>
      <c r="AG1271" s="43" t="s">
        <v>2686</v>
      </c>
      <c r="AH1271" s="66">
        <f t="shared" si="213"/>
        <v>1.6050085372794538</v>
      </c>
      <c r="AI1271" s="283">
        <f>RTD("money.excel",,$G1271,"PredictVolume")</f>
        <v>282</v>
      </c>
      <c r="AJ1271" s="391">
        <f>IFERROR(VLOOKUP($G1271,基本資料!$A:$M,13,0),"無")</f>
        <v>175.7</v>
      </c>
      <c r="AR1271" s="245" t="str">
        <f>INDEX(基本資料!N:N,MATCH($G1271,基本資料!A:A,0))</f>
        <v>高</v>
      </c>
    </row>
    <row r="1272" spans="1:44">
      <c r="A1272" s="343">
        <f>IFERROR(VLOOKUP($G1272,基本資料!$A:$J,3,0),"無")</f>
        <v>15.24</v>
      </c>
      <c r="B1272" s="79">
        <f>IFERROR(VLOOKUP($G1272,基本資料!$A:$J,4,0),"無")</f>
        <v>21</v>
      </c>
      <c r="C1272" s="79">
        <f>IFERROR(VLOOKUP($G1272,基本資料!$A:$J,5,0),"無")</f>
        <v>24</v>
      </c>
      <c r="D1272" s="79">
        <f>IFERROR(VLOOKUP($G1272,基本資料!$A:$J,6,0),"無")</f>
        <v>-16</v>
      </c>
      <c r="E1272" s="79">
        <f>IFERROR(VLOOKUP($G1272,基本資料!$A:$J,7,0),"無")</f>
        <v>0</v>
      </c>
      <c r="F1272" s="6">
        <f>IFERROR(VLOOKUP($G1272,基本資料!$A:$J,8,0),"無")</f>
        <v>4.8600000000000003</v>
      </c>
      <c r="G1272" s="79">
        <v>3029</v>
      </c>
      <c r="H1272" s="8" t="s">
        <v>313</v>
      </c>
      <c r="I1272" s="22" t="s">
        <v>1018</v>
      </c>
      <c r="J1272" s="8" t="str">
        <f>IFERROR(VLOOKUP($G1272,今日總結!$A:$AN,39,0),"")</f>
        <v>借</v>
      </c>
      <c r="K1272" s="5" t="str">
        <f>IFERROR(VLOOKUP($G1272,今日總結!$A:$AN,40,0),"")</f>
        <v>主</v>
      </c>
      <c r="L1272" s="156">
        <f>IFERROR(VLOOKUP($G1272,今日總結!$A:$AN,37,0),"")</f>
        <v>1</v>
      </c>
      <c r="M1272" s="337">
        <f>IFERROR(VLOOKUP($G1272,今日總結!$A:$AN,38,0),"")</f>
        <v>2</v>
      </c>
      <c r="N1272" s="240">
        <f t="shared" si="225"/>
        <v>-1</v>
      </c>
      <c r="O1272" s="359">
        <f>IFERROR(VLOOKUP($G1272,融外自投!$A:$J,7,0),"無")</f>
        <v>942</v>
      </c>
      <c r="P1272" s="79">
        <f>IFERROR(VLOOKUP($G1272,融外自投!$A:$J,9,0),"無")</f>
        <v>340</v>
      </c>
      <c r="Q1272" s="342">
        <f>IFERROR(VLOOKUP($G1272,融外自投!$A:$J,8,0),"無")</f>
        <v>834</v>
      </c>
      <c r="R1272" s="81" t="str">
        <f>IFERROR(VLOOKUP($G1272,融外自投!$A:$J,10,0),"無")</f>
        <v>無</v>
      </c>
      <c r="S1272" s="324">
        <f>IFERROR(VLOOKUP($G1272,'321買'!$A:$E,4,0),"'沒有資料'")</f>
        <v>565</v>
      </c>
      <c r="T1272" s="186">
        <f>IFERROR(VLOOKUP($G1272,基本資料!$A:$J,9,0),"無")</f>
        <v>3.6</v>
      </c>
      <c r="U1272" s="307">
        <f t="shared" si="221"/>
        <v>8.7804878048780496E-2</v>
      </c>
      <c r="V1272" s="94">
        <f>IFERROR(VLOOKUP($G1272,基本資料!$A:$J,10,0),"無")</f>
        <v>4.24</v>
      </c>
      <c r="W1272" s="36">
        <f>RTD("money.excel",,"3029","Price")</f>
        <v>41</v>
      </c>
      <c r="X1272" s="66"/>
      <c r="Y1272" s="15">
        <f t="shared" si="222"/>
        <v>41</v>
      </c>
      <c r="Z1272" s="3" t="e">
        <f t="shared" si="223"/>
        <v>#DIV/0!</v>
      </c>
      <c r="AA1272" s="340">
        <f>IFERROR(VLOOKUP($G1272,基本資料!$A:$M,11,0),"無")</f>
        <v>-18.329999999999998</v>
      </c>
      <c r="AB1272" s="389">
        <f>IFERROR(VLOOKUP($G1272,基本資料!$A:$M,12,0),"無")</f>
        <v>10.25</v>
      </c>
      <c r="AC1272" s="22" t="s">
        <v>1018</v>
      </c>
      <c r="AF1272" s="33">
        <f t="shared" si="224"/>
        <v>0</v>
      </c>
      <c r="AG1272" s="43" t="s">
        <v>1543</v>
      </c>
      <c r="AH1272" s="66">
        <f t="shared" si="213"/>
        <v>0.41052259053910578</v>
      </c>
      <c r="AI1272" s="283">
        <f>RTD("money.excel",,$G1272,"PredictVolume")</f>
        <v>174</v>
      </c>
      <c r="AJ1272" s="391">
        <f>IFERROR(VLOOKUP($G1272,基本資料!$A:$M,13,0),"無")</f>
        <v>423.85</v>
      </c>
      <c r="AR1272" s="245" t="str">
        <f>INDEX(基本資料!N:N,MATCH($G1272,基本資料!A:A,0))</f>
        <v>低</v>
      </c>
    </row>
    <row r="1273" spans="1:44">
      <c r="A1273" s="343">
        <f>IFERROR(VLOOKUP($G1273,基本資料!$A:$J,3,0),"無")</f>
        <v>3.31</v>
      </c>
      <c r="B1273" s="79">
        <f>IFERROR(VLOOKUP($G1273,基本資料!$A:$J,4,0),"無")</f>
        <v>43</v>
      </c>
      <c r="C1273" s="79">
        <f>IFERROR(VLOOKUP($G1273,基本資料!$A:$J,5,0),"無")</f>
        <v>37</v>
      </c>
      <c r="D1273" s="79">
        <f>IFERROR(VLOOKUP($G1273,基本資料!$A:$J,6,0),"無")</f>
        <v>-11</v>
      </c>
      <c r="E1273" s="79">
        <f>IFERROR(VLOOKUP($G1273,基本資料!$A:$J,7,0),"無")</f>
        <v>14</v>
      </c>
      <c r="F1273" s="6">
        <f>IFERROR(VLOOKUP($G1273,基本資料!$A:$J,8,0),"無")</f>
        <v>21.34</v>
      </c>
      <c r="G1273" s="79">
        <v>3130</v>
      </c>
      <c r="H1273" s="8" t="s">
        <v>313</v>
      </c>
      <c r="I1273" s="22" t="s">
        <v>1019</v>
      </c>
      <c r="J1273" s="8">
        <f>IFERROR(VLOOKUP($G1273,今日總結!$A:$AN,39,0),"")</f>
        <v>0</v>
      </c>
      <c r="K1273" s="5" t="str">
        <f>IFERROR(VLOOKUP($G1273,今日總結!$A:$AN,40,0),"")</f>
        <v>外</v>
      </c>
      <c r="L1273" s="156">
        <f>IFERROR(VLOOKUP($G1273,今日總結!$A:$AN,37,0),"")</f>
        <v>0</v>
      </c>
      <c r="M1273" s="337">
        <f>IFERROR(VLOOKUP($G1273,今日總結!$A:$AN,38,0),"")</f>
        <v>16</v>
      </c>
      <c r="N1273" s="240">
        <f t="shared" si="225"/>
        <v>-16</v>
      </c>
      <c r="O1273" s="359">
        <f>IFERROR(VLOOKUP($G1273,融外自投!$A:$J,7,0),"無")</f>
        <v>1462</v>
      </c>
      <c r="P1273" s="79">
        <f>IFERROR(VLOOKUP($G1273,融外自投!$A:$J,9,0),"無")</f>
        <v>116</v>
      </c>
      <c r="Q1273" s="342">
        <f>IFERROR(VLOOKUP($G1273,融外自投!$A:$J,8,0),"無")</f>
        <v>125</v>
      </c>
      <c r="R1273" s="81" t="str">
        <f>IFERROR(VLOOKUP($G1273,融外自投!$A:$J,10,0),"無")</f>
        <v>無</v>
      </c>
      <c r="S1273" s="324">
        <f>IFERROR(VLOOKUP($G1273,'321買'!$A:$E,4,0),"'沒有資料'")</f>
        <v>1002</v>
      </c>
      <c r="T1273" s="186">
        <f>IFERROR(VLOOKUP($G1273,基本資料!$A:$J,9,0),"無")</f>
        <v>11.16</v>
      </c>
      <c r="U1273" s="307">
        <f t="shared" si="221"/>
        <v>5.6649746192893403E-2</v>
      </c>
      <c r="V1273" s="94">
        <f>IFERROR(VLOOKUP($G1273,基本資料!$A:$J,10,0),"無")</f>
        <v>11.16</v>
      </c>
      <c r="W1273" s="36">
        <f>RTD("money.excel",,"3130","Price")</f>
        <v>197</v>
      </c>
      <c r="X1273" s="66"/>
      <c r="Y1273" s="15">
        <f t="shared" si="222"/>
        <v>197</v>
      </c>
      <c r="Z1273" s="3" t="e">
        <f t="shared" si="223"/>
        <v>#DIV/0!</v>
      </c>
      <c r="AA1273" s="340">
        <f>IFERROR(VLOOKUP($G1273,基本資料!$A:$M,11,0),"無")</f>
        <v>-3.43</v>
      </c>
      <c r="AB1273" s="389">
        <f>IFERROR(VLOOKUP($G1273,基本資料!$A:$M,12,0),"無")</f>
        <v>48.04</v>
      </c>
      <c r="AC1273" s="22" t="s">
        <v>1019</v>
      </c>
      <c r="AF1273" s="33">
        <f t="shared" si="224"/>
        <v>0</v>
      </c>
      <c r="AG1273" s="43" t="s">
        <v>2776</v>
      </c>
      <c r="AH1273" s="66">
        <f t="shared" si="213"/>
        <v>0.54421768707482987</v>
      </c>
      <c r="AI1273" s="283">
        <f>RTD("money.excel",,$G1273,"PredictVolume")</f>
        <v>12</v>
      </c>
      <c r="AJ1273" s="391">
        <f>IFERROR(VLOOKUP($G1273,基本資料!$A:$M,13,0),"無")</f>
        <v>22.05</v>
      </c>
      <c r="AR1273" s="245" t="str">
        <f>INDEX(基本資料!N:N,MATCH($G1273,基本資料!A:A,0))</f>
        <v>高</v>
      </c>
    </row>
    <row r="1274" spans="1:44">
      <c r="A1274" s="343">
        <f>IFERROR(VLOOKUP($G1274,基本資料!$A:$J,3,0),"無")</f>
        <v>1.7</v>
      </c>
      <c r="B1274" s="79">
        <f>IFERROR(VLOOKUP($G1274,基本資料!$A:$J,4,0),"無")</f>
        <v>6</v>
      </c>
      <c r="C1274" s="79">
        <f>IFERROR(VLOOKUP($G1274,基本資料!$A:$J,5,0),"無")</f>
        <v>9</v>
      </c>
      <c r="D1274" s="79">
        <f>IFERROR(VLOOKUP($G1274,基本資料!$A:$J,6,0),"無")</f>
        <v>-20</v>
      </c>
      <c r="E1274" s="79">
        <f>IFERROR(VLOOKUP($G1274,基本資料!$A:$J,7,0),"無")</f>
        <v>4</v>
      </c>
      <c r="F1274" s="6">
        <f>IFERROR(VLOOKUP($G1274,基本資料!$A:$J,8,0),"無")</f>
        <v>13.63</v>
      </c>
      <c r="G1274" s="79">
        <v>3570</v>
      </c>
      <c r="H1274" s="8" t="s">
        <v>313</v>
      </c>
      <c r="I1274" s="16" t="s">
        <v>994</v>
      </c>
      <c r="J1274" s="8" t="str">
        <f>IFERROR(VLOOKUP($G1274,今日總結!$A:$AN,39,0),"")</f>
        <v/>
      </c>
      <c r="K1274" s="5" t="str">
        <f>IFERROR(VLOOKUP($G1274,今日總結!$A:$AN,40,0),"")</f>
        <v/>
      </c>
      <c r="L1274" s="156" t="str">
        <f>IFERROR(VLOOKUP($G1274,今日總結!$A:$AN,37,0),"")</f>
        <v/>
      </c>
      <c r="M1274" s="337" t="str">
        <f>IFERROR(VLOOKUP($G1274,今日總結!$A:$AN,38,0),"")</f>
        <v/>
      </c>
      <c r="N1274" s="240" t="str">
        <f t="shared" si="225"/>
        <v/>
      </c>
      <c r="O1274" s="359" t="str">
        <f>IFERROR(VLOOKUP($G1274,融外自投!$A:$J,7,0),"無")</f>
        <v>無</v>
      </c>
      <c r="P1274" s="79" t="str">
        <f>IFERROR(VLOOKUP($G1274,融外自投!$A:$J,9,0),"無")</f>
        <v>無</v>
      </c>
      <c r="Q1274" s="342" t="str">
        <f>IFERROR(VLOOKUP($G1274,融外自投!$A:$J,8,0),"無")</f>
        <v>無</v>
      </c>
      <c r="R1274" s="81" t="str">
        <f>IFERROR(VLOOKUP($G1274,融外自投!$A:$J,10,0),"無")</f>
        <v>無</v>
      </c>
      <c r="S1274" s="324" t="str">
        <f>IFERROR(VLOOKUP($G1274,'321買'!$A:$E,4,0),"'沒有資料'")</f>
        <v>'沒有資料'</v>
      </c>
      <c r="T1274" s="186">
        <f>IFERROR(VLOOKUP($G1274,基本資料!$A:$J,9,0),"無")</f>
        <v>6</v>
      </c>
      <c r="U1274" s="307">
        <f t="shared" si="221"/>
        <v>6.8181818181818177E-2</v>
      </c>
      <c r="V1274" s="94">
        <f>IFERROR(VLOOKUP($G1274,基本資料!$A:$J,10,0),"無")</f>
        <v>8.5</v>
      </c>
      <c r="W1274" s="36">
        <f>RTD("money.excel",,"3570","Price")</f>
        <v>88</v>
      </c>
      <c r="X1274" s="66"/>
      <c r="Y1274" s="15">
        <f t="shared" si="222"/>
        <v>88</v>
      </c>
      <c r="Z1274" s="3" t="e">
        <f t="shared" si="223"/>
        <v>#DIV/0!</v>
      </c>
      <c r="AA1274" s="340">
        <f>IFERROR(VLOOKUP($G1274,基本資料!$A:$M,11,0),"無")</f>
        <v>-3.19</v>
      </c>
      <c r="AB1274" s="389">
        <f>IFERROR(VLOOKUP($G1274,基本資料!$A:$M,12,0),"無")</f>
        <v>70.22</v>
      </c>
      <c r="AC1274" s="16" t="s">
        <v>994</v>
      </c>
      <c r="AF1274" s="33">
        <f t="shared" si="224"/>
        <v>0</v>
      </c>
      <c r="AG1274" s="43" t="s">
        <v>2999</v>
      </c>
      <c r="AH1274" s="66">
        <f t="shared" si="213"/>
        <v>0.90775988286969256</v>
      </c>
      <c r="AI1274" s="283">
        <f>RTD("money.excel",,$G1274,"PredictVolume")</f>
        <v>31</v>
      </c>
      <c r="AJ1274" s="391">
        <f>IFERROR(VLOOKUP($G1274,基本資料!$A:$M,13,0),"無")</f>
        <v>34.15</v>
      </c>
      <c r="AR1274" s="245" t="str">
        <f>INDEX(基本資料!N:N,MATCH($G1274,基本資料!A:A,0))</f>
        <v>高</v>
      </c>
    </row>
    <row r="1275" spans="1:44">
      <c r="A1275" s="343">
        <f>IFERROR(VLOOKUP($G1275,基本資料!$A:$J,3,0),"無")</f>
        <v>6.69</v>
      </c>
      <c r="B1275" s="79">
        <f>IFERROR(VLOOKUP($G1275,基本資料!$A:$J,4,0),"無")</f>
        <v>-2</v>
      </c>
      <c r="C1275" s="79">
        <f>IFERROR(VLOOKUP($G1275,基本資料!$A:$J,5,0),"無")</f>
        <v>-5</v>
      </c>
      <c r="D1275" s="79">
        <f>IFERROR(VLOOKUP($G1275,基本資料!$A:$J,6,0),"無")</f>
        <v>-1</v>
      </c>
      <c r="E1275" s="79">
        <f>IFERROR(VLOOKUP($G1275,基本資料!$A:$J,7,0),"無")</f>
        <v>33</v>
      </c>
      <c r="F1275" s="6">
        <f>IFERROR(VLOOKUP($G1275,基本資料!$A:$J,8,0),"無")</f>
        <v>7.44</v>
      </c>
      <c r="G1275" s="79">
        <v>4953</v>
      </c>
      <c r="H1275" s="8" t="s">
        <v>313</v>
      </c>
      <c r="I1275" s="16" t="s">
        <v>995</v>
      </c>
      <c r="J1275" s="8">
        <f>IFERROR(VLOOKUP($G1275,今日總結!$A:$AN,39,0),"")</f>
        <v>0</v>
      </c>
      <c r="K1275" s="5" t="str">
        <f>IFERROR(VLOOKUP($G1275,今日總結!$A:$AN,40,0),"")</f>
        <v>主</v>
      </c>
      <c r="L1275" s="156">
        <f>IFERROR(VLOOKUP($G1275,今日總結!$A:$AN,37,0),"")</f>
        <v>0</v>
      </c>
      <c r="M1275" s="337">
        <f>IFERROR(VLOOKUP($G1275,今日總結!$A:$AN,38,0),"")</f>
        <v>3</v>
      </c>
      <c r="N1275" s="240">
        <f t="shared" si="225"/>
        <v>-3</v>
      </c>
      <c r="O1275" s="359">
        <f>IFERROR(VLOOKUP($G1275,融外自投!$A:$J,7,0),"無")</f>
        <v>342</v>
      </c>
      <c r="P1275" s="79">
        <f>IFERROR(VLOOKUP($G1275,融外自投!$A:$J,9,0),"無")</f>
        <v>207</v>
      </c>
      <c r="Q1275" s="342">
        <f>IFERROR(VLOOKUP($G1275,融外自投!$A:$J,8,0),"無")</f>
        <v>512</v>
      </c>
      <c r="R1275" s="81">
        <f>IFERROR(VLOOKUP($G1275,融外自投!$A:$J,10,0),"無")</f>
        <v>208</v>
      </c>
      <c r="S1275" s="324">
        <f>IFERROR(VLOOKUP($G1275,'321買'!$A:$E,4,0),"'沒有資料'")</f>
        <v>891</v>
      </c>
      <c r="T1275" s="186">
        <f>IFERROR(VLOOKUP($G1275,基本資料!$A:$J,9,0),"無")</f>
        <v>4.5999999999999996</v>
      </c>
      <c r="U1275" s="307">
        <f t="shared" si="221"/>
        <v>5.609756097560975E-2</v>
      </c>
      <c r="V1275" s="94">
        <f>IFERROR(VLOOKUP($G1275,基本資料!$A:$J,10,0),"無")</f>
        <v>6.91</v>
      </c>
      <c r="W1275" s="36">
        <f>RTD("money.excel",,"4953","Price")</f>
        <v>82</v>
      </c>
      <c r="X1275" s="66"/>
      <c r="Y1275" s="15">
        <f t="shared" si="222"/>
        <v>82</v>
      </c>
      <c r="Z1275" s="3" t="e">
        <f t="shared" si="223"/>
        <v>#DIV/0!</v>
      </c>
      <c r="AA1275" s="340">
        <f>IFERROR(VLOOKUP($G1275,基本資料!$A:$M,11,0),"無")</f>
        <v>-23</v>
      </c>
      <c r="AB1275" s="389">
        <f>IFERROR(VLOOKUP($G1275,基本資料!$A:$M,12,0),"無")</f>
        <v>20.56</v>
      </c>
      <c r="AC1275" s="16" t="s">
        <v>995</v>
      </c>
      <c r="AF1275" s="33">
        <f t="shared" si="224"/>
        <v>0</v>
      </c>
      <c r="AG1275" s="43" t="s">
        <v>1957</v>
      </c>
      <c r="AH1275" s="66">
        <f t="shared" si="213"/>
        <v>0.48929663608562696</v>
      </c>
      <c r="AI1275" s="283">
        <f>RTD("money.excel",,$G1275,"PredictVolume")</f>
        <v>96</v>
      </c>
      <c r="AJ1275" s="391">
        <f>IFERROR(VLOOKUP($G1275,基本資料!$A:$M,13,0),"無")</f>
        <v>196.2</v>
      </c>
      <c r="AR1275" s="245" t="str">
        <f>INDEX(基本資料!N:N,MATCH($G1275,基本資料!A:A,0))</f>
        <v>低</v>
      </c>
    </row>
    <row r="1276" spans="1:44">
      <c r="A1276" s="343">
        <f>IFERROR(VLOOKUP($G1276,基本資料!$A:$J,3,0),"無")</f>
        <v>11.06</v>
      </c>
      <c r="B1276" s="79">
        <f>IFERROR(VLOOKUP($G1276,基本資料!$A:$J,4,0),"無")</f>
        <v>-68</v>
      </c>
      <c r="C1276" s="79">
        <f>IFERROR(VLOOKUP($G1276,基本資料!$A:$J,5,0),"無")</f>
        <v>-39</v>
      </c>
      <c r="D1276" s="79">
        <f>IFERROR(VLOOKUP($G1276,基本資料!$A:$J,6,0),"無")</f>
        <v>4</v>
      </c>
      <c r="E1276" s="79">
        <f>IFERROR(VLOOKUP($G1276,基本資料!$A:$J,7,0),"無")</f>
        <v>-27</v>
      </c>
      <c r="F1276" s="6">
        <f>IFERROR(VLOOKUP($G1276,基本資料!$A:$J,8,0),"無")</f>
        <v>11.58</v>
      </c>
      <c r="G1276" s="79">
        <v>4994</v>
      </c>
      <c r="H1276" s="8" t="s">
        <v>313</v>
      </c>
      <c r="I1276" s="22" t="s">
        <v>1020</v>
      </c>
      <c r="J1276" s="8">
        <f>IFERROR(VLOOKUP($G1276,今日總結!$A:$AN,39,0),"")</f>
        <v>0</v>
      </c>
      <c r="K1276" s="5">
        <f>IFERROR(VLOOKUP($G1276,今日總結!$A:$AN,40,0),"")</f>
        <v>0</v>
      </c>
      <c r="L1276" s="156">
        <f>IFERROR(VLOOKUP($G1276,今日總結!$A:$AN,37,0),"")</f>
        <v>0</v>
      </c>
      <c r="M1276" s="337">
        <f>IFERROR(VLOOKUP($G1276,今日總結!$A:$AN,38,0),"")</f>
        <v>0</v>
      </c>
      <c r="N1276" s="240">
        <f t="shared" si="225"/>
        <v>0</v>
      </c>
      <c r="O1276" s="359">
        <f>IFERROR(VLOOKUP($G1276,融外自投!$A:$J,7,0),"無")</f>
        <v>701</v>
      </c>
      <c r="P1276" s="79">
        <f>IFERROR(VLOOKUP($G1276,融外自投!$A:$J,9,0),"無")</f>
        <v>717</v>
      </c>
      <c r="Q1276" s="342">
        <f>IFERROR(VLOOKUP($G1276,融外自投!$A:$J,8,0),"無")</f>
        <v>1208</v>
      </c>
      <c r="R1276" s="81" t="str">
        <f>IFERROR(VLOOKUP($G1276,融外自投!$A:$J,10,0),"無")</f>
        <v>無</v>
      </c>
      <c r="S1276" s="324">
        <f>IFERROR(VLOOKUP($G1276,'321買'!$A:$E,4,0),"'沒有資料'")</f>
        <v>891</v>
      </c>
      <c r="T1276" s="186">
        <f>IFERROR(VLOOKUP($G1276,基本資料!$A:$J,9,0),"無")</f>
        <v>1.5</v>
      </c>
      <c r="U1276" s="307">
        <f t="shared" si="221"/>
        <v>3.4168564920273349E-2</v>
      </c>
      <c r="V1276" s="94">
        <f>IFERROR(VLOOKUP($G1276,基本資料!$A:$J,10,0),"無")</f>
        <v>1.23</v>
      </c>
      <c r="W1276" s="36">
        <f>RTD("money.excel",,"4994","Price")</f>
        <v>43.9</v>
      </c>
      <c r="X1276" s="66"/>
      <c r="Y1276" s="15">
        <f t="shared" si="222"/>
        <v>43.9</v>
      </c>
      <c r="Z1276" s="3" t="e">
        <f t="shared" si="223"/>
        <v>#DIV/0!</v>
      </c>
      <c r="AA1276" s="340">
        <f>IFERROR(VLOOKUP($G1276,基本資料!$A:$M,11,0),"無")</f>
        <v>-40.68</v>
      </c>
      <c r="AB1276" s="389">
        <f>IFERROR(VLOOKUP($G1276,基本資料!$A:$M,12,0),"無")</f>
        <v>22.66</v>
      </c>
      <c r="AC1276" s="22" t="s">
        <v>1020</v>
      </c>
      <c r="AF1276" s="33">
        <f t="shared" si="224"/>
        <v>0</v>
      </c>
      <c r="AG1276" s="43" t="s">
        <v>2318</v>
      </c>
      <c r="AH1276" s="66">
        <f t="shared" si="213"/>
        <v>0.23331328923631992</v>
      </c>
      <c r="AI1276" s="283">
        <f>RTD("money.excel",,$G1276,"PredictVolume")</f>
        <v>97</v>
      </c>
      <c r="AJ1276" s="391">
        <f>IFERROR(VLOOKUP($G1276,基本資料!$A:$M,13,0),"無")</f>
        <v>415.75</v>
      </c>
      <c r="AR1276" s="245" t="str">
        <f>INDEX(基本資料!N:N,MATCH($G1276,基本資料!A:A,0))</f>
        <v>低</v>
      </c>
    </row>
    <row r="1277" spans="1:44">
      <c r="A1277" s="343">
        <f>IFERROR(VLOOKUP($G1277,基本資料!$A:$J,3,0),"無")</f>
        <v>3.06</v>
      </c>
      <c r="B1277" s="79">
        <f>IFERROR(VLOOKUP($G1277,基本資料!$A:$J,4,0),"無")</f>
        <v>-49</v>
      </c>
      <c r="C1277" s="79">
        <f>IFERROR(VLOOKUP($G1277,基本資料!$A:$J,5,0),"無")</f>
        <v>-80</v>
      </c>
      <c r="D1277" s="79">
        <f>IFERROR(VLOOKUP($G1277,基本資料!$A:$J,6,0),"無")</f>
        <v>-34</v>
      </c>
      <c r="E1277" s="79">
        <f>IFERROR(VLOOKUP($G1277,基本資料!$A:$J,7,0),"無")</f>
        <v>15</v>
      </c>
      <c r="F1277" s="6">
        <f>IFERROR(VLOOKUP($G1277,基本資料!$A:$J,8,0),"無")</f>
        <v>7.45</v>
      </c>
      <c r="G1277" s="79">
        <v>5201</v>
      </c>
      <c r="H1277" s="8" t="s">
        <v>313</v>
      </c>
      <c r="I1277" s="16" t="s">
        <v>996</v>
      </c>
      <c r="J1277" s="8" t="str">
        <f>IFERROR(VLOOKUP($G1277,今日總結!$A:$AN,39,0),"")</f>
        <v/>
      </c>
      <c r="K1277" s="5" t="str">
        <f>IFERROR(VLOOKUP($G1277,今日總結!$A:$AN,40,0),"")</f>
        <v/>
      </c>
      <c r="L1277" s="156" t="str">
        <f>IFERROR(VLOOKUP($G1277,今日總結!$A:$AN,37,0),"")</f>
        <v/>
      </c>
      <c r="M1277" s="337" t="str">
        <f>IFERROR(VLOOKUP($G1277,今日總結!$A:$AN,38,0),"")</f>
        <v/>
      </c>
      <c r="N1277" s="240" t="str">
        <f t="shared" si="225"/>
        <v/>
      </c>
      <c r="O1277" s="359">
        <f>IFERROR(VLOOKUP($G1277,融外自投!$A:$J,7,0),"無")</f>
        <v>164</v>
      </c>
      <c r="P1277" s="79">
        <f>IFERROR(VLOOKUP($G1277,融外自投!$A:$J,9,0),"無")</f>
        <v>671</v>
      </c>
      <c r="Q1277" s="342">
        <f>IFERROR(VLOOKUP($G1277,融外自投!$A:$J,8,0),"無")</f>
        <v>739</v>
      </c>
      <c r="R1277" s="81" t="str">
        <f>IFERROR(VLOOKUP($G1277,融外自投!$A:$J,10,0),"無")</f>
        <v>無</v>
      </c>
      <c r="S1277" s="324" t="str">
        <f>IFERROR(VLOOKUP($G1277,'321買'!$A:$E,4,0),"'沒有資料'")</f>
        <v>'沒有資料'</v>
      </c>
      <c r="T1277" s="186">
        <f>IFERROR(VLOOKUP($G1277,基本資料!$A:$J,9,0),"無")</f>
        <v>1.5</v>
      </c>
      <c r="U1277" s="307">
        <f t="shared" si="221"/>
        <v>5.1903114186851215E-2</v>
      </c>
      <c r="V1277" s="94">
        <f>IFERROR(VLOOKUP($G1277,基本資料!$A:$J,10,0),"無")</f>
        <v>1.56</v>
      </c>
      <c r="W1277" s="36">
        <f>RTD("money.excel",,"5201","Price")</f>
        <v>28.9</v>
      </c>
      <c r="X1277" s="66"/>
      <c r="Y1277" s="15">
        <f t="shared" si="222"/>
        <v>28.9</v>
      </c>
      <c r="Z1277" s="3" t="e">
        <f t="shared" si="223"/>
        <v>#DIV/0!</v>
      </c>
      <c r="AA1277" s="340">
        <f>IFERROR(VLOOKUP($G1277,基本資料!$A:$M,11,0),"無")</f>
        <v>-15.99</v>
      </c>
      <c r="AB1277" s="389">
        <f>IFERROR(VLOOKUP($G1277,基本資料!$A:$M,12,0),"無")</f>
        <v>34.75</v>
      </c>
      <c r="AC1277" s="16" t="s">
        <v>996</v>
      </c>
      <c r="AF1277" s="33">
        <f t="shared" si="224"/>
        <v>0</v>
      </c>
      <c r="AG1277" s="43" t="s">
        <v>2684</v>
      </c>
      <c r="AH1277" s="66">
        <f t="shared" si="213"/>
        <v>0.79295154185022032</v>
      </c>
      <c r="AI1277" s="283">
        <f>RTD("money.excel",,$G1277,"PredictVolume")</f>
        <v>27</v>
      </c>
      <c r="AJ1277" s="391">
        <f>IFERROR(VLOOKUP($G1277,基本資料!$A:$M,13,0),"無")</f>
        <v>34.049999999999997</v>
      </c>
      <c r="AR1277" s="245" t="str">
        <f>INDEX(基本資料!N:N,MATCH($G1277,基本資料!A:A,0))</f>
        <v>中</v>
      </c>
    </row>
    <row r="1278" spans="1:44">
      <c r="A1278" s="343">
        <f>IFERROR(VLOOKUP($G1278,基本資料!$A:$J,3,0),"無")</f>
        <v>8.9</v>
      </c>
      <c r="B1278" s="79">
        <f>IFERROR(VLOOKUP($G1278,基本資料!$A:$J,4,0),"無")</f>
        <v>14</v>
      </c>
      <c r="C1278" s="79">
        <f>IFERROR(VLOOKUP($G1278,基本資料!$A:$J,5,0),"無")</f>
        <v>-37</v>
      </c>
      <c r="D1278" s="79">
        <f>IFERROR(VLOOKUP($G1278,基本資料!$A:$J,6,0),"無")</f>
        <v>-10</v>
      </c>
      <c r="E1278" s="79">
        <f>IFERROR(VLOOKUP($G1278,基本資料!$A:$J,7,0),"無")</f>
        <v>22</v>
      </c>
      <c r="F1278" s="6">
        <f>IFERROR(VLOOKUP($G1278,基本資料!$A:$J,8,0),"無")</f>
        <v>-56.73</v>
      </c>
      <c r="G1278" s="79">
        <v>5202</v>
      </c>
      <c r="H1278" s="8" t="s">
        <v>313</v>
      </c>
      <c r="I1278" s="16" t="s">
        <v>997</v>
      </c>
      <c r="J1278" s="8">
        <f>IFERROR(VLOOKUP($G1278,今日總結!$A:$AN,39,0),"")</f>
        <v>0</v>
      </c>
      <c r="K1278" s="5">
        <f>IFERROR(VLOOKUP($G1278,今日總結!$A:$AN,40,0),"")</f>
        <v>0</v>
      </c>
      <c r="L1278" s="156">
        <f>IFERROR(VLOOKUP($G1278,今日總結!$A:$AN,37,0),"")</f>
        <v>0</v>
      </c>
      <c r="M1278" s="337">
        <f>IFERROR(VLOOKUP($G1278,今日總結!$A:$AN,38,0),"")</f>
        <v>0</v>
      </c>
      <c r="N1278" s="240">
        <f t="shared" si="225"/>
        <v>0</v>
      </c>
      <c r="O1278" s="359">
        <f>IFERROR(VLOOKUP($G1278,融外自投!$A:$J,7,0),"無")</f>
        <v>225</v>
      </c>
      <c r="P1278" s="79" t="str">
        <f>IFERROR(VLOOKUP($G1278,融外自投!$A:$J,9,0),"無")</f>
        <v>無</v>
      </c>
      <c r="Q1278" s="342">
        <f>IFERROR(VLOOKUP($G1278,融外自投!$A:$J,8,0),"無")</f>
        <v>1354</v>
      </c>
      <c r="R1278" s="81" t="str">
        <f>IFERROR(VLOOKUP($G1278,融外自投!$A:$J,10,0),"無")</f>
        <v>無</v>
      </c>
      <c r="S1278" s="324">
        <f>IFERROR(VLOOKUP($G1278,'321買'!$A:$E,4,0),"'沒有資料'")</f>
        <v>696</v>
      </c>
      <c r="T1278" s="186">
        <f>IFERROR(VLOOKUP($G1278,基本資料!$A:$J,9,0),"無")</f>
        <v>1.1399999999999999</v>
      </c>
      <c r="U1278" s="307">
        <f t="shared" si="221"/>
        <v>6.3687150837988829E-2</v>
      </c>
      <c r="V1278" s="94">
        <f>IFERROR(VLOOKUP($G1278,基本資料!$A:$J,10,0),"無")</f>
        <v>-0.32</v>
      </c>
      <c r="W1278" s="36">
        <f>RTD("money.excel",,"5202","Price")</f>
        <v>17.899999999999999</v>
      </c>
      <c r="X1278" s="66"/>
      <c r="Y1278" s="15">
        <f t="shared" si="222"/>
        <v>17.899999999999999</v>
      </c>
      <c r="Z1278" s="3" t="e">
        <f t="shared" si="223"/>
        <v>#DIV/0!</v>
      </c>
      <c r="AA1278" s="340">
        <f>IFERROR(VLOOKUP($G1278,基本資料!$A:$M,11,0),"無")</f>
        <v>-28.4</v>
      </c>
      <c r="AB1278" s="389">
        <f>IFERROR(VLOOKUP($G1278,基本資料!$A:$M,12,0),"無")</f>
        <v>18.899999999999999</v>
      </c>
      <c r="AC1278" s="16" t="s">
        <v>997</v>
      </c>
      <c r="AF1278" s="33">
        <f t="shared" si="224"/>
        <v>0</v>
      </c>
      <c r="AG1278" s="43" t="s">
        <v>2047</v>
      </c>
      <c r="AH1278" s="66">
        <f t="shared" si="213"/>
        <v>0.64327485380116955</v>
      </c>
      <c r="AI1278" s="283">
        <f>RTD("money.excel",,$G1278,"PredictVolume")</f>
        <v>11</v>
      </c>
      <c r="AJ1278" s="391">
        <f>IFERROR(VLOOKUP($G1278,基本資料!$A:$M,13,0),"無")</f>
        <v>17.100000000000001</v>
      </c>
      <c r="AR1278" s="245" t="str">
        <f>INDEX(基本資料!N:N,MATCH($G1278,基本資料!A:A,0))</f>
        <v>低</v>
      </c>
    </row>
    <row r="1279" spans="1:44">
      <c r="A1279" s="343">
        <f>IFERROR(VLOOKUP($G1279,基本資料!$A:$J,3,0),"無")</f>
        <v>7.88</v>
      </c>
      <c r="B1279" s="79">
        <f>IFERROR(VLOOKUP($G1279,基本資料!$A:$J,4,0),"無")</f>
        <v>-398</v>
      </c>
      <c r="C1279" s="79">
        <f>IFERROR(VLOOKUP($G1279,基本資料!$A:$J,5,0),"無")</f>
        <v>-17</v>
      </c>
      <c r="D1279" s="79">
        <f>IFERROR(VLOOKUP($G1279,基本資料!$A:$J,6,0),"無")</f>
        <v>20</v>
      </c>
      <c r="E1279" s="79">
        <f>IFERROR(VLOOKUP($G1279,基本資料!$A:$J,7,0),"無")</f>
        <v>-7</v>
      </c>
      <c r="F1279" s="6">
        <f>IFERROR(VLOOKUP($G1279,基本資料!$A:$J,8,0),"無")</f>
        <v>12.48</v>
      </c>
      <c r="G1279" s="79">
        <v>5203</v>
      </c>
      <c r="H1279" s="8" t="s">
        <v>313</v>
      </c>
      <c r="I1279" s="22" t="s">
        <v>100</v>
      </c>
      <c r="J1279" s="8">
        <f>IFERROR(VLOOKUP($G1279,今日總結!$A:$AN,39,0),"")</f>
        <v>0</v>
      </c>
      <c r="K1279" s="5" t="str">
        <f>IFERROR(VLOOKUP($G1279,今日總結!$A:$AN,40,0),"")</f>
        <v>借</v>
      </c>
      <c r="L1279" s="156">
        <f>IFERROR(VLOOKUP($G1279,今日總結!$A:$AN,37,0),"")</f>
        <v>0</v>
      </c>
      <c r="M1279" s="337">
        <f>IFERROR(VLOOKUP($G1279,今日總結!$A:$AN,38,0),"")</f>
        <v>2</v>
      </c>
      <c r="N1279" s="240">
        <f t="shared" si="225"/>
        <v>-2</v>
      </c>
      <c r="O1279" s="359">
        <f>IFERROR(VLOOKUP($G1279,融外自投!$A:$J,7,0),"無")</f>
        <v>606</v>
      </c>
      <c r="P1279" s="79">
        <f>IFERROR(VLOOKUP($G1279,融外自投!$A:$J,9,0),"無")</f>
        <v>825</v>
      </c>
      <c r="Q1279" s="342">
        <f>IFERROR(VLOOKUP($G1279,融外自投!$A:$J,8,0),"無")</f>
        <v>363</v>
      </c>
      <c r="R1279" s="81">
        <f>IFERROR(VLOOKUP($G1279,融外自投!$A:$J,10,0),"無")</f>
        <v>439</v>
      </c>
      <c r="S1279" s="324">
        <f>IFERROR(VLOOKUP($G1279,'321買'!$A:$E,4,0),"'沒有資料'")</f>
        <v>891</v>
      </c>
      <c r="T1279" s="186">
        <f>IFERROR(VLOOKUP($G1279,基本資料!$A:$J,9,0),"無")</f>
        <v>1.72</v>
      </c>
      <c r="U1279" s="307">
        <f t="shared" si="221"/>
        <v>2.0046620046620046E-2</v>
      </c>
      <c r="V1279" s="94">
        <f>IFERROR(VLOOKUP($G1279,基本資料!$A:$J,10,0),"無")</f>
        <v>-7.21</v>
      </c>
      <c r="W1279" s="36">
        <f>RTD("money.excel",,"5203","Price")</f>
        <v>85.8</v>
      </c>
      <c r="X1279" s="66"/>
      <c r="Y1279" s="15">
        <f t="shared" si="222"/>
        <v>85.8</v>
      </c>
      <c r="Z1279" s="3" t="e">
        <f t="shared" si="223"/>
        <v>#DIV/0!</v>
      </c>
      <c r="AA1279" s="340">
        <f>IFERROR(VLOOKUP($G1279,基本資料!$A:$M,11,0),"無")</f>
        <v>-25.71</v>
      </c>
      <c r="AB1279" s="389">
        <f>IFERROR(VLOOKUP($G1279,基本資料!$A:$M,12,0),"無")</f>
        <v>20.12</v>
      </c>
      <c r="AC1279" s="22" t="s">
        <v>100</v>
      </c>
      <c r="AF1279" s="33">
        <f t="shared" si="224"/>
        <v>0</v>
      </c>
      <c r="AG1279" s="117" t="s">
        <v>2050</v>
      </c>
      <c r="AH1279" s="66">
        <f t="shared" si="213"/>
        <v>0.95092024539877296</v>
      </c>
      <c r="AI1279" s="283">
        <f>RTD("money.excel",,$G1279,"PredictVolume")</f>
        <v>155</v>
      </c>
      <c r="AJ1279" s="391">
        <f>IFERROR(VLOOKUP($G1279,基本資料!$A:$M,13,0),"無")</f>
        <v>163</v>
      </c>
      <c r="AR1279" s="245" t="str">
        <f>INDEX(基本資料!N:N,MATCH($G1279,基本資料!A:A,0))</f>
        <v>低</v>
      </c>
    </row>
    <row r="1280" spans="1:44">
      <c r="A1280" s="343">
        <f>IFERROR(VLOOKUP($G1280,基本資料!$A:$J,3,0),"無")</f>
        <v>2.76</v>
      </c>
      <c r="B1280" s="79">
        <f>IFERROR(VLOOKUP($G1280,基本資料!$A:$J,4,0),"無")</f>
        <v>101</v>
      </c>
      <c r="C1280" s="79">
        <f>IFERROR(VLOOKUP($G1280,基本資料!$A:$J,5,0),"無")</f>
        <v>-1</v>
      </c>
      <c r="D1280" s="79">
        <f>IFERROR(VLOOKUP($G1280,基本資料!$A:$J,6,0),"無")</f>
        <v>-4</v>
      </c>
      <c r="E1280" s="79">
        <f>IFERROR(VLOOKUP($G1280,基本資料!$A:$J,7,0),"無")</f>
        <v>-40</v>
      </c>
      <c r="F1280" s="6">
        <f>IFERROR(VLOOKUP($G1280,基本資料!$A:$J,8,0),"無")</f>
        <v>3.92</v>
      </c>
      <c r="G1280" s="79">
        <v>5209</v>
      </c>
      <c r="H1280" s="8" t="s">
        <v>313</v>
      </c>
      <c r="I1280" s="16" t="s">
        <v>998</v>
      </c>
      <c r="J1280" s="8" t="str">
        <f>IFERROR(VLOOKUP($G1280,今日總結!$A:$AN,39,0),"")</f>
        <v/>
      </c>
      <c r="K1280" s="5" t="str">
        <f>IFERROR(VLOOKUP($G1280,今日總結!$A:$AN,40,0),"")</f>
        <v/>
      </c>
      <c r="L1280" s="156" t="str">
        <f>IFERROR(VLOOKUP($G1280,今日總結!$A:$AN,37,0),"")</f>
        <v/>
      </c>
      <c r="M1280" s="337" t="str">
        <f>IFERROR(VLOOKUP($G1280,今日總結!$A:$AN,38,0),"")</f>
        <v/>
      </c>
      <c r="N1280" s="240" t="str">
        <f t="shared" si="225"/>
        <v/>
      </c>
      <c r="O1280" s="359" t="str">
        <f>IFERROR(VLOOKUP($G1280,融外自投!$A:$J,7,0),"無")</f>
        <v>無</v>
      </c>
      <c r="P1280" s="79" t="str">
        <f>IFERROR(VLOOKUP($G1280,融外自投!$A:$J,9,0),"無")</f>
        <v>無</v>
      </c>
      <c r="Q1280" s="342" t="str">
        <f>IFERROR(VLOOKUP($G1280,融外自投!$A:$J,8,0),"無")</f>
        <v>無</v>
      </c>
      <c r="R1280" s="81" t="str">
        <f>IFERROR(VLOOKUP($G1280,融外自投!$A:$J,10,0),"無")</f>
        <v>無</v>
      </c>
      <c r="S1280" s="324" t="str">
        <f>IFERROR(VLOOKUP($G1280,'321買'!$A:$E,4,0),"'沒有資料'")</f>
        <v>'沒有資料'</v>
      </c>
      <c r="T1280" s="186">
        <f>IFERROR(VLOOKUP($G1280,基本資料!$A:$J,9,0),"無")</f>
        <v>8.89</v>
      </c>
      <c r="U1280" s="307">
        <f t="shared" si="221"/>
        <v>0.12013513513513514</v>
      </c>
      <c r="V1280" s="94">
        <f>IFERROR(VLOOKUP($G1280,基本資料!$A:$J,10,0),"無")</f>
        <v>10.02</v>
      </c>
      <c r="W1280" s="36">
        <f>RTD("money.excel",,"5209","Price")</f>
        <v>74</v>
      </c>
      <c r="X1280" s="66"/>
      <c r="Y1280" s="15">
        <f t="shared" si="222"/>
        <v>74</v>
      </c>
      <c r="Z1280" s="3" t="e">
        <f t="shared" si="223"/>
        <v>#DIV/0!</v>
      </c>
      <c r="AA1280" s="340">
        <f>IFERROR(VLOOKUP($G1280,基本資料!$A:$M,11,0),"無")</f>
        <v>-11.9</v>
      </c>
      <c r="AB1280" s="389">
        <f>IFERROR(VLOOKUP($G1280,基本資料!$A:$M,12,0),"無")</f>
        <v>26.88</v>
      </c>
      <c r="AC1280" s="16" t="s">
        <v>998</v>
      </c>
      <c r="AF1280" s="33">
        <f t="shared" si="224"/>
        <v>0</v>
      </c>
      <c r="AG1280" s="43" t="s">
        <v>2142</v>
      </c>
      <c r="AH1280" s="66">
        <f t="shared" si="213"/>
        <v>0.79439252336448607</v>
      </c>
      <c r="AI1280" s="283">
        <f>RTD("money.excel",,$G1280,"PredictVolume")</f>
        <v>17</v>
      </c>
      <c r="AJ1280" s="391">
        <f>IFERROR(VLOOKUP($G1280,基本資料!$A:$M,13,0),"無")</f>
        <v>21.4</v>
      </c>
      <c r="AR1280" s="245" t="str">
        <f>INDEX(基本資料!N:N,MATCH($G1280,基本資料!A:A,0))</f>
        <v>中</v>
      </c>
    </row>
    <row r="1281" spans="1:44">
      <c r="A1281" s="343">
        <f>IFERROR(VLOOKUP($G1281,基本資料!$A:$J,3,0),"無")</f>
        <v>6.21</v>
      </c>
      <c r="B1281" s="79">
        <f>IFERROR(VLOOKUP($G1281,基本資料!$A:$J,4,0),"無")</f>
        <v>70</v>
      </c>
      <c r="C1281" s="79">
        <f>IFERROR(VLOOKUP($G1281,基本資料!$A:$J,5,0),"無")</f>
        <v>63</v>
      </c>
      <c r="D1281" s="79">
        <f>IFERROR(VLOOKUP($G1281,基本資料!$A:$J,6,0),"無")</f>
        <v>-35</v>
      </c>
      <c r="E1281" s="79">
        <f>IFERROR(VLOOKUP($G1281,基本資料!$A:$J,7,0),"無")</f>
        <v>29</v>
      </c>
      <c r="F1281" s="6">
        <f>IFERROR(VLOOKUP($G1281,基本資料!$A:$J,8,0),"無")</f>
        <v>-14.75</v>
      </c>
      <c r="G1281" s="79">
        <v>5210</v>
      </c>
      <c r="H1281" s="8" t="s">
        <v>313</v>
      </c>
      <c r="I1281" s="16" t="s">
        <v>999</v>
      </c>
      <c r="J1281" s="8" t="str">
        <f>IFERROR(VLOOKUP($G1281,今日總結!$A:$AN,39,0),"")</f>
        <v/>
      </c>
      <c r="K1281" s="5" t="str">
        <f>IFERROR(VLOOKUP($G1281,今日總結!$A:$AN,40,0),"")</f>
        <v/>
      </c>
      <c r="L1281" s="156" t="str">
        <f>IFERROR(VLOOKUP($G1281,今日總結!$A:$AN,37,0),"")</f>
        <v/>
      </c>
      <c r="M1281" s="337" t="str">
        <f>IFERROR(VLOOKUP($G1281,今日總結!$A:$AN,38,0),"")</f>
        <v/>
      </c>
      <c r="N1281" s="240" t="str">
        <f t="shared" si="225"/>
        <v/>
      </c>
      <c r="O1281" s="359" t="str">
        <f>IFERROR(VLOOKUP($G1281,融外自投!$A:$J,7,0),"無")</f>
        <v>無</v>
      </c>
      <c r="P1281" s="79" t="str">
        <f>IFERROR(VLOOKUP($G1281,融外自投!$A:$J,9,0),"無")</f>
        <v>無</v>
      </c>
      <c r="Q1281" s="342" t="str">
        <f>IFERROR(VLOOKUP($G1281,融外自投!$A:$J,8,0),"無")</f>
        <v>無</v>
      </c>
      <c r="R1281" s="81" t="str">
        <f>IFERROR(VLOOKUP($G1281,融外自投!$A:$J,10,0),"無")</f>
        <v>無</v>
      </c>
      <c r="S1281" s="324" t="str">
        <f>IFERROR(VLOOKUP($G1281,'321買'!$A:$E,4,0),"'沒有資料'")</f>
        <v>'沒有資料'</v>
      </c>
      <c r="T1281" s="186">
        <f>IFERROR(VLOOKUP($G1281,基本資料!$A:$J,9,0),"無")</f>
        <v>0</v>
      </c>
      <c r="U1281" s="307">
        <f t="shared" si="221"/>
        <v>0</v>
      </c>
      <c r="V1281" s="94">
        <f>IFERROR(VLOOKUP($G1281,基本資料!$A:$J,10,0),"無")</f>
        <v>-0.37</v>
      </c>
      <c r="W1281" s="36">
        <f>RTD("money.excel",,"5210","Price")</f>
        <v>20.350000000000001</v>
      </c>
      <c r="X1281" s="66"/>
      <c r="Y1281" s="15">
        <f t="shared" si="222"/>
        <v>20.350000000000001</v>
      </c>
      <c r="Z1281" s="3" t="e">
        <f t="shared" si="223"/>
        <v>#DIV/0!</v>
      </c>
      <c r="AA1281" s="340">
        <f>IFERROR(VLOOKUP($G1281,基本資料!$A:$M,11,0),"無")</f>
        <v>-33.28</v>
      </c>
      <c r="AB1281" s="389">
        <f>IFERROR(VLOOKUP($G1281,基本資料!$A:$M,12,0),"無")</f>
        <v>37.909999999999997</v>
      </c>
      <c r="AC1281" s="16" t="s">
        <v>999</v>
      </c>
      <c r="AF1281" s="33">
        <f t="shared" si="224"/>
        <v>0</v>
      </c>
      <c r="AG1281" s="43" t="s">
        <v>2684</v>
      </c>
      <c r="AH1281" s="66">
        <f t="shared" si="213"/>
        <v>0.40795394388565376</v>
      </c>
      <c r="AI1281" s="283">
        <f>RTD("money.excel",,$G1281,"PredictVolume")</f>
        <v>1233</v>
      </c>
      <c r="AJ1281" s="391">
        <f>IFERROR(VLOOKUP($G1281,基本資料!$A:$M,13,0),"無")</f>
        <v>3022.4</v>
      </c>
      <c r="AR1281" s="245" t="str">
        <f>INDEX(基本資料!N:N,MATCH($G1281,基本資料!A:A,0))</f>
        <v>中</v>
      </c>
    </row>
    <row r="1282" spans="1:44">
      <c r="A1282" s="343">
        <f>IFERROR(VLOOKUP($G1282,基本資料!$A:$J,3,0),"無")</f>
        <v>3.2</v>
      </c>
      <c r="B1282" s="79">
        <f>IFERROR(VLOOKUP($G1282,基本資料!$A:$J,4,0),"無")</f>
        <v>428</v>
      </c>
      <c r="C1282" s="79">
        <f>IFERROR(VLOOKUP($G1282,基本資料!$A:$J,5,0),"無")</f>
        <v>328</v>
      </c>
      <c r="D1282" s="79">
        <f>IFERROR(VLOOKUP($G1282,基本資料!$A:$J,6,0),"無")</f>
        <v>-17</v>
      </c>
      <c r="E1282" s="79">
        <f>IFERROR(VLOOKUP($G1282,基本資料!$A:$J,7,0),"無")</f>
        <v>7</v>
      </c>
      <c r="F1282" s="6">
        <f>IFERROR(VLOOKUP($G1282,基本資料!$A:$J,8,0),"無")</f>
        <v>36.4</v>
      </c>
      <c r="G1282" s="79">
        <v>5211</v>
      </c>
      <c r="H1282" s="8" t="s">
        <v>313</v>
      </c>
      <c r="I1282" s="16" t="s">
        <v>1000</v>
      </c>
      <c r="J1282" s="8">
        <f>IFERROR(VLOOKUP($G1282,今日總結!$A:$AN,39,0),"")</f>
        <v>0</v>
      </c>
      <c r="K1282" s="5" t="str">
        <f>IFERROR(VLOOKUP($G1282,今日總結!$A:$AN,40,0),"")</f>
        <v>主外</v>
      </c>
      <c r="L1282" s="156">
        <f>IFERROR(VLOOKUP($G1282,今日總結!$A:$AN,37,0),"")</f>
        <v>0</v>
      </c>
      <c r="M1282" s="337">
        <f>IFERROR(VLOOKUP($G1282,今日總結!$A:$AN,38,0),"")</f>
        <v>7</v>
      </c>
      <c r="N1282" s="240">
        <f t="shared" si="225"/>
        <v>-7</v>
      </c>
      <c r="O1282" s="359">
        <f>IFERROR(VLOOKUP($G1282,融外自投!$A:$J,7,0),"無")</f>
        <v>540</v>
      </c>
      <c r="P1282" s="79" t="str">
        <f>IFERROR(VLOOKUP($G1282,融外自投!$A:$J,9,0),"無")</f>
        <v>無</v>
      </c>
      <c r="Q1282" s="342">
        <f>IFERROR(VLOOKUP($G1282,融外自投!$A:$J,8,0),"無")</f>
        <v>549</v>
      </c>
      <c r="R1282" s="81" t="str">
        <f>IFERROR(VLOOKUP($G1282,融外自投!$A:$J,10,0),"無")</f>
        <v>無</v>
      </c>
      <c r="S1282" s="324">
        <f>IFERROR(VLOOKUP($G1282,'321買'!$A:$E,4,0),"'沒有資料'")</f>
        <v>465</v>
      </c>
      <c r="T1282" s="186">
        <f>IFERROR(VLOOKUP($G1282,基本資料!$A:$J,9,0),"無")</f>
        <v>0.7</v>
      </c>
      <c r="U1282" s="307">
        <f t="shared" si="221"/>
        <v>4.2553191489361701E-2</v>
      </c>
      <c r="V1282" s="94">
        <f>IFERROR(VLOOKUP($G1282,基本資料!$A:$J,10,0),"無")</f>
        <v>1.48</v>
      </c>
      <c r="W1282" s="36">
        <f>RTD("money.excel",,"5211","Price")</f>
        <v>16.45</v>
      </c>
      <c r="X1282" s="66"/>
      <c r="Y1282" s="15">
        <f t="shared" si="222"/>
        <v>16.45</v>
      </c>
      <c r="Z1282" s="3" t="e">
        <f t="shared" si="223"/>
        <v>#DIV/0!</v>
      </c>
      <c r="AA1282" s="340">
        <f>IFERROR(VLOOKUP($G1282,基本資料!$A:$M,11,0),"無")</f>
        <v>-36.729999999999997</v>
      </c>
      <c r="AB1282" s="389">
        <f>IFERROR(VLOOKUP($G1282,基本資料!$A:$M,12,0),"無")</f>
        <v>7.4</v>
      </c>
      <c r="AC1282" s="16" t="s">
        <v>1000</v>
      </c>
      <c r="AF1282" s="33">
        <f t="shared" si="224"/>
        <v>0</v>
      </c>
      <c r="AG1282" s="43" t="s">
        <v>2685</v>
      </c>
      <c r="AH1282" s="66">
        <f t="shared" si="213"/>
        <v>0.38267875125881168</v>
      </c>
      <c r="AI1282" s="283">
        <f>RTD("money.excel",,$G1282,"PredictVolume")</f>
        <v>19</v>
      </c>
      <c r="AJ1282" s="391">
        <f>IFERROR(VLOOKUP($G1282,基本資料!$A:$M,13,0),"無")</f>
        <v>49.65</v>
      </c>
      <c r="AR1282" s="245" t="str">
        <f>INDEX(基本資料!N:N,MATCH($G1282,基本資料!A:A,0))</f>
        <v>低</v>
      </c>
    </row>
    <row r="1283" spans="1:44">
      <c r="A1283" s="343">
        <f>IFERROR(VLOOKUP($G1283,基本資料!$A:$J,3,0),"無")</f>
        <v>3.46</v>
      </c>
      <c r="B1283" s="79">
        <f>IFERROR(VLOOKUP($G1283,基本資料!$A:$J,4,0),"無")</f>
        <v>-17</v>
      </c>
      <c r="C1283" s="79">
        <f>IFERROR(VLOOKUP($G1283,基本資料!$A:$J,5,0),"無")</f>
        <v>-15</v>
      </c>
      <c r="D1283" s="79">
        <f>IFERROR(VLOOKUP($G1283,基本資料!$A:$J,6,0),"無")</f>
        <v>-25</v>
      </c>
      <c r="E1283" s="79">
        <f>IFERROR(VLOOKUP($G1283,基本資料!$A:$J,7,0),"無")</f>
        <v>-23</v>
      </c>
      <c r="F1283" s="6">
        <f>IFERROR(VLOOKUP($G1283,基本資料!$A:$J,8,0),"無")</f>
        <v>11.13</v>
      </c>
      <c r="G1283" s="79">
        <v>5212</v>
      </c>
      <c r="H1283" s="8" t="s">
        <v>313</v>
      </c>
      <c r="I1283" s="16" t="s">
        <v>1001</v>
      </c>
      <c r="J1283" s="8" t="str">
        <f>IFERROR(VLOOKUP($G1283,今日總結!$A:$AN,39,0),"")</f>
        <v/>
      </c>
      <c r="K1283" s="5" t="str">
        <f>IFERROR(VLOOKUP($G1283,今日總結!$A:$AN,40,0),"")</f>
        <v/>
      </c>
      <c r="L1283" s="156" t="str">
        <f>IFERROR(VLOOKUP($G1283,今日總結!$A:$AN,37,0),"")</f>
        <v/>
      </c>
      <c r="M1283" s="337" t="str">
        <f>IFERROR(VLOOKUP($G1283,今日總結!$A:$AN,38,0),"")</f>
        <v/>
      </c>
      <c r="N1283" s="240" t="str">
        <f t="shared" si="225"/>
        <v/>
      </c>
      <c r="O1283" s="359">
        <f>IFERROR(VLOOKUP($G1283,融外自投!$A:$J,7,0),"無")</f>
        <v>1238</v>
      </c>
      <c r="P1283" s="79">
        <f>IFERROR(VLOOKUP($G1283,融外自投!$A:$J,9,0),"無")</f>
        <v>5</v>
      </c>
      <c r="Q1283" s="342">
        <f>IFERROR(VLOOKUP($G1283,融外自投!$A:$J,8,0),"無")</f>
        <v>148</v>
      </c>
      <c r="R1283" s="81" t="str">
        <f>IFERROR(VLOOKUP($G1283,融外自投!$A:$J,10,0),"無")</f>
        <v>無</v>
      </c>
      <c r="S1283" s="324" t="str">
        <f>IFERROR(VLOOKUP($G1283,'321買'!$A:$E,4,0),"'沒有資料'")</f>
        <v>'沒有資料'</v>
      </c>
      <c r="T1283" s="186">
        <f>IFERROR(VLOOKUP($G1283,基本資料!$A:$J,9,0),"無")</f>
        <v>2.5</v>
      </c>
      <c r="U1283" s="307" t="e">
        <f t="shared" si="221"/>
        <v>#VALUE!</v>
      </c>
      <c r="V1283" s="94">
        <f>IFERROR(VLOOKUP($G1283,基本資料!$A:$J,10,0),"無")</f>
        <v>2.68</v>
      </c>
      <c r="W1283" s="36" t="str">
        <f>RTD("money.excel",,"5212","Price")</f>
        <v>無資料</v>
      </c>
      <c r="X1283" s="66"/>
      <c r="Y1283" s="15" t="e">
        <f t="shared" si="222"/>
        <v>#VALUE!</v>
      </c>
      <c r="Z1283" s="3" t="e">
        <f t="shared" si="223"/>
        <v>#VALUE!</v>
      </c>
      <c r="AA1283" s="340">
        <f>IFERROR(VLOOKUP($G1283,基本資料!$A:$M,11,0),"無")</f>
        <v>-24.09</v>
      </c>
      <c r="AB1283" s="389">
        <f>IFERROR(VLOOKUP($G1283,基本資料!$A:$M,12,0),"無")</f>
        <v>8.0399999999999991</v>
      </c>
      <c r="AC1283" s="16" t="s">
        <v>1001</v>
      </c>
      <c r="AF1283" s="33">
        <f t="shared" si="224"/>
        <v>0</v>
      </c>
      <c r="AG1283" s="43" t="s">
        <v>2686</v>
      </c>
      <c r="AH1283" s="66">
        <f t="shared" si="213"/>
        <v>0</v>
      </c>
      <c r="AI1283" s="283">
        <f>RTD("money.excel",,$G1283,"PredictVolume")</f>
        <v>0</v>
      </c>
      <c r="AJ1283" s="391">
        <f>IFERROR(VLOOKUP($G1283,基本資料!$A:$M,13,0),"無")</f>
        <v>20.05</v>
      </c>
      <c r="AR1283" s="245" t="str">
        <f>INDEX(基本資料!N:N,MATCH($G1283,基本資料!A:A,0))</f>
        <v>低</v>
      </c>
    </row>
    <row r="1284" spans="1:44">
      <c r="A1284" s="343">
        <f>IFERROR(VLOOKUP($G1284,基本資料!$A:$J,3,0),"無")</f>
        <v>2.89</v>
      </c>
      <c r="B1284" s="79">
        <f>IFERROR(VLOOKUP($G1284,基本資料!$A:$J,4,0),"無")</f>
        <v>73</v>
      </c>
      <c r="C1284" s="79">
        <f>IFERROR(VLOOKUP($G1284,基本資料!$A:$J,5,0),"無")</f>
        <v>71</v>
      </c>
      <c r="D1284" s="79">
        <f>IFERROR(VLOOKUP($G1284,基本資料!$A:$J,6,0),"無")</f>
        <v>-77</v>
      </c>
      <c r="E1284" s="79">
        <f>IFERROR(VLOOKUP($G1284,基本資料!$A:$J,7,0),"無")</f>
        <v>82</v>
      </c>
      <c r="F1284" s="6">
        <f>IFERROR(VLOOKUP($G1284,基本資料!$A:$J,8,0),"無")</f>
        <v>-72.2</v>
      </c>
      <c r="G1284" s="79">
        <v>5310</v>
      </c>
      <c r="H1284" s="8" t="s">
        <v>313</v>
      </c>
      <c r="I1284" s="16" t="s">
        <v>1002</v>
      </c>
      <c r="J1284" s="8" t="str">
        <f>IFERROR(VLOOKUP($G1284,今日總結!$A:$AN,39,0),"")</f>
        <v/>
      </c>
      <c r="K1284" s="5" t="str">
        <f>IFERROR(VLOOKUP($G1284,今日總結!$A:$AN,40,0),"")</f>
        <v/>
      </c>
      <c r="L1284" s="156" t="str">
        <f>IFERROR(VLOOKUP($G1284,今日總結!$A:$AN,37,0),"")</f>
        <v/>
      </c>
      <c r="M1284" s="337" t="str">
        <f>IFERROR(VLOOKUP($G1284,今日總結!$A:$AN,38,0),"")</f>
        <v/>
      </c>
      <c r="N1284" s="240" t="str">
        <f t="shared" si="225"/>
        <v/>
      </c>
      <c r="O1284" s="359" t="str">
        <f>IFERROR(VLOOKUP($G1284,融外自投!$A:$J,7,0),"無")</f>
        <v>無</v>
      </c>
      <c r="P1284" s="79" t="str">
        <f>IFERROR(VLOOKUP($G1284,融外自投!$A:$J,9,0),"無")</f>
        <v>無</v>
      </c>
      <c r="Q1284" s="342" t="str">
        <f>IFERROR(VLOOKUP($G1284,融外自投!$A:$J,8,0),"無")</f>
        <v>無</v>
      </c>
      <c r="R1284" s="81" t="str">
        <f>IFERROR(VLOOKUP($G1284,融外自投!$A:$J,10,0),"無")</f>
        <v>無</v>
      </c>
      <c r="S1284" s="324" t="str">
        <f>IFERROR(VLOOKUP($G1284,'321買'!$A:$E,4,0),"'沒有資料'")</f>
        <v>'沒有資料'</v>
      </c>
      <c r="T1284" s="186">
        <f>IFERROR(VLOOKUP($G1284,基本資料!$A:$J,9,0),"無")</f>
        <v>0</v>
      </c>
      <c r="U1284" s="307">
        <f t="shared" si="221"/>
        <v>0</v>
      </c>
      <c r="V1284" s="94">
        <f>IFERROR(VLOOKUP($G1284,基本資料!$A:$J,10,0),"無")</f>
        <v>-1.22</v>
      </c>
      <c r="W1284" s="36">
        <f>RTD("money.excel",,"5310","Price")</f>
        <v>28.25</v>
      </c>
      <c r="X1284" s="66"/>
      <c r="Y1284" s="15">
        <f t="shared" si="222"/>
        <v>28.25</v>
      </c>
      <c r="Z1284" s="3" t="e">
        <f t="shared" si="223"/>
        <v>#DIV/0!</v>
      </c>
      <c r="AA1284" s="340">
        <f>IFERROR(VLOOKUP($G1284,基本資料!$A:$M,11,0),"無")</f>
        <v>-26.72</v>
      </c>
      <c r="AB1284" s="389">
        <f>IFERROR(VLOOKUP($G1284,基本資料!$A:$M,12,0),"無")</f>
        <v>43.81</v>
      </c>
      <c r="AC1284" s="16" t="s">
        <v>1002</v>
      </c>
      <c r="AF1284" s="33">
        <f t="shared" si="224"/>
        <v>0</v>
      </c>
      <c r="AG1284" s="43" t="s">
        <v>2318</v>
      </c>
      <c r="AH1284" s="66">
        <f t="shared" si="213"/>
        <v>0.25316455696202533</v>
      </c>
      <c r="AI1284" s="283">
        <f>RTD("money.excel",,$G1284,"PredictVolume")</f>
        <v>3</v>
      </c>
      <c r="AJ1284" s="391">
        <f>IFERROR(VLOOKUP($G1284,基本資料!$A:$M,13,0),"無")</f>
        <v>11.85</v>
      </c>
      <c r="AR1284" s="245" t="str">
        <f>INDEX(基本資料!N:N,MATCH($G1284,基本資料!A:A,0))</f>
        <v>中</v>
      </c>
    </row>
    <row r="1285" spans="1:44">
      <c r="A1285" s="343">
        <f>IFERROR(VLOOKUP($G1285,基本資料!$A:$J,3,0),"無")</f>
        <v>7.08</v>
      </c>
      <c r="B1285" s="79">
        <f>IFERROR(VLOOKUP($G1285,基本資料!$A:$J,4,0),"無")</f>
        <v>26</v>
      </c>
      <c r="C1285" s="79">
        <f>IFERROR(VLOOKUP($G1285,基本資料!$A:$J,5,0),"無")</f>
        <v>48</v>
      </c>
      <c r="D1285" s="79">
        <f>IFERROR(VLOOKUP($G1285,基本資料!$A:$J,6,0),"無")</f>
        <v>-12</v>
      </c>
      <c r="E1285" s="79">
        <f>IFERROR(VLOOKUP($G1285,基本資料!$A:$J,7,0),"無")</f>
        <v>10</v>
      </c>
      <c r="F1285" s="6">
        <f>IFERROR(VLOOKUP($G1285,基本資料!$A:$J,8,0),"無")</f>
        <v>12.62</v>
      </c>
      <c r="G1285" s="79">
        <v>5403</v>
      </c>
      <c r="H1285" s="8" t="s">
        <v>313</v>
      </c>
      <c r="I1285" s="16" t="s">
        <v>1003</v>
      </c>
      <c r="J1285" s="8">
        <f>IFERROR(VLOOKUP($G1285,今日總結!$A:$AN,39,0),"")</f>
        <v>0</v>
      </c>
      <c r="K1285" s="5">
        <f>IFERROR(VLOOKUP($G1285,今日總結!$A:$AN,40,0),"")</f>
        <v>0</v>
      </c>
      <c r="L1285" s="156">
        <f>IFERROR(VLOOKUP($G1285,今日總結!$A:$AN,37,0),"")</f>
        <v>0</v>
      </c>
      <c r="M1285" s="337">
        <f>IFERROR(VLOOKUP($G1285,今日總結!$A:$AN,38,0),"")</f>
        <v>0</v>
      </c>
      <c r="N1285" s="240">
        <f t="shared" si="225"/>
        <v>0</v>
      </c>
      <c r="O1285" s="359">
        <f>IFERROR(VLOOKUP($G1285,融外自投!$A:$J,7,0),"無")</f>
        <v>1385</v>
      </c>
      <c r="P1285" s="79" t="str">
        <f>IFERROR(VLOOKUP($G1285,融外自投!$A:$J,9,0),"無")</f>
        <v>無</v>
      </c>
      <c r="Q1285" s="342">
        <f>IFERROR(VLOOKUP($G1285,融外自投!$A:$J,8,0),"無")</f>
        <v>684</v>
      </c>
      <c r="R1285" s="81" t="str">
        <f>IFERROR(VLOOKUP($G1285,融外自投!$A:$J,10,0),"無")</f>
        <v>無</v>
      </c>
      <c r="S1285" s="324">
        <f>IFERROR(VLOOKUP($G1285,'321買'!$A:$E,4,0),"'沒有資料'")</f>
        <v>1002</v>
      </c>
      <c r="T1285" s="186">
        <f>IFERROR(VLOOKUP($G1285,基本資料!$A:$J,9,0),"無")</f>
        <v>4.5</v>
      </c>
      <c r="U1285" s="307">
        <f t="shared" si="221"/>
        <v>6.364922206506364E-2</v>
      </c>
      <c r="V1285" s="94">
        <f>IFERROR(VLOOKUP($G1285,基本資料!$A:$J,10,0),"無")</f>
        <v>5.88</v>
      </c>
      <c r="W1285" s="36">
        <f>RTD("money.excel",,"5403","Price")</f>
        <v>70.7</v>
      </c>
      <c r="X1285" s="66"/>
      <c r="Y1285" s="15">
        <f t="shared" si="222"/>
        <v>70.7</v>
      </c>
      <c r="Z1285" s="3" t="e">
        <f t="shared" si="223"/>
        <v>#DIV/0!</v>
      </c>
      <c r="AA1285" s="340">
        <f>IFERROR(VLOOKUP($G1285,基本資料!$A:$M,11,0),"無")</f>
        <v>-7.94</v>
      </c>
      <c r="AB1285" s="389">
        <f>IFERROR(VLOOKUP($G1285,基本資料!$A:$M,12,0),"無")</f>
        <v>42.28</v>
      </c>
      <c r="AC1285" s="16" t="s">
        <v>1003</v>
      </c>
      <c r="AF1285" s="33">
        <f t="shared" si="224"/>
        <v>0</v>
      </c>
      <c r="AG1285" s="43" t="s">
        <v>304</v>
      </c>
      <c r="AH1285" s="66">
        <f t="shared" si="213"/>
        <v>0.967741935483871</v>
      </c>
      <c r="AI1285" s="283">
        <f>RTD("money.excel",,$G1285,"PredictVolume")</f>
        <v>39</v>
      </c>
      <c r="AJ1285" s="391">
        <f>IFERROR(VLOOKUP($G1285,基本資料!$A:$M,13,0),"無")</f>
        <v>40.299999999999997</v>
      </c>
      <c r="AR1285" s="245" t="str">
        <f>INDEX(基本資料!N:N,MATCH($G1285,基本資料!A:A,0))</f>
        <v>高</v>
      </c>
    </row>
    <row r="1286" spans="1:44">
      <c r="A1286" s="343">
        <f>IFERROR(VLOOKUP($G1286,基本資料!$A:$J,3,0),"無")</f>
        <v>8.81</v>
      </c>
      <c r="B1286" s="79">
        <f>IFERROR(VLOOKUP($G1286,基本資料!$A:$J,4,0),"無")</f>
        <v>7</v>
      </c>
      <c r="C1286" s="79">
        <f>IFERROR(VLOOKUP($G1286,基本資料!$A:$J,5,0),"無")</f>
        <v>25</v>
      </c>
      <c r="D1286" s="79">
        <f>IFERROR(VLOOKUP($G1286,基本資料!$A:$J,6,0),"無")</f>
        <v>-3</v>
      </c>
      <c r="E1286" s="79">
        <f>IFERROR(VLOOKUP($G1286,基本資料!$A:$J,7,0),"無")</f>
        <v>-2</v>
      </c>
      <c r="F1286" s="6">
        <f>IFERROR(VLOOKUP($G1286,基本資料!$A:$J,8,0),"無")</f>
        <v>5.01</v>
      </c>
      <c r="G1286" s="79">
        <v>5410</v>
      </c>
      <c r="H1286" s="8" t="s">
        <v>313</v>
      </c>
      <c r="I1286" s="16" t="s">
        <v>1004</v>
      </c>
      <c r="J1286" s="8">
        <f>IFERROR(VLOOKUP($G1286,今日總結!$A:$AN,39,0),"")</f>
        <v>0</v>
      </c>
      <c r="K1286" s="5" t="str">
        <f>IFERROR(VLOOKUP($G1286,今日總結!$A:$AN,40,0),"")</f>
        <v>主</v>
      </c>
      <c r="L1286" s="156">
        <f>IFERROR(VLOOKUP($G1286,今日總結!$A:$AN,37,0),"")</f>
        <v>0</v>
      </c>
      <c r="M1286" s="337">
        <f>IFERROR(VLOOKUP($G1286,今日總結!$A:$AN,38,0),"")</f>
        <v>6</v>
      </c>
      <c r="N1286" s="240">
        <f t="shared" si="225"/>
        <v>-6</v>
      </c>
      <c r="O1286" s="359">
        <f>IFERROR(VLOOKUP($G1286,融外自投!$A:$J,7,0),"無")</f>
        <v>1080</v>
      </c>
      <c r="P1286" s="79">
        <f>IFERROR(VLOOKUP($G1286,融外自投!$A:$J,9,0),"無")</f>
        <v>1123</v>
      </c>
      <c r="Q1286" s="342">
        <f>IFERROR(VLOOKUP($G1286,融外自投!$A:$J,8,0),"無")</f>
        <v>1090</v>
      </c>
      <c r="R1286" s="81" t="str">
        <f>IFERROR(VLOOKUP($G1286,融外自投!$A:$J,10,0),"無")</f>
        <v>無</v>
      </c>
      <c r="S1286" s="324">
        <f>IFERROR(VLOOKUP($G1286,'321買'!$A:$E,4,0),"'沒有資料'")</f>
        <v>801</v>
      </c>
      <c r="T1286" s="186">
        <f>IFERROR(VLOOKUP($G1286,基本資料!$A:$J,9,0),"無")</f>
        <v>1.85</v>
      </c>
      <c r="U1286" s="307">
        <f t="shared" si="221"/>
        <v>7.4446680080482899E-2</v>
      </c>
      <c r="V1286" s="94">
        <f>IFERROR(VLOOKUP($G1286,基本資料!$A:$J,10,0),"無")</f>
        <v>2.14</v>
      </c>
      <c r="W1286" s="36">
        <f>RTD("money.excel",,"5410","Price")</f>
        <v>24.85</v>
      </c>
      <c r="X1286" s="66"/>
      <c r="Y1286" s="15">
        <f t="shared" si="222"/>
        <v>24.85</v>
      </c>
      <c r="Z1286" s="3" t="e">
        <f t="shared" si="223"/>
        <v>#DIV/0!</v>
      </c>
      <c r="AA1286" s="340">
        <f>IFERROR(VLOOKUP($G1286,基本資料!$A:$M,11,0),"無")</f>
        <v>-12.5</v>
      </c>
      <c r="AB1286" s="389">
        <f>IFERROR(VLOOKUP($G1286,基本資料!$A:$M,12,0),"無")</f>
        <v>26.8</v>
      </c>
      <c r="AC1286" s="16" t="s">
        <v>1004</v>
      </c>
      <c r="AF1286" s="33">
        <f t="shared" si="224"/>
        <v>0</v>
      </c>
      <c r="AG1286" s="43" t="s">
        <v>2687</v>
      </c>
      <c r="AH1286" s="66">
        <f t="shared" ref="AH1286:AH1349" si="226">AI1286/AJ1286</f>
        <v>1.7946728730281873</v>
      </c>
      <c r="AI1286" s="283">
        <f>RTD("money.excel",,$G1286,"PredictVolume")</f>
        <v>347</v>
      </c>
      <c r="AJ1286" s="391">
        <f>IFERROR(VLOOKUP($G1286,基本資料!$A:$M,13,0),"無")</f>
        <v>193.35</v>
      </c>
      <c r="AR1286" s="245" t="str">
        <f>INDEX(基本資料!N:N,MATCH($G1286,基本資料!A:A,0))</f>
        <v>中</v>
      </c>
    </row>
    <row r="1287" spans="1:44">
      <c r="A1287" s="343">
        <f>IFERROR(VLOOKUP($G1287,基本資料!$A:$J,3,0),"無")</f>
        <v>18.829999999999998</v>
      </c>
      <c r="B1287" s="79">
        <f>IFERROR(VLOOKUP($G1287,基本資料!$A:$J,4,0),"無")</f>
        <v>6</v>
      </c>
      <c r="C1287" s="79">
        <f>IFERROR(VLOOKUP($G1287,基本資料!$A:$J,5,0),"無")</f>
        <v>-27</v>
      </c>
      <c r="D1287" s="79">
        <f>IFERROR(VLOOKUP($G1287,基本資料!$A:$J,6,0),"無")</f>
        <v>-5</v>
      </c>
      <c r="E1287" s="79">
        <f>IFERROR(VLOOKUP($G1287,基本資料!$A:$J,7,0),"無")</f>
        <v>6</v>
      </c>
      <c r="F1287" s="6">
        <f>IFERROR(VLOOKUP($G1287,基本資料!$A:$J,8,0),"無")</f>
        <v>4.07</v>
      </c>
      <c r="G1287" s="79">
        <v>6112</v>
      </c>
      <c r="H1287" s="8" t="s">
        <v>313</v>
      </c>
      <c r="I1287" s="22" t="s">
        <v>1021</v>
      </c>
      <c r="J1287" s="8">
        <f>IFERROR(VLOOKUP($G1287,今日總結!$A:$AN,39,0),"")</f>
        <v>0</v>
      </c>
      <c r="K1287" s="5" t="str">
        <f>IFERROR(VLOOKUP($G1287,今日總結!$A:$AN,40,0),"")</f>
        <v>主</v>
      </c>
      <c r="L1287" s="156">
        <f>IFERROR(VLOOKUP($G1287,今日總結!$A:$AN,37,0),"")</f>
        <v>0</v>
      </c>
      <c r="M1287" s="337">
        <f>IFERROR(VLOOKUP($G1287,今日總結!$A:$AN,38,0),"")</f>
        <v>6</v>
      </c>
      <c r="N1287" s="240">
        <f t="shared" si="225"/>
        <v>-6</v>
      </c>
      <c r="O1287" s="359">
        <f>IFERROR(VLOOKUP($G1287,融外自投!$A:$J,7,0),"無")</f>
        <v>1222</v>
      </c>
      <c r="P1287" s="79">
        <f>IFERROR(VLOOKUP($G1287,融外自投!$A:$J,9,0),"無")</f>
        <v>1123</v>
      </c>
      <c r="Q1287" s="342">
        <f>IFERROR(VLOOKUP($G1287,融外自投!$A:$J,8,0),"無")</f>
        <v>1033</v>
      </c>
      <c r="R1287" s="81" t="str">
        <f>IFERROR(VLOOKUP($G1287,融外自投!$A:$J,10,0),"無")</f>
        <v>無</v>
      </c>
      <c r="S1287" s="324">
        <f>IFERROR(VLOOKUP($G1287,'321買'!$A:$E,4,0),"'沒有資料'")</f>
        <v>1002</v>
      </c>
      <c r="T1287" s="186">
        <f>IFERROR(VLOOKUP($G1287,基本資料!$A:$J,9,0),"無")</f>
        <v>2.5</v>
      </c>
      <c r="U1287" s="307">
        <f t="shared" si="221"/>
        <v>7.163323782234958E-2</v>
      </c>
      <c r="V1287" s="94">
        <f>IFERROR(VLOOKUP($G1287,基本資料!$A:$J,10,0),"無")</f>
        <v>3.07</v>
      </c>
      <c r="W1287" s="36">
        <f>RTD("money.excel",,"6112","Price")</f>
        <v>34.9</v>
      </c>
      <c r="X1287" s="66"/>
      <c r="Y1287" s="15">
        <f t="shared" si="222"/>
        <v>34.9</v>
      </c>
      <c r="Z1287" s="3" t="e">
        <f t="shared" si="223"/>
        <v>#DIV/0!</v>
      </c>
      <c r="AA1287" s="340">
        <f>IFERROR(VLOOKUP($G1287,基本資料!$A:$M,11,0),"無")</f>
        <v>-20.32</v>
      </c>
      <c r="AB1287" s="389">
        <f>IFERROR(VLOOKUP($G1287,基本資料!$A:$M,12,0),"無")</f>
        <v>18.48</v>
      </c>
      <c r="AC1287" s="22" t="s">
        <v>1021</v>
      </c>
      <c r="AF1287" s="33">
        <f t="shared" si="224"/>
        <v>0</v>
      </c>
      <c r="AG1287" s="43" t="s">
        <v>2003</v>
      </c>
      <c r="AH1287" s="66">
        <f t="shared" si="226"/>
        <v>0.49230769230769234</v>
      </c>
      <c r="AI1287" s="283">
        <f>RTD("money.excel",,$G1287,"PredictVolume")</f>
        <v>80</v>
      </c>
      <c r="AJ1287" s="391">
        <f>IFERROR(VLOOKUP($G1287,基本資料!$A:$M,13,0),"無")</f>
        <v>162.5</v>
      </c>
      <c r="AR1287" s="245" t="str">
        <f>INDEX(基本資料!N:N,MATCH($G1287,基本資料!A:A,0))</f>
        <v>低</v>
      </c>
    </row>
    <row r="1288" spans="1:44">
      <c r="A1288" s="343">
        <f>IFERROR(VLOOKUP($G1288,基本資料!$A:$J,3,0),"無")</f>
        <v>3.83</v>
      </c>
      <c r="B1288" s="79">
        <f>IFERROR(VLOOKUP($G1288,基本資料!$A:$J,4,0),"無")</f>
        <v>-53</v>
      </c>
      <c r="C1288" s="79">
        <f>IFERROR(VLOOKUP($G1288,基本資料!$A:$J,5,0),"無")</f>
        <v>-39</v>
      </c>
      <c r="D1288" s="79">
        <f>IFERROR(VLOOKUP($G1288,基本資料!$A:$J,6,0),"無")</f>
        <v>-11</v>
      </c>
      <c r="E1288" s="79">
        <f>IFERROR(VLOOKUP($G1288,基本資料!$A:$J,7,0),"無")</f>
        <v>-32</v>
      </c>
      <c r="F1288" s="6">
        <f>IFERROR(VLOOKUP($G1288,基本資料!$A:$J,8,0),"無")</f>
        <v>1.58</v>
      </c>
      <c r="G1288" s="79">
        <v>6140</v>
      </c>
      <c r="H1288" s="8" t="s">
        <v>313</v>
      </c>
      <c r="I1288" s="16" t="s">
        <v>1005</v>
      </c>
      <c r="J1288" s="8">
        <f>IFERROR(VLOOKUP($G1288,今日總結!$A:$AN,39,0),"")</f>
        <v>0</v>
      </c>
      <c r="K1288" s="5">
        <f>IFERROR(VLOOKUP($G1288,今日總結!$A:$AN,40,0),"")</f>
        <v>0</v>
      </c>
      <c r="L1288" s="156">
        <f>IFERROR(VLOOKUP($G1288,今日總結!$A:$AN,37,0),"")</f>
        <v>0</v>
      </c>
      <c r="M1288" s="337">
        <f>IFERROR(VLOOKUP($G1288,今日總結!$A:$AN,38,0),"")</f>
        <v>0</v>
      </c>
      <c r="N1288" s="240">
        <f t="shared" si="225"/>
        <v>0</v>
      </c>
      <c r="O1288" s="359">
        <f>IFERROR(VLOOKUP($G1288,融外自投!$A:$J,7,0),"無")</f>
        <v>90</v>
      </c>
      <c r="P1288" s="79">
        <f>IFERROR(VLOOKUP($G1288,融外自投!$A:$J,9,0),"無")</f>
        <v>433</v>
      </c>
      <c r="Q1288" s="342">
        <f>IFERROR(VLOOKUP($G1288,融外自投!$A:$J,8,0),"無")</f>
        <v>1341</v>
      </c>
      <c r="R1288" s="81" t="str">
        <f>IFERROR(VLOOKUP($G1288,融外自投!$A:$J,10,0),"無")</f>
        <v>無</v>
      </c>
      <c r="S1288" s="324">
        <f>IFERROR(VLOOKUP($G1288,'321買'!$A:$E,4,0),"'沒有資料'")</f>
        <v>650</v>
      </c>
      <c r="T1288" s="186">
        <f>IFERROR(VLOOKUP($G1288,基本資料!$A:$J,9,0),"無")</f>
        <v>1</v>
      </c>
      <c r="U1288" s="307">
        <f t="shared" si="221"/>
        <v>6.1349693251533742E-2</v>
      </c>
      <c r="V1288" s="94">
        <f>IFERROR(VLOOKUP($G1288,基本資料!$A:$J,10,0),"無")</f>
        <v>0.68</v>
      </c>
      <c r="W1288" s="36">
        <f>RTD("money.excel",,"6140","Price")</f>
        <v>16.3</v>
      </c>
      <c r="X1288" s="66"/>
      <c r="Y1288" s="15">
        <f t="shared" si="222"/>
        <v>16.3</v>
      </c>
      <c r="Z1288" s="3" t="e">
        <f t="shared" si="223"/>
        <v>#DIV/0!</v>
      </c>
      <c r="AA1288" s="340">
        <f>IFERROR(VLOOKUP($G1288,基本資料!$A:$M,11,0),"無")</f>
        <v>-35.57</v>
      </c>
      <c r="AB1288" s="389">
        <f>IFERROR(VLOOKUP($G1288,基本資料!$A:$M,12,0),"無")</f>
        <v>21.52</v>
      </c>
      <c r="AC1288" s="16" t="s">
        <v>1005</v>
      </c>
      <c r="AF1288" s="33">
        <f t="shared" si="224"/>
        <v>0</v>
      </c>
      <c r="AG1288" s="43" t="s">
        <v>304</v>
      </c>
      <c r="AH1288" s="66">
        <f t="shared" si="226"/>
        <v>0.157600406710727</v>
      </c>
      <c r="AI1288" s="283">
        <f>RTD("money.excel",,$G1288,"PredictVolume")</f>
        <v>31</v>
      </c>
      <c r="AJ1288" s="391">
        <f>IFERROR(VLOOKUP($G1288,基本資料!$A:$M,13,0),"無")</f>
        <v>196.7</v>
      </c>
      <c r="AR1288" s="245" t="str">
        <f>INDEX(基本資料!N:N,MATCH($G1288,基本資料!A:A,0))</f>
        <v>低</v>
      </c>
    </row>
    <row r="1289" spans="1:44">
      <c r="A1289" s="343">
        <f>IFERROR(VLOOKUP($G1289,基本資料!$A:$J,3,0),"無")</f>
        <v>4.66</v>
      </c>
      <c r="B1289" s="79">
        <f>IFERROR(VLOOKUP($G1289,基本資料!$A:$J,4,0),"無")</f>
        <v>-12</v>
      </c>
      <c r="C1289" s="79">
        <f>IFERROR(VLOOKUP($G1289,基本資料!$A:$J,5,0),"無")</f>
        <v>-24</v>
      </c>
      <c r="D1289" s="79">
        <f>IFERROR(VLOOKUP($G1289,基本資料!$A:$J,6,0),"無")</f>
        <v>13</v>
      </c>
      <c r="E1289" s="79">
        <f>IFERROR(VLOOKUP($G1289,基本資料!$A:$J,7,0),"無")</f>
        <v>57</v>
      </c>
      <c r="F1289" s="6">
        <f>IFERROR(VLOOKUP($G1289,基本資料!$A:$J,8,0),"無")</f>
        <v>5.78</v>
      </c>
      <c r="G1289" s="79">
        <v>6148</v>
      </c>
      <c r="H1289" s="8" t="s">
        <v>313</v>
      </c>
      <c r="I1289" s="16" t="s">
        <v>1006</v>
      </c>
      <c r="J1289" s="8">
        <f>IFERROR(VLOOKUP($G1289,今日總結!$A:$AN,39,0),"")</f>
        <v>0</v>
      </c>
      <c r="K1289" s="5">
        <f>IFERROR(VLOOKUP($G1289,今日總結!$A:$AN,40,0),"")</f>
        <v>0</v>
      </c>
      <c r="L1289" s="156">
        <f>IFERROR(VLOOKUP($G1289,今日總結!$A:$AN,37,0),"")</f>
        <v>0</v>
      </c>
      <c r="M1289" s="337">
        <f>IFERROR(VLOOKUP($G1289,今日總結!$A:$AN,38,0),"")</f>
        <v>0</v>
      </c>
      <c r="N1289" s="240">
        <f t="shared" si="225"/>
        <v>0</v>
      </c>
      <c r="O1289" s="359">
        <f>IFERROR(VLOOKUP($G1289,融外自投!$A:$J,7,0),"無")</f>
        <v>441</v>
      </c>
      <c r="P1289" s="79">
        <f>IFERROR(VLOOKUP($G1289,融外自投!$A:$J,9,0),"無")</f>
        <v>537</v>
      </c>
      <c r="Q1289" s="342">
        <f>IFERROR(VLOOKUP($G1289,融外自投!$A:$J,8,0),"無")</f>
        <v>1287</v>
      </c>
      <c r="R1289" s="81" t="str">
        <f>IFERROR(VLOOKUP($G1289,融外自投!$A:$J,10,0),"無")</f>
        <v>無</v>
      </c>
      <c r="S1289" s="324">
        <f>IFERROR(VLOOKUP($G1289,'321買'!$A:$E,4,0),"'沒有資料'")</f>
        <v>565</v>
      </c>
      <c r="T1289" s="186">
        <f>IFERROR(VLOOKUP($G1289,基本資料!$A:$J,9,0),"無")</f>
        <v>1</v>
      </c>
      <c r="U1289" s="307">
        <f t="shared" si="221"/>
        <v>8.0321285140562249E-2</v>
      </c>
      <c r="V1289" s="94">
        <f>IFERROR(VLOOKUP($G1289,基本資料!$A:$J,10,0),"無")</f>
        <v>0.98</v>
      </c>
      <c r="W1289" s="36">
        <f>RTD("money.excel",,"6148","Price")</f>
        <v>12.45</v>
      </c>
      <c r="X1289" s="66"/>
      <c r="Y1289" s="15">
        <f t="shared" si="222"/>
        <v>12.45</v>
      </c>
      <c r="Z1289" s="3" t="e">
        <f t="shared" si="223"/>
        <v>#DIV/0!</v>
      </c>
      <c r="AA1289" s="340">
        <f>IFERROR(VLOOKUP($G1289,基本資料!$A:$M,11,0),"無")</f>
        <v>-30.64</v>
      </c>
      <c r="AB1289" s="389">
        <f>IFERROR(VLOOKUP($G1289,基本資料!$A:$M,12,0),"無")</f>
        <v>13.3</v>
      </c>
      <c r="AC1289" s="16" t="s">
        <v>1006</v>
      </c>
      <c r="AF1289" s="33">
        <f t="shared" si="224"/>
        <v>0</v>
      </c>
      <c r="AG1289" s="43" t="s">
        <v>304</v>
      </c>
      <c r="AH1289" s="66">
        <f t="shared" si="226"/>
        <v>1.6023166023166024</v>
      </c>
      <c r="AI1289" s="283">
        <f>RTD("money.excel",,$G1289,"PredictVolume")</f>
        <v>83</v>
      </c>
      <c r="AJ1289" s="391">
        <f>IFERROR(VLOOKUP($G1289,基本資料!$A:$M,13,0),"無")</f>
        <v>51.8</v>
      </c>
      <c r="AR1289" s="245" t="str">
        <f>INDEX(基本資料!N:N,MATCH($G1289,基本資料!A:A,0))</f>
        <v>低</v>
      </c>
    </row>
    <row r="1290" spans="1:44">
      <c r="A1290" s="343">
        <f>IFERROR(VLOOKUP($G1290,基本資料!$A:$J,3,0),"無")</f>
        <v>15</v>
      </c>
      <c r="B1290" s="79">
        <f>IFERROR(VLOOKUP($G1290,基本資料!$A:$J,4,0),"無")</f>
        <v>26</v>
      </c>
      <c r="C1290" s="79">
        <f>IFERROR(VLOOKUP($G1290,基本資料!$A:$J,5,0),"無")</f>
        <v>22</v>
      </c>
      <c r="D1290" s="79">
        <f>IFERROR(VLOOKUP($G1290,基本資料!$A:$J,6,0),"無")</f>
        <v>-5</v>
      </c>
      <c r="E1290" s="79">
        <f>IFERROR(VLOOKUP($G1290,基本資料!$A:$J,7,0),"無")</f>
        <v>16</v>
      </c>
      <c r="F1290" s="6">
        <f>IFERROR(VLOOKUP($G1290,基本資料!$A:$J,8,0),"無")</f>
        <v>23.1</v>
      </c>
      <c r="G1290" s="79">
        <v>6183</v>
      </c>
      <c r="H1290" s="8" t="s">
        <v>313</v>
      </c>
      <c r="I1290" s="22" t="s">
        <v>1022</v>
      </c>
      <c r="J1290" s="8">
        <f>IFERROR(VLOOKUP($G1290,今日總結!$A:$AN,39,0),"")</f>
        <v>0</v>
      </c>
      <c r="K1290" s="5">
        <f>IFERROR(VLOOKUP($G1290,今日總結!$A:$AN,40,0),"")</f>
        <v>0</v>
      </c>
      <c r="L1290" s="156">
        <f>IFERROR(VLOOKUP($G1290,今日總結!$A:$AN,37,0),"")</f>
        <v>0</v>
      </c>
      <c r="M1290" s="337">
        <f>IFERROR(VLOOKUP($G1290,今日總結!$A:$AN,38,0),"")</f>
        <v>0</v>
      </c>
      <c r="N1290" s="240">
        <f t="shared" si="225"/>
        <v>0</v>
      </c>
      <c r="O1290" s="359">
        <f>IFERROR(VLOOKUP($G1290,融外自投!$A:$J,7,0),"無")</f>
        <v>1345</v>
      </c>
      <c r="P1290" s="79">
        <f>IFERROR(VLOOKUP($G1290,融外自投!$A:$J,9,0),"無")</f>
        <v>869</v>
      </c>
      <c r="Q1290" s="342">
        <f>IFERROR(VLOOKUP($G1290,融外自投!$A:$J,8,0),"無")</f>
        <v>1226</v>
      </c>
      <c r="R1290" s="81" t="str">
        <f>IFERROR(VLOOKUP($G1290,融外自投!$A:$J,10,0),"無")</f>
        <v>無</v>
      </c>
      <c r="S1290" s="324">
        <f>IFERROR(VLOOKUP($G1290,'321買'!$A:$E,4,0),"'沒有資料'")</f>
        <v>1002</v>
      </c>
      <c r="T1290" s="186">
        <f>IFERROR(VLOOKUP($G1290,基本資料!$A:$J,9,0),"無")</f>
        <v>2.0499999999999998</v>
      </c>
      <c r="U1290" s="307">
        <f t="shared" si="221"/>
        <v>3.7340619307832418E-2</v>
      </c>
      <c r="V1290" s="94">
        <f>IFERROR(VLOOKUP($G1290,基本資料!$A:$J,10,0),"無")</f>
        <v>2.84</v>
      </c>
      <c r="W1290" s="36">
        <f>RTD("money.excel",,"6183","Price")</f>
        <v>54.9</v>
      </c>
      <c r="X1290" s="66"/>
      <c r="Y1290" s="15">
        <f t="shared" si="222"/>
        <v>54.9</v>
      </c>
      <c r="Z1290" s="3" t="e">
        <f t="shared" si="223"/>
        <v>#DIV/0!</v>
      </c>
      <c r="AA1290" s="340">
        <f>IFERROR(VLOOKUP($G1290,基本資料!$A:$M,11,0),"無")</f>
        <v>-1.08</v>
      </c>
      <c r="AB1290" s="389">
        <f>IFERROR(VLOOKUP($G1290,基本資料!$A:$M,12,0),"無")</f>
        <v>82.37</v>
      </c>
      <c r="AC1290" s="22" t="s">
        <v>1022</v>
      </c>
      <c r="AF1290" s="33">
        <f t="shared" si="224"/>
        <v>0</v>
      </c>
      <c r="AG1290" s="43" t="s">
        <v>2777</v>
      </c>
      <c r="AH1290" s="66">
        <f t="shared" si="226"/>
        <v>3.4963325183374083</v>
      </c>
      <c r="AI1290" s="283">
        <f>RTD("money.excel",,$G1290,"PredictVolume")</f>
        <v>143</v>
      </c>
      <c r="AJ1290" s="391">
        <f>IFERROR(VLOOKUP($G1290,基本資料!$A:$M,13,0),"無")</f>
        <v>40.9</v>
      </c>
      <c r="AR1290" s="245" t="str">
        <f>INDEX(基本資料!N:N,MATCH($G1290,基本資料!A:A,0))</f>
        <v>高</v>
      </c>
    </row>
    <row r="1291" spans="1:44">
      <c r="A1291" s="343">
        <f>IFERROR(VLOOKUP($G1291,基本資料!$A:$J,3,0),"無")</f>
        <v>26.93</v>
      </c>
      <c r="B1291" s="79">
        <f>IFERROR(VLOOKUP($G1291,基本資料!$A:$J,4,0),"無")</f>
        <v>-27</v>
      </c>
      <c r="C1291" s="79">
        <f>IFERROR(VLOOKUP($G1291,基本資料!$A:$J,5,0),"無")</f>
        <v>22</v>
      </c>
      <c r="D1291" s="79">
        <f>IFERROR(VLOOKUP($G1291,基本資料!$A:$J,6,0),"無")</f>
        <v>-22</v>
      </c>
      <c r="E1291" s="79">
        <f>IFERROR(VLOOKUP($G1291,基本資料!$A:$J,7,0),"無")</f>
        <v>-1</v>
      </c>
      <c r="F1291" s="6">
        <f>IFERROR(VLOOKUP($G1291,基本資料!$A:$J,8,0),"無")</f>
        <v>3.84</v>
      </c>
      <c r="G1291" s="79">
        <v>6214</v>
      </c>
      <c r="H1291" s="8" t="s">
        <v>313</v>
      </c>
      <c r="I1291" s="153" t="s">
        <v>279</v>
      </c>
      <c r="J1291" s="8">
        <f>IFERROR(VLOOKUP($G1291,今日總結!$A:$AN,39,0),"")</f>
        <v>0</v>
      </c>
      <c r="K1291" s="5" t="str">
        <f>IFERROR(VLOOKUP($G1291,今日總結!$A:$AN,40,0),"")</f>
        <v>外</v>
      </c>
      <c r="L1291" s="156">
        <f>IFERROR(VLOOKUP($G1291,今日總結!$A:$AN,37,0),"")</f>
        <v>0</v>
      </c>
      <c r="M1291" s="337">
        <f>IFERROR(VLOOKUP($G1291,今日總結!$A:$AN,38,0),"")</f>
        <v>8</v>
      </c>
      <c r="N1291" s="240">
        <f t="shared" si="225"/>
        <v>-8</v>
      </c>
      <c r="O1291" s="359">
        <f>IFERROR(VLOOKUP($G1291,融外自投!$A:$J,7,0),"無")</f>
        <v>1283</v>
      </c>
      <c r="P1291" s="79">
        <f>IFERROR(VLOOKUP($G1291,融外自投!$A:$J,9,0),"無")</f>
        <v>671</v>
      </c>
      <c r="Q1291" s="342">
        <f>IFERROR(VLOOKUP($G1291,融外自投!$A:$J,8,0),"無")</f>
        <v>435</v>
      </c>
      <c r="R1291" s="81" t="str">
        <f>IFERROR(VLOOKUP($G1291,融外自投!$A:$J,10,0),"無")</f>
        <v>無</v>
      </c>
      <c r="S1291" s="324">
        <f>IFERROR(VLOOKUP($G1291,'321買'!$A:$E,4,0),"'沒有資料'")</f>
        <v>650</v>
      </c>
      <c r="T1291" s="186">
        <f>IFERROR(VLOOKUP($G1291,基本資料!$A:$J,9,0),"無")</f>
        <v>5</v>
      </c>
      <c r="U1291" s="307">
        <f t="shared" si="221"/>
        <v>6.4683053040103494E-2</v>
      </c>
      <c r="V1291" s="94">
        <f>IFERROR(VLOOKUP($G1291,基本資料!$A:$J,10,0),"無")</f>
        <v>4.9000000000000004</v>
      </c>
      <c r="W1291" s="36">
        <f>RTD("money.excel",,"6214","Price")</f>
        <v>77.3</v>
      </c>
      <c r="X1291" s="66"/>
      <c r="Y1291" s="15">
        <f t="shared" si="222"/>
        <v>77.3</v>
      </c>
      <c r="Z1291" s="3" t="e">
        <f t="shared" si="223"/>
        <v>#DIV/0!</v>
      </c>
      <c r="AA1291" s="340">
        <f>IFERROR(VLOOKUP($G1291,基本資料!$A:$M,11,0),"無")</f>
        <v>-16.16</v>
      </c>
      <c r="AB1291" s="389">
        <f>IFERROR(VLOOKUP($G1291,基本資料!$A:$M,12,0),"無")</f>
        <v>24.9</v>
      </c>
      <c r="AC1291" s="22" t="s">
        <v>279</v>
      </c>
      <c r="AF1291" s="33">
        <f t="shared" si="224"/>
        <v>0</v>
      </c>
      <c r="AG1291" s="117" t="s">
        <v>1543</v>
      </c>
      <c r="AH1291" s="66">
        <f t="shared" si="226"/>
        <v>0.66931897963959741</v>
      </c>
      <c r="AI1291" s="283">
        <f>RTD("money.excel",,$G1291,"PredictVolume")</f>
        <v>143</v>
      </c>
      <c r="AJ1291" s="391">
        <f>IFERROR(VLOOKUP($G1291,基本資料!$A:$M,13,0),"無")</f>
        <v>213.65</v>
      </c>
      <c r="AR1291" s="245" t="str">
        <f>INDEX(基本資料!N:N,MATCH($G1291,基本資料!A:A,0))</f>
        <v>低</v>
      </c>
    </row>
    <row r="1292" spans="1:44">
      <c r="A1292" s="343">
        <f>IFERROR(VLOOKUP($G1292,基本資料!$A:$J,3,0),"無")</f>
        <v>7.16</v>
      </c>
      <c r="B1292" s="79">
        <f>IFERROR(VLOOKUP($G1292,基本資料!$A:$J,4,0),"無")</f>
        <v>-3</v>
      </c>
      <c r="C1292" s="79">
        <f>IFERROR(VLOOKUP($G1292,基本資料!$A:$J,5,0),"無")</f>
        <v>-11</v>
      </c>
      <c r="D1292" s="79">
        <f>IFERROR(VLOOKUP($G1292,基本資料!$A:$J,6,0),"無")</f>
        <v>0</v>
      </c>
      <c r="E1292" s="79">
        <f>IFERROR(VLOOKUP($G1292,基本資料!$A:$J,7,0),"無")</f>
        <v>62</v>
      </c>
      <c r="F1292" s="6">
        <f>IFERROR(VLOOKUP($G1292,基本資料!$A:$J,8,0),"無")</f>
        <v>6.72</v>
      </c>
      <c r="G1292" s="79">
        <v>6221</v>
      </c>
      <c r="H1292" s="8" t="s">
        <v>313</v>
      </c>
      <c r="I1292" s="16" t="s">
        <v>1007</v>
      </c>
      <c r="J1292" s="8" t="str">
        <f>IFERROR(VLOOKUP($G1292,今日總結!$A:$AN,39,0),"")</f>
        <v/>
      </c>
      <c r="K1292" s="5" t="str">
        <f>IFERROR(VLOOKUP($G1292,今日總結!$A:$AN,40,0),"")</f>
        <v/>
      </c>
      <c r="L1292" s="156" t="str">
        <f>IFERROR(VLOOKUP($G1292,今日總結!$A:$AN,37,0),"")</f>
        <v/>
      </c>
      <c r="M1292" s="337" t="str">
        <f>IFERROR(VLOOKUP($G1292,今日總結!$A:$AN,38,0),"")</f>
        <v/>
      </c>
      <c r="N1292" s="240" t="str">
        <f t="shared" si="225"/>
        <v/>
      </c>
      <c r="O1292" s="359">
        <f>IFERROR(VLOOKUP($G1292,融外自投!$A:$J,7,0),"無")</f>
        <v>378</v>
      </c>
      <c r="P1292" s="79" t="str">
        <f>IFERROR(VLOOKUP($G1292,融外自投!$A:$J,9,0),"無")</f>
        <v>無</v>
      </c>
      <c r="Q1292" s="342">
        <f>IFERROR(VLOOKUP($G1292,融外自投!$A:$J,8,0),"無")</f>
        <v>1411</v>
      </c>
      <c r="R1292" s="81" t="str">
        <f>IFERROR(VLOOKUP($G1292,融外自投!$A:$J,10,0),"無")</f>
        <v>無</v>
      </c>
      <c r="S1292" s="324" t="str">
        <f>IFERROR(VLOOKUP($G1292,'321買'!$A:$E,4,0),"'沒有資料'")</f>
        <v>'沒有資料'</v>
      </c>
      <c r="T1292" s="186">
        <f>IFERROR(VLOOKUP($G1292,基本資料!$A:$J,9,0),"無")</f>
        <v>2.5</v>
      </c>
      <c r="U1292" s="307" t="e">
        <f t="shared" si="221"/>
        <v>#VALUE!</v>
      </c>
      <c r="V1292" s="94">
        <f>IFERROR(VLOOKUP($G1292,基本資料!$A:$J,10,0),"無")</f>
        <v>2.95</v>
      </c>
      <c r="W1292" s="36" t="str">
        <f>RTD("money.excel",,"6221","Price")</f>
        <v>無資料</v>
      </c>
      <c r="X1292" s="66"/>
      <c r="Y1292" s="15" t="e">
        <f t="shared" si="222"/>
        <v>#VALUE!</v>
      </c>
      <c r="Z1292" s="3" t="e">
        <f t="shared" si="223"/>
        <v>#VALUE!</v>
      </c>
      <c r="AA1292" s="340">
        <f>IFERROR(VLOOKUP($G1292,基本資料!$A:$M,11,0),"無")</f>
        <v>-35.520000000000003</v>
      </c>
      <c r="AB1292" s="389">
        <f>IFERROR(VLOOKUP($G1292,基本資料!$A:$M,12,0),"無")</f>
        <v>39.200000000000003</v>
      </c>
      <c r="AC1292" s="16" t="s">
        <v>1007</v>
      </c>
      <c r="AF1292" s="33">
        <f t="shared" si="224"/>
        <v>0</v>
      </c>
      <c r="AG1292" s="43" t="s">
        <v>2688</v>
      </c>
      <c r="AH1292" s="66">
        <f t="shared" si="226"/>
        <v>0</v>
      </c>
      <c r="AI1292" s="283">
        <f>RTD("money.excel",,$G1292,"PredictVolume")</f>
        <v>0</v>
      </c>
      <c r="AJ1292" s="391">
        <f>IFERROR(VLOOKUP($G1292,基本資料!$A:$M,13,0),"無")</f>
        <v>11.45</v>
      </c>
      <c r="AR1292" s="245" t="str">
        <f>INDEX(基本資料!N:N,MATCH($G1292,基本資料!A:A,0))</f>
        <v>低</v>
      </c>
    </row>
    <row r="1293" spans="1:44">
      <c r="A1293" s="343">
        <f>IFERROR(VLOOKUP($G1293,基本資料!$A:$J,3,0),"無")</f>
        <v>3.8</v>
      </c>
      <c r="B1293" s="79">
        <f>IFERROR(VLOOKUP($G1293,基本資料!$A:$J,4,0),"無")</f>
        <v>46</v>
      </c>
      <c r="C1293" s="79">
        <f>IFERROR(VLOOKUP($G1293,基本資料!$A:$J,5,0),"無")</f>
        <v>43</v>
      </c>
      <c r="D1293" s="79">
        <f>IFERROR(VLOOKUP($G1293,基本資料!$A:$J,6,0),"無")</f>
        <v>-21</v>
      </c>
      <c r="E1293" s="79">
        <f>IFERROR(VLOOKUP($G1293,基本資料!$A:$J,7,0),"無")</f>
        <v>0</v>
      </c>
      <c r="F1293" s="6">
        <f>IFERROR(VLOOKUP($G1293,基本資料!$A:$J,8,0),"無")</f>
        <v>22.68</v>
      </c>
      <c r="G1293" s="79">
        <v>6231</v>
      </c>
      <c r="H1293" s="8" t="s">
        <v>313</v>
      </c>
      <c r="I1293" s="16" t="s">
        <v>1008</v>
      </c>
      <c r="J1293" s="8">
        <f>IFERROR(VLOOKUP($G1293,今日總結!$A:$AN,39,0),"")</f>
        <v>4</v>
      </c>
      <c r="K1293" s="5" t="str">
        <f>IFERROR(VLOOKUP($G1293,今日總結!$A:$AN,40,0),"")</f>
        <v>6融</v>
      </c>
      <c r="L1293" s="156">
        <f>IFERROR(VLOOKUP($G1293,今日總結!$A:$AN,37,0),"")</f>
        <v>1</v>
      </c>
      <c r="M1293" s="337">
        <f>IFERROR(VLOOKUP($G1293,今日總結!$A:$AN,38,0),"")</f>
        <v>3</v>
      </c>
      <c r="N1293" s="240">
        <f t="shared" si="225"/>
        <v>-2</v>
      </c>
      <c r="O1293" s="359">
        <f>IFERROR(VLOOKUP($G1293,融外自投!$A:$J,7,0),"無")</f>
        <v>145</v>
      </c>
      <c r="P1293" s="79">
        <f>IFERROR(VLOOKUP($G1293,融外自投!$A:$J,9,0),"無")</f>
        <v>336</v>
      </c>
      <c r="Q1293" s="342">
        <f>IFERROR(VLOOKUP($G1293,融外自投!$A:$J,8,0),"無")</f>
        <v>336</v>
      </c>
      <c r="R1293" s="81">
        <f>IFERROR(VLOOKUP($G1293,融外自投!$A:$J,10,0),"無")</f>
        <v>256</v>
      </c>
      <c r="S1293" s="324">
        <f>IFERROR(VLOOKUP($G1293,'321買'!$A:$E,4,0),"'沒有資料'")</f>
        <v>253</v>
      </c>
      <c r="T1293" s="186">
        <f>IFERROR(VLOOKUP($G1293,基本資料!$A:$J,9,0),"無")</f>
        <v>5.2</v>
      </c>
      <c r="U1293" s="307">
        <f t="shared" si="221"/>
        <v>5.9225512528473807E-2</v>
      </c>
      <c r="V1293" s="94">
        <f>IFERROR(VLOOKUP($G1293,基本資料!$A:$J,10,0),"無")</f>
        <v>5.94</v>
      </c>
      <c r="W1293" s="36">
        <f>RTD("money.excel",,"6231","Price")</f>
        <v>87.8</v>
      </c>
      <c r="X1293" s="66"/>
      <c r="Y1293" s="15">
        <f t="shared" si="222"/>
        <v>87.8</v>
      </c>
      <c r="Z1293" s="3" t="e">
        <f t="shared" si="223"/>
        <v>#DIV/0!</v>
      </c>
      <c r="AA1293" s="340">
        <f>IFERROR(VLOOKUP($G1293,基本資料!$A:$M,11,0),"無")</f>
        <v>-29.48</v>
      </c>
      <c r="AB1293" s="389">
        <f>IFERROR(VLOOKUP($G1293,基本資料!$A:$M,12,0),"無")</f>
        <v>19.47</v>
      </c>
      <c r="AC1293" s="16" t="s">
        <v>1008</v>
      </c>
      <c r="AF1293" s="33">
        <f t="shared" si="224"/>
        <v>0</v>
      </c>
      <c r="AG1293" s="43" t="s">
        <v>2159</v>
      </c>
      <c r="AH1293" s="66">
        <f t="shared" si="226"/>
        <v>0.85614035087719298</v>
      </c>
      <c r="AI1293" s="283">
        <f>RTD("money.excel",,$G1293,"PredictVolume")</f>
        <v>488</v>
      </c>
      <c r="AJ1293" s="391">
        <f>IFERROR(VLOOKUP($G1293,基本資料!$A:$M,13,0),"無")</f>
        <v>570</v>
      </c>
      <c r="AR1293" s="245" t="str">
        <f>INDEX(基本資料!N:N,MATCH($G1293,基本資料!A:A,0))</f>
        <v>中</v>
      </c>
    </row>
    <row r="1294" spans="1:44">
      <c r="A1294" s="343">
        <f>IFERROR(VLOOKUP($G1294,基本資料!$A:$J,3,0),"無")</f>
        <v>2.2799999999999998</v>
      </c>
      <c r="B1294" s="79">
        <f>IFERROR(VLOOKUP($G1294,基本資料!$A:$J,4,0),"無")</f>
        <v>3048</v>
      </c>
      <c r="C1294" s="79">
        <f>IFERROR(VLOOKUP($G1294,基本資料!$A:$J,5,0),"無")</f>
        <v>-177</v>
      </c>
      <c r="D1294" s="79">
        <f>IFERROR(VLOOKUP($G1294,基本資料!$A:$J,6,0),"無")</f>
        <v>0</v>
      </c>
      <c r="E1294" s="79">
        <f>IFERROR(VLOOKUP($G1294,基本資料!$A:$J,7,0),"無")</f>
        <v>-3</v>
      </c>
      <c r="F1294" s="6">
        <f>IFERROR(VLOOKUP($G1294,基本資料!$A:$J,8,0),"無")</f>
        <v>-50.06</v>
      </c>
      <c r="G1294" s="79">
        <v>6240</v>
      </c>
      <c r="H1294" s="8" t="s">
        <v>313</v>
      </c>
      <c r="I1294" s="16" t="s">
        <v>1009</v>
      </c>
      <c r="J1294" s="8">
        <f>IFERROR(VLOOKUP($G1294,今日總結!$A:$AN,39,0),"")</f>
        <v>0</v>
      </c>
      <c r="K1294" s="5">
        <f>IFERROR(VLOOKUP($G1294,今日總結!$A:$AN,40,0),"")</f>
        <v>0</v>
      </c>
      <c r="L1294" s="156">
        <f>IFERROR(VLOOKUP($G1294,今日總結!$A:$AN,37,0),"")</f>
        <v>0</v>
      </c>
      <c r="M1294" s="337">
        <f>IFERROR(VLOOKUP($G1294,今日總結!$A:$AN,38,0),"")</f>
        <v>0</v>
      </c>
      <c r="N1294" s="240">
        <f t="shared" si="225"/>
        <v>0</v>
      </c>
      <c r="O1294" s="359">
        <f>IFERROR(VLOOKUP($G1294,融外自投!$A:$J,7,0),"無")</f>
        <v>913</v>
      </c>
      <c r="P1294" s="79" t="str">
        <f>IFERROR(VLOOKUP($G1294,融外自投!$A:$J,9,0),"無")</f>
        <v>無</v>
      </c>
      <c r="Q1294" s="342">
        <f>IFERROR(VLOOKUP($G1294,融外自投!$A:$J,8,0),"無")</f>
        <v>1397</v>
      </c>
      <c r="R1294" s="81" t="str">
        <f>IFERROR(VLOOKUP($G1294,融外自投!$A:$J,10,0),"無")</f>
        <v>無</v>
      </c>
      <c r="S1294" s="324">
        <f>IFERROR(VLOOKUP($G1294,'321買'!$A:$E,4,0),"'沒有資料'")</f>
        <v>801</v>
      </c>
      <c r="T1294" s="186">
        <f>IFERROR(VLOOKUP($G1294,基本資料!$A:$J,9,0),"無")</f>
        <v>0</v>
      </c>
      <c r="U1294" s="307">
        <f t="shared" si="221"/>
        <v>0</v>
      </c>
      <c r="V1294" s="94">
        <f>IFERROR(VLOOKUP($G1294,基本資料!$A:$J,10,0),"無")</f>
        <v>1.1299999999999999</v>
      </c>
      <c r="W1294" s="36">
        <f>RTD("money.excel",,"6240","Price")</f>
        <v>22.1</v>
      </c>
      <c r="X1294" s="66"/>
      <c r="Y1294" s="15">
        <f t="shared" si="222"/>
        <v>22.1</v>
      </c>
      <c r="Z1294" s="3" t="e">
        <f t="shared" si="223"/>
        <v>#DIV/0!</v>
      </c>
      <c r="AA1294" s="340">
        <f>IFERROR(VLOOKUP($G1294,基本資料!$A:$M,11,0),"無")</f>
        <v>-28.25</v>
      </c>
      <c r="AB1294" s="389">
        <f>IFERROR(VLOOKUP($G1294,基本資料!$A:$M,12,0),"無")</f>
        <v>39.15</v>
      </c>
      <c r="AC1294" s="16" t="s">
        <v>1009</v>
      </c>
      <c r="AF1294" s="33">
        <f t="shared" si="224"/>
        <v>0</v>
      </c>
      <c r="AG1294" s="43" t="s">
        <v>2689</v>
      </c>
      <c r="AH1294" s="66">
        <f t="shared" si="226"/>
        <v>1.7879053461875547</v>
      </c>
      <c r="AI1294" s="283">
        <f>RTD("money.excel",,$G1294,"PredictVolume")</f>
        <v>306</v>
      </c>
      <c r="AJ1294" s="391">
        <f>IFERROR(VLOOKUP($G1294,基本資料!$A:$M,13,0),"無")</f>
        <v>171.15</v>
      </c>
      <c r="AR1294" s="245" t="str">
        <f>INDEX(基本資料!N:N,MATCH($G1294,基本資料!A:A,0))</f>
        <v>中</v>
      </c>
    </row>
    <row r="1295" spans="1:44">
      <c r="A1295" s="343">
        <f>IFERROR(VLOOKUP($G1295,基本資料!$A:$J,3,0),"無")</f>
        <v>1.61</v>
      </c>
      <c r="B1295" s="79">
        <f>IFERROR(VLOOKUP($G1295,基本資料!$A:$J,4,0),"無")</f>
        <v>38</v>
      </c>
      <c r="C1295" s="79">
        <f>IFERROR(VLOOKUP($G1295,基本資料!$A:$J,5,0),"無")</f>
        <v>35</v>
      </c>
      <c r="D1295" s="79">
        <f>IFERROR(VLOOKUP($G1295,基本資料!$A:$J,6,0),"無")</f>
        <v>-13</v>
      </c>
      <c r="E1295" s="79">
        <f>IFERROR(VLOOKUP($G1295,基本資料!$A:$J,7,0),"無")</f>
        <v>-85</v>
      </c>
      <c r="F1295" s="6">
        <f>IFERROR(VLOOKUP($G1295,基本資料!$A:$J,8,0),"無")</f>
        <v>-156.71</v>
      </c>
      <c r="G1295" s="79">
        <v>6404</v>
      </c>
      <c r="H1295" s="8" t="s">
        <v>313</v>
      </c>
      <c r="I1295" s="16" t="s">
        <v>1010</v>
      </c>
      <c r="J1295" s="8" t="str">
        <f>IFERROR(VLOOKUP($G1295,今日總結!$A:$AN,39,0),"")</f>
        <v/>
      </c>
      <c r="K1295" s="5" t="str">
        <f>IFERROR(VLOOKUP($G1295,今日總結!$A:$AN,40,0),"")</f>
        <v/>
      </c>
      <c r="L1295" s="156" t="str">
        <f>IFERROR(VLOOKUP($G1295,今日總結!$A:$AN,37,0),"")</f>
        <v/>
      </c>
      <c r="M1295" s="337" t="str">
        <f>IFERROR(VLOOKUP($G1295,今日總結!$A:$AN,38,0),"")</f>
        <v/>
      </c>
      <c r="N1295" s="240" t="str">
        <f t="shared" si="225"/>
        <v/>
      </c>
      <c r="O1295" s="359" t="str">
        <f>IFERROR(VLOOKUP($G1295,融外自投!$A:$J,7,0),"無")</f>
        <v>無</v>
      </c>
      <c r="P1295" s="79" t="str">
        <f>IFERROR(VLOOKUP($G1295,融外自投!$A:$J,9,0),"無")</f>
        <v>無</v>
      </c>
      <c r="Q1295" s="342" t="str">
        <f>IFERROR(VLOOKUP($G1295,融外自投!$A:$J,8,0),"無")</f>
        <v>無</v>
      </c>
      <c r="R1295" s="81" t="str">
        <f>IFERROR(VLOOKUP($G1295,融外自投!$A:$J,10,0),"無")</f>
        <v>無</v>
      </c>
      <c r="S1295" s="324" t="str">
        <f>IFERROR(VLOOKUP($G1295,'321買'!$A:$E,4,0),"'沒有資料'")</f>
        <v>'沒有資料'</v>
      </c>
      <c r="T1295" s="186">
        <f>IFERROR(VLOOKUP($G1295,基本資料!$A:$J,9,0),"無")</f>
        <v>0</v>
      </c>
      <c r="U1295" s="307">
        <f t="shared" si="221"/>
        <v>0</v>
      </c>
      <c r="V1295" s="94">
        <f>IFERROR(VLOOKUP($G1295,基本資料!$A:$J,10,0),"無")</f>
        <v>-2.41</v>
      </c>
      <c r="W1295" s="36">
        <f>RTD("money.excel",,"6404","Price")</f>
        <v>18</v>
      </c>
      <c r="X1295" s="66"/>
      <c r="Y1295" s="15">
        <f t="shared" si="222"/>
        <v>18</v>
      </c>
      <c r="Z1295" s="3" t="e">
        <f t="shared" si="223"/>
        <v>#DIV/0!</v>
      </c>
      <c r="AA1295" s="340">
        <f>IFERROR(VLOOKUP($G1295,基本資料!$A:$M,11,0),"無")</f>
        <v>-35.94</v>
      </c>
      <c r="AB1295" s="389">
        <f>IFERROR(VLOOKUP($G1295,基本資料!$A:$M,12,0),"無")</f>
        <v>30.02</v>
      </c>
      <c r="AC1295" s="16" t="s">
        <v>1010</v>
      </c>
      <c r="AF1295" s="33">
        <f t="shared" si="224"/>
        <v>0</v>
      </c>
      <c r="AG1295" s="43" t="s">
        <v>2318</v>
      </c>
      <c r="AH1295" s="66">
        <f t="shared" si="226"/>
        <v>0.90909090909090906</v>
      </c>
      <c r="AI1295" s="283">
        <f>RTD("money.excel",,$G1295,"PredictVolume")</f>
        <v>2</v>
      </c>
      <c r="AJ1295" s="391">
        <f>IFERROR(VLOOKUP($G1295,基本資料!$A:$M,13,0),"無")</f>
        <v>2.2000000000000002</v>
      </c>
      <c r="AR1295" s="245" t="str">
        <f>INDEX(基本資料!N:N,MATCH($G1295,基本資料!A:A,0))</f>
        <v>中</v>
      </c>
    </row>
    <row r="1296" spans="1:44">
      <c r="A1296" s="343">
        <f>IFERROR(VLOOKUP($G1296,基本資料!$A:$J,3,0),"無")</f>
        <v>4.24</v>
      </c>
      <c r="B1296" s="79">
        <f>IFERROR(VLOOKUP($G1296,基本資料!$A:$J,4,0),"無")</f>
        <v>751</v>
      </c>
      <c r="C1296" s="79">
        <f>IFERROR(VLOOKUP($G1296,基本資料!$A:$J,5,0),"無")</f>
        <v>260</v>
      </c>
      <c r="D1296" s="79">
        <f>IFERROR(VLOOKUP($G1296,基本資料!$A:$J,6,0),"無")</f>
        <v>51</v>
      </c>
      <c r="E1296" s="79">
        <f>IFERROR(VLOOKUP($G1296,基本資料!$A:$J,7,0),"無")</f>
        <v>73</v>
      </c>
      <c r="F1296" s="6">
        <f>IFERROR(VLOOKUP($G1296,基本資料!$A:$J,8,0),"無")</f>
        <v>9.35</v>
      </c>
      <c r="G1296" s="79">
        <v>6516</v>
      </c>
      <c r="H1296" s="8" t="s">
        <v>313</v>
      </c>
      <c r="I1296" s="16" t="s">
        <v>1794</v>
      </c>
      <c r="J1296" s="8">
        <f>IFERROR(VLOOKUP($G1296,今日總結!$A:$AN,39,0),"")</f>
        <v>0</v>
      </c>
      <c r="K1296" s="5">
        <f>IFERROR(VLOOKUP($G1296,今日總結!$A:$AN,40,0),"")</f>
        <v>0</v>
      </c>
      <c r="L1296" s="156">
        <f>IFERROR(VLOOKUP($G1296,今日總結!$A:$AN,37,0),"")</f>
        <v>0</v>
      </c>
      <c r="M1296" s="337">
        <f>IFERROR(VLOOKUP($G1296,今日總結!$A:$AN,38,0),"")</f>
        <v>0</v>
      </c>
      <c r="N1296" s="240">
        <f t="shared" si="225"/>
        <v>0</v>
      </c>
      <c r="O1296" s="359">
        <f>IFERROR(VLOOKUP($G1296,融外自投!$A:$J,7,0),"無")</f>
        <v>352</v>
      </c>
      <c r="P1296" s="79" t="str">
        <f>IFERROR(VLOOKUP($G1296,融外自投!$A:$J,9,0),"無")</f>
        <v>無</v>
      </c>
      <c r="Q1296" s="342">
        <f>IFERROR(VLOOKUP($G1296,融外自投!$A:$J,8,0),"無")</f>
        <v>1384</v>
      </c>
      <c r="R1296" s="81" t="str">
        <f>IFERROR(VLOOKUP($G1296,融外自投!$A:$J,10,0),"無")</f>
        <v>無</v>
      </c>
      <c r="S1296" s="324">
        <f>IFERROR(VLOOKUP($G1296,'321買'!$A:$E,4,0),"'沒有資料'")</f>
        <v>1002</v>
      </c>
      <c r="T1296" s="186">
        <f>IFERROR(VLOOKUP($G1296,基本資料!$A:$J,9,0),"無")</f>
        <v>1.88</v>
      </c>
      <c r="U1296" s="307">
        <f t="shared" si="221"/>
        <v>2.238095238095238E-2</v>
      </c>
      <c r="V1296" s="94">
        <f>IFERROR(VLOOKUP($G1296,基本資料!$A:$J,10,0),"無")</f>
        <v>1.0900000000000001</v>
      </c>
      <c r="W1296" s="36">
        <f>RTD("money.excel",,"6516","Price")</f>
        <v>84</v>
      </c>
      <c r="X1296" s="66"/>
      <c r="Y1296" s="15">
        <f t="shared" si="222"/>
        <v>84</v>
      </c>
      <c r="Z1296" s="3" t="e">
        <f t="shared" si="223"/>
        <v>#DIV/0!</v>
      </c>
      <c r="AA1296" s="340">
        <f>IFERROR(VLOOKUP($G1296,基本資料!$A:$M,11,0),"無")</f>
        <v>-42.27</v>
      </c>
      <c r="AB1296" s="389">
        <f>IFERROR(VLOOKUP($G1296,基本資料!$A:$M,12,0),"無")</f>
        <v>34.5</v>
      </c>
      <c r="AC1296" s="16" t="s">
        <v>1794</v>
      </c>
      <c r="AF1296" s="33">
        <f t="shared" si="224"/>
        <v>0</v>
      </c>
      <c r="AG1296" s="43" t="s">
        <v>1795</v>
      </c>
      <c r="AH1296" s="66">
        <f t="shared" si="226"/>
        <v>0.62730627306273057</v>
      </c>
      <c r="AI1296" s="283">
        <f>RTD("money.excel",,$G1296,"PredictVolume")</f>
        <v>17</v>
      </c>
      <c r="AJ1296" s="391">
        <f>IFERROR(VLOOKUP($G1296,基本資料!$A:$M,13,0),"無")</f>
        <v>27.1</v>
      </c>
      <c r="AR1296" s="245" t="str">
        <f>INDEX(基本資料!N:N,MATCH($G1296,基本資料!A:A,0))</f>
        <v>低</v>
      </c>
    </row>
    <row r="1297" spans="1:44">
      <c r="A1297" s="343">
        <f>IFERROR(VLOOKUP($G1297,基本資料!$A:$J,3,0),"無")</f>
        <v>1.82</v>
      </c>
      <c r="B1297" s="79">
        <f>IFERROR(VLOOKUP($G1297,基本資料!$A:$J,4,0),"無")</f>
        <v>25</v>
      </c>
      <c r="C1297" s="79">
        <f>IFERROR(VLOOKUP($G1297,基本資料!$A:$J,5,0),"無")</f>
        <v>-6</v>
      </c>
      <c r="D1297" s="79">
        <f>IFERROR(VLOOKUP($G1297,基本資料!$A:$J,6,0),"無")</f>
        <v>-13</v>
      </c>
      <c r="E1297" s="79">
        <f>IFERROR(VLOOKUP($G1297,基本資料!$A:$J,7,0),"無")</f>
        <v>2</v>
      </c>
      <c r="F1297" s="6">
        <f>IFERROR(VLOOKUP($G1297,基本資料!$A:$J,8,0),"無")</f>
        <v>19.05</v>
      </c>
      <c r="G1297" s="79">
        <v>6590</v>
      </c>
      <c r="H1297" s="8" t="s">
        <v>313</v>
      </c>
      <c r="I1297" s="16" t="s">
        <v>2028</v>
      </c>
      <c r="J1297" s="8" t="str">
        <f>IFERROR(VLOOKUP($G1297,今日總結!$A:$AN,39,0),"")</f>
        <v/>
      </c>
      <c r="K1297" s="5" t="str">
        <f>IFERROR(VLOOKUP($G1297,今日總結!$A:$AN,40,0),"")</f>
        <v/>
      </c>
      <c r="L1297" s="156" t="str">
        <f>IFERROR(VLOOKUP($G1297,今日總結!$A:$AN,37,0),"")</f>
        <v/>
      </c>
      <c r="M1297" s="337" t="str">
        <f>IFERROR(VLOOKUP($G1297,今日總結!$A:$AN,38,0),"")</f>
        <v/>
      </c>
      <c r="N1297" s="240" t="str">
        <f t="shared" si="225"/>
        <v/>
      </c>
      <c r="O1297" s="359" t="str">
        <f>IFERROR(VLOOKUP($G1297,融外自投!$A:$J,7,0),"無")</f>
        <v>無</v>
      </c>
      <c r="P1297" s="79" t="str">
        <f>IFERROR(VLOOKUP($G1297,融外自投!$A:$J,9,0),"無")</f>
        <v>無</v>
      </c>
      <c r="Q1297" s="342" t="str">
        <f>IFERROR(VLOOKUP($G1297,融外自投!$A:$J,8,0),"無")</f>
        <v>無</v>
      </c>
      <c r="R1297" s="81" t="str">
        <f>IFERROR(VLOOKUP($G1297,融外自投!$A:$J,10,0),"無")</f>
        <v>無</v>
      </c>
      <c r="S1297" s="324" t="str">
        <f>IFERROR(VLOOKUP($G1297,'321買'!$A:$E,4,0),"'沒有資料'")</f>
        <v>'沒有資料'</v>
      </c>
      <c r="T1297" s="186">
        <f>IFERROR(VLOOKUP($G1297,基本資料!$A:$J,9,0),"無")</f>
        <v>3.8</v>
      </c>
      <c r="U1297" s="307">
        <f t="shared" si="221"/>
        <v>0.10719322990126938</v>
      </c>
      <c r="V1297" s="94">
        <f>IFERROR(VLOOKUP($G1297,基本資料!$A:$J,10,0),"無")</f>
        <v>4.6399999999999997</v>
      </c>
      <c r="W1297" s="36">
        <f>RTD("money.excel",,"6593","Price")</f>
        <v>35.450000000000003</v>
      </c>
      <c r="X1297" s="66"/>
      <c r="Y1297" s="15">
        <f t="shared" si="222"/>
        <v>35.450000000000003</v>
      </c>
      <c r="Z1297" s="3" t="e">
        <f t="shared" si="223"/>
        <v>#DIV/0!</v>
      </c>
      <c r="AA1297" s="340">
        <f>IFERROR(VLOOKUP($G1297,基本資料!$A:$M,11,0),"無")</f>
        <v>-15.29</v>
      </c>
      <c r="AB1297" s="389">
        <f>IFERROR(VLOOKUP($G1297,基本資料!$A:$M,12,0),"無")</f>
        <v>11.11</v>
      </c>
      <c r="AC1297" s="16" t="s">
        <v>2028</v>
      </c>
      <c r="AF1297" s="33">
        <f t="shared" si="224"/>
        <v>0</v>
      </c>
      <c r="AG1297" s="43" t="s">
        <v>2029</v>
      </c>
      <c r="AH1297" s="66">
        <f t="shared" si="226"/>
        <v>1.2068965517241379</v>
      </c>
      <c r="AI1297" s="283">
        <f>RTD("money.excel",,$G1297,"PredictVolume")</f>
        <v>7</v>
      </c>
      <c r="AJ1297" s="391">
        <f>IFERROR(VLOOKUP($G1297,基本資料!$A:$M,13,0),"無")</f>
        <v>5.8</v>
      </c>
      <c r="AR1297" s="245" t="str">
        <f>INDEX(基本資料!N:N,MATCH($G1297,基本資料!A:A,0))</f>
        <v>低</v>
      </c>
    </row>
    <row r="1298" spans="1:44">
      <c r="A1298" s="343">
        <f>IFERROR(VLOOKUP($G1298,基本資料!$A:$J,3,0),"無")</f>
        <v>2.0299999999999998</v>
      </c>
      <c r="B1298" s="79">
        <f>IFERROR(VLOOKUP($G1298,基本資料!$A:$J,4,0),"無")</f>
        <v>464</v>
      </c>
      <c r="C1298" s="79">
        <f>IFERROR(VLOOKUP($G1298,基本資料!$A:$J,5,0),"無")</f>
        <v>688</v>
      </c>
      <c r="D1298" s="79">
        <f>IFERROR(VLOOKUP($G1298,基本資料!$A:$J,6,0),"無")</f>
        <v>-6</v>
      </c>
      <c r="E1298" s="79">
        <f>IFERROR(VLOOKUP($G1298,基本資料!$A:$J,7,0),"無")</f>
        <v>1</v>
      </c>
      <c r="F1298" s="6">
        <f>IFERROR(VLOOKUP($G1298,基本資料!$A:$J,8,0),"無")</f>
        <v>4.18</v>
      </c>
      <c r="G1298" s="79">
        <v>6593</v>
      </c>
      <c r="H1298" s="8" t="s">
        <v>313</v>
      </c>
      <c r="I1298" s="16" t="s">
        <v>1011</v>
      </c>
      <c r="J1298" s="8" t="str">
        <f>IFERROR(VLOOKUP($G1298,今日總結!$A:$AN,39,0),"")</f>
        <v/>
      </c>
      <c r="K1298" s="5" t="str">
        <f>IFERROR(VLOOKUP($G1298,今日總結!$A:$AN,40,0),"")</f>
        <v/>
      </c>
      <c r="L1298" s="156" t="str">
        <f>IFERROR(VLOOKUP($G1298,今日總結!$A:$AN,37,0),"")</f>
        <v/>
      </c>
      <c r="M1298" s="337" t="str">
        <f>IFERROR(VLOOKUP($G1298,今日總結!$A:$AN,38,0),"")</f>
        <v/>
      </c>
      <c r="N1298" s="240" t="str">
        <f t="shared" si="225"/>
        <v/>
      </c>
      <c r="O1298" s="359" t="str">
        <f>IFERROR(VLOOKUP($G1298,融外自投!$A:$J,7,0),"無")</f>
        <v>無</v>
      </c>
      <c r="P1298" s="79" t="str">
        <f>IFERROR(VLOOKUP($G1298,融外自投!$A:$J,9,0),"無")</f>
        <v>無</v>
      </c>
      <c r="Q1298" s="342" t="str">
        <f>IFERROR(VLOOKUP($G1298,融外自投!$A:$J,8,0),"無")</f>
        <v>無</v>
      </c>
      <c r="R1298" s="81" t="str">
        <f>IFERROR(VLOOKUP($G1298,融外自投!$A:$J,10,0),"無")</f>
        <v>無</v>
      </c>
      <c r="S1298" s="324" t="str">
        <f>IFERROR(VLOOKUP($G1298,'321買'!$A:$E,4,0),"'沒有資料'")</f>
        <v>'沒有資料'</v>
      </c>
      <c r="T1298" s="186">
        <f>IFERROR(VLOOKUP($G1298,基本資料!$A:$J,9,0),"無")</f>
        <v>0.7</v>
      </c>
      <c r="U1298" s="307">
        <f t="shared" si="221"/>
        <v>1.9746121297602254E-2</v>
      </c>
      <c r="V1298" s="94">
        <f>IFERROR(VLOOKUP($G1298,基本資料!$A:$J,10,0),"無")</f>
        <v>0.84</v>
      </c>
      <c r="W1298" s="36">
        <f>RTD("money.excel",,"6593","Price")</f>
        <v>35.450000000000003</v>
      </c>
      <c r="X1298" s="66"/>
      <c r="Y1298" s="15">
        <f t="shared" si="222"/>
        <v>35.450000000000003</v>
      </c>
      <c r="Z1298" s="3" t="e">
        <f t="shared" si="223"/>
        <v>#DIV/0!</v>
      </c>
      <c r="AA1298" s="340">
        <f>IFERROR(VLOOKUP($G1298,基本資料!$A:$M,11,0),"無")</f>
        <v>-33.36</v>
      </c>
      <c r="AB1298" s="389">
        <f>IFERROR(VLOOKUP($G1298,基本資料!$A:$M,12,0),"無")</f>
        <v>18.55</v>
      </c>
      <c r="AC1298" s="16" t="s">
        <v>1011</v>
      </c>
      <c r="AF1298" s="33">
        <f t="shared" si="224"/>
        <v>0</v>
      </c>
      <c r="AG1298" s="43" t="s">
        <v>2690</v>
      </c>
      <c r="AH1298" s="66">
        <f t="shared" si="226"/>
        <v>0.78431372549019607</v>
      </c>
      <c r="AI1298" s="283">
        <f>RTD("money.excel",,$G1298,"PredictVolume")</f>
        <v>12</v>
      </c>
      <c r="AJ1298" s="391">
        <f>IFERROR(VLOOKUP($G1298,基本資料!$A:$M,13,0),"無")</f>
        <v>15.3</v>
      </c>
      <c r="AR1298" s="245" t="str">
        <f>INDEX(基本資料!N:N,MATCH($G1298,基本資料!A:A,0))</f>
        <v>中</v>
      </c>
    </row>
    <row r="1299" spans="1:44">
      <c r="A1299" s="343">
        <f>IFERROR(VLOOKUP($G1299,基本資料!$A:$J,3,0),"無")</f>
        <v>1.72</v>
      </c>
      <c r="B1299" s="79">
        <f>IFERROR(VLOOKUP($G1299,基本資料!$A:$J,4,0),"無")</f>
        <v>5</v>
      </c>
      <c r="C1299" s="79">
        <f>IFERROR(VLOOKUP($G1299,基本資料!$A:$J,5,0),"無")</f>
        <v>3</v>
      </c>
      <c r="D1299" s="79">
        <f>IFERROR(VLOOKUP($G1299,基本資料!$A:$J,6,0),"無")</f>
        <v>-16</v>
      </c>
      <c r="E1299" s="79">
        <f>IFERROR(VLOOKUP($G1299,基本資料!$A:$J,7,0),"無")</f>
        <v>119</v>
      </c>
      <c r="F1299" s="6">
        <f>IFERROR(VLOOKUP($G1299,基本資料!$A:$J,8,0),"無")</f>
        <v>12.23</v>
      </c>
      <c r="G1299" s="79">
        <v>6690</v>
      </c>
      <c r="H1299" s="8" t="s">
        <v>313</v>
      </c>
      <c r="I1299" s="16" t="s">
        <v>1903</v>
      </c>
      <c r="J1299" s="8" t="str">
        <f>IFERROR(VLOOKUP($G1299,今日總結!$A:$AN,39,0),"")</f>
        <v/>
      </c>
      <c r="K1299" s="5" t="str">
        <f>IFERROR(VLOOKUP($G1299,今日總結!$A:$AN,40,0),"")</f>
        <v/>
      </c>
      <c r="L1299" s="156" t="str">
        <f>IFERROR(VLOOKUP($G1299,今日總結!$A:$AN,37,0),"")</f>
        <v/>
      </c>
      <c r="M1299" s="337" t="str">
        <f>IFERROR(VLOOKUP($G1299,今日總結!$A:$AN,38,0),"")</f>
        <v/>
      </c>
      <c r="N1299" s="240" t="str">
        <f t="shared" si="225"/>
        <v/>
      </c>
      <c r="O1299" s="359" t="str">
        <f>IFERROR(VLOOKUP($G1299,融外自投!$A:$J,7,0),"無")</f>
        <v>無</v>
      </c>
      <c r="P1299" s="79" t="str">
        <f>IFERROR(VLOOKUP($G1299,融外自投!$A:$J,9,0),"無")</f>
        <v>無</v>
      </c>
      <c r="Q1299" s="342" t="str">
        <f>IFERROR(VLOOKUP($G1299,融外自投!$A:$J,8,0),"無")</f>
        <v>無</v>
      </c>
      <c r="R1299" s="81" t="str">
        <f>IFERROR(VLOOKUP($G1299,融外自投!$A:$J,10,0),"無")</f>
        <v>無</v>
      </c>
      <c r="S1299" s="324" t="str">
        <f>IFERROR(VLOOKUP($G1299,'321買'!$A:$E,4,0),"'沒有資料'")</f>
        <v>'沒有資料'</v>
      </c>
      <c r="T1299" s="186">
        <f>IFERROR(VLOOKUP($G1299,基本資料!$A:$J,9,0),"無")</f>
        <v>3.7</v>
      </c>
      <c r="U1299" s="307">
        <f t="shared" si="221"/>
        <v>3.4101382488479264E-2</v>
      </c>
      <c r="V1299" s="94">
        <f>IFERROR(VLOOKUP($G1299,基本資料!$A:$J,10,0),"無")</f>
        <v>5.1100000000000003</v>
      </c>
      <c r="W1299" s="36">
        <f>RTD("money.excel",,"6690","Price")</f>
        <v>108.5</v>
      </c>
      <c r="X1299" s="66"/>
      <c r="Y1299" s="15">
        <f t="shared" si="222"/>
        <v>108.5</v>
      </c>
      <c r="Z1299" s="3" t="e">
        <f t="shared" si="223"/>
        <v>#DIV/0!</v>
      </c>
      <c r="AA1299" s="340">
        <f>IFERROR(VLOOKUP($G1299,基本資料!$A:$M,11,0),"無")</f>
        <v>-17.8</v>
      </c>
      <c r="AB1299" s="389">
        <f>IFERROR(VLOOKUP($G1299,基本資料!$A:$M,12,0),"無")</f>
        <v>20.77</v>
      </c>
      <c r="AC1299" s="16" t="s">
        <v>1903</v>
      </c>
      <c r="AF1299" s="33">
        <f t="shared" si="224"/>
        <v>0</v>
      </c>
      <c r="AG1299" s="43" t="s">
        <v>1904</v>
      </c>
      <c r="AH1299" s="66">
        <f t="shared" si="226"/>
        <v>1.0091743119266054</v>
      </c>
      <c r="AI1299" s="283">
        <f>RTD("money.excel",,$G1299,"PredictVolume")</f>
        <v>11</v>
      </c>
      <c r="AJ1299" s="391">
        <f>IFERROR(VLOOKUP($G1299,基本資料!$A:$M,13,0),"無")</f>
        <v>10.9</v>
      </c>
      <c r="AR1299" s="245" t="str">
        <f>INDEX(基本資料!N:N,MATCH($G1299,基本資料!A:A,0))</f>
        <v>低</v>
      </c>
    </row>
    <row r="1300" spans="1:44">
      <c r="A1300" s="343">
        <f>IFERROR(VLOOKUP($G1300,基本資料!$A:$J,3,0),"無")</f>
        <v>2.73</v>
      </c>
      <c r="B1300" s="79">
        <f>IFERROR(VLOOKUP($G1300,基本資料!$A:$J,4,0),"無")</f>
        <v>10</v>
      </c>
      <c r="C1300" s="79">
        <f>IFERROR(VLOOKUP($G1300,基本資料!$A:$J,5,0),"無")</f>
        <v>23</v>
      </c>
      <c r="D1300" s="79">
        <f>IFERROR(VLOOKUP($G1300,基本資料!$A:$J,6,0),"無")</f>
        <v>-9</v>
      </c>
      <c r="E1300" s="79">
        <f>IFERROR(VLOOKUP($G1300,基本資料!$A:$J,7,0),"無")</f>
        <v>27</v>
      </c>
      <c r="F1300" s="6">
        <f>IFERROR(VLOOKUP($G1300,基本資料!$A:$J,8,0),"無")</f>
        <v>6.13</v>
      </c>
      <c r="G1300" s="79">
        <v>6697</v>
      </c>
      <c r="H1300" s="8" t="s">
        <v>313</v>
      </c>
      <c r="I1300" s="16" t="s">
        <v>2098</v>
      </c>
      <c r="J1300" s="8" t="str">
        <f>IFERROR(VLOOKUP($G1300,今日總結!$A:$AN,39,0),"")</f>
        <v/>
      </c>
      <c r="K1300" s="5" t="str">
        <f>IFERROR(VLOOKUP($G1300,今日總結!$A:$AN,40,0),"")</f>
        <v/>
      </c>
      <c r="L1300" s="156" t="str">
        <f>IFERROR(VLOOKUP($G1300,今日總結!$A:$AN,37,0),"")</f>
        <v/>
      </c>
      <c r="M1300" s="337" t="str">
        <f>IFERROR(VLOOKUP($G1300,今日總結!$A:$AN,38,0),"")</f>
        <v/>
      </c>
      <c r="N1300" s="240" t="str">
        <f t="shared" si="225"/>
        <v/>
      </c>
      <c r="O1300" s="359" t="str">
        <f>IFERROR(VLOOKUP($G1300,融外自投!$A:$J,7,0),"無")</f>
        <v>無</v>
      </c>
      <c r="P1300" s="79" t="str">
        <f>IFERROR(VLOOKUP($G1300,融外自投!$A:$J,9,0),"無")</f>
        <v>無</v>
      </c>
      <c r="Q1300" s="342" t="str">
        <f>IFERROR(VLOOKUP($G1300,融外自投!$A:$J,8,0),"無")</f>
        <v>無</v>
      </c>
      <c r="R1300" s="81" t="str">
        <f>IFERROR(VLOOKUP($G1300,融外自投!$A:$J,10,0),"無")</f>
        <v>無</v>
      </c>
      <c r="S1300" s="324" t="str">
        <f>IFERROR(VLOOKUP($G1300,'321買'!$A:$E,4,0),"'沒有資料'")</f>
        <v>'沒有資料'</v>
      </c>
      <c r="T1300" s="186">
        <f>IFERROR(VLOOKUP($G1300,基本資料!$A:$J,9,0),"無")</f>
        <v>2</v>
      </c>
      <c r="U1300" s="307">
        <f t="shared" si="221"/>
        <v>5.3333333333333337E-2</v>
      </c>
      <c r="V1300" s="94">
        <f>IFERROR(VLOOKUP($G1300,基本資料!$A:$J,10,0),"無")</f>
        <v>2.65</v>
      </c>
      <c r="W1300" s="36">
        <f>RTD("money.excel",,"6697","Price")</f>
        <v>37.5</v>
      </c>
      <c r="X1300" s="66"/>
      <c r="Y1300" s="15">
        <f t="shared" si="222"/>
        <v>37.5</v>
      </c>
      <c r="Z1300" s="3" t="e">
        <f t="shared" si="223"/>
        <v>#DIV/0!</v>
      </c>
      <c r="AA1300" s="340">
        <f>IFERROR(VLOOKUP($G1300,基本資料!$A:$M,11,0),"無")</f>
        <v>-11.45</v>
      </c>
      <c r="AB1300" s="389">
        <f>IFERROR(VLOOKUP($G1300,基本資料!$A:$M,12,0),"無")</f>
        <v>48.66</v>
      </c>
      <c r="AC1300" s="16" t="s">
        <v>2098</v>
      </c>
      <c r="AF1300" s="33">
        <f t="shared" si="224"/>
        <v>0</v>
      </c>
      <c r="AG1300" s="43" t="s">
        <v>2099</v>
      </c>
      <c r="AH1300" s="66">
        <f t="shared" si="226"/>
        <v>0.48780487804878053</v>
      </c>
      <c r="AI1300" s="283">
        <f>RTD("money.excel",,$G1300,"PredictVolume")</f>
        <v>1</v>
      </c>
      <c r="AJ1300" s="391">
        <f>IFERROR(VLOOKUP($G1300,基本資料!$A:$M,13,0),"無")</f>
        <v>2.0499999999999998</v>
      </c>
      <c r="AR1300" s="245" t="str">
        <f>INDEX(基本資料!N:N,MATCH($G1300,基本資料!A:A,0))</f>
        <v>低</v>
      </c>
    </row>
    <row r="1301" spans="1:44">
      <c r="A1301" s="343">
        <f>IFERROR(VLOOKUP($G1301,基本資料!$A:$J,3,0),"無")</f>
        <v>2</v>
      </c>
      <c r="B1301" s="79">
        <f>IFERROR(VLOOKUP($G1301,基本資料!$A:$J,4,0),"無")</f>
        <v>3</v>
      </c>
      <c r="C1301" s="79">
        <f>IFERROR(VLOOKUP($G1301,基本資料!$A:$J,5,0),"無")</f>
        <v>-4</v>
      </c>
      <c r="D1301" s="79">
        <f>IFERROR(VLOOKUP($G1301,基本資料!$A:$J,6,0),"無")</f>
        <v>0</v>
      </c>
      <c r="E1301" s="79">
        <f>IFERROR(VLOOKUP($G1301,基本資料!$A:$J,7,0),"無")</f>
        <v>39</v>
      </c>
      <c r="F1301" s="6">
        <f>IFERROR(VLOOKUP($G1301,基本資料!$A:$J,8,0),"無")</f>
        <v>3.12</v>
      </c>
      <c r="G1301" s="79">
        <v>6751</v>
      </c>
      <c r="H1301" s="8" t="s">
        <v>313</v>
      </c>
      <c r="I1301" s="16" t="s">
        <v>2138</v>
      </c>
      <c r="J1301" s="8" t="str">
        <f>IFERROR(VLOOKUP($G1301,今日總結!$A:$AN,39,0),"")</f>
        <v/>
      </c>
      <c r="K1301" s="5" t="str">
        <f>IFERROR(VLOOKUP($G1301,今日總結!$A:$AN,40,0),"")</f>
        <v/>
      </c>
      <c r="L1301" s="156" t="str">
        <f>IFERROR(VLOOKUP($G1301,今日總結!$A:$AN,37,0),"")</f>
        <v/>
      </c>
      <c r="M1301" s="337" t="str">
        <f>IFERROR(VLOOKUP($G1301,今日總結!$A:$AN,38,0),"")</f>
        <v/>
      </c>
      <c r="N1301" s="240" t="str">
        <f t="shared" si="225"/>
        <v/>
      </c>
      <c r="O1301" s="359" t="str">
        <f>IFERROR(VLOOKUP($G1301,融外自投!$A:$J,7,0),"無")</f>
        <v>無</v>
      </c>
      <c r="P1301" s="79" t="str">
        <f>IFERROR(VLOOKUP($G1301,融外自投!$A:$J,9,0),"無")</f>
        <v>無</v>
      </c>
      <c r="Q1301" s="342" t="str">
        <f>IFERROR(VLOOKUP($G1301,融外自投!$A:$J,8,0),"無")</f>
        <v>無</v>
      </c>
      <c r="R1301" s="81" t="str">
        <f>IFERROR(VLOOKUP($G1301,融外自投!$A:$J,10,0),"無")</f>
        <v>無</v>
      </c>
      <c r="S1301" s="324" t="str">
        <f>IFERROR(VLOOKUP($G1301,'321買'!$A:$E,4,0),"'沒有資料'")</f>
        <v>'沒有資料'</v>
      </c>
      <c r="T1301" s="186">
        <f>IFERROR(VLOOKUP($G1301,基本資料!$A:$J,9,0),"無")</f>
        <v>2.1</v>
      </c>
      <c r="U1301" s="307">
        <f t="shared" si="221"/>
        <v>5.19159456118665E-2</v>
      </c>
      <c r="V1301" s="94">
        <f>IFERROR(VLOOKUP($G1301,基本資料!$A:$J,10,0),"無")</f>
        <v>2.44</v>
      </c>
      <c r="W1301" s="36">
        <f>RTD("money.excel",,"6751","Price")</f>
        <v>40.450000000000003</v>
      </c>
      <c r="X1301" s="66"/>
      <c r="Y1301" s="15">
        <f t="shared" si="222"/>
        <v>40.450000000000003</v>
      </c>
      <c r="Z1301" s="3" t="e">
        <f t="shared" si="223"/>
        <v>#DIV/0!</v>
      </c>
      <c r="AA1301" s="340">
        <f>IFERROR(VLOOKUP($G1301,基本資料!$A:$M,11,0),"無")</f>
        <v>-42.87</v>
      </c>
      <c r="AB1301" s="389">
        <f>IFERROR(VLOOKUP($G1301,基本資料!$A:$M,12,0),"無")</f>
        <v>11.73</v>
      </c>
      <c r="AC1301" s="16" t="s">
        <v>2138</v>
      </c>
      <c r="AF1301" s="33">
        <f t="shared" si="224"/>
        <v>0</v>
      </c>
      <c r="AG1301" s="43" t="s">
        <v>2139</v>
      </c>
      <c r="AH1301" s="66">
        <f t="shared" si="226"/>
        <v>0.32114183764495985</v>
      </c>
      <c r="AI1301" s="283">
        <f>RTD("money.excel",,$G1301,"PredictVolume")</f>
        <v>18</v>
      </c>
      <c r="AJ1301" s="391">
        <f>IFERROR(VLOOKUP($G1301,基本資料!$A:$M,13,0),"無")</f>
        <v>56.05</v>
      </c>
      <c r="AR1301" s="245" t="str">
        <f>INDEX(基本資料!N:N,MATCH($G1301,基本資料!A:A,0))</f>
        <v>低</v>
      </c>
    </row>
    <row r="1302" spans="1:44">
      <c r="A1302" s="343">
        <f>IFERROR(VLOOKUP($G1302,基本資料!$A:$J,3,0),"無")</f>
        <v>2.83</v>
      </c>
      <c r="B1302" s="79">
        <f>IFERROR(VLOOKUP($G1302,基本資料!$A:$J,4,0),"無")</f>
        <v>10</v>
      </c>
      <c r="C1302" s="79">
        <f>IFERROR(VLOOKUP($G1302,基本資料!$A:$J,5,0),"無")</f>
        <v>7</v>
      </c>
      <c r="D1302" s="79">
        <f>IFERROR(VLOOKUP($G1302,基本資料!$A:$J,6,0),"無")</f>
        <v>-7</v>
      </c>
      <c r="E1302" s="79">
        <f>IFERROR(VLOOKUP($G1302,基本資料!$A:$J,7,0),"無")</f>
        <v>9</v>
      </c>
      <c r="F1302" s="6">
        <f>IFERROR(VLOOKUP($G1302,基本資料!$A:$J,8,0),"無")</f>
        <v>12.07</v>
      </c>
      <c r="G1302" s="79">
        <v>6752</v>
      </c>
      <c r="H1302" s="8" t="s">
        <v>313</v>
      </c>
      <c r="I1302" s="16" t="s">
        <v>3000</v>
      </c>
      <c r="J1302" s="8" t="str">
        <f>IFERROR(VLOOKUP($G1302,今日總結!$A:$AN,39,0),"")</f>
        <v/>
      </c>
      <c r="K1302" s="5" t="str">
        <f>IFERROR(VLOOKUP($G1302,今日總結!$A:$AN,40,0),"")</f>
        <v/>
      </c>
      <c r="L1302" s="156" t="str">
        <f>IFERROR(VLOOKUP($G1302,今日總結!$A:$AN,37,0),"")</f>
        <v/>
      </c>
      <c r="M1302" s="337" t="str">
        <f>IFERROR(VLOOKUP($G1302,今日總結!$A:$AN,38,0),"")</f>
        <v/>
      </c>
      <c r="N1302" s="240" t="str">
        <f t="shared" si="225"/>
        <v/>
      </c>
      <c r="O1302" s="359" t="str">
        <f>IFERROR(VLOOKUP($G1302,融外自投!$A:$J,7,0),"無")</f>
        <v>無</v>
      </c>
      <c r="P1302" s="79" t="str">
        <f>IFERROR(VLOOKUP($G1302,融外自投!$A:$J,9,0),"無")</f>
        <v>無</v>
      </c>
      <c r="Q1302" s="342" t="str">
        <f>IFERROR(VLOOKUP($G1302,融外自投!$A:$J,8,0),"無")</f>
        <v>無</v>
      </c>
      <c r="R1302" s="81" t="str">
        <f>IFERROR(VLOOKUP($G1302,融外自投!$A:$J,10,0),"無")</f>
        <v>無</v>
      </c>
      <c r="S1302" s="324" t="str">
        <f>IFERROR(VLOOKUP($G1302,'321買'!$A:$E,4,0),"'沒有資料'")</f>
        <v>'沒有資料'</v>
      </c>
      <c r="T1302" s="186">
        <f>IFERROR(VLOOKUP($G1302,基本資料!$A:$J,9,0),"無")</f>
        <v>2.8</v>
      </c>
      <c r="U1302" s="307">
        <f t="shared" si="221"/>
        <v>5.2434456928838948E-2</v>
      </c>
      <c r="V1302" s="94">
        <f>IFERROR(VLOOKUP($G1302,基本資料!$A:$J,10,0),"無")</f>
        <v>4.7</v>
      </c>
      <c r="W1302" s="36">
        <f>RTD("money.excel",,"6752","Price")</f>
        <v>53.4</v>
      </c>
      <c r="X1302" s="66"/>
      <c r="Y1302" s="15">
        <f t="shared" si="222"/>
        <v>53.4</v>
      </c>
      <c r="Z1302" s="3" t="e">
        <f t="shared" si="223"/>
        <v>#DIV/0!</v>
      </c>
      <c r="AA1302" s="340">
        <f>IFERROR(VLOOKUP($G1302,基本資料!$A:$M,11,0),"無")</f>
        <v>-22.61</v>
      </c>
      <c r="AB1302" s="389">
        <f>IFERROR(VLOOKUP($G1302,基本資料!$A:$M,12,0),"無")</f>
        <v>38.89</v>
      </c>
      <c r="AC1302" s="16" t="s">
        <v>3000</v>
      </c>
      <c r="AF1302" s="33">
        <f t="shared" si="224"/>
        <v>0</v>
      </c>
      <c r="AG1302" s="43" t="s">
        <v>2120</v>
      </c>
      <c r="AH1302" s="66">
        <f t="shared" si="226"/>
        <v>9.9173553719008267E-2</v>
      </c>
      <c r="AI1302" s="283">
        <f>RTD("money.excel",,$G1302,"PredictVolume")</f>
        <v>3</v>
      </c>
      <c r="AJ1302" s="391">
        <f>IFERROR(VLOOKUP($G1302,基本資料!$A:$M,13,0),"無")</f>
        <v>30.25</v>
      </c>
      <c r="AR1302" s="245" t="str">
        <f>INDEX(基本資料!N:N,MATCH($G1302,基本資料!A:A,0))</f>
        <v>低</v>
      </c>
    </row>
    <row r="1303" spans="1:44">
      <c r="A1303" s="343">
        <f>IFERROR(VLOOKUP($G1303,基本資料!$A:$J,3,0),"無")</f>
        <v>8.85</v>
      </c>
      <c r="B1303" s="79">
        <f>IFERROR(VLOOKUP($G1303,基本資料!$A:$J,4,0),"無")</f>
        <v>22</v>
      </c>
      <c r="C1303" s="79">
        <f>IFERROR(VLOOKUP($G1303,基本資料!$A:$J,5,0),"無")</f>
        <v>36</v>
      </c>
      <c r="D1303" s="79">
        <f>IFERROR(VLOOKUP($G1303,基本資料!$A:$J,6,0),"無")</f>
        <v>-32</v>
      </c>
      <c r="E1303" s="79">
        <f>IFERROR(VLOOKUP($G1303,基本資料!$A:$J,7,0),"無")</f>
        <v>-12</v>
      </c>
      <c r="F1303" s="6">
        <f>IFERROR(VLOOKUP($G1303,基本資料!$A:$J,8,0),"無")</f>
        <v>5.01</v>
      </c>
      <c r="G1303" s="79">
        <v>8099</v>
      </c>
      <c r="H1303" s="8" t="s">
        <v>313</v>
      </c>
      <c r="I1303" s="16" t="s">
        <v>1012</v>
      </c>
      <c r="J1303" s="8">
        <f>IFERROR(VLOOKUP($G1303,今日總結!$A:$AN,39,0),"")</f>
        <v>0</v>
      </c>
      <c r="K1303" s="5">
        <f>IFERROR(VLOOKUP($G1303,今日總結!$A:$AN,40,0),"")</f>
        <v>0</v>
      </c>
      <c r="L1303" s="156">
        <f>IFERROR(VLOOKUP($G1303,今日總結!$A:$AN,37,0),"")</f>
        <v>0</v>
      </c>
      <c r="M1303" s="337">
        <f>IFERROR(VLOOKUP($G1303,今日總結!$A:$AN,38,0),"")</f>
        <v>0</v>
      </c>
      <c r="N1303" s="240">
        <f t="shared" si="225"/>
        <v>0</v>
      </c>
      <c r="O1303" s="359">
        <f>IFERROR(VLOOKUP($G1303,融外自投!$A:$J,7,0),"無")</f>
        <v>60</v>
      </c>
      <c r="P1303" s="79">
        <f>IFERROR(VLOOKUP($G1303,融外自投!$A:$J,9,0),"無")</f>
        <v>467</v>
      </c>
      <c r="Q1303" s="342">
        <f>IFERROR(VLOOKUP($G1303,融外自投!$A:$J,8,0),"無")</f>
        <v>1078</v>
      </c>
      <c r="R1303" s="81" t="str">
        <f>IFERROR(VLOOKUP($G1303,融外自投!$A:$J,10,0),"無")</f>
        <v>無</v>
      </c>
      <c r="S1303" s="324">
        <f>IFERROR(VLOOKUP($G1303,'321買'!$A:$E,4,0),"'沒有資料'")</f>
        <v>891</v>
      </c>
      <c r="T1303" s="186">
        <f>IFERROR(VLOOKUP($G1303,基本資料!$A:$J,9,0),"無")</f>
        <v>1.8</v>
      </c>
      <c r="U1303" s="307">
        <f t="shared" si="221"/>
        <v>4.534005037783375E-2</v>
      </c>
      <c r="V1303" s="94">
        <f>IFERROR(VLOOKUP($G1303,基本資料!$A:$J,10,0),"無")</f>
        <v>2.0099999999999998</v>
      </c>
      <c r="W1303" s="36">
        <f>RTD("money.excel",,"8099","Price")</f>
        <v>39.700000000000003</v>
      </c>
      <c r="X1303" s="66"/>
      <c r="Y1303" s="15">
        <f t="shared" si="222"/>
        <v>39.700000000000003</v>
      </c>
      <c r="Z1303" s="3" t="e">
        <f t="shared" si="223"/>
        <v>#DIV/0!</v>
      </c>
      <c r="AA1303" s="340">
        <f>IFERROR(VLOOKUP($G1303,基本資料!$A:$M,11,0),"無")</f>
        <v>-17.72</v>
      </c>
      <c r="AB1303" s="389">
        <f>IFERROR(VLOOKUP($G1303,基本資料!$A:$M,12,0),"無")</f>
        <v>41.16</v>
      </c>
      <c r="AC1303" s="16" t="s">
        <v>1012</v>
      </c>
      <c r="AF1303" s="33">
        <f t="shared" si="224"/>
        <v>0</v>
      </c>
      <c r="AG1303" s="43" t="s">
        <v>2270</v>
      </c>
      <c r="AH1303" s="66">
        <f t="shared" si="226"/>
        <v>12.186147186147185</v>
      </c>
      <c r="AI1303" s="283">
        <f>RTD("money.excel",,$G1303,"PredictVolume")</f>
        <v>1126</v>
      </c>
      <c r="AJ1303" s="391">
        <f>IFERROR(VLOOKUP($G1303,基本資料!$A:$M,13,0),"無")</f>
        <v>92.4</v>
      </c>
      <c r="AR1303" s="245" t="str">
        <f>INDEX(基本資料!N:N,MATCH($G1303,基本資料!A:A,0))</f>
        <v>中</v>
      </c>
    </row>
    <row r="1304" spans="1:44">
      <c r="A1304" s="343">
        <f>IFERROR(VLOOKUP($G1304,基本資料!$A:$J,3,0),"無")</f>
        <v>4.63</v>
      </c>
      <c r="B1304" s="79">
        <f>IFERROR(VLOOKUP($G1304,基本資料!$A:$J,4,0),"無")</f>
        <v>54</v>
      </c>
      <c r="C1304" s="79">
        <f>IFERROR(VLOOKUP($G1304,基本資料!$A:$J,5,0),"無")</f>
        <v>41</v>
      </c>
      <c r="D1304" s="79">
        <f>IFERROR(VLOOKUP($G1304,基本資料!$A:$J,6,0),"無")</f>
        <v>-8</v>
      </c>
      <c r="E1304" s="79">
        <f>IFERROR(VLOOKUP($G1304,基本資料!$A:$J,7,0),"無")</f>
        <v>13</v>
      </c>
      <c r="F1304" s="6">
        <f>IFERROR(VLOOKUP($G1304,基本資料!$A:$J,8,0),"無")</f>
        <v>10.43</v>
      </c>
      <c r="G1304" s="79">
        <v>8284</v>
      </c>
      <c r="H1304" s="8" t="s">
        <v>313</v>
      </c>
      <c r="I1304" s="16" t="s">
        <v>1898</v>
      </c>
      <c r="J1304" s="8">
        <f>IFERROR(VLOOKUP($G1304,今日總結!$A:$AN,39,0),"")</f>
        <v>0</v>
      </c>
      <c r="K1304" s="5">
        <f>IFERROR(VLOOKUP($G1304,今日總結!$A:$AN,40,0),"")</f>
        <v>0</v>
      </c>
      <c r="L1304" s="156">
        <f>IFERROR(VLOOKUP($G1304,今日總結!$A:$AN,37,0),"")</f>
        <v>0</v>
      </c>
      <c r="M1304" s="337">
        <f>IFERROR(VLOOKUP($G1304,今日總結!$A:$AN,38,0),"")</f>
        <v>0</v>
      </c>
      <c r="N1304" s="240">
        <f t="shared" si="225"/>
        <v>0</v>
      </c>
      <c r="O1304" s="359">
        <f>IFERROR(VLOOKUP($G1304,融外自投!$A:$J,7,0),"無")</f>
        <v>942</v>
      </c>
      <c r="P1304" s="79">
        <f>IFERROR(VLOOKUP($G1304,融外自投!$A:$J,9,0),"無")</f>
        <v>1051</v>
      </c>
      <c r="Q1304" s="342">
        <f>IFERROR(VLOOKUP($G1304,融外自投!$A:$J,8,0),"無")</f>
        <v>1155</v>
      </c>
      <c r="R1304" s="81" t="str">
        <f>IFERROR(VLOOKUP($G1304,融外自投!$A:$J,10,0),"無")</f>
        <v>無</v>
      </c>
      <c r="S1304" s="324">
        <f>IFERROR(VLOOKUP($G1304,'321買'!$A:$E,4,0),"'沒有資料'")</f>
        <v>801</v>
      </c>
      <c r="T1304" s="186">
        <f>IFERROR(VLOOKUP($G1304,基本資料!$A:$J,9,0),"無")</f>
        <v>3</v>
      </c>
      <c r="U1304" s="307">
        <f t="shared" si="221"/>
        <v>5.6179775280898875E-2</v>
      </c>
      <c r="V1304" s="94">
        <f>IFERROR(VLOOKUP($G1304,基本資料!$A:$J,10,0),"無")</f>
        <v>4.0599999999999996</v>
      </c>
      <c r="W1304" s="36">
        <f>RTD("money.excel",,"8284","Price")</f>
        <v>53.4</v>
      </c>
      <c r="X1304" s="66"/>
      <c r="Y1304" s="15">
        <f t="shared" si="222"/>
        <v>53.4</v>
      </c>
      <c r="Z1304" s="3" t="e">
        <f t="shared" si="223"/>
        <v>#DIV/0!</v>
      </c>
      <c r="AA1304" s="340">
        <f>IFERROR(VLOOKUP($G1304,基本資料!$A:$M,11,0),"無")</f>
        <v>-13.45</v>
      </c>
      <c r="AB1304" s="389">
        <f>IFERROR(VLOOKUP($G1304,基本資料!$A:$M,12,0),"無")</f>
        <v>47.54</v>
      </c>
      <c r="AC1304" s="16" t="s">
        <v>1898</v>
      </c>
      <c r="AF1304" s="33">
        <f t="shared" si="224"/>
        <v>0</v>
      </c>
      <c r="AG1304" s="43" t="s">
        <v>304</v>
      </c>
      <c r="AH1304" s="66">
        <f t="shared" si="226"/>
        <v>1.3056379821958457</v>
      </c>
      <c r="AI1304" s="283">
        <f>RTD("money.excel",,$G1304,"PredictVolume")</f>
        <v>132</v>
      </c>
      <c r="AJ1304" s="391">
        <f>IFERROR(VLOOKUP($G1304,基本資料!$A:$M,13,0),"無")</f>
        <v>101.1</v>
      </c>
      <c r="AR1304" s="245" t="str">
        <f>INDEX(基本資料!N:N,MATCH($G1304,基本資料!A:A,0))</f>
        <v>中</v>
      </c>
    </row>
    <row r="1305" spans="1:44">
      <c r="A1305" s="343">
        <f>IFERROR(VLOOKUP($G1305,基本資料!$A:$J,3,0),"無")</f>
        <v>2.82</v>
      </c>
      <c r="B1305" s="79">
        <f>IFERROR(VLOOKUP($G1305,基本資料!$A:$J,4,0),"無")</f>
        <v>14</v>
      </c>
      <c r="C1305" s="79">
        <f>IFERROR(VLOOKUP($G1305,基本資料!$A:$J,5,0),"無")</f>
        <v>12</v>
      </c>
      <c r="D1305" s="79">
        <f>IFERROR(VLOOKUP($G1305,基本資料!$A:$J,6,0),"無")</f>
        <v>-26</v>
      </c>
      <c r="E1305" s="79">
        <f>IFERROR(VLOOKUP($G1305,基本資料!$A:$J,7,0),"無")</f>
        <v>0</v>
      </c>
      <c r="F1305" s="6">
        <f>IFERROR(VLOOKUP($G1305,基本資料!$A:$J,8,0),"無")</f>
        <v>27.91</v>
      </c>
      <c r="G1305" s="79">
        <v>8416</v>
      </c>
      <c r="H1305" s="145" t="s">
        <v>313</v>
      </c>
      <c r="I1305" s="16" t="s">
        <v>151</v>
      </c>
      <c r="J1305" s="8" t="str">
        <f>IFERROR(VLOOKUP($G1305,今日總結!$A:$AN,39,0),"")</f>
        <v/>
      </c>
      <c r="K1305" s="5" t="str">
        <f>IFERROR(VLOOKUP($G1305,今日總結!$A:$AN,40,0),"")</f>
        <v/>
      </c>
      <c r="L1305" s="156" t="str">
        <f>IFERROR(VLOOKUP($G1305,今日總結!$A:$AN,37,0),"")</f>
        <v/>
      </c>
      <c r="M1305" s="337" t="str">
        <f>IFERROR(VLOOKUP($G1305,今日總結!$A:$AN,38,0),"")</f>
        <v/>
      </c>
      <c r="N1305" s="240" t="str">
        <f t="shared" si="225"/>
        <v/>
      </c>
      <c r="O1305" s="359" t="str">
        <f>IFERROR(VLOOKUP($G1305,融外自投!$A:$J,7,0),"無")</f>
        <v>無</v>
      </c>
      <c r="P1305" s="79" t="str">
        <f>IFERROR(VLOOKUP($G1305,融外自投!$A:$J,9,0),"無")</f>
        <v>無</v>
      </c>
      <c r="Q1305" s="342" t="str">
        <f>IFERROR(VLOOKUP($G1305,融外自投!$A:$J,8,0),"無")</f>
        <v>無</v>
      </c>
      <c r="R1305" s="81" t="str">
        <f>IFERROR(VLOOKUP($G1305,融外自投!$A:$J,10,0),"無")</f>
        <v>無</v>
      </c>
      <c r="S1305" s="324" t="str">
        <f>IFERROR(VLOOKUP($G1305,'321買'!$A:$E,4,0),"'沒有資料'")</f>
        <v>'沒有資料'</v>
      </c>
      <c r="T1305" s="186">
        <f>IFERROR(VLOOKUP($G1305,基本資料!$A:$J,9,0),"無")</f>
        <v>8</v>
      </c>
      <c r="U1305" s="307">
        <f t="shared" si="221"/>
        <v>6.1538461538461542E-2</v>
      </c>
      <c r="V1305" s="94">
        <f>IFERROR(VLOOKUP($G1305,基本資料!$A:$J,10,0),"無")</f>
        <v>11.35</v>
      </c>
      <c r="W1305" s="36">
        <f>RTD("money.excel",,"8416","Price")</f>
        <v>130</v>
      </c>
      <c r="X1305" s="66"/>
      <c r="Y1305" s="15">
        <f t="shared" si="222"/>
        <v>130</v>
      </c>
      <c r="Z1305" s="3" t="e">
        <f t="shared" si="223"/>
        <v>#DIV/0!</v>
      </c>
      <c r="AA1305" s="340">
        <f>IFERROR(VLOOKUP($G1305,基本資料!$A:$M,11,0),"無")</f>
        <v>-1.52</v>
      </c>
      <c r="AB1305" s="389">
        <f>IFERROR(VLOOKUP($G1305,基本資料!$A:$M,12,0),"無")</f>
        <v>78.319999999999993</v>
      </c>
      <c r="AC1305" s="16" t="s">
        <v>151</v>
      </c>
      <c r="AF1305" s="33">
        <f t="shared" si="224"/>
        <v>0</v>
      </c>
      <c r="AG1305" s="117" t="s">
        <v>2691</v>
      </c>
      <c r="AH1305" s="66">
        <f t="shared" si="226"/>
        <v>0.50473186119873814</v>
      </c>
      <c r="AI1305" s="283">
        <f>RTD("money.excel",,$G1305,"PredictVolume")</f>
        <v>8</v>
      </c>
      <c r="AJ1305" s="391">
        <f>IFERROR(VLOOKUP($G1305,基本資料!$A:$M,13,0),"無")</f>
        <v>15.85</v>
      </c>
      <c r="AR1305" s="245" t="str">
        <f>INDEX(基本資料!N:N,MATCH($G1305,基本資料!A:A,0))</f>
        <v>高</v>
      </c>
    </row>
    <row r="1306" spans="1:44">
      <c r="A1306" s="343" t="str">
        <f>IFERROR(VLOOKUP($G1306,基本資料!$A:$J,3,0),"無")</f>
        <v>無</v>
      </c>
      <c r="B1306" s="79" t="str">
        <f>IFERROR(VLOOKUP($G1306,基本資料!$A:$J,4,0),"無")</f>
        <v>無</v>
      </c>
      <c r="C1306" s="79" t="str">
        <f>IFERROR(VLOOKUP($G1306,基本資料!$A:$J,5,0),"無")</f>
        <v>無</v>
      </c>
      <c r="D1306" s="79" t="str">
        <f>IFERROR(VLOOKUP($G1306,基本資料!$A:$J,6,0),"無")</f>
        <v>無</v>
      </c>
      <c r="E1306" s="79" t="str">
        <f>IFERROR(VLOOKUP($G1306,基本資料!$A:$J,7,0),"無")</f>
        <v>無</v>
      </c>
      <c r="F1306" s="6" t="str">
        <f>IFERROR(VLOOKUP($G1306,基本資料!$A:$J,8,0),"無")</f>
        <v>無</v>
      </c>
      <c r="G1306" s="41" t="s">
        <v>992</v>
      </c>
      <c r="H1306" s="8" t="s">
        <v>313</v>
      </c>
      <c r="I1306" s="16" t="s">
        <v>993</v>
      </c>
      <c r="J1306" s="8" t="str">
        <f>IFERROR(VLOOKUP($G1306,今日總結!$A:$AN,39,0),"")</f>
        <v/>
      </c>
      <c r="K1306" s="5" t="str">
        <f>IFERROR(VLOOKUP($G1306,今日總結!$A:$AN,40,0),"")</f>
        <v/>
      </c>
      <c r="L1306" s="156" t="str">
        <f>IFERROR(VLOOKUP($G1306,今日總結!$A:$AN,37,0),"")</f>
        <v/>
      </c>
      <c r="M1306" s="337" t="str">
        <f>IFERROR(VLOOKUP($G1306,今日總結!$A:$AN,38,0),"")</f>
        <v/>
      </c>
      <c r="N1306" s="240" t="str">
        <f t="shared" si="225"/>
        <v/>
      </c>
      <c r="O1306" s="359" t="str">
        <f>IFERROR(VLOOKUP($G1306,融外自投!$A:$J,7,0),"無")</f>
        <v>無</v>
      </c>
      <c r="P1306" s="79" t="str">
        <f>IFERROR(VLOOKUP($G1306,融外自投!$A:$J,9,0),"無")</f>
        <v>無</v>
      </c>
      <c r="Q1306" s="342" t="str">
        <f>IFERROR(VLOOKUP($G1306,融外自投!$A:$J,8,0),"無")</f>
        <v>無</v>
      </c>
      <c r="R1306" s="81" t="str">
        <f>IFERROR(VLOOKUP($G1306,融外自投!$A:$J,10,0),"無")</f>
        <v>無</v>
      </c>
      <c r="S1306" s="324" t="str">
        <f>IFERROR(VLOOKUP($G1306,'321買'!$A:$E,4,0),"'沒有資料'")</f>
        <v>'沒有資料'</v>
      </c>
      <c r="T1306" s="186" t="str">
        <f>IFERROR(VLOOKUP($G1306,基本資料!$A:$J,9,0),"無")</f>
        <v>無</v>
      </c>
      <c r="U1306" s="307" t="e">
        <f t="shared" si="221"/>
        <v>#VALUE!</v>
      </c>
      <c r="V1306" s="94" t="str">
        <f>IFERROR(VLOOKUP($G1306,基本資料!$A:$J,10,0),"無")</f>
        <v>無</v>
      </c>
      <c r="W1306" s="36">
        <f>RTD("money.excel",,"3147","Price")</f>
        <v>44.8</v>
      </c>
      <c r="X1306" s="66"/>
      <c r="Y1306" s="15">
        <f t="shared" si="222"/>
        <v>44.8</v>
      </c>
      <c r="Z1306" s="3" t="e">
        <f t="shared" si="223"/>
        <v>#DIV/0!</v>
      </c>
      <c r="AA1306" s="340" t="str">
        <f>IFERROR(VLOOKUP($G1306,基本資料!$A:$M,11,0),"無")</f>
        <v>無</v>
      </c>
      <c r="AB1306" s="389" t="str">
        <f>IFERROR(VLOOKUP($G1306,基本資料!$A:$M,12,0),"無")</f>
        <v>無</v>
      </c>
      <c r="AC1306" s="16" t="s">
        <v>993</v>
      </c>
      <c r="AF1306" s="33">
        <f t="shared" si="224"/>
        <v>0</v>
      </c>
      <c r="AG1306" s="43" t="s">
        <v>2683</v>
      </c>
      <c r="AH1306" s="66" t="e">
        <f t="shared" si="226"/>
        <v>#VALUE!</v>
      </c>
      <c r="AI1306" s="283">
        <f>RTD("money.excel",,$G1306,"PredictVolume")</f>
        <v>34</v>
      </c>
      <c r="AJ1306" s="391" t="str">
        <f>IFERROR(VLOOKUP($G1306,基本資料!$A:$M,13,0),"無")</f>
        <v>無</v>
      </c>
      <c r="AR1306" s="245" t="e">
        <f>INDEX(基本資料!N:N,MATCH($G1306,基本資料!A:A,0))</f>
        <v>#N/A</v>
      </c>
    </row>
    <row r="1307" spans="1:44">
      <c r="A1307" s="142"/>
      <c r="B1307" s="79"/>
      <c r="C1307" s="79"/>
      <c r="D1307" s="79"/>
      <c r="E1307" s="79"/>
      <c r="F1307" s="6"/>
      <c r="H1307" s="8"/>
      <c r="I1307" s="16"/>
      <c r="L1307" s="2"/>
      <c r="R1307" s="26"/>
      <c r="T1307" s="34"/>
      <c r="V1307" s="94"/>
      <c r="W1307" s="36"/>
      <c r="X1307" s="66"/>
      <c r="Y1307" s="15"/>
      <c r="Z1307" s="3"/>
      <c r="AC1307" s="16"/>
      <c r="AF1307" s="33"/>
      <c r="AG1307" s="43"/>
      <c r="AH1307" s="66" t="e">
        <f t="shared" si="226"/>
        <v>#DIV/0!</v>
      </c>
      <c r="AI1307" s="283"/>
    </row>
    <row r="1308" spans="1:44">
      <c r="A1308" s="127" t="s">
        <v>1672</v>
      </c>
      <c r="B1308" s="90" t="s">
        <v>1571</v>
      </c>
      <c r="C1308" s="90" t="s">
        <v>1572</v>
      </c>
      <c r="D1308" s="90" t="s">
        <v>1573</v>
      </c>
      <c r="E1308" s="90" t="s">
        <v>1574</v>
      </c>
      <c r="F1308" s="8" t="s">
        <v>1059</v>
      </c>
      <c r="G1308" s="27" t="s">
        <v>4711</v>
      </c>
      <c r="H1308" s="55" t="s">
        <v>320</v>
      </c>
      <c r="I1308" s="8" t="s">
        <v>235</v>
      </c>
      <c r="J1308" s="8" t="s">
        <v>6211</v>
      </c>
      <c r="K1308" s="5" t="s">
        <v>6212</v>
      </c>
      <c r="L1308" s="334" t="s">
        <v>6197</v>
      </c>
      <c r="M1308" s="335" t="s">
        <v>6198</v>
      </c>
      <c r="N1308" s="336" t="s">
        <v>6199</v>
      </c>
      <c r="O1308" s="89" t="s">
        <v>6275</v>
      </c>
      <c r="P1308" s="292" t="s">
        <v>6274</v>
      </c>
      <c r="Q1308" s="350" t="s">
        <v>6273</v>
      </c>
      <c r="R1308" s="26" t="s">
        <v>6276</v>
      </c>
      <c r="S1308" s="318" t="s">
        <v>4715</v>
      </c>
      <c r="T1308" s="10" t="s">
        <v>66</v>
      </c>
      <c r="U1308" s="305" t="s">
        <v>4728</v>
      </c>
      <c r="V1308" s="68" t="s">
        <v>3272</v>
      </c>
      <c r="W1308" s="28" t="s">
        <v>2</v>
      </c>
      <c r="X1308" s="17" t="s">
        <v>1398</v>
      </c>
      <c r="Y1308" s="14" t="s">
        <v>5</v>
      </c>
      <c r="Z1308" s="21" t="s">
        <v>3</v>
      </c>
      <c r="AA1308" s="96" t="s">
        <v>6166</v>
      </c>
      <c r="AB1308" s="378" t="s">
        <v>6404</v>
      </c>
      <c r="AC1308" s="8" t="s">
        <v>235</v>
      </c>
      <c r="AD1308" s="71" t="s">
        <v>1399</v>
      </c>
      <c r="AE1308" s="72" t="s">
        <v>1156</v>
      </c>
      <c r="AF1308" s="32" t="s">
        <v>1157</v>
      </c>
      <c r="AG1308" s="25" t="s">
        <v>6200</v>
      </c>
      <c r="AH1308" s="8" t="s">
        <v>6696</v>
      </c>
      <c r="AI1308" s="50" t="s">
        <v>3360</v>
      </c>
      <c r="AJ1308" s="22" t="s">
        <v>6695</v>
      </c>
    </row>
    <row r="1309" spans="1:44">
      <c r="A1309" s="343">
        <f>IFERROR(VLOOKUP($G1309,基本資料!$A:$J,3,0),"無")</f>
        <v>6.78</v>
      </c>
      <c r="B1309" s="79">
        <f>IFERROR(VLOOKUP($G1309,基本資料!$A:$J,4,0),"無")</f>
        <v>35</v>
      </c>
      <c r="C1309" s="79">
        <f>IFERROR(VLOOKUP($G1309,基本資料!$A:$J,5,0),"無")</f>
        <v>26</v>
      </c>
      <c r="D1309" s="79">
        <f>IFERROR(VLOOKUP($G1309,基本資料!$A:$J,6,0),"無")</f>
        <v>0</v>
      </c>
      <c r="E1309" s="79">
        <f>IFERROR(VLOOKUP($G1309,基本資料!$A:$J,7,0),"無")</f>
        <v>58</v>
      </c>
      <c r="F1309" s="6">
        <f>IFERROR(VLOOKUP($G1309,基本資料!$A:$J,8,0),"無")</f>
        <v>15.28</v>
      </c>
      <c r="G1309" s="79">
        <v>1342</v>
      </c>
      <c r="H1309" s="8" t="s">
        <v>1959</v>
      </c>
      <c r="I1309" s="22" t="s">
        <v>2076</v>
      </c>
      <c r="J1309" s="8">
        <f>IFERROR(VLOOKUP($G1309,今日總結!$A:$AN,39,0),"")</f>
        <v>0</v>
      </c>
      <c r="K1309" s="5">
        <f>IFERROR(VLOOKUP($G1309,今日總結!$A:$AN,40,0),"")</f>
        <v>0</v>
      </c>
      <c r="L1309" s="156">
        <f>IFERROR(VLOOKUP($G1309,今日總結!$A:$AN,37,0),"")</f>
        <v>0</v>
      </c>
      <c r="M1309" s="337">
        <f>IFERROR(VLOOKUP($G1309,今日總結!$A:$AN,38,0),"")</f>
        <v>0</v>
      </c>
      <c r="N1309" s="240">
        <f t="shared" ref="N1309" si="227">IFERROR(L1309-M1309,"")</f>
        <v>0</v>
      </c>
      <c r="O1309" s="359">
        <f>IFERROR(VLOOKUP($G1309,融外自投!$A:$J,7,0),"無")</f>
        <v>906</v>
      </c>
      <c r="P1309" s="79">
        <f>IFERROR(VLOOKUP($G1309,融外自投!$A:$J,9,0),"無")</f>
        <v>537</v>
      </c>
      <c r="Q1309" s="342">
        <f>IFERROR(VLOOKUP($G1309,融外自投!$A:$J,8,0),"無")</f>
        <v>58</v>
      </c>
      <c r="R1309" s="81" t="str">
        <f>IFERROR(VLOOKUP($G1309,融外自投!$A:$J,10,0),"無")</f>
        <v>無</v>
      </c>
      <c r="S1309" s="324">
        <f>IFERROR(VLOOKUP($G1309,'321買'!$A:$E,4,0),"'沒有資料'")</f>
        <v>1002</v>
      </c>
      <c r="T1309" s="186">
        <f>IFERROR(VLOOKUP($G1309,基本資料!$A:$J,9,0),"無")</f>
        <v>3</v>
      </c>
      <c r="U1309" s="307">
        <f t="shared" ref="U1309:U1372" si="228">$T1309/$W1309</f>
        <v>3.9735099337748346E-2</v>
      </c>
      <c r="V1309" s="94">
        <f>IFERROR(VLOOKUP($G1309,基本資料!$A:$J,10,0),"無")</f>
        <v>3.92</v>
      </c>
      <c r="W1309" s="36">
        <f>RTD("money.excel",,"1342","Price")</f>
        <v>75.5</v>
      </c>
      <c r="X1309" s="66"/>
      <c r="Y1309" s="15">
        <f t="shared" ref="Y1309:Y1376" si="229">W1309-X1309</f>
        <v>75.5</v>
      </c>
      <c r="Z1309" s="3" t="e">
        <f t="shared" ref="Z1309:Z1376" si="230">Y1309/X1309</f>
        <v>#DIV/0!</v>
      </c>
      <c r="AA1309" s="340">
        <f>IFERROR(VLOOKUP($G1309,基本資料!$A:$M,11,0),"無")</f>
        <v>-0.13</v>
      </c>
      <c r="AB1309" s="389">
        <f>IFERROR(VLOOKUP($G1309,基本資料!$A:$M,12,0),"無")</f>
        <v>84.78</v>
      </c>
      <c r="AC1309" s="22" t="s">
        <v>2076</v>
      </c>
      <c r="AF1309" s="33">
        <f t="shared" ref="AF1309:AF1376" si="231">AE1309-AD1309</f>
        <v>0</v>
      </c>
      <c r="AG1309" s="43" t="s">
        <v>3350</v>
      </c>
      <c r="AH1309" s="66">
        <f t="shared" si="226"/>
        <v>3.6137638320448686</v>
      </c>
      <c r="AI1309" s="283">
        <f>RTD("money.excel",,$G1309,"PredictVolume")</f>
        <v>1192</v>
      </c>
      <c r="AJ1309" s="391">
        <f>IFERROR(VLOOKUP($G1309,基本資料!$A:$M,13,0),"無")</f>
        <v>329.85</v>
      </c>
      <c r="AR1309" s="245" t="str">
        <f>INDEX(基本資料!N:N,MATCH($G1309,基本資料!A:A,0))</f>
        <v>高</v>
      </c>
    </row>
    <row r="1310" spans="1:44">
      <c r="A1310" s="343">
        <f>IFERROR(VLOOKUP($G1310,基本資料!$A:$J,3,0),"無")</f>
        <v>18.53</v>
      </c>
      <c r="B1310" s="79">
        <f>IFERROR(VLOOKUP($G1310,基本資料!$A:$J,4,0),"無")</f>
        <v>123</v>
      </c>
      <c r="C1310" s="79">
        <f>IFERROR(VLOOKUP($G1310,基本資料!$A:$J,5,0),"無")</f>
        <v>68</v>
      </c>
      <c r="D1310" s="79">
        <f>IFERROR(VLOOKUP($G1310,基本資料!$A:$J,6,0),"無")</f>
        <v>5</v>
      </c>
      <c r="E1310" s="79">
        <f>IFERROR(VLOOKUP($G1310,基本資料!$A:$J,7,0),"無")</f>
        <v>-13</v>
      </c>
      <c r="F1310" s="6">
        <f>IFERROR(VLOOKUP($G1310,基本資料!$A:$J,8,0),"無")</f>
        <v>-23.06</v>
      </c>
      <c r="G1310" s="79">
        <v>1416</v>
      </c>
      <c r="H1310" s="8" t="s">
        <v>1959</v>
      </c>
      <c r="I1310" s="22" t="s">
        <v>722</v>
      </c>
      <c r="J1310" s="8">
        <f>IFERROR(VLOOKUP($G1310,今日總結!$A:$AN,39,0),"")</f>
        <v>0</v>
      </c>
      <c r="K1310" s="5" t="str">
        <f>IFERROR(VLOOKUP($G1310,今日總結!$A:$AN,40,0),"")</f>
        <v>外</v>
      </c>
      <c r="L1310" s="156">
        <f>IFERROR(VLOOKUP($G1310,今日總結!$A:$AN,37,0),"")</f>
        <v>0</v>
      </c>
      <c r="M1310" s="337">
        <f>IFERROR(VLOOKUP($G1310,今日總結!$A:$AN,38,0),"")</f>
        <v>3</v>
      </c>
      <c r="N1310" s="240">
        <f t="shared" ref="N1310:N1373" si="232">IFERROR(L1310-M1310,"")</f>
        <v>-3</v>
      </c>
      <c r="O1310" s="359">
        <f>IFERROR(VLOOKUP($G1310,融外自投!$A:$J,7,0),"無")</f>
        <v>600</v>
      </c>
      <c r="P1310" s="79">
        <f>IFERROR(VLOOKUP($G1310,融外自投!$A:$J,9,0),"無")</f>
        <v>990</v>
      </c>
      <c r="Q1310" s="342">
        <f>IFERROR(VLOOKUP($G1310,融外自投!$A:$J,8,0),"無")</f>
        <v>545</v>
      </c>
      <c r="R1310" s="81" t="str">
        <f>IFERROR(VLOOKUP($G1310,融外自投!$A:$J,10,0),"無")</f>
        <v>無</v>
      </c>
      <c r="S1310" s="324">
        <f>IFERROR(VLOOKUP($G1310,'321買'!$A:$E,4,0),"'沒有資料'")</f>
        <v>801</v>
      </c>
      <c r="T1310" s="186">
        <f>IFERROR(VLOOKUP($G1310,基本資料!$A:$J,9,0),"無")</f>
        <v>0.5</v>
      </c>
      <c r="U1310" s="307">
        <f t="shared" si="228"/>
        <v>2.0964360587002094E-2</v>
      </c>
      <c r="V1310" s="94">
        <f>IFERROR(VLOOKUP($G1310,基本資料!$A:$J,10,0),"無")</f>
        <v>0.44</v>
      </c>
      <c r="W1310" s="36">
        <f>RTD("money.excel",,"1516","Price")</f>
        <v>23.85</v>
      </c>
      <c r="X1310" s="66"/>
      <c r="Y1310" s="15">
        <f t="shared" si="229"/>
        <v>23.85</v>
      </c>
      <c r="Z1310" s="3" t="e">
        <f t="shared" si="230"/>
        <v>#DIV/0!</v>
      </c>
      <c r="AA1310" s="340">
        <f>IFERROR(VLOOKUP($G1310,基本資料!$A:$M,11,0),"無")</f>
        <v>-12.24</v>
      </c>
      <c r="AB1310" s="389">
        <f>IFERROR(VLOOKUP($G1310,基本資料!$A:$M,12,0),"無")</f>
        <v>18.62</v>
      </c>
      <c r="AC1310" s="22" t="s">
        <v>722</v>
      </c>
      <c r="AF1310" s="33">
        <f t="shared" si="231"/>
        <v>0</v>
      </c>
      <c r="AG1310" s="43" t="s">
        <v>3007</v>
      </c>
      <c r="AH1310" s="66">
        <f t="shared" si="226"/>
        <v>0.71852899575671858</v>
      </c>
      <c r="AI1310" s="283">
        <f>RTD("money.excel",,$G1310,"PredictVolume")</f>
        <v>127</v>
      </c>
      <c r="AJ1310" s="391">
        <f>IFERROR(VLOOKUP($G1310,基本資料!$A:$M,13,0),"無")</f>
        <v>176.75</v>
      </c>
      <c r="AR1310" s="245" t="str">
        <f>INDEX(基本資料!N:N,MATCH($G1310,基本資料!A:A,0))</f>
        <v>中</v>
      </c>
    </row>
    <row r="1311" spans="1:44">
      <c r="A1311" s="343">
        <f>IFERROR(VLOOKUP($G1311,基本資料!$A:$J,3,0),"無")</f>
        <v>13.97</v>
      </c>
      <c r="B1311" s="79">
        <f>IFERROR(VLOOKUP($G1311,基本資料!$A:$J,4,0),"無")</f>
        <v>131</v>
      </c>
      <c r="C1311" s="79">
        <f>IFERROR(VLOOKUP($G1311,基本資料!$A:$J,5,0),"無")</f>
        <v>-65</v>
      </c>
      <c r="D1311" s="79">
        <f>IFERROR(VLOOKUP($G1311,基本資料!$A:$J,6,0),"無")</f>
        <v>-4</v>
      </c>
      <c r="E1311" s="79">
        <f>IFERROR(VLOOKUP($G1311,基本資料!$A:$J,7,0),"無")</f>
        <v>-16</v>
      </c>
      <c r="F1311" s="6">
        <f>IFERROR(VLOOKUP($G1311,基本資料!$A:$J,8,0),"無")</f>
        <v>-238.38</v>
      </c>
      <c r="G1311" s="79">
        <v>1435</v>
      </c>
      <c r="H1311" s="8" t="s">
        <v>1959</v>
      </c>
      <c r="I1311" s="22" t="s">
        <v>670</v>
      </c>
      <c r="J1311" s="8" t="str">
        <f>IFERROR(VLOOKUP($G1311,今日總結!$A:$AN,39,0),"")</f>
        <v/>
      </c>
      <c r="K1311" s="5" t="str">
        <f>IFERROR(VLOOKUP($G1311,今日總結!$A:$AN,40,0),"")</f>
        <v/>
      </c>
      <c r="L1311" s="156" t="str">
        <f>IFERROR(VLOOKUP($G1311,今日總結!$A:$AN,37,0),"")</f>
        <v/>
      </c>
      <c r="M1311" s="337" t="str">
        <f>IFERROR(VLOOKUP($G1311,今日總結!$A:$AN,38,0),"")</f>
        <v/>
      </c>
      <c r="N1311" s="240" t="str">
        <f t="shared" si="232"/>
        <v/>
      </c>
      <c r="O1311" s="359" t="str">
        <f>IFERROR(VLOOKUP($G1311,融外自投!$A:$J,7,0),"無")</f>
        <v>無</v>
      </c>
      <c r="P1311" s="79" t="str">
        <f>IFERROR(VLOOKUP($G1311,融外自投!$A:$J,9,0),"無")</f>
        <v>無</v>
      </c>
      <c r="Q1311" s="342" t="str">
        <f>IFERROR(VLOOKUP($G1311,融外自投!$A:$J,8,0),"無")</f>
        <v>無</v>
      </c>
      <c r="R1311" s="81" t="str">
        <f>IFERROR(VLOOKUP($G1311,融外自投!$A:$J,10,0),"無")</f>
        <v>無</v>
      </c>
      <c r="S1311" s="324" t="str">
        <f>IFERROR(VLOOKUP($G1311,'321買'!$A:$E,4,0),"'沒有資料'")</f>
        <v>'沒有資料'</v>
      </c>
      <c r="T1311" s="186">
        <f>IFERROR(VLOOKUP($G1311,基本資料!$A:$J,9,0),"無")</f>
        <v>0</v>
      </c>
      <c r="U1311" s="307">
        <f t="shared" si="228"/>
        <v>0</v>
      </c>
      <c r="V1311" s="94">
        <f>IFERROR(VLOOKUP($G1311,基本資料!$A:$J,10,0),"無")</f>
        <v>0.05</v>
      </c>
      <c r="W1311" s="36">
        <f>RTD("money.excel",,"1435","Price")</f>
        <v>50.4</v>
      </c>
      <c r="X1311" s="66"/>
      <c r="Y1311" s="15">
        <f t="shared" si="229"/>
        <v>50.4</v>
      </c>
      <c r="Z1311" s="3" t="e">
        <f t="shared" si="230"/>
        <v>#DIV/0!</v>
      </c>
      <c r="AA1311" s="340">
        <f>IFERROR(VLOOKUP($G1311,基本資料!$A:$M,11,0),"無")</f>
        <v>-28.81</v>
      </c>
      <c r="AB1311" s="389">
        <f>IFERROR(VLOOKUP($G1311,基本資料!$A:$M,12,0),"無")</f>
        <v>39.479999999999997</v>
      </c>
      <c r="AC1311" s="22" t="s">
        <v>670</v>
      </c>
      <c r="AF1311" s="33">
        <f t="shared" si="231"/>
        <v>0</v>
      </c>
      <c r="AG1311" s="43" t="s">
        <v>2810</v>
      </c>
      <c r="AH1311" s="66">
        <f t="shared" si="226"/>
        <v>0.78398665554628855</v>
      </c>
      <c r="AI1311" s="283">
        <f>RTD("money.excel",,$G1311,"PredictVolume")</f>
        <v>47</v>
      </c>
      <c r="AJ1311" s="391">
        <f>IFERROR(VLOOKUP($G1311,基本資料!$A:$M,13,0),"無")</f>
        <v>59.95</v>
      </c>
      <c r="AR1311" s="245" t="str">
        <f>INDEX(基本資料!N:N,MATCH($G1311,基本資料!A:A,0))</f>
        <v>中</v>
      </c>
    </row>
    <row r="1312" spans="1:44">
      <c r="A1312" s="343">
        <f>IFERROR(VLOOKUP($G1312,基本資料!$A:$J,3,0),"無")</f>
        <v>20.329999999999998</v>
      </c>
      <c r="B1312" s="79">
        <f>IFERROR(VLOOKUP($G1312,基本資料!$A:$J,4,0),"無")</f>
        <v>28</v>
      </c>
      <c r="C1312" s="79">
        <f>IFERROR(VLOOKUP($G1312,基本資料!$A:$J,5,0),"無")</f>
        <v>1</v>
      </c>
      <c r="D1312" s="79">
        <f>IFERROR(VLOOKUP($G1312,基本資料!$A:$J,6,0),"無")</f>
        <v>0</v>
      </c>
      <c r="E1312" s="79">
        <f>IFERROR(VLOOKUP($G1312,基本資料!$A:$J,7,0),"無")</f>
        <v>22</v>
      </c>
      <c r="F1312" s="6">
        <f>IFERROR(VLOOKUP($G1312,基本資料!$A:$J,8,0),"無")</f>
        <v>52.71</v>
      </c>
      <c r="G1312" s="79">
        <v>1437</v>
      </c>
      <c r="H1312" s="8" t="s">
        <v>1959</v>
      </c>
      <c r="I1312" s="22" t="s">
        <v>671</v>
      </c>
      <c r="J1312" s="8">
        <f>IFERROR(VLOOKUP($G1312,今日總結!$A:$AN,39,0),"")</f>
        <v>0</v>
      </c>
      <c r="K1312" s="5" t="str">
        <f>IFERROR(VLOOKUP($G1312,今日總結!$A:$AN,40,0),"")</f>
        <v>融</v>
      </c>
      <c r="L1312" s="156">
        <f>IFERROR(VLOOKUP($G1312,今日總結!$A:$AN,37,0),"")</f>
        <v>0</v>
      </c>
      <c r="M1312" s="337">
        <f>IFERROR(VLOOKUP($G1312,今日總結!$A:$AN,38,0),"")</f>
        <v>4</v>
      </c>
      <c r="N1312" s="240">
        <f t="shared" si="232"/>
        <v>-4</v>
      </c>
      <c r="O1312" s="359">
        <f>IFERROR(VLOOKUP($G1312,融外自投!$A:$J,7,0),"無")</f>
        <v>1098</v>
      </c>
      <c r="P1312" s="79">
        <f>IFERROR(VLOOKUP($G1312,融外自投!$A:$J,9,0),"無")</f>
        <v>1123</v>
      </c>
      <c r="Q1312" s="342">
        <f>IFERROR(VLOOKUP($G1312,融外自投!$A:$J,8,0),"無")</f>
        <v>710</v>
      </c>
      <c r="R1312" s="81">
        <f>IFERROR(VLOOKUP($G1312,融外自投!$A:$J,10,0),"無")</f>
        <v>377</v>
      </c>
      <c r="S1312" s="324">
        <f>IFERROR(VLOOKUP($G1312,'321買'!$A:$E,4,0),"'沒有資料'")</f>
        <v>1002</v>
      </c>
      <c r="T1312" s="186">
        <f>IFERROR(VLOOKUP($G1312,基本資料!$A:$J,9,0),"無")</f>
        <v>0.9</v>
      </c>
      <c r="U1312" s="307">
        <f t="shared" si="228"/>
        <v>3.6217303822937627E-2</v>
      </c>
      <c r="V1312" s="94">
        <f>IFERROR(VLOOKUP($G1312,基本資料!$A:$J,10,0),"無")</f>
        <v>2.25</v>
      </c>
      <c r="W1312" s="36">
        <f>RTD("money.excel",,"1437","Price")</f>
        <v>24.85</v>
      </c>
      <c r="X1312" s="66"/>
      <c r="Y1312" s="15">
        <f t="shared" si="229"/>
        <v>24.85</v>
      </c>
      <c r="Z1312" s="3" t="e">
        <f t="shared" si="230"/>
        <v>#DIV/0!</v>
      </c>
      <c r="AA1312" s="340">
        <f>IFERROR(VLOOKUP($G1312,基本資料!$A:$M,11,0),"無")</f>
        <v>-19.190000000000001</v>
      </c>
      <c r="AB1312" s="389">
        <f>IFERROR(VLOOKUP($G1312,基本資料!$A:$M,12,0),"無")</f>
        <v>19.11</v>
      </c>
      <c r="AC1312" s="22" t="s">
        <v>671</v>
      </c>
      <c r="AF1312" s="33">
        <f t="shared" si="231"/>
        <v>0</v>
      </c>
      <c r="AG1312" s="43" t="s">
        <v>2811</v>
      </c>
      <c r="AH1312" s="66">
        <f t="shared" si="226"/>
        <v>0.23549746138057684</v>
      </c>
      <c r="AI1312" s="283">
        <f>RTD("money.excel",,$G1312,"PredictVolume")</f>
        <v>109</v>
      </c>
      <c r="AJ1312" s="391">
        <f>IFERROR(VLOOKUP($G1312,基本資料!$A:$M,13,0),"無")</f>
        <v>462.85</v>
      </c>
      <c r="AR1312" s="245" t="str">
        <f>INDEX(基本資料!N:N,MATCH($G1312,基本資料!A:A,0))</f>
        <v>低</v>
      </c>
    </row>
    <row r="1313" spans="1:44">
      <c r="A1313" s="343">
        <f>IFERROR(VLOOKUP($G1313,基本資料!$A:$J,3,0),"無")</f>
        <v>3.56</v>
      </c>
      <c r="B1313" s="79">
        <f>IFERROR(VLOOKUP($G1313,基本資料!$A:$J,4,0),"無")</f>
        <v>114</v>
      </c>
      <c r="C1313" s="79">
        <f>IFERROR(VLOOKUP($G1313,基本資料!$A:$J,5,0),"無")</f>
        <v>55</v>
      </c>
      <c r="D1313" s="79">
        <f>IFERROR(VLOOKUP($G1313,基本資料!$A:$J,6,0),"無")</f>
        <v>-99</v>
      </c>
      <c r="E1313" s="79">
        <f>IFERROR(VLOOKUP($G1313,基本資料!$A:$J,7,0),"無")</f>
        <v>-99</v>
      </c>
      <c r="F1313" s="6">
        <f>IFERROR(VLOOKUP($G1313,基本資料!$A:$J,8,0),"無")</f>
        <v>3.71</v>
      </c>
      <c r="G1313" s="79">
        <v>1516</v>
      </c>
      <c r="H1313" s="8" t="s">
        <v>1959</v>
      </c>
      <c r="I1313" s="22" t="s">
        <v>672</v>
      </c>
      <c r="J1313" s="8">
        <f>IFERROR(VLOOKUP($G1313,今日總結!$A:$AN,39,0),"")</f>
        <v>25</v>
      </c>
      <c r="K1313" s="5">
        <f>IFERROR(VLOOKUP($G1313,今日總結!$A:$AN,40,0),"")</f>
        <v>0</v>
      </c>
      <c r="L1313" s="156">
        <f>IFERROR(VLOOKUP($G1313,今日總結!$A:$AN,37,0),"")</f>
        <v>2</v>
      </c>
      <c r="M1313" s="337">
        <f>IFERROR(VLOOKUP($G1313,今日總結!$A:$AN,38,0),"")</f>
        <v>0</v>
      </c>
      <c r="N1313" s="240">
        <f t="shared" si="232"/>
        <v>2</v>
      </c>
      <c r="O1313" s="359">
        <f>IFERROR(VLOOKUP($G1313,融外自投!$A:$J,7,0),"無")</f>
        <v>306</v>
      </c>
      <c r="P1313" s="79">
        <f>IFERROR(VLOOKUP($G1313,融外自投!$A:$J,9,0),"無")</f>
        <v>240</v>
      </c>
      <c r="Q1313" s="342">
        <f>IFERROR(VLOOKUP($G1313,融外自投!$A:$J,8,0),"無")</f>
        <v>865</v>
      </c>
      <c r="R1313" s="81">
        <f>IFERROR(VLOOKUP($G1313,融外自投!$A:$J,10,0),"無")</f>
        <v>377</v>
      </c>
      <c r="S1313" s="324">
        <f>IFERROR(VLOOKUP($G1313,'321買'!$A:$E,4,0),"'沒有資料'")</f>
        <v>394</v>
      </c>
      <c r="T1313" s="186">
        <f>IFERROR(VLOOKUP($G1313,基本資料!$A:$J,9,0),"無")</f>
        <v>1.55</v>
      </c>
      <c r="U1313" s="307">
        <f t="shared" si="228"/>
        <v>6.4989517819706494E-2</v>
      </c>
      <c r="V1313" s="94">
        <f>IFERROR(VLOOKUP($G1313,基本資料!$A:$J,10,0),"無")</f>
        <v>1.72</v>
      </c>
      <c r="W1313" s="36">
        <f>RTD("money.excel",,"1516","Price")</f>
        <v>23.85</v>
      </c>
      <c r="X1313" s="66"/>
      <c r="Y1313" s="15">
        <f t="shared" si="229"/>
        <v>23.85</v>
      </c>
      <c r="Z1313" s="3" t="e">
        <f t="shared" si="230"/>
        <v>#DIV/0!</v>
      </c>
      <c r="AA1313" s="340">
        <f>IFERROR(VLOOKUP($G1313,基本資料!$A:$M,11,0),"無")</f>
        <v>-29.44</v>
      </c>
      <c r="AB1313" s="389">
        <f>IFERROR(VLOOKUP($G1313,基本資料!$A:$M,12,0),"無")</f>
        <v>19.71</v>
      </c>
      <c r="AC1313" s="22" t="s">
        <v>672</v>
      </c>
      <c r="AF1313" s="33">
        <f t="shared" si="231"/>
        <v>0</v>
      </c>
      <c r="AG1313" s="43" t="s">
        <v>2812</v>
      </c>
      <c r="AH1313" s="66">
        <f t="shared" si="226"/>
        <v>0.86690017513134854</v>
      </c>
      <c r="AI1313" s="283">
        <f>RTD("money.excel",,$G1313,"PredictVolume")</f>
        <v>693</v>
      </c>
      <c r="AJ1313" s="391">
        <f>IFERROR(VLOOKUP($G1313,基本資料!$A:$M,13,0),"無")</f>
        <v>799.4</v>
      </c>
      <c r="AR1313" s="245" t="str">
        <f>INDEX(基本資料!N:N,MATCH($G1313,基本資料!A:A,0))</f>
        <v>低</v>
      </c>
    </row>
    <row r="1314" spans="1:44">
      <c r="A1314" s="343">
        <f>IFERROR(VLOOKUP($G1314,基本資料!$A:$J,3,0),"無")</f>
        <v>12.24</v>
      </c>
      <c r="B1314" s="79">
        <f>IFERROR(VLOOKUP($G1314,基本資料!$A:$J,4,0),"無")</f>
        <v>62</v>
      </c>
      <c r="C1314" s="79">
        <f>IFERROR(VLOOKUP($G1314,基本資料!$A:$J,5,0),"無")</f>
        <v>230</v>
      </c>
      <c r="D1314" s="79">
        <f>IFERROR(VLOOKUP($G1314,基本資料!$A:$J,6,0),"無")</f>
        <v>0</v>
      </c>
      <c r="E1314" s="79">
        <f>IFERROR(VLOOKUP($G1314,基本資料!$A:$J,7,0),"無")</f>
        <v>78</v>
      </c>
      <c r="F1314" s="6">
        <f>IFERROR(VLOOKUP($G1314,基本資料!$A:$J,8,0),"無")</f>
        <v>1.26</v>
      </c>
      <c r="G1314" s="79">
        <v>1584</v>
      </c>
      <c r="H1314" s="8" t="s">
        <v>1959</v>
      </c>
      <c r="I1314" s="16" t="s">
        <v>637</v>
      </c>
      <c r="J1314" s="8">
        <f>IFERROR(VLOOKUP($G1314,今日總結!$A:$AN,39,0),"")</f>
        <v>0</v>
      </c>
      <c r="K1314" s="5">
        <f>IFERROR(VLOOKUP($G1314,今日總結!$A:$AN,40,0),"")</f>
        <v>0</v>
      </c>
      <c r="L1314" s="156">
        <f>IFERROR(VLOOKUP($G1314,今日總結!$A:$AN,37,0),"")</f>
        <v>0</v>
      </c>
      <c r="M1314" s="337">
        <f>IFERROR(VLOOKUP($G1314,今日總結!$A:$AN,38,0),"")</f>
        <v>0</v>
      </c>
      <c r="N1314" s="240">
        <f t="shared" si="232"/>
        <v>0</v>
      </c>
      <c r="O1314" s="359">
        <f>IFERROR(VLOOKUP($G1314,融外自投!$A:$J,7,0),"無")</f>
        <v>255</v>
      </c>
      <c r="P1314" s="79">
        <f>IFERROR(VLOOKUP($G1314,融外自投!$A:$J,9,0),"無")</f>
        <v>433</v>
      </c>
      <c r="Q1314" s="342">
        <f>IFERROR(VLOOKUP($G1314,融外自投!$A:$J,8,0),"無")</f>
        <v>1026</v>
      </c>
      <c r="R1314" s="81" t="str">
        <f>IFERROR(VLOOKUP($G1314,融外自投!$A:$J,10,0),"無")</f>
        <v>無</v>
      </c>
      <c r="S1314" s="324">
        <f>IFERROR(VLOOKUP($G1314,'321買'!$A:$E,4,0),"'沒有資料'")</f>
        <v>214</v>
      </c>
      <c r="T1314" s="186">
        <f>IFERROR(VLOOKUP($G1314,基本資料!$A:$J,9,0),"無")</f>
        <v>0.2</v>
      </c>
      <c r="U1314" s="307">
        <f t="shared" si="228"/>
        <v>8.4033613445378148E-3</v>
      </c>
      <c r="V1314" s="94">
        <f>IFERROR(VLOOKUP($G1314,基本資料!$A:$J,10,0),"無")</f>
        <v>0.46</v>
      </c>
      <c r="W1314" s="36">
        <f>RTD("money.excel",,"1584","Price")</f>
        <v>23.8</v>
      </c>
      <c r="X1314" s="66"/>
      <c r="Y1314" s="15">
        <f t="shared" si="229"/>
        <v>23.8</v>
      </c>
      <c r="Z1314" s="3" t="e">
        <f t="shared" si="230"/>
        <v>#DIV/0!</v>
      </c>
      <c r="AA1314" s="340">
        <f>IFERROR(VLOOKUP($G1314,基本資料!$A:$M,11,0),"無")</f>
        <v>-15</v>
      </c>
      <c r="AB1314" s="389">
        <f>IFERROR(VLOOKUP($G1314,基本資料!$A:$M,12,0),"無")</f>
        <v>65.05</v>
      </c>
      <c r="AC1314" s="16" t="s">
        <v>637</v>
      </c>
      <c r="AF1314" s="33">
        <f t="shared" si="231"/>
        <v>0</v>
      </c>
      <c r="AG1314" s="43" t="s">
        <v>2458</v>
      </c>
      <c r="AH1314" s="66">
        <f t="shared" si="226"/>
        <v>0.39106376438038709</v>
      </c>
      <c r="AI1314" s="283">
        <f>RTD("money.excel",,$G1314,"PredictVolume")</f>
        <v>6615</v>
      </c>
      <c r="AJ1314" s="391">
        <f>IFERROR(VLOOKUP($G1314,基本資料!$A:$M,13,0),"無")</f>
        <v>16915.400000000001</v>
      </c>
      <c r="AR1314" s="245" t="str">
        <f>INDEX(基本資料!N:N,MATCH($G1314,基本資料!A:A,0))</f>
        <v>高</v>
      </c>
    </row>
    <row r="1315" spans="1:44">
      <c r="A1315" s="343">
        <f>IFERROR(VLOOKUP($G1315,基本資料!$A:$J,3,0),"無")</f>
        <v>19.989999999999998</v>
      </c>
      <c r="B1315" s="79">
        <f>IFERROR(VLOOKUP($G1315,基本資料!$A:$J,4,0),"無")</f>
        <v>662</v>
      </c>
      <c r="C1315" s="79">
        <f>IFERROR(VLOOKUP($G1315,基本資料!$A:$J,5,0),"無")</f>
        <v>5365</v>
      </c>
      <c r="D1315" s="79">
        <f>IFERROR(VLOOKUP($G1315,基本資料!$A:$J,6,0),"無")</f>
        <v>-13</v>
      </c>
      <c r="E1315" s="79">
        <f>IFERROR(VLOOKUP($G1315,基本資料!$A:$J,7,0),"無")</f>
        <v>3</v>
      </c>
      <c r="F1315" s="6">
        <f>IFERROR(VLOOKUP($G1315,基本資料!$A:$J,8,0),"無")</f>
        <v>5.81</v>
      </c>
      <c r="G1315" s="79">
        <v>2062</v>
      </c>
      <c r="H1315" s="8" t="s">
        <v>1959</v>
      </c>
      <c r="I1315" s="22" t="s">
        <v>673</v>
      </c>
      <c r="J1315" s="8">
        <f>IFERROR(VLOOKUP($G1315,今日總結!$A:$AN,39,0),"")</f>
        <v>0</v>
      </c>
      <c r="K1315" s="5">
        <f>IFERROR(VLOOKUP($G1315,今日總結!$A:$AN,40,0),"")</f>
        <v>0</v>
      </c>
      <c r="L1315" s="156">
        <f>IFERROR(VLOOKUP($G1315,今日總結!$A:$AN,37,0),"")</f>
        <v>0</v>
      </c>
      <c r="M1315" s="337">
        <f>IFERROR(VLOOKUP($G1315,今日總結!$A:$AN,38,0),"")</f>
        <v>0</v>
      </c>
      <c r="N1315" s="240">
        <f t="shared" si="232"/>
        <v>0</v>
      </c>
      <c r="O1315" s="359">
        <f>IFERROR(VLOOKUP($G1315,融外自投!$A:$J,7,0),"無")</f>
        <v>751</v>
      </c>
      <c r="P1315" s="79">
        <f>IFERROR(VLOOKUP($G1315,融外自投!$A:$J,9,0),"無")</f>
        <v>501</v>
      </c>
      <c r="Q1315" s="342">
        <f>IFERROR(VLOOKUP($G1315,融外自投!$A:$J,8,0),"無")</f>
        <v>530</v>
      </c>
      <c r="R1315" s="81">
        <f>IFERROR(VLOOKUP($G1315,融外自投!$A:$J,10,0),"無")</f>
        <v>265</v>
      </c>
      <c r="S1315" s="324">
        <f>IFERROR(VLOOKUP($G1315,'321買'!$A:$E,4,0),"'沒有資料'")</f>
        <v>891</v>
      </c>
      <c r="T1315" s="186">
        <f>IFERROR(VLOOKUP($G1315,基本資料!$A:$J,9,0),"無")</f>
        <v>0.5</v>
      </c>
      <c r="U1315" s="307">
        <f t="shared" si="228"/>
        <v>1.984126984126984E-2</v>
      </c>
      <c r="V1315" s="94">
        <f>IFERROR(VLOOKUP($G1315,基本資料!$A:$J,10,0),"無")</f>
        <v>2.48</v>
      </c>
      <c r="W1315" s="36">
        <f>RTD("money.excel",,"2062","Price")</f>
        <v>25.2</v>
      </c>
      <c r="X1315" s="66"/>
      <c r="Y1315" s="15">
        <f t="shared" si="229"/>
        <v>25.2</v>
      </c>
      <c r="Z1315" s="3" t="e">
        <f t="shared" si="230"/>
        <v>#DIV/0!</v>
      </c>
      <c r="AA1315" s="340">
        <f>IFERROR(VLOOKUP($G1315,基本資料!$A:$M,11,0),"無")</f>
        <v>-29.41</v>
      </c>
      <c r="AB1315" s="389">
        <f>IFERROR(VLOOKUP($G1315,基本資料!$A:$M,12,0),"無")</f>
        <v>19.260000000000002</v>
      </c>
      <c r="AC1315" s="22" t="s">
        <v>673</v>
      </c>
      <c r="AF1315" s="33">
        <f t="shared" si="231"/>
        <v>0</v>
      </c>
      <c r="AG1315" s="43" t="s">
        <v>2813</v>
      </c>
      <c r="AH1315" s="66">
        <f t="shared" si="226"/>
        <v>1.2592436087048384</v>
      </c>
      <c r="AI1315" s="283">
        <f>RTD("money.excel",,$G1315,"PredictVolume")</f>
        <v>298</v>
      </c>
      <c r="AJ1315" s="391">
        <f>IFERROR(VLOOKUP($G1315,基本資料!$A:$M,13,0),"無")</f>
        <v>236.65</v>
      </c>
      <c r="AR1315" s="245" t="str">
        <f>INDEX(基本資料!N:N,MATCH($G1315,基本資料!A:A,0))</f>
        <v>低</v>
      </c>
    </row>
    <row r="1316" spans="1:44">
      <c r="A1316" s="343">
        <f>IFERROR(VLOOKUP($G1316,基本資料!$A:$J,3,0),"無")</f>
        <v>4.2300000000000004</v>
      </c>
      <c r="B1316" s="79">
        <f>IFERROR(VLOOKUP($G1316,基本資料!$A:$J,4,0),"無")</f>
        <v>172</v>
      </c>
      <c r="C1316" s="79">
        <f>IFERROR(VLOOKUP($G1316,基本資料!$A:$J,5,0),"無")</f>
        <v>162</v>
      </c>
      <c r="D1316" s="79">
        <f>IFERROR(VLOOKUP($G1316,基本資料!$A:$J,6,0),"無")</f>
        <v>4</v>
      </c>
      <c r="E1316" s="79">
        <f>IFERROR(VLOOKUP($G1316,基本資料!$A:$J,7,0),"無")</f>
        <v>14</v>
      </c>
      <c r="F1316" s="6">
        <f>IFERROR(VLOOKUP($G1316,基本資料!$A:$J,8,0),"無")</f>
        <v>15.11</v>
      </c>
      <c r="G1316" s="79">
        <v>2221</v>
      </c>
      <c r="H1316" s="8" t="s">
        <v>1959</v>
      </c>
      <c r="I1316" s="16" t="s">
        <v>527</v>
      </c>
      <c r="J1316" s="8">
        <f>IFERROR(VLOOKUP($G1316,今日總結!$A:$AN,39,0),"")</f>
        <v>0</v>
      </c>
      <c r="K1316" s="5">
        <f>IFERROR(VLOOKUP($G1316,今日總結!$A:$AN,40,0),"")</f>
        <v>0</v>
      </c>
      <c r="L1316" s="156">
        <f>IFERROR(VLOOKUP($G1316,今日總結!$A:$AN,37,0),"")</f>
        <v>0</v>
      </c>
      <c r="M1316" s="337">
        <f>IFERROR(VLOOKUP($G1316,今日總結!$A:$AN,38,0),"")</f>
        <v>0</v>
      </c>
      <c r="N1316" s="240">
        <f t="shared" si="232"/>
        <v>0</v>
      </c>
      <c r="O1316" s="359">
        <f>IFERROR(VLOOKUP($G1316,融外自投!$A:$J,7,0),"無")</f>
        <v>720</v>
      </c>
      <c r="P1316" s="79">
        <f>IFERROR(VLOOKUP($G1316,融外自投!$A:$J,9,0),"無")</f>
        <v>908</v>
      </c>
      <c r="Q1316" s="342">
        <f>IFERROR(VLOOKUP($G1316,融外自投!$A:$J,8,0),"無")</f>
        <v>784</v>
      </c>
      <c r="R1316" s="81" t="str">
        <f>IFERROR(VLOOKUP($G1316,融外自投!$A:$J,10,0),"無")</f>
        <v>無</v>
      </c>
      <c r="S1316" s="324">
        <f>IFERROR(VLOOKUP($G1316,'321買'!$A:$E,4,0),"'沒有資料'")</f>
        <v>272</v>
      </c>
      <c r="T1316" s="186">
        <f>IFERROR(VLOOKUP($G1316,基本資料!$A:$J,9,0),"無")</f>
        <v>3</v>
      </c>
      <c r="U1316" s="307">
        <f t="shared" si="228"/>
        <v>7.8947368421052627E-2</v>
      </c>
      <c r="V1316" s="94">
        <f>IFERROR(VLOOKUP($G1316,基本資料!$A:$J,10,0),"無")</f>
        <v>4.2699999999999996</v>
      </c>
      <c r="W1316" s="36">
        <f>RTD("money.excel",,"2221","Price")</f>
        <v>38</v>
      </c>
      <c r="X1316" s="66"/>
      <c r="Y1316" s="15">
        <f t="shared" si="229"/>
        <v>38</v>
      </c>
      <c r="Z1316" s="3" t="e">
        <f t="shared" si="230"/>
        <v>#DIV/0!</v>
      </c>
      <c r="AA1316" s="340">
        <f>IFERROR(VLOOKUP($G1316,基本資料!$A:$M,11,0),"無")</f>
        <v>-23.23</v>
      </c>
      <c r="AB1316" s="389">
        <f>IFERROR(VLOOKUP($G1316,基本資料!$A:$M,12,0),"無")</f>
        <v>43.49</v>
      </c>
      <c r="AC1316" s="16" t="s">
        <v>527</v>
      </c>
      <c r="AF1316" s="33">
        <f t="shared" si="231"/>
        <v>0</v>
      </c>
      <c r="AG1316" s="43" t="s">
        <v>2457</v>
      </c>
      <c r="AH1316" s="66">
        <f t="shared" si="226"/>
        <v>0.215681504905538</v>
      </c>
      <c r="AI1316" s="283">
        <f>RTD("money.excel",,$G1316,"PredictVolume")</f>
        <v>133</v>
      </c>
      <c r="AJ1316" s="391">
        <f>IFERROR(VLOOKUP($G1316,基本資料!$A:$M,13,0),"無")</f>
        <v>616.65</v>
      </c>
      <c r="AR1316" s="245" t="str">
        <f>INDEX(基本資料!N:N,MATCH($G1316,基本資料!A:A,0))</f>
        <v>中</v>
      </c>
    </row>
    <row r="1317" spans="1:44">
      <c r="A1317" s="343">
        <f>IFERROR(VLOOKUP($G1317,基本資料!$A:$J,3,0),"無")</f>
        <v>10.64</v>
      </c>
      <c r="B1317" s="79">
        <f>IFERROR(VLOOKUP($G1317,基本資料!$A:$J,4,0),"無")</f>
        <v>22</v>
      </c>
      <c r="C1317" s="79">
        <f>IFERROR(VLOOKUP($G1317,基本資料!$A:$J,5,0),"無")</f>
        <v>47</v>
      </c>
      <c r="D1317" s="79">
        <f>IFERROR(VLOOKUP($G1317,基本資料!$A:$J,6,0),"無")</f>
        <v>1</v>
      </c>
      <c r="E1317" s="79">
        <f>IFERROR(VLOOKUP($G1317,基本資料!$A:$J,7,0),"無")</f>
        <v>16</v>
      </c>
      <c r="F1317" s="6">
        <f>IFERROR(VLOOKUP($G1317,基本資料!$A:$J,8,0),"無")</f>
        <v>38.020000000000003</v>
      </c>
      <c r="G1317" s="79">
        <v>2348</v>
      </c>
      <c r="H1317" s="8" t="s">
        <v>1959</v>
      </c>
      <c r="I1317" s="22" t="s">
        <v>674</v>
      </c>
      <c r="J1317" s="8">
        <f>IFERROR(VLOOKUP($G1317,今日總結!$A:$AN,39,0),"")</f>
        <v>0</v>
      </c>
      <c r="K1317" s="5">
        <f>IFERROR(VLOOKUP($G1317,今日總結!$A:$AN,40,0),"")</f>
        <v>0</v>
      </c>
      <c r="L1317" s="156">
        <f>IFERROR(VLOOKUP($G1317,今日總結!$A:$AN,37,0),"")</f>
        <v>0</v>
      </c>
      <c r="M1317" s="337">
        <f>IFERROR(VLOOKUP($G1317,今日總結!$A:$AN,38,0),"")</f>
        <v>0</v>
      </c>
      <c r="N1317" s="240">
        <f t="shared" si="232"/>
        <v>0</v>
      </c>
      <c r="O1317" s="359">
        <f>IFERROR(VLOOKUP($G1317,融外自投!$A:$J,7,0),"無")</f>
        <v>822</v>
      </c>
      <c r="P1317" s="79">
        <f>IFERROR(VLOOKUP($G1317,融外自投!$A:$J,9,0),"無")</f>
        <v>1051</v>
      </c>
      <c r="Q1317" s="342">
        <f>IFERROR(VLOOKUP($G1317,融外自投!$A:$J,8,0),"無")</f>
        <v>1172</v>
      </c>
      <c r="R1317" s="81" t="str">
        <f>IFERROR(VLOOKUP($G1317,融外自投!$A:$J,10,0),"無")</f>
        <v>無</v>
      </c>
      <c r="S1317" s="324">
        <f>IFERROR(VLOOKUP($G1317,'321買'!$A:$E,4,0),"'沒有資料'")</f>
        <v>1002</v>
      </c>
      <c r="T1317" s="186">
        <f>IFERROR(VLOOKUP($G1317,基本資料!$A:$J,9,0),"無")</f>
        <v>8</v>
      </c>
      <c r="U1317" s="307">
        <f t="shared" si="228"/>
        <v>8.6956521739130432E-2</v>
      </c>
      <c r="V1317" s="94">
        <f>IFERROR(VLOOKUP($G1317,基本資料!$A:$J,10,0),"無")</f>
        <v>15.58</v>
      </c>
      <c r="W1317" s="36">
        <f>RTD("money.excel",,"2348","Price")</f>
        <v>92</v>
      </c>
      <c r="X1317" s="66"/>
      <c r="Y1317" s="15">
        <f t="shared" si="229"/>
        <v>92</v>
      </c>
      <c r="Z1317" s="3" t="e">
        <f t="shared" si="230"/>
        <v>#DIV/0!</v>
      </c>
      <c r="AA1317" s="340">
        <f>IFERROR(VLOOKUP($G1317,基本資料!$A:$M,11,0),"無")</f>
        <v>-23.01</v>
      </c>
      <c r="AB1317" s="389">
        <f>IFERROR(VLOOKUP($G1317,基本資料!$A:$M,12,0),"無")</f>
        <v>7.13</v>
      </c>
      <c r="AC1317" s="22" t="s">
        <v>674</v>
      </c>
      <c r="AF1317" s="33">
        <f t="shared" si="231"/>
        <v>0</v>
      </c>
      <c r="AG1317" s="43" t="s">
        <v>2388</v>
      </c>
      <c r="AH1317" s="66">
        <f t="shared" si="226"/>
        <v>0.84867894315452364</v>
      </c>
      <c r="AI1317" s="283">
        <f>RTD("money.excel",,$G1317,"PredictVolume")</f>
        <v>106</v>
      </c>
      <c r="AJ1317" s="391">
        <f>IFERROR(VLOOKUP($G1317,基本資料!$A:$M,13,0),"無")</f>
        <v>124.9</v>
      </c>
      <c r="AR1317" s="245" t="str">
        <f>INDEX(基本資料!N:N,MATCH($G1317,基本資料!A:A,0))</f>
        <v>低</v>
      </c>
    </row>
    <row r="1318" spans="1:44">
      <c r="A1318" s="343">
        <f>IFERROR(VLOOKUP($G1318,基本資料!$A:$J,3,0),"無")</f>
        <v>12.46</v>
      </c>
      <c r="B1318" s="79">
        <f>IFERROR(VLOOKUP($G1318,基本資料!$A:$J,4,0),"無")</f>
        <v>1282</v>
      </c>
      <c r="C1318" s="79">
        <f>IFERROR(VLOOKUP($G1318,基本資料!$A:$J,5,0),"無")</f>
        <v>255</v>
      </c>
      <c r="D1318" s="79">
        <f>IFERROR(VLOOKUP($G1318,基本資料!$A:$J,6,0),"無")</f>
        <v>0</v>
      </c>
      <c r="E1318" s="79">
        <f>IFERROR(VLOOKUP($G1318,基本資料!$A:$J,7,0),"無")</f>
        <v>32</v>
      </c>
      <c r="F1318" s="6">
        <f>IFERROR(VLOOKUP($G1318,基本資料!$A:$J,8,0),"無")</f>
        <v>8.4</v>
      </c>
      <c r="G1318" s="79">
        <v>2358</v>
      </c>
      <c r="H1318" s="8" t="s">
        <v>1959</v>
      </c>
      <c r="I1318" s="22" t="s">
        <v>675</v>
      </c>
      <c r="J1318" s="8">
        <f>IFERROR(VLOOKUP($G1318,今日總結!$A:$AN,39,0),"")</f>
        <v>0</v>
      </c>
      <c r="K1318" s="5" t="str">
        <f>IFERROR(VLOOKUP($G1318,今日總結!$A:$AN,40,0),"")</f>
        <v>借</v>
      </c>
      <c r="L1318" s="156">
        <f>IFERROR(VLOOKUP($G1318,今日總結!$A:$AN,37,0),"")</f>
        <v>0</v>
      </c>
      <c r="M1318" s="337">
        <f>IFERROR(VLOOKUP($G1318,今日總結!$A:$AN,38,0),"")</f>
        <v>4</v>
      </c>
      <c r="N1318" s="240">
        <f t="shared" si="232"/>
        <v>-4</v>
      </c>
      <c r="O1318" s="359">
        <f>IFERROR(VLOOKUP($G1318,融外自投!$A:$J,7,0),"無")</f>
        <v>62</v>
      </c>
      <c r="P1318" s="79">
        <f>IFERROR(VLOOKUP($G1318,融外自投!$A:$J,9,0),"無")</f>
        <v>1051</v>
      </c>
      <c r="Q1318" s="342">
        <f>IFERROR(VLOOKUP($G1318,融外自投!$A:$J,8,0),"無")</f>
        <v>1011</v>
      </c>
      <c r="R1318" s="81" t="str">
        <f>IFERROR(VLOOKUP($G1318,融外自投!$A:$J,10,0),"無")</f>
        <v>無</v>
      </c>
      <c r="S1318" s="324">
        <f>IFERROR(VLOOKUP($G1318,'321買'!$A:$E,4,0),"'沒有資料'")</f>
        <v>68</v>
      </c>
      <c r="T1318" s="186">
        <f>IFERROR(VLOOKUP($G1318,基本資料!$A:$J,9,0),"無")</f>
        <v>0.3</v>
      </c>
      <c r="U1318" s="307">
        <f t="shared" si="228"/>
        <v>1.6304347826086956E-2</v>
      </c>
      <c r="V1318" s="94">
        <f>IFERROR(VLOOKUP($G1318,基本資料!$A:$J,10,0),"無")</f>
        <v>1.29</v>
      </c>
      <c r="W1318" s="36">
        <f>RTD("money.excel",,"2358","Price")</f>
        <v>18.399999999999999</v>
      </c>
      <c r="X1318" s="66"/>
      <c r="Y1318" s="15">
        <f t="shared" si="229"/>
        <v>18.399999999999999</v>
      </c>
      <c r="Z1318" s="3" t="e">
        <f t="shared" si="230"/>
        <v>#DIV/0!</v>
      </c>
      <c r="AA1318" s="340">
        <f>IFERROR(VLOOKUP($G1318,基本資料!$A:$M,11,0),"無")</f>
        <v>-38.36</v>
      </c>
      <c r="AB1318" s="389">
        <f>IFERROR(VLOOKUP($G1318,基本資料!$A:$M,12,0),"無")</f>
        <v>9.34</v>
      </c>
      <c r="AC1318" s="22" t="s">
        <v>675</v>
      </c>
      <c r="AF1318" s="33">
        <f t="shared" si="231"/>
        <v>0</v>
      </c>
      <c r="AG1318" s="43" t="s">
        <v>2814</v>
      </c>
      <c r="AH1318" s="66">
        <f t="shared" si="226"/>
        <v>0.57447681575707843</v>
      </c>
      <c r="AI1318" s="283">
        <f>RTD("money.excel",,$G1318,"PredictVolume")</f>
        <v>560</v>
      </c>
      <c r="AJ1318" s="391">
        <f>IFERROR(VLOOKUP($G1318,基本資料!$A:$M,13,0),"無")</f>
        <v>974.8</v>
      </c>
      <c r="AR1318" s="245" t="str">
        <f>INDEX(基本資料!N:N,MATCH($G1318,基本資料!A:A,0))</f>
        <v>低</v>
      </c>
    </row>
    <row r="1319" spans="1:44">
      <c r="A1319" s="343">
        <f>IFERROR(VLOOKUP($G1319,基本資料!$A:$J,3,0),"無")</f>
        <v>14.56</v>
      </c>
      <c r="B1319" s="79">
        <f>IFERROR(VLOOKUP($G1319,基本資料!$A:$J,4,0),"無")</f>
        <v>75</v>
      </c>
      <c r="C1319" s="79">
        <f>IFERROR(VLOOKUP($G1319,基本資料!$A:$J,5,0),"無")</f>
        <v>70</v>
      </c>
      <c r="D1319" s="79">
        <f>IFERROR(VLOOKUP($G1319,基本資料!$A:$J,6,0),"無")</f>
        <v>-34</v>
      </c>
      <c r="E1319" s="79">
        <f>IFERROR(VLOOKUP($G1319,基本資料!$A:$J,7,0),"無")</f>
        <v>-80</v>
      </c>
      <c r="F1319" s="6">
        <f>IFERROR(VLOOKUP($G1319,基本資料!$A:$J,8,0),"無")</f>
        <v>-61.07</v>
      </c>
      <c r="G1319" s="79">
        <v>2443</v>
      </c>
      <c r="H1319" s="8" t="s">
        <v>1959</v>
      </c>
      <c r="I1319" s="22" t="s">
        <v>3210</v>
      </c>
      <c r="J1319" s="8" t="str">
        <f>IFERROR(VLOOKUP($G1319,今日總結!$A:$AN,39,0),"")</f>
        <v/>
      </c>
      <c r="K1319" s="5" t="str">
        <f>IFERROR(VLOOKUP($G1319,今日總結!$A:$AN,40,0),"")</f>
        <v/>
      </c>
      <c r="L1319" s="156" t="str">
        <f>IFERROR(VLOOKUP($G1319,今日總結!$A:$AN,37,0),"")</f>
        <v/>
      </c>
      <c r="M1319" s="337" t="str">
        <f>IFERROR(VLOOKUP($G1319,今日總結!$A:$AN,38,0),"")</f>
        <v/>
      </c>
      <c r="N1319" s="240" t="str">
        <f t="shared" si="232"/>
        <v/>
      </c>
      <c r="O1319" s="359" t="str">
        <f>IFERROR(VLOOKUP($G1319,融外自投!$A:$J,7,0),"無")</f>
        <v>無</v>
      </c>
      <c r="P1319" s="79" t="str">
        <f>IFERROR(VLOOKUP($G1319,融外自投!$A:$J,9,0),"無")</f>
        <v>無</v>
      </c>
      <c r="Q1319" s="342" t="str">
        <f>IFERROR(VLOOKUP($G1319,融外自投!$A:$J,8,0),"無")</f>
        <v>無</v>
      </c>
      <c r="R1319" s="81" t="str">
        <f>IFERROR(VLOOKUP($G1319,融外自投!$A:$J,10,0),"無")</f>
        <v>無</v>
      </c>
      <c r="S1319" s="324" t="str">
        <f>IFERROR(VLOOKUP($G1319,'321買'!$A:$E,4,0),"'沒有資料'")</f>
        <v>'沒有資料'</v>
      </c>
      <c r="T1319" s="186">
        <f>IFERROR(VLOOKUP($G1319,基本資料!$A:$J,9,0),"無")</f>
        <v>0</v>
      </c>
      <c r="U1319" s="307">
        <f t="shared" si="228"/>
        <v>0</v>
      </c>
      <c r="V1319" s="94">
        <f>IFERROR(VLOOKUP($G1319,基本資料!$A:$J,10,0),"無")</f>
        <v>-0.73</v>
      </c>
      <c r="W1319" s="36">
        <f>RTD("money.excel",,"2443","Price")</f>
        <v>3.38</v>
      </c>
      <c r="X1319" s="66"/>
      <c r="Y1319" s="15">
        <f t="shared" si="229"/>
        <v>3.38</v>
      </c>
      <c r="Z1319" s="3" t="e">
        <f t="shared" si="230"/>
        <v>#DIV/0!</v>
      </c>
      <c r="AA1319" s="340">
        <f>IFERROR(VLOOKUP($G1319,基本資料!$A:$M,11,0),"無")</f>
        <v>-32.130000000000003</v>
      </c>
      <c r="AB1319" s="389">
        <f>IFERROR(VLOOKUP($G1319,基本資料!$A:$M,12,0),"無")</f>
        <v>33.75</v>
      </c>
      <c r="AC1319" s="22" t="s">
        <v>3210</v>
      </c>
      <c r="AF1319" s="33">
        <f t="shared" si="231"/>
        <v>0</v>
      </c>
      <c r="AG1319" s="43" t="s">
        <v>2815</v>
      </c>
      <c r="AH1319" s="66">
        <f t="shared" si="226"/>
        <v>0.18482490272373542</v>
      </c>
      <c r="AI1319" s="283">
        <f>RTD("money.excel",,$G1319,"PredictVolume")</f>
        <v>19</v>
      </c>
      <c r="AJ1319" s="391">
        <f>IFERROR(VLOOKUP($G1319,基本資料!$A:$M,13,0),"無")</f>
        <v>102.8</v>
      </c>
      <c r="AR1319" s="245" t="str">
        <f>INDEX(基本資料!N:N,MATCH($G1319,基本資料!A:A,0))</f>
        <v>中</v>
      </c>
    </row>
    <row r="1320" spans="1:44">
      <c r="A1320" s="343">
        <f>IFERROR(VLOOKUP($G1320,基本資料!$A:$J,3,0),"無")</f>
        <v>1.91</v>
      </c>
      <c r="B1320" s="79">
        <f>IFERROR(VLOOKUP($G1320,基本資料!$A:$J,4,0),"無")</f>
        <v>-10</v>
      </c>
      <c r="C1320" s="79">
        <f>IFERROR(VLOOKUP($G1320,基本資料!$A:$J,5,0),"無")</f>
        <v>7</v>
      </c>
      <c r="D1320" s="79">
        <f>IFERROR(VLOOKUP($G1320,基本資料!$A:$J,6,0),"無")</f>
        <v>-1</v>
      </c>
      <c r="E1320" s="79">
        <f>IFERROR(VLOOKUP($G1320,基本資料!$A:$J,7,0),"無")</f>
        <v>0</v>
      </c>
      <c r="F1320" s="6">
        <f>IFERROR(VLOOKUP($G1320,基本資料!$A:$J,8,0),"無")</f>
        <v>11.66</v>
      </c>
      <c r="G1320" s="79">
        <v>2496</v>
      </c>
      <c r="H1320" s="8" t="s">
        <v>1959</v>
      </c>
      <c r="I1320" s="22" t="s">
        <v>522</v>
      </c>
      <c r="J1320" s="8">
        <f>IFERROR(VLOOKUP($G1320,今日總結!$A:$AN,39,0),"")</f>
        <v>0</v>
      </c>
      <c r="K1320" s="5">
        <f>IFERROR(VLOOKUP($G1320,今日總結!$A:$AN,40,0),"")</f>
        <v>0</v>
      </c>
      <c r="L1320" s="156">
        <f>IFERROR(VLOOKUP($G1320,今日總結!$A:$AN,37,0),"")</f>
        <v>0</v>
      </c>
      <c r="M1320" s="337">
        <f>IFERROR(VLOOKUP($G1320,今日總結!$A:$AN,38,0),"")</f>
        <v>0</v>
      </c>
      <c r="N1320" s="240">
        <f t="shared" si="232"/>
        <v>0</v>
      </c>
      <c r="O1320" s="359">
        <f>IFERROR(VLOOKUP($G1320,融外自投!$A:$J,7,0),"無")</f>
        <v>1005</v>
      </c>
      <c r="P1320" s="79">
        <f>IFERROR(VLOOKUP($G1320,融外自投!$A:$J,9,0),"無")</f>
        <v>990</v>
      </c>
      <c r="Q1320" s="342">
        <f>IFERROR(VLOOKUP($G1320,融外自投!$A:$J,8,0),"無")</f>
        <v>171</v>
      </c>
      <c r="R1320" s="81" t="str">
        <f>IFERROR(VLOOKUP($G1320,融外自投!$A:$J,10,0),"無")</f>
        <v>無</v>
      </c>
      <c r="S1320" s="324">
        <f>IFERROR(VLOOKUP($G1320,'321買'!$A:$E,4,0),"'沒有資料'")</f>
        <v>1002</v>
      </c>
      <c r="T1320" s="186">
        <f>IFERROR(VLOOKUP($G1320,基本資料!$A:$J,9,0),"無")</f>
        <v>3</v>
      </c>
      <c r="U1320" s="307">
        <f t="shared" si="228"/>
        <v>6.25E-2</v>
      </c>
      <c r="V1320" s="94">
        <f>IFERROR(VLOOKUP($G1320,基本資料!$A:$J,10,0),"無")</f>
        <v>3.02</v>
      </c>
      <c r="W1320" s="36">
        <f>RTD("money.excel",,"2496","Price")</f>
        <v>48</v>
      </c>
      <c r="X1320" s="66"/>
      <c r="Y1320" s="15">
        <f t="shared" si="229"/>
        <v>48</v>
      </c>
      <c r="Z1320" s="3" t="e">
        <f t="shared" si="230"/>
        <v>#DIV/0!</v>
      </c>
      <c r="AA1320" s="340">
        <f>IFERROR(VLOOKUP($G1320,基本資料!$A:$M,11,0),"無")</f>
        <v>-18.510000000000002</v>
      </c>
      <c r="AB1320" s="389">
        <f>IFERROR(VLOOKUP($G1320,基本資料!$A:$M,12,0),"無")</f>
        <v>28.61</v>
      </c>
      <c r="AC1320" s="22" t="s">
        <v>522</v>
      </c>
      <c r="AF1320" s="33">
        <f t="shared" si="231"/>
        <v>0</v>
      </c>
      <c r="AG1320" s="43" t="s">
        <v>2816</v>
      </c>
      <c r="AH1320" s="66">
        <f t="shared" si="226"/>
        <v>0.58252427184466016</v>
      </c>
      <c r="AI1320" s="283">
        <f>RTD("money.excel",,$G1320,"PredictVolume")</f>
        <v>6</v>
      </c>
      <c r="AJ1320" s="391">
        <f>IFERROR(VLOOKUP($G1320,基本資料!$A:$M,13,0),"無")</f>
        <v>10.3</v>
      </c>
      <c r="AR1320" s="245" t="str">
        <f>INDEX(基本資料!N:N,MATCH($G1320,基本資料!A:A,0))</f>
        <v>低</v>
      </c>
    </row>
    <row r="1321" spans="1:44">
      <c r="A1321" s="343">
        <f>IFERROR(VLOOKUP($G1321,基本資料!$A:$J,3,0),"無")</f>
        <v>39.47</v>
      </c>
      <c r="B1321" s="79">
        <f>IFERROR(VLOOKUP($G1321,基本資料!$A:$J,4,0),"無")</f>
        <v>-19</v>
      </c>
      <c r="C1321" s="79">
        <f>IFERROR(VLOOKUP($G1321,基本資料!$A:$J,5,0),"無")</f>
        <v>-3</v>
      </c>
      <c r="D1321" s="79">
        <f>IFERROR(VLOOKUP($G1321,基本資料!$A:$J,6,0),"無")</f>
        <v>-1</v>
      </c>
      <c r="E1321" s="79">
        <f>IFERROR(VLOOKUP($G1321,基本資料!$A:$J,7,0),"無")</f>
        <v>14</v>
      </c>
      <c r="F1321" s="6">
        <f>IFERROR(VLOOKUP($G1321,基本資料!$A:$J,8,0),"無")</f>
        <v>2.85</v>
      </c>
      <c r="G1321" s="79">
        <v>2514</v>
      </c>
      <c r="H1321" s="8" t="s">
        <v>1959</v>
      </c>
      <c r="I1321" s="22" t="s">
        <v>676</v>
      </c>
      <c r="J1321" s="8">
        <f>IFERROR(VLOOKUP($G1321,今日總結!$A:$AN,39,0),"")</f>
        <v>0</v>
      </c>
      <c r="K1321" s="5">
        <f>IFERROR(VLOOKUP($G1321,今日總結!$A:$AN,40,0),"")</f>
        <v>0</v>
      </c>
      <c r="L1321" s="156">
        <f>IFERROR(VLOOKUP($G1321,今日總結!$A:$AN,37,0),"")</f>
        <v>0</v>
      </c>
      <c r="M1321" s="337">
        <f>IFERROR(VLOOKUP($G1321,今日總結!$A:$AN,38,0),"")</f>
        <v>0</v>
      </c>
      <c r="N1321" s="240">
        <f t="shared" si="232"/>
        <v>0</v>
      </c>
      <c r="O1321" s="359">
        <f>IFERROR(VLOOKUP($G1321,融外自投!$A:$J,7,0),"無")</f>
        <v>989</v>
      </c>
      <c r="P1321" s="79">
        <f>IFERROR(VLOOKUP($G1321,融外自投!$A:$J,9,0),"無")</f>
        <v>144</v>
      </c>
      <c r="Q1321" s="342">
        <f>IFERROR(VLOOKUP($G1321,融外自投!$A:$J,8,0),"無")</f>
        <v>1130</v>
      </c>
      <c r="R1321" s="81" t="str">
        <f>IFERROR(VLOOKUP($G1321,融外自投!$A:$J,10,0),"無")</f>
        <v>無</v>
      </c>
      <c r="S1321" s="324">
        <f>IFERROR(VLOOKUP($G1321,'321買'!$A:$E,4,0),"'沒有資料'")</f>
        <v>1002</v>
      </c>
      <c r="T1321" s="186">
        <f>IFERROR(VLOOKUP($G1321,基本資料!$A:$J,9,0),"無")</f>
        <v>0</v>
      </c>
      <c r="U1321" s="307">
        <f t="shared" si="228"/>
        <v>0</v>
      </c>
      <c r="V1321" s="94">
        <f>IFERROR(VLOOKUP($G1321,基本資料!$A:$J,10,0),"無")</f>
        <v>2.4500000000000002</v>
      </c>
      <c r="W1321" s="36">
        <f>RTD("money.excel",,"2514","Price")</f>
        <v>16.7</v>
      </c>
      <c r="X1321" s="66"/>
      <c r="Y1321" s="15">
        <f t="shared" si="229"/>
        <v>16.7</v>
      </c>
      <c r="Z1321" s="3" t="e">
        <f t="shared" si="230"/>
        <v>#DIV/0!</v>
      </c>
      <c r="AA1321" s="340">
        <f>IFERROR(VLOOKUP($G1321,基本資料!$A:$M,11,0),"無")</f>
        <v>-14.14</v>
      </c>
      <c r="AB1321" s="389">
        <f>IFERROR(VLOOKUP($G1321,基本資料!$A:$M,12,0),"無")</f>
        <v>20.420000000000002</v>
      </c>
      <c r="AC1321" s="22" t="s">
        <v>676</v>
      </c>
      <c r="AF1321" s="33">
        <f t="shared" si="231"/>
        <v>0</v>
      </c>
      <c r="AG1321" s="43" t="s">
        <v>4002</v>
      </c>
      <c r="AH1321" s="66">
        <f t="shared" si="226"/>
        <v>1.4277286135693215</v>
      </c>
      <c r="AI1321" s="283">
        <f>RTD("money.excel",,$G1321,"PredictVolume")</f>
        <v>121</v>
      </c>
      <c r="AJ1321" s="391">
        <f>IFERROR(VLOOKUP($G1321,基本資料!$A:$M,13,0),"無")</f>
        <v>84.75</v>
      </c>
      <c r="AR1321" s="245" t="str">
        <f>INDEX(基本資料!N:N,MATCH($G1321,基本資料!A:A,0))</f>
        <v>低</v>
      </c>
    </row>
    <row r="1322" spans="1:44">
      <c r="A1322" s="343">
        <f>IFERROR(VLOOKUP($G1322,基本資料!$A:$J,3,0),"無")</f>
        <v>5.92</v>
      </c>
      <c r="B1322" s="79">
        <f>IFERROR(VLOOKUP($G1322,基本資料!$A:$J,4,0),"無")</f>
        <v>-19</v>
      </c>
      <c r="C1322" s="79">
        <f>IFERROR(VLOOKUP($G1322,基本資料!$A:$J,5,0),"無")</f>
        <v>-21</v>
      </c>
      <c r="D1322" s="79">
        <f>IFERROR(VLOOKUP($G1322,基本資料!$A:$J,6,0),"無")</f>
        <v>-7</v>
      </c>
      <c r="E1322" s="79">
        <f>IFERROR(VLOOKUP($G1322,基本資料!$A:$J,7,0),"無")</f>
        <v>6</v>
      </c>
      <c r="F1322" s="6">
        <f>IFERROR(VLOOKUP($G1322,基本資料!$A:$J,8,0),"無")</f>
        <v>15.76</v>
      </c>
      <c r="G1322" s="79">
        <v>2640</v>
      </c>
      <c r="H1322" s="8" t="s">
        <v>1959</v>
      </c>
      <c r="I1322" s="16" t="s">
        <v>4608</v>
      </c>
      <c r="J1322" s="8">
        <f>IFERROR(VLOOKUP($G1322,今日總結!$A:$AN,39,0),"")</f>
        <v>0</v>
      </c>
      <c r="K1322" s="5">
        <f>IFERROR(VLOOKUP($G1322,今日總結!$A:$AN,40,0),"")</f>
        <v>0</v>
      </c>
      <c r="L1322" s="156">
        <f>IFERROR(VLOOKUP($G1322,今日總結!$A:$AN,37,0),"")</f>
        <v>0</v>
      </c>
      <c r="M1322" s="337">
        <f>IFERROR(VLOOKUP($G1322,今日總結!$A:$AN,38,0),"")</f>
        <v>0</v>
      </c>
      <c r="N1322" s="240">
        <f t="shared" si="232"/>
        <v>0</v>
      </c>
      <c r="O1322" s="359">
        <f>IFERROR(VLOOKUP($G1322,融外自投!$A:$J,7,0),"無")</f>
        <v>513</v>
      </c>
      <c r="P1322" s="79">
        <f>IFERROR(VLOOKUP($G1322,融外自投!$A:$J,9,0),"無")</f>
        <v>1123</v>
      </c>
      <c r="Q1322" s="342">
        <f>IFERROR(VLOOKUP($G1322,融外自投!$A:$J,8,0),"無")</f>
        <v>726</v>
      </c>
      <c r="R1322" s="81">
        <f>IFERROR(VLOOKUP($G1322,融外自投!$A:$J,10,0),"無")</f>
        <v>229</v>
      </c>
      <c r="S1322" s="324">
        <f>IFERROR(VLOOKUP($G1322,'321買'!$A:$E,4,0),"'沒有資料'")</f>
        <v>891</v>
      </c>
      <c r="T1322" s="186">
        <f>IFERROR(VLOOKUP($G1322,基本資料!$A:$J,9,0),"無")</f>
        <v>3.5</v>
      </c>
      <c r="U1322" s="307">
        <f t="shared" si="228"/>
        <v>4.5278137128072445E-2</v>
      </c>
      <c r="V1322" s="94">
        <f>IFERROR(VLOOKUP($G1322,基本資料!$A:$J,10,0),"無")</f>
        <v>4.1100000000000003</v>
      </c>
      <c r="W1322" s="36">
        <f>RTD("money.excel",,"2640","Price")</f>
        <v>77.3</v>
      </c>
      <c r="X1322" s="66"/>
      <c r="Y1322" s="15">
        <f t="shared" si="229"/>
        <v>77.3</v>
      </c>
      <c r="Z1322" s="3" t="e">
        <f t="shared" si="230"/>
        <v>#DIV/0!</v>
      </c>
      <c r="AA1322" s="340">
        <f>IFERROR(VLOOKUP($G1322,基本資料!$A:$M,11,0),"無")</f>
        <v>-12.95</v>
      </c>
      <c r="AB1322" s="389">
        <f>IFERROR(VLOOKUP($G1322,基本資料!$A:$M,12,0),"無")</f>
        <v>14.58</v>
      </c>
      <c r="AC1322" s="16" t="s">
        <v>4608</v>
      </c>
      <c r="AF1322" s="33">
        <f t="shared" si="231"/>
        <v>0</v>
      </c>
      <c r="AG1322" s="117" t="s">
        <v>2455</v>
      </c>
      <c r="AH1322" s="66">
        <f t="shared" si="226"/>
        <v>1.0351201478743068</v>
      </c>
      <c r="AI1322" s="283">
        <f>RTD("money.excel",,$G1322,"PredictVolume")</f>
        <v>28</v>
      </c>
      <c r="AJ1322" s="391">
        <f>IFERROR(VLOOKUP($G1322,基本資料!$A:$M,13,0),"無")</f>
        <v>27.05</v>
      </c>
      <c r="AR1322" s="245" t="str">
        <f>INDEX(基本資料!N:N,MATCH($G1322,基本資料!A:A,0))</f>
        <v>中</v>
      </c>
    </row>
    <row r="1323" spans="1:44">
      <c r="A1323" s="343">
        <f>IFERROR(VLOOKUP($G1323,基本資料!$A:$J,3,0),"無")</f>
        <v>6.9</v>
      </c>
      <c r="B1323" s="79">
        <f>IFERROR(VLOOKUP($G1323,基本資料!$A:$J,4,0),"無")</f>
        <v>-55</v>
      </c>
      <c r="C1323" s="79">
        <f>IFERROR(VLOOKUP($G1323,基本資料!$A:$J,5,0),"無")</f>
        <v>-51</v>
      </c>
      <c r="D1323" s="79">
        <f>IFERROR(VLOOKUP($G1323,基本資料!$A:$J,6,0),"無")</f>
        <v>5</v>
      </c>
      <c r="E1323" s="79">
        <f>IFERROR(VLOOKUP($G1323,基本資料!$A:$J,7,0),"無")</f>
        <v>2</v>
      </c>
      <c r="F1323" s="6">
        <f>IFERROR(VLOOKUP($G1323,基本資料!$A:$J,8,0),"無")</f>
        <v>18.98</v>
      </c>
      <c r="G1323" s="79">
        <v>2904</v>
      </c>
      <c r="H1323" s="8" t="s">
        <v>1959</v>
      </c>
      <c r="I1323" s="22" t="s">
        <v>677</v>
      </c>
      <c r="J1323" s="8">
        <f>IFERROR(VLOOKUP($G1323,今日總結!$A:$AN,39,0),"")</f>
        <v>0</v>
      </c>
      <c r="K1323" s="5">
        <f>IFERROR(VLOOKUP($G1323,今日總結!$A:$AN,40,0),"")</f>
        <v>0</v>
      </c>
      <c r="L1323" s="156">
        <f>IFERROR(VLOOKUP($G1323,今日總結!$A:$AN,37,0),"")</f>
        <v>0</v>
      </c>
      <c r="M1323" s="337">
        <f>IFERROR(VLOOKUP($G1323,今日總結!$A:$AN,38,0),"")</f>
        <v>0</v>
      </c>
      <c r="N1323" s="240">
        <f t="shared" si="232"/>
        <v>0</v>
      </c>
      <c r="O1323" s="359">
        <f>IFERROR(VLOOKUP($G1323,融外自投!$A:$J,7,0),"無")</f>
        <v>1413</v>
      </c>
      <c r="P1323" s="79">
        <f>IFERROR(VLOOKUP($G1323,融外自投!$A:$J,9,0),"無")</f>
        <v>1051</v>
      </c>
      <c r="Q1323" s="342">
        <f>IFERROR(VLOOKUP($G1323,融外自投!$A:$J,8,0),"無")</f>
        <v>1373</v>
      </c>
      <c r="R1323" s="81" t="str">
        <f>IFERROR(VLOOKUP($G1323,融外自投!$A:$J,10,0),"無")</f>
        <v>無</v>
      </c>
      <c r="S1323" s="324">
        <f>IFERROR(VLOOKUP($G1323,'321買'!$A:$E,4,0),"'沒有資料'")</f>
        <v>1002</v>
      </c>
      <c r="T1323" s="186">
        <f>IFERROR(VLOOKUP($G1323,基本資料!$A:$J,9,0),"無")</f>
        <v>0.8</v>
      </c>
      <c r="U1323" s="307">
        <f t="shared" si="228"/>
        <v>3.669724770642202E-2</v>
      </c>
      <c r="V1323" s="94">
        <f>IFERROR(VLOOKUP($G1323,基本資料!$A:$J,10,0),"無")</f>
        <v>1.03</v>
      </c>
      <c r="W1323" s="36">
        <f>RTD("money.excel",,"2904","Price")</f>
        <v>21.8</v>
      </c>
      <c r="X1323" s="66"/>
      <c r="Y1323" s="15">
        <f t="shared" si="229"/>
        <v>21.8</v>
      </c>
      <c r="Z1323" s="3" t="e">
        <f t="shared" si="230"/>
        <v>#DIV/0!</v>
      </c>
      <c r="AA1323" s="340">
        <f>IFERROR(VLOOKUP($G1323,基本資料!$A:$M,11,0),"無")</f>
        <v>-27.33</v>
      </c>
      <c r="AB1323" s="389">
        <f>IFERROR(VLOOKUP($G1323,基本資料!$A:$M,12,0),"無")</f>
        <v>7.43</v>
      </c>
      <c r="AC1323" s="22" t="s">
        <v>677</v>
      </c>
      <c r="AF1323" s="33">
        <f t="shared" si="231"/>
        <v>0</v>
      </c>
      <c r="AG1323" s="43" t="s">
        <v>2817</v>
      </c>
      <c r="AH1323" s="66">
        <f t="shared" si="226"/>
        <v>0.80321285140562249</v>
      </c>
      <c r="AI1323" s="283">
        <f>RTD("money.excel",,$G1323,"PredictVolume")</f>
        <v>30</v>
      </c>
      <c r="AJ1323" s="391">
        <f>IFERROR(VLOOKUP($G1323,基本資料!$A:$M,13,0),"無")</f>
        <v>37.35</v>
      </c>
      <c r="AR1323" s="245" t="str">
        <f>INDEX(基本資料!N:N,MATCH($G1323,基本資料!A:A,0))</f>
        <v>低</v>
      </c>
    </row>
    <row r="1324" spans="1:44">
      <c r="A1324" s="343">
        <f>IFERROR(VLOOKUP($G1324,基本資料!$A:$J,3,0),"無")</f>
        <v>6.3</v>
      </c>
      <c r="B1324" s="79">
        <f>IFERROR(VLOOKUP($G1324,基本資料!$A:$J,4,0),"無")</f>
        <v>-68</v>
      </c>
      <c r="C1324" s="79">
        <f>IFERROR(VLOOKUP($G1324,基本資料!$A:$J,5,0),"無")</f>
        <v>72</v>
      </c>
      <c r="D1324" s="79">
        <f>IFERROR(VLOOKUP($G1324,基本資料!$A:$J,6,0),"無")</f>
        <v>-10</v>
      </c>
      <c r="E1324" s="79">
        <f>IFERROR(VLOOKUP($G1324,基本資料!$A:$J,7,0),"無")</f>
        <v>-9</v>
      </c>
      <c r="F1324" s="6">
        <f>IFERROR(VLOOKUP($G1324,基本資料!$A:$J,8,0),"無")</f>
        <v>39.6</v>
      </c>
      <c r="G1324" s="79">
        <v>3040</v>
      </c>
      <c r="H1324" s="8" t="s">
        <v>1959</v>
      </c>
      <c r="I1324" s="22" t="s">
        <v>678</v>
      </c>
      <c r="J1324" s="8">
        <f>IFERROR(VLOOKUP($G1324,今日總結!$A:$AN,39,0),"")</f>
        <v>0</v>
      </c>
      <c r="K1324" s="5">
        <f>IFERROR(VLOOKUP($G1324,今日總結!$A:$AN,40,0),"")</f>
        <v>0</v>
      </c>
      <c r="L1324" s="156">
        <f>IFERROR(VLOOKUP($G1324,今日總結!$A:$AN,37,0),"")</f>
        <v>0</v>
      </c>
      <c r="M1324" s="337">
        <f>IFERROR(VLOOKUP($G1324,今日總結!$A:$AN,38,0),"")</f>
        <v>0</v>
      </c>
      <c r="N1324" s="240">
        <f t="shared" si="232"/>
        <v>0</v>
      </c>
      <c r="O1324" s="359">
        <f>IFERROR(VLOOKUP($G1324,融外自投!$A:$J,7,0),"無")</f>
        <v>999</v>
      </c>
      <c r="P1324" s="79">
        <f>IFERROR(VLOOKUP($G1324,融外自投!$A:$J,9,0),"無")</f>
        <v>615</v>
      </c>
      <c r="Q1324" s="342">
        <f>IFERROR(VLOOKUP($G1324,融外自投!$A:$J,8,0),"無")</f>
        <v>365</v>
      </c>
      <c r="R1324" s="81" t="str">
        <f>IFERROR(VLOOKUP($G1324,融外自投!$A:$J,10,0),"無")</f>
        <v>無</v>
      </c>
      <c r="S1324" s="324">
        <f>IFERROR(VLOOKUP($G1324,'321買'!$A:$E,4,0),"'沒有資料'")</f>
        <v>1002</v>
      </c>
      <c r="T1324" s="186">
        <f>IFERROR(VLOOKUP($G1324,基本資料!$A:$J,9,0),"無")</f>
        <v>2</v>
      </c>
      <c r="U1324" s="307">
        <f t="shared" si="228"/>
        <v>6.1443932411674354E-2</v>
      </c>
      <c r="V1324" s="94">
        <f>IFERROR(VLOOKUP($G1324,基本資料!$A:$J,10,0),"無")</f>
        <v>1.97</v>
      </c>
      <c r="W1324" s="36">
        <f>RTD("money.excel",,"3040","Price")</f>
        <v>32.549999999999997</v>
      </c>
      <c r="X1324" s="66"/>
      <c r="Y1324" s="15">
        <f t="shared" si="229"/>
        <v>32.549999999999997</v>
      </c>
      <c r="Z1324" s="3" t="e">
        <f t="shared" si="230"/>
        <v>#DIV/0!</v>
      </c>
      <c r="AA1324" s="340">
        <f>IFERROR(VLOOKUP($G1324,基本資料!$A:$M,11,0),"無")</f>
        <v>-38.35</v>
      </c>
      <c r="AB1324" s="389">
        <f>IFERROR(VLOOKUP($G1324,基本資料!$A:$M,12,0),"無")</f>
        <v>6.78</v>
      </c>
      <c r="AC1324" s="22" t="s">
        <v>678</v>
      </c>
      <c r="AF1324" s="33">
        <f t="shared" si="231"/>
        <v>0</v>
      </c>
      <c r="AG1324" s="43" t="s">
        <v>2818</v>
      </c>
      <c r="AH1324" s="66">
        <f t="shared" si="226"/>
        <v>1.164179104477612</v>
      </c>
      <c r="AI1324" s="283">
        <f>RTD("money.excel",,$G1324,"PredictVolume")</f>
        <v>39</v>
      </c>
      <c r="AJ1324" s="391">
        <f>IFERROR(VLOOKUP($G1324,基本資料!$A:$M,13,0),"無")</f>
        <v>33.5</v>
      </c>
      <c r="AR1324" s="245" t="str">
        <f>INDEX(基本資料!N:N,MATCH($G1324,基本資料!A:A,0))</f>
        <v>低</v>
      </c>
    </row>
    <row r="1325" spans="1:44">
      <c r="A1325" s="343">
        <f>IFERROR(VLOOKUP($G1325,基本資料!$A:$J,3,0),"無")</f>
        <v>6.89</v>
      </c>
      <c r="B1325" s="79">
        <f>IFERROR(VLOOKUP($G1325,基本資料!$A:$J,4,0),"無")</f>
        <v>34</v>
      </c>
      <c r="C1325" s="79">
        <f>IFERROR(VLOOKUP($G1325,基本資料!$A:$J,5,0),"無")</f>
        <v>-80</v>
      </c>
      <c r="D1325" s="79">
        <f>IFERROR(VLOOKUP($G1325,基本資料!$A:$J,6,0),"無")</f>
        <v>8</v>
      </c>
      <c r="E1325" s="79">
        <f>IFERROR(VLOOKUP($G1325,基本資料!$A:$J,7,0),"無")</f>
        <v>6</v>
      </c>
      <c r="F1325" s="6">
        <f>IFERROR(VLOOKUP($G1325,基本資料!$A:$J,8,0),"無")</f>
        <v>-9.23</v>
      </c>
      <c r="G1325" s="79">
        <v>3284</v>
      </c>
      <c r="H1325" s="8" t="s">
        <v>1959</v>
      </c>
      <c r="I1325" s="16" t="s">
        <v>638</v>
      </c>
      <c r="J1325" s="8">
        <f>IFERROR(VLOOKUP($G1325,今日總結!$A:$AN,39,0),"")</f>
        <v>0</v>
      </c>
      <c r="K1325" s="5">
        <f>IFERROR(VLOOKUP($G1325,今日總結!$A:$AN,40,0),"")</f>
        <v>0</v>
      </c>
      <c r="L1325" s="156">
        <f>IFERROR(VLOOKUP($G1325,今日總結!$A:$AN,37,0),"")</f>
        <v>0</v>
      </c>
      <c r="M1325" s="337">
        <f>IFERROR(VLOOKUP($G1325,今日總結!$A:$AN,38,0),"")</f>
        <v>0</v>
      </c>
      <c r="N1325" s="240">
        <f t="shared" si="232"/>
        <v>0</v>
      </c>
      <c r="O1325" s="359">
        <f>IFERROR(VLOOKUP($G1325,融外自投!$A:$J,7,0),"無")</f>
        <v>426</v>
      </c>
      <c r="P1325" s="79">
        <f>IFERROR(VLOOKUP($G1325,融外自投!$A:$J,9,0),"無")</f>
        <v>696</v>
      </c>
      <c r="Q1325" s="342">
        <f>IFERROR(VLOOKUP($G1325,融外自投!$A:$J,8,0),"無")</f>
        <v>1325</v>
      </c>
      <c r="R1325" s="81" t="str">
        <f>IFERROR(VLOOKUP($G1325,融外自投!$A:$J,10,0),"無")</f>
        <v>無</v>
      </c>
      <c r="S1325" s="324">
        <f>IFERROR(VLOOKUP($G1325,'321買'!$A:$E,4,0),"'沒有資料'")</f>
        <v>1002</v>
      </c>
      <c r="T1325" s="186">
        <f>IFERROR(VLOOKUP($G1325,基本資料!$A:$J,9,0),"無")</f>
        <v>0</v>
      </c>
      <c r="U1325" s="307">
        <f t="shared" si="228"/>
        <v>0</v>
      </c>
      <c r="V1325" s="94">
        <f>IFERROR(VLOOKUP($G1325,基本資料!$A:$J,10,0),"無")</f>
        <v>-0.86</v>
      </c>
      <c r="W1325" s="36">
        <f>RTD("money.excel",,"3284","Price")</f>
        <v>13</v>
      </c>
      <c r="X1325" s="66"/>
      <c r="Y1325" s="15">
        <f t="shared" si="229"/>
        <v>13</v>
      </c>
      <c r="Z1325" s="3" t="e">
        <f t="shared" si="230"/>
        <v>#DIV/0!</v>
      </c>
      <c r="AA1325" s="340">
        <f>IFERROR(VLOOKUP($G1325,基本資料!$A:$M,11,0),"無")</f>
        <v>-9.41</v>
      </c>
      <c r="AB1325" s="389">
        <f>IFERROR(VLOOKUP($G1325,基本資料!$A:$M,12,0),"無")</f>
        <v>31.71</v>
      </c>
      <c r="AC1325" s="16" t="s">
        <v>638</v>
      </c>
      <c r="AF1325" s="33">
        <f t="shared" si="231"/>
        <v>0</v>
      </c>
      <c r="AG1325" s="43" t="s">
        <v>2456</v>
      </c>
      <c r="AH1325" s="66">
        <f t="shared" si="226"/>
        <v>1.6216216216216217</v>
      </c>
      <c r="AI1325" s="283">
        <f>RTD("money.excel",,$G1325,"PredictVolume")</f>
        <v>42</v>
      </c>
      <c r="AJ1325" s="391">
        <f>IFERROR(VLOOKUP($G1325,基本資料!$A:$M,13,0),"無")</f>
        <v>25.9</v>
      </c>
      <c r="AR1325" s="245" t="str">
        <f>INDEX(基本資料!N:N,MATCH($G1325,基本資料!A:A,0))</f>
        <v>中</v>
      </c>
    </row>
    <row r="1326" spans="1:44">
      <c r="A1326" s="343">
        <f>IFERROR(VLOOKUP($G1326,基本資料!$A:$J,3,0),"無")</f>
        <v>8.0299999999999994</v>
      </c>
      <c r="B1326" s="79">
        <f>IFERROR(VLOOKUP($G1326,基本資料!$A:$J,4,0),"無")</f>
        <v>-19</v>
      </c>
      <c r="C1326" s="79">
        <f>IFERROR(VLOOKUP($G1326,基本資料!$A:$J,5,0),"無")</f>
        <v>-19</v>
      </c>
      <c r="D1326" s="79">
        <f>IFERROR(VLOOKUP($G1326,基本資料!$A:$J,6,0),"無")</f>
        <v>-6</v>
      </c>
      <c r="E1326" s="79">
        <f>IFERROR(VLOOKUP($G1326,基本資料!$A:$J,7,0),"無")</f>
        <v>17</v>
      </c>
      <c r="F1326" s="6">
        <f>IFERROR(VLOOKUP($G1326,基本資料!$A:$J,8,0),"無")</f>
        <v>11.85</v>
      </c>
      <c r="G1326" s="79">
        <v>3557</v>
      </c>
      <c r="H1326" s="8" t="s">
        <v>235</v>
      </c>
      <c r="I1326" s="22" t="s">
        <v>445</v>
      </c>
      <c r="J1326" s="8">
        <f>IFERROR(VLOOKUP($G1326,今日總結!$A:$AN,39,0),"")</f>
        <v>0</v>
      </c>
      <c r="K1326" s="5">
        <f>IFERROR(VLOOKUP($G1326,今日總結!$A:$AN,40,0),"")</f>
        <v>0</v>
      </c>
      <c r="L1326" s="156">
        <f>IFERROR(VLOOKUP($G1326,今日總結!$A:$AN,37,0),"")</f>
        <v>0</v>
      </c>
      <c r="M1326" s="337">
        <f>IFERROR(VLOOKUP($G1326,今日總結!$A:$AN,38,0),"")</f>
        <v>0</v>
      </c>
      <c r="N1326" s="240">
        <f t="shared" si="232"/>
        <v>0</v>
      </c>
      <c r="O1326" s="359">
        <f>IFERROR(VLOOKUP($G1326,融外自投!$A:$J,7,0),"無")</f>
        <v>293</v>
      </c>
      <c r="P1326" s="79" t="str">
        <f>IFERROR(VLOOKUP($G1326,融外自投!$A:$J,9,0),"無")</f>
        <v>無</v>
      </c>
      <c r="Q1326" s="342">
        <f>IFERROR(VLOOKUP($G1326,融外自投!$A:$J,8,0),"無")</f>
        <v>293</v>
      </c>
      <c r="R1326" s="81" t="str">
        <f>IFERROR(VLOOKUP($G1326,融外自投!$A:$J,10,0),"無")</f>
        <v>無</v>
      </c>
      <c r="S1326" s="324">
        <f>IFERROR(VLOOKUP($G1326,'321買'!$A:$E,4,0),"'沒有資料'")</f>
        <v>1002</v>
      </c>
      <c r="T1326" s="186">
        <f>IFERROR(VLOOKUP($G1326,基本資料!$A:$J,9,0),"無")</f>
        <v>6</v>
      </c>
      <c r="U1326" s="307">
        <f t="shared" si="228"/>
        <v>8.1081081081081086E-2</v>
      </c>
      <c r="V1326" s="94">
        <f>IFERROR(VLOOKUP($G1326,基本資料!$A:$J,10,0),"無")</f>
        <v>7.74</v>
      </c>
      <c r="W1326" s="36">
        <f>RTD("money.excel",,"3557","Price")</f>
        <v>74</v>
      </c>
      <c r="X1326" s="66"/>
      <c r="Y1326" s="15">
        <f t="shared" si="229"/>
        <v>74</v>
      </c>
      <c r="Z1326" s="3" t="e">
        <f t="shared" si="230"/>
        <v>#DIV/0!</v>
      </c>
      <c r="AA1326" s="340">
        <f>IFERROR(VLOOKUP($G1326,基本資料!$A:$M,11,0),"無")</f>
        <v>-17.04</v>
      </c>
      <c r="AB1326" s="389">
        <f>IFERROR(VLOOKUP($G1326,基本資料!$A:$M,12,0),"無")</f>
        <v>33.020000000000003</v>
      </c>
      <c r="AC1326" s="22" t="s">
        <v>445</v>
      </c>
      <c r="AF1326" s="33">
        <f t="shared" si="231"/>
        <v>0</v>
      </c>
      <c r="AG1326" s="43" t="s">
        <v>3403</v>
      </c>
      <c r="AH1326" s="66">
        <f t="shared" si="226"/>
        <v>3.4333565945568734</v>
      </c>
      <c r="AI1326" s="283">
        <f>RTD("money.excel",,$G1326,"PredictVolume")</f>
        <v>246</v>
      </c>
      <c r="AJ1326" s="391">
        <f>IFERROR(VLOOKUP($G1326,基本資料!$A:$M,13,0),"無")</f>
        <v>71.650000000000006</v>
      </c>
      <c r="AR1326" s="245" t="str">
        <f>INDEX(基本資料!N:N,MATCH($G1326,基本資料!A:A,0))</f>
        <v>低</v>
      </c>
    </row>
    <row r="1327" spans="1:44">
      <c r="A1327" s="343">
        <f>IFERROR(VLOOKUP($G1327,基本資料!$A:$J,3,0),"無")</f>
        <v>5.62</v>
      </c>
      <c r="B1327" s="79">
        <f>IFERROR(VLOOKUP($G1327,基本資料!$A:$J,4,0),"無")</f>
        <v>412</v>
      </c>
      <c r="C1327" s="79">
        <f>IFERROR(VLOOKUP($G1327,基本資料!$A:$J,5,0),"無")</f>
        <v>544</v>
      </c>
      <c r="D1327" s="79">
        <f>IFERROR(VLOOKUP($G1327,基本資料!$A:$J,6,0),"無")</f>
        <v>-17</v>
      </c>
      <c r="E1327" s="79">
        <f>IFERROR(VLOOKUP($G1327,基本資料!$A:$J,7,0),"無")</f>
        <v>-13</v>
      </c>
      <c r="F1327" s="6">
        <f>IFERROR(VLOOKUP($G1327,基本資料!$A:$J,8,0),"無")</f>
        <v>0.77</v>
      </c>
      <c r="G1327" s="79">
        <v>4430</v>
      </c>
      <c r="H1327" s="8" t="s">
        <v>1959</v>
      </c>
      <c r="I1327" s="16" t="s">
        <v>639</v>
      </c>
      <c r="J1327" s="8" t="str">
        <f>IFERROR(VLOOKUP($G1327,今日總結!$A:$AN,39,0),"")</f>
        <v/>
      </c>
      <c r="K1327" s="5" t="str">
        <f>IFERROR(VLOOKUP($G1327,今日總結!$A:$AN,40,0),"")</f>
        <v/>
      </c>
      <c r="L1327" s="156" t="str">
        <f>IFERROR(VLOOKUP($G1327,今日總結!$A:$AN,37,0),"")</f>
        <v/>
      </c>
      <c r="M1327" s="337" t="str">
        <f>IFERROR(VLOOKUP($G1327,今日總結!$A:$AN,38,0),"")</f>
        <v/>
      </c>
      <c r="N1327" s="240" t="str">
        <f t="shared" si="232"/>
        <v/>
      </c>
      <c r="O1327" s="359">
        <f>IFERROR(VLOOKUP($G1327,融外自投!$A:$J,7,0),"無")</f>
        <v>1267</v>
      </c>
      <c r="P1327" s="79">
        <f>IFERROR(VLOOKUP($G1327,融外自投!$A:$J,9,0),"無")</f>
        <v>946</v>
      </c>
      <c r="Q1327" s="342">
        <f>IFERROR(VLOOKUP($G1327,融外自投!$A:$J,8,0),"無")</f>
        <v>1010</v>
      </c>
      <c r="R1327" s="81" t="str">
        <f>IFERROR(VLOOKUP($G1327,融外自投!$A:$J,10,0),"無")</f>
        <v>無</v>
      </c>
      <c r="S1327" s="324" t="str">
        <f>IFERROR(VLOOKUP($G1327,'321買'!$A:$E,4,0),"'沒有資料'")</f>
        <v>'沒有資料'</v>
      </c>
      <c r="T1327" s="186">
        <f>IFERROR(VLOOKUP($G1327,基本資料!$A:$J,9,0),"無")</f>
        <v>0.5</v>
      </c>
      <c r="U1327" s="307">
        <f t="shared" si="228"/>
        <v>2.0964360587002094E-2</v>
      </c>
      <c r="V1327" s="94">
        <f>IFERROR(VLOOKUP($G1327,基本資料!$A:$J,10,0),"無")</f>
        <v>0.75</v>
      </c>
      <c r="W1327" s="36">
        <f>RTD("money.excel",,"4430","Price")</f>
        <v>23.85</v>
      </c>
      <c r="X1327" s="66"/>
      <c r="Y1327" s="15">
        <f t="shared" si="229"/>
        <v>23.85</v>
      </c>
      <c r="Z1327" s="3" t="e">
        <f t="shared" si="230"/>
        <v>#DIV/0!</v>
      </c>
      <c r="AA1327" s="340">
        <f>IFERROR(VLOOKUP($G1327,基本資料!$A:$M,11,0),"無")</f>
        <v>-8.8000000000000007</v>
      </c>
      <c r="AB1327" s="389">
        <f>IFERROR(VLOOKUP($G1327,基本資料!$A:$M,12,0),"無")</f>
        <v>53.9</v>
      </c>
      <c r="AC1327" s="16" t="s">
        <v>639</v>
      </c>
      <c r="AF1327" s="33">
        <f t="shared" si="231"/>
        <v>0</v>
      </c>
      <c r="AG1327" s="43" t="s">
        <v>2459</v>
      </c>
      <c r="AH1327" s="66">
        <f t="shared" si="226"/>
        <v>1.6666666666666665</v>
      </c>
      <c r="AI1327" s="283">
        <f>RTD("money.excel",,$G1327,"PredictVolume")</f>
        <v>23</v>
      </c>
      <c r="AJ1327" s="391">
        <f>IFERROR(VLOOKUP($G1327,基本資料!$A:$M,13,0),"無")</f>
        <v>13.8</v>
      </c>
      <c r="AR1327" s="245" t="str">
        <f>INDEX(基本資料!N:N,MATCH($G1327,基本資料!A:A,0))</f>
        <v>低</v>
      </c>
    </row>
    <row r="1328" spans="1:44">
      <c r="A1328" s="343">
        <f>IFERROR(VLOOKUP($G1328,基本資料!$A:$J,3,0),"無")</f>
        <v>8.4499999999999993</v>
      </c>
      <c r="B1328" s="79">
        <f>IFERROR(VLOOKUP($G1328,基本資料!$A:$J,4,0),"無")</f>
        <v>-95</v>
      </c>
      <c r="C1328" s="79">
        <f>IFERROR(VLOOKUP($G1328,基本資料!$A:$J,5,0),"無")</f>
        <v>27</v>
      </c>
      <c r="D1328" s="79">
        <f>IFERROR(VLOOKUP($G1328,基本資料!$A:$J,6,0),"無")</f>
        <v>23</v>
      </c>
      <c r="E1328" s="79">
        <f>IFERROR(VLOOKUP($G1328,基本資料!$A:$J,7,0),"無")</f>
        <v>66</v>
      </c>
      <c r="F1328" s="6">
        <f>IFERROR(VLOOKUP($G1328,基本資料!$A:$J,8,0),"無")</f>
        <v>-3521.05</v>
      </c>
      <c r="G1328" s="79">
        <v>4529</v>
      </c>
      <c r="H1328" s="8" t="s">
        <v>1959</v>
      </c>
      <c r="I1328" s="16" t="s">
        <v>640</v>
      </c>
      <c r="J1328" s="8">
        <f>IFERROR(VLOOKUP($G1328,今日總結!$A:$AN,39,0),"")</f>
        <v>0</v>
      </c>
      <c r="K1328" s="5">
        <f>IFERROR(VLOOKUP($G1328,今日總結!$A:$AN,40,0),"")</f>
        <v>0</v>
      </c>
      <c r="L1328" s="156">
        <f>IFERROR(VLOOKUP($G1328,今日總結!$A:$AN,37,0),"")</f>
        <v>0</v>
      </c>
      <c r="M1328" s="337">
        <f>IFERROR(VLOOKUP($G1328,今日總結!$A:$AN,38,0),"")</f>
        <v>0</v>
      </c>
      <c r="N1328" s="240">
        <f t="shared" si="232"/>
        <v>0</v>
      </c>
      <c r="O1328" s="359">
        <f>IFERROR(VLOOKUP($G1328,融外自投!$A:$J,7,0),"無")</f>
        <v>732</v>
      </c>
      <c r="P1328" s="79">
        <f>IFERROR(VLOOKUP($G1328,融外自投!$A:$J,9,0),"無")</f>
        <v>1123</v>
      </c>
      <c r="Q1328" s="342">
        <f>IFERROR(VLOOKUP($G1328,融外自投!$A:$J,8,0),"無")</f>
        <v>334</v>
      </c>
      <c r="R1328" s="81" t="str">
        <f>IFERROR(VLOOKUP($G1328,融外自投!$A:$J,10,0),"無")</f>
        <v>無</v>
      </c>
      <c r="S1328" s="324">
        <f>IFERROR(VLOOKUP($G1328,'321買'!$A:$E,4,0),"'沒有資料'")</f>
        <v>801</v>
      </c>
      <c r="T1328" s="186">
        <f>IFERROR(VLOOKUP($G1328,基本資料!$A:$J,9,0),"無")</f>
        <v>0</v>
      </c>
      <c r="U1328" s="307">
        <f t="shared" si="228"/>
        <v>0</v>
      </c>
      <c r="V1328" s="94">
        <f>IFERROR(VLOOKUP($G1328,基本資料!$A:$J,10,0),"無")</f>
        <v>-6.09</v>
      </c>
      <c r="W1328" s="36">
        <f>RTD("money.excel",,"4529","Price")</f>
        <v>11.75</v>
      </c>
      <c r="X1328" s="66"/>
      <c r="Y1328" s="15">
        <f t="shared" si="229"/>
        <v>11.75</v>
      </c>
      <c r="Z1328" s="3" t="e">
        <f t="shared" si="230"/>
        <v>#DIV/0!</v>
      </c>
      <c r="AA1328" s="340">
        <f>IFERROR(VLOOKUP($G1328,基本資料!$A:$M,11,0),"無")</f>
        <v>-38.64</v>
      </c>
      <c r="AB1328" s="389">
        <f>IFERROR(VLOOKUP($G1328,基本資料!$A:$M,12,0),"無")</f>
        <v>24.29</v>
      </c>
      <c r="AC1328" s="16" t="s">
        <v>640</v>
      </c>
      <c r="AF1328" s="33">
        <f t="shared" si="231"/>
        <v>0</v>
      </c>
      <c r="AG1328" s="43" t="s">
        <v>2460</v>
      </c>
      <c r="AH1328" s="66">
        <f t="shared" si="226"/>
        <v>2.5392008093070308</v>
      </c>
      <c r="AI1328" s="283">
        <f>RTD("money.excel",,$G1328,"PredictVolume")</f>
        <v>502</v>
      </c>
      <c r="AJ1328" s="391">
        <f>IFERROR(VLOOKUP($G1328,基本資料!$A:$M,13,0),"無")</f>
        <v>197.7</v>
      </c>
      <c r="AR1328" s="245" t="str">
        <f>INDEX(基本資料!N:N,MATCH($G1328,基本資料!A:A,0))</f>
        <v>低</v>
      </c>
    </row>
    <row r="1329" spans="1:44">
      <c r="A1329" s="343">
        <f>IFERROR(VLOOKUP($G1329,基本資料!$A:$J,3,0),"無")</f>
        <v>9.08</v>
      </c>
      <c r="B1329" s="79">
        <f>IFERROR(VLOOKUP($G1329,基本資料!$A:$J,4,0),"無")</f>
        <v>17</v>
      </c>
      <c r="C1329" s="79">
        <f>IFERROR(VLOOKUP($G1329,基本資料!$A:$J,5,0),"無")</f>
        <v>1</v>
      </c>
      <c r="D1329" s="79">
        <f>IFERROR(VLOOKUP($G1329,基本資料!$A:$J,6,0),"無")</f>
        <v>-1</v>
      </c>
      <c r="E1329" s="79">
        <f>IFERROR(VLOOKUP($G1329,基本資料!$A:$J,7,0),"無")</f>
        <v>18</v>
      </c>
      <c r="F1329" s="6">
        <f>IFERROR(VLOOKUP($G1329,基本資料!$A:$J,8,0),"無")</f>
        <v>16.55</v>
      </c>
      <c r="G1329" s="79">
        <v>4536</v>
      </c>
      <c r="H1329" s="8" t="s">
        <v>1959</v>
      </c>
      <c r="I1329" s="22" t="s">
        <v>679</v>
      </c>
      <c r="J1329" s="8">
        <f>IFERROR(VLOOKUP($G1329,今日總結!$A:$AN,39,0),"")</f>
        <v>0</v>
      </c>
      <c r="K1329" s="5" t="str">
        <f>IFERROR(VLOOKUP($G1329,今日總結!$A:$AN,40,0),"")</f>
        <v>投</v>
      </c>
      <c r="L1329" s="156">
        <f>IFERROR(VLOOKUP($G1329,今日總結!$A:$AN,37,0),"")</f>
        <v>0</v>
      </c>
      <c r="M1329" s="337">
        <f>IFERROR(VLOOKUP($G1329,今日總結!$A:$AN,38,0),"")</f>
        <v>8</v>
      </c>
      <c r="N1329" s="240">
        <f t="shared" si="232"/>
        <v>-8</v>
      </c>
      <c r="O1329" s="359">
        <f>IFERROR(VLOOKUP($G1329,融外自投!$A:$J,7,0),"無")</f>
        <v>1095</v>
      </c>
      <c r="P1329" s="79">
        <f>IFERROR(VLOOKUP($G1329,融外自投!$A:$J,9,0),"無")</f>
        <v>869</v>
      </c>
      <c r="Q1329" s="342">
        <f>IFERROR(VLOOKUP($G1329,融外自投!$A:$J,8,0),"無")</f>
        <v>355</v>
      </c>
      <c r="R1329" s="81">
        <f>IFERROR(VLOOKUP($G1329,融外自投!$A:$J,10,0),"無")</f>
        <v>238</v>
      </c>
      <c r="S1329" s="324">
        <f>IFERROR(VLOOKUP($G1329,'321買'!$A:$E,4,0),"'沒有資料'")</f>
        <v>1002</v>
      </c>
      <c r="T1329" s="186">
        <f>IFERROR(VLOOKUP($G1329,基本資料!$A:$J,9,0),"無")</f>
        <v>6</v>
      </c>
      <c r="U1329" s="307">
        <f t="shared" si="228"/>
        <v>4.9586776859504134E-2</v>
      </c>
      <c r="V1329" s="94">
        <f>IFERROR(VLOOKUP($G1329,基本資料!$A:$J,10,0),"無")</f>
        <v>9.16</v>
      </c>
      <c r="W1329" s="36">
        <f>RTD("money.excel",,"4536","Price")</f>
        <v>121</v>
      </c>
      <c r="X1329" s="66"/>
      <c r="Y1329" s="15">
        <f t="shared" si="229"/>
        <v>121</v>
      </c>
      <c r="Z1329" s="3" t="e">
        <f t="shared" si="230"/>
        <v>#DIV/0!</v>
      </c>
      <c r="AA1329" s="340">
        <f>IFERROR(VLOOKUP($G1329,基本資料!$A:$M,11,0),"無")</f>
        <v>-25.31</v>
      </c>
      <c r="AB1329" s="389">
        <f>IFERROR(VLOOKUP($G1329,基本資料!$A:$M,12,0),"無")</f>
        <v>23.36</v>
      </c>
      <c r="AC1329" s="22" t="s">
        <v>679</v>
      </c>
      <c r="AF1329" s="33">
        <f t="shared" si="231"/>
        <v>0</v>
      </c>
      <c r="AG1329" s="43" t="s">
        <v>2107</v>
      </c>
      <c r="AH1329" s="66">
        <f t="shared" si="226"/>
        <v>1.3198653198653199</v>
      </c>
      <c r="AI1329" s="283">
        <f>RTD("money.excel",,$G1329,"PredictVolume")</f>
        <v>98</v>
      </c>
      <c r="AJ1329" s="391">
        <f>IFERROR(VLOOKUP($G1329,基本資料!$A:$M,13,0),"無")</f>
        <v>74.25</v>
      </c>
      <c r="AR1329" s="245" t="str">
        <f>INDEX(基本資料!N:N,MATCH($G1329,基本資料!A:A,0))</f>
        <v>低</v>
      </c>
    </row>
    <row r="1330" spans="1:44">
      <c r="A1330" s="343">
        <f>IFERROR(VLOOKUP($G1330,基本資料!$A:$J,3,0),"無")</f>
        <v>6.76</v>
      </c>
      <c r="B1330" s="79">
        <f>IFERROR(VLOOKUP($G1330,基本資料!$A:$J,4,0),"無")</f>
        <v>100</v>
      </c>
      <c r="C1330" s="79">
        <f>IFERROR(VLOOKUP($G1330,基本資料!$A:$J,5,0),"無")</f>
        <v>75</v>
      </c>
      <c r="D1330" s="79">
        <f>IFERROR(VLOOKUP($G1330,基本資料!$A:$J,6,0),"無")</f>
        <v>-10</v>
      </c>
      <c r="E1330" s="79">
        <f>IFERROR(VLOOKUP($G1330,基本資料!$A:$J,7,0),"無")</f>
        <v>45</v>
      </c>
      <c r="F1330" s="6">
        <f>IFERROR(VLOOKUP($G1330,基本資料!$A:$J,8,0),"無")</f>
        <v>-3.6</v>
      </c>
      <c r="G1330" s="79">
        <v>4541</v>
      </c>
      <c r="H1330" s="8" t="s">
        <v>1959</v>
      </c>
      <c r="I1330" s="16" t="s">
        <v>641</v>
      </c>
      <c r="J1330" s="8">
        <f>IFERROR(VLOOKUP($G1330,今日總結!$A:$AN,39,0),"")</f>
        <v>0</v>
      </c>
      <c r="K1330" s="5">
        <f>IFERROR(VLOOKUP($G1330,今日總結!$A:$AN,40,0),"")</f>
        <v>0</v>
      </c>
      <c r="L1330" s="156">
        <f>IFERROR(VLOOKUP($G1330,今日總結!$A:$AN,37,0),"")</f>
        <v>0</v>
      </c>
      <c r="M1330" s="337">
        <f>IFERROR(VLOOKUP($G1330,今日總結!$A:$AN,38,0),"")</f>
        <v>0</v>
      </c>
      <c r="N1330" s="240">
        <f t="shared" si="232"/>
        <v>0</v>
      </c>
      <c r="O1330" s="359">
        <f>IFERROR(VLOOKUP($G1330,融外自投!$A:$J,7,0),"無")</f>
        <v>976</v>
      </c>
      <c r="P1330" s="79">
        <f>IFERROR(VLOOKUP($G1330,融外自投!$A:$J,9,0),"無")</f>
        <v>990</v>
      </c>
      <c r="Q1330" s="342">
        <f>IFERROR(VLOOKUP($G1330,融外自投!$A:$J,8,0),"無")</f>
        <v>918</v>
      </c>
      <c r="R1330" s="81" t="str">
        <f>IFERROR(VLOOKUP($G1330,融外自投!$A:$J,10,0),"無")</f>
        <v>無</v>
      </c>
      <c r="S1330" s="324">
        <f>IFERROR(VLOOKUP($G1330,'321買'!$A:$E,4,0),"'沒有資料'")</f>
        <v>1002</v>
      </c>
      <c r="T1330" s="186">
        <f>IFERROR(VLOOKUP($G1330,基本資料!$A:$J,9,0),"無")</f>
        <v>0.4</v>
      </c>
      <c r="U1330" s="307">
        <f t="shared" si="228"/>
        <v>1.7241379310344827E-2</v>
      </c>
      <c r="V1330" s="94">
        <f>IFERROR(VLOOKUP($G1330,基本資料!$A:$J,10,0),"無")</f>
        <v>0</v>
      </c>
      <c r="W1330" s="36">
        <f>RTD("money.excel",,"4541","Price")</f>
        <v>23.2</v>
      </c>
      <c r="X1330" s="66"/>
      <c r="Y1330" s="15">
        <f t="shared" si="229"/>
        <v>23.2</v>
      </c>
      <c r="Z1330" s="3" t="e">
        <f t="shared" si="230"/>
        <v>#DIV/0!</v>
      </c>
      <c r="AA1330" s="340">
        <f>IFERROR(VLOOKUP($G1330,基本資料!$A:$M,11,0),"無")</f>
        <v>-19.3</v>
      </c>
      <c r="AB1330" s="389">
        <f>IFERROR(VLOOKUP($G1330,基本資料!$A:$M,12,0),"無")</f>
        <v>39.31</v>
      </c>
      <c r="AC1330" s="16" t="s">
        <v>641</v>
      </c>
      <c r="AF1330" s="33">
        <f t="shared" si="231"/>
        <v>0</v>
      </c>
      <c r="AG1330" s="43" t="s">
        <v>2461</v>
      </c>
      <c r="AH1330" s="66">
        <f t="shared" si="226"/>
        <v>0.21052631578947367</v>
      </c>
      <c r="AI1330" s="283">
        <f>RTD("money.excel",,$G1330,"PredictVolume")</f>
        <v>44</v>
      </c>
      <c r="AJ1330" s="391">
        <f>IFERROR(VLOOKUP($G1330,基本資料!$A:$M,13,0),"無")</f>
        <v>209</v>
      </c>
      <c r="AR1330" s="245" t="str">
        <f>INDEX(基本資料!N:N,MATCH($G1330,基本資料!A:A,0))</f>
        <v>低</v>
      </c>
    </row>
    <row r="1331" spans="1:44">
      <c r="A1331" s="343">
        <f>IFERROR(VLOOKUP($G1331,基本資料!$A:$J,3,0),"無")</f>
        <v>4.18</v>
      </c>
      <c r="B1331" s="79">
        <f>IFERROR(VLOOKUP($G1331,基本資料!$A:$J,4,0),"無")</f>
        <v>-40</v>
      </c>
      <c r="C1331" s="79">
        <f>IFERROR(VLOOKUP($G1331,基本資料!$A:$J,5,0),"無")</f>
        <v>9</v>
      </c>
      <c r="D1331" s="79">
        <f>IFERROR(VLOOKUP($G1331,基本資料!$A:$J,6,0),"無")</f>
        <v>-24</v>
      </c>
      <c r="E1331" s="79">
        <f>IFERROR(VLOOKUP($G1331,基本資料!$A:$J,7,0),"無")</f>
        <v>-8</v>
      </c>
      <c r="F1331" s="6">
        <f>IFERROR(VLOOKUP($G1331,基本資料!$A:$J,8,0),"無")</f>
        <v>5.32</v>
      </c>
      <c r="G1331" s="79">
        <v>4556</v>
      </c>
      <c r="H1331" s="8" t="s">
        <v>1959</v>
      </c>
      <c r="I1331" s="16" t="s">
        <v>642</v>
      </c>
      <c r="J1331" s="8" t="str">
        <f>IFERROR(VLOOKUP($G1331,今日總結!$A:$AN,39,0),"")</f>
        <v/>
      </c>
      <c r="K1331" s="5" t="str">
        <f>IFERROR(VLOOKUP($G1331,今日總結!$A:$AN,40,0),"")</f>
        <v/>
      </c>
      <c r="L1331" s="156" t="str">
        <f>IFERROR(VLOOKUP($G1331,今日總結!$A:$AN,37,0),"")</f>
        <v/>
      </c>
      <c r="M1331" s="337" t="str">
        <f>IFERROR(VLOOKUP($G1331,今日總結!$A:$AN,38,0),"")</f>
        <v/>
      </c>
      <c r="N1331" s="240" t="str">
        <f t="shared" si="232"/>
        <v/>
      </c>
      <c r="O1331" s="359">
        <f>IFERROR(VLOOKUP($G1331,融外自投!$A:$J,7,0),"無")</f>
        <v>1256</v>
      </c>
      <c r="P1331" s="79" t="str">
        <f>IFERROR(VLOOKUP($G1331,融外自投!$A:$J,9,0),"無")</f>
        <v>無</v>
      </c>
      <c r="Q1331" s="342">
        <f>IFERROR(VLOOKUP($G1331,融外自投!$A:$J,8,0),"無")</f>
        <v>446</v>
      </c>
      <c r="R1331" s="81" t="str">
        <f>IFERROR(VLOOKUP($G1331,融外自投!$A:$J,10,0),"無")</f>
        <v>無</v>
      </c>
      <c r="S1331" s="324" t="str">
        <f>IFERROR(VLOOKUP($G1331,'321買'!$A:$E,4,0),"'沒有資料'")</f>
        <v>'沒有資料'</v>
      </c>
      <c r="T1331" s="186">
        <f>IFERROR(VLOOKUP($G1331,基本資料!$A:$J,9,0),"無")</f>
        <v>0.35</v>
      </c>
      <c r="U1331" s="307" t="e">
        <f t="shared" si="228"/>
        <v>#VALUE!</v>
      </c>
      <c r="V1331" s="94">
        <f>IFERROR(VLOOKUP($G1331,基本資料!$A:$J,10,0),"無")</f>
        <v>0.3</v>
      </c>
      <c r="W1331" s="36" t="str">
        <f>RTD("money.excel",,"4556","Price")</f>
        <v>無資料</v>
      </c>
      <c r="X1331" s="66"/>
      <c r="Y1331" s="15" t="e">
        <f t="shared" si="229"/>
        <v>#VALUE!</v>
      </c>
      <c r="Z1331" s="3" t="e">
        <f t="shared" si="230"/>
        <v>#VALUE!</v>
      </c>
      <c r="AA1331" s="340">
        <f>IFERROR(VLOOKUP($G1331,基本資料!$A:$M,11,0),"無")</f>
        <v>-10.84</v>
      </c>
      <c r="AB1331" s="389">
        <f>IFERROR(VLOOKUP($G1331,基本資料!$A:$M,12,0),"無")</f>
        <v>49.81</v>
      </c>
      <c r="AC1331" s="16" t="s">
        <v>642</v>
      </c>
      <c r="AF1331" s="33">
        <f t="shared" si="231"/>
        <v>0</v>
      </c>
      <c r="AG1331" s="43" t="s">
        <v>2462</v>
      </c>
      <c r="AH1331" s="66">
        <f t="shared" si="226"/>
        <v>0</v>
      </c>
      <c r="AI1331" s="283">
        <f>RTD("money.excel",,$G1331,"PredictVolume")</f>
        <v>0</v>
      </c>
      <c r="AJ1331" s="391">
        <f>IFERROR(VLOOKUP($G1331,基本資料!$A:$M,13,0),"無")</f>
        <v>2.2999999999999998</v>
      </c>
      <c r="AR1331" s="245" t="str">
        <f>INDEX(基本資料!N:N,MATCH($G1331,基本資料!A:A,0))</f>
        <v>低</v>
      </c>
    </row>
    <row r="1332" spans="1:44">
      <c r="A1332" s="343">
        <f>IFERROR(VLOOKUP($G1332,基本資料!$A:$J,3,0),"無")</f>
        <v>4.67</v>
      </c>
      <c r="B1332" s="79">
        <f>IFERROR(VLOOKUP($G1332,基本資料!$A:$J,4,0),"無")</f>
        <v>111</v>
      </c>
      <c r="C1332" s="79">
        <f>IFERROR(VLOOKUP($G1332,基本資料!$A:$J,5,0),"無")</f>
        <v>124</v>
      </c>
      <c r="D1332" s="79">
        <f>IFERROR(VLOOKUP($G1332,基本資料!$A:$J,6,0),"無")</f>
        <v>-62</v>
      </c>
      <c r="E1332" s="79">
        <f>IFERROR(VLOOKUP($G1332,基本資料!$A:$J,7,0),"無")</f>
        <v>7</v>
      </c>
      <c r="F1332" s="6">
        <f>IFERROR(VLOOKUP($G1332,基本資料!$A:$J,8,0),"無")</f>
        <v>3.07</v>
      </c>
      <c r="G1332" s="79">
        <v>4950</v>
      </c>
      <c r="H1332" s="8" t="s">
        <v>1959</v>
      </c>
      <c r="I1332" s="16" t="s">
        <v>643</v>
      </c>
      <c r="J1332" s="8" t="str">
        <f>IFERROR(VLOOKUP($G1332,今日總結!$A:$AN,39,0),"")</f>
        <v/>
      </c>
      <c r="K1332" s="5" t="str">
        <f>IFERROR(VLOOKUP($G1332,今日總結!$A:$AN,40,0),"")</f>
        <v/>
      </c>
      <c r="L1332" s="156" t="str">
        <f>IFERROR(VLOOKUP($G1332,今日總結!$A:$AN,37,0),"")</f>
        <v/>
      </c>
      <c r="M1332" s="337" t="str">
        <f>IFERROR(VLOOKUP($G1332,今日總結!$A:$AN,38,0),"")</f>
        <v/>
      </c>
      <c r="N1332" s="240" t="str">
        <f t="shared" si="232"/>
        <v/>
      </c>
      <c r="O1332" s="359" t="str">
        <f>IFERROR(VLOOKUP($G1332,融外自投!$A:$J,7,0),"無")</f>
        <v>無</v>
      </c>
      <c r="P1332" s="79" t="str">
        <f>IFERROR(VLOOKUP($G1332,融外自投!$A:$J,9,0),"無")</f>
        <v>無</v>
      </c>
      <c r="Q1332" s="342" t="str">
        <f>IFERROR(VLOOKUP($G1332,融外自投!$A:$J,8,0),"無")</f>
        <v>無</v>
      </c>
      <c r="R1332" s="81" t="str">
        <f>IFERROR(VLOOKUP($G1332,融外自投!$A:$J,10,0),"無")</f>
        <v>無</v>
      </c>
      <c r="S1332" s="324" t="str">
        <f>IFERROR(VLOOKUP($G1332,'321買'!$A:$E,4,0),"'沒有資料'")</f>
        <v>'沒有資料'</v>
      </c>
      <c r="T1332" s="186">
        <f>IFERROR(VLOOKUP($G1332,基本資料!$A:$J,9,0),"無")</f>
        <v>0</v>
      </c>
      <c r="U1332" s="307">
        <f t="shared" si="228"/>
        <v>0</v>
      </c>
      <c r="V1332" s="94">
        <f>IFERROR(VLOOKUP($G1332,基本資料!$A:$J,10,0),"無")</f>
        <v>0.49</v>
      </c>
      <c r="W1332" s="36">
        <f>RTD("money.excel",,"4950","Price")</f>
        <v>24.6</v>
      </c>
      <c r="X1332" s="66"/>
      <c r="Y1332" s="15">
        <f t="shared" si="229"/>
        <v>24.6</v>
      </c>
      <c r="Z1332" s="3" t="e">
        <f t="shared" si="230"/>
        <v>#DIV/0!</v>
      </c>
      <c r="AA1332" s="340">
        <f>IFERROR(VLOOKUP($G1332,基本資料!$A:$M,11,0),"無")</f>
        <v>-16.18</v>
      </c>
      <c r="AB1332" s="389">
        <f>IFERROR(VLOOKUP($G1332,基本資料!$A:$M,12,0),"無")</f>
        <v>42.93</v>
      </c>
      <c r="AC1332" s="16" t="s">
        <v>643</v>
      </c>
      <c r="AF1332" s="33">
        <f t="shared" si="231"/>
        <v>0</v>
      </c>
      <c r="AG1332" s="43" t="s">
        <v>2463</v>
      </c>
      <c r="AH1332" s="66">
        <f t="shared" si="226"/>
        <v>0.96571988246816842</v>
      </c>
      <c r="AI1332" s="283">
        <f>RTD("money.excel",,$G1332,"PredictVolume")</f>
        <v>493</v>
      </c>
      <c r="AJ1332" s="391">
        <f>IFERROR(VLOOKUP($G1332,基本資料!$A:$M,13,0),"無")</f>
        <v>510.5</v>
      </c>
      <c r="AR1332" s="245" t="str">
        <f>INDEX(基本資料!N:N,MATCH($G1332,基本資料!A:A,0))</f>
        <v>中</v>
      </c>
    </row>
    <row r="1333" spans="1:44">
      <c r="A1333" s="343">
        <f>IFERROR(VLOOKUP($G1333,基本資料!$A:$J,3,0),"無")</f>
        <v>3.95</v>
      </c>
      <c r="B1333" s="79">
        <f>IFERROR(VLOOKUP($G1333,基本資料!$A:$J,4,0),"無")</f>
        <v>207</v>
      </c>
      <c r="C1333" s="79">
        <f>IFERROR(VLOOKUP($G1333,基本資料!$A:$J,5,0),"無")</f>
        <v>310</v>
      </c>
      <c r="D1333" s="79">
        <f>IFERROR(VLOOKUP($G1333,基本資料!$A:$J,6,0),"無")</f>
        <v>-6</v>
      </c>
      <c r="E1333" s="79">
        <f>IFERROR(VLOOKUP($G1333,基本資料!$A:$J,7,0),"無")</f>
        <v>4</v>
      </c>
      <c r="F1333" s="6">
        <f>IFERROR(VLOOKUP($G1333,基本資料!$A:$J,8,0),"無")</f>
        <v>4.01</v>
      </c>
      <c r="G1333" s="79">
        <v>5276</v>
      </c>
      <c r="H1333" s="8" t="s">
        <v>1959</v>
      </c>
      <c r="I1333" s="16" t="s">
        <v>644</v>
      </c>
      <c r="J1333" s="8" t="str">
        <f>IFERROR(VLOOKUP($G1333,今日總結!$A:$AN,39,0),"")</f>
        <v/>
      </c>
      <c r="K1333" s="5" t="str">
        <f>IFERROR(VLOOKUP($G1333,今日總結!$A:$AN,40,0),"")</f>
        <v/>
      </c>
      <c r="L1333" s="156" t="str">
        <f>IFERROR(VLOOKUP($G1333,今日總結!$A:$AN,37,0),"")</f>
        <v/>
      </c>
      <c r="M1333" s="337" t="str">
        <f>IFERROR(VLOOKUP($G1333,今日總結!$A:$AN,38,0),"")</f>
        <v/>
      </c>
      <c r="N1333" s="240" t="str">
        <f t="shared" si="232"/>
        <v/>
      </c>
      <c r="O1333" s="359" t="str">
        <f>IFERROR(VLOOKUP($G1333,融外自投!$A:$J,7,0),"無")</f>
        <v>無</v>
      </c>
      <c r="P1333" s="79" t="str">
        <f>IFERROR(VLOOKUP($G1333,融外自投!$A:$J,9,0),"無")</f>
        <v>無</v>
      </c>
      <c r="Q1333" s="342" t="str">
        <f>IFERROR(VLOOKUP($G1333,融外自投!$A:$J,8,0),"無")</f>
        <v>無</v>
      </c>
      <c r="R1333" s="81" t="str">
        <f>IFERROR(VLOOKUP($G1333,融外自投!$A:$J,10,0),"無")</f>
        <v>無</v>
      </c>
      <c r="S1333" s="324" t="str">
        <f>IFERROR(VLOOKUP($G1333,'321買'!$A:$E,4,0),"'沒有資料'")</f>
        <v>'沒有資料'</v>
      </c>
      <c r="T1333" s="186">
        <f>IFERROR(VLOOKUP($G1333,基本資料!$A:$J,9,0),"無")</f>
        <v>0.11</v>
      </c>
      <c r="U1333" s="307">
        <f t="shared" si="228"/>
        <v>9.0534979423868307E-3</v>
      </c>
      <c r="V1333" s="94">
        <f>IFERROR(VLOOKUP($G1333,基本資料!$A:$J,10,0),"無")</f>
        <v>0.57999999999999996</v>
      </c>
      <c r="W1333" s="36">
        <f>RTD("money.excel",,"5276","Price")</f>
        <v>12.15</v>
      </c>
      <c r="X1333" s="66"/>
      <c r="Y1333" s="15">
        <f t="shared" si="229"/>
        <v>12.15</v>
      </c>
      <c r="Z1333" s="3" t="e">
        <f t="shared" si="230"/>
        <v>#DIV/0!</v>
      </c>
      <c r="AA1333" s="340">
        <f>IFERROR(VLOOKUP($G1333,基本資料!$A:$M,11,0),"無")</f>
        <v>-31.16</v>
      </c>
      <c r="AB1333" s="389">
        <f>IFERROR(VLOOKUP($G1333,基本資料!$A:$M,12,0),"無")</f>
        <v>34.11</v>
      </c>
      <c r="AC1333" s="16" t="s">
        <v>644</v>
      </c>
      <c r="AF1333" s="33">
        <f t="shared" si="231"/>
        <v>0</v>
      </c>
      <c r="AG1333" s="43" t="s">
        <v>2464</v>
      </c>
      <c r="AH1333" s="66">
        <f t="shared" si="226"/>
        <v>1.26984126984127</v>
      </c>
      <c r="AI1333" s="283">
        <f>RTD("money.excel",,$G1333,"PredictVolume")</f>
        <v>24</v>
      </c>
      <c r="AJ1333" s="391">
        <f>IFERROR(VLOOKUP($G1333,基本資料!$A:$M,13,0),"無")</f>
        <v>18.899999999999999</v>
      </c>
      <c r="AR1333" s="245" t="str">
        <f>INDEX(基本資料!N:N,MATCH($G1333,基本資料!A:A,0))</f>
        <v>低</v>
      </c>
    </row>
    <row r="1334" spans="1:44">
      <c r="A1334" s="343">
        <f>IFERROR(VLOOKUP($G1334,基本資料!$A:$J,3,0),"無")</f>
        <v>4.3600000000000003</v>
      </c>
      <c r="B1334" s="79">
        <f>IFERROR(VLOOKUP($G1334,基本資料!$A:$J,4,0),"無")</f>
        <v>6</v>
      </c>
      <c r="C1334" s="79">
        <f>IFERROR(VLOOKUP($G1334,基本資料!$A:$J,5,0),"無")</f>
        <v>45</v>
      </c>
      <c r="D1334" s="79">
        <f>IFERROR(VLOOKUP($G1334,基本資料!$A:$J,6,0),"無")</f>
        <v>-3</v>
      </c>
      <c r="E1334" s="79">
        <f>IFERROR(VLOOKUP($G1334,基本資料!$A:$J,7,0),"無")</f>
        <v>20</v>
      </c>
      <c r="F1334" s="6">
        <f>IFERROR(VLOOKUP($G1334,基本資料!$A:$J,8,0),"無")</f>
        <v>12.22</v>
      </c>
      <c r="G1334" s="79">
        <v>5284</v>
      </c>
      <c r="H1334" s="8" t="s">
        <v>1959</v>
      </c>
      <c r="I1334" s="22" t="s">
        <v>144</v>
      </c>
      <c r="J1334" s="8">
        <f>IFERROR(VLOOKUP($G1334,今日總結!$A:$AN,39,0),"")</f>
        <v>0</v>
      </c>
      <c r="K1334" s="5">
        <f>IFERROR(VLOOKUP($G1334,今日總結!$A:$AN,40,0),"")</f>
        <v>0</v>
      </c>
      <c r="L1334" s="156">
        <f>IFERROR(VLOOKUP($G1334,今日總結!$A:$AN,37,0),"")</f>
        <v>0</v>
      </c>
      <c r="M1334" s="337">
        <f>IFERROR(VLOOKUP($G1334,今日總結!$A:$AN,38,0),"")</f>
        <v>0</v>
      </c>
      <c r="N1334" s="240">
        <f t="shared" si="232"/>
        <v>0</v>
      </c>
      <c r="O1334" s="359">
        <f>IFERROR(VLOOKUP($G1334,融外自投!$A:$J,7,0),"無")</f>
        <v>1167</v>
      </c>
      <c r="P1334" s="79">
        <f>IFERROR(VLOOKUP($G1334,融外自投!$A:$J,9,0),"無")</f>
        <v>1051</v>
      </c>
      <c r="Q1334" s="342">
        <f>IFERROR(VLOOKUP($G1334,融外自投!$A:$J,8,0),"無")</f>
        <v>46</v>
      </c>
      <c r="R1334" s="81">
        <f>IFERROR(VLOOKUP($G1334,融外自投!$A:$J,10,0),"無")</f>
        <v>346</v>
      </c>
      <c r="S1334" s="324">
        <f>IFERROR(VLOOKUP($G1334,'321買'!$A:$E,4,0),"'沒有資料'")</f>
        <v>1002</v>
      </c>
      <c r="T1334" s="186">
        <f>IFERROR(VLOOKUP($G1334,基本資料!$A:$J,9,0),"無")</f>
        <v>2.2999999999999998</v>
      </c>
      <c r="U1334" s="307">
        <f t="shared" si="228"/>
        <v>5.2272727272727269E-2</v>
      </c>
      <c r="V1334" s="94">
        <f>IFERROR(VLOOKUP($G1334,基本資料!$A:$J,10,0),"無")</f>
        <v>3</v>
      </c>
      <c r="W1334" s="36">
        <f>RTD("money.excel",,"5284","Price")</f>
        <v>44</v>
      </c>
      <c r="X1334" s="66"/>
      <c r="Y1334" s="15">
        <f t="shared" si="229"/>
        <v>44</v>
      </c>
      <c r="Z1334" s="3" t="e">
        <f t="shared" si="230"/>
        <v>#DIV/0!</v>
      </c>
      <c r="AA1334" s="340">
        <f>IFERROR(VLOOKUP($G1334,基本資料!$A:$M,11,0),"無")</f>
        <v>-7.95</v>
      </c>
      <c r="AB1334" s="389">
        <f>IFERROR(VLOOKUP($G1334,基本資料!$A:$M,12,0),"無")</f>
        <v>27.65</v>
      </c>
      <c r="AC1334" s="22" t="s">
        <v>144</v>
      </c>
      <c r="AF1334" s="33">
        <f t="shared" si="231"/>
        <v>0</v>
      </c>
      <c r="AG1334" s="117" t="s">
        <v>2819</v>
      </c>
      <c r="AH1334" s="66">
        <f t="shared" si="226"/>
        <v>5.305039787798408E-2</v>
      </c>
      <c r="AI1334" s="283">
        <f>RTD("money.excel",,$G1334,"PredictVolume")</f>
        <v>1</v>
      </c>
      <c r="AJ1334" s="391">
        <f>IFERROR(VLOOKUP($G1334,基本資料!$A:$M,13,0),"無")</f>
        <v>18.850000000000001</v>
      </c>
      <c r="AR1334" s="245" t="str">
        <f>INDEX(基本資料!N:N,MATCH($G1334,基本資料!A:A,0))</f>
        <v>中</v>
      </c>
    </row>
    <row r="1335" spans="1:44">
      <c r="A1335" s="343">
        <f>IFERROR(VLOOKUP($G1335,基本資料!$A:$J,3,0),"無")</f>
        <v>12.6</v>
      </c>
      <c r="B1335" s="79">
        <f>IFERROR(VLOOKUP($G1335,基本資料!$A:$J,4,0),"無")</f>
        <v>32</v>
      </c>
      <c r="C1335" s="79">
        <f>IFERROR(VLOOKUP($G1335,基本資料!$A:$J,5,0),"無")</f>
        <v>30</v>
      </c>
      <c r="D1335" s="79">
        <f>IFERROR(VLOOKUP($G1335,基本資料!$A:$J,6,0),"無")</f>
        <v>-20</v>
      </c>
      <c r="E1335" s="79">
        <f>IFERROR(VLOOKUP($G1335,基本資料!$A:$J,7,0),"無")</f>
        <v>-12</v>
      </c>
      <c r="F1335" s="6">
        <f>IFERROR(VLOOKUP($G1335,基本資料!$A:$J,8,0),"無")</f>
        <v>33.24</v>
      </c>
      <c r="G1335" s="79">
        <v>5306</v>
      </c>
      <c r="H1335" s="8" t="s">
        <v>1959</v>
      </c>
      <c r="I1335" s="16" t="s">
        <v>39</v>
      </c>
      <c r="J1335" s="8">
        <f>IFERROR(VLOOKUP($G1335,今日總結!$A:$AN,39,0),"")</f>
        <v>0</v>
      </c>
      <c r="K1335" s="5">
        <f>IFERROR(VLOOKUP($G1335,今日總結!$A:$AN,40,0),"")</f>
        <v>0</v>
      </c>
      <c r="L1335" s="156">
        <f>IFERROR(VLOOKUP($G1335,今日總結!$A:$AN,37,0),"")</f>
        <v>0</v>
      </c>
      <c r="M1335" s="337">
        <f>IFERROR(VLOOKUP($G1335,今日總結!$A:$AN,38,0),"")</f>
        <v>0</v>
      </c>
      <c r="N1335" s="240">
        <f t="shared" si="232"/>
        <v>0</v>
      </c>
      <c r="O1335" s="359">
        <f>IFERROR(VLOOKUP($G1335,融外自投!$A:$J,7,0),"無")</f>
        <v>1301</v>
      </c>
      <c r="P1335" s="79">
        <f>IFERROR(VLOOKUP($G1335,融外自投!$A:$J,9,0),"無")</f>
        <v>869</v>
      </c>
      <c r="Q1335" s="342">
        <f>IFERROR(VLOOKUP($G1335,融外自投!$A:$J,8,0),"無")</f>
        <v>236</v>
      </c>
      <c r="R1335" s="81">
        <f>IFERROR(VLOOKUP($G1335,融外自投!$A:$J,10,0),"無")</f>
        <v>459</v>
      </c>
      <c r="S1335" s="324">
        <f>IFERROR(VLOOKUP($G1335,'321買'!$A:$E,4,0),"'沒有資料'")</f>
        <v>1002</v>
      </c>
      <c r="T1335" s="186">
        <f>IFERROR(VLOOKUP($G1335,基本資料!$A:$J,9,0),"無")</f>
        <v>9</v>
      </c>
      <c r="U1335" s="307">
        <f t="shared" si="228"/>
        <v>5.3731343283582089E-2</v>
      </c>
      <c r="V1335" s="94">
        <f>IFERROR(VLOOKUP($G1335,基本資料!$A:$J,10,0),"無")</f>
        <v>15.94</v>
      </c>
      <c r="W1335" s="36">
        <f>RTD("money.excel",,"5306","Price")</f>
        <v>167.5</v>
      </c>
      <c r="X1335" s="66"/>
      <c r="Y1335" s="15">
        <f t="shared" si="229"/>
        <v>167.5</v>
      </c>
      <c r="Z1335" s="3" t="e">
        <f t="shared" si="230"/>
        <v>#DIV/0!</v>
      </c>
      <c r="AA1335" s="340">
        <f>IFERROR(VLOOKUP($G1335,基本資料!$A:$M,11,0),"無")</f>
        <v>-34.31</v>
      </c>
      <c r="AB1335" s="389">
        <f>IFERROR(VLOOKUP($G1335,基本資料!$A:$M,12,0),"無")</f>
        <v>29.3</v>
      </c>
      <c r="AC1335" s="16" t="s">
        <v>39</v>
      </c>
      <c r="AF1335" s="33">
        <f t="shared" si="231"/>
        <v>0</v>
      </c>
      <c r="AG1335" s="117" t="s">
        <v>2465</v>
      </c>
      <c r="AH1335" s="66">
        <f t="shared" si="226"/>
        <v>0.39549948857824752</v>
      </c>
      <c r="AI1335" s="283">
        <f>RTD("money.excel",,$G1335,"PredictVolume")</f>
        <v>58</v>
      </c>
      <c r="AJ1335" s="391">
        <f>IFERROR(VLOOKUP($G1335,基本資料!$A:$M,13,0),"無")</f>
        <v>146.65</v>
      </c>
      <c r="AR1335" s="245" t="str">
        <f>INDEX(基本資料!N:N,MATCH($G1335,基本資料!A:A,0))</f>
        <v>低</v>
      </c>
    </row>
    <row r="1336" spans="1:44">
      <c r="A1336" s="343">
        <f>IFERROR(VLOOKUP($G1336,基本資料!$A:$J,3,0),"無")</f>
        <v>4.99</v>
      </c>
      <c r="B1336" s="79">
        <f>IFERROR(VLOOKUP($G1336,基本資料!$A:$J,4,0),"無")</f>
        <v>-2</v>
      </c>
      <c r="C1336" s="79">
        <f>IFERROR(VLOOKUP($G1336,基本資料!$A:$J,5,0),"無")</f>
        <v>93</v>
      </c>
      <c r="D1336" s="79">
        <f>IFERROR(VLOOKUP($G1336,基本資料!$A:$J,6,0),"無")</f>
        <v>27</v>
      </c>
      <c r="E1336" s="79">
        <f>IFERROR(VLOOKUP($G1336,基本資料!$A:$J,7,0),"無")</f>
        <v>-25</v>
      </c>
      <c r="F1336" s="6">
        <f>IFERROR(VLOOKUP($G1336,基本資料!$A:$J,8,0),"無")</f>
        <v>6.77</v>
      </c>
      <c r="G1336" s="79">
        <v>5398</v>
      </c>
      <c r="H1336" s="8" t="s">
        <v>1959</v>
      </c>
      <c r="I1336" s="16" t="s">
        <v>2985</v>
      </c>
      <c r="J1336" s="8">
        <f>IFERROR(VLOOKUP($G1336,今日總結!$A:$AN,39,0),"")</f>
        <v>0</v>
      </c>
      <c r="K1336" s="5">
        <f>IFERROR(VLOOKUP($G1336,今日總結!$A:$AN,40,0),"")</f>
        <v>0</v>
      </c>
      <c r="L1336" s="156">
        <f>IFERROR(VLOOKUP($G1336,今日總結!$A:$AN,37,0),"")</f>
        <v>0</v>
      </c>
      <c r="M1336" s="337">
        <f>IFERROR(VLOOKUP($G1336,今日總結!$A:$AN,38,0),"")</f>
        <v>0</v>
      </c>
      <c r="N1336" s="240">
        <f t="shared" si="232"/>
        <v>0</v>
      </c>
      <c r="O1336" s="359">
        <f>IFERROR(VLOOKUP($G1336,融外自投!$A:$J,7,0),"無")</f>
        <v>619</v>
      </c>
      <c r="P1336" s="79" t="str">
        <f>IFERROR(VLOOKUP($G1336,融外自投!$A:$J,9,0),"無")</f>
        <v>無</v>
      </c>
      <c r="Q1336" s="342">
        <f>IFERROR(VLOOKUP($G1336,融外自投!$A:$J,8,0),"無")</f>
        <v>981</v>
      </c>
      <c r="R1336" s="81" t="str">
        <f>IFERROR(VLOOKUP($G1336,融外自投!$A:$J,10,0),"無")</f>
        <v>無</v>
      </c>
      <c r="S1336" s="324">
        <f>IFERROR(VLOOKUP($G1336,'321買'!$A:$E,4,0),"'沒有資料'")</f>
        <v>1002</v>
      </c>
      <c r="T1336" s="186">
        <f>IFERROR(VLOOKUP($G1336,基本資料!$A:$J,9,0),"無")</f>
        <v>0.14000000000000001</v>
      </c>
      <c r="U1336" s="307">
        <f t="shared" si="228"/>
        <v>7.216494845360826E-3</v>
      </c>
      <c r="V1336" s="94">
        <f>IFERROR(VLOOKUP($G1336,基本資料!$A:$J,10,0),"無")</f>
        <v>0.33</v>
      </c>
      <c r="W1336" s="36">
        <f>RTD("money.excel",,"5398","Price")</f>
        <v>19.399999999999999</v>
      </c>
      <c r="X1336" s="66"/>
      <c r="Y1336" s="15">
        <f t="shared" si="229"/>
        <v>19.399999999999999</v>
      </c>
      <c r="Z1336" s="3" t="e">
        <f t="shared" si="230"/>
        <v>#DIV/0!</v>
      </c>
      <c r="AA1336" s="340">
        <f>IFERROR(VLOOKUP($G1336,基本資料!$A:$M,11,0),"無")</f>
        <v>-12.42</v>
      </c>
      <c r="AB1336" s="389">
        <f>IFERROR(VLOOKUP($G1336,基本資料!$A:$M,12,0),"無")</f>
        <v>41.51</v>
      </c>
      <c r="AC1336" s="16" t="s">
        <v>2985</v>
      </c>
      <c r="AF1336" s="33">
        <f t="shared" si="231"/>
        <v>0</v>
      </c>
      <c r="AG1336" s="43" t="s">
        <v>2988</v>
      </c>
      <c r="AH1336" s="66">
        <f t="shared" si="226"/>
        <v>0.45729657027572296</v>
      </c>
      <c r="AI1336" s="283">
        <f>RTD("money.excel",,$G1336,"PredictVolume")</f>
        <v>34</v>
      </c>
      <c r="AJ1336" s="391">
        <f>IFERROR(VLOOKUP($G1336,基本資料!$A:$M,13,0),"無")</f>
        <v>74.349999999999994</v>
      </c>
      <c r="AR1336" s="245" t="str">
        <f>INDEX(基本資料!N:N,MATCH($G1336,基本資料!A:A,0))</f>
        <v>低</v>
      </c>
    </row>
    <row r="1337" spans="1:44">
      <c r="A1337" s="343">
        <f>IFERROR(VLOOKUP($G1337,基本資料!$A:$J,3,0),"無")</f>
        <v>12.23</v>
      </c>
      <c r="B1337" s="79">
        <f>IFERROR(VLOOKUP($G1337,基本資料!$A:$J,4,0),"無")</f>
        <v>126</v>
      </c>
      <c r="C1337" s="79">
        <f>IFERROR(VLOOKUP($G1337,基本資料!$A:$J,5,0),"無")</f>
        <v>68</v>
      </c>
      <c r="D1337" s="79">
        <f>IFERROR(VLOOKUP($G1337,基本資料!$A:$J,6,0),"無")</f>
        <v>-17</v>
      </c>
      <c r="E1337" s="79">
        <f>IFERROR(VLOOKUP($G1337,基本資料!$A:$J,7,0),"無")</f>
        <v>3</v>
      </c>
      <c r="F1337" s="6">
        <f>IFERROR(VLOOKUP($G1337,基本資料!$A:$J,8,0),"無")</f>
        <v>5.69</v>
      </c>
      <c r="G1337" s="79">
        <v>5450</v>
      </c>
      <c r="H1337" s="8" t="s">
        <v>1959</v>
      </c>
      <c r="I1337" s="16" t="s">
        <v>2986</v>
      </c>
      <c r="J1337" s="8">
        <f>IFERROR(VLOOKUP($G1337,今日總結!$A:$AN,39,0),"")</f>
        <v>0</v>
      </c>
      <c r="K1337" s="5">
        <f>IFERROR(VLOOKUP($G1337,今日總結!$A:$AN,40,0),"")</f>
        <v>0</v>
      </c>
      <c r="L1337" s="156">
        <f>IFERROR(VLOOKUP($G1337,今日總結!$A:$AN,37,0),"")</f>
        <v>0</v>
      </c>
      <c r="M1337" s="337">
        <f>IFERROR(VLOOKUP($G1337,今日總結!$A:$AN,38,0),"")</f>
        <v>0</v>
      </c>
      <c r="N1337" s="240">
        <f t="shared" si="232"/>
        <v>0</v>
      </c>
      <c r="O1337" s="359">
        <f>IFERROR(VLOOKUP($G1337,融外自投!$A:$J,7,0),"無")</f>
        <v>614</v>
      </c>
      <c r="P1337" s="79" t="str">
        <f>IFERROR(VLOOKUP($G1337,融外自投!$A:$J,9,0),"無")</f>
        <v>無</v>
      </c>
      <c r="Q1337" s="342">
        <f>IFERROR(VLOOKUP($G1337,融外自投!$A:$J,8,0),"無")</f>
        <v>1416</v>
      </c>
      <c r="R1337" s="81" t="str">
        <f>IFERROR(VLOOKUP($G1337,融外自投!$A:$J,10,0),"無")</f>
        <v>無</v>
      </c>
      <c r="S1337" s="324">
        <f>IFERROR(VLOOKUP($G1337,'321買'!$A:$E,4,0),"'沒有資料'")</f>
        <v>1002</v>
      </c>
      <c r="T1337" s="186">
        <f>IFERROR(VLOOKUP($G1337,基本資料!$A:$J,9,0),"無")</f>
        <v>0.6</v>
      </c>
      <c r="U1337" s="307">
        <f t="shared" si="228"/>
        <v>3.3613445378151259E-2</v>
      </c>
      <c r="V1337" s="94">
        <f>IFERROR(VLOOKUP($G1337,基本資料!$A:$J,10,0),"無")</f>
        <v>1.23</v>
      </c>
      <c r="W1337" s="36">
        <f>RTD("money.excel",,"5450","Price")</f>
        <v>17.850000000000001</v>
      </c>
      <c r="X1337" s="66"/>
      <c r="Y1337" s="15">
        <f t="shared" si="229"/>
        <v>17.850000000000001</v>
      </c>
      <c r="Z1337" s="3" t="e">
        <f t="shared" si="230"/>
        <v>#DIV/0!</v>
      </c>
      <c r="AA1337" s="340">
        <f>IFERROR(VLOOKUP($G1337,基本資料!$A:$M,11,0),"無")</f>
        <v>-22.39</v>
      </c>
      <c r="AB1337" s="389">
        <f>IFERROR(VLOOKUP($G1337,基本資料!$A:$M,12,0),"無")</f>
        <v>34.72</v>
      </c>
      <c r="AC1337" s="16" t="s">
        <v>2986</v>
      </c>
      <c r="AF1337" s="33">
        <f t="shared" si="231"/>
        <v>0</v>
      </c>
      <c r="AG1337" s="43" t="s">
        <v>2989</v>
      </c>
      <c r="AH1337" s="66">
        <f t="shared" si="226"/>
        <v>0.92796092796092788</v>
      </c>
      <c r="AI1337" s="283">
        <f>RTD("money.excel",,$G1337,"PredictVolume")</f>
        <v>38</v>
      </c>
      <c r="AJ1337" s="391">
        <f>IFERROR(VLOOKUP($G1337,基本資料!$A:$M,13,0),"無")</f>
        <v>40.950000000000003</v>
      </c>
      <c r="AR1337" s="245" t="str">
        <f>INDEX(基本資料!N:N,MATCH($G1337,基本資料!A:A,0))</f>
        <v>低</v>
      </c>
    </row>
    <row r="1338" spans="1:44">
      <c r="A1338" s="343">
        <f>IFERROR(VLOOKUP($G1338,基本資料!$A:$J,3,0),"無")</f>
        <v>7.34</v>
      </c>
      <c r="B1338" s="79">
        <f>IFERROR(VLOOKUP($G1338,基本資料!$A:$J,4,0),"無")</f>
        <v>-70</v>
      </c>
      <c r="C1338" s="79">
        <f>IFERROR(VLOOKUP($G1338,基本資料!$A:$J,5,0),"無")</f>
        <v>28</v>
      </c>
      <c r="D1338" s="79">
        <f>IFERROR(VLOOKUP($G1338,基本資料!$A:$J,6,0),"無")</f>
        <v>-9</v>
      </c>
      <c r="E1338" s="79">
        <f>IFERROR(VLOOKUP($G1338,基本資料!$A:$J,7,0),"無")</f>
        <v>-9</v>
      </c>
      <c r="F1338" s="6">
        <f>IFERROR(VLOOKUP($G1338,基本資料!$A:$J,8,0),"無")</f>
        <v>-27.72</v>
      </c>
      <c r="G1338" s="79">
        <v>5481</v>
      </c>
      <c r="H1338" s="8" t="s">
        <v>1959</v>
      </c>
      <c r="I1338" s="16" t="s">
        <v>2987</v>
      </c>
      <c r="J1338" s="8">
        <f>IFERROR(VLOOKUP($G1338,今日總結!$A:$AN,39,0),"")</f>
        <v>0</v>
      </c>
      <c r="K1338" s="5">
        <f>IFERROR(VLOOKUP($G1338,今日總結!$A:$AN,40,0),"")</f>
        <v>0</v>
      </c>
      <c r="L1338" s="156">
        <f>IFERROR(VLOOKUP($G1338,今日總結!$A:$AN,37,0),"")</f>
        <v>0</v>
      </c>
      <c r="M1338" s="337">
        <f>IFERROR(VLOOKUP($G1338,今日總結!$A:$AN,38,0),"")</f>
        <v>0</v>
      </c>
      <c r="N1338" s="240">
        <f t="shared" si="232"/>
        <v>0</v>
      </c>
      <c r="O1338" s="359">
        <f>IFERROR(VLOOKUP($G1338,融外自投!$A:$J,7,0),"無")</f>
        <v>516</v>
      </c>
      <c r="P1338" s="79">
        <f>IFERROR(VLOOKUP($G1338,融外自投!$A:$J,9,0),"無")</f>
        <v>946</v>
      </c>
      <c r="Q1338" s="342">
        <f>IFERROR(VLOOKUP($G1338,融外自投!$A:$J,8,0),"無")</f>
        <v>205</v>
      </c>
      <c r="R1338" s="81" t="str">
        <f>IFERROR(VLOOKUP($G1338,融外自投!$A:$J,10,0),"無")</f>
        <v>無</v>
      </c>
      <c r="S1338" s="324">
        <f>IFERROR(VLOOKUP($G1338,'321買'!$A:$E,4,0),"'沒有資料'")</f>
        <v>801</v>
      </c>
      <c r="T1338" s="186">
        <f>IFERROR(VLOOKUP($G1338,基本資料!$A:$J,9,0),"無")</f>
        <v>0.6</v>
      </c>
      <c r="U1338" s="307">
        <f t="shared" si="228"/>
        <v>4.8387096774193547E-2</v>
      </c>
      <c r="V1338" s="94">
        <f>IFERROR(VLOOKUP($G1338,基本資料!$A:$J,10,0),"無")</f>
        <v>1.81</v>
      </c>
      <c r="W1338" s="36">
        <f>RTD("money.excel",,"5481","Price")</f>
        <v>12.4</v>
      </c>
      <c r="X1338" s="66"/>
      <c r="Y1338" s="15">
        <f t="shared" si="229"/>
        <v>12.4</v>
      </c>
      <c r="Z1338" s="3" t="e">
        <f t="shared" si="230"/>
        <v>#DIV/0!</v>
      </c>
      <c r="AA1338" s="340">
        <f>IFERROR(VLOOKUP($G1338,基本資料!$A:$M,11,0),"無")</f>
        <v>-12.06</v>
      </c>
      <c r="AB1338" s="389">
        <f>IFERROR(VLOOKUP($G1338,基本資料!$A:$M,12,0),"無")</f>
        <v>24.76</v>
      </c>
      <c r="AC1338" s="16" t="s">
        <v>2987</v>
      </c>
      <c r="AF1338" s="33">
        <f t="shared" si="231"/>
        <v>0</v>
      </c>
      <c r="AG1338" s="43" t="s">
        <v>2990</v>
      </c>
      <c r="AH1338" s="66">
        <f t="shared" si="226"/>
        <v>0.22556390977443611</v>
      </c>
      <c r="AI1338" s="283">
        <f>RTD("money.excel",,$G1338,"PredictVolume")</f>
        <v>36</v>
      </c>
      <c r="AJ1338" s="391">
        <f>IFERROR(VLOOKUP($G1338,基本資料!$A:$M,13,0),"無")</f>
        <v>159.6</v>
      </c>
      <c r="AR1338" s="245" t="str">
        <f>INDEX(基本資料!N:N,MATCH($G1338,基本資料!A:A,0))</f>
        <v>低</v>
      </c>
    </row>
    <row r="1339" spans="1:44">
      <c r="A1339" s="343">
        <f>IFERROR(VLOOKUP($G1339,基本資料!$A:$J,3,0),"無")</f>
        <v>42</v>
      </c>
      <c r="B1339" s="79">
        <f>IFERROR(VLOOKUP($G1339,基本資料!$A:$J,4,0),"無")</f>
        <v>5</v>
      </c>
      <c r="C1339" s="79">
        <f>IFERROR(VLOOKUP($G1339,基本資料!$A:$J,5,0),"無")</f>
        <v>-19</v>
      </c>
      <c r="D1339" s="79">
        <f>IFERROR(VLOOKUP($G1339,基本資料!$A:$J,6,0),"無")</f>
        <v>-22</v>
      </c>
      <c r="E1339" s="79">
        <f>IFERROR(VLOOKUP($G1339,基本資料!$A:$J,7,0),"無")</f>
        <v>14</v>
      </c>
      <c r="F1339" s="6">
        <f>IFERROR(VLOOKUP($G1339,基本資料!$A:$J,8,0),"無")</f>
        <v>32.69</v>
      </c>
      <c r="G1339" s="79">
        <v>5530</v>
      </c>
      <c r="H1339" s="8" t="s">
        <v>1959</v>
      </c>
      <c r="I1339" s="16" t="s">
        <v>146</v>
      </c>
      <c r="J1339" s="8">
        <f>IFERROR(VLOOKUP($G1339,今日總結!$A:$AN,39,0),"")</f>
        <v>0</v>
      </c>
      <c r="K1339" s="5" t="str">
        <f>IFERROR(VLOOKUP($G1339,今日總結!$A:$AN,40,0),"")</f>
        <v>主借</v>
      </c>
      <c r="L1339" s="156">
        <f>IFERROR(VLOOKUP($G1339,今日總結!$A:$AN,37,0),"")</f>
        <v>0</v>
      </c>
      <c r="M1339" s="337">
        <f>IFERROR(VLOOKUP($G1339,今日總結!$A:$AN,38,0),"")</f>
        <v>5</v>
      </c>
      <c r="N1339" s="240">
        <f t="shared" si="232"/>
        <v>-5</v>
      </c>
      <c r="O1339" s="359">
        <f>IFERROR(VLOOKUP($G1339,融外自投!$A:$J,7,0),"無")</f>
        <v>1009</v>
      </c>
      <c r="P1339" s="79">
        <f>IFERROR(VLOOKUP($G1339,融外自投!$A:$J,9,0),"無")</f>
        <v>990</v>
      </c>
      <c r="Q1339" s="342">
        <f>IFERROR(VLOOKUP($G1339,融外自投!$A:$J,8,0),"無")</f>
        <v>55</v>
      </c>
      <c r="R1339" s="81" t="str">
        <f>IFERROR(VLOOKUP($G1339,融外自投!$A:$J,10,0),"無")</f>
        <v>無</v>
      </c>
      <c r="S1339" s="324">
        <f>IFERROR(VLOOKUP($G1339,'321買'!$A:$E,4,0),"'沒有資料'")</f>
        <v>1002</v>
      </c>
      <c r="T1339" s="186">
        <f>IFERROR(VLOOKUP($G1339,基本資料!$A:$J,9,0),"無")</f>
        <v>1.2</v>
      </c>
      <c r="U1339" s="307">
        <f t="shared" si="228"/>
        <v>2.6519337016574586E-2</v>
      </c>
      <c r="V1339" s="94">
        <f>IFERROR(VLOOKUP($G1339,基本資料!$A:$J,10,0),"無")</f>
        <v>3.36</v>
      </c>
      <c r="W1339" s="36">
        <f>RTD("money.excel",,"5530","Price")</f>
        <v>45.25</v>
      </c>
      <c r="X1339" s="66"/>
      <c r="Y1339" s="15">
        <f t="shared" si="229"/>
        <v>45.25</v>
      </c>
      <c r="Z1339" s="3" t="e">
        <f t="shared" si="230"/>
        <v>#DIV/0!</v>
      </c>
      <c r="AA1339" s="340">
        <f>IFERROR(VLOOKUP($G1339,基本資料!$A:$M,11,0),"無")</f>
        <v>-12.64</v>
      </c>
      <c r="AB1339" s="389">
        <f>IFERROR(VLOOKUP($G1339,基本資料!$A:$M,12,0),"無")</f>
        <v>44.71</v>
      </c>
      <c r="AC1339" s="16" t="s">
        <v>146</v>
      </c>
      <c r="AF1339" s="33">
        <f t="shared" si="231"/>
        <v>0</v>
      </c>
      <c r="AG1339" s="117" t="s">
        <v>2466</v>
      </c>
      <c r="AH1339" s="66">
        <f t="shared" si="226"/>
        <v>1.3784307026534564</v>
      </c>
      <c r="AI1339" s="283">
        <f>RTD("money.excel",,$G1339,"PredictVolume")</f>
        <v>3026</v>
      </c>
      <c r="AJ1339" s="391">
        <f>IFERROR(VLOOKUP($G1339,基本資料!$A:$M,13,0),"無")</f>
        <v>2195.25</v>
      </c>
      <c r="AR1339" s="245" t="str">
        <f>INDEX(基本資料!N:N,MATCH($G1339,基本資料!A:A,0))</f>
        <v>低</v>
      </c>
    </row>
    <row r="1340" spans="1:44">
      <c r="A1340" s="343">
        <f>IFERROR(VLOOKUP($G1340,基本資料!$A:$J,3,0),"無")</f>
        <v>145</v>
      </c>
      <c r="B1340" s="79">
        <f>IFERROR(VLOOKUP($G1340,基本資料!$A:$J,4,0),"無")</f>
        <v>29</v>
      </c>
      <c r="C1340" s="79">
        <f>IFERROR(VLOOKUP($G1340,基本資料!$A:$J,5,0),"無")</f>
        <v>41</v>
      </c>
      <c r="D1340" s="79">
        <f>IFERROR(VLOOKUP($G1340,基本資料!$A:$J,6,0),"無")</f>
        <v>-5</v>
      </c>
      <c r="E1340" s="79">
        <f>IFERROR(VLOOKUP($G1340,基本資料!$A:$J,7,0),"無")</f>
        <v>19</v>
      </c>
      <c r="F1340" s="6">
        <f>IFERROR(VLOOKUP($G1340,基本資料!$A:$J,8,0),"無")</f>
        <v>46.4</v>
      </c>
      <c r="G1340" s="79">
        <v>5871</v>
      </c>
      <c r="H1340" s="8" t="s">
        <v>235</v>
      </c>
      <c r="I1340" s="22" t="s">
        <v>255</v>
      </c>
      <c r="J1340" s="8">
        <f>IFERROR(VLOOKUP($G1340,今日總結!$A:$AN,39,0),"")</f>
        <v>0</v>
      </c>
      <c r="K1340" s="5" t="str">
        <f>IFERROR(VLOOKUP($G1340,今日總結!$A:$AN,40,0),"")</f>
        <v>主</v>
      </c>
      <c r="L1340" s="156">
        <f>IFERROR(VLOOKUP($G1340,今日總結!$A:$AN,37,0),"")</f>
        <v>0</v>
      </c>
      <c r="M1340" s="337">
        <f>IFERROR(VLOOKUP($G1340,今日總結!$A:$AN,38,0),"")</f>
        <v>4</v>
      </c>
      <c r="N1340" s="240">
        <f t="shared" si="232"/>
        <v>-4</v>
      </c>
      <c r="O1340" s="359">
        <f>IFERROR(VLOOKUP($G1340,融外自投!$A:$J,7,0),"無")</f>
        <v>1306</v>
      </c>
      <c r="P1340" s="79">
        <f>IFERROR(VLOOKUP($G1340,融外自投!$A:$J,9,0),"無")</f>
        <v>635</v>
      </c>
      <c r="Q1340" s="342">
        <f>IFERROR(VLOOKUP($G1340,融外自投!$A:$J,8,0),"無")</f>
        <v>14</v>
      </c>
      <c r="R1340" s="81">
        <f>IFERROR(VLOOKUP($G1340,融外自投!$A:$J,10,0),"無")</f>
        <v>181</v>
      </c>
      <c r="S1340" s="324">
        <f>IFERROR(VLOOKUP($G1340,'321買'!$A:$E,4,0),"'沒有資料'")</f>
        <v>565</v>
      </c>
      <c r="T1340" s="186">
        <f>IFERROR(VLOOKUP($G1340,基本資料!$A:$J,9,0),"無")</f>
        <v>6.5</v>
      </c>
      <c r="U1340" s="307">
        <f t="shared" si="228"/>
        <v>3.367875647668394E-2</v>
      </c>
      <c r="V1340" s="94">
        <f>IFERROR(VLOOKUP($G1340,基本資料!$A:$J,10,0),"無")</f>
        <v>14.8</v>
      </c>
      <c r="W1340" s="36">
        <f>RTD("money.excel",,"5871","Price")</f>
        <v>193</v>
      </c>
      <c r="X1340" s="66"/>
      <c r="Y1340" s="15">
        <f t="shared" si="229"/>
        <v>193</v>
      </c>
      <c r="Z1340" s="3" t="e">
        <f t="shared" si="230"/>
        <v>#DIV/0!</v>
      </c>
      <c r="AA1340" s="340">
        <f>IFERROR(VLOOKUP($G1340,基本資料!$A:$M,11,0),"無")</f>
        <v>-31.92</v>
      </c>
      <c r="AB1340" s="389">
        <f>IFERROR(VLOOKUP($G1340,基本資料!$A:$M,12,0),"無")</f>
        <v>19.34</v>
      </c>
      <c r="AC1340" s="22" t="s">
        <v>255</v>
      </c>
      <c r="AF1340" s="33">
        <f t="shared" si="231"/>
        <v>0</v>
      </c>
      <c r="AG1340" s="117" t="s">
        <v>2820</v>
      </c>
      <c r="AH1340" s="66">
        <f t="shared" si="226"/>
        <v>1.2867787949755163</v>
      </c>
      <c r="AI1340" s="283">
        <f>RTD("money.excel",,$G1340,"PredictVolume")</f>
        <v>6044</v>
      </c>
      <c r="AJ1340" s="391">
        <f>IFERROR(VLOOKUP($G1340,基本資料!$A:$M,13,0),"無")</f>
        <v>4697</v>
      </c>
      <c r="AR1340" s="245" t="str">
        <f>INDEX(基本資料!N:N,MATCH($G1340,基本資料!A:A,0))</f>
        <v>低</v>
      </c>
    </row>
    <row r="1341" spans="1:44">
      <c r="A1341" s="343">
        <f>IFERROR(VLOOKUP($G1341,基本資料!$A:$J,3,0),"無")</f>
        <v>8.81</v>
      </c>
      <c r="B1341" s="79">
        <f>IFERROR(VLOOKUP($G1341,基本資料!$A:$J,4,0),"無")</f>
        <v>-17</v>
      </c>
      <c r="C1341" s="79">
        <f>IFERROR(VLOOKUP($G1341,基本資料!$A:$J,5,0),"無")</f>
        <v>-28</v>
      </c>
      <c r="D1341" s="79">
        <f>IFERROR(VLOOKUP($G1341,基本資料!$A:$J,6,0),"無")</f>
        <v>-10</v>
      </c>
      <c r="E1341" s="79">
        <f>IFERROR(VLOOKUP($G1341,基本資料!$A:$J,7,0),"無")</f>
        <v>6</v>
      </c>
      <c r="F1341" s="6">
        <f>IFERROR(VLOOKUP($G1341,基本資料!$A:$J,8,0),"無")</f>
        <v>6.45</v>
      </c>
      <c r="G1341" s="79">
        <v>6179</v>
      </c>
      <c r="H1341" s="8" t="s">
        <v>1959</v>
      </c>
      <c r="I1341" s="16" t="s">
        <v>645</v>
      </c>
      <c r="J1341" s="8">
        <f>IFERROR(VLOOKUP($G1341,今日總結!$A:$AN,39,0),"")</f>
        <v>0</v>
      </c>
      <c r="K1341" s="5">
        <f>IFERROR(VLOOKUP($G1341,今日總結!$A:$AN,40,0),"")</f>
        <v>0</v>
      </c>
      <c r="L1341" s="156">
        <f>IFERROR(VLOOKUP($G1341,今日總結!$A:$AN,37,0),"")</f>
        <v>0</v>
      </c>
      <c r="M1341" s="337">
        <f>IFERROR(VLOOKUP($G1341,今日總結!$A:$AN,38,0),"")</f>
        <v>0</v>
      </c>
      <c r="N1341" s="240">
        <f t="shared" si="232"/>
        <v>0</v>
      </c>
      <c r="O1341" s="359">
        <f>IFERROR(VLOOKUP($G1341,融外自投!$A:$J,7,0),"無")</f>
        <v>314</v>
      </c>
      <c r="P1341" s="79" t="str">
        <f>IFERROR(VLOOKUP($G1341,融外自投!$A:$J,9,0),"無")</f>
        <v>無</v>
      </c>
      <c r="Q1341" s="342">
        <f>IFERROR(VLOOKUP($G1341,融外自投!$A:$J,8,0),"無")</f>
        <v>1297</v>
      </c>
      <c r="R1341" s="81" t="str">
        <f>IFERROR(VLOOKUP($G1341,融外自投!$A:$J,10,0),"無")</f>
        <v>無</v>
      </c>
      <c r="S1341" s="324">
        <f>IFERROR(VLOOKUP($G1341,'321買'!$A:$E,4,0),"'沒有資料'")</f>
        <v>743</v>
      </c>
      <c r="T1341" s="186">
        <f>IFERROR(VLOOKUP($G1341,基本資料!$A:$J,9,0),"無")</f>
        <v>1.5</v>
      </c>
      <c r="U1341" s="307">
        <f t="shared" si="228"/>
        <v>4.9916805324459232E-2</v>
      </c>
      <c r="V1341" s="94">
        <f>IFERROR(VLOOKUP($G1341,基本資料!$A:$J,10,0),"無")</f>
        <v>1.84</v>
      </c>
      <c r="W1341" s="36">
        <f>RTD("money.excel",,"6179","Price")</f>
        <v>30.05</v>
      </c>
      <c r="X1341" s="66"/>
      <c r="Y1341" s="15">
        <f t="shared" si="229"/>
        <v>30.05</v>
      </c>
      <c r="Z1341" s="3" t="e">
        <f t="shared" si="230"/>
        <v>#DIV/0!</v>
      </c>
      <c r="AA1341" s="340">
        <f>IFERROR(VLOOKUP($G1341,基本資料!$A:$M,11,0),"無")</f>
        <v>-14.14</v>
      </c>
      <c r="AB1341" s="389">
        <f>IFERROR(VLOOKUP($G1341,基本資料!$A:$M,12,0),"無")</f>
        <v>55.56</v>
      </c>
      <c r="AC1341" s="16" t="s">
        <v>645</v>
      </c>
      <c r="AF1341" s="33">
        <f t="shared" si="231"/>
        <v>0</v>
      </c>
      <c r="AG1341" s="43" t="s">
        <v>2467</v>
      </c>
      <c r="AH1341" s="66">
        <f t="shared" si="226"/>
        <v>0.5672609400324149</v>
      </c>
      <c r="AI1341" s="283">
        <f>RTD("money.excel",,$G1341,"PredictVolume")</f>
        <v>140</v>
      </c>
      <c r="AJ1341" s="391">
        <f>IFERROR(VLOOKUP($G1341,基本資料!$A:$M,13,0),"無")</f>
        <v>246.8</v>
      </c>
      <c r="AR1341" s="245" t="str">
        <f>INDEX(基本資料!N:N,MATCH($G1341,基本資料!A:A,0))</f>
        <v>中</v>
      </c>
    </row>
    <row r="1342" spans="1:44">
      <c r="A1342" s="343">
        <f>IFERROR(VLOOKUP($G1342,基本資料!$A:$J,3,0),"無")</f>
        <v>15.82</v>
      </c>
      <c r="B1342" s="79">
        <f>IFERROR(VLOOKUP($G1342,基本資料!$A:$J,4,0),"無")</f>
        <v>3</v>
      </c>
      <c r="C1342" s="79">
        <f>IFERROR(VLOOKUP($G1342,基本資料!$A:$J,5,0),"無")</f>
        <v>-10</v>
      </c>
      <c r="D1342" s="79">
        <f>IFERROR(VLOOKUP($G1342,基本資料!$A:$J,6,0),"無")</f>
        <v>0</v>
      </c>
      <c r="E1342" s="79">
        <f>IFERROR(VLOOKUP($G1342,基本資料!$A:$J,7,0),"無")</f>
        <v>1</v>
      </c>
      <c r="F1342" s="6">
        <f>IFERROR(VLOOKUP($G1342,基本資料!$A:$J,8,0),"無")</f>
        <v>29.61</v>
      </c>
      <c r="G1342" s="79">
        <v>6184</v>
      </c>
      <c r="H1342" s="8" t="s">
        <v>1959</v>
      </c>
      <c r="I1342" s="22" t="s">
        <v>680</v>
      </c>
      <c r="J1342" s="8">
        <f>IFERROR(VLOOKUP($G1342,今日總結!$A:$AN,39,0),"")</f>
        <v>0</v>
      </c>
      <c r="K1342" s="5">
        <f>IFERROR(VLOOKUP($G1342,今日總結!$A:$AN,40,0),"")</f>
        <v>0</v>
      </c>
      <c r="L1342" s="156">
        <f>IFERROR(VLOOKUP($G1342,今日總結!$A:$AN,37,0),"")</f>
        <v>0</v>
      </c>
      <c r="M1342" s="337">
        <f>IFERROR(VLOOKUP($G1342,今日總結!$A:$AN,38,0),"")</f>
        <v>0</v>
      </c>
      <c r="N1342" s="240">
        <f t="shared" si="232"/>
        <v>0</v>
      </c>
      <c r="O1342" s="359">
        <f>IFERROR(VLOOKUP($G1342,融外自投!$A:$J,7,0),"無")</f>
        <v>1458</v>
      </c>
      <c r="P1342" s="79">
        <f>IFERROR(VLOOKUP($G1342,融外自投!$A:$J,9,0),"無")</f>
        <v>1051</v>
      </c>
      <c r="Q1342" s="342">
        <f>IFERROR(VLOOKUP($G1342,融外自投!$A:$J,8,0),"無")</f>
        <v>973</v>
      </c>
      <c r="R1342" s="81" t="str">
        <f>IFERROR(VLOOKUP($G1342,融外自投!$A:$J,10,0),"無")</f>
        <v>無</v>
      </c>
      <c r="S1342" s="324">
        <f>IFERROR(VLOOKUP($G1342,'321買'!$A:$E,4,0),"'沒有資料'")</f>
        <v>1002</v>
      </c>
      <c r="T1342" s="186">
        <f>IFERROR(VLOOKUP($G1342,基本資料!$A:$J,9,0),"無")</f>
        <v>3</v>
      </c>
      <c r="U1342" s="307">
        <f t="shared" si="228"/>
        <v>6.3829787234042548E-2</v>
      </c>
      <c r="V1342" s="94">
        <f>IFERROR(VLOOKUP($G1342,基本資料!$A:$J,10,0),"無")</f>
        <v>3.51</v>
      </c>
      <c r="W1342" s="36">
        <f>RTD("money.excel",,"6184","Price")</f>
        <v>47</v>
      </c>
      <c r="X1342" s="66"/>
      <c r="Y1342" s="15">
        <f t="shared" si="229"/>
        <v>47</v>
      </c>
      <c r="Z1342" s="3" t="e">
        <f t="shared" si="230"/>
        <v>#DIV/0!</v>
      </c>
      <c r="AA1342" s="340">
        <f>IFERROR(VLOOKUP($G1342,基本資料!$A:$M,11,0),"無")</f>
        <v>-2.08</v>
      </c>
      <c r="AB1342" s="389">
        <f>IFERROR(VLOOKUP($G1342,基本資料!$A:$M,12,0),"無")</f>
        <v>68.19</v>
      </c>
      <c r="AC1342" s="22" t="s">
        <v>680</v>
      </c>
      <c r="AF1342" s="33">
        <f t="shared" si="231"/>
        <v>0</v>
      </c>
      <c r="AG1342" s="43" t="s">
        <v>2821</v>
      </c>
      <c r="AH1342" s="66">
        <f t="shared" si="226"/>
        <v>1.2079378774805867</v>
      </c>
      <c r="AI1342" s="283">
        <f>RTD("money.excel",,$G1342,"PredictVolume")</f>
        <v>70</v>
      </c>
      <c r="AJ1342" s="391">
        <f>IFERROR(VLOOKUP($G1342,基本資料!$A:$M,13,0),"無")</f>
        <v>57.95</v>
      </c>
      <c r="AR1342" s="245" t="str">
        <f>INDEX(基本資料!N:N,MATCH($G1342,基本資料!A:A,0))</f>
        <v>高</v>
      </c>
    </row>
    <row r="1343" spans="1:44">
      <c r="A1343" s="343">
        <f>IFERROR(VLOOKUP($G1343,基本資料!$A:$J,3,0),"無")</f>
        <v>6.17</v>
      </c>
      <c r="B1343" s="79">
        <f>IFERROR(VLOOKUP($G1343,基本資料!$A:$J,4,0),"無")</f>
        <v>23</v>
      </c>
      <c r="C1343" s="79">
        <f>IFERROR(VLOOKUP($G1343,基本資料!$A:$J,5,0),"無")</f>
        <v>120</v>
      </c>
      <c r="D1343" s="79">
        <f>IFERROR(VLOOKUP($G1343,基本資料!$A:$J,6,0),"無")</f>
        <v>-20</v>
      </c>
      <c r="E1343" s="79">
        <f>IFERROR(VLOOKUP($G1343,基本資料!$A:$J,7,0),"無")</f>
        <v>10</v>
      </c>
      <c r="F1343" s="6">
        <f>IFERROR(VLOOKUP($G1343,基本資料!$A:$J,8,0),"無")</f>
        <v>3</v>
      </c>
      <c r="G1343" s="79">
        <v>6199</v>
      </c>
      <c r="H1343" s="8" t="s">
        <v>1959</v>
      </c>
      <c r="I1343" s="16" t="s">
        <v>646</v>
      </c>
      <c r="J1343" s="8" t="str">
        <f>IFERROR(VLOOKUP($G1343,今日總結!$A:$AN,39,0),"")</f>
        <v/>
      </c>
      <c r="K1343" s="5" t="str">
        <f>IFERROR(VLOOKUP($G1343,今日總結!$A:$AN,40,0),"")</f>
        <v/>
      </c>
      <c r="L1343" s="156" t="str">
        <f>IFERROR(VLOOKUP($G1343,今日總結!$A:$AN,37,0),"")</f>
        <v/>
      </c>
      <c r="M1343" s="337" t="str">
        <f>IFERROR(VLOOKUP($G1343,今日總結!$A:$AN,38,0),"")</f>
        <v/>
      </c>
      <c r="N1343" s="240" t="str">
        <f t="shared" si="232"/>
        <v/>
      </c>
      <c r="O1343" s="359" t="str">
        <f>IFERROR(VLOOKUP($G1343,融外自投!$A:$J,7,0),"無")</f>
        <v>無</v>
      </c>
      <c r="P1343" s="79" t="str">
        <f>IFERROR(VLOOKUP($G1343,融外自投!$A:$J,9,0),"無")</f>
        <v>無</v>
      </c>
      <c r="Q1343" s="342" t="str">
        <f>IFERROR(VLOOKUP($G1343,融外自投!$A:$J,8,0),"無")</f>
        <v>無</v>
      </c>
      <c r="R1343" s="81" t="str">
        <f>IFERROR(VLOOKUP($G1343,融外自投!$A:$J,10,0),"無")</f>
        <v>無</v>
      </c>
      <c r="S1343" s="324" t="str">
        <f>IFERROR(VLOOKUP($G1343,'321買'!$A:$E,4,0),"'沒有資料'")</f>
        <v>'沒有資料'</v>
      </c>
      <c r="T1343" s="186">
        <f>IFERROR(VLOOKUP($G1343,基本資料!$A:$J,9,0),"無")</f>
        <v>0</v>
      </c>
      <c r="U1343" s="307">
        <f t="shared" si="228"/>
        <v>0</v>
      </c>
      <c r="V1343" s="94">
        <f>IFERROR(VLOOKUP($G1343,基本資料!$A:$J,10,0),"無")</f>
        <v>0.68</v>
      </c>
      <c r="W1343" s="36">
        <f>RTD("money.excel",,"6199","Price")</f>
        <v>25.1</v>
      </c>
      <c r="X1343" s="66"/>
      <c r="Y1343" s="15">
        <f t="shared" si="229"/>
        <v>25.1</v>
      </c>
      <c r="Z1343" s="3" t="e">
        <f t="shared" si="230"/>
        <v>#DIV/0!</v>
      </c>
      <c r="AA1343" s="340">
        <f>IFERROR(VLOOKUP($G1343,基本資料!$A:$M,11,0),"無")</f>
        <v>-8.06</v>
      </c>
      <c r="AB1343" s="389">
        <f>IFERROR(VLOOKUP($G1343,基本資料!$A:$M,12,0),"無")</f>
        <v>76.84</v>
      </c>
      <c r="AC1343" s="16" t="s">
        <v>646</v>
      </c>
      <c r="AF1343" s="33">
        <f t="shared" si="231"/>
        <v>0</v>
      </c>
      <c r="AG1343" s="43" t="s">
        <v>2468</v>
      </c>
      <c r="AH1343" s="66">
        <f t="shared" si="226"/>
        <v>0.27975343764817451</v>
      </c>
      <c r="AI1343" s="283">
        <f>RTD("money.excel",,$G1343,"PredictVolume")</f>
        <v>59</v>
      </c>
      <c r="AJ1343" s="391">
        <f>IFERROR(VLOOKUP($G1343,基本資料!$A:$M,13,0),"無")</f>
        <v>210.9</v>
      </c>
      <c r="AR1343" s="245" t="str">
        <f>INDEX(基本資料!N:N,MATCH($G1343,基本資料!A:A,0))</f>
        <v>高</v>
      </c>
    </row>
    <row r="1344" spans="1:44">
      <c r="A1344" s="343">
        <f>IFERROR(VLOOKUP($G1344,基本資料!$A:$J,3,0),"無")</f>
        <v>3.16</v>
      </c>
      <c r="B1344" s="79">
        <f>IFERROR(VLOOKUP($G1344,基本資料!$A:$J,4,0),"無")</f>
        <v>50</v>
      </c>
      <c r="C1344" s="79">
        <f>IFERROR(VLOOKUP($G1344,基本資料!$A:$J,5,0),"無")</f>
        <v>32</v>
      </c>
      <c r="D1344" s="79">
        <f>IFERROR(VLOOKUP($G1344,基本資料!$A:$J,6,0),"無")</f>
        <v>131</v>
      </c>
      <c r="E1344" s="79">
        <f>IFERROR(VLOOKUP($G1344,基本資料!$A:$J,7,0),"無")</f>
        <v>118</v>
      </c>
      <c r="F1344" s="6">
        <f>IFERROR(VLOOKUP($G1344,基本資料!$A:$J,8,0),"無")</f>
        <v>-29.29</v>
      </c>
      <c r="G1344" s="79">
        <v>6236</v>
      </c>
      <c r="H1344" s="8" t="s">
        <v>1959</v>
      </c>
      <c r="I1344" s="16" t="s">
        <v>647</v>
      </c>
      <c r="J1344" s="8" t="str">
        <f>IFERROR(VLOOKUP($G1344,今日總結!$A:$AN,39,0),"")</f>
        <v/>
      </c>
      <c r="K1344" s="5" t="str">
        <f>IFERROR(VLOOKUP($G1344,今日總結!$A:$AN,40,0),"")</f>
        <v/>
      </c>
      <c r="L1344" s="156" t="str">
        <f>IFERROR(VLOOKUP($G1344,今日總結!$A:$AN,37,0),"")</f>
        <v/>
      </c>
      <c r="M1344" s="337" t="str">
        <f>IFERROR(VLOOKUP($G1344,今日總結!$A:$AN,38,0),"")</f>
        <v/>
      </c>
      <c r="N1344" s="240" t="str">
        <f t="shared" si="232"/>
        <v/>
      </c>
      <c r="O1344" s="359" t="str">
        <f>IFERROR(VLOOKUP($G1344,融外自投!$A:$J,7,0),"無")</f>
        <v>無</v>
      </c>
      <c r="P1344" s="79" t="str">
        <f>IFERROR(VLOOKUP($G1344,融外自投!$A:$J,9,0),"無")</f>
        <v>無</v>
      </c>
      <c r="Q1344" s="342" t="str">
        <f>IFERROR(VLOOKUP($G1344,融外自投!$A:$J,8,0),"無")</f>
        <v>無</v>
      </c>
      <c r="R1344" s="81" t="str">
        <f>IFERROR(VLOOKUP($G1344,融外自投!$A:$J,10,0),"無")</f>
        <v>無</v>
      </c>
      <c r="S1344" s="324" t="str">
        <f>IFERROR(VLOOKUP($G1344,'321買'!$A:$E,4,0),"'沒有資料'")</f>
        <v>'沒有資料'</v>
      </c>
      <c r="T1344" s="186">
        <f>IFERROR(VLOOKUP($G1344,基本資料!$A:$J,9,0),"無")</f>
        <v>0</v>
      </c>
      <c r="U1344" s="307">
        <f t="shared" si="228"/>
        <v>0</v>
      </c>
      <c r="V1344" s="94">
        <f>IFERROR(VLOOKUP($G1344,基本資料!$A:$J,10,0),"無")</f>
        <v>-0.17</v>
      </c>
      <c r="W1344" s="36">
        <f>RTD("money.excel",,"6236","Price")</f>
        <v>19</v>
      </c>
      <c r="X1344" s="66"/>
      <c r="Y1344" s="15">
        <f t="shared" si="229"/>
        <v>19</v>
      </c>
      <c r="Z1344" s="3" t="e">
        <f t="shared" si="230"/>
        <v>#DIV/0!</v>
      </c>
      <c r="AA1344" s="340">
        <f>IFERROR(VLOOKUP($G1344,基本資料!$A:$M,11,0),"無")</f>
        <v>-11.63</v>
      </c>
      <c r="AB1344" s="389">
        <f>IFERROR(VLOOKUP($G1344,基本資料!$A:$M,12,0),"無")</f>
        <v>86.08</v>
      </c>
      <c r="AC1344" s="16" t="s">
        <v>647</v>
      </c>
      <c r="AF1344" s="33">
        <f t="shared" si="231"/>
        <v>0</v>
      </c>
      <c r="AG1344" s="43" t="s">
        <v>2452</v>
      </c>
      <c r="AH1344" s="66">
        <f t="shared" si="226"/>
        <v>1.9354838709677418</v>
      </c>
      <c r="AI1344" s="283">
        <f>RTD("money.excel",,$G1344,"PredictVolume")</f>
        <v>3</v>
      </c>
      <c r="AJ1344" s="391">
        <f>IFERROR(VLOOKUP($G1344,基本資料!$A:$M,13,0),"無")</f>
        <v>1.55</v>
      </c>
      <c r="AR1344" s="245" t="str">
        <f>INDEX(基本資料!N:N,MATCH($G1344,基本資料!A:A,0))</f>
        <v>高</v>
      </c>
    </row>
    <row r="1345" spans="1:44">
      <c r="A1345" s="343">
        <f>IFERROR(VLOOKUP($G1345,基本資料!$A:$J,3,0),"無")</f>
        <v>13.03</v>
      </c>
      <c r="B1345" s="79">
        <f>IFERROR(VLOOKUP($G1345,基本資料!$A:$J,4,0),"無")</f>
        <v>1</v>
      </c>
      <c r="C1345" s="79">
        <f>IFERROR(VLOOKUP($G1345,基本資料!$A:$J,5,0),"無")</f>
        <v>2</v>
      </c>
      <c r="D1345" s="79">
        <f>IFERROR(VLOOKUP($G1345,基本資料!$A:$J,6,0),"無")</f>
        <v>3</v>
      </c>
      <c r="E1345" s="79">
        <f>IFERROR(VLOOKUP($G1345,基本資料!$A:$J,7,0),"無")</f>
        <v>5</v>
      </c>
      <c r="F1345" s="6">
        <f>IFERROR(VLOOKUP($G1345,基本資料!$A:$J,8,0),"無")</f>
        <v>34.99</v>
      </c>
      <c r="G1345" s="79">
        <v>6464</v>
      </c>
      <c r="H1345" s="8" t="s">
        <v>1959</v>
      </c>
      <c r="I1345" s="22" t="s">
        <v>681</v>
      </c>
      <c r="J1345" s="8">
        <f>IFERROR(VLOOKUP($G1345,今日總結!$A:$AN,39,0),"")</f>
        <v>0</v>
      </c>
      <c r="K1345" s="5">
        <f>IFERROR(VLOOKUP($G1345,今日總結!$A:$AN,40,0),"")</f>
        <v>0</v>
      </c>
      <c r="L1345" s="156">
        <f>IFERROR(VLOOKUP($G1345,今日總結!$A:$AN,37,0),"")</f>
        <v>0</v>
      </c>
      <c r="M1345" s="337">
        <f>IFERROR(VLOOKUP($G1345,今日總結!$A:$AN,38,0),"")</f>
        <v>0</v>
      </c>
      <c r="N1345" s="240">
        <f t="shared" si="232"/>
        <v>0</v>
      </c>
      <c r="O1345" s="359">
        <f>IFERROR(VLOOKUP($G1345,融外自投!$A:$J,7,0),"無")</f>
        <v>1450</v>
      </c>
      <c r="P1345" s="79">
        <f>IFERROR(VLOOKUP($G1345,融外自投!$A:$J,9,0),"無")</f>
        <v>1123</v>
      </c>
      <c r="Q1345" s="342">
        <f>IFERROR(VLOOKUP($G1345,融外自投!$A:$J,8,0),"無")</f>
        <v>1309</v>
      </c>
      <c r="R1345" s="81" t="str">
        <f>IFERROR(VLOOKUP($G1345,融外自投!$A:$J,10,0),"無")</f>
        <v>無</v>
      </c>
      <c r="S1345" s="324">
        <f>IFERROR(VLOOKUP($G1345,'321買'!$A:$E,4,0),"'沒有資料'")</f>
        <v>1002</v>
      </c>
      <c r="T1345" s="186">
        <f>IFERROR(VLOOKUP($G1345,基本資料!$A:$J,9,0),"無")</f>
        <v>4.5999999999999996</v>
      </c>
      <c r="U1345" s="307">
        <f t="shared" si="228"/>
        <v>5.2332195676905564E-2</v>
      </c>
      <c r="V1345" s="94">
        <f>IFERROR(VLOOKUP($G1345,基本資料!$A:$J,10,0),"無")</f>
        <v>8.27</v>
      </c>
      <c r="W1345" s="36">
        <f>RTD("money.excel",,"6464","Price")</f>
        <v>87.9</v>
      </c>
      <c r="X1345" s="66"/>
      <c r="Y1345" s="15">
        <f t="shared" si="229"/>
        <v>87.9</v>
      </c>
      <c r="Z1345" s="3" t="e">
        <f t="shared" si="230"/>
        <v>#DIV/0!</v>
      </c>
      <c r="AA1345" s="340">
        <f>IFERROR(VLOOKUP($G1345,基本資料!$A:$M,11,0),"無")</f>
        <v>-21.52</v>
      </c>
      <c r="AB1345" s="389">
        <f>IFERROR(VLOOKUP($G1345,基本資料!$A:$M,12,0),"無")</f>
        <v>21.37</v>
      </c>
      <c r="AC1345" s="22" t="s">
        <v>681</v>
      </c>
      <c r="AF1345" s="33">
        <f t="shared" si="231"/>
        <v>0</v>
      </c>
      <c r="AG1345" s="43" t="s">
        <v>2821</v>
      </c>
      <c r="AH1345" s="66">
        <f t="shared" si="226"/>
        <v>0.71856287425149701</v>
      </c>
      <c r="AI1345" s="283">
        <f>RTD("money.excel",,$G1345,"PredictVolume")</f>
        <v>6</v>
      </c>
      <c r="AJ1345" s="391">
        <f>IFERROR(VLOOKUP($G1345,基本資料!$A:$M,13,0),"無")</f>
        <v>8.35</v>
      </c>
      <c r="AR1345" s="245" t="str">
        <f>INDEX(基本資料!N:N,MATCH($G1345,基本資料!A:A,0))</f>
        <v>低</v>
      </c>
    </row>
    <row r="1346" spans="1:44">
      <c r="A1346" s="343">
        <f>IFERROR(VLOOKUP($G1346,基本資料!$A:$J,3,0),"無")</f>
        <v>7.26</v>
      </c>
      <c r="B1346" s="79">
        <f>IFERROR(VLOOKUP($G1346,基本資料!$A:$J,4,0),"無")</f>
        <v>-91</v>
      </c>
      <c r="C1346" s="79">
        <f>IFERROR(VLOOKUP($G1346,基本資料!$A:$J,5,0),"無")</f>
        <v>-87</v>
      </c>
      <c r="D1346" s="79">
        <f>IFERROR(VLOOKUP($G1346,基本資料!$A:$J,6,0),"無")</f>
        <v>-3</v>
      </c>
      <c r="E1346" s="79">
        <f>IFERROR(VLOOKUP($G1346,基本資料!$A:$J,7,0),"無")</f>
        <v>-20</v>
      </c>
      <c r="F1346" s="6">
        <f>IFERROR(VLOOKUP($G1346,基本資料!$A:$J,8,0),"無")</f>
        <v>3.89</v>
      </c>
      <c r="G1346" s="79">
        <v>6504</v>
      </c>
      <c r="H1346" s="8" t="s">
        <v>1959</v>
      </c>
      <c r="I1346" s="22" t="s">
        <v>682</v>
      </c>
      <c r="J1346" s="8">
        <f>IFERROR(VLOOKUP($G1346,今日總結!$A:$AN,39,0),"")</f>
        <v>0</v>
      </c>
      <c r="K1346" s="5">
        <f>IFERROR(VLOOKUP($G1346,今日總結!$A:$AN,40,0),"")</f>
        <v>0</v>
      </c>
      <c r="L1346" s="156">
        <f>IFERROR(VLOOKUP($G1346,今日總結!$A:$AN,37,0),"")</f>
        <v>0</v>
      </c>
      <c r="M1346" s="337">
        <f>IFERROR(VLOOKUP($G1346,今日總結!$A:$AN,38,0),"")</f>
        <v>0</v>
      </c>
      <c r="N1346" s="240">
        <f t="shared" si="232"/>
        <v>0</v>
      </c>
      <c r="O1346" s="359">
        <f>IFERROR(VLOOKUP($G1346,融外自投!$A:$J,7,0),"無")</f>
        <v>1026</v>
      </c>
      <c r="P1346" s="79">
        <f>IFERROR(VLOOKUP($G1346,融外自投!$A:$J,9,0),"無")</f>
        <v>383</v>
      </c>
      <c r="Q1346" s="342">
        <f>IFERROR(VLOOKUP($G1346,融外自投!$A:$J,8,0),"無")</f>
        <v>783</v>
      </c>
      <c r="R1346" s="81" t="str">
        <f>IFERROR(VLOOKUP($G1346,融外自投!$A:$J,10,0),"無")</f>
        <v>無</v>
      </c>
      <c r="S1346" s="324">
        <f>IFERROR(VLOOKUP($G1346,'321買'!$A:$E,4,0),"'沒有資料'")</f>
        <v>1002</v>
      </c>
      <c r="T1346" s="186">
        <f>IFERROR(VLOOKUP($G1346,基本資料!$A:$J,9,0),"無")</f>
        <v>1.2</v>
      </c>
      <c r="U1346" s="307">
        <f t="shared" si="228"/>
        <v>1.4268727705112961E-2</v>
      </c>
      <c r="V1346" s="94">
        <f>IFERROR(VLOOKUP($G1346,基本資料!$A:$J,10,0),"無")</f>
        <v>1.62</v>
      </c>
      <c r="W1346" s="36">
        <f>RTD("money.excel",,"6504","Price")</f>
        <v>84.1</v>
      </c>
      <c r="X1346" s="66"/>
      <c r="Y1346" s="15">
        <f t="shared" si="229"/>
        <v>84.1</v>
      </c>
      <c r="Z1346" s="3" t="e">
        <f t="shared" si="230"/>
        <v>#DIV/0!</v>
      </c>
      <c r="AA1346" s="340">
        <f>IFERROR(VLOOKUP($G1346,基本資料!$A:$M,11,0),"無")</f>
        <v>-46.94</v>
      </c>
      <c r="AB1346" s="389">
        <f>IFERROR(VLOOKUP($G1346,基本資料!$A:$M,12,0),"無")</f>
        <v>7.77</v>
      </c>
      <c r="AC1346" s="22" t="s">
        <v>682</v>
      </c>
      <c r="AF1346" s="33">
        <f t="shared" si="231"/>
        <v>0</v>
      </c>
      <c r="AG1346" s="43" t="s">
        <v>2534</v>
      </c>
      <c r="AH1346" s="66">
        <f t="shared" si="226"/>
        <v>0.75805432722678456</v>
      </c>
      <c r="AI1346" s="283">
        <f>RTD("money.excel",,$G1346,"PredictVolume")</f>
        <v>60</v>
      </c>
      <c r="AJ1346" s="391">
        <f>IFERROR(VLOOKUP($G1346,基本資料!$A:$M,13,0),"無")</f>
        <v>79.150000000000006</v>
      </c>
      <c r="AR1346" s="245" t="str">
        <f>INDEX(基本資料!N:N,MATCH($G1346,基本資料!A:A,0))</f>
        <v>低</v>
      </c>
    </row>
    <row r="1347" spans="1:44">
      <c r="A1347" s="343">
        <f>IFERROR(VLOOKUP($G1347,基本資料!$A:$J,3,0),"無")</f>
        <v>11.12</v>
      </c>
      <c r="B1347" s="79">
        <f>IFERROR(VLOOKUP($G1347,基本資料!$A:$J,4,0),"無")</f>
        <v>38</v>
      </c>
      <c r="C1347" s="79">
        <f>IFERROR(VLOOKUP($G1347,基本資料!$A:$J,5,0),"無")</f>
        <v>37</v>
      </c>
      <c r="D1347" s="79">
        <f>IFERROR(VLOOKUP($G1347,基本資料!$A:$J,6,0),"無")</f>
        <v>79</v>
      </c>
      <c r="E1347" s="79">
        <f>IFERROR(VLOOKUP($G1347,基本資料!$A:$J,7,0),"無")</f>
        <v>69</v>
      </c>
      <c r="F1347" s="6">
        <f>IFERROR(VLOOKUP($G1347,基本資料!$A:$J,8,0),"無")</f>
        <v>39.31</v>
      </c>
      <c r="G1347" s="79">
        <v>6581</v>
      </c>
      <c r="H1347" s="8" t="s">
        <v>1959</v>
      </c>
      <c r="I1347" s="22" t="s">
        <v>683</v>
      </c>
      <c r="J1347" s="8" t="str">
        <f>IFERROR(VLOOKUP($G1347,今日總結!$A:$AN,39,0),"")</f>
        <v>外</v>
      </c>
      <c r="K1347" s="5" t="str">
        <f>IFERROR(VLOOKUP($G1347,今日總結!$A:$AN,40,0),"")</f>
        <v>融</v>
      </c>
      <c r="L1347" s="156">
        <f>IFERROR(VLOOKUP($G1347,今日總結!$A:$AN,37,0),"")</f>
        <v>1</v>
      </c>
      <c r="M1347" s="337">
        <f>IFERROR(VLOOKUP($G1347,今日總結!$A:$AN,38,0),"")</f>
        <v>3</v>
      </c>
      <c r="N1347" s="240">
        <f t="shared" si="232"/>
        <v>-2</v>
      </c>
      <c r="O1347" s="359">
        <f>IFERROR(VLOOKUP($G1347,融外自投!$A:$J,7,0),"無")</f>
        <v>1123</v>
      </c>
      <c r="P1347" s="79">
        <f>IFERROR(VLOOKUP($G1347,融外自投!$A:$J,9,0),"無")</f>
        <v>990</v>
      </c>
      <c r="Q1347" s="342">
        <f>IFERROR(VLOOKUP($G1347,融外自投!$A:$J,8,0),"無")</f>
        <v>1043</v>
      </c>
      <c r="R1347" s="81" t="str">
        <f>IFERROR(VLOOKUP($G1347,融外自投!$A:$J,10,0),"無")</f>
        <v>無</v>
      </c>
      <c r="S1347" s="324">
        <f>IFERROR(VLOOKUP($G1347,'321買'!$A:$E,4,0),"'沒有資料'")</f>
        <v>1002</v>
      </c>
      <c r="T1347" s="186">
        <f>IFERROR(VLOOKUP($G1347,基本資料!$A:$J,9,0),"無")</f>
        <v>4</v>
      </c>
      <c r="U1347" s="307">
        <f t="shared" si="228"/>
        <v>4.8019207683073231E-2</v>
      </c>
      <c r="V1347" s="94">
        <f>IFERROR(VLOOKUP($G1347,基本資料!$A:$J,10,0),"無")</f>
        <v>5.08</v>
      </c>
      <c r="W1347" s="36">
        <f>RTD("money.excel",,"6581","Price")</f>
        <v>83.3</v>
      </c>
      <c r="X1347" s="66"/>
      <c r="Y1347" s="15">
        <f t="shared" si="229"/>
        <v>83.3</v>
      </c>
      <c r="Z1347" s="3" t="e">
        <f t="shared" si="230"/>
        <v>#DIV/0!</v>
      </c>
      <c r="AA1347" s="340">
        <f>IFERROR(VLOOKUP($G1347,基本資料!$A:$M,11,0),"無")</f>
        <v>-30.29</v>
      </c>
      <c r="AB1347" s="389">
        <f>IFERROR(VLOOKUP($G1347,基本資料!$A:$M,12,0),"無")</f>
        <v>26.2</v>
      </c>
      <c r="AC1347" s="22" t="s">
        <v>683</v>
      </c>
      <c r="AF1347" s="33">
        <f t="shared" si="231"/>
        <v>0</v>
      </c>
      <c r="AG1347" s="43" t="s">
        <v>2822</v>
      </c>
      <c r="AH1347" s="66">
        <f t="shared" si="226"/>
        <v>0.16919435434382396</v>
      </c>
      <c r="AI1347" s="283">
        <f>RTD("money.excel",,$G1347,"PredictVolume")</f>
        <v>193</v>
      </c>
      <c r="AJ1347" s="391">
        <f>IFERROR(VLOOKUP($G1347,基本資料!$A:$M,13,0),"無")</f>
        <v>1140.7</v>
      </c>
      <c r="AR1347" s="245" t="str">
        <f>INDEX(基本資料!N:N,MATCH($G1347,基本資料!A:A,0))</f>
        <v>低</v>
      </c>
    </row>
    <row r="1348" spans="1:44">
      <c r="A1348" s="343" t="str">
        <f>IFERROR(VLOOKUP($G1348,基本資料!$A:$J,3,0),"無")</f>
        <v>無</v>
      </c>
      <c r="B1348" s="79" t="str">
        <f>IFERROR(VLOOKUP($G1348,基本資料!$A:$J,4,0),"無")</f>
        <v>無</v>
      </c>
      <c r="C1348" s="79" t="str">
        <f>IFERROR(VLOOKUP($G1348,基本資料!$A:$J,5,0),"無")</f>
        <v>無</v>
      </c>
      <c r="D1348" s="79" t="str">
        <f>IFERROR(VLOOKUP($G1348,基本資料!$A:$J,6,0),"無")</f>
        <v>無</v>
      </c>
      <c r="E1348" s="79" t="str">
        <f>IFERROR(VLOOKUP($G1348,基本資料!$A:$J,7,0),"無")</f>
        <v>無</v>
      </c>
      <c r="F1348" s="6" t="str">
        <f>IFERROR(VLOOKUP($G1348,基本資料!$A:$J,8,0),"無")</f>
        <v>無</v>
      </c>
      <c r="G1348" s="79">
        <v>6585</v>
      </c>
      <c r="H1348" s="8" t="s">
        <v>235</v>
      </c>
      <c r="I1348" s="22" t="s">
        <v>6693</v>
      </c>
      <c r="J1348" s="8" t="str">
        <f>IFERROR(VLOOKUP($G1348,今日總結!$A:$AN,39,0),"")</f>
        <v/>
      </c>
      <c r="K1348" s="5" t="str">
        <f>IFERROR(VLOOKUP($G1348,今日總結!$A:$AN,40,0),"")</f>
        <v/>
      </c>
      <c r="L1348" s="156" t="str">
        <f>IFERROR(VLOOKUP($G1348,今日總結!$A:$AN,37,0),"")</f>
        <v/>
      </c>
      <c r="M1348" s="337" t="str">
        <f>IFERROR(VLOOKUP($G1348,今日總結!$A:$AN,38,0),"")</f>
        <v/>
      </c>
      <c r="N1348" s="240" t="str">
        <f t="shared" si="232"/>
        <v/>
      </c>
      <c r="O1348" s="359" t="str">
        <f>IFERROR(VLOOKUP($G1348,融外自投!$A:$J,7,0),"無")</f>
        <v>無</v>
      </c>
      <c r="P1348" s="79" t="str">
        <f>IFERROR(VLOOKUP($G1348,融外自投!$A:$J,9,0),"無")</f>
        <v>無</v>
      </c>
      <c r="Q1348" s="342" t="str">
        <f>IFERROR(VLOOKUP($G1348,融外自投!$A:$J,8,0),"無")</f>
        <v>無</v>
      </c>
      <c r="R1348" s="81" t="str">
        <f>IFERROR(VLOOKUP($G1348,融外自投!$A:$J,10,0),"無")</f>
        <v>無</v>
      </c>
      <c r="S1348" s="324" t="str">
        <f>IFERROR(VLOOKUP($G1348,'321買'!$A:$E,4,0),"'沒有資料'")</f>
        <v>'沒有資料'</v>
      </c>
      <c r="T1348" s="186" t="str">
        <f>IFERROR(VLOOKUP($G1348,基本資料!$A:$J,9,0),"無")</f>
        <v>無</v>
      </c>
      <c r="U1348" s="307" t="e">
        <f t="shared" si="228"/>
        <v>#VALUE!</v>
      </c>
      <c r="V1348" s="94" t="str">
        <f>IFERROR(VLOOKUP($G1348,基本資料!$A:$J,10,0),"無")</f>
        <v>無</v>
      </c>
      <c r="W1348" s="36">
        <f>RTD("money.excel",,"6585","Price")</f>
        <v>67</v>
      </c>
      <c r="X1348" s="66"/>
      <c r="Y1348" s="15">
        <f t="shared" ref="Y1348" si="233">W1348-X1348</f>
        <v>67</v>
      </c>
      <c r="Z1348" s="3" t="e">
        <f t="shared" ref="Z1348" si="234">Y1348/X1348</f>
        <v>#DIV/0!</v>
      </c>
      <c r="AA1348" s="340" t="str">
        <f>IFERROR(VLOOKUP($G1348,基本資料!$A:$M,11,0),"無")</f>
        <v>無</v>
      </c>
      <c r="AB1348" s="389" t="str">
        <f>IFERROR(VLOOKUP($G1348,基本資料!$A:$M,12,0),"無")</f>
        <v>無</v>
      </c>
      <c r="AC1348" s="22" t="s">
        <v>6693</v>
      </c>
      <c r="AF1348" s="33">
        <f t="shared" ref="AF1348" si="235">AE1348-AD1348</f>
        <v>0</v>
      </c>
      <c r="AG1348" s="43" t="s">
        <v>6694</v>
      </c>
      <c r="AH1348" s="66" t="e">
        <f t="shared" si="226"/>
        <v>#VALUE!</v>
      </c>
      <c r="AI1348" s="283">
        <f>RTD("money.excel",,$G1348,"PredictVolume")</f>
        <v>17</v>
      </c>
      <c r="AJ1348" s="391" t="str">
        <f>IFERROR(VLOOKUP($G1348,基本資料!$A:$M,13,0),"無")</f>
        <v>無</v>
      </c>
      <c r="AR1348" s="245" t="e">
        <f>INDEX(基本資料!N:N,MATCH($G1348,基本資料!A:A,0))</f>
        <v>#N/A</v>
      </c>
    </row>
    <row r="1349" spans="1:44">
      <c r="A1349" s="343">
        <f>IFERROR(VLOOKUP($G1349,基本資料!$A:$J,3,0),"無")</f>
        <v>51.5</v>
      </c>
      <c r="B1349" s="79">
        <f>IFERROR(VLOOKUP($G1349,基本資料!$A:$J,4,0),"無")</f>
        <v>26</v>
      </c>
      <c r="C1349" s="79">
        <f>IFERROR(VLOOKUP($G1349,基本資料!$A:$J,5,0),"無")</f>
        <v>34</v>
      </c>
      <c r="D1349" s="79">
        <f>IFERROR(VLOOKUP($G1349,基本資料!$A:$J,6,0),"無")</f>
        <v>-1</v>
      </c>
      <c r="E1349" s="79">
        <f>IFERROR(VLOOKUP($G1349,基本資料!$A:$J,7,0),"無")</f>
        <v>24</v>
      </c>
      <c r="F1349" s="6">
        <f>IFERROR(VLOOKUP($G1349,基本資料!$A:$J,8,0),"無")</f>
        <v>24.07</v>
      </c>
      <c r="G1349" s="79">
        <v>6592</v>
      </c>
      <c r="H1349" s="8" t="s">
        <v>1959</v>
      </c>
      <c r="I1349" s="153" t="s">
        <v>1735</v>
      </c>
      <c r="J1349" s="8">
        <f>IFERROR(VLOOKUP($G1349,今日總結!$A:$AN,39,0),"")</f>
        <v>0</v>
      </c>
      <c r="K1349" s="5">
        <f>IFERROR(VLOOKUP($G1349,今日總結!$A:$AN,40,0),"")</f>
        <v>0</v>
      </c>
      <c r="L1349" s="156">
        <f>IFERROR(VLOOKUP($G1349,今日總結!$A:$AN,37,0),"")</f>
        <v>0</v>
      </c>
      <c r="M1349" s="337">
        <f>IFERROR(VLOOKUP($G1349,今日總結!$A:$AN,38,0),"")</f>
        <v>0</v>
      </c>
      <c r="N1349" s="240">
        <f t="shared" si="232"/>
        <v>0</v>
      </c>
      <c r="O1349" s="359">
        <f>IFERROR(VLOOKUP($G1349,融外自投!$A:$J,7,0),"無")</f>
        <v>1235</v>
      </c>
      <c r="P1349" s="79">
        <f>IFERROR(VLOOKUP($G1349,融外自投!$A:$J,9,0),"無")</f>
        <v>869</v>
      </c>
      <c r="Q1349" s="342">
        <f>IFERROR(VLOOKUP($G1349,融外自投!$A:$J,8,0),"無")</f>
        <v>197</v>
      </c>
      <c r="R1349" s="81">
        <f>IFERROR(VLOOKUP($G1349,融外自投!$A:$J,10,0),"無")</f>
        <v>369</v>
      </c>
      <c r="S1349" s="324">
        <f>IFERROR(VLOOKUP($G1349,'321買'!$A:$E,4,0),"'沒有資料'")</f>
        <v>696</v>
      </c>
      <c r="T1349" s="186">
        <f>IFERROR(VLOOKUP($G1349,基本資料!$A:$J,9,0),"無")</f>
        <v>4.2</v>
      </c>
      <c r="U1349" s="307">
        <f t="shared" si="228"/>
        <v>4.2253521126760563E-2</v>
      </c>
      <c r="V1349" s="94">
        <f>IFERROR(VLOOKUP($G1349,基本資料!$A:$J,10,0),"無")</f>
        <v>6.1</v>
      </c>
      <c r="W1349" s="36">
        <f>RTD("money.excel",,"6592","Price")</f>
        <v>99.4</v>
      </c>
      <c r="X1349" s="66"/>
      <c r="Y1349" s="15">
        <f t="shared" si="229"/>
        <v>99.4</v>
      </c>
      <c r="Z1349" s="3" t="e">
        <f t="shared" si="230"/>
        <v>#DIV/0!</v>
      </c>
      <c r="AA1349" s="340">
        <f>IFERROR(VLOOKUP($G1349,基本資料!$A:$M,11,0),"無")</f>
        <v>-23.24</v>
      </c>
      <c r="AB1349" s="389">
        <f>IFERROR(VLOOKUP($G1349,基本資料!$A:$M,12,0),"無")</f>
        <v>18.14</v>
      </c>
      <c r="AC1349" s="22" t="s">
        <v>1735</v>
      </c>
      <c r="AD1349" s="115"/>
      <c r="AE1349" s="126"/>
      <c r="AF1349" s="33">
        <f t="shared" si="231"/>
        <v>0</v>
      </c>
      <c r="AG1349" s="119" t="s">
        <v>1772</v>
      </c>
      <c r="AH1349" s="66">
        <f t="shared" si="226"/>
        <v>0.56574286309647848</v>
      </c>
      <c r="AI1349" s="283">
        <f>RTD("money.excel",,$G1349,"PredictVolume")</f>
        <v>543</v>
      </c>
      <c r="AJ1349" s="391">
        <f>IFERROR(VLOOKUP($G1349,基本資料!$A:$M,13,0),"無")</f>
        <v>959.8</v>
      </c>
      <c r="AR1349" s="245" t="str">
        <f>INDEX(基本資料!N:N,MATCH($G1349,基本資料!A:A,0))</f>
        <v>中</v>
      </c>
    </row>
    <row r="1350" spans="1:44">
      <c r="A1350" s="343">
        <f>IFERROR(VLOOKUP($G1350,基本資料!$A:$J,3,0),"無")</f>
        <v>2.86</v>
      </c>
      <c r="B1350" s="79">
        <f>IFERROR(VLOOKUP($G1350,基本資料!$A:$J,4,0),"無")</f>
        <v>-163</v>
      </c>
      <c r="C1350" s="79">
        <f>IFERROR(VLOOKUP($G1350,基本資料!$A:$J,5,0),"無")</f>
        <v>-78</v>
      </c>
      <c r="D1350" s="79">
        <f>IFERROR(VLOOKUP($G1350,基本資料!$A:$J,6,0),"無")</f>
        <v>-8</v>
      </c>
      <c r="E1350" s="79">
        <f>IFERROR(VLOOKUP($G1350,基本資料!$A:$J,7,0),"無")</f>
        <v>36</v>
      </c>
      <c r="F1350" s="6">
        <f>IFERROR(VLOOKUP($G1350,基本資料!$A:$J,8,0),"無")</f>
        <v>2.38</v>
      </c>
      <c r="G1350" s="79">
        <v>6616</v>
      </c>
      <c r="H1350" s="8" t="s">
        <v>1959</v>
      </c>
      <c r="I1350" s="16" t="s">
        <v>648</v>
      </c>
      <c r="J1350" s="8" t="str">
        <f>IFERROR(VLOOKUP($G1350,今日總結!$A:$AN,39,0),"")</f>
        <v/>
      </c>
      <c r="K1350" s="5" t="str">
        <f>IFERROR(VLOOKUP($G1350,今日總結!$A:$AN,40,0),"")</f>
        <v/>
      </c>
      <c r="L1350" s="156" t="str">
        <f>IFERROR(VLOOKUP($G1350,今日總結!$A:$AN,37,0),"")</f>
        <v/>
      </c>
      <c r="M1350" s="337" t="str">
        <f>IFERROR(VLOOKUP($G1350,今日總結!$A:$AN,38,0),"")</f>
        <v/>
      </c>
      <c r="N1350" s="240" t="str">
        <f t="shared" si="232"/>
        <v/>
      </c>
      <c r="O1350" s="359" t="str">
        <f>IFERROR(VLOOKUP($G1350,融外自投!$A:$J,7,0),"無")</f>
        <v>無</v>
      </c>
      <c r="P1350" s="79" t="str">
        <f>IFERROR(VLOOKUP($G1350,融外自投!$A:$J,9,0),"無")</f>
        <v>無</v>
      </c>
      <c r="Q1350" s="342" t="str">
        <f>IFERROR(VLOOKUP($G1350,融外自投!$A:$J,8,0),"無")</f>
        <v>無</v>
      </c>
      <c r="R1350" s="81" t="str">
        <f>IFERROR(VLOOKUP($G1350,融外自投!$A:$J,10,0),"無")</f>
        <v>無</v>
      </c>
      <c r="S1350" s="324" t="str">
        <f>IFERROR(VLOOKUP($G1350,'321買'!$A:$E,4,0),"'沒有資料'")</f>
        <v>'沒有資料'</v>
      </c>
      <c r="T1350" s="186">
        <f>IFERROR(VLOOKUP($G1350,基本資料!$A:$J,9,0),"無")</f>
        <v>0</v>
      </c>
      <c r="U1350" s="307">
        <f t="shared" si="228"/>
        <v>0</v>
      </c>
      <c r="V1350" s="94">
        <f>IFERROR(VLOOKUP($G1350,基本資料!$A:$J,10,0),"無")</f>
        <v>-1.08</v>
      </c>
      <c r="W1350" s="36">
        <f>RTD("money.excel",,"6616","Price")</f>
        <v>20.2</v>
      </c>
      <c r="X1350" s="66"/>
      <c r="Y1350" s="15">
        <f t="shared" si="229"/>
        <v>20.2</v>
      </c>
      <c r="Z1350" s="3" t="e">
        <f t="shared" si="230"/>
        <v>#DIV/0!</v>
      </c>
      <c r="AA1350" s="340">
        <f>IFERROR(VLOOKUP($G1350,基本資料!$A:$M,11,0),"無")</f>
        <v>-18.22</v>
      </c>
      <c r="AB1350" s="389">
        <f>IFERROR(VLOOKUP($G1350,基本資料!$A:$M,12,0),"無")</f>
        <v>66.58</v>
      </c>
      <c r="AC1350" s="16" t="s">
        <v>648</v>
      </c>
      <c r="AF1350" s="33">
        <f t="shared" si="231"/>
        <v>0</v>
      </c>
      <c r="AG1350" s="43" t="s">
        <v>2469</v>
      </c>
      <c r="AH1350" s="66">
        <f t="shared" ref="AH1350:AH1413" si="236">AI1350/AJ1350</f>
        <v>1.9860973187686195</v>
      </c>
      <c r="AI1350" s="283">
        <f>RTD("money.excel",,$G1350,"PredictVolume")</f>
        <v>100</v>
      </c>
      <c r="AJ1350" s="391">
        <f>IFERROR(VLOOKUP($G1350,基本資料!$A:$M,13,0),"無")</f>
        <v>50.35</v>
      </c>
      <c r="AR1350" s="245" t="str">
        <f>INDEX(基本資料!N:N,MATCH($G1350,基本資料!A:A,0))</f>
        <v>中</v>
      </c>
    </row>
    <row r="1351" spans="1:44">
      <c r="A1351" s="343">
        <f>IFERROR(VLOOKUP($G1351,基本資料!$A:$J,3,0),"無")</f>
        <v>1.8</v>
      </c>
      <c r="B1351" s="79">
        <f>IFERROR(VLOOKUP($G1351,基本資料!$A:$J,4,0),"無")</f>
        <v>104</v>
      </c>
      <c r="C1351" s="79">
        <f>IFERROR(VLOOKUP($G1351,基本資料!$A:$J,5,0),"無")</f>
        <v>176</v>
      </c>
      <c r="D1351" s="79">
        <f>IFERROR(VLOOKUP($G1351,基本資料!$A:$J,6,0),"無")</f>
        <v>65</v>
      </c>
      <c r="E1351" s="79">
        <f>IFERROR(VLOOKUP($G1351,基本資料!$A:$J,7,0),"無")</f>
        <v>92</v>
      </c>
      <c r="F1351" s="6">
        <f>IFERROR(VLOOKUP($G1351,基本資料!$A:$J,8,0),"無")</f>
        <v>2.57</v>
      </c>
      <c r="G1351" s="79">
        <v>6624</v>
      </c>
      <c r="H1351" s="8" t="s">
        <v>1959</v>
      </c>
      <c r="I1351" s="16" t="s">
        <v>2094</v>
      </c>
      <c r="J1351" s="8" t="str">
        <f>IFERROR(VLOOKUP($G1351,今日總結!$A:$AN,39,0),"")</f>
        <v/>
      </c>
      <c r="K1351" s="5" t="str">
        <f>IFERROR(VLOOKUP($G1351,今日總結!$A:$AN,40,0),"")</f>
        <v/>
      </c>
      <c r="L1351" s="156" t="str">
        <f>IFERROR(VLOOKUP($G1351,今日總結!$A:$AN,37,0),"")</f>
        <v/>
      </c>
      <c r="M1351" s="337" t="str">
        <f>IFERROR(VLOOKUP($G1351,今日總結!$A:$AN,38,0),"")</f>
        <v/>
      </c>
      <c r="N1351" s="240" t="str">
        <f t="shared" si="232"/>
        <v/>
      </c>
      <c r="O1351" s="359" t="str">
        <f>IFERROR(VLOOKUP($G1351,融外自投!$A:$J,7,0),"無")</f>
        <v>無</v>
      </c>
      <c r="P1351" s="79" t="str">
        <f>IFERROR(VLOOKUP($G1351,融外自投!$A:$J,9,0),"無")</f>
        <v>無</v>
      </c>
      <c r="Q1351" s="342" t="str">
        <f>IFERROR(VLOOKUP($G1351,融外自投!$A:$J,8,0),"無")</f>
        <v>無</v>
      </c>
      <c r="R1351" s="81" t="str">
        <f>IFERROR(VLOOKUP($G1351,融外自投!$A:$J,10,0),"無")</f>
        <v>無</v>
      </c>
      <c r="S1351" s="324" t="str">
        <f>IFERROR(VLOOKUP($G1351,'321買'!$A:$E,4,0),"'沒有資料'")</f>
        <v>'沒有資料'</v>
      </c>
      <c r="T1351" s="186">
        <f>IFERROR(VLOOKUP($G1351,基本資料!$A:$J,9,0),"無")</f>
        <v>0</v>
      </c>
      <c r="U1351" s="307">
        <f t="shared" si="228"/>
        <v>0</v>
      </c>
      <c r="V1351" s="94">
        <f>IFERROR(VLOOKUP($G1351,基本資料!$A:$J,10,0),"無")</f>
        <v>0.04</v>
      </c>
      <c r="W1351" s="36">
        <f>RTD("money.excel",,"6624","Price")</f>
        <v>41</v>
      </c>
      <c r="X1351" s="66"/>
      <c r="Y1351" s="15">
        <f t="shared" si="229"/>
        <v>41</v>
      </c>
      <c r="Z1351" s="3" t="e">
        <f t="shared" si="230"/>
        <v>#DIV/0!</v>
      </c>
      <c r="AA1351" s="340">
        <f>IFERROR(VLOOKUP($G1351,基本資料!$A:$M,11,0),"無")</f>
        <v>-4.6500000000000004</v>
      </c>
      <c r="AB1351" s="389">
        <f>IFERROR(VLOOKUP($G1351,基本資料!$A:$M,12,0),"無")</f>
        <v>50.01</v>
      </c>
      <c r="AC1351" s="16" t="s">
        <v>2094</v>
      </c>
      <c r="AF1351" s="33">
        <f t="shared" si="231"/>
        <v>0</v>
      </c>
      <c r="AG1351" s="43" t="s">
        <v>2095</v>
      </c>
      <c r="AH1351" s="66">
        <f t="shared" si="236"/>
        <v>0.63063063063063063</v>
      </c>
      <c r="AI1351" s="283">
        <f>RTD("money.excel",,$G1351,"PredictVolume")</f>
        <v>7</v>
      </c>
      <c r="AJ1351" s="391">
        <f>IFERROR(VLOOKUP($G1351,基本資料!$A:$M,13,0),"無")</f>
        <v>11.1</v>
      </c>
      <c r="AR1351" s="245" t="str">
        <f>INDEX(基本資料!N:N,MATCH($G1351,基本資料!A:A,0))</f>
        <v>高</v>
      </c>
    </row>
    <row r="1352" spans="1:44">
      <c r="A1352" s="343">
        <f>IFERROR(VLOOKUP($G1352,基本資料!$A:$J,3,0),"無")</f>
        <v>4.43</v>
      </c>
      <c r="B1352" s="79">
        <f>IFERROR(VLOOKUP($G1352,基本資料!$A:$J,4,0),"無")</f>
        <v>29</v>
      </c>
      <c r="C1352" s="79">
        <f>IFERROR(VLOOKUP($G1352,基本資料!$A:$J,5,0),"無")</f>
        <v>44</v>
      </c>
      <c r="D1352" s="79">
        <f>IFERROR(VLOOKUP($G1352,基本資料!$A:$J,6,0),"無")</f>
        <v>-27</v>
      </c>
      <c r="E1352" s="79">
        <f>IFERROR(VLOOKUP($G1352,基本資料!$A:$J,7,0),"無")</f>
        <v>-52</v>
      </c>
      <c r="F1352" s="6">
        <f>IFERROR(VLOOKUP($G1352,基本資料!$A:$J,8,0),"無")</f>
        <v>-9.7899999999999991</v>
      </c>
      <c r="G1352" s="79">
        <v>6625</v>
      </c>
      <c r="H1352" s="8" t="s">
        <v>1959</v>
      </c>
      <c r="I1352" s="22" t="s">
        <v>684</v>
      </c>
      <c r="J1352" s="8">
        <f>IFERROR(VLOOKUP($G1352,今日總結!$A:$AN,39,0),"")</f>
        <v>0</v>
      </c>
      <c r="K1352" s="5">
        <f>IFERROR(VLOOKUP($G1352,今日總結!$A:$AN,40,0),"")</f>
        <v>0</v>
      </c>
      <c r="L1352" s="156">
        <f>IFERROR(VLOOKUP($G1352,今日總結!$A:$AN,37,0),"")</f>
        <v>0</v>
      </c>
      <c r="M1352" s="337">
        <f>IFERROR(VLOOKUP($G1352,今日總結!$A:$AN,38,0),"")</f>
        <v>0</v>
      </c>
      <c r="N1352" s="240">
        <f t="shared" si="232"/>
        <v>0</v>
      </c>
      <c r="O1352" s="359">
        <f>IFERROR(VLOOKUP($G1352,融外自投!$A:$J,7,0),"無")</f>
        <v>1045</v>
      </c>
      <c r="P1352" s="79">
        <f>IFERROR(VLOOKUP($G1352,融外自投!$A:$J,9,0),"無")</f>
        <v>1051</v>
      </c>
      <c r="Q1352" s="342">
        <f>IFERROR(VLOOKUP($G1352,融外自投!$A:$J,8,0),"無")</f>
        <v>1082</v>
      </c>
      <c r="R1352" s="81" t="str">
        <f>IFERROR(VLOOKUP($G1352,融外自投!$A:$J,10,0),"無")</f>
        <v>無</v>
      </c>
      <c r="S1352" s="324">
        <f>IFERROR(VLOOKUP($G1352,'321買'!$A:$E,4,0),"'沒有資料'")</f>
        <v>1002</v>
      </c>
      <c r="T1352" s="186">
        <f>IFERROR(VLOOKUP($G1352,基本資料!$A:$J,9,0),"無")</f>
        <v>0</v>
      </c>
      <c r="U1352" s="307">
        <f t="shared" si="228"/>
        <v>0</v>
      </c>
      <c r="V1352" s="94">
        <f>IFERROR(VLOOKUP($G1352,基本資料!$A:$J,10,0),"無")</f>
        <v>-2</v>
      </c>
      <c r="W1352" s="36">
        <f>RTD("money.excel",,"6625","Price")</f>
        <v>27</v>
      </c>
      <c r="X1352" s="66"/>
      <c r="Y1352" s="15">
        <f t="shared" si="229"/>
        <v>27</v>
      </c>
      <c r="Z1352" s="3" t="e">
        <f t="shared" si="230"/>
        <v>#DIV/0!</v>
      </c>
      <c r="AA1352" s="340">
        <f>IFERROR(VLOOKUP($G1352,基本資料!$A:$M,11,0),"無")</f>
        <v>-24.79</v>
      </c>
      <c r="AB1352" s="389">
        <f>IFERROR(VLOOKUP($G1352,基本資料!$A:$M,12,0),"無")</f>
        <v>16.14</v>
      </c>
      <c r="AC1352" s="22" t="s">
        <v>684</v>
      </c>
      <c r="AF1352" s="33">
        <f t="shared" si="231"/>
        <v>0</v>
      </c>
      <c r="AG1352" s="43" t="s">
        <v>2823</v>
      </c>
      <c r="AH1352" s="66">
        <f t="shared" si="236"/>
        <v>0.31372549019607843</v>
      </c>
      <c r="AI1352" s="283">
        <f>RTD("money.excel",,$G1352,"PredictVolume")</f>
        <v>4</v>
      </c>
      <c r="AJ1352" s="391">
        <f>IFERROR(VLOOKUP($G1352,基本資料!$A:$M,13,0),"無")</f>
        <v>12.75</v>
      </c>
      <c r="AR1352" s="245" t="str">
        <f>INDEX(基本資料!N:N,MATCH($G1352,基本資料!A:A,0))</f>
        <v>低</v>
      </c>
    </row>
    <row r="1353" spans="1:44">
      <c r="A1353" s="343">
        <f>IFERROR(VLOOKUP($G1353,基本資料!$A:$J,3,0),"無")</f>
        <v>3.57</v>
      </c>
      <c r="B1353" s="79">
        <f>IFERROR(VLOOKUP($G1353,基本資料!$A:$J,4,0),"無")</f>
        <v>3</v>
      </c>
      <c r="C1353" s="79">
        <f>IFERROR(VLOOKUP($G1353,基本資料!$A:$J,5,0),"無")</f>
        <v>17</v>
      </c>
      <c r="D1353" s="79">
        <f>IFERROR(VLOOKUP($G1353,基本資料!$A:$J,6,0),"無")</f>
        <v>-2</v>
      </c>
      <c r="E1353" s="79">
        <f>IFERROR(VLOOKUP($G1353,基本資料!$A:$J,7,0),"無")</f>
        <v>0</v>
      </c>
      <c r="F1353" s="6">
        <f>IFERROR(VLOOKUP($G1353,基本資料!$A:$J,8,0),"無")</f>
        <v>20.94</v>
      </c>
      <c r="G1353" s="79">
        <v>6629</v>
      </c>
      <c r="H1353" s="8" t="s">
        <v>1959</v>
      </c>
      <c r="I1353" s="16" t="s">
        <v>2096</v>
      </c>
      <c r="J1353" s="8" t="str">
        <f>IFERROR(VLOOKUP($G1353,今日總結!$A:$AN,39,0),"")</f>
        <v/>
      </c>
      <c r="K1353" s="5" t="str">
        <f>IFERROR(VLOOKUP($G1353,今日總結!$A:$AN,40,0),"")</f>
        <v/>
      </c>
      <c r="L1353" s="156" t="str">
        <f>IFERROR(VLOOKUP($G1353,今日總結!$A:$AN,37,0),"")</f>
        <v/>
      </c>
      <c r="M1353" s="337" t="str">
        <f>IFERROR(VLOOKUP($G1353,今日總結!$A:$AN,38,0),"")</f>
        <v/>
      </c>
      <c r="N1353" s="240" t="str">
        <f t="shared" si="232"/>
        <v/>
      </c>
      <c r="O1353" s="359" t="str">
        <f>IFERROR(VLOOKUP($G1353,融外自投!$A:$J,7,0),"無")</f>
        <v>無</v>
      </c>
      <c r="P1353" s="79" t="str">
        <f>IFERROR(VLOOKUP($G1353,融外自投!$A:$J,9,0),"無")</f>
        <v>無</v>
      </c>
      <c r="Q1353" s="342" t="str">
        <f>IFERROR(VLOOKUP($G1353,融外自投!$A:$J,8,0),"無")</f>
        <v>無</v>
      </c>
      <c r="R1353" s="81" t="str">
        <f>IFERROR(VLOOKUP($G1353,融外自投!$A:$J,10,0),"無")</f>
        <v>無</v>
      </c>
      <c r="S1353" s="324" t="str">
        <f>IFERROR(VLOOKUP($G1353,'321買'!$A:$E,4,0),"'沒有資料'")</f>
        <v>'沒有資料'</v>
      </c>
      <c r="T1353" s="186">
        <f>IFERROR(VLOOKUP($G1353,基本資料!$A:$J,9,0),"無")</f>
        <v>3.2</v>
      </c>
      <c r="U1353" s="307" t="e">
        <f t="shared" si="228"/>
        <v>#VALUE!</v>
      </c>
      <c r="V1353" s="94">
        <f>IFERROR(VLOOKUP($G1353,基本資料!$A:$J,10,0),"無")</f>
        <v>6.51</v>
      </c>
      <c r="W1353" s="36" t="str">
        <f>RTD("money.excel",,"6629","Price")</f>
        <v>無資料</v>
      </c>
      <c r="X1353" s="66"/>
      <c r="Y1353" s="15" t="e">
        <f t="shared" si="229"/>
        <v>#VALUE!</v>
      </c>
      <c r="Z1353" s="3" t="e">
        <f t="shared" si="230"/>
        <v>#VALUE!</v>
      </c>
      <c r="AA1353" s="340">
        <f>IFERROR(VLOOKUP($G1353,基本資料!$A:$M,11,0),"無")</f>
        <v>-13.58</v>
      </c>
      <c r="AB1353" s="389">
        <f>IFERROR(VLOOKUP($G1353,基本資料!$A:$M,12,0),"無")</f>
        <v>50.49</v>
      </c>
      <c r="AC1353" s="16" t="s">
        <v>2096</v>
      </c>
      <c r="AF1353" s="33">
        <f t="shared" si="231"/>
        <v>0</v>
      </c>
      <c r="AG1353" s="43" t="s">
        <v>2097</v>
      </c>
      <c r="AH1353" s="66">
        <f t="shared" si="236"/>
        <v>0</v>
      </c>
      <c r="AI1353" s="283">
        <f>RTD("money.excel",,$G1353,"PredictVolume")</f>
        <v>0</v>
      </c>
      <c r="AJ1353" s="391">
        <f>IFERROR(VLOOKUP($G1353,基本資料!$A:$M,13,0),"無")</f>
        <v>2.4</v>
      </c>
      <c r="AR1353" s="245" t="str">
        <f>INDEX(基本資料!N:N,MATCH($G1353,基本資料!A:A,0))</f>
        <v>中</v>
      </c>
    </row>
    <row r="1354" spans="1:44">
      <c r="A1354" s="343">
        <f>IFERROR(VLOOKUP($G1354,基本資料!$A:$J,3,0),"無")</f>
        <v>3.7</v>
      </c>
      <c r="B1354" s="79">
        <f>IFERROR(VLOOKUP($G1354,基本資料!$A:$J,4,0),"無")</f>
        <v>-1</v>
      </c>
      <c r="C1354" s="79">
        <f>IFERROR(VLOOKUP($G1354,基本資料!$A:$J,5,0),"無")</f>
        <v>-22</v>
      </c>
      <c r="D1354" s="79">
        <f>IFERROR(VLOOKUP($G1354,基本資料!$A:$J,6,0),"無")</f>
        <v>-8</v>
      </c>
      <c r="E1354" s="79">
        <f>IFERROR(VLOOKUP($G1354,基本資料!$A:$J,7,0),"無")</f>
        <v>-28</v>
      </c>
      <c r="F1354" s="6">
        <f>IFERROR(VLOOKUP($G1354,基本資料!$A:$J,8,0),"無")</f>
        <v>10.37</v>
      </c>
      <c r="G1354" s="79">
        <v>6641</v>
      </c>
      <c r="H1354" s="8" t="s">
        <v>1959</v>
      </c>
      <c r="I1354" s="22" t="s">
        <v>1088</v>
      </c>
      <c r="J1354" s="8" t="str">
        <f>IFERROR(VLOOKUP($G1354,今日總結!$A:$AN,39,0),"")</f>
        <v/>
      </c>
      <c r="K1354" s="5" t="str">
        <f>IFERROR(VLOOKUP($G1354,今日總結!$A:$AN,40,0),"")</f>
        <v/>
      </c>
      <c r="L1354" s="156" t="str">
        <f>IFERROR(VLOOKUP($G1354,今日總結!$A:$AN,37,0),"")</f>
        <v/>
      </c>
      <c r="M1354" s="337" t="str">
        <f>IFERROR(VLOOKUP($G1354,今日總結!$A:$AN,38,0),"")</f>
        <v/>
      </c>
      <c r="N1354" s="240" t="str">
        <f t="shared" si="232"/>
        <v/>
      </c>
      <c r="O1354" s="359">
        <f>IFERROR(VLOOKUP($G1354,融外自投!$A:$J,7,0),"無")</f>
        <v>1144</v>
      </c>
      <c r="P1354" s="79" t="str">
        <f>IFERROR(VLOOKUP($G1354,融外自投!$A:$J,9,0),"無")</f>
        <v>無</v>
      </c>
      <c r="Q1354" s="342">
        <f>IFERROR(VLOOKUP($G1354,融外自投!$A:$J,8,0),"無")</f>
        <v>176</v>
      </c>
      <c r="R1354" s="81" t="str">
        <f>IFERROR(VLOOKUP($G1354,融外自投!$A:$J,10,0),"無")</f>
        <v>無</v>
      </c>
      <c r="S1354" s="324" t="str">
        <f>IFERROR(VLOOKUP($G1354,'321買'!$A:$E,4,0),"'沒有資料'")</f>
        <v>'沒有資料'</v>
      </c>
      <c r="T1354" s="186">
        <f>IFERROR(VLOOKUP($G1354,基本資料!$A:$J,9,0),"無")</f>
        <v>4.5</v>
      </c>
      <c r="U1354" s="307">
        <f t="shared" si="228"/>
        <v>7.3770491803278687E-2</v>
      </c>
      <c r="V1354" s="94">
        <f>IFERROR(VLOOKUP($G1354,基本資料!$A:$J,10,0),"無")</f>
        <v>6.3</v>
      </c>
      <c r="W1354" s="36">
        <f>RTD("money.excel",,"6641","Price")</f>
        <v>61</v>
      </c>
      <c r="X1354" s="66"/>
      <c r="Y1354" s="15">
        <f t="shared" si="229"/>
        <v>61</v>
      </c>
      <c r="Z1354" s="3" t="e">
        <f t="shared" si="230"/>
        <v>#DIV/0!</v>
      </c>
      <c r="AA1354" s="340">
        <f>IFERROR(VLOOKUP($G1354,基本資料!$A:$M,11,0),"無")</f>
        <v>-11.85</v>
      </c>
      <c r="AB1354" s="389">
        <f>IFERROR(VLOOKUP($G1354,基本資料!$A:$M,12,0),"無")</f>
        <v>21.17</v>
      </c>
      <c r="AC1354" s="22" t="s">
        <v>1088</v>
      </c>
      <c r="AF1354" s="33">
        <f t="shared" si="231"/>
        <v>0</v>
      </c>
      <c r="AG1354" s="43" t="s">
        <v>2824</v>
      </c>
      <c r="AH1354" s="66">
        <f t="shared" si="236"/>
        <v>0.12195121951219513</v>
      </c>
      <c r="AI1354" s="283">
        <f>RTD("money.excel",,$G1354,"PredictVolume")</f>
        <v>1</v>
      </c>
      <c r="AJ1354" s="391">
        <f>IFERROR(VLOOKUP($G1354,基本資料!$A:$M,13,0),"無")</f>
        <v>8.1999999999999993</v>
      </c>
      <c r="AR1354" s="245" t="str">
        <f>INDEX(基本資料!N:N,MATCH($G1354,基本資料!A:A,0))</f>
        <v>中</v>
      </c>
    </row>
    <row r="1355" spans="1:44">
      <c r="A1355" s="343">
        <f>IFERROR(VLOOKUP($G1355,基本資料!$A:$J,3,0),"無")</f>
        <v>7.4</v>
      </c>
      <c r="B1355" s="79">
        <f>IFERROR(VLOOKUP($G1355,基本資料!$A:$J,4,0),"無")</f>
        <v>82</v>
      </c>
      <c r="C1355" s="79">
        <f>IFERROR(VLOOKUP($G1355,基本資料!$A:$J,5,0),"無")</f>
        <v>52</v>
      </c>
      <c r="D1355" s="79">
        <f>IFERROR(VLOOKUP($G1355,基本資料!$A:$J,6,0),"無")</f>
        <v>-12</v>
      </c>
      <c r="E1355" s="79">
        <f>IFERROR(VLOOKUP($G1355,基本資料!$A:$J,7,0),"無")</f>
        <v>-4</v>
      </c>
      <c r="F1355" s="6">
        <f>IFERROR(VLOOKUP($G1355,基本資料!$A:$J,8,0),"無")</f>
        <v>24.99</v>
      </c>
      <c r="G1355" s="79">
        <v>6655</v>
      </c>
      <c r="H1355" s="8" t="s">
        <v>1959</v>
      </c>
      <c r="I1355" s="22" t="s">
        <v>1089</v>
      </c>
      <c r="J1355" s="8">
        <f>IFERROR(VLOOKUP($G1355,今日總結!$A:$AN,39,0),"")</f>
        <v>0</v>
      </c>
      <c r="K1355" s="5">
        <f>IFERROR(VLOOKUP($G1355,今日總結!$A:$AN,40,0),"")</f>
        <v>0</v>
      </c>
      <c r="L1355" s="156">
        <f>IFERROR(VLOOKUP($G1355,今日總結!$A:$AN,37,0),"")</f>
        <v>0</v>
      </c>
      <c r="M1355" s="337">
        <f>IFERROR(VLOOKUP($G1355,今日總結!$A:$AN,38,0),"")</f>
        <v>0</v>
      </c>
      <c r="N1355" s="240">
        <f t="shared" si="232"/>
        <v>0</v>
      </c>
      <c r="O1355" s="359">
        <f>IFERROR(VLOOKUP($G1355,融外自投!$A:$J,7,0),"無")</f>
        <v>1374</v>
      </c>
      <c r="P1355" s="79">
        <f>IFERROR(VLOOKUP($G1355,融外自投!$A:$J,9,0),"無")</f>
        <v>1051</v>
      </c>
      <c r="Q1355" s="342">
        <f>IFERROR(VLOOKUP($G1355,融外自投!$A:$J,8,0),"無")</f>
        <v>1387</v>
      </c>
      <c r="R1355" s="81" t="str">
        <f>IFERROR(VLOOKUP($G1355,融外自投!$A:$J,10,0),"無")</f>
        <v>無</v>
      </c>
      <c r="S1355" s="324">
        <f>IFERROR(VLOOKUP($G1355,'321買'!$A:$E,4,0),"'沒有資料'")</f>
        <v>1002</v>
      </c>
      <c r="T1355" s="186">
        <f>IFERROR(VLOOKUP($G1355,基本資料!$A:$J,9,0),"無")</f>
        <v>12</v>
      </c>
      <c r="U1355" s="307">
        <f t="shared" si="228"/>
        <v>0.10810810810810811</v>
      </c>
      <c r="V1355" s="94">
        <f>IFERROR(VLOOKUP($G1355,基本資料!$A:$J,10,0),"無")</f>
        <v>7.68</v>
      </c>
      <c r="W1355" s="36">
        <f>RTD("money.excel",,"6655","Price")</f>
        <v>111</v>
      </c>
      <c r="X1355" s="66"/>
      <c r="Y1355" s="15">
        <f t="shared" si="229"/>
        <v>111</v>
      </c>
      <c r="Z1355" s="3" t="e">
        <f t="shared" si="230"/>
        <v>#DIV/0!</v>
      </c>
      <c r="AA1355" s="340">
        <f>IFERROR(VLOOKUP($G1355,基本資料!$A:$M,11,0),"無")</f>
        <v>-10.84</v>
      </c>
      <c r="AB1355" s="389">
        <f>IFERROR(VLOOKUP($G1355,基本資料!$A:$M,12,0),"無")</f>
        <v>66.98</v>
      </c>
      <c r="AC1355" s="22" t="s">
        <v>1089</v>
      </c>
      <c r="AF1355" s="33">
        <f t="shared" si="231"/>
        <v>0</v>
      </c>
      <c r="AG1355" s="43" t="s">
        <v>2825</v>
      </c>
      <c r="AH1355" s="66">
        <f t="shared" si="236"/>
        <v>0.33898305084745761</v>
      </c>
      <c r="AI1355" s="283">
        <f>RTD("money.excel",,$G1355,"PredictVolume")</f>
        <v>16</v>
      </c>
      <c r="AJ1355" s="391">
        <f>IFERROR(VLOOKUP($G1355,基本資料!$A:$M,13,0),"無")</f>
        <v>47.2</v>
      </c>
      <c r="AR1355" s="245" t="str">
        <f>INDEX(基本資料!N:N,MATCH($G1355,基本資料!A:A,0))</f>
        <v>高</v>
      </c>
    </row>
    <row r="1356" spans="1:44">
      <c r="A1356" s="343">
        <f>IFERROR(VLOOKUP($G1356,基本資料!$A:$J,3,0),"無")</f>
        <v>13.1</v>
      </c>
      <c r="B1356" s="79">
        <f>IFERROR(VLOOKUP($G1356,基本資料!$A:$J,4,0),"無")</f>
        <v>108</v>
      </c>
      <c r="C1356" s="79">
        <f>IFERROR(VLOOKUP($G1356,基本資料!$A:$J,5,0),"無")</f>
        <v>91</v>
      </c>
      <c r="D1356" s="79">
        <f>IFERROR(VLOOKUP($G1356,基本資料!$A:$J,6,0),"無")</f>
        <v>-3</v>
      </c>
      <c r="E1356" s="79">
        <f>IFERROR(VLOOKUP($G1356,基本資料!$A:$J,7,0),"無")</f>
        <v>38</v>
      </c>
      <c r="F1356" s="6">
        <f>IFERROR(VLOOKUP($G1356,基本資料!$A:$J,8,0),"無")</f>
        <v>13.53</v>
      </c>
      <c r="G1356" s="79">
        <v>6670</v>
      </c>
      <c r="H1356" s="8" t="s">
        <v>235</v>
      </c>
      <c r="I1356" s="22" t="s">
        <v>1090</v>
      </c>
      <c r="J1356" s="8">
        <f>IFERROR(VLOOKUP($G1356,今日總結!$A:$AN,39,0),"")</f>
        <v>0</v>
      </c>
      <c r="K1356" s="5" t="str">
        <f>IFERROR(VLOOKUP($G1356,今日總結!$A:$AN,40,0),"")</f>
        <v>融自</v>
      </c>
      <c r="L1356" s="156">
        <f>IFERROR(VLOOKUP($G1356,今日總結!$A:$AN,37,0),"")</f>
        <v>0</v>
      </c>
      <c r="M1356" s="337">
        <f>IFERROR(VLOOKUP($G1356,今日總結!$A:$AN,38,0),"")</f>
        <v>3</v>
      </c>
      <c r="N1356" s="240">
        <f t="shared" si="232"/>
        <v>-3</v>
      </c>
      <c r="O1356" s="359">
        <f>IFERROR(VLOOKUP($G1356,融外自投!$A:$J,7,0),"無")</f>
        <v>1199</v>
      </c>
      <c r="P1356" s="79">
        <f>IFERROR(VLOOKUP($G1356,融外自投!$A:$J,9,0),"無")</f>
        <v>596</v>
      </c>
      <c r="Q1356" s="342">
        <f>IFERROR(VLOOKUP($G1356,融外自投!$A:$J,8,0),"無")</f>
        <v>254</v>
      </c>
      <c r="R1356" s="81">
        <f>IFERROR(VLOOKUP($G1356,融外自投!$A:$J,10,0),"無")</f>
        <v>250</v>
      </c>
      <c r="S1356" s="324">
        <f>IFERROR(VLOOKUP($G1356,'321買'!$A:$E,4,0),"'沒有資料'")</f>
        <v>743</v>
      </c>
      <c r="T1356" s="186">
        <f>IFERROR(VLOOKUP($G1356,基本資料!$A:$J,9,0),"無")</f>
        <v>12</v>
      </c>
      <c r="U1356" s="307">
        <f t="shared" si="228"/>
        <v>5.8536585365853662E-2</v>
      </c>
      <c r="V1356" s="94">
        <f>IFERROR(VLOOKUP($G1356,基本資料!$A:$J,10,0),"無")</f>
        <v>18.03</v>
      </c>
      <c r="W1356" s="36">
        <f>RTD("money.excel",,"6670","Price")</f>
        <v>205</v>
      </c>
      <c r="X1356" s="66"/>
      <c r="Y1356" s="15">
        <f t="shared" si="229"/>
        <v>205</v>
      </c>
      <c r="Z1356" s="3" t="e">
        <f t="shared" si="230"/>
        <v>#DIV/0!</v>
      </c>
      <c r="AA1356" s="340">
        <f>IFERROR(VLOOKUP($G1356,基本資料!$A:$M,11,0),"無")</f>
        <v>-13.32</v>
      </c>
      <c r="AB1356" s="389">
        <f>IFERROR(VLOOKUP($G1356,基本資料!$A:$M,12,0),"無")</f>
        <v>55.31</v>
      </c>
      <c r="AC1356" s="22" t="s">
        <v>1090</v>
      </c>
      <c r="AF1356" s="33">
        <f t="shared" si="231"/>
        <v>0</v>
      </c>
      <c r="AG1356" s="43" t="s">
        <v>3059</v>
      </c>
      <c r="AH1356" s="66">
        <f t="shared" si="236"/>
        <v>0.53168946253130411</v>
      </c>
      <c r="AI1356" s="283">
        <f>RTD("money.excel",,$G1356,"PredictVolume")</f>
        <v>138</v>
      </c>
      <c r="AJ1356" s="391">
        <f>IFERROR(VLOOKUP($G1356,基本資料!$A:$M,13,0),"無")</f>
        <v>259.55</v>
      </c>
      <c r="AR1356" s="245" t="str">
        <f>INDEX(基本資料!N:N,MATCH($G1356,基本資料!A:A,0))</f>
        <v>中</v>
      </c>
    </row>
    <row r="1357" spans="1:44">
      <c r="A1357" s="343">
        <f>IFERROR(VLOOKUP($G1357,基本資料!$A:$J,3,0),"無")</f>
        <v>6.07</v>
      </c>
      <c r="B1357" s="79">
        <f>IFERROR(VLOOKUP($G1357,基本資料!$A:$J,4,0),"無")</f>
        <v>-5</v>
      </c>
      <c r="C1357" s="79">
        <f>IFERROR(VLOOKUP($G1357,基本資料!$A:$J,5,0),"無")</f>
        <v>-9</v>
      </c>
      <c r="D1357" s="79">
        <f>IFERROR(VLOOKUP($G1357,基本資料!$A:$J,6,0),"無")</f>
        <v>-2</v>
      </c>
      <c r="E1357" s="79">
        <f>IFERROR(VLOOKUP($G1357,基本資料!$A:$J,7,0),"無")</f>
        <v>-9</v>
      </c>
      <c r="F1357" s="6">
        <f>IFERROR(VLOOKUP($G1357,基本資料!$A:$J,8,0),"無")</f>
        <v>12.05</v>
      </c>
      <c r="G1357" s="79">
        <v>6671</v>
      </c>
      <c r="H1357" s="8" t="s">
        <v>1959</v>
      </c>
      <c r="I1357" s="22" t="s">
        <v>1091</v>
      </c>
      <c r="J1357" s="8">
        <f>IFERROR(VLOOKUP($G1357,今日總結!$A:$AN,39,0),"")</f>
        <v>0</v>
      </c>
      <c r="K1357" s="5">
        <f>IFERROR(VLOOKUP($G1357,今日總結!$A:$AN,40,0),"")</f>
        <v>0</v>
      </c>
      <c r="L1357" s="156">
        <f>IFERROR(VLOOKUP($G1357,今日總結!$A:$AN,37,0),"")</f>
        <v>0</v>
      </c>
      <c r="M1357" s="337">
        <f>IFERROR(VLOOKUP($G1357,今日總結!$A:$AN,38,0),"")</f>
        <v>0</v>
      </c>
      <c r="N1357" s="240">
        <f t="shared" si="232"/>
        <v>0</v>
      </c>
      <c r="O1357" s="359">
        <f>IFERROR(VLOOKUP($G1357,融外自投!$A:$J,7,0),"無")</f>
        <v>1330</v>
      </c>
      <c r="P1357" s="79">
        <f>IFERROR(VLOOKUP($G1357,融外自投!$A:$J,9,0),"無")</f>
        <v>1051</v>
      </c>
      <c r="Q1357" s="342">
        <f>IFERROR(VLOOKUP($G1357,融外自投!$A:$J,8,0),"無")</f>
        <v>59</v>
      </c>
      <c r="R1357" s="81" t="str">
        <f>IFERROR(VLOOKUP($G1357,融外自投!$A:$J,10,0),"無")</f>
        <v>無</v>
      </c>
      <c r="S1357" s="324">
        <f>IFERROR(VLOOKUP($G1357,'321買'!$A:$E,4,0),"'沒有資料'")</f>
        <v>1002</v>
      </c>
      <c r="T1357" s="186">
        <f>IFERROR(VLOOKUP($G1357,基本資料!$A:$J,9,0),"無")</f>
        <v>3</v>
      </c>
      <c r="U1357" s="307">
        <f t="shared" si="228"/>
        <v>6.5573770491803282E-2</v>
      </c>
      <c r="V1357" s="94">
        <f>IFERROR(VLOOKUP($G1357,基本資料!$A:$J,10,0),"無")</f>
        <v>3.5</v>
      </c>
      <c r="W1357" s="36">
        <f>RTD("money.excel",,"6671","Price")</f>
        <v>45.75</v>
      </c>
      <c r="X1357" s="66"/>
      <c r="Y1357" s="15">
        <f t="shared" si="229"/>
        <v>45.75</v>
      </c>
      <c r="Z1357" s="3" t="e">
        <f t="shared" si="230"/>
        <v>#DIV/0!</v>
      </c>
      <c r="AA1357" s="340">
        <f>IFERROR(VLOOKUP($G1357,基本資料!$A:$M,11,0),"無")</f>
        <v>-13.68</v>
      </c>
      <c r="AB1357" s="389">
        <f>IFERROR(VLOOKUP($G1357,基本資料!$A:$M,12,0),"無")</f>
        <v>46.87</v>
      </c>
      <c r="AC1357" s="22" t="s">
        <v>1091</v>
      </c>
      <c r="AF1357" s="33">
        <f t="shared" si="231"/>
        <v>0</v>
      </c>
      <c r="AG1357" s="43" t="s">
        <v>2826</v>
      </c>
      <c r="AH1357" s="66">
        <f t="shared" si="236"/>
        <v>0.91152815013404831</v>
      </c>
      <c r="AI1357" s="283">
        <f>RTD("money.excel",,$G1357,"PredictVolume")</f>
        <v>17</v>
      </c>
      <c r="AJ1357" s="391">
        <f>IFERROR(VLOOKUP($G1357,基本資料!$A:$M,13,0),"無")</f>
        <v>18.649999999999999</v>
      </c>
      <c r="AR1357" s="245" t="str">
        <f>INDEX(基本資料!N:N,MATCH($G1357,基本資料!A:A,0))</f>
        <v>低</v>
      </c>
    </row>
    <row r="1358" spans="1:44">
      <c r="A1358" s="343" t="str">
        <f>IFERROR(VLOOKUP($G1358,基本資料!$A:$J,3,0),"無")</f>
        <v>無</v>
      </c>
      <c r="B1358" s="79" t="str">
        <f>IFERROR(VLOOKUP($G1358,基本資料!$A:$J,4,0),"無")</f>
        <v>無</v>
      </c>
      <c r="C1358" s="79" t="str">
        <f>IFERROR(VLOOKUP($G1358,基本資料!$A:$J,5,0),"無")</f>
        <v>無</v>
      </c>
      <c r="D1358" s="79" t="str">
        <f>IFERROR(VLOOKUP($G1358,基本資料!$A:$J,6,0),"無")</f>
        <v>無</v>
      </c>
      <c r="E1358" s="79" t="str">
        <f>IFERROR(VLOOKUP($G1358,基本資料!$A:$J,7,0),"無")</f>
        <v>無</v>
      </c>
      <c r="F1358" s="6" t="str">
        <f>IFERROR(VLOOKUP($G1358,基本資料!$A:$J,8,0),"無")</f>
        <v>無</v>
      </c>
      <c r="G1358" s="79">
        <v>6721</v>
      </c>
      <c r="H1358" s="8" t="s">
        <v>235</v>
      </c>
      <c r="I1358" s="16" t="s">
        <v>6220</v>
      </c>
      <c r="J1358" s="8" t="str">
        <f>IFERROR(VLOOKUP($G1358,今日總結!$A:$AN,39,0),"")</f>
        <v/>
      </c>
      <c r="K1358" s="5" t="str">
        <f>IFERROR(VLOOKUP($G1358,今日總結!$A:$AN,40,0),"")</f>
        <v/>
      </c>
      <c r="L1358" s="156" t="str">
        <f>IFERROR(VLOOKUP($G1358,今日總結!$A:$AN,37,0),"")</f>
        <v/>
      </c>
      <c r="M1358" s="337" t="str">
        <f>IFERROR(VLOOKUP($G1358,今日總結!$A:$AN,38,0),"")</f>
        <v/>
      </c>
      <c r="N1358" s="240" t="str">
        <f t="shared" si="232"/>
        <v/>
      </c>
      <c r="O1358" s="359" t="str">
        <f>IFERROR(VLOOKUP($G1358,融外自投!$A:$J,7,0),"無")</f>
        <v>無</v>
      </c>
      <c r="P1358" s="79" t="str">
        <f>IFERROR(VLOOKUP($G1358,融外自投!$A:$J,9,0),"無")</f>
        <v>無</v>
      </c>
      <c r="Q1358" s="342" t="str">
        <f>IFERROR(VLOOKUP($G1358,融外自投!$A:$J,8,0),"無")</f>
        <v>無</v>
      </c>
      <c r="R1358" s="81" t="str">
        <f>IFERROR(VLOOKUP($G1358,融外自投!$A:$J,10,0),"無")</f>
        <v>無</v>
      </c>
      <c r="S1358" s="324" t="str">
        <f>IFERROR(VLOOKUP($G1358,'321買'!$A:$E,4,0),"'沒有資料'")</f>
        <v>'沒有資料'</v>
      </c>
      <c r="T1358" s="186" t="str">
        <f>IFERROR(VLOOKUP($G1358,基本資料!$A:$J,9,0),"無")</f>
        <v>無</v>
      </c>
      <c r="U1358" s="307" t="e">
        <f t="shared" si="228"/>
        <v>#VALUE!</v>
      </c>
      <c r="V1358" s="94" t="str">
        <f>IFERROR(VLOOKUP($G1358,基本資料!$A:$J,10,0),"無")</f>
        <v>無</v>
      </c>
      <c r="W1358" s="36">
        <f>RTD("money.excel",,"6721","Price")</f>
        <v>51.2</v>
      </c>
      <c r="X1358" s="66"/>
      <c r="Y1358" s="15">
        <f>W1358-X1358</f>
        <v>51.2</v>
      </c>
      <c r="Z1358" s="3" t="e">
        <f>Y1358/X1358</f>
        <v>#DIV/0!</v>
      </c>
      <c r="AA1358" s="340" t="str">
        <f>IFERROR(VLOOKUP($G1358,基本資料!$A:$M,11,0),"無")</f>
        <v>無</v>
      </c>
      <c r="AB1358" s="389" t="str">
        <f>IFERROR(VLOOKUP($G1358,基本資料!$A:$M,12,0),"無")</f>
        <v>無</v>
      </c>
      <c r="AC1358" s="16" t="s">
        <v>6220</v>
      </c>
      <c r="AF1358" s="33">
        <f>AE1358-AD1358</f>
        <v>0</v>
      </c>
      <c r="AG1358" s="117" t="s">
        <v>6221</v>
      </c>
      <c r="AH1358" s="66" t="e">
        <f t="shared" si="236"/>
        <v>#VALUE!</v>
      </c>
      <c r="AI1358" s="283">
        <f>RTD("money.excel",,$G1358,"PredictVolume")</f>
        <v>89</v>
      </c>
      <c r="AJ1358" s="391" t="str">
        <f>IFERROR(VLOOKUP($G1358,基本資料!$A:$M,13,0),"無")</f>
        <v>無</v>
      </c>
      <c r="AR1358" s="245" t="e">
        <f>INDEX(基本資料!N:N,MATCH($G1358,基本資料!A:A,0))</f>
        <v>#N/A</v>
      </c>
    </row>
    <row r="1359" spans="1:44">
      <c r="A1359" s="343">
        <f>IFERROR(VLOOKUP($G1359,基本資料!$A:$J,3,0),"無")</f>
        <v>6.6</v>
      </c>
      <c r="B1359" s="79">
        <f>IFERROR(VLOOKUP($G1359,基本資料!$A:$J,4,0),"無")</f>
        <v>8</v>
      </c>
      <c r="C1359" s="79">
        <f>IFERROR(VLOOKUP($G1359,基本資料!$A:$J,5,0),"無")</f>
        <v>-2</v>
      </c>
      <c r="D1359" s="79">
        <f>IFERROR(VLOOKUP($G1359,基本資料!$A:$J,6,0),"無")</f>
        <v>-3</v>
      </c>
      <c r="E1359" s="79">
        <f>IFERROR(VLOOKUP($G1359,基本資料!$A:$J,7,0),"無")</f>
        <v>0</v>
      </c>
      <c r="F1359" s="6">
        <f>IFERROR(VLOOKUP($G1359,基本資料!$A:$J,8,0),"無")</f>
        <v>8.36</v>
      </c>
      <c r="G1359" s="79">
        <v>6754</v>
      </c>
      <c r="H1359" s="8" t="s">
        <v>1959</v>
      </c>
      <c r="I1359" s="22" t="s">
        <v>1958</v>
      </c>
      <c r="J1359" s="8">
        <f>IFERROR(VLOOKUP($G1359,今日總結!$A:$AN,39,0),"")</f>
        <v>0</v>
      </c>
      <c r="K1359" s="5" t="str">
        <f>IFERROR(VLOOKUP($G1359,今日總結!$A:$AN,40,0),"")</f>
        <v>外</v>
      </c>
      <c r="L1359" s="156">
        <f>IFERROR(VLOOKUP($G1359,今日總結!$A:$AN,37,0),"")</f>
        <v>0</v>
      </c>
      <c r="M1359" s="337">
        <f>IFERROR(VLOOKUP($G1359,今日總結!$A:$AN,38,0),"")</f>
        <v>3</v>
      </c>
      <c r="N1359" s="240">
        <f t="shared" si="232"/>
        <v>-3</v>
      </c>
      <c r="O1359" s="359">
        <f>IFERROR(VLOOKUP($G1359,融外自投!$A:$J,7,0),"無")</f>
        <v>1204</v>
      </c>
      <c r="P1359" s="79" t="str">
        <f>IFERROR(VLOOKUP($G1359,融外自投!$A:$J,9,0),"無")</f>
        <v>無</v>
      </c>
      <c r="Q1359" s="342">
        <f>IFERROR(VLOOKUP($G1359,融外自投!$A:$J,8,0),"無")</f>
        <v>257</v>
      </c>
      <c r="R1359" s="81" t="str">
        <f>IFERROR(VLOOKUP($G1359,融外自投!$A:$J,10,0),"無")</f>
        <v>無</v>
      </c>
      <c r="S1359" s="324">
        <f>IFERROR(VLOOKUP($G1359,'321買'!$A:$E,4,0),"'沒有資料'")</f>
        <v>1002</v>
      </c>
      <c r="T1359" s="186">
        <f>IFERROR(VLOOKUP($G1359,基本資料!$A:$J,9,0),"無")</f>
        <v>3.5</v>
      </c>
      <c r="U1359" s="307">
        <f t="shared" si="228"/>
        <v>7.6335877862595422E-2</v>
      </c>
      <c r="V1359" s="94">
        <f>IFERROR(VLOOKUP($G1359,基本資料!$A:$J,10,0),"無")</f>
        <v>3.52</v>
      </c>
      <c r="W1359" s="36">
        <f>RTD("money.excel",,"6754","Price")</f>
        <v>45.85</v>
      </c>
      <c r="X1359" s="66"/>
      <c r="Y1359" s="15">
        <f t="shared" si="229"/>
        <v>45.85</v>
      </c>
      <c r="Z1359" s="35" t="e">
        <f t="shared" si="230"/>
        <v>#DIV/0!</v>
      </c>
      <c r="AA1359" s="340">
        <f>IFERROR(VLOOKUP($G1359,基本資料!$A:$M,11,0),"無")</f>
        <v>-6.71</v>
      </c>
      <c r="AB1359" s="389">
        <f>IFERROR(VLOOKUP($G1359,基本資料!$A:$M,12,0),"無")</f>
        <v>83.43</v>
      </c>
      <c r="AC1359" s="22" t="s">
        <v>1958</v>
      </c>
      <c r="AF1359" s="33">
        <f t="shared" si="231"/>
        <v>0</v>
      </c>
      <c r="AG1359" s="59" t="s">
        <v>1960</v>
      </c>
      <c r="AH1359" s="66">
        <f t="shared" si="236"/>
        <v>0.69210292812777285</v>
      </c>
      <c r="AI1359" s="283">
        <f>RTD("money.excel",,$G1359,"PredictVolume")</f>
        <v>39</v>
      </c>
      <c r="AJ1359" s="391">
        <f>IFERROR(VLOOKUP($G1359,基本資料!$A:$M,13,0),"無")</f>
        <v>56.35</v>
      </c>
      <c r="AR1359" s="245" t="str">
        <f>INDEX(基本資料!N:N,MATCH($G1359,基本資料!A:A,0))</f>
        <v>高</v>
      </c>
    </row>
    <row r="1360" spans="1:44">
      <c r="A1360" s="343">
        <f>IFERROR(VLOOKUP($G1360,基本資料!$A:$J,3,0),"無")</f>
        <v>19.600000000000001</v>
      </c>
      <c r="B1360" s="79">
        <f>IFERROR(VLOOKUP($G1360,基本資料!$A:$J,4,0),"無")</f>
        <v>57</v>
      </c>
      <c r="C1360" s="79">
        <f>IFERROR(VLOOKUP($G1360,基本資料!$A:$J,5,0),"無")</f>
        <v>0</v>
      </c>
      <c r="D1360" s="79">
        <f>IFERROR(VLOOKUP($G1360,基本資料!$A:$J,6,0),"無")</f>
        <v>2</v>
      </c>
      <c r="E1360" s="79">
        <f>IFERROR(VLOOKUP($G1360,基本資料!$A:$J,7,0),"無")</f>
        <v>0</v>
      </c>
      <c r="F1360" s="6">
        <f>IFERROR(VLOOKUP($G1360,基本資料!$A:$J,8,0),"無")</f>
        <v>6.45</v>
      </c>
      <c r="G1360" s="79">
        <v>6768</v>
      </c>
      <c r="H1360" s="8" t="s">
        <v>1959</v>
      </c>
      <c r="I1360" s="22" t="s">
        <v>3211</v>
      </c>
      <c r="J1360" s="8">
        <f>IFERROR(VLOOKUP($G1360,今日總結!$A:$AN,39,0),"")</f>
        <v>0</v>
      </c>
      <c r="K1360" s="5">
        <f>IFERROR(VLOOKUP($G1360,今日總結!$A:$AN,40,0),"")</f>
        <v>0</v>
      </c>
      <c r="L1360" s="156">
        <f>IFERROR(VLOOKUP($G1360,今日總結!$A:$AN,37,0),"")</f>
        <v>0</v>
      </c>
      <c r="M1360" s="337">
        <f>IFERROR(VLOOKUP($G1360,今日總結!$A:$AN,38,0),"")</f>
        <v>0</v>
      </c>
      <c r="N1360" s="240">
        <f t="shared" si="232"/>
        <v>0</v>
      </c>
      <c r="O1360" s="359">
        <f>IFERROR(VLOOKUP($G1360,融外自投!$A:$J,7,0),"無")</f>
        <v>1058</v>
      </c>
      <c r="P1360" s="79">
        <f>IFERROR(VLOOKUP($G1360,融外自投!$A:$J,9,0),"無")</f>
        <v>1123</v>
      </c>
      <c r="Q1360" s="342">
        <f>IFERROR(VLOOKUP($G1360,融外自投!$A:$J,8,0),"無")</f>
        <v>11</v>
      </c>
      <c r="R1360" s="81" t="str">
        <f>IFERROR(VLOOKUP($G1360,融外自投!$A:$J,10,0),"無")</f>
        <v>無</v>
      </c>
      <c r="S1360" s="324">
        <f>IFERROR(VLOOKUP($G1360,'321買'!$A:$E,4,0),"'沒有資料'")</f>
        <v>1002</v>
      </c>
      <c r="T1360" s="186">
        <f>IFERROR(VLOOKUP($G1360,基本資料!$A:$J,9,0),"無")</f>
        <v>3.5</v>
      </c>
      <c r="U1360" s="307">
        <f t="shared" si="228"/>
        <v>4.8611111111111112E-2</v>
      </c>
      <c r="V1360" s="94">
        <f>IFERROR(VLOOKUP($G1360,基本資料!$A:$J,10,0),"無")</f>
        <v>3.42</v>
      </c>
      <c r="W1360" s="36">
        <f>RTD("money.excel",,"6768","Price")</f>
        <v>72</v>
      </c>
      <c r="X1360" s="66"/>
      <c r="Y1360" s="15">
        <f t="shared" si="229"/>
        <v>72</v>
      </c>
      <c r="Z1360" s="3" t="e">
        <f t="shared" si="230"/>
        <v>#DIV/0!</v>
      </c>
      <c r="AA1360" s="340">
        <f>IFERROR(VLOOKUP($G1360,基本資料!$A:$M,11,0),"無")</f>
        <v>-7.1</v>
      </c>
      <c r="AB1360" s="389">
        <f>IFERROR(VLOOKUP($G1360,基本資料!$A:$M,12,0),"無")</f>
        <v>59.88</v>
      </c>
      <c r="AC1360" s="22" t="s">
        <v>3211</v>
      </c>
      <c r="AF1360" s="33">
        <f t="shared" si="231"/>
        <v>0</v>
      </c>
      <c r="AG1360" s="43" t="s">
        <v>3212</v>
      </c>
      <c r="AH1360" s="66">
        <f t="shared" si="236"/>
        <v>0.49527239981990095</v>
      </c>
      <c r="AI1360" s="283">
        <f>RTD("money.excel",,$G1360,"PredictVolume")</f>
        <v>55</v>
      </c>
      <c r="AJ1360" s="391">
        <f>IFERROR(VLOOKUP($G1360,基本資料!$A:$M,13,0),"無")</f>
        <v>111.05</v>
      </c>
      <c r="AR1360" s="245" t="str">
        <f>INDEX(基本資料!N:N,MATCH($G1360,基本資料!A:A,0))</f>
        <v>高</v>
      </c>
    </row>
    <row r="1361" spans="1:44">
      <c r="A1361" s="343">
        <f>IFERROR(VLOOKUP($G1361,基本資料!$A:$J,3,0),"無")</f>
        <v>26.71</v>
      </c>
      <c r="B1361" s="79">
        <f>IFERROR(VLOOKUP($G1361,基本資料!$A:$J,4,0),"無")</f>
        <v>-28</v>
      </c>
      <c r="C1361" s="79">
        <f>IFERROR(VLOOKUP($G1361,基本資料!$A:$J,5,0),"無")</f>
        <v>-19</v>
      </c>
      <c r="D1361" s="79">
        <f>IFERROR(VLOOKUP($G1361,基本資料!$A:$J,6,0),"無")</f>
        <v>-11</v>
      </c>
      <c r="E1361" s="79">
        <f>IFERROR(VLOOKUP($G1361,基本資料!$A:$J,7,0),"無")</f>
        <v>-13</v>
      </c>
      <c r="F1361" s="6">
        <f>IFERROR(VLOOKUP($G1361,基本資料!$A:$J,8,0),"無")</f>
        <v>12.51</v>
      </c>
      <c r="G1361" s="79">
        <v>6790</v>
      </c>
      <c r="H1361" s="8" t="s">
        <v>235</v>
      </c>
      <c r="I1361" s="22" t="s">
        <v>3437</v>
      </c>
      <c r="J1361" s="8">
        <f>IFERROR(VLOOKUP($G1361,今日總結!$A:$AN,39,0),"")</f>
        <v>0</v>
      </c>
      <c r="K1361" s="5">
        <f>IFERROR(VLOOKUP($G1361,今日總結!$A:$AN,40,0),"")</f>
        <v>0</v>
      </c>
      <c r="L1361" s="156">
        <f>IFERROR(VLOOKUP($G1361,今日總結!$A:$AN,37,0),"")</f>
        <v>0</v>
      </c>
      <c r="M1361" s="337">
        <f>IFERROR(VLOOKUP($G1361,今日總結!$A:$AN,38,0),"")</f>
        <v>0</v>
      </c>
      <c r="N1361" s="240">
        <f t="shared" si="232"/>
        <v>0</v>
      </c>
      <c r="O1361" s="359">
        <f>IFERROR(VLOOKUP($G1361,融外自投!$A:$J,7,0),"無")</f>
        <v>1450</v>
      </c>
      <c r="P1361" s="79">
        <f>IFERROR(VLOOKUP($G1361,融外自投!$A:$J,9,0),"無")</f>
        <v>467</v>
      </c>
      <c r="Q1361" s="342">
        <f>IFERROR(VLOOKUP($G1361,融外自投!$A:$J,8,0),"無")</f>
        <v>987</v>
      </c>
      <c r="R1361" s="81" t="str">
        <f>IFERROR(VLOOKUP($G1361,融外自投!$A:$J,10,0),"無")</f>
        <v>無</v>
      </c>
      <c r="S1361" s="324">
        <f>IFERROR(VLOOKUP($G1361,'321買'!$A:$E,4,0),"'沒有資料'")</f>
        <v>1002</v>
      </c>
      <c r="T1361" s="186">
        <f>IFERROR(VLOOKUP($G1361,基本資料!$A:$J,9,0),"無")</f>
        <v>3</v>
      </c>
      <c r="U1361" s="307">
        <f t="shared" si="228"/>
        <v>7.0175438596491224E-2</v>
      </c>
      <c r="V1361" s="94">
        <f>IFERROR(VLOOKUP($G1361,基本資料!$A:$J,10,0),"無")</f>
        <v>4.24</v>
      </c>
      <c r="W1361" s="36">
        <f>RTD("money.excel",,"6790","Price")</f>
        <v>42.75</v>
      </c>
      <c r="X1361" s="66"/>
      <c r="Y1361" s="15">
        <f t="shared" si="229"/>
        <v>42.75</v>
      </c>
      <c r="Z1361" s="3" t="e">
        <f t="shared" si="230"/>
        <v>#DIV/0!</v>
      </c>
      <c r="AA1361" s="340" t="str">
        <f>IFERROR(VLOOKUP($G1361,基本資料!$A:$M,11,0),"無")</f>
        <v>無</v>
      </c>
      <c r="AB1361" s="389" t="str">
        <f>IFERROR(VLOOKUP($G1361,基本資料!$A:$M,12,0),"無")</f>
        <v>無</v>
      </c>
      <c r="AC1361" s="22" t="s">
        <v>3437</v>
      </c>
      <c r="AF1361" s="33">
        <f t="shared" si="231"/>
        <v>0</v>
      </c>
      <c r="AG1361" s="43" t="s">
        <v>3438</v>
      </c>
      <c r="AH1361" s="66" t="e">
        <f t="shared" si="236"/>
        <v>#VALUE!</v>
      </c>
      <c r="AI1361" s="283">
        <f>RTD("money.excel",,$G1361,"PredictVolume")</f>
        <v>108</v>
      </c>
      <c r="AJ1361" s="391" t="str">
        <f>IFERROR(VLOOKUP($G1361,基本資料!$A:$M,13,0),"無")</f>
        <v>無</v>
      </c>
      <c r="AR1361" s="245" t="str">
        <f>INDEX(基本資料!N:N,MATCH($G1361,基本資料!A:A,0))</f>
        <v>無</v>
      </c>
    </row>
    <row r="1362" spans="1:44">
      <c r="A1362" s="343">
        <f>IFERROR(VLOOKUP($G1362,基本資料!$A:$J,3,0),"無")</f>
        <v>6.97</v>
      </c>
      <c r="B1362" s="79">
        <f>IFERROR(VLOOKUP($G1362,基本資料!$A:$J,4,0),"無")</f>
        <v>2</v>
      </c>
      <c r="C1362" s="79">
        <f>IFERROR(VLOOKUP($G1362,基本資料!$A:$J,5,0),"無")</f>
        <v>4</v>
      </c>
      <c r="D1362" s="79">
        <f>IFERROR(VLOOKUP($G1362,基本資料!$A:$J,6,0),"無")</f>
        <v>-3</v>
      </c>
      <c r="E1362" s="79">
        <f>IFERROR(VLOOKUP($G1362,基本資料!$A:$J,7,0),"無")</f>
        <v>17</v>
      </c>
      <c r="F1362" s="6">
        <f>IFERROR(VLOOKUP($G1362,基本資料!$A:$J,8,0),"無")</f>
        <v>21.33</v>
      </c>
      <c r="G1362" s="79">
        <v>6803</v>
      </c>
      <c r="H1362" s="8" t="s">
        <v>1959</v>
      </c>
      <c r="I1362" s="16" t="s">
        <v>41</v>
      </c>
      <c r="J1362" s="8">
        <f>IFERROR(VLOOKUP($G1362,今日總結!$A:$AN,39,0),"")</f>
        <v>0</v>
      </c>
      <c r="K1362" s="5">
        <f>IFERROR(VLOOKUP($G1362,今日總結!$A:$AN,40,0),"")</f>
        <v>0</v>
      </c>
      <c r="L1362" s="156">
        <f>IFERROR(VLOOKUP($G1362,今日總結!$A:$AN,37,0),"")</f>
        <v>0</v>
      </c>
      <c r="M1362" s="337">
        <f>IFERROR(VLOOKUP($G1362,今日總結!$A:$AN,38,0),"")</f>
        <v>0</v>
      </c>
      <c r="N1362" s="240">
        <f t="shared" si="232"/>
        <v>0</v>
      </c>
      <c r="O1362" s="359">
        <f>IFERROR(VLOOKUP($G1362,融外自投!$A:$J,7,0),"無")</f>
        <v>1458</v>
      </c>
      <c r="P1362" s="79">
        <f>IFERROR(VLOOKUP($G1362,融外自投!$A:$J,9,0),"無")</f>
        <v>272</v>
      </c>
      <c r="Q1362" s="342">
        <f>IFERROR(VLOOKUP($G1362,融外自投!$A:$J,8,0),"無")</f>
        <v>1057</v>
      </c>
      <c r="R1362" s="81">
        <f>IFERROR(VLOOKUP($G1362,融外自投!$A:$J,10,0),"無")</f>
        <v>341</v>
      </c>
      <c r="S1362" s="324">
        <f>IFERROR(VLOOKUP($G1362,'321買'!$A:$E,4,0),"'沒有資料'")</f>
        <v>1002</v>
      </c>
      <c r="T1362" s="186">
        <f>IFERROR(VLOOKUP($G1362,基本資料!$A:$J,9,0),"無")</f>
        <v>11.99</v>
      </c>
      <c r="U1362" s="307">
        <f t="shared" si="228"/>
        <v>4.9139344262295083E-2</v>
      </c>
      <c r="V1362" s="94">
        <f>IFERROR(VLOOKUP($G1362,基本資料!$A:$J,10,0),"無")</f>
        <v>13.15</v>
      </c>
      <c r="W1362" s="36">
        <f>RTD("money.excel",,"6803","Price")</f>
        <v>244</v>
      </c>
      <c r="X1362" s="66"/>
      <c r="Y1362" s="15">
        <f t="shared" si="229"/>
        <v>244</v>
      </c>
      <c r="Z1362" s="3" t="e">
        <f t="shared" si="230"/>
        <v>#DIV/0!</v>
      </c>
      <c r="AA1362" s="340">
        <f>IFERROR(VLOOKUP($G1362,基本資料!$A:$M,11,0),"無")</f>
        <v>-5.61</v>
      </c>
      <c r="AB1362" s="389">
        <f>IFERROR(VLOOKUP($G1362,基本資料!$A:$M,12,0),"無")</f>
        <v>39.14</v>
      </c>
      <c r="AC1362" s="16" t="s">
        <v>41</v>
      </c>
      <c r="AF1362" s="33">
        <f t="shared" si="231"/>
        <v>0</v>
      </c>
      <c r="AG1362" s="117" t="s">
        <v>1414</v>
      </c>
      <c r="AH1362" s="66">
        <f t="shared" si="236"/>
        <v>1.6549789621318374</v>
      </c>
      <c r="AI1362" s="283">
        <f>RTD("money.excel",,$G1362,"PredictVolume")</f>
        <v>59</v>
      </c>
      <c r="AJ1362" s="391">
        <f>IFERROR(VLOOKUP($G1362,基本資料!$A:$M,13,0),"無")</f>
        <v>35.65</v>
      </c>
      <c r="AR1362" s="245" t="str">
        <f>INDEX(基本資料!N:N,MATCH($G1362,基本資料!A:A,0))</f>
        <v>中</v>
      </c>
    </row>
    <row r="1363" spans="1:44">
      <c r="A1363" s="343" t="str">
        <f>IFERROR(VLOOKUP($G1363,基本資料!$A:$J,3,0),"無")</f>
        <v>無</v>
      </c>
      <c r="B1363" s="79" t="str">
        <f>IFERROR(VLOOKUP($G1363,基本資料!$A:$J,4,0),"無")</f>
        <v>無</v>
      </c>
      <c r="C1363" s="79" t="str">
        <f>IFERROR(VLOOKUP($G1363,基本資料!$A:$J,5,0),"無")</f>
        <v>無</v>
      </c>
      <c r="D1363" s="79" t="str">
        <f>IFERROR(VLOOKUP($G1363,基本資料!$A:$J,6,0),"無")</f>
        <v>無</v>
      </c>
      <c r="E1363" s="79" t="str">
        <f>IFERROR(VLOOKUP($G1363,基本資料!$A:$J,7,0),"無")</f>
        <v>無</v>
      </c>
      <c r="F1363" s="6" t="str">
        <f>IFERROR(VLOOKUP($G1363,基本資料!$A:$J,8,0),"無")</f>
        <v>無</v>
      </c>
      <c r="G1363" s="79">
        <v>6804</v>
      </c>
      <c r="H1363" s="8" t="s">
        <v>235</v>
      </c>
      <c r="I1363" s="16" t="s">
        <v>6137</v>
      </c>
      <c r="J1363" s="8" t="str">
        <f>IFERROR(VLOOKUP($G1363,今日總結!$A:$AN,39,0),"")</f>
        <v/>
      </c>
      <c r="K1363" s="5" t="str">
        <f>IFERROR(VLOOKUP($G1363,今日總結!$A:$AN,40,0),"")</f>
        <v/>
      </c>
      <c r="L1363" s="156" t="str">
        <f>IFERROR(VLOOKUP($G1363,今日總結!$A:$AN,37,0),"")</f>
        <v/>
      </c>
      <c r="M1363" s="337" t="str">
        <f>IFERROR(VLOOKUP($G1363,今日總結!$A:$AN,38,0),"")</f>
        <v/>
      </c>
      <c r="N1363" s="240" t="str">
        <f t="shared" si="232"/>
        <v/>
      </c>
      <c r="O1363" s="359" t="str">
        <f>IFERROR(VLOOKUP($G1363,融外自投!$A:$J,7,0),"無")</f>
        <v>無</v>
      </c>
      <c r="P1363" s="79" t="str">
        <f>IFERROR(VLOOKUP($G1363,融外自投!$A:$J,9,0),"無")</f>
        <v>無</v>
      </c>
      <c r="Q1363" s="342" t="str">
        <f>IFERROR(VLOOKUP($G1363,融外自投!$A:$J,8,0),"無")</f>
        <v>無</v>
      </c>
      <c r="R1363" s="81" t="str">
        <f>IFERROR(VLOOKUP($G1363,融外自投!$A:$J,10,0),"無")</f>
        <v>無</v>
      </c>
      <c r="S1363" s="324" t="str">
        <f>IFERROR(VLOOKUP($G1363,'321買'!$A:$E,4,0),"'沒有資料'")</f>
        <v>'沒有資料'</v>
      </c>
      <c r="T1363" s="186" t="str">
        <f>IFERROR(VLOOKUP($G1363,基本資料!$A:$J,9,0),"無")</f>
        <v>無</v>
      </c>
      <c r="U1363" s="307" t="e">
        <f t="shared" si="228"/>
        <v>#VALUE!</v>
      </c>
      <c r="V1363" s="94" t="str">
        <f>IFERROR(VLOOKUP($G1363,基本資料!$A:$J,10,0),"無")</f>
        <v>無</v>
      </c>
      <c r="W1363" s="36">
        <f>RTD("money.excel",,"6804","Price")</f>
        <v>51.8</v>
      </c>
      <c r="X1363" s="66"/>
      <c r="Y1363" s="15">
        <f t="shared" ref="Y1363:Y1364" si="237">W1363-X1363</f>
        <v>51.8</v>
      </c>
      <c r="Z1363" s="3" t="e">
        <f t="shared" ref="Z1363:Z1364" si="238">Y1363/X1363</f>
        <v>#DIV/0!</v>
      </c>
      <c r="AA1363" s="340" t="str">
        <f>IFERROR(VLOOKUP($G1363,基本資料!$A:$M,11,0),"無")</f>
        <v>無</v>
      </c>
      <c r="AB1363" s="389" t="str">
        <f>IFERROR(VLOOKUP($G1363,基本資料!$A:$M,12,0),"無")</f>
        <v>無</v>
      </c>
      <c r="AC1363" s="16" t="s">
        <v>6137</v>
      </c>
      <c r="AF1363" s="33">
        <f t="shared" ref="AF1363:AF1364" si="239">AE1363-AD1363</f>
        <v>0</v>
      </c>
      <c r="AG1363" s="117" t="s">
        <v>6138</v>
      </c>
      <c r="AH1363" s="66" t="e">
        <f t="shared" si="236"/>
        <v>#VALUE!</v>
      </c>
      <c r="AI1363" s="283">
        <f>RTD("money.excel",,$G1363,"PredictVolume")</f>
        <v>172</v>
      </c>
      <c r="AJ1363" s="391" t="str">
        <f>IFERROR(VLOOKUP($G1363,基本資料!$A:$M,13,0),"無")</f>
        <v>無</v>
      </c>
      <c r="AR1363" s="245" t="e">
        <f>INDEX(基本資料!N:N,MATCH($G1363,基本資料!A:A,0))</f>
        <v>#N/A</v>
      </c>
    </row>
    <row r="1364" spans="1:44">
      <c r="A1364" s="343">
        <f>IFERROR(VLOOKUP($G1364,基本資料!$A:$J,3,0),"無")</f>
        <v>19.649999999999999</v>
      </c>
      <c r="B1364" s="79">
        <f>IFERROR(VLOOKUP($G1364,基本資料!$A:$J,4,0),"無")</f>
        <v>86</v>
      </c>
      <c r="C1364" s="79">
        <f>IFERROR(VLOOKUP($G1364,基本資料!$A:$J,5,0),"無")</f>
        <v>5378</v>
      </c>
      <c r="D1364" s="79">
        <f>IFERROR(VLOOKUP($G1364,基本資料!$A:$J,6,0),"無")</f>
        <v>12</v>
      </c>
      <c r="E1364" s="79">
        <f>IFERROR(VLOOKUP($G1364,基本資料!$A:$J,7,0),"無")</f>
        <v>666</v>
      </c>
      <c r="F1364" s="6">
        <f>IFERROR(VLOOKUP($G1364,基本資料!$A:$J,8,0),"無")</f>
        <v>14.05</v>
      </c>
      <c r="G1364" s="79">
        <v>6806</v>
      </c>
      <c r="H1364" s="8" t="s">
        <v>1959</v>
      </c>
      <c r="I1364" s="22" t="s">
        <v>3510</v>
      </c>
      <c r="J1364" s="8" t="str">
        <f>IFERROR(VLOOKUP($G1364,今日總結!$A:$AN,39,0),"")</f>
        <v/>
      </c>
      <c r="K1364" s="5" t="str">
        <f>IFERROR(VLOOKUP($G1364,今日總結!$A:$AN,40,0),"")</f>
        <v/>
      </c>
      <c r="L1364" s="156" t="str">
        <f>IFERROR(VLOOKUP($G1364,今日總結!$A:$AN,37,0),"")</f>
        <v/>
      </c>
      <c r="M1364" s="337" t="str">
        <f>IFERROR(VLOOKUP($G1364,今日總結!$A:$AN,38,0),"")</f>
        <v/>
      </c>
      <c r="N1364" s="240" t="str">
        <f t="shared" si="232"/>
        <v/>
      </c>
      <c r="O1364" s="359" t="str">
        <f>IFERROR(VLOOKUP($G1364,融外自投!$A:$J,7,0),"無")</f>
        <v>無</v>
      </c>
      <c r="P1364" s="79" t="str">
        <f>IFERROR(VLOOKUP($G1364,融外自投!$A:$J,9,0),"無")</f>
        <v>無</v>
      </c>
      <c r="Q1364" s="342" t="str">
        <f>IFERROR(VLOOKUP($G1364,融外自投!$A:$J,8,0),"無")</f>
        <v>無</v>
      </c>
      <c r="R1364" s="81" t="str">
        <f>IFERROR(VLOOKUP($G1364,融外自投!$A:$J,10,0),"無")</f>
        <v>無</v>
      </c>
      <c r="S1364" s="324" t="str">
        <f>IFERROR(VLOOKUP($G1364,'321買'!$A:$E,4,0),"'沒有資料'")</f>
        <v>'沒有資料'</v>
      </c>
      <c r="T1364" s="186">
        <f>IFERROR(VLOOKUP($G1364,基本資料!$A:$J,9,0),"無")</f>
        <v>2</v>
      </c>
      <c r="U1364" s="307">
        <f t="shared" si="228"/>
        <v>2.2197558268590458E-2</v>
      </c>
      <c r="V1364" s="94">
        <f>IFERROR(VLOOKUP($G1364,基本資料!$A:$J,10,0),"無")</f>
        <v>3.78</v>
      </c>
      <c r="W1364" s="36">
        <f>RTD("money.excel",,"6806","Price")</f>
        <v>90.1</v>
      </c>
      <c r="X1364" s="66"/>
      <c r="Y1364" s="15">
        <f t="shared" si="237"/>
        <v>90.1</v>
      </c>
      <c r="Z1364" s="3" t="e">
        <f t="shared" si="238"/>
        <v>#DIV/0!</v>
      </c>
      <c r="AA1364" s="340" t="str">
        <f>IFERROR(VLOOKUP($G1364,基本資料!$A:$M,11,0),"無")</f>
        <v>無</v>
      </c>
      <c r="AB1364" s="389" t="str">
        <f>IFERROR(VLOOKUP($G1364,基本資料!$A:$M,12,0),"無")</f>
        <v>無</v>
      </c>
      <c r="AC1364" s="22" t="s">
        <v>3510</v>
      </c>
      <c r="AF1364" s="33">
        <f t="shared" si="239"/>
        <v>0</v>
      </c>
      <c r="AG1364" s="43" t="s">
        <v>3511</v>
      </c>
      <c r="AH1364" s="66" t="e">
        <f t="shared" si="236"/>
        <v>#VALUE!</v>
      </c>
      <c r="AI1364" s="283">
        <f>RTD("money.excel",,$G1364,"PredictVolume")</f>
        <v>1336</v>
      </c>
      <c r="AJ1364" s="391" t="str">
        <f>IFERROR(VLOOKUP($G1364,基本資料!$A:$M,13,0),"無")</f>
        <v>無</v>
      </c>
      <c r="AR1364" s="245" t="str">
        <f>INDEX(基本資料!N:N,MATCH($G1364,基本資料!A:A,0))</f>
        <v>無</v>
      </c>
    </row>
    <row r="1365" spans="1:44">
      <c r="A1365" s="343" t="str">
        <f>IFERROR(VLOOKUP($G1365,基本資料!$A:$J,3,0),"無")</f>
        <v>無</v>
      </c>
      <c r="B1365" s="79" t="str">
        <f>IFERROR(VLOOKUP($G1365,基本資料!$A:$J,4,0),"無")</f>
        <v>無</v>
      </c>
      <c r="C1365" s="79" t="str">
        <f>IFERROR(VLOOKUP($G1365,基本資料!$A:$J,5,0),"無")</f>
        <v>無</v>
      </c>
      <c r="D1365" s="79" t="str">
        <f>IFERROR(VLOOKUP($G1365,基本資料!$A:$J,6,0),"無")</f>
        <v>無</v>
      </c>
      <c r="E1365" s="79" t="str">
        <f>IFERROR(VLOOKUP($G1365,基本資料!$A:$J,7,0),"無")</f>
        <v>無</v>
      </c>
      <c r="F1365" s="6" t="str">
        <f>IFERROR(VLOOKUP($G1365,基本資料!$A:$J,8,0),"無")</f>
        <v>無</v>
      </c>
      <c r="G1365" s="79">
        <v>6807</v>
      </c>
      <c r="H1365" s="8" t="s">
        <v>235</v>
      </c>
      <c r="I1365" s="22" t="s">
        <v>6217</v>
      </c>
      <c r="J1365" s="8" t="str">
        <f>IFERROR(VLOOKUP($G1365,今日總結!$A:$AN,39,0),"")</f>
        <v/>
      </c>
      <c r="K1365" s="5" t="str">
        <f>IFERROR(VLOOKUP($G1365,今日總結!$A:$AN,40,0),"")</f>
        <v/>
      </c>
      <c r="L1365" s="156" t="str">
        <f>IFERROR(VLOOKUP($G1365,今日總結!$A:$AN,37,0),"")</f>
        <v/>
      </c>
      <c r="M1365" s="337" t="str">
        <f>IFERROR(VLOOKUP($G1365,今日總結!$A:$AN,38,0),"")</f>
        <v/>
      </c>
      <c r="N1365" s="240" t="str">
        <f t="shared" si="232"/>
        <v/>
      </c>
      <c r="O1365" s="359" t="str">
        <f>IFERROR(VLOOKUP($G1365,融外自投!$A:$J,7,0),"無")</f>
        <v>無</v>
      </c>
      <c r="P1365" s="79" t="str">
        <f>IFERROR(VLOOKUP($G1365,融外自投!$A:$J,9,0),"無")</f>
        <v>無</v>
      </c>
      <c r="Q1365" s="342" t="str">
        <f>IFERROR(VLOOKUP($G1365,融外自投!$A:$J,8,0),"無")</f>
        <v>無</v>
      </c>
      <c r="R1365" s="81" t="str">
        <f>IFERROR(VLOOKUP($G1365,融外自投!$A:$J,10,0),"無")</f>
        <v>無</v>
      </c>
      <c r="S1365" s="324" t="str">
        <f>IFERROR(VLOOKUP($G1365,'321買'!$A:$E,4,0),"'沒有資料'")</f>
        <v>'沒有資料'</v>
      </c>
      <c r="T1365" s="186" t="str">
        <f>IFERROR(VLOOKUP($G1365,基本資料!$A:$J,9,0),"無")</f>
        <v>無</v>
      </c>
      <c r="U1365" s="307" t="e">
        <f t="shared" si="228"/>
        <v>#VALUE!</v>
      </c>
      <c r="V1365" s="94" t="str">
        <f>IFERROR(VLOOKUP($G1365,基本資料!$A:$J,10,0),"無")</f>
        <v>無</v>
      </c>
      <c r="W1365" s="36">
        <f>RTD("money.excel",,"6807","Price")</f>
        <v>28.75</v>
      </c>
      <c r="X1365" s="66"/>
      <c r="Y1365" s="15">
        <f t="shared" ref="Y1365" si="240">W1365-X1365</f>
        <v>28.75</v>
      </c>
      <c r="Z1365" s="3" t="e">
        <f t="shared" ref="Z1365" si="241">Y1365/X1365</f>
        <v>#DIV/0!</v>
      </c>
      <c r="AA1365" s="340" t="str">
        <f>IFERROR(VLOOKUP($G1365,基本資料!$A:$M,11,0),"無")</f>
        <v>無</v>
      </c>
      <c r="AB1365" s="389" t="str">
        <f>IFERROR(VLOOKUP($G1365,基本資料!$A:$M,12,0),"無")</f>
        <v>無</v>
      </c>
      <c r="AC1365" s="22" t="s">
        <v>6217</v>
      </c>
      <c r="AF1365" s="33">
        <f>AE1365-AD1365</f>
        <v>0</v>
      </c>
      <c r="AG1365" s="43" t="s">
        <v>6265</v>
      </c>
      <c r="AH1365" s="66" t="e">
        <f t="shared" si="236"/>
        <v>#VALUE!</v>
      </c>
      <c r="AI1365" s="283">
        <f>RTD("money.excel",,$G1365,"PredictVolume")</f>
        <v>316</v>
      </c>
      <c r="AJ1365" s="391" t="str">
        <f>IFERROR(VLOOKUP($G1365,基本資料!$A:$M,13,0),"無")</f>
        <v>無</v>
      </c>
      <c r="AK1365" s="63"/>
      <c r="AL1365" s="283"/>
      <c r="AM1365" s="299"/>
      <c r="AN1365" s="330"/>
      <c r="AO1365" s="284"/>
      <c r="AR1365" s="245" t="e">
        <f>INDEX(基本資料!N:N,MATCH($G1365,基本資料!A:A,0))</f>
        <v>#N/A</v>
      </c>
    </row>
    <row r="1366" spans="1:44">
      <c r="A1366" s="343">
        <f>IFERROR(VLOOKUP($G1366,基本資料!$A:$J,3,0),"無")</f>
        <v>13.26</v>
      </c>
      <c r="B1366" s="79">
        <f>IFERROR(VLOOKUP($G1366,基本資料!$A:$J,4,0),"無")</f>
        <v>5</v>
      </c>
      <c r="C1366" s="79">
        <f>IFERROR(VLOOKUP($G1366,基本資料!$A:$J,5,0),"無")</f>
        <v>2686</v>
      </c>
      <c r="D1366" s="79">
        <f>IFERROR(VLOOKUP($G1366,基本資料!$A:$J,6,0),"無")</f>
        <v>-11</v>
      </c>
      <c r="E1366" s="79">
        <f>IFERROR(VLOOKUP($G1366,基本資料!$A:$J,7,0),"無")</f>
        <v>-22</v>
      </c>
      <c r="F1366" s="6">
        <f>IFERROR(VLOOKUP($G1366,基本資料!$A:$J,8,0),"無")</f>
        <v>6.19</v>
      </c>
      <c r="G1366" s="79">
        <v>8033</v>
      </c>
      <c r="H1366" s="8" t="s">
        <v>1959</v>
      </c>
      <c r="I1366" s="22" t="s">
        <v>685</v>
      </c>
      <c r="J1366" s="8" t="str">
        <f>IFERROR(VLOOKUP($G1366,今日總結!$A:$AN,39,0),"")</f>
        <v/>
      </c>
      <c r="K1366" s="5" t="str">
        <f>IFERROR(VLOOKUP($G1366,今日總結!$A:$AN,40,0),"")</f>
        <v/>
      </c>
      <c r="L1366" s="156" t="str">
        <f>IFERROR(VLOOKUP($G1366,今日總結!$A:$AN,37,0),"")</f>
        <v/>
      </c>
      <c r="M1366" s="337" t="str">
        <f>IFERROR(VLOOKUP($G1366,今日總結!$A:$AN,38,0),"")</f>
        <v/>
      </c>
      <c r="N1366" s="240" t="str">
        <f t="shared" si="232"/>
        <v/>
      </c>
      <c r="O1366" s="359" t="str">
        <f>IFERROR(VLOOKUP($G1366,融外自投!$A:$J,7,0),"無")</f>
        <v>無</v>
      </c>
      <c r="P1366" s="79" t="str">
        <f>IFERROR(VLOOKUP($G1366,融外自投!$A:$J,9,0),"無")</f>
        <v>無</v>
      </c>
      <c r="Q1366" s="342" t="str">
        <f>IFERROR(VLOOKUP($G1366,融外自投!$A:$J,8,0),"無")</f>
        <v>無</v>
      </c>
      <c r="R1366" s="81" t="str">
        <f>IFERROR(VLOOKUP($G1366,融外自投!$A:$J,10,0),"無")</f>
        <v>無</v>
      </c>
      <c r="S1366" s="324" t="str">
        <f>IFERROR(VLOOKUP($G1366,'321買'!$A:$E,4,0),"'沒有資料'")</f>
        <v>'沒有資料'</v>
      </c>
      <c r="T1366" s="186">
        <f>IFERROR(VLOOKUP($G1366,基本資料!$A:$J,9,0),"無")</f>
        <v>0</v>
      </c>
      <c r="U1366" s="307">
        <f t="shared" si="228"/>
        <v>0</v>
      </c>
      <c r="V1366" s="94">
        <f>IFERROR(VLOOKUP($G1366,基本資料!$A:$J,10,0),"無")</f>
        <v>0.18</v>
      </c>
      <c r="W1366" s="36">
        <f>RTD("money.excel",,"8033","Price")</f>
        <v>17.600000000000001</v>
      </c>
      <c r="X1366" s="66"/>
      <c r="Y1366" s="15">
        <f t="shared" si="229"/>
        <v>17.600000000000001</v>
      </c>
      <c r="Z1366" s="3" t="e">
        <f t="shared" si="230"/>
        <v>#DIV/0!</v>
      </c>
      <c r="AA1366" s="340">
        <f>IFERROR(VLOOKUP($G1366,基本資料!$A:$M,11,0),"無")</f>
        <v>-16.190000000000001</v>
      </c>
      <c r="AB1366" s="389">
        <f>IFERROR(VLOOKUP($G1366,基本資料!$A:$M,12,0),"無")</f>
        <v>68.959999999999994</v>
      </c>
      <c r="AC1366" s="22" t="s">
        <v>685</v>
      </c>
      <c r="AF1366" s="33">
        <f t="shared" si="231"/>
        <v>0</v>
      </c>
      <c r="AG1366" s="43" t="s">
        <v>2192</v>
      </c>
      <c r="AH1366" s="66">
        <f t="shared" si="236"/>
        <v>0.50296793228197112</v>
      </c>
      <c r="AI1366" s="283">
        <f>RTD("money.excel",,$G1366,"PredictVolume")</f>
        <v>716</v>
      </c>
      <c r="AJ1366" s="391">
        <f>IFERROR(VLOOKUP($G1366,基本資料!$A:$M,13,0),"無")</f>
        <v>1423.55</v>
      </c>
      <c r="AR1366" s="245" t="str">
        <f>INDEX(基本資料!N:N,MATCH($G1366,基本資料!A:A,0))</f>
        <v>中</v>
      </c>
    </row>
    <row r="1367" spans="1:44">
      <c r="A1367" s="343">
        <f>IFERROR(VLOOKUP($G1367,基本資料!$A:$J,3,0),"無")</f>
        <v>11.15</v>
      </c>
      <c r="B1367" s="79">
        <f>IFERROR(VLOOKUP($G1367,基本資料!$A:$J,4,0),"無")</f>
        <v>-5</v>
      </c>
      <c r="C1367" s="79">
        <f>IFERROR(VLOOKUP($G1367,基本資料!$A:$J,5,0),"無")</f>
        <v>-3</v>
      </c>
      <c r="D1367" s="79">
        <f>IFERROR(VLOOKUP($G1367,基本資料!$A:$J,6,0),"無")</f>
        <v>-7</v>
      </c>
      <c r="E1367" s="79">
        <f>IFERROR(VLOOKUP($G1367,基本資料!$A:$J,7,0),"無")</f>
        <v>18</v>
      </c>
      <c r="F1367" s="6">
        <f>IFERROR(VLOOKUP($G1367,基本資料!$A:$J,8,0),"無")</f>
        <v>35.94</v>
      </c>
      <c r="G1367" s="79">
        <v>8341</v>
      </c>
      <c r="H1367" s="8" t="s">
        <v>1959</v>
      </c>
      <c r="I1367" s="22" t="s">
        <v>686</v>
      </c>
      <c r="J1367" s="8">
        <f>IFERROR(VLOOKUP($G1367,今日總結!$A:$AN,39,0),"")</f>
        <v>0</v>
      </c>
      <c r="K1367" s="5">
        <f>IFERROR(VLOOKUP($G1367,今日總結!$A:$AN,40,0),"")</f>
        <v>0</v>
      </c>
      <c r="L1367" s="156">
        <f>IFERROR(VLOOKUP($G1367,今日總結!$A:$AN,37,0),"")</f>
        <v>0</v>
      </c>
      <c r="M1367" s="337">
        <f>IFERROR(VLOOKUP($G1367,今日總結!$A:$AN,38,0),"")</f>
        <v>0</v>
      </c>
      <c r="N1367" s="240">
        <f t="shared" si="232"/>
        <v>0</v>
      </c>
      <c r="O1367" s="359">
        <f>IFERROR(VLOOKUP($G1367,融外自投!$A:$J,7,0),"無")</f>
        <v>1073</v>
      </c>
      <c r="P1367" s="79">
        <f>IFERROR(VLOOKUP($G1367,融外自投!$A:$J,9,0),"無")</f>
        <v>584</v>
      </c>
      <c r="Q1367" s="342">
        <f>IFERROR(VLOOKUP($G1367,融外自投!$A:$J,8,0),"無")</f>
        <v>283</v>
      </c>
      <c r="R1367" s="81">
        <f>IFERROR(VLOOKUP($G1367,融外自投!$A:$J,10,0),"無")</f>
        <v>165</v>
      </c>
      <c r="S1367" s="324">
        <f>IFERROR(VLOOKUP($G1367,'321買'!$A:$E,4,0),"'沒有資料'")</f>
        <v>696</v>
      </c>
      <c r="T1367" s="186">
        <f>IFERROR(VLOOKUP($G1367,基本資料!$A:$J,9,0),"無")</f>
        <v>8</v>
      </c>
      <c r="U1367" s="307">
        <f t="shared" si="228"/>
        <v>3.7558685446009391E-2</v>
      </c>
      <c r="V1367" s="94">
        <f>IFERROR(VLOOKUP($G1367,基本資料!$A:$J,10,0),"無")</f>
        <v>8.4700000000000006</v>
      </c>
      <c r="W1367" s="36">
        <f>RTD("money.excel",,"8341","Price")</f>
        <v>213</v>
      </c>
      <c r="X1367" s="66"/>
      <c r="Y1367" s="15">
        <f t="shared" si="229"/>
        <v>213</v>
      </c>
      <c r="Z1367" s="3" t="e">
        <f t="shared" si="230"/>
        <v>#DIV/0!</v>
      </c>
      <c r="AA1367" s="340">
        <f>IFERROR(VLOOKUP($G1367,基本資料!$A:$M,11,0),"無")</f>
        <v>-13.06</v>
      </c>
      <c r="AB1367" s="389">
        <f>IFERROR(VLOOKUP($G1367,基本資料!$A:$M,12,0),"無")</f>
        <v>45.6</v>
      </c>
      <c r="AC1367" s="22" t="s">
        <v>686</v>
      </c>
      <c r="AF1367" s="33">
        <f t="shared" si="231"/>
        <v>0</v>
      </c>
      <c r="AG1367" s="43" t="s">
        <v>1448</v>
      </c>
      <c r="AH1367" s="66">
        <f t="shared" si="236"/>
        <v>0.30303030303030304</v>
      </c>
      <c r="AI1367" s="283">
        <f>RTD("money.excel",,$G1367,"PredictVolume")</f>
        <v>105</v>
      </c>
      <c r="AJ1367" s="391">
        <f>IFERROR(VLOOKUP($G1367,基本資料!$A:$M,13,0),"無")</f>
        <v>346.5</v>
      </c>
      <c r="AR1367" s="245" t="str">
        <f>INDEX(基本資料!N:N,MATCH($G1367,基本資料!A:A,0))</f>
        <v>中</v>
      </c>
    </row>
    <row r="1368" spans="1:44">
      <c r="A1368" s="343">
        <f>IFERROR(VLOOKUP($G1368,基本資料!$A:$J,3,0),"無")</f>
        <v>3.35</v>
      </c>
      <c r="B1368" s="79">
        <f>IFERROR(VLOOKUP($G1368,基本資料!$A:$J,4,0),"無")</f>
        <v>-33</v>
      </c>
      <c r="C1368" s="79">
        <f>IFERROR(VLOOKUP($G1368,基本資料!$A:$J,5,0),"無")</f>
        <v>9</v>
      </c>
      <c r="D1368" s="79">
        <f>IFERROR(VLOOKUP($G1368,基本資料!$A:$J,6,0),"無")</f>
        <v>-15</v>
      </c>
      <c r="E1368" s="79">
        <f>IFERROR(VLOOKUP($G1368,基本資料!$A:$J,7,0),"無")</f>
        <v>56</v>
      </c>
      <c r="F1368" s="6">
        <f>IFERROR(VLOOKUP($G1368,基本資料!$A:$J,8,0),"無")</f>
        <v>9.5299999999999994</v>
      </c>
      <c r="G1368" s="79">
        <v>8342</v>
      </c>
      <c r="H1368" s="8" t="s">
        <v>1959</v>
      </c>
      <c r="I1368" s="16" t="s">
        <v>649</v>
      </c>
      <c r="J1368" s="8" t="str">
        <f>IFERROR(VLOOKUP($G1368,今日總結!$A:$AN,39,0),"")</f>
        <v/>
      </c>
      <c r="K1368" s="5" t="str">
        <f>IFERROR(VLOOKUP($G1368,今日總結!$A:$AN,40,0),"")</f>
        <v/>
      </c>
      <c r="L1368" s="156" t="str">
        <f>IFERROR(VLOOKUP($G1368,今日總結!$A:$AN,37,0),"")</f>
        <v/>
      </c>
      <c r="M1368" s="337" t="str">
        <f>IFERROR(VLOOKUP($G1368,今日總結!$A:$AN,38,0),"")</f>
        <v/>
      </c>
      <c r="N1368" s="240" t="str">
        <f t="shared" si="232"/>
        <v/>
      </c>
      <c r="O1368" s="359">
        <f>IFERROR(VLOOKUP($G1368,融外自投!$A:$J,7,0),"無")</f>
        <v>1407</v>
      </c>
      <c r="P1368" s="79">
        <f>IFERROR(VLOOKUP($G1368,融外自投!$A:$J,9,0),"無")</f>
        <v>596</v>
      </c>
      <c r="Q1368" s="342">
        <f>IFERROR(VLOOKUP($G1368,融外自投!$A:$J,8,0),"無")</f>
        <v>1409</v>
      </c>
      <c r="R1368" s="81" t="str">
        <f>IFERROR(VLOOKUP($G1368,融外自投!$A:$J,10,0),"無")</f>
        <v>無</v>
      </c>
      <c r="S1368" s="324" t="str">
        <f>IFERROR(VLOOKUP($G1368,'321買'!$A:$E,4,0),"'沒有資料'")</f>
        <v>'沒有資料'</v>
      </c>
      <c r="T1368" s="186">
        <f>IFERROR(VLOOKUP($G1368,基本資料!$A:$J,9,0),"無")</f>
        <v>3.4</v>
      </c>
      <c r="U1368" s="307" t="e">
        <f t="shared" si="228"/>
        <v>#VALUE!</v>
      </c>
      <c r="V1368" s="94">
        <f>IFERROR(VLOOKUP($G1368,基本資料!$A:$J,10,0),"無")</f>
        <v>3.73</v>
      </c>
      <c r="W1368" s="36" t="str">
        <f>RTD("money.excel",,"8342","Price")</f>
        <v>無資料</v>
      </c>
      <c r="X1368" s="66"/>
      <c r="Y1368" s="15" t="e">
        <f t="shared" si="229"/>
        <v>#VALUE!</v>
      </c>
      <c r="Z1368" s="3" t="e">
        <f t="shared" si="230"/>
        <v>#VALUE!</v>
      </c>
      <c r="AA1368" s="340">
        <f>IFERROR(VLOOKUP($G1368,基本資料!$A:$M,11,0),"無")</f>
        <v>-3.99</v>
      </c>
      <c r="AB1368" s="389">
        <f>IFERROR(VLOOKUP($G1368,基本資料!$A:$M,12,0),"無")</f>
        <v>48.18</v>
      </c>
      <c r="AC1368" s="16" t="s">
        <v>649</v>
      </c>
      <c r="AF1368" s="33">
        <f t="shared" si="231"/>
        <v>0</v>
      </c>
      <c r="AG1368" s="43" t="s">
        <v>2470</v>
      </c>
      <c r="AH1368" s="66">
        <f t="shared" si="236"/>
        <v>0</v>
      </c>
      <c r="AI1368" s="283">
        <f>RTD("money.excel",,$G1368,"PredictVolume")</f>
        <v>0</v>
      </c>
      <c r="AJ1368" s="391">
        <f>IFERROR(VLOOKUP($G1368,基本資料!$A:$M,13,0),"無")</f>
        <v>13.85</v>
      </c>
      <c r="AR1368" s="245" t="str">
        <f>INDEX(基本資料!N:N,MATCH($G1368,基本資料!A:A,0))</f>
        <v>中</v>
      </c>
    </row>
    <row r="1369" spans="1:44">
      <c r="A1369" s="343">
        <f>IFERROR(VLOOKUP($G1369,基本資料!$A:$J,3,0),"無")</f>
        <v>11.99</v>
      </c>
      <c r="B1369" s="79">
        <f>IFERROR(VLOOKUP($G1369,基本資料!$A:$J,4,0),"無")</f>
        <v>57</v>
      </c>
      <c r="C1369" s="79">
        <f>IFERROR(VLOOKUP($G1369,基本資料!$A:$J,5,0),"無")</f>
        <v>79</v>
      </c>
      <c r="D1369" s="79">
        <f>IFERROR(VLOOKUP($G1369,基本資料!$A:$J,6,0),"無")</f>
        <v>-5</v>
      </c>
      <c r="E1369" s="79">
        <f>IFERROR(VLOOKUP($G1369,基本資料!$A:$J,7,0),"無")</f>
        <v>10</v>
      </c>
      <c r="F1369" s="6">
        <f>IFERROR(VLOOKUP($G1369,基本資料!$A:$J,8,0),"無")</f>
        <v>16.21</v>
      </c>
      <c r="G1369" s="79">
        <v>8390</v>
      </c>
      <c r="H1369" s="8" t="s">
        <v>1959</v>
      </c>
      <c r="I1369" s="16" t="s">
        <v>650</v>
      </c>
      <c r="J1369" s="8">
        <f>IFERROR(VLOOKUP($G1369,今日總結!$A:$AN,39,0),"")</f>
        <v>0</v>
      </c>
      <c r="K1369" s="5">
        <f>IFERROR(VLOOKUP($G1369,今日總結!$A:$AN,40,0),"")</f>
        <v>0</v>
      </c>
      <c r="L1369" s="156">
        <f>IFERROR(VLOOKUP($G1369,今日總結!$A:$AN,37,0),"")</f>
        <v>0</v>
      </c>
      <c r="M1369" s="337">
        <f>IFERROR(VLOOKUP($G1369,今日總結!$A:$AN,38,0),"")</f>
        <v>0</v>
      </c>
      <c r="N1369" s="240">
        <f t="shared" si="232"/>
        <v>0</v>
      </c>
      <c r="O1369" s="359">
        <f>IFERROR(VLOOKUP($G1369,融外自投!$A:$J,7,0),"無")</f>
        <v>288</v>
      </c>
      <c r="P1369" s="79">
        <f>IFERROR(VLOOKUP($G1369,融外自投!$A:$J,9,0),"無")</f>
        <v>357</v>
      </c>
      <c r="Q1369" s="342">
        <f>IFERROR(VLOOKUP($G1369,融外自投!$A:$J,8,0),"無")</f>
        <v>332</v>
      </c>
      <c r="R1369" s="81" t="str">
        <f>IFERROR(VLOOKUP($G1369,融外自投!$A:$J,10,0),"無")</f>
        <v>無</v>
      </c>
      <c r="S1369" s="324">
        <f>IFERROR(VLOOKUP($G1369,'321買'!$A:$E,4,0),"'沒有資料'")</f>
        <v>530</v>
      </c>
      <c r="T1369" s="186">
        <f>IFERROR(VLOOKUP($G1369,基本資料!$A:$J,9,0),"無")</f>
        <v>1.8</v>
      </c>
      <c r="U1369" s="307">
        <f t="shared" si="228"/>
        <v>5.7142857142857141E-2</v>
      </c>
      <c r="V1369" s="94">
        <f>IFERROR(VLOOKUP($G1369,基本資料!$A:$J,10,0),"無")</f>
        <v>3.47</v>
      </c>
      <c r="W1369" s="36">
        <f>RTD("money.excel",,"8390","Price")</f>
        <v>31.5</v>
      </c>
      <c r="X1369" s="66"/>
      <c r="Y1369" s="15">
        <f t="shared" si="229"/>
        <v>31.5</v>
      </c>
      <c r="Z1369" s="3" t="e">
        <f t="shared" si="230"/>
        <v>#DIV/0!</v>
      </c>
      <c r="AA1369" s="340">
        <f>IFERROR(VLOOKUP($G1369,基本資料!$A:$M,11,0),"無")</f>
        <v>-30.92</v>
      </c>
      <c r="AB1369" s="389">
        <f>IFERROR(VLOOKUP($G1369,基本資料!$A:$M,12,0),"無")</f>
        <v>14.68</v>
      </c>
      <c r="AC1369" s="16" t="s">
        <v>650</v>
      </c>
      <c r="AF1369" s="33">
        <f t="shared" si="231"/>
        <v>0</v>
      </c>
      <c r="AG1369" s="43" t="s">
        <v>3044</v>
      </c>
      <c r="AH1369" s="66">
        <f t="shared" si="236"/>
        <v>0.18492245976224256</v>
      </c>
      <c r="AI1369" s="283">
        <f>RTD("money.excel",,$G1369,"PredictVolume")</f>
        <v>189</v>
      </c>
      <c r="AJ1369" s="391">
        <f>IFERROR(VLOOKUP($G1369,基本資料!$A:$M,13,0),"無")</f>
        <v>1022.05</v>
      </c>
      <c r="AR1369" s="245" t="str">
        <f>INDEX(基本資料!N:N,MATCH($G1369,基本資料!A:A,0))</f>
        <v>低</v>
      </c>
    </row>
    <row r="1370" spans="1:44">
      <c r="A1370" s="343">
        <f>IFERROR(VLOOKUP($G1370,基本資料!$A:$J,3,0),"無")</f>
        <v>6</v>
      </c>
      <c r="B1370" s="79">
        <f>IFERROR(VLOOKUP($G1370,基本資料!$A:$J,4,0),"無")</f>
        <v>155</v>
      </c>
      <c r="C1370" s="79">
        <f>IFERROR(VLOOKUP($G1370,基本資料!$A:$J,5,0),"無")</f>
        <v>71</v>
      </c>
      <c r="D1370" s="79">
        <f>IFERROR(VLOOKUP($G1370,基本資料!$A:$J,6,0),"無")</f>
        <v>-8</v>
      </c>
      <c r="E1370" s="79">
        <f>IFERROR(VLOOKUP($G1370,基本資料!$A:$J,7,0),"無")</f>
        <v>-2</v>
      </c>
      <c r="F1370" s="6">
        <f>IFERROR(VLOOKUP($G1370,基本資料!$A:$J,8,0),"無")</f>
        <v>7.86</v>
      </c>
      <c r="G1370" s="79">
        <v>8401</v>
      </c>
      <c r="H1370" s="8" t="s">
        <v>1959</v>
      </c>
      <c r="I1370" s="16" t="s">
        <v>651</v>
      </c>
      <c r="J1370" s="8">
        <f>IFERROR(VLOOKUP($G1370,今日總結!$A:$AN,39,0),"")</f>
        <v>0</v>
      </c>
      <c r="K1370" s="5">
        <f>IFERROR(VLOOKUP($G1370,今日總結!$A:$AN,40,0),"")</f>
        <v>0</v>
      </c>
      <c r="L1370" s="156">
        <f>IFERROR(VLOOKUP($G1370,今日總結!$A:$AN,37,0),"")</f>
        <v>0</v>
      </c>
      <c r="M1370" s="337">
        <f>IFERROR(VLOOKUP($G1370,今日總結!$A:$AN,38,0),"")</f>
        <v>0</v>
      </c>
      <c r="N1370" s="240">
        <f t="shared" si="232"/>
        <v>0</v>
      </c>
      <c r="O1370" s="359">
        <f>IFERROR(VLOOKUP($G1370,融外自投!$A:$J,7,0),"無")</f>
        <v>883</v>
      </c>
      <c r="P1370" s="79">
        <f>IFERROR(VLOOKUP($G1370,融外自投!$A:$J,9,0),"無")</f>
        <v>908</v>
      </c>
      <c r="Q1370" s="342">
        <f>IFERROR(VLOOKUP($G1370,融外自投!$A:$J,8,0),"無")</f>
        <v>1185</v>
      </c>
      <c r="R1370" s="81" t="str">
        <f>IFERROR(VLOOKUP($G1370,融外自投!$A:$J,10,0),"無")</f>
        <v>無</v>
      </c>
      <c r="S1370" s="324">
        <f>IFERROR(VLOOKUP($G1370,'321買'!$A:$E,4,0),"'沒有資料'")</f>
        <v>801</v>
      </c>
      <c r="T1370" s="186">
        <f>IFERROR(VLOOKUP($G1370,基本資料!$A:$J,9,0),"無")</f>
        <v>1.73</v>
      </c>
      <c r="U1370" s="307">
        <f t="shared" si="228"/>
        <v>0.11054313099041534</v>
      </c>
      <c r="V1370" s="94">
        <f>IFERROR(VLOOKUP($G1370,基本資料!$A:$J,10,0),"無")</f>
        <v>1.96</v>
      </c>
      <c r="W1370" s="36">
        <f>RTD("money.excel",,"8401","Price")</f>
        <v>15.65</v>
      </c>
      <c r="X1370" s="66"/>
      <c r="Y1370" s="15">
        <f t="shared" si="229"/>
        <v>15.65</v>
      </c>
      <c r="Z1370" s="3" t="e">
        <f t="shared" si="230"/>
        <v>#DIV/0!</v>
      </c>
      <c r="AA1370" s="340">
        <f>IFERROR(VLOOKUP($G1370,基本資料!$A:$M,11,0),"無")</f>
        <v>-28.05</v>
      </c>
      <c r="AB1370" s="389">
        <f>IFERROR(VLOOKUP($G1370,基本資料!$A:$M,12,0),"無")</f>
        <v>8.82</v>
      </c>
      <c r="AC1370" s="16" t="s">
        <v>651</v>
      </c>
      <c r="AF1370" s="33">
        <f t="shared" si="231"/>
        <v>0</v>
      </c>
      <c r="AG1370" s="43" t="s">
        <v>2471</v>
      </c>
      <c r="AH1370" s="66">
        <f t="shared" si="236"/>
        <v>0.39732707242188908</v>
      </c>
      <c r="AI1370" s="283">
        <f>RTD("money.excel",,$G1370,"PredictVolume")</f>
        <v>110</v>
      </c>
      <c r="AJ1370" s="391">
        <f>IFERROR(VLOOKUP($G1370,基本資料!$A:$M,13,0),"無")</f>
        <v>276.85000000000002</v>
      </c>
      <c r="AR1370" s="245" t="str">
        <f>INDEX(基本資料!N:N,MATCH($G1370,基本資料!A:A,0))</f>
        <v>低</v>
      </c>
    </row>
    <row r="1371" spans="1:44">
      <c r="A1371" s="343">
        <f>IFERROR(VLOOKUP($G1371,基本資料!$A:$J,3,0),"無")</f>
        <v>31.51</v>
      </c>
      <c r="B1371" s="79">
        <f>IFERROR(VLOOKUP($G1371,基本資料!$A:$J,4,0),"無")</f>
        <v>128</v>
      </c>
      <c r="C1371" s="79">
        <f>IFERROR(VLOOKUP($G1371,基本資料!$A:$J,5,0),"無")</f>
        <v>95</v>
      </c>
      <c r="D1371" s="79">
        <f>IFERROR(VLOOKUP($G1371,基本資料!$A:$J,6,0),"無")</f>
        <v>31</v>
      </c>
      <c r="E1371" s="79">
        <f>IFERROR(VLOOKUP($G1371,基本資料!$A:$J,7,0),"無")</f>
        <v>-50</v>
      </c>
      <c r="F1371" s="6">
        <f>IFERROR(VLOOKUP($G1371,基本資料!$A:$J,8,0),"無")</f>
        <v>20.54</v>
      </c>
      <c r="G1371" s="79">
        <v>8404</v>
      </c>
      <c r="H1371" s="8" t="s">
        <v>1959</v>
      </c>
      <c r="I1371" s="22" t="s">
        <v>1092</v>
      </c>
      <c r="J1371" s="8" t="str">
        <f>IFERROR(VLOOKUP($G1371,今日總結!$A:$AN,39,0),"")</f>
        <v>自</v>
      </c>
      <c r="K1371" s="5" t="str">
        <f>IFERROR(VLOOKUP($G1371,今日總結!$A:$AN,40,0),"")</f>
        <v>外</v>
      </c>
      <c r="L1371" s="156">
        <f>IFERROR(VLOOKUP($G1371,今日總結!$A:$AN,37,0),"")</f>
        <v>1</v>
      </c>
      <c r="M1371" s="337">
        <f>IFERROR(VLOOKUP($G1371,今日總結!$A:$AN,38,0),"")</f>
        <v>3</v>
      </c>
      <c r="N1371" s="240">
        <f t="shared" si="232"/>
        <v>-2</v>
      </c>
      <c r="O1371" s="359">
        <f>IFERROR(VLOOKUP($G1371,融外自投!$A:$J,7,0),"無")</f>
        <v>1057</v>
      </c>
      <c r="P1371" s="79">
        <f>IFERROR(VLOOKUP($G1371,融外自投!$A:$J,9,0),"無")</f>
        <v>1051</v>
      </c>
      <c r="Q1371" s="342">
        <f>IFERROR(VLOOKUP($G1371,融外自投!$A:$J,8,0),"無")</f>
        <v>57</v>
      </c>
      <c r="R1371" s="81" t="str">
        <f>IFERROR(VLOOKUP($G1371,融外自投!$A:$J,10,0),"無")</f>
        <v>無</v>
      </c>
      <c r="S1371" s="324">
        <f>IFERROR(VLOOKUP($G1371,'321買'!$A:$E,4,0),"'沒有資料'")</f>
        <v>1002</v>
      </c>
      <c r="T1371" s="186">
        <f>IFERROR(VLOOKUP($G1371,基本資料!$A:$J,9,0),"無")</f>
        <v>2.5</v>
      </c>
      <c r="U1371" s="307">
        <f t="shared" si="228"/>
        <v>7.2150072150072159E-2</v>
      </c>
      <c r="V1371" s="94">
        <f>IFERROR(VLOOKUP($G1371,基本資料!$A:$J,10,0),"無")</f>
        <v>3.96</v>
      </c>
      <c r="W1371" s="36">
        <f>RTD("money.excel",,"8404","Price")</f>
        <v>34.65</v>
      </c>
      <c r="X1371" s="66"/>
      <c r="Y1371" s="15">
        <f t="shared" si="229"/>
        <v>34.65</v>
      </c>
      <c r="Z1371" s="3" t="e">
        <f t="shared" si="230"/>
        <v>#DIV/0!</v>
      </c>
      <c r="AA1371" s="340">
        <f>IFERROR(VLOOKUP($G1371,基本資料!$A:$M,11,0),"無")</f>
        <v>-31.11</v>
      </c>
      <c r="AB1371" s="389">
        <f>IFERROR(VLOOKUP($G1371,基本資料!$A:$M,12,0),"無")</f>
        <v>43.84</v>
      </c>
      <c r="AC1371" s="22" t="s">
        <v>1092</v>
      </c>
      <c r="AF1371" s="33">
        <f t="shared" si="231"/>
        <v>0</v>
      </c>
      <c r="AG1371" s="119" t="s">
        <v>2827</v>
      </c>
      <c r="AH1371" s="66">
        <f t="shared" si="236"/>
        <v>0.43682480037576327</v>
      </c>
      <c r="AI1371" s="283">
        <f>RTD("money.excel",,$G1371,"PredictVolume")</f>
        <v>93</v>
      </c>
      <c r="AJ1371" s="391">
        <f>IFERROR(VLOOKUP($G1371,基本資料!$A:$M,13,0),"無")</f>
        <v>212.9</v>
      </c>
      <c r="AR1371" s="245" t="str">
        <f>INDEX(基本資料!N:N,MATCH($G1371,基本資料!A:A,0))</f>
        <v>低</v>
      </c>
    </row>
    <row r="1372" spans="1:44">
      <c r="A1372" s="343">
        <f>IFERROR(VLOOKUP($G1372,基本資料!$A:$J,3,0),"無")</f>
        <v>17.53</v>
      </c>
      <c r="B1372" s="79">
        <f>IFERROR(VLOOKUP($G1372,基本資料!$A:$J,4,0),"無")</f>
        <v>480</v>
      </c>
      <c r="C1372" s="79">
        <f>IFERROR(VLOOKUP($G1372,基本資料!$A:$J,5,0),"無")</f>
        <v>46</v>
      </c>
      <c r="D1372" s="79">
        <f>IFERROR(VLOOKUP($G1372,基本資料!$A:$J,6,0),"無")</f>
        <v>-16</v>
      </c>
      <c r="E1372" s="79">
        <f>IFERROR(VLOOKUP($G1372,基本資料!$A:$J,7,0),"無")</f>
        <v>20</v>
      </c>
      <c r="F1372" s="6">
        <f>IFERROR(VLOOKUP($G1372,基本資料!$A:$J,8,0),"無")</f>
        <v>2.56</v>
      </c>
      <c r="G1372" s="79">
        <v>8411</v>
      </c>
      <c r="H1372" s="8" t="s">
        <v>1959</v>
      </c>
      <c r="I1372" s="22" t="s">
        <v>687</v>
      </c>
      <c r="J1372" s="8">
        <f>IFERROR(VLOOKUP($G1372,今日總結!$A:$AN,39,0),"")</f>
        <v>0</v>
      </c>
      <c r="K1372" s="5" t="str">
        <f>IFERROR(VLOOKUP($G1372,今日總結!$A:$AN,40,0),"")</f>
        <v>主</v>
      </c>
      <c r="L1372" s="156">
        <f>IFERROR(VLOOKUP($G1372,今日總結!$A:$AN,37,0),"")</f>
        <v>0</v>
      </c>
      <c r="M1372" s="337">
        <f>IFERROR(VLOOKUP($G1372,今日總結!$A:$AN,38,0),"")</f>
        <v>1</v>
      </c>
      <c r="N1372" s="240">
        <f t="shared" si="232"/>
        <v>-1</v>
      </c>
      <c r="O1372" s="359">
        <f>IFERROR(VLOOKUP($G1372,融外自投!$A:$J,7,0),"無")</f>
        <v>1055</v>
      </c>
      <c r="P1372" s="79">
        <f>IFERROR(VLOOKUP($G1372,融外自投!$A:$J,9,0),"無")</f>
        <v>990</v>
      </c>
      <c r="Q1372" s="342">
        <f>IFERROR(VLOOKUP($G1372,融外自投!$A:$J,8,0),"無")</f>
        <v>43</v>
      </c>
      <c r="R1372" s="81" t="str">
        <f>IFERROR(VLOOKUP($G1372,融外自投!$A:$J,10,0),"無")</f>
        <v>無</v>
      </c>
      <c r="S1372" s="324">
        <f>IFERROR(VLOOKUP($G1372,'321買'!$A:$E,4,0),"'沒有資料'")</f>
        <v>1002</v>
      </c>
      <c r="T1372" s="186">
        <f>IFERROR(VLOOKUP($G1372,基本資料!$A:$J,9,0),"無")</f>
        <v>0.4</v>
      </c>
      <c r="U1372" s="307">
        <f t="shared" si="228"/>
        <v>2.5396825396825397E-2</v>
      </c>
      <c r="V1372" s="94">
        <f>IFERROR(VLOOKUP($G1372,基本資料!$A:$J,10,0),"無")</f>
        <v>2.2200000000000002</v>
      </c>
      <c r="W1372" s="36">
        <f>RTD("money.excel",,"8411","Price")</f>
        <v>15.75</v>
      </c>
      <c r="X1372" s="66"/>
      <c r="Y1372" s="15">
        <f t="shared" si="229"/>
        <v>15.75</v>
      </c>
      <c r="Z1372" s="3" t="e">
        <f t="shared" si="230"/>
        <v>#DIV/0!</v>
      </c>
      <c r="AA1372" s="340">
        <f>IFERROR(VLOOKUP($G1372,基本資料!$A:$M,11,0),"無")</f>
        <v>-20.65</v>
      </c>
      <c r="AB1372" s="389">
        <f>IFERROR(VLOOKUP($G1372,基本資料!$A:$M,12,0),"無")</f>
        <v>26.93</v>
      </c>
      <c r="AC1372" s="22" t="s">
        <v>687</v>
      </c>
      <c r="AF1372" s="33">
        <f t="shared" si="231"/>
        <v>0</v>
      </c>
      <c r="AG1372" s="43" t="s">
        <v>2828</v>
      </c>
      <c r="AH1372" s="66">
        <f t="shared" si="236"/>
        <v>1.0958904109589043</v>
      </c>
      <c r="AI1372" s="283">
        <f>RTD("money.excel",,$G1372,"PredictVolume")</f>
        <v>76</v>
      </c>
      <c r="AJ1372" s="391">
        <f>IFERROR(VLOOKUP($G1372,基本資料!$A:$M,13,0),"無")</f>
        <v>69.349999999999994</v>
      </c>
      <c r="AR1372" s="245" t="str">
        <f>INDEX(基本資料!N:N,MATCH($G1372,基本資料!A:A,0))</f>
        <v>低</v>
      </c>
    </row>
    <row r="1373" spans="1:44">
      <c r="A1373" s="343">
        <f>IFERROR(VLOOKUP($G1373,基本資料!$A:$J,3,0),"無")</f>
        <v>7.83</v>
      </c>
      <c r="B1373" s="79">
        <f>IFERROR(VLOOKUP($G1373,基本資料!$A:$J,4,0),"無")</f>
        <v>-13</v>
      </c>
      <c r="C1373" s="79">
        <f>IFERROR(VLOOKUP($G1373,基本資料!$A:$J,5,0),"無")</f>
        <v>30</v>
      </c>
      <c r="D1373" s="79">
        <f>IFERROR(VLOOKUP($G1373,基本資料!$A:$J,6,0),"無")</f>
        <v>20</v>
      </c>
      <c r="E1373" s="79">
        <f>IFERROR(VLOOKUP($G1373,基本資料!$A:$J,7,0),"無")</f>
        <v>26</v>
      </c>
      <c r="F1373" s="6">
        <f>IFERROR(VLOOKUP($G1373,基本資料!$A:$J,8,0),"無")</f>
        <v>-5.65</v>
      </c>
      <c r="G1373" s="79">
        <v>8418</v>
      </c>
      <c r="H1373" s="8" t="s">
        <v>1959</v>
      </c>
      <c r="I1373" s="16" t="s">
        <v>1097</v>
      </c>
      <c r="J1373" s="8" t="str">
        <f>IFERROR(VLOOKUP($G1373,今日總結!$A:$AN,39,0),"")</f>
        <v/>
      </c>
      <c r="K1373" s="5" t="str">
        <f>IFERROR(VLOOKUP($G1373,今日總結!$A:$AN,40,0),"")</f>
        <v/>
      </c>
      <c r="L1373" s="156" t="str">
        <f>IFERROR(VLOOKUP($G1373,今日總結!$A:$AN,37,0),"")</f>
        <v/>
      </c>
      <c r="M1373" s="337" t="str">
        <f>IFERROR(VLOOKUP($G1373,今日總結!$A:$AN,38,0),"")</f>
        <v/>
      </c>
      <c r="N1373" s="240" t="str">
        <f t="shared" si="232"/>
        <v/>
      </c>
      <c r="O1373" s="359">
        <f>IFERROR(VLOOKUP($G1373,融外自投!$A:$J,7,0),"無")</f>
        <v>1189</v>
      </c>
      <c r="P1373" s="79" t="str">
        <f>IFERROR(VLOOKUP($G1373,融外自投!$A:$J,9,0),"無")</f>
        <v>無</v>
      </c>
      <c r="Q1373" s="342">
        <f>IFERROR(VLOOKUP($G1373,融外自投!$A:$J,8,0),"無")</f>
        <v>4</v>
      </c>
      <c r="R1373" s="81" t="str">
        <f>IFERROR(VLOOKUP($G1373,融外自投!$A:$J,10,0),"無")</f>
        <v>無</v>
      </c>
      <c r="S1373" s="324" t="str">
        <f>IFERROR(VLOOKUP($G1373,'321買'!$A:$E,4,0),"'沒有資料'")</f>
        <v>'沒有資料'</v>
      </c>
      <c r="T1373" s="186">
        <f>IFERROR(VLOOKUP($G1373,基本資料!$A:$J,9,0),"無")</f>
        <v>0</v>
      </c>
      <c r="U1373" s="307" t="e">
        <f t="shared" ref="U1373:U1436" si="242">$T1373/$W1373</f>
        <v>#VALUE!</v>
      </c>
      <c r="V1373" s="94">
        <f>IFERROR(VLOOKUP($G1373,基本資料!$A:$J,10,0),"無")</f>
        <v>-1.97</v>
      </c>
      <c r="W1373" s="36" t="str">
        <f>RTD("money.excel",,"8418","Price")</f>
        <v>無資料</v>
      </c>
      <c r="X1373" s="66"/>
      <c r="Y1373" s="15" t="e">
        <f t="shared" si="229"/>
        <v>#VALUE!</v>
      </c>
      <c r="Z1373" s="3" t="e">
        <f t="shared" si="230"/>
        <v>#VALUE!</v>
      </c>
      <c r="AA1373" s="340">
        <f>IFERROR(VLOOKUP($G1373,基本資料!$A:$M,11,0),"無")</f>
        <v>-22.4</v>
      </c>
      <c r="AB1373" s="389">
        <f>IFERROR(VLOOKUP($G1373,基本資料!$A:$M,12,0),"無")</f>
        <v>8.92</v>
      </c>
      <c r="AC1373" s="16" t="s">
        <v>1097</v>
      </c>
      <c r="AF1373" s="33">
        <f t="shared" si="231"/>
        <v>0</v>
      </c>
      <c r="AG1373" s="43" t="s">
        <v>2472</v>
      </c>
      <c r="AH1373" s="66">
        <f t="shared" si="236"/>
        <v>0</v>
      </c>
      <c r="AI1373" s="283">
        <f>RTD("money.excel",,$G1373,"PredictVolume")</f>
        <v>0</v>
      </c>
      <c r="AJ1373" s="391">
        <f>IFERROR(VLOOKUP($G1373,基本資料!$A:$M,13,0),"無")</f>
        <v>31.85</v>
      </c>
      <c r="AR1373" s="245" t="str">
        <f>INDEX(基本資料!N:N,MATCH($G1373,基本資料!A:A,0))</f>
        <v>低</v>
      </c>
    </row>
    <row r="1374" spans="1:44">
      <c r="A1374" s="343">
        <f>IFERROR(VLOOKUP($G1374,基本資料!$A:$J,3,0),"無")</f>
        <v>5.09</v>
      </c>
      <c r="B1374" s="79">
        <f>IFERROR(VLOOKUP($G1374,基本資料!$A:$J,4,0),"無")</f>
        <v>213</v>
      </c>
      <c r="C1374" s="79">
        <f>IFERROR(VLOOKUP($G1374,基本資料!$A:$J,5,0),"無")</f>
        <v>264</v>
      </c>
      <c r="D1374" s="79">
        <f>IFERROR(VLOOKUP($G1374,基本資料!$A:$J,6,0),"無")</f>
        <v>7</v>
      </c>
      <c r="E1374" s="79">
        <f>IFERROR(VLOOKUP($G1374,基本資料!$A:$J,7,0),"無")</f>
        <v>45</v>
      </c>
      <c r="F1374" s="6">
        <f>IFERROR(VLOOKUP($G1374,基本資料!$A:$J,8,0),"無")</f>
        <v>11.16</v>
      </c>
      <c r="G1374" s="79">
        <v>8420</v>
      </c>
      <c r="H1374" s="8" t="s">
        <v>1959</v>
      </c>
      <c r="I1374" s="16" t="s">
        <v>4609</v>
      </c>
      <c r="J1374" s="8" t="str">
        <f>IFERROR(VLOOKUP($G1374,今日總結!$A:$AN,39,0),"")</f>
        <v>外</v>
      </c>
      <c r="K1374" s="5">
        <f>IFERROR(VLOOKUP($G1374,今日總結!$A:$AN,40,0),"")</f>
        <v>0</v>
      </c>
      <c r="L1374" s="156">
        <f>IFERROR(VLOOKUP($G1374,今日總結!$A:$AN,37,0),"")</f>
        <v>1</v>
      </c>
      <c r="M1374" s="337">
        <f>IFERROR(VLOOKUP($G1374,今日總結!$A:$AN,38,0),"")</f>
        <v>0</v>
      </c>
      <c r="N1374" s="240">
        <f t="shared" ref="N1374:N1437" si="243">IFERROR(L1374-M1374,"")</f>
        <v>1</v>
      </c>
      <c r="O1374" s="359">
        <f>IFERROR(VLOOKUP($G1374,融外自投!$A:$J,7,0),"無")</f>
        <v>779</v>
      </c>
      <c r="P1374" s="79">
        <f>IFERROR(VLOOKUP($G1374,融外自投!$A:$J,9,0),"無")</f>
        <v>1051</v>
      </c>
      <c r="Q1374" s="342">
        <f>IFERROR(VLOOKUP($G1374,融外自投!$A:$J,8,0),"無")</f>
        <v>1169</v>
      </c>
      <c r="R1374" s="81" t="str">
        <f>IFERROR(VLOOKUP($G1374,融外自投!$A:$J,10,0),"無")</f>
        <v>無</v>
      </c>
      <c r="S1374" s="324">
        <f>IFERROR(VLOOKUP($G1374,'321買'!$A:$E,4,0),"'沒有資料'")</f>
        <v>891</v>
      </c>
      <c r="T1374" s="186">
        <f>IFERROR(VLOOKUP($G1374,基本資料!$A:$J,9,0),"無")</f>
        <v>2.5</v>
      </c>
      <c r="U1374" s="307">
        <f t="shared" si="242"/>
        <v>4.8449612403100771E-2</v>
      </c>
      <c r="V1374" s="94">
        <f>IFERROR(VLOOKUP($G1374,基本資料!$A:$J,10,0),"無")</f>
        <v>4.6399999999999997</v>
      </c>
      <c r="W1374" s="36">
        <f>RTD("money.excel",,"8420","Price")</f>
        <v>51.6</v>
      </c>
      <c r="X1374" s="66"/>
      <c r="Y1374" s="15">
        <f t="shared" si="229"/>
        <v>51.6</v>
      </c>
      <c r="Z1374" s="3" t="e">
        <f t="shared" si="230"/>
        <v>#DIV/0!</v>
      </c>
      <c r="AA1374" s="340">
        <f>IFERROR(VLOOKUP($G1374,基本資料!$A:$M,11,0),"無")</f>
        <v>-3.55</v>
      </c>
      <c r="AB1374" s="389">
        <f>IFERROR(VLOOKUP($G1374,基本資料!$A:$M,12,0),"無")</f>
        <v>80.349999999999994</v>
      </c>
      <c r="AC1374" s="16" t="s">
        <v>4609</v>
      </c>
      <c r="AF1374" s="33">
        <f t="shared" si="231"/>
        <v>0</v>
      </c>
      <c r="AG1374" s="117" t="s">
        <v>1732</v>
      </c>
      <c r="AH1374" s="66">
        <f t="shared" si="236"/>
        <v>0.9589938425258745</v>
      </c>
      <c r="AI1374" s="283">
        <f>RTD("money.excel",,$G1374,"PredictVolume")</f>
        <v>366</v>
      </c>
      <c r="AJ1374" s="391">
        <f>IFERROR(VLOOKUP($G1374,基本資料!$A:$M,13,0),"無")</f>
        <v>381.65</v>
      </c>
      <c r="AR1374" s="245" t="str">
        <f>INDEX(基本資料!N:N,MATCH($G1374,基本資料!A:A,0))</f>
        <v>高</v>
      </c>
    </row>
    <row r="1375" spans="1:44">
      <c r="A1375" s="343">
        <f>IFERROR(VLOOKUP($G1375,基本資料!$A:$J,3,0),"無")</f>
        <v>5.48</v>
      </c>
      <c r="B1375" s="79">
        <f>IFERROR(VLOOKUP($G1375,基本資料!$A:$J,4,0),"無")</f>
        <v>-4</v>
      </c>
      <c r="C1375" s="79">
        <f>IFERROR(VLOOKUP($G1375,基本資料!$A:$J,5,0),"無")</f>
        <v>-101</v>
      </c>
      <c r="D1375" s="79">
        <f>IFERROR(VLOOKUP($G1375,基本資料!$A:$J,6,0),"無")</f>
        <v>-14</v>
      </c>
      <c r="E1375" s="79">
        <f>IFERROR(VLOOKUP($G1375,基本資料!$A:$J,7,0),"無")</f>
        <v>0</v>
      </c>
      <c r="F1375" s="6">
        <f>IFERROR(VLOOKUP($G1375,基本資料!$A:$J,8,0),"無")</f>
        <v>-1.86</v>
      </c>
      <c r="G1375" s="79">
        <v>8421</v>
      </c>
      <c r="H1375" s="8" t="s">
        <v>1959</v>
      </c>
      <c r="I1375" s="16" t="s">
        <v>652</v>
      </c>
      <c r="J1375" s="8" t="str">
        <f>IFERROR(VLOOKUP($G1375,今日總結!$A:$AN,39,0),"")</f>
        <v/>
      </c>
      <c r="K1375" s="5" t="str">
        <f>IFERROR(VLOOKUP($G1375,今日總結!$A:$AN,40,0),"")</f>
        <v/>
      </c>
      <c r="L1375" s="156" t="str">
        <f>IFERROR(VLOOKUP($G1375,今日總結!$A:$AN,37,0),"")</f>
        <v/>
      </c>
      <c r="M1375" s="337" t="str">
        <f>IFERROR(VLOOKUP($G1375,今日總結!$A:$AN,38,0),"")</f>
        <v/>
      </c>
      <c r="N1375" s="240" t="str">
        <f t="shared" si="243"/>
        <v/>
      </c>
      <c r="O1375" s="359" t="str">
        <f>IFERROR(VLOOKUP($G1375,融外自投!$A:$J,7,0),"無")</f>
        <v>無</v>
      </c>
      <c r="P1375" s="79" t="str">
        <f>IFERROR(VLOOKUP($G1375,融外自投!$A:$J,9,0),"無")</f>
        <v>無</v>
      </c>
      <c r="Q1375" s="342" t="str">
        <f>IFERROR(VLOOKUP($G1375,融外自投!$A:$J,8,0),"無")</f>
        <v>無</v>
      </c>
      <c r="R1375" s="81" t="str">
        <f>IFERROR(VLOOKUP($G1375,融外自投!$A:$J,10,0),"無")</f>
        <v>無</v>
      </c>
      <c r="S1375" s="324" t="str">
        <f>IFERROR(VLOOKUP($G1375,'321買'!$A:$E,4,0),"'沒有資料'")</f>
        <v>'沒有資料'</v>
      </c>
      <c r="T1375" s="186">
        <f>IFERROR(VLOOKUP($G1375,基本資料!$A:$J,9,0),"無")</f>
        <v>0</v>
      </c>
      <c r="U1375" s="307">
        <f t="shared" si="242"/>
        <v>0</v>
      </c>
      <c r="V1375" s="94">
        <f>IFERROR(VLOOKUP($G1375,基本資料!$A:$J,10,0),"無")</f>
        <v>-2.0699999999999998</v>
      </c>
      <c r="W1375" s="36">
        <f>RTD("money.excel",,"8421","Price")</f>
        <v>12.6</v>
      </c>
      <c r="X1375" s="66"/>
      <c r="Y1375" s="15">
        <f t="shared" si="229"/>
        <v>12.6</v>
      </c>
      <c r="Z1375" s="3" t="e">
        <f t="shared" si="230"/>
        <v>#DIV/0!</v>
      </c>
      <c r="AA1375" s="340">
        <f>IFERROR(VLOOKUP($G1375,基本資料!$A:$M,11,0),"無")</f>
        <v>-22.22</v>
      </c>
      <c r="AB1375" s="389">
        <f>IFERROR(VLOOKUP($G1375,基本資料!$A:$M,12,0),"無")</f>
        <v>32.21</v>
      </c>
      <c r="AC1375" s="16" t="s">
        <v>652</v>
      </c>
      <c r="AF1375" s="33">
        <f t="shared" si="231"/>
        <v>0</v>
      </c>
      <c r="AG1375" s="43" t="s">
        <v>2473</v>
      </c>
      <c r="AH1375" s="66">
        <f t="shared" si="236"/>
        <v>1.1201897733263046</v>
      </c>
      <c r="AI1375" s="283">
        <f>RTD("money.excel",,$G1375,"PredictVolume")</f>
        <v>425</v>
      </c>
      <c r="AJ1375" s="391">
        <f>IFERROR(VLOOKUP($G1375,基本資料!$A:$M,13,0),"無")</f>
        <v>379.4</v>
      </c>
      <c r="AR1375" s="245" t="str">
        <f>INDEX(基本資料!N:N,MATCH($G1375,基本資料!A:A,0))</f>
        <v>中</v>
      </c>
    </row>
    <row r="1376" spans="1:44">
      <c r="A1376" s="343">
        <f>IFERROR(VLOOKUP($G1376,基本資料!$A:$J,3,0),"無")</f>
        <v>10.88</v>
      </c>
      <c r="B1376" s="79">
        <f>IFERROR(VLOOKUP($G1376,基本資料!$A:$J,4,0),"無")</f>
        <v>-1</v>
      </c>
      <c r="C1376" s="79">
        <f>IFERROR(VLOOKUP($G1376,基本資料!$A:$J,5,0),"無")</f>
        <v>0</v>
      </c>
      <c r="D1376" s="79">
        <f>IFERROR(VLOOKUP($G1376,基本資料!$A:$J,6,0),"無")</f>
        <v>10</v>
      </c>
      <c r="E1376" s="79">
        <f>IFERROR(VLOOKUP($G1376,基本資料!$A:$J,7,0),"無")</f>
        <v>82</v>
      </c>
      <c r="F1376" s="6">
        <f>IFERROR(VLOOKUP($G1376,基本資料!$A:$J,8,0),"無")</f>
        <v>47.84</v>
      </c>
      <c r="G1376" s="79">
        <v>8422</v>
      </c>
      <c r="H1376" s="8" t="s">
        <v>1959</v>
      </c>
      <c r="I1376" s="22" t="s">
        <v>688</v>
      </c>
      <c r="J1376" s="8">
        <f>IFERROR(VLOOKUP($G1376,今日總結!$A:$AN,39,0),"")</f>
        <v>0</v>
      </c>
      <c r="K1376" s="5" t="str">
        <f>IFERROR(VLOOKUP($G1376,今日總結!$A:$AN,40,0),"")</f>
        <v>融</v>
      </c>
      <c r="L1376" s="156">
        <f>IFERROR(VLOOKUP($G1376,今日總結!$A:$AN,37,0),"")</f>
        <v>0</v>
      </c>
      <c r="M1376" s="337">
        <f>IFERROR(VLOOKUP($G1376,今日總結!$A:$AN,38,0),"")</f>
        <v>6</v>
      </c>
      <c r="N1376" s="240">
        <f t="shared" si="243"/>
        <v>-6</v>
      </c>
      <c r="O1376" s="359">
        <f>IFERROR(VLOOKUP($G1376,融外自投!$A:$J,7,0),"無")</f>
        <v>889</v>
      </c>
      <c r="P1376" s="79">
        <f>IFERROR(VLOOKUP($G1376,融外自投!$A:$J,9,0),"無")</f>
        <v>365</v>
      </c>
      <c r="Q1376" s="342">
        <f>IFERROR(VLOOKUP($G1376,融外自投!$A:$J,8,0),"無")</f>
        <v>217</v>
      </c>
      <c r="R1376" s="81">
        <f>IFERROR(VLOOKUP($G1376,融外自投!$A:$J,10,0),"無")</f>
        <v>276</v>
      </c>
      <c r="S1376" s="324">
        <f>IFERROR(VLOOKUP($G1376,'321買'!$A:$E,4,0),"'沒有資料'")</f>
        <v>606</v>
      </c>
      <c r="T1376" s="186">
        <f>IFERROR(VLOOKUP($G1376,基本資料!$A:$J,9,0),"無")</f>
        <v>10</v>
      </c>
      <c r="U1376" s="307">
        <f t="shared" si="242"/>
        <v>5.0632911392405063E-2</v>
      </c>
      <c r="V1376" s="94">
        <f>IFERROR(VLOOKUP($G1376,基本資料!$A:$J,10,0),"無")</f>
        <v>10.59</v>
      </c>
      <c r="W1376" s="36">
        <f>RTD("money.excel",,"8422","Price")</f>
        <v>197.5</v>
      </c>
      <c r="X1376" s="66"/>
      <c r="Y1376" s="15">
        <f t="shared" si="229"/>
        <v>197.5</v>
      </c>
      <c r="Z1376" s="3" t="e">
        <f t="shared" si="230"/>
        <v>#DIV/0!</v>
      </c>
      <c r="AA1376" s="340">
        <f>IFERROR(VLOOKUP($G1376,基本資料!$A:$M,11,0),"無")</f>
        <v>-21.47</v>
      </c>
      <c r="AB1376" s="389">
        <f>IFERROR(VLOOKUP($G1376,基本資料!$A:$M,12,0),"無")</f>
        <v>32.44</v>
      </c>
      <c r="AC1376" s="22" t="s">
        <v>688</v>
      </c>
      <c r="AF1376" s="33">
        <f t="shared" si="231"/>
        <v>0</v>
      </c>
      <c r="AG1376" s="43" t="s">
        <v>2829</v>
      </c>
      <c r="AH1376" s="66">
        <f t="shared" si="236"/>
        <v>0.97297297297297303</v>
      </c>
      <c r="AI1376" s="283">
        <f>RTD("money.excel",,$G1376,"PredictVolume")</f>
        <v>225</v>
      </c>
      <c r="AJ1376" s="391">
        <f>IFERROR(VLOOKUP($G1376,基本資料!$A:$M,13,0),"無")</f>
        <v>231.25</v>
      </c>
      <c r="AR1376" s="245" t="str">
        <f>INDEX(基本資料!N:N,MATCH($G1376,基本資料!A:A,0))</f>
        <v>中</v>
      </c>
    </row>
    <row r="1377" spans="1:44">
      <c r="A1377" s="343">
        <f>IFERROR(VLOOKUP($G1377,基本資料!$A:$J,3,0),"無")</f>
        <v>2.41</v>
      </c>
      <c r="B1377" s="79">
        <f>IFERROR(VLOOKUP($G1377,基本資料!$A:$J,4,0),"無")</f>
        <v>-14</v>
      </c>
      <c r="C1377" s="79">
        <f>IFERROR(VLOOKUP($G1377,基本資料!$A:$J,5,0),"無")</f>
        <v>-26</v>
      </c>
      <c r="D1377" s="79">
        <f>IFERROR(VLOOKUP($G1377,基本資料!$A:$J,6,0),"無")</f>
        <v>-18</v>
      </c>
      <c r="E1377" s="79">
        <f>IFERROR(VLOOKUP($G1377,基本資料!$A:$J,7,0),"無")</f>
        <v>-19</v>
      </c>
      <c r="F1377" s="6">
        <f>IFERROR(VLOOKUP($G1377,基本資料!$A:$J,8,0),"無")</f>
        <v>8.61</v>
      </c>
      <c r="G1377" s="79">
        <v>8423</v>
      </c>
      <c r="H1377" s="8" t="s">
        <v>1959</v>
      </c>
      <c r="I1377" s="16" t="s">
        <v>653</v>
      </c>
      <c r="J1377" s="8" t="str">
        <f>IFERROR(VLOOKUP($G1377,今日總結!$A:$AN,39,0),"")</f>
        <v/>
      </c>
      <c r="K1377" s="5" t="str">
        <f>IFERROR(VLOOKUP($G1377,今日總結!$A:$AN,40,0),"")</f>
        <v/>
      </c>
      <c r="L1377" s="156" t="str">
        <f>IFERROR(VLOOKUP($G1377,今日總結!$A:$AN,37,0),"")</f>
        <v/>
      </c>
      <c r="M1377" s="337" t="str">
        <f>IFERROR(VLOOKUP($G1377,今日總結!$A:$AN,38,0),"")</f>
        <v/>
      </c>
      <c r="N1377" s="240" t="str">
        <f t="shared" si="243"/>
        <v/>
      </c>
      <c r="O1377" s="359" t="str">
        <f>IFERROR(VLOOKUP($G1377,融外自投!$A:$J,7,0),"無")</f>
        <v>無</v>
      </c>
      <c r="P1377" s="79" t="str">
        <f>IFERROR(VLOOKUP($G1377,融外自投!$A:$J,9,0),"無")</f>
        <v>無</v>
      </c>
      <c r="Q1377" s="342" t="str">
        <f>IFERROR(VLOOKUP($G1377,融外自投!$A:$J,8,0),"無")</f>
        <v>無</v>
      </c>
      <c r="R1377" s="81" t="str">
        <f>IFERROR(VLOOKUP($G1377,融外自投!$A:$J,10,0),"無")</f>
        <v>無</v>
      </c>
      <c r="S1377" s="324" t="str">
        <f>IFERROR(VLOOKUP($G1377,'321買'!$A:$E,4,0),"'沒有資料'")</f>
        <v>'沒有資料'</v>
      </c>
      <c r="T1377" s="186">
        <f>IFERROR(VLOOKUP($G1377,基本資料!$A:$J,9,0),"無")</f>
        <v>0.6</v>
      </c>
      <c r="U1377" s="307">
        <f t="shared" si="242"/>
        <v>3.3333333333333333E-2</v>
      </c>
      <c r="V1377" s="94">
        <f>IFERROR(VLOOKUP($G1377,基本資料!$A:$J,10,0),"無")</f>
        <v>0.75</v>
      </c>
      <c r="W1377" s="36">
        <f>RTD("money.excel",,"8423","Price")</f>
        <v>18</v>
      </c>
      <c r="X1377" s="66"/>
      <c r="Y1377" s="15">
        <f t="shared" ref="Y1377:Y1438" si="244">W1377-X1377</f>
        <v>18</v>
      </c>
      <c r="Z1377" s="3" t="e">
        <f t="shared" ref="Z1377:Z1438" si="245">Y1377/X1377</f>
        <v>#DIV/0!</v>
      </c>
      <c r="AA1377" s="340">
        <f>IFERROR(VLOOKUP($G1377,基本資料!$A:$M,11,0),"無")</f>
        <v>-10.45</v>
      </c>
      <c r="AB1377" s="389">
        <f>IFERROR(VLOOKUP($G1377,基本資料!$A:$M,12,0),"無")</f>
        <v>24.58</v>
      </c>
      <c r="AC1377" s="16" t="s">
        <v>653</v>
      </c>
      <c r="AF1377" s="33">
        <f t="shared" ref="AF1377:AF1438" si="246">AE1377-AD1377</f>
        <v>0</v>
      </c>
      <c r="AG1377" s="43" t="s">
        <v>2474</v>
      </c>
      <c r="AH1377" s="66">
        <f t="shared" si="236"/>
        <v>1.2345679012345681</v>
      </c>
      <c r="AI1377" s="283">
        <f>RTD("money.excel",,$G1377,"PredictVolume")</f>
        <v>5</v>
      </c>
      <c r="AJ1377" s="391">
        <f>IFERROR(VLOOKUP($G1377,基本資料!$A:$M,13,0),"無")</f>
        <v>4.05</v>
      </c>
      <c r="AR1377" s="245" t="str">
        <f>INDEX(基本資料!N:N,MATCH($G1377,基本資料!A:A,0))</f>
        <v>低</v>
      </c>
    </row>
    <row r="1378" spans="1:44">
      <c r="A1378" s="343">
        <f>IFERROR(VLOOKUP($G1378,基本資料!$A:$J,3,0),"無")</f>
        <v>5.0199999999999996</v>
      </c>
      <c r="B1378" s="79">
        <f>IFERROR(VLOOKUP($G1378,基本資料!$A:$J,4,0),"無")</f>
        <v>104</v>
      </c>
      <c r="C1378" s="79">
        <f>IFERROR(VLOOKUP($G1378,基本資料!$A:$J,5,0),"無")</f>
        <v>85</v>
      </c>
      <c r="D1378" s="79">
        <f>IFERROR(VLOOKUP($G1378,基本資料!$A:$J,6,0),"無")</f>
        <v>-30</v>
      </c>
      <c r="E1378" s="79">
        <f>IFERROR(VLOOKUP($G1378,基本資料!$A:$J,7,0),"無")</f>
        <v>-35</v>
      </c>
      <c r="F1378" s="6">
        <f>IFERROR(VLOOKUP($G1378,基本資料!$A:$J,8,0),"無")</f>
        <v>-2.25</v>
      </c>
      <c r="G1378" s="79">
        <v>8426</v>
      </c>
      <c r="H1378" s="8" t="s">
        <v>1959</v>
      </c>
      <c r="I1378" s="16" t="s">
        <v>654</v>
      </c>
      <c r="J1378" s="8" t="str">
        <f>IFERROR(VLOOKUP($G1378,今日總結!$A:$AN,39,0),"")</f>
        <v/>
      </c>
      <c r="K1378" s="5" t="str">
        <f>IFERROR(VLOOKUP($G1378,今日總結!$A:$AN,40,0),"")</f>
        <v/>
      </c>
      <c r="L1378" s="156" t="str">
        <f>IFERROR(VLOOKUP($G1378,今日總結!$A:$AN,37,0),"")</f>
        <v/>
      </c>
      <c r="M1378" s="337" t="str">
        <f>IFERROR(VLOOKUP($G1378,今日總結!$A:$AN,38,0),"")</f>
        <v/>
      </c>
      <c r="N1378" s="240" t="str">
        <f t="shared" si="243"/>
        <v/>
      </c>
      <c r="O1378" s="359">
        <f>IFERROR(VLOOKUP($G1378,融外自投!$A:$J,7,0),"無")</f>
        <v>987</v>
      </c>
      <c r="P1378" s="79" t="str">
        <f>IFERROR(VLOOKUP($G1378,融外自投!$A:$J,9,0),"無")</f>
        <v>無</v>
      </c>
      <c r="Q1378" s="342">
        <f>IFERROR(VLOOKUP($G1378,融外自投!$A:$J,8,0),"無")</f>
        <v>26</v>
      </c>
      <c r="R1378" s="81" t="str">
        <f>IFERROR(VLOOKUP($G1378,融外自投!$A:$J,10,0),"無")</f>
        <v>無</v>
      </c>
      <c r="S1378" s="324" t="str">
        <f>IFERROR(VLOOKUP($G1378,'321買'!$A:$E,4,0),"'沒有資料'")</f>
        <v>'沒有資料'</v>
      </c>
      <c r="T1378" s="186">
        <f>IFERROR(VLOOKUP($G1378,基本資料!$A:$J,9,0),"無")</f>
        <v>0</v>
      </c>
      <c r="U1378" s="307" t="e">
        <f t="shared" si="242"/>
        <v>#VALUE!</v>
      </c>
      <c r="V1378" s="94">
        <f>IFERROR(VLOOKUP($G1378,基本資料!$A:$J,10,0),"無")</f>
        <v>0.12</v>
      </c>
      <c r="W1378" s="36" t="str">
        <f>RTD("money.excel",,"8426","Price")</f>
        <v>無資料</v>
      </c>
      <c r="X1378" s="66"/>
      <c r="Y1378" s="15" t="e">
        <f t="shared" si="244"/>
        <v>#VALUE!</v>
      </c>
      <c r="Z1378" s="3" t="e">
        <f t="shared" si="245"/>
        <v>#VALUE!</v>
      </c>
      <c r="AA1378" s="340">
        <f>IFERROR(VLOOKUP($G1378,基本資料!$A:$M,11,0),"無")</f>
        <v>-22.11</v>
      </c>
      <c r="AB1378" s="389">
        <f>IFERROR(VLOOKUP($G1378,基本資料!$A:$M,12,0),"無")</f>
        <v>28.2</v>
      </c>
      <c r="AC1378" s="16" t="s">
        <v>654</v>
      </c>
      <c r="AF1378" s="33">
        <f t="shared" si="246"/>
        <v>0</v>
      </c>
      <c r="AG1378" s="43" t="s">
        <v>2475</v>
      </c>
      <c r="AH1378" s="66">
        <f t="shared" si="236"/>
        <v>0</v>
      </c>
      <c r="AI1378" s="283">
        <f>RTD("money.excel",,$G1378,"PredictVolume")</f>
        <v>0</v>
      </c>
      <c r="AJ1378" s="391">
        <f>IFERROR(VLOOKUP($G1378,基本資料!$A:$M,13,0),"無")</f>
        <v>8.3000000000000007</v>
      </c>
      <c r="AR1378" s="245" t="str">
        <f>INDEX(基本資料!N:N,MATCH($G1378,基本資料!A:A,0))</f>
        <v>低</v>
      </c>
    </row>
    <row r="1379" spans="1:44">
      <c r="A1379" s="343">
        <f>IFERROR(VLOOKUP($G1379,基本資料!$A:$J,3,0),"無")</f>
        <v>3.17</v>
      </c>
      <c r="B1379" s="79">
        <f>IFERROR(VLOOKUP($G1379,基本資料!$A:$J,4,0),"無")</f>
        <v>13</v>
      </c>
      <c r="C1379" s="79">
        <f>IFERROR(VLOOKUP($G1379,基本資料!$A:$J,5,0),"無")</f>
        <v>8</v>
      </c>
      <c r="D1379" s="79">
        <f>IFERROR(VLOOKUP($G1379,基本資料!$A:$J,6,0),"無")</f>
        <v>-13</v>
      </c>
      <c r="E1379" s="79">
        <f>IFERROR(VLOOKUP($G1379,基本資料!$A:$J,7,0),"無")</f>
        <v>-4</v>
      </c>
      <c r="F1379" s="6">
        <f>IFERROR(VLOOKUP($G1379,基本資料!$A:$J,8,0),"無")</f>
        <v>21.51</v>
      </c>
      <c r="G1379" s="79">
        <v>8435</v>
      </c>
      <c r="H1379" s="8" t="s">
        <v>1959</v>
      </c>
      <c r="I1379" s="16" t="s">
        <v>655</v>
      </c>
      <c r="J1379" s="8">
        <f>IFERROR(VLOOKUP($G1379,今日總結!$A:$AN,39,0),"")</f>
        <v>0</v>
      </c>
      <c r="K1379" s="5">
        <f>IFERROR(VLOOKUP($G1379,今日總結!$A:$AN,40,0),"")</f>
        <v>0</v>
      </c>
      <c r="L1379" s="156">
        <f>IFERROR(VLOOKUP($G1379,今日總結!$A:$AN,37,0),"")</f>
        <v>0</v>
      </c>
      <c r="M1379" s="337">
        <f>IFERROR(VLOOKUP($G1379,今日總結!$A:$AN,38,0),"")</f>
        <v>0</v>
      </c>
      <c r="N1379" s="240">
        <f t="shared" si="243"/>
        <v>0</v>
      </c>
      <c r="O1379" s="359">
        <f>IFERROR(VLOOKUP($G1379,融外自投!$A:$J,7,0),"無")</f>
        <v>1257</v>
      </c>
      <c r="P1379" s="79">
        <f>IFERROR(VLOOKUP($G1379,融外自投!$A:$J,9,0),"無")</f>
        <v>1123</v>
      </c>
      <c r="Q1379" s="342">
        <f>IFERROR(VLOOKUP($G1379,融外自投!$A:$J,8,0),"無")</f>
        <v>1262</v>
      </c>
      <c r="R1379" s="81" t="str">
        <f>IFERROR(VLOOKUP($G1379,融外自投!$A:$J,10,0),"無")</f>
        <v>無</v>
      </c>
      <c r="S1379" s="324">
        <f>IFERROR(VLOOKUP($G1379,'321買'!$A:$E,4,0),"'沒有資料'")</f>
        <v>1002</v>
      </c>
      <c r="T1379" s="186">
        <f>IFERROR(VLOOKUP($G1379,基本資料!$A:$J,9,0),"無")</f>
        <v>3.8</v>
      </c>
      <c r="U1379" s="307">
        <f t="shared" si="242"/>
        <v>6.229508196721311E-2</v>
      </c>
      <c r="V1379" s="94">
        <f>IFERROR(VLOOKUP($G1379,基本資料!$A:$J,10,0),"無")</f>
        <v>4.03</v>
      </c>
      <c r="W1379" s="36">
        <f>RTD("money.excel",,"8435","Price")</f>
        <v>61</v>
      </c>
      <c r="X1379" s="66"/>
      <c r="Y1379" s="15">
        <f t="shared" si="244"/>
        <v>61</v>
      </c>
      <c r="Z1379" s="3" t="e">
        <f t="shared" si="245"/>
        <v>#DIV/0!</v>
      </c>
      <c r="AA1379" s="340">
        <f>IFERROR(VLOOKUP($G1379,基本資料!$A:$M,11,0),"無")</f>
        <v>-9.76</v>
      </c>
      <c r="AB1379" s="389">
        <f>IFERROR(VLOOKUP($G1379,基本資料!$A:$M,12,0),"無")</f>
        <v>22.7</v>
      </c>
      <c r="AC1379" s="16" t="s">
        <v>655</v>
      </c>
      <c r="AF1379" s="33">
        <f t="shared" si="246"/>
        <v>0</v>
      </c>
      <c r="AG1379" s="43" t="s">
        <v>2476</v>
      </c>
      <c r="AH1379" s="66">
        <f t="shared" si="236"/>
        <v>0.54249547920433994</v>
      </c>
      <c r="AI1379" s="283">
        <f>RTD("money.excel",,$G1379,"PredictVolume")</f>
        <v>15</v>
      </c>
      <c r="AJ1379" s="391">
        <f>IFERROR(VLOOKUP($G1379,基本資料!$A:$M,13,0),"無")</f>
        <v>27.65</v>
      </c>
      <c r="AR1379" s="245" t="str">
        <f>INDEX(基本資料!N:N,MATCH($G1379,基本資料!A:A,0))</f>
        <v>中</v>
      </c>
    </row>
    <row r="1380" spans="1:44">
      <c r="A1380" s="343">
        <f>IFERROR(VLOOKUP($G1380,基本資料!$A:$J,3,0),"無")</f>
        <v>4.78</v>
      </c>
      <c r="B1380" s="79">
        <f>IFERROR(VLOOKUP($G1380,基本資料!$A:$J,4,0),"無")</f>
        <v>96</v>
      </c>
      <c r="C1380" s="79">
        <f>IFERROR(VLOOKUP($G1380,基本資料!$A:$J,5,0),"無")</f>
        <v>192</v>
      </c>
      <c r="D1380" s="79">
        <f>IFERROR(VLOOKUP($G1380,基本資料!$A:$J,6,0),"無")</f>
        <v>-46</v>
      </c>
      <c r="E1380" s="79">
        <f>IFERROR(VLOOKUP($G1380,基本資料!$A:$J,7,0),"無")</f>
        <v>8</v>
      </c>
      <c r="F1380" s="6">
        <f>IFERROR(VLOOKUP($G1380,基本資料!$A:$J,8,0),"無")</f>
        <v>48.53</v>
      </c>
      <c r="G1380" s="79">
        <v>8437</v>
      </c>
      <c r="H1380" s="8" t="s">
        <v>1959</v>
      </c>
      <c r="I1380" s="16" t="s">
        <v>656</v>
      </c>
      <c r="J1380" s="8">
        <f>IFERROR(VLOOKUP($G1380,今日總結!$A:$AN,39,0),"")</f>
        <v>0</v>
      </c>
      <c r="K1380" s="5" t="str">
        <f>IFERROR(VLOOKUP($G1380,今日總結!$A:$AN,40,0),"")</f>
        <v>主</v>
      </c>
      <c r="L1380" s="156">
        <f>IFERROR(VLOOKUP($G1380,今日總結!$A:$AN,37,0),"")</f>
        <v>0</v>
      </c>
      <c r="M1380" s="337">
        <f>IFERROR(VLOOKUP($G1380,今日總結!$A:$AN,38,0),"")</f>
        <v>6</v>
      </c>
      <c r="N1380" s="240">
        <f t="shared" si="243"/>
        <v>-6</v>
      </c>
      <c r="O1380" s="359">
        <f>IFERROR(VLOOKUP($G1380,融外自投!$A:$J,7,0),"無")</f>
        <v>1291</v>
      </c>
      <c r="P1380" s="79" t="str">
        <f>IFERROR(VLOOKUP($G1380,融外自投!$A:$J,9,0),"無")</f>
        <v>無</v>
      </c>
      <c r="Q1380" s="342">
        <f>IFERROR(VLOOKUP($G1380,融外自投!$A:$J,8,0),"無")</f>
        <v>119</v>
      </c>
      <c r="R1380" s="81" t="str">
        <f>IFERROR(VLOOKUP($G1380,融外自投!$A:$J,10,0),"無")</f>
        <v>無</v>
      </c>
      <c r="S1380" s="324">
        <f>IFERROR(VLOOKUP($G1380,'321買'!$A:$E,4,0),"'沒有資料'")</f>
        <v>1002</v>
      </c>
      <c r="T1380" s="186">
        <f>IFERROR(VLOOKUP($G1380,基本資料!$A:$J,9,0),"無")</f>
        <v>4</v>
      </c>
      <c r="U1380" s="307">
        <f t="shared" si="242"/>
        <v>3.9408866995073892E-2</v>
      </c>
      <c r="V1380" s="94">
        <f>IFERROR(VLOOKUP($G1380,基本資料!$A:$J,10,0),"無")</f>
        <v>5.36</v>
      </c>
      <c r="W1380" s="36">
        <f>RTD("money.excel",,"8437","Price")</f>
        <v>101.5</v>
      </c>
      <c r="X1380" s="66"/>
      <c r="Y1380" s="15">
        <f t="shared" si="244"/>
        <v>101.5</v>
      </c>
      <c r="Z1380" s="3" t="e">
        <f t="shared" si="245"/>
        <v>#DIV/0!</v>
      </c>
      <c r="AA1380" s="340">
        <f>IFERROR(VLOOKUP($G1380,基本資料!$A:$M,11,0),"無")</f>
        <v>-45.58</v>
      </c>
      <c r="AB1380" s="389">
        <f>IFERROR(VLOOKUP($G1380,基本資料!$A:$M,12,0),"無")</f>
        <v>8.2100000000000009</v>
      </c>
      <c r="AC1380" s="16" t="s">
        <v>656</v>
      </c>
      <c r="AF1380" s="33">
        <f t="shared" si="246"/>
        <v>0</v>
      </c>
      <c r="AG1380" s="43" t="s">
        <v>2477</v>
      </c>
      <c r="AH1380" s="66">
        <f t="shared" si="236"/>
        <v>0.34188034188034189</v>
      </c>
      <c r="AI1380" s="283">
        <f>RTD("money.excel",,$G1380,"PredictVolume")</f>
        <v>8</v>
      </c>
      <c r="AJ1380" s="391">
        <f>IFERROR(VLOOKUP($G1380,基本資料!$A:$M,13,0),"無")</f>
        <v>23.4</v>
      </c>
      <c r="AR1380" s="245" t="str">
        <f>INDEX(基本資料!N:N,MATCH($G1380,基本資料!A:A,0))</f>
        <v>低</v>
      </c>
    </row>
    <row r="1381" spans="1:44">
      <c r="A1381" s="343" t="str">
        <f>IFERROR(VLOOKUP($G1381,基本資料!$A:$J,3,0),"無")</f>
        <v>無</v>
      </c>
      <c r="B1381" s="79" t="str">
        <f>IFERROR(VLOOKUP($G1381,基本資料!$A:$J,4,0),"無")</f>
        <v>無</v>
      </c>
      <c r="C1381" s="79" t="str">
        <f>IFERROR(VLOOKUP($G1381,基本資料!$A:$J,5,0),"無")</f>
        <v>無</v>
      </c>
      <c r="D1381" s="79" t="str">
        <f>IFERROR(VLOOKUP($G1381,基本資料!$A:$J,6,0),"無")</f>
        <v>無</v>
      </c>
      <c r="E1381" s="79" t="str">
        <f>IFERROR(VLOOKUP($G1381,基本資料!$A:$J,7,0),"無")</f>
        <v>無</v>
      </c>
      <c r="F1381" s="6" t="str">
        <f>IFERROR(VLOOKUP($G1381,基本資料!$A:$J,8,0),"無")</f>
        <v>無</v>
      </c>
      <c r="G1381" s="79">
        <v>8438</v>
      </c>
      <c r="H1381" s="8" t="s">
        <v>1959</v>
      </c>
      <c r="I1381" s="22" t="s">
        <v>4757</v>
      </c>
      <c r="J1381" s="8" t="str">
        <f>IFERROR(VLOOKUP($G1381,今日總結!$A:$AN,39,0),"")</f>
        <v/>
      </c>
      <c r="K1381" s="5" t="str">
        <f>IFERROR(VLOOKUP($G1381,今日總結!$A:$AN,40,0),"")</f>
        <v/>
      </c>
      <c r="L1381" s="156" t="str">
        <f>IFERROR(VLOOKUP($G1381,今日總結!$A:$AN,37,0),"")</f>
        <v/>
      </c>
      <c r="M1381" s="337" t="str">
        <f>IFERROR(VLOOKUP($G1381,今日總結!$A:$AN,38,0),"")</f>
        <v/>
      </c>
      <c r="N1381" s="240" t="str">
        <f t="shared" si="243"/>
        <v/>
      </c>
      <c r="O1381" s="359" t="str">
        <f>IFERROR(VLOOKUP($G1381,融外自投!$A:$J,7,0),"無")</f>
        <v>無</v>
      </c>
      <c r="P1381" s="79" t="str">
        <f>IFERROR(VLOOKUP($G1381,融外自投!$A:$J,9,0),"無")</f>
        <v>無</v>
      </c>
      <c r="Q1381" s="342" t="str">
        <f>IFERROR(VLOOKUP($G1381,融外自投!$A:$J,8,0),"無")</f>
        <v>無</v>
      </c>
      <c r="R1381" s="81" t="str">
        <f>IFERROR(VLOOKUP($G1381,融外自投!$A:$J,10,0),"無")</f>
        <v>無</v>
      </c>
      <c r="S1381" s="324" t="str">
        <f>IFERROR(VLOOKUP($G1381,'321買'!$A:$E,4,0),"'沒有資料'")</f>
        <v>'沒有資料'</v>
      </c>
      <c r="T1381" s="186" t="str">
        <f>IFERROR(VLOOKUP($G1381,基本資料!$A:$J,9,0),"無")</f>
        <v>無</v>
      </c>
      <c r="U1381" s="307" t="e">
        <f t="shared" si="242"/>
        <v>#VALUE!</v>
      </c>
      <c r="V1381" s="94" t="str">
        <f>IFERROR(VLOOKUP($G1381,基本資料!$A:$J,10,0),"無")</f>
        <v>無</v>
      </c>
      <c r="W1381" s="36">
        <f>RTD("money.excel",,"8438","Price")</f>
        <v>37.75</v>
      </c>
      <c r="X1381" s="66"/>
      <c r="Y1381" s="15">
        <f>W1381-X1381</f>
        <v>37.75</v>
      </c>
      <c r="Z1381" s="3" t="e">
        <f>Y1381/X1381</f>
        <v>#DIV/0!</v>
      </c>
      <c r="AA1381" s="340" t="str">
        <f>IFERROR(VLOOKUP($G1381,基本資料!$A:$M,11,0),"無")</f>
        <v>無</v>
      </c>
      <c r="AB1381" s="389" t="str">
        <f>IFERROR(VLOOKUP($G1381,基本資料!$A:$M,12,0),"無")</f>
        <v>無</v>
      </c>
      <c r="AC1381" s="22" t="s">
        <v>4757</v>
      </c>
      <c r="AF1381" s="33">
        <f>AE1381-AD1381</f>
        <v>0</v>
      </c>
      <c r="AG1381" s="123" t="s">
        <v>4762</v>
      </c>
      <c r="AH1381" s="66" t="e">
        <f t="shared" si="236"/>
        <v>#VALUE!</v>
      </c>
      <c r="AI1381" s="283">
        <f>RTD("money.excel",,$G1381,"PredictVolume")</f>
        <v>40</v>
      </c>
      <c r="AJ1381" s="391" t="str">
        <f>IFERROR(VLOOKUP($G1381,基本資料!$A:$M,13,0),"無")</f>
        <v>無</v>
      </c>
      <c r="AR1381" s="245" t="e">
        <f>INDEX(基本資料!N:N,MATCH($G1381,基本資料!A:A,0))</f>
        <v>#N/A</v>
      </c>
    </row>
    <row r="1382" spans="1:44">
      <c r="A1382" s="343">
        <f>IFERROR(VLOOKUP($G1382,基本資料!$A:$J,3,0),"無")</f>
        <v>3.8</v>
      </c>
      <c r="B1382" s="79">
        <f>IFERROR(VLOOKUP($G1382,基本資料!$A:$J,4,0),"無")</f>
        <v>127</v>
      </c>
      <c r="C1382" s="79">
        <f>IFERROR(VLOOKUP($G1382,基本資料!$A:$J,5,0),"無")</f>
        <v>243</v>
      </c>
      <c r="D1382" s="79">
        <f>IFERROR(VLOOKUP($G1382,基本資料!$A:$J,6,0),"無")</f>
        <v>-10</v>
      </c>
      <c r="E1382" s="79">
        <f>IFERROR(VLOOKUP($G1382,基本資料!$A:$J,7,0),"無")</f>
        <v>12</v>
      </c>
      <c r="F1382" s="6">
        <f>IFERROR(VLOOKUP($G1382,基本資料!$A:$J,8,0),"無")</f>
        <v>6.26</v>
      </c>
      <c r="G1382" s="79">
        <v>8440</v>
      </c>
      <c r="H1382" s="8" t="s">
        <v>1959</v>
      </c>
      <c r="I1382" s="16" t="s">
        <v>657</v>
      </c>
      <c r="J1382" s="8">
        <f>IFERROR(VLOOKUP($G1382,今日總結!$A:$AN,39,0),"")</f>
        <v>0</v>
      </c>
      <c r="K1382" s="5">
        <f>IFERROR(VLOOKUP($G1382,今日總結!$A:$AN,40,0),"")</f>
        <v>0</v>
      </c>
      <c r="L1382" s="156">
        <f>IFERROR(VLOOKUP($G1382,今日總結!$A:$AN,37,0),"")</f>
        <v>0</v>
      </c>
      <c r="M1382" s="337">
        <f>IFERROR(VLOOKUP($G1382,今日總結!$A:$AN,38,0),"")</f>
        <v>0</v>
      </c>
      <c r="N1382" s="240">
        <f t="shared" si="243"/>
        <v>0</v>
      </c>
      <c r="O1382" s="359">
        <f>IFERROR(VLOOKUP($G1382,融外自投!$A:$J,7,0),"無")</f>
        <v>122</v>
      </c>
      <c r="P1382" s="79">
        <f>IFERROR(VLOOKUP($G1382,融外自投!$A:$J,9,0),"無")</f>
        <v>104</v>
      </c>
      <c r="Q1382" s="342">
        <f>IFERROR(VLOOKUP($G1382,融外自投!$A:$J,8,0),"無")</f>
        <v>1006</v>
      </c>
      <c r="R1382" s="81" t="str">
        <f>IFERROR(VLOOKUP($G1382,融外自投!$A:$J,10,0),"無")</f>
        <v>無</v>
      </c>
      <c r="S1382" s="324">
        <f>IFERROR(VLOOKUP($G1382,'321買'!$A:$E,4,0),"'沒有資料'")</f>
        <v>63</v>
      </c>
      <c r="T1382" s="186">
        <f>IFERROR(VLOOKUP($G1382,基本資料!$A:$J,9,0),"無")</f>
        <v>0.6</v>
      </c>
      <c r="U1382" s="307">
        <f t="shared" si="242"/>
        <v>9.0497737556561094E-3</v>
      </c>
      <c r="V1382" s="94">
        <f>IFERROR(VLOOKUP($G1382,基本資料!$A:$J,10,0),"無")</f>
        <v>1.37</v>
      </c>
      <c r="W1382" s="36">
        <f>RTD("money.excel",,"8440","Price")</f>
        <v>66.3</v>
      </c>
      <c r="X1382" s="66"/>
      <c r="Y1382" s="15">
        <f t="shared" si="244"/>
        <v>66.3</v>
      </c>
      <c r="Z1382" s="3" t="e">
        <f t="shared" si="245"/>
        <v>#DIV/0!</v>
      </c>
      <c r="AA1382" s="340">
        <f>IFERROR(VLOOKUP($G1382,基本資料!$A:$M,11,0),"無")</f>
        <v>-37.75</v>
      </c>
      <c r="AB1382" s="389">
        <f>IFERROR(VLOOKUP($G1382,基本資料!$A:$M,12,0),"無")</f>
        <v>41.44</v>
      </c>
      <c r="AC1382" s="16" t="s">
        <v>657</v>
      </c>
      <c r="AF1382" s="33">
        <f t="shared" si="246"/>
        <v>0</v>
      </c>
      <c r="AG1382" s="43" t="s">
        <v>2478</v>
      </c>
      <c r="AH1382" s="66">
        <f t="shared" si="236"/>
        <v>0.48183987555578156</v>
      </c>
      <c r="AI1382" s="283">
        <f>RTD("money.excel",,$G1382,"PredictVolume")</f>
        <v>5684</v>
      </c>
      <c r="AJ1382" s="391">
        <f>IFERROR(VLOOKUP($G1382,基本資料!$A:$M,13,0),"無")</f>
        <v>11796.45</v>
      </c>
      <c r="AR1382" s="245" t="str">
        <f>INDEX(基本資料!N:N,MATCH($G1382,基本資料!A:A,0))</f>
        <v>中</v>
      </c>
    </row>
    <row r="1383" spans="1:44">
      <c r="A1383" s="343">
        <f>IFERROR(VLOOKUP($G1383,基本資料!$A:$J,3,0),"無")</f>
        <v>5.99</v>
      </c>
      <c r="B1383" s="79">
        <f>IFERROR(VLOOKUP($G1383,基本資料!$A:$J,4,0),"無")</f>
        <v>149</v>
      </c>
      <c r="C1383" s="79">
        <f>IFERROR(VLOOKUP($G1383,基本資料!$A:$J,5,0),"無")</f>
        <v>167</v>
      </c>
      <c r="D1383" s="79">
        <f>IFERROR(VLOOKUP($G1383,基本資料!$A:$J,6,0),"無")</f>
        <v>24</v>
      </c>
      <c r="E1383" s="79">
        <f>IFERROR(VLOOKUP($G1383,基本資料!$A:$J,7,0),"無")</f>
        <v>64</v>
      </c>
      <c r="F1383" s="6">
        <f>IFERROR(VLOOKUP($G1383,基本資料!$A:$J,8,0),"無")</f>
        <v>1.41</v>
      </c>
      <c r="G1383" s="79">
        <v>8442</v>
      </c>
      <c r="H1383" s="8" t="s">
        <v>1959</v>
      </c>
      <c r="I1383" s="22" t="s">
        <v>709</v>
      </c>
      <c r="J1383" s="8">
        <f>IFERROR(VLOOKUP($G1383,今日總結!$A:$AN,39,0),"")</f>
        <v>0</v>
      </c>
      <c r="K1383" s="5">
        <f>IFERROR(VLOOKUP($G1383,今日總結!$A:$AN,40,0),"")</f>
        <v>0</v>
      </c>
      <c r="L1383" s="156">
        <f>IFERROR(VLOOKUP($G1383,今日總結!$A:$AN,37,0),"")</f>
        <v>0</v>
      </c>
      <c r="M1383" s="337">
        <f>IFERROR(VLOOKUP($G1383,今日總結!$A:$AN,38,0),"")</f>
        <v>0</v>
      </c>
      <c r="N1383" s="240">
        <f t="shared" si="243"/>
        <v>0</v>
      </c>
      <c r="O1383" s="359">
        <f>IFERROR(VLOOKUP($G1383,融外自投!$A:$J,7,0),"無")</f>
        <v>1182</v>
      </c>
      <c r="P1383" s="79">
        <f>IFERROR(VLOOKUP($G1383,融外自投!$A:$J,9,0),"無")</f>
        <v>908</v>
      </c>
      <c r="Q1383" s="342">
        <f>IFERROR(VLOOKUP($G1383,融外自投!$A:$J,8,0),"無")</f>
        <v>38</v>
      </c>
      <c r="R1383" s="81" t="str">
        <f>IFERROR(VLOOKUP($G1383,融外自投!$A:$J,10,0),"無")</f>
        <v>無</v>
      </c>
      <c r="S1383" s="324">
        <f>IFERROR(VLOOKUP($G1383,'321買'!$A:$E,4,0),"'沒有資料'")</f>
        <v>1002</v>
      </c>
      <c r="T1383" s="186">
        <f>IFERROR(VLOOKUP($G1383,基本資料!$A:$J,9,0),"無")</f>
        <v>1</v>
      </c>
      <c r="U1383" s="307">
        <f t="shared" si="242"/>
        <v>1.8281535648994516E-2</v>
      </c>
      <c r="V1383" s="94">
        <f>IFERROR(VLOOKUP($G1383,基本資料!$A:$J,10,0),"無")</f>
        <v>1.26</v>
      </c>
      <c r="W1383" s="36">
        <f>RTD("money.excel",,"8442","Price")</f>
        <v>54.7</v>
      </c>
      <c r="X1383" s="66"/>
      <c r="Y1383" s="15">
        <f t="shared" si="244"/>
        <v>54.7</v>
      </c>
      <c r="Z1383" s="3" t="e">
        <f t="shared" si="245"/>
        <v>#DIV/0!</v>
      </c>
      <c r="AA1383" s="340">
        <f>IFERROR(VLOOKUP($G1383,基本資料!$A:$M,11,0),"無")</f>
        <v>-3.53</v>
      </c>
      <c r="AB1383" s="389">
        <f>IFERROR(VLOOKUP($G1383,基本資料!$A:$M,12,0),"無")</f>
        <v>73.33</v>
      </c>
      <c r="AC1383" s="22" t="s">
        <v>709</v>
      </c>
      <c r="AF1383" s="33">
        <f t="shared" si="246"/>
        <v>0</v>
      </c>
      <c r="AG1383" s="43" t="s">
        <v>2165</v>
      </c>
      <c r="AH1383" s="66">
        <f t="shared" si="236"/>
        <v>3.3531510107015459</v>
      </c>
      <c r="AI1383" s="283">
        <f>RTD("money.excel",,$G1383,"PredictVolume")</f>
        <v>282</v>
      </c>
      <c r="AJ1383" s="391">
        <f>IFERROR(VLOOKUP($G1383,基本資料!$A:$M,13,0),"無")</f>
        <v>84.1</v>
      </c>
      <c r="AR1383" s="245" t="str">
        <f>INDEX(基本資料!N:N,MATCH($G1383,基本資料!A:A,0))</f>
        <v>高</v>
      </c>
    </row>
    <row r="1384" spans="1:44">
      <c r="A1384" s="343">
        <f>IFERROR(VLOOKUP($G1384,基本資料!$A:$J,3,0),"無")</f>
        <v>8.9700000000000006</v>
      </c>
      <c r="B1384" s="79">
        <f>IFERROR(VLOOKUP($G1384,基本資料!$A:$J,4,0),"無")</f>
        <v>1231</v>
      </c>
      <c r="C1384" s="79">
        <f>IFERROR(VLOOKUP($G1384,基本資料!$A:$J,5,0),"無")</f>
        <v>591</v>
      </c>
      <c r="D1384" s="79">
        <f>IFERROR(VLOOKUP($G1384,基本資料!$A:$J,6,0),"無")</f>
        <v>-11</v>
      </c>
      <c r="E1384" s="79">
        <f>IFERROR(VLOOKUP($G1384,基本資料!$A:$J,7,0),"無")</f>
        <v>-9</v>
      </c>
      <c r="F1384" s="6">
        <f>IFERROR(VLOOKUP($G1384,基本資料!$A:$J,8,0),"無")</f>
        <v>7.19</v>
      </c>
      <c r="G1384" s="79">
        <v>8444</v>
      </c>
      <c r="H1384" s="8" t="s">
        <v>1959</v>
      </c>
      <c r="I1384" s="16" t="s">
        <v>4610</v>
      </c>
      <c r="J1384" s="8">
        <f>IFERROR(VLOOKUP($G1384,今日總結!$A:$AN,39,0),"")</f>
        <v>0</v>
      </c>
      <c r="K1384" s="5">
        <f>IFERROR(VLOOKUP($G1384,今日總結!$A:$AN,40,0),"")</f>
        <v>0</v>
      </c>
      <c r="L1384" s="156">
        <f>IFERROR(VLOOKUP($G1384,今日總結!$A:$AN,37,0),"")</f>
        <v>0</v>
      </c>
      <c r="M1384" s="337">
        <f>IFERROR(VLOOKUP($G1384,今日總結!$A:$AN,38,0),"")</f>
        <v>0</v>
      </c>
      <c r="N1384" s="240">
        <f t="shared" si="243"/>
        <v>0</v>
      </c>
      <c r="O1384" s="359">
        <f>IFERROR(VLOOKUP($G1384,融外自投!$A:$J,7,0),"無")</f>
        <v>585</v>
      </c>
      <c r="P1384" s="79" t="str">
        <f>IFERROR(VLOOKUP($G1384,融外自投!$A:$J,9,0),"無")</f>
        <v>無</v>
      </c>
      <c r="Q1384" s="342">
        <f>IFERROR(VLOOKUP($G1384,融外自投!$A:$J,8,0),"無")</f>
        <v>35</v>
      </c>
      <c r="R1384" s="81" t="str">
        <f>IFERROR(VLOOKUP($G1384,融外自投!$A:$J,10,0),"無")</f>
        <v>無</v>
      </c>
      <c r="S1384" s="324">
        <f>IFERROR(VLOOKUP($G1384,'321買'!$A:$E,4,0),"'沒有資料'")</f>
        <v>1002</v>
      </c>
      <c r="T1384" s="186">
        <f>IFERROR(VLOOKUP($G1384,基本資料!$A:$J,9,0),"無")</f>
        <v>0</v>
      </c>
      <c r="U1384" s="307">
        <f t="shared" si="242"/>
        <v>0</v>
      </c>
      <c r="V1384" s="94">
        <f>IFERROR(VLOOKUP($G1384,基本資料!$A:$J,10,0),"無")</f>
        <v>4.62</v>
      </c>
      <c r="W1384" s="36">
        <f>RTD("money.excel",,"8444","Price")</f>
        <v>65.400000000000006</v>
      </c>
      <c r="X1384" s="66"/>
      <c r="Y1384" s="15">
        <f t="shared" si="244"/>
        <v>65.400000000000006</v>
      </c>
      <c r="Z1384" s="3" t="e">
        <f t="shared" si="245"/>
        <v>#DIV/0!</v>
      </c>
      <c r="AA1384" s="340">
        <f>IFERROR(VLOOKUP($G1384,基本資料!$A:$M,11,0),"無")</f>
        <v>-55.36</v>
      </c>
      <c r="AB1384" s="389">
        <f>IFERROR(VLOOKUP($G1384,基本資料!$A:$M,12,0),"無")</f>
        <v>11.95</v>
      </c>
      <c r="AC1384" s="16" t="s">
        <v>4610</v>
      </c>
      <c r="AF1384" s="33">
        <f t="shared" si="246"/>
        <v>0</v>
      </c>
      <c r="AG1384" s="117" t="s">
        <v>2479</v>
      </c>
      <c r="AH1384" s="66">
        <f t="shared" si="236"/>
        <v>0.42283298097251587</v>
      </c>
      <c r="AI1384" s="283">
        <f>RTD("money.excel",,$G1384,"PredictVolume")</f>
        <v>20</v>
      </c>
      <c r="AJ1384" s="391">
        <f>IFERROR(VLOOKUP($G1384,基本資料!$A:$M,13,0),"無")</f>
        <v>47.3</v>
      </c>
      <c r="AR1384" s="245" t="str">
        <f>INDEX(基本資料!N:N,MATCH($G1384,基本資料!A:A,0))</f>
        <v>低</v>
      </c>
    </row>
    <row r="1385" spans="1:44">
      <c r="A1385" s="343">
        <f>IFERROR(VLOOKUP($G1385,基本資料!$A:$J,3,0),"無")</f>
        <v>15</v>
      </c>
      <c r="B1385" s="79">
        <f>IFERROR(VLOOKUP($G1385,基本資料!$A:$J,4,0),"無")</f>
        <v>-172</v>
      </c>
      <c r="C1385" s="79">
        <f>IFERROR(VLOOKUP($G1385,基本資料!$A:$J,5,0),"無")</f>
        <v>-76</v>
      </c>
      <c r="D1385" s="79">
        <f>IFERROR(VLOOKUP($G1385,基本資料!$A:$J,6,0),"無")</f>
        <v>7</v>
      </c>
      <c r="E1385" s="79">
        <f>IFERROR(VLOOKUP($G1385,基本資料!$A:$J,7,0),"無")</f>
        <v>-12</v>
      </c>
      <c r="F1385" s="6">
        <f>IFERROR(VLOOKUP($G1385,基本資料!$A:$J,8,0),"無")</f>
        <v>1.07</v>
      </c>
      <c r="G1385" s="79">
        <v>8463</v>
      </c>
      <c r="H1385" s="8" t="s">
        <v>1959</v>
      </c>
      <c r="I1385" s="22" t="s">
        <v>689</v>
      </c>
      <c r="J1385" s="8">
        <f>IFERROR(VLOOKUP($G1385,今日總結!$A:$AN,39,0),"")</f>
        <v>0</v>
      </c>
      <c r="K1385" s="5">
        <f>IFERROR(VLOOKUP($G1385,今日總結!$A:$AN,40,0),"")</f>
        <v>2</v>
      </c>
      <c r="L1385" s="156">
        <f>IFERROR(VLOOKUP($G1385,今日總結!$A:$AN,37,0),"")</f>
        <v>0</v>
      </c>
      <c r="M1385" s="337">
        <f>IFERROR(VLOOKUP($G1385,今日總結!$A:$AN,38,0),"")</f>
        <v>1</v>
      </c>
      <c r="N1385" s="240">
        <f t="shared" si="243"/>
        <v>-1</v>
      </c>
      <c r="O1385" s="359">
        <f>IFERROR(VLOOKUP($G1385,融外自投!$A:$J,7,0),"無")</f>
        <v>993</v>
      </c>
      <c r="P1385" s="79">
        <f>IFERROR(VLOOKUP($G1385,融外自投!$A:$J,9,0),"無")</f>
        <v>696</v>
      </c>
      <c r="Q1385" s="342">
        <f>IFERROR(VLOOKUP($G1385,融外自投!$A:$J,8,0),"無")</f>
        <v>1373</v>
      </c>
      <c r="R1385" s="81" t="str">
        <f>IFERROR(VLOOKUP($G1385,融外自投!$A:$J,10,0),"無")</f>
        <v>無</v>
      </c>
      <c r="S1385" s="324">
        <f>IFERROR(VLOOKUP($G1385,'321買'!$A:$E,4,0),"'沒有資料'")</f>
        <v>1002</v>
      </c>
      <c r="T1385" s="186">
        <f>IFERROR(VLOOKUP($G1385,基本資料!$A:$J,9,0),"無")</f>
        <v>0</v>
      </c>
      <c r="U1385" s="307">
        <f t="shared" si="242"/>
        <v>0</v>
      </c>
      <c r="V1385" s="94">
        <f>IFERROR(VLOOKUP($G1385,基本資料!$A:$J,10,0),"無")</f>
        <v>-0.69</v>
      </c>
      <c r="W1385" s="36">
        <f>RTD("money.excel",,"8463","Price")</f>
        <v>23.6</v>
      </c>
      <c r="X1385" s="66"/>
      <c r="Y1385" s="15">
        <f t="shared" si="244"/>
        <v>23.6</v>
      </c>
      <c r="Z1385" s="3" t="e">
        <f t="shared" si="245"/>
        <v>#DIV/0!</v>
      </c>
      <c r="AA1385" s="340">
        <f>IFERROR(VLOOKUP($G1385,基本資料!$A:$M,11,0),"無")</f>
        <v>-47.56</v>
      </c>
      <c r="AB1385" s="389">
        <f>IFERROR(VLOOKUP($G1385,基本資料!$A:$M,12,0),"無")</f>
        <v>23.99</v>
      </c>
      <c r="AC1385" s="22" t="s">
        <v>689</v>
      </c>
      <c r="AF1385" s="33">
        <f t="shared" si="246"/>
        <v>0</v>
      </c>
      <c r="AG1385" s="43" t="s">
        <v>2830</v>
      </c>
      <c r="AH1385" s="66">
        <f t="shared" si="236"/>
        <v>2.0732464307883305</v>
      </c>
      <c r="AI1385" s="283">
        <f>RTD("money.excel",,$G1385,"PredictVolume")</f>
        <v>2672</v>
      </c>
      <c r="AJ1385" s="391">
        <f>IFERROR(VLOOKUP($G1385,基本資料!$A:$M,13,0),"無")</f>
        <v>1288.8</v>
      </c>
      <c r="AR1385" s="245" t="str">
        <f>INDEX(基本資料!N:N,MATCH($G1385,基本資料!A:A,0))</f>
        <v>低</v>
      </c>
    </row>
    <row r="1386" spans="1:44">
      <c r="A1386" s="343">
        <f>IFERROR(VLOOKUP($G1386,基本資料!$A:$J,3,0),"無")</f>
        <v>29.3</v>
      </c>
      <c r="B1386" s="79">
        <f>IFERROR(VLOOKUP($G1386,基本資料!$A:$J,4,0),"無")</f>
        <v>11</v>
      </c>
      <c r="C1386" s="79">
        <f>IFERROR(VLOOKUP($G1386,基本資料!$A:$J,5,0),"無")</f>
        <v>11</v>
      </c>
      <c r="D1386" s="79">
        <f>IFERROR(VLOOKUP($G1386,基本資料!$A:$J,6,0),"無")</f>
        <v>15</v>
      </c>
      <c r="E1386" s="79">
        <f>IFERROR(VLOOKUP($G1386,基本資料!$A:$J,7,0),"無")</f>
        <v>16</v>
      </c>
      <c r="F1386" s="6">
        <f>IFERROR(VLOOKUP($G1386,基本資料!$A:$J,8,0),"無")</f>
        <v>26.71</v>
      </c>
      <c r="G1386" s="79">
        <v>8464</v>
      </c>
      <c r="H1386" s="192" t="s">
        <v>235</v>
      </c>
      <c r="I1386" s="22" t="s">
        <v>257</v>
      </c>
      <c r="J1386" s="8">
        <f>IFERROR(VLOOKUP($G1386,今日總結!$A:$AN,39,0),"")</f>
        <v>0</v>
      </c>
      <c r="K1386" s="5">
        <f>IFERROR(VLOOKUP($G1386,今日總結!$A:$AN,40,0),"")</f>
        <v>0</v>
      </c>
      <c r="L1386" s="156">
        <f>IFERROR(VLOOKUP($G1386,今日總結!$A:$AN,37,0),"")</f>
        <v>0</v>
      </c>
      <c r="M1386" s="337">
        <f>IFERROR(VLOOKUP($G1386,今日總結!$A:$AN,38,0),"")</f>
        <v>0</v>
      </c>
      <c r="N1386" s="240">
        <f t="shared" si="243"/>
        <v>0</v>
      </c>
      <c r="O1386" s="359">
        <f>IFERROR(VLOOKUP($G1386,融外自投!$A:$J,7,0),"無")</f>
        <v>678</v>
      </c>
      <c r="P1386" s="79">
        <f>IFERROR(VLOOKUP($G1386,融外自投!$A:$J,9,0),"無")</f>
        <v>762</v>
      </c>
      <c r="Q1386" s="342">
        <f>IFERROR(VLOOKUP($G1386,融外自投!$A:$J,8,0),"無")</f>
        <v>88</v>
      </c>
      <c r="R1386" s="81">
        <f>IFERROR(VLOOKUP($G1386,融外自投!$A:$J,10,0),"無")</f>
        <v>290</v>
      </c>
      <c r="S1386" s="324">
        <f>IFERROR(VLOOKUP($G1386,'321買'!$A:$E,4,0),"'沒有資料'")</f>
        <v>891</v>
      </c>
      <c r="T1386" s="186">
        <f>IFERROR(VLOOKUP($G1386,基本資料!$A:$J,9,0),"無")</f>
        <v>11</v>
      </c>
      <c r="U1386" s="307">
        <f t="shared" si="242"/>
        <v>3.4810126582278479E-2</v>
      </c>
      <c r="V1386" s="94">
        <f>IFERROR(VLOOKUP($G1386,基本資料!$A:$J,10,0),"無")</f>
        <v>18.149999999999999</v>
      </c>
      <c r="W1386" s="36">
        <f>RTD("money.excel",,"8464","Price")</f>
        <v>316</v>
      </c>
      <c r="X1386" s="66"/>
      <c r="Y1386" s="15">
        <f t="shared" si="244"/>
        <v>316</v>
      </c>
      <c r="Z1386" s="3" t="e">
        <f t="shared" si="245"/>
        <v>#DIV/0!</v>
      </c>
      <c r="AA1386" s="340">
        <f>IFERROR(VLOOKUP($G1386,基本資料!$A:$M,11,0),"無")</f>
        <v>-36.74</v>
      </c>
      <c r="AB1386" s="389">
        <f>IFERROR(VLOOKUP($G1386,基本資料!$A:$M,12,0),"無")</f>
        <v>27.04</v>
      </c>
      <c r="AC1386" s="22" t="s">
        <v>257</v>
      </c>
      <c r="AF1386" s="33">
        <f t="shared" si="246"/>
        <v>0</v>
      </c>
      <c r="AG1386" s="117" t="s">
        <v>1417</v>
      </c>
      <c r="AH1386" s="66">
        <f t="shared" si="236"/>
        <v>1.2097445038621508</v>
      </c>
      <c r="AI1386" s="283">
        <f>RTD("money.excel",,$G1386,"PredictVolume")</f>
        <v>509</v>
      </c>
      <c r="AJ1386" s="391">
        <f>IFERROR(VLOOKUP($G1386,基本資料!$A:$M,13,0),"無")</f>
        <v>420.75</v>
      </c>
      <c r="AR1386" s="245" t="str">
        <f>INDEX(基本資料!N:N,MATCH($G1386,基本資料!A:A,0))</f>
        <v>低</v>
      </c>
    </row>
    <row r="1387" spans="1:44">
      <c r="A1387" s="343">
        <f>IFERROR(VLOOKUP($G1387,基本資料!$A:$J,3,0),"無")</f>
        <v>6.6</v>
      </c>
      <c r="B1387" s="79">
        <f>IFERROR(VLOOKUP($G1387,基本資料!$A:$J,4,0),"無")</f>
        <v>-77</v>
      </c>
      <c r="C1387" s="79">
        <f>IFERROR(VLOOKUP($G1387,基本資料!$A:$J,5,0),"無")</f>
        <v>-78</v>
      </c>
      <c r="D1387" s="79">
        <f>IFERROR(VLOOKUP($G1387,基本資料!$A:$J,6,0),"無")</f>
        <v>0</v>
      </c>
      <c r="E1387" s="79">
        <f>IFERROR(VLOOKUP($G1387,基本資料!$A:$J,7,0),"無")</f>
        <v>29</v>
      </c>
      <c r="F1387" s="6">
        <f>IFERROR(VLOOKUP($G1387,基本資料!$A:$J,8,0),"無")</f>
        <v>2.4</v>
      </c>
      <c r="G1387" s="79">
        <v>8466</v>
      </c>
      <c r="H1387" s="8" t="s">
        <v>1959</v>
      </c>
      <c r="I1387" s="22" t="s">
        <v>1093</v>
      </c>
      <c r="J1387" s="8">
        <f>IFERROR(VLOOKUP($G1387,今日總結!$A:$AN,39,0),"")</f>
        <v>0</v>
      </c>
      <c r="K1387" s="5" t="str">
        <f>IFERROR(VLOOKUP($G1387,今日總結!$A:$AN,40,0),"")</f>
        <v>主</v>
      </c>
      <c r="L1387" s="156">
        <f>IFERROR(VLOOKUP($G1387,今日總結!$A:$AN,37,0),"")</f>
        <v>0</v>
      </c>
      <c r="M1387" s="337">
        <f>IFERROR(VLOOKUP($G1387,今日總結!$A:$AN,38,0),"")</f>
        <v>4</v>
      </c>
      <c r="N1387" s="240">
        <f t="shared" si="243"/>
        <v>-4</v>
      </c>
      <c r="O1387" s="359">
        <f>IFERROR(VLOOKUP($G1387,融外自投!$A:$J,7,0),"無")</f>
        <v>1015</v>
      </c>
      <c r="P1387" s="79">
        <f>IFERROR(VLOOKUP($G1387,融外自投!$A:$J,9,0),"無")</f>
        <v>1051</v>
      </c>
      <c r="Q1387" s="342">
        <f>IFERROR(VLOOKUP($G1387,融外自投!$A:$J,8,0),"無")</f>
        <v>45</v>
      </c>
      <c r="R1387" s="81" t="str">
        <f>IFERROR(VLOOKUP($G1387,融外自投!$A:$J,10,0),"無")</f>
        <v>無</v>
      </c>
      <c r="S1387" s="324">
        <f>IFERROR(VLOOKUP($G1387,'321買'!$A:$E,4,0),"'沒有資料'")</f>
        <v>1002</v>
      </c>
      <c r="T1387" s="186">
        <f>IFERROR(VLOOKUP($G1387,基本資料!$A:$J,9,0),"無")</f>
        <v>0.7</v>
      </c>
      <c r="U1387" s="307">
        <f t="shared" si="242"/>
        <v>1.8229166666666668E-2</v>
      </c>
      <c r="V1387" s="94">
        <f>IFERROR(VLOOKUP($G1387,基本資料!$A:$J,10,0),"無")</f>
        <v>1.04</v>
      </c>
      <c r="W1387" s="36">
        <f>RTD("money.excel",,"8466","Price")</f>
        <v>38.4</v>
      </c>
      <c r="X1387" s="66"/>
      <c r="Y1387" s="15">
        <f t="shared" si="244"/>
        <v>38.4</v>
      </c>
      <c r="Z1387" s="3" t="e">
        <f t="shared" si="245"/>
        <v>#DIV/0!</v>
      </c>
      <c r="AA1387" s="340">
        <f>IFERROR(VLOOKUP($G1387,基本資料!$A:$M,11,0),"無")</f>
        <v>-36.840000000000003</v>
      </c>
      <c r="AB1387" s="389">
        <f>IFERROR(VLOOKUP($G1387,基本資料!$A:$M,12,0),"無")</f>
        <v>14.5</v>
      </c>
      <c r="AC1387" s="22" t="s">
        <v>1093</v>
      </c>
      <c r="AF1387" s="33">
        <f t="shared" si="246"/>
        <v>0</v>
      </c>
      <c r="AG1387" s="43" t="s">
        <v>2831</v>
      </c>
      <c r="AH1387" s="66">
        <f t="shared" si="236"/>
        <v>2.6027397260273974</v>
      </c>
      <c r="AI1387" s="283">
        <f>RTD("money.excel",,$G1387,"PredictVolume")</f>
        <v>190</v>
      </c>
      <c r="AJ1387" s="391">
        <f>IFERROR(VLOOKUP($G1387,基本資料!$A:$M,13,0),"無")</f>
        <v>73</v>
      </c>
      <c r="AR1387" s="245" t="str">
        <f>INDEX(基本資料!N:N,MATCH($G1387,基本資料!A:A,0))</f>
        <v>低</v>
      </c>
    </row>
    <row r="1388" spans="1:44">
      <c r="A1388" s="343">
        <f>IFERROR(VLOOKUP($G1388,基本資料!$A:$J,3,0),"無")</f>
        <v>4.95</v>
      </c>
      <c r="B1388" s="79">
        <f>IFERROR(VLOOKUP($G1388,基本資料!$A:$J,4,0),"無")</f>
        <v>311</v>
      </c>
      <c r="C1388" s="79">
        <f>IFERROR(VLOOKUP($G1388,基本資料!$A:$J,5,0),"無")</f>
        <v>397</v>
      </c>
      <c r="D1388" s="79">
        <f>IFERROR(VLOOKUP($G1388,基本資料!$A:$J,6,0),"無")</f>
        <v>128</v>
      </c>
      <c r="E1388" s="79">
        <f>IFERROR(VLOOKUP($G1388,基本資料!$A:$J,7,0),"無")</f>
        <v>135</v>
      </c>
      <c r="F1388" s="6">
        <f>IFERROR(VLOOKUP($G1388,基本資料!$A:$J,8,0),"無")</f>
        <v>9.59</v>
      </c>
      <c r="G1388" s="79">
        <v>8467</v>
      </c>
      <c r="H1388" s="8" t="s">
        <v>1959</v>
      </c>
      <c r="I1388" s="22" t="s">
        <v>690</v>
      </c>
      <c r="J1388" s="8">
        <f>IFERROR(VLOOKUP($G1388,今日總結!$A:$AN,39,0),"")</f>
        <v>0</v>
      </c>
      <c r="K1388" s="5">
        <f>IFERROR(VLOOKUP($G1388,今日總結!$A:$AN,40,0),"")</f>
        <v>0</v>
      </c>
      <c r="L1388" s="156">
        <f>IFERROR(VLOOKUP($G1388,今日總結!$A:$AN,37,0),"")</f>
        <v>0</v>
      </c>
      <c r="M1388" s="337">
        <f>IFERROR(VLOOKUP($G1388,今日總結!$A:$AN,38,0),"")</f>
        <v>0</v>
      </c>
      <c r="N1388" s="240">
        <f t="shared" si="243"/>
        <v>0</v>
      </c>
      <c r="O1388" s="359">
        <f>IFERROR(VLOOKUP($G1388,融外自投!$A:$J,7,0),"無")</f>
        <v>1339</v>
      </c>
      <c r="P1388" s="79">
        <f>IFERROR(VLOOKUP($G1388,融外自投!$A:$J,9,0),"無")</f>
        <v>1051</v>
      </c>
      <c r="Q1388" s="342">
        <f>IFERROR(VLOOKUP($G1388,融外自投!$A:$J,8,0),"無")</f>
        <v>93</v>
      </c>
      <c r="R1388" s="81">
        <f>IFERROR(VLOOKUP($G1388,融外自投!$A:$J,10,0),"無")</f>
        <v>495</v>
      </c>
      <c r="S1388" s="324">
        <f>IFERROR(VLOOKUP($G1388,'321買'!$A:$E,4,0),"'沒有資料'")</f>
        <v>1002</v>
      </c>
      <c r="T1388" s="186">
        <f>IFERROR(VLOOKUP($G1388,基本資料!$A:$J,9,0),"無")</f>
        <v>0</v>
      </c>
      <c r="U1388" s="307">
        <f t="shared" si="242"/>
        <v>0</v>
      </c>
      <c r="V1388" s="94">
        <f>IFERROR(VLOOKUP($G1388,基本資料!$A:$J,10,0),"無")</f>
        <v>1.98</v>
      </c>
      <c r="W1388" s="36">
        <f>RTD("money.excel",,"8467","Price")</f>
        <v>39.35</v>
      </c>
      <c r="X1388" s="66"/>
      <c r="Y1388" s="15">
        <f t="shared" si="244"/>
        <v>39.35</v>
      </c>
      <c r="Z1388" s="3" t="e">
        <f t="shared" si="245"/>
        <v>#DIV/0!</v>
      </c>
      <c r="AA1388" s="340">
        <f>IFERROR(VLOOKUP($G1388,基本資料!$A:$M,11,0),"無")</f>
        <v>-12.94</v>
      </c>
      <c r="AB1388" s="389">
        <f>IFERROR(VLOOKUP($G1388,基本資料!$A:$M,12,0),"無")</f>
        <v>49.89</v>
      </c>
      <c r="AC1388" s="22" t="s">
        <v>690</v>
      </c>
      <c r="AF1388" s="33">
        <f t="shared" si="246"/>
        <v>0</v>
      </c>
      <c r="AG1388" s="43" t="s">
        <v>3323</v>
      </c>
      <c r="AH1388" s="66">
        <f t="shared" si="236"/>
        <v>1.0852713178294573</v>
      </c>
      <c r="AI1388" s="283">
        <f>RTD("money.excel",,$G1388,"PredictVolume")</f>
        <v>7</v>
      </c>
      <c r="AJ1388" s="391">
        <f>IFERROR(VLOOKUP($G1388,基本資料!$A:$M,13,0),"無")</f>
        <v>6.45</v>
      </c>
      <c r="AR1388" s="245" t="str">
        <f>INDEX(基本資料!N:N,MATCH($G1388,基本資料!A:A,0))</f>
        <v>中</v>
      </c>
    </row>
    <row r="1389" spans="1:44">
      <c r="A1389" s="343">
        <f>IFERROR(VLOOKUP($G1389,基本資料!$A:$J,3,0),"無")</f>
        <v>14.42</v>
      </c>
      <c r="B1389" s="79">
        <f>IFERROR(VLOOKUP($G1389,基本資料!$A:$J,4,0),"無")</f>
        <v>27</v>
      </c>
      <c r="C1389" s="79">
        <f>IFERROR(VLOOKUP($G1389,基本資料!$A:$J,5,0),"無")</f>
        <v>22</v>
      </c>
      <c r="D1389" s="79">
        <f>IFERROR(VLOOKUP($G1389,基本資料!$A:$J,6,0),"無")</f>
        <v>27</v>
      </c>
      <c r="E1389" s="79">
        <f>IFERROR(VLOOKUP($G1389,基本資料!$A:$J,7,0),"無")</f>
        <v>13</v>
      </c>
      <c r="F1389" s="6">
        <f>IFERROR(VLOOKUP($G1389,基本資料!$A:$J,8,0),"無")</f>
        <v>17.329999999999998</v>
      </c>
      <c r="G1389" s="79">
        <v>8473</v>
      </c>
      <c r="H1389" s="8" t="s">
        <v>1959</v>
      </c>
      <c r="I1389" s="22" t="s">
        <v>691</v>
      </c>
      <c r="J1389" s="8">
        <f>IFERROR(VLOOKUP($G1389,今日總結!$A:$AN,39,0),"")</f>
        <v>0</v>
      </c>
      <c r="K1389" s="5">
        <f>IFERROR(VLOOKUP($G1389,今日總結!$A:$AN,40,0),"")</f>
        <v>0</v>
      </c>
      <c r="L1389" s="156">
        <f>IFERROR(VLOOKUP($G1389,今日總結!$A:$AN,37,0),"")</f>
        <v>0</v>
      </c>
      <c r="M1389" s="337">
        <f>IFERROR(VLOOKUP($G1389,今日總結!$A:$AN,38,0),"")</f>
        <v>0</v>
      </c>
      <c r="N1389" s="240">
        <f t="shared" si="243"/>
        <v>0</v>
      </c>
      <c r="O1389" s="359">
        <f>IFERROR(VLOOKUP($G1389,融外自投!$A:$J,7,0),"無")</f>
        <v>1271</v>
      </c>
      <c r="P1389" s="79">
        <f>IFERROR(VLOOKUP($G1389,融外自投!$A:$J,9,0),"無")</f>
        <v>1123</v>
      </c>
      <c r="Q1389" s="342">
        <f>IFERROR(VLOOKUP($G1389,融外自投!$A:$J,8,0),"無")</f>
        <v>1294</v>
      </c>
      <c r="R1389" s="81" t="str">
        <f>IFERROR(VLOOKUP($G1389,融外自投!$A:$J,10,0),"無")</f>
        <v>無</v>
      </c>
      <c r="S1389" s="324">
        <f>IFERROR(VLOOKUP($G1389,'321買'!$A:$E,4,0),"'沒有資料'")</f>
        <v>1002</v>
      </c>
      <c r="T1389" s="186">
        <f>IFERROR(VLOOKUP($G1389,基本資料!$A:$J,9,0),"無")</f>
        <v>0.85</v>
      </c>
      <c r="U1389" s="307">
        <f t="shared" si="242"/>
        <v>2.8192371475953566E-2</v>
      </c>
      <c r="V1389" s="94">
        <f>IFERROR(VLOOKUP($G1389,基本資料!$A:$J,10,0),"無")</f>
        <v>1.36</v>
      </c>
      <c r="W1389" s="36">
        <f>RTD("money.excel",,"8473","Price")</f>
        <v>30.15</v>
      </c>
      <c r="X1389" s="66"/>
      <c r="Y1389" s="15">
        <f t="shared" si="244"/>
        <v>30.15</v>
      </c>
      <c r="Z1389" s="3" t="e">
        <f t="shared" si="245"/>
        <v>#DIV/0!</v>
      </c>
      <c r="AA1389" s="340">
        <f>IFERROR(VLOOKUP($G1389,基本資料!$A:$M,11,0),"無")</f>
        <v>-25.09</v>
      </c>
      <c r="AB1389" s="389">
        <f>IFERROR(VLOOKUP($G1389,基本資料!$A:$M,12,0),"無")</f>
        <v>12.73</v>
      </c>
      <c r="AC1389" s="22" t="s">
        <v>691</v>
      </c>
      <c r="AF1389" s="33">
        <f t="shared" si="246"/>
        <v>0</v>
      </c>
      <c r="AG1389" s="43" t="s">
        <v>2832</v>
      </c>
      <c r="AH1389" s="66">
        <f t="shared" si="236"/>
        <v>0.24573378839590443</v>
      </c>
      <c r="AI1389" s="283">
        <f>RTD("money.excel",,$G1389,"PredictVolume")</f>
        <v>18</v>
      </c>
      <c r="AJ1389" s="391">
        <f>IFERROR(VLOOKUP($G1389,基本資料!$A:$M,13,0),"無")</f>
        <v>73.25</v>
      </c>
      <c r="AR1389" s="245" t="str">
        <f>INDEX(基本資料!N:N,MATCH($G1389,基本資料!A:A,0))</f>
        <v>低</v>
      </c>
    </row>
    <row r="1390" spans="1:44">
      <c r="A1390" s="343">
        <f>IFERROR(VLOOKUP($G1390,基本資料!$A:$J,3,0),"無")</f>
        <v>7.05</v>
      </c>
      <c r="B1390" s="79">
        <f>IFERROR(VLOOKUP($G1390,基本資料!$A:$J,4,0),"無")</f>
        <v>53</v>
      </c>
      <c r="C1390" s="79">
        <f>IFERROR(VLOOKUP($G1390,基本資料!$A:$J,5,0),"無")</f>
        <v>162</v>
      </c>
      <c r="D1390" s="79">
        <f>IFERROR(VLOOKUP($G1390,基本資料!$A:$J,6,0),"無")</f>
        <v>1</v>
      </c>
      <c r="E1390" s="79">
        <f>IFERROR(VLOOKUP($G1390,基本資料!$A:$J,7,0),"無")</f>
        <v>272</v>
      </c>
      <c r="F1390" s="6">
        <f>IFERROR(VLOOKUP($G1390,基本資料!$A:$J,8,0),"無")</f>
        <v>2.8</v>
      </c>
      <c r="G1390" s="79">
        <v>8476</v>
      </c>
      <c r="H1390" s="8" t="s">
        <v>1959</v>
      </c>
      <c r="I1390" s="16" t="s">
        <v>658</v>
      </c>
      <c r="J1390" s="8">
        <f>IFERROR(VLOOKUP($G1390,今日總結!$A:$AN,39,0),"")</f>
        <v>0</v>
      </c>
      <c r="K1390" s="5" t="str">
        <f>IFERROR(VLOOKUP($G1390,今日總結!$A:$AN,40,0),"")</f>
        <v>外</v>
      </c>
      <c r="L1390" s="156">
        <f>IFERROR(VLOOKUP($G1390,今日總結!$A:$AN,37,0),"")</f>
        <v>0</v>
      </c>
      <c r="M1390" s="337">
        <f>IFERROR(VLOOKUP($G1390,今日總結!$A:$AN,38,0),"")</f>
        <v>2</v>
      </c>
      <c r="N1390" s="240">
        <f t="shared" si="243"/>
        <v>-2</v>
      </c>
      <c r="O1390" s="359">
        <f>IFERROR(VLOOKUP($G1390,融外自投!$A:$J,7,0),"無")</f>
        <v>734</v>
      </c>
      <c r="P1390" s="79" t="str">
        <f>IFERROR(VLOOKUP($G1390,融外自投!$A:$J,9,0),"無")</f>
        <v>無</v>
      </c>
      <c r="Q1390" s="342">
        <f>IFERROR(VLOOKUP($G1390,融外自投!$A:$J,8,0),"無")</f>
        <v>1379</v>
      </c>
      <c r="R1390" s="81" t="str">
        <f>IFERROR(VLOOKUP($G1390,融外自投!$A:$J,10,0),"無")</f>
        <v>無</v>
      </c>
      <c r="S1390" s="324">
        <f>IFERROR(VLOOKUP($G1390,'321買'!$A:$E,4,0),"'沒有資料'")</f>
        <v>1002</v>
      </c>
      <c r="T1390" s="186">
        <f>IFERROR(VLOOKUP($G1390,基本資料!$A:$J,9,0),"無")</f>
        <v>0</v>
      </c>
      <c r="U1390" s="307">
        <f t="shared" si="242"/>
        <v>0</v>
      </c>
      <c r="V1390" s="94">
        <f>IFERROR(VLOOKUP($G1390,基本資料!$A:$J,10,0),"無")</f>
        <v>-0.49</v>
      </c>
      <c r="W1390" s="36">
        <f>RTD("money.excel",,"8476","Price")</f>
        <v>57.1</v>
      </c>
      <c r="X1390" s="66"/>
      <c r="Y1390" s="15">
        <f t="shared" si="244"/>
        <v>57.1</v>
      </c>
      <c r="Z1390" s="3" t="e">
        <f t="shared" si="245"/>
        <v>#DIV/0!</v>
      </c>
      <c r="AA1390" s="340">
        <f>IFERROR(VLOOKUP($G1390,基本資料!$A:$M,11,0),"無")</f>
        <v>-18.43</v>
      </c>
      <c r="AB1390" s="389">
        <f>IFERROR(VLOOKUP($G1390,基本資料!$A:$M,12,0),"無")</f>
        <v>22.74</v>
      </c>
      <c r="AC1390" s="16" t="s">
        <v>658</v>
      </c>
      <c r="AF1390" s="33">
        <f t="shared" si="246"/>
        <v>0</v>
      </c>
      <c r="AG1390" s="43" t="s">
        <v>2480</v>
      </c>
      <c r="AH1390" s="66">
        <f t="shared" si="236"/>
        <v>0.74504442925495551</v>
      </c>
      <c r="AI1390" s="283">
        <f>RTD("money.excel",,$G1390,"PredictVolume")</f>
        <v>109</v>
      </c>
      <c r="AJ1390" s="391">
        <f>IFERROR(VLOOKUP($G1390,基本資料!$A:$M,13,0),"無")</f>
        <v>146.30000000000001</v>
      </c>
      <c r="AR1390" s="245" t="str">
        <f>INDEX(基本資料!N:N,MATCH($G1390,基本資料!A:A,0))</f>
        <v>中</v>
      </c>
    </row>
    <row r="1391" spans="1:44">
      <c r="A1391" s="343">
        <f>IFERROR(VLOOKUP($G1391,基本資料!$A:$J,3,0),"無")</f>
        <v>8.8800000000000008</v>
      </c>
      <c r="B1391" s="79">
        <f>IFERROR(VLOOKUP($G1391,基本資料!$A:$J,4,0),"無")</f>
        <v>804</v>
      </c>
      <c r="C1391" s="79">
        <f>IFERROR(VLOOKUP($G1391,基本資料!$A:$J,5,0),"無")</f>
        <v>317</v>
      </c>
      <c r="D1391" s="79">
        <f>IFERROR(VLOOKUP($G1391,基本資料!$A:$J,6,0),"無")</f>
        <v>-30</v>
      </c>
      <c r="E1391" s="79">
        <f>IFERROR(VLOOKUP($G1391,基本資料!$A:$J,7,0),"無")</f>
        <v>31</v>
      </c>
      <c r="F1391" s="6">
        <f>IFERROR(VLOOKUP($G1391,基本資料!$A:$J,8,0),"無")</f>
        <v>20.85</v>
      </c>
      <c r="G1391" s="79">
        <v>8478</v>
      </c>
      <c r="H1391" s="8" t="s">
        <v>235</v>
      </c>
      <c r="I1391" s="22" t="s">
        <v>1094</v>
      </c>
      <c r="J1391" s="8">
        <f>IFERROR(VLOOKUP($G1391,今日總結!$A:$AN,39,0),"")</f>
        <v>6</v>
      </c>
      <c r="K1391" s="5">
        <f>IFERROR(VLOOKUP($G1391,今日總結!$A:$AN,40,0),"")</f>
        <v>0</v>
      </c>
      <c r="L1391" s="156">
        <f>IFERROR(VLOOKUP($G1391,今日總結!$A:$AN,37,0),"")</f>
        <v>1</v>
      </c>
      <c r="M1391" s="337">
        <f>IFERROR(VLOOKUP($G1391,今日總結!$A:$AN,38,0),"")</f>
        <v>0</v>
      </c>
      <c r="N1391" s="240">
        <f t="shared" si="243"/>
        <v>1</v>
      </c>
      <c r="O1391" s="359">
        <f>IFERROR(VLOOKUP($G1391,融外自投!$A:$J,7,0),"無")</f>
        <v>709</v>
      </c>
      <c r="P1391" s="79">
        <f>IFERROR(VLOOKUP($G1391,融外自投!$A:$J,9,0),"無")</f>
        <v>365</v>
      </c>
      <c r="Q1391" s="342">
        <f>IFERROR(VLOOKUP($G1391,融外自投!$A:$J,8,0),"無")</f>
        <v>101</v>
      </c>
      <c r="R1391" s="81">
        <f>IFERROR(VLOOKUP($G1391,融外自投!$A:$J,10,0),"無")</f>
        <v>191</v>
      </c>
      <c r="S1391" s="324">
        <f>IFERROR(VLOOKUP($G1391,'321買'!$A:$E,4,0),"'沒有資料'")</f>
        <v>300</v>
      </c>
      <c r="T1391" s="186">
        <f>IFERROR(VLOOKUP($G1391,基本資料!$A:$J,9,0),"無")</f>
        <v>5</v>
      </c>
      <c r="U1391" s="307">
        <f t="shared" si="242"/>
        <v>2.9498525073746312E-2</v>
      </c>
      <c r="V1391" s="94">
        <f>IFERROR(VLOOKUP($G1391,基本資料!$A:$J,10,0),"無")</f>
        <v>9.5500000000000007</v>
      </c>
      <c r="W1391" s="36">
        <f>RTD("money.excel",,"8478","Price")</f>
        <v>169.5</v>
      </c>
      <c r="X1391" s="66"/>
      <c r="Y1391" s="15">
        <f t="shared" si="244"/>
        <v>169.5</v>
      </c>
      <c r="Z1391" s="3" t="e">
        <f t="shared" si="245"/>
        <v>#DIV/0!</v>
      </c>
      <c r="AA1391" s="340">
        <f>IFERROR(VLOOKUP($G1391,基本資料!$A:$M,11,0),"無")</f>
        <v>-10.32</v>
      </c>
      <c r="AB1391" s="389">
        <f>IFERROR(VLOOKUP($G1391,基本資料!$A:$M,12,0),"無")</f>
        <v>61.06</v>
      </c>
      <c r="AC1391" s="22" t="s">
        <v>1094</v>
      </c>
      <c r="AF1391" s="33">
        <f t="shared" si="246"/>
        <v>0</v>
      </c>
      <c r="AG1391" s="43" t="s">
        <v>2833</v>
      </c>
      <c r="AH1391" s="66">
        <f t="shared" si="236"/>
        <v>1.3735488218913317</v>
      </c>
      <c r="AI1391" s="283">
        <f>RTD("money.excel",,$G1391,"PredictVolume")</f>
        <v>5401</v>
      </c>
      <c r="AJ1391" s="391">
        <f>IFERROR(VLOOKUP($G1391,基本資料!$A:$M,13,0),"無")</f>
        <v>3932.15</v>
      </c>
      <c r="AR1391" s="245" t="str">
        <f>INDEX(基本資料!N:N,MATCH($G1391,基本資料!A:A,0))</f>
        <v>高</v>
      </c>
    </row>
    <row r="1392" spans="1:44">
      <c r="A1392" s="343">
        <f>IFERROR(VLOOKUP($G1392,基本資料!$A:$J,3,0),"無")</f>
        <v>3.92</v>
      </c>
      <c r="B1392" s="79">
        <f>IFERROR(VLOOKUP($G1392,基本資料!$A:$J,4,0),"無")</f>
        <v>-28</v>
      </c>
      <c r="C1392" s="79">
        <f>IFERROR(VLOOKUP($G1392,基本資料!$A:$J,5,0),"無")</f>
        <v>-34</v>
      </c>
      <c r="D1392" s="79">
        <f>IFERROR(VLOOKUP($G1392,基本資料!$A:$J,6,0),"無")</f>
        <v>0</v>
      </c>
      <c r="E1392" s="79">
        <f>IFERROR(VLOOKUP($G1392,基本資料!$A:$J,7,0),"無")</f>
        <v>-12</v>
      </c>
      <c r="F1392" s="6">
        <f>IFERROR(VLOOKUP($G1392,基本資料!$A:$J,8,0),"無")</f>
        <v>13.72</v>
      </c>
      <c r="G1392" s="79">
        <v>8480</v>
      </c>
      <c r="H1392" s="8" t="s">
        <v>1959</v>
      </c>
      <c r="I1392" s="22" t="s">
        <v>692</v>
      </c>
      <c r="J1392" s="8">
        <f>IFERROR(VLOOKUP($G1392,今日總結!$A:$AN,39,0),"")</f>
        <v>0</v>
      </c>
      <c r="K1392" s="5">
        <f>IFERROR(VLOOKUP($G1392,今日總結!$A:$AN,40,0),"")</f>
        <v>0</v>
      </c>
      <c r="L1392" s="156">
        <f>IFERROR(VLOOKUP($G1392,今日總結!$A:$AN,37,0),"")</f>
        <v>0</v>
      </c>
      <c r="M1392" s="337">
        <f>IFERROR(VLOOKUP($G1392,今日總結!$A:$AN,38,0),"")</f>
        <v>0</v>
      </c>
      <c r="N1392" s="240">
        <f t="shared" si="243"/>
        <v>0</v>
      </c>
      <c r="O1392" s="359">
        <f>IFERROR(VLOOKUP($G1392,融外自投!$A:$J,7,0),"無")</f>
        <v>1388</v>
      </c>
      <c r="P1392" s="79">
        <f>IFERROR(VLOOKUP($G1392,融外自投!$A:$J,9,0),"無")</f>
        <v>990</v>
      </c>
      <c r="Q1392" s="342">
        <f>IFERROR(VLOOKUP($G1392,融外自投!$A:$J,8,0),"無")</f>
        <v>6</v>
      </c>
      <c r="R1392" s="81" t="str">
        <f>IFERROR(VLOOKUP($G1392,融外自投!$A:$J,10,0),"無")</f>
        <v>無</v>
      </c>
      <c r="S1392" s="324">
        <f>IFERROR(VLOOKUP($G1392,'321買'!$A:$E,4,0),"'沒有資料'")</f>
        <v>1002</v>
      </c>
      <c r="T1392" s="186">
        <f>IFERROR(VLOOKUP($G1392,基本資料!$A:$J,9,0),"無")</f>
        <v>3.2</v>
      </c>
      <c r="U1392" s="307">
        <f t="shared" si="242"/>
        <v>4.651162790697675E-2</v>
      </c>
      <c r="V1392" s="94">
        <f>IFERROR(VLOOKUP($G1392,基本資料!$A:$J,10,0),"無")</f>
        <v>7.08</v>
      </c>
      <c r="W1392" s="36">
        <f>RTD("money.excel",,"8480","Price")</f>
        <v>68.8</v>
      </c>
      <c r="X1392" s="66"/>
      <c r="Y1392" s="15">
        <f t="shared" si="244"/>
        <v>68.8</v>
      </c>
      <c r="Z1392" s="3" t="e">
        <f t="shared" si="245"/>
        <v>#DIV/0!</v>
      </c>
      <c r="AA1392" s="340">
        <f>IFERROR(VLOOKUP($G1392,基本資料!$A:$M,11,0),"無")</f>
        <v>-42.18</v>
      </c>
      <c r="AB1392" s="389">
        <f>IFERROR(VLOOKUP($G1392,基本資料!$A:$M,12,0),"無")</f>
        <v>9.85</v>
      </c>
      <c r="AC1392" s="22" t="s">
        <v>692</v>
      </c>
      <c r="AF1392" s="33">
        <f t="shared" si="246"/>
        <v>0</v>
      </c>
      <c r="AG1392" s="43" t="s">
        <v>2534</v>
      </c>
      <c r="AH1392" s="66">
        <f t="shared" si="236"/>
        <v>0.78651685393258419</v>
      </c>
      <c r="AI1392" s="283">
        <f>RTD("money.excel",,$G1392,"PredictVolume")</f>
        <v>7</v>
      </c>
      <c r="AJ1392" s="391">
        <f>IFERROR(VLOOKUP($G1392,基本資料!$A:$M,13,0),"無")</f>
        <v>8.9</v>
      </c>
      <c r="AR1392" s="245" t="str">
        <f>INDEX(基本資料!N:N,MATCH($G1392,基本資料!A:A,0))</f>
        <v>低</v>
      </c>
    </row>
    <row r="1393" spans="1:44">
      <c r="A1393" s="343">
        <f>IFERROR(VLOOKUP($G1393,基本資料!$A:$J,3,0),"無")</f>
        <v>6.66</v>
      </c>
      <c r="B1393" s="79">
        <f>IFERROR(VLOOKUP($G1393,基本資料!$A:$J,4,0),"無")</f>
        <v>-51</v>
      </c>
      <c r="C1393" s="79">
        <f>IFERROR(VLOOKUP($G1393,基本資料!$A:$J,5,0),"無")</f>
        <v>54</v>
      </c>
      <c r="D1393" s="79">
        <f>IFERROR(VLOOKUP($G1393,基本資料!$A:$J,6,0),"無")</f>
        <v>-11</v>
      </c>
      <c r="E1393" s="79">
        <f>IFERROR(VLOOKUP($G1393,基本資料!$A:$J,7,0),"無")</f>
        <v>2</v>
      </c>
      <c r="F1393" s="6">
        <f>IFERROR(VLOOKUP($G1393,基本資料!$A:$J,8,0),"無")</f>
        <v>28.05</v>
      </c>
      <c r="G1393" s="79">
        <v>8481</v>
      </c>
      <c r="H1393" s="8" t="s">
        <v>235</v>
      </c>
      <c r="I1393" s="22" t="s">
        <v>693</v>
      </c>
      <c r="J1393" s="8" t="str">
        <f>IFERROR(VLOOKUP($G1393,今日總結!$A:$AN,39,0),"")</f>
        <v>外</v>
      </c>
      <c r="K1393" s="5">
        <f>IFERROR(VLOOKUP($G1393,今日總結!$A:$AN,40,0),"")</f>
        <v>0</v>
      </c>
      <c r="L1393" s="156">
        <f>IFERROR(VLOOKUP($G1393,今日總結!$A:$AN,37,0),"")</f>
        <v>1</v>
      </c>
      <c r="M1393" s="337">
        <f>IFERROR(VLOOKUP($G1393,今日總結!$A:$AN,38,0),"")</f>
        <v>0</v>
      </c>
      <c r="N1393" s="240">
        <f t="shared" si="243"/>
        <v>1</v>
      </c>
      <c r="O1393" s="359">
        <f>IFERROR(VLOOKUP($G1393,融外自投!$A:$J,7,0),"無")</f>
        <v>1319</v>
      </c>
      <c r="P1393" s="79">
        <f>IFERROR(VLOOKUP($G1393,融外自投!$A:$J,9,0),"無")</f>
        <v>1051</v>
      </c>
      <c r="Q1393" s="342">
        <f>IFERROR(VLOOKUP($G1393,融外自投!$A:$J,8,0),"無")</f>
        <v>1379</v>
      </c>
      <c r="R1393" s="81" t="str">
        <f>IFERROR(VLOOKUP($G1393,融外自投!$A:$J,10,0),"無")</f>
        <v>無</v>
      </c>
      <c r="S1393" s="324">
        <f>IFERROR(VLOOKUP($G1393,'321買'!$A:$E,4,0),"'沒有資料'")</f>
        <v>1002</v>
      </c>
      <c r="T1393" s="186">
        <f>IFERROR(VLOOKUP($G1393,基本資料!$A:$J,9,0),"無")</f>
        <v>6.5</v>
      </c>
      <c r="U1393" s="307">
        <f t="shared" si="242"/>
        <v>9.730538922155689E-2</v>
      </c>
      <c r="V1393" s="94">
        <f>IFERROR(VLOOKUP($G1393,基本資料!$A:$J,10,0),"無")</f>
        <v>6.1</v>
      </c>
      <c r="W1393" s="36">
        <f>RTD("money.excel",,"8481","Price")</f>
        <v>66.8</v>
      </c>
      <c r="X1393" s="66"/>
      <c r="Y1393" s="15">
        <f t="shared" si="244"/>
        <v>66.8</v>
      </c>
      <c r="Z1393" s="3" t="e">
        <f t="shared" si="245"/>
        <v>#DIV/0!</v>
      </c>
      <c r="AA1393" s="340">
        <f>IFERROR(VLOOKUP($G1393,基本資料!$A:$M,11,0),"無")</f>
        <v>-26.02</v>
      </c>
      <c r="AB1393" s="389">
        <f>IFERROR(VLOOKUP($G1393,基本資料!$A:$M,12,0),"無")</f>
        <v>54.38</v>
      </c>
      <c r="AC1393" s="22" t="s">
        <v>693</v>
      </c>
      <c r="AF1393" s="33">
        <f t="shared" si="246"/>
        <v>0</v>
      </c>
      <c r="AG1393" s="43" t="s">
        <v>2834</v>
      </c>
      <c r="AH1393" s="66">
        <f t="shared" si="236"/>
        <v>1.0176991150442478</v>
      </c>
      <c r="AI1393" s="283">
        <f>RTD("money.excel",,$G1393,"PredictVolume")</f>
        <v>23</v>
      </c>
      <c r="AJ1393" s="391">
        <f>IFERROR(VLOOKUP($G1393,基本資料!$A:$M,13,0),"無")</f>
        <v>22.6</v>
      </c>
      <c r="AR1393" s="245" t="str">
        <f>INDEX(基本資料!N:N,MATCH($G1393,基本資料!A:A,0))</f>
        <v>低</v>
      </c>
    </row>
    <row r="1394" spans="1:44">
      <c r="A1394" s="343">
        <f>IFERROR(VLOOKUP($G1394,基本資料!$A:$J,3,0),"無")</f>
        <v>11.04</v>
      </c>
      <c r="B1394" s="79">
        <f>IFERROR(VLOOKUP($G1394,基本資料!$A:$J,4,0),"無")</f>
        <v>31</v>
      </c>
      <c r="C1394" s="79">
        <f>IFERROR(VLOOKUP($G1394,基本資料!$A:$J,5,0),"無")</f>
        <v>24</v>
      </c>
      <c r="D1394" s="79">
        <f>IFERROR(VLOOKUP($G1394,基本資料!$A:$J,6,0),"無")</f>
        <v>7</v>
      </c>
      <c r="E1394" s="79">
        <f>IFERROR(VLOOKUP($G1394,基本資料!$A:$J,7,0),"無")</f>
        <v>10</v>
      </c>
      <c r="F1394" s="6">
        <f>IFERROR(VLOOKUP($G1394,基本資料!$A:$J,8,0),"無")</f>
        <v>16.829999999999998</v>
      </c>
      <c r="G1394" s="79">
        <v>8482</v>
      </c>
      <c r="H1394" s="8" t="s">
        <v>1959</v>
      </c>
      <c r="I1394" s="22" t="s">
        <v>1076</v>
      </c>
      <c r="J1394" s="8" t="str">
        <f>IFERROR(VLOOKUP($G1394,今日總結!$A:$AN,39,0),"")</f>
        <v>外</v>
      </c>
      <c r="K1394" s="5">
        <f>IFERROR(VLOOKUP($G1394,今日總結!$A:$AN,40,0),"")</f>
        <v>0</v>
      </c>
      <c r="L1394" s="156">
        <f>IFERROR(VLOOKUP($G1394,今日總結!$A:$AN,37,0),"")</f>
        <v>2</v>
      </c>
      <c r="M1394" s="337">
        <f>IFERROR(VLOOKUP($G1394,今日總結!$A:$AN,38,0),"")</f>
        <v>0</v>
      </c>
      <c r="N1394" s="240">
        <f t="shared" si="243"/>
        <v>2</v>
      </c>
      <c r="O1394" s="359">
        <f>IFERROR(VLOOKUP($G1394,融外自投!$A:$J,7,0),"無")</f>
        <v>1285</v>
      </c>
      <c r="P1394" s="79" t="str">
        <f>IFERROR(VLOOKUP($G1394,融外自投!$A:$J,9,0),"無")</f>
        <v>無</v>
      </c>
      <c r="Q1394" s="342">
        <f>IFERROR(VLOOKUP($G1394,融外自投!$A:$J,8,0),"無")</f>
        <v>3</v>
      </c>
      <c r="R1394" s="81" t="str">
        <f>IFERROR(VLOOKUP($G1394,融外自投!$A:$J,10,0),"無")</f>
        <v>無</v>
      </c>
      <c r="S1394" s="324">
        <f>IFERROR(VLOOKUP($G1394,'321買'!$A:$E,4,0),"'沒有資料'")</f>
        <v>1002</v>
      </c>
      <c r="T1394" s="186">
        <f>IFERROR(VLOOKUP($G1394,基本資料!$A:$J,9,0),"無")</f>
        <v>5.87</v>
      </c>
      <c r="U1394" s="307">
        <f t="shared" si="242"/>
        <v>8.2328190743338012E-2</v>
      </c>
      <c r="V1394" s="94">
        <f>IFERROR(VLOOKUP($G1394,基本資料!$A:$J,10,0),"無")</f>
        <v>7.97</v>
      </c>
      <c r="W1394" s="36">
        <f>RTD("money.excel",,"8482","Price")</f>
        <v>71.3</v>
      </c>
      <c r="X1394" s="66"/>
      <c r="Y1394" s="15">
        <f t="shared" si="244"/>
        <v>71.3</v>
      </c>
      <c r="Z1394" s="3" t="e">
        <f t="shared" si="245"/>
        <v>#DIV/0!</v>
      </c>
      <c r="AA1394" s="340">
        <f>IFERROR(VLOOKUP($G1394,基本資料!$A:$M,11,0),"無")</f>
        <v>-13.78</v>
      </c>
      <c r="AB1394" s="389">
        <f>IFERROR(VLOOKUP($G1394,基本資料!$A:$M,12,0),"無")</f>
        <v>23.08</v>
      </c>
      <c r="AC1394" s="22" t="s">
        <v>1076</v>
      </c>
      <c r="AF1394" s="33">
        <f t="shared" si="246"/>
        <v>0</v>
      </c>
      <c r="AG1394" s="43" t="s">
        <v>2469</v>
      </c>
      <c r="AH1394" s="66">
        <f t="shared" si="236"/>
        <v>0.34482758620689657</v>
      </c>
      <c r="AI1394" s="283">
        <f>RTD("money.excel",,$G1394,"PredictVolume")</f>
        <v>8</v>
      </c>
      <c r="AJ1394" s="391">
        <f>IFERROR(VLOOKUP($G1394,基本資料!$A:$M,13,0),"無")</f>
        <v>23.2</v>
      </c>
      <c r="AR1394" s="245" t="str">
        <f>INDEX(基本資料!N:N,MATCH($G1394,基本資料!A:A,0))</f>
        <v>低</v>
      </c>
    </row>
    <row r="1395" spans="1:44">
      <c r="A1395" s="343">
        <f>IFERROR(VLOOKUP($G1395,基本資料!$A:$J,3,0),"無")</f>
        <v>6.75</v>
      </c>
      <c r="B1395" s="79">
        <f>IFERROR(VLOOKUP($G1395,基本資料!$A:$J,4,0),"無")</f>
        <v>0</v>
      </c>
      <c r="C1395" s="79">
        <f>IFERROR(VLOOKUP($G1395,基本資料!$A:$J,5,0),"無")</f>
        <v>-53</v>
      </c>
      <c r="D1395" s="79">
        <f>IFERROR(VLOOKUP($G1395,基本資料!$A:$J,6,0),"無")</f>
        <v>-35</v>
      </c>
      <c r="E1395" s="79">
        <f>IFERROR(VLOOKUP($G1395,基本資料!$A:$J,7,0),"無")</f>
        <v>-15</v>
      </c>
      <c r="F1395" s="6">
        <f>IFERROR(VLOOKUP($G1395,基本資料!$A:$J,8,0),"無")</f>
        <v>1.79</v>
      </c>
      <c r="G1395" s="79">
        <v>8488</v>
      </c>
      <c r="H1395" s="8" t="s">
        <v>1959</v>
      </c>
      <c r="I1395" s="22" t="s">
        <v>694</v>
      </c>
      <c r="J1395" s="8" t="str">
        <f>IFERROR(VLOOKUP($G1395,今日總結!$A:$AN,39,0),"")</f>
        <v/>
      </c>
      <c r="K1395" s="5" t="str">
        <f>IFERROR(VLOOKUP($G1395,今日總結!$A:$AN,40,0),"")</f>
        <v/>
      </c>
      <c r="L1395" s="156" t="str">
        <f>IFERROR(VLOOKUP($G1395,今日總結!$A:$AN,37,0),"")</f>
        <v/>
      </c>
      <c r="M1395" s="337" t="str">
        <f>IFERROR(VLOOKUP($G1395,今日總結!$A:$AN,38,0),"")</f>
        <v/>
      </c>
      <c r="N1395" s="240" t="str">
        <f t="shared" si="243"/>
        <v/>
      </c>
      <c r="O1395" s="359">
        <f>IFERROR(VLOOKUP($G1395,融外自投!$A:$J,7,0),"無")</f>
        <v>1264</v>
      </c>
      <c r="P1395" s="79">
        <f>IFERROR(VLOOKUP($G1395,融外自投!$A:$J,9,0),"無")</f>
        <v>1051</v>
      </c>
      <c r="Q1395" s="342">
        <f>IFERROR(VLOOKUP($G1395,融外自投!$A:$J,8,0),"無")</f>
        <v>12</v>
      </c>
      <c r="R1395" s="81" t="str">
        <f>IFERROR(VLOOKUP($G1395,融外自投!$A:$J,10,0),"無")</f>
        <v>無</v>
      </c>
      <c r="S1395" s="324" t="str">
        <f>IFERROR(VLOOKUP($G1395,'321買'!$A:$E,4,0),"'沒有資料'")</f>
        <v>'沒有資料'</v>
      </c>
      <c r="T1395" s="186">
        <f>IFERROR(VLOOKUP($G1395,基本資料!$A:$J,9,0),"無")</f>
        <v>0.3</v>
      </c>
      <c r="U1395" s="307" t="e">
        <f t="shared" si="242"/>
        <v>#VALUE!</v>
      </c>
      <c r="V1395" s="94">
        <f>IFERROR(VLOOKUP($G1395,基本資料!$A:$J,10,0),"無")</f>
        <v>0.75</v>
      </c>
      <c r="W1395" s="36" t="str">
        <f>RTD("money.excel",,"8488","Price")</f>
        <v>無資料</v>
      </c>
      <c r="X1395" s="66"/>
      <c r="Y1395" s="15" t="e">
        <f t="shared" si="244"/>
        <v>#VALUE!</v>
      </c>
      <c r="Z1395" s="3" t="e">
        <f t="shared" si="245"/>
        <v>#VALUE!</v>
      </c>
      <c r="AA1395" s="340">
        <f>IFERROR(VLOOKUP($G1395,基本資料!$A:$M,11,0),"無")</f>
        <v>-17.63</v>
      </c>
      <c r="AB1395" s="389">
        <f>IFERROR(VLOOKUP($G1395,基本資料!$A:$M,12,0),"無")</f>
        <v>17.22</v>
      </c>
      <c r="AC1395" s="22" t="s">
        <v>694</v>
      </c>
      <c r="AF1395" s="33">
        <f t="shared" si="246"/>
        <v>0</v>
      </c>
      <c r="AG1395" s="43" t="s">
        <v>2835</v>
      </c>
      <c r="AH1395" s="66">
        <f t="shared" si="236"/>
        <v>0</v>
      </c>
      <c r="AI1395" s="283">
        <f>RTD("money.excel",,$G1395,"PredictVolume")</f>
        <v>0</v>
      </c>
      <c r="AJ1395" s="391">
        <f>IFERROR(VLOOKUP($G1395,基本資料!$A:$M,13,0),"無")</f>
        <v>6.5</v>
      </c>
      <c r="AR1395" s="245" t="str">
        <f>INDEX(基本資料!N:N,MATCH($G1395,基本資料!A:A,0))</f>
        <v>低</v>
      </c>
    </row>
    <row r="1396" spans="1:44">
      <c r="A1396" s="343">
        <f>IFERROR(VLOOKUP($G1396,基本資料!$A:$J,3,0),"無")</f>
        <v>5.18</v>
      </c>
      <c r="B1396" s="79">
        <f>IFERROR(VLOOKUP($G1396,基本資料!$A:$J,4,0),"無")</f>
        <v>25</v>
      </c>
      <c r="C1396" s="79">
        <f>IFERROR(VLOOKUP($G1396,基本資料!$A:$J,5,0),"無")</f>
        <v>17</v>
      </c>
      <c r="D1396" s="79">
        <f>IFERROR(VLOOKUP($G1396,基本資料!$A:$J,6,0),"無")</f>
        <v>-53</v>
      </c>
      <c r="E1396" s="79">
        <f>IFERROR(VLOOKUP($G1396,基本資料!$A:$J,7,0),"無")</f>
        <v>-58</v>
      </c>
      <c r="F1396" s="6">
        <f>IFERROR(VLOOKUP($G1396,基本資料!$A:$J,8,0),"無")</f>
        <v>38.28</v>
      </c>
      <c r="G1396" s="79">
        <v>8499</v>
      </c>
      <c r="H1396" s="195" t="s">
        <v>1959</v>
      </c>
      <c r="I1396" s="22" t="s">
        <v>4611</v>
      </c>
      <c r="J1396" s="8">
        <f>IFERROR(VLOOKUP($G1396,今日總結!$A:$AN,39,0),"")</f>
        <v>0</v>
      </c>
      <c r="K1396" s="5" t="str">
        <f>IFERROR(VLOOKUP($G1396,今日總結!$A:$AN,40,0),"")</f>
        <v>融</v>
      </c>
      <c r="L1396" s="156">
        <f>IFERROR(VLOOKUP($G1396,今日總結!$A:$AN,37,0),"")</f>
        <v>0</v>
      </c>
      <c r="M1396" s="337">
        <f>IFERROR(VLOOKUP($G1396,今日總結!$A:$AN,38,0),"")</f>
        <v>3</v>
      </c>
      <c r="N1396" s="240">
        <f t="shared" si="243"/>
        <v>-3</v>
      </c>
      <c r="O1396" s="359">
        <f>IFERROR(VLOOKUP($G1396,融外自投!$A:$J,7,0),"無")</f>
        <v>815</v>
      </c>
      <c r="P1396" s="79">
        <f>IFERROR(VLOOKUP($G1396,融外自投!$A:$J,9,0),"無")</f>
        <v>741</v>
      </c>
      <c r="Q1396" s="342">
        <f>IFERROR(VLOOKUP($G1396,融外自投!$A:$J,8,0),"無")</f>
        <v>24</v>
      </c>
      <c r="R1396" s="81" t="str">
        <f>IFERROR(VLOOKUP($G1396,融外自投!$A:$J,10,0),"無")</f>
        <v>無</v>
      </c>
      <c r="S1396" s="324">
        <f>IFERROR(VLOOKUP($G1396,'321買'!$A:$E,4,0),"'沒有資料'")</f>
        <v>1002</v>
      </c>
      <c r="T1396" s="186">
        <f>IFERROR(VLOOKUP($G1396,基本資料!$A:$J,9,0),"無")</f>
        <v>8</v>
      </c>
      <c r="U1396" s="307">
        <f t="shared" si="242"/>
        <v>7.2398190045248875E-2</v>
      </c>
      <c r="V1396" s="94">
        <f>IFERROR(VLOOKUP($G1396,基本資料!$A:$J,10,0),"無")</f>
        <v>14.14</v>
      </c>
      <c r="W1396" s="36">
        <f>RTD("money.excel",,"8499","Price")</f>
        <v>110.5</v>
      </c>
      <c r="X1396" s="66"/>
      <c r="Y1396" s="15">
        <f t="shared" si="244"/>
        <v>110.5</v>
      </c>
      <c r="Z1396" s="3" t="e">
        <f t="shared" si="245"/>
        <v>#DIV/0!</v>
      </c>
      <c r="AA1396" s="340">
        <f>IFERROR(VLOOKUP($G1396,基本資料!$A:$M,11,0),"無")</f>
        <v>-24.32</v>
      </c>
      <c r="AB1396" s="389">
        <f>IFERROR(VLOOKUP($G1396,基本資料!$A:$M,12,0),"無")</f>
        <v>17.75</v>
      </c>
      <c r="AC1396" s="22" t="s">
        <v>4611</v>
      </c>
      <c r="AF1396" s="33">
        <f t="shared" si="246"/>
        <v>0</v>
      </c>
      <c r="AG1396" s="119" t="s">
        <v>1880</v>
      </c>
      <c r="AH1396" s="66">
        <f t="shared" si="236"/>
        <v>0.54564533053515218</v>
      </c>
      <c r="AI1396" s="283">
        <f>RTD("money.excel",,$G1396,"PredictVolume")</f>
        <v>26</v>
      </c>
      <c r="AJ1396" s="391">
        <f>IFERROR(VLOOKUP($G1396,基本資料!$A:$M,13,0),"無")</f>
        <v>47.65</v>
      </c>
      <c r="AR1396" s="245" t="str">
        <f>INDEX(基本資料!N:N,MATCH($G1396,基本資料!A:A,0))</f>
        <v>低</v>
      </c>
    </row>
    <row r="1397" spans="1:44">
      <c r="A1397" s="343">
        <f>IFERROR(VLOOKUP($G1397,基本資料!$A:$J,3,0),"無")</f>
        <v>11.94</v>
      </c>
      <c r="B1397" s="79">
        <f>IFERROR(VLOOKUP($G1397,基本資料!$A:$J,4,0),"無")</f>
        <v>304</v>
      </c>
      <c r="C1397" s="79">
        <f>IFERROR(VLOOKUP($G1397,基本資料!$A:$J,5,0),"無")</f>
        <v>332</v>
      </c>
      <c r="D1397" s="79">
        <f>IFERROR(VLOOKUP($G1397,基本資料!$A:$J,6,0),"無")</f>
        <v>5</v>
      </c>
      <c r="E1397" s="79">
        <f>IFERROR(VLOOKUP($G1397,基本資料!$A:$J,7,0),"無")</f>
        <v>-10</v>
      </c>
      <c r="F1397" s="6">
        <f>IFERROR(VLOOKUP($G1397,基本資料!$A:$J,8,0),"無")</f>
        <v>12.89</v>
      </c>
      <c r="G1397" s="79">
        <v>8905</v>
      </c>
      <c r="H1397" s="8" t="s">
        <v>1959</v>
      </c>
      <c r="I1397" s="16" t="s">
        <v>659</v>
      </c>
      <c r="J1397" s="8">
        <f>IFERROR(VLOOKUP($G1397,今日總結!$A:$AN,39,0),"")</f>
        <v>0</v>
      </c>
      <c r="K1397" s="5">
        <f>IFERROR(VLOOKUP($G1397,今日總結!$A:$AN,40,0),"")</f>
        <v>0</v>
      </c>
      <c r="L1397" s="156">
        <f>IFERROR(VLOOKUP($G1397,今日總結!$A:$AN,37,0),"")</f>
        <v>0</v>
      </c>
      <c r="M1397" s="337">
        <f>IFERROR(VLOOKUP($G1397,今日總結!$A:$AN,38,0),"")</f>
        <v>0</v>
      </c>
      <c r="N1397" s="240">
        <f t="shared" si="243"/>
        <v>0</v>
      </c>
      <c r="O1397" s="359">
        <f>IFERROR(VLOOKUP($G1397,融外自投!$A:$J,7,0),"無")</f>
        <v>738</v>
      </c>
      <c r="P1397" s="79">
        <f>IFERROR(VLOOKUP($G1397,融外自投!$A:$J,9,0),"無")</f>
        <v>790</v>
      </c>
      <c r="Q1397" s="342">
        <f>IFERROR(VLOOKUP($G1397,融外自投!$A:$J,8,0),"無")</f>
        <v>1149</v>
      </c>
      <c r="R1397" s="81" t="str">
        <f>IFERROR(VLOOKUP($G1397,融外自投!$A:$J,10,0),"無")</f>
        <v>無</v>
      </c>
      <c r="S1397" s="324">
        <f>IFERROR(VLOOKUP($G1397,'321買'!$A:$E,4,0),"'沒有資料'")</f>
        <v>801</v>
      </c>
      <c r="T1397" s="186">
        <f>IFERROR(VLOOKUP($G1397,基本資料!$A:$J,9,0),"無")</f>
        <v>1.9</v>
      </c>
      <c r="U1397" s="307">
        <f t="shared" si="242"/>
        <v>8.033826638477802E-2</v>
      </c>
      <c r="V1397" s="94">
        <f>IFERROR(VLOOKUP($G1397,基本資料!$A:$J,10,0),"無")</f>
        <v>2.5299999999999998</v>
      </c>
      <c r="W1397" s="36">
        <f>RTD("money.excel",,"8905","Price")</f>
        <v>23.65</v>
      </c>
      <c r="X1397" s="66"/>
      <c r="Y1397" s="15">
        <f t="shared" si="244"/>
        <v>23.65</v>
      </c>
      <c r="Z1397" s="3" t="e">
        <f t="shared" si="245"/>
        <v>#DIV/0!</v>
      </c>
      <c r="AA1397" s="340">
        <f>IFERROR(VLOOKUP($G1397,基本資料!$A:$M,11,0),"無")</f>
        <v>-34.119999999999997</v>
      </c>
      <c r="AB1397" s="389">
        <f>IFERROR(VLOOKUP($G1397,基本資料!$A:$M,12,0),"無")</f>
        <v>30.54</v>
      </c>
      <c r="AC1397" s="16" t="s">
        <v>659</v>
      </c>
      <c r="AF1397" s="33">
        <f t="shared" si="246"/>
        <v>0</v>
      </c>
      <c r="AG1397" s="43" t="s">
        <v>2481</v>
      </c>
      <c r="AH1397" s="66">
        <f t="shared" si="236"/>
        <v>5.943179601086581E-2</v>
      </c>
      <c r="AI1397" s="283">
        <f>RTD("money.excel",,$G1397,"PredictVolume")</f>
        <v>198</v>
      </c>
      <c r="AJ1397" s="391">
        <f>IFERROR(VLOOKUP($G1397,基本資料!$A:$M,13,0),"無")</f>
        <v>3331.55</v>
      </c>
      <c r="AR1397" s="245" t="str">
        <f>INDEX(基本資料!N:N,MATCH($G1397,基本資料!A:A,0))</f>
        <v>中</v>
      </c>
    </row>
    <row r="1398" spans="1:44">
      <c r="A1398" s="343">
        <f>IFERROR(VLOOKUP($G1398,基本資料!$A:$J,3,0),"無")</f>
        <v>3.4</v>
      </c>
      <c r="B1398" s="79">
        <f>IFERROR(VLOOKUP($G1398,基本資料!$A:$J,4,0),"無")</f>
        <v>29</v>
      </c>
      <c r="C1398" s="79">
        <f>IFERROR(VLOOKUP($G1398,基本資料!$A:$J,5,0),"無")</f>
        <v>141</v>
      </c>
      <c r="D1398" s="79">
        <f>IFERROR(VLOOKUP($G1398,基本資料!$A:$J,6,0),"無")</f>
        <v>-14</v>
      </c>
      <c r="E1398" s="79">
        <f>IFERROR(VLOOKUP($G1398,基本資料!$A:$J,7,0),"無")</f>
        <v>2</v>
      </c>
      <c r="F1398" s="6">
        <f>IFERROR(VLOOKUP($G1398,基本資料!$A:$J,8,0),"無")</f>
        <v>0.94</v>
      </c>
      <c r="G1398" s="79">
        <v>8906</v>
      </c>
      <c r="H1398" s="8" t="s">
        <v>1959</v>
      </c>
      <c r="I1398" s="16" t="s">
        <v>660</v>
      </c>
      <c r="J1398" s="8" t="str">
        <f>IFERROR(VLOOKUP($G1398,今日總結!$A:$AN,39,0),"")</f>
        <v/>
      </c>
      <c r="K1398" s="5" t="str">
        <f>IFERROR(VLOOKUP($G1398,今日總結!$A:$AN,40,0),"")</f>
        <v/>
      </c>
      <c r="L1398" s="156" t="str">
        <f>IFERROR(VLOOKUP($G1398,今日總結!$A:$AN,37,0),"")</f>
        <v/>
      </c>
      <c r="M1398" s="337" t="str">
        <f>IFERROR(VLOOKUP($G1398,今日總結!$A:$AN,38,0),"")</f>
        <v/>
      </c>
      <c r="N1398" s="240" t="str">
        <f t="shared" si="243"/>
        <v/>
      </c>
      <c r="O1398" s="359">
        <f>IFERROR(VLOOKUP($G1398,融外自投!$A:$J,7,0),"無")</f>
        <v>479</v>
      </c>
      <c r="P1398" s="79" t="str">
        <f>IFERROR(VLOOKUP($G1398,融外自投!$A:$J,9,0),"無")</f>
        <v>無</v>
      </c>
      <c r="Q1398" s="342">
        <f>IFERROR(VLOOKUP($G1398,融外自投!$A:$J,8,0),"無")</f>
        <v>1450</v>
      </c>
      <c r="R1398" s="81">
        <f>IFERROR(VLOOKUP($G1398,融外自投!$A:$J,10,0),"無")</f>
        <v>252</v>
      </c>
      <c r="S1398" s="324" t="str">
        <f>IFERROR(VLOOKUP($G1398,'321買'!$A:$E,4,0),"'沒有資料'")</f>
        <v>'沒有資料'</v>
      </c>
      <c r="T1398" s="186">
        <f>IFERROR(VLOOKUP($G1398,基本資料!$A:$J,9,0),"無")</f>
        <v>0.1</v>
      </c>
      <c r="U1398" s="307">
        <f t="shared" si="242"/>
        <v>5.3191489361702126E-3</v>
      </c>
      <c r="V1398" s="94">
        <f>IFERROR(VLOOKUP($G1398,基本資料!$A:$J,10,0),"無")</f>
        <v>0.1</v>
      </c>
      <c r="W1398" s="36">
        <f>RTD("money.excel",,"8906","Price")</f>
        <v>18.8</v>
      </c>
      <c r="X1398" s="66"/>
      <c r="Y1398" s="15">
        <f t="shared" si="244"/>
        <v>18.8</v>
      </c>
      <c r="Z1398" s="3" t="e">
        <f t="shared" si="245"/>
        <v>#DIV/0!</v>
      </c>
      <c r="AA1398" s="340">
        <f>IFERROR(VLOOKUP($G1398,基本資料!$A:$M,11,0),"無")</f>
        <v>-10.48</v>
      </c>
      <c r="AB1398" s="389">
        <f>IFERROR(VLOOKUP($G1398,基本資料!$A:$M,12,0),"無")</f>
        <v>32.78</v>
      </c>
      <c r="AC1398" s="16" t="s">
        <v>660</v>
      </c>
      <c r="AF1398" s="33">
        <f t="shared" si="246"/>
        <v>0</v>
      </c>
      <c r="AG1398" s="43" t="s">
        <v>2482</v>
      </c>
      <c r="AH1398" s="66">
        <f t="shared" si="236"/>
        <v>0.19607843137254904</v>
      </c>
      <c r="AI1398" s="283">
        <f>RTD("money.excel",,$G1398,"PredictVolume")</f>
        <v>2</v>
      </c>
      <c r="AJ1398" s="391">
        <f>IFERROR(VLOOKUP($G1398,基本資料!$A:$M,13,0),"無")</f>
        <v>10.199999999999999</v>
      </c>
      <c r="AR1398" s="245" t="str">
        <f>INDEX(基本資料!N:N,MATCH($G1398,基本資料!A:A,0))</f>
        <v>高</v>
      </c>
    </row>
    <row r="1399" spans="1:44">
      <c r="A1399" s="343">
        <f>IFERROR(VLOOKUP($G1399,基本資料!$A:$J,3,0),"無")</f>
        <v>13.15</v>
      </c>
      <c r="B1399" s="79">
        <f>IFERROR(VLOOKUP($G1399,基本資料!$A:$J,4,0),"無")</f>
        <v>55</v>
      </c>
      <c r="C1399" s="79">
        <f>IFERROR(VLOOKUP($G1399,基本資料!$A:$J,5,0),"無")</f>
        <v>-50</v>
      </c>
      <c r="D1399" s="79">
        <f>IFERROR(VLOOKUP($G1399,基本資料!$A:$J,6,0),"無")</f>
        <v>-5</v>
      </c>
      <c r="E1399" s="79">
        <f>IFERROR(VLOOKUP($G1399,基本資料!$A:$J,7,0),"無")</f>
        <v>19</v>
      </c>
      <c r="F1399" s="6">
        <f>IFERROR(VLOOKUP($G1399,基本資料!$A:$J,8,0),"無")</f>
        <v>2.33</v>
      </c>
      <c r="G1399" s="79">
        <v>8916</v>
      </c>
      <c r="H1399" s="8" t="s">
        <v>1959</v>
      </c>
      <c r="I1399" s="16" t="s">
        <v>153</v>
      </c>
      <c r="J1399" s="8">
        <f>IFERROR(VLOOKUP($G1399,今日總結!$A:$AN,39,0),"")</f>
        <v>0</v>
      </c>
      <c r="K1399" s="5">
        <f>IFERROR(VLOOKUP($G1399,今日總結!$A:$AN,40,0),"")</f>
        <v>0</v>
      </c>
      <c r="L1399" s="156">
        <f>IFERROR(VLOOKUP($G1399,今日總結!$A:$AN,37,0),"")</f>
        <v>0</v>
      </c>
      <c r="M1399" s="337">
        <f>IFERROR(VLOOKUP($G1399,今日總結!$A:$AN,38,0),"")</f>
        <v>0</v>
      </c>
      <c r="N1399" s="240">
        <f t="shared" si="243"/>
        <v>0</v>
      </c>
      <c r="O1399" s="359">
        <f>IFERROR(VLOOKUP($G1399,融外自投!$A:$J,7,0),"無")</f>
        <v>1242</v>
      </c>
      <c r="P1399" s="79">
        <f>IFERROR(VLOOKUP($G1399,融外自投!$A:$J,9,0),"無")</f>
        <v>717</v>
      </c>
      <c r="Q1399" s="342">
        <f>IFERROR(VLOOKUP($G1399,融外自投!$A:$J,8,0),"無")</f>
        <v>900</v>
      </c>
      <c r="R1399" s="81" t="str">
        <f>IFERROR(VLOOKUP($G1399,融外自投!$A:$J,10,0),"無")</f>
        <v>無</v>
      </c>
      <c r="S1399" s="324">
        <f>IFERROR(VLOOKUP($G1399,'321買'!$A:$E,4,0),"'沒有資料'")</f>
        <v>1002</v>
      </c>
      <c r="T1399" s="186">
        <f>IFERROR(VLOOKUP($G1399,基本資料!$A:$J,9,0),"無")</f>
        <v>3</v>
      </c>
      <c r="U1399" s="307">
        <f t="shared" si="242"/>
        <v>6.9444444444444434E-2</v>
      </c>
      <c r="V1399" s="94">
        <f>IFERROR(VLOOKUP($G1399,基本資料!$A:$J,10,0),"無")</f>
        <v>3.58</v>
      </c>
      <c r="W1399" s="36">
        <f>RTD("money.excel",,"8916","Price")</f>
        <v>43.2</v>
      </c>
      <c r="X1399" s="66"/>
      <c r="Y1399" s="15">
        <f t="shared" si="244"/>
        <v>43.2</v>
      </c>
      <c r="Z1399" s="3" t="e">
        <f t="shared" si="245"/>
        <v>#DIV/0!</v>
      </c>
      <c r="AA1399" s="340">
        <f>IFERROR(VLOOKUP($G1399,基本資料!$A:$M,11,0),"無")</f>
        <v>-2.92</v>
      </c>
      <c r="AB1399" s="389">
        <f>IFERROR(VLOOKUP($G1399,基本資料!$A:$M,12,0),"無")</f>
        <v>55.98</v>
      </c>
      <c r="AC1399" s="16" t="s">
        <v>153</v>
      </c>
      <c r="AF1399" s="33">
        <f t="shared" si="246"/>
        <v>0</v>
      </c>
      <c r="AG1399" s="117" t="s">
        <v>1418</v>
      </c>
      <c r="AH1399" s="66">
        <f t="shared" si="236"/>
        <v>1.7283142389525368</v>
      </c>
      <c r="AI1399" s="283">
        <f>RTD("money.excel",,$G1399,"PredictVolume")</f>
        <v>264</v>
      </c>
      <c r="AJ1399" s="391">
        <f>IFERROR(VLOOKUP($G1399,基本資料!$A:$M,13,0),"無")</f>
        <v>152.75</v>
      </c>
      <c r="AR1399" s="245" t="str">
        <f>INDEX(基本資料!N:N,MATCH($G1399,基本資料!A:A,0))</f>
        <v>高</v>
      </c>
    </row>
    <row r="1400" spans="1:44">
      <c r="A1400" s="343">
        <f>IFERROR(VLOOKUP($G1400,基本資料!$A:$J,3,0),"無")</f>
        <v>4.6500000000000004</v>
      </c>
      <c r="B1400" s="79">
        <f>IFERROR(VLOOKUP($G1400,基本資料!$A:$J,4,0),"無")</f>
        <v>-24</v>
      </c>
      <c r="C1400" s="79">
        <f>IFERROR(VLOOKUP($G1400,基本資料!$A:$J,5,0),"無")</f>
        <v>-99</v>
      </c>
      <c r="D1400" s="79">
        <f>IFERROR(VLOOKUP($G1400,基本資料!$A:$J,6,0),"無")</f>
        <v>-1</v>
      </c>
      <c r="E1400" s="79">
        <f>IFERROR(VLOOKUP($G1400,基本資料!$A:$J,7,0),"無")</f>
        <v>22</v>
      </c>
      <c r="F1400" s="6">
        <f>IFERROR(VLOOKUP($G1400,基本資料!$A:$J,8,0),"無")</f>
        <v>0.01</v>
      </c>
      <c r="G1400" s="79">
        <v>8921</v>
      </c>
      <c r="H1400" s="8" t="s">
        <v>1959</v>
      </c>
      <c r="I1400" s="16" t="s">
        <v>661</v>
      </c>
      <c r="J1400" s="8" t="str">
        <f>IFERROR(VLOOKUP($G1400,今日總結!$A:$AN,39,0),"")</f>
        <v/>
      </c>
      <c r="K1400" s="5" t="str">
        <f>IFERROR(VLOOKUP($G1400,今日總結!$A:$AN,40,0),"")</f>
        <v/>
      </c>
      <c r="L1400" s="156" t="str">
        <f>IFERROR(VLOOKUP($G1400,今日總結!$A:$AN,37,0),"")</f>
        <v/>
      </c>
      <c r="M1400" s="337" t="str">
        <f>IFERROR(VLOOKUP($G1400,今日總結!$A:$AN,38,0),"")</f>
        <v/>
      </c>
      <c r="N1400" s="240" t="str">
        <f t="shared" si="243"/>
        <v/>
      </c>
      <c r="O1400" s="359" t="str">
        <f>IFERROR(VLOOKUP($G1400,融外自投!$A:$J,7,0),"無")</f>
        <v>無</v>
      </c>
      <c r="P1400" s="79" t="str">
        <f>IFERROR(VLOOKUP($G1400,融外自投!$A:$J,9,0),"無")</f>
        <v>無</v>
      </c>
      <c r="Q1400" s="342" t="str">
        <f>IFERROR(VLOOKUP($G1400,融外自投!$A:$J,8,0),"無")</f>
        <v>無</v>
      </c>
      <c r="R1400" s="81" t="str">
        <f>IFERROR(VLOOKUP($G1400,融外自投!$A:$J,10,0),"無")</f>
        <v>無</v>
      </c>
      <c r="S1400" s="324" t="str">
        <f>IFERROR(VLOOKUP($G1400,'321買'!$A:$E,4,0),"'沒有資料'")</f>
        <v>'沒有資料'</v>
      </c>
      <c r="T1400" s="186">
        <f>IFERROR(VLOOKUP($G1400,基本資料!$A:$J,9,0),"無")</f>
        <v>0.45</v>
      </c>
      <c r="U1400" s="307" t="e">
        <f t="shared" si="242"/>
        <v>#VALUE!</v>
      </c>
      <c r="V1400" s="94">
        <f>IFERROR(VLOOKUP($G1400,基本資料!$A:$J,10,0),"無")</f>
        <v>0.31</v>
      </c>
      <c r="W1400" s="36" t="str">
        <f>RTD("money.excel",,"8921","Price")</f>
        <v>無資料</v>
      </c>
      <c r="X1400" s="66"/>
      <c r="Y1400" s="15" t="e">
        <f t="shared" si="244"/>
        <v>#VALUE!</v>
      </c>
      <c r="Z1400" s="3" t="e">
        <f t="shared" si="245"/>
        <v>#VALUE!</v>
      </c>
      <c r="AA1400" s="340">
        <f>IFERROR(VLOOKUP($G1400,基本資料!$A:$M,11,0),"無")</f>
        <v>-7.42</v>
      </c>
      <c r="AB1400" s="389">
        <f>IFERROR(VLOOKUP($G1400,基本資料!$A:$M,12,0),"無")</f>
        <v>68.06</v>
      </c>
      <c r="AC1400" s="16" t="s">
        <v>661</v>
      </c>
      <c r="AF1400" s="33">
        <f t="shared" si="246"/>
        <v>0</v>
      </c>
      <c r="AG1400" s="43" t="s">
        <v>2483</v>
      </c>
      <c r="AH1400" s="66">
        <f t="shared" si="236"/>
        <v>0</v>
      </c>
      <c r="AI1400" s="283">
        <f>RTD("money.excel",,$G1400,"PredictVolume")</f>
        <v>0</v>
      </c>
      <c r="AJ1400" s="391">
        <f>IFERROR(VLOOKUP($G1400,基本資料!$A:$M,13,0),"無")</f>
        <v>7.95</v>
      </c>
      <c r="AR1400" s="245" t="str">
        <f>INDEX(基本資料!N:N,MATCH($G1400,基本資料!A:A,0))</f>
        <v>中</v>
      </c>
    </row>
    <row r="1401" spans="1:44">
      <c r="A1401" s="343">
        <f>IFERROR(VLOOKUP($G1401,基本資料!$A:$J,3,0),"無")</f>
        <v>8.3800000000000008</v>
      </c>
      <c r="B1401" s="79">
        <f>IFERROR(VLOOKUP($G1401,基本資料!$A:$J,4,0),"無")</f>
        <v>252</v>
      </c>
      <c r="C1401" s="79">
        <f>IFERROR(VLOOKUP($G1401,基本資料!$A:$J,5,0),"無")</f>
        <v>192</v>
      </c>
      <c r="D1401" s="79">
        <f>IFERROR(VLOOKUP($G1401,基本資料!$A:$J,6,0),"無")</f>
        <v>4</v>
      </c>
      <c r="E1401" s="79">
        <f>IFERROR(VLOOKUP($G1401,基本資料!$A:$J,7,0),"無")</f>
        <v>21</v>
      </c>
      <c r="F1401" s="6">
        <f>IFERROR(VLOOKUP($G1401,基本資料!$A:$J,8,0),"無")</f>
        <v>25.36</v>
      </c>
      <c r="G1401" s="79">
        <v>8924</v>
      </c>
      <c r="H1401" s="8" t="s">
        <v>1959</v>
      </c>
      <c r="I1401" s="16" t="s">
        <v>662</v>
      </c>
      <c r="J1401" s="8">
        <f>IFERROR(VLOOKUP($G1401,今日總結!$A:$AN,39,0),"")</f>
        <v>0</v>
      </c>
      <c r="K1401" s="5" t="str">
        <f>IFERROR(VLOOKUP($G1401,今日總結!$A:$AN,40,0),"")</f>
        <v>主</v>
      </c>
      <c r="L1401" s="156">
        <f>IFERROR(VLOOKUP($G1401,今日總結!$A:$AN,37,0),"")</f>
        <v>0</v>
      </c>
      <c r="M1401" s="337">
        <f>IFERROR(VLOOKUP($G1401,今日總結!$A:$AN,38,0),"")</f>
        <v>2</v>
      </c>
      <c r="N1401" s="240">
        <f t="shared" si="243"/>
        <v>-2</v>
      </c>
      <c r="O1401" s="359">
        <f>IFERROR(VLOOKUP($G1401,融外自投!$A:$J,7,0),"無")</f>
        <v>469</v>
      </c>
      <c r="P1401" s="79">
        <f>IFERROR(VLOOKUP($G1401,融外自投!$A:$J,9,0),"無")</f>
        <v>132</v>
      </c>
      <c r="Q1401" s="342">
        <f>IFERROR(VLOOKUP($G1401,融外自投!$A:$J,8,0),"無")</f>
        <v>928</v>
      </c>
      <c r="R1401" s="81">
        <f>IFERROR(VLOOKUP($G1401,融外自投!$A:$J,10,0),"無")</f>
        <v>87</v>
      </c>
      <c r="S1401" s="324">
        <f>IFERROR(VLOOKUP($G1401,'321買'!$A:$E,4,0),"'沒有資料'")</f>
        <v>202</v>
      </c>
      <c r="T1401" s="186">
        <f>IFERROR(VLOOKUP($G1401,基本資料!$A:$J,9,0),"無")</f>
        <v>13.7</v>
      </c>
      <c r="U1401" s="307">
        <f t="shared" si="242"/>
        <v>0.10620155038759689</v>
      </c>
      <c r="V1401" s="94">
        <f>IFERROR(VLOOKUP($G1401,基本資料!$A:$J,10,0),"無")</f>
        <v>20.149999999999999</v>
      </c>
      <c r="W1401" s="36">
        <f>RTD("money.excel",,"8924","Price")</f>
        <v>129</v>
      </c>
      <c r="X1401" s="66"/>
      <c r="Y1401" s="15">
        <f t="shared" si="244"/>
        <v>129</v>
      </c>
      <c r="Z1401" s="3" t="e">
        <f t="shared" si="245"/>
        <v>#DIV/0!</v>
      </c>
      <c r="AA1401" s="340">
        <f>IFERROR(VLOOKUP($G1401,基本資料!$A:$M,11,0),"無")</f>
        <v>-30.83</v>
      </c>
      <c r="AB1401" s="389">
        <f>IFERROR(VLOOKUP($G1401,基本資料!$A:$M,12,0),"無")</f>
        <v>18.28</v>
      </c>
      <c r="AC1401" s="16" t="s">
        <v>662</v>
      </c>
      <c r="AF1401" s="33">
        <f t="shared" si="246"/>
        <v>0</v>
      </c>
      <c r="AG1401" s="43" t="s">
        <v>3059</v>
      </c>
      <c r="AH1401" s="66">
        <f t="shared" si="236"/>
        <v>1.1773818745158791</v>
      </c>
      <c r="AI1401" s="283">
        <f>RTD("money.excel",,$G1401,"PredictVolume")</f>
        <v>532</v>
      </c>
      <c r="AJ1401" s="391">
        <f>IFERROR(VLOOKUP($G1401,基本資料!$A:$M,13,0),"無")</f>
        <v>451.85</v>
      </c>
      <c r="AR1401" s="245" t="str">
        <f>INDEX(基本資料!N:N,MATCH($G1401,基本資料!A:A,0))</f>
        <v>低</v>
      </c>
    </row>
    <row r="1402" spans="1:44">
      <c r="A1402" s="343">
        <f>IFERROR(VLOOKUP($G1402,基本資料!$A:$J,3,0),"無")</f>
        <v>5.08</v>
      </c>
      <c r="B1402" s="79">
        <f>IFERROR(VLOOKUP($G1402,基本資料!$A:$J,4,0),"無")</f>
        <v>87</v>
      </c>
      <c r="C1402" s="79">
        <f>IFERROR(VLOOKUP($G1402,基本資料!$A:$J,5,0),"無")</f>
        <v>112</v>
      </c>
      <c r="D1402" s="79">
        <f>IFERROR(VLOOKUP($G1402,基本資料!$A:$J,6,0),"無")</f>
        <v>25</v>
      </c>
      <c r="E1402" s="79">
        <f>IFERROR(VLOOKUP($G1402,基本資料!$A:$J,7,0),"無")</f>
        <v>46</v>
      </c>
      <c r="F1402" s="6">
        <f>IFERROR(VLOOKUP($G1402,基本資料!$A:$J,8,0),"無")</f>
        <v>10.14</v>
      </c>
      <c r="G1402" s="79">
        <v>8928</v>
      </c>
      <c r="H1402" s="8" t="s">
        <v>1959</v>
      </c>
      <c r="I1402" s="16" t="s">
        <v>663</v>
      </c>
      <c r="J1402" s="8" t="str">
        <f>IFERROR(VLOOKUP($G1402,今日總結!$A:$AN,39,0),"")</f>
        <v>2主融</v>
      </c>
      <c r="K1402" s="5">
        <f>IFERROR(VLOOKUP($G1402,今日總結!$A:$AN,40,0),"")</f>
        <v>0</v>
      </c>
      <c r="L1402" s="156">
        <f>IFERROR(VLOOKUP($G1402,今日總結!$A:$AN,37,0),"")</f>
        <v>10</v>
      </c>
      <c r="M1402" s="337">
        <f>IFERROR(VLOOKUP($G1402,今日總結!$A:$AN,38,0),"")</f>
        <v>0</v>
      </c>
      <c r="N1402" s="240">
        <f t="shared" si="243"/>
        <v>10</v>
      </c>
      <c r="O1402" s="359">
        <f>IFERROR(VLOOKUP($G1402,融外自投!$A:$J,7,0),"無")</f>
        <v>91</v>
      </c>
      <c r="P1402" s="79" t="str">
        <f>IFERROR(VLOOKUP($G1402,融外自投!$A:$J,9,0),"無")</f>
        <v>無</v>
      </c>
      <c r="Q1402" s="342">
        <f>IFERROR(VLOOKUP($G1402,融外自投!$A:$J,8,0),"無")</f>
        <v>1174</v>
      </c>
      <c r="R1402" s="81">
        <f>IFERROR(VLOOKUP($G1402,融外自投!$A:$J,10,0),"無")</f>
        <v>238</v>
      </c>
      <c r="S1402" s="324">
        <f>IFERROR(VLOOKUP($G1402,'321買'!$A:$E,4,0),"'沒有資料'")</f>
        <v>606</v>
      </c>
      <c r="T1402" s="186">
        <f>IFERROR(VLOOKUP($G1402,基本資料!$A:$J,9,0),"無")</f>
        <v>2.5</v>
      </c>
      <c r="U1402" s="307">
        <f t="shared" si="242"/>
        <v>5.2966101694915252E-2</v>
      </c>
      <c r="V1402" s="94">
        <f>IFERROR(VLOOKUP($G1402,基本資料!$A:$J,10,0),"無")</f>
        <v>4.7</v>
      </c>
      <c r="W1402" s="36">
        <f>RTD("money.excel",,"8928","Price")</f>
        <v>47.2</v>
      </c>
      <c r="X1402" s="66"/>
      <c r="Y1402" s="15">
        <f t="shared" si="244"/>
        <v>47.2</v>
      </c>
      <c r="Z1402" s="3" t="e">
        <f t="shared" si="245"/>
        <v>#DIV/0!</v>
      </c>
      <c r="AA1402" s="340">
        <f>IFERROR(VLOOKUP($G1402,基本資料!$A:$M,11,0),"無")</f>
        <v>-1.67</v>
      </c>
      <c r="AB1402" s="389">
        <f>IFERROR(VLOOKUP($G1402,基本資料!$A:$M,12,0),"無")</f>
        <v>84.58</v>
      </c>
      <c r="AC1402" s="16" t="s">
        <v>663</v>
      </c>
      <c r="AF1402" s="33">
        <f t="shared" si="246"/>
        <v>0</v>
      </c>
      <c r="AG1402" s="43" t="s">
        <v>3059</v>
      </c>
      <c r="AH1402" s="66">
        <f t="shared" si="236"/>
        <v>2.9217799594493652</v>
      </c>
      <c r="AI1402" s="283">
        <f>RTD("money.excel",,$G1402,"PredictVolume")</f>
        <v>5476</v>
      </c>
      <c r="AJ1402" s="391">
        <f>IFERROR(VLOOKUP($G1402,基本資料!$A:$M,13,0),"無")</f>
        <v>1874.2</v>
      </c>
      <c r="AR1402" s="245" t="str">
        <f>INDEX(基本資料!N:N,MATCH($G1402,基本資料!A:A,0))</f>
        <v>高</v>
      </c>
    </row>
    <row r="1403" spans="1:44">
      <c r="A1403" s="343">
        <f>IFERROR(VLOOKUP($G1403,基本資料!$A:$J,3,0),"無")</f>
        <v>5.05</v>
      </c>
      <c r="B1403" s="79">
        <f>IFERROR(VLOOKUP($G1403,基本資料!$A:$J,4,0),"無")</f>
        <v>-484</v>
      </c>
      <c r="C1403" s="79">
        <f>IFERROR(VLOOKUP($G1403,基本資料!$A:$J,5,0),"無")</f>
        <v>-296</v>
      </c>
      <c r="D1403" s="79">
        <f>IFERROR(VLOOKUP($G1403,基本資料!$A:$J,6,0),"無")</f>
        <v>-8</v>
      </c>
      <c r="E1403" s="79">
        <f>IFERROR(VLOOKUP($G1403,基本資料!$A:$J,7,0),"無")</f>
        <v>-14</v>
      </c>
      <c r="F1403" s="6">
        <f>IFERROR(VLOOKUP($G1403,基本資料!$A:$J,8,0),"無")</f>
        <v>-8.27</v>
      </c>
      <c r="G1403" s="79">
        <v>8929</v>
      </c>
      <c r="H1403" s="8" t="s">
        <v>1959</v>
      </c>
      <c r="I1403" s="16" t="s">
        <v>664</v>
      </c>
      <c r="J1403" s="8">
        <f>IFERROR(VLOOKUP($G1403,今日總結!$A:$AN,39,0),"")</f>
        <v>0</v>
      </c>
      <c r="K1403" s="5" t="str">
        <f>IFERROR(VLOOKUP($G1403,今日總結!$A:$AN,40,0),"")</f>
        <v>主</v>
      </c>
      <c r="L1403" s="156">
        <f>IFERROR(VLOOKUP($G1403,今日總結!$A:$AN,37,0),"")</f>
        <v>0</v>
      </c>
      <c r="M1403" s="337">
        <f>IFERROR(VLOOKUP($G1403,今日總結!$A:$AN,38,0),"")</f>
        <v>5</v>
      </c>
      <c r="N1403" s="240">
        <f t="shared" si="243"/>
        <v>-5</v>
      </c>
      <c r="O1403" s="359">
        <f>IFERROR(VLOOKUP($G1403,融外自投!$A:$J,7,0),"無")</f>
        <v>1179</v>
      </c>
      <c r="P1403" s="79" t="str">
        <f>IFERROR(VLOOKUP($G1403,融外自投!$A:$J,9,0),"無")</f>
        <v>無</v>
      </c>
      <c r="Q1403" s="342">
        <f>IFERROR(VLOOKUP($G1403,融外自投!$A:$J,8,0),"無")</f>
        <v>1413</v>
      </c>
      <c r="R1403" s="81" t="str">
        <f>IFERROR(VLOOKUP($G1403,融外自投!$A:$J,10,0),"無")</f>
        <v>無</v>
      </c>
      <c r="S1403" s="324">
        <f>IFERROR(VLOOKUP($G1403,'321買'!$A:$E,4,0),"'沒有資料'")</f>
        <v>1002</v>
      </c>
      <c r="T1403" s="186">
        <f>IFERROR(VLOOKUP($G1403,基本資料!$A:$J,9,0),"無")</f>
        <v>0</v>
      </c>
      <c r="U1403" s="307">
        <f t="shared" si="242"/>
        <v>0</v>
      </c>
      <c r="V1403" s="94">
        <f>IFERROR(VLOOKUP($G1403,基本資料!$A:$J,10,0),"無")</f>
        <v>-1.32</v>
      </c>
      <c r="W1403" s="36">
        <f>RTD("money.excel",,"8929","Price")</f>
        <v>20.350000000000001</v>
      </c>
      <c r="X1403" s="66"/>
      <c r="Y1403" s="15">
        <f t="shared" si="244"/>
        <v>20.350000000000001</v>
      </c>
      <c r="Z1403" s="3" t="e">
        <f t="shared" si="245"/>
        <v>#DIV/0!</v>
      </c>
      <c r="AA1403" s="340">
        <f>IFERROR(VLOOKUP($G1403,基本資料!$A:$M,11,0),"無")</f>
        <v>-19.09</v>
      </c>
      <c r="AB1403" s="389">
        <f>IFERROR(VLOOKUP($G1403,基本資料!$A:$M,12,0),"無")</f>
        <v>26.22</v>
      </c>
      <c r="AC1403" s="16" t="s">
        <v>664</v>
      </c>
      <c r="AF1403" s="33">
        <f t="shared" si="246"/>
        <v>0</v>
      </c>
      <c r="AG1403" s="43" t="s">
        <v>2484</v>
      </c>
      <c r="AH1403" s="66">
        <f t="shared" si="236"/>
        <v>0.1951219512195122</v>
      </c>
      <c r="AI1403" s="283">
        <f>RTD("money.excel",,$G1403,"PredictVolume")</f>
        <v>6</v>
      </c>
      <c r="AJ1403" s="391">
        <f>IFERROR(VLOOKUP($G1403,基本資料!$A:$M,13,0),"無")</f>
        <v>30.75</v>
      </c>
      <c r="AR1403" s="245" t="str">
        <f>INDEX(基本資料!N:N,MATCH($G1403,基本資料!A:A,0))</f>
        <v>低</v>
      </c>
    </row>
    <row r="1404" spans="1:44">
      <c r="A1404" s="343">
        <f>IFERROR(VLOOKUP($G1404,基本資料!$A:$J,3,0),"無")</f>
        <v>6.02</v>
      </c>
      <c r="B1404" s="79">
        <f>IFERROR(VLOOKUP($G1404,基本資料!$A:$J,4,0),"無")</f>
        <v>-37</v>
      </c>
      <c r="C1404" s="79">
        <f>IFERROR(VLOOKUP($G1404,基本資料!$A:$J,5,0),"無")</f>
        <v>7</v>
      </c>
      <c r="D1404" s="79">
        <f>IFERROR(VLOOKUP($G1404,基本資料!$A:$J,6,0),"無")</f>
        <v>-49</v>
      </c>
      <c r="E1404" s="79">
        <f>IFERROR(VLOOKUP($G1404,基本資料!$A:$J,7,0),"無")</f>
        <v>-44</v>
      </c>
      <c r="F1404" s="6">
        <f>IFERROR(VLOOKUP($G1404,基本資料!$A:$J,8,0),"無")</f>
        <v>-4.7699999999999996</v>
      </c>
      <c r="G1404" s="79">
        <v>8932</v>
      </c>
      <c r="H1404" s="8" t="s">
        <v>1959</v>
      </c>
      <c r="I1404" s="16" t="s">
        <v>665</v>
      </c>
      <c r="J1404" s="8">
        <f>IFERROR(VLOOKUP($G1404,今日總結!$A:$AN,39,0),"")</f>
        <v>0</v>
      </c>
      <c r="K1404" s="5">
        <f>IFERROR(VLOOKUP($G1404,今日總結!$A:$AN,40,0),"")</f>
        <v>0</v>
      </c>
      <c r="L1404" s="156">
        <f>IFERROR(VLOOKUP($G1404,今日總結!$A:$AN,37,0),"")</f>
        <v>0</v>
      </c>
      <c r="M1404" s="337">
        <f>IFERROR(VLOOKUP($G1404,今日總結!$A:$AN,38,0),"")</f>
        <v>0</v>
      </c>
      <c r="N1404" s="240">
        <f t="shared" si="243"/>
        <v>0</v>
      </c>
      <c r="O1404" s="359">
        <f>IFERROR(VLOOKUP($G1404,融外自投!$A:$J,7,0),"無")</f>
        <v>634</v>
      </c>
      <c r="P1404" s="79" t="str">
        <f>IFERROR(VLOOKUP($G1404,融外自投!$A:$J,9,0),"無")</f>
        <v>無</v>
      </c>
      <c r="Q1404" s="342">
        <f>IFERROR(VLOOKUP($G1404,融外自投!$A:$J,8,0),"無")</f>
        <v>384</v>
      </c>
      <c r="R1404" s="81" t="str">
        <f>IFERROR(VLOOKUP($G1404,融外自投!$A:$J,10,0),"無")</f>
        <v>無</v>
      </c>
      <c r="S1404" s="324">
        <f>IFERROR(VLOOKUP($G1404,'321買'!$A:$E,4,0),"'沒有資料'")</f>
        <v>891</v>
      </c>
      <c r="T1404" s="186">
        <f>IFERROR(VLOOKUP($G1404,基本資料!$A:$J,9,0),"無")</f>
        <v>0</v>
      </c>
      <c r="U1404" s="307">
        <f t="shared" si="242"/>
        <v>0</v>
      </c>
      <c r="V1404" s="94">
        <f>IFERROR(VLOOKUP($G1404,基本資料!$A:$J,10,0),"無")</f>
        <v>-1.21</v>
      </c>
      <c r="W1404" s="36">
        <f>RTD("money.excel",,"8932","Price")</f>
        <v>26.25</v>
      </c>
      <c r="X1404" s="66"/>
      <c r="Y1404" s="15">
        <f t="shared" si="244"/>
        <v>26.25</v>
      </c>
      <c r="Z1404" s="3" t="e">
        <f t="shared" si="245"/>
        <v>#DIV/0!</v>
      </c>
      <c r="AA1404" s="340">
        <f>IFERROR(VLOOKUP($G1404,基本資料!$A:$M,11,0),"無")</f>
        <v>-7.89</v>
      </c>
      <c r="AB1404" s="389">
        <f>IFERROR(VLOOKUP($G1404,基本資料!$A:$M,12,0),"無")</f>
        <v>64.84</v>
      </c>
      <c r="AC1404" s="16" t="s">
        <v>665</v>
      </c>
      <c r="AF1404" s="33">
        <f t="shared" si="246"/>
        <v>0</v>
      </c>
      <c r="AG1404" s="43" t="s">
        <v>2485</v>
      </c>
      <c r="AH1404" s="66">
        <f t="shared" si="236"/>
        <v>3.0864197530864199E-2</v>
      </c>
      <c r="AI1404" s="283">
        <f>RTD("money.excel",,$G1404,"PredictVolume")</f>
        <v>2</v>
      </c>
      <c r="AJ1404" s="391">
        <f>IFERROR(VLOOKUP($G1404,基本資料!$A:$M,13,0),"無")</f>
        <v>64.8</v>
      </c>
      <c r="AR1404" s="245" t="str">
        <f>INDEX(基本資料!N:N,MATCH($G1404,基本資料!A:A,0))</f>
        <v>高</v>
      </c>
    </row>
    <row r="1405" spans="1:44">
      <c r="A1405" s="343">
        <f>IFERROR(VLOOKUP($G1405,基本資料!$A:$J,3,0),"無")</f>
        <v>30.13</v>
      </c>
      <c r="B1405" s="79">
        <f>IFERROR(VLOOKUP($G1405,基本資料!$A:$J,4,0),"無")</f>
        <v>640</v>
      </c>
      <c r="C1405" s="79">
        <f>IFERROR(VLOOKUP($G1405,基本資料!$A:$J,5,0),"無")</f>
        <v>1602</v>
      </c>
      <c r="D1405" s="79">
        <f>IFERROR(VLOOKUP($G1405,基本資料!$A:$J,6,0),"無")</f>
        <v>-10</v>
      </c>
      <c r="E1405" s="79">
        <f>IFERROR(VLOOKUP($G1405,基本資料!$A:$J,7,0),"無")</f>
        <v>30</v>
      </c>
      <c r="F1405" s="6">
        <f>IFERROR(VLOOKUP($G1405,基本資料!$A:$J,8,0),"無")</f>
        <v>2.77</v>
      </c>
      <c r="G1405" s="79">
        <v>8933</v>
      </c>
      <c r="H1405" s="8" t="s">
        <v>1959</v>
      </c>
      <c r="I1405" s="16" t="s">
        <v>666</v>
      </c>
      <c r="J1405" s="8">
        <f>IFERROR(VLOOKUP($G1405,今日總結!$A:$AN,39,0),"")</f>
        <v>0</v>
      </c>
      <c r="K1405" s="5">
        <f>IFERROR(VLOOKUP($G1405,今日總結!$A:$AN,40,0),"")</f>
        <v>0</v>
      </c>
      <c r="L1405" s="156">
        <f>IFERROR(VLOOKUP($G1405,今日總結!$A:$AN,37,0),"")</f>
        <v>0</v>
      </c>
      <c r="M1405" s="337">
        <f>IFERROR(VLOOKUP($G1405,今日總結!$A:$AN,38,0),"")</f>
        <v>0</v>
      </c>
      <c r="N1405" s="240">
        <f t="shared" si="243"/>
        <v>0</v>
      </c>
      <c r="O1405" s="359" t="str">
        <f>IFERROR(VLOOKUP($G1405,融外自投!$A:$J,7,0),"無")</f>
        <v>無</v>
      </c>
      <c r="P1405" s="79" t="str">
        <f>IFERROR(VLOOKUP($G1405,融外自投!$A:$J,9,0),"無")</f>
        <v>無</v>
      </c>
      <c r="Q1405" s="342" t="str">
        <f>IFERROR(VLOOKUP($G1405,融外自投!$A:$J,8,0),"無")</f>
        <v>無</v>
      </c>
      <c r="R1405" s="81" t="str">
        <f>IFERROR(VLOOKUP($G1405,融外自投!$A:$J,10,0),"無")</f>
        <v>無</v>
      </c>
      <c r="S1405" s="324">
        <f>IFERROR(VLOOKUP($G1405,'321買'!$A:$E,4,0),"'沒有資料'")</f>
        <v>1002</v>
      </c>
      <c r="T1405" s="186">
        <f>IFERROR(VLOOKUP($G1405,基本資料!$A:$J,9,0),"無")</f>
        <v>0</v>
      </c>
      <c r="U1405" s="307">
        <f t="shared" si="242"/>
        <v>0</v>
      </c>
      <c r="V1405" s="94">
        <f>IFERROR(VLOOKUP($G1405,基本資料!$A:$J,10,0),"無")</f>
        <v>0.28999999999999998</v>
      </c>
      <c r="W1405" s="36">
        <f>RTD("money.excel",,"8933","Price")</f>
        <v>11.6</v>
      </c>
      <c r="X1405" s="66"/>
      <c r="Y1405" s="15">
        <f t="shared" si="244"/>
        <v>11.6</v>
      </c>
      <c r="Z1405" s="3" t="e">
        <f t="shared" si="245"/>
        <v>#DIV/0!</v>
      </c>
      <c r="AA1405" s="340">
        <f>IFERROR(VLOOKUP($G1405,基本資料!$A:$M,11,0),"無")</f>
        <v>-18.02</v>
      </c>
      <c r="AB1405" s="389">
        <f>IFERROR(VLOOKUP($G1405,基本資料!$A:$M,12,0),"無")</f>
        <v>12.42</v>
      </c>
      <c r="AC1405" s="16" t="s">
        <v>666</v>
      </c>
      <c r="AF1405" s="33">
        <f t="shared" si="246"/>
        <v>0</v>
      </c>
      <c r="AG1405" s="43" t="s">
        <v>2371</v>
      </c>
      <c r="AH1405" s="66">
        <f t="shared" si="236"/>
        <v>0.69656073138876795</v>
      </c>
      <c r="AI1405" s="283">
        <f>RTD("money.excel",,$G1405,"PredictVolume")</f>
        <v>240</v>
      </c>
      <c r="AJ1405" s="391">
        <f>IFERROR(VLOOKUP($G1405,基本資料!$A:$M,13,0),"無")</f>
        <v>344.55</v>
      </c>
      <c r="AR1405" s="245" t="str">
        <f>INDEX(基本資料!N:N,MATCH($G1405,基本資料!A:A,0))</f>
        <v>中</v>
      </c>
    </row>
    <row r="1406" spans="1:44">
      <c r="A1406" s="343">
        <f>IFERROR(VLOOKUP($G1406,基本資料!$A:$J,3,0),"無")</f>
        <v>8.43</v>
      </c>
      <c r="B1406" s="79">
        <f>IFERROR(VLOOKUP($G1406,基本資料!$A:$J,4,0),"無")</f>
        <v>288</v>
      </c>
      <c r="C1406" s="79">
        <f>IFERROR(VLOOKUP($G1406,基本資料!$A:$J,5,0),"無")</f>
        <v>575</v>
      </c>
      <c r="D1406" s="79">
        <f>IFERROR(VLOOKUP($G1406,基本資料!$A:$J,6,0),"無")</f>
        <v>28</v>
      </c>
      <c r="E1406" s="79">
        <f>IFERROR(VLOOKUP($G1406,基本資料!$A:$J,7,0),"無")</f>
        <v>-8</v>
      </c>
      <c r="F1406" s="6">
        <f>IFERROR(VLOOKUP($G1406,基本資料!$A:$J,8,0),"無")</f>
        <v>3.29</v>
      </c>
      <c r="G1406" s="79">
        <v>8935</v>
      </c>
      <c r="H1406" s="8" t="s">
        <v>1959</v>
      </c>
      <c r="I1406" s="16" t="s">
        <v>667</v>
      </c>
      <c r="J1406" s="8" t="str">
        <f>IFERROR(VLOOKUP($G1406,今日總結!$A:$AN,39,0),"")</f>
        <v/>
      </c>
      <c r="K1406" s="5" t="str">
        <f>IFERROR(VLOOKUP($G1406,今日總結!$A:$AN,40,0),"")</f>
        <v/>
      </c>
      <c r="L1406" s="156" t="str">
        <f>IFERROR(VLOOKUP($G1406,今日總結!$A:$AN,37,0),"")</f>
        <v/>
      </c>
      <c r="M1406" s="337" t="str">
        <f>IFERROR(VLOOKUP($G1406,今日總結!$A:$AN,38,0),"")</f>
        <v/>
      </c>
      <c r="N1406" s="240" t="str">
        <f t="shared" si="243"/>
        <v/>
      </c>
      <c r="O1406" s="359" t="str">
        <f>IFERROR(VLOOKUP($G1406,融外自投!$A:$J,7,0),"無")</f>
        <v>無</v>
      </c>
      <c r="P1406" s="79" t="str">
        <f>IFERROR(VLOOKUP($G1406,融外自投!$A:$J,9,0),"無")</f>
        <v>無</v>
      </c>
      <c r="Q1406" s="342" t="str">
        <f>IFERROR(VLOOKUP($G1406,融外自投!$A:$J,8,0),"無")</f>
        <v>無</v>
      </c>
      <c r="R1406" s="81" t="str">
        <f>IFERROR(VLOOKUP($G1406,融外自投!$A:$J,10,0),"無")</f>
        <v>無</v>
      </c>
      <c r="S1406" s="324" t="str">
        <f>IFERROR(VLOOKUP($G1406,'321買'!$A:$E,4,0),"'沒有資料'")</f>
        <v>'沒有資料'</v>
      </c>
      <c r="T1406" s="186">
        <f>IFERROR(VLOOKUP($G1406,基本資料!$A:$J,9,0),"無")</f>
        <v>0</v>
      </c>
      <c r="U1406" s="307">
        <f t="shared" si="242"/>
        <v>0</v>
      </c>
      <c r="V1406" s="94">
        <f>IFERROR(VLOOKUP($G1406,基本資料!$A:$J,10,0),"無")</f>
        <v>0.52</v>
      </c>
      <c r="W1406" s="36">
        <f>RTD("money.excel",,"8935","Price")</f>
        <v>13.35</v>
      </c>
      <c r="X1406" s="66"/>
      <c r="Y1406" s="15">
        <f t="shared" si="244"/>
        <v>13.35</v>
      </c>
      <c r="Z1406" s="3" t="e">
        <f t="shared" si="245"/>
        <v>#DIV/0!</v>
      </c>
      <c r="AA1406" s="340">
        <f>IFERROR(VLOOKUP($G1406,基本資料!$A:$M,11,0),"無")</f>
        <v>-29.92</v>
      </c>
      <c r="AB1406" s="389">
        <f>IFERROR(VLOOKUP($G1406,基本資料!$A:$M,12,0),"無")</f>
        <v>18.09</v>
      </c>
      <c r="AC1406" s="16" t="s">
        <v>667</v>
      </c>
      <c r="AF1406" s="33">
        <f t="shared" si="246"/>
        <v>0</v>
      </c>
      <c r="AG1406" s="43" t="s">
        <v>2486</v>
      </c>
      <c r="AH1406" s="66">
        <f t="shared" si="236"/>
        <v>0.72965388213283433</v>
      </c>
      <c r="AI1406" s="283">
        <f>RTD("money.excel",,$G1406,"PredictVolume")</f>
        <v>39</v>
      </c>
      <c r="AJ1406" s="391">
        <f>IFERROR(VLOOKUP($G1406,基本資料!$A:$M,13,0),"無")</f>
        <v>53.45</v>
      </c>
      <c r="AR1406" s="245" t="str">
        <f>INDEX(基本資料!N:N,MATCH($G1406,基本資料!A:A,0))</f>
        <v>低</v>
      </c>
    </row>
    <row r="1407" spans="1:44">
      <c r="A1407" s="343">
        <f>IFERROR(VLOOKUP($G1407,基本資料!$A:$J,3,0),"無")</f>
        <v>24.8</v>
      </c>
      <c r="B1407" s="79">
        <f>IFERROR(VLOOKUP($G1407,基本資料!$A:$J,4,0),"無")</f>
        <v>184</v>
      </c>
      <c r="C1407" s="79">
        <f>IFERROR(VLOOKUP($G1407,基本資料!$A:$J,5,0),"無")</f>
        <v>62</v>
      </c>
      <c r="D1407" s="79">
        <f>IFERROR(VLOOKUP($G1407,基本資料!$A:$J,6,0),"無")</f>
        <v>20</v>
      </c>
      <c r="E1407" s="79">
        <f>IFERROR(VLOOKUP($G1407,基本資料!$A:$J,7,0),"無")</f>
        <v>18</v>
      </c>
      <c r="F1407" s="6">
        <f>IFERROR(VLOOKUP($G1407,基本資料!$A:$J,8,0),"無")</f>
        <v>12.89</v>
      </c>
      <c r="G1407" s="79">
        <v>8936</v>
      </c>
      <c r="H1407" s="8" t="s">
        <v>1959</v>
      </c>
      <c r="I1407" s="16" t="s">
        <v>668</v>
      </c>
      <c r="J1407" s="8">
        <f>IFERROR(VLOOKUP($G1407,今日總結!$A:$AN,39,0),"")</f>
        <v>0</v>
      </c>
      <c r="K1407" s="5" t="str">
        <f>IFERROR(VLOOKUP($G1407,今日總結!$A:$AN,40,0),"")</f>
        <v>主</v>
      </c>
      <c r="L1407" s="156">
        <f>IFERROR(VLOOKUP($G1407,今日總結!$A:$AN,37,0),"")</f>
        <v>0</v>
      </c>
      <c r="M1407" s="337">
        <f>IFERROR(VLOOKUP($G1407,今日總結!$A:$AN,38,0),"")</f>
        <v>5</v>
      </c>
      <c r="N1407" s="240">
        <f t="shared" si="243"/>
        <v>-5</v>
      </c>
      <c r="O1407" s="359">
        <f>IFERROR(VLOOKUP($G1407,融外自投!$A:$J,7,0),"無")</f>
        <v>207</v>
      </c>
      <c r="P1407" s="79">
        <f>IFERROR(VLOOKUP($G1407,融外自投!$A:$J,9,0),"無")</f>
        <v>1051</v>
      </c>
      <c r="Q1407" s="342">
        <f>IFERROR(VLOOKUP($G1407,融外自投!$A:$J,8,0),"無")</f>
        <v>714</v>
      </c>
      <c r="R1407" s="81" t="str">
        <f>IFERROR(VLOOKUP($G1407,融外自投!$A:$J,10,0),"無")</f>
        <v>無</v>
      </c>
      <c r="S1407" s="324">
        <f>IFERROR(VLOOKUP($G1407,'321買'!$A:$E,4,0),"'沒有資料'")</f>
        <v>801</v>
      </c>
      <c r="T1407" s="186">
        <f>IFERROR(VLOOKUP($G1407,基本資料!$A:$J,9,0),"無")</f>
        <v>0.5</v>
      </c>
      <c r="U1407" s="307">
        <f t="shared" si="242"/>
        <v>2.5188916876574305E-2</v>
      </c>
      <c r="V1407" s="94">
        <f>IFERROR(VLOOKUP($G1407,基本資料!$A:$J,10,0),"無")</f>
        <v>1.81</v>
      </c>
      <c r="W1407" s="36">
        <f>RTD("money.excel",,"8936","Price")</f>
        <v>19.850000000000001</v>
      </c>
      <c r="X1407" s="66"/>
      <c r="Y1407" s="15">
        <f t="shared" si="244"/>
        <v>19.850000000000001</v>
      </c>
      <c r="Z1407" s="3" t="e">
        <f t="shared" si="245"/>
        <v>#DIV/0!</v>
      </c>
      <c r="AA1407" s="340">
        <f>IFERROR(VLOOKUP($G1407,基本資料!$A:$M,11,0),"無")</f>
        <v>-26.89</v>
      </c>
      <c r="AB1407" s="389">
        <f>IFERROR(VLOOKUP($G1407,基本資料!$A:$M,12,0),"無")</f>
        <v>23.89</v>
      </c>
      <c r="AC1407" s="16" t="s">
        <v>668</v>
      </c>
      <c r="AF1407" s="33">
        <f t="shared" si="246"/>
        <v>0</v>
      </c>
      <c r="AG1407" s="43" t="s">
        <v>3043</v>
      </c>
      <c r="AH1407" s="66">
        <f t="shared" si="236"/>
        <v>0.69665907365224</v>
      </c>
      <c r="AI1407" s="283">
        <f>RTD("money.excel",,$G1407,"PredictVolume")</f>
        <v>367</v>
      </c>
      <c r="AJ1407" s="391">
        <f>IFERROR(VLOOKUP($G1407,基本資料!$A:$M,13,0),"無")</f>
        <v>526.79999999999995</v>
      </c>
      <c r="AR1407" s="245" t="str">
        <f>INDEX(基本資料!N:N,MATCH($G1407,基本資料!A:A,0))</f>
        <v>低</v>
      </c>
    </row>
    <row r="1408" spans="1:44">
      <c r="A1408" s="343">
        <f>IFERROR(VLOOKUP($G1408,基本資料!$A:$J,3,0),"無")</f>
        <v>7.24</v>
      </c>
      <c r="B1408" s="79">
        <f>IFERROR(VLOOKUP($G1408,基本資料!$A:$J,4,0),"無")</f>
        <v>-1543</v>
      </c>
      <c r="C1408" s="79">
        <f>IFERROR(VLOOKUP($G1408,基本資料!$A:$J,5,0),"無")</f>
        <v>-123</v>
      </c>
      <c r="D1408" s="79">
        <f>IFERROR(VLOOKUP($G1408,基本資料!$A:$J,6,0),"無")</f>
        <v>23</v>
      </c>
      <c r="E1408" s="79">
        <f>IFERROR(VLOOKUP($G1408,基本資料!$A:$J,7,0),"無")</f>
        <v>157</v>
      </c>
      <c r="F1408" s="6">
        <f>IFERROR(VLOOKUP($G1408,基本資料!$A:$J,8,0),"無")</f>
        <v>-54.71</v>
      </c>
      <c r="G1408" s="79">
        <v>8937</v>
      </c>
      <c r="H1408" s="8" t="s">
        <v>1959</v>
      </c>
      <c r="I1408" s="16" t="s">
        <v>669</v>
      </c>
      <c r="J1408" s="8" t="str">
        <f>IFERROR(VLOOKUP($G1408,今日總結!$A:$AN,39,0),"")</f>
        <v/>
      </c>
      <c r="K1408" s="5" t="str">
        <f>IFERROR(VLOOKUP($G1408,今日總結!$A:$AN,40,0),"")</f>
        <v/>
      </c>
      <c r="L1408" s="156" t="str">
        <f>IFERROR(VLOOKUP($G1408,今日總結!$A:$AN,37,0),"")</f>
        <v/>
      </c>
      <c r="M1408" s="337" t="str">
        <f>IFERROR(VLOOKUP($G1408,今日總結!$A:$AN,38,0),"")</f>
        <v/>
      </c>
      <c r="N1408" s="240" t="str">
        <f t="shared" si="243"/>
        <v/>
      </c>
      <c r="O1408" s="359" t="str">
        <f>IFERROR(VLOOKUP($G1408,融外自投!$A:$J,7,0),"無")</f>
        <v>無</v>
      </c>
      <c r="P1408" s="79" t="str">
        <f>IFERROR(VLOOKUP($G1408,融外自投!$A:$J,9,0),"無")</f>
        <v>無</v>
      </c>
      <c r="Q1408" s="342" t="str">
        <f>IFERROR(VLOOKUP($G1408,融外自投!$A:$J,8,0),"無")</f>
        <v>無</v>
      </c>
      <c r="R1408" s="81" t="str">
        <f>IFERROR(VLOOKUP($G1408,融外自投!$A:$J,10,0),"無")</f>
        <v>無</v>
      </c>
      <c r="S1408" s="324" t="str">
        <f>IFERROR(VLOOKUP($G1408,'321買'!$A:$E,4,0),"'沒有資料'")</f>
        <v>'沒有資料'</v>
      </c>
      <c r="T1408" s="186">
        <f>IFERROR(VLOOKUP($G1408,基本資料!$A:$J,9,0),"無")</f>
        <v>0</v>
      </c>
      <c r="U1408" s="307">
        <f t="shared" si="242"/>
        <v>0</v>
      </c>
      <c r="V1408" s="94">
        <f>IFERROR(VLOOKUP($G1408,基本資料!$A:$J,10,0),"無")</f>
        <v>-0.79</v>
      </c>
      <c r="W1408" s="36">
        <f>RTD("money.excel",,"8937","Price")</f>
        <v>13.35</v>
      </c>
      <c r="X1408" s="66"/>
      <c r="Y1408" s="15">
        <f t="shared" si="244"/>
        <v>13.35</v>
      </c>
      <c r="Z1408" s="3" t="e">
        <f t="shared" si="245"/>
        <v>#DIV/0!</v>
      </c>
      <c r="AA1408" s="340">
        <f>IFERROR(VLOOKUP($G1408,基本資料!$A:$M,11,0),"無")</f>
        <v>-8.56</v>
      </c>
      <c r="AB1408" s="389">
        <f>IFERROR(VLOOKUP($G1408,基本資料!$A:$M,12,0),"無")</f>
        <v>57.81</v>
      </c>
      <c r="AC1408" s="16" t="s">
        <v>669</v>
      </c>
      <c r="AF1408" s="33">
        <f t="shared" si="246"/>
        <v>0</v>
      </c>
      <c r="AG1408" s="43" t="s">
        <v>2487</v>
      </c>
      <c r="AH1408" s="66">
        <f t="shared" si="236"/>
        <v>2.6597582037996546</v>
      </c>
      <c r="AI1408" s="283">
        <f>RTD("money.excel",,$G1408,"PredictVolume")</f>
        <v>77</v>
      </c>
      <c r="AJ1408" s="391">
        <f>IFERROR(VLOOKUP($G1408,基本資料!$A:$M,13,0),"無")</f>
        <v>28.95</v>
      </c>
      <c r="AR1408" s="245" t="str">
        <f>INDEX(基本資料!N:N,MATCH($G1408,基本資料!A:A,0))</f>
        <v>中</v>
      </c>
    </row>
    <row r="1409" spans="1:44">
      <c r="A1409" s="343">
        <f>IFERROR(VLOOKUP($G1409,基本資料!$A:$J,3,0),"無")</f>
        <v>13.53</v>
      </c>
      <c r="B1409" s="79">
        <f>IFERROR(VLOOKUP($G1409,基本資料!$A:$J,4,0),"無")</f>
        <v>103</v>
      </c>
      <c r="C1409" s="79">
        <f>IFERROR(VLOOKUP($G1409,基本資料!$A:$J,5,0),"無")</f>
        <v>70</v>
      </c>
      <c r="D1409" s="79">
        <f>IFERROR(VLOOKUP($G1409,基本資料!$A:$J,6,0),"無")</f>
        <v>30</v>
      </c>
      <c r="E1409" s="79">
        <f>IFERROR(VLOOKUP($G1409,基本資料!$A:$J,7,0),"無")</f>
        <v>34</v>
      </c>
      <c r="F1409" s="6">
        <f>IFERROR(VLOOKUP($G1409,基本資料!$A:$J,8,0),"無")</f>
        <v>11.51</v>
      </c>
      <c r="G1409" s="79">
        <v>8938</v>
      </c>
      <c r="H1409" s="8" t="s">
        <v>1959</v>
      </c>
      <c r="I1409" s="16" t="s">
        <v>86</v>
      </c>
      <c r="J1409" s="8">
        <f>IFERROR(VLOOKUP($G1409,今日總結!$A:$AN,39,0),"")</f>
        <v>0</v>
      </c>
      <c r="K1409" s="5" t="str">
        <f>IFERROR(VLOOKUP($G1409,今日總結!$A:$AN,40,0),"")</f>
        <v>融</v>
      </c>
      <c r="L1409" s="156">
        <f>IFERROR(VLOOKUP($G1409,今日總結!$A:$AN,37,0),"")</f>
        <v>0</v>
      </c>
      <c r="M1409" s="337">
        <f>IFERROR(VLOOKUP($G1409,今日總結!$A:$AN,38,0),"")</f>
        <v>1</v>
      </c>
      <c r="N1409" s="240">
        <f t="shared" si="243"/>
        <v>-1</v>
      </c>
      <c r="O1409" s="359">
        <f>IFERROR(VLOOKUP($G1409,融外自投!$A:$J,7,0),"無")</f>
        <v>729</v>
      </c>
      <c r="P1409" s="79">
        <f>IFERROR(VLOOKUP($G1409,融外自投!$A:$J,9,0),"無")</f>
        <v>127</v>
      </c>
      <c r="Q1409" s="342">
        <f>IFERROR(VLOOKUP($G1409,融外自投!$A:$J,8,0),"無")</f>
        <v>414</v>
      </c>
      <c r="R1409" s="81">
        <f>IFERROR(VLOOKUP($G1409,融外自投!$A:$J,10,0),"無")</f>
        <v>283</v>
      </c>
      <c r="S1409" s="324">
        <f>IFERROR(VLOOKUP($G1409,'321買'!$A:$E,4,0),"'沒有資料'")</f>
        <v>465</v>
      </c>
      <c r="T1409" s="186">
        <f>IFERROR(VLOOKUP($G1409,基本資料!$A:$J,9,0),"無")</f>
        <v>5.5</v>
      </c>
      <c r="U1409" s="307">
        <f t="shared" si="242"/>
        <v>6.2287655719139301E-2</v>
      </c>
      <c r="V1409" s="94">
        <f>IFERROR(VLOOKUP($G1409,基本資料!$A:$J,10,0),"無")</f>
        <v>10.01</v>
      </c>
      <c r="W1409" s="36">
        <f>RTD("money.excel",,"8938","Price")</f>
        <v>88.3</v>
      </c>
      <c r="X1409" s="66"/>
      <c r="Y1409" s="15">
        <f t="shared" si="244"/>
        <v>88.3</v>
      </c>
      <c r="Z1409" s="3" t="e">
        <f t="shared" si="245"/>
        <v>#DIV/0!</v>
      </c>
      <c r="AA1409" s="340">
        <f>IFERROR(VLOOKUP($G1409,基本資料!$A:$M,11,0),"無")</f>
        <v>-5.86</v>
      </c>
      <c r="AB1409" s="389">
        <f>IFERROR(VLOOKUP($G1409,基本資料!$A:$M,12,0),"無")</f>
        <v>71.41</v>
      </c>
      <c r="AC1409" s="16" t="s">
        <v>86</v>
      </c>
      <c r="AF1409" s="33">
        <f t="shared" si="246"/>
        <v>0</v>
      </c>
      <c r="AG1409" s="43" t="s">
        <v>3059</v>
      </c>
      <c r="AH1409" s="66">
        <f t="shared" si="236"/>
        <v>0.61622751277923693</v>
      </c>
      <c r="AI1409" s="283">
        <f>RTD("money.excel",,$G1409,"PredictVolume")</f>
        <v>1091</v>
      </c>
      <c r="AJ1409" s="391">
        <f>IFERROR(VLOOKUP($G1409,基本資料!$A:$M,13,0),"無")</f>
        <v>1770.45</v>
      </c>
      <c r="AR1409" s="245" t="str">
        <f>INDEX(基本資料!N:N,MATCH($G1409,基本資料!A:A,0))</f>
        <v>高</v>
      </c>
    </row>
    <row r="1410" spans="1:44">
      <c r="A1410" s="343">
        <f>IFERROR(VLOOKUP($G1410,基本資料!$A:$J,3,0),"無")</f>
        <v>16.579999999999998</v>
      </c>
      <c r="B1410" s="79">
        <f>IFERROR(VLOOKUP($G1410,基本資料!$A:$J,4,0),"無")</f>
        <v>36</v>
      </c>
      <c r="C1410" s="79">
        <f>IFERROR(VLOOKUP($G1410,基本資料!$A:$J,5,0),"無")</f>
        <v>67</v>
      </c>
      <c r="D1410" s="79">
        <f>IFERROR(VLOOKUP($G1410,基本資料!$A:$J,6,0),"無")</f>
        <v>-5</v>
      </c>
      <c r="E1410" s="79">
        <f>IFERROR(VLOOKUP($G1410,基本資料!$A:$J,7,0),"無")</f>
        <v>12</v>
      </c>
      <c r="F1410" s="6">
        <f>IFERROR(VLOOKUP($G1410,基本資料!$A:$J,8,0),"無")</f>
        <v>15.49</v>
      </c>
      <c r="G1410" s="79">
        <v>8942</v>
      </c>
      <c r="H1410" s="8" t="s">
        <v>1959</v>
      </c>
      <c r="I1410" s="16" t="s">
        <v>4612</v>
      </c>
      <c r="J1410" s="8">
        <f>IFERROR(VLOOKUP($G1410,今日總結!$A:$AN,39,0),"")</f>
        <v>0</v>
      </c>
      <c r="K1410" s="5">
        <f>IFERROR(VLOOKUP($G1410,今日總結!$A:$AN,40,0),"")</f>
        <v>0</v>
      </c>
      <c r="L1410" s="156">
        <f>IFERROR(VLOOKUP($G1410,今日總結!$A:$AN,37,0),"")</f>
        <v>0</v>
      </c>
      <c r="M1410" s="337">
        <f>IFERROR(VLOOKUP($G1410,今日總結!$A:$AN,38,0),"")</f>
        <v>0</v>
      </c>
      <c r="N1410" s="240">
        <f t="shared" si="243"/>
        <v>0</v>
      </c>
      <c r="O1410" s="359">
        <f>IFERROR(VLOOKUP($G1410,融外自投!$A:$J,7,0),"無")</f>
        <v>1161</v>
      </c>
      <c r="P1410" s="79">
        <f>IFERROR(VLOOKUP($G1410,融外自投!$A:$J,9,0),"無")</f>
        <v>635</v>
      </c>
      <c r="Q1410" s="342">
        <f>IFERROR(VLOOKUP($G1410,融外自投!$A:$J,8,0),"無")</f>
        <v>234</v>
      </c>
      <c r="R1410" s="81">
        <f>IFERROR(VLOOKUP($G1410,融外自投!$A:$J,10,0),"無")</f>
        <v>377</v>
      </c>
      <c r="S1410" s="324">
        <f>IFERROR(VLOOKUP($G1410,'321買'!$A:$E,4,0),"'沒有資料'")</f>
        <v>1002</v>
      </c>
      <c r="T1410" s="186">
        <f>IFERROR(VLOOKUP($G1410,基本資料!$A:$J,9,0),"無")</f>
        <v>4</v>
      </c>
      <c r="U1410" s="307">
        <f t="shared" si="242"/>
        <v>5.9612518628912078E-2</v>
      </c>
      <c r="V1410" s="94">
        <f>IFERROR(VLOOKUP($G1410,基本資料!$A:$J,10,0),"無")</f>
        <v>7.81</v>
      </c>
      <c r="W1410" s="36">
        <f>RTD("money.excel",,"8942","Price")</f>
        <v>67.099999999999994</v>
      </c>
      <c r="X1410" s="66"/>
      <c r="Y1410" s="15">
        <f t="shared" si="244"/>
        <v>67.099999999999994</v>
      </c>
      <c r="Z1410" s="3" t="e">
        <f t="shared" si="245"/>
        <v>#DIV/0!</v>
      </c>
      <c r="AA1410" s="340">
        <f>IFERROR(VLOOKUP($G1410,基本資料!$A:$M,11,0),"無")</f>
        <v>-18.07</v>
      </c>
      <c r="AB1410" s="389">
        <f>IFERROR(VLOOKUP($G1410,基本資料!$A:$M,12,0),"無")</f>
        <v>43.64</v>
      </c>
      <c r="AC1410" s="16" t="s">
        <v>4612</v>
      </c>
      <c r="AF1410" s="33">
        <f t="shared" si="246"/>
        <v>0</v>
      </c>
      <c r="AG1410" s="117" t="s">
        <v>2488</v>
      </c>
      <c r="AH1410" s="66">
        <f t="shared" si="236"/>
        <v>1.7692621280065226</v>
      </c>
      <c r="AI1410" s="283">
        <f>RTD("money.excel",,$G1410,"PredictVolume")</f>
        <v>217</v>
      </c>
      <c r="AJ1410" s="391">
        <f>IFERROR(VLOOKUP($G1410,基本資料!$A:$M,13,0),"無")</f>
        <v>122.65</v>
      </c>
      <c r="AR1410" s="245" t="str">
        <f>INDEX(基本資料!N:N,MATCH($G1410,基本資料!A:A,0))</f>
        <v>低</v>
      </c>
    </row>
    <row r="1411" spans="1:44">
      <c r="A1411" s="343">
        <f>IFERROR(VLOOKUP($G1411,基本資料!$A:$J,3,0),"無")</f>
        <v>18.61</v>
      </c>
      <c r="B1411" s="79">
        <f>IFERROR(VLOOKUP($G1411,基本資料!$A:$J,4,0),"無")</f>
        <v>32</v>
      </c>
      <c r="C1411" s="79">
        <f>IFERROR(VLOOKUP($G1411,基本資料!$A:$J,5,0),"無")</f>
        <v>15</v>
      </c>
      <c r="D1411" s="79">
        <f>IFERROR(VLOOKUP($G1411,基本資料!$A:$J,6,0),"無")</f>
        <v>-9</v>
      </c>
      <c r="E1411" s="79">
        <f>IFERROR(VLOOKUP($G1411,基本資料!$A:$J,7,0),"無")</f>
        <v>57</v>
      </c>
      <c r="F1411" s="6">
        <f>IFERROR(VLOOKUP($G1411,基本資料!$A:$J,8,0),"無")</f>
        <v>9.4600000000000009</v>
      </c>
      <c r="G1411" s="79">
        <v>9802</v>
      </c>
      <c r="H1411" s="8" t="s">
        <v>1959</v>
      </c>
      <c r="I1411" s="22" t="s">
        <v>1095</v>
      </c>
      <c r="J1411" s="8">
        <f>IFERROR(VLOOKUP($G1411,今日總結!$A:$AN,39,0),"")</f>
        <v>0</v>
      </c>
      <c r="K1411" s="5">
        <f>IFERROR(VLOOKUP($G1411,今日總結!$A:$AN,40,0),"")</f>
        <v>0</v>
      </c>
      <c r="L1411" s="156">
        <f>IFERROR(VLOOKUP($G1411,今日總結!$A:$AN,37,0),"")</f>
        <v>0</v>
      </c>
      <c r="M1411" s="337">
        <f>IFERROR(VLOOKUP($G1411,今日總結!$A:$AN,38,0),"")</f>
        <v>0</v>
      </c>
      <c r="N1411" s="240">
        <f t="shared" si="243"/>
        <v>0</v>
      </c>
      <c r="O1411" s="359">
        <f>IFERROR(VLOOKUP($G1411,融外自投!$A:$J,7,0),"無")</f>
        <v>138</v>
      </c>
      <c r="P1411" s="79">
        <f>IFERROR(VLOOKUP($G1411,融外自投!$A:$J,9,0),"無")</f>
        <v>302</v>
      </c>
      <c r="Q1411" s="342">
        <f>IFERROR(VLOOKUP($G1411,融外自投!$A:$J,8,0),"無")</f>
        <v>89</v>
      </c>
      <c r="R1411" s="81">
        <f>IFERROR(VLOOKUP($G1411,融外自投!$A:$J,10,0),"無")</f>
        <v>57</v>
      </c>
      <c r="S1411" s="324">
        <f>IFERROR(VLOOKUP($G1411,'321買'!$A:$E,4,0),"'沒有資料'")</f>
        <v>343</v>
      </c>
      <c r="T1411" s="186">
        <f>IFERROR(VLOOKUP($G1411,基本資料!$A:$J,9,0),"無")</f>
        <v>4.2300000000000004</v>
      </c>
      <c r="U1411" s="307">
        <f t="shared" si="242"/>
        <v>2.8200000000000003E-2</v>
      </c>
      <c r="V1411" s="94">
        <f>IFERROR(VLOOKUP($G1411,基本資料!$A:$J,10,0),"無")</f>
        <v>6.39</v>
      </c>
      <c r="W1411" s="36">
        <f>RTD("money.excel",,"9802","Price")</f>
        <v>150</v>
      </c>
      <c r="X1411" s="66"/>
      <c r="Y1411" s="15">
        <f t="shared" si="244"/>
        <v>150</v>
      </c>
      <c r="Z1411" s="3" t="e">
        <f t="shared" si="245"/>
        <v>#DIV/0!</v>
      </c>
      <c r="AA1411" s="340">
        <f>IFERROR(VLOOKUP($G1411,基本資料!$A:$M,11,0),"無")</f>
        <v>-3.23</v>
      </c>
      <c r="AB1411" s="389">
        <f>IFERROR(VLOOKUP($G1411,基本資料!$A:$M,12,0),"無")</f>
        <v>89.29</v>
      </c>
      <c r="AC1411" s="22" t="s">
        <v>1095</v>
      </c>
      <c r="AF1411" s="33">
        <f t="shared" si="246"/>
        <v>0</v>
      </c>
      <c r="AG1411" s="43" t="s">
        <v>1949</v>
      </c>
      <c r="AH1411" s="66">
        <f t="shared" si="236"/>
        <v>0.49958018471872373</v>
      </c>
      <c r="AI1411" s="283">
        <f>RTD("money.excel",,$G1411,"PredictVolume")</f>
        <v>1071</v>
      </c>
      <c r="AJ1411" s="391">
        <f>IFERROR(VLOOKUP($G1411,基本資料!$A:$M,13,0),"無")</f>
        <v>2143.8000000000002</v>
      </c>
      <c r="AR1411" s="245" t="str">
        <f>INDEX(基本資料!N:N,MATCH($G1411,基本資料!A:A,0))</f>
        <v>高</v>
      </c>
    </row>
    <row r="1412" spans="1:44">
      <c r="A1412" s="343">
        <f>IFERROR(VLOOKUP($G1412,基本資料!$A:$J,3,0),"無")</f>
        <v>9.8000000000000007</v>
      </c>
      <c r="B1412" s="79">
        <f>IFERROR(VLOOKUP($G1412,基本資料!$A:$J,4,0),"無")</f>
        <v>248</v>
      </c>
      <c r="C1412" s="79">
        <f>IFERROR(VLOOKUP($G1412,基本資料!$A:$J,5,0),"無")</f>
        <v>-93</v>
      </c>
      <c r="D1412" s="79">
        <f>IFERROR(VLOOKUP($G1412,基本資料!$A:$J,6,0),"無")</f>
        <v>-31</v>
      </c>
      <c r="E1412" s="79">
        <f>IFERROR(VLOOKUP($G1412,基本資料!$A:$J,7,0),"無")</f>
        <v>-33</v>
      </c>
      <c r="F1412" s="6">
        <f>IFERROR(VLOOKUP($G1412,基本資料!$A:$J,8,0),"無")</f>
        <v>-5.31</v>
      </c>
      <c r="G1412" s="79">
        <v>9902</v>
      </c>
      <c r="H1412" s="8" t="s">
        <v>1959</v>
      </c>
      <c r="I1412" s="22" t="s">
        <v>695</v>
      </c>
      <c r="J1412" s="8">
        <f>IFERROR(VLOOKUP($G1412,今日總結!$A:$AN,39,0),"")</f>
        <v>0</v>
      </c>
      <c r="K1412" s="5">
        <f>IFERROR(VLOOKUP($G1412,今日總結!$A:$AN,40,0),"")</f>
        <v>0</v>
      </c>
      <c r="L1412" s="156">
        <f>IFERROR(VLOOKUP($G1412,今日總結!$A:$AN,37,0),"")</f>
        <v>0</v>
      </c>
      <c r="M1412" s="337">
        <f>IFERROR(VLOOKUP($G1412,今日總結!$A:$AN,38,0),"")</f>
        <v>0</v>
      </c>
      <c r="N1412" s="240">
        <f t="shared" si="243"/>
        <v>0</v>
      </c>
      <c r="O1412" s="359">
        <f>IFERROR(VLOOKUP($G1412,融外自投!$A:$J,7,0),"無")</f>
        <v>343</v>
      </c>
      <c r="P1412" s="79">
        <f>IFERROR(VLOOKUP($G1412,融外自投!$A:$J,9,0),"無")</f>
        <v>515</v>
      </c>
      <c r="Q1412" s="342">
        <f>IFERROR(VLOOKUP($G1412,融外自投!$A:$J,8,0),"無")</f>
        <v>1308</v>
      </c>
      <c r="R1412" s="81" t="str">
        <f>IFERROR(VLOOKUP($G1412,融外自投!$A:$J,10,0),"無")</f>
        <v>無</v>
      </c>
      <c r="S1412" s="324">
        <f>IFERROR(VLOOKUP($G1412,'321買'!$A:$E,4,0),"'沒有資料'")</f>
        <v>891</v>
      </c>
      <c r="T1412" s="186">
        <f>IFERROR(VLOOKUP($G1412,基本資料!$A:$J,9,0),"無")</f>
        <v>0.5</v>
      </c>
      <c r="U1412" s="307">
        <f t="shared" si="242"/>
        <v>4.4642857142857144E-2</v>
      </c>
      <c r="V1412" s="94">
        <f>IFERROR(VLOOKUP($G1412,基本資料!$A:$J,10,0),"無")</f>
        <v>1.1499999999999999</v>
      </c>
      <c r="W1412" s="36">
        <f>RTD("money.excel",,"9902","Price")</f>
        <v>11.2</v>
      </c>
      <c r="X1412" s="66"/>
      <c r="Y1412" s="15">
        <f t="shared" si="244"/>
        <v>11.2</v>
      </c>
      <c r="Z1412" s="3" t="e">
        <f t="shared" si="245"/>
        <v>#DIV/0!</v>
      </c>
      <c r="AA1412" s="340">
        <f>IFERROR(VLOOKUP($G1412,基本資料!$A:$M,11,0),"無")</f>
        <v>-24.32</v>
      </c>
      <c r="AB1412" s="389">
        <f>IFERROR(VLOOKUP($G1412,基本資料!$A:$M,12,0),"無")</f>
        <v>14.58</v>
      </c>
      <c r="AC1412" s="22" t="s">
        <v>695</v>
      </c>
      <c r="AF1412" s="33">
        <f t="shared" si="246"/>
        <v>0</v>
      </c>
      <c r="AG1412" s="43" t="s">
        <v>2836</v>
      </c>
      <c r="AH1412" s="66">
        <f t="shared" si="236"/>
        <v>0.38113089659481408</v>
      </c>
      <c r="AI1412" s="283">
        <f>RTD("money.excel",,$G1412,"PredictVolume")</f>
        <v>61</v>
      </c>
      <c r="AJ1412" s="391">
        <f>IFERROR(VLOOKUP($G1412,基本資料!$A:$M,13,0),"無")</f>
        <v>160.05000000000001</v>
      </c>
      <c r="AR1412" s="245" t="str">
        <f>INDEX(基本資料!N:N,MATCH($G1412,基本資料!A:A,0))</f>
        <v>低</v>
      </c>
    </row>
    <row r="1413" spans="1:44">
      <c r="A1413" s="343">
        <f>IFERROR(VLOOKUP($G1413,基本資料!$A:$J,3,0),"無")</f>
        <v>294</v>
      </c>
      <c r="B1413" s="79">
        <f>IFERROR(VLOOKUP($G1413,基本資料!$A:$J,4,0),"無")</f>
        <v>323</v>
      </c>
      <c r="C1413" s="79">
        <f>IFERROR(VLOOKUP($G1413,基本資料!$A:$J,5,0),"無")</f>
        <v>217</v>
      </c>
      <c r="D1413" s="79">
        <f>IFERROR(VLOOKUP($G1413,基本資料!$A:$J,6,0),"無")</f>
        <v>-1</v>
      </c>
      <c r="E1413" s="79">
        <f>IFERROR(VLOOKUP($G1413,基本資料!$A:$J,7,0),"無")</f>
        <v>-2</v>
      </c>
      <c r="F1413" s="6">
        <f>IFERROR(VLOOKUP($G1413,基本資料!$A:$J,8,0),"無")</f>
        <v>1.03</v>
      </c>
      <c r="G1413" s="79">
        <v>9904</v>
      </c>
      <c r="H1413" s="8" t="s">
        <v>1959</v>
      </c>
      <c r="I1413" s="22" t="s">
        <v>268</v>
      </c>
      <c r="J1413" s="8">
        <f>IFERROR(VLOOKUP($G1413,今日總結!$A:$AN,39,0),"")</f>
        <v>0</v>
      </c>
      <c r="K1413" s="5">
        <f>IFERROR(VLOOKUP($G1413,今日總結!$A:$AN,40,0),"")</f>
        <v>0</v>
      </c>
      <c r="L1413" s="156">
        <f>IFERROR(VLOOKUP($G1413,今日總結!$A:$AN,37,0),"")</f>
        <v>0</v>
      </c>
      <c r="M1413" s="337">
        <f>IFERROR(VLOOKUP($G1413,今日總結!$A:$AN,38,0),"")</f>
        <v>0</v>
      </c>
      <c r="N1413" s="240">
        <f t="shared" si="243"/>
        <v>0</v>
      </c>
      <c r="O1413" s="359">
        <f>IFERROR(VLOOKUP($G1413,融外自投!$A:$J,7,0),"無")</f>
        <v>1199</v>
      </c>
      <c r="P1413" s="79">
        <f>IFERROR(VLOOKUP($G1413,融外自投!$A:$J,9,0),"無")</f>
        <v>240</v>
      </c>
      <c r="Q1413" s="342">
        <f>IFERROR(VLOOKUP($G1413,融外自投!$A:$J,8,0),"無")</f>
        <v>74</v>
      </c>
      <c r="R1413" s="81">
        <f>IFERROR(VLOOKUP($G1413,融外自投!$A:$J,10,0),"無")</f>
        <v>205</v>
      </c>
      <c r="S1413" s="324">
        <f>IFERROR(VLOOKUP($G1413,'321買'!$A:$E,4,0),"'沒有資料'")</f>
        <v>530</v>
      </c>
      <c r="T1413" s="186">
        <f>IFERROR(VLOOKUP($G1413,基本資料!$A:$J,9,0),"無")</f>
        <v>1.5</v>
      </c>
      <c r="U1413" s="307">
        <f t="shared" si="242"/>
        <v>5.0675675675675672E-2</v>
      </c>
      <c r="V1413" s="94">
        <f>IFERROR(VLOOKUP($G1413,基本資料!$A:$J,10,0),"無")</f>
        <v>4.9000000000000004</v>
      </c>
      <c r="W1413" s="36">
        <f>RTD("money.excel",,"9904","Price")</f>
        <v>29.6</v>
      </c>
      <c r="X1413" s="66"/>
      <c r="Y1413" s="15">
        <f t="shared" si="244"/>
        <v>29.6</v>
      </c>
      <c r="Z1413" s="3" t="e">
        <f t="shared" si="245"/>
        <v>#DIV/0!</v>
      </c>
      <c r="AA1413" s="340">
        <f>IFERROR(VLOOKUP($G1413,基本資料!$A:$M,11,0),"無")</f>
        <v>-26.91</v>
      </c>
      <c r="AB1413" s="389">
        <f>IFERROR(VLOOKUP($G1413,基本資料!$A:$M,12,0),"無")</f>
        <v>27.62</v>
      </c>
      <c r="AC1413" s="22" t="s">
        <v>268</v>
      </c>
      <c r="AF1413" s="33">
        <f t="shared" si="246"/>
        <v>0</v>
      </c>
      <c r="AG1413" s="117" t="s">
        <v>1419</v>
      </c>
      <c r="AH1413" s="66">
        <f t="shared" si="236"/>
        <v>1.0836080449340117</v>
      </c>
      <c r="AI1413" s="283">
        <f>RTD("money.excel",,$G1413,"PredictVolume")</f>
        <v>9434</v>
      </c>
      <c r="AJ1413" s="391">
        <f>IFERROR(VLOOKUP($G1413,基本資料!$A:$M,13,0),"無")</f>
        <v>8706.1</v>
      </c>
      <c r="AR1413" s="245" t="str">
        <f>INDEX(基本資料!N:N,MATCH($G1413,基本資料!A:A,0))</f>
        <v>低</v>
      </c>
    </row>
    <row r="1414" spans="1:44">
      <c r="A1414" s="343">
        <f>IFERROR(VLOOKUP($G1414,基本資料!$A:$J,3,0),"無")</f>
        <v>30.5</v>
      </c>
      <c r="B1414" s="79">
        <f>IFERROR(VLOOKUP($G1414,基本資料!$A:$J,4,0),"無")</f>
        <v>7</v>
      </c>
      <c r="C1414" s="79">
        <f>IFERROR(VLOOKUP($G1414,基本資料!$A:$J,5,0),"無")</f>
        <v>11</v>
      </c>
      <c r="D1414" s="79">
        <f>IFERROR(VLOOKUP($G1414,基本資料!$A:$J,6,0),"無")</f>
        <v>2</v>
      </c>
      <c r="E1414" s="79">
        <f>IFERROR(VLOOKUP($G1414,基本資料!$A:$J,7,0),"無")</f>
        <v>-7</v>
      </c>
      <c r="F1414" s="6">
        <f>IFERROR(VLOOKUP($G1414,基本資料!$A:$J,8,0),"無")</f>
        <v>8.1199999999999992</v>
      </c>
      <c r="G1414" s="79">
        <v>9905</v>
      </c>
      <c r="H1414" s="8" t="s">
        <v>1959</v>
      </c>
      <c r="I1414" s="22" t="s">
        <v>696</v>
      </c>
      <c r="J1414" s="8">
        <f>IFERROR(VLOOKUP($G1414,今日總結!$A:$AN,39,0),"")</f>
        <v>0</v>
      </c>
      <c r="K1414" s="5" t="str">
        <f>IFERROR(VLOOKUP($G1414,今日總結!$A:$AN,40,0),"")</f>
        <v>主外</v>
      </c>
      <c r="L1414" s="156">
        <f>IFERROR(VLOOKUP($G1414,今日總結!$A:$AN,37,0),"")</f>
        <v>0</v>
      </c>
      <c r="M1414" s="337">
        <f>IFERROR(VLOOKUP($G1414,今日總結!$A:$AN,38,0),"")</f>
        <v>15</v>
      </c>
      <c r="N1414" s="240">
        <f t="shared" si="243"/>
        <v>-15</v>
      </c>
      <c r="O1414" s="359">
        <f>IFERROR(VLOOKUP($G1414,融外自投!$A:$J,7,0),"無")</f>
        <v>1450</v>
      </c>
      <c r="P1414" s="79">
        <f>IFERROR(VLOOKUP($G1414,融外自投!$A:$J,9,0),"無")</f>
        <v>1123</v>
      </c>
      <c r="Q1414" s="342">
        <f>IFERROR(VLOOKUP($G1414,融外自投!$A:$J,8,0),"無")</f>
        <v>940</v>
      </c>
      <c r="R1414" s="81">
        <f>IFERROR(VLOOKUP($G1414,融外自投!$A:$J,10,0),"無")</f>
        <v>413</v>
      </c>
      <c r="S1414" s="324">
        <f>IFERROR(VLOOKUP($G1414,'321買'!$A:$E,4,0),"'沒有資料'")</f>
        <v>1002</v>
      </c>
      <c r="T1414" s="186">
        <f>IFERROR(VLOOKUP($G1414,基本資料!$A:$J,9,0),"無")</f>
        <v>1.5</v>
      </c>
      <c r="U1414" s="307">
        <f t="shared" si="242"/>
        <v>5.8479532163742694E-2</v>
      </c>
      <c r="V1414" s="94">
        <f>IFERROR(VLOOKUP($G1414,基本資料!$A:$J,10,0),"無")</f>
        <v>1.97</v>
      </c>
      <c r="W1414" s="36">
        <f>RTD("money.excel",,"9905","Price")</f>
        <v>25.65</v>
      </c>
      <c r="X1414" s="66"/>
      <c r="Y1414" s="15">
        <f t="shared" si="244"/>
        <v>25.65</v>
      </c>
      <c r="Z1414" s="3" t="e">
        <f t="shared" si="245"/>
        <v>#DIV/0!</v>
      </c>
      <c r="AA1414" s="340">
        <f>IFERROR(VLOOKUP($G1414,基本資料!$A:$M,11,0),"無")</f>
        <v>-17.79</v>
      </c>
      <c r="AB1414" s="389">
        <f>IFERROR(VLOOKUP($G1414,基本資料!$A:$M,12,0),"無")</f>
        <v>20.04</v>
      </c>
      <c r="AC1414" s="22" t="s">
        <v>696</v>
      </c>
      <c r="AF1414" s="33">
        <f t="shared" si="246"/>
        <v>0</v>
      </c>
      <c r="AG1414" s="43" t="s">
        <v>2837</v>
      </c>
      <c r="AH1414" s="66">
        <f t="shared" ref="AH1414:AH1477" si="247">AI1414/AJ1414</f>
        <v>0.91603053435114501</v>
      </c>
      <c r="AI1414" s="283">
        <f>RTD("money.excel",,$G1414,"PredictVolume")</f>
        <v>54</v>
      </c>
      <c r="AJ1414" s="391">
        <f>IFERROR(VLOOKUP($G1414,基本資料!$A:$M,13,0),"無")</f>
        <v>58.95</v>
      </c>
      <c r="AR1414" s="245" t="str">
        <f>INDEX(基本資料!N:N,MATCH($G1414,基本資料!A:A,0))</f>
        <v>低</v>
      </c>
    </row>
    <row r="1415" spans="1:44">
      <c r="A1415" s="343">
        <f>IFERROR(VLOOKUP($G1415,基本資料!$A:$J,3,0),"無")</f>
        <v>157</v>
      </c>
      <c r="B1415" s="79">
        <f>IFERROR(VLOOKUP($G1415,基本資料!$A:$J,4,0),"無")</f>
        <v>102</v>
      </c>
      <c r="C1415" s="79">
        <f>IFERROR(VLOOKUP($G1415,基本資料!$A:$J,5,0),"無")</f>
        <v>97</v>
      </c>
      <c r="D1415" s="79">
        <f>IFERROR(VLOOKUP($G1415,基本資料!$A:$J,6,0),"無")</f>
        <v>16</v>
      </c>
      <c r="E1415" s="79">
        <f>IFERROR(VLOOKUP($G1415,基本資料!$A:$J,7,0),"無")</f>
        <v>24</v>
      </c>
      <c r="F1415" s="6">
        <f>IFERROR(VLOOKUP($G1415,基本資料!$A:$J,8,0),"無")</f>
        <v>5.62</v>
      </c>
      <c r="G1415" s="79">
        <v>9907</v>
      </c>
      <c r="H1415" s="17" t="s">
        <v>1959</v>
      </c>
      <c r="I1415" s="153" t="s">
        <v>65</v>
      </c>
      <c r="J1415" s="8">
        <f>IFERROR(VLOOKUP($G1415,今日總結!$A:$AN,39,0),"")</f>
        <v>0</v>
      </c>
      <c r="K1415" s="5">
        <f>IFERROR(VLOOKUP($G1415,今日總結!$A:$AN,40,0),"")</f>
        <v>0</v>
      </c>
      <c r="L1415" s="156">
        <f>IFERROR(VLOOKUP($G1415,今日總結!$A:$AN,37,0),"")</f>
        <v>0</v>
      </c>
      <c r="M1415" s="337">
        <f>IFERROR(VLOOKUP($G1415,今日總結!$A:$AN,38,0),"")</f>
        <v>0</v>
      </c>
      <c r="N1415" s="240">
        <f t="shared" si="243"/>
        <v>0</v>
      </c>
      <c r="O1415" s="359">
        <f>IFERROR(VLOOKUP($G1415,融外自投!$A:$J,7,0),"無")</f>
        <v>1131</v>
      </c>
      <c r="P1415" s="79">
        <f>IFERROR(VLOOKUP($G1415,融外自投!$A:$J,9,0),"無")</f>
        <v>908</v>
      </c>
      <c r="Q1415" s="342">
        <f>IFERROR(VLOOKUP($G1415,融外自投!$A:$J,8,0),"無")</f>
        <v>333</v>
      </c>
      <c r="R1415" s="81">
        <f>IFERROR(VLOOKUP($G1415,融外自投!$A:$J,10,0),"無")</f>
        <v>395</v>
      </c>
      <c r="S1415" s="324">
        <f>IFERROR(VLOOKUP($G1415,'321買'!$A:$E,4,0),"'沒有資料'")</f>
        <v>650</v>
      </c>
      <c r="T1415" s="186">
        <f>IFERROR(VLOOKUP($G1415,基本資料!$A:$J,9,0),"無")</f>
        <v>1</v>
      </c>
      <c r="U1415" s="307">
        <f t="shared" si="242"/>
        <v>6.25E-2</v>
      </c>
      <c r="V1415" s="94">
        <f>IFERROR(VLOOKUP($G1415,基本資料!$A:$J,10,0),"無")</f>
        <v>1.17</v>
      </c>
      <c r="W1415" s="36">
        <f>RTD("money.excel",,"9907","Price")</f>
        <v>16</v>
      </c>
      <c r="X1415" s="66"/>
      <c r="Y1415" s="15">
        <f t="shared" si="244"/>
        <v>16</v>
      </c>
      <c r="Z1415" s="3" t="e">
        <f t="shared" si="245"/>
        <v>#DIV/0!</v>
      </c>
      <c r="AA1415" s="340">
        <f>IFERROR(VLOOKUP($G1415,基本資料!$A:$M,11,0),"無")</f>
        <v>-12.81</v>
      </c>
      <c r="AB1415" s="389">
        <f>IFERROR(VLOOKUP($G1415,基本資料!$A:$M,12,0),"無")</f>
        <v>41.42</v>
      </c>
      <c r="AC1415" s="22" t="s">
        <v>65</v>
      </c>
      <c r="AF1415" s="33">
        <f t="shared" si="246"/>
        <v>0</v>
      </c>
      <c r="AG1415" s="117" t="s">
        <v>2838</v>
      </c>
      <c r="AH1415" s="66">
        <f t="shared" si="247"/>
        <v>0.80592045302645487</v>
      </c>
      <c r="AI1415" s="283">
        <f>RTD("money.excel",,$G1415,"PredictVolume")</f>
        <v>3316</v>
      </c>
      <c r="AJ1415" s="391">
        <f>IFERROR(VLOOKUP($G1415,基本資料!$A:$M,13,0),"無")</f>
        <v>4114.55</v>
      </c>
      <c r="AR1415" s="245" t="str">
        <f>INDEX(基本資料!N:N,MATCH($G1415,基本資料!A:A,0))</f>
        <v>中</v>
      </c>
    </row>
    <row r="1416" spans="1:44">
      <c r="A1416" s="343">
        <f>IFERROR(VLOOKUP($G1416,基本資料!$A:$J,3,0),"無")</f>
        <v>88.16</v>
      </c>
      <c r="B1416" s="79">
        <f>IFERROR(VLOOKUP($G1416,基本資料!$A:$J,4,0),"無")</f>
        <v>-7</v>
      </c>
      <c r="C1416" s="79">
        <f>IFERROR(VLOOKUP($G1416,基本資料!$A:$J,5,0),"無")</f>
        <v>-9</v>
      </c>
      <c r="D1416" s="79">
        <f>IFERROR(VLOOKUP($G1416,基本資料!$A:$J,6,0),"無")</f>
        <v>-3</v>
      </c>
      <c r="E1416" s="79">
        <f>IFERROR(VLOOKUP($G1416,基本資料!$A:$J,7,0),"無")</f>
        <v>19</v>
      </c>
      <c r="F1416" s="6">
        <f>IFERROR(VLOOKUP($G1416,基本資料!$A:$J,8,0),"無")</f>
        <v>9.06</v>
      </c>
      <c r="G1416" s="79">
        <v>9910</v>
      </c>
      <c r="H1416" s="8" t="s">
        <v>235</v>
      </c>
      <c r="I1416" s="22" t="s">
        <v>4613</v>
      </c>
      <c r="J1416" s="8">
        <f>IFERROR(VLOOKUP($G1416,今日總結!$A:$AN,39,0),"")</f>
        <v>0</v>
      </c>
      <c r="K1416" s="5" t="str">
        <f>IFERROR(VLOOKUP($G1416,今日總結!$A:$AN,40,0),"")</f>
        <v>外</v>
      </c>
      <c r="L1416" s="156">
        <f>IFERROR(VLOOKUP($G1416,今日總結!$A:$AN,37,0),"")</f>
        <v>0</v>
      </c>
      <c r="M1416" s="337">
        <f>IFERROR(VLOOKUP($G1416,今日總結!$A:$AN,38,0),"")</f>
        <v>3</v>
      </c>
      <c r="N1416" s="240">
        <f t="shared" si="243"/>
        <v>-3</v>
      </c>
      <c r="O1416" s="359">
        <f>IFERROR(VLOOKUP($G1416,融外自投!$A:$J,7,0),"無")</f>
        <v>1421</v>
      </c>
      <c r="P1416" s="79">
        <f>IFERROR(VLOOKUP($G1416,融外自投!$A:$J,9,0),"無")</f>
        <v>762</v>
      </c>
      <c r="Q1416" s="342">
        <f>IFERROR(VLOOKUP($G1416,融外自投!$A:$J,8,0),"無")</f>
        <v>307</v>
      </c>
      <c r="R1416" s="81">
        <f>IFERROR(VLOOKUP($G1416,融外自投!$A:$J,10,0),"無")</f>
        <v>201</v>
      </c>
      <c r="S1416" s="324">
        <f>IFERROR(VLOOKUP($G1416,'321買'!$A:$E,4,0),"'沒有資料'")</f>
        <v>606</v>
      </c>
      <c r="T1416" s="186">
        <f>IFERROR(VLOOKUP($G1416,基本資料!$A:$J,9,0),"無")</f>
        <v>4.0999999999999996</v>
      </c>
      <c r="U1416" s="307">
        <f t="shared" si="242"/>
        <v>2.2777777777777775E-2</v>
      </c>
      <c r="V1416" s="94">
        <f>IFERROR(VLOOKUP($G1416,基本資料!$A:$J,10,0),"無")</f>
        <v>5.15</v>
      </c>
      <c r="W1416" s="36">
        <f>RTD("money.excel",,"9910","Price")</f>
        <v>180</v>
      </c>
      <c r="X1416" s="66"/>
      <c r="Y1416" s="15">
        <f t="shared" si="244"/>
        <v>180</v>
      </c>
      <c r="Z1416" s="3" t="e">
        <f t="shared" si="245"/>
        <v>#DIV/0!</v>
      </c>
      <c r="AA1416" s="340">
        <f>IFERROR(VLOOKUP($G1416,基本資料!$A:$M,11,0),"無")</f>
        <v>-29.27</v>
      </c>
      <c r="AB1416" s="389">
        <f>IFERROR(VLOOKUP($G1416,基本資料!$A:$M,12,0),"無")</f>
        <v>27.97</v>
      </c>
      <c r="AC1416" s="22" t="s">
        <v>4613</v>
      </c>
      <c r="AF1416" s="33">
        <f t="shared" si="246"/>
        <v>0</v>
      </c>
      <c r="AG1416" s="117" t="s">
        <v>1419</v>
      </c>
      <c r="AH1416" s="66">
        <f t="shared" si="247"/>
        <v>1.2183908045977012</v>
      </c>
      <c r="AI1416" s="283">
        <f>RTD("money.excel",,$G1416,"PredictVolume")</f>
        <v>901</v>
      </c>
      <c r="AJ1416" s="391">
        <f>IFERROR(VLOOKUP($G1416,基本資料!$A:$M,13,0),"無")</f>
        <v>739.5</v>
      </c>
      <c r="AR1416" s="245" t="str">
        <f>INDEX(基本資料!N:N,MATCH($G1416,基本資料!A:A,0))</f>
        <v>低</v>
      </c>
    </row>
    <row r="1417" spans="1:44">
      <c r="A1417" s="343">
        <f>IFERROR(VLOOKUP($G1417,基本資料!$A:$J,3,0),"無")</f>
        <v>22.11</v>
      </c>
      <c r="B1417" s="79">
        <f>IFERROR(VLOOKUP($G1417,基本資料!$A:$J,4,0),"無")</f>
        <v>12</v>
      </c>
      <c r="C1417" s="79">
        <f>IFERROR(VLOOKUP($G1417,基本資料!$A:$J,5,0),"無")</f>
        <v>8</v>
      </c>
      <c r="D1417" s="79">
        <f>IFERROR(VLOOKUP($G1417,基本資料!$A:$J,6,0),"無")</f>
        <v>-7</v>
      </c>
      <c r="E1417" s="79">
        <f>IFERROR(VLOOKUP($G1417,基本資料!$A:$J,7,0),"無")</f>
        <v>15</v>
      </c>
      <c r="F1417" s="6">
        <f>IFERROR(VLOOKUP($G1417,基本資料!$A:$J,8,0),"無")</f>
        <v>15.33</v>
      </c>
      <c r="G1417" s="79">
        <v>9911</v>
      </c>
      <c r="H1417" s="8" t="s">
        <v>1959</v>
      </c>
      <c r="I1417" s="22" t="s">
        <v>697</v>
      </c>
      <c r="J1417" s="8">
        <f>IFERROR(VLOOKUP($G1417,今日總結!$A:$AN,39,0),"")</f>
        <v>0</v>
      </c>
      <c r="K1417" s="5" t="str">
        <f>IFERROR(VLOOKUP($G1417,今日總結!$A:$AN,40,0),"")</f>
        <v>主外</v>
      </c>
      <c r="L1417" s="156">
        <f>IFERROR(VLOOKUP($G1417,今日總結!$A:$AN,37,0),"")</f>
        <v>0</v>
      </c>
      <c r="M1417" s="337">
        <f>IFERROR(VLOOKUP($G1417,今日總結!$A:$AN,38,0),"")</f>
        <v>5</v>
      </c>
      <c r="N1417" s="240">
        <f t="shared" si="243"/>
        <v>-5</v>
      </c>
      <c r="O1417" s="359">
        <f>IFERROR(VLOOKUP($G1417,融外自投!$A:$J,7,0),"無")</f>
        <v>1206</v>
      </c>
      <c r="P1417" s="79">
        <f>IFERROR(VLOOKUP($G1417,融外自投!$A:$J,9,0),"無")</f>
        <v>790</v>
      </c>
      <c r="Q1417" s="342">
        <f>IFERROR(VLOOKUP($G1417,融外自投!$A:$J,8,0),"無")</f>
        <v>279</v>
      </c>
      <c r="R1417" s="81">
        <f>IFERROR(VLOOKUP($G1417,融外自投!$A:$J,10,0),"無")</f>
        <v>427</v>
      </c>
      <c r="S1417" s="324">
        <f>IFERROR(VLOOKUP($G1417,'321買'!$A:$E,4,0),"'沒有資料'")</f>
        <v>743</v>
      </c>
      <c r="T1417" s="186">
        <f>IFERROR(VLOOKUP($G1417,基本資料!$A:$J,9,0),"無")</f>
        <v>3.6</v>
      </c>
      <c r="U1417" s="307">
        <f t="shared" si="242"/>
        <v>5.7971014492753624E-2</v>
      </c>
      <c r="V1417" s="94">
        <f>IFERROR(VLOOKUP($G1417,基本資料!$A:$J,10,0),"無")</f>
        <v>4.62</v>
      </c>
      <c r="W1417" s="36">
        <f>RTD("money.excel",,"9911","Price")</f>
        <v>62.1</v>
      </c>
      <c r="X1417" s="66"/>
      <c r="Y1417" s="15">
        <f t="shared" si="244"/>
        <v>62.1</v>
      </c>
      <c r="Z1417" s="3" t="e">
        <f t="shared" si="245"/>
        <v>#DIV/0!</v>
      </c>
      <c r="AA1417" s="340">
        <f>IFERROR(VLOOKUP($G1417,基本資料!$A:$M,11,0),"無")</f>
        <v>-17.2</v>
      </c>
      <c r="AB1417" s="389">
        <f>IFERROR(VLOOKUP($G1417,基本資料!$A:$M,12,0),"無")</f>
        <v>24.39</v>
      </c>
      <c r="AC1417" s="22" t="s">
        <v>697</v>
      </c>
      <c r="AF1417" s="33">
        <f t="shared" si="246"/>
        <v>0</v>
      </c>
      <c r="AG1417" s="43" t="s">
        <v>2839</v>
      </c>
      <c r="AH1417" s="66">
        <f t="shared" si="247"/>
        <v>0.37856726849155509</v>
      </c>
      <c r="AI1417" s="283">
        <f>RTD("money.excel",,$G1417,"PredictVolume")</f>
        <v>65</v>
      </c>
      <c r="AJ1417" s="391">
        <f>IFERROR(VLOOKUP($G1417,基本資料!$A:$M,13,0),"無")</f>
        <v>171.7</v>
      </c>
      <c r="AR1417" s="245" t="str">
        <f>INDEX(基本資料!N:N,MATCH($G1417,基本資料!A:A,0))</f>
        <v>低</v>
      </c>
    </row>
    <row r="1418" spans="1:44">
      <c r="A1418" s="343">
        <f>IFERROR(VLOOKUP($G1418,基本資料!$A:$J,3,0),"無")</f>
        <v>29.89</v>
      </c>
      <c r="B1418" s="79">
        <f>IFERROR(VLOOKUP($G1418,基本資料!$A:$J,4,0),"無")</f>
        <v>16</v>
      </c>
      <c r="C1418" s="79">
        <f>IFERROR(VLOOKUP($G1418,基本資料!$A:$J,5,0),"無")</f>
        <v>-15</v>
      </c>
      <c r="D1418" s="79">
        <f>IFERROR(VLOOKUP($G1418,基本資料!$A:$J,6,0),"無")</f>
        <v>-18</v>
      </c>
      <c r="E1418" s="79">
        <f>IFERROR(VLOOKUP($G1418,基本資料!$A:$J,7,0),"無")</f>
        <v>12</v>
      </c>
      <c r="F1418" s="6">
        <f>IFERROR(VLOOKUP($G1418,基本資料!$A:$J,8,0),"無")</f>
        <v>5.41</v>
      </c>
      <c r="G1418" s="79">
        <v>9914</v>
      </c>
      <c r="H1418" s="8" t="s">
        <v>1959</v>
      </c>
      <c r="I1418" s="22" t="s">
        <v>31</v>
      </c>
      <c r="J1418" s="8">
        <f>IFERROR(VLOOKUP($G1418,今日總結!$A:$AN,39,0),"")</f>
        <v>0</v>
      </c>
      <c r="K1418" s="5" t="str">
        <f>IFERROR(VLOOKUP($G1418,今日總結!$A:$AN,40,0),"")</f>
        <v>自</v>
      </c>
      <c r="L1418" s="156">
        <f>IFERROR(VLOOKUP($G1418,今日總結!$A:$AN,37,0),"")</f>
        <v>0</v>
      </c>
      <c r="M1418" s="337">
        <f>IFERROR(VLOOKUP($G1418,今日總結!$A:$AN,38,0),"")</f>
        <v>4</v>
      </c>
      <c r="N1418" s="240">
        <f t="shared" si="243"/>
        <v>-4</v>
      </c>
      <c r="O1418" s="359">
        <f>IFERROR(VLOOKUP($G1418,融外自投!$A:$J,7,0),"無")</f>
        <v>1334</v>
      </c>
      <c r="P1418" s="79">
        <f>IFERROR(VLOOKUP($G1418,融外自投!$A:$J,9,0),"無")</f>
        <v>537</v>
      </c>
      <c r="Q1418" s="342">
        <f>IFERROR(VLOOKUP($G1418,融外自投!$A:$J,8,0),"無")</f>
        <v>113</v>
      </c>
      <c r="R1418" s="81">
        <f>IFERROR(VLOOKUP($G1418,融外自投!$A:$J,10,0),"無")</f>
        <v>131</v>
      </c>
      <c r="S1418" s="324">
        <f>IFERROR(VLOOKUP($G1418,'321買'!$A:$E,4,0),"'沒有資料'")</f>
        <v>743</v>
      </c>
      <c r="T1418" s="186">
        <f>IFERROR(VLOOKUP($G1418,基本資料!$A:$J,9,0),"無")</f>
        <v>8</v>
      </c>
      <c r="U1418" s="307">
        <f t="shared" si="242"/>
        <v>3.3472803347280332E-2</v>
      </c>
      <c r="V1418" s="94">
        <f>IFERROR(VLOOKUP($G1418,基本資料!$A:$J,10,0),"無")</f>
        <v>15.55</v>
      </c>
      <c r="W1418" s="36">
        <f>RTD("money.excel",,"9914","Price")</f>
        <v>239</v>
      </c>
      <c r="X1418" s="66"/>
      <c r="Y1418" s="15">
        <f t="shared" si="244"/>
        <v>239</v>
      </c>
      <c r="Z1418" s="3" t="e">
        <f t="shared" si="245"/>
        <v>#DIV/0!</v>
      </c>
      <c r="AA1418" s="340">
        <f>IFERROR(VLOOKUP($G1418,基本資料!$A:$M,11,0),"無")</f>
        <v>-31.32</v>
      </c>
      <c r="AB1418" s="389">
        <f>IFERROR(VLOOKUP($G1418,基本資料!$A:$M,12,0),"無")</f>
        <v>29.34</v>
      </c>
      <c r="AC1418" s="22" t="s">
        <v>31</v>
      </c>
      <c r="AF1418" s="33">
        <f t="shared" si="246"/>
        <v>0</v>
      </c>
      <c r="AG1418" s="117" t="s">
        <v>2371</v>
      </c>
      <c r="AH1418" s="66">
        <f t="shared" si="247"/>
        <v>0.57208899162091886</v>
      </c>
      <c r="AI1418" s="283">
        <f>RTD("money.excel",,$G1418,"PredictVolume")</f>
        <v>297</v>
      </c>
      <c r="AJ1418" s="391">
        <f>IFERROR(VLOOKUP($G1418,基本資料!$A:$M,13,0),"無")</f>
        <v>519.15</v>
      </c>
      <c r="AR1418" s="245" t="str">
        <f>INDEX(基本資料!N:N,MATCH($G1418,基本資料!A:A,0))</f>
        <v>低</v>
      </c>
    </row>
    <row r="1419" spans="1:44">
      <c r="A1419" s="343">
        <f>IFERROR(VLOOKUP($G1419,基本資料!$A:$J,3,0),"無")</f>
        <v>45.11</v>
      </c>
      <c r="B1419" s="79">
        <f>IFERROR(VLOOKUP($G1419,基本資料!$A:$J,4,0),"無")</f>
        <v>5</v>
      </c>
      <c r="C1419" s="79">
        <f>IFERROR(VLOOKUP($G1419,基本資料!$A:$J,5,0),"無")</f>
        <v>0</v>
      </c>
      <c r="D1419" s="79">
        <f>IFERROR(VLOOKUP($G1419,基本資料!$A:$J,6,0),"無")</f>
        <v>0</v>
      </c>
      <c r="E1419" s="79">
        <f>IFERROR(VLOOKUP($G1419,基本資料!$A:$J,7,0),"無")</f>
        <v>6</v>
      </c>
      <c r="F1419" s="6">
        <f>IFERROR(VLOOKUP($G1419,基本資料!$A:$J,8,0),"無")</f>
        <v>18.86</v>
      </c>
      <c r="G1419" s="79">
        <v>9917</v>
      </c>
      <c r="H1419" s="8" t="s">
        <v>1959</v>
      </c>
      <c r="I1419" s="22" t="s">
        <v>1731</v>
      </c>
      <c r="J1419" s="8">
        <f>IFERROR(VLOOKUP($G1419,今日總結!$A:$AN,39,0),"")</f>
        <v>0</v>
      </c>
      <c r="K1419" s="5">
        <f>IFERROR(VLOOKUP($G1419,今日總結!$A:$AN,40,0),"")</f>
        <v>0</v>
      </c>
      <c r="L1419" s="156">
        <f>IFERROR(VLOOKUP($G1419,今日總結!$A:$AN,37,0),"")</f>
        <v>0</v>
      </c>
      <c r="M1419" s="337">
        <f>IFERROR(VLOOKUP($G1419,今日總結!$A:$AN,38,0),"")</f>
        <v>0</v>
      </c>
      <c r="N1419" s="240">
        <f t="shared" si="243"/>
        <v>0</v>
      </c>
      <c r="O1419" s="359">
        <f>IFERROR(VLOOKUP($G1419,融外自投!$A:$J,7,0),"無")</f>
        <v>1467</v>
      </c>
      <c r="P1419" s="79">
        <f>IFERROR(VLOOKUP($G1419,融外自投!$A:$J,9,0),"無")</f>
        <v>584</v>
      </c>
      <c r="Q1419" s="342">
        <f>IFERROR(VLOOKUP($G1419,融外自投!$A:$J,8,0),"無")</f>
        <v>117</v>
      </c>
      <c r="R1419" s="81">
        <f>IFERROR(VLOOKUP($G1419,融外自投!$A:$J,10,0),"無")</f>
        <v>265</v>
      </c>
      <c r="S1419" s="324">
        <f>IFERROR(VLOOKUP($G1419,'321買'!$A:$E,4,0),"'沒有資料'")</f>
        <v>891</v>
      </c>
      <c r="T1419" s="186">
        <f>IFERROR(VLOOKUP($G1419,基本資料!$A:$J,9,0),"無")</f>
        <v>5</v>
      </c>
      <c r="U1419" s="307">
        <f t="shared" si="242"/>
        <v>4.7619047619047616E-2</v>
      </c>
      <c r="V1419" s="94">
        <f>IFERROR(VLOOKUP($G1419,基本資料!$A:$J,10,0),"無")</f>
        <v>5.73</v>
      </c>
      <c r="W1419" s="36">
        <f>RTD("money.excel",,"9917","Price")</f>
        <v>105</v>
      </c>
      <c r="X1419" s="66"/>
      <c r="Y1419" s="15">
        <f t="shared" si="244"/>
        <v>105</v>
      </c>
      <c r="Z1419" s="3" t="e">
        <f t="shared" si="245"/>
        <v>#DIV/0!</v>
      </c>
      <c r="AA1419" s="340">
        <f>IFERROR(VLOOKUP($G1419,基本資料!$A:$M,11,0),"無")</f>
        <v>-8.3000000000000007</v>
      </c>
      <c r="AB1419" s="389">
        <f>IFERROR(VLOOKUP($G1419,基本資料!$A:$M,12,0),"無")</f>
        <v>41.68</v>
      </c>
      <c r="AC1419" s="22" t="s">
        <v>1731</v>
      </c>
      <c r="AF1419" s="33">
        <f t="shared" si="246"/>
        <v>0</v>
      </c>
      <c r="AG1419" s="117" t="s">
        <v>2840</v>
      </c>
      <c r="AH1419" s="66">
        <f t="shared" si="247"/>
        <v>0.81228330856859832</v>
      </c>
      <c r="AI1419" s="283">
        <f>RTD("money.excel",,$G1419,"PredictVolume")</f>
        <v>164</v>
      </c>
      <c r="AJ1419" s="391">
        <f>IFERROR(VLOOKUP($G1419,基本資料!$A:$M,13,0),"無")</f>
        <v>201.9</v>
      </c>
      <c r="AR1419" s="245" t="str">
        <f>INDEX(基本資料!N:N,MATCH($G1419,基本資料!A:A,0))</f>
        <v>中</v>
      </c>
    </row>
    <row r="1420" spans="1:44">
      <c r="A1420" s="343">
        <f>IFERROR(VLOOKUP($G1420,基本資料!$A:$J,3,0),"無")</f>
        <v>19.53</v>
      </c>
      <c r="B1420" s="79">
        <f>IFERROR(VLOOKUP($G1420,基本資料!$A:$J,4,0),"無")</f>
        <v>-88</v>
      </c>
      <c r="C1420" s="79">
        <f>IFERROR(VLOOKUP($G1420,基本資料!$A:$J,5,0),"無")</f>
        <v>-81</v>
      </c>
      <c r="D1420" s="79">
        <f>IFERROR(VLOOKUP($G1420,基本資料!$A:$J,6,0),"無")</f>
        <v>-37</v>
      </c>
      <c r="E1420" s="79">
        <f>IFERROR(VLOOKUP($G1420,基本資料!$A:$J,7,0),"無")</f>
        <v>-29</v>
      </c>
      <c r="F1420" s="6">
        <f>IFERROR(VLOOKUP($G1420,基本資料!$A:$J,8,0),"無")</f>
        <v>3.83</v>
      </c>
      <c r="G1420" s="79">
        <v>9919</v>
      </c>
      <c r="H1420" s="8" t="s">
        <v>1959</v>
      </c>
      <c r="I1420" s="22" t="s">
        <v>698</v>
      </c>
      <c r="J1420" s="8">
        <f>IFERROR(VLOOKUP($G1420,今日總結!$A:$AN,39,0),"")</f>
        <v>0</v>
      </c>
      <c r="K1420" s="5">
        <f>IFERROR(VLOOKUP($G1420,今日總結!$A:$AN,40,0),"")</f>
        <v>0</v>
      </c>
      <c r="L1420" s="156">
        <f>IFERROR(VLOOKUP($G1420,今日總結!$A:$AN,37,0),"")</f>
        <v>0</v>
      </c>
      <c r="M1420" s="337">
        <f>IFERROR(VLOOKUP($G1420,今日總結!$A:$AN,38,0),"")</f>
        <v>0</v>
      </c>
      <c r="N1420" s="240">
        <f t="shared" si="243"/>
        <v>0</v>
      </c>
      <c r="O1420" s="359">
        <f>IFERROR(VLOOKUP($G1420,融外自投!$A:$J,7,0),"無")</f>
        <v>458</v>
      </c>
      <c r="P1420" s="79">
        <f>IFERROR(VLOOKUP($G1420,融外自投!$A:$J,9,0),"無")</f>
        <v>119</v>
      </c>
      <c r="Q1420" s="342">
        <f>IFERROR(VLOOKUP($G1420,融外自投!$A:$J,8,0),"無")</f>
        <v>926</v>
      </c>
      <c r="R1420" s="81">
        <f>IFERROR(VLOOKUP($G1420,融外自投!$A:$J,10,0),"無")</f>
        <v>459</v>
      </c>
      <c r="S1420" s="324">
        <f>IFERROR(VLOOKUP($G1420,'321買'!$A:$E,4,0),"'沒有資料'")</f>
        <v>411</v>
      </c>
      <c r="T1420" s="186">
        <f>IFERROR(VLOOKUP($G1420,基本資料!$A:$J,9,0),"無")</f>
        <v>0.3</v>
      </c>
      <c r="U1420" s="307">
        <f t="shared" si="242"/>
        <v>1.4285714285714285E-2</v>
      </c>
      <c r="V1420" s="94">
        <f>IFERROR(VLOOKUP($G1420,基本資料!$A:$J,10,0),"無")</f>
        <v>0.5</v>
      </c>
      <c r="W1420" s="36">
        <f>RTD("money.excel",,"9919","Price")</f>
        <v>21</v>
      </c>
      <c r="X1420" s="66"/>
      <c r="Y1420" s="15">
        <f t="shared" si="244"/>
        <v>21</v>
      </c>
      <c r="Z1420" s="3" t="e">
        <f t="shared" si="245"/>
        <v>#DIV/0!</v>
      </c>
      <c r="AA1420" s="340">
        <f>IFERROR(VLOOKUP($G1420,基本資料!$A:$M,11,0),"無")</f>
        <v>-41.5</v>
      </c>
      <c r="AB1420" s="389">
        <f>IFERROR(VLOOKUP($G1420,基本資料!$A:$M,12,0),"無")</f>
        <v>18.03</v>
      </c>
      <c r="AC1420" s="22" t="s">
        <v>698</v>
      </c>
      <c r="AF1420" s="33">
        <f t="shared" si="246"/>
        <v>0</v>
      </c>
      <c r="AG1420" s="43" t="s">
        <v>2537</v>
      </c>
      <c r="AH1420" s="66">
        <f t="shared" si="247"/>
        <v>0.69996762867601281</v>
      </c>
      <c r="AI1420" s="283">
        <f>RTD("money.excel",,$G1420,"PredictVolume")</f>
        <v>2811</v>
      </c>
      <c r="AJ1420" s="391">
        <f>IFERROR(VLOOKUP($G1420,基本資料!$A:$M,13,0),"無")</f>
        <v>4015.9</v>
      </c>
      <c r="AR1420" s="245" t="str">
        <f>INDEX(基本資料!N:N,MATCH($G1420,基本資料!A:A,0))</f>
        <v>低</v>
      </c>
    </row>
    <row r="1421" spans="1:44">
      <c r="A1421" s="343">
        <f>IFERROR(VLOOKUP($G1421,基本資料!$A:$J,3,0),"無")</f>
        <v>37.5</v>
      </c>
      <c r="B1421" s="79">
        <f>IFERROR(VLOOKUP($G1421,基本資料!$A:$J,4,0),"無")</f>
        <v>21</v>
      </c>
      <c r="C1421" s="79">
        <f>IFERROR(VLOOKUP($G1421,基本資料!$A:$J,5,0),"無")</f>
        <v>26</v>
      </c>
      <c r="D1421" s="79">
        <f>IFERROR(VLOOKUP($G1421,基本資料!$A:$J,6,0),"無")</f>
        <v>-34</v>
      </c>
      <c r="E1421" s="79">
        <f>IFERROR(VLOOKUP($G1421,基本資料!$A:$J,7,0),"無")</f>
        <v>-15</v>
      </c>
      <c r="F1421" s="6">
        <f>IFERROR(VLOOKUP($G1421,基本資料!$A:$J,8,0),"無")</f>
        <v>10.64</v>
      </c>
      <c r="G1421" s="79">
        <v>9921</v>
      </c>
      <c r="H1421" s="8" t="s">
        <v>1959</v>
      </c>
      <c r="I1421" s="22" t="s">
        <v>4614</v>
      </c>
      <c r="J1421" s="8">
        <f>IFERROR(VLOOKUP($G1421,今日總結!$A:$AN,39,0),"")</f>
        <v>0</v>
      </c>
      <c r="K1421" s="5">
        <f>IFERROR(VLOOKUP($G1421,今日總結!$A:$AN,40,0),"")</f>
        <v>0</v>
      </c>
      <c r="L1421" s="156">
        <f>IFERROR(VLOOKUP($G1421,今日總結!$A:$AN,37,0),"")</f>
        <v>0</v>
      </c>
      <c r="M1421" s="337">
        <f>IFERROR(VLOOKUP($G1421,今日總結!$A:$AN,38,0),"")</f>
        <v>0</v>
      </c>
      <c r="N1421" s="240">
        <f t="shared" si="243"/>
        <v>0</v>
      </c>
      <c r="O1421" s="359">
        <f>IFERROR(VLOOKUP($G1421,融外自投!$A:$J,7,0),"無")</f>
        <v>1331</v>
      </c>
      <c r="P1421" s="79">
        <f>IFERROR(VLOOKUP($G1421,融外自投!$A:$J,9,0),"無")</f>
        <v>869</v>
      </c>
      <c r="Q1421" s="342">
        <f>IFERROR(VLOOKUP($G1421,融外自投!$A:$J,8,0),"無")</f>
        <v>70</v>
      </c>
      <c r="R1421" s="81">
        <f>IFERROR(VLOOKUP($G1421,融外自投!$A:$J,10,0),"無")</f>
        <v>324</v>
      </c>
      <c r="S1421" s="324">
        <f>IFERROR(VLOOKUP($G1421,'321買'!$A:$E,4,0),"'沒有資料'")</f>
        <v>650</v>
      </c>
      <c r="T1421" s="186">
        <f>IFERROR(VLOOKUP($G1421,基本資料!$A:$J,9,0),"無")</f>
        <v>10</v>
      </c>
      <c r="U1421" s="307">
        <f t="shared" si="242"/>
        <v>4.2105263157894736E-2</v>
      </c>
      <c r="V1421" s="94">
        <f>IFERROR(VLOOKUP($G1421,基本資料!$A:$J,10,0),"無")</f>
        <v>15.81</v>
      </c>
      <c r="W1421" s="36">
        <f>RTD("money.excel",,"9921","Price")</f>
        <v>237.5</v>
      </c>
      <c r="X1421" s="66"/>
      <c r="Y1421" s="15">
        <f t="shared" si="244"/>
        <v>237.5</v>
      </c>
      <c r="Z1421" s="3" t="e">
        <f t="shared" si="245"/>
        <v>#DIV/0!</v>
      </c>
      <c r="AA1421" s="340">
        <f>IFERROR(VLOOKUP($G1421,基本資料!$A:$M,11,0),"無")</f>
        <v>-32.909999999999997</v>
      </c>
      <c r="AB1421" s="389">
        <f>IFERROR(VLOOKUP($G1421,基本資料!$A:$M,12,0),"無")</f>
        <v>19.100000000000001</v>
      </c>
      <c r="AC1421" s="22" t="s">
        <v>4614</v>
      </c>
      <c r="AF1421" s="33">
        <f t="shared" si="246"/>
        <v>0</v>
      </c>
      <c r="AG1421" s="117" t="s">
        <v>2371</v>
      </c>
      <c r="AH1421" s="66">
        <f t="shared" si="247"/>
        <v>0.87780898876404501</v>
      </c>
      <c r="AI1421" s="283">
        <f>RTD("money.excel",,$G1421,"PredictVolume")</f>
        <v>750</v>
      </c>
      <c r="AJ1421" s="391">
        <f>IFERROR(VLOOKUP($G1421,基本資料!$A:$M,13,0),"無")</f>
        <v>854.4</v>
      </c>
      <c r="AR1421" s="245" t="str">
        <f>INDEX(基本資料!N:N,MATCH($G1421,基本資料!A:A,0))</f>
        <v>低</v>
      </c>
    </row>
    <row r="1422" spans="1:44">
      <c r="A1422" s="343">
        <f>IFERROR(VLOOKUP($G1422,基本資料!$A:$J,3,0),"無")</f>
        <v>18.84</v>
      </c>
      <c r="B1422" s="79">
        <f>IFERROR(VLOOKUP($G1422,基本資料!$A:$J,4,0),"無")</f>
        <v>-19</v>
      </c>
      <c r="C1422" s="79">
        <f>IFERROR(VLOOKUP($G1422,基本資料!$A:$J,5,0),"無")</f>
        <v>-37</v>
      </c>
      <c r="D1422" s="79">
        <f>IFERROR(VLOOKUP($G1422,基本資料!$A:$J,6,0),"無")</f>
        <v>9</v>
      </c>
      <c r="E1422" s="79">
        <f>IFERROR(VLOOKUP($G1422,基本資料!$A:$J,7,0),"無")</f>
        <v>-13</v>
      </c>
      <c r="F1422" s="6">
        <f>IFERROR(VLOOKUP($G1422,基本資料!$A:$J,8,0),"無")</f>
        <v>7.88</v>
      </c>
      <c r="G1422" s="79">
        <v>9924</v>
      </c>
      <c r="H1422" s="8" t="s">
        <v>1959</v>
      </c>
      <c r="I1422" s="22" t="s">
        <v>699</v>
      </c>
      <c r="J1422" s="8">
        <f>IFERROR(VLOOKUP($G1422,今日總結!$A:$AN,39,0),"")</f>
        <v>0</v>
      </c>
      <c r="K1422" s="5">
        <f>IFERROR(VLOOKUP($G1422,今日總結!$A:$AN,40,0),"")</f>
        <v>0</v>
      </c>
      <c r="L1422" s="156">
        <f>IFERROR(VLOOKUP($G1422,今日總結!$A:$AN,37,0),"")</f>
        <v>0</v>
      </c>
      <c r="M1422" s="337">
        <f>IFERROR(VLOOKUP($G1422,今日總結!$A:$AN,38,0),"")</f>
        <v>0</v>
      </c>
      <c r="N1422" s="240">
        <f t="shared" si="243"/>
        <v>0</v>
      </c>
      <c r="O1422" s="359">
        <f>IFERROR(VLOOKUP($G1422,融外自投!$A:$J,7,0),"無")</f>
        <v>1124</v>
      </c>
      <c r="P1422" s="79">
        <f>IFERROR(VLOOKUP($G1422,融外自投!$A:$J,9,0),"無")</f>
        <v>537</v>
      </c>
      <c r="Q1422" s="342">
        <f>IFERROR(VLOOKUP($G1422,融外自投!$A:$J,8,0),"無")</f>
        <v>406</v>
      </c>
      <c r="R1422" s="81">
        <f>IFERROR(VLOOKUP($G1422,融外自投!$A:$J,10,0),"無")</f>
        <v>389</v>
      </c>
      <c r="S1422" s="324">
        <f>IFERROR(VLOOKUP($G1422,'321買'!$A:$E,4,0),"'沒有資料'")</f>
        <v>801</v>
      </c>
      <c r="T1422" s="186">
        <f>IFERROR(VLOOKUP($G1422,基本資料!$A:$J,9,0),"無")</f>
        <v>2.4</v>
      </c>
      <c r="U1422" s="307">
        <f t="shared" si="242"/>
        <v>5.8823529411764705E-2</v>
      </c>
      <c r="V1422" s="94">
        <f>IFERROR(VLOOKUP($G1422,基本資料!$A:$J,10,0),"無")</f>
        <v>3.54</v>
      </c>
      <c r="W1422" s="36">
        <f>RTD("money.excel",,"9924","Price")</f>
        <v>40.799999999999997</v>
      </c>
      <c r="X1422" s="66"/>
      <c r="Y1422" s="15">
        <f t="shared" si="244"/>
        <v>40.799999999999997</v>
      </c>
      <c r="Z1422" s="3" t="e">
        <f t="shared" si="245"/>
        <v>#DIV/0!</v>
      </c>
      <c r="AA1422" s="340">
        <f>IFERROR(VLOOKUP($G1422,基本資料!$A:$M,11,0),"無")</f>
        <v>-12.16</v>
      </c>
      <c r="AB1422" s="389">
        <f>IFERROR(VLOOKUP($G1422,基本資料!$A:$M,12,0),"無")</f>
        <v>23.59</v>
      </c>
      <c r="AC1422" s="22" t="s">
        <v>699</v>
      </c>
      <c r="AF1422" s="33">
        <f t="shared" si="246"/>
        <v>0</v>
      </c>
      <c r="AG1422" s="43" t="s">
        <v>2841</v>
      </c>
      <c r="AH1422" s="66">
        <f t="shared" si="247"/>
        <v>3.33955223880597</v>
      </c>
      <c r="AI1422" s="283">
        <f>RTD("money.excel",,$G1422,"PredictVolume")</f>
        <v>358</v>
      </c>
      <c r="AJ1422" s="391">
        <f>IFERROR(VLOOKUP($G1422,基本資料!$A:$M,13,0),"無")</f>
        <v>107.2</v>
      </c>
      <c r="AR1422" s="245" t="str">
        <f>INDEX(基本資料!N:N,MATCH($G1422,基本資料!A:A,0))</f>
        <v>低</v>
      </c>
    </row>
    <row r="1423" spans="1:44">
      <c r="A1423" s="343">
        <f>IFERROR(VLOOKUP($G1423,基本資料!$A:$J,3,0),"無")</f>
        <v>38.74</v>
      </c>
      <c r="B1423" s="79">
        <f>IFERROR(VLOOKUP($G1423,基本資料!$A:$J,4,0),"無")</f>
        <v>9</v>
      </c>
      <c r="C1423" s="79">
        <f>IFERROR(VLOOKUP($G1423,基本資料!$A:$J,5,0),"無")</f>
        <v>14</v>
      </c>
      <c r="D1423" s="79">
        <f>IFERROR(VLOOKUP($G1423,基本資料!$A:$J,6,0),"無")</f>
        <v>-1</v>
      </c>
      <c r="E1423" s="79">
        <f>IFERROR(VLOOKUP($G1423,基本資料!$A:$J,7,0),"無")</f>
        <v>4</v>
      </c>
      <c r="F1423" s="6">
        <f>IFERROR(VLOOKUP($G1423,基本資料!$A:$J,8,0),"無")</f>
        <v>12.94</v>
      </c>
      <c r="G1423" s="79">
        <v>9925</v>
      </c>
      <c r="H1423" s="8" t="s">
        <v>1959</v>
      </c>
      <c r="I1423" s="22" t="s">
        <v>4615</v>
      </c>
      <c r="J1423" s="8">
        <f>IFERROR(VLOOKUP($G1423,今日總結!$A:$AN,39,0),"")</f>
        <v>0</v>
      </c>
      <c r="K1423" s="5" t="str">
        <f>IFERROR(VLOOKUP($G1423,今日總結!$A:$AN,40,0),"")</f>
        <v>主</v>
      </c>
      <c r="L1423" s="156">
        <f>IFERROR(VLOOKUP($G1423,今日總結!$A:$AN,37,0),"")</f>
        <v>0</v>
      </c>
      <c r="M1423" s="337">
        <f>IFERROR(VLOOKUP($G1423,今日總結!$A:$AN,38,0),"")</f>
        <v>5</v>
      </c>
      <c r="N1423" s="240">
        <f t="shared" si="243"/>
        <v>-5</v>
      </c>
      <c r="O1423" s="359" t="str">
        <f>IFERROR(VLOOKUP($G1423,融外自投!$A:$J,7,0),"無")</f>
        <v>無</v>
      </c>
      <c r="P1423" s="79">
        <f>IFERROR(VLOOKUP($G1423,融外自投!$A:$J,9,0),"無")</f>
        <v>1123</v>
      </c>
      <c r="Q1423" s="342">
        <f>IFERROR(VLOOKUP($G1423,融外自投!$A:$J,8,0),"無")</f>
        <v>328</v>
      </c>
      <c r="R1423" s="81" t="str">
        <f>IFERROR(VLOOKUP($G1423,融外自投!$A:$J,10,0),"無")</f>
        <v>無</v>
      </c>
      <c r="S1423" s="324">
        <f>IFERROR(VLOOKUP($G1423,'321買'!$A:$E,4,0),"'沒有資料'")</f>
        <v>1002</v>
      </c>
      <c r="T1423" s="186">
        <f>IFERROR(VLOOKUP($G1423,基本資料!$A:$J,9,0),"無")</f>
        <v>2</v>
      </c>
      <c r="U1423" s="307">
        <f t="shared" si="242"/>
        <v>5.1480051480051477E-2</v>
      </c>
      <c r="V1423" s="94">
        <f>IFERROR(VLOOKUP($G1423,基本資料!$A:$J,10,0),"無")</f>
        <v>2.5</v>
      </c>
      <c r="W1423" s="36">
        <f>RTD("money.excel",,"9925","Price")</f>
        <v>38.85</v>
      </c>
      <c r="X1423" s="66"/>
      <c r="Y1423" s="15">
        <f t="shared" si="244"/>
        <v>38.85</v>
      </c>
      <c r="Z1423" s="3" t="e">
        <f t="shared" si="245"/>
        <v>#DIV/0!</v>
      </c>
      <c r="AA1423" s="340">
        <f>IFERROR(VLOOKUP($G1423,基本資料!$A:$M,11,0),"無")</f>
        <v>-3.6</v>
      </c>
      <c r="AB1423" s="389">
        <f>IFERROR(VLOOKUP($G1423,基本資料!$A:$M,12,0),"無")</f>
        <v>32.119999999999997</v>
      </c>
      <c r="AC1423" s="22" t="s">
        <v>4615</v>
      </c>
      <c r="AF1423" s="33">
        <f t="shared" si="246"/>
        <v>0</v>
      </c>
      <c r="AG1423" s="117" t="s">
        <v>2842</v>
      </c>
      <c r="AH1423" s="66">
        <f t="shared" si="247"/>
        <v>0.96436058700209648</v>
      </c>
      <c r="AI1423" s="283">
        <f>RTD("money.excel",,$G1423,"PredictVolume")</f>
        <v>161</v>
      </c>
      <c r="AJ1423" s="391">
        <f>IFERROR(VLOOKUP($G1423,基本資料!$A:$M,13,0),"無")</f>
        <v>166.95</v>
      </c>
      <c r="AR1423" s="245" t="str">
        <f>INDEX(基本資料!N:N,MATCH($G1423,基本資料!A:A,0))</f>
        <v>中</v>
      </c>
    </row>
    <row r="1424" spans="1:44">
      <c r="A1424" s="343">
        <f>IFERROR(VLOOKUP($G1424,基本資料!$A:$J,3,0),"無")</f>
        <v>16.73</v>
      </c>
      <c r="B1424" s="79">
        <f>IFERROR(VLOOKUP($G1424,基本資料!$A:$J,4,0),"無")</f>
        <v>122</v>
      </c>
      <c r="C1424" s="79">
        <f>IFERROR(VLOOKUP($G1424,基本資料!$A:$J,5,0),"無")</f>
        <v>122</v>
      </c>
      <c r="D1424" s="79">
        <f>IFERROR(VLOOKUP($G1424,基本資料!$A:$J,6,0),"無")</f>
        <v>0</v>
      </c>
      <c r="E1424" s="79">
        <f>IFERROR(VLOOKUP($G1424,基本資料!$A:$J,7,0),"無")</f>
        <v>27</v>
      </c>
      <c r="F1424" s="6">
        <f>IFERROR(VLOOKUP($G1424,基本資料!$A:$J,8,0),"無")</f>
        <v>12.03</v>
      </c>
      <c r="G1424" s="79">
        <v>9927</v>
      </c>
      <c r="H1424" s="8" t="s">
        <v>1959</v>
      </c>
      <c r="I1424" s="22" t="s">
        <v>700</v>
      </c>
      <c r="J1424" s="8">
        <f>IFERROR(VLOOKUP($G1424,今日總結!$A:$AN,39,0),"")</f>
        <v>0</v>
      </c>
      <c r="K1424" s="5" t="str">
        <f>IFERROR(VLOOKUP($G1424,今日總結!$A:$AN,40,0),"")</f>
        <v>主</v>
      </c>
      <c r="L1424" s="156">
        <f>IFERROR(VLOOKUP($G1424,今日總結!$A:$AN,37,0),"")</f>
        <v>0</v>
      </c>
      <c r="M1424" s="337">
        <f>IFERROR(VLOOKUP($G1424,今日總結!$A:$AN,38,0),"")</f>
        <v>1</v>
      </c>
      <c r="N1424" s="240">
        <f t="shared" si="243"/>
        <v>-1</v>
      </c>
      <c r="O1424" s="359">
        <f>IFERROR(VLOOKUP($G1424,融外自投!$A:$J,7,0),"無")</f>
        <v>1062</v>
      </c>
      <c r="P1424" s="79">
        <f>IFERROR(VLOOKUP($G1424,融外自投!$A:$J,9,0),"無")</f>
        <v>433</v>
      </c>
      <c r="Q1424" s="342">
        <f>IFERROR(VLOOKUP($G1424,融外自投!$A:$J,8,0),"無")</f>
        <v>399</v>
      </c>
      <c r="R1424" s="81">
        <f>IFERROR(VLOOKUP($G1424,融外自投!$A:$J,10,0),"無")</f>
        <v>495</v>
      </c>
      <c r="S1424" s="324">
        <f>IFERROR(VLOOKUP($G1424,'321買'!$A:$E,4,0),"'沒有資料'")</f>
        <v>743</v>
      </c>
      <c r="T1424" s="186">
        <f>IFERROR(VLOOKUP($G1424,基本資料!$A:$J,9,0),"無")</f>
        <v>4.5</v>
      </c>
      <c r="U1424" s="307">
        <f t="shared" si="242"/>
        <v>0.10575793184488837</v>
      </c>
      <c r="V1424" s="94">
        <f>IFERROR(VLOOKUP($G1424,基本資料!$A:$J,10,0),"無")</f>
        <v>4</v>
      </c>
      <c r="W1424" s="36">
        <f>RTD("money.excel",,"9927","Price")</f>
        <v>42.55</v>
      </c>
      <c r="X1424" s="66"/>
      <c r="Y1424" s="15">
        <f t="shared" si="244"/>
        <v>42.55</v>
      </c>
      <c r="Z1424" s="3" t="e">
        <f t="shared" si="245"/>
        <v>#DIV/0!</v>
      </c>
      <c r="AA1424" s="340">
        <f>IFERROR(VLOOKUP($G1424,基本資料!$A:$M,11,0),"無")</f>
        <v>-12.54</v>
      </c>
      <c r="AB1424" s="389">
        <f>IFERROR(VLOOKUP($G1424,基本資料!$A:$M,12,0),"無")</f>
        <v>56.15</v>
      </c>
      <c r="AC1424" s="22" t="s">
        <v>700</v>
      </c>
      <c r="AF1424" s="33">
        <f t="shared" si="246"/>
        <v>0</v>
      </c>
      <c r="AG1424" s="43" t="s">
        <v>2843</v>
      </c>
      <c r="AH1424" s="66">
        <f t="shared" si="247"/>
        <v>0.78390770596065673</v>
      </c>
      <c r="AI1424" s="283">
        <f>RTD("money.excel",,$G1424,"PredictVolume")</f>
        <v>530</v>
      </c>
      <c r="AJ1424" s="391">
        <f>IFERROR(VLOOKUP($G1424,基本資料!$A:$M,13,0),"無")</f>
        <v>676.1</v>
      </c>
      <c r="AR1424" s="245" t="str">
        <f>INDEX(基本資料!N:N,MATCH($G1424,基本資料!A:A,0))</f>
        <v>高</v>
      </c>
    </row>
    <row r="1425" spans="1:44">
      <c r="A1425" s="343">
        <f>IFERROR(VLOOKUP($G1425,基本資料!$A:$J,3,0),"無")</f>
        <v>6.07</v>
      </c>
      <c r="B1425" s="79">
        <f>IFERROR(VLOOKUP($G1425,基本資料!$A:$J,4,0),"無")</f>
        <v>-3</v>
      </c>
      <c r="C1425" s="79">
        <f>IFERROR(VLOOKUP($G1425,基本資料!$A:$J,5,0),"無")</f>
        <v>0</v>
      </c>
      <c r="D1425" s="79">
        <f>IFERROR(VLOOKUP($G1425,基本資料!$A:$J,6,0),"無")</f>
        <v>-4</v>
      </c>
      <c r="E1425" s="79">
        <f>IFERROR(VLOOKUP($G1425,基本資料!$A:$J,7,0),"無")</f>
        <v>2</v>
      </c>
      <c r="F1425" s="6">
        <f>IFERROR(VLOOKUP($G1425,基本資料!$A:$J,8,0),"無")</f>
        <v>-12.19</v>
      </c>
      <c r="G1425" s="79">
        <v>9928</v>
      </c>
      <c r="H1425" s="8" t="s">
        <v>1959</v>
      </c>
      <c r="I1425" s="22" t="s">
        <v>701</v>
      </c>
      <c r="J1425" s="8" t="str">
        <f>IFERROR(VLOOKUP($G1425,今日總結!$A:$AN,39,0),"")</f>
        <v/>
      </c>
      <c r="K1425" s="5" t="str">
        <f>IFERROR(VLOOKUP($G1425,今日總結!$A:$AN,40,0),"")</f>
        <v/>
      </c>
      <c r="L1425" s="156" t="str">
        <f>IFERROR(VLOOKUP($G1425,今日總結!$A:$AN,37,0),"")</f>
        <v/>
      </c>
      <c r="M1425" s="337" t="str">
        <f>IFERROR(VLOOKUP($G1425,今日總結!$A:$AN,38,0),"")</f>
        <v/>
      </c>
      <c r="N1425" s="240" t="str">
        <f t="shared" si="243"/>
        <v/>
      </c>
      <c r="O1425" s="359" t="str">
        <f>IFERROR(VLOOKUP($G1425,融外自投!$A:$J,7,0),"無")</f>
        <v>無</v>
      </c>
      <c r="P1425" s="79" t="str">
        <f>IFERROR(VLOOKUP($G1425,融外自投!$A:$J,9,0),"無")</f>
        <v>無</v>
      </c>
      <c r="Q1425" s="342" t="str">
        <f>IFERROR(VLOOKUP($G1425,融外自投!$A:$J,8,0),"無")</f>
        <v>無</v>
      </c>
      <c r="R1425" s="81" t="str">
        <f>IFERROR(VLOOKUP($G1425,融外自投!$A:$J,10,0),"無")</f>
        <v>無</v>
      </c>
      <c r="S1425" s="324" t="str">
        <f>IFERROR(VLOOKUP($G1425,'321買'!$A:$E,4,0),"'沒有資料'")</f>
        <v>'沒有資料'</v>
      </c>
      <c r="T1425" s="186">
        <f>IFERROR(VLOOKUP($G1425,基本資料!$A:$J,9,0),"無")</f>
        <v>0</v>
      </c>
      <c r="U1425" s="307" t="e">
        <f t="shared" si="242"/>
        <v>#VALUE!</v>
      </c>
      <c r="V1425" s="94">
        <f>IFERROR(VLOOKUP($G1425,基本資料!$A:$J,10,0),"無")</f>
        <v>-0.46</v>
      </c>
      <c r="W1425" s="36" t="str">
        <f>RTD("money.excel",,"9928","Price")</f>
        <v>無資料</v>
      </c>
      <c r="X1425" s="66"/>
      <c r="Y1425" s="15" t="e">
        <f t="shared" si="244"/>
        <v>#VALUE!</v>
      </c>
      <c r="Z1425" s="3" t="e">
        <f t="shared" si="245"/>
        <v>#VALUE!</v>
      </c>
      <c r="AA1425" s="340">
        <f>IFERROR(VLOOKUP($G1425,基本資料!$A:$M,11,0),"無")</f>
        <v>-6.2</v>
      </c>
      <c r="AB1425" s="389">
        <f>IFERROR(VLOOKUP($G1425,基本資料!$A:$M,12,0),"無")</f>
        <v>89.8</v>
      </c>
      <c r="AC1425" s="22" t="s">
        <v>701</v>
      </c>
      <c r="AF1425" s="33">
        <f t="shared" si="246"/>
        <v>0</v>
      </c>
      <c r="AG1425" s="43" t="s">
        <v>2844</v>
      </c>
      <c r="AH1425" s="66">
        <f t="shared" si="247"/>
        <v>0</v>
      </c>
      <c r="AI1425" s="283">
        <f>RTD("money.excel",,$G1425,"PredictVolume")</f>
        <v>0</v>
      </c>
      <c r="AJ1425" s="391">
        <f>IFERROR(VLOOKUP($G1425,基本資料!$A:$M,13,0),"無")</f>
        <v>23.2</v>
      </c>
      <c r="AR1425" s="245" t="str">
        <f>INDEX(基本資料!N:N,MATCH($G1425,基本資料!A:A,0))</f>
        <v>高</v>
      </c>
    </row>
    <row r="1426" spans="1:44">
      <c r="A1426" s="343">
        <f>IFERROR(VLOOKUP($G1426,基本資料!$A:$J,3,0),"無")</f>
        <v>10.119999999999999</v>
      </c>
      <c r="B1426" s="79">
        <f>IFERROR(VLOOKUP($G1426,基本資料!$A:$J,4,0),"無")</f>
        <v>-99</v>
      </c>
      <c r="C1426" s="79">
        <f>IFERROR(VLOOKUP($G1426,基本資料!$A:$J,5,0),"無")</f>
        <v>-22</v>
      </c>
      <c r="D1426" s="79">
        <f>IFERROR(VLOOKUP($G1426,基本資料!$A:$J,6,0),"無")</f>
        <v>-19</v>
      </c>
      <c r="E1426" s="79">
        <f>IFERROR(VLOOKUP($G1426,基本資料!$A:$J,7,0),"無")</f>
        <v>-17</v>
      </c>
      <c r="F1426" s="6">
        <f>IFERROR(VLOOKUP($G1426,基本資料!$A:$J,8,0),"無")</f>
        <v>3.44</v>
      </c>
      <c r="G1426" s="79">
        <v>9929</v>
      </c>
      <c r="H1426" s="8" t="s">
        <v>1959</v>
      </c>
      <c r="I1426" s="22" t="s">
        <v>702</v>
      </c>
      <c r="J1426" s="8" t="str">
        <f>IFERROR(VLOOKUP($G1426,今日總結!$A:$AN,39,0),"")</f>
        <v/>
      </c>
      <c r="K1426" s="5" t="str">
        <f>IFERROR(VLOOKUP($G1426,今日總結!$A:$AN,40,0),"")</f>
        <v/>
      </c>
      <c r="L1426" s="156" t="str">
        <f>IFERROR(VLOOKUP($G1426,今日總結!$A:$AN,37,0),"")</f>
        <v/>
      </c>
      <c r="M1426" s="337" t="str">
        <f>IFERROR(VLOOKUP($G1426,今日總結!$A:$AN,38,0),"")</f>
        <v/>
      </c>
      <c r="N1426" s="240" t="str">
        <f t="shared" si="243"/>
        <v/>
      </c>
      <c r="O1426" s="359" t="str">
        <f>IFERROR(VLOOKUP($G1426,融外自投!$A:$J,7,0),"無")</f>
        <v>無</v>
      </c>
      <c r="P1426" s="79" t="str">
        <f>IFERROR(VLOOKUP($G1426,融外自投!$A:$J,9,0),"無")</f>
        <v>無</v>
      </c>
      <c r="Q1426" s="342" t="str">
        <f>IFERROR(VLOOKUP($G1426,融外自投!$A:$J,8,0),"無")</f>
        <v>無</v>
      </c>
      <c r="R1426" s="81" t="str">
        <f>IFERROR(VLOOKUP($G1426,融外自投!$A:$J,10,0),"無")</f>
        <v>無</v>
      </c>
      <c r="S1426" s="324" t="str">
        <f>IFERROR(VLOOKUP($G1426,'321買'!$A:$E,4,0),"'沒有資料'")</f>
        <v>'沒有資料'</v>
      </c>
      <c r="T1426" s="186">
        <f>IFERROR(VLOOKUP($G1426,基本資料!$A:$J,9,0),"無")</f>
        <v>0</v>
      </c>
      <c r="U1426" s="307">
        <f t="shared" si="242"/>
        <v>0</v>
      </c>
      <c r="V1426" s="94">
        <f>IFERROR(VLOOKUP($G1426,基本資料!$A:$J,10,0),"無")</f>
        <v>0.05</v>
      </c>
      <c r="W1426" s="36">
        <f>RTD("money.excel",,"9929","Price")</f>
        <v>8.6199999999999992</v>
      </c>
      <c r="X1426" s="66"/>
      <c r="Y1426" s="15">
        <f t="shared" si="244"/>
        <v>8.6199999999999992</v>
      </c>
      <c r="Z1426" s="3" t="e">
        <f t="shared" si="245"/>
        <v>#DIV/0!</v>
      </c>
      <c r="AA1426" s="340">
        <f>IFERROR(VLOOKUP($G1426,基本資料!$A:$M,11,0),"無")</f>
        <v>-28.46</v>
      </c>
      <c r="AB1426" s="389">
        <f>IFERROR(VLOOKUP($G1426,基本資料!$A:$M,12,0),"無")</f>
        <v>23.79</v>
      </c>
      <c r="AC1426" s="22" t="s">
        <v>702</v>
      </c>
      <c r="AF1426" s="33">
        <f t="shared" si="246"/>
        <v>0</v>
      </c>
      <c r="AG1426" s="43" t="s">
        <v>2471</v>
      </c>
      <c r="AH1426" s="66">
        <f t="shared" si="247"/>
        <v>0.91697645600991318</v>
      </c>
      <c r="AI1426" s="283">
        <f>RTD("money.excel",,$G1426,"PredictVolume")</f>
        <v>37</v>
      </c>
      <c r="AJ1426" s="391">
        <f>IFERROR(VLOOKUP($G1426,基本資料!$A:$M,13,0),"無")</f>
        <v>40.35</v>
      </c>
      <c r="AR1426" s="245" t="str">
        <f>INDEX(基本資料!N:N,MATCH($G1426,基本資料!A:A,0))</f>
        <v>低</v>
      </c>
    </row>
    <row r="1427" spans="1:44">
      <c r="A1427" s="343">
        <f>IFERROR(VLOOKUP($G1427,基本資料!$A:$J,3,0),"無")</f>
        <v>24.85</v>
      </c>
      <c r="B1427" s="79">
        <f>IFERROR(VLOOKUP($G1427,基本資料!$A:$J,4,0),"無")</f>
        <v>-6</v>
      </c>
      <c r="C1427" s="79">
        <f>IFERROR(VLOOKUP($G1427,基本資料!$A:$J,5,0),"無")</f>
        <v>-7</v>
      </c>
      <c r="D1427" s="79">
        <f>IFERROR(VLOOKUP($G1427,基本資料!$A:$J,6,0),"無")</f>
        <v>3</v>
      </c>
      <c r="E1427" s="79">
        <f>IFERROR(VLOOKUP($G1427,基本資料!$A:$J,7,0),"無")</f>
        <v>16</v>
      </c>
      <c r="F1427" s="6">
        <f>IFERROR(VLOOKUP($G1427,基本資料!$A:$J,8,0),"無")</f>
        <v>8.2899999999999991</v>
      </c>
      <c r="G1427" s="79">
        <v>9930</v>
      </c>
      <c r="H1427" s="8" t="s">
        <v>1959</v>
      </c>
      <c r="I1427" s="22" t="s">
        <v>1096</v>
      </c>
      <c r="J1427" s="8">
        <f>IFERROR(VLOOKUP($G1427,今日總結!$A:$AN,39,0),"")</f>
        <v>0</v>
      </c>
      <c r="K1427" s="5">
        <f>IFERROR(VLOOKUP($G1427,今日總結!$A:$AN,40,0),"")</f>
        <v>0</v>
      </c>
      <c r="L1427" s="156">
        <f>IFERROR(VLOOKUP($G1427,今日總結!$A:$AN,37,0),"")</f>
        <v>0</v>
      </c>
      <c r="M1427" s="337">
        <f>IFERROR(VLOOKUP($G1427,今日總結!$A:$AN,38,0),"")</f>
        <v>0</v>
      </c>
      <c r="N1427" s="240">
        <f t="shared" si="243"/>
        <v>0</v>
      </c>
      <c r="O1427" s="359">
        <f>IFERROR(VLOOKUP($G1427,融外自投!$A:$J,7,0),"無")</f>
        <v>1434</v>
      </c>
      <c r="P1427" s="79">
        <f>IFERROR(VLOOKUP($G1427,融外自投!$A:$J,9,0),"無")</f>
        <v>790</v>
      </c>
      <c r="Q1427" s="342">
        <f>IFERROR(VLOOKUP($G1427,融外自投!$A:$J,8,0),"無")</f>
        <v>1068</v>
      </c>
      <c r="R1427" s="81" t="str">
        <f>IFERROR(VLOOKUP($G1427,融外自投!$A:$J,10,0),"無")</f>
        <v>無</v>
      </c>
      <c r="S1427" s="324">
        <f>IFERROR(VLOOKUP($G1427,'321買'!$A:$E,4,0),"'沒有資料'")</f>
        <v>1002</v>
      </c>
      <c r="T1427" s="186">
        <f>IFERROR(VLOOKUP($G1427,基本資料!$A:$J,9,0),"無")</f>
        <v>2.5</v>
      </c>
      <c r="U1427" s="307">
        <f t="shared" si="242"/>
        <v>5.3304904051172712E-2</v>
      </c>
      <c r="V1427" s="94">
        <f>IFERROR(VLOOKUP($G1427,基本資料!$A:$J,10,0),"無")</f>
        <v>2.86</v>
      </c>
      <c r="W1427" s="36">
        <f>RTD("money.excel",,"9930","Price")</f>
        <v>46.9</v>
      </c>
      <c r="X1427" s="66"/>
      <c r="Y1427" s="15">
        <f t="shared" si="244"/>
        <v>46.9</v>
      </c>
      <c r="Z1427" s="3" t="e">
        <f t="shared" si="245"/>
        <v>#DIV/0!</v>
      </c>
      <c r="AA1427" s="340">
        <f>IFERROR(VLOOKUP($G1427,基本資料!$A:$M,11,0),"無")</f>
        <v>-4.67</v>
      </c>
      <c r="AB1427" s="389">
        <f>IFERROR(VLOOKUP($G1427,基本資料!$A:$M,12,0),"無")</f>
        <v>37.64</v>
      </c>
      <c r="AC1427" s="22" t="s">
        <v>1096</v>
      </c>
      <c r="AF1427" s="33">
        <f t="shared" si="246"/>
        <v>0</v>
      </c>
      <c r="AG1427" s="43" t="s">
        <v>2845</v>
      </c>
      <c r="AH1427" s="66">
        <f t="shared" si="247"/>
        <v>0.76533483398987057</v>
      </c>
      <c r="AI1427" s="283">
        <f>RTD("money.excel",,$G1427,"PredictVolume")</f>
        <v>68</v>
      </c>
      <c r="AJ1427" s="391">
        <f>IFERROR(VLOOKUP($G1427,基本資料!$A:$M,13,0),"無")</f>
        <v>88.85</v>
      </c>
      <c r="AR1427" s="245" t="str">
        <f>INDEX(基本資料!N:N,MATCH($G1427,基本資料!A:A,0))</f>
        <v>中</v>
      </c>
    </row>
    <row r="1428" spans="1:44">
      <c r="A1428" s="343">
        <f>IFERROR(VLOOKUP($G1428,基本資料!$A:$J,3,0),"無")</f>
        <v>78.25</v>
      </c>
      <c r="B1428" s="79">
        <f>IFERROR(VLOOKUP($G1428,基本資料!$A:$J,4,0),"無")</f>
        <v>84</v>
      </c>
      <c r="C1428" s="79">
        <f>IFERROR(VLOOKUP($G1428,基本資料!$A:$J,5,0),"無")</f>
        <v>5</v>
      </c>
      <c r="D1428" s="79">
        <f>IFERROR(VLOOKUP($G1428,基本資料!$A:$J,6,0),"無")</f>
        <v>-11</v>
      </c>
      <c r="E1428" s="79">
        <f>IFERROR(VLOOKUP($G1428,基本資料!$A:$J,7,0),"無")</f>
        <v>73</v>
      </c>
      <c r="F1428" s="6">
        <f>IFERROR(VLOOKUP($G1428,基本資料!$A:$J,8,0),"無")</f>
        <v>3.08</v>
      </c>
      <c r="G1428" s="79">
        <v>9933</v>
      </c>
      <c r="H1428" s="8" t="s">
        <v>1959</v>
      </c>
      <c r="I1428" s="22" t="s">
        <v>122</v>
      </c>
      <c r="J1428" s="8">
        <f>IFERROR(VLOOKUP($G1428,今日總結!$A:$AN,39,0),"")</f>
        <v>0</v>
      </c>
      <c r="K1428" s="5">
        <f>IFERROR(VLOOKUP($G1428,今日總結!$A:$AN,40,0),"")</f>
        <v>0</v>
      </c>
      <c r="L1428" s="156">
        <f>IFERROR(VLOOKUP($G1428,今日總結!$A:$AN,37,0),"")</f>
        <v>0</v>
      </c>
      <c r="M1428" s="337">
        <f>IFERROR(VLOOKUP($G1428,今日總結!$A:$AN,38,0),"")</f>
        <v>0</v>
      </c>
      <c r="N1428" s="240">
        <f t="shared" si="243"/>
        <v>0</v>
      </c>
      <c r="O1428" s="359">
        <f>IFERROR(VLOOKUP($G1428,融外自投!$A:$J,7,0),"無")</f>
        <v>1153</v>
      </c>
      <c r="P1428" s="79">
        <f>IFERROR(VLOOKUP($G1428,融外自投!$A:$J,9,0),"無")</f>
        <v>276</v>
      </c>
      <c r="Q1428" s="342">
        <f>IFERROR(VLOOKUP($G1428,融外自投!$A:$J,8,0),"無")</f>
        <v>256</v>
      </c>
      <c r="R1428" s="81">
        <f>IFERROR(VLOOKUP($G1428,融外自投!$A:$J,10,0),"無")</f>
        <v>272</v>
      </c>
      <c r="S1428" s="324">
        <f>IFERROR(VLOOKUP($G1428,'321買'!$A:$E,4,0),"'沒有資料'")</f>
        <v>565</v>
      </c>
      <c r="T1428" s="186">
        <f>IFERROR(VLOOKUP($G1428,基本資料!$A:$J,9,0),"無")</f>
        <v>2.2999999999999998</v>
      </c>
      <c r="U1428" s="307">
        <f t="shared" si="242"/>
        <v>4.9999999999999996E-2</v>
      </c>
      <c r="V1428" s="94">
        <f>IFERROR(VLOOKUP($G1428,基本資料!$A:$J,10,0),"無")</f>
        <v>2.15</v>
      </c>
      <c r="W1428" s="36">
        <f>RTD("money.excel",,"9933","Price")</f>
        <v>46</v>
      </c>
      <c r="X1428" s="66"/>
      <c r="Y1428" s="15">
        <f t="shared" si="244"/>
        <v>46</v>
      </c>
      <c r="Z1428" s="3" t="e">
        <f t="shared" si="245"/>
        <v>#DIV/0!</v>
      </c>
      <c r="AA1428" s="340">
        <f>IFERROR(VLOOKUP($G1428,基本資料!$A:$M,11,0),"無")</f>
        <v>-7.54</v>
      </c>
      <c r="AB1428" s="389">
        <f>IFERROR(VLOOKUP($G1428,基本資料!$A:$M,12,0),"無")</f>
        <v>60.33</v>
      </c>
      <c r="AC1428" s="22" t="s">
        <v>122</v>
      </c>
      <c r="AF1428" s="33">
        <f t="shared" si="246"/>
        <v>0</v>
      </c>
      <c r="AG1428" s="117" t="s">
        <v>2846</v>
      </c>
      <c r="AH1428" s="66">
        <f t="shared" si="247"/>
        <v>0.64101362622532942</v>
      </c>
      <c r="AI1428" s="283">
        <f>RTD("money.excel",,$G1428,"PredictVolume")</f>
        <v>1710</v>
      </c>
      <c r="AJ1428" s="391">
        <f>IFERROR(VLOOKUP($G1428,基本資料!$A:$M,13,0),"無")</f>
        <v>2667.65</v>
      </c>
      <c r="AR1428" s="245" t="str">
        <f>INDEX(基本資料!N:N,MATCH($G1428,基本資料!A:A,0))</f>
        <v>高</v>
      </c>
    </row>
    <row r="1429" spans="1:44">
      <c r="A1429" s="343">
        <f>IFERROR(VLOOKUP($G1429,基本資料!$A:$J,3,0),"無")</f>
        <v>35.81</v>
      </c>
      <c r="B1429" s="79">
        <f>IFERROR(VLOOKUP($G1429,基本資料!$A:$J,4,0),"無")</f>
        <v>-95</v>
      </c>
      <c r="C1429" s="79">
        <f>IFERROR(VLOOKUP($G1429,基本資料!$A:$J,5,0),"無")</f>
        <v>-66</v>
      </c>
      <c r="D1429" s="79">
        <f>IFERROR(VLOOKUP($G1429,基本資料!$A:$J,6,0),"無")</f>
        <v>-8</v>
      </c>
      <c r="E1429" s="79">
        <f>IFERROR(VLOOKUP($G1429,基本資料!$A:$J,7,0),"無")</f>
        <v>-3</v>
      </c>
      <c r="F1429" s="6">
        <f>IFERROR(VLOOKUP($G1429,基本資料!$A:$J,8,0),"無")</f>
        <v>0.81</v>
      </c>
      <c r="G1429" s="79">
        <v>9934</v>
      </c>
      <c r="H1429" s="8" t="s">
        <v>1959</v>
      </c>
      <c r="I1429" s="22" t="s">
        <v>703</v>
      </c>
      <c r="J1429" s="8" t="str">
        <f>IFERROR(VLOOKUP($G1429,今日總結!$A:$AN,39,0),"")</f>
        <v>融</v>
      </c>
      <c r="K1429" s="5">
        <f>IFERROR(VLOOKUP($G1429,今日總結!$A:$AN,40,0),"")</f>
        <v>0</v>
      </c>
      <c r="L1429" s="156">
        <f>IFERROR(VLOOKUP($G1429,今日總結!$A:$AN,37,0),"")</f>
        <v>5</v>
      </c>
      <c r="M1429" s="337">
        <f>IFERROR(VLOOKUP($G1429,今日總結!$A:$AN,38,0),"")</f>
        <v>0</v>
      </c>
      <c r="N1429" s="240">
        <f t="shared" si="243"/>
        <v>5</v>
      </c>
      <c r="O1429" s="359">
        <f>IFERROR(VLOOKUP($G1429,融外自投!$A:$J,7,0),"無")</f>
        <v>898</v>
      </c>
      <c r="P1429" s="79">
        <f>IFERROR(VLOOKUP($G1429,融外自投!$A:$J,9,0),"無")</f>
        <v>908</v>
      </c>
      <c r="Q1429" s="342">
        <f>IFERROR(VLOOKUP($G1429,融外自投!$A:$J,8,0),"無")</f>
        <v>326</v>
      </c>
      <c r="R1429" s="81" t="str">
        <f>IFERROR(VLOOKUP($G1429,融外自投!$A:$J,10,0),"無")</f>
        <v>無</v>
      </c>
      <c r="S1429" s="324">
        <f>IFERROR(VLOOKUP($G1429,'321買'!$A:$E,4,0),"'沒有資料'")</f>
        <v>1002</v>
      </c>
      <c r="T1429" s="186">
        <f>IFERROR(VLOOKUP($G1429,基本資料!$A:$J,9,0),"無")</f>
        <v>0</v>
      </c>
      <c r="U1429" s="307">
        <f t="shared" si="242"/>
        <v>0</v>
      </c>
      <c r="V1429" s="94">
        <f>IFERROR(VLOOKUP($G1429,基本資料!$A:$J,10,0),"無")</f>
        <v>0.04</v>
      </c>
      <c r="W1429" s="36">
        <f>RTD("money.excel",,"9934","Price")</f>
        <v>11.9</v>
      </c>
      <c r="X1429" s="66"/>
      <c r="Y1429" s="15">
        <f t="shared" si="244"/>
        <v>11.9</v>
      </c>
      <c r="Z1429" s="3" t="e">
        <f t="shared" si="245"/>
        <v>#DIV/0!</v>
      </c>
      <c r="AA1429" s="340">
        <f>IFERROR(VLOOKUP($G1429,基本資料!$A:$M,11,0),"無")</f>
        <v>-34.25</v>
      </c>
      <c r="AB1429" s="389">
        <f>IFERROR(VLOOKUP($G1429,基本資料!$A:$M,12,0),"無")</f>
        <v>10.08</v>
      </c>
      <c r="AC1429" s="22" t="s">
        <v>703</v>
      </c>
      <c r="AF1429" s="33">
        <f t="shared" si="246"/>
        <v>0</v>
      </c>
      <c r="AG1429" s="43" t="s">
        <v>2847</v>
      </c>
      <c r="AH1429" s="66">
        <f t="shared" si="247"/>
        <v>0.89684677547139913</v>
      </c>
      <c r="AI1429" s="283">
        <f>RTD("money.excel",,$G1429,"PredictVolume")</f>
        <v>283</v>
      </c>
      <c r="AJ1429" s="391">
        <f>IFERROR(VLOOKUP($G1429,基本資料!$A:$M,13,0),"無")</f>
        <v>315.55</v>
      </c>
      <c r="AR1429" s="245" t="str">
        <f>INDEX(基本資料!N:N,MATCH($G1429,基本資料!A:A,0))</f>
        <v>低</v>
      </c>
    </row>
    <row r="1430" spans="1:44">
      <c r="A1430" s="343">
        <f>IFERROR(VLOOKUP($G1430,基本資料!$A:$J,3,0),"無")</f>
        <v>16.96</v>
      </c>
      <c r="B1430" s="79">
        <f>IFERROR(VLOOKUP($G1430,基本資料!$A:$J,4,0),"無")</f>
        <v>-78</v>
      </c>
      <c r="C1430" s="79">
        <f>IFERROR(VLOOKUP($G1430,基本資料!$A:$J,5,0),"無")</f>
        <v>-69</v>
      </c>
      <c r="D1430" s="79">
        <f>IFERROR(VLOOKUP($G1430,基本資料!$A:$J,6,0),"無")</f>
        <v>0</v>
      </c>
      <c r="E1430" s="79">
        <f>IFERROR(VLOOKUP($G1430,基本資料!$A:$J,7,0),"無")</f>
        <v>-4</v>
      </c>
      <c r="F1430" s="6">
        <f>IFERROR(VLOOKUP($G1430,基本資料!$A:$J,8,0),"無")</f>
        <v>3.7</v>
      </c>
      <c r="G1430" s="79">
        <v>9935</v>
      </c>
      <c r="H1430" s="8" t="s">
        <v>1959</v>
      </c>
      <c r="I1430" s="22" t="s">
        <v>704</v>
      </c>
      <c r="J1430" s="8">
        <f>IFERROR(VLOOKUP($G1430,今日總結!$A:$AN,39,0),"")</f>
        <v>0</v>
      </c>
      <c r="K1430" s="5">
        <f>IFERROR(VLOOKUP($G1430,今日總結!$A:$AN,40,0),"")</f>
        <v>0</v>
      </c>
      <c r="L1430" s="156">
        <f>IFERROR(VLOOKUP($G1430,今日總結!$A:$AN,37,0),"")</f>
        <v>0</v>
      </c>
      <c r="M1430" s="337">
        <f>IFERROR(VLOOKUP($G1430,今日總結!$A:$AN,38,0),"")</f>
        <v>0</v>
      </c>
      <c r="N1430" s="240">
        <f t="shared" si="243"/>
        <v>0</v>
      </c>
      <c r="O1430" s="359">
        <f>IFERROR(VLOOKUP($G1430,融外自投!$A:$J,7,0),"無")</f>
        <v>965</v>
      </c>
      <c r="P1430" s="79">
        <f>IFERROR(VLOOKUP($G1430,融外自投!$A:$J,9,0),"無")</f>
        <v>790</v>
      </c>
      <c r="Q1430" s="342">
        <f>IFERROR(VLOOKUP($G1430,融外自投!$A:$J,8,0),"無")</f>
        <v>777</v>
      </c>
      <c r="R1430" s="81" t="str">
        <f>IFERROR(VLOOKUP($G1430,融外自投!$A:$J,10,0),"無")</f>
        <v>無</v>
      </c>
      <c r="S1430" s="324">
        <f>IFERROR(VLOOKUP($G1430,'321買'!$A:$E,4,0),"'沒有資料'")</f>
        <v>1002</v>
      </c>
      <c r="T1430" s="186">
        <f>IFERROR(VLOOKUP($G1430,基本資料!$A:$J,9,0),"無")</f>
        <v>0.51</v>
      </c>
      <c r="U1430" s="307">
        <f t="shared" si="242"/>
        <v>2.9142857142857144E-2</v>
      </c>
      <c r="V1430" s="94">
        <f>IFERROR(VLOOKUP($G1430,基本資料!$A:$J,10,0),"無")</f>
        <v>0.46</v>
      </c>
      <c r="W1430" s="36">
        <f>RTD("money.excel",,"9935","Price")</f>
        <v>17.5</v>
      </c>
      <c r="X1430" s="66"/>
      <c r="Y1430" s="15">
        <f t="shared" si="244"/>
        <v>17.5</v>
      </c>
      <c r="Z1430" s="3" t="e">
        <f t="shared" si="245"/>
        <v>#DIV/0!</v>
      </c>
      <c r="AA1430" s="340">
        <f>IFERROR(VLOOKUP($G1430,基本資料!$A:$M,11,0),"無")</f>
        <v>-25.37</v>
      </c>
      <c r="AB1430" s="389">
        <f>IFERROR(VLOOKUP($G1430,基本資料!$A:$M,12,0),"無")</f>
        <v>51.57</v>
      </c>
      <c r="AC1430" s="22" t="s">
        <v>704</v>
      </c>
      <c r="AF1430" s="33">
        <f t="shared" si="246"/>
        <v>0</v>
      </c>
      <c r="AG1430" s="43" t="s">
        <v>1417</v>
      </c>
      <c r="AH1430" s="66">
        <f t="shared" si="247"/>
        <v>0.65290806754221387</v>
      </c>
      <c r="AI1430" s="283">
        <f>RTD("money.excel",,$G1430,"PredictVolume")</f>
        <v>87</v>
      </c>
      <c r="AJ1430" s="391">
        <f>IFERROR(VLOOKUP($G1430,基本資料!$A:$M,13,0),"無")</f>
        <v>133.25</v>
      </c>
      <c r="AR1430" s="245" t="str">
        <f>INDEX(基本資料!N:N,MATCH($G1430,基本資料!A:A,0))</f>
        <v>低</v>
      </c>
    </row>
    <row r="1431" spans="1:44">
      <c r="A1431" s="343">
        <f>IFERROR(VLOOKUP($G1431,基本資料!$A:$J,3,0),"無")</f>
        <v>29.79</v>
      </c>
      <c r="B1431" s="79">
        <f>IFERROR(VLOOKUP($G1431,基本資料!$A:$J,4,0),"無")</f>
        <v>48</v>
      </c>
      <c r="C1431" s="79">
        <f>IFERROR(VLOOKUP($G1431,基本資料!$A:$J,5,0),"無")</f>
        <v>41</v>
      </c>
      <c r="D1431" s="79">
        <f>IFERROR(VLOOKUP($G1431,基本資料!$A:$J,6,0),"無")</f>
        <v>6</v>
      </c>
      <c r="E1431" s="79">
        <f>IFERROR(VLOOKUP($G1431,基本資料!$A:$J,7,0),"無")</f>
        <v>-37</v>
      </c>
      <c r="F1431" s="6">
        <f>IFERROR(VLOOKUP($G1431,基本資料!$A:$J,8,0),"無")</f>
        <v>21.75</v>
      </c>
      <c r="G1431" s="79">
        <v>9938</v>
      </c>
      <c r="H1431" s="8" t="s">
        <v>235</v>
      </c>
      <c r="I1431" s="22" t="s">
        <v>136</v>
      </c>
      <c r="J1431" s="8">
        <f>IFERROR(VLOOKUP($G1431,今日總結!$A:$AN,39,0),"")</f>
        <v>0</v>
      </c>
      <c r="K1431" s="5">
        <f>IFERROR(VLOOKUP($G1431,今日總結!$A:$AN,40,0),"")</f>
        <v>0</v>
      </c>
      <c r="L1431" s="156">
        <f>IFERROR(VLOOKUP($G1431,今日總結!$A:$AN,37,0),"")</f>
        <v>0</v>
      </c>
      <c r="M1431" s="337">
        <f>IFERROR(VLOOKUP($G1431,今日總結!$A:$AN,38,0),"")</f>
        <v>0</v>
      </c>
      <c r="N1431" s="240">
        <f t="shared" si="243"/>
        <v>0</v>
      </c>
      <c r="O1431" s="359">
        <f>IFERROR(VLOOKUP($G1431,融外自投!$A:$J,7,0),"無")</f>
        <v>1071</v>
      </c>
      <c r="P1431" s="79">
        <f>IFERROR(VLOOKUP($G1431,融外自投!$A:$J,9,0),"無")</f>
        <v>414</v>
      </c>
      <c r="Q1431" s="342">
        <f>IFERROR(VLOOKUP($G1431,融外自投!$A:$J,8,0),"無")</f>
        <v>179</v>
      </c>
      <c r="R1431" s="81">
        <f>IFERROR(VLOOKUP($G1431,融外自投!$A:$J,10,0),"無")</f>
        <v>459</v>
      </c>
      <c r="S1431" s="324">
        <f>IFERROR(VLOOKUP($G1431,'321買'!$A:$E,4,0),"'沒有資料'")</f>
        <v>440</v>
      </c>
      <c r="T1431" s="186">
        <f>IFERROR(VLOOKUP($G1431,基本資料!$A:$J,9,0),"無")</f>
        <v>3.5</v>
      </c>
      <c r="U1431" s="307">
        <f t="shared" si="242"/>
        <v>5.2950075642965208E-2</v>
      </c>
      <c r="V1431" s="94">
        <f>IFERROR(VLOOKUP($G1431,基本資料!$A:$J,10,0),"無")</f>
        <v>6.91</v>
      </c>
      <c r="W1431" s="36">
        <f>RTD("money.excel",,"9938","Price")</f>
        <v>66.099999999999994</v>
      </c>
      <c r="X1431" s="66"/>
      <c r="Y1431" s="15">
        <f t="shared" si="244"/>
        <v>66.099999999999994</v>
      </c>
      <c r="Z1431" s="3" t="e">
        <f t="shared" si="245"/>
        <v>#DIV/0!</v>
      </c>
      <c r="AA1431" s="340">
        <f>IFERROR(VLOOKUP($G1431,基本資料!$A:$M,11,0),"無")</f>
        <v>-39.36</v>
      </c>
      <c r="AB1431" s="389">
        <f>IFERROR(VLOOKUP($G1431,基本資料!$A:$M,12,0),"無")</f>
        <v>23.01</v>
      </c>
      <c r="AC1431" s="22" t="s">
        <v>136</v>
      </c>
      <c r="AF1431" s="33">
        <f t="shared" si="246"/>
        <v>0</v>
      </c>
      <c r="AG1431" s="117" t="s">
        <v>2848</v>
      </c>
      <c r="AH1431" s="66">
        <f t="shared" si="247"/>
        <v>0.53678774024214715</v>
      </c>
      <c r="AI1431" s="283">
        <f>RTD("money.excel",,$G1431,"PredictVolume")</f>
        <v>317</v>
      </c>
      <c r="AJ1431" s="391">
        <f>IFERROR(VLOOKUP($G1431,基本資料!$A:$M,13,0),"無")</f>
        <v>590.54999999999995</v>
      </c>
      <c r="AR1431" s="245" t="str">
        <f>INDEX(基本資料!N:N,MATCH($G1431,基本資料!A:A,0))</f>
        <v>低</v>
      </c>
    </row>
    <row r="1432" spans="1:44">
      <c r="A1432" s="343">
        <f>IFERROR(VLOOKUP($G1432,基本資料!$A:$J,3,0),"無")</f>
        <v>28.77</v>
      </c>
      <c r="B1432" s="79">
        <f>IFERROR(VLOOKUP($G1432,基本資料!$A:$J,4,0),"無")</f>
        <v>17</v>
      </c>
      <c r="C1432" s="79">
        <f>IFERROR(VLOOKUP($G1432,基本資料!$A:$J,5,0),"無")</f>
        <v>29</v>
      </c>
      <c r="D1432" s="79">
        <f>IFERROR(VLOOKUP($G1432,基本資料!$A:$J,6,0),"無")</f>
        <v>-10</v>
      </c>
      <c r="E1432" s="79">
        <f>IFERROR(VLOOKUP($G1432,基本資料!$A:$J,7,0),"無")</f>
        <v>2</v>
      </c>
      <c r="F1432" s="6">
        <f>IFERROR(VLOOKUP($G1432,基本資料!$A:$J,8,0),"無")</f>
        <v>13.23</v>
      </c>
      <c r="G1432" s="79">
        <v>9939</v>
      </c>
      <c r="H1432" s="8" t="s">
        <v>1959</v>
      </c>
      <c r="I1432" s="22" t="s">
        <v>705</v>
      </c>
      <c r="J1432" s="8">
        <f>IFERROR(VLOOKUP($G1432,今日總結!$A:$AN,39,0),"")</f>
        <v>0</v>
      </c>
      <c r="K1432" s="5">
        <f>IFERROR(VLOOKUP($G1432,今日總結!$A:$AN,40,0),"")</f>
        <v>0</v>
      </c>
      <c r="L1432" s="156">
        <f>IFERROR(VLOOKUP($G1432,今日總結!$A:$AN,37,0),"")</f>
        <v>0</v>
      </c>
      <c r="M1432" s="337">
        <f>IFERROR(VLOOKUP($G1432,今日總結!$A:$AN,38,0),"")</f>
        <v>0</v>
      </c>
      <c r="N1432" s="240">
        <f t="shared" si="243"/>
        <v>0</v>
      </c>
      <c r="O1432" s="359">
        <f>IFERROR(VLOOKUP($G1432,融外自投!$A:$J,7,0),"無")</f>
        <v>1064</v>
      </c>
      <c r="P1432" s="79">
        <f>IFERROR(VLOOKUP($G1432,融外自投!$A:$J,9,0),"無")</f>
        <v>161</v>
      </c>
      <c r="Q1432" s="342">
        <f>IFERROR(VLOOKUP($G1432,融外自投!$A:$J,8,0),"無")</f>
        <v>164</v>
      </c>
      <c r="R1432" s="81">
        <f>IFERROR(VLOOKUP($G1432,融外自投!$A:$J,10,0),"無")</f>
        <v>276</v>
      </c>
      <c r="S1432" s="324">
        <f>IFERROR(VLOOKUP($G1432,'321買'!$A:$E,4,0),"'沒有資料'")</f>
        <v>394</v>
      </c>
      <c r="T1432" s="186">
        <f>IFERROR(VLOOKUP($G1432,基本資料!$A:$J,9,0),"無")</f>
        <v>4.3</v>
      </c>
      <c r="U1432" s="307">
        <f t="shared" si="242"/>
        <v>5.8029689608636977E-2</v>
      </c>
      <c r="V1432" s="94">
        <f>IFERROR(VLOOKUP($G1432,基本資料!$A:$J,10,0),"無")</f>
        <v>6.83</v>
      </c>
      <c r="W1432" s="36">
        <f>RTD("money.excel",,"9939","Price")</f>
        <v>74.099999999999994</v>
      </c>
      <c r="X1432" s="66"/>
      <c r="Y1432" s="15">
        <f t="shared" si="244"/>
        <v>74.099999999999994</v>
      </c>
      <c r="Z1432" s="3" t="e">
        <f t="shared" si="245"/>
        <v>#DIV/0!</v>
      </c>
      <c r="AA1432" s="340">
        <f>IFERROR(VLOOKUP($G1432,基本資料!$A:$M,11,0),"無")</f>
        <v>-8.74</v>
      </c>
      <c r="AB1432" s="389">
        <f>IFERROR(VLOOKUP($G1432,基本資料!$A:$M,12,0),"無")</f>
        <v>27.6</v>
      </c>
      <c r="AC1432" s="22" t="s">
        <v>705</v>
      </c>
      <c r="AF1432" s="33">
        <f t="shared" si="246"/>
        <v>0</v>
      </c>
      <c r="AG1432" s="43" t="s">
        <v>2835</v>
      </c>
      <c r="AH1432" s="66">
        <f t="shared" si="247"/>
        <v>1.103331211542542</v>
      </c>
      <c r="AI1432" s="283">
        <f>RTD("money.excel",,$G1432,"PredictVolume")</f>
        <v>520</v>
      </c>
      <c r="AJ1432" s="391">
        <f>IFERROR(VLOOKUP($G1432,基本資料!$A:$M,13,0),"無")</f>
        <v>471.3</v>
      </c>
      <c r="AR1432" s="245" t="str">
        <f>INDEX(基本資料!N:N,MATCH($G1432,基本資料!A:A,0))</f>
        <v>中</v>
      </c>
    </row>
    <row r="1433" spans="1:44">
      <c r="A1433" s="343">
        <f>IFERROR(VLOOKUP($G1433,基本資料!$A:$J,3,0),"無")</f>
        <v>73.680000000000007</v>
      </c>
      <c r="B1433" s="79">
        <f>IFERROR(VLOOKUP($G1433,基本資料!$A:$J,4,0),"無")</f>
        <v>51</v>
      </c>
      <c r="C1433" s="79">
        <f>IFERROR(VLOOKUP($G1433,基本資料!$A:$J,5,0),"無")</f>
        <v>48</v>
      </c>
      <c r="D1433" s="79">
        <f>IFERROR(VLOOKUP($G1433,基本資料!$A:$J,6,0),"無")</f>
        <v>-16</v>
      </c>
      <c r="E1433" s="79">
        <f>IFERROR(VLOOKUP($G1433,基本資料!$A:$J,7,0),"無")</f>
        <v>-17</v>
      </c>
      <c r="F1433" s="6">
        <f>IFERROR(VLOOKUP($G1433,基本資料!$A:$J,8,0),"無")</f>
        <v>16.670000000000002</v>
      </c>
      <c r="G1433" s="79">
        <v>9940</v>
      </c>
      <c r="H1433" s="8" t="s">
        <v>1959</v>
      </c>
      <c r="I1433" s="22" t="s">
        <v>92</v>
      </c>
      <c r="J1433" s="8">
        <f>IFERROR(VLOOKUP($G1433,今日總結!$A:$AN,39,0),"")</f>
        <v>0</v>
      </c>
      <c r="K1433" s="5">
        <f>IFERROR(VLOOKUP($G1433,今日總結!$A:$AN,40,0),"")</f>
        <v>0</v>
      </c>
      <c r="L1433" s="156">
        <f>IFERROR(VLOOKUP($G1433,今日總結!$A:$AN,37,0),"")</f>
        <v>0</v>
      </c>
      <c r="M1433" s="337">
        <f>IFERROR(VLOOKUP($G1433,今日總結!$A:$AN,38,0),"")</f>
        <v>0</v>
      </c>
      <c r="N1433" s="240">
        <f t="shared" si="243"/>
        <v>0</v>
      </c>
      <c r="O1433" s="359">
        <f>IFERROR(VLOOKUP($G1433,融外自投!$A:$J,7,0),"無")</f>
        <v>1360</v>
      </c>
      <c r="P1433" s="79">
        <f>IFERROR(VLOOKUP($G1433,融外自投!$A:$J,9,0),"無")</f>
        <v>825</v>
      </c>
      <c r="Q1433" s="342">
        <f>IFERROR(VLOOKUP($G1433,融外自投!$A:$J,8,0),"無")</f>
        <v>718</v>
      </c>
      <c r="R1433" s="81">
        <f>IFERROR(VLOOKUP($G1433,融外自投!$A:$J,10,0),"無")</f>
        <v>276</v>
      </c>
      <c r="S1433" s="324">
        <f>IFERROR(VLOOKUP($G1433,'321買'!$A:$E,4,0),"'沒有資料'")</f>
        <v>891</v>
      </c>
      <c r="T1433" s="186">
        <f>IFERROR(VLOOKUP($G1433,基本資料!$A:$J,9,0),"無")</f>
        <v>2.8</v>
      </c>
      <c r="U1433" s="307">
        <f t="shared" si="242"/>
        <v>8.3707025411061273E-2</v>
      </c>
      <c r="V1433" s="94">
        <f>IFERROR(VLOOKUP($G1433,基本資料!$A:$J,10,0),"無")</f>
        <v>3.19</v>
      </c>
      <c r="W1433" s="36">
        <f>RTD("money.excel",,"9940","Price")</f>
        <v>33.450000000000003</v>
      </c>
      <c r="X1433" s="66"/>
      <c r="Y1433" s="15">
        <f t="shared" si="244"/>
        <v>33.450000000000003</v>
      </c>
      <c r="Z1433" s="3" t="e">
        <f t="shared" si="245"/>
        <v>#DIV/0!</v>
      </c>
      <c r="AA1433" s="340">
        <f>IFERROR(VLOOKUP($G1433,基本資料!$A:$M,11,0),"無")</f>
        <v>-11.27</v>
      </c>
      <c r="AB1433" s="389">
        <f>IFERROR(VLOOKUP($G1433,基本資料!$A:$M,12,0),"無")</f>
        <v>23.55</v>
      </c>
      <c r="AC1433" s="22" t="s">
        <v>92</v>
      </c>
      <c r="AF1433" s="33">
        <f t="shared" si="246"/>
        <v>0</v>
      </c>
      <c r="AG1433" s="117" t="s">
        <v>1420</v>
      </c>
      <c r="AH1433" s="66">
        <f t="shared" si="247"/>
        <v>0.95677050222504756</v>
      </c>
      <c r="AI1433" s="283">
        <f>RTD("money.excel",,$G1433,"PredictVolume")</f>
        <v>301</v>
      </c>
      <c r="AJ1433" s="391">
        <f>IFERROR(VLOOKUP($G1433,基本資料!$A:$M,13,0),"無")</f>
        <v>314.60000000000002</v>
      </c>
      <c r="AR1433" s="245" t="str">
        <f>INDEX(基本資料!N:N,MATCH($G1433,基本資料!A:A,0))</f>
        <v>中</v>
      </c>
    </row>
    <row r="1434" spans="1:44">
      <c r="A1434" s="343">
        <f>IFERROR(VLOOKUP($G1434,基本資料!$A:$J,3,0),"無")</f>
        <v>38.21</v>
      </c>
      <c r="B1434" s="79">
        <f>IFERROR(VLOOKUP($G1434,基本資料!$A:$J,4,0),"無")</f>
        <v>84</v>
      </c>
      <c r="C1434" s="79">
        <f>IFERROR(VLOOKUP($G1434,基本資料!$A:$J,5,0),"無")</f>
        <v>90</v>
      </c>
      <c r="D1434" s="79">
        <f>IFERROR(VLOOKUP($G1434,基本資料!$A:$J,6,0),"無")</f>
        <v>0</v>
      </c>
      <c r="E1434" s="79">
        <f>IFERROR(VLOOKUP($G1434,基本資料!$A:$J,7,0),"無")</f>
        <v>8</v>
      </c>
      <c r="F1434" s="6">
        <f>IFERROR(VLOOKUP($G1434,基本資料!$A:$J,8,0),"無")</f>
        <v>21.32</v>
      </c>
      <c r="G1434" s="79">
        <v>9941</v>
      </c>
      <c r="H1434" s="8" t="s">
        <v>1959</v>
      </c>
      <c r="I1434" s="22" t="s">
        <v>123</v>
      </c>
      <c r="J1434" s="8">
        <f>IFERROR(VLOOKUP($G1434,今日總結!$A:$AN,39,0),"")</f>
        <v>0</v>
      </c>
      <c r="K1434" s="5">
        <f>IFERROR(VLOOKUP($G1434,今日總結!$A:$AN,40,0),"")</f>
        <v>0</v>
      </c>
      <c r="L1434" s="156">
        <f>IFERROR(VLOOKUP($G1434,今日總結!$A:$AN,37,0),"")</f>
        <v>0</v>
      </c>
      <c r="M1434" s="337">
        <f>IFERROR(VLOOKUP($G1434,今日總結!$A:$AN,38,0),"")</f>
        <v>0</v>
      </c>
      <c r="N1434" s="240">
        <f t="shared" si="243"/>
        <v>0</v>
      </c>
      <c r="O1434" s="359">
        <f>IFERROR(VLOOKUP($G1434,融外自投!$A:$J,7,0),"無")</f>
        <v>1316</v>
      </c>
      <c r="P1434" s="79">
        <f>IFERROR(VLOOKUP($G1434,融外自投!$A:$J,9,0),"無")</f>
        <v>946</v>
      </c>
      <c r="Q1434" s="342">
        <f>IFERROR(VLOOKUP($G1434,融外自投!$A:$J,8,0),"無")</f>
        <v>650</v>
      </c>
      <c r="R1434" s="81">
        <f>IFERROR(VLOOKUP($G1434,融外自投!$A:$J,10,0),"無")</f>
        <v>332</v>
      </c>
      <c r="S1434" s="324">
        <f>IFERROR(VLOOKUP($G1434,'321買'!$A:$E,4,0),"'沒有資料'")</f>
        <v>530</v>
      </c>
      <c r="T1434" s="186">
        <f>IFERROR(VLOOKUP($G1434,基本資料!$A:$J,9,0),"無")</f>
        <v>7.2</v>
      </c>
      <c r="U1434" s="307">
        <f t="shared" si="242"/>
        <v>3.4615384615384617E-2</v>
      </c>
      <c r="V1434" s="94">
        <f>IFERROR(VLOOKUP($G1434,基本資料!$A:$J,10,0),"無")</f>
        <v>12.96</v>
      </c>
      <c r="W1434" s="36">
        <f>RTD("money.excel",,"9941","Price")</f>
        <v>208</v>
      </c>
      <c r="X1434" s="66"/>
      <c r="Y1434" s="15">
        <f t="shared" si="244"/>
        <v>208</v>
      </c>
      <c r="Z1434" s="3" t="e">
        <f t="shared" si="245"/>
        <v>#DIV/0!</v>
      </c>
      <c r="AA1434" s="340">
        <f>IFERROR(VLOOKUP($G1434,基本資料!$A:$M,11,0),"無")</f>
        <v>-18.11</v>
      </c>
      <c r="AB1434" s="389">
        <f>IFERROR(VLOOKUP($G1434,基本資料!$A:$M,12,0),"無")</f>
        <v>39.130000000000003</v>
      </c>
      <c r="AC1434" s="22" t="s">
        <v>123</v>
      </c>
      <c r="AF1434" s="33">
        <f t="shared" si="246"/>
        <v>0</v>
      </c>
      <c r="AG1434" s="117" t="s">
        <v>2108</v>
      </c>
      <c r="AH1434" s="66">
        <f t="shared" si="247"/>
        <v>0.70352206865804723</v>
      </c>
      <c r="AI1434" s="283">
        <f>RTD("money.excel",,$G1434,"PredictVolume")</f>
        <v>789</v>
      </c>
      <c r="AJ1434" s="391">
        <f>IFERROR(VLOOKUP($G1434,基本資料!$A:$M,13,0),"無")</f>
        <v>1121.5</v>
      </c>
      <c r="AR1434" s="245" t="str">
        <f>INDEX(基本資料!N:N,MATCH($G1434,基本資料!A:A,0))</f>
        <v>中</v>
      </c>
    </row>
    <row r="1435" spans="1:44">
      <c r="A1435" s="343">
        <f>IFERROR(VLOOKUP($G1435,基本資料!$A:$J,3,0),"無")</f>
        <v>8.31</v>
      </c>
      <c r="B1435" s="79">
        <f>IFERROR(VLOOKUP($G1435,基本資料!$A:$J,4,0),"無")</f>
        <v>39</v>
      </c>
      <c r="C1435" s="79">
        <f>IFERROR(VLOOKUP($G1435,基本資料!$A:$J,5,0),"無")</f>
        <v>64</v>
      </c>
      <c r="D1435" s="79">
        <f>IFERROR(VLOOKUP($G1435,基本資料!$A:$J,6,0),"無")</f>
        <v>-28</v>
      </c>
      <c r="E1435" s="79">
        <f>IFERROR(VLOOKUP($G1435,基本資料!$A:$J,7,0),"無")</f>
        <v>-21</v>
      </c>
      <c r="F1435" s="6">
        <f>IFERROR(VLOOKUP($G1435,基本資料!$A:$J,8,0),"無")</f>
        <v>20.48</v>
      </c>
      <c r="G1435" s="79">
        <v>9942</v>
      </c>
      <c r="H1435" s="8" t="s">
        <v>1959</v>
      </c>
      <c r="I1435" s="22" t="s">
        <v>706</v>
      </c>
      <c r="J1435" s="8">
        <f>IFERROR(VLOOKUP($G1435,今日總結!$A:$AN,39,0),"")</f>
        <v>0</v>
      </c>
      <c r="K1435" s="5">
        <f>IFERROR(VLOOKUP($G1435,今日總結!$A:$AN,40,0),"")</f>
        <v>0</v>
      </c>
      <c r="L1435" s="156">
        <f>IFERROR(VLOOKUP($G1435,今日總結!$A:$AN,37,0),"")</f>
        <v>0</v>
      </c>
      <c r="M1435" s="337">
        <f>IFERROR(VLOOKUP($G1435,今日總結!$A:$AN,38,0),"")</f>
        <v>0</v>
      </c>
      <c r="N1435" s="240">
        <f t="shared" si="243"/>
        <v>0</v>
      </c>
      <c r="O1435" s="359">
        <f>IFERROR(VLOOKUP($G1435,融外自投!$A:$J,7,0),"無")</f>
        <v>1045</v>
      </c>
      <c r="P1435" s="79" t="str">
        <f>IFERROR(VLOOKUP($G1435,融外自投!$A:$J,9,0),"無")</f>
        <v>無</v>
      </c>
      <c r="Q1435" s="342">
        <f>IFERROR(VLOOKUP($G1435,融外自投!$A:$J,8,0),"無")</f>
        <v>914</v>
      </c>
      <c r="R1435" s="81" t="str">
        <f>IFERROR(VLOOKUP($G1435,融外自投!$A:$J,10,0),"無")</f>
        <v>無</v>
      </c>
      <c r="S1435" s="324">
        <f>IFERROR(VLOOKUP($G1435,'321買'!$A:$E,4,0),"'沒有資料'")</f>
        <v>1002</v>
      </c>
      <c r="T1435" s="186">
        <f>IFERROR(VLOOKUP($G1435,基本資料!$A:$J,9,0),"無")</f>
        <v>5</v>
      </c>
      <c r="U1435" s="307">
        <f t="shared" si="242"/>
        <v>5.9311981020166077E-2</v>
      </c>
      <c r="V1435" s="94">
        <f>IFERROR(VLOOKUP($G1435,基本資料!$A:$J,10,0),"無")</f>
        <v>6.49</v>
      </c>
      <c r="W1435" s="36">
        <f>RTD("money.excel",,"9942","Price")</f>
        <v>84.3</v>
      </c>
      <c r="X1435" s="66"/>
      <c r="Y1435" s="15">
        <f t="shared" si="244"/>
        <v>84.3</v>
      </c>
      <c r="Z1435" s="3" t="e">
        <f t="shared" si="245"/>
        <v>#DIV/0!</v>
      </c>
      <c r="AA1435" s="340">
        <f>IFERROR(VLOOKUP($G1435,基本資料!$A:$M,11,0),"無")</f>
        <v>-26.38</v>
      </c>
      <c r="AB1435" s="389">
        <f>IFERROR(VLOOKUP($G1435,基本資料!$A:$M,12,0),"無")</f>
        <v>21.77</v>
      </c>
      <c r="AC1435" s="22" t="s">
        <v>706</v>
      </c>
      <c r="AF1435" s="33">
        <f t="shared" si="246"/>
        <v>0</v>
      </c>
      <c r="AG1435" s="43" t="s">
        <v>2849</v>
      </c>
      <c r="AH1435" s="66">
        <f t="shared" si="247"/>
        <v>0.50730207532667182</v>
      </c>
      <c r="AI1435" s="283">
        <f>RTD("money.excel",,$G1435,"PredictVolume")</f>
        <v>33</v>
      </c>
      <c r="AJ1435" s="391">
        <f>IFERROR(VLOOKUP($G1435,基本資料!$A:$M,13,0),"無")</f>
        <v>65.05</v>
      </c>
      <c r="AR1435" s="245" t="str">
        <f>INDEX(基本資料!N:N,MATCH($G1435,基本資料!A:A,0))</f>
        <v>低</v>
      </c>
    </row>
    <row r="1436" spans="1:44">
      <c r="A1436" s="343">
        <f>IFERROR(VLOOKUP($G1436,基本資料!$A:$J,3,0),"無")</f>
        <v>10.91</v>
      </c>
      <c r="B1436" s="79">
        <f>IFERROR(VLOOKUP($G1436,基本資料!$A:$J,4,0),"無")</f>
        <v>483</v>
      </c>
      <c r="C1436" s="79">
        <f>IFERROR(VLOOKUP($G1436,基本資料!$A:$J,5,0),"無")</f>
        <v>-50</v>
      </c>
      <c r="D1436" s="79">
        <f>IFERROR(VLOOKUP($G1436,基本資料!$A:$J,6,0),"無")</f>
        <v>-16</v>
      </c>
      <c r="E1436" s="79">
        <f>IFERROR(VLOOKUP($G1436,基本資料!$A:$J,7,0),"無")</f>
        <v>-13</v>
      </c>
      <c r="F1436" s="6">
        <f>IFERROR(VLOOKUP($G1436,基本資料!$A:$J,8,0),"無")</f>
        <v>1.82</v>
      </c>
      <c r="G1436" s="79">
        <v>9944</v>
      </c>
      <c r="H1436" s="8" t="s">
        <v>1959</v>
      </c>
      <c r="I1436" s="22" t="s">
        <v>707</v>
      </c>
      <c r="J1436" s="8" t="str">
        <f>IFERROR(VLOOKUP($G1436,今日總結!$A:$AN,39,0),"")</f>
        <v>融</v>
      </c>
      <c r="K1436" s="5">
        <f>IFERROR(VLOOKUP($G1436,今日總結!$A:$AN,40,0),"")</f>
        <v>0</v>
      </c>
      <c r="L1436" s="156">
        <f>IFERROR(VLOOKUP($G1436,今日總結!$A:$AN,37,0),"")</f>
        <v>3</v>
      </c>
      <c r="M1436" s="337">
        <f>IFERROR(VLOOKUP($G1436,今日總結!$A:$AN,38,0),"")</f>
        <v>0</v>
      </c>
      <c r="N1436" s="240">
        <f t="shared" si="243"/>
        <v>3</v>
      </c>
      <c r="O1436" s="359">
        <f>IFERROR(VLOOKUP($G1436,融外自投!$A:$J,7,0),"無")</f>
        <v>133</v>
      </c>
      <c r="P1436" s="79">
        <f>IFERROR(VLOOKUP($G1436,融外自投!$A:$J,9,0),"無")</f>
        <v>565</v>
      </c>
      <c r="Q1436" s="342">
        <f>IFERROR(VLOOKUP($G1436,融外自投!$A:$J,8,0),"無")</f>
        <v>1073</v>
      </c>
      <c r="R1436" s="81" t="str">
        <f>IFERROR(VLOOKUP($G1436,融外自投!$A:$J,10,0),"無")</f>
        <v>無</v>
      </c>
      <c r="S1436" s="324">
        <f>IFERROR(VLOOKUP($G1436,'321買'!$A:$E,4,0),"'沒有資料'")</f>
        <v>1002</v>
      </c>
      <c r="T1436" s="186">
        <f>IFERROR(VLOOKUP($G1436,基本資料!$A:$J,9,0),"無")</f>
        <v>1</v>
      </c>
      <c r="U1436" s="307">
        <f t="shared" si="242"/>
        <v>4.987531172069825E-2</v>
      </c>
      <c r="V1436" s="94">
        <f>IFERROR(VLOOKUP($G1436,基本資料!$A:$J,10,0),"無")</f>
        <v>4.71</v>
      </c>
      <c r="W1436" s="36">
        <f>RTD("money.excel",,"9944","Price")</f>
        <v>20.05</v>
      </c>
      <c r="X1436" s="66"/>
      <c r="Y1436" s="15">
        <f t="shared" si="244"/>
        <v>20.05</v>
      </c>
      <c r="Z1436" s="3" t="e">
        <f t="shared" si="245"/>
        <v>#DIV/0!</v>
      </c>
      <c r="AA1436" s="340">
        <f>IFERROR(VLOOKUP($G1436,基本資料!$A:$M,11,0),"無")</f>
        <v>-18.5</v>
      </c>
      <c r="AB1436" s="389">
        <f>IFERROR(VLOOKUP($G1436,基本資料!$A:$M,12,0),"無")</f>
        <v>21.31</v>
      </c>
      <c r="AC1436" s="22" t="s">
        <v>707</v>
      </c>
      <c r="AF1436" s="33">
        <f t="shared" si="246"/>
        <v>0</v>
      </c>
      <c r="AG1436" s="43" t="s">
        <v>2850</v>
      </c>
      <c r="AH1436" s="66">
        <f t="shared" si="247"/>
        <v>2.3538461538461539</v>
      </c>
      <c r="AI1436" s="283">
        <f>RTD("money.excel",,$G1436,"PredictVolume")</f>
        <v>306</v>
      </c>
      <c r="AJ1436" s="391">
        <f>IFERROR(VLOOKUP($G1436,基本資料!$A:$M,13,0),"無")</f>
        <v>130</v>
      </c>
      <c r="AR1436" s="245" t="str">
        <f>INDEX(基本資料!N:N,MATCH($G1436,基本資料!A:A,0))</f>
        <v>低</v>
      </c>
    </row>
    <row r="1437" spans="1:44">
      <c r="A1437" s="343">
        <f>IFERROR(VLOOKUP($G1437,基本資料!$A:$J,3,0),"無")</f>
        <v>210</v>
      </c>
      <c r="B1437" s="79">
        <f>IFERROR(VLOOKUP($G1437,基本資料!$A:$J,4,0),"無")</f>
        <v>88</v>
      </c>
      <c r="C1437" s="79">
        <f>IFERROR(VLOOKUP($G1437,基本資料!$A:$J,5,0),"無")</f>
        <v>72</v>
      </c>
      <c r="D1437" s="79">
        <f>IFERROR(VLOOKUP($G1437,基本資料!$A:$J,6,0),"無")</f>
        <v>9</v>
      </c>
      <c r="E1437" s="79">
        <f>IFERROR(VLOOKUP($G1437,基本資料!$A:$J,7,0),"無")</f>
        <v>23</v>
      </c>
      <c r="F1437" s="6">
        <f>IFERROR(VLOOKUP($G1437,基本資料!$A:$J,8,0),"無")</f>
        <v>13.18</v>
      </c>
      <c r="G1437" s="79">
        <v>9945</v>
      </c>
      <c r="H1437" s="8" t="s">
        <v>1959</v>
      </c>
      <c r="I1437" s="22" t="s">
        <v>29</v>
      </c>
      <c r="J1437" s="8">
        <f>IFERROR(VLOOKUP($G1437,今日總結!$A:$AN,39,0),"")</f>
        <v>0</v>
      </c>
      <c r="K1437" s="5" t="str">
        <f>IFERROR(VLOOKUP($G1437,今日總結!$A:$AN,40,0),"")</f>
        <v>主外</v>
      </c>
      <c r="L1437" s="156">
        <f>IFERROR(VLOOKUP($G1437,今日總結!$A:$AN,37,0),"")</f>
        <v>0</v>
      </c>
      <c r="M1437" s="337">
        <f>IFERROR(VLOOKUP($G1437,今日總結!$A:$AN,38,0),"")</f>
        <v>8</v>
      </c>
      <c r="N1437" s="240">
        <f t="shared" si="243"/>
        <v>-8</v>
      </c>
      <c r="O1437" s="359">
        <f>IFERROR(VLOOKUP($G1437,融外自投!$A:$J,7,0),"無")</f>
        <v>1104</v>
      </c>
      <c r="P1437" s="79">
        <f>IFERROR(VLOOKUP($G1437,融外自投!$A:$J,9,0),"無")</f>
        <v>762</v>
      </c>
      <c r="Q1437" s="342">
        <f>IFERROR(VLOOKUP($G1437,融外自投!$A:$J,8,0),"無")</f>
        <v>366</v>
      </c>
      <c r="R1437" s="81">
        <f>IFERROR(VLOOKUP($G1437,融外自投!$A:$J,10,0),"無")</f>
        <v>476</v>
      </c>
      <c r="S1437" s="324">
        <f>IFERROR(VLOOKUP($G1437,'321買'!$A:$E,4,0),"'沒有資料'")</f>
        <v>650</v>
      </c>
      <c r="T1437" s="186">
        <f>IFERROR(VLOOKUP($G1437,基本資料!$A:$J,9,0),"無")</f>
        <v>7</v>
      </c>
      <c r="U1437" s="307">
        <f t="shared" ref="U1437:U1438" si="248">$T1437/$W1437</f>
        <v>9.9715099715099717E-2</v>
      </c>
      <c r="V1437" s="94">
        <f>IFERROR(VLOOKUP($G1437,基本資料!$A:$J,10,0),"無")</f>
        <v>7.98</v>
      </c>
      <c r="W1437" s="36">
        <f>RTD("money.excel",,"9945","Price")</f>
        <v>70.2</v>
      </c>
      <c r="X1437" s="66"/>
      <c r="Y1437" s="15">
        <f t="shared" si="244"/>
        <v>70.2</v>
      </c>
      <c r="Z1437" s="3" t="e">
        <f t="shared" si="245"/>
        <v>#DIV/0!</v>
      </c>
      <c r="AA1437" s="340">
        <f>IFERROR(VLOOKUP($G1437,基本資料!$A:$M,11,0),"無")</f>
        <v>-18.09</v>
      </c>
      <c r="AB1437" s="389">
        <f>IFERROR(VLOOKUP($G1437,基本資料!$A:$M,12,0),"無")</f>
        <v>45.44</v>
      </c>
      <c r="AC1437" s="22" t="s">
        <v>29</v>
      </c>
      <c r="AF1437" s="33">
        <f t="shared" si="246"/>
        <v>0</v>
      </c>
      <c r="AG1437" s="117" t="s">
        <v>1445</v>
      </c>
      <c r="AH1437" s="66">
        <f t="shared" si="247"/>
        <v>0.74392855699680771</v>
      </c>
      <c r="AI1437" s="283">
        <f>RTD("money.excel",,$G1437,"PredictVolume")</f>
        <v>9205</v>
      </c>
      <c r="AJ1437" s="391">
        <f>IFERROR(VLOOKUP($G1437,基本資料!$A:$M,13,0),"無")</f>
        <v>12373.5</v>
      </c>
      <c r="AR1437" s="245" t="str">
        <f>INDEX(基本資料!N:N,MATCH($G1437,基本資料!A:A,0))</f>
        <v>中</v>
      </c>
    </row>
    <row r="1438" spans="1:44">
      <c r="A1438" s="343">
        <f>IFERROR(VLOOKUP($G1438,基本資料!$A:$J,3,0),"無")</f>
        <v>10.32</v>
      </c>
      <c r="B1438" s="79">
        <f>IFERROR(VLOOKUP($G1438,基本資料!$A:$J,4,0),"無")</f>
        <v>20</v>
      </c>
      <c r="C1438" s="79">
        <f>IFERROR(VLOOKUP($G1438,基本資料!$A:$J,5,0),"無")</f>
        <v>33</v>
      </c>
      <c r="D1438" s="79">
        <f>IFERROR(VLOOKUP($G1438,基本資料!$A:$J,6,0),"無")</f>
        <v>5</v>
      </c>
      <c r="E1438" s="79">
        <f>IFERROR(VLOOKUP($G1438,基本資料!$A:$J,7,0),"無")</f>
        <v>-10</v>
      </c>
      <c r="F1438" s="6">
        <f>IFERROR(VLOOKUP($G1438,基本資料!$A:$J,8,0),"無")</f>
        <v>-5.82</v>
      </c>
      <c r="G1438" s="79">
        <v>9955</v>
      </c>
      <c r="H1438" s="8" t="s">
        <v>1959</v>
      </c>
      <c r="I1438" s="22" t="s">
        <v>708</v>
      </c>
      <c r="J1438" s="8" t="str">
        <f>IFERROR(VLOOKUP($G1438,今日總結!$A:$AN,39,0),"")</f>
        <v>外</v>
      </c>
      <c r="K1438" s="5">
        <f>IFERROR(VLOOKUP($G1438,今日總結!$A:$AN,40,0),"")</f>
        <v>0</v>
      </c>
      <c r="L1438" s="156">
        <f>IFERROR(VLOOKUP($G1438,今日總結!$A:$AN,37,0),"")</f>
        <v>2</v>
      </c>
      <c r="M1438" s="337">
        <f>IFERROR(VLOOKUP($G1438,今日總結!$A:$AN,38,0),"")</f>
        <v>0</v>
      </c>
      <c r="N1438" s="240">
        <f t="shared" ref="N1438" si="249">IFERROR(L1438-M1438,"")</f>
        <v>2</v>
      </c>
      <c r="O1438" s="359">
        <f>IFERROR(VLOOKUP($G1438,融外自投!$A:$J,7,0),"無")</f>
        <v>604</v>
      </c>
      <c r="P1438" s="79">
        <f>IFERROR(VLOOKUP($G1438,融外自投!$A:$J,9,0),"無")</f>
        <v>442</v>
      </c>
      <c r="Q1438" s="342">
        <f>IFERROR(VLOOKUP($G1438,融外自投!$A:$J,8,0),"無")</f>
        <v>917</v>
      </c>
      <c r="R1438" s="81" t="str">
        <f>IFERROR(VLOOKUP($G1438,融外自投!$A:$J,10,0),"無")</f>
        <v>無</v>
      </c>
      <c r="S1438" s="324">
        <f>IFERROR(VLOOKUP($G1438,'321買'!$A:$E,4,0),"'沒有資料'")</f>
        <v>366</v>
      </c>
      <c r="T1438" s="186">
        <f>IFERROR(VLOOKUP($G1438,基本資料!$A:$J,9,0),"無")</f>
        <v>0</v>
      </c>
      <c r="U1438" s="307">
        <f t="shared" si="248"/>
        <v>0</v>
      </c>
      <c r="V1438" s="94">
        <f>IFERROR(VLOOKUP($G1438,基本資料!$A:$J,10,0),"無")</f>
        <v>-0.95</v>
      </c>
      <c r="W1438" s="36">
        <f>RTD("money.excel",,"9955","Price")</f>
        <v>23.15</v>
      </c>
      <c r="X1438" s="66"/>
      <c r="Y1438" s="15">
        <f t="shared" si="244"/>
        <v>23.15</v>
      </c>
      <c r="Z1438" s="3" t="e">
        <f t="shared" si="245"/>
        <v>#DIV/0!</v>
      </c>
      <c r="AA1438" s="340">
        <f>IFERROR(VLOOKUP($G1438,基本資料!$A:$M,11,0),"無")</f>
        <v>-34.79</v>
      </c>
      <c r="AB1438" s="389">
        <f>IFERROR(VLOOKUP($G1438,基本資料!$A:$M,12,0),"無")</f>
        <v>19.25</v>
      </c>
      <c r="AC1438" s="22" t="s">
        <v>708</v>
      </c>
      <c r="AF1438" s="33">
        <f t="shared" si="246"/>
        <v>0</v>
      </c>
      <c r="AG1438" s="43" t="s">
        <v>2829</v>
      </c>
      <c r="AH1438" s="66">
        <f t="shared" si="247"/>
        <v>0.29801044165373219</v>
      </c>
      <c r="AI1438" s="283">
        <f>RTD("money.excel",,$G1438,"PredictVolume")</f>
        <v>528</v>
      </c>
      <c r="AJ1438" s="391">
        <f>IFERROR(VLOOKUP($G1438,基本資料!$A:$M,13,0),"無")</f>
        <v>1771.75</v>
      </c>
      <c r="AR1438" s="245" t="str">
        <f>INDEX(基本資料!N:N,MATCH($G1438,基本資料!A:A,0))</f>
        <v>中</v>
      </c>
    </row>
    <row r="1439" spans="1:44">
      <c r="A1439" s="142"/>
      <c r="B1439" s="90"/>
      <c r="C1439" s="90"/>
      <c r="D1439" s="90"/>
      <c r="E1439" s="90"/>
      <c r="F1439" s="6"/>
      <c r="G1439" s="79"/>
      <c r="H1439" s="8"/>
      <c r="I1439" s="22"/>
      <c r="L1439" s="2"/>
      <c r="R1439" s="26"/>
      <c r="T1439" s="34"/>
      <c r="V1439" s="94"/>
      <c r="W1439" s="36"/>
      <c r="X1439" s="66"/>
      <c r="Y1439" s="15"/>
      <c r="Z1439" s="3"/>
      <c r="AC1439" s="22"/>
      <c r="AF1439" s="33"/>
      <c r="AG1439" s="43"/>
      <c r="AH1439" s="66" t="e">
        <f t="shared" si="247"/>
        <v>#DIV/0!</v>
      </c>
      <c r="AI1439" s="50"/>
    </row>
    <row r="1440" spans="1:44">
      <c r="A1440" s="127" t="s">
        <v>1672</v>
      </c>
      <c r="B1440" s="90" t="s">
        <v>1571</v>
      </c>
      <c r="C1440" s="90" t="s">
        <v>1572</v>
      </c>
      <c r="D1440" s="90" t="s">
        <v>1573</v>
      </c>
      <c r="E1440" s="90" t="s">
        <v>1574</v>
      </c>
      <c r="F1440" s="8" t="s">
        <v>1059</v>
      </c>
      <c r="G1440" s="27" t="s">
        <v>876</v>
      </c>
      <c r="H1440" s="55" t="s">
        <v>320</v>
      </c>
      <c r="I1440" s="8" t="s">
        <v>875</v>
      </c>
      <c r="J1440" s="8" t="s">
        <v>6211</v>
      </c>
      <c r="K1440" s="5" t="s">
        <v>6212</v>
      </c>
      <c r="L1440" s="334" t="s">
        <v>6197</v>
      </c>
      <c r="M1440" s="335" t="s">
        <v>6198</v>
      </c>
      <c r="N1440" s="336" t="s">
        <v>6199</v>
      </c>
      <c r="O1440" s="89" t="s">
        <v>6275</v>
      </c>
      <c r="P1440" s="292" t="s">
        <v>6274</v>
      </c>
      <c r="Q1440" s="350" t="s">
        <v>6273</v>
      </c>
      <c r="R1440" s="26" t="s">
        <v>6276</v>
      </c>
      <c r="S1440" s="318" t="s">
        <v>4715</v>
      </c>
      <c r="T1440" s="10" t="s">
        <v>66</v>
      </c>
      <c r="U1440" s="305" t="s">
        <v>4728</v>
      </c>
      <c r="V1440" s="68" t="s">
        <v>3272</v>
      </c>
      <c r="W1440" s="28" t="s">
        <v>2</v>
      </c>
      <c r="X1440" s="17" t="s">
        <v>1398</v>
      </c>
      <c r="Y1440" s="14" t="s">
        <v>5</v>
      </c>
      <c r="Z1440" s="21" t="s">
        <v>3</v>
      </c>
      <c r="AA1440" s="96" t="s">
        <v>6166</v>
      </c>
      <c r="AB1440" s="378" t="s">
        <v>6404</v>
      </c>
      <c r="AC1440" s="8" t="s">
        <v>875</v>
      </c>
      <c r="AD1440" s="71" t="s">
        <v>1399</v>
      </c>
      <c r="AE1440" s="72" t="s">
        <v>1156</v>
      </c>
      <c r="AF1440" s="32" t="s">
        <v>1157</v>
      </c>
      <c r="AG1440" s="25" t="s">
        <v>6200</v>
      </c>
      <c r="AH1440" s="8" t="s">
        <v>6696</v>
      </c>
      <c r="AI1440" s="50" t="s">
        <v>3360</v>
      </c>
      <c r="AJ1440" s="22" t="s">
        <v>6695</v>
      </c>
    </row>
    <row r="1441" spans="1:44">
      <c r="A1441" s="343">
        <f>IFERROR(VLOOKUP($G1441,基本資料!$A:$J,3,0),"無")</f>
        <v>23.97</v>
      </c>
      <c r="B1441" s="79">
        <f>IFERROR(VLOOKUP($G1441,基本資料!$A:$J,4,0),"無")</f>
        <v>-143</v>
      </c>
      <c r="C1441" s="79">
        <f>IFERROR(VLOOKUP($G1441,基本資料!$A:$J,5,0),"無")</f>
        <v>-210</v>
      </c>
      <c r="D1441" s="79">
        <f>IFERROR(VLOOKUP($G1441,基本資料!$A:$J,6,0),"無")</f>
        <v>60</v>
      </c>
      <c r="E1441" s="79">
        <f>IFERROR(VLOOKUP($G1441,基本資料!$A:$J,7,0),"無")</f>
        <v>219</v>
      </c>
      <c r="F1441" s="6">
        <f>IFERROR(VLOOKUP($G1441,基本資料!$A:$J,8,0),"無")</f>
        <v>-9.58</v>
      </c>
      <c r="G1441" s="79">
        <v>1316</v>
      </c>
      <c r="H1441" s="8" t="s">
        <v>875</v>
      </c>
      <c r="I1441" s="22" t="s">
        <v>756</v>
      </c>
      <c r="J1441" s="8" t="str">
        <f>IFERROR(VLOOKUP($G1441,今日總結!$A:$AN,39,0),"")</f>
        <v>融</v>
      </c>
      <c r="K1441" s="5" t="str">
        <f>IFERROR(VLOOKUP($G1441,今日總結!$A:$AN,40,0),"")</f>
        <v>借</v>
      </c>
      <c r="L1441" s="156">
        <f>IFERROR(VLOOKUP($G1441,今日總結!$A:$AN,37,0),"")</f>
        <v>11</v>
      </c>
      <c r="M1441" s="337">
        <f>IFERROR(VLOOKUP($G1441,今日總結!$A:$AN,38,0),"")</f>
        <v>2</v>
      </c>
      <c r="N1441" s="240">
        <f t="shared" ref="N1441:N1504" si="250">IFERROR(L1441-M1441,"")</f>
        <v>9</v>
      </c>
      <c r="O1441" s="359">
        <f>IFERROR(VLOOKUP($G1441,融外自投!$A:$J,7,0),"無")</f>
        <v>27</v>
      </c>
      <c r="P1441" s="79" t="str">
        <f>IFERROR(VLOOKUP($G1441,融外自投!$A:$J,9,0),"無")</f>
        <v>無</v>
      </c>
      <c r="Q1441" s="342">
        <f>IFERROR(VLOOKUP($G1441,融外自投!$A:$J,8,0),"無")</f>
        <v>1205</v>
      </c>
      <c r="R1441" s="81" t="str">
        <f>IFERROR(VLOOKUP($G1441,融外自投!$A:$J,10,0),"無")</f>
        <v>無</v>
      </c>
      <c r="S1441" s="324">
        <f>IFERROR(VLOOKUP($G1441,'321買'!$A:$E,4,0),"'沒有資料'")</f>
        <v>68</v>
      </c>
      <c r="T1441" s="186">
        <f>IFERROR(VLOOKUP($G1441,基本資料!$A:$J,9,0),"無")</f>
        <v>0</v>
      </c>
      <c r="U1441" s="307">
        <f t="shared" ref="U1441:U1504" si="251">$T1441/$W1441</f>
        <v>0</v>
      </c>
      <c r="V1441" s="94">
        <f>IFERROR(VLOOKUP($G1441,基本資料!$A:$J,10,0),"無")</f>
        <v>-0.5</v>
      </c>
      <c r="W1441" s="36">
        <f>RTD("money.excel",,"1316","Price")</f>
        <v>18.149999999999999</v>
      </c>
      <c r="X1441" s="66"/>
      <c r="Y1441" s="15">
        <f>W1441-X1441</f>
        <v>18.149999999999999</v>
      </c>
      <c r="Z1441" s="3" t="e">
        <f>Y1441/X1441</f>
        <v>#DIV/0!</v>
      </c>
      <c r="AA1441" s="340">
        <f>IFERROR(VLOOKUP($G1441,基本資料!$A:$M,11,0),"無")</f>
        <v>-34.590000000000003</v>
      </c>
      <c r="AB1441" s="389">
        <f>IFERROR(VLOOKUP($G1441,基本資料!$A:$M,12,0),"無")</f>
        <v>32.57</v>
      </c>
      <c r="AC1441" s="22" t="s">
        <v>756</v>
      </c>
      <c r="AF1441" s="33">
        <f>AE1441-AD1441</f>
        <v>0</v>
      </c>
      <c r="AG1441" s="43" t="s">
        <v>2380</v>
      </c>
      <c r="AH1441" s="66">
        <f t="shared" si="247"/>
        <v>1.0053976071437454</v>
      </c>
      <c r="AI1441" s="283">
        <f>RTD("money.excel",,$G1441,"PredictVolume")</f>
        <v>4042</v>
      </c>
      <c r="AJ1441" s="391">
        <f>IFERROR(VLOOKUP($G1441,基本資料!$A:$M,13,0),"無")</f>
        <v>4020.3</v>
      </c>
      <c r="AR1441" s="245" t="str">
        <f>INDEX(基本資料!N:N,MATCH($G1441,基本資料!A:A,0))</f>
        <v>中</v>
      </c>
    </row>
    <row r="1442" spans="1:44">
      <c r="A1442" s="343">
        <f>IFERROR(VLOOKUP($G1442,基本資料!$A:$J,3,0),"無")</f>
        <v>9.6199999999999992</v>
      </c>
      <c r="B1442" s="79">
        <f>IFERROR(VLOOKUP($G1442,基本資料!$A:$J,4,0),"無")</f>
        <v>170</v>
      </c>
      <c r="C1442" s="79">
        <f>IFERROR(VLOOKUP($G1442,基本資料!$A:$J,5,0),"無")</f>
        <v>96</v>
      </c>
      <c r="D1442" s="79">
        <f>IFERROR(VLOOKUP($G1442,基本資料!$A:$J,6,0),"無")</f>
        <v>64</v>
      </c>
      <c r="E1442" s="79">
        <f>IFERROR(VLOOKUP($G1442,基本資料!$A:$J,7,0),"無")</f>
        <v>-99</v>
      </c>
      <c r="F1442" s="6">
        <f>IFERROR(VLOOKUP($G1442,基本資料!$A:$J,8,0),"無")</f>
        <v>20.82</v>
      </c>
      <c r="G1442" s="79">
        <v>1436</v>
      </c>
      <c r="H1442" s="8" t="s">
        <v>875</v>
      </c>
      <c r="I1442" s="22" t="s">
        <v>897</v>
      </c>
      <c r="J1442" s="8">
        <f>IFERROR(VLOOKUP($G1442,今日總結!$A:$AN,39,0),"")</f>
        <v>0</v>
      </c>
      <c r="K1442" s="5" t="str">
        <f>IFERROR(VLOOKUP($G1442,今日總結!$A:$AN,40,0),"")</f>
        <v>外</v>
      </c>
      <c r="L1442" s="156">
        <f>IFERROR(VLOOKUP($G1442,今日總結!$A:$AN,37,0),"")</f>
        <v>0</v>
      </c>
      <c r="M1442" s="337">
        <f>IFERROR(VLOOKUP($G1442,今日總結!$A:$AN,38,0),"")</f>
        <v>3</v>
      </c>
      <c r="N1442" s="240">
        <f t="shared" si="250"/>
        <v>-3</v>
      </c>
      <c r="O1442" s="359">
        <f>IFERROR(VLOOKUP($G1442,融外自投!$A:$J,7,0),"無")</f>
        <v>1112</v>
      </c>
      <c r="P1442" s="79">
        <f>IFERROR(VLOOKUP($G1442,融外自投!$A:$J,9,0),"無")</f>
        <v>1123</v>
      </c>
      <c r="Q1442" s="342">
        <f>IFERROR(VLOOKUP($G1442,融外自投!$A:$J,8,0),"無")</f>
        <v>1321</v>
      </c>
      <c r="R1442" s="81" t="str">
        <f>IFERROR(VLOOKUP($G1442,融外自投!$A:$J,10,0),"無")</f>
        <v>無</v>
      </c>
      <c r="S1442" s="324">
        <f>IFERROR(VLOOKUP($G1442,'321買'!$A:$E,4,0),"'沒有資料'")</f>
        <v>1002</v>
      </c>
      <c r="T1442" s="186">
        <f>IFERROR(VLOOKUP($G1442,基本資料!$A:$J,9,0),"無")</f>
        <v>4.16</v>
      </c>
      <c r="U1442" s="307">
        <f t="shared" si="251"/>
        <v>6.3901689708141335E-2</v>
      </c>
      <c r="V1442" s="94">
        <f>IFERROR(VLOOKUP($G1442,基本資料!$A:$J,10,0),"無")</f>
        <v>5.08</v>
      </c>
      <c r="W1442" s="36">
        <f>RTD("money.excel",,"1436","Price")</f>
        <v>65.099999999999994</v>
      </c>
      <c r="X1442" s="66"/>
      <c r="Y1442" s="15">
        <f t="shared" ref="Y1442:Y1504" si="252">W1442-X1442</f>
        <v>65.099999999999994</v>
      </c>
      <c r="Z1442" s="3" t="e">
        <f t="shared" ref="Z1442:Z1504" si="253">Y1442/X1442</f>
        <v>#DIV/0!</v>
      </c>
      <c r="AA1442" s="340">
        <f>IFERROR(VLOOKUP($G1442,基本資料!$A:$M,11,0),"無")</f>
        <v>-6.2</v>
      </c>
      <c r="AB1442" s="389">
        <f>IFERROR(VLOOKUP($G1442,基本資料!$A:$M,12,0),"無")</f>
        <v>68.790000000000006</v>
      </c>
      <c r="AC1442" s="22" t="s">
        <v>897</v>
      </c>
      <c r="AF1442" s="33">
        <f t="shared" ref="AF1442:AF1504" si="254">AE1442-AD1442</f>
        <v>0</v>
      </c>
      <c r="AG1442" s="43" t="s">
        <v>1532</v>
      </c>
      <c r="AH1442" s="66">
        <f t="shared" si="247"/>
        <v>0.30752916224814425</v>
      </c>
      <c r="AI1442" s="283">
        <f>RTD("money.excel",,$G1442,"PredictVolume")</f>
        <v>29</v>
      </c>
      <c r="AJ1442" s="391">
        <f>IFERROR(VLOOKUP($G1442,基本資料!$A:$M,13,0),"無")</f>
        <v>94.3</v>
      </c>
      <c r="AR1442" s="245" t="str">
        <f>INDEX(基本資料!N:N,MATCH($G1442,基本資料!A:A,0))</f>
        <v>高</v>
      </c>
    </row>
    <row r="1443" spans="1:44">
      <c r="A1443" s="343">
        <f>IFERROR(VLOOKUP($G1443,基本資料!$A:$J,3,0),"無")</f>
        <v>7.12</v>
      </c>
      <c r="B1443" s="79">
        <f>IFERROR(VLOOKUP($G1443,基本資料!$A:$J,4,0),"無")</f>
        <v>-34</v>
      </c>
      <c r="C1443" s="79">
        <f>IFERROR(VLOOKUP($G1443,基本資料!$A:$J,5,0),"無")</f>
        <v>-120</v>
      </c>
      <c r="D1443" s="79">
        <f>IFERROR(VLOOKUP($G1443,基本資料!$A:$J,6,0),"無")</f>
        <v>-100</v>
      </c>
      <c r="E1443" s="79">
        <f>IFERROR(VLOOKUP($G1443,基本資料!$A:$J,7,0),"無")</f>
        <v>-100</v>
      </c>
      <c r="F1443" s="6">
        <f>IFERROR(VLOOKUP($G1443,基本資料!$A:$J,8,0),"無")</f>
        <v>-77.83</v>
      </c>
      <c r="G1443" s="79">
        <v>1438</v>
      </c>
      <c r="H1443" s="8" t="s">
        <v>875</v>
      </c>
      <c r="I1443" s="22" t="s">
        <v>3011</v>
      </c>
      <c r="J1443" s="8">
        <f>IFERROR(VLOOKUP($G1443,今日總結!$A:$AN,39,0),"")</f>
        <v>0</v>
      </c>
      <c r="K1443" s="5">
        <f>IFERROR(VLOOKUP($G1443,今日總結!$A:$AN,40,0),"")</f>
        <v>0</v>
      </c>
      <c r="L1443" s="156">
        <f>IFERROR(VLOOKUP($G1443,今日總結!$A:$AN,37,0),"")</f>
        <v>0</v>
      </c>
      <c r="M1443" s="337">
        <f>IFERROR(VLOOKUP($G1443,今日總結!$A:$AN,38,0),"")</f>
        <v>0</v>
      </c>
      <c r="N1443" s="240">
        <f t="shared" si="250"/>
        <v>0</v>
      </c>
      <c r="O1443" s="359">
        <f>IFERROR(VLOOKUP($G1443,融外自投!$A:$J,7,0),"無")</f>
        <v>789</v>
      </c>
      <c r="P1443" s="79" t="str">
        <f>IFERROR(VLOOKUP($G1443,融外自投!$A:$J,9,0),"無")</f>
        <v>無</v>
      </c>
      <c r="Q1443" s="342">
        <f>IFERROR(VLOOKUP($G1443,融外自投!$A:$J,8,0),"無")</f>
        <v>1297</v>
      </c>
      <c r="R1443" s="81" t="str">
        <f>IFERROR(VLOOKUP($G1443,融外自投!$A:$J,10,0),"無")</f>
        <v>無</v>
      </c>
      <c r="S1443" s="324">
        <f>IFERROR(VLOOKUP($G1443,'321買'!$A:$E,4,0),"'沒有資料'")</f>
        <v>1002</v>
      </c>
      <c r="T1443" s="186">
        <f>IFERROR(VLOOKUP($G1443,基本資料!$A:$J,9,0),"無")</f>
        <v>0</v>
      </c>
      <c r="U1443" s="307">
        <f t="shared" si="251"/>
        <v>0</v>
      </c>
      <c r="V1443" s="94">
        <f>IFERROR(VLOOKUP($G1443,基本資料!$A:$J,10,0),"無")</f>
        <v>0.56999999999999995</v>
      </c>
      <c r="W1443" s="36">
        <f>RTD("money.excel",,"1438","Price")</f>
        <v>32.200000000000003</v>
      </c>
      <c r="X1443" s="66"/>
      <c r="Y1443" s="15">
        <f t="shared" si="252"/>
        <v>32.200000000000003</v>
      </c>
      <c r="Z1443" s="3" t="e">
        <f t="shared" si="253"/>
        <v>#DIV/0!</v>
      </c>
      <c r="AA1443" s="340">
        <f>IFERROR(VLOOKUP($G1443,基本資料!$A:$M,11,0),"無")</f>
        <v>-16.149999999999999</v>
      </c>
      <c r="AB1443" s="389">
        <f>IFERROR(VLOOKUP($G1443,基本資料!$A:$M,12,0),"無")</f>
        <v>64.27</v>
      </c>
      <c r="AC1443" s="22" t="s">
        <v>3011</v>
      </c>
      <c r="AF1443" s="33">
        <f t="shared" si="254"/>
        <v>0</v>
      </c>
      <c r="AG1443" s="43" t="s">
        <v>4002</v>
      </c>
      <c r="AH1443" s="66">
        <f t="shared" si="247"/>
        <v>0.82595870206489674</v>
      </c>
      <c r="AI1443" s="283">
        <f>RTD("money.excel",,$G1443,"PredictVolume")</f>
        <v>70</v>
      </c>
      <c r="AJ1443" s="391">
        <f>IFERROR(VLOOKUP($G1443,基本資料!$A:$M,13,0),"無")</f>
        <v>84.75</v>
      </c>
      <c r="AR1443" s="245" t="str">
        <f>INDEX(基本資料!N:N,MATCH($G1443,基本資料!A:A,0))</f>
        <v>中</v>
      </c>
    </row>
    <row r="1444" spans="1:44">
      <c r="A1444" s="343">
        <f>IFERROR(VLOOKUP($G1444,基本資料!$A:$J,3,0),"無")</f>
        <v>36.619999999999997</v>
      </c>
      <c r="B1444" s="79">
        <f>IFERROR(VLOOKUP($G1444,基本資料!$A:$J,4,0),"無")</f>
        <v>570</v>
      </c>
      <c r="C1444" s="79">
        <f>IFERROR(VLOOKUP($G1444,基本資料!$A:$J,5,0),"無")</f>
        <v>365</v>
      </c>
      <c r="D1444" s="79">
        <f>IFERROR(VLOOKUP($G1444,基本資料!$A:$J,6,0),"無")</f>
        <v>-60</v>
      </c>
      <c r="E1444" s="79">
        <f>IFERROR(VLOOKUP($G1444,基本資料!$A:$J,7,0),"無")</f>
        <v>-19</v>
      </c>
      <c r="F1444" s="6">
        <f>IFERROR(VLOOKUP($G1444,基本資料!$A:$J,8,0),"無")</f>
        <v>14.8</v>
      </c>
      <c r="G1444" s="79">
        <v>1442</v>
      </c>
      <c r="H1444" s="8" t="s">
        <v>875</v>
      </c>
      <c r="I1444" s="22" t="s">
        <v>898</v>
      </c>
      <c r="J1444" s="8">
        <f>IFERROR(VLOOKUP($G1444,今日總結!$A:$AN,39,0),"")</f>
        <v>0</v>
      </c>
      <c r="K1444" s="5" t="str">
        <f>IFERROR(VLOOKUP($G1444,今日總結!$A:$AN,40,0),"")</f>
        <v>融外</v>
      </c>
      <c r="L1444" s="156">
        <f>IFERROR(VLOOKUP($G1444,今日總結!$A:$AN,37,0),"")</f>
        <v>0</v>
      </c>
      <c r="M1444" s="337">
        <f>IFERROR(VLOOKUP($G1444,今日總結!$A:$AN,38,0),"")</f>
        <v>7</v>
      </c>
      <c r="N1444" s="240">
        <f t="shared" si="250"/>
        <v>-7</v>
      </c>
      <c r="O1444" s="359">
        <f>IFERROR(VLOOKUP($G1444,融外自投!$A:$J,7,0),"無")</f>
        <v>775</v>
      </c>
      <c r="P1444" s="79" t="str">
        <f>IFERROR(VLOOKUP($G1444,融外自投!$A:$J,9,0),"無")</f>
        <v>無</v>
      </c>
      <c r="Q1444" s="342">
        <f>IFERROR(VLOOKUP($G1444,融外自投!$A:$J,8,0),"無")</f>
        <v>908</v>
      </c>
      <c r="R1444" s="81" t="str">
        <f>IFERROR(VLOOKUP($G1444,融外自投!$A:$J,10,0),"無")</f>
        <v>無</v>
      </c>
      <c r="S1444" s="324">
        <f>IFERROR(VLOOKUP($G1444,'321買'!$A:$E,4,0),"'沒有資料'")</f>
        <v>801</v>
      </c>
      <c r="T1444" s="186">
        <f>IFERROR(VLOOKUP($G1444,基本資料!$A:$J,9,0),"無")</f>
        <v>1.2</v>
      </c>
      <c r="U1444" s="307">
        <f t="shared" si="251"/>
        <v>5.4545454545454543E-2</v>
      </c>
      <c r="V1444" s="94">
        <f>IFERROR(VLOOKUP($G1444,基本資料!$A:$J,10,0),"無")</f>
        <v>1.41</v>
      </c>
      <c r="W1444" s="36">
        <f>RTD("money.excel",,"1442","Price")</f>
        <v>22</v>
      </c>
      <c r="X1444" s="66"/>
      <c r="Y1444" s="15">
        <f t="shared" si="252"/>
        <v>22</v>
      </c>
      <c r="Z1444" s="3" t="e">
        <f t="shared" si="253"/>
        <v>#DIV/0!</v>
      </c>
      <c r="AA1444" s="340">
        <f>IFERROR(VLOOKUP($G1444,基本資料!$A:$M,11,0),"無")</f>
        <v>-19.850000000000001</v>
      </c>
      <c r="AB1444" s="389">
        <f>IFERROR(VLOOKUP($G1444,基本資料!$A:$M,12,0),"無")</f>
        <v>29.99</v>
      </c>
      <c r="AC1444" s="22" t="s">
        <v>898</v>
      </c>
      <c r="AF1444" s="33">
        <f t="shared" si="254"/>
        <v>0</v>
      </c>
      <c r="AG1444" s="43" t="s">
        <v>2316</v>
      </c>
      <c r="AH1444" s="66">
        <f t="shared" si="247"/>
        <v>0.54054054054054057</v>
      </c>
      <c r="AI1444" s="283">
        <f>RTD("money.excel",,$G1444,"PredictVolume")</f>
        <v>153</v>
      </c>
      <c r="AJ1444" s="391">
        <f>IFERROR(VLOOKUP($G1444,基本資料!$A:$M,13,0),"無")</f>
        <v>283.05</v>
      </c>
      <c r="AR1444" s="245" t="str">
        <f>INDEX(基本資料!N:N,MATCH($G1444,基本資料!A:A,0))</f>
        <v>中</v>
      </c>
    </row>
    <row r="1445" spans="1:44">
      <c r="A1445" s="343">
        <f>IFERROR(VLOOKUP($G1445,基本資料!$A:$J,3,0),"無")</f>
        <v>10.02</v>
      </c>
      <c r="B1445" s="79">
        <f>IFERROR(VLOOKUP($G1445,基本資料!$A:$J,4,0),"無")</f>
        <v>45</v>
      </c>
      <c r="C1445" s="79">
        <f>IFERROR(VLOOKUP($G1445,基本資料!$A:$J,5,0),"無")</f>
        <v>36</v>
      </c>
      <c r="D1445" s="79">
        <f>IFERROR(VLOOKUP($G1445,基本資料!$A:$J,6,0),"無")</f>
        <v>-96</v>
      </c>
      <c r="E1445" s="79">
        <f>IFERROR(VLOOKUP($G1445,基本資料!$A:$J,7,0),"無")</f>
        <v>-88</v>
      </c>
      <c r="F1445" s="6">
        <f>IFERROR(VLOOKUP($G1445,基本資料!$A:$J,8,0),"無")</f>
        <v>-18.28</v>
      </c>
      <c r="G1445" s="79">
        <v>1805</v>
      </c>
      <c r="H1445" s="8" t="s">
        <v>875</v>
      </c>
      <c r="I1445" s="22" t="s">
        <v>899</v>
      </c>
      <c r="J1445" s="8" t="str">
        <f>IFERROR(VLOOKUP($G1445,今日總結!$A:$AN,39,0),"")</f>
        <v/>
      </c>
      <c r="K1445" s="5" t="str">
        <f>IFERROR(VLOOKUP($G1445,今日總結!$A:$AN,40,0),"")</f>
        <v/>
      </c>
      <c r="L1445" s="156" t="str">
        <f>IFERROR(VLOOKUP($G1445,今日總結!$A:$AN,37,0),"")</f>
        <v/>
      </c>
      <c r="M1445" s="337" t="str">
        <f>IFERROR(VLOOKUP($G1445,今日總結!$A:$AN,38,0),"")</f>
        <v/>
      </c>
      <c r="N1445" s="240" t="str">
        <f t="shared" si="250"/>
        <v/>
      </c>
      <c r="O1445" s="359" t="str">
        <f>IFERROR(VLOOKUP($G1445,融外自投!$A:$J,7,0),"無")</f>
        <v>無</v>
      </c>
      <c r="P1445" s="79" t="str">
        <f>IFERROR(VLOOKUP($G1445,融外自投!$A:$J,9,0),"無")</f>
        <v>無</v>
      </c>
      <c r="Q1445" s="342" t="str">
        <f>IFERROR(VLOOKUP($G1445,融外自投!$A:$J,8,0),"無")</f>
        <v>無</v>
      </c>
      <c r="R1445" s="81" t="str">
        <f>IFERROR(VLOOKUP($G1445,融外自投!$A:$J,10,0),"無")</f>
        <v>無</v>
      </c>
      <c r="S1445" s="324" t="str">
        <f>IFERROR(VLOOKUP($G1445,'321買'!$A:$E,4,0),"'沒有資料'")</f>
        <v>'沒有資料'</v>
      </c>
      <c r="T1445" s="186">
        <f>IFERROR(VLOOKUP($G1445,基本資料!$A:$J,9,0),"無")</f>
        <v>0</v>
      </c>
      <c r="U1445" s="307" t="e">
        <f t="shared" si="251"/>
        <v>#VALUE!</v>
      </c>
      <c r="V1445" s="94">
        <f>IFERROR(VLOOKUP($G1445,基本資料!$A:$J,10,0),"無")</f>
        <v>-0.34</v>
      </c>
      <c r="W1445" s="36" t="str">
        <f>RTD("money.excel",,"1805","Price")</f>
        <v>無資料</v>
      </c>
      <c r="X1445" s="66"/>
      <c r="Y1445" s="15" t="e">
        <f t="shared" si="252"/>
        <v>#VALUE!</v>
      </c>
      <c r="Z1445" s="3" t="e">
        <f t="shared" si="253"/>
        <v>#VALUE!</v>
      </c>
      <c r="AA1445" s="340">
        <f>IFERROR(VLOOKUP($G1445,基本資料!$A:$M,11,0),"無")</f>
        <v>-22.08</v>
      </c>
      <c r="AB1445" s="389">
        <f>IFERROR(VLOOKUP($G1445,基本資料!$A:$M,12,0),"無")</f>
        <v>20.74</v>
      </c>
      <c r="AC1445" s="22" t="s">
        <v>899</v>
      </c>
      <c r="AF1445" s="33">
        <f t="shared" si="254"/>
        <v>0</v>
      </c>
      <c r="AG1445" s="43" t="s">
        <v>1533</v>
      </c>
      <c r="AH1445" s="66">
        <f t="shared" si="247"/>
        <v>0</v>
      </c>
      <c r="AI1445" s="283">
        <f>RTD("money.excel",,$G1445,"PredictVolume")</f>
        <v>0</v>
      </c>
      <c r="AJ1445" s="391">
        <f>IFERROR(VLOOKUP($G1445,基本資料!$A:$M,13,0),"無")</f>
        <v>30.4</v>
      </c>
      <c r="AR1445" s="245" t="str">
        <f>INDEX(基本資料!N:N,MATCH($G1445,基本資料!A:A,0))</f>
        <v>低</v>
      </c>
    </row>
    <row r="1446" spans="1:44">
      <c r="A1446" s="343">
        <f>IFERROR(VLOOKUP($G1446,基本資料!$A:$J,3,0),"無")</f>
        <v>39.21</v>
      </c>
      <c r="B1446" s="79">
        <f>IFERROR(VLOOKUP($G1446,基本資料!$A:$J,4,0),"無")</f>
        <v>1325</v>
      </c>
      <c r="C1446" s="79">
        <f>IFERROR(VLOOKUP($G1446,基本資料!$A:$J,5,0),"無")</f>
        <v>416</v>
      </c>
      <c r="D1446" s="79">
        <f>IFERROR(VLOOKUP($G1446,基本資料!$A:$J,6,0),"無")</f>
        <v>-63</v>
      </c>
      <c r="E1446" s="79">
        <f>IFERROR(VLOOKUP($G1446,基本資料!$A:$J,7,0),"無")</f>
        <v>-89</v>
      </c>
      <c r="F1446" s="6">
        <f>IFERROR(VLOOKUP($G1446,基本資料!$A:$J,8,0),"無")</f>
        <v>19.940000000000001</v>
      </c>
      <c r="G1446" s="79">
        <v>1808</v>
      </c>
      <c r="H1446" s="8" t="s">
        <v>875</v>
      </c>
      <c r="I1446" s="22" t="s">
        <v>900</v>
      </c>
      <c r="J1446" s="8" t="str">
        <f>IFERROR(VLOOKUP($G1446,今日總結!$A:$AN,39,0),"")</f>
        <v>主</v>
      </c>
      <c r="K1446" s="5">
        <f>IFERROR(VLOOKUP($G1446,今日總結!$A:$AN,40,0),"")</f>
        <v>0</v>
      </c>
      <c r="L1446" s="156">
        <f>IFERROR(VLOOKUP($G1446,今日總結!$A:$AN,37,0),"")</f>
        <v>6</v>
      </c>
      <c r="M1446" s="337">
        <f>IFERROR(VLOOKUP($G1446,今日總結!$A:$AN,38,0),"")</f>
        <v>0</v>
      </c>
      <c r="N1446" s="240">
        <f t="shared" si="250"/>
        <v>6</v>
      </c>
      <c r="O1446" s="359">
        <f>IFERROR(VLOOKUP($G1446,融外自投!$A:$J,7,0),"無")</f>
        <v>941</v>
      </c>
      <c r="P1446" s="79">
        <f>IFERROR(VLOOKUP($G1446,融外自投!$A:$J,9,0),"無")</f>
        <v>635</v>
      </c>
      <c r="Q1446" s="342">
        <f>IFERROR(VLOOKUP($G1446,融外自投!$A:$J,8,0),"無")</f>
        <v>914</v>
      </c>
      <c r="R1446" s="81" t="str">
        <f>IFERROR(VLOOKUP($G1446,融外自投!$A:$J,10,0),"無")</f>
        <v>無</v>
      </c>
      <c r="S1446" s="324">
        <f>IFERROR(VLOOKUP($G1446,'321買'!$A:$E,4,0),"'沒有資料'")</f>
        <v>1002</v>
      </c>
      <c r="T1446" s="186">
        <f>IFERROR(VLOOKUP($G1446,基本資料!$A:$J,9,0),"無")</f>
        <v>3.5</v>
      </c>
      <c r="U1446" s="307">
        <f t="shared" si="251"/>
        <v>5.0505050505050504E-2</v>
      </c>
      <c r="V1446" s="94">
        <f>IFERROR(VLOOKUP($G1446,基本資料!$A:$J,10,0),"無")</f>
        <v>4.26</v>
      </c>
      <c r="W1446" s="36">
        <f>RTD("money.excel",,"1808","Price")</f>
        <v>69.3</v>
      </c>
      <c r="X1446" s="66"/>
      <c r="Y1446" s="15">
        <f t="shared" si="252"/>
        <v>69.3</v>
      </c>
      <c r="Z1446" s="3" t="e">
        <f t="shared" si="253"/>
        <v>#DIV/0!</v>
      </c>
      <c r="AA1446" s="340">
        <f>IFERROR(VLOOKUP($G1446,基本資料!$A:$M,11,0),"無")</f>
        <v>-4.0199999999999996</v>
      </c>
      <c r="AB1446" s="389">
        <f>IFERROR(VLOOKUP($G1446,基本資料!$A:$M,12,0),"無")</f>
        <v>77.63</v>
      </c>
      <c r="AC1446" s="22" t="s">
        <v>900</v>
      </c>
      <c r="AF1446" s="33">
        <f t="shared" si="254"/>
        <v>0</v>
      </c>
      <c r="AG1446" s="43" t="s">
        <v>3278</v>
      </c>
      <c r="AH1446" s="66">
        <f t="shared" si="247"/>
        <v>2.0696124413725006</v>
      </c>
      <c r="AI1446" s="283">
        <f>RTD("money.excel",,$G1446,"PredictVolume")</f>
        <v>2096</v>
      </c>
      <c r="AJ1446" s="391">
        <f>IFERROR(VLOOKUP($G1446,基本資料!$A:$M,13,0),"無")</f>
        <v>1012.75</v>
      </c>
      <c r="AR1446" s="245" t="str">
        <f>INDEX(基本資料!N:N,MATCH($G1446,基本資料!A:A,0))</f>
        <v>高</v>
      </c>
    </row>
    <row r="1447" spans="1:44">
      <c r="A1447" s="343">
        <f>IFERROR(VLOOKUP($G1447,基本資料!$A:$J,3,0),"無")</f>
        <v>115</v>
      </c>
      <c r="B1447" s="79">
        <f>IFERROR(VLOOKUP($G1447,基本資料!$A:$J,4,0),"無")</f>
        <v>-44</v>
      </c>
      <c r="C1447" s="79">
        <f>IFERROR(VLOOKUP($G1447,基本資料!$A:$J,5,0),"無")</f>
        <v>-43</v>
      </c>
      <c r="D1447" s="79">
        <f>IFERROR(VLOOKUP($G1447,基本資料!$A:$J,6,0),"無")</f>
        <v>46</v>
      </c>
      <c r="E1447" s="79">
        <f>IFERROR(VLOOKUP($G1447,基本資料!$A:$J,7,0),"無")</f>
        <v>3</v>
      </c>
      <c r="F1447" s="6">
        <f>IFERROR(VLOOKUP($G1447,基本資料!$A:$J,8,0),"無")</f>
        <v>7.02</v>
      </c>
      <c r="G1447" s="79">
        <v>2501</v>
      </c>
      <c r="H1447" s="8" t="s">
        <v>875</v>
      </c>
      <c r="I1447" s="22" t="s">
        <v>901</v>
      </c>
      <c r="J1447" s="8">
        <f>IFERROR(VLOOKUP($G1447,今日總結!$A:$AN,39,0),"")</f>
        <v>0</v>
      </c>
      <c r="K1447" s="5" t="str">
        <f>IFERROR(VLOOKUP($G1447,今日總結!$A:$AN,40,0),"")</f>
        <v>借</v>
      </c>
      <c r="L1447" s="156">
        <f>IFERROR(VLOOKUP($G1447,今日總結!$A:$AN,37,0),"")</f>
        <v>0</v>
      </c>
      <c r="M1447" s="337">
        <f>IFERROR(VLOOKUP($G1447,今日總結!$A:$AN,38,0),"")</f>
        <v>3</v>
      </c>
      <c r="N1447" s="240">
        <f t="shared" si="250"/>
        <v>-3</v>
      </c>
      <c r="O1447" s="359">
        <f>IFERROR(VLOOKUP($G1447,融外自投!$A:$J,7,0),"無")</f>
        <v>1340</v>
      </c>
      <c r="P1447" s="79">
        <f>IFERROR(VLOOKUP($G1447,融外自投!$A:$J,9,0),"無")</f>
        <v>717</v>
      </c>
      <c r="Q1447" s="342">
        <f>IFERROR(VLOOKUP($G1447,融外自投!$A:$J,8,0),"無")</f>
        <v>600</v>
      </c>
      <c r="R1447" s="81" t="str">
        <f>IFERROR(VLOOKUP($G1447,融外自投!$A:$J,10,0),"無")</f>
        <v>無</v>
      </c>
      <c r="S1447" s="324">
        <f>IFERROR(VLOOKUP($G1447,'321買'!$A:$E,4,0),"'沒有資料'")</f>
        <v>1002</v>
      </c>
      <c r="T1447" s="186">
        <f>IFERROR(VLOOKUP($G1447,基本資料!$A:$J,9,0),"無")</f>
        <v>0.6</v>
      </c>
      <c r="U1447" s="307">
        <f t="shared" si="251"/>
        <v>3.2967032967032968E-2</v>
      </c>
      <c r="V1447" s="94">
        <f>IFERROR(VLOOKUP($G1447,基本資料!$A:$J,10,0),"無")</f>
        <v>0.73</v>
      </c>
      <c r="W1447" s="36">
        <f>RTD("money.excel",,"2501","Price")</f>
        <v>18.2</v>
      </c>
      <c r="X1447" s="66"/>
      <c r="Y1447" s="15">
        <f t="shared" si="252"/>
        <v>18.2</v>
      </c>
      <c r="Z1447" s="3" t="e">
        <f t="shared" si="253"/>
        <v>#DIV/0!</v>
      </c>
      <c r="AA1447" s="340">
        <f>IFERROR(VLOOKUP($G1447,基本資料!$A:$M,11,0),"無")</f>
        <v>-13.74</v>
      </c>
      <c r="AB1447" s="389">
        <f>IFERROR(VLOOKUP($G1447,基本資料!$A:$M,12,0),"無")</f>
        <v>28.36</v>
      </c>
      <c r="AC1447" s="22" t="s">
        <v>901</v>
      </c>
      <c r="AF1447" s="33">
        <f t="shared" si="254"/>
        <v>0</v>
      </c>
      <c r="AG1447" s="43" t="s">
        <v>1421</v>
      </c>
      <c r="AH1447" s="66">
        <f t="shared" si="247"/>
        <v>1.3457135588908673</v>
      </c>
      <c r="AI1447" s="283">
        <f>RTD("money.excel",,$G1447,"PredictVolume")</f>
        <v>529</v>
      </c>
      <c r="AJ1447" s="391">
        <f>IFERROR(VLOOKUP($G1447,基本資料!$A:$M,13,0),"無")</f>
        <v>393.1</v>
      </c>
      <c r="AR1447" s="245" t="str">
        <f>INDEX(基本資料!N:N,MATCH($G1447,基本資料!A:A,0))</f>
        <v>低</v>
      </c>
    </row>
    <row r="1448" spans="1:44">
      <c r="A1448" s="343">
        <f>IFERROR(VLOOKUP($G1448,基本資料!$A:$J,3,0),"無")</f>
        <v>118</v>
      </c>
      <c r="B1448" s="79">
        <f>IFERROR(VLOOKUP($G1448,基本資料!$A:$J,4,0),"無")</f>
        <v>14</v>
      </c>
      <c r="C1448" s="79">
        <f>IFERROR(VLOOKUP($G1448,基本資料!$A:$J,5,0),"無")</f>
        <v>39</v>
      </c>
      <c r="D1448" s="79">
        <f>IFERROR(VLOOKUP($G1448,基本資料!$A:$J,6,0),"無")</f>
        <v>-3</v>
      </c>
      <c r="E1448" s="79">
        <f>IFERROR(VLOOKUP($G1448,基本資料!$A:$J,7,0),"無")</f>
        <v>-7</v>
      </c>
      <c r="F1448" s="6">
        <f>IFERROR(VLOOKUP($G1448,基本資料!$A:$J,8,0),"無")</f>
        <v>14.88</v>
      </c>
      <c r="G1448" s="79">
        <v>2504</v>
      </c>
      <c r="H1448" s="8" t="s">
        <v>875</v>
      </c>
      <c r="I1448" s="22" t="s">
        <v>902</v>
      </c>
      <c r="J1448" s="8" t="str">
        <f>IFERROR(VLOOKUP($G1448,今日總結!$A:$AN,39,0),"")</f>
        <v>借</v>
      </c>
      <c r="K1448" s="5">
        <f>IFERROR(VLOOKUP($G1448,今日總結!$A:$AN,40,0),"")</f>
        <v>0</v>
      </c>
      <c r="L1448" s="156">
        <f>IFERROR(VLOOKUP($G1448,今日總結!$A:$AN,37,0),"")</f>
        <v>4</v>
      </c>
      <c r="M1448" s="337">
        <f>IFERROR(VLOOKUP($G1448,今日總結!$A:$AN,38,0),"")</f>
        <v>0</v>
      </c>
      <c r="N1448" s="240">
        <f t="shared" si="250"/>
        <v>4</v>
      </c>
      <c r="O1448" s="359">
        <f>IFERROR(VLOOKUP($G1448,融外自投!$A:$J,7,0),"無")</f>
        <v>1006</v>
      </c>
      <c r="P1448" s="79">
        <f>IFERROR(VLOOKUP($G1448,融外自投!$A:$J,9,0),"無")</f>
        <v>66</v>
      </c>
      <c r="Q1448" s="342">
        <f>IFERROR(VLOOKUP($G1448,融外自投!$A:$J,8,0),"無")</f>
        <v>350</v>
      </c>
      <c r="R1448" s="81">
        <f>IFERROR(VLOOKUP($G1448,融外自投!$A:$J,10,0),"無")</f>
        <v>302</v>
      </c>
      <c r="S1448" s="324">
        <f>IFERROR(VLOOKUP($G1448,'321買'!$A:$E,4,0),"'沒有資料'")</f>
        <v>530</v>
      </c>
      <c r="T1448" s="186">
        <f>IFERROR(VLOOKUP($G1448,基本資料!$A:$J,9,0),"無")</f>
        <v>1.8</v>
      </c>
      <c r="U1448" s="307">
        <f t="shared" si="251"/>
        <v>6.7669172932330823E-2</v>
      </c>
      <c r="V1448" s="94">
        <f>IFERROR(VLOOKUP($G1448,基本資料!$A:$J,10,0),"無")</f>
        <v>2.42</v>
      </c>
      <c r="W1448" s="36">
        <f>RTD("money.excel",,"2504","Price")</f>
        <v>26.6</v>
      </c>
      <c r="X1448" s="66"/>
      <c r="Y1448" s="15">
        <f t="shared" si="252"/>
        <v>26.6</v>
      </c>
      <c r="Z1448" s="3" t="e">
        <f t="shared" si="253"/>
        <v>#DIV/0!</v>
      </c>
      <c r="AA1448" s="340">
        <f>IFERROR(VLOOKUP($G1448,基本資料!$A:$M,11,0),"無")</f>
        <v>-18.78</v>
      </c>
      <c r="AB1448" s="389">
        <f>IFERROR(VLOOKUP($G1448,基本資料!$A:$M,12,0),"無")</f>
        <v>39.39</v>
      </c>
      <c r="AC1448" s="22" t="s">
        <v>902</v>
      </c>
      <c r="AF1448" s="33">
        <f t="shared" si="254"/>
        <v>0</v>
      </c>
      <c r="AG1448" s="43" t="s">
        <v>1956</v>
      </c>
      <c r="AH1448" s="66">
        <f t="shared" si="247"/>
        <v>0.57162703623071776</v>
      </c>
      <c r="AI1448" s="283">
        <f>RTD("money.excel",,$G1448,"PredictVolume")</f>
        <v>3374</v>
      </c>
      <c r="AJ1448" s="391">
        <f>IFERROR(VLOOKUP($G1448,基本資料!$A:$M,13,0),"無")</f>
        <v>5902.45</v>
      </c>
      <c r="AR1448" s="245" t="str">
        <f>INDEX(基本資料!N:N,MATCH($G1448,基本資料!A:A,0))</f>
        <v>中</v>
      </c>
    </row>
    <row r="1449" spans="1:44">
      <c r="A1449" s="343">
        <f>IFERROR(VLOOKUP($G1449,基本資料!$A:$J,3,0),"無")</f>
        <v>38</v>
      </c>
      <c r="B1449" s="79">
        <f>IFERROR(VLOOKUP($G1449,基本資料!$A:$J,4,0),"無")</f>
        <v>-80</v>
      </c>
      <c r="C1449" s="79">
        <f>IFERROR(VLOOKUP($G1449,基本資料!$A:$J,5,0),"無")</f>
        <v>-81</v>
      </c>
      <c r="D1449" s="79">
        <f>IFERROR(VLOOKUP($G1449,基本資料!$A:$J,6,0),"無")</f>
        <v>-84</v>
      </c>
      <c r="E1449" s="79">
        <f>IFERROR(VLOOKUP($G1449,基本資料!$A:$J,7,0),"無")</f>
        <v>-82</v>
      </c>
      <c r="F1449" s="6">
        <f>IFERROR(VLOOKUP($G1449,基本資料!$A:$J,8,0),"無")</f>
        <v>18.350000000000001</v>
      </c>
      <c r="G1449" s="79">
        <v>2505</v>
      </c>
      <c r="H1449" s="8" t="s">
        <v>875</v>
      </c>
      <c r="I1449" s="22" t="s">
        <v>903</v>
      </c>
      <c r="J1449" s="8">
        <f>IFERROR(VLOOKUP($G1449,今日總結!$A:$AN,39,0),"")</f>
        <v>0</v>
      </c>
      <c r="K1449" s="5">
        <f>IFERROR(VLOOKUP($G1449,今日總結!$A:$AN,40,0),"")</f>
        <v>0</v>
      </c>
      <c r="L1449" s="156">
        <f>IFERROR(VLOOKUP($G1449,今日總結!$A:$AN,37,0),"")</f>
        <v>0</v>
      </c>
      <c r="M1449" s="337">
        <f>IFERROR(VLOOKUP($G1449,今日總結!$A:$AN,38,0),"")</f>
        <v>0</v>
      </c>
      <c r="N1449" s="240">
        <f t="shared" si="250"/>
        <v>0</v>
      </c>
      <c r="O1449" s="359">
        <f>IFERROR(VLOOKUP($G1449,融外自投!$A:$J,7,0),"無")</f>
        <v>836</v>
      </c>
      <c r="P1449" s="79">
        <f>IFERROR(VLOOKUP($G1449,融外自投!$A:$J,9,0),"無")</f>
        <v>286</v>
      </c>
      <c r="Q1449" s="342">
        <f>IFERROR(VLOOKUP($G1449,融外自投!$A:$J,8,0),"無")</f>
        <v>747</v>
      </c>
      <c r="R1449" s="81" t="str">
        <f>IFERROR(VLOOKUP($G1449,融外自投!$A:$J,10,0),"無")</f>
        <v>無</v>
      </c>
      <c r="S1449" s="324">
        <f>IFERROR(VLOOKUP($G1449,'321買'!$A:$E,4,0),"'沒有資料'")</f>
        <v>1002</v>
      </c>
      <c r="T1449" s="186">
        <f>IFERROR(VLOOKUP($G1449,基本資料!$A:$J,9,0),"無")</f>
        <v>0</v>
      </c>
      <c r="U1449" s="307">
        <f t="shared" si="251"/>
        <v>0</v>
      </c>
      <c r="V1449" s="94">
        <f>IFERROR(VLOOKUP($G1449,基本資料!$A:$J,10,0),"無")</f>
        <v>2.58</v>
      </c>
      <c r="W1449" s="36">
        <f>RTD("money.excel",,"2505","Price")</f>
        <v>19.3</v>
      </c>
      <c r="X1449" s="66"/>
      <c r="Y1449" s="15">
        <f t="shared" si="252"/>
        <v>19.3</v>
      </c>
      <c r="Z1449" s="3" t="e">
        <f t="shared" si="253"/>
        <v>#DIV/0!</v>
      </c>
      <c r="AA1449" s="340">
        <f>IFERROR(VLOOKUP($G1449,基本資料!$A:$M,11,0),"無")</f>
        <v>-40.06</v>
      </c>
      <c r="AB1449" s="389">
        <f>IFERROR(VLOOKUP($G1449,基本資料!$A:$M,12,0),"無")</f>
        <v>7.78</v>
      </c>
      <c r="AC1449" s="22" t="s">
        <v>903</v>
      </c>
      <c r="AF1449" s="33">
        <f t="shared" si="254"/>
        <v>0</v>
      </c>
      <c r="AG1449" s="43" t="s">
        <v>2011</v>
      </c>
      <c r="AH1449" s="66">
        <f t="shared" si="247"/>
        <v>0.80452799676571662</v>
      </c>
      <c r="AI1449" s="283">
        <f>RTD("money.excel",,$G1449,"PredictVolume")</f>
        <v>199</v>
      </c>
      <c r="AJ1449" s="391">
        <f>IFERROR(VLOOKUP($G1449,基本資料!$A:$M,13,0),"無")</f>
        <v>247.35</v>
      </c>
      <c r="AR1449" s="245" t="str">
        <f>INDEX(基本資料!N:N,MATCH($G1449,基本資料!A:A,0))</f>
        <v>低</v>
      </c>
    </row>
    <row r="1450" spans="1:44">
      <c r="A1450" s="343">
        <f>IFERROR(VLOOKUP($G1450,基本資料!$A:$J,3,0),"無")</f>
        <v>38.700000000000003</v>
      </c>
      <c r="B1450" s="79">
        <f>IFERROR(VLOOKUP($G1450,基本資料!$A:$J,4,0),"無")</f>
        <v>213</v>
      </c>
      <c r="C1450" s="79">
        <f>IFERROR(VLOOKUP($G1450,基本資料!$A:$J,5,0),"無")</f>
        <v>563</v>
      </c>
      <c r="D1450" s="79">
        <f>IFERROR(VLOOKUP($G1450,基本資料!$A:$J,6,0),"無")</f>
        <v>-25</v>
      </c>
      <c r="E1450" s="79">
        <f>IFERROR(VLOOKUP($G1450,基本資料!$A:$J,7,0),"無")</f>
        <v>-55</v>
      </c>
      <c r="F1450" s="6">
        <f>IFERROR(VLOOKUP($G1450,基本資料!$A:$J,8,0),"無")</f>
        <v>6.54</v>
      </c>
      <c r="G1450" s="79">
        <v>2506</v>
      </c>
      <c r="H1450" s="8" t="s">
        <v>875</v>
      </c>
      <c r="I1450" s="22" t="s">
        <v>904</v>
      </c>
      <c r="J1450" s="8">
        <f>IFERROR(VLOOKUP($G1450,今日總結!$A:$AN,39,0),"")</f>
        <v>0</v>
      </c>
      <c r="K1450" s="5">
        <f>IFERROR(VLOOKUP($G1450,今日總結!$A:$AN,40,0),"")</f>
        <v>0</v>
      </c>
      <c r="L1450" s="156">
        <f>IFERROR(VLOOKUP($G1450,今日總結!$A:$AN,37,0),"")</f>
        <v>0</v>
      </c>
      <c r="M1450" s="337">
        <f>IFERROR(VLOOKUP($G1450,今日總結!$A:$AN,38,0),"")</f>
        <v>0</v>
      </c>
      <c r="N1450" s="240">
        <f t="shared" si="250"/>
        <v>0</v>
      </c>
      <c r="O1450" s="359">
        <f>IFERROR(VLOOKUP($G1450,融外自投!$A:$J,7,0),"無")</f>
        <v>900</v>
      </c>
      <c r="P1450" s="79">
        <f>IFERROR(VLOOKUP($G1450,融外自投!$A:$J,9,0),"無")</f>
        <v>869</v>
      </c>
      <c r="Q1450" s="342">
        <f>IFERROR(VLOOKUP($G1450,融外自投!$A:$J,8,0),"無")</f>
        <v>918</v>
      </c>
      <c r="R1450" s="81" t="str">
        <f>IFERROR(VLOOKUP($G1450,融外自投!$A:$J,10,0),"無")</f>
        <v>無</v>
      </c>
      <c r="S1450" s="324">
        <f>IFERROR(VLOOKUP($G1450,'321買'!$A:$E,4,0),"'沒有資料'")</f>
        <v>1002</v>
      </c>
      <c r="T1450" s="186">
        <f>IFERROR(VLOOKUP($G1450,基本資料!$A:$J,9,0),"無")</f>
        <v>0.1</v>
      </c>
      <c r="U1450" s="307">
        <f t="shared" si="251"/>
        <v>1.0471204188481676E-2</v>
      </c>
      <c r="V1450" s="94">
        <f>IFERROR(VLOOKUP($G1450,基本資料!$A:$J,10,0),"無")</f>
        <v>0.13</v>
      </c>
      <c r="W1450" s="36">
        <f>RTD("money.excel",,"2506","Price")</f>
        <v>9.5500000000000007</v>
      </c>
      <c r="X1450" s="66"/>
      <c r="Y1450" s="15">
        <f t="shared" si="252"/>
        <v>9.5500000000000007</v>
      </c>
      <c r="Z1450" s="3" t="e">
        <f t="shared" si="253"/>
        <v>#DIV/0!</v>
      </c>
      <c r="AA1450" s="340">
        <f>IFERROR(VLOOKUP($G1450,基本資料!$A:$M,11,0),"無")</f>
        <v>-12.39</v>
      </c>
      <c r="AB1450" s="389">
        <f>IFERROR(VLOOKUP($G1450,基本資料!$A:$M,12,0),"無")</f>
        <v>40.08</v>
      </c>
      <c r="AC1450" s="22" t="s">
        <v>904</v>
      </c>
      <c r="AF1450" s="33">
        <f t="shared" si="254"/>
        <v>0</v>
      </c>
      <c r="AG1450" s="43" t="s">
        <v>1534</v>
      </c>
      <c r="AH1450" s="66">
        <f t="shared" si="247"/>
        <v>0.10149977276170277</v>
      </c>
      <c r="AI1450" s="283">
        <f>RTD("money.excel",,$G1450,"PredictVolume")</f>
        <v>67</v>
      </c>
      <c r="AJ1450" s="391">
        <f>IFERROR(VLOOKUP($G1450,基本資料!$A:$M,13,0),"無")</f>
        <v>660.1</v>
      </c>
      <c r="AR1450" s="245" t="str">
        <f>INDEX(基本資料!N:N,MATCH($G1450,基本資料!A:A,0))</f>
        <v>中</v>
      </c>
    </row>
    <row r="1451" spans="1:44">
      <c r="A1451" s="343">
        <f>IFERROR(VLOOKUP($G1451,基本資料!$A:$J,3,0),"無")</f>
        <v>22.45</v>
      </c>
      <c r="B1451" s="79">
        <f>IFERROR(VLOOKUP($G1451,基本資料!$A:$J,4,0),"無")</f>
        <v>-81</v>
      </c>
      <c r="C1451" s="79">
        <f>IFERROR(VLOOKUP($G1451,基本資料!$A:$J,5,0),"無")</f>
        <v>-74</v>
      </c>
      <c r="D1451" s="79">
        <f>IFERROR(VLOOKUP($G1451,基本資料!$A:$J,6,0),"無")</f>
        <v>0</v>
      </c>
      <c r="E1451" s="79">
        <f>IFERROR(VLOOKUP($G1451,基本資料!$A:$J,7,0),"無")</f>
        <v>-83</v>
      </c>
      <c r="F1451" s="6">
        <f>IFERROR(VLOOKUP($G1451,基本資料!$A:$J,8,0),"無")</f>
        <v>10.8</v>
      </c>
      <c r="G1451" s="79">
        <v>2509</v>
      </c>
      <c r="H1451" s="8" t="s">
        <v>875</v>
      </c>
      <c r="I1451" s="22" t="s">
        <v>905</v>
      </c>
      <c r="J1451" s="8">
        <f>IFERROR(VLOOKUP($G1451,今日總結!$A:$AN,39,0),"")</f>
        <v>0</v>
      </c>
      <c r="K1451" s="5">
        <f>IFERROR(VLOOKUP($G1451,今日總結!$A:$AN,40,0),"")</f>
        <v>0</v>
      </c>
      <c r="L1451" s="156">
        <f>IFERROR(VLOOKUP($G1451,今日總結!$A:$AN,37,0),"")</f>
        <v>0</v>
      </c>
      <c r="M1451" s="337">
        <f>IFERROR(VLOOKUP($G1451,今日總結!$A:$AN,38,0),"")</f>
        <v>0</v>
      </c>
      <c r="N1451" s="240">
        <f t="shared" si="250"/>
        <v>0</v>
      </c>
      <c r="O1451" s="359">
        <f>IFERROR(VLOOKUP($G1451,融外自投!$A:$J,7,0),"無")</f>
        <v>1039</v>
      </c>
      <c r="P1451" s="79">
        <f>IFERROR(VLOOKUP($G1451,融外自投!$A:$J,9,0),"無")</f>
        <v>1051</v>
      </c>
      <c r="Q1451" s="342">
        <f>IFERROR(VLOOKUP($G1451,融外自投!$A:$J,8,0),"無")</f>
        <v>1192</v>
      </c>
      <c r="R1451" s="81" t="str">
        <f>IFERROR(VLOOKUP($G1451,融外自投!$A:$J,10,0),"無")</f>
        <v>無</v>
      </c>
      <c r="S1451" s="324">
        <f>IFERROR(VLOOKUP($G1451,'321買'!$A:$E,4,0),"'沒有資料'")</f>
        <v>1002</v>
      </c>
      <c r="T1451" s="186">
        <f>IFERROR(VLOOKUP($G1451,基本資料!$A:$J,9,0),"無")</f>
        <v>0</v>
      </c>
      <c r="U1451" s="307">
        <f t="shared" si="251"/>
        <v>0</v>
      </c>
      <c r="V1451" s="94">
        <f>IFERROR(VLOOKUP($G1451,基本資料!$A:$J,10,0),"無")</f>
        <v>0.2</v>
      </c>
      <c r="W1451" s="36">
        <f>RTD("money.excel",,"2509","Price")</f>
        <v>14.9</v>
      </c>
      <c r="X1451" s="66"/>
      <c r="Y1451" s="15">
        <f t="shared" si="252"/>
        <v>14.9</v>
      </c>
      <c r="Z1451" s="3" t="e">
        <f t="shared" si="253"/>
        <v>#DIV/0!</v>
      </c>
      <c r="AA1451" s="340">
        <f>IFERROR(VLOOKUP($G1451,基本資料!$A:$M,11,0),"無")</f>
        <v>-32.119999999999997</v>
      </c>
      <c r="AB1451" s="389">
        <f>IFERROR(VLOOKUP($G1451,基本資料!$A:$M,12,0),"無")</f>
        <v>12.79</v>
      </c>
      <c r="AC1451" s="22" t="s">
        <v>905</v>
      </c>
      <c r="AF1451" s="33">
        <f t="shared" si="254"/>
        <v>0</v>
      </c>
      <c r="AG1451" s="43" t="s">
        <v>2011</v>
      </c>
      <c r="AH1451" s="66">
        <f t="shared" si="247"/>
        <v>0.68755846585594005</v>
      </c>
      <c r="AI1451" s="283">
        <f>RTD("money.excel",,$G1451,"PredictVolume")</f>
        <v>147</v>
      </c>
      <c r="AJ1451" s="391">
        <f>IFERROR(VLOOKUP($G1451,基本資料!$A:$M,13,0),"無")</f>
        <v>213.8</v>
      </c>
      <c r="AR1451" s="245" t="str">
        <f>INDEX(基本資料!N:N,MATCH($G1451,基本資料!A:A,0))</f>
        <v>低</v>
      </c>
    </row>
    <row r="1452" spans="1:44">
      <c r="A1452" s="343">
        <f>IFERROR(VLOOKUP($G1452,基本資料!$A:$J,3,0),"無")</f>
        <v>162</v>
      </c>
      <c r="B1452" s="79">
        <f>IFERROR(VLOOKUP($G1452,基本資料!$A:$J,4,0),"無")</f>
        <v>100</v>
      </c>
      <c r="C1452" s="79">
        <f>IFERROR(VLOOKUP($G1452,基本資料!$A:$J,5,0),"無")</f>
        <v>485</v>
      </c>
      <c r="D1452" s="79">
        <f>IFERROR(VLOOKUP($G1452,基本資料!$A:$J,6,0),"無")</f>
        <v>-17</v>
      </c>
      <c r="E1452" s="79">
        <f>IFERROR(VLOOKUP($G1452,基本資料!$A:$J,7,0),"無")</f>
        <v>29</v>
      </c>
      <c r="F1452" s="6">
        <f>IFERROR(VLOOKUP($G1452,基本資料!$A:$J,8,0),"無")</f>
        <v>8.0399999999999991</v>
      </c>
      <c r="G1452" s="79">
        <v>2511</v>
      </c>
      <c r="H1452" s="8" t="s">
        <v>875</v>
      </c>
      <c r="I1452" s="22" t="s">
        <v>906</v>
      </c>
      <c r="J1452" s="8">
        <f>IFERROR(VLOOKUP($G1452,今日總結!$A:$AN,39,0),"")</f>
        <v>0</v>
      </c>
      <c r="K1452" s="5" t="str">
        <f>IFERROR(VLOOKUP($G1452,今日總結!$A:$AN,40,0),"")</f>
        <v>外</v>
      </c>
      <c r="L1452" s="156">
        <f>IFERROR(VLOOKUP($G1452,今日總結!$A:$AN,37,0),"")</f>
        <v>0</v>
      </c>
      <c r="M1452" s="337">
        <f>IFERROR(VLOOKUP($G1452,今日總結!$A:$AN,38,0),"")</f>
        <v>9</v>
      </c>
      <c r="N1452" s="240">
        <f t="shared" si="250"/>
        <v>-9</v>
      </c>
      <c r="O1452" s="359">
        <f>IFERROR(VLOOKUP($G1452,融外自投!$A:$J,7,0),"無")</f>
        <v>1051</v>
      </c>
      <c r="P1452" s="79">
        <f>IFERROR(VLOOKUP($G1452,融外自投!$A:$J,9,0),"無")</f>
        <v>762</v>
      </c>
      <c r="Q1452" s="342">
        <f>IFERROR(VLOOKUP($G1452,融外自投!$A:$J,8,0),"無")</f>
        <v>553</v>
      </c>
      <c r="R1452" s="81">
        <f>IFERROR(VLOOKUP($G1452,融外自投!$A:$J,10,0),"無")</f>
        <v>495</v>
      </c>
      <c r="S1452" s="324">
        <f>IFERROR(VLOOKUP($G1452,'321買'!$A:$E,4,0),"'沒有資料'")</f>
        <v>891</v>
      </c>
      <c r="T1452" s="186">
        <f>IFERROR(VLOOKUP($G1452,基本資料!$A:$J,9,0),"無")</f>
        <v>0.5</v>
      </c>
      <c r="U1452" s="307">
        <f t="shared" si="251"/>
        <v>4.1666666666666664E-2</v>
      </c>
      <c r="V1452" s="94">
        <f>IFERROR(VLOOKUP($G1452,基本資料!$A:$J,10,0),"無")</f>
        <v>0.95</v>
      </c>
      <c r="W1452" s="36">
        <f>RTD("money.excel",,"2511","Price")</f>
        <v>12</v>
      </c>
      <c r="X1452" s="66"/>
      <c r="Y1452" s="15">
        <f t="shared" si="252"/>
        <v>12</v>
      </c>
      <c r="Z1452" s="3" t="e">
        <f t="shared" si="253"/>
        <v>#DIV/0!</v>
      </c>
      <c r="AA1452" s="340">
        <f>IFERROR(VLOOKUP($G1452,基本資料!$A:$M,11,0),"無")</f>
        <v>-17.809999999999999</v>
      </c>
      <c r="AB1452" s="389">
        <f>IFERROR(VLOOKUP($G1452,基本資料!$A:$M,12,0),"無")</f>
        <v>17.12</v>
      </c>
      <c r="AC1452" s="22" t="s">
        <v>906</v>
      </c>
      <c r="AF1452" s="33">
        <f t="shared" si="254"/>
        <v>0</v>
      </c>
      <c r="AG1452" s="43" t="s">
        <v>1536</v>
      </c>
      <c r="AH1452" s="66">
        <f t="shared" si="247"/>
        <v>1.6240978977094447</v>
      </c>
      <c r="AI1452" s="283">
        <f>RTD("money.excel",,$G1452,"PredictVolume")</f>
        <v>1294</v>
      </c>
      <c r="AJ1452" s="391">
        <f>IFERROR(VLOOKUP($G1452,基本資料!$A:$M,13,0),"無")</f>
        <v>796.75</v>
      </c>
      <c r="AR1452" s="245" t="str">
        <f>INDEX(基本資料!N:N,MATCH($G1452,基本資料!A:A,0))</f>
        <v>低</v>
      </c>
    </row>
    <row r="1453" spans="1:44">
      <c r="A1453" s="343">
        <f>IFERROR(VLOOKUP($G1453,基本資料!$A:$J,3,0),"無")</f>
        <v>22.62</v>
      </c>
      <c r="B1453" s="79">
        <f>IFERROR(VLOOKUP($G1453,基本資料!$A:$J,4,0),"無")</f>
        <v>114</v>
      </c>
      <c r="C1453" s="79">
        <f>IFERROR(VLOOKUP($G1453,基本資料!$A:$J,5,0),"無")</f>
        <v>106</v>
      </c>
      <c r="D1453" s="79">
        <f>IFERROR(VLOOKUP($G1453,基本資料!$A:$J,6,0),"無")</f>
        <v>30</v>
      </c>
      <c r="E1453" s="79">
        <f>IFERROR(VLOOKUP($G1453,基本資料!$A:$J,7,0),"無")</f>
        <v>-16</v>
      </c>
      <c r="F1453" s="6">
        <f>IFERROR(VLOOKUP($G1453,基本資料!$A:$J,8,0),"無")</f>
        <v>0.72</v>
      </c>
      <c r="G1453" s="79">
        <v>2516</v>
      </c>
      <c r="H1453" s="8" t="s">
        <v>875</v>
      </c>
      <c r="I1453" s="22" t="s">
        <v>907</v>
      </c>
      <c r="J1453" s="8" t="str">
        <f>IFERROR(VLOOKUP($G1453,今日總結!$A:$AN,39,0),"")</f>
        <v/>
      </c>
      <c r="K1453" s="5" t="str">
        <f>IFERROR(VLOOKUP($G1453,今日總結!$A:$AN,40,0),"")</f>
        <v/>
      </c>
      <c r="L1453" s="156" t="str">
        <f>IFERROR(VLOOKUP($G1453,今日總結!$A:$AN,37,0),"")</f>
        <v/>
      </c>
      <c r="M1453" s="337" t="str">
        <f>IFERROR(VLOOKUP($G1453,今日總結!$A:$AN,38,0),"")</f>
        <v/>
      </c>
      <c r="N1453" s="240" t="str">
        <f t="shared" si="250"/>
        <v/>
      </c>
      <c r="O1453" s="359" t="str">
        <f>IFERROR(VLOOKUP($G1453,融外自投!$A:$J,7,0),"無")</f>
        <v>無</v>
      </c>
      <c r="P1453" s="79" t="str">
        <f>IFERROR(VLOOKUP($G1453,融外自投!$A:$J,9,0),"無")</f>
        <v>無</v>
      </c>
      <c r="Q1453" s="342" t="str">
        <f>IFERROR(VLOOKUP($G1453,融外自投!$A:$J,8,0),"無")</f>
        <v>無</v>
      </c>
      <c r="R1453" s="81" t="str">
        <f>IFERROR(VLOOKUP($G1453,融外自投!$A:$J,10,0),"無")</f>
        <v>無</v>
      </c>
      <c r="S1453" s="324" t="str">
        <f>IFERROR(VLOOKUP($G1453,'321買'!$A:$E,4,0),"'沒有資料'")</f>
        <v>'沒有資料'</v>
      </c>
      <c r="T1453" s="186">
        <f>IFERROR(VLOOKUP($G1453,基本資料!$A:$J,9,0),"無")</f>
        <v>0</v>
      </c>
      <c r="U1453" s="307">
        <f t="shared" si="251"/>
        <v>0</v>
      </c>
      <c r="V1453" s="94">
        <f>IFERROR(VLOOKUP($G1453,基本資料!$A:$J,10,0),"無")</f>
        <v>0.47</v>
      </c>
      <c r="W1453" s="36">
        <f>RTD("money.excel",,"2516","Price")</f>
        <v>5.15</v>
      </c>
      <c r="X1453" s="66"/>
      <c r="Y1453" s="15">
        <f t="shared" si="252"/>
        <v>5.15</v>
      </c>
      <c r="Z1453" s="3" t="e">
        <f t="shared" si="253"/>
        <v>#DIV/0!</v>
      </c>
      <c r="AA1453" s="340">
        <f>IFERROR(VLOOKUP($G1453,基本資料!$A:$M,11,0),"無")</f>
        <v>-26.01</v>
      </c>
      <c r="AB1453" s="389">
        <f>IFERROR(VLOOKUP($G1453,基本資料!$A:$M,12,0),"無")</f>
        <v>8.2899999999999991</v>
      </c>
      <c r="AC1453" s="22" t="s">
        <v>907</v>
      </c>
      <c r="AF1453" s="33">
        <f t="shared" si="254"/>
        <v>0</v>
      </c>
      <c r="AG1453" s="43" t="s">
        <v>1538</v>
      </c>
      <c r="AH1453" s="66">
        <f t="shared" si="247"/>
        <v>0.91234684260131949</v>
      </c>
      <c r="AI1453" s="283">
        <f>RTD("money.excel",,$G1453,"PredictVolume")</f>
        <v>242</v>
      </c>
      <c r="AJ1453" s="391">
        <f>IFERROR(VLOOKUP($G1453,基本資料!$A:$M,13,0),"無")</f>
        <v>265.25</v>
      </c>
      <c r="AR1453" s="245" t="str">
        <f>INDEX(基本資料!N:N,MATCH($G1453,基本資料!A:A,0))</f>
        <v>低</v>
      </c>
    </row>
    <row r="1454" spans="1:44">
      <c r="A1454" s="343">
        <f>IFERROR(VLOOKUP($G1454,基本資料!$A:$J,3,0),"無")</f>
        <v>55.41</v>
      </c>
      <c r="B1454" s="79">
        <f>IFERROR(VLOOKUP($G1454,基本資料!$A:$J,4,0),"無")</f>
        <v>4</v>
      </c>
      <c r="C1454" s="79">
        <f>IFERROR(VLOOKUP($G1454,基本資料!$A:$J,5,0),"無")</f>
        <v>0</v>
      </c>
      <c r="D1454" s="79">
        <f>IFERROR(VLOOKUP($G1454,基本資料!$A:$J,6,0),"無")</f>
        <v>-1</v>
      </c>
      <c r="E1454" s="79">
        <f>IFERROR(VLOOKUP($G1454,基本資料!$A:$J,7,0),"無")</f>
        <v>23</v>
      </c>
      <c r="F1454" s="6">
        <f>IFERROR(VLOOKUP($G1454,基本資料!$A:$J,8,0),"無")</f>
        <v>20.5</v>
      </c>
      <c r="G1454" s="79">
        <v>2520</v>
      </c>
      <c r="H1454" s="8" t="s">
        <v>875</v>
      </c>
      <c r="I1454" s="22" t="s">
        <v>908</v>
      </c>
      <c r="J1454" s="8">
        <f>IFERROR(VLOOKUP($G1454,今日總結!$A:$AN,39,0),"")</f>
        <v>0</v>
      </c>
      <c r="K1454" s="5" t="str">
        <f>IFERROR(VLOOKUP($G1454,今日總結!$A:$AN,40,0),"")</f>
        <v>融借</v>
      </c>
      <c r="L1454" s="156">
        <f>IFERROR(VLOOKUP($G1454,今日總結!$A:$AN,37,0),"")</f>
        <v>0</v>
      </c>
      <c r="M1454" s="337">
        <f>IFERROR(VLOOKUP($G1454,今日總結!$A:$AN,38,0),"")</f>
        <v>5</v>
      </c>
      <c r="N1454" s="240">
        <f t="shared" si="250"/>
        <v>-5</v>
      </c>
      <c r="O1454" s="359">
        <f>IFERROR(VLOOKUP($G1454,融外自投!$A:$J,7,0),"無")</f>
        <v>1013</v>
      </c>
      <c r="P1454" s="79">
        <f>IFERROR(VLOOKUP($G1454,融外自投!$A:$J,9,0),"無")</f>
        <v>487</v>
      </c>
      <c r="Q1454" s="342">
        <f>IFERROR(VLOOKUP($G1454,融外自投!$A:$J,8,0),"無")</f>
        <v>287</v>
      </c>
      <c r="R1454" s="81">
        <f>IFERROR(VLOOKUP($G1454,融外自投!$A:$J,10,0),"無")</f>
        <v>308</v>
      </c>
      <c r="S1454" s="324">
        <f>IFERROR(VLOOKUP($G1454,'321買'!$A:$E,4,0),"'沒有資料'")</f>
        <v>696</v>
      </c>
      <c r="T1454" s="186">
        <f>IFERROR(VLOOKUP($G1454,基本資料!$A:$J,9,0),"無")</f>
        <v>2.5</v>
      </c>
      <c r="U1454" s="307">
        <f t="shared" si="251"/>
        <v>7.3855243722304287E-2</v>
      </c>
      <c r="V1454" s="94">
        <f>IFERROR(VLOOKUP($G1454,基本資料!$A:$J,10,0),"無")</f>
        <v>6.47</v>
      </c>
      <c r="W1454" s="36">
        <f>RTD("money.excel",,"2520","Price")</f>
        <v>33.85</v>
      </c>
      <c r="X1454" s="66"/>
      <c r="Y1454" s="15">
        <f t="shared" si="252"/>
        <v>33.85</v>
      </c>
      <c r="Z1454" s="3" t="e">
        <f t="shared" si="253"/>
        <v>#DIV/0!</v>
      </c>
      <c r="AA1454" s="340">
        <f>IFERROR(VLOOKUP($G1454,基本資料!$A:$M,11,0),"無")</f>
        <v>-23.68</v>
      </c>
      <c r="AB1454" s="389">
        <f>IFERROR(VLOOKUP($G1454,基本資料!$A:$M,12,0),"無")</f>
        <v>17.84</v>
      </c>
      <c r="AC1454" s="22" t="s">
        <v>908</v>
      </c>
      <c r="AF1454" s="33">
        <f t="shared" si="254"/>
        <v>0</v>
      </c>
      <c r="AG1454" s="43" t="s">
        <v>2011</v>
      </c>
      <c r="AH1454" s="66">
        <f t="shared" si="247"/>
        <v>1.411867147655181</v>
      </c>
      <c r="AI1454" s="283">
        <f>RTD("money.excel",,$G1454,"PredictVolume")</f>
        <v>1135</v>
      </c>
      <c r="AJ1454" s="391">
        <f>IFERROR(VLOOKUP($G1454,基本資料!$A:$M,13,0),"無")</f>
        <v>803.9</v>
      </c>
      <c r="AR1454" s="245" t="str">
        <f>INDEX(基本資料!N:N,MATCH($G1454,基本資料!A:A,0))</f>
        <v>低</v>
      </c>
    </row>
    <row r="1455" spans="1:44">
      <c r="A1455" s="343">
        <f>IFERROR(VLOOKUP($G1455,基本資料!$A:$J,3,0),"無")</f>
        <v>37.17</v>
      </c>
      <c r="B1455" s="79">
        <f>IFERROR(VLOOKUP($G1455,基本資料!$A:$J,4,0),"無")</f>
        <v>0</v>
      </c>
      <c r="C1455" s="79">
        <f>IFERROR(VLOOKUP($G1455,基本資料!$A:$J,5,0),"無")</f>
        <v>-4</v>
      </c>
      <c r="D1455" s="79">
        <f>IFERROR(VLOOKUP($G1455,基本資料!$A:$J,6,0),"無")</f>
        <v>41</v>
      </c>
      <c r="E1455" s="79">
        <f>IFERROR(VLOOKUP($G1455,基本資料!$A:$J,7,0),"無")</f>
        <v>-31</v>
      </c>
      <c r="F1455" s="6">
        <f>IFERROR(VLOOKUP($G1455,基本資料!$A:$J,8,0),"無")</f>
        <v>31.15</v>
      </c>
      <c r="G1455" s="79">
        <v>2524</v>
      </c>
      <c r="H1455" s="8" t="s">
        <v>875</v>
      </c>
      <c r="I1455" s="22" t="s">
        <v>909</v>
      </c>
      <c r="J1455" s="8">
        <f>IFERROR(VLOOKUP($G1455,今日總結!$A:$AN,39,0),"")</f>
        <v>0</v>
      </c>
      <c r="K1455" s="5">
        <f>IFERROR(VLOOKUP($G1455,今日總結!$A:$AN,40,0),"")</f>
        <v>0</v>
      </c>
      <c r="L1455" s="156">
        <f>IFERROR(VLOOKUP($G1455,今日總結!$A:$AN,37,0),"")</f>
        <v>0</v>
      </c>
      <c r="M1455" s="337">
        <f>IFERROR(VLOOKUP($G1455,今日總結!$A:$AN,38,0),"")</f>
        <v>0</v>
      </c>
      <c r="N1455" s="240">
        <f t="shared" si="250"/>
        <v>0</v>
      </c>
      <c r="O1455" s="359">
        <f>IFERROR(VLOOKUP($G1455,融外自投!$A:$J,7,0),"無")</f>
        <v>578</v>
      </c>
      <c r="P1455" s="79">
        <f>IFERROR(VLOOKUP($G1455,融外自投!$A:$J,9,0),"無")</f>
        <v>1123</v>
      </c>
      <c r="Q1455" s="342">
        <f>IFERROR(VLOOKUP($G1455,融外自投!$A:$J,8,0),"無")</f>
        <v>1248</v>
      </c>
      <c r="R1455" s="81" t="str">
        <f>IFERROR(VLOOKUP($G1455,融外自投!$A:$J,10,0),"無")</f>
        <v>無</v>
      </c>
      <c r="S1455" s="324">
        <f>IFERROR(VLOOKUP($G1455,'321買'!$A:$E,4,0),"'沒有資料'")</f>
        <v>1002</v>
      </c>
      <c r="T1455" s="186">
        <f>IFERROR(VLOOKUP($G1455,基本資料!$A:$J,9,0),"無")</f>
        <v>0</v>
      </c>
      <c r="U1455" s="307">
        <f t="shared" si="251"/>
        <v>0</v>
      </c>
      <c r="V1455" s="94">
        <f>IFERROR(VLOOKUP($G1455,基本資料!$A:$J,10,0),"無")</f>
        <v>4.54</v>
      </c>
      <c r="W1455" s="36">
        <f>RTD("money.excel",,"2524","Price")</f>
        <v>34.049999999999997</v>
      </c>
      <c r="X1455" s="66"/>
      <c r="Y1455" s="15">
        <f t="shared" si="252"/>
        <v>34.049999999999997</v>
      </c>
      <c r="Z1455" s="3" t="e">
        <f t="shared" si="253"/>
        <v>#DIV/0!</v>
      </c>
      <c r="AA1455" s="340">
        <f>IFERROR(VLOOKUP($G1455,基本資料!$A:$M,11,0),"無")</f>
        <v>-34.39</v>
      </c>
      <c r="AB1455" s="389">
        <f>IFERROR(VLOOKUP($G1455,基本資料!$A:$M,12,0),"無")</f>
        <v>33.81</v>
      </c>
      <c r="AC1455" s="22" t="s">
        <v>909</v>
      </c>
      <c r="AF1455" s="33">
        <f t="shared" si="254"/>
        <v>0</v>
      </c>
      <c r="AG1455" s="43" t="s">
        <v>2011</v>
      </c>
      <c r="AH1455" s="66">
        <f t="shared" si="247"/>
        <v>0.44976423648893726</v>
      </c>
      <c r="AI1455" s="283">
        <f>RTD("money.excel",,$G1455,"PredictVolume")</f>
        <v>62</v>
      </c>
      <c r="AJ1455" s="391">
        <f>IFERROR(VLOOKUP($G1455,基本資料!$A:$M,13,0),"無")</f>
        <v>137.85</v>
      </c>
      <c r="AR1455" s="245" t="str">
        <f>INDEX(基本資料!N:N,MATCH($G1455,基本資料!A:A,0))</f>
        <v>低</v>
      </c>
    </row>
    <row r="1456" spans="1:44">
      <c r="A1456" s="343">
        <f>IFERROR(VLOOKUP($G1456,基本資料!$A:$J,3,0),"無")</f>
        <v>27.03</v>
      </c>
      <c r="B1456" s="79">
        <f>IFERROR(VLOOKUP($G1456,基本資料!$A:$J,4,0),"無")</f>
        <v>329</v>
      </c>
      <c r="C1456" s="79">
        <f>IFERROR(VLOOKUP($G1456,基本資料!$A:$J,5,0),"無")</f>
        <v>236</v>
      </c>
      <c r="D1456" s="79">
        <f>IFERROR(VLOOKUP($G1456,基本資料!$A:$J,6,0),"無")</f>
        <v>49</v>
      </c>
      <c r="E1456" s="79">
        <f>IFERROR(VLOOKUP($G1456,基本資料!$A:$J,7,0),"無")</f>
        <v>-50</v>
      </c>
      <c r="F1456" s="6">
        <f>IFERROR(VLOOKUP($G1456,基本資料!$A:$J,8,0),"無")</f>
        <v>25.06</v>
      </c>
      <c r="G1456" s="79">
        <v>2527</v>
      </c>
      <c r="H1456" s="8" t="s">
        <v>875</v>
      </c>
      <c r="I1456" s="22" t="s">
        <v>910</v>
      </c>
      <c r="J1456" s="8">
        <f>IFERROR(VLOOKUP($G1456,今日總結!$A:$AN,39,0),"")</f>
        <v>0</v>
      </c>
      <c r="K1456" s="5" t="str">
        <f>IFERROR(VLOOKUP($G1456,今日總結!$A:$AN,40,0),"")</f>
        <v>主</v>
      </c>
      <c r="L1456" s="156">
        <f>IFERROR(VLOOKUP($G1456,今日總結!$A:$AN,37,0),"")</f>
        <v>0</v>
      </c>
      <c r="M1456" s="337">
        <f>IFERROR(VLOOKUP($G1456,今日總結!$A:$AN,38,0),"")</f>
        <v>6</v>
      </c>
      <c r="N1456" s="240">
        <f t="shared" si="250"/>
        <v>-6</v>
      </c>
      <c r="O1456" s="359">
        <f>IFERROR(VLOOKUP($G1456,融外自投!$A:$J,7,0),"無")</f>
        <v>958</v>
      </c>
      <c r="P1456" s="79">
        <f>IFERROR(VLOOKUP($G1456,融外自投!$A:$J,9,0),"無")</f>
        <v>1123</v>
      </c>
      <c r="Q1456" s="342">
        <f>IFERROR(VLOOKUP($G1456,融外自投!$A:$J,8,0),"無")</f>
        <v>100</v>
      </c>
      <c r="R1456" s="81">
        <f>IFERROR(VLOOKUP($G1456,融外自投!$A:$J,10,0),"無")</f>
        <v>403</v>
      </c>
      <c r="S1456" s="324">
        <f>IFERROR(VLOOKUP($G1456,'321買'!$A:$E,4,0),"'沒有資料'")</f>
        <v>891</v>
      </c>
      <c r="T1456" s="186">
        <f>IFERROR(VLOOKUP($G1456,基本資料!$A:$J,9,0),"無")</f>
        <v>3</v>
      </c>
      <c r="U1456" s="307">
        <f t="shared" si="251"/>
        <v>0.11385199240986717</v>
      </c>
      <c r="V1456" s="94">
        <f>IFERROR(VLOOKUP($G1456,基本資料!$A:$J,10,0),"無")</f>
        <v>6.19</v>
      </c>
      <c r="W1456" s="36">
        <f>RTD("money.excel",,"2527","Price")</f>
        <v>26.35</v>
      </c>
      <c r="X1456" s="66"/>
      <c r="Y1456" s="15">
        <f t="shared" si="252"/>
        <v>26.35</v>
      </c>
      <c r="Z1456" s="3" t="e">
        <f t="shared" si="253"/>
        <v>#DIV/0!</v>
      </c>
      <c r="AA1456" s="340">
        <f>IFERROR(VLOOKUP($G1456,基本資料!$A:$M,11,0),"無")</f>
        <v>-25.25</v>
      </c>
      <c r="AB1456" s="389">
        <f>IFERROR(VLOOKUP($G1456,基本資料!$A:$M,12,0),"無")</f>
        <v>9.5399999999999991</v>
      </c>
      <c r="AC1456" s="22" t="s">
        <v>910</v>
      </c>
      <c r="AF1456" s="33">
        <f t="shared" si="254"/>
        <v>0</v>
      </c>
      <c r="AG1456" s="43" t="s">
        <v>1539</v>
      </c>
      <c r="AH1456" s="66">
        <f t="shared" si="247"/>
        <v>0.75846957694252493</v>
      </c>
      <c r="AI1456" s="283">
        <f>RTD("money.excel",,$G1456,"PredictVolume")</f>
        <v>225</v>
      </c>
      <c r="AJ1456" s="391">
        <f>IFERROR(VLOOKUP($G1456,基本資料!$A:$M,13,0),"無")</f>
        <v>296.64999999999998</v>
      </c>
      <c r="AR1456" s="245" t="str">
        <f>INDEX(基本資料!N:N,MATCH($G1456,基本資料!A:A,0))</f>
        <v>低</v>
      </c>
    </row>
    <row r="1457" spans="1:44">
      <c r="A1457" s="343">
        <f>IFERROR(VLOOKUP($G1457,基本資料!$A:$J,3,0),"無")</f>
        <v>37.99</v>
      </c>
      <c r="B1457" s="79">
        <f>IFERROR(VLOOKUP($G1457,基本資料!$A:$J,4,0),"無")</f>
        <v>332</v>
      </c>
      <c r="C1457" s="79">
        <f>IFERROR(VLOOKUP($G1457,基本資料!$A:$J,5,0),"無")</f>
        <v>374</v>
      </c>
      <c r="D1457" s="79">
        <f>IFERROR(VLOOKUP($G1457,基本資料!$A:$J,6,0),"無")</f>
        <v>-43</v>
      </c>
      <c r="E1457" s="79">
        <f>IFERROR(VLOOKUP($G1457,基本資料!$A:$J,7,0),"無")</f>
        <v>130</v>
      </c>
      <c r="F1457" s="6">
        <f>IFERROR(VLOOKUP($G1457,基本資料!$A:$J,8,0),"無")</f>
        <v>17.77</v>
      </c>
      <c r="G1457" s="79">
        <v>2528</v>
      </c>
      <c r="H1457" s="8" t="s">
        <v>875</v>
      </c>
      <c r="I1457" s="22" t="s">
        <v>911</v>
      </c>
      <c r="J1457" s="8">
        <f>IFERROR(VLOOKUP($G1457,今日總結!$A:$AN,39,0),"")</f>
        <v>0</v>
      </c>
      <c r="K1457" s="5">
        <f>IFERROR(VLOOKUP($G1457,今日總結!$A:$AN,40,0),"")</f>
        <v>0</v>
      </c>
      <c r="L1457" s="156">
        <f>IFERROR(VLOOKUP($G1457,今日總結!$A:$AN,37,0),"")</f>
        <v>0</v>
      </c>
      <c r="M1457" s="337">
        <f>IFERROR(VLOOKUP($G1457,今日總結!$A:$AN,38,0),"")</f>
        <v>0</v>
      </c>
      <c r="N1457" s="240">
        <f t="shared" si="250"/>
        <v>0</v>
      </c>
      <c r="O1457" s="359">
        <f>IFERROR(VLOOKUP($G1457,融外自投!$A:$J,7,0),"無")</f>
        <v>1179</v>
      </c>
      <c r="P1457" s="79">
        <f>IFERROR(VLOOKUP($G1457,融外自投!$A:$J,9,0),"無")</f>
        <v>717</v>
      </c>
      <c r="Q1457" s="342">
        <f>IFERROR(VLOOKUP($G1457,融外自投!$A:$J,8,0),"無")</f>
        <v>1431</v>
      </c>
      <c r="R1457" s="81" t="str">
        <f>IFERROR(VLOOKUP($G1457,融外自投!$A:$J,10,0),"無")</f>
        <v>無</v>
      </c>
      <c r="S1457" s="324">
        <f>IFERROR(VLOOKUP($G1457,'321買'!$A:$E,4,0),"'沒有資料'")</f>
        <v>1002</v>
      </c>
      <c r="T1457" s="186">
        <f>IFERROR(VLOOKUP($G1457,基本資料!$A:$J,9,0),"無")</f>
        <v>0.47</v>
      </c>
      <c r="U1457" s="307">
        <f t="shared" si="251"/>
        <v>2.5336927223719673E-2</v>
      </c>
      <c r="V1457" s="94">
        <f>IFERROR(VLOOKUP($G1457,基本資料!$A:$J,10,0),"無")</f>
        <v>1.49</v>
      </c>
      <c r="W1457" s="36">
        <f>RTD("money.excel",,"2528","Price")</f>
        <v>18.55</v>
      </c>
      <c r="X1457" s="66"/>
      <c r="Y1457" s="15">
        <f t="shared" si="252"/>
        <v>18.55</v>
      </c>
      <c r="Z1457" s="3" t="e">
        <f t="shared" si="253"/>
        <v>#DIV/0!</v>
      </c>
      <c r="AA1457" s="340">
        <f>IFERROR(VLOOKUP($G1457,基本資料!$A:$M,11,0),"無")</f>
        <v>-19.350000000000001</v>
      </c>
      <c r="AB1457" s="389">
        <f>IFERROR(VLOOKUP($G1457,基本資料!$A:$M,12,0),"無")</f>
        <v>16.43</v>
      </c>
      <c r="AC1457" s="22" t="s">
        <v>911</v>
      </c>
      <c r="AF1457" s="33">
        <f t="shared" si="254"/>
        <v>0</v>
      </c>
      <c r="AG1457" s="43" t="s">
        <v>1535</v>
      </c>
      <c r="AH1457" s="66">
        <f t="shared" si="247"/>
        <v>0.64180398959236773</v>
      </c>
      <c r="AI1457" s="283">
        <f>RTD("money.excel",,$G1457,"PredictVolume")</f>
        <v>37</v>
      </c>
      <c r="AJ1457" s="391">
        <f>IFERROR(VLOOKUP($G1457,基本資料!$A:$M,13,0),"無")</f>
        <v>57.65</v>
      </c>
      <c r="AR1457" s="245" t="str">
        <f>INDEX(基本資料!N:N,MATCH($G1457,基本資料!A:A,0))</f>
        <v>低</v>
      </c>
    </row>
    <row r="1458" spans="1:44">
      <c r="A1458" s="343">
        <f>IFERROR(VLOOKUP($G1458,基本資料!$A:$J,3,0),"無")</f>
        <v>83.99</v>
      </c>
      <c r="B1458" s="79">
        <f>IFERROR(VLOOKUP($G1458,基本資料!$A:$J,4,0),"無")</f>
        <v>-26</v>
      </c>
      <c r="C1458" s="79">
        <f>IFERROR(VLOOKUP($G1458,基本資料!$A:$J,5,0),"無")</f>
        <v>-36</v>
      </c>
      <c r="D1458" s="79">
        <f>IFERROR(VLOOKUP($G1458,基本資料!$A:$J,6,0),"無")</f>
        <v>-38</v>
      </c>
      <c r="E1458" s="79">
        <f>IFERROR(VLOOKUP($G1458,基本資料!$A:$J,7,0),"無")</f>
        <v>18740</v>
      </c>
      <c r="F1458" s="6">
        <f>IFERROR(VLOOKUP($G1458,基本資料!$A:$J,8,0),"無")</f>
        <v>-997.9</v>
      </c>
      <c r="G1458" s="79">
        <v>2530</v>
      </c>
      <c r="H1458" s="8" t="s">
        <v>875</v>
      </c>
      <c r="I1458" s="22" t="s">
        <v>912</v>
      </c>
      <c r="J1458" s="8">
        <f>IFERROR(VLOOKUP($G1458,今日總結!$A:$AN,39,0),"")</f>
        <v>0</v>
      </c>
      <c r="K1458" s="5">
        <f>IFERROR(VLOOKUP($G1458,今日總結!$A:$AN,40,0),"")</f>
        <v>0</v>
      </c>
      <c r="L1458" s="156">
        <f>IFERROR(VLOOKUP($G1458,今日總結!$A:$AN,37,0),"")</f>
        <v>0</v>
      </c>
      <c r="M1458" s="337">
        <f>IFERROR(VLOOKUP($G1458,今日總結!$A:$AN,38,0),"")</f>
        <v>0</v>
      </c>
      <c r="N1458" s="240">
        <f t="shared" si="250"/>
        <v>0</v>
      </c>
      <c r="O1458" s="359">
        <f>IFERROR(VLOOKUP($G1458,融外自投!$A:$J,7,0),"無")</f>
        <v>881</v>
      </c>
      <c r="P1458" s="79" t="str">
        <f>IFERROR(VLOOKUP($G1458,融外自投!$A:$J,9,0),"無")</f>
        <v>無</v>
      </c>
      <c r="Q1458" s="342">
        <f>IFERROR(VLOOKUP($G1458,融外自投!$A:$J,8,0),"無")</f>
        <v>1314</v>
      </c>
      <c r="R1458" s="81" t="str">
        <f>IFERROR(VLOOKUP($G1458,融外自投!$A:$J,10,0),"無")</f>
        <v>無</v>
      </c>
      <c r="S1458" s="324">
        <f>IFERROR(VLOOKUP($G1458,'321買'!$A:$E,4,0),"'沒有資料'")</f>
        <v>1002</v>
      </c>
      <c r="T1458" s="186">
        <f>IFERROR(VLOOKUP($G1458,基本資料!$A:$J,9,0),"無")</f>
        <v>0</v>
      </c>
      <c r="U1458" s="307">
        <f t="shared" si="251"/>
        <v>0</v>
      </c>
      <c r="V1458" s="94">
        <f>IFERROR(VLOOKUP($G1458,基本資料!$A:$J,10,0),"無")</f>
        <v>-0.2</v>
      </c>
      <c r="W1458" s="36">
        <f>RTD("money.excel",,"2530","Price")</f>
        <v>14.4</v>
      </c>
      <c r="X1458" s="66"/>
      <c r="Y1458" s="15">
        <f t="shared" si="252"/>
        <v>14.4</v>
      </c>
      <c r="Z1458" s="3" t="e">
        <f t="shared" si="253"/>
        <v>#DIV/0!</v>
      </c>
      <c r="AA1458" s="340">
        <f>IFERROR(VLOOKUP($G1458,基本資料!$A:$M,11,0),"無")</f>
        <v>-8.57</v>
      </c>
      <c r="AB1458" s="389">
        <f>IFERROR(VLOOKUP($G1458,基本資料!$A:$M,12,0),"無")</f>
        <v>24.38</v>
      </c>
      <c r="AC1458" s="22" t="s">
        <v>912</v>
      </c>
      <c r="AF1458" s="33">
        <f t="shared" si="254"/>
        <v>0</v>
      </c>
      <c r="AG1458" s="43" t="s">
        <v>2011</v>
      </c>
      <c r="AH1458" s="66">
        <f t="shared" si="247"/>
        <v>0.26483802317332705</v>
      </c>
      <c r="AI1458" s="283">
        <f>RTD("money.excel",,$G1458,"PredictVolume")</f>
        <v>112</v>
      </c>
      <c r="AJ1458" s="391">
        <f>IFERROR(VLOOKUP($G1458,基本資料!$A:$M,13,0),"無")</f>
        <v>422.9</v>
      </c>
      <c r="AR1458" s="245" t="str">
        <f>INDEX(基本資料!N:N,MATCH($G1458,基本資料!A:A,0))</f>
        <v>中</v>
      </c>
    </row>
    <row r="1459" spans="1:44">
      <c r="A1459" s="343">
        <f>IFERROR(VLOOKUP($G1459,基本資料!$A:$J,3,0),"無")</f>
        <v>47.42</v>
      </c>
      <c r="B1459" s="79">
        <f>IFERROR(VLOOKUP($G1459,基本資料!$A:$J,4,0),"無")</f>
        <v>38</v>
      </c>
      <c r="C1459" s="79">
        <f>IFERROR(VLOOKUP($G1459,基本資料!$A:$J,5,0),"無")</f>
        <v>41</v>
      </c>
      <c r="D1459" s="79">
        <f>IFERROR(VLOOKUP($G1459,基本資料!$A:$J,6,0),"無")</f>
        <v>-54</v>
      </c>
      <c r="E1459" s="79">
        <f>IFERROR(VLOOKUP($G1459,基本資料!$A:$J,7,0),"無")</f>
        <v>43</v>
      </c>
      <c r="F1459" s="6">
        <f>IFERROR(VLOOKUP($G1459,基本資料!$A:$J,8,0),"無")</f>
        <v>26.69</v>
      </c>
      <c r="G1459" s="79">
        <v>2534</v>
      </c>
      <c r="H1459" s="8" t="s">
        <v>875</v>
      </c>
      <c r="I1459" s="22" t="s">
        <v>913</v>
      </c>
      <c r="J1459" s="8" t="str">
        <f>IFERROR(VLOOKUP($G1459,今日總結!$A:$AN,39,0),"")</f>
        <v>借</v>
      </c>
      <c r="K1459" s="5" t="str">
        <f>IFERROR(VLOOKUP($G1459,今日總結!$A:$AN,40,0),"")</f>
        <v>外</v>
      </c>
      <c r="L1459" s="156">
        <f>IFERROR(VLOOKUP($G1459,今日總結!$A:$AN,37,0),"")</f>
        <v>1</v>
      </c>
      <c r="M1459" s="337">
        <f>IFERROR(VLOOKUP($G1459,今日總結!$A:$AN,38,0),"")</f>
        <v>4</v>
      </c>
      <c r="N1459" s="240">
        <f t="shared" si="250"/>
        <v>-3</v>
      </c>
      <c r="O1459" s="359">
        <f>IFERROR(VLOOKUP($G1459,融外自投!$A:$J,7,0),"無")</f>
        <v>657</v>
      </c>
      <c r="P1459" s="79">
        <f>IFERROR(VLOOKUP($G1459,融外自投!$A:$J,9,0),"無")</f>
        <v>403</v>
      </c>
      <c r="Q1459" s="342">
        <f>IFERROR(VLOOKUP($G1459,融外自投!$A:$J,8,0),"無")</f>
        <v>564</v>
      </c>
      <c r="R1459" s="81" t="str">
        <f>IFERROR(VLOOKUP($G1459,融外自投!$A:$J,10,0),"無")</f>
        <v>無</v>
      </c>
      <c r="S1459" s="324">
        <f>IFERROR(VLOOKUP($G1459,'321買'!$A:$E,4,0),"'沒有資料'")</f>
        <v>801</v>
      </c>
      <c r="T1459" s="186">
        <f>IFERROR(VLOOKUP($G1459,基本資料!$A:$J,9,0),"無")</f>
        <v>1.2</v>
      </c>
      <c r="U1459" s="307">
        <f t="shared" si="251"/>
        <v>4.9586776859504134E-2</v>
      </c>
      <c r="V1459" s="94">
        <f>IFERROR(VLOOKUP($G1459,基本資料!$A:$J,10,0),"無")</f>
        <v>1.78</v>
      </c>
      <c r="W1459" s="36">
        <f>RTD("money.excel",,"2534","Price")</f>
        <v>24.2</v>
      </c>
      <c r="X1459" s="66"/>
      <c r="Y1459" s="15">
        <f t="shared" si="252"/>
        <v>24.2</v>
      </c>
      <c r="Z1459" s="3" t="e">
        <f t="shared" si="253"/>
        <v>#DIV/0!</v>
      </c>
      <c r="AA1459" s="340">
        <f>IFERROR(VLOOKUP($G1459,基本資料!$A:$M,11,0),"無")</f>
        <v>-5.47</v>
      </c>
      <c r="AB1459" s="389">
        <f>IFERROR(VLOOKUP($G1459,基本資料!$A:$M,12,0),"無")</f>
        <v>56.38</v>
      </c>
      <c r="AC1459" s="22" t="s">
        <v>913</v>
      </c>
      <c r="AF1459" s="33">
        <f t="shared" si="254"/>
        <v>0</v>
      </c>
      <c r="AG1459" s="43" t="s">
        <v>3016</v>
      </c>
      <c r="AH1459" s="66">
        <f t="shared" si="247"/>
        <v>1.76139108034133</v>
      </c>
      <c r="AI1459" s="283">
        <f>RTD("money.excel",,$G1459,"PredictVolume")</f>
        <v>1641</v>
      </c>
      <c r="AJ1459" s="391">
        <f>IFERROR(VLOOKUP($G1459,基本資料!$A:$M,13,0),"無")</f>
        <v>931.65</v>
      </c>
      <c r="AR1459" s="245" t="str">
        <f>INDEX(基本資料!N:N,MATCH($G1459,基本資料!A:A,0))</f>
        <v>高</v>
      </c>
    </row>
    <row r="1460" spans="1:44">
      <c r="A1460" s="343">
        <f>IFERROR(VLOOKUP($G1460,基本資料!$A:$J,3,0),"無")</f>
        <v>33.840000000000003</v>
      </c>
      <c r="B1460" s="79">
        <f>IFERROR(VLOOKUP($G1460,基本資料!$A:$J,4,0),"無")</f>
        <v>7</v>
      </c>
      <c r="C1460" s="79">
        <f>IFERROR(VLOOKUP($G1460,基本資料!$A:$J,5,0),"無")</f>
        <v>14</v>
      </c>
      <c r="D1460" s="79">
        <f>IFERROR(VLOOKUP($G1460,基本資料!$A:$J,6,0),"無")</f>
        <v>29</v>
      </c>
      <c r="E1460" s="79">
        <f>IFERROR(VLOOKUP($G1460,基本資料!$A:$J,7,0),"無")</f>
        <v>30</v>
      </c>
      <c r="F1460" s="6">
        <f>IFERROR(VLOOKUP($G1460,基本資料!$A:$J,8,0),"無")</f>
        <v>9.89</v>
      </c>
      <c r="G1460" s="79">
        <v>2535</v>
      </c>
      <c r="H1460" s="8" t="s">
        <v>875</v>
      </c>
      <c r="I1460" s="22" t="s">
        <v>914</v>
      </c>
      <c r="J1460" s="8">
        <f>IFERROR(VLOOKUP($G1460,今日總結!$A:$AN,39,0),"")</f>
        <v>0</v>
      </c>
      <c r="K1460" s="5">
        <f>IFERROR(VLOOKUP($G1460,今日總結!$A:$AN,40,0),"")</f>
        <v>0</v>
      </c>
      <c r="L1460" s="156">
        <f>IFERROR(VLOOKUP($G1460,今日總結!$A:$AN,37,0),"")</f>
        <v>0</v>
      </c>
      <c r="M1460" s="337">
        <f>IFERROR(VLOOKUP($G1460,今日總結!$A:$AN,38,0),"")</f>
        <v>0</v>
      </c>
      <c r="N1460" s="240">
        <f t="shared" si="250"/>
        <v>0</v>
      </c>
      <c r="O1460" s="359">
        <f>IFERROR(VLOOKUP($G1460,融外自投!$A:$J,7,0),"無")</f>
        <v>1304</v>
      </c>
      <c r="P1460" s="79">
        <f>IFERROR(VLOOKUP($G1460,融外自投!$A:$J,9,0),"無")</f>
        <v>10</v>
      </c>
      <c r="Q1460" s="342">
        <f>IFERROR(VLOOKUP($G1460,融外自投!$A:$J,8,0),"無")</f>
        <v>529</v>
      </c>
      <c r="R1460" s="81">
        <f>IFERROR(VLOOKUP($G1460,融外自投!$A:$J,10,0),"無")</f>
        <v>358</v>
      </c>
      <c r="S1460" s="324">
        <f>IFERROR(VLOOKUP($G1460,'321買'!$A:$E,4,0),"'沒有資料'")</f>
        <v>650</v>
      </c>
      <c r="T1460" s="186">
        <f>IFERROR(VLOOKUP($G1460,基本資料!$A:$J,9,0),"無")</f>
        <v>2.5</v>
      </c>
      <c r="U1460" s="307">
        <f t="shared" si="251"/>
        <v>7.9491255961844198E-2</v>
      </c>
      <c r="V1460" s="94">
        <f>IFERROR(VLOOKUP($G1460,基本資料!$A:$J,10,0),"無")</f>
        <v>3.78</v>
      </c>
      <c r="W1460" s="36">
        <f>RTD("money.excel",,"2535","Price")</f>
        <v>31.45</v>
      </c>
      <c r="X1460" s="66"/>
      <c r="Y1460" s="15">
        <f t="shared" si="252"/>
        <v>31.45</v>
      </c>
      <c r="Z1460" s="3" t="e">
        <f t="shared" si="253"/>
        <v>#DIV/0!</v>
      </c>
      <c r="AA1460" s="340">
        <f>IFERROR(VLOOKUP($G1460,基本資料!$A:$M,11,0),"無")</f>
        <v>-12.88</v>
      </c>
      <c r="AB1460" s="389">
        <f>IFERROR(VLOOKUP($G1460,基本資料!$A:$M,12,0),"無")</f>
        <v>20.94</v>
      </c>
      <c r="AC1460" s="22" t="s">
        <v>914</v>
      </c>
      <c r="AF1460" s="33">
        <f t="shared" si="254"/>
        <v>0</v>
      </c>
      <c r="AG1460" s="43" t="s">
        <v>2065</v>
      </c>
      <c r="AH1460" s="66">
        <f t="shared" si="247"/>
        <v>1.8188672132692489</v>
      </c>
      <c r="AI1460" s="283">
        <f>RTD("money.excel",,$G1460,"PredictVolume")</f>
        <v>965</v>
      </c>
      <c r="AJ1460" s="391">
        <f>IFERROR(VLOOKUP($G1460,基本資料!$A:$M,13,0),"無")</f>
        <v>530.54999999999995</v>
      </c>
      <c r="AR1460" s="245" t="str">
        <f>INDEX(基本資料!N:N,MATCH($G1460,基本資料!A:A,0))</f>
        <v>中</v>
      </c>
    </row>
    <row r="1461" spans="1:44">
      <c r="A1461" s="343">
        <f>IFERROR(VLOOKUP($G1461,基本資料!$A:$J,3,0),"無")</f>
        <v>33.28</v>
      </c>
      <c r="B1461" s="79">
        <f>IFERROR(VLOOKUP($G1461,基本資料!$A:$J,4,0),"無")</f>
        <v>-105</v>
      </c>
      <c r="C1461" s="79">
        <f>IFERROR(VLOOKUP($G1461,基本資料!$A:$J,5,0),"無")</f>
        <v>-92</v>
      </c>
      <c r="D1461" s="79">
        <f>IFERROR(VLOOKUP($G1461,基本資料!$A:$J,6,0),"無")</f>
        <v>0</v>
      </c>
      <c r="E1461" s="79">
        <f>IFERROR(VLOOKUP($G1461,基本資料!$A:$J,7,0),"無")</f>
        <v>-43</v>
      </c>
      <c r="F1461" s="6">
        <f>IFERROR(VLOOKUP($G1461,基本資料!$A:$J,8,0),"無")</f>
        <v>20.18</v>
      </c>
      <c r="G1461" s="79">
        <v>2536</v>
      </c>
      <c r="H1461" s="8" t="s">
        <v>875</v>
      </c>
      <c r="I1461" s="22" t="s">
        <v>915</v>
      </c>
      <c r="J1461" s="8">
        <f>IFERROR(VLOOKUP($G1461,今日總結!$A:$AN,39,0),"")</f>
        <v>0</v>
      </c>
      <c r="K1461" s="5">
        <f>IFERROR(VLOOKUP($G1461,今日總結!$A:$AN,40,0),"")</f>
        <v>0</v>
      </c>
      <c r="L1461" s="156">
        <f>IFERROR(VLOOKUP($G1461,今日總結!$A:$AN,37,0),"")</f>
        <v>0</v>
      </c>
      <c r="M1461" s="337">
        <f>IFERROR(VLOOKUP($G1461,今日總結!$A:$AN,38,0),"")</f>
        <v>0</v>
      </c>
      <c r="N1461" s="240">
        <f t="shared" si="250"/>
        <v>0</v>
      </c>
      <c r="O1461" s="359">
        <f>IFERROR(VLOOKUP($G1461,融外自投!$A:$J,7,0),"無")</f>
        <v>1374</v>
      </c>
      <c r="P1461" s="79">
        <f>IFERROR(VLOOKUP($G1461,融外自投!$A:$J,9,0),"無")</f>
        <v>397</v>
      </c>
      <c r="Q1461" s="342">
        <f>IFERROR(VLOOKUP($G1461,融外自投!$A:$J,8,0),"無")</f>
        <v>515</v>
      </c>
      <c r="R1461" s="81">
        <f>IFERROR(VLOOKUP($G1461,融外自投!$A:$J,10,0),"無")</f>
        <v>459</v>
      </c>
      <c r="S1461" s="324">
        <f>IFERROR(VLOOKUP($G1461,'321買'!$A:$E,4,0),"'沒有資料'")</f>
        <v>1002</v>
      </c>
      <c r="T1461" s="186">
        <f>IFERROR(VLOOKUP($G1461,基本資料!$A:$J,9,0),"無")</f>
        <v>0</v>
      </c>
      <c r="U1461" s="307">
        <f t="shared" si="251"/>
        <v>0</v>
      </c>
      <c r="V1461" s="94">
        <f>IFERROR(VLOOKUP($G1461,基本資料!$A:$J,10,0),"無")</f>
        <v>-0.1</v>
      </c>
      <c r="W1461" s="36">
        <f>RTD("money.excel",,"2536","Price")</f>
        <v>20.399999999999999</v>
      </c>
      <c r="X1461" s="66"/>
      <c r="Y1461" s="15">
        <f t="shared" si="252"/>
        <v>20.399999999999999</v>
      </c>
      <c r="Z1461" s="3" t="e">
        <f t="shared" si="253"/>
        <v>#DIV/0!</v>
      </c>
      <c r="AA1461" s="340">
        <f>IFERROR(VLOOKUP($G1461,基本資料!$A:$M,11,0),"無")</f>
        <v>-13.19</v>
      </c>
      <c r="AB1461" s="389">
        <f>IFERROR(VLOOKUP($G1461,基本資料!$A:$M,12,0),"無")</f>
        <v>8.33</v>
      </c>
      <c r="AC1461" s="22" t="s">
        <v>915</v>
      </c>
      <c r="AF1461" s="33">
        <f t="shared" si="254"/>
        <v>0</v>
      </c>
      <c r="AG1461" s="43" t="s">
        <v>2011</v>
      </c>
      <c r="AH1461" s="66">
        <f t="shared" si="247"/>
        <v>1.0362197169585032</v>
      </c>
      <c r="AI1461" s="283">
        <f>RTD("money.excel",,$G1461,"PredictVolume")</f>
        <v>216</v>
      </c>
      <c r="AJ1461" s="391">
        <f>IFERROR(VLOOKUP($G1461,基本資料!$A:$M,13,0),"無")</f>
        <v>208.45</v>
      </c>
      <c r="AR1461" s="245" t="str">
        <f>INDEX(基本資料!N:N,MATCH($G1461,基本資料!A:A,0))</f>
        <v>低</v>
      </c>
    </row>
    <row r="1462" spans="1:44">
      <c r="A1462" s="343">
        <f>IFERROR(VLOOKUP($G1462,基本資料!$A:$J,3,0),"無")</f>
        <v>30.05</v>
      </c>
      <c r="B1462" s="79">
        <f>IFERROR(VLOOKUP($G1462,基本資料!$A:$J,4,0),"無")</f>
        <v>135</v>
      </c>
      <c r="C1462" s="79">
        <f>IFERROR(VLOOKUP($G1462,基本資料!$A:$J,5,0),"無")</f>
        <v>146</v>
      </c>
      <c r="D1462" s="79">
        <f>IFERROR(VLOOKUP($G1462,基本資料!$A:$J,6,0),"無")</f>
        <v>-79</v>
      </c>
      <c r="E1462" s="79">
        <f>IFERROR(VLOOKUP($G1462,基本資料!$A:$J,7,0),"無")</f>
        <v>131564</v>
      </c>
      <c r="F1462" s="6">
        <f>IFERROR(VLOOKUP($G1462,基本資料!$A:$J,8,0),"無")</f>
        <v>22.32</v>
      </c>
      <c r="G1462" s="79">
        <v>2537</v>
      </c>
      <c r="H1462" s="8" t="s">
        <v>875</v>
      </c>
      <c r="I1462" s="22" t="s">
        <v>916</v>
      </c>
      <c r="J1462" s="8">
        <f>IFERROR(VLOOKUP($G1462,今日總結!$A:$AN,39,0),"")</f>
        <v>0</v>
      </c>
      <c r="K1462" s="5" t="str">
        <f>IFERROR(VLOOKUP($G1462,今日總結!$A:$AN,40,0),"")</f>
        <v>主外</v>
      </c>
      <c r="L1462" s="156">
        <f>IFERROR(VLOOKUP($G1462,今日總結!$A:$AN,37,0),"")</f>
        <v>0</v>
      </c>
      <c r="M1462" s="337">
        <f>IFERROR(VLOOKUP($G1462,今日總結!$A:$AN,38,0),"")</f>
        <v>9</v>
      </c>
      <c r="N1462" s="240">
        <f t="shared" si="250"/>
        <v>-9</v>
      </c>
      <c r="O1462" s="359">
        <f>IFERROR(VLOOKUP($G1462,融外自投!$A:$J,7,0),"無")</f>
        <v>490</v>
      </c>
      <c r="P1462" s="79">
        <f>IFERROR(VLOOKUP($G1462,融外自投!$A:$J,9,0),"無")</f>
        <v>717</v>
      </c>
      <c r="Q1462" s="342">
        <f>IFERROR(VLOOKUP($G1462,融外自投!$A:$J,8,0),"無")</f>
        <v>645</v>
      </c>
      <c r="R1462" s="81" t="str">
        <f>IFERROR(VLOOKUP($G1462,融外自投!$A:$J,10,0),"無")</f>
        <v>無</v>
      </c>
      <c r="S1462" s="324">
        <f>IFERROR(VLOOKUP($G1462,'321買'!$A:$E,4,0),"'沒有資料'")</f>
        <v>696</v>
      </c>
      <c r="T1462" s="186">
        <f>IFERROR(VLOOKUP($G1462,基本資料!$A:$J,9,0),"無")</f>
        <v>0.9</v>
      </c>
      <c r="U1462" s="307">
        <f t="shared" si="251"/>
        <v>9.6670247046186888E-2</v>
      </c>
      <c r="V1462" s="94">
        <f>IFERROR(VLOOKUP($G1462,基本資料!$A:$J,10,0),"無")</f>
        <v>1.38</v>
      </c>
      <c r="W1462" s="36">
        <f>RTD("money.excel",,"2537","Price")</f>
        <v>9.31</v>
      </c>
      <c r="X1462" s="66"/>
      <c r="Y1462" s="15">
        <f t="shared" si="252"/>
        <v>9.31</v>
      </c>
      <c r="Z1462" s="3" t="e">
        <f t="shared" si="253"/>
        <v>#DIV/0!</v>
      </c>
      <c r="AA1462" s="340">
        <f>IFERROR(VLOOKUP($G1462,基本資料!$A:$M,11,0),"無")</f>
        <v>-19.739999999999998</v>
      </c>
      <c r="AB1462" s="389">
        <f>IFERROR(VLOOKUP($G1462,基本資料!$A:$M,12,0),"無")</f>
        <v>29.05</v>
      </c>
      <c r="AC1462" s="22" t="s">
        <v>916</v>
      </c>
      <c r="AF1462" s="33">
        <f t="shared" si="254"/>
        <v>0</v>
      </c>
      <c r="AG1462" s="43" t="s">
        <v>2116</v>
      </c>
      <c r="AH1462" s="66">
        <f t="shared" si="247"/>
        <v>1.03287735725682</v>
      </c>
      <c r="AI1462" s="283">
        <f>RTD("money.excel",,$G1462,"PredictVolume")</f>
        <v>3949</v>
      </c>
      <c r="AJ1462" s="391">
        <f>IFERROR(VLOOKUP($G1462,基本資料!$A:$M,13,0),"無")</f>
        <v>3823.3</v>
      </c>
      <c r="AR1462" s="245" t="str">
        <f>INDEX(基本資料!N:N,MATCH($G1462,基本資料!A:A,0))</f>
        <v>低</v>
      </c>
    </row>
    <row r="1463" spans="1:44">
      <c r="A1463" s="343">
        <f>IFERROR(VLOOKUP($G1463,基本資料!$A:$J,3,0),"無")</f>
        <v>43.84</v>
      </c>
      <c r="B1463" s="79">
        <f>IFERROR(VLOOKUP($G1463,基本資料!$A:$J,4,0),"無")</f>
        <v>2</v>
      </c>
      <c r="C1463" s="79">
        <f>IFERROR(VLOOKUP($G1463,基本資料!$A:$J,5,0),"無")</f>
        <v>-15</v>
      </c>
      <c r="D1463" s="79">
        <f>IFERROR(VLOOKUP($G1463,基本資料!$A:$J,6,0),"無")</f>
        <v>40</v>
      </c>
      <c r="E1463" s="79">
        <f>IFERROR(VLOOKUP($G1463,基本資料!$A:$J,7,0),"無")</f>
        <v>98</v>
      </c>
      <c r="F1463" s="6">
        <f>IFERROR(VLOOKUP($G1463,基本資料!$A:$J,8,0),"無")</f>
        <v>-11.7</v>
      </c>
      <c r="G1463" s="79">
        <v>2538</v>
      </c>
      <c r="H1463" s="8" t="s">
        <v>875</v>
      </c>
      <c r="I1463" s="22" t="s">
        <v>917</v>
      </c>
      <c r="J1463" s="8" t="str">
        <f>IFERROR(VLOOKUP($G1463,今日總結!$A:$AN,39,0),"")</f>
        <v>外</v>
      </c>
      <c r="K1463" s="5">
        <f>IFERROR(VLOOKUP($G1463,今日總結!$A:$AN,40,0),"")</f>
        <v>0</v>
      </c>
      <c r="L1463" s="156">
        <f>IFERROR(VLOOKUP($G1463,今日總結!$A:$AN,37,0),"")</f>
        <v>1</v>
      </c>
      <c r="M1463" s="337">
        <f>IFERROR(VLOOKUP($G1463,今日總結!$A:$AN,38,0),"")</f>
        <v>0</v>
      </c>
      <c r="N1463" s="240">
        <f t="shared" si="250"/>
        <v>1</v>
      </c>
      <c r="O1463" s="359">
        <f>IFERROR(VLOOKUP($G1463,融外自投!$A:$J,7,0),"無")</f>
        <v>786</v>
      </c>
      <c r="P1463" s="79">
        <f>IFERROR(VLOOKUP($G1463,融外自投!$A:$J,9,0),"無")</f>
        <v>908</v>
      </c>
      <c r="Q1463" s="342">
        <f>IFERROR(VLOOKUP($G1463,融外自投!$A:$J,8,0),"無")</f>
        <v>437</v>
      </c>
      <c r="R1463" s="81">
        <f>IFERROR(VLOOKUP($G1463,融外自投!$A:$J,10,0),"無")</f>
        <v>377</v>
      </c>
      <c r="S1463" s="324">
        <f>IFERROR(VLOOKUP($G1463,'321買'!$A:$E,4,0),"'沒有資料'")</f>
        <v>696</v>
      </c>
      <c r="T1463" s="186">
        <f>IFERROR(VLOOKUP($G1463,基本資料!$A:$J,9,0),"無")</f>
        <v>0.5</v>
      </c>
      <c r="U1463" s="307">
        <f t="shared" si="251"/>
        <v>3.8910505836575876E-2</v>
      </c>
      <c r="V1463" s="94">
        <f>IFERROR(VLOOKUP($G1463,基本資料!$A:$J,10,0),"無")</f>
        <v>-0.31</v>
      </c>
      <c r="W1463" s="36">
        <f>RTD("money.excel",,"2538","Price")</f>
        <v>12.85</v>
      </c>
      <c r="X1463" s="66"/>
      <c r="Y1463" s="15">
        <f t="shared" si="252"/>
        <v>12.85</v>
      </c>
      <c r="Z1463" s="3" t="e">
        <f t="shared" si="253"/>
        <v>#DIV/0!</v>
      </c>
      <c r="AA1463" s="340">
        <f>IFERROR(VLOOKUP($G1463,基本資料!$A:$M,11,0),"無")</f>
        <v>-18.670000000000002</v>
      </c>
      <c r="AB1463" s="389">
        <f>IFERROR(VLOOKUP($G1463,基本資料!$A:$M,12,0),"無")</f>
        <v>38.72</v>
      </c>
      <c r="AC1463" s="22" t="s">
        <v>917</v>
      </c>
      <c r="AF1463" s="33">
        <f t="shared" si="254"/>
        <v>0</v>
      </c>
      <c r="AG1463" s="43" t="s">
        <v>2011</v>
      </c>
      <c r="AH1463" s="66">
        <f t="shared" si="247"/>
        <v>1.9266235040219737</v>
      </c>
      <c r="AI1463" s="283">
        <f>RTD("money.excel",,$G1463,"PredictVolume")</f>
        <v>1964</v>
      </c>
      <c r="AJ1463" s="391">
        <f>IFERROR(VLOOKUP($G1463,基本資料!$A:$M,13,0),"無")</f>
        <v>1019.4</v>
      </c>
      <c r="AR1463" s="245" t="str">
        <f>INDEX(基本資料!N:N,MATCH($G1463,基本資料!A:A,0))</f>
        <v>中</v>
      </c>
    </row>
    <row r="1464" spans="1:44">
      <c r="A1464" s="343">
        <f>IFERROR(VLOOKUP($G1464,基本資料!$A:$J,3,0),"無")</f>
        <v>64.47</v>
      </c>
      <c r="B1464" s="79">
        <f>IFERROR(VLOOKUP($G1464,基本資料!$A:$J,4,0),"無")</f>
        <v>-8</v>
      </c>
      <c r="C1464" s="79">
        <f>IFERROR(VLOOKUP($G1464,基本資料!$A:$J,5,0),"無")</f>
        <v>-6</v>
      </c>
      <c r="D1464" s="79">
        <f>IFERROR(VLOOKUP($G1464,基本資料!$A:$J,6,0),"無")</f>
        <v>0</v>
      </c>
      <c r="E1464" s="79">
        <f>IFERROR(VLOOKUP($G1464,基本資料!$A:$J,7,0),"無")</f>
        <v>974095</v>
      </c>
      <c r="F1464" s="6">
        <f>IFERROR(VLOOKUP($G1464,基本資料!$A:$J,8,0),"無")</f>
        <v>23.03</v>
      </c>
      <c r="G1464" s="79">
        <v>2539</v>
      </c>
      <c r="H1464" s="8" t="s">
        <v>875</v>
      </c>
      <c r="I1464" s="22" t="s">
        <v>918</v>
      </c>
      <c r="J1464" s="8">
        <f>IFERROR(VLOOKUP($G1464,今日總結!$A:$AN,39,0),"")</f>
        <v>0</v>
      </c>
      <c r="K1464" s="5">
        <f>IFERROR(VLOOKUP($G1464,今日總結!$A:$AN,40,0),"")</f>
        <v>0</v>
      </c>
      <c r="L1464" s="156">
        <f>IFERROR(VLOOKUP($G1464,今日總結!$A:$AN,37,0),"")</f>
        <v>0</v>
      </c>
      <c r="M1464" s="337">
        <f>IFERROR(VLOOKUP($G1464,今日總結!$A:$AN,38,0),"")</f>
        <v>0</v>
      </c>
      <c r="N1464" s="240">
        <f t="shared" si="250"/>
        <v>0</v>
      </c>
      <c r="O1464" s="359">
        <f>IFERROR(VLOOKUP($G1464,融外自投!$A:$J,7,0),"無")</f>
        <v>1148</v>
      </c>
      <c r="P1464" s="79">
        <f>IFERROR(VLOOKUP($G1464,融外自投!$A:$J,9,0),"無")</f>
        <v>1123</v>
      </c>
      <c r="Q1464" s="342">
        <f>IFERROR(VLOOKUP($G1464,融外自投!$A:$J,8,0),"無")</f>
        <v>1327</v>
      </c>
      <c r="R1464" s="81" t="str">
        <f>IFERROR(VLOOKUP($G1464,融外自投!$A:$J,10,0),"無")</f>
        <v>無</v>
      </c>
      <c r="S1464" s="324">
        <f>IFERROR(VLOOKUP($G1464,'321買'!$A:$E,4,0),"'沒有資料'")</f>
        <v>1002</v>
      </c>
      <c r="T1464" s="186">
        <f>IFERROR(VLOOKUP($G1464,基本資料!$A:$J,9,0),"無")</f>
        <v>1.6</v>
      </c>
      <c r="U1464" s="307">
        <f t="shared" si="251"/>
        <v>5.0955414012738856E-2</v>
      </c>
      <c r="V1464" s="94">
        <f>IFERROR(VLOOKUP($G1464,基本資料!$A:$J,10,0),"無")</f>
        <v>1.18</v>
      </c>
      <c r="W1464" s="36">
        <f>RTD("money.excel",,"2539","Price")</f>
        <v>31.4</v>
      </c>
      <c r="X1464" s="66"/>
      <c r="Y1464" s="15">
        <f t="shared" si="252"/>
        <v>31.4</v>
      </c>
      <c r="Z1464" s="3" t="e">
        <f t="shared" si="253"/>
        <v>#DIV/0!</v>
      </c>
      <c r="AA1464" s="340">
        <f>IFERROR(VLOOKUP($G1464,基本資料!$A:$M,11,0),"無")</f>
        <v>-10.54</v>
      </c>
      <c r="AB1464" s="389">
        <f>IFERROR(VLOOKUP($G1464,基本資料!$A:$M,12,0),"無")</f>
        <v>45.86</v>
      </c>
      <c r="AC1464" s="22" t="s">
        <v>918</v>
      </c>
      <c r="AF1464" s="33">
        <f t="shared" si="254"/>
        <v>0</v>
      </c>
      <c r="AG1464" s="43" t="s">
        <v>2011</v>
      </c>
      <c r="AH1464" s="66">
        <f t="shared" si="247"/>
        <v>1.8309529384219152</v>
      </c>
      <c r="AI1464" s="283">
        <f>RTD("money.excel",,$G1464,"PredictVolume")</f>
        <v>391</v>
      </c>
      <c r="AJ1464" s="391">
        <f>IFERROR(VLOOKUP($G1464,基本資料!$A:$M,13,0),"無")</f>
        <v>213.55</v>
      </c>
      <c r="AR1464" s="245" t="str">
        <f>INDEX(基本資料!N:N,MATCH($G1464,基本資料!A:A,0))</f>
        <v>低</v>
      </c>
    </row>
    <row r="1465" spans="1:44">
      <c r="A1465" s="343">
        <f>IFERROR(VLOOKUP($G1465,基本資料!$A:$J,3,0),"無")</f>
        <v>16.12</v>
      </c>
      <c r="B1465" s="79">
        <f>IFERROR(VLOOKUP($G1465,基本資料!$A:$J,4,0),"無")</f>
        <v>24</v>
      </c>
      <c r="C1465" s="79">
        <f>IFERROR(VLOOKUP($G1465,基本資料!$A:$J,5,0),"無")</f>
        <v>26</v>
      </c>
      <c r="D1465" s="79">
        <f>IFERROR(VLOOKUP($G1465,基本資料!$A:$J,6,0),"無")</f>
        <v>11</v>
      </c>
      <c r="E1465" s="79">
        <f>IFERROR(VLOOKUP($G1465,基本資料!$A:$J,7,0),"無")</f>
        <v>11</v>
      </c>
      <c r="F1465" s="6">
        <f>IFERROR(VLOOKUP($G1465,基本資料!$A:$J,8,0),"無")</f>
        <v>29.96</v>
      </c>
      <c r="G1465" s="79">
        <v>2540</v>
      </c>
      <c r="H1465" s="8" t="s">
        <v>875</v>
      </c>
      <c r="I1465" s="22" t="s">
        <v>919</v>
      </c>
      <c r="J1465" s="8">
        <f>IFERROR(VLOOKUP($G1465,今日總結!$A:$AN,39,0),"")</f>
        <v>0</v>
      </c>
      <c r="K1465" s="5">
        <f>IFERROR(VLOOKUP($G1465,今日總結!$A:$AN,40,0),"")</f>
        <v>0</v>
      </c>
      <c r="L1465" s="156">
        <f>IFERROR(VLOOKUP($G1465,今日總結!$A:$AN,37,0),"")</f>
        <v>0</v>
      </c>
      <c r="M1465" s="337">
        <f>IFERROR(VLOOKUP($G1465,今日總結!$A:$AN,38,0),"")</f>
        <v>0</v>
      </c>
      <c r="N1465" s="240">
        <f t="shared" si="250"/>
        <v>0</v>
      </c>
      <c r="O1465" s="359">
        <f>IFERROR(VLOOKUP($G1465,融外自投!$A:$J,7,0),"無")</f>
        <v>1196</v>
      </c>
      <c r="P1465" s="79">
        <f>IFERROR(VLOOKUP($G1465,融外自投!$A:$J,9,0),"無")</f>
        <v>825</v>
      </c>
      <c r="Q1465" s="342">
        <f>IFERROR(VLOOKUP($G1465,融外自投!$A:$J,8,0),"無")</f>
        <v>1387</v>
      </c>
      <c r="R1465" s="81" t="str">
        <f>IFERROR(VLOOKUP($G1465,融外自投!$A:$J,10,0),"無")</f>
        <v>無</v>
      </c>
      <c r="S1465" s="324">
        <f>IFERROR(VLOOKUP($G1465,'321買'!$A:$E,4,0),"'沒有資料'")</f>
        <v>1002</v>
      </c>
      <c r="T1465" s="186">
        <f>IFERROR(VLOOKUP($G1465,基本資料!$A:$J,9,0),"無")</f>
        <v>10</v>
      </c>
      <c r="U1465" s="307">
        <f t="shared" si="251"/>
        <v>9.0909090909090912E-2</v>
      </c>
      <c r="V1465" s="94">
        <f>IFERROR(VLOOKUP($G1465,基本資料!$A:$J,10,0),"無")</f>
        <v>7.02</v>
      </c>
      <c r="W1465" s="36">
        <f>RTD("money.excel",,"2540","Price")</f>
        <v>110</v>
      </c>
      <c r="X1465" s="66"/>
      <c r="Y1465" s="15">
        <f t="shared" si="252"/>
        <v>110</v>
      </c>
      <c r="Z1465" s="3" t="e">
        <f t="shared" si="253"/>
        <v>#DIV/0!</v>
      </c>
      <c r="AA1465" s="340">
        <f>IFERROR(VLOOKUP($G1465,基本資料!$A:$M,11,0),"無")</f>
        <v>-23.34</v>
      </c>
      <c r="AB1465" s="389">
        <f>IFERROR(VLOOKUP($G1465,基本資料!$A:$M,12,0),"無")</f>
        <v>38.89</v>
      </c>
      <c r="AC1465" s="22" t="s">
        <v>919</v>
      </c>
      <c r="AF1465" s="33">
        <f t="shared" si="254"/>
        <v>0</v>
      </c>
      <c r="AG1465" s="43" t="s">
        <v>2045</v>
      </c>
      <c r="AH1465" s="66">
        <f t="shared" si="247"/>
        <v>0.61872909698996659</v>
      </c>
      <c r="AI1465" s="283">
        <f>RTD("money.excel",,$G1465,"PredictVolume")</f>
        <v>37</v>
      </c>
      <c r="AJ1465" s="391">
        <f>IFERROR(VLOOKUP($G1465,基本資料!$A:$M,13,0),"無")</f>
        <v>59.8</v>
      </c>
      <c r="AR1465" s="245" t="str">
        <f>INDEX(基本資料!N:N,MATCH($G1465,基本資料!A:A,0))</f>
        <v>中</v>
      </c>
    </row>
    <row r="1466" spans="1:44">
      <c r="A1466" s="343">
        <f>IFERROR(VLOOKUP($G1466,基本資料!$A:$J,3,0),"無")</f>
        <v>155</v>
      </c>
      <c r="B1466" s="79">
        <f>IFERROR(VLOOKUP($G1466,基本資料!$A:$J,4,0),"無")</f>
        <v>239</v>
      </c>
      <c r="C1466" s="79">
        <f>IFERROR(VLOOKUP($G1466,基本資料!$A:$J,5,0),"無")</f>
        <v>142</v>
      </c>
      <c r="D1466" s="79">
        <f>IFERROR(VLOOKUP($G1466,基本資料!$A:$J,6,0),"無")</f>
        <v>-59</v>
      </c>
      <c r="E1466" s="79">
        <f>IFERROR(VLOOKUP($G1466,基本資料!$A:$J,7,0),"無")</f>
        <v>-79</v>
      </c>
      <c r="F1466" s="6">
        <f>IFERROR(VLOOKUP($G1466,基本資料!$A:$J,8,0),"無")</f>
        <v>22.62</v>
      </c>
      <c r="G1466" s="79">
        <v>2542</v>
      </c>
      <c r="H1466" s="8" t="s">
        <v>875</v>
      </c>
      <c r="I1466" s="22" t="s">
        <v>28</v>
      </c>
      <c r="J1466" s="8">
        <f>IFERROR(VLOOKUP($G1466,今日總結!$A:$AN,39,0),"")</f>
        <v>0</v>
      </c>
      <c r="K1466" s="5" t="str">
        <f>IFERROR(VLOOKUP($G1466,今日總結!$A:$AN,40,0),"")</f>
        <v>主外</v>
      </c>
      <c r="L1466" s="156">
        <f>IFERROR(VLOOKUP($G1466,今日總結!$A:$AN,37,0),"")</f>
        <v>0</v>
      </c>
      <c r="M1466" s="337">
        <f>IFERROR(VLOOKUP($G1466,今日總結!$A:$AN,38,0),"")</f>
        <v>8</v>
      </c>
      <c r="N1466" s="240">
        <f t="shared" si="250"/>
        <v>-8</v>
      </c>
      <c r="O1466" s="359">
        <f>IFERROR(VLOOKUP($G1466,融外自投!$A:$J,7,0),"無")</f>
        <v>1077</v>
      </c>
      <c r="P1466" s="79">
        <f>IFERROR(VLOOKUP($G1466,融外自投!$A:$J,9,0),"無")</f>
        <v>525</v>
      </c>
      <c r="Q1466" s="342">
        <f>IFERROR(VLOOKUP($G1466,融外自投!$A:$J,8,0),"無")</f>
        <v>623</v>
      </c>
      <c r="R1466" s="81">
        <f>IFERROR(VLOOKUP($G1466,融外自投!$A:$J,10,0),"無")</f>
        <v>66</v>
      </c>
      <c r="S1466" s="324">
        <f>IFERROR(VLOOKUP($G1466,'321買'!$A:$E,4,0),"'沒有資料'")</f>
        <v>650</v>
      </c>
      <c r="T1466" s="186">
        <f>IFERROR(VLOOKUP($G1466,基本資料!$A:$J,9,0),"無")</f>
        <v>5.2</v>
      </c>
      <c r="U1466" s="307">
        <f t="shared" si="251"/>
        <v>0.11672278338945007</v>
      </c>
      <c r="V1466" s="94">
        <f>IFERROR(VLOOKUP($G1466,基本資料!$A:$J,10,0),"無")</f>
        <v>6.45</v>
      </c>
      <c r="W1466" s="36">
        <f>RTD("money.excel",,"2542","Price")</f>
        <v>44.55</v>
      </c>
      <c r="X1466" s="66"/>
      <c r="Y1466" s="15">
        <f t="shared" si="252"/>
        <v>44.55</v>
      </c>
      <c r="Z1466" s="3" t="e">
        <f t="shared" si="253"/>
        <v>#DIV/0!</v>
      </c>
      <c r="AA1466" s="340">
        <f>IFERROR(VLOOKUP($G1466,基本資料!$A:$M,11,0),"無")</f>
        <v>-12.48</v>
      </c>
      <c r="AB1466" s="389">
        <f>IFERROR(VLOOKUP($G1466,基本資料!$A:$M,12,0),"無")</f>
        <v>27.46</v>
      </c>
      <c r="AC1466" s="22" t="s">
        <v>28</v>
      </c>
      <c r="AF1466" s="33">
        <f t="shared" si="254"/>
        <v>0</v>
      </c>
      <c r="AG1466" s="117" t="s">
        <v>2011</v>
      </c>
      <c r="AH1466" s="66">
        <f t="shared" si="247"/>
        <v>0.95266646140882494</v>
      </c>
      <c r="AI1466" s="283">
        <f>RTD("money.excel",,$G1466,"PredictVolume")</f>
        <v>5879</v>
      </c>
      <c r="AJ1466" s="391">
        <f>IFERROR(VLOOKUP($G1466,基本資料!$A:$M,13,0),"無")</f>
        <v>6171.1</v>
      </c>
      <c r="AR1466" s="245" t="str">
        <f>INDEX(基本資料!N:N,MATCH($G1466,基本資料!A:A,0))</f>
        <v>低</v>
      </c>
    </row>
    <row r="1467" spans="1:44">
      <c r="A1467" s="343">
        <f>IFERROR(VLOOKUP($G1467,基本資料!$A:$J,3,0),"無")</f>
        <v>23.74</v>
      </c>
      <c r="B1467" s="79">
        <f>IFERROR(VLOOKUP($G1467,基本資料!$A:$J,4,0),"無")</f>
        <v>678</v>
      </c>
      <c r="C1467" s="79">
        <f>IFERROR(VLOOKUP($G1467,基本資料!$A:$J,5,0),"無")</f>
        <v>-228</v>
      </c>
      <c r="D1467" s="79">
        <f>IFERROR(VLOOKUP($G1467,基本資料!$A:$J,6,0),"無")</f>
        <v>0</v>
      </c>
      <c r="E1467" s="79">
        <f>IFERROR(VLOOKUP($G1467,基本資料!$A:$J,7,0),"無")</f>
        <v>16</v>
      </c>
      <c r="F1467" s="6">
        <f>IFERROR(VLOOKUP($G1467,基本資料!$A:$J,8,0),"無")</f>
        <v>-1.29</v>
      </c>
      <c r="G1467" s="79">
        <v>2543</v>
      </c>
      <c r="H1467" s="8" t="s">
        <v>875</v>
      </c>
      <c r="I1467" s="22" t="s">
        <v>920</v>
      </c>
      <c r="J1467" s="8" t="str">
        <f>IFERROR(VLOOKUP($G1467,今日總結!$A:$AN,39,0),"")</f>
        <v/>
      </c>
      <c r="K1467" s="5" t="str">
        <f>IFERROR(VLOOKUP($G1467,今日總結!$A:$AN,40,0),"")</f>
        <v/>
      </c>
      <c r="L1467" s="156" t="str">
        <f>IFERROR(VLOOKUP($G1467,今日總結!$A:$AN,37,0),"")</f>
        <v/>
      </c>
      <c r="M1467" s="337" t="str">
        <f>IFERROR(VLOOKUP($G1467,今日總結!$A:$AN,38,0),"")</f>
        <v/>
      </c>
      <c r="N1467" s="240" t="str">
        <f t="shared" si="250"/>
        <v/>
      </c>
      <c r="O1467" s="359" t="str">
        <f>IFERROR(VLOOKUP($G1467,融外自投!$A:$J,7,0),"無")</f>
        <v>無</v>
      </c>
      <c r="P1467" s="79" t="str">
        <f>IFERROR(VLOOKUP($G1467,融外自投!$A:$J,9,0),"無")</f>
        <v>無</v>
      </c>
      <c r="Q1467" s="342" t="str">
        <f>IFERROR(VLOOKUP($G1467,融外自投!$A:$J,8,0),"無")</f>
        <v>無</v>
      </c>
      <c r="R1467" s="81" t="str">
        <f>IFERROR(VLOOKUP($G1467,融外自投!$A:$J,10,0),"無")</f>
        <v>無</v>
      </c>
      <c r="S1467" s="324" t="str">
        <f>IFERROR(VLOOKUP($G1467,'321買'!$A:$E,4,0),"'沒有資料'")</f>
        <v>'沒有資料'</v>
      </c>
      <c r="T1467" s="186">
        <f>IFERROR(VLOOKUP($G1467,基本資料!$A:$J,9,0),"無")</f>
        <v>0</v>
      </c>
      <c r="U1467" s="307">
        <f t="shared" si="251"/>
        <v>0</v>
      </c>
      <c r="V1467" s="94">
        <f>IFERROR(VLOOKUP($G1467,基本資料!$A:$J,10,0),"無")</f>
        <v>1.56</v>
      </c>
      <c r="W1467" s="36">
        <f>RTD("money.excel",,"2543","Price")</f>
        <v>8.15</v>
      </c>
      <c r="X1467" s="66"/>
      <c r="Y1467" s="15">
        <f t="shared" si="252"/>
        <v>8.15</v>
      </c>
      <c r="Z1467" s="3" t="e">
        <f t="shared" si="253"/>
        <v>#DIV/0!</v>
      </c>
      <c r="AA1467" s="340">
        <f>IFERROR(VLOOKUP($G1467,基本資料!$A:$M,11,0),"無")</f>
        <v>-30.04</v>
      </c>
      <c r="AB1467" s="389">
        <f>IFERROR(VLOOKUP($G1467,基本資料!$A:$M,12,0),"無")</f>
        <v>20.59</v>
      </c>
      <c r="AC1467" s="22" t="s">
        <v>920</v>
      </c>
      <c r="AF1467" s="33">
        <f t="shared" si="254"/>
        <v>0</v>
      </c>
      <c r="AG1467" s="43" t="s">
        <v>324</v>
      </c>
      <c r="AH1467" s="66">
        <f t="shared" si="247"/>
        <v>0.6425612896003583</v>
      </c>
      <c r="AI1467" s="283">
        <f>RTD("money.excel",,$G1467,"PredictVolume")</f>
        <v>287</v>
      </c>
      <c r="AJ1467" s="391">
        <f>IFERROR(VLOOKUP($G1467,基本資料!$A:$M,13,0),"無")</f>
        <v>446.65</v>
      </c>
      <c r="AR1467" s="245" t="str">
        <f>INDEX(基本資料!N:N,MATCH($G1467,基本資料!A:A,0))</f>
        <v>低</v>
      </c>
    </row>
    <row r="1468" spans="1:44">
      <c r="A1468" s="343">
        <f>IFERROR(VLOOKUP($G1468,基本資料!$A:$J,3,0),"無")</f>
        <v>32.770000000000003</v>
      </c>
      <c r="B1468" s="79">
        <f>IFERROR(VLOOKUP($G1468,基本資料!$A:$J,4,0),"無")</f>
        <v>40</v>
      </c>
      <c r="C1468" s="79">
        <f>IFERROR(VLOOKUP($G1468,基本資料!$A:$J,5,0),"無")</f>
        <v>37</v>
      </c>
      <c r="D1468" s="79">
        <f>IFERROR(VLOOKUP($G1468,基本資料!$A:$J,6,0),"無")</f>
        <v>-16</v>
      </c>
      <c r="E1468" s="79">
        <f>IFERROR(VLOOKUP($G1468,基本資料!$A:$J,7,0),"無")</f>
        <v>-36</v>
      </c>
      <c r="F1468" s="6">
        <f>IFERROR(VLOOKUP($G1468,基本資料!$A:$J,8,0),"無")</f>
        <v>36.29</v>
      </c>
      <c r="G1468" s="79">
        <v>2545</v>
      </c>
      <c r="H1468" s="8" t="s">
        <v>875</v>
      </c>
      <c r="I1468" s="22" t="s">
        <v>921</v>
      </c>
      <c r="J1468" s="8">
        <f>IFERROR(VLOOKUP($G1468,今日總結!$A:$AN,39,0),"")</f>
        <v>0</v>
      </c>
      <c r="K1468" s="5" t="str">
        <f>IFERROR(VLOOKUP($G1468,今日總結!$A:$AN,40,0),"")</f>
        <v>自</v>
      </c>
      <c r="L1468" s="156">
        <f>IFERROR(VLOOKUP($G1468,今日總結!$A:$AN,37,0),"")</f>
        <v>0</v>
      </c>
      <c r="M1468" s="337">
        <f>IFERROR(VLOOKUP($G1468,今日總結!$A:$AN,38,0),"")</f>
        <v>3</v>
      </c>
      <c r="N1468" s="240">
        <f t="shared" si="250"/>
        <v>-3</v>
      </c>
      <c r="O1468" s="359">
        <f>IFERROR(VLOOKUP($G1468,融外自投!$A:$J,7,0),"無")</f>
        <v>1021</v>
      </c>
      <c r="P1468" s="79">
        <f>IFERROR(VLOOKUP($G1468,融外自投!$A:$J,9,0),"無")</f>
        <v>615</v>
      </c>
      <c r="Q1468" s="342">
        <f>IFERROR(VLOOKUP($G1468,融外自投!$A:$J,8,0),"無")</f>
        <v>680</v>
      </c>
      <c r="R1468" s="81">
        <f>IFERROR(VLOOKUP($G1468,融外自投!$A:$J,10,0),"無")</f>
        <v>403</v>
      </c>
      <c r="S1468" s="324">
        <f>IFERROR(VLOOKUP($G1468,'321買'!$A:$E,4,0),"'沒有資料'")</f>
        <v>801</v>
      </c>
      <c r="T1468" s="186">
        <f>IFERROR(VLOOKUP($G1468,基本資料!$A:$J,9,0),"無")</f>
        <v>6.3</v>
      </c>
      <c r="U1468" s="307">
        <f t="shared" si="251"/>
        <v>0.11931818181818182</v>
      </c>
      <c r="V1468" s="94">
        <f>IFERROR(VLOOKUP($G1468,基本資料!$A:$J,10,0),"無")</f>
        <v>7.46</v>
      </c>
      <c r="W1468" s="36">
        <f>RTD("money.excel",,"2545","Price")</f>
        <v>52.8</v>
      </c>
      <c r="X1468" s="66"/>
      <c r="Y1468" s="15">
        <f t="shared" si="252"/>
        <v>52.8</v>
      </c>
      <c r="Z1468" s="3" t="e">
        <f t="shared" si="253"/>
        <v>#DIV/0!</v>
      </c>
      <c r="AA1468" s="340">
        <f>IFERROR(VLOOKUP($G1468,基本資料!$A:$M,11,0),"無")</f>
        <v>-14.15</v>
      </c>
      <c r="AB1468" s="389">
        <f>IFERROR(VLOOKUP($G1468,基本資料!$A:$M,12,0),"無")</f>
        <v>58.41</v>
      </c>
      <c r="AC1468" s="22" t="s">
        <v>921</v>
      </c>
      <c r="AF1468" s="33">
        <f t="shared" si="254"/>
        <v>0</v>
      </c>
      <c r="AG1468" s="43" t="s">
        <v>2011</v>
      </c>
      <c r="AH1468" s="66">
        <f t="shared" si="247"/>
        <v>0.28351704691104845</v>
      </c>
      <c r="AI1468" s="283">
        <f>RTD("money.excel",,$G1468,"PredictVolume")</f>
        <v>553</v>
      </c>
      <c r="AJ1468" s="391">
        <f>IFERROR(VLOOKUP($G1468,基本資料!$A:$M,13,0),"無")</f>
        <v>1950.5</v>
      </c>
      <c r="AR1468" s="245" t="str">
        <f>INDEX(基本資料!N:N,MATCH($G1468,基本資料!A:A,0))</f>
        <v>中</v>
      </c>
    </row>
    <row r="1469" spans="1:44">
      <c r="A1469" s="343">
        <f>IFERROR(VLOOKUP($G1469,基本資料!$A:$J,3,0),"無")</f>
        <v>10.6</v>
      </c>
      <c r="B1469" s="79">
        <f>IFERROR(VLOOKUP($G1469,基本資料!$A:$J,4,0),"無")</f>
        <v>18</v>
      </c>
      <c r="C1469" s="79">
        <f>IFERROR(VLOOKUP($G1469,基本資料!$A:$J,5,0),"無")</f>
        <v>13</v>
      </c>
      <c r="D1469" s="79">
        <f>IFERROR(VLOOKUP($G1469,基本資料!$A:$J,6,0),"無")</f>
        <v>-8</v>
      </c>
      <c r="E1469" s="79">
        <f>IFERROR(VLOOKUP($G1469,基本資料!$A:$J,7,0),"無")</f>
        <v>10</v>
      </c>
      <c r="F1469" s="6">
        <f>IFERROR(VLOOKUP($G1469,基本資料!$A:$J,8,0),"無")</f>
        <v>8.1300000000000008</v>
      </c>
      <c r="G1469" s="79">
        <v>2546</v>
      </c>
      <c r="H1469" s="8" t="s">
        <v>875</v>
      </c>
      <c r="I1469" s="22" t="s">
        <v>922</v>
      </c>
      <c r="J1469" s="8">
        <f>IFERROR(VLOOKUP($G1469,今日總結!$A:$AN,39,0),"")</f>
        <v>0</v>
      </c>
      <c r="K1469" s="5">
        <f>IFERROR(VLOOKUP($G1469,今日總結!$A:$AN,40,0),"")</f>
        <v>0</v>
      </c>
      <c r="L1469" s="156">
        <f>IFERROR(VLOOKUP($G1469,今日總結!$A:$AN,37,0),"")</f>
        <v>0</v>
      </c>
      <c r="M1469" s="337">
        <f>IFERROR(VLOOKUP($G1469,今日總結!$A:$AN,38,0),"")</f>
        <v>0</v>
      </c>
      <c r="N1469" s="240">
        <f t="shared" si="250"/>
        <v>0</v>
      </c>
      <c r="O1469" s="359">
        <f>IFERROR(VLOOKUP($G1469,融外自投!$A:$J,7,0),"無")</f>
        <v>1381</v>
      </c>
      <c r="P1469" s="79">
        <f>IFERROR(VLOOKUP($G1469,融外自投!$A:$J,9,0),"無")</f>
        <v>302</v>
      </c>
      <c r="Q1469" s="342">
        <f>IFERROR(VLOOKUP($G1469,融外自投!$A:$J,8,0),"無")</f>
        <v>828</v>
      </c>
      <c r="R1469" s="81" t="str">
        <f>IFERROR(VLOOKUP($G1469,融外自投!$A:$J,10,0),"無")</f>
        <v>無</v>
      </c>
      <c r="S1469" s="324">
        <f>IFERROR(VLOOKUP($G1469,'321買'!$A:$E,4,0),"'沒有資料'")</f>
        <v>1002</v>
      </c>
      <c r="T1469" s="186">
        <f>IFERROR(VLOOKUP($G1469,基本資料!$A:$J,9,0),"無")</f>
        <v>3.6</v>
      </c>
      <c r="U1469" s="307">
        <f t="shared" si="251"/>
        <v>6.9230769230769235E-2</v>
      </c>
      <c r="V1469" s="94">
        <f>IFERROR(VLOOKUP($G1469,基本資料!$A:$J,10,0),"無")</f>
        <v>6.98</v>
      </c>
      <c r="W1469" s="36">
        <f>RTD("money.excel",,"2546","Price")</f>
        <v>52</v>
      </c>
      <c r="X1469" s="66"/>
      <c r="Y1469" s="15">
        <f t="shared" si="252"/>
        <v>52</v>
      </c>
      <c r="Z1469" s="3" t="e">
        <f t="shared" si="253"/>
        <v>#DIV/0!</v>
      </c>
      <c r="AA1469" s="340">
        <f>IFERROR(VLOOKUP($G1469,基本資料!$A:$M,11,0),"無")</f>
        <v>-13.33</v>
      </c>
      <c r="AB1469" s="389">
        <f>IFERROR(VLOOKUP($G1469,基本資料!$A:$M,12,0),"無")</f>
        <v>32.82</v>
      </c>
      <c r="AC1469" s="22" t="s">
        <v>922</v>
      </c>
      <c r="AF1469" s="33">
        <f t="shared" si="254"/>
        <v>0</v>
      </c>
      <c r="AG1469" s="43" t="s">
        <v>3015</v>
      </c>
      <c r="AH1469" s="66">
        <f t="shared" si="247"/>
        <v>1.5412186379928314</v>
      </c>
      <c r="AI1469" s="283">
        <f>RTD("money.excel",,$G1469,"PredictVolume")</f>
        <v>215</v>
      </c>
      <c r="AJ1469" s="391">
        <f>IFERROR(VLOOKUP($G1469,基本資料!$A:$M,13,0),"無")</f>
        <v>139.5</v>
      </c>
      <c r="AR1469" s="245" t="str">
        <f>INDEX(基本資料!N:N,MATCH($G1469,基本資料!A:A,0))</f>
        <v>中</v>
      </c>
    </row>
    <row r="1470" spans="1:44">
      <c r="A1470" s="343">
        <f>IFERROR(VLOOKUP($G1470,基本資料!$A:$J,3,0),"無")</f>
        <v>88</v>
      </c>
      <c r="B1470" s="79">
        <f>IFERROR(VLOOKUP($G1470,基本資料!$A:$J,4,0),"無")</f>
        <v>-90</v>
      </c>
      <c r="C1470" s="79">
        <f>IFERROR(VLOOKUP($G1470,基本資料!$A:$J,5,0),"無")</f>
        <v>-52</v>
      </c>
      <c r="D1470" s="79">
        <f>IFERROR(VLOOKUP($G1470,基本資料!$A:$J,6,0),"無")</f>
        <v>-1</v>
      </c>
      <c r="E1470" s="79">
        <f>IFERROR(VLOOKUP($G1470,基本資料!$A:$J,7,0),"無")</f>
        <v>-10</v>
      </c>
      <c r="F1470" s="6">
        <f>IFERROR(VLOOKUP($G1470,基本資料!$A:$J,8,0),"無")</f>
        <v>3.44</v>
      </c>
      <c r="G1470" s="79">
        <v>2547</v>
      </c>
      <c r="H1470" s="8" t="s">
        <v>875</v>
      </c>
      <c r="I1470" s="22" t="s">
        <v>923</v>
      </c>
      <c r="J1470" s="8">
        <f>IFERROR(VLOOKUP($G1470,今日總結!$A:$AN,39,0),"")</f>
        <v>0</v>
      </c>
      <c r="K1470" s="5" t="str">
        <f>IFERROR(VLOOKUP($G1470,今日總結!$A:$AN,40,0),"")</f>
        <v>主</v>
      </c>
      <c r="L1470" s="156">
        <f>IFERROR(VLOOKUP($G1470,今日總結!$A:$AN,37,0),"")</f>
        <v>0</v>
      </c>
      <c r="M1470" s="337">
        <f>IFERROR(VLOOKUP($G1470,今日總結!$A:$AN,38,0),"")</f>
        <v>6</v>
      </c>
      <c r="N1470" s="240">
        <f t="shared" si="250"/>
        <v>-6</v>
      </c>
      <c r="O1470" s="359">
        <f>IFERROR(VLOOKUP($G1470,融外自投!$A:$J,7,0),"無")</f>
        <v>970</v>
      </c>
      <c r="P1470" s="79">
        <f>IFERROR(VLOOKUP($G1470,融外自投!$A:$J,9,0),"無")</f>
        <v>790</v>
      </c>
      <c r="Q1470" s="342">
        <f>IFERROR(VLOOKUP($G1470,融外自投!$A:$J,8,0),"無")</f>
        <v>284</v>
      </c>
      <c r="R1470" s="81" t="str">
        <f>IFERROR(VLOOKUP($G1470,融外自投!$A:$J,10,0),"無")</f>
        <v>無</v>
      </c>
      <c r="S1470" s="324">
        <f>IFERROR(VLOOKUP($G1470,'321買'!$A:$E,4,0),"'沒有資料'")</f>
        <v>1002</v>
      </c>
      <c r="T1470" s="186">
        <f>IFERROR(VLOOKUP($G1470,基本資料!$A:$J,9,0),"無")</f>
        <v>0.2</v>
      </c>
      <c r="U1470" s="307">
        <f t="shared" si="251"/>
        <v>2.1574973031283712E-2</v>
      </c>
      <c r="V1470" s="94">
        <f>IFERROR(VLOOKUP($G1470,基本資料!$A:$J,10,0),"無")</f>
        <v>7.0000000000000007E-2</v>
      </c>
      <c r="W1470" s="36">
        <f>RTD("money.excel",,"2547","Price")</f>
        <v>9.27</v>
      </c>
      <c r="X1470" s="66"/>
      <c r="Y1470" s="15">
        <f t="shared" si="252"/>
        <v>9.27</v>
      </c>
      <c r="Z1470" s="3" t="e">
        <f t="shared" si="253"/>
        <v>#DIV/0!</v>
      </c>
      <c r="AA1470" s="340">
        <f>IFERROR(VLOOKUP($G1470,基本資料!$A:$M,11,0),"無")</f>
        <v>-21.11</v>
      </c>
      <c r="AB1470" s="389">
        <f>IFERROR(VLOOKUP($G1470,基本資料!$A:$M,12,0),"無")</f>
        <v>11.33</v>
      </c>
      <c r="AC1470" s="22" t="s">
        <v>923</v>
      </c>
      <c r="AF1470" s="33">
        <f t="shared" si="254"/>
        <v>0</v>
      </c>
      <c r="AG1470" s="43" t="s">
        <v>2011</v>
      </c>
      <c r="AH1470" s="66">
        <f t="shared" si="247"/>
        <v>0.71922703104453722</v>
      </c>
      <c r="AI1470" s="283">
        <f>RTD("money.excel",,$G1470,"PredictVolume")</f>
        <v>629</v>
      </c>
      <c r="AJ1470" s="391">
        <f>IFERROR(VLOOKUP($G1470,基本資料!$A:$M,13,0),"無")</f>
        <v>874.55</v>
      </c>
      <c r="AR1470" s="245" t="str">
        <f>INDEX(基本資料!N:N,MATCH($G1470,基本資料!A:A,0))</f>
        <v>低</v>
      </c>
    </row>
    <row r="1471" spans="1:44">
      <c r="A1471" s="343">
        <f>IFERROR(VLOOKUP($G1471,基本資料!$A:$J,3,0),"無")</f>
        <v>27.68</v>
      </c>
      <c r="B1471" s="79">
        <f>IFERROR(VLOOKUP($G1471,基本資料!$A:$J,4,0),"無")</f>
        <v>5</v>
      </c>
      <c r="C1471" s="79">
        <f>IFERROR(VLOOKUP($G1471,基本資料!$A:$J,5,0),"無")</f>
        <v>13</v>
      </c>
      <c r="D1471" s="79">
        <f>IFERROR(VLOOKUP($G1471,基本資料!$A:$J,6,0),"無")</f>
        <v>102</v>
      </c>
      <c r="E1471" s="79">
        <f>IFERROR(VLOOKUP($G1471,基本資料!$A:$J,7,0),"無")</f>
        <v>84</v>
      </c>
      <c r="F1471" s="6">
        <f>IFERROR(VLOOKUP($G1471,基本資料!$A:$J,8,0),"無")</f>
        <v>26.08</v>
      </c>
      <c r="G1471" s="79">
        <v>2548</v>
      </c>
      <c r="H1471" s="8" t="s">
        <v>875</v>
      </c>
      <c r="I1471" s="22" t="s">
        <v>924</v>
      </c>
      <c r="J1471" s="8">
        <f>IFERROR(VLOOKUP($G1471,今日總結!$A:$AN,39,0),"")</f>
        <v>0</v>
      </c>
      <c r="K1471" s="5">
        <f>IFERROR(VLOOKUP($G1471,今日總結!$A:$AN,40,0),"")</f>
        <v>0</v>
      </c>
      <c r="L1471" s="156">
        <f>IFERROR(VLOOKUP($G1471,今日總結!$A:$AN,37,0),"")</f>
        <v>0</v>
      </c>
      <c r="M1471" s="337">
        <f>IFERROR(VLOOKUP($G1471,今日總結!$A:$AN,38,0),"")</f>
        <v>0</v>
      </c>
      <c r="N1471" s="240">
        <f t="shared" si="250"/>
        <v>0</v>
      </c>
      <c r="O1471" s="359">
        <f>IFERROR(VLOOKUP($G1471,融外自投!$A:$J,7,0),"無")</f>
        <v>1336</v>
      </c>
      <c r="P1471" s="79">
        <f>IFERROR(VLOOKUP($G1471,融外自投!$A:$J,9,0),"無")</f>
        <v>64</v>
      </c>
      <c r="Q1471" s="342">
        <f>IFERROR(VLOOKUP($G1471,融外自投!$A:$J,8,0),"無")</f>
        <v>291</v>
      </c>
      <c r="R1471" s="81">
        <f>IFERROR(VLOOKUP($G1471,融外自投!$A:$J,10,0),"無")</f>
        <v>291</v>
      </c>
      <c r="S1471" s="324">
        <f>IFERROR(VLOOKUP($G1471,'321買'!$A:$E,4,0),"'沒有資料'")</f>
        <v>801</v>
      </c>
      <c r="T1471" s="186">
        <f>IFERROR(VLOOKUP($G1471,基本資料!$A:$J,9,0),"無")</f>
        <v>7.5</v>
      </c>
      <c r="U1471" s="307">
        <f t="shared" si="251"/>
        <v>8.1967213114754092E-2</v>
      </c>
      <c r="V1471" s="94">
        <f>IFERROR(VLOOKUP($G1471,基本資料!$A:$J,10,0),"無")</f>
        <v>10.56</v>
      </c>
      <c r="W1471" s="36">
        <f>RTD("money.excel",,"2548","Price")</f>
        <v>91.5</v>
      </c>
      <c r="X1471" s="66"/>
      <c r="Y1471" s="15">
        <f t="shared" si="252"/>
        <v>91.5</v>
      </c>
      <c r="Z1471" s="3" t="e">
        <f t="shared" si="253"/>
        <v>#DIV/0!</v>
      </c>
      <c r="AA1471" s="340">
        <f>IFERROR(VLOOKUP($G1471,基本資料!$A:$M,11,0),"無")</f>
        <v>-3.28</v>
      </c>
      <c r="AB1471" s="389">
        <f>IFERROR(VLOOKUP($G1471,基本資料!$A:$M,12,0),"無")</f>
        <v>48.54</v>
      </c>
      <c r="AC1471" s="22" t="s">
        <v>924</v>
      </c>
      <c r="AF1471" s="33">
        <f t="shared" si="254"/>
        <v>0</v>
      </c>
      <c r="AG1471" s="43" t="s">
        <v>2011</v>
      </c>
      <c r="AH1471" s="66">
        <f t="shared" si="247"/>
        <v>1.3727359389895137</v>
      </c>
      <c r="AI1471" s="283">
        <f>RTD("money.excel",,$G1471,"PredictVolume")</f>
        <v>720</v>
      </c>
      <c r="AJ1471" s="391">
        <f>IFERROR(VLOOKUP($G1471,基本資料!$A:$M,13,0),"無")</f>
        <v>524.5</v>
      </c>
      <c r="AR1471" s="245" t="str">
        <f>INDEX(基本資料!N:N,MATCH($G1471,基本資料!A:A,0))</f>
        <v>高</v>
      </c>
    </row>
    <row r="1472" spans="1:44">
      <c r="A1472" s="343">
        <f>IFERROR(VLOOKUP($G1472,基本資料!$A:$J,3,0),"無")</f>
        <v>10</v>
      </c>
      <c r="B1472" s="79">
        <f>IFERROR(VLOOKUP($G1472,基本資料!$A:$J,4,0),"無")</f>
        <v>60</v>
      </c>
      <c r="C1472" s="79">
        <f>IFERROR(VLOOKUP($G1472,基本資料!$A:$J,5,0),"無")</f>
        <v>44</v>
      </c>
      <c r="D1472" s="79">
        <f>IFERROR(VLOOKUP($G1472,基本資料!$A:$J,6,0),"無")</f>
        <v>27626</v>
      </c>
      <c r="E1472" s="79">
        <f>IFERROR(VLOOKUP($G1472,基本資料!$A:$J,7,0),"無")</f>
        <v>-65</v>
      </c>
      <c r="F1472" s="6">
        <f>IFERROR(VLOOKUP($G1472,基本資料!$A:$J,8,0),"無")</f>
        <v>23.62</v>
      </c>
      <c r="G1472" s="79">
        <v>2596</v>
      </c>
      <c r="H1472" s="8" t="s">
        <v>875</v>
      </c>
      <c r="I1472" s="16" t="s">
        <v>877</v>
      </c>
      <c r="J1472" s="8">
        <f>IFERROR(VLOOKUP($G1472,今日總結!$A:$AN,39,0),"")</f>
        <v>0</v>
      </c>
      <c r="K1472" s="5" t="str">
        <f>IFERROR(VLOOKUP($G1472,今日總結!$A:$AN,40,0),"")</f>
        <v>主</v>
      </c>
      <c r="L1472" s="156">
        <f>IFERROR(VLOOKUP($G1472,今日總結!$A:$AN,37,0),"")</f>
        <v>0</v>
      </c>
      <c r="M1472" s="337">
        <f>IFERROR(VLOOKUP($G1472,今日總結!$A:$AN,38,0),"")</f>
        <v>6</v>
      </c>
      <c r="N1472" s="240">
        <f t="shared" si="250"/>
        <v>-6</v>
      </c>
      <c r="O1472" s="359">
        <f>IFERROR(VLOOKUP($G1472,融外自投!$A:$J,7,0),"無")</f>
        <v>892</v>
      </c>
      <c r="P1472" s="79" t="str">
        <f>IFERROR(VLOOKUP($G1472,融外自投!$A:$J,9,0),"無")</f>
        <v>無</v>
      </c>
      <c r="Q1472" s="342">
        <f>IFERROR(VLOOKUP($G1472,融外自投!$A:$J,8,0),"無")</f>
        <v>1321</v>
      </c>
      <c r="R1472" s="81" t="str">
        <f>IFERROR(VLOOKUP($G1472,融外自投!$A:$J,10,0),"無")</f>
        <v>無</v>
      </c>
      <c r="S1472" s="324">
        <f>IFERROR(VLOOKUP($G1472,'321買'!$A:$E,4,0),"'沒有資料'")</f>
        <v>1002</v>
      </c>
      <c r="T1472" s="186">
        <f>IFERROR(VLOOKUP($G1472,基本資料!$A:$J,9,0),"無")</f>
        <v>1.5</v>
      </c>
      <c r="U1472" s="307">
        <f t="shared" si="251"/>
        <v>7.537688442211056E-2</v>
      </c>
      <c r="V1472" s="94">
        <f>IFERROR(VLOOKUP($G1472,基本資料!$A:$J,10,0),"無")</f>
        <v>3.05</v>
      </c>
      <c r="W1472" s="36">
        <f>RTD("money.excel",,"2596","Price")</f>
        <v>19.899999999999999</v>
      </c>
      <c r="X1472" s="66"/>
      <c r="Y1472" s="15">
        <f t="shared" si="252"/>
        <v>19.899999999999999</v>
      </c>
      <c r="Z1472" s="3" t="e">
        <f t="shared" si="253"/>
        <v>#DIV/0!</v>
      </c>
      <c r="AA1472" s="340">
        <f>IFERROR(VLOOKUP($G1472,基本資料!$A:$M,11,0),"無")</f>
        <v>-24.19</v>
      </c>
      <c r="AB1472" s="389">
        <f>IFERROR(VLOOKUP($G1472,基本資料!$A:$M,12,0),"無")</f>
        <v>12.97</v>
      </c>
      <c r="AC1472" s="16" t="s">
        <v>877</v>
      </c>
      <c r="AF1472" s="33">
        <f t="shared" si="254"/>
        <v>0</v>
      </c>
      <c r="AG1472" s="43" t="s">
        <v>2011</v>
      </c>
      <c r="AH1472" s="66">
        <f t="shared" si="247"/>
        <v>1.5358361774744027</v>
      </c>
      <c r="AI1472" s="283">
        <f>RTD("money.excel",,$G1472,"PredictVolume")</f>
        <v>135</v>
      </c>
      <c r="AJ1472" s="391">
        <f>IFERROR(VLOOKUP($G1472,基本資料!$A:$M,13,0),"無")</f>
        <v>87.9</v>
      </c>
      <c r="AR1472" s="245" t="str">
        <f>INDEX(基本資料!N:N,MATCH($G1472,基本資料!A:A,0))</f>
        <v>低</v>
      </c>
    </row>
    <row r="1473" spans="1:44">
      <c r="A1473" s="343">
        <f>IFERROR(VLOOKUP($G1473,基本資料!$A:$J,3,0),"無")</f>
        <v>18.489999999999998</v>
      </c>
      <c r="B1473" s="79">
        <f>IFERROR(VLOOKUP($G1473,基本資料!$A:$J,4,0),"無")</f>
        <v>63</v>
      </c>
      <c r="C1473" s="79">
        <f>IFERROR(VLOOKUP($G1473,基本資料!$A:$J,5,0),"無")</f>
        <v>100</v>
      </c>
      <c r="D1473" s="79">
        <f>IFERROR(VLOOKUP($G1473,基本資料!$A:$J,6,0),"無")</f>
        <v>-10</v>
      </c>
      <c r="E1473" s="79">
        <f>IFERROR(VLOOKUP($G1473,基本資料!$A:$J,7,0),"無")</f>
        <v>-2</v>
      </c>
      <c r="F1473" s="6">
        <f>IFERROR(VLOOKUP($G1473,基本資料!$A:$J,8,0),"無")</f>
        <v>10.84</v>
      </c>
      <c r="G1473" s="79">
        <v>2597</v>
      </c>
      <c r="H1473" s="8" t="s">
        <v>875</v>
      </c>
      <c r="I1473" s="22" t="s">
        <v>925</v>
      </c>
      <c r="J1473" s="8">
        <f>IFERROR(VLOOKUP($G1473,今日總結!$A:$AN,39,0),"")</f>
        <v>0</v>
      </c>
      <c r="K1473" s="5">
        <f>IFERROR(VLOOKUP($G1473,今日總結!$A:$AN,40,0),"")</f>
        <v>0</v>
      </c>
      <c r="L1473" s="156">
        <f>IFERROR(VLOOKUP($G1473,今日總結!$A:$AN,37,0),"")</f>
        <v>0</v>
      </c>
      <c r="M1473" s="337">
        <f>IFERROR(VLOOKUP($G1473,今日總結!$A:$AN,38,0),"")</f>
        <v>0</v>
      </c>
      <c r="N1473" s="240">
        <f t="shared" si="250"/>
        <v>0</v>
      </c>
      <c r="O1473" s="359">
        <f>IFERROR(VLOOKUP($G1473,融外自投!$A:$J,7,0),"無")</f>
        <v>1202</v>
      </c>
      <c r="P1473" s="79">
        <f>IFERROR(VLOOKUP($G1473,融外自投!$A:$J,9,0),"無")</f>
        <v>1123</v>
      </c>
      <c r="Q1473" s="342">
        <f>IFERROR(VLOOKUP($G1473,融外自投!$A:$J,8,0),"無")</f>
        <v>1169</v>
      </c>
      <c r="R1473" s="81">
        <f>IFERROR(VLOOKUP($G1473,融外自投!$A:$J,10,0),"無")</f>
        <v>439</v>
      </c>
      <c r="S1473" s="324">
        <f>IFERROR(VLOOKUP($G1473,'321買'!$A:$E,4,0),"'沒有資料'")</f>
        <v>1002</v>
      </c>
      <c r="T1473" s="186">
        <f>IFERROR(VLOOKUP($G1473,基本資料!$A:$J,9,0),"無")</f>
        <v>9</v>
      </c>
      <c r="U1473" s="307">
        <f t="shared" si="251"/>
        <v>7.8260869565217397E-2</v>
      </c>
      <c r="V1473" s="94">
        <f>IFERROR(VLOOKUP($G1473,基本資料!$A:$J,10,0),"無")</f>
        <v>9.9600000000000009</v>
      </c>
      <c r="W1473" s="36">
        <f>RTD("money.excel",,"2597","Price")</f>
        <v>115</v>
      </c>
      <c r="X1473" s="66"/>
      <c r="Y1473" s="15">
        <f t="shared" si="252"/>
        <v>115</v>
      </c>
      <c r="Z1473" s="3" t="e">
        <f t="shared" si="253"/>
        <v>#DIV/0!</v>
      </c>
      <c r="AA1473" s="340">
        <f>IFERROR(VLOOKUP($G1473,基本資料!$A:$M,11,0),"無")</f>
        <v>-38.01</v>
      </c>
      <c r="AB1473" s="389">
        <f>IFERROR(VLOOKUP($G1473,基本資料!$A:$M,12,0),"無")</f>
        <v>13.96</v>
      </c>
      <c r="AC1473" s="22" t="s">
        <v>925</v>
      </c>
      <c r="AF1473" s="33">
        <f t="shared" si="254"/>
        <v>0</v>
      </c>
      <c r="AG1473" s="43" t="s">
        <v>3014</v>
      </c>
      <c r="AH1473" s="66">
        <f t="shared" si="247"/>
        <v>2.644554011653967</v>
      </c>
      <c r="AI1473" s="283">
        <f>RTD("money.excel",,$G1473,"PredictVolume")</f>
        <v>590</v>
      </c>
      <c r="AJ1473" s="391">
        <f>IFERROR(VLOOKUP($G1473,基本資料!$A:$M,13,0),"無")</f>
        <v>223.1</v>
      </c>
      <c r="AR1473" s="245" t="str">
        <f>INDEX(基本資料!N:N,MATCH($G1473,基本資料!A:A,0))</f>
        <v>低</v>
      </c>
    </row>
    <row r="1474" spans="1:44">
      <c r="A1474" s="343" t="str">
        <f>IFERROR(VLOOKUP($G1474,基本資料!$A:$J,3,0),"無")</f>
        <v>無</v>
      </c>
      <c r="B1474" s="79" t="str">
        <f>IFERROR(VLOOKUP($G1474,基本資料!$A:$J,4,0),"無")</f>
        <v>無</v>
      </c>
      <c r="C1474" s="79" t="str">
        <f>IFERROR(VLOOKUP($G1474,基本資料!$A:$J,5,0),"無")</f>
        <v>無</v>
      </c>
      <c r="D1474" s="79" t="str">
        <f>IFERROR(VLOOKUP($G1474,基本資料!$A:$J,6,0),"無")</f>
        <v>無</v>
      </c>
      <c r="E1474" s="79" t="str">
        <f>IFERROR(VLOOKUP($G1474,基本資料!$A:$J,7,0),"無")</f>
        <v>無</v>
      </c>
      <c r="F1474" s="6" t="str">
        <f>IFERROR(VLOOKUP($G1474,基本資料!$A:$J,8,0),"無")</f>
        <v>無</v>
      </c>
      <c r="G1474" s="79">
        <v>2841</v>
      </c>
      <c r="H1474" s="8" t="s">
        <v>875</v>
      </c>
      <c r="I1474" s="22" t="s">
        <v>926</v>
      </c>
      <c r="J1474" s="8" t="str">
        <f>IFERROR(VLOOKUP($G1474,今日總結!$A:$AN,39,0),"")</f>
        <v/>
      </c>
      <c r="K1474" s="5" t="str">
        <f>IFERROR(VLOOKUP($G1474,今日總結!$A:$AN,40,0),"")</f>
        <v/>
      </c>
      <c r="L1474" s="156" t="str">
        <f>IFERROR(VLOOKUP($G1474,今日總結!$A:$AN,37,0),"")</f>
        <v/>
      </c>
      <c r="M1474" s="337" t="str">
        <f>IFERROR(VLOOKUP($G1474,今日總結!$A:$AN,38,0),"")</f>
        <v/>
      </c>
      <c r="N1474" s="240" t="str">
        <f t="shared" si="250"/>
        <v/>
      </c>
      <c r="O1474" s="359" t="str">
        <f>IFERROR(VLOOKUP($G1474,融外自投!$A:$J,7,0),"無")</f>
        <v>無</v>
      </c>
      <c r="P1474" s="79" t="str">
        <f>IFERROR(VLOOKUP($G1474,融外自投!$A:$J,9,0),"無")</f>
        <v>無</v>
      </c>
      <c r="Q1474" s="342" t="str">
        <f>IFERROR(VLOOKUP($G1474,融外自投!$A:$J,8,0),"無")</f>
        <v>無</v>
      </c>
      <c r="R1474" s="81" t="str">
        <f>IFERROR(VLOOKUP($G1474,融外自投!$A:$J,10,0),"無")</f>
        <v>無</v>
      </c>
      <c r="S1474" s="324" t="str">
        <f>IFERROR(VLOOKUP($G1474,'321買'!$A:$E,4,0),"'沒有資料'")</f>
        <v>'沒有資料'</v>
      </c>
      <c r="T1474" s="186" t="str">
        <f>IFERROR(VLOOKUP($G1474,基本資料!$A:$J,9,0),"無")</f>
        <v>無</v>
      </c>
      <c r="U1474" s="307" t="e">
        <f t="shared" si="251"/>
        <v>#VALUE!</v>
      </c>
      <c r="V1474" s="94" t="str">
        <f>IFERROR(VLOOKUP($G1474,基本資料!$A:$J,10,0),"無")</f>
        <v>無</v>
      </c>
      <c r="W1474" s="36" t="str">
        <f>RTD("money.excel",,"2841","Price")</f>
        <v>商品錯誤</v>
      </c>
      <c r="X1474" s="66"/>
      <c r="Y1474" s="15" t="e">
        <f t="shared" si="252"/>
        <v>#VALUE!</v>
      </c>
      <c r="Z1474" s="3" t="e">
        <f t="shared" si="253"/>
        <v>#VALUE!</v>
      </c>
      <c r="AA1474" s="340" t="str">
        <f>IFERROR(VLOOKUP($G1474,基本資料!$A:$M,11,0),"無")</f>
        <v>無</v>
      </c>
      <c r="AB1474" s="389" t="str">
        <f>IFERROR(VLOOKUP($G1474,基本資料!$A:$M,12,0),"無")</f>
        <v>無</v>
      </c>
      <c r="AC1474" s="22" t="s">
        <v>926</v>
      </c>
      <c r="AF1474" s="33">
        <f t="shared" si="254"/>
        <v>0</v>
      </c>
      <c r="AG1474" s="43" t="s">
        <v>3168</v>
      </c>
      <c r="AH1474" s="66" t="e">
        <f t="shared" si="247"/>
        <v>#VALUE!</v>
      </c>
      <c r="AI1474" s="283" t="str">
        <f>RTD("money.excel",,$G1474,"PredictVolume")</f>
        <v>商品錯誤</v>
      </c>
      <c r="AJ1474" s="391" t="str">
        <f>IFERROR(VLOOKUP($G1474,基本資料!$A:$M,13,0),"無")</f>
        <v>無</v>
      </c>
      <c r="AR1474" s="245" t="e">
        <f>INDEX(基本資料!N:N,MATCH($G1474,基本資料!A:A,0))</f>
        <v>#N/A</v>
      </c>
    </row>
    <row r="1475" spans="1:44">
      <c r="A1475" s="343">
        <f>IFERROR(VLOOKUP($G1475,基本資料!$A:$J,3,0),"無")</f>
        <v>174</v>
      </c>
      <c r="B1475" s="79">
        <f>IFERROR(VLOOKUP($G1475,基本資料!$A:$J,4,0),"無")</f>
        <v>0</v>
      </c>
      <c r="C1475" s="79">
        <f>IFERROR(VLOOKUP($G1475,基本資料!$A:$J,5,0),"無")</f>
        <v>-44</v>
      </c>
      <c r="D1475" s="79">
        <f>IFERROR(VLOOKUP($G1475,基本資料!$A:$J,6,0),"無")</f>
        <v>-99</v>
      </c>
      <c r="E1475" s="79">
        <f>IFERROR(VLOOKUP($G1475,基本資料!$A:$J,7,0),"無")</f>
        <v>-95</v>
      </c>
      <c r="F1475" s="6">
        <f>IFERROR(VLOOKUP($G1475,基本資料!$A:$J,8,0),"無")</f>
        <v>38</v>
      </c>
      <c r="G1475" s="79">
        <v>2923</v>
      </c>
      <c r="H1475" s="8" t="s">
        <v>875</v>
      </c>
      <c r="I1475" s="22" t="s">
        <v>939</v>
      </c>
      <c r="J1475" s="8" t="str">
        <f>IFERROR(VLOOKUP($G1475,今日總結!$A:$AN,39,0),"")</f>
        <v/>
      </c>
      <c r="K1475" s="5" t="str">
        <f>IFERROR(VLOOKUP($G1475,今日總結!$A:$AN,40,0),"")</f>
        <v/>
      </c>
      <c r="L1475" s="156" t="str">
        <f>IFERROR(VLOOKUP($G1475,今日總結!$A:$AN,37,0),"")</f>
        <v/>
      </c>
      <c r="M1475" s="337" t="str">
        <f>IFERROR(VLOOKUP($G1475,今日總結!$A:$AN,38,0),"")</f>
        <v/>
      </c>
      <c r="N1475" s="240" t="str">
        <f t="shared" si="250"/>
        <v/>
      </c>
      <c r="O1475" s="359" t="str">
        <f>IFERROR(VLOOKUP($G1475,融外自投!$A:$J,7,0),"無")</f>
        <v>無</v>
      </c>
      <c r="P1475" s="79" t="str">
        <f>IFERROR(VLOOKUP($G1475,融外自投!$A:$J,9,0),"無")</f>
        <v>無</v>
      </c>
      <c r="Q1475" s="342" t="str">
        <f>IFERROR(VLOOKUP($G1475,融外自投!$A:$J,8,0),"無")</f>
        <v>無</v>
      </c>
      <c r="R1475" s="81" t="str">
        <f>IFERROR(VLOOKUP($G1475,融外自投!$A:$J,10,0),"無")</f>
        <v>無</v>
      </c>
      <c r="S1475" s="324" t="str">
        <f>IFERROR(VLOOKUP($G1475,'321買'!$A:$E,4,0),"'沒有資料'")</f>
        <v>'沒有資料'</v>
      </c>
      <c r="T1475" s="186">
        <f>IFERROR(VLOOKUP($G1475,基本資料!$A:$J,9,0),"無")</f>
        <v>1.2</v>
      </c>
      <c r="U1475" s="307">
        <f t="shared" si="251"/>
        <v>4.7337278106508875E-2</v>
      </c>
      <c r="V1475" s="94">
        <f>IFERROR(VLOOKUP($G1475,基本資料!$A:$J,10,0),"無")</f>
        <v>0.67</v>
      </c>
      <c r="W1475" s="36">
        <f>RTD("money.excel",,"2923","Price")</f>
        <v>25.35</v>
      </c>
      <c r="X1475" s="66"/>
      <c r="Y1475" s="15">
        <f t="shared" si="252"/>
        <v>25.35</v>
      </c>
      <c r="Z1475" s="3" t="e">
        <f t="shared" si="253"/>
        <v>#DIV/0!</v>
      </c>
      <c r="AA1475" s="340">
        <f>IFERROR(VLOOKUP($G1475,基本資料!$A:$M,11,0),"無")</f>
        <v>-18.23</v>
      </c>
      <c r="AB1475" s="389">
        <f>IFERROR(VLOOKUP($G1475,基本資料!$A:$M,12,0),"無")</f>
        <v>44.69</v>
      </c>
      <c r="AC1475" s="22" t="s">
        <v>939</v>
      </c>
      <c r="AF1475" s="33">
        <f t="shared" si="254"/>
        <v>0</v>
      </c>
      <c r="AG1475" s="43" t="s">
        <v>3013</v>
      </c>
      <c r="AH1475" s="66">
        <f t="shared" si="247"/>
        <v>0.59976931949250289</v>
      </c>
      <c r="AI1475" s="283">
        <f>RTD("money.excel",,$G1475,"PredictVolume")</f>
        <v>26</v>
      </c>
      <c r="AJ1475" s="391">
        <f>IFERROR(VLOOKUP($G1475,基本資料!$A:$M,13,0),"無")</f>
        <v>43.35</v>
      </c>
      <c r="AR1475" s="245" t="str">
        <f>INDEX(基本資料!N:N,MATCH($G1475,基本資料!A:A,0))</f>
        <v>中</v>
      </c>
    </row>
    <row r="1476" spans="1:44">
      <c r="A1476" s="343">
        <f>IFERROR(VLOOKUP($G1476,基本資料!$A:$J,3,0),"無")</f>
        <v>22.87</v>
      </c>
      <c r="B1476" s="79">
        <f>IFERROR(VLOOKUP($G1476,基本資料!$A:$J,4,0),"無")</f>
        <v>-67</v>
      </c>
      <c r="C1476" s="79">
        <f>IFERROR(VLOOKUP($G1476,基本資料!$A:$J,5,0),"無")</f>
        <v>-76</v>
      </c>
      <c r="D1476" s="79">
        <f>IFERROR(VLOOKUP($G1476,基本資料!$A:$J,6,0),"無")</f>
        <v>-28</v>
      </c>
      <c r="E1476" s="79">
        <f>IFERROR(VLOOKUP($G1476,基本資料!$A:$J,7,0),"無")</f>
        <v>-47</v>
      </c>
      <c r="F1476" s="6">
        <f>IFERROR(VLOOKUP($G1476,基本資料!$A:$J,8,0),"無")</f>
        <v>1.88</v>
      </c>
      <c r="G1476" s="79">
        <v>3052</v>
      </c>
      <c r="H1476" s="8" t="s">
        <v>875</v>
      </c>
      <c r="I1476" s="22" t="s">
        <v>927</v>
      </c>
      <c r="J1476" s="8" t="str">
        <f>IFERROR(VLOOKUP($G1476,今日總結!$A:$AN,39,0),"")</f>
        <v>主</v>
      </c>
      <c r="K1476" s="5">
        <f>IFERROR(VLOOKUP($G1476,今日總結!$A:$AN,40,0),"")</f>
        <v>0</v>
      </c>
      <c r="L1476" s="156">
        <f>IFERROR(VLOOKUP($G1476,今日總結!$A:$AN,37,0),"")</f>
        <v>5</v>
      </c>
      <c r="M1476" s="337">
        <f>IFERROR(VLOOKUP($G1476,今日總結!$A:$AN,38,0),"")</f>
        <v>0</v>
      </c>
      <c r="N1476" s="240">
        <f t="shared" si="250"/>
        <v>5</v>
      </c>
      <c r="O1476" s="359">
        <f>IFERROR(VLOOKUP($G1476,融外自投!$A:$J,7,0),"無")</f>
        <v>1007</v>
      </c>
      <c r="P1476" s="79">
        <f>IFERROR(VLOOKUP($G1476,融外自投!$A:$J,9,0),"無")</f>
        <v>869</v>
      </c>
      <c r="Q1476" s="342">
        <f>IFERROR(VLOOKUP($G1476,融外自投!$A:$J,8,0),"無")</f>
        <v>1222</v>
      </c>
      <c r="R1476" s="81" t="str">
        <f>IFERROR(VLOOKUP($G1476,融外自投!$A:$J,10,0),"無")</f>
        <v>無</v>
      </c>
      <c r="S1476" s="324">
        <f>IFERROR(VLOOKUP($G1476,'321買'!$A:$E,4,0),"'沒有資料'")</f>
        <v>1002</v>
      </c>
      <c r="T1476" s="186">
        <f>IFERROR(VLOOKUP($G1476,基本資料!$A:$J,9,0),"無")</f>
        <v>0.25</v>
      </c>
      <c r="U1476" s="307">
        <f t="shared" si="251"/>
        <v>2.4752475247524754E-2</v>
      </c>
      <c r="V1476" s="94">
        <f>IFERROR(VLOOKUP($G1476,基本資料!$A:$J,10,0),"無")</f>
        <v>0.52</v>
      </c>
      <c r="W1476" s="36">
        <f>RTD("money.excel",,"3052","Price")</f>
        <v>10.1</v>
      </c>
      <c r="X1476" s="66"/>
      <c r="Y1476" s="15">
        <f t="shared" si="252"/>
        <v>10.1</v>
      </c>
      <c r="Z1476" s="3" t="e">
        <f t="shared" si="253"/>
        <v>#DIV/0!</v>
      </c>
      <c r="AA1476" s="340">
        <f>IFERROR(VLOOKUP($G1476,基本資料!$A:$M,11,0),"無")</f>
        <v>-20.16</v>
      </c>
      <c r="AB1476" s="389">
        <f>IFERROR(VLOOKUP($G1476,基本資料!$A:$M,12,0),"無")</f>
        <v>29.3</v>
      </c>
      <c r="AC1476" s="22" t="s">
        <v>927</v>
      </c>
      <c r="AF1476" s="33">
        <f t="shared" si="254"/>
        <v>0</v>
      </c>
      <c r="AG1476" s="43" t="s">
        <v>1540</v>
      </c>
      <c r="AH1476" s="66">
        <f t="shared" si="247"/>
        <v>1.5654118524040253</v>
      </c>
      <c r="AI1476" s="283">
        <f>RTD("money.excel",,$G1476,"PredictVolume")</f>
        <v>210</v>
      </c>
      <c r="AJ1476" s="391">
        <f>IFERROR(VLOOKUP($G1476,基本資料!$A:$M,13,0),"無")</f>
        <v>134.15</v>
      </c>
      <c r="AR1476" s="245" t="str">
        <f>INDEX(基本資料!N:N,MATCH($G1476,基本資料!A:A,0))</f>
        <v>低</v>
      </c>
    </row>
    <row r="1477" spans="1:44">
      <c r="A1477" s="343">
        <f>IFERROR(VLOOKUP($G1477,基本資料!$A:$J,3,0),"無")</f>
        <v>21.17</v>
      </c>
      <c r="B1477" s="79">
        <f>IFERROR(VLOOKUP($G1477,基本資料!$A:$J,4,0),"無")</f>
        <v>-37</v>
      </c>
      <c r="C1477" s="79">
        <f>IFERROR(VLOOKUP($G1477,基本資料!$A:$J,5,0),"無")</f>
        <v>-37</v>
      </c>
      <c r="D1477" s="79">
        <f>IFERROR(VLOOKUP($G1477,基本資料!$A:$J,6,0),"無")</f>
        <v>-29</v>
      </c>
      <c r="E1477" s="79">
        <f>IFERROR(VLOOKUP($G1477,基本資料!$A:$J,7,0),"無")</f>
        <v>-61</v>
      </c>
      <c r="F1477" s="6">
        <f>IFERROR(VLOOKUP($G1477,基本資料!$A:$J,8,0),"無")</f>
        <v>21.73</v>
      </c>
      <c r="G1477" s="79">
        <v>3056</v>
      </c>
      <c r="H1477" s="8" t="s">
        <v>875</v>
      </c>
      <c r="I1477" s="22" t="s">
        <v>928</v>
      </c>
      <c r="J1477" s="8">
        <f>IFERROR(VLOOKUP($G1477,今日總結!$A:$AN,39,0),"")</f>
        <v>0</v>
      </c>
      <c r="K1477" s="5">
        <f>IFERROR(VLOOKUP($G1477,今日總結!$A:$AN,40,0),"")</f>
        <v>0</v>
      </c>
      <c r="L1477" s="156">
        <f>IFERROR(VLOOKUP($G1477,今日總結!$A:$AN,37,0),"")</f>
        <v>0</v>
      </c>
      <c r="M1477" s="337">
        <f>IFERROR(VLOOKUP($G1477,今日總結!$A:$AN,38,0),"")</f>
        <v>0</v>
      </c>
      <c r="N1477" s="240">
        <f t="shared" si="250"/>
        <v>0</v>
      </c>
      <c r="O1477" s="359">
        <f>IFERROR(VLOOKUP($G1477,融外自投!$A:$J,7,0),"無")</f>
        <v>339</v>
      </c>
      <c r="P1477" s="79">
        <f>IFERROR(VLOOKUP($G1477,融外自投!$A:$J,9,0),"無")</f>
        <v>908</v>
      </c>
      <c r="Q1477" s="342">
        <f>IFERROR(VLOOKUP($G1477,融外自投!$A:$J,8,0),"無")</f>
        <v>790</v>
      </c>
      <c r="R1477" s="81">
        <f>IFERROR(VLOOKUP($G1477,融外自投!$A:$J,10,0),"無")</f>
        <v>459</v>
      </c>
      <c r="S1477" s="324">
        <f>IFERROR(VLOOKUP($G1477,'321買'!$A:$E,4,0),"'沒有資料'")</f>
        <v>801</v>
      </c>
      <c r="T1477" s="186">
        <f>IFERROR(VLOOKUP($G1477,基本資料!$A:$J,9,0),"無")</f>
        <v>1.5</v>
      </c>
      <c r="U1477" s="307">
        <f t="shared" si="251"/>
        <v>4.4117647058823532E-2</v>
      </c>
      <c r="V1477" s="94">
        <f>IFERROR(VLOOKUP($G1477,基本資料!$A:$J,10,0),"無")</f>
        <v>3.01</v>
      </c>
      <c r="W1477" s="36">
        <f>RTD("money.excel",,"3056","Price")</f>
        <v>34</v>
      </c>
      <c r="X1477" s="66"/>
      <c r="Y1477" s="15">
        <f t="shared" si="252"/>
        <v>34</v>
      </c>
      <c r="Z1477" s="3" t="e">
        <f t="shared" si="253"/>
        <v>#DIV/0!</v>
      </c>
      <c r="AA1477" s="340">
        <f>IFERROR(VLOOKUP($G1477,基本資料!$A:$M,11,0),"無")</f>
        <v>-24.36</v>
      </c>
      <c r="AB1477" s="389">
        <f>IFERROR(VLOOKUP($G1477,基本資料!$A:$M,12,0),"無")</f>
        <v>19.71</v>
      </c>
      <c r="AC1477" s="22" t="s">
        <v>928</v>
      </c>
      <c r="AF1477" s="33">
        <f t="shared" si="254"/>
        <v>0</v>
      </c>
      <c r="AG1477" s="43" t="s">
        <v>2011</v>
      </c>
      <c r="AH1477" s="66">
        <f t="shared" si="247"/>
        <v>0.92299436544137381</v>
      </c>
      <c r="AI1477" s="283">
        <f>RTD("money.excel",,$G1477,"PredictVolume")</f>
        <v>516</v>
      </c>
      <c r="AJ1477" s="391">
        <f>IFERROR(VLOOKUP($G1477,基本資料!$A:$M,13,0),"無")</f>
        <v>559.04999999999995</v>
      </c>
      <c r="AR1477" s="245" t="str">
        <f>INDEX(基本資料!N:N,MATCH($G1477,基本資料!A:A,0))</f>
        <v>低</v>
      </c>
    </row>
    <row r="1478" spans="1:44">
      <c r="A1478" s="343">
        <f>IFERROR(VLOOKUP($G1478,基本資料!$A:$J,3,0),"無")</f>
        <v>12.02</v>
      </c>
      <c r="B1478" s="79">
        <f>IFERROR(VLOOKUP($G1478,基本資料!$A:$J,4,0),"無")</f>
        <v>266</v>
      </c>
      <c r="C1478" s="79">
        <f>IFERROR(VLOOKUP($G1478,基本資料!$A:$J,5,0),"無")</f>
        <v>239</v>
      </c>
      <c r="D1478" s="79">
        <f>IFERROR(VLOOKUP($G1478,基本資料!$A:$J,6,0),"無")</f>
        <v>-2</v>
      </c>
      <c r="E1478" s="79">
        <f>IFERROR(VLOOKUP($G1478,基本資料!$A:$J,7,0),"無")</f>
        <v>-91</v>
      </c>
      <c r="F1478" s="6">
        <f>IFERROR(VLOOKUP($G1478,基本資料!$A:$J,8,0),"無")</f>
        <v>18.12</v>
      </c>
      <c r="G1478" s="79">
        <v>3188</v>
      </c>
      <c r="H1478" s="8" t="s">
        <v>875</v>
      </c>
      <c r="I1478" s="16" t="s">
        <v>878</v>
      </c>
      <c r="J1478" s="8" t="str">
        <f>IFERROR(VLOOKUP($G1478,今日總結!$A:$AN,39,0),"")</f>
        <v/>
      </c>
      <c r="K1478" s="5" t="str">
        <f>IFERROR(VLOOKUP($G1478,今日總結!$A:$AN,40,0),"")</f>
        <v/>
      </c>
      <c r="L1478" s="156" t="str">
        <f>IFERROR(VLOOKUP($G1478,今日總結!$A:$AN,37,0),"")</f>
        <v/>
      </c>
      <c r="M1478" s="337" t="str">
        <f>IFERROR(VLOOKUP($G1478,今日總結!$A:$AN,38,0),"")</f>
        <v/>
      </c>
      <c r="N1478" s="240" t="str">
        <f t="shared" si="250"/>
        <v/>
      </c>
      <c r="O1478" s="359">
        <f>IFERROR(VLOOKUP($G1478,融外自投!$A:$J,7,0),"無")</f>
        <v>682</v>
      </c>
      <c r="P1478" s="79">
        <f>IFERROR(VLOOKUP($G1478,融外自投!$A:$J,9,0),"無")</f>
        <v>990</v>
      </c>
      <c r="Q1478" s="342">
        <f>IFERROR(VLOOKUP($G1478,融外自投!$A:$J,8,0),"無")</f>
        <v>1405</v>
      </c>
      <c r="R1478" s="81" t="str">
        <f>IFERROR(VLOOKUP($G1478,融外自投!$A:$J,10,0),"無")</f>
        <v>無</v>
      </c>
      <c r="S1478" s="324" t="str">
        <f>IFERROR(VLOOKUP($G1478,'321買'!$A:$E,4,0),"'沒有資料'")</f>
        <v>'沒有資料'</v>
      </c>
      <c r="T1478" s="186">
        <f>IFERROR(VLOOKUP($G1478,基本資料!$A:$J,9,0),"無")</f>
        <v>1</v>
      </c>
      <c r="U1478" s="307">
        <f t="shared" si="251"/>
        <v>6.3492063492063489E-2</v>
      </c>
      <c r="V1478" s="94">
        <f>IFERROR(VLOOKUP($G1478,基本資料!$A:$J,10,0),"無")</f>
        <v>1.78</v>
      </c>
      <c r="W1478" s="36">
        <f>RTD("money.excel",,"3188","Price")</f>
        <v>15.75</v>
      </c>
      <c r="X1478" s="66"/>
      <c r="Y1478" s="15">
        <f t="shared" si="252"/>
        <v>15.75</v>
      </c>
      <c r="Z1478" s="3" t="e">
        <f t="shared" si="253"/>
        <v>#DIV/0!</v>
      </c>
      <c r="AA1478" s="340">
        <f>IFERROR(VLOOKUP($G1478,基本資料!$A:$M,11,0),"無")</f>
        <v>-18.18</v>
      </c>
      <c r="AB1478" s="389">
        <f>IFERROR(VLOOKUP($G1478,基本資料!$A:$M,12,0),"無")</f>
        <v>31.46</v>
      </c>
      <c r="AC1478" s="16" t="s">
        <v>878</v>
      </c>
      <c r="AF1478" s="33">
        <f t="shared" si="254"/>
        <v>0</v>
      </c>
      <c r="AG1478" s="43" t="s">
        <v>2664</v>
      </c>
      <c r="AH1478" s="66">
        <f t="shared" ref="AH1478:AH1541" si="255">AI1478/AJ1478</f>
        <v>0.5959031657355679</v>
      </c>
      <c r="AI1478" s="283">
        <f>RTD("money.excel",,$G1478,"PredictVolume")</f>
        <v>16</v>
      </c>
      <c r="AJ1478" s="391">
        <f>IFERROR(VLOOKUP($G1478,基本資料!$A:$M,13,0),"無")</f>
        <v>26.85</v>
      </c>
      <c r="AR1478" s="245" t="str">
        <f>INDEX(基本資料!N:N,MATCH($G1478,基本資料!A:A,0))</f>
        <v>中</v>
      </c>
    </row>
    <row r="1479" spans="1:44">
      <c r="A1479" s="343">
        <f>IFERROR(VLOOKUP($G1479,基本資料!$A:$J,3,0),"無")</f>
        <v>35.229999999999997</v>
      </c>
      <c r="B1479" s="79">
        <f>IFERROR(VLOOKUP($G1479,基本資料!$A:$J,4,0),"無")</f>
        <v>-71</v>
      </c>
      <c r="C1479" s="79">
        <f>IFERROR(VLOOKUP($G1479,基本資料!$A:$J,5,0),"無")</f>
        <v>-83</v>
      </c>
      <c r="D1479" s="79">
        <f>IFERROR(VLOOKUP($G1479,基本資料!$A:$J,6,0),"無")</f>
        <v>-84</v>
      </c>
      <c r="E1479" s="79">
        <f>IFERROR(VLOOKUP($G1479,基本資料!$A:$J,7,0),"無")</f>
        <v>322</v>
      </c>
      <c r="F1479" s="6">
        <f>IFERROR(VLOOKUP($G1479,基本資料!$A:$J,8,0),"無")</f>
        <v>2.64</v>
      </c>
      <c r="G1479" s="79">
        <v>3266</v>
      </c>
      <c r="H1479" s="8" t="s">
        <v>875</v>
      </c>
      <c r="I1479" s="22" t="s">
        <v>929</v>
      </c>
      <c r="J1479" s="8">
        <f>IFERROR(VLOOKUP($G1479,今日總結!$A:$AN,39,0),"")</f>
        <v>0</v>
      </c>
      <c r="K1479" s="5" t="str">
        <f>IFERROR(VLOOKUP($G1479,今日總結!$A:$AN,40,0),"")</f>
        <v>融</v>
      </c>
      <c r="L1479" s="156">
        <f>IFERROR(VLOOKUP($G1479,今日總結!$A:$AN,37,0),"")</f>
        <v>0</v>
      </c>
      <c r="M1479" s="337">
        <f>IFERROR(VLOOKUP($G1479,今日總結!$A:$AN,38,0),"")</f>
        <v>5</v>
      </c>
      <c r="N1479" s="240">
        <f t="shared" si="250"/>
        <v>-5</v>
      </c>
      <c r="O1479" s="359">
        <f>IFERROR(VLOOKUP($G1479,融外自投!$A:$J,7,0),"無")</f>
        <v>1217</v>
      </c>
      <c r="P1479" s="79" t="str">
        <f>IFERROR(VLOOKUP($G1479,融外自投!$A:$J,9,0),"無")</f>
        <v>無</v>
      </c>
      <c r="Q1479" s="342">
        <f>IFERROR(VLOOKUP($G1479,融外自投!$A:$J,8,0),"無")</f>
        <v>631</v>
      </c>
      <c r="R1479" s="81" t="str">
        <f>IFERROR(VLOOKUP($G1479,融外自投!$A:$J,10,0),"無")</f>
        <v>無</v>
      </c>
      <c r="S1479" s="324">
        <f>IFERROR(VLOOKUP($G1479,'321買'!$A:$E,4,0),"'沒有資料'")</f>
        <v>1002</v>
      </c>
      <c r="T1479" s="186">
        <f>IFERROR(VLOOKUP($G1479,基本資料!$A:$J,9,0),"無")</f>
        <v>0</v>
      </c>
      <c r="U1479" s="307">
        <f t="shared" si="251"/>
        <v>0</v>
      </c>
      <c r="V1479" s="94">
        <f>IFERROR(VLOOKUP($G1479,基本資料!$A:$J,10,0),"無")</f>
        <v>0.25</v>
      </c>
      <c r="W1479" s="36">
        <f>RTD("money.excel",,"3266","Price")</f>
        <v>12.5</v>
      </c>
      <c r="X1479" s="66"/>
      <c r="Y1479" s="15">
        <f t="shared" si="252"/>
        <v>12.5</v>
      </c>
      <c r="Z1479" s="3" t="e">
        <f t="shared" si="253"/>
        <v>#DIV/0!</v>
      </c>
      <c r="AA1479" s="340">
        <f>IFERROR(VLOOKUP($G1479,基本資料!$A:$M,11,0),"無")</f>
        <v>-26.9</v>
      </c>
      <c r="AB1479" s="389">
        <f>IFERROR(VLOOKUP($G1479,基本資料!$A:$M,12,0),"無")</f>
        <v>15.33</v>
      </c>
      <c r="AC1479" s="22" t="s">
        <v>929</v>
      </c>
      <c r="AF1479" s="33">
        <f t="shared" si="254"/>
        <v>0</v>
      </c>
      <c r="AG1479" s="43" t="s">
        <v>2011</v>
      </c>
      <c r="AH1479" s="66">
        <f t="shared" si="255"/>
        <v>0.29021387800013754</v>
      </c>
      <c r="AI1479" s="283">
        <f>RTD("money.excel",,$G1479,"PredictVolume")</f>
        <v>211</v>
      </c>
      <c r="AJ1479" s="391">
        <f>IFERROR(VLOOKUP($G1479,基本資料!$A:$M,13,0),"無")</f>
        <v>727.05</v>
      </c>
      <c r="AR1479" s="245" t="str">
        <f>INDEX(基本資料!N:N,MATCH($G1479,基本資料!A:A,0))</f>
        <v>低</v>
      </c>
    </row>
    <row r="1480" spans="1:44">
      <c r="A1480" s="343">
        <f>IFERROR(VLOOKUP($G1480,基本資料!$A:$J,3,0),"無")</f>
        <v>8.31</v>
      </c>
      <c r="B1480" s="79">
        <f>IFERROR(VLOOKUP($G1480,基本資料!$A:$J,4,0),"無")</f>
        <v>79</v>
      </c>
      <c r="C1480" s="79">
        <f>IFERROR(VLOOKUP($G1480,基本資料!$A:$J,5,0),"無")</f>
        <v>110</v>
      </c>
      <c r="D1480" s="79">
        <f>IFERROR(VLOOKUP($G1480,基本資料!$A:$J,6,0),"無")</f>
        <v>-37</v>
      </c>
      <c r="E1480" s="79">
        <f>IFERROR(VLOOKUP($G1480,基本資料!$A:$J,7,0),"無")</f>
        <v>-78</v>
      </c>
      <c r="F1480" s="6">
        <f>IFERROR(VLOOKUP($G1480,基本資料!$A:$J,8,0),"無")</f>
        <v>3.51</v>
      </c>
      <c r="G1480" s="79">
        <v>3489</v>
      </c>
      <c r="H1480" s="8" t="s">
        <v>875</v>
      </c>
      <c r="I1480" s="16" t="s">
        <v>879</v>
      </c>
      <c r="J1480" s="8" t="str">
        <f>IFERROR(VLOOKUP($G1480,今日總結!$A:$AN,39,0),"")</f>
        <v/>
      </c>
      <c r="K1480" s="5" t="str">
        <f>IFERROR(VLOOKUP($G1480,今日總結!$A:$AN,40,0),"")</f>
        <v/>
      </c>
      <c r="L1480" s="156" t="str">
        <f>IFERROR(VLOOKUP($G1480,今日總結!$A:$AN,37,0),"")</f>
        <v/>
      </c>
      <c r="M1480" s="337" t="str">
        <f>IFERROR(VLOOKUP($G1480,今日總結!$A:$AN,38,0),"")</f>
        <v/>
      </c>
      <c r="N1480" s="240" t="str">
        <f t="shared" si="250"/>
        <v/>
      </c>
      <c r="O1480" s="359">
        <f>IFERROR(VLOOKUP($G1480,融外自投!$A:$J,7,0),"無")</f>
        <v>770</v>
      </c>
      <c r="P1480" s="79">
        <f>IFERROR(VLOOKUP($G1480,融外自投!$A:$J,9,0),"無")</f>
        <v>671</v>
      </c>
      <c r="Q1480" s="342">
        <f>IFERROR(VLOOKUP($G1480,融外自投!$A:$J,8,0),"無")</f>
        <v>1419</v>
      </c>
      <c r="R1480" s="81" t="str">
        <f>IFERROR(VLOOKUP($G1480,融外自投!$A:$J,10,0),"無")</f>
        <v>無</v>
      </c>
      <c r="S1480" s="324" t="str">
        <f>IFERROR(VLOOKUP($G1480,'321買'!$A:$E,4,0),"'沒有資料'")</f>
        <v>'沒有資料'</v>
      </c>
      <c r="T1480" s="186">
        <f>IFERROR(VLOOKUP($G1480,基本資料!$A:$J,9,0),"無")</f>
        <v>0.5</v>
      </c>
      <c r="U1480" s="307">
        <f t="shared" si="251"/>
        <v>4.8309178743961352E-2</v>
      </c>
      <c r="V1480" s="94">
        <f>IFERROR(VLOOKUP($G1480,基本資料!$A:$J,10,0),"無")</f>
        <v>0.56999999999999995</v>
      </c>
      <c r="W1480" s="36">
        <f>RTD("money.excel",,"3489","Price")</f>
        <v>10.35</v>
      </c>
      <c r="X1480" s="66"/>
      <c r="Y1480" s="15">
        <f t="shared" si="252"/>
        <v>10.35</v>
      </c>
      <c r="Z1480" s="3" t="e">
        <f t="shared" si="253"/>
        <v>#DIV/0!</v>
      </c>
      <c r="AA1480" s="340">
        <f>IFERROR(VLOOKUP($G1480,基本資料!$A:$M,11,0),"無")</f>
        <v>-32.35</v>
      </c>
      <c r="AB1480" s="389">
        <f>IFERROR(VLOOKUP($G1480,基本資料!$A:$M,12,0),"無")</f>
        <v>36.65</v>
      </c>
      <c r="AC1480" s="16" t="s">
        <v>879</v>
      </c>
      <c r="AF1480" s="33">
        <f t="shared" si="254"/>
        <v>0</v>
      </c>
      <c r="AG1480" s="43" t="s">
        <v>2011</v>
      </c>
      <c r="AH1480" s="66">
        <f t="shared" si="255"/>
        <v>0.79399141630901282</v>
      </c>
      <c r="AI1480" s="283">
        <f>RTD("money.excel",,$G1480,"PredictVolume")</f>
        <v>37</v>
      </c>
      <c r="AJ1480" s="391">
        <f>IFERROR(VLOOKUP($G1480,基本資料!$A:$M,13,0),"無")</f>
        <v>46.6</v>
      </c>
      <c r="AR1480" s="245" t="str">
        <f>INDEX(基本資料!N:N,MATCH($G1480,基本資料!A:A,0))</f>
        <v>低</v>
      </c>
    </row>
    <row r="1481" spans="1:44">
      <c r="A1481" s="343">
        <f>IFERROR(VLOOKUP($G1481,基本資料!$A:$J,3,0),"無")</f>
        <v>82.32</v>
      </c>
      <c r="B1481" s="79">
        <f>IFERROR(VLOOKUP($G1481,基本資料!$A:$J,4,0),"無")</f>
        <v>14</v>
      </c>
      <c r="C1481" s="79">
        <f>IFERROR(VLOOKUP($G1481,基本資料!$A:$J,5,0),"無")</f>
        <v>30</v>
      </c>
      <c r="D1481" s="79">
        <f>IFERROR(VLOOKUP($G1481,基本資料!$A:$J,6,0),"無")</f>
        <v>-39</v>
      </c>
      <c r="E1481" s="79">
        <f>IFERROR(VLOOKUP($G1481,基本資料!$A:$J,7,0),"無")</f>
        <v>23</v>
      </c>
      <c r="F1481" s="6">
        <f>IFERROR(VLOOKUP($G1481,基本資料!$A:$J,8,0),"無")</f>
        <v>8.58</v>
      </c>
      <c r="G1481" s="79">
        <v>3703</v>
      </c>
      <c r="H1481" s="8" t="s">
        <v>875</v>
      </c>
      <c r="I1481" s="22" t="s">
        <v>4616</v>
      </c>
      <c r="J1481" s="8">
        <f>IFERROR(VLOOKUP($G1481,今日總結!$A:$AN,39,0),"")</f>
        <v>0</v>
      </c>
      <c r="K1481" s="5">
        <f>IFERROR(VLOOKUP($G1481,今日總結!$A:$AN,40,0),"")</f>
        <v>0</v>
      </c>
      <c r="L1481" s="156">
        <f>IFERROR(VLOOKUP($G1481,今日總結!$A:$AN,37,0),"")</f>
        <v>0</v>
      </c>
      <c r="M1481" s="337">
        <f>IFERROR(VLOOKUP($G1481,今日總結!$A:$AN,38,0),"")</f>
        <v>0</v>
      </c>
      <c r="N1481" s="240">
        <f t="shared" si="250"/>
        <v>0</v>
      </c>
      <c r="O1481" s="359">
        <f>IFERROR(VLOOKUP($G1481,融外自投!$A:$J,7,0),"無")</f>
        <v>1129</v>
      </c>
      <c r="P1481" s="79">
        <f>IFERROR(VLOOKUP($G1481,融外自投!$A:$J,9,0),"無")</f>
        <v>340</v>
      </c>
      <c r="Q1481" s="342">
        <f>IFERROR(VLOOKUP($G1481,融外自投!$A:$J,8,0),"無")</f>
        <v>215</v>
      </c>
      <c r="R1481" s="81">
        <f>IFERROR(VLOOKUP($G1481,融外自投!$A:$J,10,0),"無")</f>
        <v>395</v>
      </c>
      <c r="S1481" s="324">
        <f>IFERROR(VLOOKUP($G1481,'321買'!$A:$E,4,0),"'沒有資料'")</f>
        <v>743</v>
      </c>
      <c r="T1481" s="186">
        <f>IFERROR(VLOOKUP($G1481,基本資料!$A:$J,9,0),"無")</f>
        <v>1.68</v>
      </c>
      <c r="U1481" s="307">
        <f t="shared" si="251"/>
        <v>5.8232235701906408E-2</v>
      </c>
      <c r="V1481" s="94">
        <f>IFERROR(VLOOKUP($G1481,基本資料!$A:$J,10,0),"無")</f>
        <v>2.2200000000000002</v>
      </c>
      <c r="W1481" s="36">
        <f>RTD("money.excel",,"3703","Price")</f>
        <v>28.85</v>
      </c>
      <c r="X1481" s="66"/>
      <c r="Y1481" s="15">
        <f t="shared" si="252"/>
        <v>28.85</v>
      </c>
      <c r="Z1481" s="3" t="e">
        <f t="shared" si="253"/>
        <v>#DIV/0!</v>
      </c>
      <c r="AA1481" s="340">
        <f>IFERROR(VLOOKUP($G1481,基本資料!$A:$M,11,0),"無")</f>
        <v>-9.2799999999999994</v>
      </c>
      <c r="AB1481" s="389">
        <f>IFERROR(VLOOKUP($G1481,基本資料!$A:$M,12,0),"無")</f>
        <v>74.680000000000007</v>
      </c>
      <c r="AC1481" s="22" t="s">
        <v>4616</v>
      </c>
      <c r="AF1481" s="33">
        <f t="shared" si="254"/>
        <v>0</v>
      </c>
      <c r="AG1481" s="117" t="s">
        <v>2041</v>
      </c>
      <c r="AH1481" s="66">
        <f t="shared" si="255"/>
        <v>0.47568425677878412</v>
      </c>
      <c r="AI1481" s="283">
        <f>RTD("money.excel",,$G1481,"PredictVolume")</f>
        <v>3356</v>
      </c>
      <c r="AJ1481" s="391">
        <f>IFERROR(VLOOKUP($G1481,基本資料!$A:$M,13,0),"無")</f>
        <v>7055.1</v>
      </c>
      <c r="AR1481" s="245" t="str">
        <f>INDEX(基本資料!N:N,MATCH($G1481,基本資料!A:A,0))</f>
        <v>高</v>
      </c>
    </row>
    <row r="1482" spans="1:44">
      <c r="A1482" s="343">
        <f>IFERROR(VLOOKUP($G1482,基本資料!$A:$J,3,0),"無")</f>
        <v>21.11</v>
      </c>
      <c r="B1482" s="79">
        <f>IFERROR(VLOOKUP($G1482,基本資料!$A:$J,4,0),"無")</f>
        <v>226</v>
      </c>
      <c r="C1482" s="79">
        <f>IFERROR(VLOOKUP($G1482,基本資料!$A:$J,5,0),"無")</f>
        <v>555</v>
      </c>
      <c r="D1482" s="79">
        <f>IFERROR(VLOOKUP($G1482,基本資料!$A:$J,6,0),"無")</f>
        <v>-99</v>
      </c>
      <c r="E1482" s="79">
        <f>IFERROR(VLOOKUP($G1482,基本資料!$A:$J,7,0),"無")</f>
        <v>-99</v>
      </c>
      <c r="F1482" s="6">
        <f>IFERROR(VLOOKUP($G1482,基本資料!$A:$J,8,0),"無")</f>
        <v>13.84</v>
      </c>
      <c r="G1482" s="79">
        <v>4113</v>
      </c>
      <c r="H1482" s="8" t="s">
        <v>875</v>
      </c>
      <c r="I1482" s="16" t="s">
        <v>880</v>
      </c>
      <c r="J1482" s="8">
        <f>IFERROR(VLOOKUP($G1482,今日總結!$A:$AN,39,0),"")</f>
        <v>0</v>
      </c>
      <c r="K1482" s="5" t="str">
        <f>IFERROR(VLOOKUP($G1482,今日總結!$A:$AN,40,0),"")</f>
        <v>外</v>
      </c>
      <c r="L1482" s="156">
        <f>IFERROR(VLOOKUP($G1482,今日總結!$A:$AN,37,0),"")</f>
        <v>0</v>
      </c>
      <c r="M1482" s="337">
        <f>IFERROR(VLOOKUP($G1482,今日總結!$A:$AN,38,0),"")</f>
        <v>6</v>
      </c>
      <c r="N1482" s="240">
        <f t="shared" si="250"/>
        <v>-6</v>
      </c>
      <c r="O1482" s="359">
        <f>IFERROR(VLOOKUP($G1482,融外自投!$A:$J,7,0),"無")</f>
        <v>1004</v>
      </c>
      <c r="P1482" s="79" t="str">
        <f>IFERROR(VLOOKUP($G1482,融外自投!$A:$J,9,0),"無")</f>
        <v>無</v>
      </c>
      <c r="Q1482" s="342">
        <f>IFERROR(VLOOKUP($G1482,融外自投!$A:$J,8,0),"無")</f>
        <v>1403</v>
      </c>
      <c r="R1482" s="81" t="str">
        <f>IFERROR(VLOOKUP($G1482,融外自投!$A:$J,10,0),"無")</f>
        <v>無</v>
      </c>
      <c r="S1482" s="324">
        <f>IFERROR(VLOOKUP($G1482,'321買'!$A:$E,4,0),"'沒有資料'")</f>
        <v>1002</v>
      </c>
      <c r="T1482" s="186">
        <f>IFERROR(VLOOKUP($G1482,基本資料!$A:$J,9,0),"無")</f>
        <v>0.4</v>
      </c>
      <c r="U1482" s="307">
        <f t="shared" si="251"/>
        <v>3.1496062992125991E-2</v>
      </c>
      <c r="V1482" s="94">
        <f>IFERROR(VLOOKUP($G1482,基本資料!$A:$J,10,0),"無")</f>
        <v>0.63</v>
      </c>
      <c r="W1482" s="36">
        <f>RTD("money.excel",,"4113","Price")</f>
        <v>12.7</v>
      </c>
      <c r="X1482" s="66"/>
      <c r="Y1482" s="15">
        <f t="shared" si="252"/>
        <v>12.7</v>
      </c>
      <c r="Z1482" s="3" t="e">
        <f t="shared" si="253"/>
        <v>#DIV/0!</v>
      </c>
      <c r="AA1482" s="340">
        <f>IFERROR(VLOOKUP($G1482,基本資料!$A:$M,11,0),"無")</f>
        <v>-16.989999999999998</v>
      </c>
      <c r="AB1482" s="389">
        <f>IFERROR(VLOOKUP($G1482,基本資料!$A:$M,12,0),"無")</f>
        <v>14.48</v>
      </c>
      <c r="AC1482" s="16" t="s">
        <v>880</v>
      </c>
      <c r="AF1482" s="33">
        <f t="shared" si="254"/>
        <v>0</v>
      </c>
      <c r="AG1482" s="43" t="s">
        <v>2116</v>
      </c>
      <c r="AH1482" s="66">
        <f t="shared" si="255"/>
        <v>0.49118751805836458</v>
      </c>
      <c r="AI1482" s="283">
        <f>RTD("money.excel",,$G1482,"PredictVolume")</f>
        <v>85</v>
      </c>
      <c r="AJ1482" s="391">
        <f>IFERROR(VLOOKUP($G1482,基本資料!$A:$M,13,0),"無")</f>
        <v>173.05</v>
      </c>
      <c r="AR1482" s="245" t="str">
        <f>INDEX(基本資料!N:N,MATCH($G1482,基本資料!A:A,0))</f>
        <v>低</v>
      </c>
    </row>
    <row r="1483" spans="1:44">
      <c r="A1483" s="343">
        <f>IFERROR(VLOOKUP($G1483,基本資料!$A:$J,3,0),"無")</f>
        <v>6.18</v>
      </c>
      <c r="B1483" s="79">
        <f>IFERROR(VLOOKUP($G1483,基本資料!$A:$J,4,0),"無")</f>
        <v>998</v>
      </c>
      <c r="C1483" s="79">
        <f>IFERROR(VLOOKUP($G1483,基本資料!$A:$J,5,0),"無")</f>
        <v>-2462</v>
      </c>
      <c r="D1483" s="79">
        <f>IFERROR(VLOOKUP($G1483,基本資料!$A:$J,6,0),"無")</f>
        <v>0</v>
      </c>
      <c r="E1483" s="79">
        <f>IFERROR(VLOOKUP($G1483,基本資料!$A:$J,7,0),"無")</f>
        <v>-1</v>
      </c>
      <c r="F1483" s="6">
        <f>IFERROR(VLOOKUP($G1483,基本資料!$A:$J,8,0),"無")</f>
        <v>-41.63</v>
      </c>
      <c r="G1483" s="79">
        <v>4416</v>
      </c>
      <c r="H1483" s="8" t="s">
        <v>875</v>
      </c>
      <c r="I1483" s="16" t="s">
        <v>881</v>
      </c>
      <c r="J1483" s="8" t="str">
        <f>IFERROR(VLOOKUP($G1483,今日總結!$A:$AN,39,0),"")</f>
        <v/>
      </c>
      <c r="K1483" s="5" t="str">
        <f>IFERROR(VLOOKUP($G1483,今日總結!$A:$AN,40,0),"")</f>
        <v/>
      </c>
      <c r="L1483" s="156" t="str">
        <f>IFERROR(VLOOKUP($G1483,今日總結!$A:$AN,37,0),"")</f>
        <v/>
      </c>
      <c r="M1483" s="337" t="str">
        <f>IFERROR(VLOOKUP($G1483,今日總結!$A:$AN,38,0),"")</f>
        <v/>
      </c>
      <c r="N1483" s="240" t="str">
        <f t="shared" si="250"/>
        <v/>
      </c>
      <c r="O1483" s="359">
        <f>IFERROR(VLOOKUP($G1483,融外自投!$A:$J,7,0),"無")</f>
        <v>1239</v>
      </c>
      <c r="P1483" s="79" t="str">
        <f>IFERROR(VLOOKUP($G1483,融外自投!$A:$J,9,0),"無")</f>
        <v>無</v>
      </c>
      <c r="Q1483" s="342">
        <f>IFERROR(VLOOKUP($G1483,融外自投!$A:$J,8,0),"無")</f>
        <v>1469</v>
      </c>
      <c r="R1483" s="81" t="str">
        <f>IFERROR(VLOOKUP($G1483,融外自投!$A:$J,10,0),"無")</f>
        <v>無</v>
      </c>
      <c r="S1483" s="324" t="str">
        <f>IFERROR(VLOOKUP($G1483,'321買'!$A:$E,4,0),"'沒有資料'")</f>
        <v>'沒有資料'</v>
      </c>
      <c r="T1483" s="186">
        <f>IFERROR(VLOOKUP($G1483,基本資料!$A:$J,9,0),"無")</f>
        <v>5</v>
      </c>
      <c r="U1483" s="307">
        <f t="shared" si="251"/>
        <v>5.3248136315228962E-2</v>
      </c>
      <c r="V1483" s="94">
        <f>IFERROR(VLOOKUP($G1483,基本資料!$A:$J,10,0),"無")</f>
        <v>17.34</v>
      </c>
      <c r="W1483" s="36">
        <f>RTD("money.excel",,"4416","Price")</f>
        <v>93.9</v>
      </c>
      <c r="X1483" s="66"/>
      <c r="Y1483" s="15">
        <f t="shared" si="252"/>
        <v>93.9</v>
      </c>
      <c r="Z1483" s="3" t="e">
        <f t="shared" si="253"/>
        <v>#DIV/0!</v>
      </c>
      <c r="AA1483" s="340">
        <f>IFERROR(VLOOKUP($G1483,基本資料!$A:$M,11,0),"無")</f>
        <v>-23.66</v>
      </c>
      <c r="AB1483" s="389">
        <f>IFERROR(VLOOKUP($G1483,基本資料!$A:$M,12,0),"無")</f>
        <v>6.72</v>
      </c>
      <c r="AC1483" s="16" t="s">
        <v>881</v>
      </c>
      <c r="AF1483" s="33">
        <f t="shared" si="254"/>
        <v>0</v>
      </c>
      <c r="AG1483" s="43" t="s">
        <v>2665</v>
      </c>
      <c r="AH1483" s="66">
        <f t="shared" si="255"/>
        <v>0.16877637130801687</v>
      </c>
      <c r="AI1483" s="283">
        <f>RTD("money.excel",,$G1483,"PredictVolume")</f>
        <v>2</v>
      </c>
      <c r="AJ1483" s="391">
        <f>IFERROR(VLOOKUP($G1483,基本資料!$A:$M,13,0),"無")</f>
        <v>11.85</v>
      </c>
      <c r="AR1483" s="245" t="str">
        <f>INDEX(基本資料!N:N,MATCH($G1483,基本資料!A:A,0))</f>
        <v>低</v>
      </c>
    </row>
    <row r="1484" spans="1:44">
      <c r="A1484" s="343">
        <f>IFERROR(VLOOKUP($G1484,基本資料!$A:$J,3,0),"無")</f>
        <v>11.81</v>
      </c>
      <c r="B1484" s="79">
        <f>IFERROR(VLOOKUP($G1484,基本資料!$A:$J,4,0),"無")</f>
        <v>46</v>
      </c>
      <c r="C1484" s="79">
        <f>IFERROR(VLOOKUP($G1484,基本資料!$A:$J,5,0),"無")</f>
        <v>45</v>
      </c>
      <c r="D1484" s="79">
        <f>IFERROR(VLOOKUP($G1484,基本資料!$A:$J,6,0),"無")</f>
        <v>-83</v>
      </c>
      <c r="E1484" s="79">
        <f>IFERROR(VLOOKUP($G1484,基本資料!$A:$J,7,0),"無")</f>
        <v>53</v>
      </c>
      <c r="F1484" s="6">
        <f>IFERROR(VLOOKUP($G1484,基本資料!$A:$J,8,0),"無")</f>
        <v>17.670000000000002</v>
      </c>
      <c r="G1484" s="79">
        <v>4907</v>
      </c>
      <c r="H1484" s="8" t="s">
        <v>875</v>
      </c>
      <c r="I1484" s="16" t="s">
        <v>882</v>
      </c>
      <c r="J1484" s="8" t="str">
        <f>IFERROR(VLOOKUP($G1484,今日總結!$A:$AN,39,0),"")</f>
        <v/>
      </c>
      <c r="K1484" s="5" t="str">
        <f>IFERROR(VLOOKUP($G1484,今日總結!$A:$AN,40,0),"")</f>
        <v/>
      </c>
      <c r="L1484" s="156" t="str">
        <f>IFERROR(VLOOKUP($G1484,今日總結!$A:$AN,37,0),"")</f>
        <v/>
      </c>
      <c r="M1484" s="337" t="str">
        <f>IFERROR(VLOOKUP($G1484,今日總結!$A:$AN,38,0),"")</f>
        <v/>
      </c>
      <c r="N1484" s="240" t="str">
        <f t="shared" si="250"/>
        <v/>
      </c>
      <c r="O1484" s="359">
        <f>IFERROR(VLOOKUP($G1484,融外自投!$A:$J,7,0),"無")</f>
        <v>1336</v>
      </c>
      <c r="P1484" s="79" t="str">
        <f>IFERROR(VLOOKUP($G1484,融外自投!$A:$J,9,0),"無")</f>
        <v>無</v>
      </c>
      <c r="Q1484" s="342">
        <f>IFERROR(VLOOKUP($G1484,融外自投!$A:$J,8,0),"無")</f>
        <v>1454</v>
      </c>
      <c r="R1484" s="81" t="str">
        <f>IFERROR(VLOOKUP($G1484,融外自投!$A:$J,10,0),"無")</f>
        <v>無</v>
      </c>
      <c r="S1484" s="324" t="str">
        <f>IFERROR(VLOOKUP($G1484,'321買'!$A:$E,4,0),"'沒有資料'")</f>
        <v>'沒有資料'</v>
      </c>
      <c r="T1484" s="186">
        <f>IFERROR(VLOOKUP($G1484,基本資料!$A:$J,9,0),"無")</f>
        <v>1.3</v>
      </c>
      <c r="U1484" s="307" t="e">
        <f t="shared" si="251"/>
        <v>#VALUE!</v>
      </c>
      <c r="V1484" s="94">
        <f>IFERROR(VLOOKUP($G1484,基本資料!$A:$J,10,0),"無")</f>
        <v>1.75</v>
      </c>
      <c r="W1484" s="36" t="str">
        <f>RTD("money.excel",,"4907","Price")</f>
        <v>無資料</v>
      </c>
      <c r="X1484" s="66"/>
      <c r="Y1484" s="15" t="e">
        <f t="shared" si="252"/>
        <v>#VALUE!</v>
      </c>
      <c r="Z1484" s="3" t="e">
        <f t="shared" si="253"/>
        <v>#VALUE!</v>
      </c>
      <c r="AA1484" s="340">
        <f>IFERROR(VLOOKUP($G1484,基本資料!$A:$M,11,0),"無")</f>
        <v>-7.79</v>
      </c>
      <c r="AB1484" s="389">
        <f>IFERROR(VLOOKUP($G1484,基本資料!$A:$M,12,0),"無")</f>
        <v>60.5</v>
      </c>
      <c r="AC1484" s="16" t="s">
        <v>882</v>
      </c>
      <c r="AF1484" s="33">
        <f t="shared" si="254"/>
        <v>0</v>
      </c>
      <c r="AG1484" s="43" t="s">
        <v>2666</v>
      </c>
      <c r="AH1484" s="66">
        <f t="shared" si="255"/>
        <v>0</v>
      </c>
      <c r="AI1484" s="283">
        <f>RTD("money.excel",,$G1484,"PredictVolume")</f>
        <v>0</v>
      </c>
      <c r="AJ1484" s="391">
        <f>IFERROR(VLOOKUP($G1484,基本資料!$A:$M,13,0),"無")</f>
        <v>13.85</v>
      </c>
      <c r="AR1484" s="245" t="str">
        <f>INDEX(基本資料!N:N,MATCH($G1484,基本資料!A:A,0))</f>
        <v>中</v>
      </c>
    </row>
    <row r="1485" spans="1:44">
      <c r="A1485" s="343">
        <f>IFERROR(VLOOKUP($G1485,基本資料!$A:$J,3,0),"無")</f>
        <v>15.59</v>
      </c>
      <c r="B1485" s="79">
        <f>IFERROR(VLOOKUP($G1485,基本資料!$A:$J,4,0),"無")</f>
        <v>-82</v>
      </c>
      <c r="C1485" s="79">
        <f>IFERROR(VLOOKUP($G1485,基本資料!$A:$J,5,0),"無")</f>
        <v>-82</v>
      </c>
      <c r="D1485" s="79">
        <f>IFERROR(VLOOKUP($G1485,基本資料!$A:$J,6,0),"無")</f>
        <v>0</v>
      </c>
      <c r="E1485" s="79">
        <f>IFERROR(VLOOKUP($G1485,基本資料!$A:$J,7,0),"無")</f>
        <v>-88</v>
      </c>
      <c r="F1485" s="6">
        <f>IFERROR(VLOOKUP($G1485,基本資料!$A:$J,8,0),"無")</f>
        <v>4.95</v>
      </c>
      <c r="G1485" s="79">
        <v>5206</v>
      </c>
      <c r="H1485" s="8" t="s">
        <v>875</v>
      </c>
      <c r="I1485" s="16" t="s">
        <v>883</v>
      </c>
      <c r="J1485" s="8">
        <f>IFERROR(VLOOKUP($G1485,今日總結!$A:$AN,39,0),"")</f>
        <v>0</v>
      </c>
      <c r="K1485" s="5">
        <f>IFERROR(VLOOKUP($G1485,今日總結!$A:$AN,40,0),"")</f>
        <v>0</v>
      </c>
      <c r="L1485" s="156">
        <f>IFERROR(VLOOKUP($G1485,今日總結!$A:$AN,37,0),"")</f>
        <v>0</v>
      </c>
      <c r="M1485" s="337">
        <f>IFERROR(VLOOKUP($G1485,今日總結!$A:$AN,38,0),"")</f>
        <v>0</v>
      </c>
      <c r="N1485" s="240">
        <f t="shared" si="250"/>
        <v>0</v>
      </c>
      <c r="O1485" s="359">
        <f>IFERROR(VLOOKUP($G1485,融外自投!$A:$J,7,0),"無")</f>
        <v>1334</v>
      </c>
      <c r="P1485" s="79" t="str">
        <f>IFERROR(VLOOKUP($G1485,融外自投!$A:$J,9,0),"無")</f>
        <v>無</v>
      </c>
      <c r="Q1485" s="342">
        <f>IFERROR(VLOOKUP($G1485,融外自投!$A:$J,8,0),"無")</f>
        <v>709</v>
      </c>
      <c r="R1485" s="81" t="str">
        <f>IFERROR(VLOOKUP($G1485,融外自投!$A:$J,10,0),"無")</f>
        <v>無</v>
      </c>
      <c r="S1485" s="324">
        <f>IFERROR(VLOOKUP($G1485,'321買'!$A:$E,4,0),"'沒有資料'")</f>
        <v>1002</v>
      </c>
      <c r="T1485" s="186">
        <f>IFERROR(VLOOKUP($G1485,基本資料!$A:$J,9,0),"無")</f>
        <v>0.48</v>
      </c>
      <c r="U1485" s="307">
        <f t="shared" si="251"/>
        <v>3.6226415094339624E-2</v>
      </c>
      <c r="V1485" s="94">
        <f>IFERROR(VLOOKUP($G1485,基本資料!$A:$J,10,0),"無")</f>
        <v>0.54</v>
      </c>
      <c r="W1485" s="36">
        <f>RTD("money.excel",,"5206","Price")</f>
        <v>13.25</v>
      </c>
      <c r="X1485" s="66"/>
      <c r="Y1485" s="15">
        <f t="shared" si="252"/>
        <v>13.25</v>
      </c>
      <c r="Z1485" s="3" t="e">
        <f t="shared" si="253"/>
        <v>#DIV/0!</v>
      </c>
      <c r="AA1485" s="340">
        <f>IFERROR(VLOOKUP($G1485,基本資料!$A:$M,11,0),"無")</f>
        <v>-26.8</v>
      </c>
      <c r="AB1485" s="389">
        <f>IFERROR(VLOOKUP($G1485,基本資料!$A:$M,12,0),"無")</f>
        <v>22.22</v>
      </c>
      <c r="AC1485" s="16" t="s">
        <v>883</v>
      </c>
      <c r="AF1485" s="33">
        <f t="shared" si="254"/>
        <v>0</v>
      </c>
      <c r="AG1485" s="43" t="s">
        <v>2011</v>
      </c>
      <c r="AH1485" s="66">
        <f t="shared" si="255"/>
        <v>4.3793911007025761</v>
      </c>
      <c r="AI1485" s="283">
        <f>RTD("money.excel",,$G1485,"PredictVolume")</f>
        <v>187</v>
      </c>
      <c r="AJ1485" s="391">
        <f>IFERROR(VLOOKUP($G1485,基本資料!$A:$M,13,0),"無")</f>
        <v>42.7</v>
      </c>
      <c r="AR1485" s="245" t="str">
        <f>INDEX(基本資料!N:N,MATCH($G1485,基本資料!A:A,0))</f>
        <v>低</v>
      </c>
    </row>
    <row r="1486" spans="1:44">
      <c r="A1486" s="343">
        <f>IFERROR(VLOOKUP($G1486,基本資料!$A:$J,3,0),"無")</f>
        <v>34.69</v>
      </c>
      <c r="B1486" s="79">
        <f>IFERROR(VLOOKUP($G1486,基本資料!$A:$J,4,0),"無")</f>
        <v>-56</v>
      </c>
      <c r="C1486" s="79">
        <f>IFERROR(VLOOKUP($G1486,基本資料!$A:$J,5,0),"無")</f>
        <v>-60</v>
      </c>
      <c r="D1486" s="79">
        <f>IFERROR(VLOOKUP($G1486,基本資料!$A:$J,6,0),"無")</f>
        <v>8498</v>
      </c>
      <c r="E1486" s="79">
        <f>IFERROR(VLOOKUP($G1486,基本資料!$A:$J,7,0),"無")</f>
        <v>1409</v>
      </c>
      <c r="F1486" s="6">
        <f>IFERROR(VLOOKUP($G1486,基本資料!$A:$J,8,0),"無")</f>
        <v>9.61</v>
      </c>
      <c r="G1486" s="79">
        <v>5213</v>
      </c>
      <c r="H1486" s="8" t="s">
        <v>875</v>
      </c>
      <c r="I1486" s="16" t="s">
        <v>884</v>
      </c>
      <c r="J1486" s="8">
        <f>IFERROR(VLOOKUP($G1486,今日總結!$A:$AN,39,0),"")</f>
        <v>0</v>
      </c>
      <c r="K1486" s="5" t="str">
        <f>IFERROR(VLOOKUP($G1486,今日總結!$A:$AN,40,0),"")</f>
        <v>外</v>
      </c>
      <c r="L1486" s="156">
        <f>IFERROR(VLOOKUP($G1486,今日總結!$A:$AN,37,0),"")</f>
        <v>0</v>
      </c>
      <c r="M1486" s="337">
        <f>IFERROR(VLOOKUP($G1486,今日總結!$A:$AN,38,0),"")</f>
        <v>5</v>
      </c>
      <c r="N1486" s="240">
        <f t="shared" si="250"/>
        <v>-5</v>
      </c>
      <c r="O1486" s="359">
        <f>IFERROR(VLOOKUP($G1486,融外自投!$A:$J,7,0),"無")</f>
        <v>1175</v>
      </c>
      <c r="P1486" s="79" t="str">
        <f>IFERROR(VLOOKUP($G1486,融外自投!$A:$J,9,0),"無")</f>
        <v>無</v>
      </c>
      <c r="Q1486" s="342">
        <f>IFERROR(VLOOKUP($G1486,融外自投!$A:$J,8,0),"無")</f>
        <v>1183</v>
      </c>
      <c r="R1486" s="81" t="str">
        <f>IFERROR(VLOOKUP($G1486,融外自投!$A:$J,10,0),"無")</f>
        <v>無</v>
      </c>
      <c r="S1486" s="324">
        <f>IFERROR(VLOOKUP($G1486,'321買'!$A:$E,4,0),"'沒有資料'")</f>
        <v>1002</v>
      </c>
      <c r="T1486" s="186">
        <f>IFERROR(VLOOKUP($G1486,基本資料!$A:$J,9,0),"無")</f>
        <v>2</v>
      </c>
      <c r="U1486" s="307">
        <f t="shared" si="251"/>
        <v>8.5287846481876331E-2</v>
      </c>
      <c r="V1486" s="94">
        <f>IFERROR(VLOOKUP($G1486,基本資料!$A:$J,10,0),"無")</f>
        <v>0.73</v>
      </c>
      <c r="W1486" s="36">
        <f>RTD("money.excel",,"5213","Price")</f>
        <v>23.45</v>
      </c>
      <c r="X1486" s="66"/>
      <c r="Y1486" s="15">
        <f t="shared" si="252"/>
        <v>23.45</v>
      </c>
      <c r="Z1486" s="3" t="e">
        <f t="shared" si="253"/>
        <v>#DIV/0!</v>
      </c>
      <c r="AA1486" s="340">
        <f>IFERROR(VLOOKUP($G1486,基本資料!$A:$M,11,0),"無")</f>
        <v>-7.13</v>
      </c>
      <c r="AB1486" s="389">
        <f>IFERROR(VLOOKUP($G1486,基本資料!$A:$M,12,0),"無")</f>
        <v>40.06</v>
      </c>
      <c r="AC1486" s="16" t="s">
        <v>884</v>
      </c>
      <c r="AF1486" s="33">
        <f t="shared" si="254"/>
        <v>0</v>
      </c>
      <c r="AG1486" s="43" t="s">
        <v>2011</v>
      </c>
      <c r="AH1486" s="66">
        <f t="shared" si="255"/>
        <v>1.2698412698412698</v>
      </c>
      <c r="AI1486" s="283">
        <f>RTD("money.excel",,$G1486,"PredictVolume")</f>
        <v>228</v>
      </c>
      <c r="AJ1486" s="391">
        <f>IFERROR(VLOOKUP($G1486,基本資料!$A:$M,13,0),"無")</f>
        <v>179.55</v>
      </c>
      <c r="AR1486" s="245" t="str">
        <f>INDEX(基本資料!N:N,MATCH($G1486,基本資料!A:A,0))</f>
        <v>高</v>
      </c>
    </row>
    <row r="1487" spans="1:44">
      <c r="A1487" s="343">
        <f>IFERROR(VLOOKUP($G1487,基本資料!$A:$J,3,0),"無")</f>
        <v>22.63</v>
      </c>
      <c r="B1487" s="79">
        <f>IFERROR(VLOOKUP($G1487,基本資料!$A:$J,4,0),"無")</f>
        <v>-146</v>
      </c>
      <c r="C1487" s="79">
        <f>IFERROR(VLOOKUP($G1487,基本資料!$A:$J,5,0),"無")</f>
        <v>38</v>
      </c>
      <c r="D1487" s="79">
        <f>IFERROR(VLOOKUP($G1487,基本資料!$A:$J,6,0),"無")</f>
        <v>13</v>
      </c>
      <c r="E1487" s="79">
        <f>IFERROR(VLOOKUP($G1487,基本資料!$A:$J,7,0),"無")</f>
        <v>-12</v>
      </c>
      <c r="F1487" s="6">
        <f>IFERROR(VLOOKUP($G1487,基本資料!$A:$J,8,0),"無")</f>
        <v>-24.6</v>
      </c>
      <c r="G1487" s="79">
        <v>5324</v>
      </c>
      <c r="H1487" s="8" t="s">
        <v>875</v>
      </c>
      <c r="I1487" s="16" t="s">
        <v>885</v>
      </c>
      <c r="J1487" s="8" t="str">
        <f>IFERROR(VLOOKUP($G1487,今日總結!$A:$AN,39,0),"")</f>
        <v/>
      </c>
      <c r="K1487" s="5" t="str">
        <f>IFERROR(VLOOKUP($G1487,今日總結!$A:$AN,40,0),"")</f>
        <v/>
      </c>
      <c r="L1487" s="156" t="str">
        <f>IFERROR(VLOOKUP($G1487,今日總結!$A:$AN,37,0),"")</f>
        <v/>
      </c>
      <c r="M1487" s="337" t="str">
        <f>IFERROR(VLOOKUP($G1487,今日總結!$A:$AN,38,0),"")</f>
        <v/>
      </c>
      <c r="N1487" s="240" t="str">
        <f t="shared" si="250"/>
        <v/>
      </c>
      <c r="O1487" s="359" t="str">
        <f>IFERROR(VLOOKUP($G1487,融外自投!$A:$J,7,0),"無")</f>
        <v>無</v>
      </c>
      <c r="P1487" s="79" t="str">
        <f>IFERROR(VLOOKUP($G1487,融外自投!$A:$J,9,0),"無")</f>
        <v>無</v>
      </c>
      <c r="Q1487" s="342" t="str">
        <f>IFERROR(VLOOKUP($G1487,融外自投!$A:$J,8,0),"無")</f>
        <v>無</v>
      </c>
      <c r="R1487" s="81" t="str">
        <f>IFERROR(VLOOKUP($G1487,融外自投!$A:$J,10,0),"無")</f>
        <v>無</v>
      </c>
      <c r="S1487" s="324" t="str">
        <f>IFERROR(VLOOKUP($G1487,'321買'!$A:$E,4,0),"'沒有資料'")</f>
        <v>'沒有資料'</v>
      </c>
      <c r="T1487" s="186">
        <f>IFERROR(VLOOKUP($G1487,基本資料!$A:$J,9,0),"無")</f>
        <v>0</v>
      </c>
      <c r="U1487" s="307">
        <f t="shared" si="251"/>
        <v>0</v>
      </c>
      <c r="V1487" s="94">
        <f>IFERROR(VLOOKUP($G1487,基本資料!$A:$J,10,0),"無")</f>
        <v>-0.64</v>
      </c>
      <c r="W1487" s="36">
        <f>RTD("money.excel",,"5324","Price")</f>
        <v>9.56</v>
      </c>
      <c r="X1487" s="66"/>
      <c r="Y1487" s="15">
        <f t="shared" si="252"/>
        <v>9.56</v>
      </c>
      <c r="Z1487" s="3" t="e">
        <f t="shared" si="253"/>
        <v>#DIV/0!</v>
      </c>
      <c r="AA1487" s="340">
        <f>IFERROR(VLOOKUP($G1487,基本資料!$A:$M,11,0),"無")</f>
        <v>-9.81</v>
      </c>
      <c r="AB1487" s="389">
        <f>IFERROR(VLOOKUP($G1487,基本資料!$A:$M,12,0),"無")</f>
        <v>72.77</v>
      </c>
      <c r="AC1487" s="16" t="s">
        <v>885</v>
      </c>
      <c r="AF1487" s="33">
        <f t="shared" si="254"/>
        <v>0</v>
      </c>
      <c r="AG1487" s="43" t="s">
        <v>2667</v>
      </c>
      <c r="AH1487" s="66">
        <f t="shared" si="255"/>
        <v>2.2476862053768181</v>
      </c>
      <c r="AI1487" s="283">
        <f>RTD("money.excel",,$G1487,"PredictVolume")</f>
        <v>255</v>
      </c>
      <c r="AJ1487" s="391">
        <f>IFERROR(VLOOKUP($G1487,基本資料!$A:$M,13,0),"無")</f>
        <v>113.45</v>
      </c>
      <c r="AR1487" s="245" t="str">
        <f>INDEX(基本資料!N:N,MATCH($G1487,基本資料!A:A,0))</f>
        <v>中</v>
      </c>
    </row>
    <row r="1488" spans="1:44">
      <c r="A1488" s="343">
        <f>IFERROR(VLOOKUP($G1488,基本資料!$A:$J,3,0),"無")</f>
        <v>6.55</v>
      </c>
      <c r="B1488" s="79">
        <f>IFERROR(VLOOKUP($G1488,基本資料!$A:$J,4,0),"無")</f>
        <v>55</v>
      </c>
      <c r="C1488" s="79">
        <f>IFERROR(VLOOKUP($G1488,基本資料!$A:$J,5,0),"無")</f>
        <v>48</v>
      </c>
      <c r="D1488" s="79">
        <f>IFERROR(VLOOKUP($G1488,基本資料!$A:$J,6,0),"無")</f>
        <v>236</v>
      </c>
      <c r="E1488" s="79">
        <f>IFERROR(VLOOKUP($G1488,基本資料!$A:$J,7,0),"無")</f>
        <v>22218</v>
      </c>
      <c r="F1488" s="6">
        <f>IFERROR(VLOOKUP($G1488,基本資料!$A:$J,8,0),"無")</f>
        <v>-15.65</v>
      </c>
      <c r="G1488" s="79">
        <v>5455</v>
      </c>
      <c r="H1488" s="8" t="s">
        <v>875</v>
      </c>
      <c r="I1488" s="16" t="s">
        <v>2994</v>
      </c>
      <c r="J1488" s="8" t="str">
        <f>IFERROR(VLOOKUP($G1488,今日總結!$A:$AN,39,0),"")</f>
        <v/>
      </c>
      <c r="K1488" s="5" t="str">
        <f>IFERROR(VLOOKUP($G1488,今日總結!$A:$AN,40,0),"")</f>
        <v/>
      </c>
      <c r="L1488" s="156" t="str">
        <f>IFERROR(VLOOKUP($G1488,今日總結!$A:$AN,37,0),"")</f>
        <v/>
      </c>
      <c r="M1488" s="337" t="str">
        <f>IFERROR(VLOOKUP($G1488,今日總結!$A:$AN,38,0),"")</f>
        <v/>
      </c>
      <c r="N1488" s="240" t="str">
        <f t="shared" si="250"/>
        <v/>
      </c>
      <c r="O1488" s="359" t="str">
        <f>IFERROR(VLOOKUP($G1488,融外自投!$A:$J,7,0),"無")</f>
        <v>無</v>
      </c>
      <c r="P1488" s="79" t="str">
        <f>IFERROR(VLOOKUP($G1488,融外自投!$A:$J,9,0),"無")</f>
        <v>無</v>
      </c>
      <c r="Q1488" s="342" t="str">
        <f>IFERROR(VLOOKUP($G1488,融外自投!$A:$J,8,0),"無")</f>
        <v>無</v>
      </c>
      <c r="R1488" s="81" t="str">
        <f>IFERROR(VLOOKUP($G1488,融外自投!$A:$J,10,0),"無")</f>
        <v>無</v>
      </c>
      <c r="S1488" s="324" t="str">
        <f>IFERROR(VLOOKUP($G1488,'321買'!$A:$E,4,0),"'沒有資料'")</f>
        <v>'沒有資料'</v>
      </c>
      <c r="T1488" s="186">
        <f>IFERROR(VLOOKUP($G1488,基本資料!$A:$J,9,0),"無")</f>
        <v>0</v>
      </c>
      <c r="U1488" s="307" t="e">
        <f t="shared" si="251"/>
        <v>#VALUE!</v>
      </c>
      <c r="V1488" s="94">
        <f>IFERROR(VLOOKUP($G1488,基本資料!$A:$J,10,0),"無")</f>
        <v>-0.09</v>
      </c>
      <c r="W1488" s="36" t="str">
        <f>RTD("money.excel",,"5455","Price")</f>
        <v>無資料</v>
      </c>
      <c r="X1488" s="66"/>
      <c r="Y1488" s="15" t="e">
        <f t="shared" si="252"/>
        <v>#VALUE!</v>
      </c>
      <c r="Z1488" s="3" t="e">
        <f t="shared" si="253"/>
        <v>#VALUE!</v>
      </c>
      <c r="AA1488" s="340">
        <f>IFERROR(VLOOKUP($G1488,基本資料!$A:$M,11,0),"無")</f>
        <v>-23.78</v>
      </c>
      <c r="AB1488" s="389">
        <f>IFERROR(VLOOKUP($G1488,基本資料!$A:$M,12,0),"無")</f>
        <v>10.71</v>
      </c>
      <c r="AC1488" s="16" t="s">
        <v>2994</v>
      </c>
      <c r="AF1488" s="33">
        <f t="shared" si="254"/>
        <v>0</v>
      </c>
      <c r="AG1488" s="43" t="s">
        <v>2995</v>
      </c>
      <c r="AH1488" s="66">
        <f t="shared" si="255"/>
        <v>0</v>
      </c>
      <c r="AI1488" s="283">
        <f>RTD("money.excel",,$G1488,"PredictVolume")</f>
        <v>0</v>
      </c>
      <c r="AJ1488" s="391">
        <f>IFERROR(VLOOKUP($G1488,基本資料!$A:$M,13,0),"無")</f>
        <v>6.25</v>
      </c>
      <c r="AR1488" s="245" t="str">
        <f>INDEX(基本資料!N:N,MATCH($G1488,基本資料!A:A,0))</f>
        <v>低</v>
      </c>
    </row>
    <row r="1489" spans="1:44">
      <c r="A1489" s="343">
        <f>IFERROR(VLOOKUP($G1489,基本資料!$A:$J,3,0),"無")</f>
        <v>21.74</v>
      </c>
      <c r="B1489" s="79">
        <f>IFERROR(VLOOKUP($G1489,基本資料!$A:$J,4,0),"無")</f>
        <v>139</v>
      </c>
      <c r="C1489" s="79">
        <f>IFERROR(VLOOKUP($G1489,基本資料!$A:$J,5,0),"無")</f>
        <v>167</v>
      </c>
      <c r="D1489" s="79">
        <f>IFERROR(VLOOKUP($G1489,基本資料!$A:$J,6,0),"無")</f>
        <v>-69</v>
      </c>
      <c r="E1489" s="79">
        <f>IFERROR(VLOOKUP($G1489,基本資料!$A:$J,7,0),"無")</f>
        <v>-67</v>
      </c>
      <c r="F1489" s="6">
        <f>IFERROR(VLOOKUP($G1489,基本資料!$A:$J,8,0),"無")</f>
        <v>37.229999999999997</v>
      </c>
      <c r="G1489" s="79">
        <v>5508</v>
      </c>
      <c r="H1489" s="8" t="s">
        <v>875</v>
      </c>
      <c r="I1489" s="16" t="s">
        <v>1078</v>
      </c>
      <c r="J1489" s="8">
        <f>IFERROR(VLOOKUP($G1489,今日總結!$A:$AN,39,0),"")</f>
        <v>0</v>
      </c>
      <c r="K1489" s="5" t="str">
        <f>IFERROR(VLOOKUP($G1489,今日總結!$A:$AN,40,0),"")</f>
        <v>主</v>
      </c>
      <c r="L1489" s="156">
        <f>IFERROR(VLOOKUP($G1489,今日總結!$A:$AN,37,0),"")</f>
        <v>0</v>
      </c>
      <c r="M1489" s="337">
        <f>IFERROR(VLOOKUP($G1489,今日總結!$A:$AN,38,0),"")</f>
        <v>4</v>
      </c>
      <c r="N1489" s="240">
        <f t="shared" si="250"/>
        <v>-4</v>
      </c>
      <c r="O1489" s="359">
        <f>IFERROR(VLOOKUP($G1489,融外自投!$A:$J,7,0),"無")</f>
        <v>751</v>
      </c>
      <c r="P1489" s="79" t="str">
        <f>IFERROR(VLOOKUP($G1489,融外自投!$A:$J,9,0),"無")</f>
        <v>無</v>
      </c>
      <c r="Q1489" s="342">
        <f>IFERROR(VLOOKUP($G1489,融外自投!$A:$J,8,0),"無")</f>
        <v>1133</v>
      </c>
      <c r="R1489" s="81" t="str">
        <f>IFERROR(VLOOKUP($G1489,融外自投!$A:$J,10,0),"無")</f>
        <v>無</v>
      </c>
      <c r="S1489" s="324">
        <f>IFERROR(VLOOKUP($G1489,'321買'!$A:$E,4,0),"'沒有資料'")</f>
        <v>1002</v>
      </c>
      <c r="T1489" s="186">
        <f>IFERROR(VLOOKUP($G1489,基本資料!$A:$J,9,0),"無")</f>
        <v>8.01</v>
      </c>
      <c r="U1489" s="307">
        <f t="shared" si="251"/>
        <v>0.12323076923076923</v>
      </c>
      <c r="V1489" s="94">
        <f>IFERROR(VLOOKUP($G1489,基本資料!$A:$J,10,0),"無")</f>
        <v>8.9</v>
      </c>
      <c r="W1489" s="36">
        <f>RTD("money.excel",,"5508","Price")</f>
        <v>65</v>
      </c>
      <c r="X1489" s="66"/>
      <c r="Y1489" s="15">
        <f t="shared" si="252"/>
        <v>65</v>
      </c>
      <c r="Z1489" s="3" t="e">
        <f t="shared" si="253"/>
        <v>#DIV/0!</v>
      </c>
      <c r="AA1489" s="340">
        <f>IFERROR(VLOOKUP($G1489,基本資料!$A:$M,11,0),"無")</f>
        <v>-17.3</v>
      </c>
      <c r="AB1489" s="389">
        <f>IFERROR(VLOOKUP($G1489,基本資料!$A:$M,12,0),"無")</f>
        <v>14.46</v>
      </c>
      <c r="AC1489" s="16" t="s">
        <v>1078</v>
      </c>
      <c r="AF1489" s="33">
        <f t="shared" si="254"/>
        <v>0</v>
      </c>
      <c r="AG1489" s="43" t="s">
        <v>2011</v>
      </c>
      <c r="AH1489" s="66">
        <f t="shared" si="255"/>
        <v>1.8950665622552858</v>
      </c>
      <c r="AI1489" s="283">
        <f>RTD("money.excel",,$G1489,"PredictVolume")</f>
        <v>363</v>
      </c>
      <c r="AJ1489" s="391">
        <f>IFERROR(VLOOKUP($G1489,基本資料!$A:$M,13,0),"無")</f>
        <v>191.55</v>
      </c>
      <c r="AR1489" s="245" t="str">
        <f>INDEX(基本資料!N:N,MATCH($G1489,基本資料!A:A,0))</f>
        <v>中</v>
      </c>
    </row>
    <row r="1490" spans="1:44">
      <c r="A1490" s="343">
        <f>IFERROR(VLOOKUP($G1490,基本資料!$A:$J,3,0),"無")</f>
        <v>11.34</v>
      </c>
      <c r="B1490" s="79">
        <f>IFERROR(VLOOKUP($G1490,基本資料!$A:$J,4,0),"無")</f>
        <v>-1</v>
      </c>
      <c r="C1490" s="79">
        <f>IFERROR(VLOOKUP($G1490,基本資料!$A:$J,5,0),"無")</f>
        <v>14</v>
      </c>
      <c r="D1490" s="79">
        <f>IFERROR(VLOOKUP($G1490,基本資料!$A:$J,6,0),"無")</f>
        <v>-14</v>
      </c>
      <c r="E1490" s="79">
        <f>IFERROR(VLOOKUP($G1490,基本資料!$A:$J,7,0),"無")</f>
        <v>27</v>
      </c>
      <c r="F1490" s="6">
        <f>IFERROR(VLOOKUP($G1490,基本資料!$A:$J,8,0),"無")</f>
        <v>8.52</v>
      </c>
      <c r="G1490" s="79">
        <v>5511</v>
      </c>
      <c r="H1490" s="8" t="s">
        <v>875</v>
      </c>
      <c r="I1490" s="16" t="s">
        <v>886</v>
      </c>
      <c r="J1490" s="8">
        <f>IFERROR(VLOOKUP($G1490,今日總結!$A:$AN,39,0),"")</f>
        <v>0</v>
      </c>
      <c r="K1490" s="5">
        <f>IFERROR(VLOOKUP($G1490,今日總結!$A:$AN,40,0),"")</f>
        <v>0</v>
      </c>
      <c r="L1490" s="156">
        <f>IFERROR(VLOOKUP($G1490,今日總結!$A:$AN,37,0),"")</f>
        <v>0</v>
      </c>
      <c r="M1490" s="337">
        <f>IFERROR(VLOOKUP($G1490,今日總結!$A:$AN,38,0),"")</f>
        <v>0</v>
      </c>
      <c r="N1490" s="240">
        <f t="shared" si="250"/>
        <v>0</v>
      </c>
      <c r="O1490" s="359">
        <f>IFERROR(VLOOKUP($G1490,融外自投!$A:$J,7,0),"無")</f>
        <v>1437</v>
      </c>
      <c r="P1490" s="79" t="str">
        <f>IFERROR(VLOOKUP($G1490,融外自投!$A:$J,9,0),"無")</f>
        <v>無</v>
      </c>
      <c r="Q1490" s="342">
        <f>IFERROR(VLOOKUP($G1490,融外自投!$A:$J,8,0),"無")</f>
        <v>1061</v>
      </c>
      <c r="R1490" s="81" t="str">
        <f>IFERROR(VLOOKUP($G1490,融外自投!$A:$J,10,0),"無")</f>
        <v>無</v>
      </c>
      <c r="S1490" s="324">
        <f>IFERROR(VLOOKUP($G1490,'321買'!$A:$E,4,0),"'沒有資料'")</f>
        <v>1002</v>
      </c>
      <c r="T1490" s="186">
        <f>IFERROR(VLOOKUP($G1490,基本資料!$A:$J,9,0),"無")</f>
        <v>2</v>
      </c>
      <c r="U1490" s="307">
        <f t="shared" si="251"/>
        <v>6.6225165562913912E-2</v>
      </c>
      <c r="V1490" s="94">
        <f>IFERROR(VLOOKUP($G1490,基本資料!$A:$J,10,0),"無")</f>
        <v>4.1500000000000004</v>
      </c>
      <c r="W1490" s="36">
        <f>RTD("money.excel",,"5511","Price")</f>
        <v>30.2</v>
      </c>
      <c r="X1490" s="66"/>
      <c r="Y1490" s="15">
        <f t="shared" si="252"/>
        <v>30.2</v>
      </c>
      <c r="Z1490" s="3" t="e">
        <f t="shared" si="253"/>
        <v>#DIV/0!</v>
      </c>
      <c r="AA1490" s="340">
        <f>IFERROR(VLOOKUP($G1490,基本資料!$A:$M,11,0),"無")</f>
        <v>-4.43</v>
      </c>
      <c r="AB1490" s="389">
        <f>IFERROR(VLOOKUP($G1490,基本資料!$A:$M,12,0),"無")</f>
        <v>29.29</v>
      </c>
      <c r="AC1490" s="16" t="s">
        <v>886</v>
      </c>
      <c r="AF1490" s="33">
        <f t="shared" si="254"/>
        <v>0</v>
      </c>
      <c r="AG1490" s="43" t="s">
        <v>324</v>
      </c>
      <c r="AH1490" s="66">
        <f t="shared" si="255"/>
        <v>0.94786729857819907</v>
      </c>
      <c r="AI1490" s="283">
        <f>RTD("money.excel",,$G1490,"PredictVolume")</f>
        <v>30</v>
      </c>
      <c r="AJ1490" s="391">
        <f>IFERROR(VLOOKUP($G1490,基本資料!$A:$M,13,0),"無")</f>
        <v>31.65</v>
      </c>
      <c r="AR1490" s="245" t="str">
        <f>INDEX(基本資料!N:N,MATCH($G1490,基本資料!A:A,0))</f>
        <v>中</v>
      </c>
    </row>
    <row r="1491" spans="1:44">
      <c r="A1491" s="343">
        <f>IFERROR(VLOOKUP($G1491,基本資料!$A:$J,3,0),"無")</f>
        <v>74.39</v>
      </c>
      <c r="B1491" s="79">
        <f>IFERROR(VLOOKUP($G1491,基本資料!$A:$J,4,0),"無")</f>
        <v>47</v>
      </c>
      <c r="C1491" s="79">
        <f>IFERROR(VLOOKUP($G1491,基本資料!$A:$J,5,0),"無")</f>
        <v>59</v>
      </c>
      <c r="D1491" s="79">
        <f>IFERROR(VLOOKUP($G1491,基本資料!$A:$J,6,0),"無")</f>
        <v>-24</v>
      </c>
      <c r="E1491" s="79">
        <f>IFERROR(VLOOKUP($G1491,基本資料!$A:$J,7,0),"無")</f>
        <v>1</v>
      </c>
      <c r="F1491" s="6">
        <f>IFERROR(VLOOKUP($G1491,基本資料!$A:$J,8,0),"無")</f>
        <v>16.899999999999999</v>
      </c>
      <c r="G1491" s="79">
        <v>5512</v>
      </c>
      <c r="H1491" s="8" t="s">
        <v>875</v>
      </c>
      <c r="I1491" s="16" t="s">
        <v>4617</v>
      </c>
      <c r="J1491" s="8">
        <f>IFERROR(VLOOKUP($G1491,今日總結!$A:$AN,39,0),"")</f>
        <v>0</v>
      </c>
      <c r="K1491" s="5" t="str">
        <f>IFERROR(VLOOKUP($G1491,今日總結!$A:$AN,40,0),"")</f>
        <v>主</v>
      </c>
      <c r="L1491" s="156">
        <f>IFERROR(VLOOKUP($G1491,今日總結!$A:$AN,37,0),"")</f>
        <v>0</v>
      </c>
      <c r="M1491" s="337">
        <f>IFERROR(VLOOKUP($G1491,今日總結!$A:$AN,38,0),"")</f>
        <v>6</v>
      </c>
      <c r="N1491" s="240">
        <f t="shared" si="250"/>
        <v>-6</v>
      </c>
      <c r="O1491" s="359">
        <f>IFERROR(VLOOKUP($G1491,融外自投!$A:$J,7,0),"無")</f>
        <v>994</v>
      </c>
      <c r="P1491" s="79">
        <f>IFERROR(VLOOKUP($G1491,融外自投!$A:$J,9,0),"無")</f>
        <v>1051</v>
      </c>
      <c r="Q1491" s="342">
        <f>IFERROR(VLOOKUP($G1491,融外自投!$A:$J,8,0),"無")</f>
        <v>680</v>
      </c>
      <c r="R1491" s="81" t="str">
        <f>IFERROR(VLOOKUP($G1491,融外自投!$A:$J,10,0),"無")</f>
        <v>無</v>
      </c>
      <c r="S1491" s="324">
        <f>IFERROR(VLOOKUP($G1491,'321買'!$A:$E,4,0),"'沒有資料'")</f>
        <v>1002</v>
      </c>
      <c r="T1491" s="186">
        <f>IFERROR(VLOOKUP($G1491,基本資料!$A:$J,9,0),"無")</f>
        <v>0.3</v>
      </c>
      <c r="U1491" s="307">
        <f t="shared" si="251"/>
        <v>3.4285714285714287E-2</v>
      </c>
      <c r="V1491" s="94">
        <f>IFERROR(VLOOKUP($G1491,基本資料!$A:$J,10,0),"無")</f>
        <v>0.42</v>
      </c>
      <c r="W1491" s="36">
        <f>RTD("money.excel",,"5512","Price")</f>
        <v>8.75</v>
      </c>
      <c r="X1491" s="66"/>
      <c r="Y1491" s="15">
        <f t="shared" si="252"/>
        <v>8.75</v>
      </c>
      <c r="Z1491" s="3" t="e">
        <f t="shared" si="253"/>
        <v>#DIV/0!</v>
      </c>
      <c r="AA1491" s="340">
        <f>IFERROR(VLOOKUP($G1491,基本資料!$A:$M,11,0),"無")</f>
        <v>-10.99</v>
      </c>
      <c r="AB1491" s="389">
        <f>IFERROR(VLOOKUP($G1491,基本資料!$A:$M,12,0),"無")</f>
        <v>26.47</v>
      </c>
      <c r="AC1491" s="16" t="s">
        <v>4617</v>
      </c>
      <c r="AF1491" s="33">
        <f t="shared" si="254"/>
        <v>0</v>
      </c>
      <c r="AG1491" s="117" t="s">
        <v>2011</v>
      </c>
      <c r="AH1491" s="66">
        <f t="shared" si="255"/>
        <v>0.44737545673291151</v>
      </c>
      <c r="AI1491" s="283">
        <f>RTD("money.excel",,$G1491,"PredictVolume")</f>
        <v>251</v>
      </c>
      <c r="AJ1491" s="391">
        <f>IFERROR(VLOOKUP($G1491,基本資料!$A:$M,13,0),"無")</f>
        <v>561.04999999999995</v>
      </c>
      <c r="AR1491" s="245" t="str">
        <f>INDEX(基本資料!N:N,MATCH($G1491,基本資料!A:A,0))</f>
        <v>低</v>
      </c>
    </row>
    <row r="1492" spans="1:44">
      <c r="A1492" s="343">
        <f>IFERROR(VLOOKUP($G1492,基本資料!$A:$J,3,0),"無")</f>
        <v>20.79</v>
      </c>
      <c r="B1492" s="79">
        <f>IFERROR(VLOOKUP($G1492,基本資料!$A:$J,4,0),"無")</f>
        <v>-103</v>
      </c>
      <c r="C1492" s="79">
        <f>IFERROR(VLOOKUP($G1492,基本資料!$A:$J,5,0),"無")</f>
        <v>-121</v>
      </c>
      <c r="D1492" s="79">
        <f>IFERROR(VLOOKUP($G1492,基本資料!$A:$J,6,0),"無")</f>
        <v>8</v>
      </c>
      <c r="E1492" s="79">
        <f>IFERROR(VLOOKUP($G1492,基本資料!$A:$J,7,0),"無")</f>
        <v>13</v>
      </c>
      <c r="F1492" s="6">
        <f>IFERROR(VLOOKUP($G1492,基本資料!$A:$J,8,0),"無")</f>
        <v>-786.51</v>
      </c>
      <c r="G1492" s="79">
        <v>5514</v>
      </c>
      <c r="H1492" s="8" t="s">
        <v>875</v>
      </c>
      <c r="I1492" s="16" t="s">
        <v>887</v>
      </c>
      <c r="J1492" s="8">
        <f>IFERROR(VLOOKUP($G1492,今日總結!$A:$AN,39,0),"")</f>
        <v>0</v>
      </c>
      <c r="K1492" s="5">
        <f>IFERROR(VLOOKUP($G1492,今日總結!$A:$AN,40,0),"")</f>
        <v>0</v>
      </c>
      <c r="L1492" s="156">
        <f>IFERROR(VLOOKUP($G1492,今日總結!$A:$AN,37,0),"")</f>
        <v>0</v>
      </c>
      <c r="M1492" s="337">
        <f>IFERROR(VLOOKUP($G1492,今日總結!$A:$AN,38,0),"")</f>
        <v>0</v>
      </c>
      <c r="N1492" s="240">
        <f t="shared" si="250"/>
        <v>0</v>
      </c>
      <c r="O1492" s="359">
        <f>IFERROR(VLOOKUP($G1492,融外自投!$A:$J,7,0),"無")</f>
        <v>1416</v>
      </c>
      <c r="P1492" s="79" t="str">
        <f>IFERROR(VLOOKUP($G1492,融外自投!$A:$J,9,0),"無")</f>
        <v>無</v>
      </c>
      <c r="Q1492" s="342">
        <f>IFERROR(VLOOKUP($G1492,融外自投!$A:$J,8,0),"無")</f>
        <v>1469</v>
      </c>
      <c r="R1492" s="81" t="str">
        <f>IFERROR(VLOOKUP($G1492,融外自投!$A:$J,10,0),"無")</f>
        <v>無</v>
      </c>
      <c r="S1492" s="324">
        <f>IFERROR(VLOOKUP($G1492,'321買'!$A:$E,4,0),"'沒有資料'")</f>
        <v>1002</v>
      </c>
      <c r="T1492" s="186">
        <f>IFERROR(VLOOKUP($G1492,基本資料!$A:$J,9,0),"無")</f>
        <v>0.4</v>
      </c>
      <c r="U1492" s="307">
        <f t="shared" si="251"/>
        <v>1.9950124688279301E-2</v>
      </c>
      <c r="V1492" s="94">
        <f>IFERROR(VLOOKUP($G1492,基本資料!$A:$J,10,0),"無")</f>
        <v>-0.04</v>
      </c>
      <c r="W1492" s="36">
        <f>RTD("money.excel",,"5514","Price")</f>
        <v>20.05</v>
      </c>
      <c r="X1492" s="66"/>
      <c r="Y1492" s="15">
        <f t="shared" si="252"/>
        <v>20.05</v>
      </c>
      <c r="Z1492" s="3" t="e">
        <f t="shared" si="253"/>
        <v>#DIV/0!</v>
      </c>
      <c r="AA1492" s="340">
        <f>IFERROR(VLOOKUP($G1492,基本資料!$A:$M,11,0),"無")</f>
        <v>-11.67</v>
      </c>
      <c r="AB1492" s="389">
        <f>IFERROR(VLOOKUP($G1492,基本資料!$A:$M,12,0),"無")</f>
        <v>46.77</v>
      </c>
      <c r="AC1492" s="16" t="s">
        <v>887</v>
      </c>
      <c r="AF1492" s="33">
        <f t="shared" si="254"/>
        <v>0</v>
      </c>
      <c r="AG1492" s="43" t="s">
        <v>2011</v>
      </c>
      <c r="AH1492" s="66">
        <f t="shared" si="255"/>
        <v>1.4899713467048712</v>
      </c>
      <c r="AI1492" s="283">
        <f>RTD("money.excel",,$G1492,"PredictVolume")</f>
        <v>26</v>
      </c>
      <c r="AJ1492" s="391">
        <f>IFERROR(VLOOKUP($G1492,基本資料!$A:$M,13,0),"無")</f>
        <v>17.45</v>
      </c>
      <c r="AR1492" s="245" t="str">
        <f>INDEX(基本資料!N:N,MATCH($G1492,基本資料!A:A,0))</f>
        <v>低</v>
      </c>
    </row>
    <row r="1493" spans="1:44">
      <c r="A1493" s="343">
        <f>IFERROR(VLOOKUP($G1493,基本資料!$A:$J,3,0),"無")</f>
        <v>25.74</v>
      </c>
      <c r="B1493" s="79">
        <f>IFERROR(VLOOKUP($G1493,基本資料!$A:$J,4,0),"無")</f>
        <v>8</v>
      </c>
      <c r="C1493" s="79">
        <f>IFERROR(VLOOKUP($G1493,基本資料!$A:$J,5,0),"無")</f>
        <v>28</v>
      </c>
      <c r="D1493" s="79">
        <f>IFERROR(VLOOKUP($G1493,基本資料!$A:$J,6,0),"無")</f>
        <v>-3</v>
      </c>
      <c r="E1493" s="79">
        <f>IFERROR(VLOOKUP($G1493,基本資料!$A:$J,7,0),"無")</f>
        <v>-10</v>
      </c>
      <c r="F1493" s="6">
        <f>IFERROR(VLOOKUP($G1493,基本資料!$A:$J,8,0),"無")</f>
        <v>5.37</v>
      </c>
      <c r="G1493" s="79">
        <v>5515</v>
      </c>
      <c r="H1493" s="8" t="s">
        <v>875</v>
      </c>
      <c r="I1493" s="22" t="s">
        <v>930</v>
      </c>
      <c r="J1493" s="8">
        <f>IFERROR(VLOOKUP($G1493,今日總結!$A:$AN,39,0),"")</f>
        <v>0</v>
      </c>
      <c r="K1493" s="5">
        <f>IFERROR(VLOOKUP($G1493,今日總結!$A:$AN,40,0),"")</f>
        <v>0</v>
      </c>
      <c r="L1493" s="156">
        <f>IFERROR(VLOOKUP($G1493,今日總結!$A:$AN,37,0),"")</f>
        <v>0</v>
      </c>
      <c r="M1493" s="337">
        <f>IFERROR(VLOOKUP($G1493,今日總結!$A:$AN,38,0),"")</f>
        <v>0</v>
      </c>
      <c r="N1493" s="240">
        <f t="shared" si="250"/>
        <v>0</v>
      </c>
      <c r="O1493" s="359">
        <f>IFERROR(VLOOKUP($G1493,融外自投!$A:$J,7,0),"無")</f>
        <v>1167</v>
      </c>
      <c r="P1493" s="79">
        <f>IFERROR(VLOOKUP($G1493,融外自投!$A:$J,9,0),"無")</f>
        <v>1123</v>
      </c>
      <c r="Q1493" s="342">
        <f>IFERROR(VLOOKUP($G1493,融外自投!$A:$J,8,0),"無")</f>
        <v>718</v>
      </c>
      <c r="R1493" s="81" t="str">
        <f>IFERROR(VLOOKUP($G1493,融外自投!$A:$J,10,0),"無")</f>
        <v>無</v>
      </c>
      <c r="S1493" s="324">
        <f>IFERROR(VLOOKUP($G1493,'321買'!$A:$E,4,0),"'沒有資料'")</f>
        <v>1002</v>
      </c>
      <c r="T1493" s="186">
        <f>IFERROR(VLOOKUP($G1493,基本資料!$A:$J,9,0),"無")</f>
        <v>1</v>
      </c>
      <c r="U1493" s="307">
        <f t="shared" si="251"/>
        <v>7.2727272727272724E-2</v>
      </c>
      <c r="V1493" s="94">
        <f>IFERROR(VLOOKUP($G1493,基本資料!$A:$J,10,0),"無")</f>
        <v>1.57</v>
      </c>
      <c r="W1493" s="36">
        <f>RTD("money.excel",,"5515","Price")</f>
        <v>13.75</v>
      </c>
      <c r="X1493" s="66"/>
      <c r="Y1493" s="15">
        <f t="shared" si="252"/>
        <v>13.75</v>
      </c>
      <c r="Z1493" s="3" t="e">
        <f t="shared" si="253"/>
        <v>#DIV/0!</v>
      </c>
      <c r="AA1493" s="340">
        <f>IFERROR(VLOOKUP($G1493,基本資料!$A:$M,11,0),"無")</f>
        <v>-10.130000000000001</v>
      </c>
      <c r="AB1493" s="389">
        <f>IFERROR(VLOOKUP($G1493,基本資料!$A:$M,12,0),"無")</f>
        <v>42.56</v>
      </c>
      <c r="AC1493" s="22" t="s">
        <v>930</v>
      </c>
      <c r="AF1493" s="33">
        <f t="shared" si="254"/>
        <v>0</v>
      </c>
      <c r="AG1493" s="43" t="s">
        <v>1988</v>
      </c>
      <c r="AH1493" s="66">
        <f t="shared" si="255"/>
        <v>1.519443729075457</v>
      </c>
      <c r="AI1493" s="283">
        <f>RTD("money.excel",,$G1493,"PredictVolume")</f>
        <v>295</v>
      </c>
      <c r="AJ1493" s="391">
        <f>IFERROR(VLOOKUP($G1493,基本資料!$A:$M,13,0),"無")</f>
        <v>194.15</v>
      </c>
      <c r="AR1493" s="245" t="str">
        <f>INDEX(基本資料!N:N,MATCH($G1493,基本資料!A:A,0))</f>
        <v>中</v>
      </c>
    </row>
    <row r="1494" spans="1:44">
      <c r="A1494" s="343">
        <f>IFERROR(VLOOKUP($G1494,基本資料!$A:$J,3,0),"無")</f>
        <v>4.13</v>
      </c>
      <c r="B1494" s="79">
        <f>IFERROR(VLOOKUP($G1494,基本資料!$A:$J,4,0),"無")</f>
        <v>5</v>
      </c>
      <c r="C1494" s="79">
        <f>IFERROR(VLOOKUP($G1494,基本資料!$A:$J,5,0),"無")</f>
        <v>41</v>
      </c>
      <c r="D1494" s="79">
        <f>IFERROR(VLOOKUP($G1494,基本資料!$A:$J,6,0),"無")</f>
        <v>-2</v>
      </c>
      <c r="E1494" s="79">
        <f>IFERROR(VLOOKUP($G1494,基本資料!$A:$J,7,0),"無")</f>
        <v>43</v>
      </c>
      <c r="F1494" s="6">
        <f>IFERROR(VLOOKUP($G1494,基本資料!$A:$J,8,0),"無")</f>
        <v>8.08</v>
      </c>
      <c r="G1494" s="79">
        <v>5516</v>
      </c>
      <c r="H1494" s="8" t="s">
        <v>875</v>
      </c>
      <c r="I1494" s="16" t="s">
        <v>888</v>
      </c>
      <c r="J1494" s="8">
        <f>IFERROR(VLOOKUP($G1494,今日總結!$A:$AN,39,0),"")</f>
        <v>0</v>
      </c>
      <c r="K1494" s="5" t="str">
        <f>IFERROR(VLOOKUP($G1494,今日總結!$A:$AN,40,0),"")</f>
        <v>融</v>
      </c>
      <c r="L1494" s="156">
        <f>IFERROR(VLOOKUP($G1494,今日總結!$A:$AN,37,0),"")</f>
        <v>0</v>
      </c>
      <c r="M1494" s="337">
        <f>IFERROR(VLOOKUP($G1494,今日總結!$A:$AN,38,0),"")</f>
        <v>11</v>
      </c>
      <c r="N1494" s="240">
        <f t="shared" si="250"/>
        <v>-11</v>
      </c>
      <c r="O1494" s="359">
        <f>IFERROR(VLOOKUP($G1494,融外自投!$A:$J,7,0),"無")</f>
        <v>496</v>
      </c>
      <c r="P1494" s="79" t="str">
        <f>IFERROR(VLOOKUP($G1494,融外自投!$A:$J,9,0),"無")</f>
        <v>無</v>
      </c>
      <c r="Q1494" s="342">
        <f>IFERROR(VLOOKUP($G1494,融外自投!$A:$J,8,0),"無")</f>
        <v>1453</v>
      </c>
      <c r="R1494" s="81" t="str">
        <f>IFERROR(VLOOKUP($G1494,融外自投!$A:$J,10,0),"無")</f>
        <v>無</v>
      </c>
      <c r="S1494" s="324">
        <f>IFERROR(VLOOKUP($G1494,'321買'!$A:$E,4,0),"'沒有資料'")</f>
        <v>1002</v>
      </c>
      <c r="T1494" s="186">
        <f>IFERROR(VLOOKUP($G1494,基本資料!$A:$J,9,0),"無")</f>
        <v>1.5</v>
      </c>
      <c r="U1494" s="307">
        <f t="shared" si="251"/>
        <v>9.1463414634146353E-2</v>
      </c>
      <c r="V1494" s="94">
        <f>IFERROR(VLOOKUP($G1494,基本資料!$A:$J,10,0),"無")</f>
        <v>2.91</v>
      </c>
      <c r="W1494" s="36">
        <f>RTD("money.excel",,"5516","Price")</f>
        <v>16.399999999999999</v>
      </c>
      <c r="X1494" s="66"/>
      <c r="Y1494" s="15">
        <f t="shared" si="252"/>
        <v>16.399999999999999</v>
      </c>
      <c r="Z1494" s="3" t="e">
        <f t="shared" si="253"/>
        <v>#DIV/0!</v>
      </c>
      <c r="AA1494" s="340">
        <f>IFERROR(VLOOKUP($G1494,基本資料!$A:$M,11,0),"無")</f>
        <v>-10.14</v>
      </c>
      <c r="AB1494" s="389">
        <f>IFERROR(VLOOKUP($G1494,基本資料!$A:$M,12,0),"無")</f>
        <v>60.78</v>
      </c>
      <c r="AC1494" s="16" t="s">
        <v>888</v>
      </c>
      <c r="AF1494" s="33">
        <f t="shared" si="254"/>
        <v>0</v>
      </c>
      <c r="AG1494" s="43" t="s">
        <v>324</v>
      </c>
      <c r="AH1494" s="66">
        <f t="shared" si="255"/>
        <v>0.30587074494326594</v>
      </c>
      <c r="AI1494" s="283">
        <f>RTD("money.excel",,$G1494,"PredictVolume")</f>
        <v>31</v>
      </c>
      <c r="AJ1494" s="391">
        <f>IFERROR(VLOOKUP($G1494,基本資料!$A:$M,13,0),"無")</f>
        <v>101.35</v>
      </c>
      <c r="AR1494" s="245" t="str">
        <f>INDEX(基本資料!N:N,MATCH($G1494,基本資料!A:A,0))</f>
        <v>中</v>
      </c>
    </row>
    <row r="1495" spans="1:44">
      <c r="A1495" s="343">
        <f>IFERROR(VLOOKUP($G1495,基本資料!$A:$J,3,0),"無")</f>
        <v>21.91</v>
      </c>
      <c r="B1495" s="79">
        <f>IFERROR(VLOOKUP($G1495,基本資料!$A:$J,4,0),"無")</f>
        <v>32</v>
      </c>
      <c r="C1495" s="79">
        <f>IFERROR(VLOOKUP($G1495,基本資料!$A:$J,5,0),"無")</f>
        <v>43</v>
      </c>
      <c r="D1495" s="79">
        <f>IFERROR(VLOOKUP($G1495,基本資料!$A:$J,6,0),"無")</f>
        <v>895</v>
      </c>
      <c r="E1495" s="79">
        <f>IFERROR(VLOOKUP($G1495,基本資料!$A:$J,7,0),"無")</f>
        <v>-45</v>
      </c>
      <c r="F1495" s="6">
        <f>IFERROR(VLOOKUP($G1495,基本資料!$A:$J,8,0),"無")</f>
        <v>15.57</v>
      </c>
      <c r="G1495" s="79">
        <v>5519</v>
      </c>
      <c r="H1495" s="8" t="s">
        <v>875</v>
      </c>
      <c r="I1495" s="22" t="s">
        <v>931</v>
      </c>
      <c r="J1495" s="8">
        <f>IFERROR(VLOOKUP($G1495,今日總結!$A:$AN,39,0),"")</f>
        <v>0</v>
      </c>
      <c r="K1495" s="5" t="str">
        <f>IFERROR(VLOOKUP($G1495,今日總結!$A:$AN,40,0),"")</f>
        <v>5主</v>
      </c>
      <c r="L1495" s="156">
        <f>IFERROR(VLOOKUP($G1495,今日總結!$A:$AN,37,0),"")</f>
        <v>0</v>
      </c>
      <c r="M1495" s="337">
        <f>IFERROR(VLOOKUP($G1495,今日總結!$A:$AN,38,0),"")</f>
        <v>7</v>
      </c>
      <c r="N1495" s="240">
        <f t="shared" si="250"/>
        <v>-7</v>
      </c>
      <c r="O1495" s="359">
        <f>IFERROR(VLOOKUP($G1495,融外自投!$A:$J,7,0),"無")</f>
        <v>1001</v>
      </c>
      <c r="P1495" s="79">
        <f>IFERROR(VLOOKUP($G1495,融外自投!$A:$J,9,0),"無")</f>
        <v>1051</v>
      </c>
      <c r="Q1495" s="342">
        <f>IFERROR(VLOOKUP($G1495,融外自投!$A:$J,8,0),"無")</f>
        <v>850</v>
      </c>
      <c r="R1495" s="81" t="str">
        <f>IFERROR(VLOOKUP($G1495,融外自投!$A:$J,10,0),"無")</f>
        <v>無</v>
      </c>
      <c r="S1495" s="324">
        <f>IFERROR(VLOOKUP($G1495,'321買'!$A:$E,4,0),"'沒有資料'")</f>
        <v>1002</v>
      </c>
      <c r="T1495" s="186">
        <f>IFERROR(VLOOKUP($G1495,基本資料!$A:$J,9,0),"無")</f>
        <v>2</v>
      </c>
      <c r="U1495" s="307">
        <f t="shared" si="251"/>
        <v>9.4117647058823528E-2</v>
      </c>
      <c r="V1495" s="94">
        <f>IFERROR(VLOOKUP($G1495,基本資料!$A:$J,10,0),"無")</f>
        <v>2.73</v>
      </c>
      <c r="W1495" s="36">
        <f>RTD("money.excel",,"5519","Price")</f>
        <v>21.25</v>
      </c>
      <c r="X1495" s="66"/>
      <c r="Y1495" s="15">
        <f t="shared" si="252"/>
        <v>21.25</v>
      </c>
      <c r="Z1495" s="3" t="e">
        <f t="shared" si="253"/>
        <v>#DIV/0!</v>
      </c>
      <c r="AA1495" s="340">
        <f>IFERROR(VLOOKUP($G1495,基本資料!$A:$M,11,0),"無")</f>
        <v>-16.170000000000002</v>
      </c>
      <c r="AB1495" s="389">
        <f>IFERROR(VLOOKUP($G1495,基本資料!$A:$M,12,0),"無")</f>
        <v>21.14</v>
      </c>
      <c r="AC1495" s="22" t="s">
        <v>931</v>
      </c>
      <c r="AF1495" s="33">
        <f t="shared" si="254"/>
        <v>0</v>
      </c>
      <c r="AG1495" s="43" t="s">
        <v>324</v>
      </c>
      <c r="AH1495" s="66">
        <f t="shared" si="255"/>
        <v>2.7568871908304846</v>
      </c>
      <c r="AI1495" s="283">
        <f>RTD("money.excel",,$G1495,"PredictVolume")</f>
        <v>1371</v>
      </c>
      <c r="AJ1495" s="391">
        <f>IFERROR(VLOOKUP($G1495,基本資料!$A:$M,13,0),"無")</f>
        <v>497.3</v>
      </c>
      <c r="AR1495" s="245" t="str">
        <f>INDEX(基本資料!N:N,MATCH($G1495,基本資料!A:A,0))</f>
        <v>低</v>
      </c>
    </row>
    <row r="1496" spans="1:44">
      <c r="A1496" s="343">
        <f>IFERROR(VLOOKUP($G1496,基本資料!$A:$J,3,0),"無")</f>
        <v>6.03</v>
      </c>
      <c r="B1496" s="79">
        <f>IFERROR(VLOOKUP($G1496,基本資料!$A:$J,4,0),"無")</f>
        <v>17</v>
      </c>
      <c r="C1496" s="79">
        <f>IFERROR(VLOOKUP($G1496,基本資料!$A:$J,5,0),"無")</f>
        <v>21</v>
      </c>
      <c r="D1496" s="79">
        <f>IFERROR(VLOOKUP($G1496,基本資料!$A:$J,6,0),"無")</f>
        <v>-11</v>
      </c>
      <c r="E1496" s="79">
        <f>IFERROR(VLOOKUP($G1496,基本資料!$A:$J,7,0),"無")</f>
        <v>28</v>
      </c>
      <c r="F1496" s="6">
        <f>IFERROR(VLOOKUP($G1496,基本資料!$A:$J,8,0),"無")</f>
        <v>15.34</v>
      </c>
      <c r="G1496" s="79">
        <v>5520</v>
      </c>
      <c r="H1496" s="8" t="s">
        <v>875</v>
      </c>
      <c r="I1496" s="16" t="s">
        <v>889</v>
      </c>
      <c r="J1496" s="8">
        <f>IFERROR(VLOOKUP($G1496,今日總結!$A:$AN,39,0),"")</f>
        <v>0</v>
      </c>
      <c r="K1496" s="5">
        <f>IFERROR(VLOOKUP($G1496,今日總結!$A:$AN,40,0),"")</f>
        <v>0</v>
      </c>
      <c r="L1496" s="156">
        <f>IFERROR(VLOOKUP($G1496,今日總結!$A:$AN,37,0),"")</f>
        <v>0</v>
      </c>
      <c r="M1496" s="337">
        <f>IFERROR(VLOOKUP($G1496,今日總結!$A:$AN,38,0),"")</f>
        <v>0</v>
      </c>
      <c r="N1496" s="240">
        <f t="shared" si="250"/>
        <v>0</v>
      </c>
      <c r="O1496" s="359">
        <f>IFERROR(VLOOKUP($G1496,融外自投!$A:$J,7,0),"無")</f>
        <v>1416</v>
      </c>
      <c r="P1496" s="79" t="str">
        <f>IFERROR(VLOOKUP($G1496,融外自投!$A:$J,9,0),"無")</f>
        <v>無</v>
      </c>
      <c r="Q1496" s="342">
        <f>IFERROR(VLOOKUP($G1496,融外自投!$A:$J,8,0),"無")</f>
        <v>1466</v>
      </c>
      <c r="R1496" s="81" t="str">
        <f>IFERROR(VLOOKUP($G1496,融外自投!$A:$J,10,0),"無")</f>
        <v>無</v>
      </c>
      <c r="S1496" s="324">
        <f>IFERROR(VLOOKUP($G1496,'321買'!$A:$E,4,0),"'沒有資料'")</f>
        <v>1002</v>
      </c>
      <c r="T1496" s="186">
        <f>IFERROR(VLOOKUP($G1496,基本資料!$A:$J,9,0),"無")</f>
        <v>3.9</v>
      </c>
      <c r="U1496" s="307">
        <f t="shared" si="251"/>
        <v>6.9892473118279577E-2</v>
      </c>
      <c r="V1496" s="94">
        <f>IFERROR(VLOOKUP($G1496,基本資料!$A:$J,10,0),"無")</f>
        <v>5.56</v>
      </c>
      <c r="W1496" s="36">
        <f>RTD("money.excel",,"5520","Price")</f>
        <v>55.8</v>
      </c>
      <c r="X1496" s="66"/>
      <c r="Y1496" s="15">
        <f t="shared" si="252"/>
        <v>55.8</v>
      </c>
      <c r="Z1496" s="3" t="e">
        <f t="shared" si="253"/>
        <v>#DIV/0!</v>
      </c>
      <c r="AA1496" s="340">
        <f>IFERROR(VLOOKUP($G1496,基本資料!$A:$M,11,0),"無")</f>
        <v>-12.13</v>
      </c>
      <c r="AB1496" s="389">
        <f>IFERROR(VLOOKUP($G1496,基本資料!$A:$M,12,0),"無")</f>
        <v>36.49</v>
      </c>
      <c r="AC1496" s="16" t="s">
        <v>889</v>
      </c>
      <c r="AF1496" s="33">
        <f t="shared" si="254"/>
        <v>0</v>
      </c>
      <c r="AG1496" s="43" t="s">
        <v>2668</v>
      </c>
      <c r="AH1496" s="66">
        <f t="shared" si="255"/>
        <v>2.0717131474103585</v>
      </c>
      <c r="AI1496" s="283">
        <f>RTD("money.excel",,$G1496,"PredictVolume")</f>
        <v>26</v>
      </c>
      <c r="AJ1496" s="391">
        <f>IFERROR(VLOOKUP($G1496,基本資料!$A:$M,13,0),"無")</f>
        <v>12.55</v>
      </c>
      <c r="AR1496" s="245" t="str">
        <f>INDEX(基本資料!N:N,MATCH($G1496,基本資料!A:A,0))</f>
        <v>中</v>
      </c>
    </row>
    <row r="1497" spans="1:44">
      <c r="A1497" s="343">
        <f>IFERROR(VLOOKUP($G1497,基本資料!$A:$J,3,0),"無")</f>
        <v>49.22</v>
      </c>
      <c r="B1497" s="79">
        <f>IFERROR(VLOOKUP($G1497,基本資料!$A:$J,4,0),"無")</f>
        <v>-96</v>
      </c>
      <c r="C1497" s="79">
        <f>IFERROR(VLOOKUP($G1497,基本資料!$A:$J,5,0),"無")</f>
        <v>-93</v>
      </c>
      <c r="D1497" s="79">
        <f>IFERROR(VLOOKUP($G1497,基本資料!$A:$J,6,0),"無")</f>
        <v>19</v>
      </c>
      <c r="E1497" s="79">
        <f>IFERROR(VLOOKUP($G1497,基本資料!$A:$J,7,0),"無")</f>
        <v>62</v>
      </c>
      <c r="F1497" s="6">
        <f>IFERROR(VLOOKUP($G1497,基本資料!$A:$J,8,0),"無")</f>
        <v>1.96</v>
      </c>
      <c r="G1497" s="79">
        <v>5521</v>
      </c>
      <c r="H1497" s="8" t="s">
        <v>875</v>
      </c>
      <c r="I1497" s="22" t="s">
        <v>932</v>
      </c>
      <c r="J1497" s="8">
        <f>IFERROR(VLOOKUP($G1497,今日總結!$A:$AN,39,0),"")</f>
        <v>0</v>
      </c>
      <c r="K1497" s="5" t="str">
        <f>IFERROR(VLOOKUP($G1497,今日總結!$A:$AN,40,0),"")</f>
        <v>主融</v>
      </c>
      <c r="L1497" s="156">
        <f>IFERROR(VLOOKUP($G1497,今日總結!$A:$AN,37,0),"")</f>
        <v>0</v>
      </c>
      <c r="M1497" s="337">
        <f>IFERROR(VLOOKUP($G1497,今日總結!$A:$AN,38,0),"")</f>
        <v>8</v>
      </c>
      <c r="N1497" s="240">
        <f t="shared" si="250"/>
        <v>-8</v>
      </c>
      <c r="O1497" s="359">
        <f>IFERROR(VLOOKUP($G1497,融外自投!$A:$J,7,0),"無")</f>
        <v>789</v>
      </c>
      <c r="P1497" s="79">
        <f>IFERROR(VLOOKUP($G1497,融外自投!$A:$J,9,0),"無")</f>
        <v>696</v>
      </c>
      <c r="Q1497" s="342">
        <f>IFERROR(VLOOKUP($G1497,融外自投!$A:$J,8,0),"無")</f>
        <v>794</v>
      </c>
      <c r="R1497" s="81">
        <f>IFERROR(VLOOKUP($G1497,融外自投!$A:$J,10,0),"無")</f>
        <v>439</v>
      </c>
      <c r="S1497" s="324">
        <f>IFERROR(VLOOKUP($G1497,'321買'!$A:$E,4,0),"'沒有資料'")</f>
        <v>696</v>
      </c>
      <c r="T1497" s="186">
        <f>IFERROR(VLOOKUP($G1497,基本資料!$A:$J,9,0),"無")</f>
        <v>0</v>
      </c>
      <c r="U1497" s="307">
        <f t="shared" si="251"/>
        <v>0</v>
      </c>
      <c r="V1497" s="94">
        <f>IFERROR(VLOOKUP($G1497,基本資料!$A:$J,10,0),"無")</f>
        <v>7.0000000000000007E-2</v>
      </c>
      <c r="W1497" s="36">
        <f>RTD("money.excel",,"5521","Price")</f>
        <v>7.18</v>
      </c>
      <c r="X1497" s="66"/>
      <c r="Y1497" s="15">
        <f t="shared" si="252"/>
        <v>7.18</v>
      </c>
      <c r="Z1497" s="3" t="e">
        <f t="shared" si="253"/>
        <v>#DIV/0!</v>
      </c>
      <c r="AA1497" s="340">
        <f>IFERROR(VLOOKUP($G1497,基本資料!$A:$M,11,0),"無")</f>
        <v>-30.96</v>
      </c>
      <c r="AB1497" s="389">
        <f>IFERROR(VLOOKUP($G1497,基本資料!$A:$M,12,0),"無")</f>
        <v>13.31</v>
      </c>
      <c r="AC1497" s="22" t="s">
        <v>932</v>
      </c>
      <c r="AF1497" s="33">
        <f t="shared" si="254"/>
        <v>0</v>
      </c>
      <c r="AG1497" s="43" t="s">
        <v>324</v>
      </c>
      <c r="AH1497" s="66">
        <f t="shared" si="255"/>
        <v>0.75078954923916164</v>
      </c>
      <c r="AI1497" s="283">
        <f>RTD("money.excel",,$G1497,"PredictVolume")</f>
        <v>523</v>
      </c>
      <c r="AJ1497" s="391">
        <f>IFERROR(VLOOKUP($G1497,基本資料!$A:$M,13,0),"無")</f>
        <v>696.6</v>
      </c>
      <c r="AR1497" s="245" t="str">
        <f>INDEX(基本資料!N:N,MATCH($G1497,基本資料!A:A,0))</f>
        <v>低</v>
      </c>
    </row>
    <row r="1498" spans="1:44">
      <c r="A1498" s="343">
        <f>IFERROR(VLOOKUP($G1498,基本資料!$A:$J,3,0),"無")</f>
        <v>15.5</v>
      </c>
      <c r="B1498" s="79">
        <f>IFERROR(VLOOKUP($G1498,基本資料!$A:$J,4,0),"無")</f>
        <v>2090</v>
      </c>
      <c r="C1498" s="79">
        <f>IFERROR(VLOOKUP($G1498,基本資料!$A:$J,5,0),"無")</f>
        <v>1394</v>
      </c>
      <c r="D1498" s="79">
        <f>IFERROR(VLOOKUP($G1498,基本資料!$A:$J,6,0),"無")</f>
        <v>-59</v>
      </c>
      <c r="E1498" s="79">
        <f>IFERROR(VLOOKUP($G1498,基本資料!$A:$J,7,0),"無")</f>
        <v>-98</v>
      </c>
      <c r="F1498" s="6">
        <f>IFERROR(VLOOKUP($G1498,基本資料!$A:$J,8,0),"無")</f>
        <v>22.58</v>
      </c>
      <c r="G1498" s="79">
        <v>5523</v>
      </c>
      <c r="H1498" s="8" t="s">
        <v>875</v>
      </c>
      <c r="I1498" s="16" t="s">
        <v>890</v>
      </c>
      <c r="J1498" s="8">
        <f>IFERROR(VLOOKUP($G1498,今日總結!$A:$AN,39,0),"")</f>
        <v>0</v>
      </c>
      <c r="K1498" s="5">
        <f>IFERROR(VLOOKUP($G1498,今日總結!$A:$AN,40,0),"")</f>
        <v>0</v>
      </c>
      <c r="L1498" s="156">
        <f>IFERROR(VLOOKUP($G1498,今日總結!$A:$AN,37,0),"")</f>
        <v>0</v>
      </c>
      <c r="M1498" s="337">
        <f>IFERROR(VLOOKUP($G1498,今日總結!$A:$AN,38,0),"")</f>
        <v>0</v>
      </c>
      <c r="N1498" s="240">
        <f t="shared" si="250"/>
        <v>0</v>
      </c>
      <c r="O1498" s="359">
        <f>IFERROR(VLOOKUP($G1498,融外自投!$A:$J,7,0),"無")</f>
        <v>1028</v>
      </c>
      <c r="P1498" s="79" t="str">
        <f>IFERROR(VLOOKUP($G1498,融外自投!$A:$J,9,0),"無")</f>
        <v>無</v>
      </c>
      <c r="Q1498" s="342">
        <f>IFERROR(VLOOKUP($G1498,融外自投!$A:$J,8,0),"無")</f>
        <v>1446</v>
      </c>
      <c r="R1498" s="81" t="str">
        <f>IFERROR(VLOOKUP($G1498,融外自投!$A:$J,10,0),"無")</f>
        <v>無</v>
      </c>
      <c r="S1498" s="324">
        <f>IFERROR(VLOOKUP($G1498,'321買'!$A:$E,4,0),"'沒有資料'")</f>
        <v>1002</v>
      </c>
      <c r="T1498" s="186">
        <f>IFERROR(VLOOKUP($G1498,基本資料!$A:$J,9,0),"無")</f>
        <v>1.8</v>
      </c>
      <c r="U1498" s="307">
        <f t="shared" si="251"/>
        <v>6.9230769230769235E-2</v>
      </c>
      <c r="V1498" s="94">
        <f>IFERROR(VLOOKUP($G1498,基本資料!$A:$J,10,0),"無")</f>
        <v>5.91</v>
      </c>
      <c r="W1498" s="36">
        <f>RTD("money.excel",,"5523","Price")</f>
        <v>26</v>
      </c>
      <c r="X1498" s="66"/>
      <c r="Y1498" s="15">
        <f t="shared" si="252"/>
        <v>26</v>
      </c>
      <c r="Z1498" s="3" t="e">
        <f t="shared" si="253"/>
        <v>#DIV/0!</v>
      </c>
      <c r="AA1498" s="340">
        <f>IFERROR(VLOOKUP($G1498,基本資料!$A:$M,11,0),"無")</f>
        <v>-29.25</v>
      </c>
      <c r="AB1498" s="389">
        <f>IFERROR(VLOOKUP($G1498,基本資料!$A:$M,12,0),"無")</f>
        <v>41.59</v>
      </c>
      <c r="AC1498" s="16" t="s">
        <v>890</v>
      </c>
      <c r="AF1498" s="33">
        <f t="shared" si="254"/>
        <v>0</v>
      </c>
      <c r="AG1498" s="43" t="s">
        <v>2011</v>
      </c>
      <c r="AH1498" s="66">
        <f t="shared" si="255"/>
        <v>1.10062893081761</v>
      </c>
      <c r="AI1498" s="283">
        <f>RTD("money.excel",,$G1498,"PredictVolume")</f>
        <v>70</v>
      </c>
      <c r="AJ1498" s="391">
        <f>IFERROR(VLOOKUP($G1498,基本資料!$A:$M,13,0),"無")</f>
        <v>63.6</v>
      </c>
      <c r="AR1498" s="245" t="str">
        <f>INDEX(基本資料!N:N,MATCH($G1498,基本資料!A:A,0))</f>
        <v>低</v>
      </c>
    </row>
    <row r="1499" spans="1:44">
      <c r="A1499" s="343">
        <f>IFERROR(VLOOKUP($G1499,基本資料!$A:$J,3,0),"無")</f>
        <v>26.45</v>
      </c>
      <c r="B1499" s="79">
        <f>IFERROR(VLOOKUP($G1499,基本資料!$A:$J,4,0),"無")</f>
        <v>-228</v>
      </c>
      <c r="C1499" s="79">
        <f>IFERROR(VLOOKUP($G1499,基本資料!$A:$J,5,0),"無")</f>
        <v>-509</v>
      </c>
      <c r="D1499" s="79">
        <f>IFERROR(VLOOKUP($G1499,基本資料!$A:$J,6,0),"無")</f>
        <v>-38</v>
      </c>
      <c r="E1499" s="79">
        <f>IFERROR(VLOOKUP($G1499,基本資料!$A:$J,7,0),"無")</f>
        <v>1569</v>
      </c>
      <c r="F1499" s="6">
        <f>IFERROR(VLOOKUP($G1499,基本資料!$A:$J,8,0),"無")</f>
        <v>-9.06</v>
      </c>
      <c r="G1499" s="79">
        <v>5525</v>
      </c>
      <c r="H1499" s="8" t="s">
        <v>875</v>
      </c>
      <c r="I1499" s="22" t="s">
        <v>933</v>
      </c>
      <c r="J1499" s="8">
        <f>IFERROR(VLOOKUP($G1499,今日總結!$A:$AN,39,0),"")</f>
        <v>0</v>
      </c>
      <c r="K1499" s="5">
        <f>IFERROR(VLOOKUP($G1499,今日總結!$A:$AN,40,0),"")</f>
        <v>0</v>
      </c>
      <c r="L1499" s="156">
        <f>IFERROR(VLOOKUP($G1499,今日總結!$A:$AN,37,0),"")</f>
        <v>0</v>
      </c>
      <c r="M1499" s="337">
        <f>IFERROR(VLOOKUP($G1499,今日總結!$A:$AN,38,0),"")</f>
        <v>0</v>
      </c>
      <c r="N1499" s="240">
        <f t="shared" si="250"/>
        <v>0</v>
      </c>
      <c r="O1499" s="359">
        <f>IFERROR(VLOOKUP($G1499,融外自投!$A:$J,7,0),"無")</f>
        <v>1340</v>
      </c>
      <c r="P1499" s="79" t="str">
        <f>IFERROR(VLOOKUP($G1499,融外自投!$A:$J,9,0),"無")</f>
        <v>無</v>
      </c>
      <c r="Q1499" s="342">
        <f>IFERROR(VLOOKUP($G1499,融外自投!$A:$J,8,0),"無")</f>
        <v>1147</v>
      </c>
      <c r="R1499" s="81" t="str">
        <f>IFERROR(VLOOKUP($G1499,融外自投!$A:$J,10,0),"無")</f>
        <v>無</v>
      </c>
      <c r="S1499" s="324">
        <f>IFERROR(VLOOKUP($G1499,'321買'!$A:$E,4,0),"'沒有資料'")</f>
        <v>1002</v>
      </c>
      <c r="T1499" s="186">
        <f>IFERROR(VLOOKUP($G1499,基本資料!$A:$J,9,0),"無")</f>
        <v>0.3</v>
      </c>
      <c r="U1499" s="307">
        <f t="shared" si="251"/>
        <v>1.2244897959183673E-2</v>
      </c>
      <c r="V1499" s="94">
        <f>IFERROR(VLOOKUP($G1499,基本資料!$A:$J,10,0),"無")</f>
        <v>-0.2</v>
      </c>
      <c r="W1499" s="36">
        <f>RTD("money.excel",,"5525","Price")</f>
        <v>24.5</v>
      </c>
      <c r="X1499" s="66"/>
      <c r="Y1499" s="15">
        <f t="shared" si="252"/>
        <v>24.5</v>
      </c>
      <c r="Z1499" s="3" t="e">
        <f t="shared" si="253"/>
        <v>#DIV/0!</v>
      </c>
      <c r="AA1499" s="340">
        <f>IFERROR(VLOOKUP($G1499,基本資料!$A:$M,11,0),"無")</f>
        <v>-16.809999999999999</v>
      </c>
      <c r="AB1499" s="389">
        <f>IFERROR(VLOOKUP($G1499,基本資料!$A:$M,12,0),"無")</f>
        <v>23.93</v>
      </c>
      <c r="AC1499" s="22" t="s">
        <v>933</v>
      </c>
      <c r="AF1499" s="33">
        <f t="shared" si="254"/>
        <v>0</v>
      </c>
      <c r="AG1499" s="43" t="s">
        <v>2011</v>
      </c>
      <c r="AH1499" s="66">
        <f t="shared" si="255"/>
        <v>0.34865293185419965</v>
      </c>
      <c r="AI1499" s="283">
        <f>RTD("money.excel",,$G1499,"PredictVolume")</f>
        <v>22</v>
      </c>
      <c r="AJ1499" s="391">
        <f>IFERROR(VLOOKUP($G1499,基本資料!$A:$M,13,0),"無")</f>
        <v>63.1</v>
      </c>
      <c r="AR1499" s="245" t="str">
        <f>INDEX(基本資料!N:N,MATCH($G1499,基本資料!A:A,0))</f>
        <v>低</v>
      </c>
    </row>
    <row r="1500" spans="1:44">
      <c r="A1500" s="343">
        <f>IFERROR(VLOOKUP($G1500,基本資料!$A:$J,3,0),"無")</f>
        <v>12.4</v>
      </c>
      <c r="B1500" s="79">
        <f>IFERROR(VLOOKUP($G1500,基本資料!$A:$J,4,0),"無")</f>
        <v>12</v>
      </c>
      <c r="C1500" s="79">
        <f>IFERROR(VLOOKUP($G1500,基本資料!$A:$J,5,0),"無")</f>
        <v>-108</v>
      </c>
      <c r="D1500" s="79">
        <f>IFERROR(VLOOKUP($G1500,基本資料!$A:$J,6,0),"無")</f>
        <v>7</v>
      </c>
      <c r="E1500" s="79">
        <f>IFERROR(VLOOKUP($G1500,基本資料!$A:$J,7,0),"無")</f>
        <v>-14</v>
      </c>
      <c r="F1500" s="6">
        <f>IFERROR(VLOOKUP($G1500,基本資料!$A:$J,8,0),"無")</f>
        <v>-180.52</v>
      </c>
      <c r="G1500" s="79">
        <v>5529</v>
      </c>
      <c r="H1500" s="8" t="s">
        <v>875</v>
      </c>
      <c r="I1500" s="16" t="s">
        <v>891</v>
      </c>
      <c r="J1500" s="8" t="str">
        <f>IFERROR(VLOOKUP($G1500,今日總結!$A:$AN,39,0),"")</f>
        <v/>
      </c>
      <c r="K1500" s="5" t="str">
        <f>IFERROR(VLOOKUP($G1500,今日總結!$A:$AN,40,0),"")</f>
        <v/>
      </c>
      <c r="L1500" s="156" t="str">
        <f>IFERROR(VLOOKUP($G1500,今日總結!$A:$AN,37,0),"")</f>
        <v/>
      </c>
      <c r="M1500" s="337" t="str">
        <f>IFERROR(VLOOKUP($G1500,今日總結!$A:$AN,38,0),"")</f>
        <v/>
      </c>
      <c r="N1500" s="240" t="str">
        <f t="shared" si="250"/>
        <v/>
      </c>
      <c r="O1500" s="359" t="str">
        <f>IFERROR(VLOOKUP($G1500,融外自投!$A:$J,7,0),"無")</f>
        <v>無</v>
      </c>
      <c r="P1500" s="79" t="str">
        <f>IFERROR(VLOOKUP($G1500,融外自投!$A:$J,9,0),"無")</f>
        <v>無</v>
      </c>
      <c r="Q1500" s="342" t="str">
        <f>IFERROR(VLOOKUP($G1500,融外自投!$A:$J,8,0),"無")</f>
        <v>無</v>
      </c>
      <c r="R1500" s="81" t="str">
        <f>IFERROR(VLOOKUP($G1500,融外自投!$A:$J,10,0),"無")</f>
        <v>無</v>
      </c>
      <c r="S1500" s="324" t="str">
        <f>IFERROR(VLOOKUP($G1500,'321買'!$A:$E,4,0),"'沒有資料'")</f>
        <v>'沒有資料'</v>
      </c>
      <c r="T1500" s="186">
        <f>IFERROR(VLOOKUP($G1500,基本資料!$A:$J,9,0),"無")</f>
        <v>0</v>
      </c>
      <c r="U1500" s="307">
        <f t="shared" si="251"/>
        <v>0</v>
      </c>
      <c r="V1500" s="94">
        <f>IFERROR(VLOOKUP($G1500,基本資料!$A:$J,10,0),"無")</f>
        <v>-1.03</v>
      </c>
      <c r="W1500" s="36">
        <f>RTD("money.excel",,"5529","Price")</f>
        <v>14.3</v>
      </c>
      <c r="X1500" s="66"/>
      <c r="Y1500" s="15">
        <f t="shared" si="252"/>
        <v>14.3</v>
      </c>
      <c r="Z1500" s="3" t="e">
        <f t="shared" si="253"/>
        <v>#DIV/0!</v>
      </c>
      <c r="AA1500" s="340">
        <f>IFERROR(VLOOKUP($G1500,基本資料!$A:$M,11,0),"無")</f>
        <v>-34.85</v>
      </c>
      <c r="AB1500" s="389">
        <f>IFERROR(VLOOKUP($G1500,基本資料!$A:$M,12,0),"無")</f>
        <v>9.66</v>
      </c>
      <c r="AC1500" s="16" t="s">
        <v>891</v>
      </c>
      <c r="AF1500" s="33">
        <f t="shared" si="254"/>
        <v>0</v>
      </c>
      <c r="AG1500" s="43" t="s">
        <v>2011</v>
      </c>
      <c r="AH1500" s="66">
        <f t="shared" si="255"/>
        <v>0.6996699669966997</v>
      </c>
      <c r="AI1500" s="283">
        <f>RTD("money.excel",,$G1500,"PredictVolume")</f>
        <v>53</v>
      </c>
      <c r="AJ1500" s="391">
        <f>IFERROR(VLOOKUP($G1500,基本資料!$A:$M,13,0),"無")</f>
        <v>75.75</v>
      </c>
      <c r="AR1500" s="245" t="str">
        <f>INDEX(基本資料!N:N,MATCH($G1500,基本資料!A:A,0))</f>
        <v>低</v>
      </c>
    </row>
    <row r="1501" spans="1:44">
      <c r="A1501" s="343">
        <f>IFERROR(VLOOKUP($G1501,基本資料!$A:$J,3,0),"無")</f>
        <v>97.75</v>
      </c>
      <c r="B1501" s="79">
        <f>IFERROR(VLOOKUP($G1501,基本資料!$A:$J,4,0),"無")</f>
        <v>-819</v>
      </c>
      <c r="C1501" s="79">
        <f>IFERROR(VLOOKUP($G1501,基本資料!$A:$J,5,0),"無")</f>
        <v>-202</v>
      </c>
      <c r="D1501" s="79">
        <f>IFERROR(VLOOKUP($G1501,基本資料!$A:$J,6,0),"無")</f>
        <v>95</v>
      </c>
      <c r="E1501" s="79">
        <f>IFERROR(VLOOKUP($G1501,基本資料!$A:$J,7,0),"無")</f>
        <v>16</v>
      </c>
      <c r="F1501" s="6">
        <f>IFERROR(VLOOKUP($G1501,基本資料!$A:$J,8,0),"無")</f>
        <v>-12.01</v>
      </c>
      <c r="G1501" s="79">
        <v>5531</v>
      </c>
      <c r="H1501" s="8" t="s">
        <v>875</v>
      </c>
      <c r="I1501" s="22" t="s">
        <v>934</v>
      </c>
      <c r="J1501" s="8">
        <f>IFERROR(VLOOKUP($G1501,今日總結!$A:$AN,39,0),"")</f>
        <v>0</v>
      </c>
      <c r="K1501" s="5" t="str">
        <f>IFERROR(VLOOKUP($G1501,今日總結!$A:$AN,40,0),"")</f>
        <v>借</v>
      </c>
      <c r="L1501" s="156">
        <f>IFERROR(VLOOKUP($G1501,今日總結!$A:$AN,37,0),"")</f>
        <v>0</v>
      </c>
      <c r="M1501" s="337">
        <f>IFERROR(VLOOKUP($G1501,今日總結!$A:$AN,38,0),"")</f>
        <v>2</v>
      </c>
      <c r="N1501" s="240">
        <f t="shared" si="250"/>
        <v>-2</v>
      </c>
      <c r="O1501" s="359">
        <f>IFERROR(VLOOKUP($G1501,融外自投!$A:$J,7,0),"無")</f>
        <v>997</v>
      </c>
      <c r="P1501" s="79">
        <f>IFERROR(VLOOKUP($G1501,融外自投!$A:$J,9,0),"無")</f>
        <v>696</v>
      </c>
      <c r="Q1501" s="342">
        <f>IFERROR(VLOOKUP($G1501,融外自投!$A:$J,8,0),"無")</f>
        <v>804</v>
      </c>
      <c r="R1501" s="81" t="str">
        <f>IFERROR(VLOOKUP($G1501,融外自投!$A:$J,10,0),"無")</f>
        <v>無</v>
      </c>
      <c r="S1501" s="324">
        <f>IFERROR(VLOOKUP($G1501,'321買'!$A:$E,4,0),"'沒有資料'")</f>
        <v>1002</v>
      </c>
      <c r="T1501" s="186">
        <f>IFERROR(VLOOKUP($G1501,基本資料!$A:$J,9,0),"無")</f>
        <v>0</v>
      </c>
      <c r="U1501" s="307">
        <f t="shared" si="251"/>
        <v>0</v>
      </c>
      <c r="V1501" s="94">
        <f>IFERROR(VLOOKUP($G1501,基本資料!$A:$J,10,0),"無")</f>
        <v>-0.6</v>
      </c>
      <c r="W1501" s="36">
        <f>RTD("money.excel",,"5531","Price")</f>
        <v>9.36</v>
      </c>
      <c r="X1501" s="66"/>
      <c r="Y1501" s="15">
        <f t="shared" si="252"/>
        <v>9.36</v>
      </c>
      <c r="Z1501" s="3" t="e">
        <f t="shared" si="253"/>
        <v>#DIV/0!</v>
      </c>
      <c r="AA1501" s="340">
        <f>IFERROR(VLOOKUP($G1501,基本資料!$A:$M,11,0),"無")</f>
        <v>-26.88</v>
      </c>
      <c r="AB1501" s="389">
        <f>IFERROR(VLOOKUP($G1501,基本資料!$A:$M,12,0),"無")</f>
        <v>15.62</v>
      </c>
      <c r="AC1501" s="22" t="s">
        <v>934</v>
      </c>
      <c r="AF1501" s="33">
        <f t="shared" si="254"/>
        <v>0</v>
      </c>
      <c r="AG1501" s="43" t="s">
        <v>2011</v>
      </c>
      <c r="AH1501" s="66">
        <f t="shared" si="255"/>
        <v>0.51576453435392744</v>
      </c>
      <c r="AI1501" s="283">
        <f>RTD("money.excel",,$G1501,"PredictVolume")</f>
        <v>283</v>
      </c>
      <c r="AJ1501" s="391">
        <f>IFERROR(VLOOKUP($G1501,基本資料!$A:$M,13,0),"無")</f>
        <v>548.70000000000005</v>
      </c>
      <c r="AR1501" s="245" t="str">
        <f>INDEX(基本資料!N:N,MATCH($G1501,基本資料!A:A,0))</f>
        <v>低</v>
      </c>
    </row>
    <row r="1502" spans="1:44">
      <c r="A1502" s="343">
        <f>IFERROR(VLOOKUP($G1502,基本資料!$A:$J,3,0),"無")</f>
        <v>28.52</v>
      </c>
      <c r="B1502" s="79">
        <f>IFERROR(VLOOKUP($G1502,基本資料!$A:$J,4,0),"無")</f>
        <v>337</v>
      </c>
      <c r="C1502" s="79">
        <f>IFERROR(VLOOKUP($G1502,基本資料!$A:$J,5,0),"無")</f>
        <v>153</v>
      </c>
      <c r="D1502" s="79">
        <f>IFERROR(VLOOKUP($G1502,基本資料!$A:$J,6,0),"無")</f>
        <v>3</v>
      </c>
      <c r="E1502" s="79">
        <f>IFERROR(VLOOKUP($G1502,基本資料!$A:$J,7,0),"無")</f>
        <v>359</v>
      </c>
      <c r="F1502" s="6">
        <f>IFERROR(VLOOKUP($G1502,基本資料!$A:$J,8,0),"無")</f>
        <v>21.05</v>
      </c>
      <c r="G1502" s="79">
        <v>5533</v>
      </c>
      <c r="H1502" s="8" t="s">
        <v>875</v>
      </c>
      <c r="I1502" s="22" t="s">
        <v>935</v>
      </c>
      <c r="J1502" s="8">
        <f>IFERROR(VLOOKUP($G1502,今日總結!$A:$AN,39,0),"")</f>
        <v>0</v>
      </c>
      <c r="K1502" s="5">
        <f>IFERROR(VLOOKUP($G1502,今日總結!$A:$AN,40,0),"")</f>
        <v>0</v>
      </c>
      <c r="L1502" s="156">
        <f>IFERROR(VLOOKUP($G1502,今日總結!$A:$AN,37,0),"")</f>
        <v>0</v>
      </c>
      <c r="M1502" s="337">
        <f>IFERROR(VLOOKUP($G1502,今日總結!$A:$AN,38,0),"")</f>
        <v>0</v>
      </c>
      <c r="N1502" s="240">
        <f t="shared" si="250"/>
        <v>0</v>
      </c>
      <c r="O1502" s="359">
        <f>IFERROR(VLOOKUP($G1502,融外自投!$A:$J,7,0),"無")</f>
        <v>875</v>
      </c>
      <c r="P1502" s="79">
        <f>IFERROR(VLOOKUP($G1502,融外自投!$A:$J,9,0),"無")</f>
        <v>946</v>
      </c>
      <c r="Q1502" s="342">
        <f>IFERROR(VLOOKUP($G1502,融外自投!$A:$J,8,0),"無")</f>
        <v>892</v>
      </c>
      <c r="R1502" s="81" t="str">
        <f>IFERROR(VLOOKUP($G1502,融外自投!$A:$J,10,0),"無")</f>
        <v>無</v>
      </c>
      <c r="S1502" s="324">
        <f>IFERROR(VLOOKUP($G1502,'321買'!$A:$E,4,0),"'沒有資料'")</f>
        <v>1002</v>
      </c>
      <c r="T1502" s="186">
        <f>IFERROR(VLOOKUP($G1502,基本資料!$A:$J,9,0),"無")</f>
        <v>1</v>
      </c>
      <c r="U1502" s="307">
        <f t="shared" si="251"/>
        <v>5.0632911392405063E-2</v>
      </c>
      <c r="V1502" s="94">
        <f>IFERROR(VLOOKUP($G1502,基本資料!$A:$J,10,0),"無")</f>
        <v>3.72</v>
      </c>
      <c r="W1502" s="36">
        <f>RTD("money.excel",,"5533","Price")</f>
        <v>19.75</v>
      </c>
      <c r="X1502" s="66"/>
      <c r="Y1502" s="15">
        <f t="shared" si="252"/>
        <v>19.75</v>
      </c>
      <c r="Z1502" s="3" t="e">
        <f t="shared" si="253"/>
        <v>#DIV/0!</v>
      </c>
      <c r="AA1502" s="340">
        <f>IFERROR(VLOOKUP($G1502,基本資料!$A:$M,11,0),"無")</f>
        <v>-1.99</v>
      </c>
      <c r="AB1502" s="389">
        <f>IFERROR(VLOOKUP($G1502,基本資料!$A:$M,12,0),"無")</f>
        <v>52.69</v>
      </c>
      <c r="AC1502" s="22" t="s">
        <v>935</v>
      </c>
      <c r="AF1502" s="33">
        <f t="shared" si="254"/>
        <v>0</v>
      </c>
      <c r="AG1502" s="43" t="s">
        <v>2011</v>
      </c>
      <c r="AH1502" s="66">
        <f t="shared" si="255"/>
        <v>3.8101997363885229</v>
      </c>
      <c r="AI1502" s="283">
        <f>RTD("money.excel",,$G1502,"PredictVolume")</f>
        <v>1879</v>
      </c>
      <c r="AJ1502" s="391">
        <f>IFERROR(VLOOKUP($G1502,基本資料!$A:$M,13,0),"無")</f>
        <v>493.15</v>
      </c>
      <c r="AR1502" s="245" t="str">
        <f>INDEX(基本資料!N:N,MATCH($G1502,基本資料!A:A,0))</f>
        <v>高</v>
      </c>
    </row>
    <row r="1503" spans="1:44">
      <c r="A1503" s="343">
        <f>IFERROR(VLOOKUP($G1503,基本資料!$A:$J,3,0),"無")</f>
        <v>29.03</v>
      </c>
      <c r="B1503" s="79">
        <f>IFERROR(VLOOKUP($G1503,基本資料!$A:$J,4,0),"無")</f>
        <v>-51</v>
      </c>
      <c r="C1503" s="79">
        <f>IFERROR(VLOOKUP($G1503,基本資料!$A:$J,5,0),"無")</f>
        <v>-39</v>
      </c>
      <c r="D1503" s="79">
        <f>IFERROR(VLOOKUP($G1503,基本資料!$A:$J,6,0),"無")</f>
        <v>-18</v>
      </c>
      <c r="E1503" s="79">
        <f>IFERROR(VLOOKUP($G1503,基本資料!$A:$J,7,0),"無")</f>
        <v>399</v>
      </c>
      <c r="F1503" s="6">
        <f>IFERROR(VLOOKUP($G1503,基本資料!$A:$J,8,0),"無")</f>
        <v>31.3</v>
      </c>
      <c r="G1503" s="79">
        <v>5534</v>
      </c>
      <c r="H1503" s="8" t="s">
        <v>875</v>
      </c>
      <c r="I1503" s="22" t="s">
        <v>936</v>
      </c>
      <c r="J1503" s="8">
        <f>IFERROR(VLOOKUP($G1503,今日總結!$A:$AN,39,0),"")</f>
        <v>0</v>
      </c>
      <c r="K1503" s="5">
        <f>IFERROR(VLOOKUP($G1503,今日總結!$A:$AN,40,0),"")</f>
        <v>0</v>
      </c>
      <c r="L1503" s="156">
        <f>IFERROR(VLOOKUP($G1503,今日總結!$A:$AN,37,0),"")</f>
        <v>0</v>
      </c>
      <c r="M1503" s="337">
        <f>IFERROR(VLOOKUP($G1503,今日總結!$A:$AN,38,0),"")</f>
        <v>0</v>
      </c>
      <c r="N1503" s="240">
        <f t="shared" si="250"/>
        <v>0</v>
      </c>
      <c r="O1503" s="359">
        <f>IFERROR(VLOOKUP($G1503,融外自投!$A:$J,7,0),"無")</f>
        <v>1233</v>
      </c>
      <c r="P1503" s="79">
        <f>IFERROR(VLOOKUP($G1503,融外自投!$A:$J,9,0),"無")</f>
        <v>825</v>
      </c>
      <c r="Q1503" s="342">
        <f>IFERROR(VLOOKUP($G1503,融外自投!$A:$J,8,0),"無")</f>
        <v>443</v>
      </c>
      <c r="R1503" s="81">
        <f>IFERROR(VLOOKUP($G1503,融外自投!$A:$J,10,0),"無")</f>
        <v>318</v>
      </c>
      <c r="S1503" s="324">
        <f>IFERROR(VLOOKUP($G1503,'321買'!$A:$E,4,0),"'沒有資料'")</f>
        <v>696</v>
      </c>
      <c r="T1503" s="186">
        <f>IFERROR(VLOOKUP($G1503,基本資料!$A:$J,9,0),"無")</f>
        <v>4.41</v>
      </c>
      <c r="U1503" s="307">
        <f t="shared" si="251"/>
        <v>6.0410958904109593E-2</v>
      </c>
      <c r="V1503" s="94">
        <f>IFERROR(VLOOKUP($G1503,基本資料!$A:$J,10,0),"無")</f>
        <v>4.41</v>
      </c>
      <c r="W1503" s="36">
        <f>RTD("money.excel",,"5534","Price")</f>
        <v>73</v>
      </c>
      <c r="X1503" s="66"/>
      <c r="Y1503" s="15">
        <f t="shared" si="252"/>
        <v>73</v>
      </c>
      <c r="Z1503" s="3" t="e">
        <f t="shared" si="253"/>
        <v>#DIV/0!</v>
      </c>
      <c r="AA1503" s="340">
        <f>IFERROR(VLOOKUP($G1503,基本資料!$A:$M,11,0),"無")</f>
        <v>-10.1</v>
      </c>
      <c r="AB1503" s="389">
        <f>IFERROR(VLOOKUP($G1503,基本資料!$A:$M,12,0),"無")</f>
        <v>47.33</v>
      </c>
      <c r="AC1503" s="22" t="s">
        <v>936</v>
      </c>
      <c r="AF1503" s="33">
        <f t="shared" si="254"/>
        <v>0</v>
      </c>
      <c r="AG1503" s="43" t="s">
        <v>2011</v>
      </c>
      <c r="AH1503" s="66">
        <f t="shared" si="255"/>
        <v>1.1685393258426966</v>
      </c>
      <c r="AI1503" s="283">
        <f>RTD("money.excel",,$G1503,"PredictVolume")</f>
        <v>260</v>
      </c>
      <c r="AJ1503" s="391">
        <f>IFERROR(VLOOKUP($G1503,基本資料!$A:$M,13,0),"無")</f>
        <v>222.5</v>
      </c>
      <c r="AR1503" s="245" t="str">
        <f>INDEX(基本資料!N:N,MATCH($G1503,基本資料!A:A,0))</f>
        <v>低</v>
      </c>
    </row>
    <row r="1504" spans="1:44">
      <c r="A1504" s="343">
        <f>IFERROR(VLOOKUP($G1504,基本資料!$A:$J,3,0),"無")</f>
        <v>3.73</v>
      </c>
      <c r="B1504" s="79">
        <f>IFERROR(VLOOKUP($G1504,基本資料!$A:$J,4,0),"無")</f>
        <v>459</v>
      </c>
      <c r="C1504" s="79">
        <f>IFERROR(VLOOKUP($G1504,基本資料!$A:$J,5,0),"無")</f>
        <v>482</v>
      </c>
      <c r="D1504" s="79">
        <f>IFERROR(VLOOKUP($G1504,基本資料!$A:$J,6,0),"無")</f>
        <v>-14</v>
      </c>
      <c r="E1504" s="79">
        <f>IFERROR(VLOOKUP($G1504,基本資料!$A:$J,7,0),"無")</f>
        <v>17</v>
      </c>
      <c r="F1504" s="6">
        <f>IFERROR(VLOOKUP($G1504,基本資料!$A:$J,8,0),"無")</f>
        <v>8.75</v>
      </c>
      <c r="G1504" s="79">
        <v>5543</v>
      </c>
      <c r="H1504" s="8" t="s">
        <v>875</v>
      </c>
      <c r="I1504" s="16" t="s">
        <v>2996</v>
      </c>
      <c r="J1504" s="8">
        <f>IFERROR(VLOOKUP($G1504,今日總結!$A:$AN,39,0),"")</f>
        <v>0</v>
      </c>
      <c r="K1504" s="5">
        <f>IFERROR(VLOOKUP($G1504,今日總結!$A:$AN,40,0),"")</f>
        <v>0</v>
      </c>
      <c r="L1504" s="156">
        <f>IFERROR(VLOOKUP($G1504,今日總結!$A:$AN,37,0),"")</f>
        <v>0</v>
      </c>
      <c r="M1504" s="337">
        <f>IFERROR(VLOOKUP($G1504,今日總結!$A:$AN,38,0),"")</f>
        <v>0</v>
      </c>
      <c r="N1504" s="240">
        <f t="shared" si="250"/>
        <v>0</v>
      </c>
      <c r="O1504" s="359">
        <f>IFERROR(VLOOKUP($G1504,融外自投!$A:$J,7,0),"無")</f>
        <v>449</v>
      </c>
      <c r="P1504" s="79" t="str">
        <f>IFERROR(VLOOKUP($G1504,融外自投!$A:$J,9,0),"無")</f>
        <v>無</v>
      </c>
      <c r="Q1504" s="342">
        <f>IFERROR(VLOOKUP($G1504,融外自投!$A:$J,8,0),"無")</f>
        <v>1280</v>
      </c>
      <c r="R1504" s="81" t="str">
        <f>IFERROR(VLOOKUP($G1504,融外自投!$A:$J,10,0),"無")</f>
        <v>無</v>
      </c>
      <c r="S1504" s="324">
        <f>IFERROR(VLOOKUP($G1504,'321買'!$A:$E,4,0),"'沒有資料'")</f>
        <v>891</v>
      </c>
      <c r="T1504" s="186">
        <f>IFERROR(VLOOKUP($G1504,基本資料!$A:$J,9,0),"無")</f>
        <v>2</v>
      </c>
      <c r="U1504" s="307">
        <f t="shared" si="251"/>
        <v>3.3613445378151259E-2</v>
      </c>
      <c r="V1504" s="94">
        <f>IFERROR(VLOOKUP($G1504,基本資料!$A:$J,10,0),"無")</f>
        <v>3.26</v>
      </c>
      <c r="W1504" s="36">
        <f>RTD("money.excel",,"5543","Price")</f>
        <v>59.5</v>
      </c>
      <c r="X1504" s="66"/>
      <c r="Y1504" s="15">
        <f t="shared" si="252"/>
        <v>59.5</v>
      </c>
      <c r="Z1504" s="3" t="e">
        <f t="shared" si="253"/>
        <v>#DIV/0!</v>
      </c>
      <c r="AA1504" s="340">
        <f>IFERROR(VLOOKUP($G1504,基本資料!$A:$M,11,0),"無")</f>
        <v>-18.489999999999998</v>
      </c>
      <c r="AB1504" s="389">
        <f>IFERROR(VLOOKUP($G1504,基本資料!$A:$M,12,0),"無")</f>
        <v>43.08</v>
      </c>
      <c r="AC1504" s="16" t="s">
        <v>2996</v>
      </c>
      <c r="AF1504" s="33">
        <f t="shared" si="254"/>
        <v>0</v>
      </c>
      <c r="AG1504" s="43" t="s">
        <v>2997</v>
      </c>
      <c r="AH1504" s="66">
        <f t="shared" si="255"/>
        <v>1.0784313725490198</v>
      </c>
      <c r="AI1504" s="283">
        <f>RTD("money.excel",,$G1504,"PredictVolume")</f>
        <v>11</v>
      </c>
      <c r="AJ1504" s="391">
        <f>IFERROR(VLOOKUP($G1504,基本資料!$A:$M,13,0),"無")</f>
        <v>10.199999999999999</v>
      </c>
      <c r="AR1504" s="245" t="str">
        <f>INDEX(基本資料!N:N,MATCH($G1504,基本資料!A:A,0))</f>
        <v>低</v>
      </c>
    </row>
    <row r="1505" spans="1:44">
      <c r="A1505" s="343">
        <f>IFERROR(VLOOKUP($G1505,基本資料!$A:$J,3,0),"無")</f>
        <v>8.23</v>
      </c>
      <c r="B1505" s="79">
        <f>IFERROR(VLOOKUP($G1505,基本資料!$A:$J,4,0),"無")</f>
        <v>-67</v>
      </c>
      <c r="C1505" s="79">
        <f>IFERROR(VLOOKUP($G1505,基本資料!$A:$J,5,0),"無")</f>
        <v>-63</v>
      </c>
      <c r="D1505" s="79">
        <f>IFERROR(VLOOKUP($G1505,基本資料!$A:$J,6,0),"無")</f>
        <v>-1</v>
      </c>
      <c r="E1505" s="79">
        <f>IFERROR(VLOOKUP($G1505,基本資料!$A:$J,7,0),"無")</f>
        <v>-9</v>
      </c>
      <c r="F1505" s="6">
        <f>IFERROR(VLOOKUP($G1505,基本資料!$A:$J,8,0),"無")</f>
        <v>5.49</v>
      </c>
      <c r="G1505" s="79">
        <v>5546</v>
      </c>
      <c r="H1505" s="8" t="s">
        <v>875</v>
      </c>
      <c r="I1505" s="22" t="s">
        <v>1901</v>
      </c>
      <c r="J1505" s="8">
        <f>IFERROR(VLOOKUP($G1505,今日總結!$A:$AN,39,0),"")</f>
        <v>0</v>
      </c>
      <c r="K1505" s="5">
        <f>IFERROR(VLOOKUP($G1505,今日總結!$A:$AN,40,0),"")</f>
        <v>0</v>
      </c>
      <c r="L1505" s="156">
        <f>IFERROR(VLOOKUP($G1505,今日總結!$A:$AN,37,0),"")</f>
        <v>0</v>
      </c>
      <c r="M1505" s="337">
        <f>IFERROR(VLOOKUP($G1505,今日總結!$A:$AN,38,0),"")</f>
        <v>0</v>
      </c>
      <c r="N1505" s="240">
        <f t="shared" ref="N1505:N1514" si="256">IFERROR(L1505-M1505,"")</f>
        <v>0</v>
      </c>
      <c r="O1505" s="359">
        <f>IFERROR(VLOOKUP($G1505,融外自投!$A:$J,7,0),"無")</f>
        <v>596</v>
      </c>
      <c r="P1505" s="79" t="str">
        <f>IFERROR(VLOOKUP($G1505,融外自投!$A:$J,9,0),"無")</f>
        <v>無</v>
      </c>
      <c r="Q1505" s="342">
        <f>IFERROR(VLOOKUP($G1505,融外自投!$A:$J,8,0),"無")</f>
        <v>61</v>
      </c>
      <c r="R1505" s="81" t="str">
        <f>IFERROR(VLOOKUP($G1505,融外自投!$A:$J,10,0),"無")</f>
        <v>無</v>
      </c>
      <c r="S1505" s="324">
        <f>IFERROR(VLOOKUP($G1505,'321買'!$A:$E,4,0),"'沒有資料'")</f>
        <v>1002</v>
      </c>
      <c r="T1505" s="186">
        <f>IFERROR(VLOOKUP($G1505,基本資料!$A:$J,9,0),"無")</f>
        <v>5</v>
      </c>
      <c r="U1505" s="307">
        <f t="shared" ref="U1505:U1514" si="257">$T1505/$W1505</f>
        <v>9.0090090090090086E-2</v>
      </c>
      <c r="V1505" s="94">
        <f>IFERROR(VLOOKUP($G1505,基本資料!$A:$J,10,0),"無")</f>
        <v>3.18</v>
      </c>
      <c r="W1505" s="36">
        <f>RTD("money.excel",,"5546","Price")</f>
        <v>55.5</v>
      </c>
      <c r="X1505" s="66"/>
      <c r="Y1505" s="15">
        <f t="shared" ref="Y1505:Y1514" si="258">W1505-X1505</f>
        <v>55.5</v>
      </c>
      <c r="Z1505" s="3" t="e">
        <f t="shared" ref="Z1505:Z1514" si="259">Y1505/X1505</f>
        <v>#DIV/0!</v>
      </c>
      <c r="AA1505" s="340">
        <f>IFERROR(VLOOKUP($G1505,基本資料!$A:$M,11,0),"無")</f>
        <v>-27.92</v>
      </c>
      <c r="AB1505" s="389">
        <f>IFERROR(VLOOKUP($G1505,基本資料!$A:$M,12,0),"無")</f>
        <v>16.48</v>
      </c>
      <c r="AC1505" s="22" t="s">
        <v>1901</v>
      </c>
      <c r="AF1505" s="33">
        <f t="shared" ref="AF1505:AF1514" si="260">AE1505-AD1505</f>
        <v>0</v>
      </c>
      <c r="AG1505" s="117" t="s">
        <v>1956</v>
      </c>
      <c r="AH1505" s="66">
        <f t="shared" si="255"/>
        <v>7.7519379844961239E-2</v>
      </c>
      <c r="AI1505" s="283">
        <f>RTD("money.excel",,$G1505,"PredictVolume")</f>
        <v>2</v>
      </c>
      <c r="AJ1505" s="391">
        <f>IFERROR(VLOOKUP($G1505,基本資料!$A:$M,13,0),"無")</f>
        <v>25.8</v>
      </c>
      <c r="AR1505" s="245" t="str">
        <f>INDEX(基本資料!N:N,MATCH($G1505,基本資料!A:A,0))</f>
        <v>低</v>
      </c>
    </row>
    <row r="1506" spans="1:44">
      <c r="A1506" s="343">
        <f>IFERROR(VLOOKUP($G1506,基本資料!$A:$J,3,0),"無")</f>
        <v>8.66</v>
      </c>
      <c r="B1506" s="79">
        <f>IFERROR(VLOOKUP($G1506,基本資料!$A:$J,4,0),"無")</f>
        <v>79</v>
      </c>
      <c r="C1506" s="79">
        <f>IFERROR(VLOOKUP($G1506,基本資料!$A:$J,5,0),"無")</f>
        <v>79</v>
      </c>
      <c r="D1506" s="79">
        <f>IFERROR(VLOOKUP($G1506,基本資料!$A:$J,6,0),"無")</f>
        <v>-97</v>
      </c>
      <c r="E1506" s="79">
        <f>IFERROR(VLOOKUP($G1506,基本資料!$A:$J,7,0),"無")</f>
        <v>-99</v>
      </c>
      <c r="F1506" s="6">
        <f>IFERROR(VLOOKUP($G1506,基本資料!$A:$J,8,0),"無")</f>
        <v>24.3</v>
      </c>
      <c r="G1506" s="79">
        <v>6171</v>
      </c>
      <c r="H1506" s="8" t="s">
        <v>875</v>
      </c>
      <c r="I1506" s="16" t="s">
        <v>3521</v>
      </c>
      <c r="J1506" s="8">
        <f>IFERROR(VLOOKUP($G1506,今日總結!$A:$AN,39,0),"")</f>
        <v>0</v>
      </c>
      <c r="K1506" s="5" t="str">
        <f>IFERROR(VLOOKUP($G1506,今日總結!$A:$AN,40,0),"")</f>
        <v>外</v>
      </c>
      <c r="L1506" s="156">
        <f>IFERROR(VLOOKUP($G1506,今日總結!$A:$AN,37,0),"")</f>
        <v>0</v>
      </c>
      <c r="M1506" s="337">
        <f>IFERROR(VLOOKUP($G1506,今日總結!$A:$AN,38,0),"")</f>
        <v>5</v>
      </c>
      <c r="N1506" s="240">
        <f t="shared" si="256"/>
        <v>-5</v>
      </c>
      <c r="O1506" s="359">
        <f>IFERROR(VLOOKUP($G1506,融外自投!$A:$J,7,0),"無")</f>
        <v>1126</v>
      </c>
      <c r="P1506" s="79" t="str">
        <f>IFERROR(VLOOKUP($G1506,融外自投!$A:$J,9,0),"無")</f>
        <v>無</v>
      </c>
      <c r="Q1506" s="342">
        <f>IFERROR(VLOOKUP($G1506,融外自投!$A:$J,8,0),"無")</f>
        <v>1280</v>
      </c>
      <c r="R1506" s="81" t="str">
        <f>IFERROR(VLOOKUP($G1506,融外自投!$A:$J,10,0),"無")</f>
        <v>無</v>
      </c>
      <c r="S1506" s="324">
        <f>IFERROR(VLOOKUP($G1506,'321買'!$A:$E,4,0),"'沒有資料'")</f>
        <v>1002</v>
      </c>
      <c r="T1506" s="186">
        <f>IFERROR(VLOOKUP($G1506,基本資料!$A:$J,9,0),"無")</f>
        <v>3.04</v>
      </c>
      <c r="U1506" s="307">
        <f t="shared" si="257"/>
        <v>0.10647985989492119</v>
      </c>
      <c r="V1506" s="94">
        <f>IFERROR(VLOOKUP($G1506,基本資料!$A:$J,10,0),"無")</f>
        <v>4.82</v>
      </c>
      <c r="W1506" s="36">
        <f>RTD("money.excel",,"6171","Price")</f>
        <v>28.55</v>
      </c>
      <c r="X1506" s="66"/>
      <c r="Y1506" s="15">
        <f t="shared" si="258"/>
        <v>28.55</v>
      </c>
      <c r="Z1506" s="3" t="e">
        <f t="shared" si="259"/>
        <v>#DIV/0!</v>
      </c>
      <c r="AA1506" s="340">
        <f>IFERROR(VLOOKUP($G1506,基本資料!$A:$M,11,0),"無")</f>
        <v>-9.7899999999999991</v>
      </c>
      <c r="AB1506" s="389">
        <f>IFERROR(VLOOKUP($G1506,基本資料!$A:$M,12,0),"無")</f>
        <v>33.56</v>
      </c>
      <c r="AC1506" s="16" t="s">
        <v>3521</v>
      </c>
      <c r="AF1506" s="33">
        <f t="shared" si="260"/>
        <v>0</v>
      </c>
      <c r="AG1506" s="43" t="s">
        <v>4002</v>
      </c>
      <c r="AH1506" s="66">
        <f t="shared" si="255"/>
        <v>1.0581092801387684</v>
      </c>
      <c r="AI1506" s="283">
        <f>RTD("money.excel",,$G1506,"PredictVolume")</f>
        <v>61</v>
      </c>
      <c r="AJ1506" s="391">
        <f>IFERROR(VLOOKUP($G1506,基本資料!$A:$M,13,0),"無")</f>
        <v>57.65</v>
      </c>
      <c r="AR1506" s="245" t="str">
        <f>INDEX(基本資料!N:N,MATCH($G1506,基本資料!A:A,0))</f>
        <v>中</v>
      </c>
    </row>
    <row r="1507" spans="1:44">
      <c r="A1507" s="343">
        <f>IFERROR(VLOOKUP($G1507,基本資料!$A:$J,3,0),"無")</f>
        <v>38.79</v>
      </c>
      <c r="B1507" s="79">
        <f>IFERROR(VLOOKUP($G1507,基本資料!$A:$J,4,0),"無")</f>
        <v>943</v>
      </c>
      <c r="C1507" s="79">
        <f>IFERROR(VLOOKUP($G1507,基本資料!$A:$J,5,0),"無")</f>
        <v>936</v>
      </c>
      <c r="D1507" s="79">
        <f>IFERROR(VLOOKUP($G1507,基本資料!$A:$J,6,0),"無")</f>
        <v>-83</v>
      </c>
      <c r="E1507" s="79">
        <f>IFERROR(VLOOKUP($G1507,基本資料!$A:$J,7,0),"無")</f>
        <v>4878</v>
      </c>
      <c r="F1507" s="6">
        <f>IFERROR(VLOOKUP($G1507,基本資料!$A:$J,8,0),"無")</f>
        <v>17.239999999999998</v>
      </c>
      <c r="G1507" s="79">
        <v>6177</v>
      </c>
      <c r="H1507" s="8" t="s">
        <v>875</v>
      </c>
      <c r="I1507" s="22" t="s">
        <v>937</v>
      </c>
      <c r="J1507" s="8">
        <f>IFERROR(VLOOKUP($G1507,今日總結!$A:$AN,39,0),"")</f>
        <v>0</v>
      </c>
      <c r="K1507" s="5">
        <f>IFERROR(VLOOKUP($G1507,今日總結!$A:$AN,40,0),"")</f>
        <v>0</v>
      </c>
      <c r="L1507" s="156">
        <f>IFERROR(VLOOKUP($G1507,今日總結!$A:$AN,37,0),"")</f>
        <v>0</v>
      </c>
      <c r="M1507" s="337">
        <f>IFERROR(VLOOKUP($G1507,今日總結!$A:$AN,38,0),"")</f>
        <v>0</v>
      </c>
      <c r="N1507" s="240">
        <f t="shared" si="256"/>
        <v>0</v>
      </c>
      <c r="O1507" s="359">
        <f>IFERROR(VLOOKUP($G1507,融外自投!$A:$J,7,0),"無")</f>
        <v>867</v>
      </c>
      <c r="P1507" s="79" t="str">
        <f>IFERROR(VLOOKUP($G1507,融外自投!$A:$J,9,0),"無")</f>
        <v>無</v>
      </c>
      <c r="Q1507" s="342">
        <f>IFERROR(VLOOKUP($G1507,融外自投!$A:$J,8,0),"無")</f>
        <v>881</v>
      </c>
      <c r="R1507" s="81" t="str">
        <f>IFERROR(VLOOKUP($G1507,融外自投!$A:$J,10,0),"無")</f>
        <v>無</v>
      </c>
      <c r="S1507" s="324">
        <f>IFERROR(VLOOKUP($G1507,'321買'!$A:$E,4,0),"'沒有資料'")</f>
        <v>1002</v>
      </c>
      <c r="T1507" s="186">
        <f>IFERROR(VLOOKUP($G1507,基本資料!$A:$J,9,0),"無")</f>
        <v>3</v>
      </c>
      <c r="U1507" s="307">
        <f t="shared" si="257"/>
        <v>0.1</v>
      </c>
      <c r="V1507" s="94">
        <f>IFERROR(VLOOKUP($G1507,基本資料!$A:$J,10,0),"無")</f>
        <v>4.03</v>
      </c>
      <c r="W1507" s="36">
        <f>RTD("money.excel",,"6177","Price")</f>
        <v>30</v>
      </c>
      <c r="X1507" s="66"/>
      <c r="Y1507" s="15">
        <f t="shared" si="258"/>
        <v>30</v>
      </c>
      <c r="Z1507" s="3" t="e">
        <f t="shared" si="259"/>
        <v>#DIV/0!</v>
      </c>
      <c r="AA1507" s="340">
        <f>IFERROR(VLOOKUP($G1507,基本資料!$A:$M,11,0),"無")</f>
        <v>-9.64</v>
      </c>
      <c r="AB1507" s="389">
        <f>IFERROR(VLOOKUP($G1507,基本資料!$A:$M,12,0),"無")</f>
        <v>34.81</v>
      </c>
      <c r="AC1507" s="22" t="s">
        <v>937</v>
      </c>
      <c r="AF1507" s="33">
        <f t="shared" si="260"/>
        <v>0</v>
      </c>
      <c r="AG1507" s="43" t="s">
        <v>2011</v>
      </c>
      <c r="AH1507" s="66">
        <f t="shared" si="255"/>
        <v>0.40625561747258676</v>
      </c>
      <c r="AI1507" s="283">
        <f>RTD("money.excel",,$G1507,"PredictVolume")</f>
        <v>226</v>
      </c>
      <c r="AJ1507" s="391">
        <f>IFERROR(VLOOKUP($G1507,基本資料!$A:$M,13,0),"無")</f>
        <v>556.29999999999995</v>
      </c>
      <c r="AR1507" s="245" t="str">
        <f>INDEX(基本資料!N:N,MATCH($G1507,基本資料!A:A,0))</f>
        <v>低</v>
      </c>
    </row>
    <row r="1508" spans="1:44">
      <c r="A1508" s="343">
        <f>IFERROR(VLOOKUP($G1508,基本資料!$A:$J,3,0),"無")</f>
        <v>14.99</v>
      </c>
      <c r="B1508" s="79">
        <f>IFERROR(VLOOKUP($G1508,基本資料!$A:$J,4,0),"無")</f>
        <v>10</v>
      </c>
      <c r="C1508" s="79">
        <f>IFERROR(VLOOKUP($G1508,基本資料!$A:$J,5,0),"無")</f>
        <v>15</v>
      </c>
      <c r="D1508" s="79">
        <f>IFERROR(VLOOKUP($G1508,基本資料!$A:$J,6,0),"無")</f>
        <v>0</v>
      </c>
      <c r="E1508" s="79">
        <f>IFERROR(VLOOKUP($G1508,基本資料!$A:$J,7,0),"無")</f>
        <v>-99</v>
      </c>
      <c r="F1508" s="6">
        <f>IFERROR(VLOOKUP($G1508,基本資料!$A:$J,8,0),"無")</f>
        <v>14.02</v>
      </c>
      <c r="G1508" s="79">
        <v>6186</v>
      </c>
      <c r="H1508" s="8" t="s">
        <v>875</v>
      </c>
      <c r="I1508" s="16" t="s">
        <v>892</v>
      </c>
      <c r="J1508" s="8">
        <f>IFERROR(VLOOKUP($G1508,今日總結!$A:$AN,39,0),"")</f>
        <v>0</v>
      </c>
      <c r="K1508" s="5" t="str">
        <f>IFERROR(VLOOKUP($G1508,今日總結!$A:$AN,40,0),"")</f>
        <v>借</v>
      </c>
      <c r="L1508" s="156">
        <f>IFERROR(VLOOKUP($G1508,今日總結!$A:$AN,37,0),"")</f>
        <v>0</v>
      </c>
      <c r="M1508" s="337">
        <f>IFERROR(VLOOKUP($G1508,今日總結!$A:$AN,38,0),"")</f>
        <v>5</v>
      </c>
      <c r="N1508" s="240">
        <f t="shared" si="256"/>
        <v>-5</v>
      </c>
      <c r="O1508" s="359">
        <f>IFERROR(VLOOKUP($G1508,融外自投!$A:$J,7,0),"無")</f>
        <v>661</v>
      </c>
      <c r="P1508" s="79" t="str">
        <f>IFERROR(VLOOKUP($G1508,融外自投!$A:$J,9,0),"無")</f>
        <v>無</v>
      </c>
      <c r="Q1508" s="342">
        <f>IFERROR(VLOOKUP($G1508,融外自投!$A:$J,8,0),"無")</f>
        <v>1309</v>
      </c>
      <c r="R1508" s="81" t="str">
        <f>IFERROR(VLOOKUP($G1508,融外自投!$A:$J,10,0),"無")</f>
        <v>無</v>
      </c>
      <c r="S1508" s="324">
        <f>IFERROR(VLOOKUP($G1508,'321買'!$A:$E,4,0),"'沒有資料'")</f>
        <v>801</v>
      </c>
      <c r="T1508" s="186">
        <f>IFERROR(VLOOKUP($G1508,基本資料!$A:$J,9,0),"無")</f>
        <v>3</v>
      </c>
      <c r="U1508" s="307">
        <f t="shared" si="257"/>
        <v>0.11194029850746269</v>
      </c>
      <c r="V1508" s="94">
        <f>IFERROR(VLOOKUP($G1508,基本資料!$A:$J,10,0),"無")</f>
        <v>3.08</v>
      </c>
      <c r="W1508" s="36">
        <f>RTD("money.excel",,"6186","Price")</f>
        <v>26.8</v>
      </c>
      <c r="X1508" s="66"/>
      <c r="Y1508" s="15">
        <f t="shared" si="258"/>
        <v>26.8</v>
      </c>
      <c r="Z1508" s="3" t="e">
        <f t="shared" si="259"/>
        <v>#DIV/0!</v>
      </c>
      <c r="AA1508" s="340">
        <f>IFERROR(VLOOKUP($G1508,基本資料!$A:$M,11,0),"無")</f>
        <v>-12.13</v>
      </c>
      <c r="AB1508" s="389">
        <f>IFERROR(VLOOKUP($G1508,基本資料!$A:$M,12,0),"無")</f>
        <v>59.54</v>
      </c>
      <c r="AC1508" s="16" t="s">
        <v>892</v>
      </c>
      <c r="AF1508" s="33">
        <f t="shared" si="260"/>
        <v>0</v>
      </c>
      <c r="AG1508" s="43" t="s">
        <v>2011</v>
      </c>
      <c r="AH1508" s="66">
        <f t="shared" si="255"/>
        <v>0.42100283822138124</v>
      </c>
      <c r="AI1508" s="283">
        <f>RTD("money.excel",,$G1508,"PredictVolume")</f>
        <v>89</v>
      </c>
      <c r="AJ1508" s="391">
        <f>IFERROR(VLOOKUP($G1508,基本資料!$A:$M,13,0),"無")</f>
        <v>211.4</v>
      </c>
      <c r="AR1508" s="245" t="str">
        <f>INDEX(基本資料!N:N,MATCH($G1508,基本資料!A:A,0))</f>
        <v>低</v>
      </c>
    </row>
    <row r="1509" spans="1:44">
      <c r="A1509" s="343">
        <f>IFERROR(VLOOKUP($G1509,基本資料!$A:$J,3,0),"無")</f>
        <v>10.199999999999999</v>
      </c>
      <c r="B1509" s="79">
        <f>IFERROR(VLOOKUP($G1509,基本資料!$A:$J,4,0),"無")</f>
        <v>19</v>
      </c>
      <c r="C1509" s="79">
        <f>IFERROR(VLOOKUP($G1509,基本資料!$A:$J,5,0),"無")</f>
        <v>19</v>
      </c>
      <c r="D1509" s="79">
        <f>IFERROR(VLOOKUP($G1509,基本資料!$A:$J,6,0),"無")</f>
        <v>-98</v>
      </c>
      <c r="E1509" s="79">
        <f>IFERROR(VLOOKUP($G1509,基本資料!$A:$J,7,0),"無")</f>
        <v>0</v>
      </c>
      <c r="F1509" s="6">
        <f>IFERROR(VLOOKUP($G1509,基本資料!$A:$J,8,0),"無")</f>
        <v>15.91</v>
      </c>
      <c r="G1509" s="79">
        <v>6212</v>
      </c>
      <c r="H1509" s="8" t="s">
        <v>875</v>
      </c>
      <c r="I1509" s="16" t="s">
        <v>893</v>
      </c>
      <c r="J1509" s="8" t="str">
        <f>IFERROR(VLOOKUP($G1509,今日總結!$A:$AN,39,0),"")</f>
        <v/>
      </c>
      <c r="K1509" s="5" t="str">
        <f>IFERROR(VLOOKUP($G1509,今日總結!$A:$AN,40,0),"")</f>
        <v/>
      </c>
      <c r="L1509" s="156" t="str">
        <f>IFERROR(VLOOKUP($G1509,今日總結!$A:$AN,37,0),"")</f>
        <v/>
      </c>
      <c r="M1509" s="337" t="str">
        <f>IFERROR(VLOOKUP($G1509,今日總結!$A:$AN,38,0),"")</f>
        <v/>
      </c>
      <c r="N1509" s="240" t="str">
        <f t="shared" si="256"/>
        <v/>
      </c>
      <c r="O1509" s="359">
        <f>IFERROR(VLOOKUP($G1509,融外自投!$A:$J,7,0),"無")</f>
        <v>1407</v>
      </c>
      <c r="P1509" s="79" t="str">
        <f>IFERROR(VLOOKUP($G1509,融外自投!$A:$J,9,0),"無")</f>
        <v>無</v>
      </c>
      <c r="Q1509" s="342">
        <f>IFERROR(VLOOKUP($G1509,融外自投!$A:$J,8,0),"無")</f>
        <v>213</v>
      </c>
      <c r="R1509" s="81" t="str">
        <f>IFERROR(VLOOKUP($G1509,融外自投!$A:$J,10,0),"無")</f>
        <v>無</v>
      </c>
      <c r="S1509" s="324" t="str">
        <f>IFERROR(VLOOKUP($G1509,'321買'!$A:$E,4,0),"'沒有資料'")</f>
        <v>'沒有資料'</v>
      </c>
      <c r="T1509" s="186">
        <f>IFERROR(VLOOKUP($G1509,基本資料!$A:$J,9,0),"無")</f>
        <v>0</v>
      </c>
      <c r="U1509" s="307" t="e">
        <f t="shared" si="257"/>
        <v>#VALUE!</v>
      </c>
      <c r="V1509" s="94">
        <f>IFERROR(VLOOKUP($G1509,基本資料!$A:$J,10,0),"無")</f>
        <v>4.09</v>
      </c>
      <c r="W1509" s="36" t="str">
        <f>RTD("money.excel",,"6212","Price")</f>
        <v>無資料</v>
      </c>
      <c r="X1509" s="66"/>
      <c r="Y1509" s="15" t="e">
        <f t="shared" si="258"/>
        <v>#VALUE!</v>
      </c>
      <c r="Z1509" s="3" t="e">
        <f t="shared" si="259"/>
        <v>#VALUE!</v>
      </c>
      <c r="AA1509" s="340">
        <f>IFERROR(VLOOKUP($G1509,基本資料!$A:$M,11,0),"無")</f>
        <v>-17.82</v>
      </c>
      <c r="AB1509" s="389">
        <f>IFERROR(VLOOKUP($G1509,基本資料!$A:$M,12,0),"無")</f>
        <v>12.57</v>
      </c>
      <c r="AC1509" s="16" t="s">
        <v>893</v>
      </c>
      <c r="AF1509" s="33">
        <f t="shared" si="260"/>
        <v>0</v>
      </c>
      <c r="AG1509" s="43" t="s">
        <v>2011</v>
      </c>
      <c r="AH1509" s="66">
        <f t="shared" si="255"/>
        <v>0</v>
      </c>
      <c r="AI1509" s="283">
        <f>RTD("money.excel",,$G1509,"PredictVolume")</f>
        <v>0</v>
      </c>
      <c r="AJ1509" s="391">
        <f>IFERROR(VLOOKUP($G1509,基本資料!$A:$M,13,0),"無")</f>
        <v>5.3</v>
      </c>
      <c r="AR1509" s="245" t="str">
        <f>INDEX(基本資料!N:N,MATCH($G1509,基本資料!A:A,0))</f>
        <v>低</v>
      </c>
    </row>
    <row r="1510" spans="1:44">
      <c r="A1510" s="343">
        <f>IFERROR(VLOOKUP($G1510,基本資料!$A:$J,3,0),"無")</f>
        <v>15.4</v>
      </c>
      <c r="B1510" s="79">
        <f>IFERROR(VLOOKUP($G1510,基本資料!$A:$J,4,0),"無")</f>
        <v>-81</v>
      </c>
      <c r="C1510" s="79">
        <f>IFERROR(VLOOKUP($G1510,基本資料!$A:$J,5,0),"無")</f>
        <v>12</v>
      </c>
      <c r="D1510" s="79">
        <f>IFERROR(VLOOKUP($G1510,基本資料!$A:$J,6,0),"無")</f>
        <v>1649</v>
      </c>
      <c r="E1510" s="79">
        <f>IFERROR(VLOOKUP($G1510,基本資料!$A:$J,7,0),"無")</f>
        <v>6</v>
      </c>
      <c r="F1510" s="6">
        <f>IFERROR(VLOOKUP($G1510,基本資料!$A:$J,8,0),"無")</f>
        <v>11.86</v>
      </c>
      <c r="G1510" s="79">
        <v>6219</v>
      </c>
      <c r="H1510" s="8" t="s">
        <v>875</v>
      </c>
      <c r="I1510" s="16" t="s">
        <v>894</v>
      </c>
      <c r="J1510" s="8">
        <f>IFERROR(VLOOKUP($G1510,今日總結!$A:$AN,39,0),"")</f>
        <v>0</v>
      </c>
      <c r="K1510" s="5">
        <f>IFERROR(VLOOKUP($G1510,今日總結!$A:$AN,40,0),"")</f>
        <v>0</v>
      </c>
      <c r="L1510" s="156">
        <f>IFERROR(VLOOKUP($G1510,今日總結!$A:$AN,37,0),"")</f>
        <v>0</v>
      </c>
      <c r="M1510" s="337">
        <f>IFERROR(VLOOKUP($G1510,今日總結!$A:$AN,38,0),"")</f>
        <v>0</v>
      </c>
      <c r="N1510" s="240">
        <f t="shared" si="256"/>
        <v>0</v>
      </c>
      <c r="O1510" s="359">
        <f>IFERROR(VLOOKUP($G1510,融外自投!$A:$J,7,0),"無")</f>
        <v>84</v>
      </c>
      <c r="P1510" s="79" t="str">
        <f>IFERROR(VLOOKUP($G1510,融外自投!$A:$J,9,0),"無")</f>
        <v>無</v>
      </c>
      <c r="Q1510" s="342">
        <f>IFERROR(VLOOKUP($G1510,融外自投!$A:$J,8,0),"無")</f>
        <v>1047</v>
      </c>
      <c r="R1510" s="81" t="str">
        <f>IFERROR(VLOOKUP($G1510,融外自投!$A:$J,10,0),"無")</f>
        <v>無</v>
      </c>
      <c r="S1510" s="324">
        <f>IFERROR(VLOOKUP($G1510,'321買'!$A:$E,4,0),"'沒有資料'")</f>
        <v>891</v>
      </c>
      <c r="T1510" s="186">
        <f>IFERROR(VLOOKUP($G1510,基本資料!$A:$J,9,0),"無")</f>
        <v>0.25</v>
      </c>
      <c r="U1510" s="307">
        <f t="shared" si="257"/>
        <v>1.5479876160990714E-2</v>
      </c>
      <c r="V1510" s="94">
        <f>IFERROR(VLOOKUP($G1510,基本資料!$A:$J,10,0),"無")</f>
        <v>0.44</v>
      </c>
      <c r="W1510" s="36">
        <f>RTD("money.excel",,"6219","Price")</f>
        <v>16.149999999999999</v>
      </c>
      <c r="X1510" s="66"/>
      <c r="Y1510" s="15">
        <f t="shared" si="258"/>
        <v>16.149999999999999</v>
      </c>
      <c r="Z1510" s="3" t="e">
        <f t="shared" si="259"/>
        <v>#DIV/0!</v>
      </c>
      <c r="AA1510" s="340">
        <f>IFERROR(VLOOKUP($G1510,基本資料!$A:$M,11,0),"無")</f>
        <v>-31.28</v>
      </c>
      <c r="AB1510" s="389">
        <f>IFERROR(VLOOKUP($G1510,基本資料!$A:$M,12,0),"無")</f>
        <v>29.05</v>
      </c>
      <c r="AC1510" s="16" t="s">
        <v>894</v>
      </c>
      <c r="AF1510" s="33">
        <f t="shared" si="260"/>
        <v>0</v>
      </c>
      <c r="AG1510" s="43" t="s">
        <v>2011</v>
      </c>
      <c r="AH1510" s="66">
        <f t="shared" si="255"/>
        <v>0.99167482859941225</v>
      </c>
      <c r="AI1510" s="283">
        <f>RTD("money.excel",,$G1510,"PredictVolume")</f>
        <v>1215</v>
      </c>
      <c r="AJ1510" s="391">
        <f>IFERROR(VLOOKUP($G1510,基本資料!$A:$M,13,0),"無")</f>
        <v>1225.2</v>
      </c>
      <c r="AR1510" s="245" t="str">
        <f>INDEX(基本資料!N:N,MATCH($G1510,基本資料!A:A,0))</f>
        <v>低</v>
      </c>
    </row>
    <row r="1511" spans="1:44">
      <c r="A1511" s="343">
        <f>IFERROR(VLOOKUP($G1511,基本資料!$A:$J,3,0),"無")</f>
        <v>11.63</v>
      </c>
      <c r="B1511" s="79">
        <f>IFERROR(VLOOKUP($G1511,基本資料!$A:$J,4,0),"無")</f>
        <v>28</v>
      </c>
      <c r="C1511" s="79">
        <f>IFERROR(VLOOKUP($G1511,基本資料!$A:$J,5,0),"無")</f>
        <v>-145</v>
      </c>
      <c r="D1511" s="79">
        <f>IFERROR(VLOOKUP($G1511,基本資料!$A:$J,6,0),"無")</f>
        <v>24</v>
      </c>
      <c r="E1511" s="79">
        <f>IFERROR(VLOOKUP($G1511,基本資料!$A:$J,7,0),"無")</f>
        <v>-48</v>
      </c>
      <c r="F1511" s="6">
        <f>IFERROR(VLOOKUP($G1511,基本資料!$A:$J,8,0),"無")</f>
        <v>-20.2</v>
      </c>
      <c r="G1511" s="79">
        <v>6264</v>
      </c>
      <c r="H1511" s="8" t="s">
        <v>875</v>
      </c>
      <c r="I1511" s="16" t="s">
        <v>895</v>
      </c>
      <c r="J1511" s="8" t="str">
        <f>IFERROR(VLOOKUP($G1511,今日總結!$A:$AN,39,0),"")</f>
        <v/>
      </c>
      <c r="K1511" s="5" t="str">
        <f>IFERROR(VLOOKUP($G1511,今日總結!$A:$AN,40,0),"")</f>
        <v/>
      </c>
      <c r="L1511" s="156" t="str">
        <f>IFERROR(VLOOKUP($G1511,今日總結!$A:$AN,37,0),"")</f>
        <v/>
      </c>
      <c r="M1511" s="337" t="str">
        <f>IFERROR(VLOOKUP($G1511,今日總結!$A:$AN,38,0),"")</f>
        <v/>
      </c>
      <c r="N1511" s="240" t="str">
        <f t="shared" si="256"/>
        <v/>
      </c>
      <c r="O1511" s="359" t="str">
        <f>IFERROR(VLOOKUP($G1511,融外自投!$A:$J,7,0),"無")</f>
        <v>無</v>
      </c>
      <c r="P1511" s="79" t="str">
        <f>IFERROR(VLOOKUP($G1511,融外自投!$A:$J,9,0),"無")</f>
        <v>無</v>
      </c>
      <c r="Q1511" s="342" t="str">
        <f>IFERROR(VLOOKUP($G1511,融外自投!$A:$J,8,0),"無")</f>
        <v>無</v>
      </c>
      <c r="R1511" s="81" t="str">
        <f>IFERROR(VLOOKUP($G1511,融外自投!$A:$J,10,0),"無")</f>
        <v>無</v>
      </c>
      <c r="S1511" s="324" t="str">
        <f>IFERROR(VLOOKUP($G1511,'321買'!$A:$E,4,0),"'沒有資料'")</f>
        <v>'沒有資料'</v>
      </c>
      <c r="T1511" s="186">
        <f>IFERROR(VLOOKUP($G1511,基本資料!$A:$J,9,0),"無")</f>
        <v>0</v>
      </c>
      <c r="U1511" s="307">
        <f t="shared" si="257"/>
        <v>0</v>
      </c>
      <c r="V1511" s="94">
        <f>IFERROR(VLOOKUP($G1511,基本資料!$A:$J,10,0),"無")</f>
        <v>-0.19</v>
      </c>
      <c r="W1511" s="36">
        <f>RTD("money.excel",,"6264","Price")</f>
        <v>8.26</v>
      </c>
      <c r="X1511" s="66"/>
      <c r="Y1511" s="15">
        <f t="shared" si="258"/>
        <v>8.26</v>
      </c>
      <c r="Z1511" s="3" t="e">
        <f t="shared" si="259"/>
        <v>#DIV/0!</v>
      </c>
      <c r="AA1511" s="340">
        <f>IFERROR(VLOOKUP($G1511,基本資料!$A:$M,11,0),"無")</f>
        <v>-28.17</v>
      </c>
      <c r="AB1511" s="389">
        <f>IFERROR(VLOOKUP($G1511,基本資料!$A:$M,12,0),"無")</f>
        <v>32.53</v>
      </c>
      <c r="AC1511" s="16" t="s">
        <v>895</v>
      </c>
      <c r="AF1511" s="33">
        <f t="shared" si="260"/>
        <v>0</v>
      </c>
      <c r="AG1511" s="43" t="s">
        <v>4002</v>
      </c>
      <c r="AH1511" s="66">
        <f t="shared" si="255"/>
        <v>1.3114754098360655</v>
      </c>
      <c r="AI1511" s="283">
        <f>RTD("money.excel",,$G1511,"PredictVolume")</f>
        <v>76</v>
      </c>
      <c r="AJ1511" s="391">
        <f>IFERROR(VLOOKUP($G1511,基本資料!$A:$M,13,0),"無")</f>
        <v>57.95</v>
      </c>
      <c r="AR1511" s="245" t="str">
        <f>INDEX(基本資料!N:N,MATCH($G1511,基本資料!A:A,0))</f>
        <v>低</v>
      </c>
    </row>
    <row r="1512" spans="1:44">
      <c r="A1512" s="343">
        <f>IFERROR(VLOOKUP($G1512,基本資料!$A:$J,3,0),"無")</f>
        <v>3.6</v>
      </c>
      <c r="B1512" s="79">
        <f>IFERROR(VLOOKUP($G1512,基本資料!$A:$J,4,0),"無")</f>
        <v>13</v>
      </c>
      <c r="C1512" s="79">
        <f>IFERROR(VLOOKUP($G1512,基本資料!$A:$J,5,0),"無")</f>
        <v>12</v>
      </c>
      <c r="D1512" s="79">
        <f>IFERROR(VLOOKUP($G1512,基本資料!$A:$J,6,0),"無")</f>
        <v>-11</v>
      </c>
      <c r="E1512" s="79">
        <f>IFERROR(VLOOKUP($G1512,基本資料!$A:$J,7,0),"無")</f>
        <v>19</v>
      </c>
      <c r="F1512" s="6">
        <f>IFERROR(VLOOKUP($G1512,基本資料!$A:$J,8,0),"無")</f>
        <v>22.17</v>
      </c>
      <c r="G1512" s="79">
        <v>8424</v>
      </c>
      <c r="H1512" s="8" t="s">
        <v>875</v>
      </c>
      <c r="I1512" s="16" t="s">
        <v>896</v>
      </c>
      <c r="J1512" s="8">
        <f>IFERROR(VLOOKUP($G1512,今日總結!$A:$AN,39,0),"")</f>
        <v>0</v>
      </c>
      <c r="K1512" s="5">
        <f>IFERROR(VLOOKUP($G1512,今日總結!$A:$AN,40,0),"")</f>
        <v>0</v>
      </c>
      <c r="L1512" s="156">
        <f>IFERROR(VLOOKUP($G1512,今日總結!$A:$AN,37,0),"")</f>
        <v>0</v>
      </c>
      <c r="M1512" s="337">
        <f>IFERROR(VLOOKUP($G1512,今日總結!$A:$AN,38,0),"")</f>
        <v>0</v>
      </c>
      <c r="N1512" s="240">
        <f t="shared" si="256"/>
        <v>0</v>
      </c>
      <c r="O1512" s="359">
        <f>IFERROR(VLOOKUP($G1512,融外自投!$A:$J,7,0),"無")</f>
        <v>1388</v>
      </c>
      <c r="P1512" s="79" t="str">
        <f>IFERROR(VLOOKUP($G1512,融外自投!$A:$J,9,0),"無")</f>
        <v>無</v>
      </c>
      <c r="Q1512" s="342">
        <f>IFERROR(VLOOKUP($G1512,融外自投!$A:$J,8,0),"無")</f>
        <v>1337</v>
      </c>
      <c r="R1512" s="81">
        <f>IFERROR(VLOOKUP($G1512,融外自投!$A:$J,10,0),"無")</f>
        <v>341</v>
      </c>
      <c r="S1512" s="324">
        <f>IFERROR(VLOOKUP($G1512,'321買'!$A:$E,4,0),"'沒有資料'")</f>
        <v>1002</v>
      </c>
      <c r="T1512" s="186">
        <f>IFERROR(VLOOKUP($G1512,基本資料!$A:$J,9,0),"無")</f>
        <v>4.5</v>
      </c>
      <c r="U1512" s="307">
        <f t="shared" si="257"/>
        <v>8.8131609870740299E-2</v>
      </c>
      <c r="V1512" s="94">
        <f>IFERROR(VLOOKUP($G1512,基本資料!$A:$J,10,0),"無")</f>
        <v>4.6100000000000003</v>
      </c>
      <c r="W1512" s="36">
        <v>51.06</v>
      </c>
      <c r="X1512" s="66"/>
      <c r="Y1512" s="15">
        <f t="shared" si="258"/>
        <v>51.06</v>
      </c>
      <c r="Z1512" s="3" t="e">
        <f t="shared" si="259"/>
        <v>#DIV/0!</v>
      </c>
      <c r="AA1512" s="340">
        <f>IFERROR(VLOOKUP($G1512,基本資料!$A:$M,11,0),"無")</f>
        <v>-10.96</v>
      </c>
      <c r="AB1512" s="389">
        <f>IFERROR(VLOOKUP($G1512,基本資料!$A:$M,12,0),"無")</f>
        <v>41.3</v>
      </c>
      <c r="AC1512" s="16" t="s">
        <v>896</v>
      </c>
      <c r="AF1512" s="33">
        <f t="shared" si="260"/>
        <v>0</v>
      </c>
      <c r="AG1512" s="43" t="s">
        <v>2716</v>
      </c>
      <c r="AH1512" s="66">
        <f t="shared" si="255"/>
        <v>0.36786060019361083</v>
      </c>
      <c r="AI1512" s="283">
        <f>RTD("money.excel",,$G1512,"PredictVolume")</f>
        <v>19</v>
      </c>
      <c r="AJ1512" s="391">
        <f>IFERROR(VLOOKUP($G1512,基本資料!$A:$M,13,0),"無")</f>
        <v>51.65</v>
      </c>
      <c r="AR1512" s="245" t="str">
        <f>INDEX(基本資料!N:N,MATCH($G1512,基本資料!A:A,0))</f>
        <v>中</v>
      </c>
    </row>
    <row r="1513" spans="1:44">
      <c r="A1513" s="343">
        <f>IFERROR(VLOOKUP($G1513,基本資料!$A:$J,3,0),"無")</f>
        <v>8.33</v>
      </c>
      <c r="B1513" s="79">
        <f>IFERROR(VLOOKUP($G1513,基本資料!$A:$J,4,0),"無")</f>
        <v>394</v>
      </c>
      <c r="C1513" s="79">
        <f>IFERROR(VLOOKUP($G1513,基本資料!$A:$J,5,0),"無")</f>
        <v>657</v>
      </c>
      <c r="D1513" s="79">
        <f>IFERROR(VLOOKUP($G1513,基本資料!$A:$J,6,0),"無")</f>
        <v>-74</v>
      </c>
      <c r="E1513" s="79">
        <f>IFERROR(VLOOKUP($G1513,基本資料!$A:$J,7,0),"無")</f>
        <v>1744783</v>
      </c>
      <c r="F1513" s="6">
        <f>IFERROR(VLOOKUP($G1513,基本資料!$A:$J,8,0),"無")</f>
        <v>19.87</v>
      </c>
      <c r="G1513" s="79">
        <v>9906</v>
      </c>
      <c r="H1513" s="8" t="s">
        <v>875</v>
      </c>
      <c r="I1513" s="22" t="s">
        <v>938</v>
      </c>
      <c r="J1513" s="8">
        <f>IFERROR(VLOOKUP($G1513,今日總結!$A:$AN,39,0),"")</f>
        <v>0</v>
      </c>
      <c r="K1513" s="5">
        <f>IFERROR(VLOOKUP($G1513,今日總結!$A:$AN,40,0),"")</f>
        <v>0</v>
      </c>
      <c r="L1513" s="156">
        <f>IFERROR(VLOOKUP($G1513,今日總結!$A:$AN,37,0),"")</f>
        <v>0</v>
      </c>
      <c r="M1513" s="337">
        <f>IFERROR(VLOOKUP($G1513,今日總結!$A:$AN,38,0),"")</f>
        <v>0</v>
      </c>
      <c r="N1513" s="240">
        <f t="shared" si="256"/>
        <v>0</v>
      </c>
      <c r="O1513" s="359">
        <f>IFERROR(VLOOKUP($G1513,融外自投!$A:$J,7,0),"無")</f>
        <v>422</v>
      </c>
      <c r="P1513" s="79">
        <f>IFERROR(VLOOKUP($G1513,融外自投!$A:$J,9,0),"無")</f>
        <v>1123</v>
      </c>
      <c r="Q1513" s="342">
        <f>IFERROR(VLOOKUP($G1513,融外自投!$A:$J,8,0),"無")</f>
        <v>1273</v>
      </c>
      <c r="R1513" s="81" t="str">
        <f>IFERROR(VLOOKUP($G1513,融外自投!$A:$J,10,0),"無")</f>
        <v>無</v>
      </c>
      <c r="S1513" s="324">
        <f>IFERROR(VLOOKUP($G1513,'321買'!$A:$E,4,0),"'沒有資料'")</f>
        <v>1002</v>
      </c>
      <c r="T1513" s="186">
        <f>IFERROR(VLOOKUP($G1513,基本資料!$A:$J,9,0),"無")</f>
        <v>0.66</v>
      </c>
      <c r="U1513" s="307">
        <f t="shared" si="257"/>
        <v>1.1785714285714287E-2</v>
      </c>
      <c r="V1513" s="94">
        <f>IFERROR(VLOOKUP($G1513,基本資料!$A:$J,10,0),"無")</f>
        <v>3.14</v>
      </c>
      <c r="W1513" s="36">
        <f>RTD("money.excel",,"9906","Price")</f>
        <v>56</v>
      </c>
      <c r="X1513" s="66"/>
      <c r="Y1513" s="15">
        <f t="shared" si="258"/>
        <v>56</v>
      </c>
      <c r="Z1513" s="3" t="e">
        <f t="shared" si="259"/>
        <v>#DIV/0!</v>
      </c>
      <c r="AA1513" s="340">
        <f>IFERROR(VLOOKUP($G1513,基本資料!$A:$M,11,0),"無")</f>
        <v>-20</v>
      </c>
      <c r="AB1513" s="389">
        <f>IFERROR(VLOOKUP($G1513,基本資料!$A:$M,12,0),"無")</f>
        <v>51.14</v>
      </c>
      <c r="AC1513" s="22" t="s">
        <v>938</v>
      </c>
      <c r="AF1513" s="33">
        <f t="shared" si="260"/>
        <v>0</v>
      </c>
      <c r="AG1513" s="43" t="s">
        <v>2319</v>
      </c>
      <c r="AH1513" s="66">
        <f t="shared" si="255"/>
        <v>0.2510460251046025</v>
      </c>
      <c r="AI1513" s="283">
        <f>RTD("money.excel",,$G1513,"PredictVolume")</f>
        <v>21</v>
      </c>
      <c r="AJ1513" s="391">
        <f>IFERROR(VLOOKUP($G1513,基本資料!$A:$M,13,0),"無")</f>
        <v>83.65</v>
      </c>
      <c r="AR1513" s="245" t="str">
        <f>INDEX(基本資料!N:N,MATCH($G1513,基本資料!A:A,0))</f>
        <v>中</v>
      </c>
    </row>
    <row r="1514" spans="1:44">
      <c r="A1514" s="343">
        <f>IFERROR(VLOOKUP($G1514,基本資料!$A:$J,3,0),"無")</f>
        <v>32.65</v>
      </c>
      <c r="B1514" s="79">
        <f>IFERROR(VLOOKUP($G1514,基本資料!$A:$J,4,0),"無")</f>
        <v>21</v>
      </c>
      <c r="C1514" s="79">
        <f>IFERROR(VLOOKUP($G1514,基本資料!$A:$J,5,0),"無")</f>
        <v>5</v>
      </c>
      <c r="D1514" s="79">
        <f>IFERROR(VLOOKUP($G1514,基本資料!$A:$J,6,0),"無")</f>
        <v>-61</v>
      </c>
      <c r="E1514" s="79">
        <f>IFERROR(VLOOKUP($G1514,基本資料!$A:$J,7,0),"無")</f>
        <v>-79</v>
      </c>
      <c r="F1514" s="6">
        <f>IFERROR(VLOOKUP($G1514,基本資料!$A:$J,8,0),"無")</f>
        <v>12.87</v>
      </c>
      <c r="G1514" s="79">
        <v>9946</v>
      </c>
      <c r="H1514" s="8" t="s">
        <v>875</v>
      </c>
      <c r="I1514" s="22" t="s">
        <v>1077</v>
      </c>
      <c r="J1514" s="8">
        <f>IFERROR(VLOOKUP($G1514,今日總結!$A:$AN,39,0),"")</f>
        <v>0</v>
      </c>
      <c r="K1514" s="5">
        <f>IFERROR(VLOOKUP($G1514,今日總結!$A:$AN,40,0),"")</f>
        <v>0</v>
      </c>
      <c r="L1514" s="156">
        <f>IFERROR(VLOOKUP($G1514,今日總結!$A:$AN,37,0),"")</f>
        <v>0</v>
      </c>
      <c r="M1514" s="337">
        <f>IFERROR(VLOOKUP($G1514,今日總結!$A:$AN,38,0),"")</f>
        <v>0</v>
      </c>
      <c r="N1514" s="240">
        <f t="shared" si="256"/>
        <v>0</v>
      </c>
      <c r="O1514" s="359">
        <f>IFERROR(VLOOKUP($G1514,融外自投!$A:$J,7,0),"無")</f>
        <v>1352</v>
      </c>
      <c r="P1514" s="79" t="str">
        <f>IFERROR(VLOOKUP($G1514,融外自投!$A:$J,9,0),"無")</f>
        <v>無</v>
      </c>
      <c r="Q1514" s="342">
        <f>IFERROR(VLOOKUP($G1514,融外自投!$A:$J,8,0),"無")</f>
        <v>968</v>
      </c>
      <c r="R1514" s="81" t="str">
        <f>IFERROR(VLOOKUP($G1514,融外自投!$A:$J,10,0),"無")</f>
        <v>無</v>
      </c>
      <c r="S1514" s="324">
        <f>IFERROR(VLOOKUP($G1514,'321買'!$A:$E,4,0),"'沒有資料'")</f>
        <v>1002</v>
      </c>
      <c r="T1514" s="186">
        <f>IFERROR(VLOOKUP($G1514,基本資料!$A:$J,9,0),"無")</f>
        <v>0.68</v>
      </c>
      <c r="U1514" s="307">
        <f t="shared" si="257"/>
        <v>5.4183266932270914E-2</v>
      </c>
      <c r="V1514" s="94">
        <f>IFERROR(VLOOKUP($G1514,基本資料!$A:$J,10,0),"無")</f>
        <v>0.68</v>
      </c>
      <c r="W1514" s="36">
        <f>RTD("money.excel",,"9946","Price")</f>
        <v>12.55</v>
      </c>
      <c r="X1514" s="66"/>
      <c r="Y1514" s="15">
        <f t="shared" si="258"/>
        <v>12.55</v>
      </c>
      <c r="Z1514" s="3" t="e">
        <f t="shared" si="259"/>
        <v>#DIV/0!</v>
      </c>
      <c r="AA1514" s="340">
        <f>IFERROR(VLOOKUP($G1514,基本資料!$A:$M,11,0),"無")</f>
        <v>-28.9</v>
      </c>
      <c r="AB1514" s="389">
        <f>IFERROR(VLOOKUP($G1514,基本資料!$A:$M,12,0),"無")</f>
        <v>21.71</v>
      </c>
      <c r="AC1514" s="22" t="s">
        <v>1077</v>
      </c>
      <c r="AF1514" s="33">
        <f t="shared" si="260"/>
        <v>0</v>
      </c>
      <c r="AG1514" s="43" t="s">
        <v>2011</v>
      </c>
      <c r="AH1514" s="66">
        <f t="shared" si="255"/>
        <v>0.98960498960498966</v>
      </c>
      <c r="AI1514" s="283">
        <f>RTD("money.excel",,$G1514,"PredictVolume")</f>
        <v>119</v>
      </c>
      <c r="AJ1514" s="391">
        <f>IFERROR(VLOOKUP($G1514,基本資料!$A:$M,13,0),"無")</f>
        <v>120.25</v>
      </c>
      <c r="AR1514" s="245" t="str">
        <f>INDEX(基本資料!N:N,MATCH($G1514,基本資料!A:A,0))</f>
        <v>低</v>
      </c>
    </row>
    <row r="1515" spans="1:44">
      <c r="B1515" s="90"/>
      <c r="C1515" s="90"/>
      <c r="D1515" s="90"/>
      <c r="E1515" s="90"/>
      <c r="F1515" s="57"/>
      <c r="G1515" s="79"/>
      <c r="H1515" s="8"/>
      <c r="I1515" s="22"/>
      <c r="L1515" s="2"/>
      <c r="O1515" s="360"/>
      <c r="Q1515" s="351"/>
      <c r="R1515" s="81"/>
      <c r="S1515" s="324"/>
      <c r="T1515" s="34"/>
      <c r="V1515" s="94"/>
      <c r="W1515" s="36"/>
      <c r="X1515" s="66"/>
      <c r="Y1515" s="15"/>
      <c r="Z1515" s="3"/>
      <c r="AC1515" s="22"/>
      <c r="AF1515" s="33"/>
      <c r="AG1515" s="43"/>
      <c r="AH1515" s="66" t="e">
        <f t="shared" si="255"/>
        <v>#DIV/0!</v>
      </c>
      <c r="AI1515" s="283"/>
    </row>
    <row r="1516" spans="1:44">
      <c r="A1516" s="127" t="s">
        <v>1672</v>
      </c>
      <c r="B1516" s="90" t="s">
        <v>1571</v>
      </c>
      <c r="C1516" s="90" t="s">
        <v>1572</v>
      </c>
      <c r="D1516" s="90" t="s">
        <v>1573</v>
      </c>
      <c r="E1516" s="90" t="s">
        <v>1574</v>
      </c>
      <c r="F1516" s="8" t="s">
        <v>1059</v>
      </c>
      <c r="G1516" s="27" t="s">
        <v>858</v>
      </c>
      <c r="H1516" s="55" t="s">
        <v>320</v>
      </c>
      <c r="I1516" s="8" t="s">
        <v>302</v>
      </c>
      <c r="J1516" s="8" t="s">
        <v>6211</v>
      </c>
      <c r="K1516" s="5" t="s">
        <v>6212</v>
      </c>
      <c r="L1516" s="334" t="s">
        <v>6197</v>
      </c>
      <c r="M1516" s="335" t="s">
        <v>6198</v>
      </c>
      <c r="N1516" s="336" t="s">
        <v>6199</v>
      </c>
      <c r="O1516" s="89" t="s">
        <v>6275</v>
      </c>
      <c r="P1516" s="292" t="s">
        <v>6274</v>
      </c>
      <c r="Q1516" s="350" t="s">
        <v>6273</v>
      </c>
      <c r="R1516" s="26" t="s">
        <v>6276</v>
      </c>
      <c r="S1516" s="318" t="s">
        <v>4715</v>
      </c>
      <c r="T1516" s="10" t="s">
        <v>66</v>
      </c>
      <c r="U1516" s="305" t="s">
        <v>4728</v>
      </c>
      <c r="V1516" s="68" t="s">
        <v>3272</v>
      </c>
      <c r="W1516" s="28" t="s">
        <v>2</v>
      </c>
      <c r="X1516" s="17" t="s">
        <v>1398</v>
      </c>
      <c r="Y1516" s="14" t="s">
        <v>5</v>
      </c>
      <c r="Z1516" s="21" t="s">
        <v>3</v>
      </c>
      <c r="AA1516" s="96" t="s">
        <v>6166</v>
      </c>
      <c r="AB1516" s="378" t="s">
        <v>6404</v>
      </c>
      <c r="AC1516" s="8" t="s">
        <v>302</v>
      </c>
      <c r="AD1516" s="71" t="s">
        <v>1399</v>
      </c>
      <c r="AE1516" s="72" t="s">
        <v>1156</v>
      </c>
      <c r="AF1516" s="32" t="s">
        <v>1157</v>
      </c>
      <c r="AG1516" s="25" t="s">
        <v>6200</v>
      </c>
      <c r="AH1516" s="8" t="s">
        <v>6696</v>
      </c>
      <c r="AI1516" s="50" t="s">
        <v>3360</v>
      </c>
      <c r="AJ1516" s="22" t="s">
        <v>6695</v>
      </c>
    </row>
    <row r="1517" spans="1:44">
      <c r="A1517" s="343">
        <f>IFERROR(VLOOKUP($G1517,基本資料!$A:$J,3,0),"無")</f>
        <v>93.17</v>
      </c>
      <c r="B1517" s="79">
        <f>IFERROR(VLOOKUP($G1517,基本資料!$A:$J,4,0),"無")</f>
        <v>100</v>
      </c>
      <c r="C1517" s="79">
        <f>IFERROR(VLOOKUP($G1517,基本資料!$A:$J,5,0),"無")</f>
        <v>99</v>
      </c>
      <c r="D1517" s="79">
        <f>IFERROR(VLOOKUP($G1517,基本資料!$A:$J,6,0),"無")</f>
        <v>-42</v>
      </c>
      <c r="E1517" s="79">
        <f>IFERROR(VLOOKUP($G1517,基本資料!$A:$J,7,0),"無")</f>
        <v>-24</v>
      </c>
      <c r="F1517" s="6">
        <f>IFERROR(VLOOKUP($G1517,基本資料!$A:$J,8,0),"無")</f>
        <v>-0.02</v>
      </c>
      <c r="G1517" s="79">
        <v>2208</v>
      </c>
      <c r="H1517" s="8" t="s">
        <v>4712</v>
      </c>
      <c r="I1517" s="22" t="s">
        <v>88</v>
      </c>
      <c r="J1517" s="8">
        <f>IFERROR(VLOOKUP($G1517,今日總結!$A:$AN,39,0),"")</f>
        <v>0</v>
      </c>
      <c r="K1517" s="5" t="str">
        <f>IFERROR(VLOOKUP($G1517,今日總結!$A:$AN,40,0),"")</f>
        <v>主外</v>
      </c>
      <c r="L1517" s="156">
        <f>IFERROR(VLOOKUP($G1517,今日總結!$A:$AN,37,0),"")</f>
        <v>0</v>
      </c>
      <c r="M1517" s="337">
        <f>IFERROR(VLOOKUP($G1517,今日總結!$A:$AN,38,0),"")</f>
        <v>9</v>
      </c>
      <c r="N1517" s="240">
        <f t="shared" ref="N1517" si="261">IFERROR(L1517-M1517,"")</f>
        <v>-9</v>
      </c>
      <c r="O1517" s="359">
        <f>IFERROR(VLOOKUP($G1517,融外自投!$A:$J,7,0),"無")</f>
        <v>681</v>
      </c>
      <c r="P1517" s="79">
        <f>IFERROR(VLOOKUP($G1517,融外自投!$A:$J,9,0),"無")</f>
        <v>1123</v>
      </c>
      <c r="Q1517" s="342">
        <f>IFERROR(VLOOKUP($G1517,融外自投!$A:$J,8,0),"無")</f>
        <v>769</v>
      </c>
      <c r="R1517" s="81">
        <f>IFERROR(VLOOKUP($G1517,融外自投!$A:$J,10,0),"無")</f>
        <v>459</v>
      </c>
      <c r="S1517" s="324">
        <f>IFERROR(VLOOKUP($G1517,'321買'!$A:$E,4,0),"'沒有資料'")</f>
        <v>650</v>
      </c>
      <c r="T1517" s="186">
        <f>IFERROR(VLOOKUP($G1517,基本資料!$A:$J,9,0),"無")</f>
        <v>0</v>
      </c>
      <c r="U1517" s="307">
        <f t="shared" ref="U1517:U1545" si="262">$T1517/$W1517</f>
        <v>0</v>
      </c>
      <c r="V1517" s="94">
        <f>IFERROR(VLOOKUP($G1517,基本資料!$A:$J,10,0),"無")</f>
        <v>0.02</v>
      </c>
      <c r="W1517" s="36">
        <f>RTD("money.excel",,"2208","Price")</f>
        <v>18.850000000000001</v>
      </c>
      <c r="X1517" s="66"/>
      <c r="Y1517" s="15">
        <f t="shared" ref="Y1517:Y1545" si="263">W1517-X1517</f>
        <v>18.850000000000001</v>
      </c>
      <c r="Z1517" s="3" t="e">
        <f t="shared" ref="Z1517:Z1545" si="264">Y1517/X1517</f>
        <v>#DIV/0!</v>
      </c>
      <c r="AA1517" s="340">
        <f>IFERROR(VLOOKUP($G1517,基本資料!$A:$M,11,0),"無")</f>
        <v>-44.23</v>
      </c>
      <c r="AB1517" s="389">
        <f>IFERROR(VLOOKUP($G1517,基本資料!$A:$M,12,0),"無")</f>
        <v>16.39</v>
      </c>
      <c r="AC1517" s="22" t="s">
        <v>88</v>
      </c>
      <c r="AF1517" s="33">
        <f t="shared" ref="AF1517:AF1545" si="265">AE1517-AD1517</f>
        <v>0</v>
      </c>
      <c r="AG1517" s="117" t="s">
        <v>3217</v>
      </c>
      <c r="AH1517" s="66">
        <f t="shared" si="255"/>
        <v>0.63546934681945244</v>
      </c>
      <c r="AI1517" s="283">
        <f>RTD("money.excel",,$G1517,"PredictVolume")</f>
        <v>1489</v>
      </c>
      <c r="AJ1517" s="391">
        <f>IFERROR(VLOOKUP($G1517,基本資料!$A:$M,13,0),"無")</f>
        <v>2343.15</v>
      </c>
      <c r="AR1517" s="245" t="str">
        <f>INDEX(基本資料!N:N,MATCH($G1517,基本資料!A:A,0))</f>
        <v>低</v>
      </c>
    </row>
    <row r="1518" spans="1:44">
      <c r="A1518" s="343">
        <f>IFERROR(VLOOKUP($G1518,基本資料!$A:$J,3,0),"無")</f>
        <v>529</v>
      </c>
      <c r="B1518" s="79">
        <f>IFERROR(VLOOKUP($G1518,基本資料!$A:$J,4,0),"無")</f>
        <v>814</v>
      </c>
      <c r="C1518" s="79">
        <f>IFERROR(VLOOKUP($G1518,基本資料!$A:$J,5,0),"無")</f>
        <v>721</v>
      </c>
      <c r="D1518" s="79">
        <f>IFERROR(VLOOKUP($G1518,基本資料!$A:$J,6,0),"無")</f>
        <v>-4</v>
      </c>
      <c r="E1518" s="79">
        <f>IFERROR(VLOOKUP($G1518,基本資料!$A:$J,7,0),"無")</f>
        <v>102</v>
      </c>
      <c r="F1518" s="6">
        <f>IFERROR(VLOOKUP($G1518,基本資料!$A:$J,8,0),"無")</f>
        <v>58.21</v>
      </c>
      <c r="G1518" s="79">
        <v>2603</v>
      </c>
      <c r="H1518" s="8" t="s">
        <v>302</v>
      </c>
      <c r="I1518" s="22" t="s">
        <v>264</v>
      </c>
      <c r="J1518" s="8">
        <f>IFERROR(VLOOKUP($G1518,今日總結!$A:$AN,39,0),"")</f>
        <v>0</v>
      </c>
      <c r="K1518" s="5" t="str">
        <f>IFERROR(VLOOKUP($G1518,今日總結!$A:$AN,40,0),"")</f>
        <v>同</v>
      </c>
      <c r="L1518" s="156">
        <f>IFERROR(VLOOKUP($G1518,今日總結!$A:$AN,37,0),"")</f>
        <v>0</v>
      </c>
      <c r="M1518" s="337">
        <f>IFERROR(VLOOKUP($G1518,今日總結!$A:$AN,38,0),"")</f>
        <v>1</v>
      </c>
      <c r="N1518" s="240">
        <f t="shared" ref="N1518:N1545" si="266">IFERROR(L1518-M1518,"")</f>
        <v>-1</v>
      </c>
      <c r="O1518" s="359">
        <f>IFERROR(VLOOKUP($G1518,融外自投!$A:$J,7,0),"無")</f>
        <v>312</v>
      </c>
      <c r="P1518" s="79">
        <f>IFERROR(VLOOKUP($G1518,融外自投!$A:$J,9,0),"無")</f>
        <v>113</v>
      </c>
      <c r="Q1518" s="342">
        <f>IFERROR(VLOOKUP($G1518,融外自投!$A:$J,8,0),"無")</f>
        <v>203</v>
      </c>
      <c r="R1518" s="81">
        <f>IFERROR(VLOOKUP($G1518,融外自投!$A:$J,10,0),"無")</f>
        <v>98</v>
      </c>
      <c r="S1518" s="324">
        <f>IFERROR(VLOOKUP($G1518,'321買'!$A:$E,4,0),"'沒有資料'")</f>
        <v>123</v>
      </c>
      <c r="T1518" s="186">
        <f>IFERROR(VLOOKUP($G1518,基本資料!$A:$J,9,0),"無")</f>
        <v>18</v>
      </c>
      <c r="U1518" s="307">
        <f t="shared" si="262"/>
        <v>0.13090909090909092</v>
      </c>
      <c r="V1518" s="94">
        <f>IFERROR(VLOOKUP($G1518,基本資料!$A:$J,10,0),"無")</f>
        <v>45.57</v>
      </c>
      <c r="W1518" s="36">
        <f>RTD("money.excel",,"2603","Price")</f>
        <v>137.5</v>
      </c>
      <c r="X1518" s="66"/>
      <c r="Y1518" s="15">
        <f t="shared" si="263"/>
        <v>137.5</v>
      </c>
      <c r="Z1518" s="3" t="e">
        <f t="shared" si="264"/>
        <v>#DIV/0!</v>
      </c>
      <c r="AA1518" s="340">
        <f>IFERROR(VLOOKUP($G1518,基本資料!$A:$M,11,0),"無")</f>
        <v>-40.99</v>
      </c>
      <c r="AB1518" s="389">
        <f>IFERROR(VLOOKUP($G1518,基本資料!$A:$M,12,0),"無")</f>
        <v>44.21</v>
      </c>
      <c r="AC1518" s="22" t="s">
        <v>264</v>
      </c>
      <c r="AF1518" s="33">
        <f t="shared" si="265"/>
        <v>0</v>
      </c>
      <c r="AG1518" s="117" t="s">
        <v>3265</v>
      </c>
      <c r="AH1518" s="66">
        <f t="shared" si="255"/>
        <v>1.322212236677542</v>
      </c>
      <c r="AI1518" s="314">
        <f>RTD("money.excel",,$G1518,"PredictVolume")</f>
        <v>126969</v>
      </c>
      <c r="AJ1518" s="391">
        <f>IFERROR(VLOOKUP($G1518,基本資料!$A:$M,13,0),"無")</f>
        <v>96027.7</v>
      </c>
      <c r="AR1518" s="245" t="str">
        <f>INDEX(基本資料!N:N,MATCH($G1518,基本資料!A:A,0))</f>
        <v>中</v>
      </c>
    </row>
    <row r="1519" spans="1:44">
      <c r="A1519" s="343">
        <f>IFERROR(VLOOKUP($G1519,基本資料!$A:$J,3,0),"無")</f>
        <v>58.53</v>
      </c>
      <c r="B1519" s="79">
        <f>IFERROR(VLOOKUP($G1519,基本資料!$A:$J,4,0),"無")</f>
        <v>236</v>
      </c>
      <c r="C1519" s="79">
        <f>IFERROR(VLOOKUP($G1519,基本資料!$A:$J,5,0),"無")</f>
        <v>37</v>
      </c>
      <c r="D1519" s="79">
        <f>IFERROR(VLOOKUP($G1519,基本資料!$A:$J,6,0),"無")</f>
        <v>-27</v>
      </c>
      <c r="E1519" s="79">
        <f>IFERROR(VLOOKUP($G1519,基本資料!$A:$J,7,0),"無")</f>
        <v>-12</v>
      </c>
      <c r="F1519" s="6">
        <f>IFERROR(VLOOKUP($G1519,基本資料!$A:$J,8,0),"無")</f>
        <v>24.77</v>
      </c>
      <c r="G1519" s="79">
        <v>2605</v>
      </c>
      <c r="H1519" s="8" t="s">
        <v>4712</v>
      </c>
      <c r="I1519" s="22" t="s">
        <v>864</v>
      </c>
      <c r="J1519" s="8">
        <f>IFERROR(VLOOKUP($G1519,今日總結!$A:$AN,39,0),"")</f>
        <v>0</v>
      </c>
      <c r="K1519" s="5">
        <f>IFERROR(VLOOKUP($G1519,今日總結!$A:$AN,40,0),"")</f>
        <v>0</v>
      </c>
      <c r="L1519" s="156">
        <f>IFERROR(VLOOKUP($G1519,今日總結!$A:$AN,37,0),"")</f>
        <v>0</v>
      </c>
      <c r="M1519" s="337">
        <f>IFERROR(VLOOKUP($G1519,今日總結!$A:$AN,38,0),"")</f>
        <v>0</v>
      </c>
      <c r="N1519" s="240">
        <f t="shared" si="266"/>
        <v>0</v>
      </c>
      <c r="O1519" s="359">
        <f>IFERROR(VLOOKUP($G1519,融外自投!$A:$J,7,0),"無")</f>
        <v>373</v>
      </c>
      <c r="P1519" s="79">
        <f>IFERROR(VLOOKUP($G1519,融外自投!$A:$J,9,0),"無")</f>
        <v>501</v>
      </c>
      <c r="Q1519" s="342">
        <f>IFERROR(VLOOKUP($G1519,融外自投!$A:$J,8,0),"無")</f>
        <v>137</v>
      </c>
      <c r="R1519" s="81">
        <f>IFERROR(VLOOKUP($G1519,融外自投!$A:$J,10,0),"無")</f>
        <v>203</v>
      </c>
      <c r="S1519" s="324">
        <f>IFERROR(VLOOKUP($G1519,'321買'!$A:$E,4,0),"'沒有資料'")</f>
        <v>214</v>
      </c>
      <c r="T1519" s="186">
        <f>IFERROR(VLOOKUP($G1519,基本資料!$A:$J,9,0),"無")</f>
        <v>1</v>
      </c>
      <c r="U1519" s="307">
        <f t="shared" si="262"/>
        <v>3.7453183520599252E-2</v>
      </c>
      <c r="V1519" s="94">
        <f>IFERROR(VLOOKUP($G1519,基本資料!$A:$J,10,0),"無")</f>
        <v>1.2</v>
      </c>
      <c r="W1519" s="36">
        <f>RTD("money.excel",,"2605","Price")</f>
        <v>26.7</v>
      </c>
      <c r="X1519" s="66"/>
      <c r="Y1519" s="15">
        <f t="shared" si="263"/>
        <v>26.7</v>
      </c>
      <c r="Z1519" s="3" t="e">
        <f t="shared" si="264"/>
        <v>#DIV/0!</v>
      </c>
      <c r="AA1519" s="340">
        <f>IFERROR(VLOOKUP($G1519,基本資料!$A:$M,11,0),"無")</f>
        <v>-54.59</v>
      </c>
      <c r="AB1519" s="389">
        <f>IFERROR(VLOOKUP($G1519,基本資料!$A:$M,12,0),"無")</f>
        <v>32.81</v>
      </c>
      <c r="AC1519" s="22" t="s">
        <v>864</v>
      </c>
      <c r="AF1519" s="33">
        <f t="shared" si="265"/>
        <v>0</v>
      </c>
      <c r="AG1519" s="43" t="s">
        <v>2014</v>
      </c>
      <c r="AH1519" s="66">
        <f t="shared" si="255"/>
        <v>0.22773497808595286</v>
      </c>
      <c r="AI1519" s="283">
        <f>RTD("money.excel",,$G1519,"PredictVolume")</f>
        <v>5856</v>
      </c>
      <c r="AJ1519" s="391">
        <f>IFERROR(VLOOKUP($G1519,基本資料!$A:$M,13,0),"無")</f>
        <v>25714.1</v>
      </c>
      <c r="AR1519" s="245" t="str">
        <f>INDEX(基本資料!N:N,MATCH($G1519,基本資料!A:A,0))</f>
        <v>低</v>
      </c>
    </row>
    <row r="1520" spans="1:44">
      <c r="A1520" s="343">
        <f>IFERROR(VLOOKUP($G1520,基本資料!$A:$J,3,0),"無")</f>
        <v>84.5</v>
      </c>
      <c r="B1520" s="79">
        <f>IFERROR(VLOOKUP($G1520,基本資料!$A:$J,4,0),"無")</f>
        <v>456</v>
      </c>
      <c r="C1520" s="79">
        <f>IFERROR(VLOOKUP($G1520,基本資料!$A:$J,5,0),"無")</f>
        <v>649</v>
      </c>
      <c r="D1520" s="79">
        <f>IFERROR(VLOOKUP($G1520,基本資料!$A:$J,6,0),"無")</f>
        <v>-4</v>
      </c>
      <c r="E1520" s="79">
        <f>IFERROR(VLOOKUP($G1520,基本資料!$A:$J,7,0),"無")</f>
        <v>2</v>
      </c>
      <c r="F1520" s="6">
        <f>IFERROR(VLOOKUP($G1520,基本資料!$A:$J,8,0),"無")</f>
        <v>27.18</v>
      </c>
      <c r="G1520" s="79">
        <v>2606</v>
      </c>
      <c r="H1520" s="8" t="s">
        <v>302</v>
      </c>
      <c r="I1520" s="22" t="s">
        <v>4618</v>
      </c>
      <c r="J1520" s="8">
        <f>IFERROR(VLOOKUP($G1520,今日總結!$A:$AN,39,0),"")</f>
        <v>0</v>
      </c>
      <c r="K1520" s="5" t="str">
        <f>IFERROR(VLOOKUP($G1520,今日總結!$A:$AN,40,0),"")</f>
        <v>6投</v>
      </c>
      <c r="L1520" s="156">
        <f>IFERROR(VLOOKUP($G1520,今日總結!$A:$AN,37,0),"")</f>
        <v>0</v>
      </c>
      <c r="M1520" s="337">
        <f>IFERROR(VLOOKUP($G1520,今日總結!$A:$AN,38,0),"")</f>
        <v>2</v>
      </c>
      <c r="N1520" s="240">
        <f t="shared" si="266"/>
        <v>-2</v>
      </c>
      <c r="O1520" s="359">
        <f>IFERROR(VLOOKUP($G1520,融外自投!$A:$J,7,0),"無")</f>
        <v>611</v>
      </c>
      <c r="P1520" s="79">
        <f>IFERROR(VLOOKUP($G1520,融外自投!$A:$J,9,0),"無")</f>
        <v>147</v>
      </c>
      <c r="Q1520" s="342">
        <f>IFERROR(VLOOKUP($G1520,融外自投!$A:$J,8,0),"無")</f>
        <v>484</v>
      </c>
      <c r="R1520" s="81">
        <f>IFERROR(VLOOKUP($G1520,融外自投!$A:$J,10,0),"無")</f>
        <v>26</v>
      </c>
      <c r="S1520" s="324">
        <f>IFERROR(VLOOKUP($G1520,'321買'!$A:$E,4,0),"'沒有資料'")</f>
        <v>164</v>
      </c>
      <c r="T1520" s="186">
        <f>IFERROR(VLOOKUP($G1520,基本資料!$A:$J,9,0),"無")</f>
        <v>3</v>
      </c>
      <c r="U1520" s="307">
        <f t="shared" si="262"/>
        <v>4.8859934853420196E-2</v>
      </c>
      <c r="V1520" s="94">
        <f>IFERROR(VLOOKUP($G1520,基本資料!$A:$J,10,0),"無")</f>
        <v>5.79</v>
      </c>
      <c r="W1520" s="36">
        <f>RTD("money.excel",,"2606","Price")</f>
        <v>61.4</v>
      </c>
      <c r="X1520" s="66"/>
      <c r="Y1520" s="15">
        <f t="shared" si="263"/>
        <v>61.4</v>
      </c>
      <c r="Z1520" s="3" t="e">
        <f t="shared" si="264"/>
        <v>#DIV/0!</v>
      </c>
      <c r="AA1520" s="340">
        <f>IFERROR(VLOOKUP($G1520,基本資料!$A:$M,11,0),"無")</f>
        <v>-36.31</v>
      </c>
      <c r="AB1520" s="389">
        <f>IFERROR(VLOOKUP($G1520,基本資料!$A:$M,12,0),"無")</f>
        <v>45.73</v>
      </c>
      <c r="AC1520" s="22" t="s">
        <v>4618</v>
      </c>
      <c r="AF1520" s="33">
        <f t="shared" si="265"/>
        <v>0</v>
      </c>
      <c r="AG1520" s="117" t="s">
        <v>3266</v>
      </c>
      <c r="AH1520" s="66">
        <f t="shared" si="255"/>
        <v>0.77405372585562071</v>
      </c>
      <c r="AI1520" s="283">
        <f>RTD("money.excel",,$G1520,"PredictVolume")</f>
        <v>18358</v>
      </c>
      <c r="AJ1520" s="391">
        <f>IFERROR(VLOOKUP($G1520,基本資料!$A:$M,13,0),"無")</f>
        <v>23716.7</v>
      </c>
      <c r="AR1520" s="245" t="str">
        <f>INDEX(基本資料!N:N,MATCH($G1520,基本資料!A:A,0))</f>
        <v>中</v>
      </c>
    </row>
    <row r="1521" spans="1:44">
      <c r="A1521" s="343">
        <f>IFERROR(VLOOKUP($G1521,基本資料!$A:$J,3,0),"無")</f>
        <v>106</v>
      </c>
      <c r="B1521" s="79">
        <f>IFERROR(VLOOKUP($G1521,基本資料!$A:$J,4,0),"無")</f>
        <v>58</v>
      </c>
      <c r="C1521" s="79">
        <f>IFERROR(VLOOKUP($G1521,基本資料!$A:$J,5,0),"無")</f>
        <v>28</v>
      </c>
      <c r="D1521" s="79">
        <f>IFERROR(VLOOKUP($G1521,基本資料!$A:$J,6,0),"無")</f>
        <v>-1</v>
      </c>
      <c r="E1521" s="79">
        <f>IFERROR(VLOOKUP($G1521,基本資料!$A:$J,7,0),"無")</f>
        <v>153</v>
      </c>
      <c r="F1521" s="6">
        <f>IFERROR(VLOOKUP($G1521,基本資料!$A:$J,8,0),"無")</f>
        <v>10.8</v>
      </c>
      <c r="G1521" s="79">
        <v>2607</v>
      </c>
      <c r="H1521" s="8" t="s">
        <v>4712</v>
      </c>
      <c r="I1521" s="22" t="s">
        <v>113</v>
      </c>
      <c r="J1521" s="8">
        <f>IFERROR(VLOOKUP($G1521,今日總結!$A:$AN,39,0),"")</f>
        <v>0</v>
      </c>
      <c r="K1521" s="5" t="str">
        <f>IFERROR(VLOOKUP($G1521,今日總結!$A:$AN,40,0),"")</f>
        <v>融</v>
      </c>
      <c r="L1521" s="156">
        <f>IFERROR(VLOOKUP($G1521,今日總結!$A:$AN,37,0),"")</f>
        <v>0</v>
      </c>
      <c r="M1521" s="337">
        <f>IFERROR(VLOOKUP($G1521,今日總結!$A:$AN,38,0),"")</f>
        <v>3</v>
      </c>
      <c r="N1521" s="240">
        <f t="shared" si="266"/>
        <v>-3</v>
      </c>
      <c r="O1521" s="359">
        <f>IFERROR(VLOOKUP($G1521,融外自投!$A:$J,7,0),"無")</f>
        <v>610</v>
      </c>
      <c r="P1521" s="79">
        <f>IFERROR(VLOOKUP($G1521,融外自投!$A:$J,9,0),"無")</f>
        <v>293</v>
      </c>
      <c r="Q1521" s="342">
        <f>IFERROR(VLOOKUP($G1521,融外自投!$A:$J,8,0),"無")</f>
        <v>611</v>
      </c>
      <c r="R1521" s="81" t="str">
        <f>IFERROR(VLOOKUP($G1521,融外自投!$A:$J,10,0),"無")</f>
        <v>無</v>
      </c>
      <c r="S1521" s="324">
        <f>IFERROR(VLOOKUP($G1521,'321買'!$A:$E,4,0),"'沒有資料'")</f>
        <v>366</v>
      </c>
      <c r="T1521" s="186">
        <f>IFERROR(VLOOKUP($G1521,基本資料!$A:$J,9,0),"無")</f>
        <v>0.4</v>
      </c>
      <c r="U1521" s="307">
        <f t="shared" si="262"/>
        <v>1.149425287356322E-2</v>
      </c>
      <c r="V1521" s="94">
        <f>IFERROR(VLOOKUP($G1521,基本資料!$A:$J,10,0),"無")</f>
        <v>1</v>
      </c>
      <c r="W1521" s="36">
        <f>RTD("money.excel",,"2607","Price")</f>
        <v>34.799999999999997</v>
      </c>
      <c r="X1521" s="66"/>
      <c r="Y1521" s="15">
        <f t="shared" si="263"/>
        <v>34.799999999999997</v>
      </c>
      <c r="Z1521" s="3" t="e">
        <f t="shared" si="264"/>
        <v>#DIV/0!</v>
      </c>
      <c r="AA1521" s="340">
        <f>IFERROR(VLOOKUP($G1521,基本資料!$A:$M,11,0),"無")</f>
        <v>-33.08</v>
      </c>
      <c r="AB1521" s="389">
        <f>IFERROR(VLOOKUP($G1521,基本資料!$A:$M,12,0),"無")</f>
        <v>27.04</v>
      </c>
      <c r="AC1521" s="22" t="s">
        <v>113</v>
      </c>
      <c r="AF1521" s="33">
        <f t="shared" si="265"/>
        <v>0</v>
      </c>
      <c r="AG1521" s="117" t="s">
        <v>3267</v>
      </c>
      <c r="AH1521" s="66">
        <f t="shared" si="255"/>
        <v>0.29019914041122391</v>
      </c>
      <c r="AI1521" s="283">
        <f>RTD("money.excel",,$G1521,"PredictVolume")</f>
        <v>8251</v>
      </c>
      <c r="AJ1521" s="391">
        <f>IFERROR(VLOOKUP($G1521,基本資料!$A:$M,13,0),"無")</f>
        <v>28432.2</v>
      </c>
      <c r="AR1521" s="245" t="str">
        <f>INDEX(基本資料!N:N,MATCH($G1521,基本資料!A:A,0))</f>
        <v>中</v>
      </c>
    </row>
    <row r="1522" spans="1:44">
      <c r="A1522" s="343">
        <f>IFERROR(VLOOKUP($G1522,基本資料!$A:$J,3,0),"無")</f>
        <v>46.7</v>
      </c>
      <c r="B1522" s="79">
        <f>IFERROR(VLOOKUP($G1522,基本資料!$A:$J,4,0),"無")</f>
        <v>-5</v>
      </c>
      <c r="C1522" s="79">
        <f>IFERROR(VLOOKUP($G1522,基本資料!$A:$J,5,0),"無")</f>
        <v>-7</v>
      </c>
      <c r="D1522" s="79">
        <f>IFERROR(VLOOKUP($G1522,基本資料!$A:$J,6,0),"無")</f>
        <v>-11</v>
      </c>
      <c r="E1522" s="79">
        <f>IFERROR(VLOOKUP($G1522,基本資料!$A:$J,7,0),"無")</f>
        <v>4</v>
      </c>
      <c r="F1522" s="6">
        <f>IFERROR(VLOOKUP($G1522,基本資料!$A:$J,8,0),"無")</f>
        <v>13.9</v>
      </c>
      <c r="G1522" s="79">
        <v>2608</v>
      </c>
      <c r="H1522" s="8" t="s">
        <v>4712</v>
      </c>
      <c r="I1522" s="22" t="s">
        <v>1115</v>
      </c>
      <c r="J1522" s="8">
        <f>IFERROR(VLOOKUP($G1522,今日總結!$A:$AN,39,0),"")</f>
        <v>0</v>
      </c>
      <c r="K1522" s="5" t="str">
        <f>IFERROR(VLOOKUP($G1522,今日總結!$A:$AN,40,0),"")</f>
        <v>融</v>
      </c>
      <c r="L1522" s="156">
        <f>IFERROR(VLOOKUP($G1522,今日總結!$A:$AN,37,0),"")</f>
        <v>0</v>
      </c>
      <c r="M1522" s="337">
        <f>IFERROR(VLOOKUP($G1522,今日總結!$A:$AN,38,0),"")</f>
        <v>3</v>
      </c>
      <c r="N1522" s="240">
        <f t="shared" si="266"/>
        <v>-3</v>
      </c>
      <c r="O1522" s="359">
        <f>IFERROR(VLOOKUP($G1522,融外自投!$A:$J,7,0),"無")</f>
        <v>918</v>
      </c>
      <c r="P1522" s="79">
        <f>IFERROR(VLOOKUP($G1522,融外自投!$A:$J,9,0),"無")</f>
        <v>286</v>
      </c>
      <c r="Q1522" s="342">
        <f>IFERROR(VLOOKUP($G1522,融外自投!$A:$J,8,0),"無")</f>
        <v>816</v>
      </c>
      <c r="R1522" s="81" t="str">
        <f>IFERROR(VLOOKUP($G1522,融外自投!$A:$J,10,0),"無")</f>
        <v>無</v>
      </c>
      <c r="S1522" s="324">
        <f>IFERROR(VLOOKUP($G1522,'321買'!$A:$E,4,0),"'沒有資料'")</f>
        <v>891</v>
      </c>
      <c r="T1522" s="186">
        <f>IFERROR(VLOOKUP($G1522,基本資料!$A:$J,9,0),"無")</f>
        <v>1.65</v>
      </c>
      <c r="U1522" s="307">
        <f t="shared" si="262"/>
        <v>3.891509433962264E-2</v>
      </c>
      <c r="V1522" s="94">
        <f>IFERROR(VLOOKUP($G1522,基本資料!$A:$J,10,0),"無")</f>
        <v>2.99</v>
      </c>
      <c r="W1522" s="36">
        <f>RTD("money.excel",,"2608","Price")</f>
        <v>42.4</v>
      </c>
      <c r="X1522" s="66"/>
      <c r="Y1522" s="15">
        <f t="shared" si="263"/>
        <v>42.4</v>
      </c>
      <c r="Z1522" s="3" t="e">
        <f t="shared" si="264"/>
        <v>#DIV/0!</v>
      </c>
      <c r="AA1522" s="340">
        <f>IFERROR(VLOOKUP($G1522,基本資料!$A:$M,11,0),"無")</f>
        <v>-47.26</v>
      </c>
      <c r="AB1522" s="389">
        <f>IFERROR(VLOOKUP($G1522,基本資料!$A:$M,12,0),"無")</f>
        <v>23.28</v>
      </c>
      <c r="AC1522" s="22" t="s">
        <v>1115</v>
      </c>
      <c r="AF1522" s="33">
        <f t="shared" si="265"/>
        <v>0</v>
      </c>
      <c r="AG1522" s="117" t="s">
        <v>3268</v>
      </c>
      <c r="AH1522" s="66">
        <f t="shared" si="255"/>
        <v>0.17063989962358847</v>
      </c>
      <c r="AI1522" s="283">
        <f>RTD("money.excel",,$G1522,"PredictVolume")</f>
        <v>1088</v>
      </c>
      <c r="AJ1522" s="391">
        <f>IFERROR(VLOOKUP($G1522,基本資料!$A:$M,13,0),"無")</f>
        <v>6376</v>
      </c>
      <c r="AR1522" s="245" t="str">
        <f>INDEX(基本資料!N:N,MATCH($G1522,基本資料!A:A,0))</f>
        <v>低</v>
      </c>
    </row>
    <row r="1523" spans="1:44">
      <c r="A1523" s="343">
        <f>IFERROR(VLOOKUP($G1523,基本資料!$A:$J,3,0),"無")</f>
        <v>349</v>
      </c>
      <c r="B1523" s="79">
        <f>IFERROR(VLOOKUP($G1523,基本資料!$A:$J,4,0),"無")</f>
        <v>1258</v>
      </c>
      <c r="C1523" s="79">
        <f>IFERROR(VLOOKUP($G1523,基本資料!$A:$J,5,0),"無")</f>
        <v>945</v>
      </c>
      <c r="D1523" s="79">
        <f>IFERROR(VLOOKUP($G1523,基本資料!$A:$J,6,0),"無")</f>
        <v>-2</v>
      </c>
      <c r="E1523" s="79">
        <f>IFERROR(VLOOKUP($G1523,基本資料!$A:$J,7,0),"無")</f>
        <v>69</v>
      </c>
      <c r="F1523" s="6">
        <f>IFERROR(VLOOKUP($G1523,基本資料!$A:$J,8,0),"無")</f>
        <v>60.95</v>
      </c>
      <c r="G1523" s="79">
        <v>2609</v>
      </c>
      <c r="H1523" s="8" t="s">
        <v>302</v>
      </c>
      <c r="I1523" s="22" t="s">
        <v>865</v>
      </c>
      <c r="J1523" s="8">
        <f>IFERROR(VLOOKUP($G1523,今日總結!$A:$AN,39,0),"")</f>
        <v>0</v>
      </c>
      <c r="K1523" s="5" t="str">
        <f>IFERROR(VLOOKUP($G1523,今日總結!$A:$AN,40,0),"")</f>
        <v>同</v>
      </c>
      <c r="L1523" s="156">
        <f>IFERROR(VLOOKUP($G1523,今日總結!$A:$AN,37,0),"")</f>
        <v>0</v>
      </c>
      <c r="M1523" s="337">
        <f>IFERROR(VLOOKUP($G1523,今日總結!$A:$AN,38,0),"")</f>
        <v>1</v>
      </c>
      <c r="N1523" s="240">
        <f t="shared" si="266"/>
        <v>-1</v>
      </c>
      <c r="O1523" s="359">
        <f>IFERROR(VLOOKUP($G1523,融外自投!$A:$J,7,0),"無")</f>
        <v>291</v>
      </c>
      <c r="P1523" s="79">
        <f>IFERROR(VLOOKUP($G1523,融外自投!$A:$J,9,0),"無")</f>
        <v>649</v>
      </c>
      <c r="Q1523" s="342">
        <f>IFERROR(VLOOKUP($G1523,融外自投!$A:$J,8,0),"無")</f>
        <v>348</v>
      </c>
      <c r="R1523" s="81">
        <f>IFERROR(VLOOKUP($G1523,融外自投!$A:$J,10,0),"無")</f>
        <v>208</v>
      </c>
      <c r="S1523" s="324">
        <f>IFERROR(VLOOKUP($G1523,'321買'!$A:$E,4,0),"'沒有資料'")</f>
        <v>178</v>
      </c>
      <c r="T1523" s="186">
        <f>IFERROR(VLOOKUP($G1523,基本資料!$A:$J,9,0),"無")</f>
        <v>20</v>
      </c>
      <c r="U1523" s="307">
        <f t="shared" si="262"/>
        <v>0.16806722689075632</v>
      </c>
      <c r="V1523" s="94">
        <f>IFERROR(VLOOKUP($G1523,基本資料!$A:$J,10,0),"無")</f>
        <v>48.73</v>
      </c>
      <c r="W1523" s="36">
        <f>RTD("money.excel",,"2609","Price")</f>
        <v>119</v>
      </c>
      <c r="X1523" s="66"/>
      <c r="Y1523" s="15">
        <f t="shared" si="263"/>
        <v>119</v>
      </c>
      <c r="Z1523" s="3" t="e">
        <f t="shared" si="264"/>
        <v>#DIV/0!</v>
      </c>
      <c r="AA1523" s="340">
        <f>IFERROR(VLOOKUP($G1523,基本資料!$A:$M,11,0),"無")</f>
        <v>-49.25</v>
      </c>
      <c r="AB1523" s="389">
        <f>IFERROR(VLOOKUP($G1523,基本資料!$A:$M,12,0),"無")</f>
        <v>39.04</v>
      </c>
      <c r="AC1523" s="22" t="s">
        <v>865</v>
      </c>
      <c r="AF1523" s="33">
        <f t="shared" si="265"/>
        <v>0</v>
      </c>
      <c r="AG1523" s="43" t="s">
        <v>3265</v>
      </c>
      <c r="AH1523" s="66">
        <f t="shared" si="255"/>
        <v>1.4191223036207126</v>
      </c>
      <c r="AI1523" s="314">
        <f>RTD("money.excel",,$G1523,"PredictVolume")</f>
        <v>72604</v>
      </c>
      <c r="AJ1523" s="391">
        <f>IFERROR(VLOOKUP($G1523,基本資料!$A:$M,13,0),"無")</f>
        <v>51161.2</v>
      </c>
      <c r="AR1523" s="245" t="str">
        <f>INDEX(基本資料!N:N,MATCH($G1523,基本資料!A:A,0))</f>
        <v>中</v>
      </c>
    </row>
    <row r="1524" spans="1:44">
      <c r="A1524" s="343">
        <f>IFERROR(VLOOKUP($G1524,基本資料!$A:$J,3,0),"無")</f>
        <v>599</v>
      </c>
      <c r="B1524" s="79">
        <f>IFERROR(VLOOKUP($G1524,基本資料!$A:$J,4,0),"無")</f>
        <v>3300</v>
      </c>
      <c r="C1524" s="79">
        <f>IFERROR(VLOOKUP($G1524,基本資料!$A:$J,5,0),"無")</f>
        <v>585</v>
      </c>
      <c r="D1524" s="79">
        <f>IFERROR(VLOOKUP($G1524,基本資料!$A:$J,6,0),"無")</f>
        <v>0</v>
      </c>
      <c r="E1524" s="79">
        <f>IFERROR(VLOOKUP($G1524,基本資料!$A:$J,7,0),"無")</f>
        <v>12</v>
      </c>
      <c r="F1524" s="6">
        <f>IFERROR(VLOOKUP($G1524,基本資料!$A:$J,8,0),"無")</f>
        <v>10.78</v>
      </c>
      <c r="G1524" s="79">
        <v>2610</v>
      </c>
      <c r="H1524" s="8" t="s">
        <v>4712</v>
      </c>
      <c r="I1524" s="22" t="s">
        <v>24</v>
      </c>
      <c r="J1524" s="8">
        <f>IFERROR(VLOOKUP($G1524,今日總結!$A:$AN,39,0),"")</f>
        <v>0</v>
      </c>
      <c r="K1524" s="5" t="str">
        <f>IFERROR(VLOOKUP($G1524,今日總結!$A:$AN,40,0),"")</f>
        <v>主</v>
      </c>
      <c r="L1524" s="156">
        <f>IFERROR(VLOOKUP($G1524,今日總結!$A:$AN,37,0),"")</f>
        <v>0</v>
      </c>
      <c r="M1524" s="337">
        <f>IFERROR(VLOOKUP($G1524,今日總結!$A:$AN,38,0),"")</f>
        <v>4</v>
      </c>
      <c r="N1524" s="240">
        <f t="shared" si="266"/>
        <v>-4</v>
      </c>
      <c r="O1524" s="359">
        <f>IFERROR(VLOOKUP($G1524,融外自投!$A:$J,7,0),"無")</f>
        <v>408</v>
      </c>
      <c r="P1524" s="79">
        <f>IFERROR(VLOOKUP($G1524,融外自投!$A:$J,9,0),"無")</f>
        <v>990</v>
      </c>
      <c r="Q1524" s="342">
        <f>IFERROR(VLOOKUP($G1524,融外自投!$A:$J,8,0),"無")</f>
        <v>356</v>
      </c>
      <c r="R1524" s="81">
        <f>IFERROR(VLOOKUP($G1524,融外自投!$A:$J,10,0),"無")</f>
        <v>124</v>
      </c>
      <c r="S1524" s="324">
        <f>IFERROR(VLOOKUP($G1524,'321買'!$A:$E,4,0),"'沒有資料'")</f>
        <v>101</v>
      </c>
      <c r="T1524" s="186">
        <f>IFERROR(VLOOKUP($G1524,基本資料!$A:$J,9,0),"無")</f>
        <v>0.84</v>
      </c>
      <c r="U1524" s="307">
        <f t="shared" si="262"/>
        <v>3.320158102766798E-2</v>
      </c>
      <c r="V1524" s="94">
        <f>IFERROR(VLOOKUP($G1524,基本資料!$A:$J,10,0),"無")</f>
        <v>1.67</v>
      </c>
      <c r="W1524" s="36">
        <f>RTD("money.excel",,"2610","Price")</f>
        <v>25.3</v>
      </c>
      <c r="X1524" s="66"/>
      <c r="Y1524" s="15">
        <f t="shared" si="263"/>
        <v>25.3</v>
      </c>
      <c r="Z1524" s="3" t="e">
        <f t="shared" si="264"/>
        <v>#DIV/0!</v>
      </c>
      <c r="AA1524" s="340">
        <f>IFERROR(VLOOKUP($G1524,基本資料!$A:$M,11,0),"無")</f>
        <v>-20.81</v>
      </c>
      <c r="AB1524" s="389">
        <f>IFERROR(VLOOKUP($G1524,基本資料!$A:$M,12,0),"無")</f>
        <v>36.83</v>
      </c>
      <c r="AC1524" s="22" t="s">
        <v>24</v>
      </c>
      <c r="AF1524" s="33">
        <f t="shared" si="265"/>
        <v>0</v>
      </c>
      <c r="AG1524" s="117" t="s">
        <v>3269</v>
      </c>
      <c r="AH1524" s="66">
        <f t="shared" si="255"/>
        <v>0.46474441556566087</v>
      </c>
      <c r="AI1524" s="314">
        <f>RTD("money.excel",,$G1524,"PredictVolume")</f>
        <v>75306</v>
      </c>
      <c r="AJ1524" s="391">
        <f>IFERROR(VLOOKUP($G1524,基本資料!$A:$M,13,0),"無")</f>
        <v>162037.45000000001</v>
      </c>
      <c r="AR1524" s="245" t="str">
        <f>INDEX(基本資料!N:N,MATCH($G1524,基本資料!A:A,0))</f>
        <v>中</v>
      </c>
    </row>
    <row r="1525" spans="1:44">
      <c r="A1525" s="343">
        <f>IFERROR(VLOOKUP($G1525,基本資料!$A:$J,3,0),"無")</f>
        <v>17.18</v>
      </c>
      <c r="B1525" s="79">
        <f>IFERROR(VLOOKUP($G1525,基本資料!$A:$J,4,0),"無")</f>
        <v>617</v>
      </c>
      <c r="C1525" s="79">
        <f>IFERROR(VLOOKUP($G1525,基本資料!$A:$J,5,0),"無")</f>
        <v>78</v>
      </c>
      <c r="D1525" s="79">
        <f>IFERROR(VLOOKUP($G1525,基本資料!$A:$J,6,0),"無")</f>
        <v>8</v>
      </c>
      <c r="E1525" s="79">
        <f>IFERROR(VLOOKUP($G1525,基本資料!$A:$J,7,0),"無")</f>
        <v>11</v>
      </c>
      <c r="F1525" s="6">
        <f>IFERROR(VLOOKUP($G1525,基本資料!$A:$J,8,0),"無")</f>
        <v>-4.0199999999999996</v>
      </c>
      <c r="G1525" s="79">
        <v>2611</v>
      </c>
      <c r="H1525" s="8" t="s">
        <v>4712</v>
      </c>
      <c r="I1525" s="22" t="s">
        <v>866</v>
      </c>
      <c r="J1525" s="8">
        <f>IFERROR(VLOOKUP($G1525,今日總結!$A:$AN,39,0),"")</f>
        <v>4</v>
      </c>
      <c r="K1525" s="5" t="str">
        <f>IFERROR(VLOOKUP($G1525,今日總結!$A:$AN,40,0),"")</f>
        <v>7融</v>
      </c>
      <c r="L1525" s="156">
        <f>IFERROR(VLOOKUP($G1525,今日總結!$A:$AN,37,0),"")</f>
        <v>1</v>
      </c>
      <c r="M1525" s="337">
        <f>IFERROR(VLOOKUP($G1525,今日總結!$A:$AN,38,0),"")</f>
        <v>5</v>
      </c>
      <c r="N1525" s="240">
        <f t="shared" si="266"/>
        <v>-4</v>
      </c>
      <c r="O1525" s="359">
        <f>IFERROR(VLOOKUP($G1525,融外自投!$A:$J,7,0),"無")</f>
        <v>346</v>
      </c>
      <c r="P1525" s="79">
        <f>IFERROR(VLOOKUP($G1525,融外自投!$A:$J,9,0),"無")</f>
        <v>182</v>
      </c>
      <c r="Q1525" s="342">
        <f>IFERROR(VLOOKUP($G1525,融外自投!$A:$J,8,0),"無")</f>
        <v>1130</v>
      </c>
      <c r="R1525" s="81" t="str">
        <f>IFERROR(VLOOKUP($G1525,融外自投!$A:$J,10,0),"無")</f>
        <v>無</v>
      </c>
      <c r="S1525" s="324">
        <f>IFERROR(VLOOKUP($G1525,'321買'!$A:$E,4,0),"'沒有資料'")</f>
        <v>77</v>
      </c>
      <c r="T1525" s="186">
        <f>IFERROR(VLOOKUP($G1525,基本資料!$A:$J,9,0),"無")</f>
        <v>2</v>
      </c>
      <c r="U1525" s="307">
        <f t="shared" si="262"/>
        <v>9.0497737556561084E-2</v>
      </c>
      <c r="V1525" s="94">
        <f>IFERROR(VLOOKUP($G1525,基本資料!$A:$J,10,0),"無")</f>
        <v>1.69</v>
      </c>
      <c r="W1525" s="36">
        <f>RTD("money.excel",,"2611","Price")</f>
        <v>22.1</v>
      </c>
      <c r="X1525" s="66"/>
      <c r="Y1525" s="15">
        <f t="shared" si="263"/>
        <v>22.1</v>
      </c>
      <c r="Z1525" s="3" t="e">
        <f t="shared" si="264"/>
        <v>#DIV/0!</v>
      </c>
      <c r="AA1525" s="340">
        <f>IFERROR(VLOOKUP($G1525,基本資料!$A:$M,11,0),"無")</f>
        <v>-51.96</v>
      </c>
      <c r="AB1525" s="389">
        <f>IFERROR(VLOOKUP($G1525,基本資料!$A:$M,12,0),"無")</f>
        <v>30.46</v>
      </c>
      <c r="AC1525" s="22" t="s">
        <v>866</v>
      </c>
      <c r="AF1525" s="33">
        <f t="shared" si="265"/>
        <v>0</v>
      </c>
      <c r="AG1525" s="43" t="s">
        <v>1529</v>
      </c>
      <c r="AH1525" s="66">
        <f t="shared" si="255"/>
        <v>0.59454026755560552</v>
      </c>
      <c r="AI1525" s="283">
        <f>RTD("money.excel",,$G1525,"PredictVolume")</f>
        <v>4762</v>
      </c>
      <c r="AJ1525" s="391">
        <f>IFERROR(VLOOKUP($G1525,基本資料!$A:$M,13,0),"無")</f>
        <v>8009.55</v>
      </c>
      <c r="AR1525" s="245" t="str">
        <f>INDEX(基本資料!N:N,MATCH($G1525,基本資料!A:A,0))</f>
        <v>低</v>
      </c>
    </row>
    <row r="1526" spans="1:44">
      <c r="A1526" s="343">
        <f>IFERROR(VLOOKUP($G1526,基本資料!$A:$J,3,0),"無")</f>
        <v>19.739999999999998</v>
      </c>
      <c r="B1526" s="79">
        <f>IFERROR(VLOOKUP($G1526,基本資料!$A:$J,4,0),"無")</f>
        <v>221</v>
      </c>
      <c r="C1526" s="79">
        <f>IFERROR(VLOOKUP($G1526,基本資料!$A:$J,5,0),"無")</f>
        <v>123</v>
      </c>
      <c r="D1526" s="79">
        <f>IFERROR(VLOOKUP($G1526,基本資料!$A:$J,6,0),"無")</f>
        <v>4</v>
      </c>
      <c r="E1526" s="79">
        <f>IFERROR(VLOOKUP($G1526,基本資料!$A:$J,7,0),"無")</f>
        <v>49</v>
      </c>
      <c r="F1526" s="6">
        <f>IFERROR(VLOOKUP($G1526,基本資料!$A:$J,8,0),"無")</f>
        <v>9.9600000000000009</v>
      </c>
      <c r="G1526" s="79">
        <v>2612</v>
      </c>
      <c r="H1526" s="8" t="s">
        <v>302</v>
      </c>
      <c r="I1526" s="22" t="s">
        <v>867</v>
      </c>
      <c r="J1526" s="8">
        <f>IFERROR(VLOOKUP($G1526,今日總結!$A:$AN,39,0),"")</f>
        <v>0</v>
      </c>
      <c r="K1526" s="5" t="str">
        <f>IFERROR(VLOOKUP($G1526,今日總結!$A:$AN,40,0),"")</f>
        <v>借</v>
      </c>
      <c r="L1526" s="156">
        <f>IFERROR(VLOOKUP($G1526,今日總結!$A:$AN,37,0),"")</f>
        <v>0</v>
      </c>
      <c r="M1526" s="337">
        <f>IFERROR(VLOOKUP($G1526,今日總結!$A:$AN,38,0),"")</f>
        <v>6</v>
      </c>
      <c r="N1526" s="240">
        <f t="shared" si="266"/>
        <v>-6</v>
      </c>
      <c r="O1526" s="359">
        <f>IFERROR(VLOOKUP($G1526,融外自投!$A:$J,7,0),"無")</f>
        <v>376</v>
      </c>
      <c r="P1526" s="79">
        <f>IFERROR(VLOOKUP($G1526,融外自投!$A:$J,9,0),"無")</f>
        <v>869</v>
      </c>
      <c r="Q1526" s="342">
        <f>IFERROR(VLOOKUP($G1526,融外自投!$A:$J,8,0),"無")</f>
        <v>988</v>
      </c>
      <c r="R1526" s="81">
        <f>IFERROR(VLOOKUP($G1526,融外自投!$A:$J,10,0),"無")</f>
        <v>495</v>
      </c>
      <c r="S1526" s="324">
        <f>IFERROR(VLOOKUP($G1526,'321買'!$A:$E,4,0),"'沒有資料'")</f>
        <v>202</v>
      </c>
      <c r="T1526" s="186">
        <f>IFERROR(VLOOKUP($G1526,基本資料!$A:$J,9,0),"無")</f>
        <v>2.68</v>
      </c>
      <c r="U1526" s="307">
        <f t="shared" si="262"/>
        <v>5.2446183953033271E-2</v>
      </c>
      <c r="V1526" s="94">
        <f>IFERROR(VLOOKUP($G1526,基本資料!$A:$J,10,0),"無")</f>
        <v>5.27</v>
      </c>
      <c r="W1526" s="36">
        <f>RTD("money.excel",,"2612","Price")</f>
        <v>51.1</v>
      </c>
      <c r="X1526" s="66"/>
      <c r="Y1526" s="15">
        <f t="shared" si="263"/>
        <v>51.1</v>
      </c>
      <c r="Z1526" s="3" t="e">
        <f t="shared" si="264"/>
        <v>#DIV/0!</v>
      </c>
      <c r="AA1526" s="340">
        <f>IFERROR(VLOOKUP($G1526,基本資料!$A:$M,11,0),"無")</f>
        <v>-44.88</v>
      </c>
      <c r="AB1526" s="389">
        <f>IFERROR(VLOOKUP($G1526,基本資料!$A:$M,12,0),"無")</f>
        <v>28.31</v>
      </c>
      <c r="AC1526" s="22" t="s">
        <v>867</v>
      </c>
      <c r="AF1526" s="33">
        <f t="shared" si="265"/>
        <v>0</v>
      </c>
      <c r="AG1526" s="43" t="s">
        <v>2105</v>
      </c>
      <c r="AH1526" s="66">
        <f t="shared" si="255"/>
        <v>0.76051809165959139</v>
      </c>
      <c r="AI1526" s="283">
        <f>RTD("money.excel",,$G1526,"PredictVolume")</f>
        <v>2105</v>
      </c>
      <c r="AJ1526" s="391">
        <f>IFERROR(VLOOKUP($G1526,基本資料!$A:$M,13,0),"無")</f>
        <v>2767.85</v>
      </c>
      <c r="AR1526" s="245" t="str">
        <f>INDEX(基本資料!N:N,MATCH($G1526,基本資料!A:A,0))</f>
        <v>低</v>
      </c>
    </row>
    <row r="1527" spans="1:44">
      <c r="A1527" s="343">
        <f>IFERROR(VLOOKUP($G1527,基本資料!$A:$J,3,0),"無")</f>
        <v>14.84</v>
      </c>
      <c r="B1527" s="79">
        <f>IFERROR(VLOOKUP($G1527,基本資料!$A:$J,4,0),"無")</f>
        <v>620</v>
      </c>
      <c r="C1527" s="79">
        <f>IFERROR(VLOOKUP($G1527,基本資料!$A:$J,5,0),"無")</f>
        <v>97</v>
      </c>
      <c r="D1527" s="79">
        <f>IFERROR(VLOOKUP($G1527,基本資料!$A:$J,6,0),"無")</f>
        <v>-5</v>
      </c>
      <c r="E1527" s="79">
        <f>IFERROR(VLOOKUP($G1527,基本資料!$A:$J,7,0),"無")</f>
        <v>3</v>
      </c>
      <c r="F1527" s="6">
        <f>IFERROR(VLOOKUP($G1527,基本資料!$A:$J,8,0),"無")</f>
        <v>11.41</v>
      </c>
      <c r="G1527" s="79">
        <v>2613</v>
      </c>
      <c r="H1527" s="8" t="s">
        <v>4712</v>
      </c>
      <c r="I1527" s="22" t="s">
        <v>868</v>
      </c>
      <c r="J1527" s="8" t="str">
        <f>IFERROR(VLOOKUP($G1527,今日總結!$A:$AN,39,0),"")</f>
        <v>外</v>
      </c>
      <c r="K1527" s="5" t="str">
        <f>IFERROR(VLOOKUP($G1527,今日總結!$A:$AN,40,0),"")</f>
        <v>主融</v>
      </c>
      <c r="L1527" s="156">
        <f>IFERROR(VLOOKUP($G1527,今日總結!$A:$AN,37,0),"")</f>
        <v>1</v>
      </c>
      <c r="M1527" s="337">
        <f>IFERROR(VLOOKUP($G1527,今日總結!$A:$AN,38,0),"")</f>
        <v>5</v>
      </c>
      <c r="N1527" s="240">
        <f t="shared" si="266"/>
        <v>-4</v>
      </c>
      <c r="O1527" s="359">
        <f>IFERROR(VLOOKUP($G1527,融外自投!$A:$J,7,0),"無")</f>
        <v>551</v>
      </c>
      <c r="P1527" s="79">
        <f>IFERROR(VLOOKUP($G1527,融外自投!$A:$J,9,0),"無")</f>
        <v>383</v>
      </c>
      <c r="Q1527" s="342">
        <f>IFERROR(VLOOKUP($G1527,融外自投!$A:$J,8,0),"無")</f>
        <v>1255</v>
      </c>
      <c r="R1527" s="81" t="str">
        <f>IFERROR(VLOOKUP($G1527,融外自投!$A:$J,10,0),"無")</f>
        <v>無</v>
      </c>
      <c r="S1527" s="324">
        <f>IFERROR(VLOOKUP($G1527,'321買'!$A:$E,4,0),"'沒有資料'")</f>
        <v>253</v>
      </c>
      <c r="T1527" s="186">
        <f>IFERROR(VLOOKUP($G1527,基本資料!$A:$J,9,0),"無")</f>
        <v>1.65</v>
      </c>
      <c r="U1527" s="307">
        <f t="shared" si="262"/>
        <v>4.583333333333333E-2</v>
      </c>
      <c r="V1527" s="94">
        <f>IFERROR(VLOOKUP($G1527,基本資料!$A:$J,10,0),"無")</f>
        <v>1.63</v>
      </c>
      <c r="W1527" s="36">
        <f>RTD("money.excel",,"2613","Price")</f>
        <v>36</v>
      </c>
      <c r="X1527" s="66"/>
      <c r="Y1527" s="15">
        <f t="shared" si="263"/>
        <v>36</v>
      </c>
      <c r="Z1527" s="3" t="e">
        <f t="shared" si="264"/>
        <v>#DIV/0!</v>
      </c>
      <c r="AA1527" s="340">
        <f>IFERROR(VLOOKUP($G1527,基本資料!$A:$M,11,0),"無")</f>
        <v>-31.3</v>
      </c>
      <c r="AB1527" s="389">
        <f>IFERROR(VLOOKUP($G1527,基本資料!$A:$M,12,0),"無")</f>
        <v>42.75</v>
      </c>
      <c r="AC1527" s="22" t="s">
        <v>868</v>
      </c>
      <c r="AF1527" s="33">
        <f t="shared" si="265"/>
        <v>0</v>
      </c>
      <c r="AG1527" s="43" t="s">
        <v>2661</v>
      </c>
      <c r="AH1527" s="66">
        <f t="shared" si="255"/>
        <v>0.21161568459296429</v>
      </c>
      <c r="AI1527" s="283">
        <f>RTD("money.excel",,$G1527,"PredictVolume")</f>
        <v>1826</v>
      </c>
      <c r="AJ1527" s="391">
        <f>IFERROR(VLOOKUP($G1527,基本資料!$A:$M,13,0),"無")</f>
        <v>8628.85</v>
      </c>
      <c r="AR1527" s="245" t="str">
        <f>INDEX(基本資料!N:N,MATCH($G1527,基本資料!A:A,0))</f>
        <v>中</v>
      </c>
    </row>
    <row r="1528" spans="1:44">
      <c r="A1528" s="343">
        <f>IFERROR(VLOOKUP($G1528,基本資料!$A:$J,3,0),"無")</f>
        <v>244</v>
      </c>
      <c r="B1528" s="79">
        <f>IFERROR(VLOOKUP($G1528,基本資料!$A:$J,4,0),"無")</f>
        <v>810</v>
      </c>
      <c r="C1528" s="79">
        <f>IFERROR(VLOOKUP($G1528,基本資料!$A:$J,5,0),"無")</f>
        <v>898</v>
      </c>
      <c r="D1528" s="79">
        <f>IFERROR(VLOOKUP($G1528,基本資料!$A:$J,6,0),"無")</f>
        <v>1</v>
      </c>
      <c r="E1528" s="79">
        <f>IFERROR(VLOOKUP($G1528,基本資料!$A:$J,7,0),"無")</f>
        <v>65</v>
      </c>
      <c r="F1528" s="6">
        <f>IFERROR(VLOOKUP($G1528,基本資料!$A:$J,8,0),"無")</f>
        <v>56</v>
      </c>
      <c r="G1528" s="79">
        <v>2615</v>
      </c>
      <c r="H1528" s="8" t="s">
        <v>302</v>
      </c>
      <c r="I1528" s="22" t="s">
        <v>132</v>
      </c>
      <c r="J1528" s="8">
        <f>IFERROR(VLOOKUP($G1528,今日總結!$A:$AN,39,0),"")</f>
        <v>0</v>
      </c>
      <c r="K1528" s="5" t="str">
        <f>IFERROR(VLOOKUP($G1528,今日總結!$A:$AN,40,0),"")</f>
        <v>券</v>
      </c>
      <c r="L1528" s="156">
        <f>IFERROR(VLOOKUP($G1528,今日總結!$A:$AN,37,0),"")</f>
        <v>0</v>
      </c>
      <c r="M1528" s="337">
        <f>IFERROR(VLOOKUP($G1528,今日總結!$A:$AN,38,0),"")</f>
        <v>2</v>
      </c>
      <c r="N1528" s="240">
        <f t="shared" si="266"/>
        <v>-2</v>
      </c>
      <c r="O1528" s="359">
        <f>IFERROR(VLOOKUP($G1528,融外自投!$A:$J,7,0),"無")</f>
        <v>743</v>
      </c>
      <c r="P1528" s="79">
        <f>IFERROR(VLOOKUP($G1528,融外自投!$A:$J,9,0),"無")</f>
        <v>550</v>
      </c>
      <c r="Q1528" s="342">
        <f>IFERROR(VLOOKUP($G1528,融外自投!$A:$J,8,0),"無")</f>
        <v>102</v>
      </c>
      <c r="R1528" s="81">
        <f>IFERROR(VLOOKUP($G1528,融外自投!$A:$J,10,0),"無")</f>
        <v>260</v>
      </c>
      <c r="S1528" s="324">
        <f>IFERROR(VLOOKUP($G1528,'321買'!$A:$E,4,0),"'沒有資料'")</f>
        <v>231</v>
      </c>
      <c r="T1528" s="186">
        <f>IFERROR(VLOOKUP($G1528,基本資料!$A:$J,9,0),"無")</f>
        <v>12</v>
      </c>
      <c r="U1528" s="307">
        <f t="shared" si="262"/>
        <v>8.1081081081081086E-2</v>
      </c>
      <c r="V1528" s="94">
        <f>IFERROR(VLOOKUP($G1528,基本資料!$A:$J,10,0),"無")</f>
        <v>42.35</v>
      </c>
      <c r="W1528" s="36">
        <f>RTD("money.excel",,"2615","Price")</f>
        <v>148</v>
      </c>
      <c r="X1528" s="66"/>
      <c r="Y1528" s="15">
        <f t="shared" si="263"/>
        <v>148</v>
      </c>
      <c r="Z1528" s="3" t="e">
        <f t="shared" si="264"/>
        <v>#DIV/0!</v>
      </c>
      <c r="AA1528" s="340">
        <f>IFERROR(VLOOKUP($G1528,基本資料!$A:$M,11,0),"無")</f>
        <v>-58.07</v>
      </c>
      <c r="AB1528" s="389">
        <f>IFERROR(VLOOKUP($G1528,基本資料!$A:$M,12,0),"無")</f>
        <v>26.18</v>
      </c>
      <c r="AC1528" s="22" t="s">
        <v>132</v>
      </c>
      <c r="AF1528" s="33">
        <f t="shared" si="265"/>
        <v>0</v>
      </c>
      <c r="AG1528" s="117" t="s">
        <v>2060</v>
      </c>
      <c r="AH1528" s="66">
        <f t="shared" si="255"/>
        <v>0.94659404974800843</v>
      </c>
      <c r="AI1528" s="283">
        <f>RTD("money.excel",,$G1528,"PredictVolume")</f>
        <v>13974</v>
      </c>
      <c r="AJ1528" s="391">
        <f>IFERROR(VLOOKUP($G1528,基本資料!$A:$M,13,0),"無")</f>
        <v>14762.4</v>
      </c>
      <c r="AR1528" s="245" t="str">
        <f>INDEX(基本資料!N:N,MATCH($G1528,基本資料!A:A,0))</f>
        <v>低</v>
      </c>
    </row>
    <row r="1529" spans="1:44">
      <c r="A1529" s="343">
        <f>IFERROR(VLOOKUP($G1529,基本資料!$A:$J,3,0),"無")</f>
        <v>41.72</v>
      </c>
      <c r="B1529" s="79">
        <f>IFERROR(VLOOKUP($G1529,基本資料!$A:$J,4,0),"無")</f>
        <v>154</v>
      </c>
      <c r="C1529" s="79">
        <f>IFERROR(VLOOKUP($G1529,基本資料!$A:$J,5,0),"無")</f>
        <v>141</v>
      </c>
      <c r="D1529" s="79">
        <f>IFERROR(VLOOKUP($G1529,基本資料!$A:$J,6,0),"無")</f>
        <v>6</v>
      </c>
      <c r="E1529" s="79">
        <f>IFERROR(VLOOKUP($G1529,基本資料!$A:$J,7,0),"無")</f>
        <v>19</v>
      </c>
      <c r="F1529" s="6">
        <f>IFERROR(VLOOKUP($G1529,基本資料!$A:$J,8,0),"無")</f>
        <v>34.46</v>
      </c>
      <c r="G1529" s="79">
        <v>2617</v>
      </c>
      <c r="H1529" s="8" t="s">
        <v>4712</v>
      </c>
      <c r="I1529" s="22" t="s">
        <v>869</v>
      </c>
      <c r="J1529" s="8">
        <f>IFERROR(VLOOKUP($G1529,今日總結!$A:$AN,39,0),"")</f>
        <v>0</v>
      </c>
      <c r="K1529" s="5">
        <f>IFERROR(VLOOKUP($G1529,今日總結!$A:$AN,40,0),"")</f>
        <v>0</v>
      </c>
      <c r="L1529" s="156">
        <f>IFERROR(VLOOKUP($G1529,今日總結!$A:$AN,37,0),"")</f>
        <v>0</v>
      </c>
      <c r="M1529" s="337">
        <f>IFERROR(VLOOKUP($G1529,今日總結!$A:$AN,38,0),"")</f>
        <v>0</v>
      </c>
      <c r="N1529" s="240">
        <f t="shared" si="266"/>
        <v>0</v>
      </c>
      <c r="O1529" s="359">
        <f>IFERROR(VLOOKUP($G1529,融外自投!$A:$J,7,0),"無")</f>
        <v>316</v>
      </c>
      <c r="P1529" s="79">
        <f>IFERROR(VLOOKUP($G1529,融外自投!$A:$J,9,0),"無")</f>
        <v>649</v>
      </c>
      <c r="Q1529" s="342">
        <f>IFERROR(VLOOKUP($G1529,融外自投!$A:$J,8,0),"無")</f>
        <v>936</v>
      </c>
      <c r="R1529" s="81" t="str">
        <f>IFERROR(VLOOKUP($G1529,融外自投!$A:$J,10,0),"無")</f>
        <v>無</v>
      </c>
      <c r="S1529" s="324">
        <f>IFERROR(VLOOKUP($G1529,'321買'!$A:$E,4,0),"'沒有資料'")</f>
        <v>300</v>
      </c>
      <c r="T1529" s="186">
        <f>IFERROR(VLOOKUP($G1529,基本資料!$A:$J,9,0),"無")</f>
        <v>2</v>
      </c>
      <c r="U1529" s="307">
        <f t="shared" si="262"/>
        <v>5.6899004267425321E-2</v>
      </c>
      <c r="V1529" s="94">
        <f>IFERROR(VLOOKUP($G1529,基本資料!$A:$J,10,0),"無")</f>
        <v>3.16</v>
      </c>
      <c r="W1529" s="36">
        <f>RTD("money.excel",,"2617","Price")</f>
        <v>35.15</v>
      </c>
      <c r="X1529" s="66"/>
      <c r="Y1529" s="15">
        <f t="shared" si="263"/>
        <v>35.15</v>
      </c>
      <c r="Z1529" s="3" t="e">
        <f t="shared" si="264"/>
        <v>#DIV/0!</v>
      </c>
      <c r="AA1529" s="340">
        <f>IFERROR(VLOOKUP($G1529,基本資料!$A:$M,11,0),"無")</f>
        <v>-54.94</v>
      </c>
      <c r="AB1529" s="389">
        <f>IFERROR(VLOOKUP($G1529,基本資料!$A:$M,12,0),"無")</f>
        <v>37.159999999999997</v>
      </c>
      <c r="AC1529" s="22" t="s">
        <v>869</v>
      </c>
      <c r="AF1529" s="33">
        <f t="shared" si="265"/>
        <v>0</v>
      </c>
      <c r="AG1529" s="43" t="s">
        <v>3270</v>
      </c>
      <c r="AH1529" s="66">
        <f t="shared" si="255"/>
        <v>0.39890187267102856</v>
      </c>
      <c r="AI1529" s="283">
        <f>RTD("money.excel",,$G1529,"PredictVolume")</f>
        <v>2521</v>
      </c>
      <c r="AJ1529" s="391">
        <f>IFERROR(VLOOKUP($G1529,基本資料!$A:$M,13,0),"無")</f>
        <v>6319.85</v>
      </c>
      <c r="AR1529" s="245" t="str">
        <f>INDEX(基本資料!N:N,MATCH($G1529,基本資料!A:A,0))</f>
        <v>低</v>
      </c>
    </row>
    <row r="1530" spans="1:44">
      <c r="A1530" s="343">
        <f>IFERROR(VLOOKUP($G1530,基本資料!$A:$J,3,0),"無")</f>
        <v>528</v>
      </c>
      <c r="B1530" s="79">
        <f>IFERROR(VLOOKUP($G1530,基本資料!$A:$J,4,0),"無")</f>
        <v>303</v>
      </c>
      <c r="C1530" s="79">
        <f>IFERROR(VLOOKUP($G1530,基本資料!$A:$J,5,0),"無")</f>
        <v>1352</v>
      </c>
      <c r="D1530" s="79">
        <f>IFERROR(VLOOKUP($G1530,基本資料!$A:$J,6,0),"無")</f>
        <v>2</v>
      </c>
      <c r="E1530" s="79">
        <f>IFERROR(VLOOKUP($G1530,基本資料!$A:$J,7,0),"無")</f>
        <v>36</v>
      </c>
      <c r="F1530" s="6">
        <f>IFERROR(VLOOKUP($G1530,基本資料!$A:$J,8,0),"無")</f>
        <v>9.9700000000000006</v>
      </c>
      <c r="G1530" s="79">
        <v>2618</v>
      </c>
      <c r="H1530" s="8" t="s">
        <v>4712</v>
      </c>
      <c r="I1530" s="22" t="s">
        <v>4619</v>
      </c>
      <c r="J1530" s="8">
        <f>IFERROR(VLOOKUP($G1530,今日總結!$A:$AN,39,0),"")</f>
        <v>0</v>
      </c>
      <c r="K1530" s="5" t="str">
        <f>IFERROR(VLOOKUP($G1530,今日總結!$A:$AN,40,0),"")</f>
        <v>融</v>
      </c>
      <c r="L1530" s="156">
        <f>IFERROR(VLOOKUP($G1530,今日總結!$A:$AN,37,0),"")</f>
        <v>0</v>
      </c>
      <c r="M1530" s="337">
        <f>IFERROR(VLOOKUP($G1530,今日總結!$A:$AN,38,0),"")</f>
        <v>2</v>
      </c>
      <c r="N1530" s="240">
        <f t="shared" si="266"/>
        <v>-2</v>
      </c>
      <c r="O1530" s="359">
        <f>IFERROR(VLOOKUP($G1530,融外自投!$A:$J,7,0),"無")</f>
        <v>464</v>
      </c>
      <c r="P1530" s="79" t="str">
        <f>IFERROR(VLOOKUP($G1530,融外自投!$A:$J,9,0),"無")</f>
        <v>無</v>
      </c>
      <c r="Q1530" s="342">
        <f>IFERROR(VLOOKUP($G1530,融外自投!$A:$J,8,0),"無")</f>
        <v>210</v>
      </c>
      <c r="R1530" s="81">
        <f>IFERROR(VLOOKUP($G1530,融外自投!$A:$J,10,0),"無")</f>
        <v>86</v>
      </c>
      <c r="S1530" s="324">
        <f>IFERROR(VLOOKUP($G1530,'321買'!$A:$E,4,0),"'沒有資料'")</f>
        <v>117</v>
      </c>
      <c r="T1530" s="186">
        <f>IFERROR(VLOOKUP($G1530,基本資料!$A:$J,9,0),"無")</f>
        <v>0.6</v>
      </c>
      <c r="U1530" s="307">
        <f t="shared" si="262"/>
        <v>1.8604651162790697E-2</v>
      </c>
      <c r="V1530" s="94">
        <f>IFERROR(VLOOKUP($G1530,基本資料!$A:$J,10,0),"無")</f>
        <v>1.31</v>
      </c>
      <c r="W1530" s="36">
        <f>RTD("money.excel",,"2618","Price")</f>
        <v>32.25</v>
      </c>
      <c r="X1530" s="66"/>
      <c r="Y1530" s="15">
        <f t="shared" si="263"/>
        <v>32.25</v>
      </c>
      <c r="Z1530" s="3" t="e">
        <f t="shared" si="264"/>
        <v>#DIV/0!</v>
      </c>
      <c r="AA1530" s="340">
        <f>IFERROR(VLOOKUP($G1530,基本資料!$A:$M,11,0),"無")</f>
        <v>-14.23</v>
      </c>
      <c r="AB1530" s="389">
        <f>IFERROR(VLOOKUP($G1530,基本資料!$A:$M,12,0),"無")</f>
        <v>52.87</v>
      </c>
      <c r="AC1530" s="22" t="s">
        <v>4619</v>
      </c>
      <c r="AF1530" s="33">
        <f t="shared" si="265"/>
        <v>0</v>
      </c>
      <c r="AG1530" s="117" t="s">
        <v>3271</v>
      </c>
      <c r="AH1530" s="66">
        <f t="shared" si="255"/>
        <v>0.76941647164157423</v>
      </c>
      <c r="AI1530" s="314">
        <f>RTD("money.excel",,$G1530,"PredictVolume")</f>
        <v>131310</v>
      </c>
      <c r="AJ1530" s="391">
        <f>IFERROR(VLOOKUP($G1530,基本資料!$A:$M,13,0),"無")</f>
        <v>170661.8</v>
      </c>
      <c r="AR1530" s="245" t="str">
        <f>INDEX(基本資料!N:N,MATCH($G1530,基本資料!A:A,0))</f>
        <v>高</v>
      </c>
    </row>
    <row r="1531" spans="1:44">
      <c r="A1531" s="343">
        <f>IFERROR(VLOOKUP($G1531,基本資料!$A:$J,3,0),"無")</f>
        <v>15.05</v>
      </c>
      <c r="B1531" s="79">
        <f>IFERROR(VLOOKUP($G1531,基本資料!$A:$J,4,0),"無")</f>
        <v>81</v>
      </c>
      <c r="C1531" s="79">
        <f>IFERROR(VLOOKUP($G1531,基本資料!$A:$J,5,0),"無")</f>
        <v>117</v>
      </c>
      <c r="D1531" s="79">
        <f>IFERROR(VLOOKUP($G1531,基本資料!$A:$J,6,0),"無")</f>
        <v>-23</v>
      </c>
      <c r="E1531" s="79">
        <f>IFERROR(VLOOKUP($G1531,基本資料!$A:$J,7,0),"無")</f>
        <v>-11</v>
      </c>
      <c r="F1531" s="6">
        <f>IFERROR(VLOOKUP($G1531,基本資料!$A:$J,8,0),"無")</f>
        <v>0.18</v>
      </c>
      <c r="G1531" s="79">
        <v>2630</v>
      </c>
      <c r="H1531" s="8" t="s">
        <v>4712</v>
      </c>
      <c r="I1531" s="22" t="s">
        <v>870</v>
      </c>
      <c r="J1531" s="8" t="str">
        <f>IFERROR(VLOOKUP($G1531,今日總結!$A:$AN,39,0),"")</f>
        <v/>
      </c>
      <c r="K1531" s="5" t="str">
        <f>IFERROR(VLOOKUP($G1531,今日總結!$A:$AN,40,0),"")</f>
        <v/>
      </c>
      <c r="L1531" s="156" t="str">
        <f>IFERROR(VLOOKUP($G1531,今日總結!$A:$AN,37,0),"")</f>
        <v/>
      </c>
      <c r="M1531" s="337" t="str">
        <f>IFERROR(VLOOKUP($G1531,今日總結!$A:$AN,38,0),"")</f>
        <v/>
      </c>
      <c r="N1531" s="240" t="str">
        <f t="shared" si="266"/>
        <v/>
      </c>
      <c r="O1531" s="359" t="str">
        <f>IFERROR(VLOOKUP($G1531,融外自投!$A:$J,7,0),"無")</f>
        <v>無</v>
      </c>
      <c r="P1531" s="79" t="str">
        <f>IFERROR(VLOOKUP($G1531,融外自投!$A:$J,9,0),"無")</f>
        <v>無</v>
      </c>
      <c r="Q1531" s="342" t="str">
        <f>IFERROR(VLOOKUP($G1531,融外自投!$A:$J,8,0),"無")</f>
        <v>無</v>
      </c>
      <c r="R1531" s="81" t="str">
        <f>IFERROR(VLOOKUP($G1531,融外自投!$A:$J,10,0),"無")</f>
        <v>無</v>
      </c>
      <c r="S1531" s="324" t="str">
        <f>IFERROR(VLOOKUP($G1531,'321買'!$A:$E,4,0),"'沒有資料'")</f>
        <v>'沒有資料'</v>
      </c>
      <c r="T1531" s="186">
        <f>IFERROR(VLOOKUP($G1531,基本資料!$A:$J,9,0),"無")</f>
        <v>1</v>
      </c>
      <c r="U1531" s="307">
        <f t="shared" si="262"/>
        <v>5.830903790087464E-2</v>
      </c>
      <c r="V1531" s="94">
        <f>IFERROR(VLOOKUP($G1531,基本資料!$A:$J,10,0),"無")</f>
        <v>0.53</v>
      </c>
      <c r="W1531" s="36">
        <f>RTD("money.excel",,"2630","Price")</f>
        <v>17.149999999999999</v>
      </c>
      <c r="X1531" s="66"/>
      <c r="Y1531" s="15">
        <f t="shared" si="263"/>
        <v>17.149999999999999</v>
      </c>
      <c r="Z1531" s="3" t="e">
        <f t="shared" si="264"/>
        <v>#DIV/0!</v>
      </c>
      <c r="AA1531" s="340">
        <f>IFERROR(VLOOKUP($G1531,基本資料!$A:$M,11,0),"無")</f>
        <v>-37.64</v>
      </c>
      <c r="AB1531" s="389">
        <f>IFERROR(VLOOKUP($G1531,基本資料!$A:$M,12,0),"無")</f>
        <v>23.13</v>
      </c>
      <c r="AC1531" s="22" t="s">
        <v>870</v>
      </c>
      <c r="AF1531" s="33">
        <f t="shared" si="265"/>
        <v>0</v>
      </c>
      <c r="AG1531" s="43" t="s">
        <v>1943</v>
      </c>
      <c r="AH1531" s="66">
        <f t="shared" si="255"/>
        <v>0.29558890404729421</v>
      </c>
      <c r="AI1531" s="283">
        <f>RTD("money.excel",,$G1531,"PredictVolume")</f>
        <v>130</v>
      </c>
      <c r="AJ1531" s="391">
        <f>IFERROR(VLOOKUP($G1531,基本資料!$A:$M,13,0),"無")</f>
        <v>439.8</v>
      </c>
      <c r="AR1531" s="245" t="str">
        <f>INDEX(基本資料!N:N,MATCH($G1531,基本資料!A:A,0))</f>
        <v>低</v>
      </c>
    </row>
    <row r="1532" spans="1:44">
      <c r="A1532" s="343">
        <f>IFERROR(VLOOKUP($G1532,基本資料!$A:$J,3,0),"無")</f>
        <v>562</v>
      </c>
      <c r="B1532" s="79">
        <f>IFERROR(VLOOKUP($G1532,基本資料!$A:$J,4,0),"無")</f>
        <v>-38</v>
      </c>
      <c r="C1532" s="79">
        <f>IFERROR(VLOOKUP($G1532,基本資料!$A:$J,5,0),"無")</f>
        <v>-71</v>
      </c>
      <c r="D1532" s="79">
        <f>IFERROR(VLOOKUP($G1532,基本資料!$A:$J,6,0),"無")</f>
        <v>-14</v>
      </c>
      <c r="E1532" s="79">
        <f>IFERROR(VLOOKUP($G1532,基本資料!$A:$J,7,0),"無")</f>
        <v>-27</v>
      </c>
      <c r="F1532" s="6">
        <f>IFERROR(VLOOKUP($G1532,基本資料!$A:$J,8,0),"無")</f>
        <v>10.98</v>
      </c>
      <c r="G1532" s="79">
        <v>2633</v>
      </c>
      <c r="H1532" s="8" t="s">
        <v>4712</v>
      </c>
      <c r="I1532" s="22" t="s">
        <v>1116</v>
      </c>
      <c r="J1532" s="8">
        <f>IFERROR(VLOOKUP($G1532,今日總結!$A:$AN,39,0),"")</f>
        <v>0</v>
      </c>
      <c r="K1532" s="5">
        <f>IFERROR(VLOOKUP($G1532,今日總結!$A:$AN,40,0),"")</f>
        <v>0</v>
      </c>
      <c r="L1532" s="156">
        <f>IFERROR(VLOOKUP($G1532,今日總結!$A:$AN,37,0),"")</f>
        <v>0</v>
      </c>
      <c r="M1532" s="337">
        <f>IFERROR(VLOOKUP($G1532,今日總結!$A:$AN,38,0),"")</f>
        <v>0</v>
      </c>
      <c r="N1532" s="240">
        <f t="shared" si="266"/>
        <v>0</v>
      </c>
      <c r="O1532" s="359">
        <f>IFERROR(VLOOKUP($G1532,融外自投!$A:$J,7,0),"無")</f>
        <v>1298</v>
      </c>
      <c r="P1532" s="79">
        <f>IFERROR(VLOOKUP($G1532,融外自投!$A:$J,9,0),"無")</f>
        <v>565</v>
      </c>
      <c r="Q1532" s="342">
        <f>IFERROR(VLOOKUP($G1532,融外自投!$A:$J,8,0),"無")</f>
        <v>504</v>
      </c>
      <c r="R1532" s="81">
        <f>IFERROR(VLOOKUP($G1532,融外自投!$A:$J,10,0),"無")</f>
        <v>314</v>
      </c>
      <c r="S1532" s="324">
        <f>IFERROR(VLOOKUP($G1532,'321買'!$A:$E,4,0),"'沒有資料'")</f>
        <v>411</v>
      </c>
      <c r="T1532" s="186">
        <f>IFERROR(VLOOKUP($G1532,基本資料!$A:$J,9,0),"無")</f>
        <v>0.76</v>
      </c>
      <c r="U1532" s="307">
        <f t="shared" si="262"/>
        <v>2.8044280442804426E-2</v>
      </c>
      <c r="V1532" s="94">
        <f>IFERROR(VLOOKUP($G1532,基本資料!$A:$J,10,0),"無")</f>
        <v>0.64</v>
      </c>
      <c r="W1532" s="36">
        <f>RTD("money.excel",,"2633","Price")</f>
        <v>27.1</v>
      </c>
      <c r="X1532" s="66"/>
      <c r="Y1532" s="15">
        <f t="shared" si="263"/>
        <v>27.1</v>
      </c>
      <c r="Z1532" s="3" t="e">
        <f t="shared" si="264"/>
        <v>#DIV/0!</v>
      </c>
      <c r="AA1532" s="340">
        <f>IFERROR(VLOOKUP($G1532,基本資料!$A:$M,11,0),"無")</f>
        <v>-12.86</v>
      </c>
      <c r="AB1532" s="389">
        <f>IFERROR(VLOOKUP($G1532,基本資料!$A:$M,12,0),"無")</f>
        <v>20.55</v>
      </c>
      <c r="AC1532" s="22" t="s">
        <v>1116</v>
      </c>
      <c r="AF1532" s="33">
        <f t="shared" si="265"/>
        <v>0</v>
      </c>
      <c r="AG1532" s="117" t="s">
        <v>1422</v>
      </c>
      <c r="AH1532" s="66">
        <f t="shared" si="255"/>
        <v>0.9061976549413735</v>
      </c>
      <c r="AI1532" s="283">
        <f>RTD("money.excel",,$G1532,"PredictVolume")</f>
        <v>3246</v>
      </c>
      <c r="AJ1532" s="391">
        <f>IFERROR(VLOOKUP($G1532,基本資料!$A:$M,13,0),"無")</f>
        <v>3582</v>
      </c>
      <c r="AR1532" s="245" t="str">
        <f>INDEX(基本資料!N:N,MATCH($G1532,基本資料!A:A,0))</f>
        <v>低</v>
      </c>
    </row>
    <row r="1533" spans="1:44">
      <c r="A1533" s="343">
        <f>IFERROR(VLOOKUP($G1533,基本資料!$A:$J,3,0),"無")</f>
        <v>94.18</v>
      </c>
      <c r="B1533" s="79">
        <f>IFERROR(VLOOKUP($G1533,基本資料!$A:$J,4,0),"無")</f>
        <v>40</v>
      </c>
      <c r="C1533" s="79">
        <f>IFERROR(VLOOKUP($G1533,基本資料!$A:$J,5,0),"無")</f>
        <v>173</v>
      </c>
      <c r="D1533" s="79">
        <f>IFERROR(VLOOKUP($G1533,基本資料!$A:$J,6,0),"無")</f>
        <v>-9</v>
      </c>
      <c r="E1533" s="79">
        <f>IFERROR(VLOOKUP($G1533,基本資料!$A:$J,7,0),"無")</f>
        <v>8</v>
      </c>
      <c r="F1533" s="6">
        <f>IFERROR(VLOOKUP($G1533,基本資料!$A:$J,8,0),"無")</f>
        <v>2.0699999999999998</v>
      </c>
      <c r="G1533" s="79">
        <v>2634</v>
      </c>
      <c r="H1533" s="8" t="s">
        <v>4712</v>
      </c>
      <c r="I1533" s="22" t="s">
        <v>114</v>
      </c>
      <c r="J1533" s="8">
        <f>IFERROR(VLOOKUP($G1533,今日總結!$A:$AN,39,0),"")</f>
        <v>0</v>
      </c>
      <c r="K1533" s="5">
        <f>IFERROR(VLOOKUP($G1533,今日總結!$A:$AN,40,0),"")</f>
        <v>0</v>
      </c>
      <c r="L1533" s="156">
        <f>IFERROR(VLOOKUP($G1533,今日總結!$A:$AN,37,0),"")</f>
        <v>0</v>
      </c>
      <c r="M1533" s="337">
        <f>IFERROR(VLOOKUP($G1533,今日總結!$A:$AN,38,0),"")</f>
        <v>0</v>
      </c>
      <c r="N1533" s="240">
        <f t="shared" si="266"/>
        <v>0</v>
      </c>
      <c r="O1533" s="359">
        <f>IFERROR(VLOOKUP($G1533,融外自投!$A:$J,7,0),"無")</f>
        <v>847</v>
      </c>
      <c r="P1533" s="79">
        <f>IFERROR(VLOOKUP($G1533,融外自投!$A:$J,9,0),"無")</f>
        <v>501</v>
      </c>
      <c r="Q1533" s="342">
        <f>IFERROR(VLOOKUP($G1533,融外自投!$A:$J,8,0),"無")</f>
        <v>703</v>
      </c>
      <c r="R1533" s="81">
        <f>IFERROR(VLOOKUP($G1533,融外自投!$A:$J,10,0),"無")</f>
        <v>221</v>
      </c>
      <c r="S1533" s="324">
        <f>IFERROR(VLOOKUP($G1533,'321買'!$A:$E,4,0),"'沒有資料'")</f>
        <v>497</v>
      </c>
      <c r="T1533" s="186">
        <f>IFERROR(VLOOKUP($G1533,基本資料!$A:$J,9,0),"無")</f>
        <v>0.35</v>
      </c>
      <c r="U1533" s="307">
        <f t="shared" si="262"/>
        <v>1.0954616588419406E-2</v>
      </c>
      <c r="V1533" s="94">
        <f>IFERROR(VLOOKUP($G1533,基本資料!$A:$J,10,0),"無")</f>
        <v>0.59</v>
      </c>
      <c r="W1533" s="36">
        <f>RTD("money.excel",,"2634","Price")</f>
        <v>31.95</v>
      </c>
      <c r="X1533" s="66"/>
      <c r="Y1533" s="15">
        <f t="shared" si="263"/>
        <v>31.95</v>
      </c>
      <c r="Z1533" s="3" t="e">
        <f t="shared" si="264"/>
        <v>#DIV/0!</v>
      </c>
      <c r="AA1533" s="340">
        <f>IFERROR(VLOOKUP($G1533,基本資料!$A:$M,11,0),"無")</f>
        <v>-9.49</v>
      </c>
      <c r="AB1533" s="389">
        <f>IFERROR(VLOOKUP($G1533,基本資料!$A:$M,12,0),"無")</f>
        <v>53.83</v>
      </c>
      <c r="AC1533" s="22" t="s">
        <v>114</v>
      </c>
      <c r="AF1533" s="33">
        <f t="shared" si="265"/>
        <v>0</v>
      </c>
      <c r="AG1533" s="117" t="s">
        <v>1427</v>
      </c>
      <c r="AH1533" s="66">
        <f t="shared" si="255"/>
        <v>0.35953028666730463</v>
      </c>
      <c r="AI1533" s="283">
        <f>RTD("money.excel",,$G1533,"PredictVolume")</f>
        <v>3945</v>
      </c>
      <c r="AJ1533" s="391">
        <f>IFERROR(VLOOKUP($G1533,基本資料!$A:$M,13,0),"無")</f>
        <v>10972.65</v>
      </c>
      <c r="AR1533" s="245" t="str">
        <f>INDEX(基本資料!N:N,MATCH($G1533,基本資料!A:A,0))</f>
        <v>中</v>
      </c>
    </row>
    <row r="1534" spans="1:44">
      <c r="A1534" s="343">
        <f>IFERROR(VLOOKUP($G1534,基本資料!$A:$J,3,0),"無")</f>
        <v>14.33</v>
      </c>
      <c r="B1534" s="79">
        <f>IFERROR(VLOOKUP($G1534,基本資料!$A:$J,4,0),"無")</f>
        <v>603</v>
      </c>
      <c r="C1534" s="79">
        <f>IFERROR(VLOOKUP($G1534,基本資料!$A:$J,5,0),"無")</f>
        <v>521</v>
      </c>
      <c r="D1534" s="79">
        <f>IFERROR(VLOOKUP($G1534,基本資料!$A:$J,6,0),"無")</f>
        <v>-18</v>
      </c>
      <c r="E1534" s="79">
        <f>IFERROR(VLOOKUP($G1534,基本資料!$A:$J,7,0),"無")</f>
        <v>30</v>
      </c>
      <c r="F1534" s="6">
        <f>IFERROR(VLOOKUP($G1534,基本資料!$A:$J,8,0),"無")</f>
        <v>12</v>
      </c>
      <c r="G1534" s="79">
        <v>2636</v>
      </c>
      <c r="H1534" s="8" t="s">
        <v>302</v>
      </c>
      <c r="I1534" s="22" t="s">
        <v>1921</v>
      </c>
      <c r="J1534" s="8">
        <f>IFERROR(VLOOKUP($G1534,今日總結!$A:$AN,39,0),"")</f>
        <v>0</v>
      </c>
      <c r="K1534" s="5">
        <f>IFERROR(VLOOKUP($G1534,今日總結!$A:$AN,40,0),"")</f>
        <v>0</v>
      </c>
      <c r="L1534" s="156">
        <f>IFERROR(VLOOKUP($G1534,今日總結!$A:$AN,37,0),"")</f>
        <v>0</v>
      </c>
      <c r="M1534" s="337">
        <f>IFERROR(VLOOKUP($G1534,今日總結!$A:$AN,38,0),"")</f>
        <v>0</v>
      </c>
      <c r="N1534" s="240">
        <f t="shared" si="266"/>
        <v>0</v>
      </c>
      <c r="O1534" s="359">
        <f>IFERROR(VLOOKUP($G1534,融外自投!$A:$J,7,0),"無")</f>
        <v>93</v>
      </c>
      <c r="P1534" s="79">
        <f>IFERROR(VLOOKUP($G1534,融外自投!$A:$J,9,0),"無")</f>
        <v>178</v>
      </c>
      <c r="Q1534" s="342">
        <f>IFERROR(VLOOKUP($G1534,融外自投!$A:$J,8,0),"無")</f>
        <v>420</v>
      </c>
      <c r="R1534" s="81">
        <f>IFERROR(VLOOKUP($G1534,融外自投!$A:$J,10,0),"無")</f>
        <v>495</v>
      </c>
      <c r="S1534" s="324">
        <f>IFERROR(VLOOKUP($G1534,'321買'!$A:$E,4,0),"'沒有資料'")</f>
        <v>41</v>
      </c>
      <c r="T1534" s="186">
        <f>IFERROR(VLOOKUP($G1534,基本資料!$A:$J,9,0),"無")</f>
        <v>13</v>
      </c>
      <c r="U1534" s="307">
        <f t="shared" si="262"/>
        <v>0.11063829787234042</v>
      </c>
      <c r="V1534" s="94">
        <f>IFERROR(VLOOKUP($G1534,基本資料!$A:$J,10,0),"無")</f>
        <v>30.03</v>
      </c>
      <c r="W1534" s="36">
        <f>RTD("money.excel",,"2636","Price")</f>
        <v>117.5</v>
      </c>
      <c r="X1534" s="66"/>
      <c r="Y1534" s="15">
        <f t="shared" si="263"/>
        <v>117.5</v>
      </c>
      <c r="Z1534" s="3" t="e">
        <f t="shared" si="264"/>
        <v>#DIV/0!</v>
      </c>
      <c r="AA1534" s="340">
        <f>IFERROR(VLOOKUP($G1534,基本資料!$A:$M,11,0),"無")</f>
        <v>-63.4</v>
      </c>
      <c r="AB1534" s="389">
        <f>IFERROR(VLOOKUP($G1534,基本資料!$A:$M,12,0),"無")</f>
        <v>25.18</v>
      </c>
      <c r="AC1534" s="22" t="s">
        <v>1921</v>
      </c>
      <c r="AF1534" s="33">
        <f t="shared" si="265"/>
        <v>0</v>
      </c>
      <c r="AG1534" s="43" t="s">
        <v>2013</v>
      </c>
      <c r="AH1534" s="66">
        <f t="shared" si="255"/>
        <v>0.99877429521975136</v>
      </c>
      <c r="AI1534" s="283">
        <f>RTD("money.excel",,$G1534,"PredictVolume")</f>
        <v>1426</v>
      </c>
      <c r="AJ1534" s="391">
        <f>IFERROR(VLOOKUP($G1534,基本資料!$A:$M,13,0),"無")</f>
        <v>1427.75</v>
      </c>
      <c r="AR1534" s="245" t="str">
        <f>INDEX(基本資料!N:N,MATCH($G1534,基本資料!A:A,0))</f>
        <v>低</v>
      </c>
    </row>
    <row r="1535" spans="1:44">
      <c r="A1535" s="343">
        <f>IFERROR(VLOOKUP($G1535,基本資料!$A:$J,3,0),"無")</f>
        <v>76.36</v>
      </c>
      <c r="B1535" s="79">
        <f>IFERROR(VLOOKUP($G1535,基本資料!$A:$J,4,0),"無")</f>
        <v>7300</v>
      </c>
      <c r="C1535" s="79">
        <f>IFERROR(VLOOKUP($G1535,基本資料!$A:$J,5,0),"無")</f>
        <v>451</v>
      </c>
      <c r="D1535" s="79">
        <f>IFERROR(VLOOKUP($G1535,基本資料!$A:$J,6,0),"無")</f>
        <v>9</v>
      </c>
      <c r="E1535" s="79">
        <f>IFERROR(VLOOKUP($G1535,基本資料!$A:$J,7,0),"無")</f>
        <v>73</v>
      </c>
      <c r="F1535" s="6">
        <f>IFERROR(VLOOKUP($G1535,基本資料!$A:$J,8,0),"無")</f>
        <v>43.08</v>
      </c>
      <c r="G1535" s="79">
        <v>2637</v>
      </c>
      <c r="H1535" s="8" t="s">
        <v>302</v>
      </c>
      <c r="I1535" s="22" t="s">
        <v>871</v>
      </c>
      <c r="J1535" s="8">
        <f>IFERROR(VLOOKUP($G1535,今日總結!$A:$AN,39,0),"")</f>
        <v>0</v>
      </c>
      <c r="K1535" s="5" t="str">
        <f>IFERROR(VLOOKUP($G1535,今日總結!$A:$AN,40,0),"")</f>
        <v>主</v>
      </c>
      <c r="L1535" s="156">
        <f>IFERROR(VLOOKUP($G1535,今日總結!$A:$AN,37,0),"")</f>
        <v>0</v>
      </c>
      <c r="M1535" s="337">
        <f>IFERROR(VLOOKUP($G1535,今日總結!$A:$AN,38,0),"")</f>
        <v>2</v>
      </c>
      <c r="N1535" s="240">
        <f t="shared" si="266"/>
        <v>-2</v>
      </c>
      <c r="O1535" s="359">
        <f>IFERROR(VLOOKUP($G1535,融外自投!$A:$J,7,0),"無")</f>
        <v>672</v>
      </c>
      <c r="P1535" s="79">
        <f>IFERROR(VLOOKUP($G1535,融外自投!$A:$J,9,0),"無")</f>
        <v>200</v>
      </c>
      <c r="Q1535" s="342">
        <f>IFERROR(VLOOKUP($G1535,融外自投!$A:$J,8,0),"無")</f>
        <v>268</v>
      </c>
      <c r="R1535" s="81">
        <f>IFERROR(VLOOKUP($G1535,融外自投!$A:$J,10,0),"無")</f>
        <v>76</v>
      </c>
      <c r="S1535" s="324">
        <f>IFERROR(VLOOKUP($G1535,'321買'!$A:$E,4,0),"'沒有資料'")</f>
        <v>150</v>
      </c>
      <c r="T1535" s="186">
        <f>IFERROR(VLOOKUP($G1535,基本資料!$A:$J,9,0),"無")</f>
        <v>5.5</v>
      </c>
      <c r="U1535" s="307">
        <f t="shared" si="262"/>
        <v>5.7591623036649213E-2</v>
      </c>
      <c r="V1535" s="94">
        <f>IFERROR(VLOOKUP($G1535,基本資料!$A:$J,10,0),"無")</f>
        <v>11.05</v>
      </c>
      <c r="W1535" s="36">
        <f>RTD("money.excel",,"2637","Price")</f>
        <v>95.5</v>
      </c>
      <c r="X1535" s="66"/>
      <c r="Y1535" s="15">
        <f t="shared" si="263"/>
        <v>95.5</v>
      </c>
      <c r="Z1535" s="3" t="e">
        <f t="shared" si="264"/>
        <v>#DIV/0!</v>
      </c>
      <c r="AA1535" s="340">
        <f>IFERROR(VLOOKUP($G1535,基本資料!$A:$M,11,0),"無")</f>
        <v>-21.07</v>
      </c>
      <c r="AB1535" s="389">
        <f>IFERROR(VLOOKUP($G1535,基本資料!$A:$M,12,0),"無")</f>
        <v>58.49</v>
      </c>
      <c r="AC1535" s="22" t="s">
        <v>871</v>
      </c>
      <c r="AF1535" s="33">
        <f t="shared" si="265"/>
        <v>0</v>
      </c>
      <c r="AG1535" s="43" t="s">
        <v>2014</v>
      </c>
      <c r="AH1535" s="66">
        <f t="shared" si="255"/>
        <v>0.70077981578495052</v>
      </c>
      <c r="AI1535" s="283">
        <f>RTD("money.excel",,$G1535,"PredictVolume")</f>
        <v>24259</v>
      </c>
      <c r="AJ1535" s="391">
        <f>IFERROR(VLOOKUP($G1535,基本資料!$A:$M,13,0),"無")</f>
        <v>34617.15</v>
      </c>
      <c r="AR1535" s="245" t="str">
        <f>INDEX(基本資料!N:N,MATCH($G1535,基本資料!A:A,0))</f>
        <v>高</v>
      </c>
    </row>
    <row r="1536" spans="1:44">
      <c r="A1536" s="343">
        <f>IFERROR(VLOOKUP($G1536,基本資料!$A:$J,3,0),"無")</f>
        <v>19.010000000000002</v>
      </c>
      <c r="B1536" s="79">
        <f>IFERROR(VLOOKUP($G1536,基本資料!$A:$J,4,0),"無")</f>
        <v>294</v>
      </c>
      <c r="C1536" s="79">
        <f>IFERROR(VLOOKUP($G1536,基本資料!$A:$J,5,0),"無")</f>
        <v>169</v>
      </c>
      <c r="D1536" s="79">
        <f>IFERROR(VLOOKUP($G1536,基本資料!$A:$J,6,0),"無")</f>
        <v>-8</v>
      </c>
      <c r="E1536" s="79">
        <f>IFERROR(VLOOKUP($G1536,基本資料!$A:$J,7,0),"無")</f>
        <v>58</v>
      </c>
      <c r="F1536" s="6">
        <f>IFERROR(VLOOKUP($G1536,基本資料!$A:$J,8,0),"無")</f>
        <v>30.87</v>
      </c>
      <c r="G1536" s="79">
        <v>2641</v>
      </c>
      <c r="H1536" s="8" t="s">
        <v>4712</v>
      </c>
      <c r="I1536" s="16" t="s">
        <v>859</v>
      </c>
      <c r="J1536" s="8">
        <f>IFERROR(VLOOKUP($G1536,今日總結!$A:$AN,39,0),"")</f>
        <v>0</v>
      </c>
      <c r="K1536" s="5" t="str">
        <f>IFERROR(VLOOKUP($G1536,今日總結!$A:$AN,40,0),"")</f>
        <v>24借</v>
      </c>
      <c r="L1536" s="156">
        <f>IFERROR(VLOOKUP($G1536,今日總結!$A:$AN,37,0),"")</f>
        <v>0</v>
      </c>
      <c r="M1536" s="337">
        <f>IFERROR(VLOOKUP($G1536,今日總結!$A:$AN,38,0),"")</f>
        <v>4</v>
      </c>
      <c r="N1536" s="240">
        <f t="shared" si="266"/>
        <v>-4</v>
      </c>
      <c r="O1536" s="359">
        <f>IFERROR(VLOOKUP($G1536,融外自投!$A:$J,7,0),"無")</f>
        <v>143</v>
      </c>
      <c r="P1536" s="79">
        <f>IFERROR(VLOOKUP($G1536,融外自投!$A:$J,9,0),"無")</f>
        <v>696</v>
      </c>
      <c r="Q1536" s="342">
        <f>IFERROR(VLOOKUP($G1536,融外自投!$A:$J,8,0),"無")</f>
        <v>962</v>
      </c>
      <c r="R1536" s="81" t="str">
        <f>IFERROR(VLOOKUP($G1536,融外自投!$A:$J,10,0),"無")</f>
        <v>無</v>
      </c>
      <c r="S1536" s="324">
        <f>IFERROR(VLOOKUP($G1536,'321買'!$A:$E,4,0),"'沒有資料'")</f>
        <v>101</v>
      </c>
      <c r="T1536" s="186">
        <f>IFERROR(VLOOKUP($G1536,基本資料!$A:$J,9,0),"無")</f>
        <v>0.8</v>
      </c>
      <c r="U1536" s="307">
        <f t="shared" si="262"/>
        <v>2.8725314183123879E-2</v>
      </c>
      <c r="V1536" s="94">
        <f>IFERROR(VLOOKUP($G1536,基本資料!$A:$J,10,0),"無")</f>
        <v>2.2400000000000002</v>
      </c>
      <c r="W1536" s="36">
        <f>RTD("money.excel",,"2641","Price")</f>
        <v>27.85</v>
      </c>
      <c r="X1536" s="66"/>
      <c r="Y1536" s="15">
        <f t="shared" si="263"/>
        <v>27.85</v>
      </c>
      <c r="Z1536" s="3" t="e">
        <f t="shared" si="264"/>
        <v>#DIV/0!</v>
      </c>
      <c r="AA1536" s="340">
        <f>IFERROR(VLOOKUP($G1536,基本資料!$A:$M,11,0),"無")</f>
        <v>-36.49</v>
      </c>
      <c r="AB1536" s="389">
        <f>IFERROR(VLOOKUP($G1536,基本資料!$A:$M,12,0),"無")</f>
        <v>66.17</v>
      </c>
      <c r="AC1536" s="16" t="s">
        <v>859</v>
      </c>
      <c r="AF1536" s="33">
        <f t="shared" si="265"/>
        <v>0</v>
      </c>
      <c r="AG1536" s="43" t="s">
        <v>2105</v>
      </c>
      <c r="AH1536" s="66">
        <f t="shared" si="255"/>
        <v>1.1745909692853176</v>
      </c>
      <c r="AI1536" s="283">
        <f>RTD("money.excel",,$G1536,"PredictVolume")</f>
        <v>13748</v>
      </c>
      <c r="AJ1536" s="391">
        <f>IFERROR(VLOOKUP($G1536,基本資料!$A:$M,13,0),"無")</f>
        <v>11704.5</v>
      </c>
      <c r="AR1536" s="245" t="str">
        <f>INDEX(基本資料!N:N,MATCH($G1536,基本資料!A:A,0))</f>
        <v>中</v>
      </c>
    </row>
    <row r="1537" spans="1:44">
      <c r="A1537" s="343">
        <f>IFERROR(VLOOKUP($G1537,基本資料!$A:$J,3,0),"無")</f>
        <v>9.5399999999999991</v>
      </c>
      <c r="B1537" s="79">
        <f>IFERROR(VLOOKUP($G1537,基本資料!$A:$J,4,0),"無")</f>
        <v>15</v>
      </c>
      <c r="C1537" s="79">
        <f>IFERROR(VLOOKUP($G1537,基本資料!$A:$J,5,0),"無")</f>
        <v>16</v>
      </c>
      <c r="D1537" s="79">
        <f>IFERROR(VLOOKUP($G1537,基本資料!$A:$J,6,0),"無")</f>
        <v>3</v>
      </c>
      <c r="E1537" s="79">
        <f>IFERROR(VLOOKUP($G1537,基本資料!$A:$J,7,0),"無")</f>
        <v>7</v>
      </c>
      <c r="F1537" s="6">
        <f>IFERROR(VLOOKUP($G1537,基本資料!$A:$J,8,0),"無")</f>
        <v>6.37</v>
      </c>
      <c r="G1537" s="79">
        <v>2642</v>
      </c>
      <c r="H1537" s="8" t="s">
        <v>302</v>
      </c>
      <c r="I1537" s="22" t="s">
        <v>872</v>
      </c>
      <c r="J1537" s="8">
        <f>IFERROR(VLOOKUP($G1537,今日總結!$A:$AN,39,0),"")</f>
        <v>0</v>
      </c>
      <c r="K1537" s="5">
        <f>IFERROR(VLOOKUP($G1537,今日總結!$A:$AN,40,0),"")</f>
        <v>0</v>
      </c>
      <c r="L1537" s="156">
        <f>IFERROR(VLOOKUP($G1537,今日總結!$A:$AN,37,0),"")</f>
        <v>0</v>
      </c>
      <c r="M1537" s="337">
        <f>IFERROR(VLOOKUP($G1537,今日總結!$A:$AN,38,0),"")</f>
        <v>0</v>
      </c>
      <c r="N1537" s="240">
        <f t="shared" si="266"/>
        <v>0</v>
      </c>
      <c r="O1537" s="359">
        <f>IFERROR(VLOOKUP($G1537,融外自投!$A:$J,7,0),"無")</f>
        <v>415</v>
      </c>
      <c r="P1537" s="79">
        <f>IFERROR(VLOOKUP($G1537,融外自投!$A:$J,9,0),"無")</f>
        <v>74</v>
      </c>
      <c r="Q1537" s="342">
        <f>IFERROR(VLOOKUP($G1537,融外自投!$A:$J,8,0),"無")</f>
        <v>785</v>
      </c>
      <c r="R1537" s="81" t="str">
        <f>IFERROR(VLOOKUP($G1537,融外自投!$A:$J,10,0),"無")</f>
        <v>無</v>
      </c>
      <c r="S1537" s="324">
        <f>IFERROR(VLOOKUP($G1537,'321買'!$A:$E,4,0),"'沒有資料'")</f>
        <v>123</v>
      </c>
      <c r="T1537" s="186">
        <f>IFERROR(VLOOKUP($G1537,基本資料!$A:$J,9,0),"無")</f>
        <v>2.1</v>
      </c>
      <c r="U1537" s="307">
        <f t="shared" si="262"/>
        <v>3.0085959885386822E-2</v>
      </c>
      <c r="V1537" s="94">
        <f>IFERROR(VLOOKUP($G1537,基本資料!$A:$J,10,0),"無")</f>
        <v>2.52</v>
      </c>
      <c r="W1537" s="36">
        <f>RTD("money.excel",,"2642","Price")</f>
        <v>69.8</v>
      </c>
      <c r="X1537" s="66"/>
      <c r="Y1537" s="15">
        <f t="shared" si="263"/>
        <v>69.8</v>
      </c>
      <c r="Z1537" s="3" t="e">
        <f t="shared" si="264"/>
        <v>#DIV/0!</v>
      </c>
      <c r="AA1537" s="340">
        <f>IFERROR(VLOOKUP($G1537,基本資料!$A:$M,11,0),"無")</f>
        <v>-54.23</v>
      </c>
      <c r="AB1537" s="389">
        <f>IFERROR(VLOOKUP($G1537,基本資料!$A:$M,12,0),"無")</f>
        <v>23.35</v>
      </c>
      <c r="AC1537" s="22" t="s">
        <v>872</v>
      </c>
      <c r="AF1537" s="33">
        <f t="shared" si="265"/>
        <v>0</v>
      </c>
      <c r="AG1537" s="43" t="s">
        <v>2034</v>
      </c>
      <c r="AH1537" s="66">
        <f t="shared" si="255"/>
        <v>0.14289155900864275</v>
      </c>
      <c r="AI1537" s="283">
        <f>RTD("money.excel",,$G1537,"PredictVolume")</f>
        <v>949</v>
      </c>
      <c r="AJ1537" s="391">
        <f>IFERROR(VLOOKUP($G1537,基本資料!$A:$M,13,0),"無")</f>
        <v>6641.4</v>
      </c>
      <c r="AR1537" s="245" t="str">
        <f>INDEX(基本資料!N:N,MATCH($G1537,基本資料!A:A,0))</f>
        <v>低</v>
      </c>
    </row>
    <row r="1538" spans="1:44">
      <c r="A1538" s="343">
        <f>IFERROR(VLOOKUP($G1538,基本資料!$A:$J,3,0),"無")</f>
        <v>3</v>
      </c>
      <c r="B1538" s="79">
        <f>IFERROR(VLOOKUP($G1538,基本資料!$A:$J,4,0),"無")</f>
        <v>36</v>
      </c>
      <c r="C1538" s="79">
        <f>IFERROR(VLOOKUP($G1538,基本資料!$A:$J,5,0),"無")</f>
        <v>56</v>
      </c>
      <c r="D1538" s="79">
        <f>IFERROR(VLOOKUP($G1538,基本資料!$A:$J,6,0),"無")</f>
        <v>17</v>
      </c>
      <c r="E1538" s="79">
        <f>IFERROR(VLOOKUP($G1538,基本資料!$A:$J,7,0),"無")</f>
        <v>38</v>
      </c>
      <c r="F1538" s="6">
        <f>IFERROR(VLOOKUP($G1538,基本資料!$A:$J,8,0),"無")</f>
        <v>7.23</v>
      </c>
      <c r="G1538" s="79">
        <v>2643</v>
      </c>
      <c r="H1538" s="8" t="s">
        <v>4712</v>
      </c>
      <c r="I1538" s="16" t="s">
        <v>860</v>
      </c>
      <c r="J1538" s="8">
        <f>IFERROR(VLOOKUP($G1538,今日總結!$A:$AN,39,0),"")</f>
        <v>0</v>
      </c>
      <c r="K1538" s="5">
        <f>IFERROR(VLOOKUP($G1538,今日總結!$A:$AN,40,0),"")</f>
        <v>5</v>
      </c>
      <c r="L1538" s="156">
        <f>IFERROR(VLOOKUP($G1538,今日總結!$A:$AN,37,0),"")</f>
        <v>0</v>
      </c>
      <c r="M1538" s="337">
        <f>IFERROR(VLOOKUP($G1538,今日總結!$A:$AN,38,0),"")</f>
        <v>1</v>
      </c>
      <c r="N1538" s="240">
        <f t="shared" si="266"/>
        <v>-1</v>
      </c>
      <c r="O1538" s="359">
        <f>IFERROR(VLOOKUP($G1538,融外自投!$A:$J,7,0),"無")</f>
        <v>531</v>
      </c>
      <c r="P1538" s="79">
        <f>IFERROR(VLOOKUP($G1538,融外自投!$A:$J,9,0),"無")</f>
        <v>717</v>
      </c>
      <c r="Q1538" s="342">
        <f>IFERROR(VLOOKUP($G1538,融外自投!$A:$J,8,0),"無")</f>
        <v>1211</v>
      </c>
      <c r="R1538" s="81" t="str">
        <f>IFERROR(VLOOKUP($G1538,融外自投!$A:$J,10,0),"無")</f>
        <v>無</v>
      </c>
      <c r="S1538" s="324">
        <f>IFERROR(VLOOKUP($G1538,'321買'!$A:$E,4,0),"'沒有資料'")</f>
        <v>565</v>
      </c>
      <c r="T1538" s="186">
        <f>IFERROR(VLOOKUP($G1538,基本資料!$A:$J,9,0),"無")</f>
        <v>5</v>
      </c>
      <c r="U1538" s="307">
        <f t="shared" si="262"/>
        <v>7.0721357850070721E-2</v>
      </c>
      <c r="V1538" s="94">
        <f>IFERROR(VLOOKUP($G1538,基本資料!$A:$J,10,0),"無")</f>
        <v>9.7200000000000006</v>
      </c>
      <c r="W1538" s="36">
        <f>RTD("money.excel",,"2643","Price")</f>
        <v>70.7</v>
      </c>
      <c r="X1538" s="66"/>
      <c r="Y1538" s="15">
        <f t="shared" si="263"/>
        <v>70.7</v>
      </c>
      <c r="Z1538" s="3" t="e">
        <f t="shared" si="264"/>
        <v>#DIV/0!</v>
      </c>
      <c r="AA1538" s="340">
        <f>IFERROR(VLOOKUP($G1538,基本資料!$A:$M,11,0),"無")</f>
        <v>-46.44</v>
      </c>
      <c r="AB1538" s="389">
        <f>IFERROR(VLOOKUP($G1538,基本資料!$A:$M,12,0),"無")</f>
        <v>23.28</v>
      </c>
      <c r="AC1538" s="16" t="s">
        <v>860</v>
      </c>
      <c r="AF1538" s="33">
        <f t="shared" si="265"/>
        <v>0</v>
      </c>
      <c r="AG1538" s="43" t="s">
        <v>2660</v>
      </c>
      <c r="AH1538" s="66">
        <f t="shared" si="255"/>
        <v>0.91447368421052633</v>
      </c>
      <c r="AI1538" s="283">
        <f>RTD("money.excel",,$G1538,"PredictVolume")</f>
        <v>139</v>
      </c>
      <c r="AJ1538" s="391">
        <f>IFERROR(VLOOKUP($G1538,基本資料!$A:$M,13,0),"無")</f>
        <v>152</v>
      </c>
      <c r="AR1538" s="245" t="str">
        <f>INDEX(基本資料!N:N,MATCH($G1538,基本資料!A:A,0))</f>
        <v>低</v>
      </c>
    </row>
    <row r="1539" spans="1:44">
      <c r="A1539" s="343">
        <f>IFERROR(VLOOKUP($G1539,基本資料!$A:$J,3,0),"無")</f>
        <v>6.48</v>
      </c>
      <c r="B1539" s="79">
        <f>IFERROR(VLOOKUP($G1539,基本資料!$A:$J,4,0),"無")</f>
        <v>-4</v>
      </c>
      <c r="C1539" s="79">
        <f>IFERROR(VLOOKUP($G1539,基本資料!$A:$J,5,0),"無")</f>
        <v>-9</v>
      </c>
      <c r="D1539" s="79">
        <f>IFERROR(VLOOKUP($G1539,基本資料!$A:$J,6,0),"無")</f>
        <v>5</v>
      </c>
      <c r="E1539" s="79">
        <f>IFERROR(VLOOKUP($G1539,基本資料!$A:$J,7,0),"無")</f>
        <v>16</v>
      </c>
      <c r="F1539" s="6">
        <f>IFERROR(VLOOKUP($G1539,基本資料!$A:$J,8,0),"無")</f>
        <v>27.05</v>
      </c>
      <c r="G1539" s="79">
        <v>5601</v>
      </c>
      <c r="H1539" s="8" t="s">
        <v>4712</v>
      </c>
      <c r="I1539" s="16" t="s">
        <v>861</v>
      </c>
      <c r="J1539" s="8">
        <f>IFERROR(VLOOKUP($G1539,今日總結!$A:$AN,39,0),"")</f>
        <v>0</v>
      </c>
      <c r="K1539" s="5">
        <f>IFERROR(VLOOKUP($G1539,今日總結!$A:$AN,40,0),"")</f>
        <v>0</v>
      </c>
      <c r="L1539" s="156">
        <f>IFERROR(VLOOKUP($G1539,今日總結!$A:$AN,37,0),"")</f>
        <v>0</v>
      </c>
      <c r="M1539" s="337">
        <f>IFERROR(VLOOKUP($G1539,今日總結!$A:$AN,38,0),"")</f>
        <v>0</v>
      </c>
      <c r="N1539" s="240">
        <f t="shared" si="266"/>
        <v>0</v>
      </c>
      <c r="O1539" s="359">
        <f>IFERROR(VLOOKUP($G1539,融外自投!$A:$J,7,0),"無")</f>
        <v>1430</v>
      </c>
      <c r="P1539" s="79" t="str">
        <f>IFERROR(VLOOKUP($G1539,融外自投!$A:$J,9,0),"無")</f>
        <v>無</v>
      </c>
      <c r="Q1539" s="342">
        <f>IFERROR(VLOOKUP($G1539,融外自投!$A:$J,8,0),"無")</f>
        <v>1138</v>
      </c>
      <c r="R1539" s="81" t="str">
        <f>IFERROR(VLOOKUP($G1539,融外自投!$A:$J,10,0),"無")</f>
        <v>無</v>
      </c>
      <c r="S1539" s="324">
        <f>IFERROR(VLOOKUP($G1539,'321買'!$A:$E,4,0),"'沒有資料'")</f>
        <v>1002</v>
      </c>
      <c r="T1539" s="186">
        <f>IFERROR(VLOOKUP($G1539,基本資料!$A:$J,9,0),"無")</f>
        <v>0.26</v>
      </c>
      <c r="U1539" s="307">
        <f t="shared" si="262"/>
        <v>6.6242038216560509E-3</v>
      </c>
      <c r="V1539" s="94">
        <f>IFERROR(VLOOKUP($G1539,基本資料!$A:$J,10,0),"無")</f>
        <v>0.28000000000000003</v>
      </c>
      <c r="W1539" s="36">
        <f>RTD("money.excel",,"5601","Price")</f>
        <v>39.25</v>
      </c>
      <c r="X1539" s="66"/>
      <c r="Y1539" s="15">
        <f t="shared" si="263"/>
        <v>39.25</v>
      </c>
      <c r="Z1539" s="3" t="e">
        <f t="shared" si="264"/>
        <v>#DIV/0!</v>
      </c>
      <c r="AA1539" s="340">
        <f>IFERROR(VLOOKUP($G1539,基本資料!$A:$M,11,0),"無")</f>
        <v>-13.74</v>
      </c>
      <c r="AB1539" s="389">
        <f>IFERROR(VLOOKUP($G1539,基本資料!$A:$M,12,0),"無")</f>
        <v>39.4</v>
      </c>
      <c r="AC1539" s="16" t="s">
        <v>861</v>
      </c>
      <c r="AF1539" s="33">
        <f t="shared" si="265"/>
        <v>0</v>
      </c>
      <c r="AG1539" s="43" t="s">
        <v>2661</v>
      </c>
      <c r="AH1539" s="66">
        <f t="shared" si="255"/>
        <v>0.36363636363636365</v>
      </c>
      <c r="AI1539" s="283">
        <f>RTD("money.excel",,$G1539,"PredictVolume")</f>
        <v>6</v>
      </c>
      <c r="AJ1539" s="391">
        <f>IFERROR(VLOOKUP($G1539,基本資料!$A:$M,13,0),"無")</f>
        <v>16.5</v>
      </c>
      <c r="AR1539" s="245" t="str">
        <f>INDEX(基本資料!N:N,MATCH($G1539,基本資料!A:A,0))</f>
        <v>中</v>
      </c>
    </row>
    <row r="1540" spans="1:44">
      <c r="A1540" s="343">
        <f>IFERROR(VLOOKUP($G1540,基本資料!$A:$J,3,0),"無")</f>
        <v>8.06</v>
      </c>
      <c r="B1540" s="79">
        <f>IFERROR(VLOOKUP($G1540,基本資料!$A:$J,4,0),"無")</f>
        <v>484</v>
      </c>
      <c r="C1540" s="79">
        <f>IFERROR(VLOOKUP($G1540,基本資料!$A:$J,5,0),"無")</f>
        <v>69</v>
      </c>
      <c r="D1540" s="79">
        <f>IFERROR(VLOOKUP($G1540,基本資料!$A:$J,6,0),"無")</f>
        <v>-28</v>
      </c>
      <c r="E1540" s="79">
        <f>IFERROR(VLOOKUP($G1540,基本資料!$A:$J,7,0),"無")</f>
        <v>1</v>
      </c>
      <c r="F1540" s="6">
        <f>IFERROR(VLOOKUP($G1540,基本資料!$A:$J,8,0),"無")</f>
        <v>4.95</v>
      </c>
      <c r="G1540" s="79">
        <v>5603</v>
      </c>
      <c r="H1540" s="195" t="s">
        <v>302</v>
      </c>
      <c r="I1540" s="16" t="s">
        <v>81</v>
      </c>
      <c r="J1540" s="8">
        <f>IFERROR(VLOOKUP($G1540,今日總結!$A:$AN,39,0),"")</f>
        <v>0</v>
      </c>
      <c r="K1540" s="5">
        <f>IFERROR(VLOOKUP($G1540,今日總結!$A:$AN,40,0),"")</f>
        <v>0</v>
      </c>
      <c r="L1540" s="156">
        <f>IFERROR(VLOOKUP($G1540,今日總結!$A:$AN,37,0),"")</f>
        <v>0</v>
      </c>
      <c r="M1540" s="337">
        <f>IFERROR(VLOOKUP($G1540,今日總結!$A:$AN,38,0),"")</f>
        <v>0</v>
      </c>
      <c r="N1540" s="240">
        <f t="shared" si="266"/>
        <v>0</v>
      </c>
      <c r="O1540" s="359">
        <f>IFERROR(VLOOKUP($G1540,融外自投!$A:$J,7,0),"無")</f>
        <v>438</v>
      </c>
      <c r="P1540" s="79">
        <f>IFERROR(VLOOKUP($G1540,融外自投!$A:$J,9,0),"無")</f>
        <v>140</v>
      </c>
      <c r="Q1540" s="342">
        <f>IFERROR(VLOOKUP($G1540,融外自投!$A:$J,8,0),"無")</f>
        <v>345</v>
      </c>
      <c r="R1540" s="81" t="str">
        <f>IFERROR(VLOOKUP($G1540,融外自投!$A:$J,10,0),"無")</f>
        <v>無</v>
      </c>
      <c r="S1540" s="324">
        <f>IFERROR(VLOOKUP($G1540,'321買'!$A:$E,4,0),"'沒有資料'")</f>
        <v>231</v>
      </c>
      <c r="T1540" s="186">
        <f>IFERROR(VLOOKUP($G1540,基本資料!$A:$J,9,0),"無")</f>
        <v>7</v>
      </c>
      <c r="U1540" s="307">
        <f t="shared" si="262"/>
        <v>0.14705882352941177</v>
      </c>
      <c r="V1540" s="94">
        <f>IFERROR(VLOOKUP($G1540,基本資料!$A:$J,10,0),"無")</f>
        <v>9.1999999999999993</v>
      </c>
      <c r="W1540" s="36">
        <f>RTD("money.excel",,"5603","Price")</f>
        <v>47.6</v>
      </c>
      <c r="X1540" s="66"/>
      <c r="Y1540" s="15">
        <f t="shared" si="263"/>
        <v>47.6</v>
      </c>
      <c r="Z1540" s="3" t="e">
        <f t="shared" si="264"/>
        <v>#DIV/0!</v>
      </c>
      <c r="AA1540" s="340">
        <f>IFERROR(VLOOKUP($G1540,基本資料!$A:$M,11,0),"無")</f>
        <v>-17.93</v>
      </c>
      <c r="AB1540" s="389">
        <f>IFERROR(VLOOKUP($G1540,基本資料!$A:$M,12,0),"無")</f>
        <v>67.87</v>
      </c>
      <c r="AC1540" s="16" t="s">
        <v>81</v>
      </c>
      <c r="AF1540" s="33">
        <f t="shared" si="265"/>
        <v>0</v>
      </c>
      <c r="AG1540" s="117" t="s">
        <v>2662</v>
      </c>
      <c r="AH1540" s="66">
        <f t="shared" si="255"/>
        <v>0.5527129033892294</v>
      </c>
      <c r="AI1540" s="283">
        <f>RTD("money.excel",,$G1540,"PredictVolume")</f>
        <v>1091</v>
      </c>
      <c r="AJ1540" s="391">
        <f>IFERROR(VLOOKUP($G1540,基本資料!$A:$M,13,0),"無")</f>
        <v>1973.9</v>
      </c>
      <c r="AR1540" s="245" t="str">
        <f>INDEX(基本資料!N:N,MATCH($G1540,基本資料!A:A,0))</f>
        <v>高</v>
      </c>
    </row>
    <row r="1541" spans="1:44">
      <c r="A1541" s="343">
        <f>IFERROR(VLOOKUP($G1541,基本資料!$A:$J,3,0),"無")</f>
        <v>10.87</v>
      </c>
      <c r="B1541" s="79">
        <f>IFERROR(VLOOKUP($G1541,基本資料!$A:$J,4,0),"無")</f>
        <v>-23</v>
      </c>
      <c r="C1541" s="79">
        <f>IFERROR(VLOOKUP($G1541,基本資料!$A:$J,5,0),"無")</f>
        <v>39</v>
      </c>
      <c r="D1541" s="79">
        <f>IFERROR(VLOOKUP($G1541,基本資料!$A:$J,6,0),"無")</f>
        <v>0</v>
      </c>
      <c r="E1541" s="79">
        <f>IFERROR(VLOOKUP($G1541,基本資料!$A:$J,7,0),"無")</f>
        <v>13</v>
      </c>
      <c r="F1541" s="6">
        <f>IFERROR(VLOOKUP($G1541,基本資料!$A:$J,8,0),"無")</f>
        <v>65.27</v>
      </c>
      <c r="G1541" s="79">
        <v>5604</v>
      </c>
      <c r="H1541" s="8" t="s">
        <v>4712</v>
      </c>
      <c r="I1541" s="16" t="s">
        <v>862</v>
      </c>
      <c r="J1541" s="8">
        <f>IFERROR(VLOOKUP($G1541,今日總結!$A:$AN,39,0),"")</f>
        <v>0</v>
      </c>
      <c r="K1541" s="5">
        <f>IFERROR(VLOOKUP($G1541,今日總結!$A:$AN,40,0),"")</f>
        <v>0</v>
      </c>
      <c r="L1541" s="156">
        <f>IFERROR(VLOOKUP($G1541,今日總結!$A:$AN,37,0),"")</f>
        <v>0</v>
      </c>
      <c r="M1541" s="337">
        <f>IFERROR(VLOOKUP($G1541,今日總結!$A:$AN,38,0),"")</f>
        <v>0</v>
      </c>
      <c r="N1541" s="240">
        <f t="shared" si="266"/>
        <v>0</v>
      </c>
      <c r="O1541" s="359">
        <f>IFERROR(VLOOKUP($G1541,融外自投!$A:$J,7,0),"無")</f>
        <v>1365</v>
      </c>
      <c r="P1541" s="79">
        <f>IFERROR(VLOOKUP($G1541,融外自投!$A:$J,9,0),"無")</f>
        <v>946</v>
      </c>
      <c r="Q1541" s="342">
        <f>IFERROR(VLOOKUP($G1541,融外自投!$A:$J,8,0),"無")</f>
        <v>470</v>
      </c>
      <c r="R1541" s="81" t="str">
        <f>IFERROR(VLOOKUP($G1541,融外自投!$A:$J,10,0),"無")</f>
        <v>無</v>
      </c>
      <c r="S1541" s="324">
        <f>IFERROR(VLOOKUP($G1541,'321買'!$A:$E,4,0),"'沒有資料'")</f>
        <v>1002</v>
      </c>
      <c r="T1541" s="186">
        <f>IFERROR(VLOOKUP($G1541,基本資料!$A:$J,9,0),"無")</f>
        <v>6.1</v>
      </c>
      <c r="U1541" s="307">
        <f t="shared" si="262"/>
        <v>8.4137931034482749E-2</v>
      </c>
      <c r="V1541" s="94">
        <f>IFERROR(VLOOKUP($G1541,基本資料!$A:$J,10,0),"無")</f>
        <v>6.75</v>
      </c>
      <c r="W1541" s="36">
        <f>RTD("money.excel",,"5604","Price")</f>
        <v>72.5</v>
      </c>
      <c r="X1541" s="66"/>
      <c r="Y1541" s="15">
        <f t="shared" si="263"/>
        <v>72.5</v>
      </c>
      <c r="Z1541" s="3" t="e">
        <f t="shared" si="264"/>
        <v>#DIV/0!</v>
      </c>
      <c r="AA1541" s="340">
        <f>IFERROR(VLOOKUP($G1541,基本資料!$A:$M,11,0),"無")</f>
        <v>-32.869999999999997</v>
      </c>
      <c r="AB1541" s="389">
        <f>IFERROR(VLOOKUP($G1541,基本資料!$A:$M,12,0),"無")</f>
        <v>19.32</v>
      </c>
      <c r="AC1541" s="16" t="s">
        <v>862</v>
      </c>
      <c r="AF1541" s="33">
        <f t="shared" si="265"/>
        <v>0</v>
      </c>
      <c r="AG1541" s="43" t="s">
        <v>2663</v>
      </c>
      <c r="AH1541" s="66">
        <f t="shared" si="255"/>
        <v>3.2307692307692308</v>
      </c>
      <c r="AI1541" s="283">
        <f>RTD("money.excel",,$G1541,"PredictVolume")</f>
        <v>84</v>
      </c>
      <c r="AJ1541" s="391">
        <f>IFERROR(VLOOKUP($G1541,基本資料!$A:$M,13,0),"無")</f>
        <v>26</v>
      </c>
      <c r="AR1541" s="245" t="str">
        <f>INDEX(基本資料!N:N,MATCH($G1541,基本資料!A:A,0))</f>
        <v>低</v>
      </c>
    </row>
    <row r="1542" spans="1:44">
      <c r="A1542" s="343">
        <f>IFERROR(VLOOKUP($G1542,基本資料!$A:$J,3,0),"無")</f>
        <v>25.49</v>
      </c>
      <c r="B1542" s="79">
        <f>IFERROR(VLOOKUP($G1542,基本資料!$A:$J,4,0),"無")</f>
        <v>24</v>
      </c>
      <c r="C1542" s="79">
        <f>IFERROR(VLOOKUP($G1542,基本資料!$A:$J,5,0),"無")</f>
        <v>53</v>
      </c>
      <c r="D1542" s="79">
        <f>IFERROR(VLOOKUP($G1542,基本資料!$A:$J,6,0),"無")</f>
        <v>-5</v>
      </c>
      <c r="E1542" s="79">
        <f>IFERROR(VLOOKUP($G1542,基本資料!$A:$J,7,0),"無")</f>
        <v>47</v>
      </c>
      <c r="F1542" s="6">
        <f>IFERROR(VLOOKUP($G1542,基本資料!$A:$J,8,0),"無")</f>
        <v>40.79</v>
      </c>
      <c r="G1542" s="79">
        <v>5607</v>
      </c>
      <c r="H1542" s="8" t="s">
        <v>4712</v>
      </c>
      <c r="I1542" s="22" t="s">
        <v>873</v>
      </c>
      <c r="J1542" s="8">
        <f>IFERROR(VLOOKUP($G1542,今日總結!$A:$AN,39,0),"")</f>
        <v>0</v>
      </c>
      <c r="K1542" s="5">
        <f>IFERROR(VLOOKUP($G1542,今日總結!$A:$AN,40,0),"")</f>
        <v>0</v>
      </c>
      <c r="L1542" s="156">
        <f>IFERROR(VLOOKUP($G1542,今日總結!$A:$AN,37,0),"")</f>
        <v>0</v>
      </c>
      <c r="M1542" s="337">
        <f>IFERROR(VLOOKUP($G1542,今日總結!$A:$AN,38,0),"")</f>
        <v>0</v>
      </c>
      <c r="N1542" s="240">
        <f t="shared" si="266"/>
        <v>0</v>
      </c>
      <c r="O1542" s="359">
        <f>IFERROR(VLOOKUP($G1542,融外自投!$A:$J,7,0),"無")</f>
        <v>864</v>
      </c>
      <c r="P1542" s="79">
        <f>IFERROR(VLOOKUP($G1542,融外自投!$A:$J,9,0),"無")</f>
        <v>908</v>
      </c>
      <c r="Q1542" s="342">
        <f>IFERROR(VLOOKUP($G1542,融外自投!$A:$J,8,0),"無")</f>
        <v>801</v>
      </c>
      <c r="R1542" s="81" t="str">
        <f>IFERROR(VLOOKUP($G1542,融外自投!$A:$J,10,0),"無")</f>
        <v>無</v>
      </c>
      <c r="S1542" s="324">
        <f>IFERROR(VLOOKUP($G1542,'321買'!$A:$E,4,0),"'沒有資料'")</f>
        <v>497</v>
      </c>
      <c r="T1542" s="186">
        <f>IFERROR(VLOOKUP($G1542,基本資料!$A:$J,9,0),"無")</f>
        <v>1.6</v>
      </c>
      <c r="U1542" s="307">
        <f t="shared" si="262"/>
        <v>3.0651340996168581E-2</v>
      </c>
      <c r="V1542" s="94">
        <f>IFERROR(VLOOKUP($G1542,基本資料!$A:$J,10,0),"無")</f>
        <v>2.48</v>
      </c>
      <c r="W1542" s="36">
        <f>RTD("money.excel",,"5607","Price")</f>
        <v>52.2</v>
      </c>
      <c r="X1542" s="66"/>
      <c r="Y1542" s="15">
        <f t="shared" si="263"/>
        <v>52.2</v>
      </c>
      <c r="Z1542" s="3" t="e">
        <f t="shared" si="264"/>
        <v>#DIV/0!</v>
      </c>
      <c r="AA1542" s="340">
        <f>IFERROR(VLOOKUP($G1542,基本資料!$A:$M,11,0),"無")</f>
        <v>-30.12</v>
      </c>
      <c r="AB1542" s="389">
        <f>IFERROR(VLOOKUP($G1542,基本資料!$A:$M,12,0),"無")</f>
        <v>20.6</v>
      </c>
      <c r="AC1542" s="22" t="s">
        <v>873</v>
      </c>
      <c r="AF1542" s="33">
        <f t="shared" si="265"/>
        <v>0</v>
      </c>
      <c r="AG1542" s="43" t="s">
        <v>2049</v>
      </c>
      <c r="AH1542" s="66">
        <f t="shared" ref="AH1542:AH1605" si="267">AI1542/AJ1542</f>
        <v>0.87541081565581125</v>
      </c>
      <c r="AI1542" s="283">
        <f>RTD("money.excel",,$G1542,"PredictVolume")</f>
        <v>586</v>
      </c>
      <c r="AJ1542" s="391">
        <f>IFERROR(VLOOKUP($G1542,基本資料!$A:$M,13,0),"無")</f>
        <v>669.4</v>
      </c>
      <c r="AR1542" s="245" t="str">
        <f>INDEX(基本資料!N:N,MATCH($G1542,基本資料!A:A,0))</f>
        <v>中</v>
      </c>
    </row>
    <row r="1543" spans="1:44">
      <c r="A1543" s="343">
        <f>IFERROR(VLOOKUP($G1543,基本資料!$A:$J,3,0),"無")</f>
        <v>32.92</v>
      </c>
      <c r="B1543" s="79">
        <f>IFERROR(VLOOKUP($G1543,基本資料!$A:$J,4,0),"無")</f>
        <v>289</v>
      </c>
      <c r="C1543" s="79">
        <f>IFERROR(VLOOKUP($G1543,基本資料!$A:$J,5,0),"無")</f>
        <v>430</v>
      </c>
      <c r="D1543" s="79">
        <f>IFERROR(VLOOKUP($G1543,基本資料!$A:$J,6,0),"無")</f>
        <v>3</v>
      </c>
      <c r="E1543" s="79">
        <f>IFERROR(VLOOKUP($G1543,基本資料!$A:$J,7,0),"無")</f>
        <v>76</v>
      </c>
      <c r="F1543" s="6">
        <f>IFERROR(VLOOKUP($G1543,基本資料!$A:$J,8,0),"無")</f>
        <v>41.05</v>
      </c>
      <c r="G1543" s="79">
        <v>5608</v>
      </c>
      <c r="H1543" s="8" t="s">
        <v>302</v>
      </c>
      <c r="I1543" s="22" t="s">
        <v>874</v>
      </c>
      <c r="J1543" s="8">
        <f>IFERROR(VLOOKUP($G1543,今日總結!$A:$AN,39,0),"")</f>
        <v>0</v>
      </c>
      <c r="K1543" s="5" t="str">
        <f>IFERROR(VLOOKUP($G1543,今日總結!$A:$AN,40,0),"")</f>
        <v>主</v>
      </c>
      <c r="L1543" s="156">
        <f>IFERROR(VLOOKUP($G1543,今日總結!$A:$AN,37,0),"")</f>
        <v>0</v>
      </c>
      <c r="M1543" s="337">
        <f>IFERROR(VLOOKUP($G1543,今日總結!$A:$AN,38,0),"")</f>
        <v>3</v>
      </c>
      <c r="N1543" s="240">
        <f t="shared" si="266"/>
        <v>-3</v>
      </c>
      <c r="O1543" s="359">
        <f>IFERROR(VLOOKUP($G1543,融外自投!$A:$J,7,0),"無")</f>
        <v>160</v>
      </c>
      <c r="P1543" s="79">
        <f>IFERROR(VLOOKUP($G1543,融外自投!$A:$J,9,0),"無")</f>
        <v>190</v>
      </c>
      <c r="Q1543" s="342">
        <f>IFERROR(VLOOKUP($G1543,融外自投!$A:$J,8,0),"無")</f>
        <v>771</v>
      </c>
      <c r="R1543" s="81">
        <f>IFERROR(VLOOKUP($G1543,融外自投!$A:$J,10,0),"無")</f>
        <v>495</v>
      </c>
      <c r="S1543" s="324">
        <f>IFERROR(VLOOKUP($G1543,'321買'!$A:$E,4,0),"'沒有資料'")</f>
        <v>53</v>
      </c>
      <c r="T1543" s="186">
        <f>IFERROR(VLOOKUP($G1543,基本資料!$A:$J,9,0),"無")</f>
        <v>2</v>
      </c>
      <c r="U1543" s="307">
        <f t="shared" si="262"/>
        <v>4.5819014891179843E-2</v>
      </c>
      <c r="V1543" s="94">
        <f>IFERROR(VLOOKUP($G1543,基本資料!$A:$J,10,0),"無")</f>
        <v>7.16</v>
      </c>
      <c r="W1543" s="36">
        <f>RTD("money.excel",,"5608","Price")</f>
        <v>43.65</v>
      </c>
      <c r="X1543" s="66"/>
      <c r="Y1543" s="15">
        <f t="shared" si="263"/>
        <v>43.65</v>
      </c>
      <c r="Z1543" s="3" t="e">
        <f t="shared" si="264"/>
        <v>#DIV/0!</v>
      </c>
      <c r="AA1543" s="340">
        <f>IFERROR(VLOOKUP($G1543,基本資料!$A:$M,11,0),"無")</f>
        <v>-42.79</v>
      </c>
      <c r="AB1543" s="389">
        <f>IFERROR(VLOOKUP($G1543,基本資料!$A:$M,12,0),"無")</f>
        <v>36.33</v>
      </c>
      <c r="AC1543" s="22" t="s">
        <v>874</v>
      </c>
      <c r="AF1543" s="33">
        <f t="shared" si="265"/>
        <v>0</v>
      </c>
      <c r="AG1543" s="43" t="s">
        <v>1530</v>
      </c>
      <c r="AH1543" s="66">
        <f t="shared" si="267"/>
        <v>0.44347983202972791</v>
      </c>
      <c r="AI1543" s="283">
        <f>RTD("money.excel",,$G1543,"PredictVolume")</f>
        <v>10186</v>
      </c>
      <c r="AJ1543" s="391">
        <f>IFERROR(VLOOKUP($G1543,基本資料!$A:$M,13,0),"無")</f>
        <v>22968.35</v>
      </c>
      <c r="AR1543" s="245" t="str">
        <f>INDEX(基本資料!N:N,MATCH($G1543,基本資料!A:A,0))</f>
        <v>低</v>
      </c>
    </row>
    <row r="1544" spans="1:44">
      <c r="A1544" s="343">
        <f>IFERROR(VLOOKUP($G1544,基本資料!$A:$J,3,0),"無")</f>
        <v>13.6</v>
      </c>
      <c r="B1544" s="79">
        <f>IFERROR(VLOOKUP($G1544,基本資料!$A:$J,4,0),"無")</f>
        <v>114</v>
      </c>
      <c r="C1544" s="79">
        <f>IFERROR(VLOOKUP($G1544,基本資料!$A:$J,5,0),"無")</f>
        <v>120</v>
      </c>
      <c r="D1544" s="79">
        <f>IFERROR(VLOOKUP($G1544,基本資料!$A:$J,6,0),"無")</f>
        <v>-5</v>
      </c>
      <c r="E1544" s="79">
        <f>IFERROR(VLOOKUP($G1544,基本資料!$A:$J,7,0),"無")</f>
        <v>53</v>
      </c>
      <c r="F1544" s="6">
        <f>IFERROR(VLOOKUP($G1544,基本資料!$A:$J,8,0),"無")</f>
        <v>6.9</v>
      </c>
      <c r="G1544" s="79">
        <v>5609</v>
      </c>
      <c r="H1544" s="8" t="s">
        <v>302</v>
      </c>
      <c r="I1544" s="16" t="s">
        <v>863</v>
      </c>
      <c r="J1544" s="8">
        <f>IFERROR(VLOOKUP($G1544,今日總結!$A:$AN,39,0),"")</f>
        <v>0</v>
      </c>
      <c r="K1544" s="5">
        <f>IFERROR(VLOOKUP($G1544,今日總結!$A:$AN,40,0),"")</f>
        <v>0</v>
      </c>
      <c r="L1544" s="156">
        <f>IFERROR(VLOOKUP($G1544,今日總結!$A:$AN,37,0),"")</f>
        <v>0</v>
      </c>
      <c r="M1544" s="337">
        <f>IFERROR(VLOOKUP($G1544,今日總結!$A:$AN,38,0),"")</f>
        <v>0</v>
      </c>
      <c r="N1544" s="240">
        <f t="shared" si="266"/>
        <v>0</v>
      </c>
      <c r="O1544" s="359">
        <f>IFERROR(VLOOKUP($G1544,融外自投!$A:$J,7,0),"無")</f>
        <v>524</v>
      </c>
      <c r="P1544" s="79">
        <f>IFERROR(VLOOKUP($G1544,融外自投!$A:$J,9,0),"無")</f>
        <v>717</v>
      </c>
      <c r="Q1544" s="342">
        <f>IFERROR(VLOOKUP($G1544,融外自投!$A:$J,8,0),"無")</f>
        <v>294</v>
      </c>
      <c r="R1544" s="81">
        <f>IFERROR(VLOOKUP($G1544,融外自投!$A:$J,10,0),"無")</f>
        <v>229</v>
      </c>
      <c r="S1544" s="324">
        <f>IFERROR(VLOOKUP($G1544,'321買'!$A:$E,4,0),"'沒有資料'")</f>
        <v>202</v>
      </c>
      <c r="T1544" s="186">
        <f>IFERROR(VLOOKUP($G1544,基本資料!$A:$J,9,0),"無")</f>
        <v>10.199999999999999</v>
      </c>
      <c r="U1544" s="307">
        <f t="shared" si="262"/>
        <v>9.4883720930232548E-2</v>
      </c>
      <c r="V1544" s="94">
        <f>IFERROR(VLOOKUP($G1544,基本資料!$A:$J,10,0),"無")</f>
        <v>16.98</v>
      </c>
      <c r="W1544" s="36">
        <f>RTD("money.excel",,"5609","Price")</f>
        <v>107.5</v>
      </c>
      <c r="X1544" s="66"/>
      <c r="Y1544" s="15">
        <f t="shared" si="263"/>
        <v>107.5</v>
      </c>
      <c r="Z1544" s="3" t="e">
        <f t="shared" si="264"/>
        <v>#DIV/0!</v>
      </c>
      <c r="AA1544" s="340">
        <f>IFERROR(VLOOKUP($G1544,基本資料!$A:$M,11,0),"無")</f>
        <v>-32.81</v>
      </c>
      <c r="AB1544" s="389">
        <f>IFERROR(VLOOKUP($G1544,基本資料!$A:$M,12,0),"無")</f>
        <v>58.81</v>
      </c>
      <c r="AC1544" s="16" t="s">
        <v>863</v>
      </c>
      <c r="AF1544" s="33">
        <f t="shared" si="265"/>
        <v>0</v>
      </c>
      <c r="AG1544" s="43" t="s">
        <v>2806</v>
      </c>
      <c r="AH1544" s="66">
        <f t="shared" si="267"/>
        <v>1.1403232907730045</v>
      </c>
      <c r="AI1544" s="283">
        <f>RTD("money.excel",,$G1544,"PredictVolume")</f>
        <v>1813</v>
      </c>
      <c r="AJ1544" s="391">
        <f>IFERROR(VLOOKUP($G1544,基本資料!$A:$M,13,0),"無")</f>
        <v>1589.9</v>
      </c>
      <c r="AR1544" s="245" t="str">
        <f>INDEX(基本資料!N:N,MATCH($G1544,基本資料!A:A,0))</f>
        <v>中</v>
      </c>
    </row>
    <row r="1545" spans="1:44">
      <c r="A1545" s="343">
        <f>IFERROR(VLOOKUP($G1545,基本資料!$A:$J,3,0),"無")</f>
        <v>8.77</v>
      </c>
      <c r="B1545" s="79">
        <f>IFERROR(VLOOKUP($G1545,基本資料!$A:$J,4,0),"無")</f>
        <v>178</v>
      </c>
      <c r="C1545" s="79">
        <f>IFERROR(VLOOKUP($G1545,基本資料!$A:$J,5,0),"無")</f>
        <v>73</v>
      </c>
      <c r="D1545" s="79">
        <f>IFERROR(VLOOKUP($G1545,基本資料!$A:$J,6,0),"無")</f>
        <v>4</v>
      </c>
      <c r="E1545" s="79">
        <f>IFERROR(VLOOKUP($G1545,基本資料!$A:$J,7,0),"無")</f>
        <v>19</v>
      </c>
      <c r="F1545" s="6">
        <f>IFERROR(VLOOKUP($G1545,基本資料!$A:$J,8,0),"無")</f>
        <v>21.52</v>
      </c>
      <c r="G1545" s="79">
        <v>8367</v>
      </c>
      <c r="H1545" s="8" t="s">
        <v>302</v>
      </c>
      <c r="I1545" s="22" t="s">
        <v>1775</v>
      </c>
      <c r="J1545" s="8">
        <f>IFERROR(VLOOKUP($G1545,今日總結!$A:$AN,39,0),"")</f>
        <v>0</v>
      </c>
      <c r="K1545" s="5">
        <f>IFERROR(VLOOKUP($G1545,今日總結!$A:$AN,40,0),"")</f>
        <v>0</v>
      </c>
      <c r="L1545" s="156">
        <f>IFERROR(VLOOKUP($G1545,今日總結!$A:$AN,37,0),"")</f>
        <v>0</v>
      </c>
      <c r="M1545" s="337">
        <f>IFERROR(VLOOKUP($G1545,今日總結!$A:$AN,38,0),"")</f>
        <v>0</v>
      </c>
      <c r="N1545" s="240">
        <f t="shared" si="266"/>
        <v>0</v>
      </c>
      <c r="O1545" s="359">
        <f>IFERROR(VLOOKUP($G1545,融外自投!$A:$J,7,0),"無")</f>
        <v>850</v>
      </c>
      <c r="P1545" s="79" t="str">
        <f>IFERROR(VLOOKUP($G1545,融外自投!$A:$J,9,0),"無")</f>
        <v>無</v>
      </c>
      <c r="Q1545" s="342">
        <f>IFERROR(VLOOKUP($G1545,融外自投!$A:$J,8,0),"無")</f>
        <v>1092</v>
      </c>
      <c r="R1545" s="81" t="str">
        <f>IFERROR(VLOOKUP($G1545,融外自投!$A:$J,10,0),"無")</f>
        <v>無</v>
      </c>
      <c r="S1545" s="324">
        <f>IFERROR(VLOOKUP($G1545,'321買'!$A:$E,4,0),"'沒有資料'")</f>
        <v>440</v>
      </c>
      <c r="T1545" s="186">
        <f>IFERROR(VLOOKUP($G1545,基本資料!$A:$J,9,0),"無")</f>
        <v>2.8</v>
      </c>
      <c r="U1545" s="307">
        <f t="shared" si="262"/>
        <v>6.4000000000000001E-2</v>
      </c>
      <c r="V1545" s="94">
        <f>IFERROR(VLOOKUP($G1545,基本資料!$A:$J,10,0),"無")</f>
        <v>7.1</v>
      </c>
      <c r="W1545" s="36">
        <f>RTD("money.excel",,"8367","Price")</f>
        <v>43.75</v>
      </c>
      <c r="X1545" s="66"/>
      <c r="Y1545" s="15">
        <f t="shared" si="263"/>
        <v>43.75</v>
      </c>
      <c r="Z1545" s="3" t="e">
        <f t="shared" si="264"/>
        <v>#DIV/0!</v>
      </c>
      <c r="AA1545" s="340">
        <f>IFERROR(VLOOKUP($G1545,基本資料!$A:$M,11,0),"無")</f>
        <v>-50.28</v>
      </c>
      <c r="AB1545" s="389">
        <f>IFERROR(VLOOKUP($G1545,基本資料!$A:$M,12,0),"無")</f>
        <v>12.75</v>
      </c>
      <c r="AC1545" s="22" t="s">
        <v>1775</v>
      </c>
      <c r="AF1545" s="33">
        <f t="shared" si="265"/>
        <v>0</v>
      </c>
      <c r="AG1545" s="43" t="s">
        <v>1776</v>
      </c>
      <c r="AH1545" s="66">
        <f t="shared" si="267"/>
        <v>0.46770601336302897</v>
      </c>
      <c r="AI1545" s="283">
        <f>RTD("money.excel",,$G1545,"PredictVolume")</f>
        <v>84</v>
      </c>
      <c r="AJ1545" s="391">
        <f>IFERROR(VLOOKUP($G1545,基本資料!$A:$M,13,0),"無")</f>
        <v>179.6</v>
      </c>
      <c r="AR1545" s="245" t="str">
        <f>INDEX(基本資料!N:N,MATCH($G1545,基本資料!A:A,0))</f>
        <v>低</v>
      </c>
    </row>
    <row r="1546" spans="1:44">
      <c r="B1546" s="90"/>
      <c r="C1546" s="90"/>
      <c r="D1546" s="90"/>
      <c r="E1546" s="90"/>
      <c r="F1546" s="57"/>
      <c r="G1546" s="79"/>
      <c r="H1546" s="8"/>
      <c r="I1546" s="22"/>
      <c r="L1546" s="2"/>
      <c r="O1546" s="360"/>
      <c r="Q1546" s="351"/>
      <c r="R1546" s="81"/>
      <c r="S1546" s="324"/>
      <c r="T1546" s="34"/>
      <c r="V1546" s="94"/>
      <c r="W1546" s="36"/>
      <c r="X1546" s="66"/>
      <c r="Y1546" s="15"/>
      <c r="Z1546" s="3"/>
      <c r="AC1546" s="22"/>
      <c r="AF1546" s="33"/>
      <c r="AG1546" s="43"/>
      <c r="AH1546" s="66" t="e">
        <f t="shared" si="267"/>
        <v>#DIV/0!</v>
      </c>
      <c r="AI1546" s="283"/>
    </row>
    <row r="1547" spans="1:44">
      <c r="A1547" s="127" t="s">
        <v>1672</v>
      </c>
      <c r="B1547" s="90" t="s">
        <v>1571</v>
      </c>
      <c r="C1547" s="90" t="s">
        <v>1572</v>
      </c>
      <c r="D1547" s="90" t="s">
        <v>1573</v>
      </c>
      <c r="E1547" s="90" t="s">
        <v>1574</v>
      </c>
      <c r="F1547" s="8" t="s">
        <v>1059</v>
      </c>
      <c r="G1547" s="27" t="s">
        <v>957</v>
      </c>
      <c r="H1547" s="55" t="s">
        <v>320</v>
      </c>
      <c r="I1547" s="8" t="s">
        <v>303</v>
      </c>
      <c r="J1547" s="8" t="s">
        <v>6211</v>
      </c>
      <c r="K1547" s="5" t="s">
        <v>6212</v>
      </c>
      <c r="L1547" s="334" t="s">
        <v>6197</v>
      </c>
      <c r="M1547" s="335" t="s">
        <v>6198</v>
      </c>
      <c r="N1547" s="336" t="s">
        <v>6199</v>
      </c>
      <c r="O1547" s="89" t="s">
        <v>6275</v>
      </c>
      <c r="P1547" s="292" t="s">
        <v>6274</v>
      </c>
      <c r="Q1547" s="350" t="s">
        <v>6273</v>
      </c>
      <c r="R1547" s="26" t="s">
        <v>6276</v>
      </c>
      <c r="S1547" s="318" t="s">
        <v>4715</v>
      </c>
      <c r="T1547" s="10" t="s">
        <v>66</v>
      </c>
      <c r="U1547" s="305" t="s">
        <v>4728</v>
      </c>
      <c r="V1547" s="68" t="s">
        <v>3272</v>
      </c>
      <c r="W1547" s="28" t="s">
        <v>2</v>
      </c>
      <c r="X1547" s="17" t="s">
        <v>1398</v>
      </c>
      <c r="Y1547" s="14" t="s">
        <v>5</v>
      </c>
      <c r="Z1547" s="21" t="s">
        <v>3</v>
      </c>
      <c r="AA1547" s="96" t="s">
        <v>6166</v>
      </c>
      <c r="AB1547" s="378" t="s">
        <v>6404</v>
      </c>
      <c r="AC1547" s="8" t="s">
        <v>303</v>
      </c>
      <c r="AD1547" s="71" t="s">
        <v>1399</v>
      </c>
      <c r="AE1547" s="72" t="s">
        <v>1156</v>
      </c>
      <c r="AF1547" s="32" t="s">
        <v>1157</v>
      </c>
      <c r="AG1547" s="25" t="s">
        <v>6200</v>
      </c>
      <c r="AH1547" s="8" t="s">
        <v>6696</v>
      </c>
      <c r="AI1547" s="50" t="s">
        <v>3360</v>
      </c>
      <c r="AJ1547" s="22" t="s">
        <v>6695</v>
      </c>
    </row>
    <row r="1548" spans="1:44" ht="16.5" customHeight="1">
      <c r="A1548" s="343">
        <f>IFERROR(VLOOKUP($G1548,基本資料!$A:$J,3,0),"無")</f>
        <v>3.23</v>
      </c>
      <c r="B1548" s="79">
        <f>IFERROR(VLOOKUP($G1548,基本資料!$A:$J,4,0),"無")</f>
        <v>-40</v>
      </c>
      <c r="C1548" s="79">
        <f>IFERROR(VLOOKUP($G1548,基本資料!$A:$J,5,0),"無")</f>
        <v>-106</v>
      </c>
      <c r="D1548" s="79">
        <f>IFERROR(VLOOKUP($G1548,基本資料!$A:$J,6,0),"無")</f>
        <v>-3</v>
      </c>
      <c r="E1548" s="79">
        <f>IFERROR(VLOOKUP($G1548,基本資料!$A:$J,7,0),"無")</f>
        <v>5</v>
      </c>
      <c r="F1548" s="6">
        <f>IFERROR(VLOOKUP($G1548,基本資料!$A:$J,8,0),"無")</f>
        <v>-0.15</v>
      </c>
      <c r="G1548" s="79">
        <v>1259</v>
      </c>
      <c r="H1548" s="8" t="s">
        <v>303</v>
      </c>
      <c r="I1548" s="16" t="s">
        <v>958</v>
      </c>
      <c r="J1548" s="8" t="str">
        <f>IFERROR(VLOOKUP($G1548,今日總結!$A:$AN,39,0),"")</f>
        <v/>
      </c>
      <c r="K1548" s="5" t="str">
        <f>IFERROR(VLOOKUP($G1548,今日總結!$A:$AN,40,0),"")</f>
        <v/>
      </c>
      <c r="L1548" s="156" t="str">
        <f>IFERROR(VLOOKUP($G1548,今日總結!$A:$AN,37,0),"")</f>
        <v/>
      </c>
      <c r="M1548" s="337" t="str">
        <f>IFERROR(VLOOKUP($G1548,今日總結!$A:$AN,38,0),"")</f>
        <v/>
      </c>
      <c r="N1548" s="240" t="str">
        <f t="shared" ref="N1548:N1576" si="268">IFERROR(L1548-M1548,"")</f>
        <v/>
      </c>
      <c r="O1548" s="359">
        <f>IFERROR(VLOOKUP($G1548,融外自投!$A:$J,7,0),"無")</f>
        <v>1404</v>
      </c>
      <c r="P1548" s="79" t="str">
        <f>IFERROR(VLOOKUP($G1548,融外自投!$A:$J,9,0),"無")</f>
        <v>無</v>
      </c>
      <c r="Q1548" s="342">
        <f>IFERROR(VLOOKUP($G1548,融外自投!$A:$J,8,0),"無")</f>
        <v>206</v>
      </c>
      <c r="R1548" s="81" t="str">
        <f>IFERROR(VLOOKUP($G1548,融外自投!$A:$J,10,0),"無")</f>
        <v>無</v>
      </c>
      <c r="S1548" s="324" t="str">
        <f>IFERROR(VLOOKUP($G1548,'321買'!$A:$E,4,0),"'沒有資料'")</f>
        <v>'沒有資料'</v>
      </c>
      <c r="T1548" s="186">
        <f>IFERROR(VLOOKUP($G1548,基本資料!$A:$J,9,0),"無")</f>
        <v>2.2999999999999998</v>
      </c>
      <c r="U1548" s="307">
        <f t="shared" ref="U1548:U1591" si="269">$T1548/$W1548</f>
        <v>3.3527696793002916E-2</v>
      </c>
      <c r="V1548" s="94">
        <f>IFERROR(VLOOKUP($G1548,基本資料!$A:$J,10,0),"無")</f>
        <v>3.07</v>
      </c>
      <c r="W1548" s="36">
        <f>RTD("money.excel",,"1259","Price")</f>
        <v>68.599999999999994</v>
      </c>
      <c r="X1548" s="66"/>
      <c r="Y1548" s="15">
        <f t="shared" ref="Y1548:Y1591" si="270">W1548-X1548</f>
        <v>68.599999999999994</v>
      </c>
      <c r="Z1548" s="3" t="e">
        <f t="shared" ref="Z1548:Z1591" si="271">Y1548/X1548</f>
        <v>#DIV/0!</v>
      </c>
      <c r="AA1548" s="340">
        <f>IFERROR(VLOOKUP($G1548,基本資料!$A:$M,11,0),"無")</f>
        <v>-4.1900000000000004</v>
      </c>
      <c r="AB1548" s="389">
        <f>IFERROR(VLOOKUP($G1548,基本資料!$A:$M,12,0),"無")</f>
        <v>66.86</v>
      </c>
      <c r="AC1548" s="16" t="s">
        <v>958</v>
      </c>
      <c r="AF1548" s="33">
        <f t="shared" ref="AF1548:AF1591" si="272">AE1548-AD1548</f>
        <v>0</v>
      </c>
      <c r="AG1548" s="43" t="s">
        <v>2670</v>
      </c>
      <c r="AH1548" s="66">
        <f t="shared" si="267"/>
        <v>0.10582010582010583</v>
      </c>
      <c r="AI1548" s="283">
        <f>RTD("money.excel",,$G1548,"PredictVolume")</f>
        <v>1</v>
      </c>
      <c r="AJ1548" s="391">
        <f>IFERROR(VLOOKUP($G1548,基本資料!$A:$M,13,0),"無")</f>
        <v>9.4499999999999993</v>
      </c>
      <c r="AR1548" s="245" t="str">
        <f>INDEX(基本資料!N:N,MATCH($G1548,基本資料!A:A,0))</f>
        <v>中</v>
      </c>
    </row>
    <row r="1549" spans="1:44" ht="16.5" customHeight="1">
      <c r="A1549" s="343">
        <f>IFERROR(VLOOKUP($G1549,基本資料!$A:$J,3,0),"無")</f>
        <v>4.2699999999999996</v>
      </c>
      <c r="B1549" s="79">
        <f>IFERROR(VLOOKUP($G1549,基本資料!$A:$J,4,0),"無")</f>
        <v>-73</v>
      </c>
      <c r="C1549" s="79">
        <f>IFERROR(VLOOKUP($G1549,基本資料!$A:$J,5,0),"無")</f>
        <v>-140</v>
      </c>
      <c r="D1549" s="79">
        <f>IFERROR(VLOOKUP($G1549,基本資料!$A:$J,6,0),"無")</f>
        <v>-34</v>
      </c>
      <c r="E1549" s="79">
        <f>IFERROR(VLOOKUP($G1549,基本資料!$A:$J,7,0),"無")</f>
        <v>-29</v>
      </c>
      <c r="F1549" s="6">
        <f>IFERROR(VLOOKUP($G1549,基本資料!$A:$J,8,0),"無")</f>
        <v>-2.2599999999999998</v>
      </c>
      <c r="G1549" s="79">
        <v>1268</v>
      </c>
      <c r="H1549" s="8" t="s">
        <v>303</v>
      </c>
      <c r="I1549" s="16" t="s">
        <v>959</v>
      </c>
      <c r="J1549" s="8" t="str">
        <f>IFERROR(VLOOKUP($G1549,今日總結!$A:$AN,39,0),"")</f>
        <v/>
      </c>
      <c r="K1549" s="5" t="str">
        <f>IFERROR(VLOOKUP($G1549,今日總結!$A:$AN,40,0),"")</f>
        <v/>
      </c>
      <c r="L1549" s="156" t="str">
        <f>IFERROR(VLOOKUP($G1549,今日總結!$A:$AN,37,0),"")</f>
        <v/>
      </c>
      <c r="M1549" s="337" t="str">
        <f>IFERROR(VLOOKUP($G1549,今日總結!$A:$AN,38,0),"")</f>
        <v/>
      </c>
      <c r="N1549" s="240" t="str">
        <f t="shared" si="268"/>
        <v/>
      </c>
      <c r="O1549" s="359">
        <f>IFERROR(VLOOKUP($G1549,融外自投!$A:$J,7,0),"無")</f>
        <v>1381</v>
      </c>
      <c r="P1549" s="79" t="str">
        <f>IFERROR(VLOOKUP($G1549,融外自投!$A:$J,9,0),"無")</f>
        <v>無</v>
      </c>
      <c r="Q1549" s="342">
        <f>IFERROR(VLOOKUP($G1549,融外自投!$A:$J,8,0),"無")</f>
        <v>1445</v>
      </c>
      <c r="R1549" s="81" t="str">
        <f>IFERROR(VLOOKUP($G1549,融外自投!$A:$J,10,0),"無")</f>
        <v>無</v>
      </c>
      <c r="S1549" s="324" t="str">
        <f>IFERROR(VLOOKUP($G1549,'321買'!$A:$E,4,0),"'沒有資料'")</f>
        <v>'沒有資料'</v>
      </c>
      <c r="T1549" s="186">
        <f>IFERROR(VLOOKUP($G1549,基本資料!$A:$J,9,0),"無")</f>
        <v>3</v>
      </c>
      <c r="U1549" s="307">
        <f t="shared" si="269"/>
        <v>2.9702970297029702E-2</v>
      </c>
      <c r="V1549" s="94">
        <f>IFERROR(VLOOKUP($G1549,基本資料!$A:$J,10,0),"無")</f>
        <v>2.0099999999999998</v>
      </c>
      <c r="W1549" s="36">
        <f>RTD("money.excel",,"1268","Price")</f>
        <v>101</v>
      </c>
      <c r="X1549" s="66"/>
      <c r="Y1549" s="15">
        <f t="shared" si="270"/>
        <v>101</v>
      </c>
      <c r="Z1549" s="3" t="e">
        <f t="shared" si="271"/>
        <v>#DIV/0!</v>
      </c>
      <c r="AA1549" s="340">
        <f>IFERROR(VLOOKUP($G1549,基本資料!$A:$M,11,0),"無")</f>
        <v>-26.81</v>
      </c>
      <c r="AB1549" s="389">
        <f>IFERROR(VLOOKUP($G1549,基本資料!$A:$M,12,0),"無")</f>
        <v>11.41</v>
      </c>
      <c r="AC1549" s="16" t="s">
        <v>959</v>
      </c>
      <c r="AF1549" s="33">
        <f t="shared" si="272"/>
        <v>0</v>
      </c>
      <c r="AG1549" s="43" t="s">
        <v>2671</v>
      </c>
      <c r="AH1549" s="66">
        <f t="shared" si="267"/>
        <v>1.6460905349794239</v>
      </c>
      <c r="AI1549" s="283">
        <f>RTD("money.excel",,$G1549,"PredictVolume")</f>
        <v>20</v>
      </c>
      <c r="AJ1549" s="391">
        <f>IFERROR(VLOOKUP($G1549,基本資料!$A:$M,13,0),"無")</f>
        <v>12.15</v>
      </c>
      <c r="AR1549" s="245" t="str">
        <f>INDEX(基本資料!N:N,MATCH($G1549,基本資料!A:A,0))</f>
        <v>低</v>
      </c>
    </row>
    <row r="1550" spans="1:44" ht="16.5" customHeight="1">
      <c r="A1550" s="343">
        <f>IFERROR(VLOOKUP($G1550,基本資料!$A:$J,3,0),"無")</f>
        <v>44.99</v>
      </c>
      <c r="B1550" s="79">
        <f>IFERROR(VLOOKUP($G1550,基本資料!$A:$J,4,0),"無")</f>
        <v>-51</v>
      </c>
      <c r="C1550" s="79">
        <f>IFERROR(VLOOKUP($G1550,基本資料!$A:$J,5,0),"無")</f>
        <v>-14</v>
      </c>
      <c r="D1550" s="79">
        <f>IFERROR(VLOOKUP($G1550,基本資料!$A:$J,6,0),"無")</f>
        <v>-10</v>
      </c>
      <c r="E1550" s="79">
        <f>IFERROR(VLOOKUP($G1550,基本資料!$A:$J,7,0),"無")</f>
        <v>-33</v>
      </c>
      <c r="F1550" s="6">
        <f>IFERROR(VLOOKUP($G1550,基本資料!$A:$J,8,0),"無")</f>
        <v>49.44</v>
      </c>
      <c r="G1550" s="79">
        <v>2701</v>
      </c>
      <c r="H1550" s="8" t="s">
        <v>303</v>
      </c>
      <c r="I1550" s="22" t="s">
        <v>968</v>
      </c>
      <c r="J1550" s="8">
        <f>IFERROR(VLOOKUP($G1550,今日總結!$A:$AN,39,0),"")</f>
        <v>0</v>
      </c>
      <c r="K1550" s="5">
        <f>IFERROR(VLOOKUP($G1550,今日總結!$A:$AN,40,0),"")</f>
        <v>0</v>
      </c>
      <c r="L1550" s="156">
        <f>IFERROR(VLOOKUP($G1550,今日總結!$A:$AN,37,0),"")</f>
        <v>0</v>
      </c>
      <c r="M1550" s="337">
        <f>IFERROR(VLOOKUP($G1550,今日總結!$A:$AN,38,0),"")</f>
        <v>0</v>
      </c>
      <c r="N1550" s="240">
        <f t="shared" si="268"/>
        <v>0</v>
      </c>
      <c r="O1550" s="359">
        <f>IFERROR(VLOOKUP($G1550,融外自投!$A:$J,7,0),"無")</f>
        <v>1082</v>
      </c>
      <c r="P1550" s="79" t="str">
        <f>IFERROR(VLOOKUP($G1550,融外自投!$A:$J,9,0),"無")</f>
        <v>無</v>
      </c>
      <c r="Q1550" s="342" t="str">
        <f>IFERROR(VLOOKUP($G1550,融外自投!$A:$J,8,0),"無")</f>
        <v>無</v>
      </c>
      <c r="R1550" s="81" t="str">
        <f>IFERROR(VLOOKUP($G1550,融外自投!$A:$J,10,0),"無")</f>
        <v>無</v>
      </c>
      <c r="S1550" s="324">
        <f>IFERROR(VLOOKUP($G1550,'321買'!$A:$E,4,0),"'沒有資料'")</f>
        <v>1002</v>
      </c>
      <c r="T1550" s="186">
        <f>IFERROR(VLOOKUP($G1550,基本資料!$A:$J,9,0),"無")</f>
        <v>0.17</v>
      </c>
      <c r="U1550" s="307">
        <f t="shared" si="269"/>
        <v>1.4529914529914532E-2</v>
      </c>
      <c r="V1550" s="94">
        <f>IFERROR(VLOOKUP($G1550,基本資料!$A:$J,10,0),"無")</f>
        <v>0.19</v>
      </c>
      <c r="W1550" s="36">
        <f>RTD("money.excel",,"2701","Price")</f>
        <v>11.7</v>
      </c>
      <c r="X1550" s="66"/>
      <c r="Y1550" s="15">
        <f t="shared" si="270"/>
        <v>11.7</v>
      </c>
      <c r="Z1550" s="3" t="e">
        <f t="shared" si="271"/>
        <v>#DIV/0!</v>
      </c>
      <c r="AA1550" s="340">
        <f>IFERROR(VLOOKUP($G1550,基本資料!$A:$M,11,0),"無")</f>
        <v>-13.01</v>
      </c>
      <c r="AB1550" s="389">
        <f>IFERROR(VLOOKUP($G1550,基本資料!$A:$M,12,0),"無")</f>
        <v>23.73</v>
      </c>
      <c r="AC1550" s="22" t="s">
        <v>968</v>
      </c>
      <c r="AF1550" s="33">
        <f t="shared" si="272"/>
        <v>0</v>
      </c>
      <c r="AG1550" s="43" t="s">
        <v>2778</v>
      </c>
      <c r="AH1550" s="66">
        <f t="shared" si="267"/>
        <v>0.43044619422572178</v>
      </c>
      <c r="AI1550" s="283">
        <f>RTD("money.excel",,$G1550,"PredictVolume")</f>
        <v>41</v>
      </c>
      <c r="AJ1550" s="391">
        <f>IFERROR(VLOOKUP($G1550,基本資料!$A:$M,13,0),"無")</f>
        <v>95.25</v>
      </c>
      <c r="AR1550" s="245" t="str">
        <f>INDEX(基本資料!N:N,MATCH($G1550,基本資料!A:A,0))</f>
        <v>低</v>
      </c>
    </row>
    <row r="1551" spans="1:44" ht="16.5" customHeight="1">
      <c r="A1551" s="343">
        <f>IFERROR(VLOOKUP($G1551,基本資料!$A:$J,3,0),"無")</f>
        <v>11.04</v>
      </c>
      <c r="B1551" s="79">
        <f>IFERROR(VLOOKUP($G1551,基本資料!$A:$J,4,0),"無")</f>
        <v>775</v>
      </c>
      <c r="C1551" s="79">
        <f>IFERROR(VLOOKUP($G1551,基本資料!$A:$J,5,0),"無")</f>
        <v>47</v>
      </c>
      <c r="D1551" s="79">
        <f>IFERROR(VLOOKUP($G1551,基本資料!$A:$J,6,0),"無")</f>
        <v>-1</v>
      </c>
      <c r="E1551" s="79">
        <f>IFERROR(VLOOKUP($G1551,基本資料!$A:$J,7,0),"無")</f>
        <v>76</v>
      </c>
      <c r="F1551" s="6">
        <f>IFERROR(VLOOKUP($G1551,基本資料!$A:$J,8,0),"無")</f>
        <v>-12.83</v>
      </c>
      <c r="G1551" s="79">
        <v>2702</v>
      </c>
      <c r="H1551" s="8" t="s">
        <v>303</v>
      </c>
      <c r="I1551" s="22" t="s">
        <v>969</v>
      </c>
      <c r="J1551" s="8">
        <f>IFERROR(VLOOKUP($G1551,今日總結!$A:$AN,39,0),"")</f>
        <v>0</v>
      </c>
      <c r="K1551" s="5">
        <f>IFERROR(VLOOKUP($G1551,今日總結!$A:$AN,40,0),"")</f>
        <v>0</v>
      </c>
      <c r="L1551" s="156">
        <f>IFERROR(VLOOKUP($G1551,今日總結!$A:$AN,37,0),"")</f>
        <v>0</v>
      </c>
      <c r="M1551" s="337">
        <f>IFERROR(VLOOKUP($G1551,今日總結!$A:$AN,38,0),"")</f>
        <v>0</v>
      </c>
      <c r="N1551" s="240">
        <f t="shared" si="268"/>
        <v>0</v>
      </c>
      <c r="O1551" s="359">
        <f>IFERROR(VLOOKUP($G1551,融外自投!$A:$J,7,0),"無")</f>
        <v>970</v>
      </c>
      <c r="P1551" s="79">
        <f>IFERROR(VLOOKUP($G1551,融外自投!$A:$J,9,0),"無")</f>
        <v>908</v>
      </c>
      <c r="Q1551" s="342">
        <f>IFERROR(VLOOKUP($G1551,融外自投!$A:$J,8,0),"無")</f>
        <v>127</v>
      </c>
      <c r="R1551" s="81" t="str">
        <f>IFERROR(VLOOKUP($G1551,融外自投!$A:$J,10,0),"無")</f>
        <v>無</v>
      </c>
      <c r="S1551" s="324">
        <f>IFERROR(VLOOKUP($G1551,'321買'!$A:$E,4,0),"'沒有資料'")</f>
        <v>801</v>
      </c>
      <c r="T1551" s="186">
        <f>IFERROR(VLOOKUP($G1551,基本資料!$A:$J,9,0),"無")</f>
        <v>4.5</v>
      </c>
      <c r="U1551" s="307">
        <f t="shared" si="269"/>
        <v>0.17681728880157171</v>
      </c>
      <c r="V1551" s="94">
        <f>IFERROR(VLOOKUP($G1551,基本資料!$A:$J,10,0),"無")</f>
        <v>16.53</v>
      </c>
      <c r="W1551" s="36">
        <f>RTD("money.excel",,"2702","Price")</f>
        <v>25.45</v>
      </c>
      <c r="X1551" s="66"/>
      <c r="Y1551" s="15">
        <f t="shared" si="270"/>
        <v>25.45</v>
      </c>
      <c r="Z1551" s="3" t="e">
        <f t="shared" si="271"/>
        <v>#DIV/0!</v>
      </c>
      <c r="AA1551" s="340">
        <f>IFERROR(VLOOKUP($G1551,基本資料!$A:$M,11,0),"無")</f>
        <v>-20.59</v>
      </c>
      <c r="AB1551" s="389">
        <f>IFERROR(VLOOKUP($G1551,基本資料!$A:$M,12,0),"無")</f>
        <v>34.14</v>
      </c>
      <c r="AC1551" s="22" t="s">
        <v>969</v>
      </c>
      <c r="AF1551" s="33">
        <f t="shared" si="272"/>
        <v>0</v>
      </c>
      <c r="AG1551" s="43" t="s">
        <v>2779</v>
      </c>
      <c r="AH1551" s="66">
        <f t="shared" si="267"/>
        <v>0.19198803191489361</v>
      </c>
      <c r="AI1551" s="283">
        <f>RTD("money.excel",,$G1551,"PredictVolume")</f>
        <v>231</v>
      </c>
      <c r="AJ1551" s="391">
        <f>IFERROR(VLOOKUP($G1551,基本資料!$A:$M,13,0),"無")</f>
        <v>1203.2</v>
      </c>
      <c r="AR1551" s="245" t="str">
        <f>INDEX(基本資料!N:N,MATCH($G1551,基本資料!A:A,0))</f>
        <v>低</v>
      </c>
    </row>
    <row r="1552" spans="1:44">
      <c r="A1552" s="343">
        <f>IFERROR(VLOOKUP($G1552,基本資料!$A:$J,3,0),"無")</f>
        <v>36.69</v>
      </c>
      <c r="B1552" s="79">
        <f>IFERROR(VLOOKUP($G1552,基本資料!$A:$J,4,0),"無")</f>
        <v>-2809</v>
      </c>
      <c r="C1552" s="79">
        <f>IFERROR(VLOOKUP($G1552,基本資料!$A:$J,5,0),"無")</f>
        <v>-35</v>
      </c>
      <c r="D1552" s="79">
        <f>IFERROR(VLOOKUP($G1552,基本資料!$A:$J,6,0),"無")</f>
        <v>-23</v>
      </c>
      <c r="E1552" s="79">
        <f>IFERROR(VLOOKUP($G1552,基本資料!$A:$J,7,0),"無")</f>
        <v>-37</v>
      </c>
      <c r="F1552" s="6">
        <f>IFERROR(VLOOKUP($G1552,基本資料!$A:$J,8,0),"無")</f>
        <v>-24.55</v>
      </c>
      <c r="G1552" s="79">
        <v>2704</v>
      </c>
      <c r="H1552" s="17" t="s">
        <v>303</v>
      </c>
      <c r="I1552" s="22" t="s">
        <v>0</v>
      </c>
      <c r="J1552" s="8">
        <f>IFERROR(VLOOKUP($G1552,今日總結!$A:$AN,39,0),"")</f>
        <v>0</v>
      </c>
      <c r="K1552" s="5">
        <f>IFERROR(VLOOKUP($G1552,今日總結!$A:$AN,40,0),"")</f>
        <v>0</v>
      </c>
      <c r="L1552" s="156">
        <f>IFERROR(VLOOKUP($G1552,今日總結!$A:$AN,37,0),"")</f>
        <v>0</v>
      </c>
      <c r="M1552" s="337">
        <f>IFERROR(VLOOKUP($G1552,今日總結!$A:$AN,38,0),"")</f>
        <v>0</v>
      </c>
      <c r="N1552" s="240">
        <f t="shared" si="268"/>
        <v>0</v>
      </c>
      <c r="O1552" s="359">
        <f>IFERROR(VLOOKUP($G1552,融外自投!$A:$J,7,0),"無")</f>
        <v>1183</v>
      </c>
      <c r="P1552" s="79">
        <f>IFERROR(VLOOKUP($G1552,融外自投!$A:$J,9,0),"無")</f>
        <v>550</v>
      </c>
      <c r="Q1552" s="342">
        <f>IFERROR(VLOOKUP($G1552,融外自投!$A:$J,8,0),"無")</f>
        <v>498</v>
      </c>
      <c r="R1552" s="81">
        <f>IFERROR(VLOOKUP($G1552,融外自投!$A:$J,10,0),"無")</f>
        <v>427</v>
      </c>
      <c r="S1552" s="324">
        <f>IFERROR(VLOOKUP($G1552,'321買'!$A:$E,4,0),"'沒有資料'")</f>
        <v>1002</v>
      </c>
      <c r="T1552" s="186">
        <f>IFERROR(VLOOKUP($G1552,基本資料!$A:$J,9,0),"無")</f>
        <v>0</v>
      </c>
      <c r="U1552" s="307">
        <f t="shared" si="269"/>
        <v>0</v>
      </c>
      <c r="V1552" s="94">
        <f>IFERROR(VLOOKUP($G1552,基本資料!$A:$J,10,0),"無")</f>
        <v>-0.24</v>
      </c>
      <c r="W1552" s="36">
        <f>RTD("money.excel",,"2704","Price")</f>
        <v>31.75</v>
      </c>
      <c r="X1552" s="66"/>
      <c r="Y1552" s="15">
        <f t="shared" si="270"/>
        <v>31.75</v>
      </c>
      <c r="Z1552" s="3" t="e">
        <f t="shared" si="271"/>
        <v>#DIV/0!</v>
      </c>
      <c r="AA1552" s="340">
        <f>IFERROR(VLOOKUP($G1552,基本資料!$A:$M,11,0),"無")</f>
        <v>-9.0299999999999994</v>
      </c>
      <c r="AB1552" s="389">
        <f>IFERROR(VLOOKUP($G1552,基本資料!$A:$M,12,0),"無")</f>
        <v>35.93</v>
      </c>
      <c r="AC1552" s="22" t="s">
        <v>0</v>
      </c>
      <c r="AF1552" s="33">
        <f t="shared" si="272"/>
        <v>0</v>
      </c>
      <c r="AG1552" s="43" t="s">
        <v>2680</v>
      </c>
      <c r="AH1552" s="66">
        <f t="shared" si="267"/>
        <v>1.0080183276059567</v>
      </c>
      <c r="AI1552" s="283">
        <f>RTD("money.excel",,$G1552,"PredictVolume")</f>
        <v>264</v>
      </c>
      <c r="AJ1552" s="391">
        <f>IFERROR(VLOOKUP($G1552,基本資料!$A:$M,13,0),"無")</f>
        <v>261.89999999999998</v>
      </c>
      <c r="AR1552" s="245" t="str">
        <f>INDEX(基本資料!N:N,MATCH($G1552,基本資料!A:A,0))</f>
        <v>中</v>
      </c>
    </row>
    <row r="1553" spans="1:44">
      <c r="A1553" s="343">
        <f>IFERROR(VLOOKUP($G1553,基本資料!$A:$J,3,0),"無")</f>
        <v>19.13</v>
      </c>
      <c r="B1553" s="79">
        <f>IFERROR(VLOOKUP($G1553,基本資料!$A:$J,4,0),"無")</f>
        <v>10</v>
      </c>
      <c r="C1553" s="79">
        <f>IFERROR(VLOOKUP($G1553,基本資料!$A:$J,5,0),"無")</f>
        <v>-31</v>
      </c>
      <c r="D1553" s="79">
        <f>IFERROR(VLOOKUP($G1553,基本資料!$A:$J,6,0),"無")</f>
        <v>-4</v>
      </c>
      <c r="E1553" s="79">
        <f>IFERROR(VLOOKUP($G1553,基本資料!$A:$J,7,0),"無")</f>
        <v>-30</v>
      </c>
      <c r="F1553" s="6">
        <f>IFERROR(VLOOKUP($G1553,基本資料!$A:$J,8,0),"無")</f>
        <v>-38.5</v>
      </c>
      <c r="G1553" s="79">
        <v>2705</v>
      </c>
      <c r="H1553" s="8" t="s">
        <v>303</v>
      </c>
      <c r="I1553" s="22" t="s">
        <v>970</v>
      </c>
      <c r="J1553" s="8">
        <f>IFERROR(VLOOKUP($G1553,今日總結!$A:$AN,39,0),"")</f>
        <v>0</v>
      </c>
      <c r="K1553" s="5" t="str">
        <f>IFERROR(VLOOKUP($G1553,今日總結!$A:$AN,40,0),"")</f>
        <v>外</v>
      </c>
      <c r="L1553" s="156">
        <f>IFERROR(VLOOKUP($G1553,今日總結!$A:$AN,37,0),"")</f>
        <v>0</v>
      </c>
      <c r="M1553" s="337">
        <f>IFERROR(VLOOKUP($G1553,今日總結!$A:$AN,38,0),"")</f>
        <v>6</v>
      </c>
      <c r="N1553" s="240">
        <f t="shared" si="268"/>
        <v>-6</v>
      </c>
      <c r="O1553" s="359">
        <f>IFERROR(VLOOKUP($G1553,融外自投!$A:$J,7,0),"無")</f>
        <v>1164</v>
      </c>
      <c r="P1553" s="79">
        <f>IFERROR(VLOOKUP($G1553,融外自投!$A:$J,9,0),"無")</f>
        <v>1051</v>
      </c>
      <c r="Q1553" s="342">
        <f>IFERROR(VLOOKUP($G1553,融外自投!$A:$J,8,0),"無")</f>
        <v>1114</v>
      </c>
      <c r="R1553" s="81" t="str">
        <f>IFERROR(VLOOKUP($G1553,融外自投!$A:$J,10,0),"無")</f>
        <v>無</v>
      </c>
      <c r="S1553" s="324">
        <f>IFERROR(VLOOKUP($G1553,'321買'!$A:$E,4,0),"'沒有資料'")</f>
        <v>1002</v>
      </c>
      <c r="T1553" s="186">
        <f>IFERROR(VLOOKUP($G1553,基本資料!$A:$J,9,0),"無")</f>
        <v>0</v>
      </c>
      <c r="U1553" s="307">
        <f t="shared" si="269"/>
        <v>0</v>
      </c>
      <c r="V1553" s="94">
        <f>IFERROR(VLOOKUP($G1553,基本資料!$A:$J,10,0),"無")</f>
        <v>-1.46</v>
      </c>
      <c r="W1553" s="36">
        <f>RTD("money.excel",,"2705","Price")</f>
        <v>16.3</v>
      </c>
      <c r="X1553" s="66"/>
      <c r="Y1553" s="15">
        <f t="shared" si="270"/>
        <v>16.3</v>
      </c>
      <c r="Z1553" s="3" t="e">
        <f t="shared" si="271"/>
        <v>#DIV/0!</v>
      </c>
      <c r="AA1553" s="340">
        <f>IFERROR(VLOOKUP($G1553,基本資料!$A:$M,11,0),"無")</f>
        <v>-22.93</v>
      </c>
      <c r="AB1553" s="389">
        <f>IFERROR(VLOOKUP($G1553,基本資料!$A:$M,12,0),"無")</f>
        <v>11.32</v>
      </c>
      <c r="AC1553" s="22" t="s">
        <v>970</v>
      </c>
      <c r="AF1553" s="33">
        <f t="shared" si="272"/>
        <v>0</v>
      </c>
      <c r="AG1553" s="43" t="s">
        <v>2780</v>
      </c>
      <c r="AH1553" s="66">
        <f t="shared" si="267"/>
        <v>0.97640358014646045</v>
      </c>
      <c r="AI1553" s="283">
        <f>RTD("money.excel",,$G1553,"PredictVolume")</f>
        <v>120</v>
      </c>
      <c r="AJ1553" s="391">
        <f>IFERROR(VLOOKUP($G1553,基本資料!$A:$M,13,0),"無")</f>
        <v>122.9</v>
      </c>
      <c r="AR1553" s="245" t="str">
        <f>INDEX(基本資料!N:N,MATCH($G1553,基本資料!A:A,0))</f>
        <v>低</v>
      </c>
    </row>
    <row r="1554" spans="1:44">
      <c r="A1554" s="343">
        <f>IFERROR(VLOOKUP($G1554,基本資料!$A:$J,3,0),"無")</f>
        <v>49.99</v>
      </c>
      <c r="B1554" s="79">
        <f>IFERROR(VLOOKUP($G1554,基本資料!$A:$J,4,0),"無")</f>
        <v>-51</v>
      </c>
      <c r="C1554" s="79">
        <f>IFERROR(VLOOKUP($G1554,基本資料!$A:$J,5,0),"無")</f>
        <v>1</v>
      </c>
      <c r="D1554" s="79">
        <f>IFERROR(VLOOKUP($G1554,基本資料!$A:$J,6,0),"無")</f>
        <v>0</v>
      </c>
      <c r="E1554" s="79">
        <f>IFERROR(VLOOKUP($G1554,基本資料!$A:$J,7,0),"無")</f>
        <v>2</v>
      </c>
      <c r="F1554" s="6">
        <f>IFERROR(VLOOKUP($G1554,基本資料!$A:$J,8,0),"無")</f>
        <v>66.5</v>
      </c>
      <c r="G1554" s="79">
        <v>2706</v>
      </c>
      <c r="H1554" s="8" t="s">
        <v>303</v>
      </c>
      <c r="I1554" s="22" t="s">
        <v>971</v>
      </c>
      <c r="J1554" s="8">
        <f>IFERROR(VLOOKUP($G1554,今日總結!$A:$AN,39,0),"")</f>
        <v>0</v>
      </c>
      <c r="K1554" s="5" t="str">
        <f>IFERROR(VLOOKUP($G1554,今日總結!$A:$AN,40,0),"")</f>
        <v>借</v>
      </c>
      <c r="L1554" s="156">
        <f>IFERROR(VLOOKUP($G1554,今日總結!$A:$AN,37,0),"")</f>
        <v>0</v>
      </c>
      <c r="M1554" s="337">
        <f>IFERROR(VLOOKUP($G1554,今日總結!$A:$AN,38,0),"")</f>
        <v>2</v>
      </c>
      <c r="N1554" s="240">
        <f t="shared" si="268"/>
        <v>-2</v>
      </c>
      <c r="O1554" s="359">
        <f>IFERROR(VLOOKUP($G1554,融外自投!$A:$J,7,0),"無")</f>
        <v>1158</v>
      </c>
      <c r="P1554" s="79" t="str">
        <f>IFERROR(VLOOKUP($G1554,融外自投!$A:$J,9,0),"無")</f>
        <v>無</v>
      </c>
      <c r="Q1554" s="342">
        <f>IFERROR(VLOOKUP($G1554,融外自投!$A:$J,8,0),"無")</f>
        <v>982</v>
      </c>
      <c r="R1554" s="81" t="str">
        <f>IFERROR(VLOOKUP($G1554,融外自投!$A:$J,10,0),"無")</f>
        <v>無</v>
      </c>
      <c r="S1554" s="324">
        <f>IFERROR(VLOOKUP($G1554,'321買'!$A:$E,4,0),"'沒有資料'")</f>
        <v>1002</v>
      </c>
      <c r="T1554" s="186">
        <f>IFERROR(VLOOKUP($G1554,基本資料!$A:$J,9,0),"無")</f>
        <v>0.14000000000000001</v>
      </c>
      <c r="U1554" s="307">
        <f t="shared" si="269"/>
        <v>1.0408921933085503E-2</v>
      </c>
      <c r="V1554" s="94">
        <f>IFERROR(VLOOKUP($G1554,基本資料!$A:$J,10,0),"無")</f>
        <v>0.16</v>
      </c>
      <c r="W1554" s="36">
        <f>RTD("money.excel",,"2706","Price")</f>
        <v>13.45</v>
      </c>
      <c r="X1554" s="66"/>
      <c r="Y1554" s="15">
        <f t="shared" si="270"/>
        <v>13.45</v>
      </c>
      <c r="Z1554" s="3" t="e">
        <f t="shared" si="271"/>
        <v>#DIV/0!</v>
      </c>
      <c r="AA1554" s="340">
        <f>IFERROR(VLOOKUP($G1554,基本資料!$A:$M,11,0),"無")</f>
        <v>-21.35</v>
      </c>
      <c r="AB1554" s="389">
        <f>IFERROR(VLOOKUP($G1554,基本資料!$A:$M,12,0),"無")</f>
        <v>16.78</v>
      </c>
      <c r="AC1554" s="22" t="s">
        <v>971</v>
      </c>
      <c r="AF1554" s="33">
        <f t="shared" si="272"/>
        <v>0</v>
      </c>
      <c r="AG1554" s="43" t="s">
        <v>2781</v>
      </c>
      <c r="AH1554" s="66">
        <f t="shared" si="267"/>
        <v>0.80375083724045537</v>
      </c>
      <c r="AI1554" s="283">
        <f>RTD("money.excel",,$G1554,"PredictVolume")</f>
        <v>120</v>
      </c>
      <c r="AJ1554" s="391">
        <f>IFERROR(VLOOKUP($G1554,基本資料!$A:$M,13,0),"無")</f>
        <v>149.30000000000001</v>
      </c>
      <c r="AR1554" s="245" t="str">
        <f>INDEX(基本資料!N:N,MATCH($G1554,基本資料!A:A,0))</f>
        <v>低</v>
      </c>
    </row>
    <row r="1555" spans="1:44">
      <c r="A1555" s="343">
        <f>IFERROR(VLOOKUP($G1555,基本資料!$A:$J,3,0),"無")</f>
        <v>12.74</v>
      </c>
      <c r="B1555" s="79">
        <f>IFERROR(VLOOKUP($G1555,基本資料!$A:$J,4,0),"無")</f>
        <v>205</v>
      </c>
      <c r="C1555" s="79">
        <f>IFERROR(VLOOKUP($G1555,基本資料!$A:$J,5,0),"無")</f>
        <v>-26</v>
      </c>
      <c r="D1555" s="79">
        <f>IFERROR(VLOOKUP($G1555,基本資料!$A:$J,6,0),"無")</f>
        <v>-12</v>
      </c>
      <c r="E1555" s="79">
        <f>IFERROR(VLOOKUP($G1555,基本資料!$A:$J,7,0),"無")</f>
        <v>-15</v>
      </c>
      <c r="F1555" s="6">
        <f>IFERROR(VLOOKUP($G1555,基本資料!$A:$J,8,0),"無")</f>
        <v>10.92</v>
      </c>
      <c r="G1555" s="79">
        <v>2707</v>
      </c>
      <c r="H1555" s="8" t="s">
        <v>303</v>
      </c>
      <c r="I1555" s="22" t="s">
        <v>972</v>
      </c>
      <c r="J1555" s="8">
        <f>IFERROR(VLOOKUP($G1555,今日總結!$A:$AN,39,0),"")</f>
        <v>0</v>
      </c>
      <c r="K1555" s="5">
        <f>IFERROR(VLOOKUP($G1555,今日總結!$A:$AN,40,0),"")</f>
        <v>0</v>
      </c>
      <c r="L1555" s="156">
        <f>IFERROR(VLOOKUP($G1555,今日總結!$A:$AN,37,0),"")</f>
        <v>0</v>
      </c>
      <c r="M1555" s="337">
        <f>IFERROR(VLOOKUP($G1555,今日總結!$A:$AN,38,0),"")</f>
        <v>0</v>
      </c>
      <c r="N1555" s="240">
        <f t="shared" si="268"/>
        <v>0</v>
      </c>
      <c r="O1555" s="359">
        <f>IFERROR(VLOOKUP($G1555,融外自投!$A:$J,7,0),"無")</f>
        <v>1032</v>
      </c>
      <c r="P1555" s="79">
        <f>IFERROR(VLOOKUP($G1555,融外自投!$A:$J,9,0),"無")</f>
        <v>266</v>
      </c>
      <c r="Q1555" s="342">
        <f>IFERROR(VLOOKUP($G1555,融外自投!$A:$J,8,0),"無")</f>
        <v>366</v>
      </c>
      <c r="R1555" s="81">
        <f>IFERROR(VLOOKUP($G1555,融外自投!$A:$J,10,0),"無")</f>
        <v>221</v>
      </c>
      <c r="S1555" s="324">
        <f>IFERROR(VLOOKUP($G1555,'321買'!$A:$E,4,0),"'沒有資料'")</f>
        <v>650</v>
      </c>
      <c r="T1555" s="186">
        <f>IFERROR(VLOOKUP($G1555,基本資料!$A:$J,9,0),"無")</f>
        <v>12.39</v>
      </c>
      <c r="U1555" s="307">
        <f t="shared" si="269"/>
        <v>7.6956521739130437E-2</v>
      </c>
      <c r="V1555" s="94">
        <f>IFERROR(VLOOKUP($G1555,基本資料!$A:$J,10,0),"無")</f>
        <v>17.09</v>
      </c>
      <c r="W1555" s="36">
        <f>RTD("money.excel",,"2707","Price")</f>
        <v>161</v>
      </c>
      <c r="X1555" s="66"/>
      <c r="Y1555" s="15">
        <f t="shared" si="270"/>
        <v>161</v>
      </c>
      <c r="Z1555" s="3" t="e">
        <f t="shared" si="271"/>
        <v>#DIV/0!</v>
      </c>
      <c r="AA1555" s="340">
        <f>IFERROR(VLOOKUP($G1555,基本資料!$A:$M,11,0),"無")</f>
        <v>-17.440000000000001</v>
      </c>
      <c r="AB1555" s="389">
        <f>IFERROR(VLOOKUP($G1555,基本資料!$A:$M,12,0),"無")</f>
        <v>33.159999999999997</v>
      </c>
      <c r="AC1555" s="22" t="s">
        <v>972</v>
      </c>
      <c r="AF1555" s="33">
        <f t="shared" si="272"/>
        <v>0</v>
      </c>
      <c r="AG1555" s="43" t="s">
        <v>2680</v>
      </c>
      <c r="AH1555" s="66">
        <f t="shared" si="267"/>
        <v>0.49194656011986515</v>
      </c>
      <c r="AI1555" s="283">
        <f>RTD("money.excel",,$G1555,"PredictVolume")</f>
        <v>197</v>
      </c>
      <c r="AJ1555" s="391">
        <f>IFERROR(VLOOKUP($G1555,基本資料!$A:$M,13,0),"無")</f>
        <v>400.45</v>
      </c>
      <c r="AR1555" s="245" t="str">
        <f>INDEX(基本資料!N:N,MATCH($G1555,基本資料!A:A,0))</f>
        <v>中</v>
      </c>
    </row>
    <row r="1556" spans="1:44">
      <c r="A1556" s="343">
        <f>IFERROR(VLOOKUP($G1556,基本資料!$A:$J,3,0),"無")</f>
        <v>10.5</v>
      </c>
      <c r="B1556" s="79">
        <f>IFERROR(VLOOKUP($G1556,基本資料!$A:$J,4,0),"無")</f>
        <v>-121</v>
      </c>
      <c r="C1556" s="79">
        <f>IFERROR(VLOOKUP($G1556,基本資料!$A:$J,5,0),"無")</f>
        <v>-138</v>
      </c>
      <c r="D1556" s="79">
        <f>IFERROR(VLOOKUP($G1556,基本資料!$A:$J,6,0),"無")</f>
        <v>18</v>
      </c>
      <c r="E1556" s="79">
        <f>IFERROR(VLOOKUP($G1556,基本資料!$A:$J,7,0),"無")</f>
        <v>-38</v>
      </c>
      <c r="F1556" s="6">
        <f>IFERROR(VLOOKUP($G1556,基本資料!$A:$J,8,0),"無")</f>
        <v>-10.91</v>
      </c>
      <c r="G1556" s="79">
        <v>2712</v>
      </c>
      <c r="H1556" s="8" t="s">
        <v>303</v>
      </c>
      <c r="I1556" s="22" t="s">
        <v>973</v>
      </c>
      <c r="J1556" s="8">
        <f>IFERROR(VLOOKUP($G1556,今日總結!$A:$AN,39,0),"")</f>
        <v>0</v>
      </c>
      <c r="K1556" s="5">
        <f>IFERROR(VLOOKUP($G1556,今日總結!$A:$AN,40,0),"")</f>
        <v>0</v>
      </c>
      <c r="L1556" s="156">
        <f>IFERROR(VLOOKUP($G1556,今日總結!$A:$AN,37,0),"")</f>
        <v>0</v>
      </c>
      <c r="M1556" s="337">
        <f>IFERROR(VLOOKUP($G1556,今日總結!$A:$AN,38,0),"")</f>
        <v>0</v>
      </c>
      <c r="N1556" s="240">
        <f t="shared" si="268"/>
        <v>0</v>
      </c>
      <c r="O1556" s="359">
        <f>IFERROR(VLOOKUP($G1556,融外自投!$A:$J,7,0),"無")</f>
        <v>1395</v>
      </c>
      <c r="P1556" s="79" t="str">
        <f>IFERROR(VLOOKUP($G1556,融外自投!$A:$J,9,0),"無")</f>
        <v>無</v>
      </c>
      <c r="Q1556" s="342">
        <f>IFERROR(VLOOKUP($G1556,融外自投!$A:$J,8,0),"無")</f>
        <v>1431</v>
      </c>
      <c r="R1556" s="81" t="str">
        <f>IFERROR(VLOOKUP($G1556,融外自投!$A:$J,10,0),"無")</f>
        <v>無</v>
      </c>
      <c r="S1556" s="324">
        <f>IFERROR(VLOOKUP($G1556,'321買'!$A:$E,4,0),"'沒有資料'")</f>
        <v>1002</v>
      </c>
      <c r="T1556" s="186">
        <f>IFERROR(VLOOKUP($G1556,基本資料!$A:$J,9,0),"無")</f>
        <v>0</v>
      </c>
      <c r="U1556" s="307">
        <f t="shared" si="269"/>
        <v>0</v>
      </c>
      <c r="V1556" s="94">
        <f>IFERROR(VLOOKUP($G1556,基本資料!$A:$J,10,0),"無")</f>
        <v>-0.2</v>
      </c>
      <c r="W1556" s="36">
        <f>RTD("money.excel",,"2712","Price")</f>
        <v>33.4</v>
      </c>
      <c r="X1556" s="66"/>
      <c r="Y1556" s="15">
        <f t="shared" si="270"/>
        <v>33.4</v>
      </c>
      <c r="Z1556" s="3" t="e">
        <f t="shared" si="271"/>
        <v>#DIV/0!</v>
      </c>
      <c r="AA1556" s="340">
        <f>IFERROR(VLOOKUP($G1556,基本資料!$A:$M,11,0),"無")</f>
        <v>-28.86</v>
      </c>
      <c r="AB1556" s="389">
        <f>IFERROR(VLOOKUP($G1556,基本資料!$A:$M,12,0),"無")</f>
        <v>24.18</v>
      </c>
      <c r="AC1556" s="22" t="s">
        <v>973</v>
      </c>
      <c r="AF1556" s="33">
        <f t="shared" si="272"/>
        <v>0</v>
      </c>
      <c r="AG1556" s="43" t="s">
        <v>2782</v>
      </c>
      <c r="AH1556" s="66">
        <f t="shared" si="267"/>
        <v>0.62176165803108807</v>
      </c>
      <c r="AI1556" s="283">
        <f>RTD("money.excel",,$G1556,"PredictVolume")</f>
        <v>6</v>
      </c>
      <c r="AJ1556" s="391">
        <f>IFERROR(VLOOKUP($G1556,基本資料!$A:$M,13,0),"無")</f>
        <v>9.65</v>
      </c>
      <c r="AR1556" s="245" t="str">
        <f>INDEX(基本資料!N:N,MATCH($G1556,基本資料!A:A,0))</f>
        <v>低</v>
      </c>
    </row>
    <row r="1557" spans="1:44">
      <c r="A1557" s="343">
        <f>IFERROR(VLOOKUP($G1557,基本資料!$A:$J,3,0),"無")</f>
        <v>8.4499999999999993</v>
      </c>
      <c r="B1557" s="79">
        <f>IFERROR(VLOOKUP($G1557,基本資料!$A:$J,4,0),"無")</f>
        <v>68</v>
      </c>
      <c r="C1557" s="79">
        <f>IFERROR(VLOOKUP($G1557,基本資料!$A:$J,5,0),"無")</f>
        <v>-3</v>
      </c>
      <c r="D1557" s="79">
        <f>IFERROR(VLOOKUP($G1557,基本資料!$A:$J,6,0),"無")</f>
        <v>110</v>
      </c>
      <c r="E1557" s="79">
        <f>IFERROR(VLOOKUP($G1557,基本資料!$A:$J,7,0),"無")</f>
        <v>92</v>
      </c>
      <c r="F1557" s="6">
        <f>IFERROR(VLOOKUP($G1557,基本資料!$A:$J,8,0),"無")</f>
        <v>-55.66</v>
      </c>
      <c r="G1557" s="79">
        <v>2718</v>
      </c>
      <c r="H1557" s="8" t="s">
        <v>303</v>
      </c>
      <c r="I1557" s="16" t="s">
        <v>960</v>
      </c>
      <c r="J1557" s="8" t="str">
        <f>IFERROR(VLOOKUP($G1557,今日總結!$A:$AN,39,0),"")</f>
        <v/>
      </c>
      <c r="K1557" s="5" t="str">
        <f>IFERROR(VLOOKUP($G1557,今日總結!$A:$AN,40,0),"")</f>
        <v/>
      </c>
      <c r="L1557" s="156" t="str">
        <f>IFERROR(VLOOKUP($G1557,今日總結!$A:$AN,37,0),"")</f>
        <v/>
      </c>
      <c r="M1557" s="337" t="str">
        <f>IFERROR(VLOOKUP($G1557,今日總結!$A:$AN,38,0),"")</f>
        <v/>
      </c>
      <c r="N1557" s="240" t="str">
        <f t="shared" si="268"/>
        <v/>
      </c>
      <c r="O1557" s="359" t="str">
        <f>IFERROR(VLOOKUP($G1557,融外自投!$A:$J,7,0),"無")</f>
        <v>無</v>
      </c>
      <c r="P1557" s="79" t="str">
        <f>IFERROR(VLOOKUP($G1557,融外自投!$A:$J,9,0),"無")</f>
        <v>無</v>
      </c>
      <c r="Q1557" s="342" t="str">
        <f>IFERROR(VLOOKUP($G1557,融外自投!$A:$J,8,0),"無")</f>
        <v>無</v>
      </c>
      <c r="R1557" s="81" t="str">
        <f>IFERROR(VLOOKUP($G1557,融外自投!$A:$J,10,0),"無")</f>
        <v>無</v>
      </c>
      <c r="S1557" s="324" t="str">
        <f>IFERROR(VLOOKUP($G1557,'321買'!$A:$E,4,0),"'沒有資料'")</f>
        <v>'沒有資料'</v>
      </c>
      <c r="T1557" s="186">
        <f>IFERROR(VLOOKUP($G1557,基本資料!$A:$J,9,0),"無")</f>
        <v>0</v>
      </c>
      <c r="U1557" s="307">
        <f t="shared" si="269"/>
        <v>0</v>
      </c>
      <c r="V1557" s="94">
        <f>IFERROR(VLOOKUP($G1557,基本資料!$A:$J,10,0),"無")</f>
        <v>-0.55000000000000004</v>
      </c>
      <c r="W1557" s="36">
        <f>RTD("money.excel",,"2718","Price")</f>
        <v>33.65</v>
      </c>
      <c r="X1557" s="66"/>
      <c r="Y1557" s="15">
        <f t="shared" si="270"/>
        <v>33.65</v>
      </c>
      <c r="Z1557" s="3" t="e">
        <f t="shared" si="271"/>
        <v>#DIV/0!</v>
      </c>
      <c r="AA1557" s="340">
        <f>IFERROR(VLOOKUP($G1557,基本資料!$A:$M,11,0),"無")</f>
        <v>-9.5399999999999991</v>
      </c>
      <c r="AB1557" s="389">
        <f>IFERROR(VLOOKUP($G1557,基本資料!$A:$M,12,0),"無")</f>
        <v>55.48</v>
      </c>
      <c r="AC1557" s="16" t="s">
        <v>960</v>
      </c>
      <c r="AF1557" s="33">
        <f t="shared" si="272"/>
        <v>0</v>
      </c>
      <c r="AG1557" s="43" t="s">
        <v>2543</v>
      </c>
      <c r="AH1557" s="66">
        <f t="shared" si="267"/>
        <v>0.31088082901554404</v>
      </c>
      <c r="AI1557" s="283">
        <f>RTD("money.excel",,$G1557,"PredictVolume")</f>
        <v>3</v>
      </c>
      <c r="AJ1557" s="391">
        <f>IFERROR(VLOOKUP($G1557,基本資料!$A:$M,13,0),"無")</f>
        <v>9.65</v>
      </c>
      <c r="AR1557" s="245" t="str">
        <f>INDEX(基本資料!N:N,MATCH($G1557,基本資料!A:A,0))</f>
        <v>高</v>
      </c>
    </row>
    <row r="1558" spans="1:44">
      <c r="A1558" s="343">
        <f>IFERROR(VLOOKUP($G1558,基本資料!$A:$J,3,0),"無")</f>
        <v>3.4</v>
      </c>
      <c r="B1558" s="79">
        <f>IFERROR(VLOOKUP($G1558,基本資料!$A:$J,4,0),"無")</f>
        <v>51</v>
      </c>
      <c r="C1558" s="79">
        <f>IFERROR(VLOOKUP($G1558,基本資料!$A:$J,5,0),"無")</f>
        <v>42</v>
      </c>
      <c r="D1558" s="79">
        <f>IFERROR(VLOOKUP($G1558,基本資料!$A:$J,6,0),"無")</f>
        <v>149</v>
      </c>
      <c r="E1558" s="79">
        <f>IFERROR(VLOOKUP($G1558,基本資料!$A:$J,7,0),"無")</f>
        <v>4</v>
      </c>
      <c r="F1558" s="6">
        <f>IFERROR(VLOOKUP($G1558,基本資料!$A:$J,8,0),"無")</f>
        <v>-180.11</v>
      </c>
      <c r="G1558" s="79">
        <v>2719</v>
      </c>
      <c r="H1558" s="8" t="s">
        <v>303</v>
      </c>
      <c r="I1558" s="16" t="s">
        <v>961</v>
      </c>
      <c r="J1558" s="8" t="str">
        <f>IFERROR(VLOOKUP($G1558,今日總結!$A:$AN,39,0),"")</f>
        <v/>
      </c>
      <c r="K1558" s="5" t="str">
        <f>IFERROR(VLOOKUP($G1558,今日總結!$A:$AN,40,0),"")</f>
        <v/>
      </c>
      <c r="L1558" s="156" t="str">
        <f>IFERROR(VLOOKUP($G1558,今日總結!$A:$AN,37,0),"")</f>
        <v/>
      </c>
      <c r="M1558" s="337" t="str">
        <f>IFERROR(VLOOKUP($G1558,今日總結!$A:$AN,38,0),"")</f>
        <v/>
      </c>
      <c r="N1558" s="240" t="str">
        <f t="shared" si="268"/>
        <v/>
      </c>
      <c r="O1558" s="359" t="str">
        <f>IFERROR(VLOOKUP($G1558,融外自投!$A:$J,7,0),"無")</f>
        <v>無</v>
      </c>
      <c r="P1558" s="79" t="str">
        <f>IFERROR(VLOOKUP($G1558,融外自投!$A:$J,9,0),"無")</f>
        <v>無</v>
      </c>
      <c r="Q1558" s="342" t="str">
        <f>IFERROR(VLOOKUP($G1558,融外自投!$A:$J,8,0),"無")</f>
        <v>無</v>
      </c>
      <c r="R1558" s="81" t="str">
        <f>IFERROR(VLOOKUP($G1558,融外自投!$A:$J,10,0),"無")</f>
        <v>無</v>
      </c>
      <c r="S1558" s="324" t="str">
        <f>IFERROR(VLOOKUP($G1558,'321買'!$A:$E,4,0),"'沒有資料'")</f>
        <v>'沒有資料'</v>
      </c>
      <c r="T1558" s="186">
        <f>IFERROR(VLOOKUP($G1558,基本資料!$A:$J,9,0),"無")</f>
        <v>0</v>
      </c>
      <c r="U1558" s="307">
        <f t="shared" si="269"/>
        <v>0</v>
      </c>
      <c r="V1558" s="94">
        <f>IFERROR(VLOOKUP($G1558,基本資料!$A:$J,10,0),"無")</f>
        <v>-1.29</v>
      </c>
      <c r="W1558" s="36">
        <f>RTD("money.excel",,"2719","Price")</f>
        <v>15.7</v>
      </c>
      <c r="X1558" s="66"/>
      <c r="Y1558" s="15">
        <f t="shared" si="270"/>
        <v>15.7</v>
      </c>
      <c r="Z1558" s="3" t="e">
        <f t="shared" si="271"/>
        <v>#DIV/0!</v>
      </c>
      <c r="AA1558" s="340">
        <f>IFERROR(VLOOKUP($G1558,基本資料!$A:$M,11,0),"無")</f>
        <v>-12.78</v>
      </c>
      <c r="AB1558" s="389">
        <f>IFERROR(VLOOKUP($G1558,基本資料!$A:$M,12,0),"無")</f>
        <v>70.89</v>
      </c>
      <c r="AC1558" s="16" t="s">
        <v>961</v>
      </c>
      <c r="AF1558" s="33">
        <f t="shared" si="272"/>
        <v>0</v>
      </c>
      <c r="AG1558" s="43" t="s">
        <v>2672</v>
      </c>
      <c r="AH1558" s="66">
        <f t="shared" si="267"/>
        <v>0.28436018957345971</v>
      </c>
      <c r="AI1558" s="283">
        <f>RTD("money.excel",,$G1558,"PredictVolume")</f>
        <v>3</v>
      </c>
      <c r="AJ1558" s="391">
        <f>IFERROR(VLOOKUP($G1558,基本資料!$A:$M,13,0),"無")</f>
        <v>10.55</v>
      </c>
      <c r="AR1558" s="245" t="str">
        <f>INDEX(基本資料!N:N,MATCH($G1558,基本資料!A:A,0))</f>
        <v>高</v>
      </c>
    </row>
    <row r="1559" spans="1:44">
      <c r="A1559" s="343">
        <f>IFERROR(VLOOKUP($G1559,基本資料!$A:$J,3,0),"無")</f>
        <v>11.15</v>
      </c>
      <c r="B1559" s="79">
        <f>IFERROR(VLOOKUP($G1559,基本資料!$A:$J,4,0),"無")</f>
        <v>-81</v>
      </c>
      <c r="C1559" s="79">
        <f>IFERROR(VLOOKUP($G1559,基本資料!$A:$J,5,0),"無")</f>
        <v>-102</v>
      </c>
      <c r="D1559" s="79">
        <f>IFERROR(VLOOKUP($G1559,基本資料!$A:$J,6,0),"無")</f>
        <v>7</v>
      </c>
      <c r="E1559" s="79">
        <f>IFERROR(VLOOKUP($G1559,基本資料!$A:$J,7,0),"無")</f>
        <v>-5</v>
      </c>
      <c r="F1559" s="6">
        <f>IFERROR(VLOOKUP($G1559,基本資料!$A:$J,8,0),"無")</f>
        <v>-0.39</v>
      </c>
      <c r="G1559" s="79">
        <v>2722</v>
      </c>
      <c r="H1559" s="8" t="s">
        <v>303</v>
      </c>
      <c r="I1559" s="22" t="s">
        <v>974</v>
      </c>
      <c r="J1559" s="8">
        <f>IFERROR(VLOOKUP($G1559,今日總結!$A:$AN,39,0),"")</f>
        <v>0</v>
      </c>
      <c r="K1559" s="5">
        <f>IFERROR(VLOOKUP($G1559,今日總結!$A:$AN,40,0),"")</f>
        <v>0</v>
      </c>
      <c r="L1559" s="156">
        <f>IFERROR(VLOOKUP($G1559,今日總結!$A:$AN,37,0),"")</f>
        <v>0</v>
      </c>
      <c r="M1559" s="337">
        <f>IFERROR(VLOOKUP($G1559,今日總結!$A:$AN,38,0),"")</f>
        <v>0</v>
      </c>
      <c r="N1559" s="240">
        <f t="shared" si="268"/>
        <v>0</v>
      </c>
      <c r="O1559" s="359">
        <f>IFERROR(VLOOKUP($G1559,融外自投!$A:$J,7,0),"無")</f>
        <v>1251</v>
      </c>
      <c r="P1559" s="79">
        <f>IFERROR(VLOOKUP($G1559,融外自投!$A:$J,9,0),"無")</f>
        <v>442</v>
      </c>
      <c r="Q1559" s="342">
        <f>IFERROR(VLOOKUP($G1559,融外自投!$A:$J,8,0),"無")</f>
        <v>1431</v>
      </c>
      <c r="R1559" s="81" t="str">
        <f>IFERROR(VLOOKUP($G1559,融外自投!$A:$J,10,0),"無")</f>
        <v>無</v>
      </c>
      <c r="S1559" s="324">
        <f>IFERROR(VLOOKUP($G1559,'321買'!$A:$E,4,0),"'沒有資料'")</f>
        <v>1002</v>
      </c>
      <c r="T1559" s="186">
        <f>IFERROR(VLOOKUP($G1559,基本資料!$A:$J,9,0),"無")</f>
        <v>0.2</v>
      </c>
      <c r="U1559" s="307">
        <f t="shared" si="269"/>
        <v>6.8259385665529011E-3</v>
      </c>
      <c r="V1559" s="94">
        <f>IFERROR(VLOOKUP($G1559,基本資料!$A:$J,10,0),"無")</f>
        <v>0.18</v>
      </c>
      <c r="W1559" s="36">
        <f>RTD("money.excel",,"2722","Price")</f>
        <v>29.3</v>
      </c>
      <c r="X1559" s="66"/>
      <c r="Y1559" s="15">
        <f t="shared" si="270"/>
        <v>29.3</v>
      </c>
      <c r="Z1559" s="3" t="e">
        <f t="shared" si="271"/>
        <v>#DIV/0!</v>
      </c>
      <c r="AA1559" s="340">
        <f>IFERROR(VLOOKUP($G1559,基本資料!$A:$M,11,0),"無")</f>
        <v>-26.57</v>
      </c>
      <c r="AB1559" s="389">
        <f>IFERROR(VLOOKUP($G1559,基本資料!$A:$M,12,0),"無")</f>
        <v>11.89</v>
      </c>
      <c r="AC1559" s="22" t="s">
        <v>974</v>
      </c>
      <c r="AF1559" s="33">
        <f t="shared" si="272"/>
        <v>0</v>
      </c>
      <c r="AG1559" s="43" t="s">
        <v>2783</v>
      </c>
      <c r="AH1559" s="66">
        <f t="shared" si="267"/>
        <v>1.0948905109489051</v>
      </c>
      <c r="AI1559" s="283">
        <f>RTD("money.excel",,$G1559,"PredictVolume")</f>
        <v>45</v>
      </c>
      <c r="AJ1559" s="391">
        <f>IFERROR(VLOOKUP($G1559,基本資料!$A:$M,13,0),"無")</f>
        <v>41.1</v>
      </c>
      <c r="AR1559" s="245" t="str">
        <f>INDEX(基本資料!N:N,MATCH($G1559,基本資料!A:A,0))</f>
        <v>低</v>
      </c>
    </row>
    <row r="1560" spans="1:44">
      <c r="A1560" s="343">
        <f>IFERROR(VLOOKUP($G1560,基本資料!$A:$J,3,0),"無")</f>
        <v>18</v>
      </c>
      <c r="B1560" s="79">
        <f>IFERROR(VLOOKUP($G1560,基本資料!$A:$J,4,0),"無")</f>
        <v>7</v>
      </c>
      <c r="C1560" s="79">
        <f>IFERROR(VLOOKUP($G1560,基本資料!$A:$J,5,0),"無")</f>
        <v>-11</v>
      </c>
      <c r="D1560" s="79">
        <f>IFERROR(VLOOKUP($G1560,基本資料!$A:$J,6,0),"無")</f>
        <v>-21</v>
      </c>
      <c r="E1560" s="79">
        <f>IFERROR(VLOOKUP($G1560,基本資料!$A:$J,7,0),"無")</f>
        <v>-21</v>
      </c>
      <c r="F1560" s="6">
        <f>IFERROR(VLOOKUP($G1560,基本資料!$A:$J,8,0),"無")</f>
        <v>7.13</v>
      </c>
      <c r="G1560" s="79">
        <v>2723</v>
      </c>
      <c r="H1560" s="8" t="s">
        <v>303</v>
      </c>
      <c r="I1560" s="22" t="s">
        <v>115</v>
      </c>
      <c r="J1560" s="8">
        <f>IFERROR(VLOOKUP($G1560,今日總結!$A:$AN,39,0),"")</f>
        <v>0</v>
      </c>
      <c r="K1560" s="5">
        <f>IFERROR(VLOOKUP($G1560,今日總結!$A:$AN,40,0),"")</f>
        <v>0</v>
      </c>
      <c r="L1560" s="156">
        <f>IFERROR(VLOOKUP($G1560,今日總結!$A:$AN,37,0),"")</f>
        <v>0</v>
      </c>
      <c r="M1560" s="337">
        <f>IFERROR(VLOOKUP($G1560,今日總結!$A:$AN,38,0),"")</f>
        <v>0</v>
      </c>
      <c r="N1560" s="240">
        <f t="shared" si="268"/>
        <v>0</v>
      </c>
      <c r="O1560" s="359">
        <f>IFERROR(VLOOKUP($G1560,融外自投!$A:$J,7,0),"無")</f>
        <v>868</v>
      </c>
      <c r="P1560" s="79">
        <f>IFERROR(VLOOKUP($G1560,融外自投!$A:$J,9,0),"無")</f>
        <v>946</v>
      </c>
      <c r="Q1560" s="342">
        <f>IFERROR(VLOOKUP($G1560,融外自投!$A:$J,8,0),"無")</f>
        <v>81</v>
      </c>
      <c r="R1560" s="81">
        <f>IFERROR(VLOOKUP($G1560,融外自投!$A:$J,10,0),"無")</f>
        <v>495</v>
      </c>
      <c r="S1560" s="324">
        <f>IFERROR(VLOOKUP($G1560,'321買'!$A:$E,4,0),"'沒有資料'")</f>
        <v>743</v>
      </c>
      <c r="T1560" s="186">
        <f>IFERROR(VLOOKUP($G1560,基本資料!$A:$J,9,0),"無")</f>
        <v>5</v>
      </c>
      <c r="U1560" s="307">
        <f t="shared" si="269"/>
        <v>5.5617352614015569E-2</v>
      </c>
      <c r="V1560" s="94">
        <f>IFERROR(VLOOKUP($G1560,基本資料!$A:$J,10,0),"無")</f>
        <v>6.07</v>
      </c>
      <c r="W1560" s="36">
        <f>RTD("money.excel",,"2723","Price")</f>
        <v>89.9</v>
      </c>
      <c r="X1560" s="66"/>
      <c r="Y1560" s="15">
        <f t="shared" si="270"/>
        <v>89.9</v>
      </c>
      <c r="Z1560" s="3" t="e">
        <f t="shared" si="271"/>
        <v>#DIV/0!</v>
      </c>
      <c r="AA1560" s="340">
        <f>IFERROR(VLOOKUP($G1560,基本資料!$A:$M,11,0),"無")</f>
        <v>-51.41</v>
      </c>
      <c r="AB1560" s="389">
        <f>IFERROR(VLOOKUP($G1560,基本資料!$A:$M,12,0),"無")</f>
        <v>24.59</v>
      </c>
      <c r="AC1560" s="22" t="s">
        <v>115</v>
      </c>
      <c r="AF1560" s="33">
        <f t="shared" si="272"/>
        <v>0</v>
      </c>
      <c r="AG1560" s="117" t="s">
        <v>2008</v>
      </c>
      <c r="AH1560" s="66">
        <f t="shared" si="267"/>
        <v>0.56398687448728468</v>
      </c>
      <c r="AI1560" s="283">
        <f>RTD("money.excel",,$G1560,"PredictVolume")</f>
        <v>275</v>
      </c>
      <c r="AJ1560" s="391">
        <f>IFERROR(VLOOKUP($G1560,基本資料!$A:$M,13,0),"無")</f>
        <v>487.6</v>
      </c>
      <c r="AR1560" s="245" t="str">
        <f>INDEX(基本資料!N:N,MATCH($G1560,基本資料!A:A,0))</f>
        <v>低</v>
      </c>
    </row>
    <row r="1561" spans="1:44">
      <c r="A1561" s="343">
        <f>IFERROR(VLOOKUP($G1561,基本資料!$A:$J,3,0),"無")</f>
        <v>5.96</v>
      </c>
      <c r="B1561" s="79">
        <f>IFERROR(VLOOKUP($G1561,基本資料!$A:$J,4,0),"無")</f>
        <v>70</v>
      </c>
      <c r="C1561" s="79">
        <f>IFERROR(VLOOKUP($G1561,基本資料!$A:$J,5,0),"無")</f>
        <v>68</v>
      </c>
      <c r="D1561" s="79">
        <f>IFERROR(VLOOKUP($G1561,基本資料!$A:$J,6,0),"無")</f>
        <v>0</v>
      </c>
      <c r="E1561" s="79">
        <f>IFERROR(VLOOKUP($G1561,基本資料!$A:$J,7,0),"無")</f>
        <v>-22</v>
      </c>
      <c r="F1561" s="6">
        <f>IFERROR(VLOOKUP($G1561,基本資料!$A:$J,8,0),"無")</f>
        <v>-41.24</v>
      </c>
      <c r="G1561" s="79">
        <v>2724</v>
      </c>
      <c r="H1561" s="8" t="s">
        <v>303</v>
      </c>
      <c r="I1561" s="16" t="s">
        <v>962</v>
      </c>
      <c r="J1561" s="8" t="str">
        <f>IFERROR(VLOOKUP($G1561,今日總結!$A:$AN,39,0),"")</f>
        <v/>
      </c>
      <c r="K1561" s="5" t="str">
        <f>IFERROR(VLOOKUP($G1561,今日總結!$A:$AN,40,0),"")</f>
        <v/>
      </c>
      <c r="L1561" s="156" t="str">
        <f>IFERROR(VLOOKUP($G1561,今日總結!$A:$AN,37,0),"")</f>
        <v/>
      </c>
      <c r="M1561" s="337" t="str">
        <f>IFERROR(VLOOKUP($G1561,今日總結!$A:$AN,38,0),"")</f>
        <v/>
      </c>
      <c r="N1561" s="240" t="str">
        <f t="shared" si="268"/>
        <v/>
      </c>
      <c r="O1561" s="359" t="str">
        <f>IFERROR(VLOOKUP($G1561,融外自投!$A:$J,7,0),"無")</f>
        <v>無</v>
      </c>
      <c r="P1561" s="79" t="str">
        <f>IFERROR(VLOOKUP($G1561,融外自投!$A:$J,9,0),"無")</f>
        <v>無</v>
      </c>
      <c r="Q1561" s="342" t="str">
        <f>IFERROR(VLOOKUP($G1561,融外自投!$A:$J,8,0),"無")</f>
        <v>無</v>
      </c>
      <c r="R1561" s="81" t="str">
        <f>IFERROR(VLOOKUP($G1561,融外自投!$A:$J,10,0),"無")</f>
        <v>無</v>
      </c>
      <c r="S1561" s="324" t="str">
        <f>IFERROR(VLOOKUP($G1561,'321買'!$A:$E,4,0),"'沒有資料'")</f>
        <v>'沒有資料'</v>
      </c>
      <c r="T1561" s="186">
        <f>IFERROR(VLOOKUP($G1561,基本資料!$A:$J,9,0),"無")</f>
        <v>0</v>
      </c>
      <c r="U1561" s="307" t="e">
        <f t="shared" si="269"/>
        <v>#VALUE!</v>
      </c>
      <c r="V1561" s="94">
        <f>IFERROR(VLOOKUP($G1561,基本資料!$A:$J,10,0),"無")</f>
        <v>-1.0900000000000001</v>
      </c>
      <c r="W1561" s="36" t="str">
        <f>RTD("money.excel",,"2724","Price")</f>
        <v>無資料</v>
      </c>
      <c r="X1561" s="66"/>
      <c r="Y1561" s="15" t="e">
        <f t="shared" si="270"/>
        <v>#VALUE!</v>
      </c>
      <c r="Z1561" s="3" t="e">
        <f t="shared" si="271"/>
        <v>#VALUE!</v>
      </c>
      <c r="AA1561" s="340">
        <f>IFERROR(VLOOKUP($G1561,基本資料!$A:$M,11,0),"無")</f>
        <v>-20.62</v>
      </c>
      <c r="AB1561" s="389">
        <f>IFERROR(VLOOKUP($G1561,基本資料!$A:$M,12,0),"無")</f>
        <v>58.17</v>
      </c>
      <c r="AC1561" s="16" t="s">
        <v>962</v>
      </c>
      <c r="AF1561" s="33">
        <f t="shared" si="272"/>
        <v>0</v>
      </c>
      <c r="AG1561" s="43" t="s">
        <v>2673</v>
      </c>
      <c r="AH1561" s="66">
        <f t="shared" si="267"/>
        <v>0</v>
      </c>
      <c r="AI1561" s="283">
        <f>RTD("money.excel",,$G1561,"PredictVolume")</f>
        <v>0</v>
      </c>
      <c r="AJ1561" s="391">
        <f>IFERROR(VLOOKUP($G1561,基本資料!$A:$M,13,0),"無")</f>
        <v>3.45</v>
      </c>
      <c r="AR1561" s="245" t="str">
        <f>INDEX(基本資料!N:N,MATCH($G1561,基本資料!A:A,0))</f>
        <v>高</v>
      </c>
    </row>
    <row r="1562" spans="1:44">
      <c r="A1562" s="343">
        <f>IFERROR(VLOOKUP($G1562,基本資料!$A:$J,3,0),"無")</f>
        <v>3.57</v>
      </c>
      <c r="B1562" s="79">
        <f>IFERROR(VLOOKUP($G1562,基本資料!$A:$J,4,0),"無")</f>
        <v>-392</v>
      </c>
      <c r="C1562" s="79">
        <f>IFERROR(VLOOKUP($G1562,基本資料!$A:$J,5,0),"無")</f>
        <v>-609</v>
      </c>
      <c r="D1562" s="79">
        <f>IFERROR(VLOOKUP($G1562,基本資料!$A:$J,6,0),"無")</f>
        <v>17</v>
      </c>
      <c r="E1562" s="79">
        <f>IFERROR(VLOOKUP($G1562,基本資料!$A:$J,7,0),"無")</f>
        <v>-50</v>
      </c>
      <c r="F1562" s="6">
        <f>IFERROR(VLOOKUP($G1562,基本資料!$A:$J,8,0),"無")</f>
        <v>-7.77</v>
      </c>
      <c r="G1562" s="79">
        <v>2726</v>
      </c>
      <c r="H1562" s="8" t="s">
        <v>303</v>
      </c>
      <c r="I1562" s="16" t="s">
        <v>963</v>
      </c>
      <c r="J1562" s="8">
        <f>IFERROR(VLOOKUP($G1562,今日總結!$A:$AN,39,0),"")</f>
        <v>0</v>
      </c>
      <c r="K1562" s="5">
        <f>IFERROR(VLOOKUP($G1562,今日總結!$A:$AN,40,0),"")</f>
        <v>0</v>
      </c>
      <c r="L1562" s="156">
        <f>IFERROR(VLOOKUP($G1562,今日總結!$A:$AN,37,0),"")</f>
        <v>0</v>
      </c>
      <c r="M1562" s="337">
        <f>IFERROR(VLOOKUP($G1562,今日總結!$A:$AN,38,0),"")</f>
        <v>0</v>
      </c>
      <c r="N1562" s="240">
        <f t="shared" si="268"/>
        <v>0</v>
      </c>
      <c r="O1562" s="359">
        <f>IFERROR(VLOOKUP($G1562,融外自投!$A:$J,7,0),"無")</f>
        <v>72</v>
      </c>
      <c r="P1562" s="79" t="str">
        <f>IFERROR(VLOOKUP($G1562,融外自投!$A:$J,9,0),"無")</f>
        <v>無</v>
      </c>
      <c r="Q1562" s="342">
        <f>IFERROR(VLOOKUP($G1562,融外自投!$A:$J,8,0),"無")</f>
        <v>130</v>
      </c>
      <c r="R1562" s="81" t="str">
        <f>IFERROR(VLOOKUP($G1562,融外自投!$A:$J,10,0),"無")</f>
        <v>無</v>
      </c>
      <c r="S1562" s="324">
        <f>IFERROR(VLOOKUP($G1562,'321買'!$A:$E,4,0),"'沒有資料'")</f>
        <v>801</v>
      </c>
      <c r="T1562" s="186">
        <f>IFERROR(VLOOKUP($G1562,基本資料!$A:$J,9,0),"無")</f>
        <v>0</v>
      </c>
      <c r="U1562" s="307">
        <f t="shared" si="269"/>
        <v>0</v>
      </c>
      <c r="V1562" s="94">
        <f>IFERROR(VLOOKUP($G1562,基本資料!$A:$J,10,0),"無")</f>
        <v>-2.65</v>
      </c>
      <c r="W1562" s="36">
        <f>RTD("money.excel",,"2726","Price")</f>
        <v>24</v>
      </c>
      <c r="X1562" s="66"/>
      <c r="Y1562" s="15">
        <f t="shared" si="270"/>
        <v>24</v>
      </c>
      <c r="Z1562" s="3" t="e">
        <f t="shared" si="271"/>
        <v>#DIV/0!</v>
      </c>
      <c r="AA1562" s="340">
        <f>IFERROR(VLOOKUP($G1562,基本資料!$A:$M,11,0),"無")</f>
        <v>-67.349999999999994</v>
      </c>
      <c r="AB1562" s="389">
        <f>IFERROR(VLOOKUP($G1562,基本資料!$A:$M,12,0),"無")</f>
        <v>15.56</v>
      </c>
      <c r="AC1562" s="16" t="s">
        <v>963</v>
      </c>
      <c r="AF1562" s="33">
        <f t="shared" si="272"/>
        <v>0</v>
      </c>
      <c r="AG1562" s="43" t="s">
        <v>2674</v>
      </c>
      <c r="AH1562" s="66">
        <f t="shared" si="267"/>
        <v>2.0352035203520349</v>
      </c>
      <c r="AI1562" s="283">
        <f>RTD("money.excel",,$G1562,"PredictVolume")</f>
        <v>185</v>
      </c>
      <c r="AJ1562" s="391">
        <f>IFERROR(VLOOKUP($G1562,基本資料!$A:$M,13,0),"無")</f>
        <v>90.9</v>
      </c>
      <c r="AR1562" s="245" t="str">
        <f>INDEX(基本資料!N:N,MATCH($G1562,基本資料!A:A,0))</f>
        <v>低</v>
      </c>
    </row>
    <row r="1563" spans="1:44">
      <c r="A1563" s="343">
        <f>IFERROR(VLOOKUP($G1563,基本資料!$A:$J,3,0),"無")</f>
        <v>7.69</v>
      </c>
      <c r="B1563" s="79">
        <f>IFERROR(VLOOKUP($G1563,基本資料!$A:$J,4,0),"無")</f>
        <v>-167</v>
      </c>
      <c r="C1563" s="79">
        <f>IFERROR(VLOOKUP($G1563,基本資料!$A:$J,5,0),"無")</f>
        <v>-103</v>
      </c>
      <c r="D1563" s="79">
        <f>IFERROR(VLOOKUP($G1563,基本資料!$A:$J,6,0),"無")</f>
        <v>-13</v>
      </c>
      <c r="E1563" s="79">
        <f>IFERROR(VLOOKUP($G1563,基本資料!$A:$J,7,0),"無")</f>
        <v>-22</v>
      </c>
      <c r="F1563" s="6">
        <f>IFERROR(VLOOKUP($G1563,基本資料!$A:$J,8,0),"無")</f>
        <v>-0.12</v>
      </c>
      <c r="G1563" s="79">
        <v>2727</v>
      </c>
      <c r="H1563" s="8" t="s">
        <v>303</v>
      </c>
      <c r="I1563" s="22" t="s">
        <v>90</v>
      </c>
      <c r="J1563" s="8">
        <f>IFERROR(VLOOKUP($G1563,今日總結!$A:$AN,39,0),"")</f>
        <v>0</v>
      </c>
      <c r="K1563" s="5">
        <f>IFERROR(VLOOKUP($G1563,今日總結!$A:$AN,40,0),"")</f>
        <v>0</v>
      </c>
      <c r="L1563" s="156">
        <f>IFERROR(VLOOKUP($G1563,今日總結!$A:$AN,37,0),"")</f>
        <v>0</v>
      </c>
      <c r="M1563" s="337">
        <f>IFERROR(VLOOKUP($G1563,今日總結!$A:$AN,38,0),"")</f>
        <v>0</v>
      </c>
      <c r="N1563" s="240">
        <f t="shared" si="268"/>
        <v>0</v>
      </c>
      <c r="O1563" s="359">
        <f>IFERROR(VLOOKUP($G1563,融外自投!$A:$J,7,0),"無")</f>
        <v>816</v>
      </c>
      <c r="P1563" s="79">
        <f>IFERROR(VLOOKUP($G1563,融外自投!$A:$J,9,0),"無")</f>
        <v>790</v>
      </c>
      <c r="Q1563" s="342">
        <f>IFERROR(VLOOKUP($G1563,融外自投!$A:$J,8,0),"無")</f>
        <v>731</v>
      </c>
      <c r="R1563" s="81">
        <f>IFERROR(VLOOKUP($G1563,融外自投!$A:$J,10,0),"無")</f>
        <v>269</v>
      </c>
      <c r="S1563" s="324">
        <f>IFERROR(VLOOKUP($G1563,'321買'!$A:$E,4,0),"'沒有資料'")</f>
        <v>606</v>
      </c>
      <c r="T1563" s="186">
        <f>IFERROR(VLOOKUP($G1563,基本資料!$A:$J,9,0),"無")</f>
        <v>0</v>
      </c>
      <c r="U1563" s="307">
        <f t="shared" si="269"/>
        <v>0</v>
      </c>
      <c r="V1563" s="94">
        <f>IFERROR(VLOOKUP($G1563,基本資料!$A:$J,10,0),"無")</f>
        <v>-1.4</v>
      </c>
      <c r="W1563" s="36">
        <f>RTD("money.excel",,"2727","Price")</f>
        <v>102.5</v>
      </c>
      <c r="X1563" s="66"/>
      <c r="Y1563" s="15">
        <f t="shared" si="270"/>
        <v>102.5</v>
      </c>
      <c r="Z1563" s="3" t="e">
        <f t="shared" si="271"/>
        <v>#DIV/0!</v>
      </c>
      <c r="AA1563" s="340">
        <f>IFERROR(VLOOKUP($G1563,基本資料!$A:$M,11,0),"無")</f>
        <v>-42.58</v>
      </c>
      <c r="AB1563" s="389">
        <f>IFERROR(VLOOKUP($G1563,基本資料!$A:$M,12,0),"無")</f>
        <v>14.06</v>
      </c>
      <c r="AC1563" s="22" t="s">
        <v>90</v>
      </c>
      <c r="AF1563" s="33">
        <f t="shared" si="272"/>
        <v>0</v>
      </c>
      <c r="AG1563" s="117" t="s">
        <v>2671</v>
      </c>
      <c r="AH1563" s="66">
        <f t="shared" si="267"/>
        <v>0.69684957229292721</v>
      </c>
      <c r="AI1563" s="283">
        <f>RTD("money.excel",,$G1563,"PredictVolume")</f>
        <v>167</v>
      </c>
      <c r="AJ1563" s="391">
        <f>IFERROR(VLOOKUP($G1563,基本資料!$A:$M,13,0),"無")</f>
        <v>239.65</v>
      </c>
      <c r="AR1563" s="245" t="str">
        <f>INDEX(基本資料!N:N,MATCH($G1563,基本資料!A:A,0))</f>
        <v>低</v>
      </c>
    </row>
    <row r="1564" spans="1:44">
      <c r="A1564" s="343">
        <f>IFERROR(VLOOKUP($G1564,基本資料!$A:$J,3,0),"無")</f>
        <v>2.3199999999999998</v>
      </c>
      <c r="B1564" s="79">
        <f>IFERROR(VLOOKUP($G1564,基本資料!$A:$J,4,0),"無")</f>
        <v>-55</v>
      </c>
      <c r="C1564" s="79">
        <f>IFERROR(VLOOKUP($G1564,基本資料!$A:$J,5,0),"無")</f>
        <v>-68</v>
      </c>
      <c r="D1564" s="79">
        <f>IFERROR(VLOOKUP($G1564,基本資料!$A:$J,6,0),"無")</f>
        <v>-21</v>
      </c>
      <c r="E1564" s="79">
        <f>IFERROR(VLOOKUP($G1564,基本資料!$A:$J,7,0),"無")</f>
        <v>-30</v>
      </c>
      <c r="F1564" s="6">
        <f>IFERROR(VLOOKUP($G1564,基本資料!$A:$J,8,0),"無")</f>
        <v>3.62</v>
      </c>
      <c r="G1564" s="79">
        <v>2729</v>
      </c>
      <c r="H1564" s="8" t="s">
        <v>303</v>
      </c>
      <c r="I1564" s="16" t="s">
        <v>4620</v>
      </c>
      <c r="J1564" s="8" t="str">
        <f>IFERROR(VLOOKUP($G1564,今日總結!$A:$AN,39,0),"")</f>
        <v/>
      </c>
      <c r="K1564" s="5" t="str">
        <f>IFERROR(VLOOKUP($G1564,今日總結!$A:$AN,40,0),"")</f>
        <v/>
      </c>
      <c r="L1564" s="156" t="str">
        <f>IFERROR(VLOOKUP($G1564,今日總結!$A:$AN,37,0),"")</f>
        <v/>
      </c>
      <c r="M1564" s="337" t="str">
        <f>IFERROR(VLOOKUP($G1564,今日總結!$A:$AN,38,0),"")</f>
        <v/>
      </c>
      <c r="N1564" s="240" t="str">
        <f t="shared" si="268"/>
        <v/>
      </c>
      <c r="O1564" s="359" t="str">
        <f>IFERROR(VLOOKUP($G1564,融外自投!$A:$J,7,0),"無")</f>
        <v>無</v>
      </c>
      <c r="P1564" s="79" t="str">
        <f>IFERROR(VLOOKUP($G1564,融外自投!$A:$J,9,0),"無")</f>
        <v>無</v>
      </c>
      <c r="Q1564" s="342" t="str">
        <f>IFERROR(VLOOKUP($G1564,融外自投!$A:$J,8,0),"無")</f>
        <v>無</v>
      </c>
      <c r="R1564" s="81" t="str">
        <f>IFERROR(VLOOKUP($G1564,融外自投!$A:$J,10,0),"無")</f>
        <v>無</v>
      </c>
      <c r="S1564" s="324" t="str">
        <f>IFERROR(VLOOKUP($G1564,'321買'!$A:$E,4,0),"'沒有資料'")</f>
        <v>'沒有資料'</v>
      </c>
      <c r="T1564" s="186">
        <f>IFERROR(VLOOKUP($G1564,基本資料!$A:$J,9,0),"無")</f>
        <v>7.15</v>
      </c>
      <c r="U1564" s="307">
        <f t="shared" si="269"/>
        <v>3.3101851851851855E-2</v>
      </c>
      <c r="V1564" s="94">
        <f>IFERROR(VLOOKUP($G1564,基本資料!$A:$J,10,0),"無")</f>
        <v>7.04</v>
      </c>
      <c r="W1564" s="36">
        <f>RTD("money.excel",,"2729","Price")</f>
        <v>216</v>
      </c>
      <c r="X1564" s="66"/>
      <c r="Y1564" s="15">
        <f t="shared" si="270"/>
        <v>216</v>
      </c>
      <c r="Z1564" s="3" t="e">
        <f t="shared" si="271"/>
        <v>#DIV/0!</v>
      </c>
      <c r="AA1564" s="340">
        <f>IFERROR(VLOOKUP($G1564,基本資料!$A:$M,11,0),"無")</f>
        <v>-16.28</v>
      </c>
      <c r="AB1564" s="389">
        <f>IFERROR(VLOOKUP($G1564,基本資料!$A:$M,12,0),"無")</f>
        <v>41.93</v>
      </c>
      <c r="AC1564" s="16" t="s">
        <v>4620</v>
      </c>
      <c r="AF1564" s="33">
        <f t="shared" si="272"/>
        <v>0</v>
      </c>
      <c r="AG1564" s="117" t="s">
        <v>1948</v>
      </c>
      <c r="AH1564" s="66">
        <f t="shared" si="267"/>
        <v>1.4652014652014651</v>
      </c>
      <c r="AI1564" s="283">
        <f>RTD("money.excel",,$G1564,"PredictVolume")</f>
        <v>20</v>
      </c>
      <c r="AJ1564" s="391">
        <f>IFERROR(VLOOKUP($G1564,基本資料!$A:$M,13,0),"無")</f>
        <v>13.65</v>
      </c>
      <c r="AR1564" s="245" t="str">
        <f>INDEX(基本資料!N:N,MATCH($G1564,基本資料!A:A,0))</f>
        <v>低</v>
      </c>
    </row>
    <row r="1565" spans="1:44">
      <c r="A1565" s="343">
        <f>IFERROR(VLOOKUP($G1565,基本資料!$A:$J,3,0),"無")</f>
        <v>7.65</v>
      </c>
      <c r="B1565" s="79">
        <f>IFERROR(VLOOKUP($G1565,基本資料!$A:$J,4,0),"無")</f>
        <v>-17</v>
      </c>
      <c r="C1565" s="79">
        <f>IFERROR(VLOOKUP($G1565,基本資料!$A:$J,5,0),"無")</f>
        <v>0</v>
      </c>
      <c r="D1565" s="79">
        <f>IFERROR(VLOOKUP($G1565,基本資料!$A:$J,6,0),"無")</f>
        <v>-17</v>
      </c>
      <c r="E1565" s="79">
        <f>IFERROR(VLOOKUP($G1565,基本資料!$A:$J,7,0),"無")</f>
        <v>-34</v>
      </c>
      <c r="F1565" s="6">
        <f>IFERROR(VLOOKUP($G1565,基本資料!$A:$J,8,0),"無")</f>
        <v>-54.53</v>
      </c>
      <c r="G1565" s="79">
        <v>2731</v>
      </c>
      <c r="H1565" s="8" t="s">
        <v>303</v>
      </c>
      <c r="I1565" s="22" t="s">
        <v>975</v>
      </c>
      <c r="J1565" s="8">
        <f>IFERROR(VLOOKUP($G1565,今日總結!$A:$AN,39,0),"")</f>
        <v>0</v>
      </c>
      <c r="K1565" s="5">
        <f>IFERROR(VLOOKUP($G1565,今日總結!$A:$AN,40,0),"")</f>
        <v>0</v>
      </c>
      <c r="L1565" s="156">
        <f>IFERROR(VLOOKUP($G1565,今日總結!$A:$AN,37,0),"")</f>
        <v>0</v>
      </c>
      <c r="M1565" s="337">
        <f>IFERROR(VLOOKUP($G1565,今日總結!$A:$AN,38,0),"")</f>
        <v>0</v>
      </c>
      <c r="N1565" s="240">
        <f t="shared" si="268"/>
        <v>0</v>
      </c>
      <c r="O1565" s="359">
        <f>IFERROR(VLOOKUP($G1565,融外自投!$A:$J,7,0),"無")</f>
        <v>537</v>
      </c>
      <c r="P1565" s="79">
        <f>IFERROR(VLOOKUP($G1565,融外自投!$A:$J,9,0),"無")</f>
        <v>990</v>
      </c>
      <c r="Q1565" s="342">
        <f>IFERROR(VLOOKUP($G1565,融外自投!$A:$J,8,0),"無")</f>
        <v>1156</v>
      </c>
      <c r="R1565" s="81">
        <f>IFERROR(VLOOKUP($G1565,融外自投!$A:$J,10,0),"無")</f>
        <v>231</v>
      </c>
      <c r="S1565" s="324">
        <f>IFERROR(VLOOKUP($G1565,'321買'!$A:$E,4,0),"'沒有資料'")</f>
        <v>565</v>
      </c>
      <c r="T1565" s="186">
        <f>IFERROR(VLOOKUP($G1565,基本資料!$A:$J,9,0),"無")</f>
        <v>0</v>
      </c>
      <c r="U1565" s="307">
        <f t="shared" si="269"/>
        <v>0</v>
      </c>
      <c r="V1565" s="94">
        <f>IFERROR(VLOOKUP($G1565,基本資料!$A:$J,10,0),"無")</f>
        <v>-6.43</v>
      </c>
      <c r="W1565" s="36">
        <f>RTD("money.excel",,"2731","Price")</f>
        <v>96.4</v>
      </c>
      <c r="X1565" s="66"/>
      <c r="Y1565" s="15">
        <f t="shared" si="270"/>
        <v>96.4</v>
      </c>
      <c r="Z1565" s="3" t="e">
        <f t="shared" si="271"/>
        <v>#DIV/0!</v>
      </c>
      <c r="AA1565" s="340">
        <f>IFERROR(VLOOKUP($G1565,基本資料!$A:$M,11,0),"無")</f>
        <v>-15.07</v>
      </c>
      <c r="AB1565" s="389">
        <f>IFERROR(VLOOKUP($G1565,基本資料!$A:$M,12,0),"無")</f>
        <v>25.75</v>
      </c>
      <c r="AC1565" s="22" t="s">
        <v>975</v>
      </c>
      <c r="AF1565" s="33">
        <f t="shared" si="272"/>
        <v>0</v>
      </c>
      <c r="AG1565" s="43" t="s">
        <v>1542</v>
      </c>
      <c r="AH1565" s="66">
        <f t="shared" si="267"/>
        <v>0.37511328263524962</v>
      </c>
      <c r="AI1565" s="283">
        <f>RTD("money.excel",,$G1565,"PredictVolume")</f>
        <v>476</v>
      </c>
      <c r="AJ1565" s="391">
        <f>IFERROR(VLOOKUP($G1565,基本資料!$A:$M,13,0),"無")</f>
        <v>1268.95</v>
      </c>
      <c r="AR1565" s="245" t="str">
        <f>INDEX(基本資料!N:N,MATCH($G1565,基本資料!A:A,0))</f>
        <v>中</v>
      </c>
    </row>
    <row r="1566" spans="1:44">
      <c r="A1566" s="343">
        <f>IFERROR(VLOOKUP($G1566,基本資料!$A:$J,3,0),"無")</f>
        <v>4.59</v>
      </c>
      <c r="B1566" s="79">
        <f>IFERROR(VLOOKUP($G1566,基本資料!$A:$J,4,0),"無")</f>
        <v>-19</v>
      </c>
      <c r="C1566" s="79">
        <f>IFERROR(VLOOKUP($G1566,基本資料!$A:$J,5,0),"無")</f>
        <v>-19</v>
      </c>
      <c r="D1566" s="79">
        <f>IFERROR(VLOOKUP($G1566,基本資料!$A:$J,6,0),"無")</f>
        <v>-7</v>
      </c>
      <c r="E1566" s="79">
        <f>IFERROR(VLOOKUP($G1566,基本資料!$A:$J,7,0),"無")</f>
        <v>-8</v>
      </c>
      <c r="F1566" s="6">
        <f>IFERROR(VLOOKUP($G1566,基本資料!$A:$J,8,0),"無")</f>
        <v>4.62</v>
      </c>
      <c r="G1566" s="79">
        <v>2732</v>
      </c>
      <c r="H1566" s="8" t="s">
        <v>303</v>
      </c>
      <c r="I1566" s="16" t="s">
        <v>77</v>
      </c>
      <c r="J1566" s="8">
        <f>IFERROR(VLOOKUP($G1566,今日總結!$A:$AN,39,0),"")</f>
        <v>0</v>
      </c>
      <c r="K1566" s="5">
        <f>IFERROR(VLOOKUP($G1566,今日總結!$A:$AN,40,0),"")</f>
        <v>0</v>
      </c>
      <c r="L1566" s="156">
        <f>IFERROR(VLOOKUP($G1566,今日總結!$A:$AN,37,0),"")</f>
        <v>0</v>
      </c>
      <c r="M1566" s="337">
        <f>IFERROR(VLOOKUP($G1566,今日總結!$A:$AN,38,0),"")</f>
        <v>0</v>
      </c>
      <c r="N1566" s="240">
        <f t="shared" si="268"/>
        <v>0</v>
      </c>
      <c r="O1566" s="359">
        <f>IFERROR(VLOOKUP($G1566,融外自投!$A:$J,7,0),"無")</f>
        <v>904</v>
      </c>
      <c r="P1566" s="79">
        <f>IFERROR(VLOOKUP($G1566,融外自投!$A:$J,9,0),"無")</f>
        <v>319</v>
      </c>
      <c r="Q1566" s="342">
        <f>IFERROR(VLOOKUP($G1566,融外自投!$A:$J,8,0),"無")</f>
        <v>676</v>
      </c>
      <c r="R1566" s="81">
        <f>IFERROR(VLOOKUP($G1566,融外自投!$A:$J,10,0),"無")</f>
        <v>164</v>
      </c>
      <c r="S1566" s="324">
        <f>IFERROR(VLOOKUP($G1566,'321買'!$A:$E,4,0),"'沒有資料'")</f>
        <v>606</v>
      </c>
      <c r="T1566" s="186">
        <f>IFERROR(VLOOKUP($G1566,基本資料!$A:$J,9,0),"無")</f>
        <v>2.34</v>
      </c>
      <c r="U1566" s="307">
        <f t="shared" si="269"/>
        <v>2.5545851528384279E-2</v>
      </c>
      <c r="V1566" s="94">
        <f>IFERROR(VLOOKUP($G1566,基本資料!$A:$J,10,0),"無")</f>
        <v>3.08</v>
      </c>
      <c r="W1566" s="36">
        <f>RTD("money.excel",,"2732","Price")</f>
        <v>91.6</v>
      </c>
      <c r="X1566" s="66"/>
      <c r="Y1566" s="15">
        <f t="shared" si="270"/>
        <v>91.6</v>
      </c>
      <c r="Z1566" s="3" t="e">
        <f t="shared" si="271"/>
        <v>#DIV/0!</v>
      </c>
      <c r="AA1566" s="340">
        <f>IFERROR(VLOOKUP($G1566,基本資料!$A:$M,11,0),"無")</f>
        <v>-27.01</v>
      </c>
      <c r="AB1566" s="389">
        <f>IFERROR(VLOOKUP($G1566,基本資料!$A:$M,12,0),"無")</f>
        <v>14.67</v>
      </c>
      <c r="AC1566" s="16" t="s">
        <v>77</v>
      </c>
      <c r="AF1566" s="33">
        <f t="shared" si="272"/>
        <v>0</v>
      </c>
      <c r="AG1566" s="117" t="s">
        <v>2930</v>
      </c>
      <c r="AH1566" s="66">
        <f t="shared" si="267"/>
        <v>2.1030494216614093</v>
      </c>
      <c r="AI1566" s="283">
        <f>RTD("money.excel",,$G1566,"PredictVolume")</f>
        <v>100</v>
      </c>
      <c r="AJ1566" s="391">
        <f>IFERROR(VLOOKUP($G1566,基本資料!$A:$M,13,0),"無")</f>
        <v>47.55</v>
      </c>
      <c r="AR1566" s="245" t="str">
        <f>INDEX(基本資料!N:N,MATCH($G1566,基本資料!A:A,0))</f>
        <v>低</v>
      </c>
    </row>
    <row r="1567" spans="1:44">
      <c r="A1567" s="343">
        <f>IFERROR(VLOOKUP($G1567,基本資料!$A:$J,3,0),"無")</f>
        <v>3.72</v>
      </c>
      <c r="B1567" s="79">
        <f>IFERROR(VLOOKUP($G1567,基本資料!$A:$J,4,0),"無")</f>
        <v>1</v>
      </c>
      <c r="C1567" s="79">
        <f>IFERROR(VLOOKUP($G1567,基本資料!$A:$J,5,0),"無")</f>
        <v>15</v>
      </c>
      <c r="D1567" s="79">
        <f>IFERROR(VLOOKUP($G1567,基本資料!$A:$J,6,0),"無")</f>
        <v>119</v>
      </c>
      <c r="E1567" s="79">
        <f>IFERROR(VLOOKUP($G1567,基本資料!$A:$J,7,0),"無")</f>
        <v>27</v>
      </c>
      <c r="F1567" s="6">
        <f>IFERROR(VLOOKUP($G1567,基本資料!$A:$J,8,0),"無")</f>
        <v>-45.5</v>
      </c>
      <c r="G1567" s="79">
        <v>2734</v>
      </c>
      <c r="H1567" s="8" t="s">
        <v>303</v>
      </c>
      <c r="I1567" s="16" t="s">
        <v>964</v>
      </c>
      <c r="J1567" s="8" t="str">
        <f>IFERROR(VLOOKUP($G1567,今日總結!$A:$AN,39,0),"")</f>
        <v/>
      </c>
      <c r="K1567" s="5" t="str">
        <f>IFERROR(VLOOKUP($G1567,今日總結!$A:$AN,40,0),"")</f>
        <v/>
      </c>
      <c r="L1567" s="156" t="str">
        <f>IFERROR(VLOOKUP($G1567,今日總結!$A:$AN,37,0),"")</f>
        <v/>
      </c>
      <c r="M1567" s="337" t="str">
        <f>IFERROR(VLOOKUP($G1567,今日總結!$A:$AN,38,0),"")</f>
        <v/>
      </c>
      <c r="N1567" s="240" t="str">
        <f t="shared" si="268"/>
        <v/>
      </c>
      <c r="O1567" s="359" t="str">
        <f>IFERROR(VLOOKUP($G1567,融外自投!$A:$J,7,0),"無")</f>
        <v>無</v>
      </c>
      <c r="P1567" s="79" t="str">
        <f>IFERROR(VLOOKUP($G1567,融外自投!$A:$J,9,0),"無")</f>
        <v>無</v>
      </c>
      <c r="Q1567" s="342" t="str">
        <f>IFERROR(VLOOKUP($G1567,融外自投!$A:$J,8,0),"無")</f>
        <v>無</v>
      </c>
      <c r="R1567" s="81" t="str">
        <f>IFERROR(VLOOKUP($G1567,融外自投!$A:$J,10,0),"無")</f>
        <v>無</v>
      </c>
      <c r="S1567" s="324" t="str">
        <f>IFERROR(VLOOKUP($G1567,'321買'!$A:$E,4,0),"'沒有資料'")</f>
        <v>'沒有資料'</v>
      </c>
      <c r="T1567" s="186">
        <f>IFERROR(VLOOKUP($G1567,基本資料!$A:$J,9,0),"無")</f>
        <v>0</v>
      </c>
      <c r="U1567" s="307">
        <f t="shared" si="269"/>
        <v>0</v>
      </c>
      <c r="V1567" s="94">
        <f>IFERROR(VLOOKUP($G1567,基本資料!$A:$J,10,0),"無")</f>
        <v>-2.29</v>
      </c>
      <c r="W1567" s="36">
        <f>RTD("money.excel",,"2734","Price")</f>
        <v>27.85</v>
      </c>
      <c r="X1567" s="66"/>
      <c r="Y1567" s="15">
        <f t="shared" si="270"/>
        <v>27.85</v>
      </c>
      <c r="Z1567" s="3" t="e">
        <f t="shared" si="271"/>
        <v>#DIV/0!</v>
      </c>
      <c r="AA1567" s="340">
        <f>IFERROR(VLOOKUP($G1567,基本資料!$A:$M,11,0),"無")</f>
        <v>-17.73</v>
      </c>
      <c r="AB1567" s="389">
        <f>IFERROR(VLOOKUP($G1567,基本資料!$A:$M,12,0),"無")</f>
        <v>40.68</v>
      </c>
      <c r="AC1567" s="16" t="s">
        <v>964</v>
      </c>
      <c r="AF1567" s="33">
        <f t="shared" si="272"/>
        <v>0</v>
      </c>
      <c r="AG1567" s="43" t="s">
        <v>2675</v>
      </c>
      <c r="AH1567" s="66">
        <f t="shared" si="267"/>
        <v>0.41136141038197849</v>
      </c>
      <c r="AI1567" s="283">
        <f>RTD("money.excel",,$G1567,"PredictVolume")</f>
        <v>168</v>
      </c>
      <c r="AJ1567" s="391">
        <f>IFERROR(VLOOKUP($G1567,基本資料!$A:$M,13,0),"無")</f>
        <v>408.4</v>
      </c>
      <c r="AR1567" s="245" t="str">
        <f>INDEX(基本資料!N:N,MATCH($G1567,基本資料!A:A,0))</f>
        <v>中</v>
      </c>
    </row>
    <row r="1568" spans="1:44">
      <c r="A1568" s="343">
        <f>IFERROR(VLOOKUP($G1568,基本資料!$A:$J,3,0),"無")</f>
        <v>4.8899999999999997</v>
      </c>
      <c r="B1568" s="79">
        <f>IFERROR(VLOOKUP($G1568,基本資料!$A:$J,4,0),"無")</f>
        <v>-489</v>
      </c>
      <c r="C1568" s="79">
        <f>IFERROR(VLOOKUP($G1568,基本資料!$A:$J,5,0),"無")</f>
        <v>-205</v>
      </c>
      <c r="D1568" s="79">
        <f>IFERROR(VLOOKUP($G1568,基本資料!$A:$J,6,0),"無")</f>
        <v>-24</v>
      </c>
      <c r="E1568" s="79">
        <f>IFERROR(VLOOKUP($G1568,基本資料!$A:$J,7,0),"無")</f>
        <v>-26</v>
      </c>
      <c r="F1568" s="6">
        <f>IFERROR(VLOOKUP($G1568,基本資料!$A:$J,8,0),"無")</f>
        <v>-6.14</v>
      </c>
      <c r="G1568" s="79">
        <v>2736</v>
      </c>
      <c r="H1568" s="8" t="s">
        <v>303</v>
      </c>
      <c r="I1568" s="16" t="s">
        <v>965</v>
      </c>
      <c r="J1568" s="8" t="str">
        <f>IFERROR(VLOOKUP($G1568,今日總結!$A:$AN,39,0),"")</f>
        <v>融</v>
      </c>
      <c r="K1568" s="5">
        <f>IFERROR(VLOOKUP($G1568,今日總結!$A:$AN,40,0),"")</f>
        <v>0</v>
      </c>
      <c r="L1568" s="156">
        <f>IFERROR(VLOOKUP($G1568,今日總結!$A:$AN,37,0),"")</f>
        <v>4</v>
      </c>
      <c r="M1568" s="337">
        <f>IFERROR(VLOOKUP($G1568,今日總結!$A:$AN,38,0),"")</f>
        <v>0</v>
      </c>
      <c r="N1568" s="240">
        <f t="shared" si="268"/>
        <v>4</v>
      </c>
      <c r="O1568" s="359">
        <f>IFERROR(VLOOKUP($G1568,融外自投!$A:$J,7,0),"無")</f>
        <v>318</v>
      </c>
      <c r="P1568" s="79" t="str">
        <f>IFERROR(VLOOKUP($G1568,融外自投!$A:$J,9,0),"無")</f>
        <v>無</v>
      </c>
      <c r="Q1568" s="342">
        <f>IFERROR(VLOOKUP($G1568,融外自投!$A:$J,8,0),"無")</f>
        <v>1405</v>
      </c>
      <c r="R1568" s="81" t="str">
        <f>IFERROR(VLOOKUP($G1568,融外自投!$A:$J,10,0),"無")</f>
        <v>無</v>
      </c>
      <c r="S1568" s="324">
        <f>IFERROR(VLOOKUP($G1568,'321買'!$A:$E,4,0),"'沒有資料'")</f>
        <v>1002</v>
      </c>
      <c r="T1568" s="186">
        <f>IFERROR(VLOOKUP($G1568,基本資料!$A:$J,9,0),"無")</f>
        <v>0</v>
      </c>
      <c r="U1568" s="307">
        <f t="shared" si="269"/>
        <v>0</v>
      </c>
      <c r="V1568" s="94">
        <f>IFERROR(VLOOKUP($G1568,基本資料!$A:$J,10,0),"無")</f>
        <v>-0.69</v>
      </c>
      <c r="W1568" s="36">
        <f>RTD("money.excel",,"2736","Price")</f>
        <v>17.649999999999999</v>
      </c>
      <c r="X1568" s="66"/>
      <c r="Y1568" s="15">
        <f t="shared" si="270"/>
        <v>17.649999999999999</v>
      </c>
      <c r="Z1568" s="35" t="e">
        <f t="shared" si="271"/>
        <v>#DIV/0!</v>
      </c>
      <c r="AA1568" s="340">
        <f>IFERROR(VLOOKUP($G1568,基本資料!$A:$M,11,0),"無")</f>
        <v>-17.14</v>
      </c>
      <c r="AB1568" s="389">
        <f>IFERROR(VLOOKUP($G1568,基本資料!$A:$M,12,0),"無")</f>
        <v>58.97</v>
      </c>
      <c r="AC1568" s="16" t="s">
        <v>965</v>
      </c>
      <c r="AF1568" s="33">
        <f t="shared" si="272"/>
        <v>0</v>
      </c>
      <c r="AG1568" s="43" t="s">
        <v>2676</v>
      </c>
      <c r="AH1568" s="66">
        <f t="shared" si="267"/>
        <v>1.5492277992277994</v>
      </c>
      <c r="AI1568" s="283">
        <f>RTD("money.excel",,$G1568,"PredictVolume")</f>
        <v>321</v>
      </c>
      <c r="AJ1568" s="391">
        <f>IFERROR(VLOOKUP($G1568,基本資料!$A:$M,13,0),"無")</f>
        <v>207.2</v>
      </c>
      <c r="AR1568" s="245" t="str">
        <f>INDEX(基本資料!N:N,MATCH($G1568,基本資料!A:A,0))</f>
        <v>中</v>
      </c>
    </row>
    <row r="1569" spans="1:44">
      <c r="A1569" s="343">
        <f>IFERROR(VLOOKUP($G1569,基本資料!$A:$J,3,0),"無")</f>
        <v>11.15</v>
      </c>
      <c r="B1569" s="79">
        <f>IFERROR(VLOOKUP($G1569,基本資料!$A:$J,4,0),"無")</f>
        <v>-104</v>
      </c>
      <c r="C1569" s="79">
        <f>IFERROR(VLOOKUP($G1569,基本資料!$A:$J,5,0),"無")</f>
        <v>-92</v>
      </c>
      <c r="D1569" s="79">
        <f>IFERROR(VLOOKUP($G1569,基本資料!$A:$J,6,0),"無")</f>
        <v>-25</v>
      </c>
      <c r="E1569" s="79">
        <f>IFERROR(VLOOKUP($G1569,基本資料!$A:$J,7,0),"無")</f>
        <v>-14</v>
      </c>
      <c r="F1569" s="6">
        <f>IFERROR(VLOOKUP($G1569,基本資料!$A:$J,8,0),"無")</f>
        <v>-34.35</v>
      </c>
      <c r="G1569" s="79">
        <v>2739</v>
      </c>
      <c r="H1569" s="8" t="s">
        <v>303</v>
      </c>
      <c r="I1569" s="22" t="s">
        <v>976</v>
      </c>
      <c r="J1569" s="8" t="str">
        <f>IFERROR(VLOOKUP($G1569,今日總結!$A:$AN,39,0),"")</f>
        <v/>
      </c>
      <c r="K1569" s="5" t="str">
        <f>IFERROR(VLOOKUP($G1569,今日總結!$A:$AN,40,0),"")</f>
        <v/>
      </c>
      <c r="L1569" s="156" t="str">
        <f>IFERROR(VLOOKUP($G1569,今日總結!$A:$AN,37,0),"")</f>
        <v/>
      </c>
      <c r="M1569" s="337" t="str">
        <f>IFERROR(VLOOKUP($G1569,今日總結!$A:$AN,38,0),"")</f>
        <v/>
      </c>
      <c r="N1569" s="240" t="str">
        <f t="shared" si="268"/>
        <v/>
      </c>
      <c r="O1569" s="359" t="str">
        <f>IFERROR(VLOOKUP($G1569,融外自投!$A:$J,7,0),"無")</f>
        <v>無</v>
      </c>
      <c r="P1569" s="79" t="str">
        <f>IFERROR(VLOOKUP($G1569,融外自投!$A:$J,9,0),"無")</f>
        <v>無</v>
      </c>
      <c r="Q1569" s="342" t="str">
        <f>IFERROR(VLOOKUP($G1569,融外自投!$A:$J,8,0),"無")</f>
        <v>無</v>
      </c>
      <c r="R1569" s="81" t="str">
        <f>IFERROR(VLOOKUP($G1569,融外自投!$A:$J,10,0),"無")</f>
        <v>無</v>
      </c>
      <c r="S1569" s="324" t="str">
        <f>IFERROR(VLOOKUP($G1569,'321買'!$A:$E,4,0),"'沒有資料'")</f>
        <v>'沒有資料'</v>
      </c>
      <c r="T1569" s="186">
        <f>IFERROR(VLOOKUP($G1569,基本資料!$A:$J,9,0),"無")</f>
        <v>0</v>
      </c>
      <c r="U1569" s="307">
        <f t="shared" si="269"/>
        <v>0</v>
      </c>
      <c r="V1569" s="94">
        <f>IFERROR(VLOOKUP($G1569,基本資料!$A:$J,10,0),"無")</f>
        <v>-6.45</v>
      </c>
      <c r="W1569" s="36">
        <f>RTD("money.excel",,"2739","Price")</f>
        <v>21.95</v>
      </c>
      <c r="X1569" s="66"/>
      <c r="Y1569" s="15">
        <f t="shared" si="270"/>
        <v>21.95</v>
      </c>
      <c r="Z1569" s="3" t="e">
        <f t="shared" si="271"/>
        <v>#DIV/0!</v>
      </c>
      <c r="AA1569" s="340">
        <f>IFERROR(VLOOKUP($G1569,基本資料!$A:$M,11,0),"無")</f>
        <v>-18.7</v>
      </c>
      <c r="AB1569" s="389">
        <f>IFERROR(VLOOKUP($G1569,基本資料!$A:$M,12,0),"無")</f>
        <v>41.42</v>
      </c>
      <c r="AC1569" s="22" t="s">
        <v>976</v>
      </c>
      <c r="AF1569" s="33">
        <f t="shared" si="272"/>
        <v>0</v>
      </c>
      <c r="AG1569" s="43" t="s">
        <v>2680</v>
      </c>
      <c r="AH1569" s="66">
        <f t="shared" si="267"/>
        <v>0.51144010767160164</v>
      </c>
      <c r="AI1569" s="283">
        <f>RTD("money.excel",,$G1569,"PredictVolume")</f>
        <v>19</v>
      </c>
      <c r="AJ1569" s="391">
        <f>IFERROR(VLOOKUP($G1569,基本資料!$A:$M,13,0),"無")</f>
        <v>37.15</v>
      </c>
      <c r="AR1569" s="245" t="str">
        <f>INDEX(基本資料!N:N,MATCH($G1569,基本資料!A:A,0))</f>
        <v>低</v>
      </c>
    </row>
    <row r="1570" spans="1:44">
      <c r="A1570" s="343">
        <f>IFERROR(VLOOKUP($G1570,基本資料!$A:$J,3,0),"無")</f>
        <v>1.31</v>
      </c>
      <c r="B1570" s="79">
        <f>IFERROR(VLOOKUP($G1570,基本資料!$A:$J,4,0),"無")</f>
        <v>13</v>
      </c>
      <c r="C1570" s="79">
        <f>IFERROR(VLOOKUP($G1570,基本資料!$A:$J,5,0),"無")</f>
        <v>10</v>
      </c>
      <c r="D1570" s="79">
        <f>IFERROR(VLOOKUP($G1570,基本資料!$A:$J,6,0),"無")</f>
        <v>-31</v>
      </c>
      <c r="E1570" s="79">
        <f>IFERROR(VLOOKUP($G1570,基本資料!$A:$J,7,0),"無")</f>
        <v>-62</v>
      </c>
      <c r="F1570" s="6">
        <f>IFERROR(VLOOKUP($G1570,基本資料!$A:$J,8,0),"無")</f>
        <v>-39.36</v>
      </c>
      <c r="G1570" s="79">
        <v>2740</v>
      </c>
      <c r="H1570" s="8" t="s">
        <v>303</v>
      </c>
      <c r="I1570" s="16" t="s">
        <v>966</v>
      </c>
      <c r="J1570" s="8" t="str">
        <f>IFERROR(VLOOKUP($G1570,今日總結!$A:$AN,39,0),"")</f>
        <v/>
      </c>
      <c r="K1570" s="5" t="str">
        <f>IFERROR(VLOOKUP($G1570,今日總結!$A:$AN,40,0),"")</f>
        <v/>
      </c>
      <c r="L1570" s="156" t="str">
        <f>IFERROR(VLOOKUP($G1570,今日總結!$A:$AN,37,0),"")</f>
        <v/>
      </c>
      <c r="M1570" s="337" t="str">
        <f>IFERROR(VLOOKUP($G1570,今日總結!$A:$AN,38,0),"")</f>
        <v/>
      </c>
      <c r="N1570" s="240" t="str">
        <f t="shared" si="268"/>
        <v/>
      </c>
      <c r="O1570" s="359" t="str">
        <f>IFERROR(VLOOKUP($G1570,融外自投!$A:$J,7,0),"無")</f>
        <v>無</v>
      </c>
      <c r="P1570" s="79" t="str">
        <f>IFERROR(VLOOKUP($G1570,融外自投!$A:$J,9,0),"無")</f>
        <v>無</v>
      </c>
      <c r="Q1570" s="342" t="str">
        <f>IFERROR(VLOOKUP($G1570,融外自投!$A:$J,8,0),"無")</f>
        <v>無</v>
      </c>
      <c r="R1570" s="81" t="str">
        <f>IFERROR(VLOOKUP($G1570,融外自投!$A:$J,10,0),"無")</f>
        <v>無</v>
      </c>
      <c r="S1570" s="324" t="str">
        <f>IFERROR(VLOOKUP($G1570,'321買'!$A:$E,4,0),"'沒有資料'")</f>
        <v>'沒有資料'</v>
      </c>
      <c r="T1570" s="186">
        <f>IFERROR(VLOOKUP($G1570,基本資料!$A:$J,9,0),"無")</f>
        <v>0</v>
      </c>
      <c r="U1570" s="307">
        <f t="shared" si="269"/>
        <v>0</v>
      </c>
      <c r="V1570" s="94">
        <f>IFERROR(VLOOKUP($G1570,基本資料!$A:$J,10,0),"無")</f>
        <v>-2.65</v>
      </c>
      <c r="W1570" s="36">
        <f>RTD("money.excel",,"2740","Price")</f>
        <v>26.5</v>
      </c>
      <c r="X1570" s="66"/>
      <c r="Y1570" s="15">
        <f t="shared" si="270"/>
        <v>26.5</v>
      </c>
      <c r="Z1570" s="35" t="e">
        <f t="shared" si="271"/>
        <v>#DIV/0!</v>
      </c>
      <c r="AA1570" s="340">
        <f>IFERROR(VLOOKUP($G1570,基本資料!$A:$M,11,0),"無")</f>
        <v>-19.579999999999998</v>
      </c>
      <c r="AB1570" s="389">
        <f>IFERROR(VLOOKUP($G1570,基本資料!$A:$M,12,0),"無")</f>
        <v>55.34</v>
      </c>
      <c r="AC1570" s="16" t="s">
        <v>966</v>
      </c>
      <c r="AF1570" s="33">
        <f t="shared" si="272"/>
        <v>0</v>
      </c>
      <c r="AG1570" s="43" t="s">
        <v>2677</v>
      </c>
      <c r="AH1570" s="66">
        <f t="shared" si="267"/>
        <v>3.2</v>
      </c>
      <c r="AI1570" s="283">
        <f>RTD("money.excel",,$G1570,"PredictVolume")</f>
        <v>4</v>
      </c>
      <c r="AJ1570" s="391">
        <f>IFERROR(VLOOKUP($G1570,基本資料!$A:$M,13,0),"無")</f>
        <v>1.25</v>
      </c>
      <c r="AR1570" s="245" t="str">
        <f>INDEX(基本資料!N:N,MATCH($G1570,基本資料!A:A,0))</f>
        <v>中</v>
      </c>
    </row>
    <row r="1571" spans="1:44">
      <c r="A1571" s="343">
        <f>IFERROR(VLOOKUP($G1571,基本資料!$A:$J,3,0),"無")</f>
        <v>3.2</v>
      </c>
      <c r="B1571" s="79">
        <f>IFERROR(VLOOKUP($G1571,基本資料!$A:$J,4,0),"無")</f>
        <v>-34</v>
      </c>
      <c r="C1571" s="79">
        <f>IFERROR(VLOOKUP($G1571,基本資料!$A:$J,5,0),"無")</f>
        <v>0</v>
      </c>
      <c r="D1571" s="79">
        <f>IFERROR(VLOOKUP($G1571,基本資料!$A:$J,6,0),"無")</f>
        <v>4</v>
      </c>
      <c r="E1571" s="79">
        <f>IFERROR(VLOOKUP($G1571,基本資料!$A:$J,7,0),"無")</f>
        <v>-47</v>
      </c>
      <c r="F1571" s="6">
        <f>IFERROR(VLOOKUP($G1571,基本資料!$A:$J,8,0),"無")</f>
        <v>-44.6</v>
      </c>
      <c r="G1571" s="79">
        <v>2743</v>
      </c>
      <c r="H1571" s="145" t="s">
        <v>303</v>
      </c>
      <c r="I1571" s="16" t="s">
        <v>1805</v>
      </c>
      <c r="J1571" s="8">
        <f>IFERROR(VLOOKUP($G1571,今日總結!$A:$AN,39,0),"")</f>
        <v>0</v>
      </c>
      <c r="K1571" s="5">
        <f>IFERROR(VLOOKUP($G1571,今日總結!$A:$AN,40,0),"")</f>
        <v>27</v>
      </c>
      <c r="L1571" s="156">
        <f>IFERROR(VLOOKUP($G1571,今日總結!$A:$AN,37,0),"")</f>
        <v>0</v>
      </c>
      <c r="M1571" s="337">
        <f>IFERROR(VLOOKUP($G1571,今日總結!$A:$AN,38,0),"")</f>
        <v>2</v>
      </c>
      <c r="N1571" s="240">
        <f t="shared" si="268"/>
        <v>-2</v>
      </c>
      <c r="O1571" s="359">
        <f>IFERROR(VLOOKUP($G1571,融外自投!$A:$J,7,0),"無")</f>
        <v>61</v>
      </c>
      <c r="P1571" s="79" t="str">
        <f>IFERROR(VLOOKUP($G1571,融外自投!$A:$J,9,0),"無")</f>
        <v>無</v>
      </c>
      <c r="Q1571" s="342">
        <f>IFERROR(VLOOKUP($G1571,融外自投!$A:$J,8,0),"無")</f>
        <v>1153</v>
      </c>
      <c r="R1571" s="81" t="str">
        <f>IFERROR(VLOOKUP($G1571,融外自投!$A:$J,10,0),"無")</f>
        <v>無</v>
      </c>
      <c r="S1571" s="324">
        <f>IFERROR(VLOOKUP($G1571,'321買'!$A:$E,4,0),"'沒有資料'")</f>
        <v>150</v>
      </c>
      <c r="T1571" s="186">
        <f>IFERROR(VLOOKUP($G1571,基本資料!$A:$J,9,0),"無")</f>
        <v>0</v>
      </c>
      <c r="U1571" s="307">
        <f t="shared" si="269"/>
        <v>0</v>
      </c>
      <c r="V1571" s="94">
        <f>IFERROR(VLOOKUP($G1571,基本資料!$A:$J,10,0),"無")</f>
        <v>-1.64</v>
      </c>
      <c r="W1571" s="36">
        <f>RTD("money.excel",,"2743","Price")</f>
        <v>60.6</v>
      </c>
      <c r="X1571" s="66"/>
      <c r="Y1571" s="15">
        <f t="shared" si="270"/>
        <v>60.6</v>
      </c>
      <c r="Z1571" s="35" t="e">
        <f t="shared" si="271"/>
        <v>#DIV/0!</v>
      </c>
      <c r="AA1571" s="340">
        <f>IFERROR(VLOOKUP($G1571,基本資料!$A:$M,11,0),"無")</f>
        <v>-11.92</v>
      </c>
      <c r="AB1571" s="389">
        <f>IFERROR(VLOOKUP($G1571,基本資料!$A:$M,12,0),"無")</f>
        <v>82.47</v>
      </c>
      <c r="AC1571" s="16" t="s">
        <v>1805</v>
      </c>
      <c r="AF1571" s="33">
        <f t="shared" si="272"/>
        <v>0</v>
      </c>
      <c r="AG1571" s="43" t="s">
        <v>1542</v>
      </c>
      <c r="AH1571" s="66">
        <f t="shared" si="267"/>
        <v>0.93111964726744778</v>
      </c>
      <c r="AI1571" s="283">
        <f>RTD("money.excel",,$G1571,"PredictVolume")</f>
        <v>8690</v>
      </c>
      <c r="AJ1571" s="391">
        <f>IFERROR(VLOOKUP($G1571,基本資料!$A:$M,13,0),"無")</f>
        <v>9332.85</v>
      </c>
      <c r="AR1571" s="245" t="str">
        <f>INDEX(基本資料!N:N,MATCH($G1571,基本資料!A:A,0))</f>
        <v>高</v>
      </c>
    </row>
    <row r="1572" spans="1:44">
      <c r="A1572" s="343">
        <f>IFERROR(VLOOKUP($G1572,基本資料!$A:$J,3,0),"無")</f>
        <v>2.93</v>
      </c>
      <c r="B1572" s="79">
        <f>IFERROR(VLOOKUP($G1572,基本資料!$A:$J,4,0),"無")</f>
        <v>-52</v>
      </c>
      <c r="C1572" s="79">
        <f>IFERROR(VLOOKUP($G1572,基本資料!$A:$J,5,0),"無")</f>
        <v>19</v>
      </c>
      <c r="D1572" s="79">
        <f>IFERROR(VLOOKUP($G1572,基本資料!$A:$J,6,0),"無")</f>
        <v>44</v>
      </c>
      <c r="E1572" s="79">
        <f>IFERROR(VLOOKUP($G1572,基本資料!$A:$J,7,0),"無")</f>
        <v>-35</v>
      </c>
      <c r="F1572" s="6">
        <f>IFERROR(VLOOKUP($G1572,基本資料!$A:$J,8,0),"無")</f>
        <v>-133.61000000000001</v>
      </c>
      <c r="G1572" s="79">
        <v>2745</v>
      </c>
      <c r="H1572" s="8" t="s">
        <v>303</v>
      </c>
      <c r="I1572" s="16" t="s">
        <v>967</v>
      </c>
      <c r="J1572" s="8" t="str">
        <f>IFERROR(VLOOKUP($G1572,今日總結!$A:$AN,39,0),"")</f>
        <v/>
      </c>
      <c r="K1572" s="5" t="str">
        <f>IFERROR(VLOOKUP($G1572,今日總結!$A:$AN,40,0),"")</f>
        <v/>
      </c>
      <c r="L1572" s="156" t="str">
        <f>IFERROR(VLOOKUP($G1572,今日總結!$A:$AN,37,0),"")</f>
        <v/>
      </c>
      <c r="M1572" s="337" t="str">
        <f>IFERROR(VLOOKUP($G1572,今日總結!$A:$AN,38,0),"")</f>
        <v/>
      </c>
      <c r="N1572" s="240" t="str">
        <f t="shared" si="268"/>
        <v/>
      </c>
      <c r="O1572" s="359" t="str">
        <f>IFERROR(VLOOKUP($G1572,融外自投!$A:$J,7,0),"無")</f>
        <v>無</v>
      </c>
      <c r="P1572" s="79" t="str">
        <f>IFERROR(VLOOKUP($G1572,融外自投!$A:$J,9,0),"無")</f>
        <v>無</v>
      </c>
      <c r="Q1572" s="342" t="str">
        <f>IFERROR(VLOOKUP($G1572,融外自投!$A:$J,8,0),"無")</f>
        <v>無</v>
      </c>
      <c r="R1572" s="81" t="str">
        <f>IFERROR(VLOOKUP($G1572,融外自投!$A:$J,10,0),"無")</f>
        <v>無</v>
      </c>
      <c r="S1572" s="324" t="str">
        <f>IFERROR(VLOOKUP($G1572,'321買'!$A:$E,4,0),"'沒有資料'")</f>
        <v>'沒有資料'</v>
      </c>
      <c r="T1572" s="186">
        <f>IFERROR(VLOOKUP($G1572,基本資料!$A:$J,9,0),"無")</f>
        <v>0</v>
      </c>
      <c r="U1572" s="307">
        <f t="shared" si="269"/>
        <v>0</v>
      </c>
      <c r="V1572" s="94">
        <f>IFERROR(VLOOKUP($G1572,基本資料!$A:$J,10,0),"無")</f>
        <v>-4.41</v>
      </c>
      <c r="W1572" s="36">
        <f>RTD("money.excel",,"2745","Price")</f>
        <v>37.4</v>
      </c>
      <c r="X1572" s="66"/>
      <c r="Y1572" s="15">
        <f t="shared" si="270"/>
        <v>37.4</v>
      </c>
      <c r="Z1572" s="35" t="e">
        <f t="shared" si="271"/>
        <v>#DIV/0!</v>
      </c>
      <c r="AA1572" s="340">
        <f>IFERROR(VLOOKUP($G1572,基本資料!$A:$M,11,0),"無")</f>
        <v>-10.53</v>
      </c>
      <c r="AB1572" s="389">
        <f>IFERROR(VLOOKUP($G1572,基本資料!$A:$M,12,0),"無")</f>
        <v>57.8</v>
      </c>
      <c r="AC1572" s="16" t="s">
        <v>967</v>
      </c>
      <c r="AF1572" s="33">
        <f t="shared" si="272"/>
        <v>0</v>
      </c>
      <c r="AG1572" s="43" t="s">
        <v>1542</v>
      </c>
      <c r="AH1572" s="66">
        <f t="shared" si="267"/>
        <v>0.47625837729930132</v>
      </c>
      <c r="AI1572" s="283">
        <f>RTD("money.excel",,$G1572,"PredictVolume")</f>
        <v>167</v>
      </c>
      <c r="AJ1572" s="391">
        <f>IFERROR(VLOOKUP($G1572,基本資料!$A:$M,13,0),"無")</f>
        <v>350.65</v>
      </c>
      <c r="AR1572" s="245" t="str">
        <f>INDEX(基本資料!N:N,MATCH($G1572,基本資料!A:A,0))</f>
        <v>高</v>
      </c>
    </row>
    <row r="1573" spans="1:44">
      <c r="A1573" s="343">
        <f>IFERROR(VLOOKUP($G1573,基本資料!$A:$J,3,0),"無")</f>
        <v>9.0399999999999991</v>
      </c>
      <c r="B1573" s="79">
        <f>IFERROR(VLOOKUP($G1573,基本資料!$A:$J,4,0),"無")</f>
        <v>-126</v>
      </c>
      <c r="C1573" s="79">
        <f>IFERROR(VLOOKUP($G1573,基本資料!$A:$J,5,0),"無")</f>
        <v>-160</v>
      </c>
      <c r="D1573" s="79">
        <f>IFERROR(VLOOKUP($G1573,基本資料!$A:$J,6,0),"無")</f>
        <v>-21</v>
      </c>
      <c r="E1573" s="79">
        <f>IFERROR(VLOOKUP($G1573,基本資料!$A:$J,7,0),"無")</f>
        <v>5</v>
      </c>
      <c r="F1573" s="6">
        <f>IFERROR(VLOOKUP($G1573,基本資料!$A:$J,8,0),"無")</f>
        <v>-3.78</v>
      </c>
      <c r="G1573" s="79">
        <v>2748</v>
      </c>
      <c r="H1573" s="8" t="s">
        <v>303</v>
      </c>
      <c r="I1573" s="22" t="s">
        <v>977</v>
      </c>
      <c r="J1573" s="8">
        <f>IFERROR(VLOOKUP($G1573,今日總結!$A:$AN,39,0),"")</f>
        <v>0</v>
      </c>
      <c r="K1573" s="5">
        <f>IFERROR(VLOOKUP($G1573,今日總結!$A:$AN,40,0),"")</f>
        <v>0</v>
      </c>
      <c r="L1573" s="156">
        <f>IFERROR(VLOOKUP($G1573,今日總結!$A:$AN,37,0),"")</f>
        <v>0</v>
      </c>
      <c r="M1573" s="337">
        <f>IFERROR(VLOOKUP($G1573,今日總結!$A:$AN,38,0),"")</f>
        <v>0</v>
      </c>
      <c r="N1573" s="240">
        <f t="shared" si="268"/>
        <v>0</v>
      </c>
      <c r="O1573" s="359">
        <f>IFERROR(VLOOKUP($G1573,融外自投!$A:$J,7,0),"無")</f>
        <v>1172</v>
      </c>
      <c r="P1573" s="79" t="str">
        <f>IFERROR(VLOOKUP($G1573,融外自投!$A:$J,9,0),"無")</f>
        <v>無</v>
      </c>
      <c r="Q1573" s="342">
        <f>IFERROR(VLOOKUP($G1573,融外自投!$A:$J,8,0),"無")</f>
        <v>1366</v>
      </c>
      <c r="R1573" s="81" t="str">
        <f>IFERROR(VLOOKUP($G1573,融外自投!$A:$J,10,0),"無")</f>
        <v>無</v>
      </c>
      <c r="S1573" s="324">
        <f>IFERROR(VLOOKUP($G1573,'321買'!$A:$E,4,0),"'沒有資料'")</f>
        <v>1002</v>
      </c>
      <c r="T1573" s="186">
        <f>IFERROR(VLOOKUP($G1573,基本資料!$A:$J,9,0),"無")</f>
        <v>0.5</v>
      </c>
      <c r="U1573" s="307">
        <f t="shared" si="269"/>
        <v>1.2562814070351759E-2</v>
      </c>
      <c r="V1573" s="94">
        <f>IFERROR(VLOOKUP($G1573,基本資料!$A:$J,10,0),"無")</f>
        <v>-0.38</v>
      </c>
      <c r="W1573" s="36">
        <f>RTD("money.excel",,"2748","Price")</f>
        <v>39.799999999999997</v>
      </c>
      <c r="X1573" s="66"/>
      <c r="Y1573" s="15">
        <f t="shared" si="270"/>
        <v>39.799999999999997</v>
      </c>
      <c r="Z1573" s="3" t="e">
        <f t="shared" si="271"/>
        <v>#DIV/0!</v>
      </c>
      <c r="AA1573" s="340">
        <f>IFERROR(VLOOKUP($G1573,基本資料!$A:$M,11,0),"無")</f>
        <v>-16.39</v>
      </c>
      <c r="AB1573" s="389">
        <f>IFERROR(VLOOKUP($G1573,基本資料!$A:$M,12,0),"無")</f>
        <v>23.93</v>
      </c>
      <c r="AC1573" s="22" t="s">
        <v>977</v>
      </c>
      <c r="AF1573" s="33">
        <f t="shared" si="272"/>
        <v>0</v>
      </c>
      <c r="AG1573" s="43" t="s">
        <v>3540</v>
      </c>
      <c r="AH1573" s="66">
        <f t="shared" si="267"/>
        <v>0.52132701421800942</v>
      </c>
      <c r="AI1573" s="283">
        <f>RTD("money.excel",,$G1573,"PredictVolume")</f>
        <v>22</v>
      </c>
      <c r="AJ1573" s="391">
        <f>IFERROR(VLOOKUP($G1573,基本資料!$A:$M,13,0),"無")</f>
        <v>42.2</v>
      </c>
      <c r="AR1573" s="245" t="str">
        <f>INDEX(基本資料!N:N,MATCH($G1573,基本資料!A:A,0))</f>
        <v>低</v>
      </c>
    </row>
    <row r="1574" spans="1:44">
      <c r="A1574" s="343">
        <f>IFERROR(VLOOKUP($G1574,基本資料!$A:$J,3,0),"無")</f>
        <v>2.2999999999999998</v>
      </c>
      <c r="B1574" s="79">
        <f>IFERROR(VLOOKUP($G1574,基本資料!$A:$J,4,0),"無")</f>
        <v>-34</v>
      </c>
      <c r="C1574" s="79">
        <f>IFERROR(VLOOKUP($G1574,基本資料!$A:$J,5,0),"無")</f>
        <v>-36</v>
      </c>
      <c r="D1574" s="79">
        <f>IFERROR(VLOOKUP($G1574,基本資料!$A:$J,6,0),"無")</f>
        <v>-19</v>
      </c>
      <c r="E1574" s="79">
        <f>IFERROR(VLOOKUP($G1574,基本資料!$A:$J,7,0),"無")</f>
        <v>-12</v>
      </c>
      <c r="F1574" s="6">
        <f>IFERROR(VLOOKUP($G1574,基本資料!$A:$J,8,0),"無")</f>
        <v>8.8000000000000007</v>
      </c>
      <c r="G1574" s="79">
        <v>2752</v>
      </c>
      <c r="H1574" s="8" t="s">
        <v>303</v>
      </c>
      <c r="I1574" s="16" t="s">
        <v>1695</v>
      </c>
      <c r="J1574" s="8" t="str">
        <f>IFERROR(VLOOKUP($G1574,今日總結!$A:$AN,39,0),"")</f>
        <v/>
      </c>
      <c r="K1574" s="5" t="str">
        <f>IFERROR(VLOOKUP($G1574,今日總結!$A:$AN,40,0),"")</f>
        <v/>
      </c>
      <c r="L1574" s="156" t="str">
        <f>IFERROR(VLOOKUP($G1574,今日總結!$A:$AN,37,0),"")</f>
        <v/>
      </c>
      <c r="M1574" s="337" t="str">
        <f>IFERROR(VLOOKUP($G1574,今日總結!$A:$AN,38,0),"")</f>
        <v/>
      </c>
      <c r="N1574" s="240" t="str">
        <f t="shared" si="268"/>
        <v/>
      </c>
      <c r="O1574" s="359" t="str">
        <f>IFERROR(VLOOKUP($G1574,融外自投!$A:$J,7,0),"無")</f>
        <v>無</v>
      </c>
      <c r="P1574" s="79" t="str">
        <f>IFERROR(VLOOKUP($G1574,融外自投!$A:$J,9,0),"無")</f>
        <v>無</v>
      </c>
      <c r="Q1574" s="342" t="str">
        <f>IFERROR(VLOOKUP($G1574,融外自投!$A:$J,8,0),"無")</f>
        <v>無</v>
      </c>
      <c r="R1574" s="81" t="str">
        <f>IFERROR(VLOOKUP($G1574,融外自投!$A:$J,10,0),"無")</f>
        <v>無</v>
      </c>
      <c r="S1574" s="324" t="str">
        <f>IFERROR(VLOOKUP($G1574,'321買'!$A:$E,4,0),"'沒有資料'")</f>
        <v>'沒有資料'</v>
      </c>
      <c r="T1574" s="186">
        <f>IFERROR(VLOOKUP($G1574,基本資料!$A:$J,9,0),"無")</f>
        <v>5.7</v>
      </c>
      <c r="U1574" s="307">
        <f t="shared" si="269"/>
        <v>3.7999999999999999E-2</v>
      </c>
      <c r="V1574" s="94">
        <f>IFERROR(VLOOKUP($G1574,基本資料!$A:$J,10,0),"無")</f>
        <v>6.68</v>
      </c>
      <c r="W1574" s="36">
        <f>RTD("money.excel",,"2752","Price")</f>
        <v>150</v>
      </c>
      <c r="X1574" s="66"/>
      <c r="Y1574" s="15">
        <f t="shared" si="270"/>
        <v>150</v>
      </c>
      <c r="Z1574" s="3" t="e">
        <f t="shared" si="271"/>
        <v>#DIV/0!</v>
      </c>
      <c r="AA1574" s="340">
        <f>IFERROR(VLOOKUP($G1574,基本資料!$A:$M,11,0),"無")</f>
        <v>-10.18</v>
      </c>
      <c r="AB1574" s="389">
        <f>IFERROR(VLOOKUP($G1574,基本資料!$A:$M,12,0),"無")</f>
        <v>30.52</v>
      </c>
      <c r="AC1574" s="16" t="s">
        <v>1695</v>
      </c>
      <c r="AF1574" s="33">
        <f t="shared" si="272"/>
        <v>0</v>
      </c>
      <c r="AG1574" s="43" t="s">
        <v>2678</v>
      </c>
      <c r="AH1574" s="66">
        <f t="shared" si="267"/>
        <v>0.8</v>
      </c>
      <c r="AI1574" s="283">
        <f>RTD("money.excel",,$G1574,"PredictVolume")</f>
        <v>6</v>
      </c>
      <c r="AJ1574" s="391">
        <f>IFERROR(VLOOKUP($G1574,基本資料!$A:$M,13,0),"無")</f>
        <v>7.5</v>
      </c>
      <c r="AR1574" s="245" t="str">
        <f>INDEX(基本資料!N:N,MATCH($G1574,基本資料!A:A,0))</f>
        <v>中</v>
      </c>
    </row>
    <row r="1575" spans="1:44">
      <c r="A1575" s="343">
        <f>IFERROR(VLOOKUP($G1575,基本資料!$A:$J,3,0),"無")</f>
        <v>6.6</v>
      </c>
      <c r="B1575" s="79">
        <f>IFERROR(VLOOKUP($G1575,基本資料!$A:$J,4,0),"無")</f>
        <v>-17</v>
      </c>
      <c r="C1575" s="79">
        <f>IFERROR(VLOOKUP($G1575,基本資料!$A:$J,5,0),"無")</f>
        <v>-14</v>
      </c>
      <c r="D1575" s="79">
        <f>IFERROR(VLOOKUP($G1575,基本資料!$A:$J,6,0),"無")</f>
        <v>0</v>
      </c>
      <c r="E1575" s="79">
        <f>IFERROR(VLOOKUP($G1575,基本資料!$A:$J,7,0),"無")</f>
        <v>13</v>
      </c>
      <c r="F1575" s="6">
        <f>IFERROR(VLOOKUP($G1575,基本資料!$A:$J,8,0),"無")</f>
        <v>10.97</v>
      </c>
      <c r="G1575" s="79">
        <v>2753</v>
      </c>
      <c r="H1575" s="8" t="s">
        <v>303</v>
      </c>
      <c r="I1575" s="22" t="s">
        <v>3420</v>
      </c>
      <c r="J1575" s="8">
        <f>IFERROR(VLOOKUP($G1575,今日總結!$A:$AN,39,0),"")</f>
        <v>0</v>
      </c>
      <c r="K1575" s="5">
        <f>IFERROR(VLOOKUP($G1575,今日總結!$A:$AN,40,0),"")</f>
        <v>0</v>
      </c>
      <c r="L1575" s="156">
        <f>IFERROR(VLOOKUP($G1575,今日總結!$A:$AN,37,0),"")</f>
        <v>0</v>
      </c>
      <c r="M1575" s="337">
        <f>IFERROR(VLOOKUP($G1575,今日總結!$A:$AN,38,0),"")</f>
        <v>0</v>
      </c>
      <c r="N1575" s="240">
        <f t="shared" si="268"/>
        <v>0</v>
      </c>
      <c r="O1575" s="359">
        <f>IFERROR(VLOOKUP($G1575,融外自投!$A:$J,7,0),"無")</f>
        <v>533</v>
      </c>
      <c r="P1575" s="79" t="str">
        <f>IFERROR(VLOOKUP($G1575,融外自投!$A:$J,9,0),"無")</f>
        <v>無</v>
      </c>
      <c r="Q1575" s="342">
        <f>IFERROR(VLOOKUP($G1575,融外自投!$A:$J,8,0),"無")</f>
        <v>997</v>
      </c>
      <c r="R1575" s="81" t="str">
        <f>IFERROR(VLOOKUP($G1575,融外自投!$A:$J,10,0),"無")</f>
        <v>無</v>
      </c>
      <c r="S1575" s="324">
        <f>IFERROR(VLOOKUP($G1575,'321買'!$A:$E,4,0),"'沒有資料'")</f>
        <v>891</v>
      </c>
      <c r="T1575" s="186">
        <f>IFERROR(VLOOKUP($G1575,基本資料!$A:$J,9,0),"無")</f>
        <v>6.5</v>
      </c>
      <c r="U1575" s="307">
        <f t="shared" si="269"/>
        <v>4.6263345195729534E-2</v>
      </c>
      <c r="V1575" s="94">
        <f>IFERROR(VLOOKUP($G1575,基本資料!$A:$J,10,0),"無")</f>
        <v>8.74</v>
      </c>
      <c r="W1575" s="36">
        <f>RTD("money.excel",,"2753","Price")</f>
        <v>140.5</v>
      </c>
      <c r="X1575" s="66"/>
      <c r="Y1575" s="15">
        <f t="shared" si="270"/>
        <v>140.5</v>
      </c>
      <c r="Z1575" s="3" t="e">
        <f t="shared" si="271"/>
        <v>#DIV/0!</v>
      </c>
      <c r="AA1575" s="340" t="str">
        <f>IFERROR(VLOOKUP($G1575,基本資料!$A:$M,11,0),"無")</f>
        <v>無</v>
      </c>
      <c r="AB1575" s="389" t="str">
        <f>IFERROR(VLOOKUP($G1575,基本資料!$A:$M,12,0),"無")</f>
        <v>無</v>
      </c>
      <c r="AC1575" s="22" t="s">
        <v>3420</v>
      </c>
      <c r="AF1575" s="33">
        <f t="shared" si="272"/>
        <v>0</v>
      </c>
      <c r="AG1575" s="43" t="s">
        <v>2998</v>
      </c>
      <c r="AH1575" s="66" t="e">
        <f t="shared" si="267"/>
        <v>#VALUE!</v>
      </c>
      <c r="AI1575" s="283">
        <f>RTD("money.excel",,$G1575,"PredictVolume")</f>
        <v>563</v>
      </c>
      <c r="AJ1575" s="391" t="str">
        <f>IFERROR(VLOOKUP($G1575,基本資料!$A:$M,13,0),"無")</f>
        <v>無</v>
      </c>
      <c r="AR1575" s="245" t="str">
        <f>INDEX(基本資料!N:N,MATCH($G1575,基本資料!A:A,0))</f>
        <v>無</v>
      </c>
    </row>
    <row r="1576" spans="1:44">
      <c r="A1576" s="343">
        <f>IFERROR(VLOOKUP($G1576,基本資料!$A:$J,3,0),"無")</f>
        <v>4.62</v>
      </c>
      <c r="B1576" s="79">
        <f>IFERROR(VLOOKUP($G1576,基本資料!$A:$J,4,0),"無")</f>
        <v>-29</v>
      </c>
      <c r="C1576" s="79">
        <f>IFERROR(VLOOKUP($G1576,基本資料!$A:$J,5,0),"無")</f>
        <v>-35</v>
      </c>
      <c r="D1576" s="79">
        <f>IFERROR(VLOOKUP($G1576,基本資料!$A:$J,6,0),"無")</f>
        <v>-9</v>
      </c>
      <c r="E1576" s="79">
        <f>IFERROR(VLOOKUP($G1576,基本資料!$A:$J,7,0),"無")</f>
        <v>14</v>
      </c>
      <c r="F1576" s="6">
        <f>IFERROR(VLOOKUP($G1576,基本資料!$A:$J,8,0),"無")</f>
        <v>1.29</v>
      </c>
      <c r="G1576" s="79">
        <v>2754</v>
      </c>
      <c r="H1576" s="8" t="s">
        <v>303</v>
      </c>
      <c r="I1576" s="16" t="s">
        <v>2001</v>
      </c>
      <c r="J1576" s="8" t="str">
        <f>IFERROR(VLOOKUP($G1576,今日總結!$A:$AN,39,0),"")</f>
        <v/>
      </c>
      <c r="K1576" s="5" t="str">
        <f>IFERROR(VLOOKUP($G1576,今日總結!$A:$AN,40,0),"")</f>
        <v/>
      </c>
      <c r="L1576" s="156" t="str">
        <f>IFERROR(VLOOKUP($G1576,今日總結!$A:$AN,37,0),"")</f>
        <v/>
      </c>
      <c r="M1576" s="337" t="str">
        <f>IFERROR(VLOOKUP($G1576,今日總結!$A:$AN,38,0),"")</f>
        <v/>
      </c>
      <c r="N1576" s="240" t="str">
        <f t="shared" si="268"/>
        <v/>
      </c>
      <c r="O1576" s="359">
        <f>IFERROR(VLOOKUP($G1576,融外自投!$A:$J,7,0),"無")</f>
        <v>890</v>
      </c>
      <c r="P1576" s="79" t="str">
        <f>IFERROR(VLOOKUP($G1576,融外自投!$A:$J,9,0),"無")</f>
        <v>無</v>
      </c>
      <c r="Q1576" s="342">
        <f>IFERROR(VLOOKUP($G1576,融外自投!$A:$J,8,0),"無")</f>
        <v>22</v>
      </c>
      <c r="R1576" s="81" t="str">
        <f>IFERROR(VLOOKUP($G1576,融外自投!$A:$J,10,0),"無")</f>
        <v>無</v>
      </c>
      <c r="S1576" s="324" t="str">
        <f>IFERROR(VLOOKUP($G1576,'321買'!$A:$E,4,0),"'沒有資料'")</f>
        <v>'沒有資料'</v>
      </c>
      <c r="T1576" s="186">
        <f>IFERROR(VLOOKUP($G1576,基本資料!$A:$J,9,0),"無")</f>
        <v>0.45</v>
      </c>
      <c r="U1576" s="307">
        <f t="shared" si="269"/>
        <v>6.3469675599435822E-3</v>
      </c>
      <c r="V1576" s="94">
        <f>IFERROR(VLOOKUP($G1576,基本資料!$A:$J,10,0),"無")</f>
        <v>0.49</v>
      </c>
      <c r="W1576" s="36">
        <f>RTD("money.excel",,"2754","Price")</f>
        <v>70.900000000000006</v>
      </c>
      <c r="X1576" s="66"/>
      <c r="Y1576" s="15">
        <f t="shared" si="270"/>
        <v>70.900000000000006</v>
      </c>
      <c r="Z1576" s="154" t="e">
        <f t="shared" si="271"/>
        <v>#DIV/0!</v>
      </c>
      <c r="AA1576" s="340">
        <f>IFERROR(VLOOKUP($G1576,基本資料!$A:$M,11,0),"無")</f>
        <v>-14.16</v>
      </c>
      <c r="AB1576" s="389">
        <f>IFERROR(VLOOKUP($G1576,基本資料!$A:$M,12,0),"無")</f>
        <v>17.79</v>
      </c>
      <c r="AC1576" s="16" t="s">
        <v>2001</v>
      </c>
      <c r="AF1576" s="33">
        <f t="shared" si="272"/>
        <v>0</v>
      </c>
      <c r="AG1576" s="43" t="s">
        <v>2002</v>
      </c>
      <c r="AH1576" s="66">
        <f t="shared" si="267"/>
        <v>0.60721062618595822</v>
      </c>
      <c r="AI1576" s="283">
        <f>RTD("money.excel",,$G1576,"PredictVolume")</f>
        <v>16</v>
      </c>
      <c r="AJ1576" s="391">
        <f>IFERROR(VLOOKUP($G1576,基本資料!$A:$M,13,0),"無")</f>
        <v>26.35</v>
      </c>
      <c r="AR1576" s="245" t="str">
        <f>INDEX(基本資料!N:N,MATCH($G1576,基本資料!A:A,0))</f>
        <v>低</v>
      </c>
    </row>
    <row r="1577" spans="1:44">
      <c r="A1577" s="343">
        <f>IFERROR(VLOOKUP($G1577,基本資料!$A:$J,3,0),"無")</f>
        <v>2</v>
      </c>
      <c r="B1577" s="79">
        <f>IFERROR(VLOOKUP($G1577,基本資料!$A:$J,4,0),"無")</f>
        <v>3</v>
      </c>
      <c r="C1577" s="79">
        <f>IFERROR(VLOOKUP($G1577,基本資料!$A:$J,5,0),"無")</f>
        <v>8</v>
      </c>
      <c r="D1577" s="79">
        <f>IFERROR(VLOOKUP($G1577,基本資料!$A:$J,6,0),"無")</f>
        <v>-3</v>
      </c>
      <c r="E1577" s="79">
        <f>IFERROR(VLOOKUP($G1577,基本資料!$A:$J,7,0),"無")</f>
        <v>10</v>
      </c>
      <c r="F1577" s="6">
        <f>IFERROR(VLOOKUP($G1577,基本資料!$A:$J,8,0),"無")</f>
        <v>6.31</v>
      </c>
      <c r="G1577" s="79">
        <v>2755</v>
      </c>
      <c r="H1577" s="8" t="s">
        <v>303</v>
      </c>
      <c r="I1577" s="16" t="s">
        <v>2114</v>
      </c>
      <c r="J1577" s="8" t="str">
        <f>IFERROR(VLOOKUP($G1577,今日總結!$A:$AN,39,0),"")</f>
        <v/>
      </c>
      <c r="K1577" s="5" t="str">
        <f>IFERROR(VLOOKUP($G1577,今日總結!$A:$AN,40,0),"")</f>
        <v/>
      </c>
      <c r="L1577" s="156" t="str">
        <f>IFERROR(VLOOKUP($G1577,今日總結!$A:$AN,37,0),"")</f>
        <v/>
      </c>
      <c r="M1577" s="337" t="str">
        <f>IFERROR(VLOOKUP($G1577,今日總結!$A:$AN,38,0),"")</f>
        <v/>
      </c>
      <c r="N1577" s="240" t="str">
        <f t="shared" ref="N1577:N1591" si="273">IFERROR(L1577-M1577,"")</f>
        <v/>
      </c>
      <c r="O1577" s="359" t="str">
        <f>IFERROR(VLOOKUP($G1577,融外自投!$A:$J,7,0),"無")</f>
        <v>無</v>
      </c>
      <c r="P1577" s="79" t="str">
        <f>IFERROR(VLOOKUP($G1577,融外自投!$A:$J,9,0),"無")</f>
        <v>無</v>
      </c>
      <c r="Q1577" s="342" t="str">
        <f>IFERROR(VLOOKUP($G1577,融外自投!$A:$J,8,0),"無")</f>
        <v>無</v>
      </c>
      <c r="R1577" s="81" t="str">
        <f>IFERROR(VLOOKUP($G1577,融外自投!$A:$J,10,0),"無")</f>
        <v>無</v>
      </c>
      <c r="S1577" s="324" t="str">
        <f>IFERROR(VLOOKUP($G1577,'321買'!$A:$E,4,0),"'沒有資料'")</f>
        <v>'沒有資料'</v>
      </c>
      <c r="T1577" s="186">
        <f>IFERROR(VLOOKUP($G1577,基本資料!$A:$J,9,0),"無")</f>
        <v>3</v>
      </c>
      <c r="U1577" s="307">
        <f t="shared" si="269"/>
        <v>4.878048780487805E-2</v>
      </c>
      <c r="V1577" s="94">
        <f>IFERROR(VLOOKUP($G1577,基本資料!$A:$J,10,0),"無")</f>
        <v>3.65</v>
      </c>
      <c r="W1577" s="36">
        <f>RTD("money.excel",,"2755","Price")</f>
        <v>61.5</v>
      </c>
      <c r="X1577" s="66"/>
      <c r="Y1577" s="15">
        <f t="shared" si="270"/>
        <v>61.5</v>
      </c>
      <c r="Z1577" s="3" t="e">
        <f t="shared" si="271"/>
        <v>#DIV/0!</v>
      </c>
      <c r="AA1577" s="340">
        <f>IFERROR(VLOOKUP($G1577,基本資料!$A:$M,11,0),"無")</f>
        <v>-1.44</v>
      </c>
      <c r="AB1577" s="389">
        <f>IFERROR(VLOOKUP($G1577,基本資料!$A:$M,12,0),"無")</f>
        <v>86.08</v>
      </c>
      <c r="AC1577" s="16" t="s">
        <v>2114</v>
      </c>
      <c r="AF1577" s="33">
        <f t="shared" si="272"/>
        <v>0</v>
      </c>
      <c r="AG1577" s="43" t="s">
        <v>2115</v>
      </c>
      <c r="AH1577" s="66">
        <f t="shared" si="267"/>
        <v>0.76923076923076927</v>
      </c>
      <c r="AI1577" s="283">
        <f>RTD("money.excel",,$G1577,"PredictVolume")</f>
        <v>10</v>
      </c>
      <c r="AJ1577" s="391">
        <f>IFERROR(VLOOKUP($G1577,基本資料!$A:$M,13,0),"無")</f>
        <v>13</v>
      </c>
      <c r="AR1577" s="245" t="str">
        <f>INDEX(基本資料!N:N,MATCH($G1577,基本資料!A:A,0))</f>
        <v>高</v>
      </c>
    </row>
    <row r="1578" spans="1:44">
      <c r="A1578" s="343" t="str">
        <f>IFERROR(VLOOKUP($G1578,基本資料!$A:$J,3,0),"無")</f>
        <v>無</v>
      </c>
      <c r="B1578" s="79" t="str">
        <f>IFERROR(VLOOKUP($G1578,基本資料!$A:$J,4,0),"無")</f>
        <v>無</v>
      </c>
      <c r="C1578" s="79" t="str">
        <f>IFERROR(VLOOKUP($G1578,基本資料!$A:$J,5,0),"無")</f>
        <v>無</v>
      </c>
      <c r="D1578" s="79" t="str">
        <f>IFERROR(VLOOKUP($G1578,基本資料!$A:$J,6,0),"無")</f>
        <v>無</v>
      </c>
      <c r="E1578" s="79" t="str">
        <f>IFERROR(VLOOKUP($G1578,基本資料!$A:$J,7,0),"無")</f>
        <v>無</v>
      </c>
      <c r="F1578" s="6" t="str">
        <f>IFERROR(VLOOKUP($G1578,基本資料!$A:$J,8,0),"無")</f>
        <v>無</v>
      </c>
      <c r="G1578" s="79">
        <v>2756</v>
      </c>
      <c r="H1578" s="8" t="s">
        <v>303</v>
      </c>
      <c r="I1578" s="16" t="s">
        <v>4696</v>
      </c>
      <c r="J1578" s="8" t="str">
        <f>IFERROR(VLOOKUP($G1578,今日總結!$A:$AN,39,0),"")</f>
        <v/>
      </c>
      <c r="K1578" s="5" t="str">
        <f>IFERROR(VLOOKUP($G1578,今日總結!$A:$AN,40,0),"")</f>
        <v/>
      </c>
      <c r="L1578" s="156" t="str">
        <f>IFERROR(VLOOKUP($G1578,今日總結!$A:$AN,37,0),"")</f>
        <v/>
      </c>
      <c r="M1578" s="337" t="str">
        <f>IFERROR(VLOOKUP($G1578,今日總結!$A:$AN,38,0),"")</f>
        <v/>
      </c>
      <c r="N1578" s="240" t="str">
        <f t="shared" si="273"/>
        <v/>
      </c>
      <c r="O1578" s="359" t="str">
        <f>IFERROR(VLOOKUP($G1578,融外自投!$A:$J,7,0),"無")</f>
        <v>無</v>
      </c>
      <c r="P1578" s="79" t="str">
        <f>IFERROR(VLOOKUP($G1578,融外自投!$A:$J,9,0),"無")</f>
        <v>無</v>
      </c>
      <c r="Q1578" s="342" t="str">
        <f>IFERROR(VLOOKUP($G1578,融外自投!$A:$J,8,0),"無")</f>
        <v>無</v>
      </c>
      <c r="R1578" s="81" t="str">
        <f>IFERROR(VLOOKUP($G1578,融外自投!$A:$J,10,0),"無")</f>
        <v>無</v>
      </c>
      <c r="S1578" s="324" t="str">
        <f>IFERROR(VLOOKUP($G1578,'321買'!$A:$E,4,0),"'沒有資料'")</f>
        <v>'沒有資料'</v>
      </c>
      <c r="T1578" s="186" t="str">
        <f>IFERROR(VLOOKUP($G1578,基本資料!$A:$J,9,0),"無")</f>
        <v>無</v>
      </c>
      <c r="U1578" s="307" t="e">
        <f t="shared" si="269"/>
        <v>#VALUE!</v>
      </c>
      <c r="V1578" s="94" t="str">
        <f>IFERROR(VLOOKUP($G1578,基本資料!$A:$J,10,0),"無")</f>
        <v>無</v>
      </c>
      <c r="W1578" s="36">
        <f>RTD("money.excel",,"2756","Price")</f>
        <v>103</v>
      </c>
      <c r="X1578" s="66"/>
      <c r="Y1578" s="15">
        <f>W1578-X1578</f>
        <v>103</v>
      </c>
      <c r="Z1578" s="3" t="e">
        <f>Y1578/X1578</f>
        <v>#DIV/0!</v>
      </c>
      <c r="AA1578" s="340" t="str">
        <f>IFERROR(VLOOKUP($G1578,基本資料!$A:$M,11,0),"無")</f>
        <v>無</v>
      </c>
      <c r="AB1578" s="389" t="str">
        <f>IFERROR(VLOOKUP($G1578,基本資料!$A:$M,12,0),"無")</f>
        <v>無</v>
      </c>
      <c r="AC1578" s="16" t="s">
        <v>4696</v>
      </c>
      <c r="AF1578" s="33">
        <f>AE1578-AD1578</f>
        <v>0</v>
      </c>
      <c r="AG1578" s="43" t="s">
        <v>4698</v>
      </c>
      <c r="AH1578" s="66" t="e">
        <f t="shared" si="267"/>
        <v>#VALUE!</v>
      </c>
      <c r="AI1578" s="283">
        <f>RTD("money.excel",,$G1578,"PredictVolume")</f>
        <v>17</v>
      </c>
      <c r="AJ1578" s="391" t="str">
        <f>IFERROR(VLOOKUP($G1578,基本資料!$A:$M,13,0),"無")</f>
        <v>無</v>
      </c>
      <c r="AR1578" s="245" t="e">
        <f>INDEX(基本資料!N:N,MATCH($G1578,基本資料!A:A,0))</f>
        <v>#N/A</v>
      </c>
    </row>
    <row r="1579" spans="1:44">
      <c r="A1579" s="343">
        <f>IFERROR(VLOOKUP($G1579,基本資料!$A:$J,3,0),"無")</f>
        <v>5.01</v>
      </c>
      <c r="B1579" s="79">
        <f>IFERROR(VLOOKUP($G1579,基本資料!$A:$J,4,0),"無")</f>
        <v>135</v>
      </c>
      <c r="C1579" s="79">
        <f>IFERROR(VLOOKUP($G1579,基本資料!$A:$J,5,0),"無")</f>
        <v>105</v>
      </c>
      <c r="D1579" s="79">
        <f>IFERROR(VLOOKUP($G1579,基本資料!$A:$J,6,0),"無")</f>
        <v>23</v>
      </c>
      <c r="E1579" s="79">
        <f>IFERROR(VLOOKUP($G1579,基本資料!$A:$J,7,0),"無")</f>
        <v>35</v>
      </c>
      <c r="F1579" s="6">
        <f>IFERROR(VLOOKUP($G1579,基本資料!$A:$J,8,0),"無")</f>
        <v>0.99</v>
      </c>
      <c r="G1579" s="79">
        <v>3252</v>
      </c>
      <c r="H1579" s="8" t="s">
        <v>303</v>
      </c>
      <c r="I1579" s="16" t="s">
        <v>4621</v>
      </c>
      <c r="J1579" s="8">
        <f>IFERROR(VLOOKUP($G1579,今日總結!$A:$AN,39,0),"")</f>
        <v>0</v>
      </c>
      <c r="K1579" s="5">
        <f>IFERROR(VLOOKUP($G1579,今日總結!$A:$AN,40,0),"")</f>
        <v>0</v>
      </c>
      <c r="L1579" s="156">
        <f>IFERROR(VLOOKUP($G1579,今日總結!$A:$AN,37,0),"")</f>
        <v>0</v>
      </c>
      <c r="M1579" s="337">
        <f>IFERROR(VLOOKUP($G1579,今日總結!$A:$AN,38,0),"")</f>
        <v>0</v>
      </c>
      <c r="N1579" s="240">
        <f t="shared" si="273"/>
        <v>0</v>
      </c>
      <c r="O1579" s="359">
        <f>IFERROR(VLOOKUP($G1579,融外自投!$A:$J,7,0),"無")</f>
        <v>1</v>
      </c>
      <c r="P1579" s="79" t="str">
        <f>IFERROR(VLOOKUP($G1579,融外自投!$A:$J,9,0),"無")</f>
        <v>無</v>
      </c>
      <c r="Q1579" s="342">
        <f>IFERROR(VLOOKUP($G1579,融外自投!$A:$J,8,0),"無")</f>
        <v>602</v>
      </c>
      <c r="R1579" s="81" t="str">
        <f>IFERROR(VLOOKUP($G1579,融外自投!$A:$J,10,0),"無")</f>
        <v>無</v>
      </c>
      <c r="S1579" s="324">
        <f>IFERROR(VLOOKUP($G1579,'321買'!$A:$E,4,0),"'沒有資料'")</f>
        <v>1002</v>
      </c>
      <c r="T1579" s="186">
        <f>IFERROR(VLOOKUP($G1579,基本資料!$A:$J,9,0),"無")</f>
        <v>0.5</v>
      </c>
      <c r="U1579" s="307">
        <f t="shared" si="269"/>
        <v>3.0581039755351678E-2</v>
      </c>
      <c r="V1579" s="94">
        <f>IFERROR(VLOOKUP($G1579,基本資料!$A:$J,10,0),"無")</f>
        <v>0.71</v>
      </c>
      <c r="W1579" s="36">
        <f>RTD("money.excel",,"3252","Price")</f>
        <v>16.350000000000001</v>
      </c>
      <c r="X1579" s="66"/>
      <c r="Y1579" s="15">
        <f t="shared" si="270"/>
        <v>16.350000000000001</v>
      </c>
      <c r="Z1579" s="3" t="e">
        <f t="shared" si="271"/>
        <v>#DIV/0!</v>
      </c>
      <c r="AA1579" s="340">
        <f>IFERROR(VLOOKUP($G1579,基本資料!$A:$M,11,0),"無")</f>
        <v>-20.239999999999998</v>
      </c>
      <c r="AB1579" s="389">
        <f>IFERROR(VLOOKUP($G1579,基本資料!$A:$M,12,0),"無")</f>
        <v>17.09</v>
      </c>
      <c r="AC1579" s="16" t="s">
        <v>4621</v>
      </c>
      <c r="AF1579" s="33">
        <f t="shared" si="272"/>
        <v>0</v>
      </c>
      <c r="AG1579" s="43" t="s">
        <v>4622</v>
      </c>
      <c r="AH1579" s="66">
        <f t="shared" si="267"/>
        <v>2.4516129032258065</v>
      </c>
      <c r="AI1579" s="283">
        <f>RTD("money.excel",,$G1579,"PredictVolume")</f>
        <v>133</v>
      </c>
      <c r="AJ1579" s="391">
        <f>IFERROR(VLOOKUP($G1579,基本資料!$A:$M,13,0),"無")</f>
        <v>54.25</v>
      </c>
      <c r="AR1579" s="245" t="str">
        <f>INDEX(基本資料!N:N,MATCH($G1579,基本資料!A:A,0))</f>
        <v>低</v>
      </c>
    </row>
    <row r="1580" spans="1:44">
      <c r="A1580" s="343">
        <f>IFERROR(VLOOKUP($G1580,基本資料!$A:$J,3,0),"無")</f>
        <v>7.1</v>
      </c>
      <c r="B1580" s="79">
        <f>IFERROR(VLOOKUP($G1580,基本資料!$A:$J,4,0),"無")</f>
        <v>-7</v>
      </c>
      <c r="C1580" s="79">
        <f>IFERROR(VLOOKUP($G1580,基本資料!$A:$J,5,0),"無")</f>
        <v>-23</v>
      </c>
      <c r="D1580" s="79">
        <f>IFERROR(VLOOKUP($G1580,基本資料!$A:$J,6,0),"無")</f>
        <v>-48</v>
      </c>
      <c r="E1580" s="79">
        <f>IFERROR(VLOOKUP($G1580,基本資料!$A:$J,7,0),"無")</f>
        <v>-47</v>
      </c>
      <c r="F1580" s="6">
        <f>IFERROR(VLOOKUP($G1580,基本資料!$A:$J,8,0),"無")</f>
        <v>-52.84</v>
      </c>
      <c r="G1580" s="79">
        <v>3522</v>
      </c>
      <c r="H1580" s="8" t="s">
        <v>303</v>
      </c>
      <c r="I1580" s="16" t="s">
        <v>4623</v>
      </c>
      <c r="J1580" s="8" t="str">
        <f>IFERROR(VLOOKUP($G1580,今日總結!$A:$AN,39,0),"")</f>
        <v/>
      </c>
      <c r="K1580" s="5" t="str">
        <f>IFERROR(VLOOKUP($G1580,今日總結!$A:$AN,40,0),"")</f>
        <v/>
      </c>
      <c r="L1580" s="156" t="str">
        <f>IFERROR(VLOOKUP($G1580,今日總結!$A:$AN,37,0),"")</f>
        <v/>
      </c>
      <c r="M1580" s="337" t="str">
        <f>IFERROR(VLOOKUP($G1580,今日總結!$A:$AN,38,0),"")</f>
        <v/>
      </c>
      <c r="N1580" s="240" t="str">
        <f t="shared" si="273"/>
        <v/>
      </c>
      <c r="O1580" s="359" t="str">
        <f>IFERROR(VLOOKUP($G1580,融外自投!$A:$J,7,0),"無")</f>
        <v>無</v>
      </c>
      <c r="P1580" s="79" t="str">
        <f>IFERROR(VLOOKUP($G1580,融外自投!$A:$J,9,0),"無")</f>
        <v>無</v>
      </c>
      <c r="Q1580" s="342" t="str">
        <f>IFERROR(VLOOKUP($G1580,融外自投!$A:$J,8,0),"無")</f>
        <v>無</v>
      </c>
      <c r="R1580" s="81" t="str">
        <f>IFERROR(VLOOKUP($G1580,融外自投!$A:$J,10,0),"無")</f>
        <v>無</v>
      </c>
      <c r="S1580" s="324" t="str">
        <f>IFERROR(VLOOKUP($G1580,'321買'!$A:$E,4,0),"'沒有資料'")</f>
        <v>'沒有資料'</v>
      </c>
      <c r="T1580" s="186">
        <f>IFERROR(VLOOKUP($G1580,基本資料!$A:$J,9,0),"無")</f>
        <v>0</v>
      </c>
      <c r="U1580" s="307">
        <f t="shared" si="269"/>
        <v>0</v>
      </c>
      <c r="V1580" s="94">
        <f>IFERROR(VLOOKUP($G1580,基本資料!$A:$J,10,0),"無")</f>
        <v>-6.64</v>
      </c>
      <c r="W1580" s="36">
        <f>RTD("money.excel",,"3522","Price")</f>
        <v>10.7</v>
      </c>
      <c r="X1580" s="66"/>
      <c r="Y1580" s="15">
        <f t="shared" si="270"/>
        <v>10.7</v>
      </c>
      <c r="Z1580" s="3" t="e">
        <f t="shared" si="271"/>
        <v>#DIV/0!</v>
      </c>
      <c r="AA1580" s="340">
        <f>IFERROR(VLOOKUP($G1580,基本資料!$A:$M,11,0),"無")</f>
        <v>-25.17</v>
      </c>
      <c r="AB1580" s="389">
        <f>IFERROR(VLOOKUP($G1580,基本資料!$A:$M,12,0),"無")</f>
        <v>59.64</v>
      </c>
      <c r="AC1580" s="16" t="s">
        <v>4623</v>
      </c>
      <c r="AF1580" s="33">
        <f t="shared" si="272"/>
        <v>0</v>
      </c>
      <c r="AG1580" s="43" t="s">
        <v>2998</v>
      </c>
      <c r="AH1580" s="66">
        <f t="shared" si="267"/>
        <v>0.55721393034825872</v>
      </c>
      <c r="AI1580" s="283">
        <f>RTD("money.excel",,$G1580,"PredictVolume")</f>
        <v>168</v>
      </c>
      <c r="AJ1580" s="391">
        <f>IFERROR(VLOOKUP($G1580,基本資料!$A:$M,13,0),"無")</f>
        <v>301.5</v>
      </c>
      <c r="AR1580" s="245" t="str">
        <f>INDEX(基本資料!N:N,MATCH($G1580,基本資料!A:A,0))</f>
        <v>中</v>
      </c>
    </row>
    <row r="1581" spans="1:44">
      <c r="A1581" s="343">
        <f>IFERROR(VLOOKUP($G1581,基本資料!$A:$J,3,0),"無")</f>
        <v>4.53</v>
      </c>
      <c r="B1581" s="79">
        <f>IFERROR(VLOOKUP($G1581,基本資料!$A:$J,4,0),"無")</f>
        <v>33</v>
      </c>
      <c r="C1581" s="79">
        <f>IFERROR(VLOOKUP($G1581,基本資料!$A:$J,5,0),"無")</f>
        <v>146</v>
      </c>
      <c r="D1581" s="79">
        <f>IFERROR(VLOOKUP($G1581,基本資料!$A:$J,6,0),"無")</f>
        <v>24</v>
      </c>
      <c r="E1581" s="79">
        <f>IFERROR(VLOOKUP($G1581,基本資料!$A:$J,7,0),"無")</f>
        <v>-23</v>
      </c>
      <c r="F1581" s="6">
        <f>IFERROR(VLOOKUP($G1581,基本資料!$A:$J,8,0),"無")</f>
        <v>1.58</v>
      </c>
      <c r="G1581" s="79">
        <v>4804</v>
      </c>
      <c r="H1581" s="8" t="s">
        <v>303</v>
      </c>
      <c r="I1581" s="16" t="s">
        <v>4624</v>
      </c>
      <c r="J1581" s="8">
        <f>IFERROR(VLOOKUP($G1581,今日總結!$A:$AN,39,0),"")</f>
        <v>47</v>
      </c>
      <c r="K1581" s="5">
        <f>IFERROR(VLOOKUP($G1581,今日總結!$A:$AN,40,0),"")</f>
        <v>0</v>
      </c>
      <c r="L1581" s="156">
        <f>IFERROR(VLOOKUP($G1581,今日總結!$A:$AN,37,0),"")</f>
        <v>2</v>
      </c>
      <c r="M1581" s="337">
        <f>IFERROR(VLOOKUP($G1581,今日總結!$A:$AN,38,0),"")</f>
        <v>0</v>
      </c>
      <c r="N1581" s="240">
        <f t="shared" si="273"/>
        <v>2</v>
      </c>
      <c r="O1581" s="359">
        <f>IFERROR(VLOOKUP($G1581,融外自投!$A:$J,7,0),"無")</f>
        <v>197</v>
      </c>
      <c r="P1581" s="79">
        <f>IFERROR(VLOOKUP($G1581,融外自投!$A:$J,9,0),"無")</f>
        <v>336</v>
      </c>
      <c r="Q1581" s="342">
        <f>IFERROR(VLOOKUP($G1581,融外自投!$A:$J,8,0),"無")</f>
        <v>424</v>
      </c>
      <c r="R1581" s="81" t="str">
        <f>IFERROR(VLOOKUP($G1581,融外自投!$A:$J,10,0),"無")</f>
        <v>無</v>
      </c>
      <c r="S1581" s="324">
        <f>IFERROR(VLOOKUP($G1581,'321買'!$A:$E,4,0),"'沒有資料'")</f>
        <v>192</v>
      </c>
      <c r="T1581" s="186">
        <f>IFERROR(VLOOKUP($G1581,基本資料!$A:$J,9,0),"無")</f>
        <v>0</v>
      </c>
      <c r="U1581" s="307">
        <f t="shared" si="269"/>
        <v>0</v>
      </c>
      <c r="V1581" s="94">
        <f>IFERROR(VLOOKUP($G1581,基本資料!$A:$J,10,0),"無")</f>
        <v>-0.13</v>
      </c>
      <c r="W1581" s="36">
        <f>RTD("money.excel",,"4804","Price")</f>
        <v>14.55</v>
      </c>
      <c r="X1581" s="66"/>
      <c r="Y1581" s="15">
        <f t="shared" si="270"/>
        <v>14.55</v>
      </c>
      <c r="Z1581" s="3" t="e">
        <f t="shared" si="271"/>
        <v>#DIV/0!</v>
      </c>
      <c r="AA1581" s="340">
        <f>IFERROR(VLOOKUP($G1581,基本資料!$A:$M,11,0),"無")</f>
        <v>-40.119999999999997</v>
      </c>
      <c r="AB1581" s="389">
        <f>IFERROR(VLOOKUP($G1581,基本資料!$A:$M,12,0),"無")</f>
        <v>47.71</v>
      </c>
      <c r="AC1581" s="16" t="s">
        <v>4624</v>
      </c>
      <c r="AF1581" s="33">
        <f t="shared" si="272"/>
        <v>0</v>
      </c>
      <c r="AG1581" s="43" t="s">
        <v>4625</v>
      </c>
      <c r="AH1581" s="66">
        <f t="shared" si="267"/>
        <v>0.18846903722959799</v>
      </c>
      <c r="AI1581" s="283">
        <f>RTD("money.excel",,$G1581,"PredictVolume")</f>
        <v>1218</v>
      </c>
      <c r="AJ1581" s="391">
        <f>IFERROR(VLOOKUP($G1581,基本資料!$A:$M,13,0),"無")</f>
        <v>6462.6</v>
      </c>
      <c r="AR1581" s="245" t="str">
        <f>INDEX(基本資料!N:N,MATCH($G1581,基本資料!A:A,0))</f>
        <v>中</v>
      </c>
    </row>
    <row r="1582" spans="1:44">
      <c r="A1582" s="343">
        <f>IFERROR(VLOOKUP($G1582,基本資料!$A:$J,3,0),"無")</f>
        <v>10.45</v>
      </c>
      <c r="B1582" s="79">
        <f>IFERROR(VLOOKUP($G1582,基本資料!$A:$J,4,0),"無")</f>
        <v>33</v>
      </c>
      <c r="C1582" s="79">
        <f>IFERROR(VLOOKUP($G1582,基本資料!$A:$J,5,0),"無")</f>
        <v>52</v>
      </c>
      <c r="D1582" s="79">
        <f>IFERROR(VLOOKUP($G1582,基本資料!$A:$J,6,0),"無")</f>
        <v>-44</v>
      </c>
      <c r="E1582" s="79">
        <f>IFERROR(VLOOKUP($G1582,基本資料!$A:$J,7,0),"無")</f>
        <v>-66</v>
      </c>
      <c r="F1582" s="6">
        <f>IFERROR(VLOOKUP($G1582,基本資料!$A:$J,8,0),"無")</f>
        <v>-199.32</v>
      </c>
      <c r="G1582" s="79">
        <v>5301</v>
      </c>
      <c r="H1582" s="8" t="s">
        <v>303</v>
      </c>
      <c r="I1582" s="16" t="s">
        <v>4626</v>
      </c>
      <c r="J1582" s="8" t="str">
        <f>IFERROR(VLOOKUP($G1582,今日總結!$A:$AN,39,0),"")</f>
        <v/>
      </c>
      <c r="K1582" s="5" t="str">
        <f>IFERROR(VLOOKUP($G1582,今日總結!$A:$AN,40,0),"")</f>
        <v/>
      </c>
      <c r="L1582" s="156" t="str">
        <f>IFERROR(VLOOKUP($G1582,今日總結!$A:$AN,37,0),"")</f>
        <v/>
      </c>
      <c r="M1582" s="337" t="str">
        <f>IFERROR(VLOOKUP($G1582,今日總結!$A:$AN,38,0),"")</f>
        <v/>
      </c>
      <c r="N1582" s="240" t="str">
        <f t="shared" si="273"/>
        <v/>
      </c>
      <c r="O1582" s="359" t="str">
        <f>IFERROR(VLOOKUP($G1582,融外自投!$A:$J,7,0),"無")</f>
        <v>無</v>
      </c>
      <c r="P1582" s="79" t="str">
        <f>IFERROR(VLOOKUP($G1582,融外自投!$A:$J,9,0),"無")</f>
        <v>無</v>
      </c>
      <c r="Q1582" s="342" t="str">
        <f>IFERROR(VLOOKUP($G1582,融外自投!$A:$J,8,0),"無")</f>
        <v>無</v>
      </c>
      <c r="R1582" s="81" t="str">
        <f>IFERROR(VLOOKUP($G1582,融外自投!$A:$J,10,0),"無")</f>
        <v>無</v>
      </c>
      <c r="S1582" s="324" t="str">
        <f>IFERROR(VLOOKUP($G1582,'321買'!$A:$E,4,0),"'沒有資料'")</f>
        <v>'沒有資料'</v>
      </c>
      <c r="T1582" s="186">
        <f>IFERROR(VLOOKUP($G1582,基本資料!$A:$J,9,0),"無")</f>
        <v>0</v>
      </c>
      <c r="U1582" s="307">
        <f t="shared" si="269"/>
        <v>0</v>
      </c>
      <c r="V1582" s="94">
        <f>IFERROR(VLOOKUP($G1582,基本資料!$A:$J,10,0),"無")</f>
        <v>-2.09</v>
      </c>
      <c r="W1582" s="36">
        <f>RTD("money.excel",,"5301","Price")</f>
        <v>12.5</v>
      </c>
      <c r="X1582" s="66"/>
      <c r="Y1582" s="15">
        <f t="shared" si="270"/>
        <v>12.5</v>
      </c>
      <c r="Z1582" s="3" t="e">
        <f t="shared" si="271"/>
        <v>#DIV/0!</v>
      </c>
      <c r="AA1582" s="340">
        <f>IFERROR(VLOOKUP($G1582,基本資料!$A:$M,11,0),"無")</f>
        <v>-26.04</v>
      </c>
      <c r="AB1582" s="389">
        <f>IFERROR(VLOOKUP($G1582,基本資料!$A:$M,12,0),"無")</f>
        <v>34.200000000000003</v>
      </c>
      <c r="AC1582" s="16" t="s">
        <v>4626</v>
      </c>
      <c r="AF1582" s="33">
        <f t="shared" si="272"/>
        <v>0</v>
      </c>
      <c r="AG1582" s="43" t="s">
        <v>2679</v>
      </c>
      <c r="AH1582" s="66">
        <f t="shared" si="267"/>
        <v>0.34208059981255856</v>
      </c>
      <c r="AI1582" s="283">
        <f>RTD("money.excel",,$G1582,"PredictVolume")</f>
        <v>73</v>
      </c>
      <c r="AJ1582" s="391">
        <f>IFERROR(VLOOKUP($G1582,基本資料!$A:$M,13,0),"無")</f>
        <v>213.4</v>
      </c>
      <c r="AR1582" s="245" t="str">
        <f>INDEX(基本資料!N:N,MATCH($G1582,基本資料!A:A,0))</f>
        <v>中</v>
      </c>
    </row>
    <row r="1583" spans="1:44">
      <c r="A1583" s="343">
        <f>IFERROR(VLOOKUP($G1583,基本資料!$A:$J,3,0),"無")</f>
        <v>2.88</v>
      </c>
      <c r="B1583" s="79">
        <f>IFERROR(VLOOKUP($G1583,基本資料!$A:$J,4,0),"無")</f>
        <v>-285</v>
      </c>
      <c r="C1583" s="79">
        <f>IFERROR(VLOOKUP($G1583,基本資料!$A:$J,5,0),"無")</f>
        <v>-2149</v>
      </c>
      <c r="D1583" s="79">
        <f>IFERROR(VLOOKUP($G1583,基本資料!$A:$J,6,0),"無")</f>
        <v>-8</v>
      </c>
      <c r="E1583" s="79">
        <f>IFERROR(VLOOKUP($G1583,基本資料!$A:$J,7,0),"無")</f>
        <v>-19</v>
      </c>
      <c r="F1583" s="6">
        <f>IFERROR(VLOOKUP($G1583,基本資料!$A:$J,8,0),"無")</f>
        <v>-22.23</v>
      </c>
      <c r="G1583" s="79">
        <v>5364</v>
      </c>
      <c r="H1583" s="8" t="s">
        <v>303</v>
      </c>
      <c r="I1583" s="16" t="s">
        <v>4627</v>
      </c>
      <c r="J1583" s="8" t="str">
        <f>IFERROR(VLOOKUP($G1583,今日總結!$A:$AN,39,0),"")</f>
        <v/>
      </c>
      <c r="K1583" s="5" t="str">
        <f>IFERROR(VLOOKUP($G1583,今日總結!$A:$AN,40,0),"")</f>
        <v/>
      </c>
      <c r="L1583" s="156" t="str">
        <f>IFERROR(VLOOKUP($G1583,今日總結!$A:$AN,37,0),"")</f>
        <v/>
      </c>
      <c r="M1583" s="337" t="str">
        <f>IFERROR(VLOOKUP($G1583,今日總結!$A:$AN,38,0),"")</f>
        <v/>
      </c>
      <c r="N1583" s="240" t="str">
        <f t="shared" si="273"/>
        <v/>
      </c>
      <c r="O1583" s="359" t="str">
        <f>IFERROR(VLOOKUP($G1583,融外自投!$A:$J,7,0),"無")</f>
        <v>無</v>
      </c>
      <c r="P1583" s="79" t="str">
        <f>IFERROR(VLOOKUP($G1583,融外自投!$A:$J,9,0),"無")</f>
        <v>無</v>
      </c>
      <c r="Q1583" s="342" t="str">
        <f>IFERROR(VLOOKUP($G1583,融外自投!$A:$J,8,0),"無")</f>
        <v>無</v>
      </c>
      <c r="R1583" s="81" t="str">
        <f>IFERROR(VLOOKUP($G1583,融外自投!$A:$J,10,0),"無")</f>
        <v>無</v>
      </c>
      <c r="S1583" s="324" t="str">
        <f>IFERROR(VLOOKUP($G1583,'321買'!$A:$E,4,0),"'沒有資料'")</f>
        <v>'沒有資料'</v>
      </c>
      <c r="T1583" s="186">
        <f>IFERROR(VLOOKUP($G1583,基本資料!$A:$J,9,0),"無")</f>
        <v>0</v>
      </c>
      <c r="U1583" s="307" t="e">
        <f t="shared" si="269"/>
        <v>#VALUE!</v>
      </c>
      <c r="V1583" s="94">
        <f>IFERROR(VLOOKUP($G1583,基本資料!$A:$J,10,0),"無")</f>
        <v>-2.4900000000000002</v>
      </c>
      <c r="W1583" s="36" t="str">
        <f>RTD("money.excel",,"5364","Price")</f>
        <v>無資料</v>
      </c>
      <c r="X1583" s="66"/>
      <c r="Y1583" s="15" t="e">
        <f t="shared" si="270"/>
        <v>#VALUE!</v>
      </c>
      <c r="Z1583" s="3" t="e">
        <f t="shared" si="271"/>
        <v>#VALUE!</v>
      </c>
      <c r="AA1583" s="340">
        <f>IFERROR(VLOOKUP($G1583,基本資料!$A:$M,11,0),"無")</f>
        <v>-10.34</v>
      </c>
      <c r="AB1583" s="389">
        <f>IFERROR(VLOOKUP($G1583,基本資料!$A:$M,12,0),"無")</f>
        <v>58.99</v>
      </c>
      <c r="AC1583" s="16" t="s">
        <v>4627</v>
      </c>
      <c r="AF1583" s="33">
        <f t="shared" si="272"/>
        <v>0</v>
      </c>
      <c r="AG1583" s="43" t="s">
        <v>2680</v>
      </c>
      <c r="AH1583" s="66">
        <f t="shared" si="267"/>
        <v>0</v>
      </c>
      <c r="AI1583" s="283">
        <f>RTD("money.excel",,$G1583,"PredictVolume")</f>
        <v>0</v>
      </c>
      <c r="AJ1583" s="391">
        <f>IFERROR(VLOOKUP($G1583,基本資料!$A:$M,13,0),"無")</f>
        <v>2.5499999999999998</v>
      </c>
      <c r="AR1583" s="245" t="str">
        <f>INDEX(基本資料!N:N,MATCH($G1583,基本資料!A:A,0))</f>
        <v>中</v>
      </c>
    </row>
    <row r="1584" spans="1:44">
      <c r="A1584" s="343">
        <f>IFERROR(VLOOKUP($G1584,基本資料!$A:$J,3,0),"無")</f>
        <v>29.67</v>
      </c>
      <c r="B1584" s="79">
        <f>IFERROR(VLOOKUP($G1584,基本資料!$A:$J,4,0),"無")</f>
        <v>-20</v>
      </c>
      <c r="C1584" s="79">
        <f>IFERROR(VLOOKUP($G1584,基本資料!$A:$J,5,0),"無")</f>
        <v>-95</v>
      </c>
      <c r="D1584" s="79">
        <f>IFERROR(VLOOKUP($G1584,基本資料!$A:$J,6,0),"無")</f>
        <v>-51</v>
      </c>
      <c r="E1584" s="79">
        <f>IFERROR(VLOOKUP($G1584,基本資料!$A:$J,7,0),"無")</f>
        <v>-42</v>
      </c>
      <c r="F1584" s="6">
        <f>IFERROR(VLOOKUP($G1584,基本資料!$A:$J,8,0),"無")</f>
        <v>-48.98</v>
      </c>
      <c r="G1584" s="79">
        <v>5701</v>
      </c>
      <c r="H1584" s="8" t="s">
        <v>303</v>
      </c>
      <c r="I1584" s="16" t="s">
        <v>4628</v>
      </c>
      <c r="J1584" s="8" t="str">
        <f>IFERROR(VLOOKUP($G1584,今日總結!$A:$AN,39,0),"")</f>
        <v/>
      </c>
      <c r="K1584" s="5" t="str">
        <f>IFERROR(VLOOKUP($G1584,今日總結!$A:$AN,40,0),"")</f>
        <v/>
      </c>
      <c r="L1584" s="156" t="str">
        <f>IFERROR(VLOOKUP($G1584,今日總結!$A:$AN,37,0),"")</f>
        <v/>
      </c>
      <c r="M1584" s="337" t="str">
        <f>IFERROR(VLOOKUP($G1584,今日總結!$A:$AN,38,0),"")</f>
        <v/>
      </c>
      <c r="N1584" s="240" t="str">
        <f t="shared" si="273"/>
        <v/>
      </c>
      <c r="O1584" s="359" t="str">
        <f>IFERROR(VLOOKUP($G1584,融外自投!$A:$J,7,0),"無")</f>
        <v>無</v>
      </c>
      <c r="P1584" s="79" t="str">
        <f>IFERROR(VLOOKUP($G1584,融外自投!$A:$J,9,0),"無")</f>
        <v>無</v>
      </c>
      <c r="Q1584" s="342" t="str">
        <f>IFERROR(VLOOKUP($G1584,融外自投!$A:$J,8,0),"無")</f>
        <v>無</v>
      </c>
      <c r="R1584" s="81" t="str">
        <f>IFERROR(VLOOKUP($G1584,融外自投!$A:$J,10,0),"無")</f>
        <v>無</v>
      </c>
      <c r="S1584" s="324" t="str">
        <f>IFERROR(VLOOKUP($G1584,'321買'!$A:$E,4,0),"'沒有資料'")</f>
        <v>'沒有資料'</v>
      </c>
      <c r="T1584" s="186">
        <f>IFERROR(VLOOKUP($G1584,基本資料!$A:$J,9,0),"無")</f>
        <v>0</v>
      </c>
      <c r="U1584" s="307">
        <f t="shared" si="269"/>
        <v>0</v>
      </c>
      <c r="V1584" s="94">
        <f>IFERROR(VLOOKUP($G1584,基本資料!$A:$J,10,0),"無")</f>
        <v>-0.65</v>
      </c>
      <c r="W1584" s="36">
        <f>RTD("money.excel",,"5701","Price")</f>
        <v>2.9</v>
      </c>
      <c r="X1584" s="66"/>
      <c r="Y1584" s="15">
        <f t="shared" si="270"/>
        <v>2.9</v>
      </c>
      <c r="Z1584" s="3" t="e">
        <f t="shared" si="271"/>
        <v>#DIV/0!</v>
      </c>
      <c r="AA1584" s="340">
        <f>IFERROR(VLOOKUP($G1584,基本資料!$A:$M,11,0),"無")</f>
        <v>-38.17</v>
      </c>
      <c r="AB1584" s="389">
        <f>IFERROR(VLOOKUP($G1584,基本資料!$A:$M,12,0),"無")</f>
        <v>26.51</v>
      </c>
      <c r="AC1584" s="16" t="s">
        <v>4628</v>
      </c>
      <c r="AF1584" s="33">
        <f t="shared" si="272"/>
        <v>0</v>
      </c>
      <c r="AG1584" s="43" t="s">
        <v>4629</v>
      </c>
      <c r="AH1584" s="66">
        <f t="shared" si="267"/>
        <v>0.64454371410338229</v>
      </c>
      <c r="AI1584" s="283">
        <f>RTD("money.excel",,$G1584,"PredictVolume")</f>
        <v>101</v>
      </c>
      <c r="AJ1584" s="391">
        <f>IFERROR(VLOOKUP($G1584,基本資料!$A:$M,13,0),"無")</f>
        <v>156.69999999999999</v>
      </c>
      <c r="AR1584" s="245" t="str">
        <f>INDEX(基本資料!N:N,MATCH($G1584,基本資料!A:A,0))</f>
        <v>低</v>
      </c>
    </row>
    <row r="1585" spans="1:44">
      <c r="A1585" s="343">
        <f>IFERROR(VLOOKUP($G1585,基本資料!$A:$J,3,0),"無")</f>
        <v>7.02</v>
      </c>
      <c r="B1585" s="79">
        <f>IFERROR(VLOOKUP($G1585,基本資料!$A:$J,4,0),"無")</f>
        <v>25</v>
      </c>
      <c r="C1585" s="79">
        <f>IFERROR(VLOOKUP($G1585,基本資料!$A:$J,5,0),"無")</f>
        <v>-29</v>
      </c>
      <c r="D1585" s="79">
        <f>IFERROR(VLOOKUP($G1585,基本資料!$A:$J,6,0),"無")</f>
        <v>-31</v>
      </c>
      <c r="E1585" s="79">
        <f>IFERROR(VLOOKUP($G1585,基本資料!$A:$J,7,0),"無")</f>
        <v>-40</v>
      </c>
      <c r="F1585" s="6">
        <f>IFERROR(VLOOKUP($G1585,基本資料!$A:$J,8,0),"無")</f>
        <v>-64.84</v>
      </c>
      <c r="G1585" s="79">
        <v>5703</v>
      </c>
      <c r="H1585" s="8" t="s">
        <v>303</v>
      </c>
      <c r="I1585" s="16" t="s">
        <v>4630</v>
      </c>
      <c r="J1585" s="8" t="str">
        <f>IFERROR(VLOOKUP($G1585,今日總結!$A:$AN,39,0),"")</f>
        <v/>
      </c>
      <c r="K1585" s="5" t="str">
        <f>IFERROR(VLOOKUP($G1585,今日總結!$A:$AN,40,0),"")</f>
        <v/>
      </c>
      <c r="L1585" s="156" t="str">
        <f>IFERROR(VLOOKUP($G1585,今日總結!$A:$AN,37,0),"")</f>
        <v/>
      </c>
      <c r="M1585" s="337" t="str">
        <f>IFERROR(VLOOKUP($G1585,今日總結!$A:$AN,38,0),"")</f>
        <v/>
      </c>
      <c r="N1585" s="240" t="str">
        <f t="shared" si="273"/>
        <v/>
      </c>
      <c r="O1585" s="359" t="str">
        <f>IFERROR(VLOOKUP($G1585,融外自投!$A:$J,7,0),"無")</f>
        <v>無</v>
      </c>
      <c r="P1585" s="79" t="str">
        <f>IFERROR(VLOOKUP($G1585,融外自投!$A:$J,9,0),"無")</f>
        <v>無</v>
      </c>
      <c r="Q1585" s="342" t="str">
        <f>IFERROR(VLOOKUP($G1585,融外自投!$A:$J,8,0),"無")</f>
        <v>無</v>
      </c>
      <c r="R1585" s="81" t="str">
        <f>IFERROR(VLOOKUP($G1585,融外自投!$A:$J,10,0),"無")</f>
        <v>無</v>
      </c>
      <c r="S1585" s="324" t="str">
        <f>IFERROR(VLOOKUP($G1585,'321買'!$A:$E,4,0),"'沒有資料'")</f>
        <v>'沒有資料'</v>
      </c>
      <c r="T1585" s="186">
        <f>IFERROR(VLOOKUP($G1585,基本資料!$A:$J,9,0),"無")</f>
        <v>0</v>
      </c>
      <c r="U1585" s="307">
        <f t="shared" si="269"/>
        <v>0</v>
      </c>
      <c r="V1585" s="94">
        <f>IFERROR(VLOOKUP($G1585,基本資料!$A:$J,10,0),"無")</f>
        <v>-1.77</v>
      </c>
      <c r="W1585" s="36">
        <f>RTD("money.excel",,"5703","Price")</f>
        <v>23.5</v>
      </c>
      <c r="X1585" s="66"/>
      <c r="Y1585" s="15">
        <f t="shared" si="270"/>
        <v>23.5</v>
      </c>
      <c r="Z1585" s="3" t="e">
        <f t="shared" si="271"/>
        <v>#DIV/0!</v>
      </c>
      <c r="AA1585" s="340">
        <f>IFERROR(VLOOKUP($G1585,基本資料!$A:$M,11,0),"無")</f>
        <v>-31.29</v>
      </c>
      <c r="AB1585" s="389">
        <f>IFERROR(VLOOKUP($G1585,基本資料!$A:$M,12,0),"無")</f>
        <v>45.74</v>
      </c>
      <c r="AC1585" s="16" t="s">
        <v>4630</v>
      </c>
      <c r="AF1585" s="33">
        <f t="shared" si="272"/>
        <v>0</v>
      </c>
      <c r="AG1585" s="43" t="s">
        <v>2680</v>
      </c>
      <c r="AH1585" s="66">
        <f t="shared" si="267"/>
        <v>0.27027027027027023</v>
      </c>
      <c r="AI1585" s="283">
        <f>RTD("money.excel",,$G1585,"PredictVolume")</f>
        <v>1</v>
      </c>
      <c r="AJ1585" s="391">
        <f>IFERROR(VLOOKUP($G1585,基本資料!$A:$M,13,0),"無")</f>
        <v>3.7</v>
      </c>
      <c r="AR1585" s="245" t="str">
        <f>INDEX(基本資料!N:N,MATCH($G1585,基本資料!A:A,0))</f>
        <v>低</v>
      </c>
    </row>
    <row r="1586" spans="1:44">
      <c r="A1586" s="343">
        <f>IFERROR(VLOOKUP($G1586,基本資料!$A:$J,3,0),"無")</f>
        <v>3.88</v>
      </c>
      <c r="B1586" s="79">
        <f>IFERROR(VLOOKUP($G1586,基本資料!$A:$J,4,0),"無")</f>
        <v>-37</v>
      </c>
      <c r="C1586" s="79">
        <f>IFERROR(VLOOKUP($G1586,基本資料!$A:$J,5,0),"無")</f>
        <v>-42</v>
      </c>
      <c r="D1586" s="79">
        <f>IFERROR(VLOOKUP($G1586,基本資料!$A:$J,6,0),"無")</f>
        <v>-14</v>
      </c>
      <c r="E1586" s="79">
        <f>IFERROR(VLOOKUP($G1586,基本資料!$A:$J,7,0),"無")</f>
        <v>-6</v>
      </c>
      <c r="F1586" s="6">
        <f>IFERROR(VLOOKUP($G1586,基本資料!$A:$J,8,0),"無")</f>
        <v>14.13</v>
      </c>
      <c r="G1586" s="79">
        <v>5704</v>
      </c>
      <c r="H1586" s="8" t="s">
        <v>303</v>
      </c>
      <c r="I1586" s="16" t="s">
        <v>4631</v>
      </c>
      <c r="J1586" s="8" t="str">
        <f>IFERROR(VLOOKUP($G1586,今日總結!$A:$AN,39,0),"")</f>
        <v/>
      </c>
      <c r="K1586" s="5" t="str">
        <f>IFERROR(VLOOKUP($G1586,今日總結!$A:$AN,40,0),"")</f>
        <v/>
      </c>
      <c r="L1586" s="156" t="str">
        <f>IFERROR(VLOOKUP($G1586,今日總結!$A:$AN,37,0),"")</f>
        <v/>
      </c>
      <c r="M1586" s="337" t="str">
        <f>IFERROR(VLOOKUP($G1586,今日總結!$A:$AN,38,0),"")</f>
        <v/>
      </c>
      <c r="N1586" s="240" t="str">
        <f t="shared" si="273"/>
        <v/>
      </c>
      <c r="O1586" s="359">
        <f>IFERROR(VLOOKUP($G1586,融外自投!$A:$J,7,0),"無")</f>
        <v>1135</v>
      </c>
      <c r="P1586" s="79" t="str">
        <f>IFERROR(VLOOKUP($G1586,融外自投!$A:$J,9,0),"無")</f>
        <v>無</v>
      </c>
      <c r="Q1586" s="342">
        <f>IFERROR(VLOOKUP($G1586,融外自投!$A:$J,8,0),"無")</f>
        <v>1462</v>
      </c>
      <c r="R1586" s="81" t="str">
        <f>IFERROR(VLOOKUP($G1586,融外自投!$A:$J,10,0),"無")</f>
        <v>無</v>
      </c>
      <c r="S1586" s="324" t="str">
        <f>IFERROR(VLOOKUP($G1586,'321買'!$A:$E,4,0),"'沒有資料'")</f>
        <v>'沒有資料'</v>
      </c>
      <c r="T1586" s="186">
        <f>IFERROR(VLOOKUP($G1586,基本資料!$A:$J,9,0),"無")</f>
        <v>1.38</v>
      </c>
      <c r="U1586" s="307">
        <f t="shared" si="269"/>
        <v>4.5847176079734216E-2</v>
      </c>
      <c r="V1586" s="94">
        <f>IFERROR(VLOOKUP($G1586,基本資料!$A:$J,10,0),"無")</f>
        <v>1.51</v>
      </c>
      <c r="W1586" s="36">
        <f>RTD("money.excel",,"5704","Price")</f>
        <v>30.1</v>
      </c>
      <c r="X1586" s="66"/>
      <c r="Y1586" s="15">
        <f t="shared" si="270"/>
        <v>30.1</v>
      </c>
      <c r="Z1586" s="3" t="e">
        <f t="shared" si="271"/>
        <v>#DIV/0!</v>
      </c>
      <c r="AA1586" s="340">
        <f>IFERROR(VLOOKUP($G1586,基本資料!$A:$M,11,0),"無")</f>
        <v>-16.850000000000001</v>
      </c>
      <c r="AB1586" s="389">
        <f>IFERROR(VLOOKUP($G1586,基本資料!$A:$M,12,0),"無")</f>
        <v>51.12</v>
      </c>
      <c r="AC1586" s="16" t="s">
        <v>4631</v>
      </c>
      <c r="AF1586" s="33">
        <f t="shared" si="272"/>
        <v>0</v>
      </c>
      <c r="AG1586" s="43" t="s">
        <v>2676</v>
      </c>
      <c r="AH1586" s="66">
        <f t="shared" si="267"/>
        <v>0.11627906976744186</v>
      </c>
      <c r="AI1586" s="283">
        <f>RTD("money.excel",,$G1586,"PredictVolume")</f>
        <v>1</v>
      </c>
      <c r="AJ1586" s="391">
        <f>IFERROR(VLOOKUP($G1586,基本資料!$A:$M,13,0),"無")</f>
        <v>8.6</v>
      </c>
      <c r="AR1586" s="245" t="str">
        <f>INDEX(基本資料!N:N,MATCH($G1586,基本資料!A:A,0))</f>
        <v>低</v>
      </c>
    </row>
    <row r="1587" spans="1:44">
      <c r="A1587" s="343">
        <f>IFERROR(VLOOKUP($G1587,基本資料!$A:$J,3,0),"無")</f>
        <v>6.71</v>
      </c>
      <c r="B1587" s="79">
        <f>IFERROR(VLOOKUP($G1587,基本資料!$A:$J,4,0),"無")</f>
        <v>518</v>
      </c>
      <c r="C1587" s="79">
        <f>IFERROR(VLOOKUP($G1587,基本資料!$A:$J,5,0),"無")</f>
        <v>-106</v>
      </c>
      <c r="D1587" s="79">
        <f>IFERROR(VLOOKUP($G1587,基本資料!$A:$J,6,0),"無")</f>
        <v>38</v>
      </c>
      <c r="E1587" s="79">
        <f>IFERROR(VLOOKUP($G1587,基本資料!$A:$J,7,0),"無")</f>
        <v>-1</v>
      </c>
      <c r="F1587" s="6">
        <f>IFERROR(VLOOKUP($G1587,基本資料!$A:$J,8,0),"無")</f>
        <v>-44.05</v>
      </c>
      <c r="G1587" s="79">
        <v>5706</v>
      </c>
      <c r="H1587" s="8" t="s">
        <v>303</v>
      </c>
      <c r="I1587" s="22" t="s">
        <v>4632</v>
      </c>
      <c r="J1587" s="8">
        <f>IFERROR(VLOOKUP($G1587,今日總結!$A:$AN,39,0),"")</f>
        <v>0</v>
      </c>
      <c r="K1587" s="5">
        <f>IFERROR(VLOOKUP($G1587,今日總結!$A:$AN,40,0),"")</f>
        <v>0</v>
      </c>
      <c r="L1587" s="156">
        <f>IFERROR(VLOOKUP($G1587,今日總結!$A:$AN,37,0),"")</f>
        <v>0</v>
      </c>
      <c r="M1587" s="337">
        <f>IFERROR(VLOOKUP($G1587,今日總結!$A:$AN,38,0),"")</f>
        <v>0</v>
      </c>
      <c r="N1587" s="240">
        <f t="shared" si="273"/>
        <v>0</v>
      </c>
      <c r="O1587" s="359">
        <f>IFERROR(VLOOKUP($G1587,融外自投!$A:$J,7,0),"無")</f>
        <v>125</v>
      </c>
      <c r="P1587" s="79">
        <f>IFERROR(VLOOKUP($G1587,融外自投!$A:$J,9,0),"無")</f>
        <v>990</v>
      </c>
      <c r="Q1587" s="342">
        <f>IFERROR(VLOOKUP($G1587,融外自投!$A:$J,8,0),"無")</f>
        <v>953</v>
      </c>
      <c r="R1587" s="81" t="str">
        <f>IFERROR(VLOOKUP($G1587,融外自投!$A:$J,10,0),"無")</f>
        <v>無</v>
      </c>
      <c r="S1587" s="324">
        <f>IFERROR(VLOOKUP($G1587,'321買'!$A:$E,4,0),"'沒有資料'")</f>
        <v>123</v>
      </c>
      <c r="T1587" s="186">
        <f>IFERROR(VLOOKUP($G1587,基本資料!$A:$J,9,0),"無")</f>
        <v>2</v>
      </c>
      <c r="U1587" s="307">
        <f t="shared" si="269"/>
        <v>3.1055900621118009E-2</v>
      </c>
      <c r="V1587" s="94">
        <f>IFERROR(VLOOKUP($G1587,基本資料!$A:$J,10,0),"無")</f>
        <v>1.17</v>
      </c>
      <c r="W1587" s="36">
        <f>RTD("money.excel",,"5706","Price")</f>
        <v>64.400000000000006</v>
      </c>
      <c r="X1587" s="66"/>
      <c r="Y1587" s="15">
        <f t="shared" si="270"/>
        <v>64.400000000000006</v>
      </c>
      <c r="Z1587" s="3" t="e">
        <f t="shared" si="271"/>
        <v>#DIV/0!</v>
      </c>
      <c r="AA1587" s="340">
        <f>IFERROR(VLOOKUP($G1587,基本資料!$A:$M,11,0),"無")</f>
        <v>-20.49</v>
      </c>
      <c r="AB1587" s="389">
        <f>IFERROR(VLOOKUP($G1587,基本資料!$A:$M,12,0),"無")</f>
        <v>40.9</v>
      </c>
      <c r="AC1587" s="22" t="s">
        <v>4632</v>
      </c>
      <c r="AF1587" s="33">
        <f t="shared" si="272"/>
        <v>0</v>
      </c>
      <c r="AG1587" s="43" t="s">
        <v>1542</v>
      </c>
      <c r="AH1587" s="66">
        <f t="shared" si="267"/>
        <v>0.80549956231579123</v>
      </c>
      <c r="AI1587" s="283">
        <f>RTD("money.excel",,$G1587,"PredictVolume")</f>
        <v>5015</v>
      </c>
      <c r="AJ1587" s="391">
        <f>IFERROR(VLOOKUP($G1587,基本資料!$A:$M,13,0),"無")</f>
        <v>6225.95</v>
      </c>
      <c r="AR1587" s="245" t="str">
        <f>INDEX(基本資料!N:N,MATCH($G1587,基本資料!A:A,0))</f>
        <v>中</v>
      </c>
    </row>
    <row r="1588" spans="1:44">
      <c r="A1588" s="343">
        <f>IFERROR(VLOOKUP($G1588,基本資料!$A:$J,3,0),"無")</f>
        <v>10.97</v>
      </c>
      <c r="B1588" s="79">
        <f>IFERROR(VLOOKUP($G1588,基本資料!$A:$J,4,0),"無")</f>
        <v>57</v>
      </c>
      <c r="C1588" s="79">
        <f>IFERROR(VLOOKUP($G1588,基本資料!$A:$J,5,0),"無")</f>
        <v>22</v>
      </c>
      <c r="D1588" s="79">
        <f>IFERROR(VLOOKUP($G1588,基本資料!$A:$J,6,0),"無")</f>
        <v>7</v>
      </c>
      <c r="E1588" s="79">
        <f>IFERROR(VLOOKUP($G1588,基本資料!$A:$J,7,0),"無")</f>
        <v>15</v>
      </c>
      <c r="F1588" s="6">
        <f>IFERROR(VLOOKUP($G1588,基本資料!$A:$J,8,0),"無")</f>
        <v>-63.82</v>
      </c>
      <c r="G1588" s="79">
        <v>8077</v>
      </c>
      <c r="H1588" s="8" t="s">
        <v>303</v>
      </c>
      <c r="I1588" s="16" t="s">
        <v>4633</v>
      </c>
      <c r="J1588" s="8" t="str">
        <f>IFERROR(VLOOKUP($G1588,今日總結!$A:$AN,39,0),"")</f>
        <v/>
      </c>
      <c r="K1588" s="5" t="str">
        <f>IFERROR(VLOOKUP($G1588,今日總結!$A:$AN,40,0),"")</f>
        <v/>
      </c>
      <c r="L1588" s="156" t="str">
        <f>IFERROR(VLOOKUP($G1588,今日總結!$A:$AN,37,0),"")</f>
        <v/>
      </c>
      <c r="M1588" s="337" t="str">
        <f>IFERROR(VLOOKUP($G1588,今日總結!$A:$AN,38,0),"")</f>
        <v/>
      </c>
      <c r="N1588" s="240" t="str">
        <f t="shared" si="273"/>
        <v/>
      </c>
      <c r="O1588" s="359" t="str">
        <f>IFERROR(VLOOKUP($G1588,融外自投!$A:$J,7,0),"無")</f>
        <v>無</v>
      </c>
      <c r="P1588" s="79" t="str">
        <f>IFERROR(VLOOKUP($G1588,融外自投!$A:$J,9,0),"無")</f>
        <v>無</v>
      </c>
      <c r="Q1588" s="342" t="str">
        <f>IFERROR(VLOOKUP($G1588,融外自投!$A:$J,8,0),"無")</f>
        <v>無</v>
      </c>
      <c r="R1588" s="81" t="str">
        <f>IFERROR(VLOOKUP($G1588,融外自投!$A:$J,10,0),"無")</f>
        <v>無</v>
      </c>
      <c r="S1588" s="324" t="str">
        <f>IFERROR(VLOOKUP($G1588,'321買'!$A:$E,4,0),"'沒有資料'")</f>
        <v>'沒有資料'</v>
      </c>
      <c r="T1588" s="186">
        <f>IFERROR(VLOOKUP($G1588,基本資料!$A:$J,9,0),"無")</f>
        <v>0</v>
      </c>
      <c r="U1588" s="307">
        <f t="shared" si="269"/>
        <v>0</v>
      </c>
      <c r="V1588" s="94">
        <f>IFERROR(VLOOKUP($G1588,基本資料!$A:$J,10,0),"無")</f>
        <v>-3.3</v>
      </c>
      <c r="W1588" s="36">
        <f>RTD("money.excel",,"8077","Price")</f>
        <v>9.99</v>
      </c>
      <c r="X1588" s="66"/>
      <c r="Y1588" s="15">
        <f t="shared" si="270"/>
        <v>9.99</v>
      </c>
      <c r="Z1588" s="3" t="e">
        <f t="shared" si="271"/>
        <v>#DIV/0!</v>
      </c>
      <c r="AA1588" s="340">
        <f>IFERROR(VLOOKUP($G1588,基本資料!$A:$M,11,0),"無")</f>
        <v>-31.1</v>
      </c>
      <c r="AB1588" s="389">
        <f>IFERROR(VLOOKUP($G1588,基本資料!$A:$M,12,0),"無")</f>
        <v>26.11</v>
      </c>
      <c r="AC1588" s="16" t="s">
        <v>4633</v>
      </c>
      <c r="AF1588" s="33">
        <f t="shared" si="272"/>
        <v>0</v>
      </c>
      <c r="AG1588" s="43" t="s">
        <v>2680</v>
      </c>
      <c r="AH1588" s="66">
        <f t="shared" si="267"/>
        <v>0.58394160583941612</v>
      </c>
      <c r="AI1588" s="283">
        <f>RTD("money.excel",,$G1588,"PredictVolume")</f>
        <v>4</v>
      </c>
      <c r="AJ1588" s="391">
        <f>IFERROR(VLOOKUP($G1588,基本資料!$A:$M,13,0),"無")</f>
        <v>6.85</v>
      </c>
      <c r="AR1588" s="245" t="str">
        <f>INDEX(基本資料!N:N,MATCH($G1588,基本資料!A:A,0))</f>
        <v>低</v>
      </c>
    </row>
    <row r="1589" spans="1:44">
      <c r="A1589" s="343">
        <f>IFERROR(VLOOKUP($G1589,基本資料!$A:$J,3,0),"無")</f>
        <v>7.74</v>
      </c>
      <c r="B1589" s="79">
        <f>IFERROR(VLOOKUP($G1589,基本資料!$A:$J,4,0),"無")</f>
        <v>-135</v>
      </c>
      <c r="C1589" s="79">
        <f>IFERROR(VLOOKUP($G1589,基本資料!$A:$J,5,0),"無")</f>
        <v>-135</v>
      </c>
      <c r="D1589" s="79">
        <f>IFERROR(VLOOKUP($G1589,基本資料!$A:$J,6,0),"無")</f>
        <v>-11</v>
      </c>
      <c r="E1589" s="79">
        <f>IFERROR(VLOOKUP($G1589,基本資料!$A:$J,7,0),"無")</f>
        <v>-9</v>
      </c>
      <c r="F1589" s="6">
        <f>IFERROR(VLOOKUP($G1589,基本資料!$A:$J,8,0),"無")</f>
        <v>-7.41</v>
      </c>
      <c r="G1589" s="79">
        <v>8462</v>
      </c>
      <c r="H1589" s="8" t="s">
        <v>303</v>
      </c>
      <c r="I1589" s="22" t="s">
        <v>4634</v>
      </c>
      <c r="J1589" s="8">
        <f>IFERROR(VLOOKUP($G1589,今日總結!$A:$AN,39,0),"")</f>
        <v>0</v>
      </c>
      <c r="K1589" s="5">
        <f>IFERROR(VLOOKUP($G1589,今日總結!$A:$AN,40,0),"")</f>
        <v>0</v>
      </c>
      <c r="L1589" s="156">
        <f>IFERROR(VLOOKUP($G1589,今日總結!$A:$AN,37,0),"")</f>
        <v>0</v>
      </c>
      <c r="M1589" s="337">
        <f>IFERROR(VLOOKUP($G1589,今日總結!$A:$AN,38,0),"")</f>
        <v>0</v>
      </c>
      <c r="N1589" s="240">
        <f t="shared" si="273"/>
        <v>0</v>
      </c>
      <c r="O1589" s="359">
        <f>IFERROR(VLOOKUP($G1589,融外自投!$A:$J,7,0),"無")</f>
        <v>998</v>
      </c>
      <c r="P1589" s="79">
        <f>IFERROR(VLOOKUP($G1589,融外自投!$A:$J,9,0),"無")</f>
        <v>1123</v>
      </c>
      <c r="Q1589" s="342">
        <f>IFERROR(VLOOKUP($G1589,融外自投!$A:$J,8,0),"無")</f>
        <v>1163</v>
      </c>
      <c r="R1589" s="81" t="str">
        <f>IFERROR(VLOOKUP($G1589,融外自投!$A:$J,10,0),"無")</f>
        <v>無</v>
      </c>
      <c r="S1589" s="324">
        <f>IFERROR(VLOOKUP($G1589,'321買'!$A:$E,4,0),"'沒有資料'")</f>
        <v>1002</v>
      </c>
      <c r="T1589" s="186">
        <f>IFERROR(VLOOKUP($G1589,基本資料!$A:$J,9,0),"無")</f>
        <v>1.29</v>
      </c>
      <c r="U1589" s="307">
        <f t="shared" si="269"/>
        <v>1.1168831168831168E-2</v>
      </c>
      <c r="V1589" s="94">
        <f>IFERROR(VLOOKUP($G1589,基本資料!$A:$J,10,0),"無")</f>
        <v>-1.91</v>
      </c>
      <c r="W1589" s="36">
        <f>RTD("money.excel",,"8462","Price")</f>
        <v>115.5</v>
      </c>
      <c r="X1589" s="66"/>
      <c r="Y1589" s="15">
        <f t="shared" si="270"/>
        <v>115.5</v>
      </c>
      <c r="Z1589" s="3" t="e">
        <f t="shared" si="271"/>
        <v>#DIV/0!</v>
      </c>
      <c r="AA1589" s="340">
        <f>IFERROR(VLOOKUP($G1589,基本資料!$A:$M,11,0),"無")</f>
        <v>-32.26</v>
      </c>
      <c r="AB1589" s="389">
        <f>IFERROR(VLOOKUP($G1589,基本資料!$A:$M,12,0),"無")</f>
        <v>20.72</v>
      </c>
      <c r="AC1589" s="22" t="s">
        <v>4634</v>
      </c>
      <c r="AF1589" s="33">
        <f t="shared" si="272"/>
        <v>0</v>
      </c>
      <c r="AG1589" s="43" t="s">
        <v>4635</v>
      </c>
      <c r="AH1589" s="66">
        <f t="shared" si="267"/>
        <v>0.99304865938430975</v>
      </c>
      <c r="AI1589" s="283">
        <f>RTD("money.excel",,$G1589,"PredictVolume")</f>
        <v>50</v>
      </c>
      <c r="AJ1589" s="391">
        <f>IFERROR(VLOOKUP($G1589,基本資料!$A:$M,13,0),"無")</f>
        <v>50.35</v>
      </c>
      <c r="AR1589" s="245" t="str">
        <f>INDEX(基本資料!N:N,MATCH($G1589,基本資料!A:A,0))</f>
        <v>低</v>
      </c>
    </row>
    <row r="1590" spans="1:44">
      <c r="A1590" s="343">
        <f>IFERROR(VLOOKUP($G1590,基本資料!$A:$J,3,0),"無")</f>
        <v>6.74</v>
      </c>
      <c r="B1590" s="79">
        <f>IFERROR(VLOOKUP($G1590,基本資料!$A:$J,4,0),"無")</f>
        <v>-116</v>
      </c>
      <c r="C1590" s="79">
        <f>IFERROR(VLOOKUP($G1590,基本資料!$A:$J,5,0),"無")</f>
        <v>-50</v>
      </c>
      <c r="D1590" s="79">
        <f>IFERROR(VLOOKUP($G1590,基本資料!$A:$J,6,0),"無")</f>
        <v>-45</v>
      </c>
      <c r="E1590" s="79">
        <f>IFERROR(VLOOKUP($G1590,基本資料!$A:$J,7,0),"無")</f>
        <v>-22</v>
      </c>
      <c r="F1590" s="6">
        <f>IFERROR(VLOOKUP($G1590,基本資料!$A:$J,8,0),"無")</f>
        <v>-21.24</v>
      </c>
      <c r="G1590" s="79">
        <v>8940</v>
      </c>
      <c r="H1590" s="8" t="s">
        <v>303</v>
      </c>
      <c r="I1590" s="22" t="s">
        <v>4636</v>
      </c>
      <c r="J1590" s="8" t="str">
        <f>IFERROR(VLOOKUP($G1590,今日總結!$A:$AN,39,0),"")</f>
        <v/>
      </c>
      <c r="K1590" s="5" t="str">
        <f>IFERROR(VLOOKUP($G1590,今日總結!$A:$AN,40,0),"")</f>
        <v/>
      </c>
      <c r="L1590" s="156" t="str">
        <f>IFERROR(VLOOKUP($G1590,今日總結!$A:$AN,37,0),"")</f>
        <v/>
      </c>
      <c r="M1590" s="337" t="str">
        <f>IFERROR(VLOOKUP($G1590,今日總結!$A:$AN,38,0),"")</f>
        <v/>
      </c>
      <c r="N1590" s="240" t="str">
        <f t="shared" si="273"/>
        <v/>
      </c>
      <c r="O1590" s="359" t="str">
        <f>IFERROR(VLOOKUP($G1590,融外自投!$A:$J,7,0),"無")</f>
        <v>無</v>
      </c>
      <c r="P1590" s="79" t="str">
        <f>IFERROR(VLOOKUP($G1590,融外自投!$A:$J,9,0),"無")</f>
        <v>無</v>
      </c>
      <c r="Q1590" s="342" t="str">
        <f>IFERROR(VLOOKUP($G1590,融外自投!$A:$J,8,0),"無")</f>
        <v>無</v>
      </c>
      <c r="R1590" s="81" t="str">
        <f>IFERROR(VLOOKUP($G1590,融外自投!$A:$J,10,0),"無")</f>
        <v>無</v>
      </c>
      <c r="S1590" s="324" t="str">
        <f>IFERROR(VLOOKUP($G1590,'321買'!$A:$E,4,0),"'沒有資料'")</f>
        <v>'沒有資料'</v>
      </c>
      <c r="T1590" s="186">
        <f>IFERROR(VLOOKUP($G1590,基本資料!$A:$J,9,0),"無")</f>
        <v>0</v>
      </c>
      <c r="U1590" s="307">
        <f t="shared" si="269"/>
        <v>0</v>
      </c>
      <c r="V1590" s="94">
        <f>IFERROR(VLOOKUP($G1590,基本資料!$A:$J,10,0),"無")</f>
        <v>-1.74</v>
      </c>
      <c r="W1590" s="36">
        <f>RTD("money.excel",,"8940","Price")</f>
        <v>13.95</v>
      </c>
      <c r="X1590" s="66"/>
      <c r="Y1590" s="15">
        <f t="shared" si="270"/>
        <v>13.95</v>
      </c>
      <c r="Z1590" s="3" t="e">
        <f t="shared" si="271"/>
        <v>#DIV/0!</v>
      </c>
      <c r="AA1590" s="340">
        <f>IFERROR(VLOOKUP($G1590,基本資料!$A:$M,11,0),"無")</f>
        <v>-21.63</v>
      </c>
      <c r="AB1590" s="389">
        <f>IFERROR(VLOOKUP($G1590,基本資料!$A:$M,12,0),"無")</f>
        <v>45.42</v>
      </c>
      <c r="AC1590" s="22" t="s">
        <v>4636</v>
      </c>
      <c r="AF1590" s="33">
        <f t="shared" si="272"/>
        <v>0</v>
      </c>
      <c r="AG1590" s="43" t="s">
        <v>4637</v>
      </c>
      <c r="AH1590" s="66">
        <f t="shared" si="267"/>
        <v>9.7944199706314254</v>
      </c>
      <c r="AI1590" s="283">
        <f>RTD("money.excel",,$G1590,"PredictVolume")</f>
        <v>667</v>
      </c>
      <c r="AJ1590" s="391">
        <f>IFERROR(VLOOKUP($G1590,基本資料!$A:$M,13,0),"無")</f>
        <v>68.099999999999994</v>
      </c>
      <c r="AR1590" s="245" t="str">
        <f>INDEX(基本資料!N:N,MATCH($G1590,基本資料!A:A,0))</f>
        <v>中</v>
      </c>
    </row>
    <row r="1591" spans="1:44">
      <c r="A1591" s="343">
        <f>IFERROR(VLOOKUP($G1591,基本資料!$A:$J,3,0),"無")</f>
        <v>14.73</v>
      </c>
      <c r="B1591" s="79">
        <f>IFERROR(VLOOKUP($G1591,基本資料!$A:$J,4,0),"無")</f>
        <v>-90</v>
      </c>
      <c r="C1591" s="79">
        <f>IFERROR(VLOOKUP($G1591,基本資料!$A:$J,5,0),"無")</f>
        <v>-103</v>
      </c>
      <c r="D1591" s="79">
        <f>IFERROR(VLOOKUP($G1591,基本資料!$A:$J,6,0),"無")</f>
        <v>-27</v>
      </c>
      <c r="E1591" s="79">
        <f>IFERROR(VLOOKUP($G1591,基本資料!$A:$J,7,0),"無")</f>
        <v>-38</v>
      </c>
      <c r="F1591" s="6">
        <f>IFERROR(VLOOKUP($G1591,基本資料!$A:$J,8,0),"無")</f>
        <v>-1.1100000000000001</v>
      </c>
      <c r="G1591" s="79">
        <v>9943</v>
      </c>
      <c r="H1591" s="195" t="s">
        <v>303</v>
      </c>
      <c r="I1591" s="22" t="s">
        <v>4638</v>
      </c>
      <c r="J1591" s="8">
        <f>IFERROR(VLOOKUP($G1591,今日總結!$A:$AN,39,0),"")</f>
        <v>0</v>
      </c>
      <c r="K1591" s="5">
        <f>IFERROR(VLOOKUP($G1591,今日總結!$A:$AN,40,0),"")</f>
        <v>0</v>
      </c>
      <c r="L1591" s="156">
        <f>IFERROR(VLOOKUP($G1591,今日總結!$A:$AN,37,0),"")</f>
        <v>0</v>
      </c>
      <c r="M1591" s="337">
        <f>IFERROR(VLOOKUP($G1591,今日總結!$A:$AN,38,0),"")</f>
        <v>0</v>
      </c>
      <c r="N1591" s="240">
        <f t="shared" si="273"/>
        <v>0</v>
      </c>
      <c r="O1591" s="359">
        <f>IFERROR(VLOOKUP($G1591,融外自投!$A:$J,7,0),"無")</f>
        <v>1345</v>
      </c>
      <c r="P1591" s="79" t="str">
        <f>IFERROR(VLOOKUP($G1591,融外自投!$A:$J,9,0),"無")</f>
        <v>無</v>
      </c>
      <c r="Q1591" s="342">
        <f>IFERROR(VLOOKUP($G1591,融外自投!$A:$J,8,0),"無")</f>
        <v>1142</v>
      </c>
      <c r="R1591" s="81" t="str">
        <f>IFERROR(VLOOKUP($G1591,融外自投!$A:$J,10,0),"無")</f>
        <v>無</v>
      </c>
      <c r="S1591" s="324">
        <f>IFERROR(VLOOKUP($G1591,'321買'!$A:$E,4,0),"'沒有資料'")</f>
        <v>1002</v>
      </c>
      <c r="T1591" s="186">
        <f>IFERROR(VLOOKUP($G1591,基本資料!$A:$J,9,0),"無")</f>
        <v>0.5</v>
      </c>
      <c r="U1591" s="307">
        <f t="shared" si="269"/>
        <v>9.2250922509225092E-3</v>
      </c>
      <c r="V1591" s="94">
        <f>IFERROR(VLOOKUP($G1591,基本資料!$A:$J,10,0),"無")</f>
        <v>0.43</v>
      </c>
      <c r="W1591" s="36">
        <f>RTD("money.excel",,"9943","Price")</f>
        <v>54.2</v>
      </c>
      <c r="X1591" s="66"/>
      <c r="Y1591" s="15">
        <f t="shared" si="270"/>
        <v>54.2</v>
      </c>
      <c r="Z1591" s="3" t="e">
        <f t="shared" si="271"/>
        <v>#DIV/0!</v>
      </c>
      <c r="AA1591" s="340">
        <f>IFERROR(VLOOKUP($G1591,基本資料!$A:$M,11,0),"無")</f>
        <v>-19.100000000000001</v>
      </c>
      <c r="AB1591" s="389">
        <f>IFERROR(VLOOKUP($G1591,基本資料!$A:$M,12,0),"無")</f>
        <v>22.79</v>
      </c>
      <c r="AC1591" s="22" t="s">
        <v>4638</v>
      </c>
      <c r="AF1591" s="33">
        <f t="shared" si="272"/>
        <v>0</v>
      </c>
      <c r="AG1591" s="117" t="s">
        <v>4639</v>
      </c>
      <c r="AH1591" s="66">
        <f t="shared" si="267"/>
        <v>1.3279908414424728</v>
      </c>
      <c r="AI1591" s="283">
        <f>RTD("money.excel",,$G1591,"PredictVolume")</f>
        <v>116</v>
      </c>
      <c r="AJ1591" s="391">
        <f>IFERROR(VLOOKUP($G1591,基本資料!$A:$M,13,0),"無")</f>
        <v>87.35</v>
      </c>
      <c r="AR1591" s="245" t="str">
        <f>INDEX(基本資料!N:N,MATCH($G1591,基本資料!A:A,0))</f>
        <v>低</v>
      </c>
    </row>
    <row r="1592" spans="1:44">
      <c r="B1592" s="80"/>
      <c r="C1592" s="80"/>
      <c r="D1592" s="79"/>
      <c r="E1592" s="80"/>
      <c r="F1592" s="57"/>
      <c r="G1592" s="79"/>
      <c r="H1592" s="195"/>
      <c r="I1592" s="22"/>
      <c r="L1592" s="2"/>
      <c r="O1592" s="360"/>
      <c r="Q1592" s="351"/>
      <c r="R1592" s="26"/>
      <c r="T1592" s="66"/>
      <c r="V1592" s="94"/>
      <c r="W1592" s="36"/>
      <c r="X1592" s="66"/>
      <c r="Y1592" s="15"/>
      <c r="Z1592" s="3"/>
      <c r="AC1592" s="22"/>
      <c r="AF1592" s="33"/>
      <c r="AG1592" s="117"/>
      <c r="AH1592" s="66" t="e">
        <f t="shared" si="267"/>
        <v>#DIV/0!</v>
      </c>
      <c r="AI1592" s="283"/>
    </row>
    <row r="1593" spans="1:44">
      <c r="A1593" s="127" t="s">
        <v>3875</v>
      </c>
      <c r="B1593" s="90" t="s">
        <v>3876</v>
      </c>
      <c r="C1593" s="90" t="s">
        <v>3877</v>
      </c>
      <c r="D1593" s="90" t="s">
        <v>3878</v>
      </c>
      <c r="E1593" s="90" t="s">
        <v>3879</v>
      </c>
      <c r="F1593" s="8" t="s">
        <v>3880</v>
      </c>
      <c r="G1593" s="27" t="s">
        <v>1123</v>
      </c>
      <c r="H1593" s="55" t="s">
        <v>320</v>
      </c>
      <c r="I1593" s="8" t="s">
        <v>4640</v>
      </c>
      <c r="J1593" s="8" t="s">
        <v>6211</v>
      </c>
      <c r="K1593" s="5" t="s">
        <v>6212</v>
      </c>
      <c r="L1593" s="334" t="s">
        <v>6197</v>
      </c>
      <c r="M1593" s="335" t="s">
        <v>6198</v>
      </c>
      <c r="N1593" s="336" t="s">
        <v>6199</v>
      </c>
      <c r="O1593" s="89" t="s">
        <v>6275</v>
      </c>
      <c r="P1593" s="292" t="s">
        <v>6274</v>
      </c>
      <c r="Q1593" s="350" t="s">
        <v>6273</v>
      </c>
      <c r="R1593" s="26" t="s">
        <v>6276</v>
      </c>
      <c r="S1593" s="318" t="s">
        <v>4715</v>
      </c>
      <c r="T1593" s="10" t="s">
        <v>3883</v>
      </c>
      <c r="U1593" s="305" t="s">
        <v>4728</v>
      </c>
      <c r="V1593" s="68" t="s">
        <v>3272</v>
      </c>
      <c r="W1593" s="28" t="s">
        <v>2</v>
      </c>
      <c r="X1593" s="17" t="s">
        <v>3884</v>
      </c>
      <c r="Y1593" s="14" t="s">
        <v>3885</v>
      </c>
      <c r="Z1593" s="21" t="s">
        <v>3886</v>
      </c>
      <c r="AA1593" s="96" t="s">
        <v>6166</v>
      </c>
      <c r="AB1593" s="378" t="s">
        <v>6404</v>
      </c>
      <c r="AC1593" s="8" t="s">
        <v>4640</v>
      </c>
      <c r="AD1593" s="71" t="s">
        <v>3887</v>
      </c>
      <c r="AE1593" s="72" t="s">
        <v>3888</v>
      </c>
      <c r="AF1593" s="32" t="s">
        <v>3889</v>
      </c>
      <c r="AG1593" s="25" t="s">
        <v>6200</v>
      </c>
      <c r="AH1593" s="8" t="s">
        <v>6696</v>
      </c>
      <c r="AI1593" s="50" t="s">
        <v>3360</v>
      </c>
      <c r="AJ1593" s="22" t="s">
        <v>6695</v>
      </c>
    </row>
    <row r="1594" spans="1:44">
      <c r="A1594" s="343">
        <f>IFERROR(VLOOKUP($G1594,基本資料!$A:$J,3,0),"無")</f>
        <v>1048</v>
      </c>
      <c r="B1594" s="79">
        <f>IFERROR(VLOOKUP($G1594,基本資料!$A:$J,4,0),"無")</f>
        <v>25</v>
      </c>
      <c r="C1594" s="79">
        <f>IFERROR(VLOOKUP($G1594,基本資料!$A:$J,5,0),"無")</f>
        <v>0</v>
      </c>
      <c r="D1594" s="79">
        <f>IFERROR(VLOOKUP($G1594,基本資料!$A:$J,6,0),"無")</f>
        <v>3</v>
      </c>
      <c r="E1594" s="79">
        <f>IFERROR(VLOOKUP($G1594,基本資料!$A:$J,7,0),"無")</f>
        <v>38</v>
      </c>
      <c r="F1594" s="6">
        <f>IFERROR(VLOOKUP($G1594,基本資料!$A:$J,8,0),"無")</f>
        <v>0</v>
      </c>
      <c r="G1594" s="79">
        <v>2801</v>
      </c>
      <c r="H1594" s="17" t="s">
        <v>304</v>
      </c>
      <c r="I1594" s="22" t="s">
        <v>4641</v>
      </c>
      <c r="J1594" s="8">
        <f>IFERROR(VLOOKUP($G1594,今日總結!$A:$AN,39,0),"")</f>
        <v>0</v>
      </c>
      <c r="K1594" s="5" t="str">
        <f>IFERROR(VLOOKUP($G1594,今日總結!$A:$AN,40,0),"")</f>
        <v>券</v>
      </c>
      <c r="L1594" s="156">
        <f>IFERROR(VLOOKUP($G1594,今日總結!$A:$AN,37,0),"")</f>
        <v>0</v>
      </c>
      <c r="M1594" s="337">
        <f>IFERROR(VLOOKUP($G1594,今日總結!$A:$AN,38,0),"")</f>
        <v>2</v>
      </c>
      <c r="N1594" s="240">
        <f t="shared" ref="N1594" si="274">IFERROR(L1594-M1594,"")</f>
        <v>-2</v>
      </c>
      <c r="O1594" s="359">
        <f>IFERROR(VLOOKUP($G1594,融外自投!$A:$J,7,0),"無")</f>
        <v>1369</v>
      </c>
      <c r="P1594" s="79">
        <f>IFERROR(VLOOKUP($G1594,融外自投!$A:$J,9,0),"無")</f>
        <v>577</v>
      </c>
      <c r="Q1594" s="342">
        <f>IFERROR(VLOOKUP($G1594,融外自投!$A:$J,8,0),"無")</f>
        <v>422</v>
      </c>
      <c r="R1594" s="81">
        <f>IFERROR(VLOOKUP($G1594,融外自投!$A:$J,10,0),"無")</f>
        <v>236</v>
      </c>
      <c r="S1594" s="324">
        <f>IFERROR(VLOOKUP($G1594,'321買'!$A:$E,4,0),"'沒有資料'")</f>
        <v>231</v>
      </c>
      <c r="T1594" s="186">
        <f>IFERROR(VLOOKUP($G1594,基本資料!$A:$J,9,0),"無")</f>
        <v>0.6</v>
      </c>
      <c r="U1594" s="307">
        <f t="shared" ref="U1594:U1636" si="275">$T1594/$W1594</f>
        <v>3.3898305084745763E-2</v>
      </c>
      <c r="V1594" s="94">
        <f>IFERROR(VLOOKUP($G1594,基本資料!$A:$J,10,0),"無")</f>
        <v>0.84</v>
      </c>
      <c r="W1594" s="36">
        <f>RTD("money.excel",,"2801","Price")</f>
        <v>17.7</v>
      </c>
      <c r="X1594" s="66"/>
      <c r="Y1594" s="15">
        <f t="shared" ref="Y1594:Y1636" si="276">W1594-X1594</f>
        <v>17.7</v>
      </c>
      <c r="Z1594" s="3" t="e">
        <f t="shared" ref="Z1594:Z1636" si="277">Y1594/X1594</f>
        <v>#DIV/0!</v>
      </c>
      <c r="AA1594" s="340">
        <f>IFERROR(VLOOKUP($G1594,基本資料!$A:$M,11,0),"無")</f>
        <v>-11.28</v>
      </c>
      <c r="AB1594" s="389">
        <f>IFERROR(VLOOKUP($G1594,基本資料!$A:$M,12,0),"無")</f>
        <v>28.99</v>
      </c>
      <c r="AC1594" s="22" t="s">
        <v>4641</v>
      </c>
      <c r="AF1594" s="33">
        <f t="shared" ref="AF1594:AF1636" si="278">AE1594-AD1594</f>
        <v>0</v>
      </c>
      <c r="AG1594" s="117" t="s">
        <v>1502</v>
      </c>
      <c r="AH1594" s="66">
        <f t="shared" si="267"/>
        <v>0.87560911116987117</v>
      </c>
      <c r="AI1594" s="283">
        <f>RTD("money.excel",,$G1594,"PredictVolume")</f>
        <v>10431</v>
      </c>
      <c r="AJ1594" s="391">
        <f>IFERROR(VLOOKUP($G1594,基本資料!$A:$M,13,0),"無")</f>
        <v>11912.85</v>
      </c>
      <c r="AR1594" s="245" t="str">
        <f>INDEX(基本資料!N:N,MATCH($G1594,基本資料!A:A,0))</f>
        <v>中</v>
      </c>
    </row>
    <row r="1595" spans="1:44">
      <c r="A1595" s="343">
        <f>IFERROR(VLOOKUP($G1595,基本資料!$A:$J,3,0),"無")</f>
        <v>112</v>
      </c>
      <c r="B1595" s="79">
        <f>IFERROR(VLOOKUP($G1595,基本資料!$A:$J,4,0),"無")</f>
        <v>2</v>
      </c>
      <c r="C1595" s="79">
        <f>IFERROR(VLOOKUP($G1595,基本資料!$A:$J,5,0),"無")</f>
        <v>0</v>
      </c>
      <c r="D1595" s="79">
        <f>IFERROR(VLOOKUP($G1595,基本資料!$A:$J,6,0),"無")</f>
        <v>134</v>
      </c>
      <c r="E1595" s="79">
        <f>IFERROR(VLOOKUP($G1595,基本資料!$A:$J,7,0),"無")</f>
        <v>-86</v>
      </c>
      <c r="F1595" s="6">
        <f>IFERROR(VLOOKUP($G1595,基本資料!$A:$J,8,0),"無")</f>
        <v>0</v>
      </c>
      <c r="G1595" s="79">
        <v>2809</v>
      </c>
      <c r="H1595" s="17" t="s">
        <v>304</v>
      </c>
      <c r="I1595" s="22" t="s">
        <v>4642</v>
      </c>
      <c r="J1595" s="8" t="str">
        <f>IFERROR(VLOOKUP($G1595,今日總結!$A:$AN,39,0),"")</f>
        <v>自</v>
      </c>
      <c r="K1595" s="5" t="str">
        <f>IFERROR(VLOOKUP($G1595,今日總結!$A:$AN,40,0),"")</f>
        <v>主外借</v>
      </c>
      <c r="L1595" s="156">
        <f>IFERROR(VLOOKUP($G1595,今日總結!$A:$AN,37,0),"")</f>
        <v>6</v>
      </c>
      <c r="M1595" s="337">
        <f>IFERROR(VLOOKUP($G1595,今日總結!$A:$AN,38,0),"")</f>
        <v>21</v>
      </c>
      <c r="N1595" s="240">
        <f t="shared" ref="N1595:N1636" si="279">IFERROR(L1595-M1595,"")</f>
        <v>-15</v>
      </c>
      <c r="O1595" s="359">
        <f>IFERROR(VLOOKUP($G1595,融外自投!$A:$J,7,0),"無")</f>
        <v>1323</v>
      </c>
      <c r="P1595" s="79">
        <f>IFERROR(VLOOKUP($G1595,融外自投!$A:$J,9,0),"無")</f>
        <v>53</v>
      </c>
      <c r="Q1595" s="342">
        <f>IFERROR(VLOOKUP($G1595,融外自投!$A:$J,8,0),"無")</f>
        <v>359</v>
      </c>
      <c r="R1595" s="81">
        <f>IFERROR(VLOOKUP($G1595,融外自投!$A:$J,10,0),"無")</f>
        <v>188</v>
      </c>
      <c r="S1595" s="324">
        <f>IFERROR(VLOOKUP($G1595,'321買'!$A:$E,4,0),"'沒有資料'")</f>
        <v>440</v>
      </c>
      <c r="T1595" s="186">
        <f>IFERROR(VLOOKUP($G1595,基本資料!$A:$J,9,0),"無")</f>
        <v>2.1</v>
      </c>
      <c r="U1595" s="307">
        <f t="shared" si="275"/>
        <v>5.592543275632491E-2</v>
      </c>
      <c r="V1595" s="94">
        <f>IFERROR(VLOOKUP($G1595,基本資料!$A:$J,10,0),"無")</f>
        <v>5.0199999999999996</v>
      </c>
      <c r="W1595" s="36">
        <f>RTD("money.excel",,"2809","Price")</f>
        <v>37.549999999999997</v>
      </c>
      <c r="X1595" s="66"/>
      <c r="Y1595" s="15">
        <f t="shared" si="276"/>
        <v>37.549999999999997</v>
      </c>
      <c r="Z1595" s="3" t="e">
        <f t="shared" si="277"/>
        <v>#DIV/0!</v>
      </c>
      <c r="AA1595" s="340">
        <f>IFERROR(VLOOKUP($G1595,基本資料!$A:$M,11,0),"無")</f>
        <v>-15.81</v>
      </c>
      <c r="AB1595" s="389">
        <f>IFERROR(VLOOKUP($G1595,基本資料!$A:$M,12,0),"無")</f>
        <v>21.11</v>
      </c>
      <c r="AC1595" s="22" t="s">
        <v>4642</v>
      </c>
      <c r="AF1595" s="33">
        <f t="shared" si="278"/>
        <v>0</v>
      </c>
      <c r="AG1595" s="117" t="s">
        <v>4643</v>
      </c>
      <c r="AH1595" s="66">
        <f t="shared" si="267"/>
        <v>0.90735845576934893</v>
      </c>
      <c r="AI1595" s="283">
        <f>RTD("money.excel",,$G1595,"PredictVolume")</f>
        <v>2214</v>
      </c>
      <c r="AJ1595" s="391">
        <f>IFERROR(VLOOKUP($G1595,基本資料!$A:$M,13,0),"無")</f>
        <v>2440.0500000000002</v>
      </c>
      <c r="AR1595" s="245" t="str">
        <f>INDEX(基本資料!N:N,MATCH($G1595,基本資料!A:A,0))</f>
        <v>低</v>
      </c>
    </row>
    <row r="1596" spans="1:44">
      <c r="A1596" s="343">
        <f>IFERROR(VLOOKUP($G1596,基本資料!$A:$J,3,0),"無")</f>
        <v>453</v>
      </c>
      <c r="B1596" s="79">
        <f>IFERROR(VLOOKUP($G1596,基本資料!$A:$J,4,0),"無")</f>
        <v>19</v>
      </c>
      <c r="C1596" s="79">
        <f>IFERROR(VLOOKUP($G1596,基本資料!$A:$J,5,0),"無")</f>
        <v>0</v>
      </c>
      <c r="D1596" s="79">
        <f>IFERROR(VLOOKUP($G1596,基本資料!$A:$J,6,0),"無")</f>
        <v>-14</v>
      </c>
      <c r="E1596" s="79">
        <f>IFERROR(VLOOKUP($G1596,基本資料!$A:$J,7,0),"無")</f>
        <v>-7</v>
      </c>
      <c r="F1596" s="6">
        <f>IFERROR(VLOOKUP($G1596,基本資料!$A:$J,8,0),"無")</f>
        <v>0</v>
      </c>
      <c r="G1596" s="79">
        <v>2812</v>
      </c>
      <c r="H1596" s="17" t="s">
        <v>304</v>
      </c>
      <c r="I1596" s="22" t="s">
        <v>133</v>
      </c>
      <c r="J1596" s="8">
        <f>IFERROR(VLOOKUP($G1596,今日總結!$A:$AN,39,0),"")</f>
        <v>0</v>
      </c>
      <c r="K1596" s="5">
        <f>IFERROR(VLOOKUP($G1596,今日總結!$A:$AN,40,0),"")</f>
        <v>0</v>
      </c>
      <c r="L1596" s="156">
        <f>IFERROR(VLOOKUP($G1596,今日總結!$A:$AN,37,0),"")</f>
        <v>0</v>
      </c>
      <c r="M1596" s="337">
        <f>IFERROR(VLOOKUP($G1596,今日總結!$A:$AN,38,0),"")</f>
        <v>0</v>
      </c>
      <c r="N1596" s="240">
        <f t="shared" si="279"/>
        <v>0</v>
      </c>
      <c r="O1596" s="359">
        <f>IFERROR(VLOOKUP($G1596,融外自投!$A:$J,7,0),"無")</f>
        <v>1358</v>
      </c>
      <c r="P1596" s="79">
        <f>IFERROR(VLOOKUP($G1596,融外自投!$A:$J,9,0),"無")</f>
        <v>1123</v>
      </c>
      <c r="Q1596" s="342">
        <f>IFERROR(VLOOKUP($G1596,融外自投!$A:$J,8,0),"無")</f>
        <v>456</v>
      </c>
      <c r="R1596" s="81">
        <f>IFERROR(VLOOKUP($G1596,融外自投!$A:$J,10,0),"無")</f>
        <v>294</v>
      </c>
      <c r="S1596" s="324">
        <f>IFERROR(VLOOKUP($G1596,'321買'!$A:$E,4,0),"'沒有資料'")</f>
        <v>411</v>
      </c>
      <c r="T1596" s="186">
        <f>IFERROR(VLOOKUP($G1596,基本資料!$A:$J,9,0),"無")</f>
        <v>0.75</v>
      </c>
      <c r="U1596" s="307">
        <f t="shared" si="275"/>
        <v>5.5970149253731345E-2</v>
      </c>
      <c r="V1596" s="94">
        <f>IFERROR(VLOOKUP($G1596,基本資料!$A:$J,10,0),"無")</f>
        <v>1.1000000000000001</v>
      </c>
      <c r="W1596" s="36">
        <f>RTD("money.excel",,"2812","Price")</f>
        <v>13.4</v>
      </c>
      <c r="X1596" s="66"/>
      <c r="Y1596" s="15">
        <f t="shared" si="276"/>
        <v>13.4</v>
      </c>
      <c r="Z1596" s="3" t="e">
        <f t="shared" si="277"/>
        <v>#DIV/0!</v>
      </c>
      <c r="AA1596" s="340">
        <f>IFERROR(VLOOKUP($G1596,基本資料!$A:$M,11,0),"無")</f>
        <v>-17.28</v>
      </c>
      <c r="AB1596" s="389">
        <f>IFERROR(VLOOKUP($G1596,基本資料!$A:$M,12,0),"無")</f>
        <v>30.38</v>
      </c>
      <c r="AC1596" s="22" t="s">
        <v>4644</v>
      </c>
      <c r="AF1596" s="33">
        <f t="shared" si="278"/>
        <v>0</v>
      </c>
      <c r="AG1596" s="117" t="s">
        <v>1428</v>
      </c>
      <c r="AH1596" s="66">
        <f t="shared" si="267"/>
        <v>0.84439097817084896</v>
      </c>
      <c r="AI1596" s="283">
        <f>RTD("money.excel",,$G1596,"PredictVolume")</f>
        <v>6984</v>
      </c>
      <c r="AJ1596" s="391">
        <f>IFERROR(VLOOKUP($G1596,基本資料!$A:$M,13,0),"無")</f>
        <v>8271.0499999999993</v>
      </c>
      <c r="AR1596" s="245" t="str">
        <f>INDEX(基本資料!N:N,MATCH($G1596,基本資料!A:A,0))</f>
        <v>中</v>
      </c>
    </row>
    <row r="1597" spans="1:44">
      <c r="A1597" s="343">
        <f>IFERROR(VLOOKUP($G1597,基本資料!$A:$J,3,0),"無")</f>
        <v>22.36</v>
      </c>
      <c r="B1597" s="79">
        <f>IFERROR(VLOOKUP($G1597,基本資料!$A:$J,4,0),"無")</f>
        <v>0</v>
      </c>
      <c r="C1597" s="79">
        <f>IFERROR(VLOOKUP($G1597,基本資料!$A:$J,5,0),"無")</f>
        <v>17</v>
      </c>
      <c r="D1597" s="79">
        <f>IFERROR(VLOOKUP($G1597,基本資料!$A:$J,6,0),"無")</f>
        <v>-23</v>
      </c>
      <c r="E1597" s="79">
        <f>IFERROR(VLOOKUP($G1597,基本資料!$A:$J,7,0),"無")</f>
        <v>-36</v>
      </c>
      <c r="F1597" s="6">
        <f>IFERROR(VLOOKUP($G1597,基本資料!$A:$J,8,0),"無")</f>
        <v>9.01</v>
      </c>
      <c r="G1597" s="79">
        <v>2816</v>
      </c>
      <c r="H1597" s="17" t="s">
        <v>304</v>
      </c>
      <c r="I1597" s="22" t="s">
        <v>4645</v>
      </c>
      <c r="J1597" s="8">
        <f>IFERROR(VLOOKUP($G1597,今日總結!$A:$AN,39,0),"")</f>
        <v>0</v>
      </c>
      <c r="K1597" s="5">
        <f>IFERROR(VLOOKUP($G1597,今日總結!$A:$AN,40,0),"")</f>
        <v>0</v>
      </c>
      <c r="L1597" s="156">
        <f>IFERROR(VLOOKUP($G1597,今日總結!$A:$AN,37,0),"")</f>
        <v>0</v>
      </c>
      <c r="M1597" s="337">
        <f>IFERROR(VLOOKUP($G1597,今日總結!$A:$AN,38,0),"")</f>
        <v>0</v>
      </c>
      <c r="N1597" s="240">
        <f t="shared" si="279"/>
        <v>0</v>
      </c>
      <c r="O1597" s="359">
        <f>IFERROR(VLOOKUP($G1597,融外自投!$A:$J,7,0),"無")</f>
        <v>1293</v>
      </c>
      <c r="P1597" s="79" t="str">
        <f>IFERROR(VLOOKUP($G1597,融外自投!$A:$J,9,0),"無")</f>
        <v>無</v>
      </c>
      <c r="Q1597" s="342">
        <f>IFERROR(VLOOKUP($G1597,融外自投!$A:$J,8,0),"無")</f>
        <v>1144</v>
      </c>
      <c r="R1597" s="81" t="str">
        <f>IFERROR(VLOOKUP($G1597,融外自投!$A:$J,10,0),"無")</f>
        <v>無</v>
      </c>
      <c r="S1597" s="324">
        <f>IFERROR(VLOOKUP($G1597,'321買'!$A:$E,4,0),"'沒有資料'")</f>
        <v>1002</v>
      </c>
      <c r="T1597" s="186">
        <f>IFERROR(VLOOKUP($G1597,基本資料!$A:$J,9,0),"無")</f>
        <v>1</v>
      </c>
      <c r="U1597" s="307">
        <f t="shared" si="275"/>
        <v>5.6497175141242938E-2</v>
      </c>
      <c r="V1597" s="94">
        <f>IFERROR(VLOOKUP($G1597,基本資料!$A:$J,10,0),"無")</f>
        <v>3.12</v>
      </c>
      <c r="W1597" s="36">
        <f>RTD("money.excel",,"2816","Price")</f>
        <v>17.7</v>
      </c>
      <c r="X1597" s="66"/>
      <c r="Y1597" s="15">
        <f t="shared" si="276"/>
        <v>17.7</v>
      </c>
      <c r="Z1597" s="3" t="e">
        <f t="shared" si="277"/>
        <v>#DIV/0!</v>
      </c>
      <c r="AA1597" s="340">
        <f>IFERROR(VLOOKUP($G1597,基本資料!$A:$M,11,0),"無")</f>
        <v>-17.29</v>
      </c>
      <c r="AB1597" s="389">
        <f>IFERROR(VLOOKUP($G1597,基本資料!$A:$M,12,0),"無")</f>
        <v>21.65</v>
      </c>
      <c r="AC1597" s="22" t="s">
        <v>4645</v>
      </c>
      <c r="AF1597" s="33">
        <f t="shared" si="278"/>
        <v>0</v>
      </c>
      <c r="AG1597" s="43" t="s">
        <v>4646</v>
      </c>
      <c r="AH1597" s="66">
        <f t="shared" si="267"/>
        <v>0.99639855942376954</v>
      </c>
      <c r="AI1597" s="283">
        <f>RTD("money.excel",,$G1597,"PredictVolume")</f>
        <v>166</v>
      </c>
      <c r="AJ1597" s="391">
        <f>IFERROR(VLOOKUP($G1597,基本資料!$A:$M,13,0),"無")</f>
        <v>166.6</v>
      </c>
      <c r="AR1597" s="245" t="str">
        <f>INDEX(基本資料!N:N,MATCH($G1597,基本資料!A:A,0))</f>
        <v>低</v>
      </c>
    </row>
    <row r="1598" spans="1:44">
      <c r="A1598" s="343">
        <f>IFERROR(VLOOKUP($G1598,基本資料!$A:$J,3,0),"無")</f>
        <v>134</v>
      </c>
      <c r="B1598" s="79">
        <f>IFERROR(VLOOKUP($G1598,基本資料!$A:$J,4,0),"無")</f>
        <v>17</v>
      </c>
      <c r="C1598" s="79">
        <f>IFERROR(VLOOKUP($G1598,基本資料!$A:$J,5,0),"無")</f>
        <v>0</v>
      </c>
      <c r="D1598" s="79">
        <f>IFERROR(VLOOKUP($G1598,基本資料!$A:$J,6,0),"無")</f>
        <v>-51</v>
      </c>
      <c r="E1598" s="79">
        <f>IFERROR(VLOOKUP($G1598,基本資料!$A:$J,7,0),"無")</f>
        <v>-71</v>
      </c>
      <c r="F1598" s="6">
        <f>IFERROR(VLOOKUP($G1598,基本資料!$A:$J,8,0),"無")</f>
        <v>0</v>
      </c>
      <c r="G1598" s="79">
        <v>2820</v>
      </c>
      <c r="H1598" s="17" t="s">
        <v>304</v>
      </c>
      <c r="I1598" s="22" t="s">
        <v>4647</v>
      </c>
      <c r="J1598" s="8">
        <f>IFERROR(VLOOKUP($G1598,今日總結!$A:$AN,39,0),"")</f>
        <v>0</v>
      </c>
      <c r="K1598" s="5">
        <f>IFERROR(VLOOKUP($G1598,今日總結!$A:$AN,40,0),"")</f>
        <v>0</v>
      </c>
      <c r="L1598" s="156">
        <f>IFERROR(VLOOKUP($G1598,今日總結!$A:$AN,37,0),"")</f>
        <v>0</v>
      </c>
      <c r="M1598" s="337">
        <f>IFERROR(VLOOKUP($G1598,今日總結!$A:$AN,38,0),"")</f>
        <v>0</v>
      </c>
      <c r="N1598" s="240">
        <f t="shared" si="279"/>
        <v>0</v>
      </c>
      <c r="O1598" s="359">
        <f>IFERROR(VLOOKUP($G1598,融外自投!$A:$J,7,0),"無")</f>
        <v>1437</v>
      </c>
      <c r="P1598" s="79">
        <f>IFERROR(VLOOKUP($G1598,融外自投!$A:$J,9,0),"無")</f>
        <v>200</v>
      </c>
      <c r="Q1598" s="342">
        <f>IFERROR(VLOOKUP($G1598,融外自投!$A:$J,8,0),"無")</f>
        <v>666</v>
      </c>
      <c r="R1598" s="81">
        <f>IFERROR(VLOOKUP($G1598,融外自投!$A:$J,10,0),"無")</f>
        <v>439</v>
      </c>
      <c r="S1598" s="324">
        <f>IFERROR(VLOOKUP($G1598,'321買'!$A:$E,4,0),"'沒有資料'")</f>
        <v>465</v>
      </c>
      <c r="T1598" s="186">
        <f>IFERROR(VLOOKUP($G1598,基本資料!$A:$J,9,0),"無")</f>
        <v>0.9</v>
      </c>
      <c r="U1598" s="307">
        <f t="shared" si="275"/>
        <v>5.3892215568862277E-2</v>
      </c>
      <c r="V1598" s="94">
        <f>IFERROR(VLOOKUP($G1598,基本資料!$A:$J,10,0),"無")</f>
        <v>1.38</v>
      </c>
      <c r="W1598" s="36">
        <f>RTD("money.excel",,"2820","Price")</f>
        <v>16.7</v>
      </c>
      <c r="X1598" s="66"/>
      <c r="Y1598" s="15">
        <f t="shared" si="276"/>
        <v>16.7</v>
      </c>
      <c r="Z1598" s="3" t="e">
        <f t="shared" si="277"/>
        <v>#DIV/0!</v>
      </c>
      <c r="AA1598" s="340">
        <f>IFERROR(VLOOKUP($G1598,基本資料!$A:$M,11,0),"無")</f>
        <v>-7.48</v>
      </c>
      <c r="AB1598" s="389">
        <f>IFERROR(VLOOKUP($G1598,基本資料!$A:$M,12,0),"無")</f>
        <v>41.97</v>
      </c>
      <c r="AC1598" s="22" t="s">
        <v>4647</v>
      </c>
      <c r="AF1598" s="33">
        <f t="shared" si="278"/>
        <v>0</v>
      </c>
      <c r="AG1598" s="117" t="s">
        <v>4648</v>
      </c>
      <c r="AH1598" s="66">
        <f t="shared" si="267"/>
        <v>0.89113808454777221</v>
      </c>
      <c r="AI1598" s="283">
        <f>RTD("money.excel",,$G1598,"PredictVolume")</f>
        <v>1171</v>
      </c>
      <c r="AJ1598" s="391">
        <f>IFERROR(VLOOKUP($G1598,基本資料!$A:$M,13,0),"無")</f>
        <v>1314.05</v>
      </c>
      <c r="AR1598" s="245" t="str">
        <f>INDEX(基本資料!N:N,MATCH($G1598,基本資料!A:A,0))</f>
        <v>中</v>
      </c>
    </row>
    <row r="1599" spans="1:44">
      <c r="A1599" s="343">
        <f>IFERROR(VLOOKUP($G1599,基本資料!$A:$J,3,0),"無")</f>
        <v>36.22</v>
      </c>
      <c r="B1599" s="79">
        <f>IFERROR(VLOOKUP($G1599,基本資料!$A:$J,4,0),"無")</f>
        <v>-45</v>
      </c>
      <c r="C1599" s="79">
        <f>IFERROR(VLOOKUP($G1599,基本資料!$A:$J,5,0),"無")</f>
        <v>-47</v>
      </c>
      <c r="D1599" s="79">
        <f>IFERROR(VLOOKUP($G1599,基本資料!$A:$J,6,0),"無")</f>
        <v>-3</v>
      </c>
      <c r="E1599" s="79">
        <f>IFERROR(VLOOKUP($G1599,基本資料!$A:$J,7,0),"無")</f>
        <v>-19</v>
      </c>
      <c r="F1599" s="6">
        <f>IFERROR(VLOOKUP($G1599,基本資料!$A:$J,8,0),"無")</f>
        <v>5.43</v>
      </c>
      <c r="G1599" s="79">
        <v>2832</v>
      </c>
      <c r="H1599" s="17" t="s">
        <v>304</v>
      </c>
      <c r="I1599" s="22" t="s">
        <v>4649</v>
      </c>
      <c r="J1599" s="8">
        <f>IFERROR(VLOOKUP($G1599,今日總結!$A:$AN,39,0),"")</f>
        <v>0</v>
      </c>
      <c r="K1599" s="5">
        <f>IFERROR(VLOOKUP($G1599,今日總結!$A:$AN,40,0),"")</f>
        <v>0</v>
      </c>
      <c r="L1599" s="156">
        <f>IFERROR(VLOOKUP($G1599,今日總結!$A:$AN,37,0),"")</f>
        <v>0</v>
      </c>
      <c r="M1599" s="337">
        <f>IFERROR(VLOOKUP($G1599,今日總結!$A:$AN,38,0),"")</f>
        <v>0</v>
      </c>
      <c r="N1599" s="240">
        <f t="shared" si="279"/>
        <v>0</v>
      </c>
      <c r="O1599" s="359">
        <f>IFERROR(VLOOKUP($G1599,融外自投!$A:$J,7,0),"無")</f>
        <v>1262</v>
      </c>
      <c r="P1599" s="79">
        <f>IFERROR(VLOOKUP($G1599,融外自投!$A:$J,9,0),"無")</f>
        <v>696</v>
      </c>
      <c r="Q1599" s="342">
        <f>IFERROR(VLOOKUP($G1599,融外自投!$A:$J,8,0),"無")</f>
        <v>906</v>
      </c>
      <c r="R1599" s="81" t="str">
        <f>IFERROR(VLOOKUP($G1599,融外自投!$A:$J,10,0),"無")</f>
        <v>無</v>
      </c>
      <c r="S1599" s="324">
        <f>IFERROR(VLOOKUP($G1599,'321買'!$A:$E,4,0),"'沒有資料'")</f>
        <v>1002</v>
      </c>
      <c r="T1599" s="186">
        <f>IFERROR(VLOOKUP($G1599,基本資料!$A:$J,9,0),"無")</f>
        <v>0.75</v>
      </c>
      <c r="U1599" s="307">
        <f t="shared" si="275"/>
        <v>3.8461538461538464E-2</v>
      </c>
      <c r="V1599" s="94">
        <f>IFERROR(VLOOKUP($G1599,基本資料!$A:$J,10,0),"無")</f>
        <v>1.03</v>
      </c>
      <c r="W1599" s="36">
        <f>RTD("money.excel",,"2832","Price")</f>
        <v>19.5</v>
      </c>
      <c r="X1599" s="66"/>
      <c r="Y1599" s="15">
        <f t="shared" si="276"/>
        <v>19.5</v>
      </c>
      <c r="Z1599" s="3" t="e">
        <f t="shared" si="277"/>
        <v>#DIV/0!</v>
      </c>
      <c r="AA1599" s="340">
        <f>IFERROR(VLOOKUP($G1599,基本資料!$A:$M,11,0),"無")</f>
        <v>-10.55</v>
      </c>
      <c r="AB1599" s="389">
        <f>IFERROR(VLOOKUP($G1599,基本資料!$A:$M,12,0),"無")</f>
        <v>21.72</v>
      </c>
      <c r="AC1599" s="22" t="s">
        <v>4649</v>
      </c>
      <c r="AF1599" s="33">
        <f t="shared" si="278"/>
        <v>0</v>
      </c>
      <c r="AG1599" s="43" t="s">
        <v>1546</v>
      </c>
      <c r="AH1599" s="66">
        <f t="shared" si="267"/>
        <v>0.84626755358462669</v>
      </c>
      <c r="AI1599" s="283">
        <f>RTD("money.excel",,$G1599,"PredictVolume")</f>
        <v>229</v>
      </c>
      <c r="AJ1599" s="391">
        <f>IFERROR(VLOOKUP($G1599,基本資料!$A:$M,13,0),"無")</f>
        <v>270.60000000000002</v>
      </c>
      <c r="AR1599" s="245" t="str">
        <f>INDEX(基本資料!N:N,MATCH($G1599,基本資料!A:A,0))</f>
        <v>低</v>
      </c>
    </row>
    <row r="1600" spans="1:44">
      <c r="A1600" s="343">
        <f>IFERROR(VLOOKUP($G1600,基本資料!$A:$J,3,0),"無")</f>
        <v>774</v>
      </c>
      <c r="B1600" s="79">
        <f>IFERROR(VLOOKUP($G1600,基本資料!$A:$J,4,0),"無")</f>
        <v>8</v>
      </c>
      <c r="C1600" s="79">
        <f>IFERROR(VLOOKUP($G1600,基本資料!$A:$J,5,0),"無")</f>
        <v>0</v>
      </c>
      <c r="D1600" s="79">
        <f>IFERROR(VLOOKUP($G1600,基本資料!$A:$J,6,0),"無")</f>
        <v>1</v>
      </c>
      <c r="E1600" s="79">
        <f>IFERROR(VLOOKUP($G1600,基本資料!$A:$J,7,0),"無")</f>
        <v>11</v>
      </c>
      <c r="F1600" s="6">
        <f>IFERROR(VLOOKUP($G1600,基本資料!$A:$J,8,0),"無")</f>
        <v>0</v>
      </c>
      <c r="G1600" s="79">
        <v>2834</v>
      </c>
      <c r="H1600" s="17" t="s">
        <v>304</v>
      </c>
      <c r="I1600" s="22" t="s">
        <v>263</v>
      </c>
      <c r="J1600" s="8">
        <f>IFERROR(VLOOKUP($G1600,今日總結!$A:$AN,39,0),"")</f>
        <v>0</v>
      </c>
      <c r="K1600" s="5" t="str">
        <f>IFERROR(VLOOKUP($G1600,今日總結!$A:$AN,40,0),"")</f>
        <v>融</v>
      </c>
      <c r="L1600" s="156">
        <f>IFERROR(VLOOKUP($G1600,今日總結!$A:$AN,37,0),"")</f>
        <v>0</v>
      </c>
      <c r="M1600" s="337">
        <f>IFERROR(VLOOKUP($G1600,今日總結!$A:$AN,38,0),"")</f>
        <v>4</v>
      </c>
      <c r="N1600" s="240">
        <f t="shared" si="279"/>
        <v>-4</v>
      </c>
      <c r="O1600" s="359">
        <f>IFERROR(VLOOKUP($G1600,融外自投!$A:$J,7,0),"無")</f>
        <v>1101</v>
      </c>
      <c r="P1600" s="79">
        <f>IFERROR(VLOOKUP($G1600,融外自投!$A:$J,9,0),"無")</f>
        <v>649</v>
      </c>
      <c r="Q1600" s="342">
        <f>IFERROR(VLOOKUP($G1600,融外自投!$A:$J,8,0),"無")</f>
        <v>523</v>
      </c>
      <c r="R1600" s="81">
        <f>IFERROR(VLOOKUP($G1600,融外自投!$A:$J,10,0),"無")</f>
        <v>262</v>
      </c>
      <c r="S1600" s="324">
        <f>IFERROR(VLOOKUP($G1600,'321買'!$A:$E,4,0),"'沒有資料'")</f>
        <v>343</v>
      </c>
      <c r="T1600" s="186">
        <f>IFERROR(VLOOKUP($G1600,基本資料!$A:$J,9,0),"無")</f>
        <v>0.47</v>
      </c>
      <c r="U1600" s="307">
        <f t="shared" si="275"/>
        <v>3.9662447257383965E-2</v>
      </c>
      <c r="V1600" s="94">
        <f>IFERROR(VLOOKUP($G1600,基本資料!$A:$J,10,0),"無")</f>
        <v>0.66</v>
      </c>
      <c r="W1600" s="36">
        <f>RTD("money.excel",,"2834","Price")</f>
        <v>11.85</v>
      </c>
      <c r="X1600" s="66"/>
      <c r="Y1600" s="15">
        <f t="shared" si="276"/>
        <v>11.85</v>
      </c>
      <c r="Z1600" s="3" t="e">
        <f t="shared" si="277"/>
        <v>#DIV/0!</v>
      </c>
      <c r="AA1600" s="340">
        <f>IFERROR(VLOOKUP($G1600,基本資料!$A:$M,11,0),"無")</f>
        <v>-17.989999999999998</v>
      </c>
      <c r="AB1600" s="389">
        <f>IFERROR(VLOOKUP($G1600,基本資料!$A:$M,12,0),"無")</f>
        <v>34.42</v>
      </c>
      <c r="AC1600" s="22" t="s">
        <v>263</v>
      </c>
      <c r="AF1600" s="33">
        <f t="shared" si="278"/>
        <v>0</v>
      </c>
      <c r="AG1600" s="117" t="s">
        <v>1429</v>
      </c>
      <c r="AH1600" s="66">
        <f t="shared" si="267"/>
        <v>0.68260835209987747</v>
      </c>
      <c r="AI1600" s="314">
        <f>RTD("money.excel",,$G1600,"PredictVolume")</f>
        <v>41466</v>
      </c>
      <c r="AJ1600" s="391">
        <f>IFERROR(VLOOKUP($G1600,基本資料!$A:$M,13,0),"無")</f>
        <v>60746.400000000001</v>
      </c>
      <c r="AR1600" s="245" t="str">
        <f>INDEX(基本資料!N:N,MATCH($G1600,基本資料!A:A,0))</f>
        <v>中</v>
      </c>
    </row>
    <row r="1601" spans="1:44">
      <c r="A1601" s="343">
        <f>IFERROR(VLOOKUP($G1601,基本資料!$A:$J,3,0),"無")</f>
        <v>116</v>
      </c>
      <c r="B1601" s="79">
        <f>IFERROR(VLOOKUP($G1601,基本資料!$A:$J,4,0),"無")</f>
        <v>19</v>
      </c>
      <c r="C1601" s="79">
        <f>IFERROR(VLOOKUP($G1601,基本資料!$A:$J,5,0),"無")</f>
        <v>0</v>
      </c>
      <c r="D1601" s="79">
        <f>IFERROR(VLOOKUP($G1601,基本資料!$A:$J,6,0),"無")</f>
        <v>-8</v>
      </c>
      <c r="E1601" s="79">
        <f>IFERROR(VLOOKUP($G1601,基本資料!$A:$J,7,0),"無")</f>
        <v>-2</v>
      </c>
      <c r="F1601" s="6">
        <f>IFERROR(VLOOKUP($G1601,基本資料!$A:$J,8,0),"無")</f>
        <v>0</v>
      </c>
      <c r="G1601" s="79">
        <v>2836</v>
      </c>
      <c r="H1601" s="17" t="s">
        <v>304</v>
      </c>
      <c r="I1601" s="22" t="s">
        <v>4650</v>
      </c>
      <c r="J1601" s="8">
        <f>IFERROR(VLOOKUP($G1601,今日總結!$A:$AN,39,0),"")</f>
        <v>0</v>
      </c>
      <c r="K1601" s="5">
        <f>IFERROR(VLOOKUP($G1601,今日總結!$A:$AN,40,0),"")</f>
        <v>0</v>
      </c>
      <c r="L1601" s="156">
        <f>IFERROR(VLOOKUP($G1601,今日總結!$A:$AN,37,0),"")</f>
        <v>0</v>
      </c>
      <c r="M1601" s="337">
        <f>IFERROR(VLOOKUP($G1601,今日總結!$A:$AN,38,0),"")</f>
        <v>0</v>
      </c>
      <c r="N1601" s="240">
        <f t="shared" si="279"/>
        <v>0</v>
      </c>
      <c r="O1601" s="359">
        <f>IFERROR(VLOOKUP($G1601,融外自投!$A:$J,7,0),"無")</f>
        <v>1148</v>
      </c>
      <c r="P1601" s="79">
        <f>IFERROR(VLOOKUP($G1601,融外自投!$A:$J,9,0),"無")</f>
        <v>1123</v>
      </c>
      <c r="Q1601" s="342">
        <f>IFERROR(VLOOKUP($G1601,融外自投!$A:$J,8,0),"無")</f>
        <v>614</v>
      </c>
      <c r="R1601" s="81">
        <f>IFERROR(VLOOKUP($G1601,融外自投!$A:$J,10,0),"無")</f>
        <v>439</v>
      </c>
      <c r="S1601" s="324">
        <f>IFERROR(VLOOKUP($G1601,'321買'!$A:$E,4,0),"'沒有資料'")</f>
        <v>1002</v>
      </c>
      <c r="T1601" s="186">
        <f>IFERROR(VLOOKUP($G1601,基本資料!$A:$J,9,0),"無")</f>
        <v>0.7</v>
      </c>
      <c r="U1601" s="307">
        <f t="shared" si="275"/>
        <v>5.3030303030303032E-2</v>
      </c>
      <c r="V1601" s="94">
        <f>IFERROR(VLOOKUP($G1601,基本資料!$A:$J,10,0),"無")</f>
        <v>0.78</v>
      </c>
      <c r="W1601" s="36">
        <f>RTD("money.excel",,"2836","Price")</f>
        <v>13.2</v>
      </c>
      <c r="X1601" s="66"/>
      <c r="Y1601" s="15">
        <f t="shared" si="276"/>
        <v>13.2</v>
      </c>
      <c r="Z1601" s="3" t="e">
        <f t="shared" si="277"/>
        <v>#DIV/0!</v>
      </c>
      <c r="AA1601" s="340">
        <f>IFERROR(VLOOKUP($G1601,基本資料!$A:$M,11,0),"無")</f>
        <v>-19.27</v>
      </c>
      <c r="AB1601" s="389">
        <f>IFERROR(VLOOKUP($G1601,基本資料!$A:$M,12,0),"無")</f>
        <v>25.09</v>
      </c>
      <c r="AC1601" s="22" t="s">
        <v>4650</v>
      </c>
      <c r="AF1601" s="33">
        <f t="shared" si="278"/>
        <v>0</v>
      </c>
      <c r="AG1601" s="117" t="s">
        <v>2178</v>
      </c>
      <c r="AH1601" s="66">
        <f t="shared" si="267"/>
        <v>1.044556536359815</v>
      </c>
      <c r="AI1601" s="283">
        <f>RTD("money.excel",,$G1601,"PredictVolume")</f>
        <v>1491</v>
      </c>
      <c r="AJ1601" s="391">
        <f>IFERROR(VLOOKUP($G1601,基本資料!$A:$M,13,0),"無")</f>
        <v>1427.4</v>
      </c>
      <c r="AR1601" s="245" t="str">
        <f>INDEX(基本資料!N:N,MATCH($G1601,基本資料!A:A,0))</f>
        <v>中</v>
      </c>
    </row>
    <row r="1602" spans="1:44">
      <c r="A1602" s="343">
        <f>IFERROR(VLOOKUP($G1602,基本資料!$A:$J,3,0),"無")</f>
        <v>329</v>
      </c>
      <c r="B1602" s="79">
        <f>IFERROR(VLOOKUP($G1602,基本資料!$A:$J,4,0),"無")</f>
        <v>29</v>
      </c>
      <c r="C1602" s="79">
        <f>IFERROR(VLOOKUP($G1602,基本資料!$A:$J,5,0),"無")</f>
        <v>0</v>
      </c>
      <c r="D1602" s="79">
        <f>IFERROR(VLOOKUP($G1602,基本資料!$A:$J,6,0),"無")</f>
        <v>12</v>
      </c>
      <c r="E1602" s="79">
        <f>IFERROR(VLOOKUP($G1602,基本資料!$A:$J,7,0),"無")</f>
        <v>-35</v>
      </c>
      <c r="F1602" s="6">
        <f>IFERROR(VLOOKUP($G1602,基本資料!$A:$J,8,0),"無")</f>
        <v>0</v>
      </c>
      <c r="G1602" s="79">
        <v>2838</v>
      </c>
      <c r="H1602" s="17" t="s">
        <v>304</v>
      </c>
      <c r="I1602" s="22" t="s">
        <v>4651</v>
      </c>
      <c r="J1602" s="8">
        <f>IFERROR(VLOOKUP($G1602,今日總結!$A:$AN,39,0),"")</f>
        <v>0</v>
      </c>
      <c r="K1602" s="5">
        <f>IFERROR(VLOOKUP($G1602,今日總結!$A:$AN,40,0),"")</f>
        <v>0</v>
      </c>
      <c r="L1602" s="156">
        <f>IFERROR(VLOOKUP($G1602,今日總結!$A:$AN,37,0),"")</f>
        <v>0</v>
      </c>
      <c r="M1602" s="337">
        <f>IFERROR(VLOOKUP($G1602,今日總結!$A:$AN,38,0),"")</f>
        <v>0</v>
      </c>
      <c r="N1602" s="240">
        <f t="shared" si="279"/>
        <v>0</v>
      </c>
      <c r="O1602" s="359">
        <f>IFERROR(VLOOKUP($G1602,融外自投!$A:$J,7,0),"無")</f>
        <v>1379</v>
      </c>
      <c r="P1602" s="79">
        <f>IFERROR(VLOOKUP($G1602,融外自投!$A:$J,9,0),"無")</f>
        <v>825</v>
      </c>
      <c r="Q1602" s="342">
        <f>IFERROR(VLOOKUP($G1602,融外自投!$A:$J,8,0),"無")</f>
        <v>889</v>
      </c>
      <c r="R1602" s="81">
        <f>IFERROR(VLOOKUP($G1602,融外自投!$A:$J,10,0),"無")</f>
        <v>336</v>
      </c>
      <c r="S1602" s="324">
        <f>IFERROR(VLOOKUP($G1602,'321買'!$A:$E,4,0),"'沒有資料'")</f>
        <v>440</v>
      </c>
      <c r="T1602" s="186">
        <f>IFERROR(VLOOKUP($G1602,基本資料!$A:$J,9,0),"無")</f>
        <v>1.03</v>
      </c>
      <c r="U1602" s="307">
        <f t="shared" si="275"/>
        <v>7.2280701754385973E-2</v>
      </c>
      <c r="V1602" s="94">
        <f>IFERROR(VLOOKUP($G1602,基本資料!$A:$J,10,0),"無")</f>
        <v>1.21</v>
      </c>
      <c r="W1602" s="36">
        <f>RTD("money.excel",,"2838","Price")</f>
        <v>14.25</v>
      </c>
      <c r="X1602" s="66"/>
      <c r="Y1602" s="15">
        <f t="shared" si="276"/>
        <v>14.25</v>
      </c>
      <c r="Z1602" s="3" t="e">
        <f t="shared" si="277"/>
        <v>#DIV/0!</v>
      </c>
      <c r="AA1602" s="340">
        <f>IFERROR(VLOOKUP($G1602,基本資料!$A:$M,11,0),"無")</f>
        <v>-20.61</v>
      </c>
      <c r="AB1602" s="389">
        <f>IFERROR(VLOOKUP($G1602,基本資料!$A:$M,12,0),"無")</f>
        <v>33.409999999999997</v>
      </c>
      <c r="AC1602" s="22" t="s">
        <v>4651</v>
      </c>
      <c r="AF1602" s="33">
        <f t="shared" si="278"/>
        <v>0</v>
      </c>
      <c r="AG1602" s="117" t="s">
        <v>1430</v>
      </c>
      <c r="AH1602" s="66">
        <f t="shared" si="267"/>
        <v>0.60122262448810015</v>
      </c>
      <c r="AI1602" s="283">
        <f>RTD("money.excel",,$G1602,"PredictVolume")</f>
        <v>2026</v>
      </c>
      <c r="AJ1602" s="391">
        <f>IFERROR(VLOOKUP($G1602,基本資料!$A:$M,13,0),"無")</f>
        <v>3369.8</v>
      </c>
      <c r="AR1602" s="245" t="str">
        <f>INDEX(基本資料!N:N,MATCH($G1602,基本資料!A:A,0))</f>
        <v>中</v>
      </c>
    </row>
    <row r="1603" spans="1:44">
      <c r="A1603" s="343">
        <f>IFERROR(VLOOKUP($G1603,基本資料!$A:$J,3,0),"無")</f>
        <v>351</v>
      </c>
      <c r="B1603" s="79">
        <f>IFERROR(VLOOKUP($G1603,基本資料!$A:$J,4,0),"無")</f>
        <v>16</v>
      </c>
      <c r="C1603" s="79">
        <f>IFERROR(VLOOKUP($G1603,基本資料!$A:$J,5,0),"無")</f>
        <v>0</v>
      </c>
      <c r="D1603" s="79">
        <f>IFERROR(VLOOKUP($G1603,基本資料!$A:$J,6,0),"無")</f>
        <v>18</v>
      </c>
      <c r="E1603" s="79">
        <f>IFERROR(VLOOKUP($G1603,基本資料!$A:$J,7,0),"無")</f>
        <v>12</v>
      </c>
      <c r="F1603" s="6">
        <f>IFERROR(VLOOKUP($G1603,基本資料!$A:$J,8,0),"無")</f>
        <v>0</v>
      </c>
      <c r="G1603" s="79">
        <v>2845</v>
      </c>
      <c r="H1603" s="17" t="s">
        <v>304</v>
      </c>
      <c r="I1603" s="22" t="s">
        <v>134</v>
      </c>
      <c r="J1603" s="8">
        <f>IFERROR(VLOOKUP($G1603,今日總結!$A:$AN,39,0),"")</f>
        <v>0</v>
      </c>
      <c r="K1603" s="5">
        <f>IFERROR(VLOOKUP($G1603,今日總結!$A:$AN,40,0),"")</f>
        <v>0</v>
      </c>
      <c r="L1603" s="156">
        <f>IFERROR(VLOOKUP($G1603,今日總結!$A:$AN,37,0),"")</f>
        <v>0</v>
      </c>
      <c r="M1603" s="337">
        <f>IFERROR(VLOOKUP($G1603,今日總結!$A:$AN,38,0),"")</f>
        <v>0</v>
      </c>
      <c r="N1603" s="240">
        <f t="shared" si="279"/>
        <v>0</v>
      </c>
      <c r="O1603" s="359">
        <f>IFERROR(VLOOKUP($G1603,融外自投!$A:$J,7,0),"無")</f>
        <v>1356</v>
      </c>
      <c r="P1603" s="79">
        <f>IFERROR(VLOOKUP($G1603,融外自投!$A:$J,9,0),"無")</f>
        <v>550</v>
      </c>
      <c r="Q1603" s="342">
        <f>IFERROR(VLOOKUP($G1603,融外自投!$A:$J,8,0),"無")</f>
        <v>433</v>
      </c>
      <c r="R1603" s="81">
        <f>IFERROR(VLOOKUP($G1603,融外自投!$A:$J,10,0),"無")</f>
        <v>439</v>
      </c>
      <c r="S1603" s="324">
        <f>IFERROR(VLOOKUP($G1603,'321買'!$A:$E,4,0),"'沒有資料'")</f>
        <v>411</v>
      </c>
      <c r="T1603" s="186">
        <f>IFERROR(VLOOKUP($G1603,基本資料!$A:$J,9,0),"無")</f>
        <v>0.59</v>
      </c>
      <c r="U1603" s="307">
        <f t="shared" si="275"/>
        <v>5.1528384279475981E-2</v>
      </c>
      <c r="V1603" s="94">
        <f>IFERROR(VLOOKUP($G1603,基本資料!$A:$J,10,0),"無")</f>
        <v>0.84</v>
      </c>
      <c r="W1603" s="36">
        <f>RTD("money.excel",,"2845","Price")</f>
        <v>11.45</v>
      </c>
      <c r="X1603" s="66"/>
      <c r="Y1603" s="15">
        <f t="shared" si="276"/>
        <v>11.45</v>
      </c>
      <c r="Z1603" s="3" t="e">
        <f t="shared" si="277"/>
        <v>#DIV/0!</v>
      </c>
      <c r="AA1603" s="340">
        <f>IFERROR(VLOOKUP($G1603,基本資料!$A:$M,11,0),"無")</f>
        <v>-12.93</v>
      </c>
      <c r="AB1603" s="389">
        <f>IFERROR(VLOOKUP($G1603,基本資料!$A:$M,12,0),"無")</f>
        <v>35.31</v>
      </c>
      <c r="AC1603" s="22" t="s">
        <v>134</v>
      </c>
      <c r="AF1603" s="33">
        <f t="shared" si="278"/>
        <v>0</v>
      </c>
      <c r="AG1603" s="117" t="s">
        <v>1431</v>
      </c>
      <c r="AH1603" s="66">
        <f t="shared" si="267"/>
        <v>1.2800846781306967</v>
      </c>
      <c r="AI1603" s="283">
        <f>RTD("money.excel",,$G1603,"PredictVolume")</f>
        <v>7619</v>
      </c>
      <c r="AJ1603" s="391">
        <f>IFERROR(VLOOKUP($G1603,基本資料!$A:$M,13,0),"無")</f>
        <v>5951.95</v>
      </c>
      <c r="AR1603" s="245" t="str">
        <f>INDEX(基本資料!N:N,MATCH($G1603,基本資料!A:A,0))</f>
        <v>中</v>
      </c>
    </row>
    <row r="1604" spans="1:44">
      <c r="A1604" s="343">
        <f>IFERROR(VLOOKUP($G1604,基本資料!$A:$J,3,0),"無")</f>
        <v>195</v>
      </c>
      <c r="B1604" s="79">
        <f>IFERROR(VLOOKUP($G1604,基本資料!$A:$J,4,0),"無")</f>
        <v>7</v>
      </c>
      <c r="C1604" s="79">
        <f>IFERROR(VLOOKUP($G1604,基本資料!$A:$J,5,0),"無")</f>
        <v>0</v>
      </c>
      <c r="D1604" s="79">
        <f>IFERROR(VLOOKUP($G1604,基本資料!$A:$J,6,0),"無")</f>
        <v>-7</v>
      </c>
      <c r="E1604" s="79">
        <f>IFERROR(VLOOKUP($G1604,基本資料!$A:$J,7,0),"無")</f>
        <v>1</v>
      </c>
      <c r="F1604" s="6">
        <f>IFERROR(VLOOKUP($G1604,基本資料!$A:$J,8,0),"無")</f>
        <v>0</v>
      </c>
      <c r="G1604" s="79">
        <v>2849</v>
      </c>
      <c r="H1604" s="17" t="s">
        <v>304</v>
      </c>
      <c r="I1604" s="22" t="s">
        <v>4652</v>
      </c>
      <c r="J1604" s="8">
        <f>IFERROR(VLOOKUP($G1604,今日總結!$A:$AN,39,0),"")</f>
        <v>0</v>
      </c>
      <c r="K1604" s="5">
        <f>IFERROR(VLOOKUP($G1604,今日總結!$A:$AN,40,0),"")</f>
        <v>0</v>
      </c>
      <c r="L1604" s="156">
        <f>IFERROR(VLOOKUP($G1604,今日總結!$A:$AN,37,0),"")</f>
        <v>0</v>
      </c>
      <c r="M1604" s="337">
        <f>IFERROR(VLOOKUP($G1604,今日總結!$A:$AN,38,0),"")</f>
        <v>0</v>
      </c>
      <c r="N1604" s="240">
        <f t="shared" si="279"/>
        <v>0</v>
      </c>
      <c r="O1604" s="359">
        <f>IFERROR(VLOOKUP($G1604,融外自投!$A:$J,7,0),"無")</f>
        <v>1421</v>
      </c>
      <c r="P1604" s="79">
        <f>IFERROR(VLOOKUP($G1604,融外自投!$A:$J,9,0),"無")</f>
        <v>537</v>
      </c>
      <c r="Q1604" s="342">
        <f>IFERROR(VLOOKUP($G1604,融外自投!$A:$J,8,0),"無")</f>
        <v>49</v>
      </c>
      <c r="R1604" s="81" t="str">
        <f>IFERROR(VLOOKUP($G1604,融外自投!$A:$J,10,0),"無")</f>
        <v>無</v>
      </c>
      <c r="S1604" s="324">
        <f>IFERROR(VLOOKUP($G1604,'321買'!$A:$E,4,0),"'沒有資料'")</f>
        <v>891</v>
      </c>
      <c r="T1604" s="186">
        <f>IFERROR(VLOOKUP($G1604,基本資料!$A:$J,9,0),"無")</f>
        <v>0.73</v>
      </c>
      <c r="U1604" s="307">
        <f t="shared" si="275"/>
        <v>4.7868852459016391E-2</v>
      </c>
      <c r="V1604" s="94">
        <f>IFERROR(VLOOKUP($G1604,基本資料!$A:$J,10,0),"無")</f>
        <v>1.19</v>
      </c>
      <c r="W1604" s="36">
        <f>RTD("money.excel",,"2849","Price")</f>
        <v>15.25</v>
      </c>
      <c r="X1604" s="66"/>
      <c r="Y1604" s="15">
        <f t="shared" si="276"/>
        <v>15.25</v>
      </c>
      <c r="Z1604" s="3" t="e">
        <f t="shared" si="277"/>
        <v>#DIV/0!</v>
      </c>
      <c r="AA1604" s="340">
        <f>IFERROR(VLOOKUP($G1604,基本資料!$A:$M,11,0),"無")</f>
        <v>-12.1</v>
      </c>
      <c r="AB1604" s="389">
        <f>IFERROR(VLOOKUP($G1604,基本資料!$A:$M,12,0),"無")</f>
        <v>29.3</v>
      </c>
      <c r="AC1604" s="22" t="s">
        <v>4652</v>
      </c>
      <c r="AF1604" s="33">
        <f t="shared" si="278"/>
        <v>0</v>
      </c>
      <c r="AG1604" s="43" t="s">
        <v>1547</v>
      </c>
      <c r="AH1604" s="66">
        <f t="shared" si="267"/>
        <v>1.9432821943282195</v>
      </c>
      <c r="AI1604" s="283">
        <f>RTD("money.excel",,$G1604,"PredictVolume")</f>
        <v>209</v>
      </c>
      <c r="AJ1604" s="391">
        <f>IFERROR(VLOOKUP($G1604,基本資料!$A:$M,13,0),"無")</f>
        <v>107.55</v>
      </c>
      <c r="AR1604" s="245" t="str">
        <f>INDEX(基本資料!N:N,MATCH($G1604,基本資料!A:A,0))</f>
        <v>低</v>
      </c>
    </row>
    <row r="1605" spans="1:44">
      <c r="A1605" s="343">
        <f>IFERROR(VLOOKUP($G1605,基本資料!$A:$J,3,0),"無")</f>
        <v>31.59</v>
      </c>
      <c r="B1605" s="79">
        <f>IFERROR(VLOOKUP($G1605,基本資料!$A:$J,4,0),"無")</f>
        <v>38</v>
      </c>
      <c r="C1605" s="79">
        <f>IFERROR(VLOOKUP($G1605,基本資料!$A:$J,5,0),"無")</f>
        <v>39</v>
      </c>
      <c r="D1605" s="79">
        <f>IFERROR(VLOOKUP($G1605,基本資料!$A:$J,6,0),"無")</f>
        <v>-7</v>
      </c>
      <c r="E1605" s="79">
        <f>IFERROR(VLOOKUP($G1605,基本資料!$A:$J,7,0),"無")</f>
        <v>-5</v>
      </c>
      <c r="F1605" s="6">
        <f>IFERROR(VLOOKUP($G1605,基本資料!$A:$J,8,0),"無")</f>
        <v>14.43</v>
      </c>
      <c r="G1605" s="79">
        <v>2850</v>
      </c>
      <c r="H1605" s="17" t="s">
        <v>304</v>
      </c>
      <c r="I1605" s="22" t="s">
        <v>333</v>
      </c>
      <c r="J1605" s="8">
        <f>IFERROR(VLOOKUP($G1605,今日總結!$A:$AN,39,0),"")</f>
        <v>0</v>
      </c>
      <c r="K1605" s="5" t="str">
        <f>IFERROR(VLOOKUP($G1605,今日總結!$A:$AN,40,0),"")</f>
        <v>主融</v>
      </c>
      <c r="L1605" s="156">
        <f>IFERROR(VLOOKUP($G1605,今日總結!$A:$AN,37,0),"")</f>
        <v>0</v>
      </c>
      <c r="M1605" s="337">
        <f>IFERROR(VLOOKUP($G1605,今日總結!$A:$AN,38,0),"")</f>
        <v>6</v>
      </c>
      <c r="N1605" s="240">
        <f t="shared" si="279"/>
        <v>-6</v>
      </c>
      <c r="O1605" s="359">
        <f>IFERROR(VLOOKUP($G1605,融外自投!$A:$J,7,0),"無")</f>
        <v>1260</v>
      </c>
      <c r="P1605" s="79">
        <f>IFERROR(VLOOKUP($G1605,融外自投!$A:$J,9,0),"無")</f>
        <v>212</v>
      </c>
      <c r="Q1605" s="342">
        <f>IFERROR(VLOOKUP($G1605,融外自投!$A:$J,8,0),"無")</f>
        <v>619</v>
      </c>
      <c r="R1605" s="81">
        <f>IFERROR(VLOOKUP($G1605,融外自投!$A:$J,10,0),"無")</f>
        <v>495</v>
      </c>
      <c r="S1605" s="324">
        <f>IFERROR(VLOOKUP($G1605,'321買'!$A:$E,4,0),"'沒有資料'")</f>
        <v>891</v>
      </c>
      <c r="T1605" s="186">
        <f>IFERROR(VLOOKUP($G1605,基本資料!$A:$J,9,0),"無")</f>
        <v>3.2</v>
      </c>
      <c r="U1605" s="307">
        <f t="shared" si="275"/>
        <v>6.0606060606060615E-2</v>
      </c>
      <c r="V1605" s="94">
        <f>IFERROR(VLOOKUP($G1605,基本資料!$A:$J,10,0),"無")</f>
        <v>7.13</v>
      </c>
      <c r="W1605" s="36">
        <f>RTD("money.excel",,"2850","Price")</f>
        <v>52.8</v>
      </c>
      <c r="X1605" s="66"/>
      <c r="Y1605" s="15">
        <f t="shared" si="276"/>
        <v>52.8</v>
      </c>
      <c r="Z1605" s="3" t="e">
        <f t="shared" si="277"/>
        <v>#DIV/0!</v>
      </c>
      <c r="AA1605" s="340">
        <f>IFERROR(VLOOKUP($G1605,基本資料!$A:$M,11,0),"無")</f>
        <v>-8.33</v>
      </c>
      <c r="AB1605" s="389">
        <f>IFERROR(VLOOKUP($G1605,基本資料!$A:$M,12,0),"無")</f>
        <v>51.76</v>
      </c>
      <c r="AC1605" s="22" t="s">
        <v>333</v>
      </c>
      <c r="AF1605" s="33">
        <f t="shared" si="278"/>
        <v>0</v>
      </c>
      <c r="AG1605" s="43" t="s">
        <v>1548</v>
      </c>
      <c r="AH1605" s="66">
        <f t="shared" si="267"/>
        <v>2.2930871708801006</v>
      </c>
      <c r="AI1605" s="283">
        <f>RTD("money.excel",,$G1605,"PredictVolume")</f>
        <v>1093</v>
      </c>
      <c r="AJ1605" s="391">
        <f>IFERROR(VLOOKUP($G1605,基本資料!$A:$M,13,0),"無")</f>
        <v>476.65</v>
      </c>
      <c r="AR1605" s="245" t="str">
        <f>INDEX(基本資料!N:N,MATCH($G1605,基本資料!A:A,0))</f>
        <v>高</v>
      </c>
    </row>
    <row r="1606" spans="1:44">
      <c r="A1606" s="343">
        <f>IFERROR(VLOOKUP($G1606,基本資料!$A:$J,3,0),"無")</f>
        <v>59.03</v>
      </c>
      <c r="B1606" s="79">
        <f>IFERROR(VLOOKUP($G1606,基本資料!$A:$J,4,0),"無")</f>
        <v>36</v>
      </c>
      <c r="C1606" s="79">
        <f>IFERROR(VLOOKUP($G1606,基本資料!$A:$J,5,0),"無")</f>
        <v>38</v>
      </c>
      <c r="D1606" s="79">
        <f>IFERROR(VLOOKUP($G1606,基本資料!$A:$J,6,0),"無")</f>
        <v>34</v>
      </c>
      <c r="E1606" s="79">
        <f>IFERROR(VLOOKUP($G1606,基本資料!$A:$J,7,0),"無")</f>
        <v>36</v>
      </c>
      <c r="F1606" s="6">
        <f>IFERROR(VLOOKUP($G1606,基本資料!$A:$J,8,0),"無")</f>
        <v>12.09</v>
      </c>
      <c r="G1606" s="79">
        <v>2851</v>
      </c>
      <c r="H1606" s="17" t="s">
        <v>304</v>
      </c>
      <c r="I1606" s="22" t="s">
        <v>334</v>
      </c>
      <c r="J1606" s="8" t="str">
        <f>IFERROR(VLOOKUP($G1606,今日總結!$A:$AN,39,0),"")</f>
        <v>借</v>
      </c>
      <c r="K1606" s="5" t="str">
        <f>IFERROR(VLOOKUP($G1606,今日總結!$A:$AN,40,0),"")</f>
        <v>外</v>
      </c>
      <c r="L1606" s="156">
        <f>IFERROR(VLOOKUP($G1606,今日總結!$A:$AN,37,0),"")</f>
        <v>8</v>
      </c>
      <c r="M1606" s="337">
        <f>IFERROR(VLOOKUP($G1606,今日總結!$A:$AN,38,0),"")</f>
        <v>14</v>
      </c>
      <c r="N1606" s="240">
        <f t="shared" si="279"/>
        <v>-6</v>
      </c>
      <c r="O1606" s="359">
        <f>IFERROR(VLOOKUP($G1606,融外自投!$A:$J,7,0),"無")</f>
        <v>1244</v>
      </c>
      <c r="P1606" s="79">
        <f>IFERROR(VLOOKUP($G1606,融外自投!$A:$J,9,0),"無")</f>
        <v>508</v>
      </c>
      <c r="Q1606" s="342">
        <f>IFERROR(VLOOKUP($G1606,融外自投!$A:$J,8,0),"無")</f>
        <v>1070</v>
      </c>
      <c r="R1606" s="81">
        <f>IFERROR(VLOOKUP($G1606,融外自投!$A:$J,10,0),"無")</f>
        <v>427</v>
      </c>
      <c r="S1606" s="324">
        <f>IFERROR(VLOOKUP($G1606,'321買'!$A:$E,4,0),"'沒有資料'")</f>
        <v>743</v>
      </c>
      <c r="T1606" s="186">
        <f>IFERROR(VLOOKUP($G1606,基本資料!$A:$J,9,0),"無")</f>
        <v>1.8</v>
      </c>
      <c r="U1606" s="307">
        <f t="shared" si="275"/>
        <v>6.2391681109185443E-2</v>
      </c>
      <c r="V1606" s="94">
        <f>IFERROR(VLOOKUP($G1606,基本資料!$A:$J,10,0),"無")</f>
        <v>3.5</v>
      </c>
      <c r="W1606" s="36">
        <f>RTD("money.excel",,"2851","Price")</f>
        <v>28.85</v>
      </c>
      <c r="X1606" s="66"/>
      <c r="Y1606" s="15">
        <f t="shared" si="276"/>
        <v>28.85</v>
      </c>
      <c r="Z1606" s="3" t="e">
        <f t="shared" si="277"/>
        <v>#DIV/0!</v>
      </c>
      <c r="AA1606" s="340">
        <f>IFERROR(VLOOKUP($G1606,基本資料!$A:$M,11,0),"無")</f>
        <v>-30.82</v>
      </c>
      <c r="AB1606" s="389">
        <f>IFERROR(VLOOKUP($G1606,基本資料!$A:$M,12,0),"無")</f>
        <v>35.880000000000003</v>
      </c>
      <c r="AC1606" s="22" t="s">
        <v>334</v>
      </c>
      <c r="AF1606" s="33">
        <f t="shared" si="278"/>
        <v>0</v>
      </c>
      <c r="AG1606" s="43" t="s">
        <v>3400</v>
      </c>
      <c r="AH1606" s="66">
        <f t="shared" ref="AH1606:AH1669" si="280">AI1606/AJ1606</f>
        <v>0.74857926709778555</v>
      </c>
      <c r="AI1606" s="283">
        <f>RTD("money.excel",,$G1606,"PredictVolume")</f>
        <v>573</v>
      </c>
      <c r="AJ1606" s="391">
        <f>IFERROR(VLOOKUP($G1606,基本資料!$A:$M,13,0),"無")</f>
        <v>765.45</v>
      </c>
      <c r="AR1606" s="245" t="str">
        <f>INDEX(基本資料!N:N,MATCH($G1606,基本資料!A:A,0))</f>
        <v>中</v>
      </c>
    </row>
    <row r="1607" spans="1:44">
      <c r="A1607" s="343">
        <f>IFERROR(VLOOKUP($G1607,基本資料!$A:$J,3,0),"無")</f>
        <v>30.11</v>
      </c>
      <c r="B1607" s="79">
        <f>IFERROR(VLOOKUP($G1607,基本資料!$A:$J,4,0),"無")</f>
        <v>261</v>
      </c>
      <c r="C1607" s="79">
        <f>IFERROR(VLOOKUP($G1607,基本資料!$A:$J,5,0),"無")</f>
        <v>210</v>
      </c>
      <c r="D1607" s="79">
        <f>IFERROR(VLOOKUP($G1607,基本資料!$A:$J,6,0),"無")</f>
        <v>5</v>
      </c>
      <c r="E1607" s="79">
        <f>IFERROR(VLOOKUP($G1607,基本資料!$A:$J,7,0),"無")</f>
        <v>5</v>
      </c>
      <c r="F1607" s="6">
        <f>IFERROR(VLOOKUP($G1607,基本資料!$A:$J,8,0),"無")</f>
        <v>9.8800000000000008</v>
      </c>
      <c r="G1607" s="79">
        <v>2852</v>
      </c>
      <c r="H1607" s="17" t="s">
        <v>304</v>
      </c>
      <c r="I1607" s="22" t="s">
        <v>4653</v>
      </c>
      <c r="J1607" s="8">
        <f>IFERROR(VLOOKUP($G1607,今日總結!$A:$AN,39,0),"")</f>
        <v>0</v>
      </c>
      <c r="K1607" s="5" t="str">
        <f>IFERROR(VLOOKUP($G1607,今日總結!$A:$AN,40,0),"")</f>
        <v>融</v>
      </c>
      <c r="L1607" s="156">
        <f>IFERROR(VLOOKUP($G1607,今日總結!$A:$AN,37,0),"")</f>
        <v>0</v>
      </c>
      <c r="M1607" s="337">
        <f>IFERROR(VLOOKUP($G1607,今日總結!$A:$AN,38,0),"")</f>
        <v>3</v>
      </c>
      <c r="N1607" s="240">
        <f t="shared" si="279"/>
        <v>-3</v>
      </c>
      <c r="O1607" s="359">
        <f>IFERROR(VLOOKUP($G1607,融外自投!$A:$J,7,0),"無")</f>
        <v>1402</v>
      </c>
      <c r="P1607" s="79" t="str">
        <f>IFERROR(VLOOKUP($G1607,融外自投!$A:$J,9,0),"無")</f>
        <v>無</v>
      </c>
      <c r="Q1607" s="342">
        <f>IFERROR(VLOOKUP($G1607,融外自投!$A:$J,8,0),"無")</f>
        <v>846</v>
      </c>
      <c r="R1607" s="81" t="str">
        <f>IFERROR(VLOOKUP($G1607,融外自投!$A:$J,10,0),"無")</f>
        <v>無</v>
      </c>
      <c r="S1607" s="324">
        <f>IFERROR(VLOOKUP($G1607,'321買'!$A:$E,4,0),"'沒有資料'")</f>
        <v>1002</v>
      </c>
      <c r="T1607" s="186">
        <f>IFERROR(VLOOKUP($G1607,基本資料!$A:$J,9,0),"無")</f>
        <v>1.21</v>
      </c>
      <c r="U1607" s="307">
        <f t="shared" si="275"/>
        <v>7.8064516129032258E-2</v>
      </c>
      <c r="V1607" s="94">
        <f>IFERROR(VLOOKUP($G1607,基本資料!$A:$J,10,0),"無")</f>
        <v>1.84</v>
      </c>
      <c r="W1607" s="36">
        <f>RTD("money.excel",,"2852","Price")</f>
        <v>15.5</v>
      </c>
      <c r="X1607" s="66"/>
      <c r="Y1607" s="15">
        <f t="shared" si="276"/>
        <v>15.5</v>
      </c>
      <c r="Z1607" s="3" t="e">
        <f t="shared" si="277"/>
        <v>#DIV/0!</v>
      </c>
      <c r="AA1607" s="340">
        <f>IFERROR(VLOOKUP($G1607,基本資料!$A:$M,11,0),"無")</f>
        <v>-9.36</v>
      </c>
      <c r="AB1607" s="389">
        <f>IFERROR(VLOOKUP($G1607,基本資料!$A:$M,12,0),"無")</f>
        <v>46.07</v>
      </c>
      <c r="AC1607" s="22" t="s">
        <v>4653</v>
      </c>
      <c r="AF1607" s="33">
        <f t="shared" si="278"/>
        <v>0</v>
      </c>
      <c r="AG1607" s="117" t="s">
        <v>1549</v>
      </c>
      <c r="AH1607" s="66">
        <f t="shared" si="280"/>
        <v>0.84331077563768875</v>
      </c>
      <c r="AI1607" s="283">
        <f>RTD("money.excel",,$G1607,"PredictVolume")</f>
        <v>324</v>
      </c>
      <c r="AJ1607" s="391">
        <f>IFERROR(VLOOKUP($G1607,基本資料!$A:$M,13,0),"無")</f>
        <v>384.2</v>
      </c>
      <c r="AR1607" s="245" t="str">
        <f>INDEX(基本資料!N:N,MATCH($G1607,基本資料!A:A,0))</f>
        <v>中</v>
      </c>
    </row>
    <row r="1608" spans="1:44">
      <c r="A1608" s="343">
        <f>IFERROR(VLOOKUP($G1608,基本資料!$A:$J,3,0),"無")</f>
        <v>145</v>
      </c>
      <c r="B1608" s="79">
        <f>IFERROR(VLOOKUP($G1608,基本資料!$A:$J,4,0),"無")</f>
        <v>10</v>
      </c>
      <c r="C1608" s="79">
        <f>IFERROR(VLOOKUP($G1608,基本資料!$A:$J,5,0),"無")</f>
        <v>18</v>
      </c>
      <c r="D1608" s="79">
        <f>IFERROR(VLOOKUP($G1608,基本資料!$A:$J,6,0),"無")</f>
        <v>18</v>
      </c>
      <c r="E1608" s="79">
        <f>IFERROR(VLOOKUP($G1608,基本資料!$A:$J,7,0),"無")</f>
        <v>-75</v>
      </c>
      <c r="F1608" s="6">
        <f>IFERROR(VLOOKUP($G1608,基本資料!$A:$J,8,0),"無")</f>
        <v>36.72</v>
      </c>
      <c r="G1608" s="79">
        <v>2855</v>
      </c>
      <c r="H1608" s="17" t="s">
        <v>304</v>
      </c>
      <c r="I1608" s="22" t="s">
        <v>335</v>
      </c>
      <c r="J1608" s="8">
        <f>IFERROR(VLOOKUP($G1608,今日總結!$A:$AN,39,0),"")</f>
        <v>0</v>
      </c>
      <c r="K1608" s="5" t="str">
        <f>IFERROR(VLOOKUP($G1608,今日總結!$A:$AN,40,0),"")</f>
        <v>主借</v>
      </c>
      <c r="L1608" s="156">
        <f>IFERROR(VLOOKUP($G1608,今日總結!$A:$AN,37,0),"")</f>
        <v>0</v>
      </c>
      <c r="M1608" s="337">
        <f>IFERROR(VLOOKUP($G1608,今日總結!$A:$AN,38,0),"")</f>
        <v>8</v>
      </c>
      <c r="N1608" s="240">
        <f t="shared" si="279"/>
        <v>-8</v>
      </c>
      <c r="O1608" s="359">
        <f>IFERROR(VLOOKUP($G1608,融外自投!$A:$J,7,0),"無")</f>
        <v>1283</v>
      </c>
      <c r="P1608" s="79">
        <f>IFERROR(VLOOKUP($G1608,融外自投!$A:$J,9,0),"無")</f>
        <v>1051</v>
      </c>
      <c r="Q1608" s="342">
        <f>IFERROR(VLOOKUP($G1608,融外自投!$A:$J,8,0),"無")</f>
        <v>571</v>
      </c>
      <c r="R1608" s="81">
        <f>IFERROR(VLOOKUP($G1608,融外自投!$A:$J,10,0),"無")</f>
        <v>413</v>
      </c>
      <c r="S1608" s="324">
        <f>IFERROR(VLOOKUP($G1608,'321買'!$A:$E,4,0),"'沒有資料'")</f>
        <v>1002</v>
      </c>
      <c r="T1608" s="186">
        <f>IFERROR(VLOOKUP($G1608,基本資料!$A:$J,9,0),"無")</f>
        <v>1.89</v>
      </c>
      <c r="U1608" s="307">
        <f t="shared" si="275"/>
        <v>0.10053191489361701</v>
      </c>
      <c r="V1608" s="94">
        <f>IFERROR(VLOOKUP($G1608,基本資料!$A:$J,10,0),"無")</f>
        <v>2.75</v>
      </c>
      <c r="W1608" s="36">
        <f>RTD("money.excel",,"2855","Price")</f>
        <v>18.8</v>
      </c>
      <c r="X1608" s="66"/>
      <c r="Y1608" s="15">
        <f t="shared" si="276"/>
        <v>18.8</v>
      </c>
      <c r="Z1608" s="3" t="e">
        <f t="shared" si="277"/>
        <v>#DIV/0!</v>
      </c>
      <c r="AA1608" s="340">
        <f>IFERROR(VLOOKUP($G1608,基本資料!$A:$M,11,0),"無")</f>
        <v>-33.69</v>
      </c>
      <c r="AB1608" s="389">
        <f>IFERROR(VLOOKUP($G1608,基本資料!$A:$M,12,0),"無")</f>
        <v>18.96</v>
      </c>
      <c r="AC1608" s="22" t="s">
        <v>335</v>
      </c>
      <c r="AF1608" s="33">
        <f t="shared" si="278"/>
        <v>0</v>
      </c>
      <c r="AG1608" s="43" t="s">
        <v>1432</v>
      </c>
      <c r="AH1608" s="66">
        <f t="shared" si="280"/>
        <v>1.4048711613130958</v>
      </c>
      <c r="AI1608" s="283">
        <f>RTD("money.excel",,$G1608,"PredictVolume")</f>
        <v>1791</v>
      </c>
      <c r="AJ1608" s="391">
        <f>IFERROR(VLOOKUP($G1608,基本資料!$A:$M,13,0),"無")</f>
        <v>1274.8499999999999</v>
      </c>
      <c r="AR1608" s="245" t="str">
        <f>INDEX(基本資料!N:N,MATCH($G1608,基本資料!A:A,0))</f>
        <v>低</v>
      </c>
    </row>
    <row r="1609" spans="1:44">
      <c r="A1609" s="343">
        <f>IFERROR(VLOOKUP($G1609,基本資料!$A:$J,3,0),"無")</f>
        <v>309</v>
      </c>
      <c r="B1609" s="79">
        <f>IFERROR(VLOOKUP($G1609,基本資料!$A:$J,4,0),"無")</f>
        <v>-24</v>
      </c>
      <c r="C1609" s="79">
        <f>IFERROR(VLOOKUP($G1609,基本資料!$A:$J,5,0),"無")</f>
        <v>-175</v>
      </c>
      <c r="D1609" s="79">
        <f>IFERROR(VLOOKUP($G1609,基本資料!$A:$J,6,0),"無")</f>
        <v>-35</v>
      </c>
      <c r="E1609" s="79">
        <f>IFERROR(VLOOKUP($G1609,基本資料!$A:$J,7,0),"無")</f>
        <v>-35</v>
      </c>
      <c r="F1609" s="6">
        <f>IFERROR(VLOOKUP($G1609,基本資料!$A:$J,8,0),"無")</f>
        <v>-0.83</v>
      </c>
      <c r="G1609" s="79">
        <v>2867</v>
      </c>
      <c r="H1609" s="17" t="s">
        <v>304</v>
      </c>
      <c r="I1609" s="22" t="s">
        <v>116</v>
      </c>
      <c r="J1609" s="8">
        <f>IFERROR(VLOOKUP($G1609,今日總結!$A:$AN,39,0),"")</f>
        <v>0</v>
      </c>
      <c r="K1609" s="5">
        <f>IFERROR(VLOOKUP($G1609,今日總結!$A:$AN,40,0),"")</f>
        <v>0</v>
      </c>
      <c r="L1609" s="156">
        <f>IFERROR(VLOOKUP($G1609,今日總結!$A:$AN,37,0),"")</f>
        <v>0</v>
      </c>
      <c r="M1609" s="337">
        <f>IFERROR(VLOOKUP($G1609,今日總結!$A:$AN,38,0),"")</f>
        <v>0</v>
      </c>
      <c r="N1609" s="240">
        <f t="shared" si="279"/>
        <v>0</v>
      </c>
      <c r="O1609" s="359">
        <f>IFERROR(VLOOKUP($G1609,融外自投!$A:$J,7,0),"無")</f>
        <v>862</v>
      </c>
      <c r="P1609" s="79">
        <f>IFERROR(VLOOKUP($G1609,融外自投!$A:$J,9,0),"無")</f>
        <v>1123</v>
      </c>
      <c r="Q1609" s="342">
        <f>IFERROR(VLOOKUP($G1609,融外自投!$A:$J,8,0),"無")</f>
        <v>750</v>
      </c>
      <c r="R1609" s="81" t="str">
        <f>IFERROR(VLOOKUP($G1609,融外自投!$A:$J,10,0),"無")</f>
        <v>無</v>
      </c>
      <c r="S1609" s="324">
        <f>IFERROR(VLOOKUP($G1609,'321買'!$A:$E,4,0),"'沒有資料'")</f>
        <v>1002</v>
      </c>
      <c r="T1609" s="186">
        <f>IFERROR(VLOOKUP($G1609,基本資料!$A:$J,9,0),"無")</f>
        <v>0</v>
      </c>
      <c r="U1609" s="307">
        <f t="shared" si="275"/>
        <v>0</v>
      </c>
      <c r="V1609" s="94">
        <f>IFERROR(VLOOKUP($G1609,基本資料!$A:$J,10,0),"無")</f>
        <v>0.42</v>
      </c>
      <c r="W1609" s="36">
        <f>RTD("money.excel",,"2867","Price")</f>
        <v>7.12</v>
      </c>
      <c r="X1609" s="66"/>
      <c r="Y1609" s="15">
        <f t="shared" si="276"/>
        <v>7.12</v>
      </c>
      <c r="Z1609" s="3" t="e">
        <f t="shared" si="277"/>
        <v>#DIV/0!</v>
      </c>
      <c r="AA1609" s="340">
        <f>IFERROR(VLOOKUP($G1609,基本資料!$A:$M,11,0),"無")</f>
        <v>-30.2</v>
      </c>
      <c r="AB1609" s="389">
        <f>IFERROR(VLOOKUP($G1609,基本資料!$A:$M,12,0),"無")</f>
        <v>11.88</v>
      </c>
      <c r="AC1609" s="22" t="s">
        <v>116</v>
      </c>
      <c r="AF1609" s="33">
        <f t="shared" si="278"/>
        <v>0</v>
      </c>
      <c r="AG1609" s="117" t="s">
        <v>2156</v>
      </c>
      <c r="AH1609" s="66">
        <f t="shared" si="280"/>
        <v>0.44221199339598977</v>
      </c>
      <c r="AI1609" s="283">
        <f>RTD("money.excel",,$G1609,"PredictVolume")</f>
        <v>3790</v>
      </c>
      <c r="AJ1609" s="391">
        <f>IFERROR(VLOOKUP($G1609,基本資料!$A:$M,13,0),"無")</f>
        <v>8570.5499999999993</v>
      </c>
      <c r="AR1609" s="245" t="str">
        <f>INDEX(基本資料!N:N,MATCH($G1609,基本資料!A:A,0))</f>
        <v>低</v>
      </c>
    </row>
    <row r="1610" spans="1:44">
      <c r="A1610" s="343">
        <f>IFERROR(VLOOKUP($G1610,基本資料!$A:$J,3,0),"無")</f>
        <v>1319</v>
      </c>
      <c r="B1610" s="79">
        <f>IFERROR(VLOOKUP($G1610,基本資料!$A:$J,4,0),"無")</f>
        <v>98</v>
      </c>
      <c r="C1610" s="79">
        <f>IFERROR(VLOOKUP($G1610,基本資料!$A:$J,5,0),"無")</f>
        <v>0</v>
      </c>
      <c r="D1610" s="79">
        <f>IFERROR(VLOOKUP($G1610,基本資料!$A:$J,6,0),"無")</f>
        <v>-7</v>
      </c>
      <c r="E1610" s="79">
        <f>IFERROR(VLOOKUP($G1610,基本資料!$A:$J,7,0),"無")</f>
        <v>9</v>
      </c>
      <c r="F1610" s="6">
        <f>IFERROR(VLOOKUP($G1610,基本資料!$A:$J,8,0),"無")</f>
        <v>0</v>
      </c>
      <c r="G1610" s="79">
        <v>2880</v>
      </c>
      <c r="H1610" s="17" t="s">
        <v>304</v>
      </c>
      <c r="I1610" s="22" t="s">
        <v>4654</v>
      </c>
      <c r="J1610" s="8">
        <f>IFERROR(VLOOKUP($G1610,今日總結!$A:$AN,39,0),"")</f>
        <v>0</v>
      </c>
      <c r="K1610" s="5">
        <f>IFERROR(VLOOKUP($G1610,今日總結!$A:$AN,40,0),"")</f>
        <v>0</v>
      </c>
      <c r="L1610" s="156">
        <f>IFERROR(VLOOKUP($G1610,今日總結!$A:$AN,37,0),"")</f>
        <v>0</v>
      </c>
      <c r="M1610" s="337">
        <f>IFERROR(VLOOKUP($G1610,今日總結!$A:$AN,38,0),"")</f>
        <v>0</v>
      </c>
      <c r="N1610" s="240">
        <f t="shared" si="279"/>
        <v>0</v>
      </c>
      <c r="O1610" s="359">
        <f>IFERROR(VLOOKUP($G1610,融外自投!$A:$J,7,0),"無")</f>
        <v>1416</v>
      </c>
      <c r="P1610" s="79">
        <f>IFERROR(VLOOKUP($G1610,融外自投!$A:$J,9,0),"無")</f>
        <v>649</v>
      </c>
      <c r="Q1610" s="342">
        <f>IFERROR(VLOOKUP($G1610,融外自投!$A:$J,8,0),"無")</f>
        <v>321</v>
      </c>
      <c r="R1610" s="81">
        <f>IFERROR(VLOOKUP($G1610,融外自投!$A:$J,10,0),"無")</f>
        <v>211</v>
      </c>
      <c r="S1610" s="324">
        <f>IFERROR(VLOOKUP($G1610,'321買'!$A:$E,4,0),"'沒有資料'")</f>
        <v>156</v>
      </c>
      <c r="T1610" s="186">
        <f>IFERROR(VLOOKUP($G1610,基本資料!$A:$J,9,0),"無")</f>
        <v>1.1200000000000001</v>
      </c>
      <c r="U1610" s="307">
        <f t="shared" si="275"/>
        <v>5.1141552511415535E-2</v>
      </c>
      <c r="V1610" s="94">
        <f>IFERROR(VLOOKUP($G1610,基本資料!$A:$J,10,0),"無")</f>
        <v>1.3</v>
      </c>
      <c r="W1610" s="36">
        <f>RTD("money.excel",,"2880","Price")</f>
        <v>21.9</v>
      </c>
      <c r="X1610" s="66"/>
      <c r="Y1610" s="15">
        <f t="shared" si="276"/>
        <v>21.9</v>
      </c>
      <c r="Z1610" s="3" t="e">
        <f t="shared" si="277"/>
        <v>#DIV/0!</v>
      </c>
      <c r="AA1610" s="340">
        <f>IFERROR(VLOOKUP($G1610,基本資料!$A:$M,11,0),"無")</f>
        <v>-14.79</v>
      </c>
      <c r="AB1610" s="389">
        <f>IFERROR(VLOOKUP($G1610,基本資料!$A:$M,12,0),"無")</f>
        <v>27.38</v>
      </c>
      <c r="AC1610" s="22" t="s">
        <v>4654</v>
      </c>
      <c r="AF1610" s="33">
        <f t="shared" si="278"/>
        <v>0</v>
      </c>
      <c r="AG1610" s="117" t="s">
        <v>1502</v>
      </c>
      <c r="AH1610" s="66">
        <f t="shared" si="280"/>
        <v>0.73034303776880494</v>
      </c>
      <c r="AI1610" s="283">
        <f>RTD("money.excel",,$G1610,"PredictVolume")</f>
        <v>10328</v>
      </c>
      <c r="AJ1610" s="391">
        <f>IFERROR(VLOOKUP($G1610,基本資料!$A:$M,13,0),"無")</f>
        <v>14141.3</v>
      </c>
      <c r="AR1610" s="245" t="str">
        <f>INDEX(基本資料!N:N,MATCH($G1610,基本資料!A:A,0))</f>
        <v>中</v>
      </c>
    </row>
    <row r="1611" spans="1:44">
      <c r="A1611" s="343">
        <f>IFERROR(VLOOKUP($G1611,基本資料!$A:$J,3,0),"無")</f>
        <v>1180</v>
      </c>
      <c r="B1611" s="79">
        <f>IFERROR(VLOOKUP($G1611,基本資料!$A:$J,4,0),"無")</f>
        <v>61</v>
      </c>
      <c r="C1611" s="79">
        <f>IFERROR(VLOOKUP($G1611,基本資料!$A:$J,5,0),"無")</f>
        <v>0</v>
      </c>
      <c r="D1611" s="79">
        <f>IFERROR(VLOOKUP($G1611,基本資料!$A:$J,6,0),"無")</f>
        <v>14</v>
      </c>
      <c r="E1611" s="79">
        <f>IFERROR(VLOOKUP($G1611,基本資料!$A:$J,7,0),"無")</f>
        <v>-16</v>
      </c>
      <c r="F1611" s="6">
        <f>IFERROR(VLOOKUP($G1611,基本資料!$A:$J,8,0),"無")</f>
        <v>0</v>
      </c>
      <c r="G1611" s="79">
        <v>2881</v>
      </c>
      <c r="H1611" s="17" t="s">
        <v>304</v>
      </c>
      <c r="I1611" s="22" t="s">
        <v>68</v>
      </c>
      <c r="J1611" s="8">
        <f>IFERROR(VLOOKUP($G1611,今日總結!$A:$AN,39,0),"")</f>
        <v>0</v>
      </c>
      <c r="K1611" s="5" t="str">
        <f>IFERROR(VLOOKUP($G1611,今日總結!$A:$AN,40,0),"")</f>
        <v>主外</v>
      </c>
      <c r="L1611" s="156">
        <f>IFERROR(VLOOKUP($G1611,今日總結!$A:$AN,37,0),"")</f>
        <v>0</v>
      </c>
      <c r="M1611" s="337">
        <f>IFERROR(VLOOKUP($G1611,今日總結!$A:$AN,38,0),"")</f>
        <v>8</v>
      </c>
      <c r="N1611" s="240">
        <f t="shared" si="279"/>
        <v>-8</v>
      </c>
      <c r="O1611" s="359">
        <f>IFERROR(VLOOKUP($G1611,融外自投!$A:$J,7,0),"無")</f>
        <v>1288</v>
      </c>
      <c r="P1611" s="79">
        <f>IFERROR(VLOOKUP($G1611,融外自投!$A:$J,9,0),"無")</f>
        <v>467</v>
      </c>
      <c r="Q1611" s="342">
        <f>IFERROR(VLOOKUP($G1611,融外自投!$A:$J,8,0),"無")</f>
        <v>285</v>
      </c>
      <c r="R1611" s="81">
        <f>IFERROR(VLOOKUP($G1611,融外自投!$A:$J,10,0),"無")</f>
        <v>181</v>
      </c>
      <c r="S1611" s="324">
        <f>IFERROR(VLOOKUP($G1611,'321買'!$A:$E,4,0),"'沒有資料'")</f>
        <v>565</v>
      </c>
      <c r="T1611" s="186">
        <f>IFERROR(VLOOKUP($G1611,基本資料!$A:$J,9,0),"無")</f>
        <v>4</v>
      </c>
      <c r="U1611" s="307">
        <f t="shared" si="275"/>
        <v>6.4102564102564111E-2</v>
      </c>
      <c r="V1611" s="94">
        <f>IFERROR(VLOOKUP($G1611,基本資料!$A:$J,10,0),"無")</f>
        <v>12.49</v>
      </c>
      <c r="W1611" s="36">
        <f>RTD("money.excel",,"2881","Price")</f>
        <v>62.4</v>
      </c>
      <c r="X1611" s="65"/>
      <c r="Y1611" s="15">
        <f t="shared" si="276"/>
        <v>62.4</v>
      </c>
      <c r="Z1611" s="3" t="e">
        <f t="shared" si="277"/>
        <v>#DIV/0!</v>
      </c>
      <c r="AA1611" s="340">
        <f>IFERROR(VLOOKUP($G1611,基本資料!$A:$M,11,0),"無")</f>
        <v>-27.19</v>
      </c>
      <c r="AB1611" s="389">
        <f>IFERROR(VLOOKUP($G1611,基本資料!$A:$M,12,0),"無")</f>
        <v>24.41</v>
      </c>
      <c r="AC1611" s="22" t="s">
        <v>68</v>
      </c>
      <c r="AF1611" s="33">
        <f t="shared" si="278"/>
        <v>0</v>
      </c>
      <c r="AG1611" s="43" t="s">
        <v>2598</v>
      </c>
      <c r="AH1611" s="66">
        <f t="shared" si="280"/>
        <v>1.7608588591026955</v>
      </c>
      <c r="AI1611" s="283">
        <f>RTD("money.excel",,$G1611,"PredictVolume")</f>
        <v>49878</v>
      </c>
      <c r="AJ1611" s="391">
        <f>IFERROR(VLOOKUP($G1611,基本資料!$A:$M,13,0),"無")</f>
        <v>28325.95</v>
      </c>
      <c r="AR1611" s="245" t="str">
        <f>INDEX(基本資料!N:N,MATCH($G1611,基本資料!A:A,0))</f>
        <v>低</v>
      </c>
    </row>
    <row r="1612" spans="1:44">
      <c r="A1612" s="343">
        <f>IFERROR(VLOOKUP($G1612,基本資料!$A:$J,3,0),"無")</f>
        <v>1316</v>
      </c>
      <c r="B1612" s="79">
        <f>IFERROR(VLOOKUP($G1612,基本資料!$A:$J,4,0),"無")</f>
        <v>85</v>
      </c>
      <c r="C1612" s="79">
        <f>IFERROR(VLOOKUP($G1612,基本資料!$A:$J,5,0),"無")</f>
        <v>0</v>
      </c>
      <c r="D1612" s="79">
        <f>IFERROR(VLOOKUP($G1612,基本資料!$A:$J,6,0),"無")</f>
        <v>-34</v>
      </c>
      <c r="E1612" s="79">
        <f>IFERROR(VLOOKUP($G1612,基本資料!$A:$J,7,0),"無")</f>
        <v>-43</v>
      </c>
      <c r="F1612" s="6">
        <f>IFERROR(VLOOKUP($G1612,基本資料!$A:$J,8,0),"無")</f>
        <v>0</v>
      </c>
      <c r="G1612" s="79">
        <v>2882</v>
      </c>
      <c r="H1612" s="17" t="s">
        <v>304</v>
      </c>
      <c r="I1612" s="22" t="s">
        <v>9</v>
      </c>
      <c r="J1612" s="8">
        <f>IFERROR(VLOOKUP($G1612,今日總結!$A:$AN,39,0),"")</f>
        <v>0</v>
      </c>
      <c r="K1612" s="5" t="str">
        <f>IFERROR(VLOOKUP($G1612,今日總結!$A:$AN,40,0),"")</f>
        <v>主借</v>
      </c>
      <c r="L1612" s="156">
        <f>IFERROR(VLOOKUP($G1612,今日總結!$A:$AN,37,0),"")</f>
        <v>0</v>
      </c>
      <c r="M1612" s="337">
        <f>IFERROR(VLOOKUP($G1612,今日總結!$A:$AN,38,0),"")</f>
        <v>9</v>
      </c>
      <c r="N1612" s="240">
        <f t="shared" si="279"/>
        <v>-9</v>
      </c>
      <c r="O1612" s="359">
        <f>IFERROR(VLOOKUP($G1612,融外自投!$A:$J,7,0),"無")</f>
        <v>1313</v>
      </c>
      <c r="P1612" s="79">
        <f>IFERROR(VLOOKUP($G1612,融外自投!$A:$J,9,0),"無")</f>
        <v>378</v>
      </c>
      <c r="Q1612" s="342">
        <f>IFERROR(VLOOKUP($G1612,融外自投!$A:$J,8,0),"無")</f>
        <v>224</v>
      </c>
      <c r="R1612" s="81">
        <f>IFERROR(VLOOKUP($G1612,融外自投!$A:$J,10,0),"無")</f>
        <v>173</v>
      </c>
      <c r="S1612" s="324">
        <f>IFERROR(VLOOKUP($G1612,'321買'!$A:$E,4,0),"'沒有資料'")</f>
        <v>300</v>
      </c>
      <c r="T1612" s="186">
        <f>IFERROR(VLOOKUP($G1612,基本資料!$A:$J,9,0),"無")</f>
        <v>3.5</v>
      </c>
      <c r="U1612" s="307">
        <f t="shared" si="275"/>
        <v>6.5789473684210523E-2</v>
      </c>
      <c r="V1612" s="94">
        <f>IFERROR(VLOOKUP($G1612,基本資料!$A:$J,10,0),"無")</f>
        <v>10.34</v>
      </c>
      <c r="W1612" s="36">
        <f>RTD("money.excel",,"2882","Price")</f>
        <v>53.2</v>
      </c>
      <c r="X1612" s="65"/>
      <c r="Y1612" s="15">
        <f t="shared" si="276"/>
        <v>53.2</v>
      </c>
      <c r="Z1612" s="3" t="e">
        <f t="shared" si="277"/>
        <v>#DIV/0!</v>
      </c>
      <c r="AA1612" s="340">
        <f>IFERROR(VLOOKUP($G1612,基本資料!$A:$M,11,0),"無")</f>
        <v>-22.22</v>
      </c>
      <c r="AB1612" s="389">
        <f>IFERROR(VLOOKUP($G1612,基本資料!$A:$M,12,0),"無")</f>
        <v>28.91</v>
      </c>
      <c r="AC1612" s="22" t="s">
        <v>9</v>
      </c>
      <c r="AF1612" s="33">
        <f t="shared" si="278"/>
        <v>0</v>
      </c>
      <c r="AG1612" s="43" t="s">
        <v>2597</v>
      </c>
      <c r="AH1612" s="66">
        <f t="shared" si="280"/>
        <v>1.2026356734855843</v>
      </c>
      <c r="AI1612" s="283">
        <f>RTD("money.excel",,$G1612,"PredictVolume")</f>
        <v>28792</v>
      </c>
      <c r="AJ1612" s="391">
        <f>IFERROR(VLOOKUP($G1612,基本資料!$A:$M,13,0),"無")</f>
        <v>23940.75</v>
      </c>
      <c r="AR1612" s="245" t="str">
        <f>INDEX(基本資料!N:N,MATCH($G1612,基本資料!A:A,0))</f>
        <v>低</v>
      </c>
    </row>
    <row r="1613" spans="1:44">
      <c r="A1613" s="343">
        <f>IFERROR(VLOOKUP($G1613,基本資料!$A:$J,3,0),"無")</f>
        <v>1719</v>
      </c>
      <c r="B1613" s="79">
        <f>IFERROR(VLOOKUP($G1613,基本資料!$A:$J,4,0),"無")</f>
        <v>127</v>
      </c>
      <c r="C1613" s="79">
        <f>IFERROR(VLOOKUP($G1613,基本資料!$A:$J,5,0),"無")</f>
        <v>0</v>
      </c>
      <c r="D1613" s="79">
        <f>IFERROR(VLOOKUP($G1613,基本資料!$A:$J,6,0),"無")</f>
        <v>-39</v>
      </c>
      <c r="E1613" s="79">
        <f>IFERROR(VLOOKUP($G1613,基本資料!$A:$J,7,0),"無")</f>
        <v>-30</v>
      </c>
      <c r="F1613" s="6">
        <f>IFERROR(VLOOKUP($G1613,基本資料!$A:$J,8,0),"無")</f>
        <v>0</v>
      </c>
      <c r="G1613" s="79">
        <v>2883</v>
      </c>
      <c r="H1613" s="17" t="s">
        <v>304</v>
      </c>
      <c r="I1613" s="22" t="s">
        <v>4655</v>
      </c>
      <c r="J1613" s="8">
        <f>IFERROR(VLOOKUP($G1613,今日總結!$A:$AN,39,0),"")</f>
        <v>0</v>
      </c>
      <c r="K1613" s="5">
        <f>IFERROR(VLOOKUP($G1613,今日總結!$A:$AN,40,0),"")</f>
        <v>0</v>
      </c>
      <c r="L1613" s="156">
        <f>IFERROR(VLOOKUP($G1613,今日總結!$A:$AN,37,0),"")</f>
        <v>0</v>
      </c>
      <c r="M1613" s="337">
        <f>IFERROR(VLOOKUP($G1613,今日總結!$A:$AN,38,0),"")</f>
        <v>0</v>
      </c>
      <c r="N1613" s="240">
        <f t="shared" si="279"/>
        <v>0</v>
      </c>
      <c r="O1613" s="359">
        <f>IFERROR(VLOOKUP($G1613,融外自投!$A:$J,7,0),"無")</f>
        <v>1229</v>
      </c>
      <c r="P1613" s="79">
        <f>IFERROR(VLOOKUP($G1613,融外自投!$A:$J,9,0),"無")</f>
        <v>272</v>
      </c>
      <c r="Q1613" s="342">
        <f>IFERROR(VLOOKUP($G1613,融外自投!$A:$J,8,0),"無")</f>
        <v>276</v>
      </c>
      <c r="R1613" s="81">
        <f>IFERROR(VLOOKUP($G1613,融外自投!$A:$J,10,0),"無")</f>
        <v>110</v>
      </c>
      <c r="S1613" s="324">
        <f>IFERROR(VLOOKUP($G1613,'321買'!$A:$E,4,0),"'沒有資料'")</f>
        <v>272</v>
      </c>
      <c r="T1613" s="186">
        <f>IFERROR(VLOOKUP($G1613,基本資料!$A:$J,9,0),"無")</f>
        <v>1</v>
      </c>
      <c r="U1613" s="307">
        <f t="shared" si="275"/>
        <v>6.3091482649842268E-2</v>
      </c>
      <c r="V1613" s="94">
        <f>IFERROR(VLOOKUP($G1613,基本資料!$A:$J,10,0),"無")</f>
        <v>2.34</v>
      </c>
      <c r="W1613" s="36">
        <f>RTD("money.excel",,"2883","Price")</f>
        <v>15.85</v>
      </c>
      <c r="X1613" s="66"/>
      <c r="Y1613" s="15">
        <f t="shared" si="276"/>
        <v>15.85</v>
      </c>
      <c r="Z1613" s="3" t="e">
        <f t="shared" si="277"/>
        <v>#DIV/0!</v>
      </c>
      <c r="AA1613" s="340">
        <f>IFERROR(VLOOKUP($G1613,基本資料!$A:$M,11,0),"無")</f>
        <v>-21.14</v>
      </c>
      <c r="AB1613" s="389">
        <f>IFERROR(VLOOKUP($G1613,基本資料!$A:$M,12,0),"無")</f>
        <v>23.09</v>
      </c>
      <c r="AC1613" s="22" t="s">
        <v>4655</v>
      </c>
      <c r="AF1613" s="33">
        <f t="shared" si="278"/>
        <v>0</v>
      </c>
      <c r="AG1613" s="117" t="s">
        <v>2268</v>
      </c>
      <c r="AH1613" s="66">
        <f t="shared" si="280"/>
        <v>0.94955161209862715</v>
      </c>
      <c r="AI1613" s="283">
        <f>RTD("money.excel",,$G1613,"PredictVolume")</f>
        <v>57485</v>
      </c>
      <c r="AJ1613" s="391">
        <f>IFERROR(VLOOKUP($G1613,基本資料!$A:$M,13,0),"無")</f>
        <v>60539.1</v>
      </c>
      <c r="AR1613" s="245" t="str">
        <f>INDEX(基本資料!N:N,MATCH($G1613,基本資料!A:A,0))</f>
        <v>中</v>
      </c>
    </row>
    <row r="1614" spans="1:44">
      <c r="A1614" s="343">
        <f>IFERROR(VLOOKUP($G1614,基本資料!$A:$J,3,0),"無")</f>
        <v>1335</v>
      </c>
      <c r="B1614" s="79">
        <f>IFERROR(VLOOKUP($G1614,基本資料!$A:$J,4,0),"無")</f>
        <v>14</v>
      </c>
      <c r="C1614" s="79">
        <f>IFERROR(VLOOKUP($G1614,基本資料!$A:$J,5,0),"無")</f>
        <v>0</v>
      </c>
      <c r="D1614" s="79">
        <f>IFERROR(VLOOKUP($G1614,基本資料!$A:$J,6,0),"無")</f>
        <v>-15</v>
      </c>
      <c r="E1614" s="79">
        <f>IFERROR(VLOOKUP($G1614,基本資料!$A:$J,7,0),"無")</f>
        <v>-21</v>
      </c>
      <c r="F1614" s="6">
        <f>IFERROR(VLOOKUP($G1614,基本資料!$A:$J,8,0),"無")</f>
        <v>0</v>
      </c>
      <c r="G1614" s="79">
        <v>2884</v>
      </c>
      <c r="H1614" s="17" t="s">
        <v>304</v>
      </c>
      <c r="I1614" s="22" t="s">
        <v>269</v>
      </c>
      <c r="J1614" s="8">
        <f>IFERROR(VLOOKUP($G1614,今日總結!$A:$AN,39,0),"")</f>
        <v>0</v>
      </c>
      <c r="K1614" s="5">
        <f>IFERROR(VLOOKUP($G1614,今日總結!$A:$AN,40,0),"")</f>
        <v>0</v>
      </c>
      <c r="L1614" s="156">
        <f>IFERROR(VLOOKUP($G1614,今日總結!$A:$AN,37,0),"")</f>
        <v>0</v>
      </c>
      <c r="M1614" s="337">
        <f>IFERROR(VLOOKUP($G1614,今日總結!$A:$AN,38,0),"")</f>
        <v>0</v>
      </c>
      <c r="N1614" s="240">
        <f t="shared" si="279"/>
        <v>0</v>
      </c>
      <c r="O1614" s="359">
        <f>IFERROR(VLOOKUP($G1614,融外自投!$A:$J,7,0),"無")</f>
        <v>1392</v>
      </c>
      <c r="P1614" s="79">
        <f>IFERROR(VLOOKUP($G1614,融外自投!$A:$J,9,0),"無")</f>
        <v>635</v>
      </c>
      <c r="Q1614" s="342">
        <f>IFERROR(VLOOKUP($G1614,融外自投!$A:$J,8,0),"無")</f>
        <v>128</v>
      </c>
      <c r="R1614" s="81">
        <f>IFERROR(VLOOKUP($G1614,融外自投!$A:$J,10,0),"無")</f>
        <v>168</v>
      </c>
      <c r="S1614" s="324">
        <f>IFERROR(VLOOKUP($G1614,'321買'!$A:$E,4,0),"'沒有資料'")</f>
        <v>108</v>
      </c>
      <c r="T1614" s="186">
        <f>IFERROR(VLOOKUP($G1614,基本資料!$A:$J,9,0),"無")</f>
        <v>1.34</v>
      </c>
      <c r="U1614" s="307">
        <f t="shared" si="275"/>
        <v>4.6048109965635742E-2</v>
      </c>
      <c r="V1614" s="94">
        <f>IFERROR(VLOOKUP($G1614,基本資料!$A:$J,10,0),"無")</f>
        <v>1.54</v>
      </c>
      <c r="W1614" s="36">
        <f>RTD("money.excel",,"2884","Price")</f>
        <v>29.1</v>
      </c>
      <c r="X1614" s="66"/>
      <c r="Y1614" s="15">
        <f t="shared" si="276"/>
        <v>29.1</v>
      </c>
      <c r="Z1614" s="3" t="e">
        <f t="shared" si="277"/>
        <v>#DIV/0!</v>
      </c>
      <c r="AA1614" s="340">
        <f>IFERROR(VLOOKUP($G1614,基本資料!$A:$M,11,0),"無")</f>
        <v>-18.489999999999998</v>
      </c>
      <c r="AB1614" s="389">
        <f>IFERROR(VLOOKUP($G1614,基本資料!$A:$M,12,0),"無")</f>
        <v>32.22</v>
      </c>
      <c r="AC1614" s="22" t="s">
        <v>269</v>
      </c>
      <c r="AF1614" s="33">
        <f t="shared" si="278"/>
        <v>0</v>
      </c>
      <c r="AG1614" s="117" t="s">
        <v>2015</v>
      </c>
      <c r="AH1614" s="66">
        <f t="shared" si="280"/>
        <v>0.83761341335505168</v>
      </c>
      <c r="AI1614" s="283">
        <f>RTD("money.excel",,$G1614,"PredictVolume")</f>
        <v>27871</v>
      </c>
      <c r="AJ1614" s="391">
        <f>IFERROR(VLOOKUP($G1614,基本資料!$A:$M,13,0),"無")</f>
        <v>33274.300000000003</v>
      </c>
      <c r="AR1614" s="245" t="str">
        <f>INDEX(基本資料!N:N,MATCH($G1614,基本資料!A:A,0))</f>
        <v>低</v>
      </c>
    </row>
    <row r="1615" spans="1:44">
      <c r="A1615" s="343">
        <f>IFERROR(VLOOKUP($G1615,基本資料!$A:$J,3,0),"無")</f>
        <v>1213</v>
      </c>
      <c r="B1615" s="79">
        <f>IFERROR(VLOOKUP($G1615,基本資料!$A:$J,4,0),"無")</f>
        <v>43</v>
      </c>
      <c r="C1615" s="79">
        <f>IFERROR(VLOOKUP($G1615,基本資料!$A:$J,5,0),"無")</f>
        <v>0</v>
      </c>
      <c r="D1615" s="79">
        <f>IFERROR(VLOOKUP($G1615,基本資料!$A:$J,6,0),"無")</f>
        <v>-12</v>
      </c>
      <c r="E1615" s="79">
        <f>IFERROR(VLOOKUP($G1615,基本資料!$A:$J,7,0),"無")</f>
        <v>-31</v>
      </c>
      <c r="F1615" s="6">
        <f>IFERROR(VLOOKUP($G1615,基本資料!$A:$J,8,0),"無")</f>
        <v>0</v>
      </c>
      <c r="G1615" s="79">
        <v>2885</v>
      </c>
      <c r="H1615" s="17" t="s">
        <v>304</v>
      </c>
      <c r="I1615" s="22" t="s">
        <v>4656</v>
      </c>
      <c r="J1615" s="8" t="str">
        <f>IFERROR(VLOOKUP($G1615,今日總結!$A:$AN,39,0),"")</f>
        <v>投</v>
      </c>
      <c r="K1615" s="5" t="str">
        <f>IFERROR(VLOOKUP($G1615,今日總結!$A:$AN,40,0),"")</f>
        <v>主外</v>
      </c>
      <c r="L1615" s="156">
        <f>IFERROR(VLOOKUP($G1615,今日總結!$A:$AN,37,0),"")</f>
        <v>22</v>
      </c>
      <c r="M1615" s="337">
        <f>IFERROR(VLOOKUP($G1615,今日總結!$A:$AN,38,0),"")</f>
        <v>25</v>
      </c>
      <c r="N1615" s="240">
        <f t="shared" si="279"/>
        <v>-3</v>
      </c>
      <c r="O1615" s="359">
        <f>IFERROR(VLOOKUP($G1615,融外自投!$A:$J,7,0),"無")</f>
        <v>1398</v>
      </c>
      <c r="P1615" s="79">
        <f>IFERROR(VLOOKUP($G1615,融外自投!$A:$J,9,0),"無")</f>
        <v>392</v>
      </c>
      <c r="Q1615" s="342">
        <f>IFERROR(VLOOKUP($G1615,融外自投!$A:$J,8,0),"無")</f>
        <v>192</v>
      </c>
      <c r="R1615" s="81">
        <f>IFERROR(VLOOKUP($G1615,融外自投!$A:$J,10,0),"無")</f>
        <v>120</v>
      </c>
      <c r="S1615" s="324">
        <f>IFERROR(VLOOKUP($G1615,'321買'!$A:$E,4,0),"'沒有資料'")</f>
        <v>497</v>
      </c>
      <c r="T1615" s="186">
        <f>IFERROR(VLOOKUP($G1615,基本資料!$A:$J,9,0),"無")</f>
        <v>1.8</v>
      </c>
      <c r="U1615" s="307">
        <f t="shared" si="275"/>
        <v>7.4999999999999997E-2</v>
      </c>
      <c r="V1615" s="94">
        <f>IFERROR(VLOOKUP($G1615,基本資料!$A:$J,10,0),"無")</f>
        <v>2.87</v>
      </c>
      <c r="W1615" s="36">
        <f>RTD("money.excel",,"2885","Price")</f>
        <v>24</v>
      </c>
      <c r="X1615" s="66"/>
      <c r="Y1615" s="15">
        <f t="shared" si="276"/>
        <v>24</v>
      </c>
      <c r="Z1615" s="3" t="e">
        <f t="shared" si="277"/>
        <v>#DIV/0!</v>
      </c>
      <c r="AA1615" s="340">
        <f>IFERROR(VLOOKUP($G1615,基本資料!$A:$M,11,0),"無")</f>
        <v>-13.67</v>
      </c>
      <c r="AB1615" s="389">
        <f>IFERROR(VLOOKUP($G1615,基本資料!$A:$M,12,0),"無")</f>
        <v>36.14</v>
      </c>
      <c r="AC1615" s="22" t="s">
        <v>4656</v>
      </c>
      <c r="AF1615" s="33">
        <f t="shared" si="278"/>
        <v>0</v>
      </c>
      <c r="AG1615" s="117" t="s">
        <v>1433</v>
      </c>
      <c r="AH1615" s="66">
        <f t="shared" si="280"/>
        <v>1.050046118723367</v>
      </c>
      <c r="AI1615" s="283">
        <f>RTD("money.excel",,$G1615,"PredictVolume")</f>
        <v>25159</v>
      </c>
      <c r="AJ1615" s="391">
        <f>IFERROR(VLOOKUP($G1615,基本資料!$A:$M,13,0),"無")</f>
        <v>23959.9</v>
      </c>
      <c r="AR1615" s="245" t="str">
        <f>INDEX(基本資料!N:N,MATCH($G1615,基本資料!A:A,0))</f>
        <v>低</v>
      </c>
    </row>
    <row r="1616" spans="1:44">
      <c r="A1616" s="343">
        <f>IFERROR(VLOOKUP($G1616,基本資料!$A:$J,3,0),"無")</f>
        <v>1359</v>
      </c>
      <c r="B1616" s="79">
        <f>IFERROR(VLOOKUP($G1616,基本資料!$A:$J,4,0),"無")</f>
        <v>2</v>
      </c>
      <c r="C1616" s="79">
        <f>IFERROR(VLOOKUP($G1616,基本資料!$A:$J,5,0),"無")</f>
        <v>0</v>
      </c>
      <c r="D1616" s="79">
        <f>IFERROR(VLOOKUP($G1616,基本資料!$A:$J,6,0),"無")</f>
        <v>-21</v>
      </c>
      <c r="E1616" s="79">
        <f>IFERROR(VLOOKUP($G1616,基本資料!$A:$J,7,0),"無")</f>
        <v>-25</v>
      </c>
      <c r="F1616" s="6">
        <f>IFERROR(VLOOKUP($G1616,基本資料!$A:$J,8,0),"無")</f>
        <v>0</v>
      </c>
      <c r="G1616" s="79">
        <v>2886</v>
      </c>
      <c r="H1616" s="17" t="s">
        <v>304</v>
      </c>
      <c r="I1616" s="22" t="s">
        <v>11</v>
      </c>
      <c r="J1616" s="8">
        <f>IFERROR(VLOOKUP($G1616,今日總結!$A:$AN,39,0),"")</f>
        <v>0</v>
      </c>
      <c r="K1616" s="5" t="str">
        <f>IFERROR(VLOOKUP($G1616,今日總結!$A:$AN,40,0),"")</f>
        <v>融借</v>
      </c>
      <c r="L1616" s="156">
        <f>IFERROR(VLOOKUP($G1616,今日總結!$A:$AN,37,0),"")</f>
        <v>0</v>
      </c>
      <c r="M1616" s="337">
        <f>IFERROR(VLOOKUP($G1616,今日總結!$A:$AN,38,0),"")</f>
        <v>4</v>
      </c>
      <c r="N1616" s="240">
        <f t="shared" si="279"/>
        <v>-4</v>
      </c>
      <c r="O1616" s="359">
        <f>IFERROR(VLOOKUP($G1616,融外自投!$A:$J,7,0),"無")</f>
        <v>1430</v>
      </c>
      <c r="P1616" s="79">
        <f>IFERROR(VLOOKUP($G1616,融外自投!$A:$J,9,0),"無")</f>
        <v>186</v>
      </c>
      <c r="Q1616" s="342">
        <f>IFERROR(VLOOKUP($G1616,融外自投!$A:$J,8,0),"無")</f>
        <v>246</v>
      </c>
      <c r="R1616" s="81">
        <f>IFERROR(VLOOKUP($G1616,融外自投!$A:$J,10,0),"無")</f>
        <v>104</v>
      </c>
      <c r="S1616" s="324">
        <f>IFERROR(VLOOKUP($G1616,'321買'!$A:$E,4,0),"'沒有資料'")</f>
        <v>150</v>
      </c>
      <c r="T1616" s="186">
        <f>IFERROR(VLOOKUP($G1616,基本資料!$A:$J,9,0),"無")</f>
        <v>1.65</v>
      </c>
      <c r="U1616" s="307">
        <f t="shared" si="275"/>
        <v>4.4715447154471545E-2</v>
      </c>
      <c r="V1616" s="94">
        <f>IFERROR(VLOOKUP($G1616,基本資料!$A:$J,10,0),"無")</f>
        <v>1.89</v>
      </c>
      <c r="W1616" s="36">
        <f>RTD("money.excel",,"2886","Price")</f>
        <v>36.9</v>
      </c>
      <c r="X1616" s="66"/>
      <c r="Y1616" s="15">
        <f t="shared" si="276"/>
        <v>36.9</v>
      </c>
      <c r="Z1616" s="3" t="e">
        <f t="shared" si="277"/>
        <v>#DIV/0!</v>
      </c>
      <c r="AA1616" s="340">
        <f>IFERROR(VLOOKUP($G1616,基本資料!$A:$M,11,0),"無")</f>
        <v>-18.72</v>
      </c>
      <c r="AB1616" s="389">
        <f>IFERROR(VLOOKUP($G1616,基本資料!$A:$M,12,0),"無")</f>
        <v>27.93</v>
      </c>
      <c r="AC1616" s="22" t="s">
        <v>11</v>
      </c>
      <c r="AF1616" s="33">
        <f t="shared" si="278"/>
        <v>0</v>
      </c>
      <c r="AG1616" s="117" t="s">
        <v>2599</v>
      </c>
      <c r="AH1616" s="66">
        <f t="shared" si="280"/>
        <v>0.93193892618471319</v>
      </c>
      <c r="AI1616" s="283">
        <f>RTD("money.excel",,$G1616,"PredictVolume")</f>
        <v>24488</v>
      </c>
      <c r="AJ1616" s="391">
        <f>IFERROR(VLOOKUP($G1616,基本資料!$A:$M,13,0),"無")</f>
        <v>26276.400000000001</v>
      </c>
      <c r="AR1616" s="245" t="str">
        <f>INDEX(基本資料!N:N,MATCH($G1616,基本資料!A:A,0))</f>
        <v>中</v>
      </c>
    </row>
    <row r="1617" spans="1:44">
      <c r="A1617" s="343">
        <f>IFERROR(VLOOKUP($G1617,基本資料!$A:$J,3,0),"無")</f>
        <v>1140</v>
      </c>
      <c r="B1617" s="79">
        <f>IFERROR(VLOOKUP($G1617,基本資料!$A:$J,4,0),"無")</f>
        <v>40</v>
      </c>
      <c r="C1617" s="79">
        <f>IFERROR(VLOOKUP($G1617,基本資料!$A:$J,5,0),"無")</f>
        <v>0</v>
      </c>
      <c r="D1617" s="79">
        <f>IFERROR(VLOOKUP($G1617,基本資料!$A:$J,6,0),"無")</f>
        <v>-17</v>
      </c>
      <c r="E1617" s="79">
        <f>IFERROR(VLOOKUP($G1617,基本資料!$A:$J,7,0),"無")</f>
        <v>12</v>
      </c>
      <c r="F1617" s="6">
        <f>IFERROR(VLOOKUP($G1617,基本資料!$A:$J,8,0),"無")</f>
        <v>0</v>
      </c>
      <c r="G1617" s="79">
        <v>2887</v>
      </c>
      <c r="H1617" s="17" t="s">
        <v>304</v>
      </c>
      <c r="I1617" s="22" t="s">
        <v>270</v>
      </c>
      <c r="J1617" s="8" t="str">
        <f>IFERROR(VLOOKUP($G1617,今日總結!$A:$AN,39,0),"")</f>
        <v>自</v>
      </c>
      <c r="K1617" s="5" t="str">
        <f>IFERROR(VLOOKUP($G1617,今日總結!$A:$AN,40,0),"")</f>
        <v>主</v>
      </c>
      <c r="L1617" s="156">
        <f>IFERROR(VLOOKUP($G1617,今日總結!$A:$AN,37,0),"")</f>
        <v>4</v>
      </c>
      <c r="M1617" s="337">
        <f>IFERROR(VLOOKUP($G1617,今日總結!$A:$AN,38,0),"")</f>
        <v>6</v>
      </c>
      <c r="N1617" s="240">
        <f t="shared" si="279"/>
        <v>-2</v>
      </c>
      <c r="O1617" s="359">
        <f>IFERROR(VLOOKUP($G1617,融外自投!$A:$J,7,0),"無")</f>
        <v>1280</v>
      </c>
      <c r="P1617" s="79">
        <f>IFERROR(VLOOKUP($G1617,融外自投!$A:$J,9,0),"無")</f>
        <v>219</v>
      </c>
      <c r="Q1617" s="342">
        <f>IFERROR(VLOOKUP($G1617,融外自投!$A:$J,8,0),"無")</f>
        <v>200</v>
      </c>
      <c r="R1617" s="81">
        <f>IFERROR(VLOOKUP($G1617,融外自投!$A:$J,10,0),"無")</f>
        <v>184</v>
      </c>
      <c r="S1617" s="324">
        <f>IFERROR(VLOOKUP($G1617,'321買'!$A:$E,4,0),"'沒有資料'")</f>
        <v>253</v>
      </c>
      <c r="T1617" s="186">
        <f>IFERROR(VLOOKUP($G1617,基本資料!$A:$J,9,0),"無")</f>
        <v>1.1000000000000001</v>
      </c>
      <c r="U1617" s="307">
        <f t="shared" si="275"/>
        <v>6.5476190476190479E-2</v>
      </c>
      <c r="V1617" s="94">
        <f>IFERROR(VLOOKUP($G1617,基本資料!$A:$J,10,0),"無")</f>
        <v>1.63</v>
      </c>
      <c r="W1617" s="36">
        <f>RTD("money.excel",,"2887","Price")</f>
        <v>16.8</v>
      </c>
      <c r="X1617" s="66"/>
      <c r="Y1617" s="15">
        <f t="shared" si="276"/>
        <v>16.8</v>
      </c>
      <c r="Z1617" s="3" t="e">
        <f t="shared" si="277"/>
        <v>#DIV/0!</v>
      </c>
      <c r="AA1617" s="340">
        <f>IFERROR(VLOOKUP($G1617,基本資料!$A:$M,11,0),"無")</f>
        <v>-20.75</v>
      </c>
      <c r="AB1617" s="389">
        <f>IFERROR(VLOOKUP($G1617,基本資料!$A:$M,12,0),"無")</f>
        <v>21.25</v>
      </c>
      <c r="AC1617" s="22" t="s">
        <v>270</v>
      </c>
      <c r="AF1617" s="33">
        <f t="shared" si="278"/>
        <v>0</v>
      </c>
      <c r="AG1617" s="117" t="s">
        <v>2600</v>
      </c>
      <c r="AH1617" s="66">
        <f t="shared" si="280"/>
        <v>0.64175743276577368</v>
      </c>
      <c r="AI1617" s="283">
        <f>RTD("money.excel",,$G1617,"PredictVolume")</f>
        <v>25106</v>
      </c>
      <c r="AJ1617" s="391">
        <f>IFERROR(VLOOKUP($G1617,基本資料!$A:$M,13,0),"無")</f>
        <v>39120.699999999997</v>
      </c>
      <c r="AR1617" s="245" t="str">
        <f>INDEX(基本資料!N:N,MATCH($G1617,基本資料!A:A,0))</f>
        <v>低</v>
      </c>
    </row>
    <row r="1618" spans="1:44">
      <c r="A1618" s="343">
        <f>IFERROR(VLOOKUP($G1618,基本資料!$A:$J,3,0),"無")</f>
        <v>1548</v>
      </c>
      <c r="B1618" s="79">
        <f>IFERROR(VLOOKUP($G1618,基本資料!$A:$J,4,0),"無")</f>
        <v>57</v>
      </c>
      <c r="C1618" s="79">
        <f>IFERROR(VLOOKUP($G1618,基本資料!$A:$J,5,0),"無")</f>
        <v>0</v>
      </c>
      <c r="D1618" s="79">
        <f>IFERROR(VLOOKUP($G1618,基本資料!$A:$J,6,0),"無")</f>
        <v>-29</v>
      </c>
      <c r="E1618" s="79">
        <f>IFERROR(VLOOKUP($G1618,基本資料!$A:$J,7,0),"無")</f>
        <v>-34</v>
      </c>
      <c r="F1618" s="6">
        <f>IFERROR(VLOOKUP($G1618,基本資料!$A:$J,8,0),"無")</f>
        <v>0</v>
      </c>
      <c r="G1618" s="79">
        <v>2888</v>
      </c>
      <c r="H1618" s="17" t="s">
        <v>304</v>
      </c>
      <c r="I1618" s="22" t="s">
        <v>4657</v>
      </c>
      <c r="J1618" s="8" t="str">
        <f>IFERROR(VLOOKUP($G1618,今日總結!$A:$AN,39,0),"")</f>
        <v>借</v>
      </c>
      <c r="K1618" s="5" t="str">
        <f>IFERROR(VLOOKUP($G1618,今日總結!$A:$AN,40,0),"")</f>
        <v>主外</v>
      </c>
      <c r="L1618" s="156">
        <f>IFERROR(VLOOKUP($G1618,今日總結!$A:$AN,37,0),"")</f>
        <v>1</v>
      </c>
      <c r="M1618" s="337">
        <f>IFERROR(VLOOKUP($G1618,今日總結!$A:$AN,38,0),"")</f>
        <v>24</v>
      </c>
      <c r="N1618" s="240">
        <f t="shared" si="279"/>
        <v>-23</v>
      </c>
      <c r="O1618" s="359">
        <f>IFERROR(VLOOKUP($G1618,融外自投!$A:$J,7,0),"無")</f>
        <v>918</v>
      </c>
      <c r="P1618" s="79">
        <f>IFERROR(VLOOKUP($G1618,融外自投!$A:$J,9,0),"無")</f>
        <v>1123</v>
      </c>
      <c r="Q1618" s="342">
        <f>IFERROR(VLOOKUP($G1618,融外自投!$A:$J,8,0),"無")</f>
        <v>270</v>
      </c>
      <c r="R1618" s="81">
        <f>IFERROR(VLOOKUP($G1618,融外自投!$A:$J,10,0),"無")</f>
        <v>294</v>
      </c>
      <c r="S1618" s="324">
        <f>IFERROR(VLOOKUP($G1618,'321買'!$A:$E,4,0),"'沒有資料'")</f>
        <v>300</v>
      </c>
      <c r="T1618" s="186">
        <f>IFERROR(VLOOKUP($G1618,基本資料!$A:$J,9,0),"無")</f>
        <v>0.43</v>
      </c>
      <c r="U1618" s="307">
        <f t="shared" si="275"/>
        <v>4.8587570621468928E-2</v>
      </c>
      <c r="V1618" s="94">
        <f>IFERROR(VLOOKUP($G1618,基本資料!$A:$J,10,0),"無")</f>
        <v>1.67</v>
      </c>
      <c r="W1618" s="36">
        <f>RTD("money.excel",,"2888","Price")</f>
        <v>8.85</v>
      </c>
      <c r="X1618" s="66"/>
      <c r="Y1618" s="15">
        <f t="shared" si="276"/>
        <v>8.85</v>
      </c>
      <c r="Z1618" s="3" t="e">
        <f t="shared" si="277"/>
        <v>#DIV/0!</v>
      </c>
      <c r="AA1618" s="340">
        <f>IFERROR(VLOOKUP($G1618,基本資料!$A:$M,11,0),"無")</f>
        <v>-27.16</v>
      </c>
      <c r="AB1618" s="389">
        <f>IFERROR(VLOOKUP($G1618,基本資料!$A:$M,12,0),"無")</f>
        <v>9.42</v>
      </c>
      <c r="AC1618" s="22" t="s">
        <v>4657</v>
      </c>
      <c r="AF1618" s="33">
        <f t="shared" si="278"/>
        <v>0</v>
      </c>
      <c r="AG1618" s="117" t="s">
        <v>2601</v>
      </c>
      <c r="AH1618" s="66">
        <f t="shared" si="280"/>
        <v>0.75606182037188974</v>
      </c>
      <c r="AI1618" s="283">
        <f>RTD("money.excel",,$G1618,"PredictVolume")</f>
        <v>95658</v>
      </c>
      <c r="AJ1618" s="391">
        <f>IFERROR(VLOOKUP($G1618,基本資料!$A:$M,13,0),"無")</f>
        <v>126521.4</v>
      </c>
      <c r="AR1618" s="245" t="str">
        <f>INDEX(基本資料!N:N,MATCH($G1618,基本資料!A:A,0))</f>
        <v>低</v>
      </c>
    </row>
    <row r="1619" spans="1:44">
      <c r="A1619" s="343">
        <f>IFERROR(VLOOKUP($G1619,基本資料!$A:$J,3,0),"無")</f>
        <v>299</v>
      </c>
      <c r="B1619" s="79">
        <f>IFERROR(VLOOKUP($G1619,基本資料!$A:$J,4,0),"無")</f>
        <v>23</v>
      </c>
      <c r="C1619" s="79">
        <f>IFERROR(VLOOKUP($G1619,基本資料!$A:$J,5,0),"無")</f>
        <v>0</v>
      </c>
      <c r="D1619" s="79">
        <f>IFERROR(VLOOKUP($G1619,基本資料!$A:$J,6,0),"無")</f>
        <v>28</v>
      </c>
      <c r="E1619" s="79">
        <f>IFERROR(VLOOKUP($G1619,基本資料!$A:$J,7,0),"無")</f>
        <v>-28</v>
      </c>
      <c r="F1619" s="6">
        <f>IFERROR(VLOOKUP($G1619,基本資料!$A:$J,8,0),"無")</f>
        <v>0</v>
      </c>
      <c r="G1619" s="79">
        <v>2889</v>
      </c>
      <c r="H1619" s="17" t="s">
        <v>304</v>
      </c>
      <c r="I1619" s="22" t="s">
        <v>271</v>
      </c>
      <c r="J1619" s="8">
        <f>IFERROR(VLOOKUP($G1619,今日總結!$A:$AN,39,0),"")</f>
        <v>0</v>
      </c>
      <c r="K1619" s="5" t="str">
        <f>IFERROR(VLOOKUP($G1619,今日總結!$A:$AN,40,0),"")</f>
        <v>主</v>
      </c>
      <c r="L1619" s="156">
        <f>IFERROR(VLOOKUP($G1619,今日總結!$A:$AN,37,0),"")</f>
        <v>0</v>
      </c>
      <c r="M1619" s="337">
        <f>IFERROR(VLOOKUP($G1619,今日總結!$A:$AN,38,0),"")</f>
        <v>5</v>
      </c>
      <c r="N1619" s="240">
        <f t="shared" si="279"/>
        <v>-5</v>
      </c>
      <c r="O1619" s="359">
        <f>IFERROR(VLOOKUP($G1619,融外自投!$A:$J,7,0),"無")</f>
        <v>1331</v>
      </c>
      <c r="P1619" s="79">
        <f>IFERROR(VLOOKUP($G1619,融外自投!$A:$J,9,0),"無")</f>
        <v>717</v>
      </c>
      <c r="Q1619" s="342">
        <f>IFERROR(VLOOKUP($G1619,融外自投!$A:$J,8,0),"無")</f>
        <v>480</v>
      </c>
      <c r="R1619" s="81">
        <f>IFERROR(VLOOKUP($G1619,融外自投!$A:$J,10,0),"無")</f>
        <v>403</v>
      </c>
      <c r="S1619" s="324">
        <f>IFERROR(VLOOKUP($G1619,'321買'!$A:$E,4,0),"'沒有資料'")</f>
        <v>565</v>
      </c>
      <c r="T1619" s="186">
        <f>IFERROR(VLOOKUP($G1619,基本資料!$A:$J,9,0),"無")</f>
        <v>1.1499999999999999</v>
      </c>
      <c r="U1619" s="307">
        <f t="shared" si="275"/>
        <v>7.4675324675324672E-2</v>
      </c>
      <c r="V1619" s="94">
        <f>IFERROR(VLOOKUP($G1619,基本資料!$A:$J,10,0),"無")</f>
        <v>1.3</v>
      </c>
      <c r="W1619" s="36">
        <f>RTD("money.excel",,"2889","Price")</f>
        <v>15.4</v>
      </c>
      <c r="X1619" s="66"/>
      <c r="Y1619" s="15">
        <f t="shared" si="276"/>
        <v>15.4</v>
      </c>
      <c r="Z1619" s="3" t="e">
        <f t="shared" si="277"/>
        <v>#DIV/0!</v>
      </c>
      <c r="AA1619" s="340">
        <f>IFERROR(VLOOKUP($G1619,基本資料!$A:$M,11,0),"無")</f>
        <v>-12.99</v>
      </c>
      <c r="AB1619" s="389">
        <f>IFERROR(VLOOKUP($G1619,基本資料!$A:$M,12,0),"無")</f>
        <v>32.729999999999997</v>
      </c>
      <c r="AC1619" s="22" t="s">
        <v>271</v>
      </c>
      <c r="AF1619" s="33">
        <f t="shared" si="278"/>
        <v>0</v>
      </c>
      <c r="AG1619" s="117" t="s">
        <v>2023</v>
      </c>
      <c r="AH1619" s="66">
        <f t="shared" si="280"/>
        <v>0.68262997751025278</v>
      </c>
      <c r="AI1619" s="283">
        <f>RTD("money.excel",,$G1619,"PredictVolume")</f>
        <v>3096</v>
      </c>
      <c r="AJ1619" s="391">
        <f>IFERROR(VLOOKUP($G1619,基本資料!$A:$M,13,0),"無")</f>
        <v>4535.3999999999996</v>
      </c>
      <c r="AR1619" s="245" t="str">
        <f>INDEX(基本資料!N:N,MATCH($G1619,基本資料!A:A,0))</f>
        <v>低</v>
      </c>
    </row>
    <row r="1620" spans="1:44">
      <c r="A1620" s="343">
        <f>IFERROR(VLOOKUP($G1620,基本資料!$A:$J,3,0),"無")</f>
        <v>1127</v>
      </c>
      <c r="B1620" s="79">
        <f>IFERROR(VLOOKUP($G1620,基本資料!$A:$J,4,0),"無")</f>
        <v>32</v>
      </c>
      <c r="C1620" s="79">
        <f>IFERROR(VLOOKUP($G1620,基本資料!$A:$J,5,0),"無")</f>
        <v>0</v>
      </c>
      <c r="D1620" s="79">
        <f>IFERROR(VLOOKUP($G1620,基本資料!$A:$J,6,0),"無")</f>
        <v>-13</v>
      </c>
      <c r="E1620" s="79">
        <f>IFERROR(VLOOKUP($G1620,基本資料!$A:$J,7,0),"無")</f>
        <v>7</v>
      </c>
      <c r="F1620" s="6">
        <f>IFERROR(VLOOKUP($G1620,基本資料!$A:$J,8,0),"無")</f>
        <v>0</v>
      </c>
      <c r="G1620" s="79">
        <v>2890</v>
      </c>
      <c r="H1620" s="17" t="s">
        <v>304</v>
      </c>
      <c r="I1620" s="22" t="s">
        <v>4658</v>
      </c>
      <c r="J1620" s="8" t="str">
        <f>IFERROR(VLOOKUP($G1620,今日總結!$A:$AN,39,0),"")</f>
        <v>投</v>
      </c>
      <c r="K1620" s="5">
        <f>IFERROR(VLOOKUP($G1620,今日總結!$A:$AN,40,0),"")</f>
        <v>0</v>
      </c>
      <c r="L1620" s="156">
        <f>IFERROR(VLOOKUP($G1620,今日總結!$A:$AN,37,0),"")</f>
        <v>25</v>
      </c>
      <c r="M1620" s="337">
        <f>IFERROR(VLOOKUP($G1620,今日總結!$A:$AN,38,0),"")</f>
        <v>0</v>
      </c>
      <c r="N1620" s="240">
        <f t="shared" si="279"/>
        <v>25</v>
      </c>
      <c r="O1620" s="359">
        <f>IFERROR(VLOOKUP($G1620,融外自投!$A:$J,7,0),"無")</f>
        <v>1402</v>
      </c>
      <c r="P1620" s="79">
        <f>IFERROR(VLOOKUP($G1620,融外自投!$A:$J,9,0),"無")</f>
        <v>525</v>
      </c>
      <c r="Q1620" s="342">
        <f>IFERROR(VLOOKUP($G1620,融外自投!$A:$J,8,0),"無")</f>
        <v>191</v>
      </c>
      <c r="R1620" s="81">
        <f>IFERROR(VLOOKUP($G1620,融外自投!$A:$J,10,0),"無")</f>
        <v>125</v>
      </c>
      <c r="S1620" s="324">
        <f>IFERROR(VLOOKUP($G1620,'321買'!$A:$E,4,0),"'沒有資料'")</f>
        <v>300</v>
      </c>
      <c r="T1620" s="186">
        <f>IFERROR(VLOOKUP($G1620,基本資料!$A:$J,9,0),"無")</f>
        <v>0.9</v>
      </c>
      <c r="U1620" s="307">
        <f t="shared" si="275"/>
        <v>5.3412462908011868E-2</v>
      </c>
      <c r="V1620" s="94">
        <f>IFERROR(VLOOKUP($G1620,基本資料!$A:$J,10,0),"無")</f>
        <v>1.44</v>
      </c>
      <c r="W1620" s="36">
        <f>RTD("money.excel",,"2890","Price")</f>
        <v>16.850000000000001</v>
      </c>
      <c r="X1620" s="66"/>
      <c r="Y1620" s="15">
        <f t="shared" si="276"/>
        <v>16.850000000000001</v>
      </c>
      <c r="Z1620" s="3" t="e">
        <f t="shared" si="277"/>
        <v>#DIV/0!</v>
      </c>
      <c r="AA1620" s="340">
        <f>IFERROR(VLOOKUP($G1620,基本資料!$A:$M,11,0),"無")</f>
        <v>-12.92</v>
      </c>
      <c r="AB1620" s="389">
        <f>IFERROR(VLOOKUP($G1620,基本資料!$A:$M,12,0),"無")</f>
        <v>34.69</v>
      </c>
      <c r="AC1620" s="22" t="s">
        <v>4658</v>
      </c>
      <c r="AF1620" s="33">
        <f t="shared" si="278"/>
        <v>0</v>
      </c>
      <c r="AG1620" s="117" t="s">
        <v>1449</v>
      </c>
      <c r="AH1620" s="66">
        <f t="shared" si="280"/>
        <v>1.2409976142284147</v>
      </c>
      <c r="AI1620" s="283">
        <f>RTD("money.excel",,$G1620,"PredictVolume")</f>
        <v>25046</v>
      </c>
      <c r="AJ1620" s="391">
        <f>IFERROR(VLOOKUP($G1620,基本資料!$A:$M,13,0),"無")</f>
        <v>20182.150000000001</v>
      </c>
      <c r="AR1620" s="245" t="str">
        <f>INDEX(基本資料!N:N,MATCH($G1620,基本資料!A:A,0))</f>
        <v>中</v>
      </c>
    </row>
    <row r="1621" spans="1:44">
      <c r="A1621" s="343">
        <f>IFERROR(VLOOKUP($G1621,基本資料!$A:$J,3,0),"無")</f>
        <v>1949</v>
      </c>
      <c r="B1621" s="79">
        <f>IFERROR(VLOOKUP($G1621,基本資料!$A:$J,4,0),"無")</f>
        <v>26</v>
      </c>
      <c r="C1621" s="79">
        <f>IFERROR(VLOOKUP($G1621,基本資料!$A:$J,5,0),"無")</f>
        <v>0</v>
      </c>
      <c r="D1621" s="79">
        <f>IFERROR(VLOOKUP($G1621,基本資料!$A:$J,6,0),"無")</f>
        <v>-5</v>
      </c>
      <c r="E1621" s="79">
        <f>IFERROR(VLOOKUP($G1621,基本資料!$A:$J,7,0),"無")</f>
        <v>24</v>
      </c>
      <c r="F1621" s="6">
        <f>IFERROR(VLOOKUP($G1621,基本資料!$A:$J,8,0),"無")</f>
        <v>0</v>
      </c>
      <c r="G1621" s="79">
        <v>2891</v>
      </c>
      <c r="H1621" s="17" t="s">
        <v>304</v>
      </c>
      <c r="I1621" s="22" t="s">
        <v>4659</v>
      </c>
      <c r="J1621" s="8">
        <f>IFERROR(VLOOKUP($G1621,今日總結!$A:$AN,39,0),"")</f>
        <v>0</v>
      </c>
      <c r="K1621" s="5">
        <f>IFERROR(VLOOKUP($G1621,今日總結!$A:$AN,40,0),"")</f>
        <v>0</v>
      </c>
      <c r="L1621" s="156">
        <f>IFERROR(VLOOKUP($G1621,今日總結!$A:$AN,37,0),"")</f>
        <v>0</v>
      </c>
      <c r="M1621" s="337">
        <f>IFERROR(VLOOKUP($G1621,今日總結!$A:$AN,38,0),"")</f>
        <v>0</v>
      </c>
      <c r="N1621" s="240">
        <f t="shared" si="279"/>
        <v>0</v>
      </c>
      <c r="O1621" s="359">
        <f>IFERROR(VLOOKUP($G1621,融外自投!$A:$J,7,0),"無")</f>
        <v>1377</v>
      </c>
      <c r="P1621" s="79">
        <f>IFERROR(VLOOKUP($G1621,融外自投!$A:$J,9,0),"無")</f>
        <v>596</v>
      </c>
      <c r="Q1621" s="342">
        <f>IFERROR(VLOOKUP($G1621,融外自投!$A:$J,8,0),"無")</f>
        <v>103</v>
      </c>
      <c r="R1621" s="81">
        <f>IFERROR(VLOOKUP($G1621,融外自投!$A:$J,10,0),"無")</f>
        <v>135</v>
      </c>
      <c r="S1621" s="324">
        <f>IFERROR(VLOOKUP($G1621,'321買'!$A:$E,4,0),"'沒有資料'")</f>
        <v>91</v>
      </c>
      <c r="T1621" s="186">
        <f>IFERROR(VLOOKUP($G1621,基本資料!$A:$J,9,0),"無")</f>
        <v>1.25</v>
      </c>
      <c r="U1621" s="307">
        <f t="shared" si="275"/>
        <v>4.8638132295719845E-2</v>
      </c>
      <c r="V1621" s="94">
        <f>IFERROR(VLOOKUP($G1621,基本資料!$A:$J,10,0),"無")</f>
        <v>2.73</v>
      </c>
      <c r="W1621" s="36">
        <f>RTD("money.excel",,"2891","Price")</f>
        <v>25.7</v>
      </c>
      <c r="X1621" s="66"/>
      <c r="Y1621" s="15">
        <f t="shared" si="276"/>
        <v>25.7</v>
      </c>
      <c r="Z1621" s="3" t="e">
        <f t="shared" si="277"/>
        <v>#DIV/0!</v>
      </c>
      <c r="AA1621" s="340">
        <f>IFERROR(VLOOKUP($G1621,基本資料!$A:$M,11,0),"無")</f>
        <v>-16.96</v>
      </c>
      <c r="AB1621" s="389">
        <f>IFERROR(VLOOKUP($G1621,基本資料!$A:$M,12,0),"無")</f>
        <v>31.11</v>
      </c>
      <c r="AC1621" s="22" t="s">
        <v>4659</v>
      </c>
      <c r="AF1621" s="33">
        <f t="shared" si="278"/>
        <v>0</v>
      </c>
      <c r="AG1621" s="117" t="s">
        <v>2619</v>
      </c>
      <c r="AH1621" s="66">
        <f t="shared" si="280"/>
        <v>1.002972180799095</v>
      </c>
      <c r="AI1621" s="283">
        <f>RTD("money.excel",,$G1621,"PredictVolume")</f>
        <v>48762</v>
      </c>
      <c r="AJ1621" s="391">
        <f>IFERROR(VLOOKUP($G1621,基本資料!$A:$M,13,0),"無")</f>
        <v>48617.5</v>
      </c>
      <c r="AR1621" s="245" t="str">
        <f>INDEX(基本資料!N:N,MATCH($G1621,基本資料!A:A,0))</f>
        <v>中</v>
      </c>
    </row>
    <row r="1622" spans="1:44">
      <c r="A1622" s="343">
        <f>IFERROR(VLOOKUP($G1622,基本資料!$A:$J,3,0),"無")</f>
        <v>1296</v>
      </c>
      <c r="B1622" s="79">
        <f>IFERROR(VLOOKUP($G1622,基本資料!$A:$J,4,0),"無")</f>
        <v>17</v>
      </c>
      <c r="C1622" s="79">
        <f>IFERROR(VLOOKUP($G1622,基本資料!$A:$J,5,0),"無")</f>
        <v>0</v>
      </c>
      <c r="D1622" s="79">
        <f>IFERROR(VLOOKUP($G1622,基本資料!$A:$J,6,0),"無")</f>
        <v>-8</v>
      </c>
      <c r="E1622" s="79">
        <f>IFERROR(VLOOKUP($G1622,基本資料!$A:$J,7,0),"無")</f>
        <v>1</v>
      </c>
      <c r="F1622" s="6">
        <f>IFERROR(VLOOKUP($G1622,基本資料!$A:$J,8,0),"無")</f>
        <v>0</v>
      </c>
      <c r="G1622" s="79">
        <v>2892</v>
      </c>
      <c r="H1622" s="17" t="s">
        <v>304</v>
      </c>
      <c r="I1622" s="22" t="s">
        <v>272</v>
      </c>
      <c r="J1622" s="8" t="str">
        <f>IFERROR(VLOOKUP($G1622,今日總結!$A:$AN,39,0),"")</f>
        <v>投</v>
      </c>
      <c r="K1622" s="5">
        <f>IFERROR(VLOOKUP($G1622,今日總結!$A:$AN,40,0),"")</f>
        <v>0</v>
      </c>
      <c r="L1622" s="156">
        <f>IFERROR(VLOOKUP($G1622,今日總結!$A:$AN,37,0),"")</f>
        <v>9</v>
      </c>
      <c r="M1622" s="337">
        <f>IFERROR(VLOOKUP($G1622,今日總結!$A:$AN,38,0),"")</f>
        <v>0</v>
      </c>
      <c r="N1622" s="240">
        <f t="shared" si="279"/>
        <v>9</v>
      </c>
      <c r="O1622" s="359">
        <f>IFERROR(VLOOKUP($G1622,融外自投!$A:$J,7,0),"無")</f>
        <v>1434</v>
      </c>
      <c r="P1622" s="79">
        <f>IFERROR(VLOOKUP($G1622,融外自投!$A:$J,9,0),"無")</f>
        <v>649</v>
      </c>
      <c r="Q1622" s="342">
        <f>IFERROR(VLOOKUP($G1622,融外自投!$A:$J,8,0),"無")</f>
        <v>231</v>
      </c>
      <c r="R1622" s="81">
        <f>IFERROR(VLOOKUP($G1622,融外自投!$A:$J,10,0),"無")</f>
        <v>133</v>
      </c>
      <c r="S1622" s="324">
        <f>IFERROR(VLOOKUP($G1622,'321買'!$A:$E,4,0),"'沒有資料'")</f>
        <v>156</v>
      </c>
      <c r="T1622" s="186">
        <f>IFERROR(VLOOKUP($G1622,基本資料!$A:$J,9,0),"無")</f>
        <v>1.2</v>
      </c>
      <c r="U1622" s="307">
        <f t="shared" si="275"/>
        <v>4.6692607003891051E-2</v>
      </c>
      <c r="V1622" s="94">
        <f>IFERROR(VLOOKUP($G1622,基本資料!$A:$J,10,0),"無")</f>
        <v>1.52</v>
      </c>
      <c r="W1622" s="36">
        <f>RTD("money.excel",,"2892","Price")</f>
        <v>25.7</v>
      </c>
      <c r="X1622" s="66"/>
      <c r="Y1622" s="15">
        <f t="shared" si="276"/>
        <v>25.7</v>
      </c>
      <c r="Z1622" s="3" t="e">
        <f t="shared" si="277"/>
        <v>#DIV/0!</v>
      </c>
      <c r="AA1622" s="340">
        <f>IFERROR(VLOOKUP($G1622,基本資料!$A:$M,11,0),"無")</f>
        <v>-14.33</v>
      </c>
      <c r="AB1622" s="389">
        <f>IFERROR(VLOOKUP($G1622,基本資料!$A:$M,12,0),"無")</f>
        <v>30.2</v>
      </c>
      <c r="AC1622" s="22" t="s">
        <v>272</v>
      </c>
      <c r="AF1622" s="33">
        <f t="shared" si="278"/>
        <v>0</v>
      </c>
      <c r="AG1622" s="117" t="s">
        <v>1502</v>
      </c>
      <c r="AH1622" s="66">
        <f t="shared" si="280"/>
        <v>1.0679091104580316</v>
      </c>
      <c r="AI1622" s="283">
        <f>RTD("money.excel",,$G1622,"PredictVolume")</f>
        <v>18623</v>
      </c>
      <c r="AJ1622" s="391">
        <f>IFERROR(VLOOKUP($G1622,基本資料!$A:$M,13,0),"無")</f>
        <v>17438.75</v>
      </c>
      <c r="AR1622" s="245" t="str">
        <f>INDEX(基本資料!N:N,MATCH($G1622,基本資料!A:A,0))</f>
        <v>中</v>
      </c>
    </row>
    <row r="1623" spans="1:44">
      <c r="A1623" s="343">
        <f>IFERROR(VLOOKUP($G1623,基本資料!$A:$J,3,0),"無")</f>
        <v>273</v>
      </c>
      <c r="B1623" s="79">
        <f>IFERROR(VLOOKUP($G1623,基本資料!$A:$J,4,0),"無")</f>
        <v>39</v>
      </c>
      <c r="C1623" s="79">
        <f>IFERROR(VLOOKUP($G1623,基本資料!$A:$J,5,0),"無")</f>
        <v>0</v>
      </c>
      <c r="D1623" s="79">
        <f>IFERROR(VLOOKUP($G1623,基本資料!$A:$J,6,0),"無")</f>
        <v>-16</v>
      </c>
      <c r="E1623" s="79">
        <f>IFERROR(VLOOKUP($G1623,基本資料!$A:$J,7,0),"無")</f>
        <v>-37</v>
      </c>
      <c r="F1623" s="6">
        <f>IFERROR(VLOOKUP($G1623,基本資料!$A:$J,8,0),"無")</f>
        <v>0</v>
      </c>
      <c r="G1623" s="79">
        <v>2897</v>
      </c>
      <c r="H1623" s="17" t="s">
        <v>304</v>
      </c>
      <c r="I1623" s="22" t="s">
        <v>336</v>
      </c>
      <c r="J1623" s="8">
        <f>IFERROR(VLOOKUP($G1623,今日總結!$A:$AN,39,0),"")</f>
        <v>0</v>
      </c>
      <c r="K1623" s="5">
        <f>IFERROR(VLOOKUP($G1623,今日總結!$A:$AN,40,0),"")</f>
        <v>0</v>
      </c>
      <c r="L1623" s="156">
        <f>IFERROR(VLOOKUP($G1623,今日總結!$A:$AN,37,0),"")</f>
        <v>0</v>
      </c>
      <c r="M1623" s="337">
        <f>IFERROR(VLOOKUP($G1623,今日總結!$A:$AN,38,0),"")</f>
        <v>0</v>
      </c>
      <c r="N1623" s="240">
        <f t="shared" si="279"/>
        <v>0</v>
      </c>
      <c r="O1623" s="359">
        <f>IFERROR(VLOOKUP($G1623,融外自投!$A:$J,7,0),"無")</f>
        <v>1091</v>
      </c>
      <c r="P1623" s="79">
        <f>IFERROR(VLOOKUP($G1623,融外自投!$A:$J,9,0),"無")</f>
        <v>790</v>
      </c>
      <c r="Q1623" s="342">
        <f>IFERROR(VLOOKUP($G1623,融外自投!$A:$J,8,0),"無")</f>
        <v>753</v>
      </c>
      <c r="R1623" s="81">
        <f>IFERROR(VLOOKUP($G1623,融外自投!$A:$J,10,0),"無")</f>
        <v>389</v>
      </c>
      <c r="S1623" s="324">
        <f>IFERROR(VLOOKUP($G1623,'321買'!$A:$E,4,0),"'沒有資料'")</f>
        <v>891</v>
      </c>
      <c r="T1623" s="186">
        <f>IFERROR(VLOOKUP($G1623,基本資料!$A:$J,9,0),"無")</f>
        <v>0.3</v>
      </c>
      <c r="U1623" s="307">
        <f t="shared" si="275"/>
        <v>3.4924330616996506E-2</v>
      </c>
      <c r="V1623" s="94">
        <f>IFERROR(VLOOKUP($G1623,基本資料!$A:$J,10,0),"無")</f>
        <v>0.63</v>
      </c>
      <c r="W1623" s="36">
        <f>RTD("money.excel",,"2897","Price")</f>
        <v>8.59</v>
      </c>
      <c r="X1623" s="66"/>
      <c r="Y1623" s="15">
        <f t="shared" si="276"/>
        <v>8.59</v>
      </c>
      <c r="Z1623" s="3" t="e">
        <f t="shared" si="277"/>
        <v>#DIV/0!</v>
      </c>
      <c r="AA1623" s="340">
        <f>IFERROR(VLOOKUP($G1623,基本資料!$A:$M,11,0),"無")</f>
        <v>-23.98</v>
      </c>
      <c r="AB1623" s="389">
        <f>IFERROR(VLOOKUP($G1623,基本資料!$A:$M,12,0),"無")</f>
        <v>22.45</v>
      </c>
      <c r="AC1623" s="22" t="s">
        <v>336</v>
      </c>
      <c r="AF1623" s="33">
        <f t="shared" si="278"/>
        <v>0</v>
      </c>
      <c r="AG1623" s="43" t="s">
        <v>2025</v>
      </c>
      <c r="AH1623" s="66">
        <f t="shared" si="280"/>
        <v>0.52667259861870264</v>
      </c>
      <c r="AI1623" s="283">
        <f>RTD("money.excel",,$G1623,"PredictVolume")</f>
        <v>4972</v>
      </c>
      <c r="AJ1623" s="391">
        <f>IFERROR(VLOOKUP($G1623,基本資料!$A:$M,13,0),"無")</f>
        <v>9440.4</v>
      </c>
      <c r="AR1623" s="245" t="str">
        <f>INDEX(基本資料!N:N,MATCH($G1623,基本資料!A:A,0))</f>
        <v>中</v>
      </c>
    </row>
    <row r="1624" spans="1:44">
      <c r="A1624" s="343">
        <f>IFERROR(VLOOKUP($G1624,基本資料!$A:$J,3,0),"無")</f>
        <v>383</v>
      </c>
      <c r="B1624" s="79">
        <f>IFERROR(VLOOKUP($G1624,基本資料!$A:$J,4,0),"無")</f>
        <v>40</v>
      </c>
      <c r="C1624" s="79">
        <f>IFERROR(VLOOKUP($G1624,基本資料!$A:$J,5,0),"無")</f>
        <v>0</v>
      </c>
      <c r="D1624" s="79">
        <f>IFERROR(VLOOKUP($G1624,基本資料!$A:$J,6,0),"無")</f>
        <v>-23</v>
      </c>
      <c r="E1624" s="79">
        <f>IFERROR(VLOOKUP($G1624,基本資料!$A:$J,7,0),"無")</f>
        <v>-33</v>
      </c>
      <c r="F1624" s="6">
        <f>IFERROR(VLOOKUP($G1624,基本資料!$A:$J,8,0),"無")</f>
        <v>0</v>
      </c>
      <c r="G1624" s="79">
        <v>5820</v>
      </c>
      <c r="H1624" s="17" t="s">
        <v>304</v>
      </c>
      <c r="I1624" s="16" t="s">
        <v>4660</v>
      </c>
      <c r="J1624" s="8" t="str">
        <f>IFERROR(VLOOKUP($G1624,今日總結!$A:$AN,39,0),"")</f>
        <v>主</v>
      </c>
      <c r="K1624" s="5">
        <f>IFERROR(VLOOKUP($G1624,今日總結!$A:$AN,40,0),"")</f>
        <v>0</v>
      </c>
      <c r="L1624" s="156">
        <f>IFERROR(VLOOKUP($G1624,今日總結!$A:$AN,37,0),"")</f>
        <v>6</v>
      </c>
      <c r="M1624" s="337">
        <f>IFERROR(VLOOKUP($G1624,今日總結!$A:$AN,38,0),"")</f>
        <v>0</v>
      </c>
      <c r="N1624" s="240">
        <f t="shared" si="279"/>
        <v>6</v>
      </c>
      <c r="O1624" s="359">
        <f>IFERROR(VLOOKUP($G1624,融外自投!$A:$J,7,0),"無")</f>
        <v>1462</v>
      </c>
      <c r="P1624" s="79">
        <f>IFERROR(VLOOKUP($G1624,融外自投!$A:$J,9,0),"無")</f>
        <v>1051</v>
      </c>
      <c r="Q1624" s="342">
        <f>IFERROR(VLOOKUP($G1624,融外自投!$A:$J,8,0),"無")</f>
        <v>211</v>
      </c>
      <c r="R1624" s="81" t="str">
        <f>IFERROR(VLOOKUP($G1624,融外自投!$A:$J,10,0),"無")</f>
        <v>無</v>
      </c>
      <c r="S1624" s="324">
        <f>IFERROR(VLOOKUP($G1624,'321買'!$A:$E,4,0),"'沒有資料'")</f>
        <v>1002</v>
      </c>
      <c r="T1624" s="186">
        <f>IFERROR(VLOOKUP($G1624,基本資料!$A:$J,9,0),"無")</f>
        <v>0.7</v>
      </c>
      <c r="U1624" s="307">
        <f t="shared" si="275"/>
        <v>5.6680161943319839E-2</v>
      </c>
      <c r="V1624" s="94">
        <f>IFERROR(VLOOKUP($G1624,基本資料!$A:$J,10,0),"無")</f>
        <v>1.06</v>
      </c>
      <c r="W1624" s="36">
        <f>RTD("money.excel",,"5820","Price")</f>
        <v>12.35</v>
      </c>
      <c r="X1624" s="66"/>
      <c r="Y1624" s="15">
        <f t="shared" si="276"/>
        <v>12.35</v>
      </c>
      <c r="Z1624" s="3" t="e">
        <f t="shared" si="277"/>
        <v>#DIV/0!</v>
      </c>
      <c r="AA1624" s="340">
        <f>IFERROR(VLOOKUP($G1624,基本資料!$A:$M,11,0),"無")</f>
        <v>-5</v>
      </c>
      <c r="AB1624" s="389">
        <f>IFERROR(VLOOKUP($G1624,基本資料!$A:$M,12,0),"無")</f>
        <v>20.170000000000002</v>
      </c>
      <c r="AC1624" s="16" t="s">
        <v>4660</v>
      </c>
      <c r="AF1624" s="33">
        <f t="shared" si="278"/>
        <v>0</v>
      </c>
      <c r="AG1624" s="117" t="s">
        <v>1991</v>
      </c>
      <c r="AH1624" s="66">
        <f t="shared" si="280"/>
        <v>2.2609305588028992</v>
      </c>
      <c r="AI1624" s="283">
        <f>RTD("money.excel",,$G1624,"PredictVolume")</f>
        <v>967</v>
      </c>
      <c r="AJ1624" s="391">
        <f>IFERROR(VLOOKUP($G1624,基本資料!$A:$M,13,0),"無")</f>
        <v>427.7</v>
      </c>
      <c r="AR1624" s="245" t="str">
        <f>INDEX(基本資料!N:N,MATCH($G1624,基本資料!A:A,0))</f>
        <v>低</v>
      </c>
    </row>
    <row r="1625" spans="1:44">
      <c r="A1625" s="343">
        <f>IFERROR(VLOOKUP($G1625,基本資料!$A:$J,3,0),"無")</f>
        <v>25.17</v>
      </c>
      <c r="B1625" s="79">
        <f>IFERROR(VLOOKUP($G1625,基本資料!$A:$J,4,0),"無")</f>
        <v>49</v>
      </c>
      <c r="C1625" s="79">
        <f>IFERROR(VLOOKUP($G1625,基本資料!$A:$J,5,0),"無")</f>
        <v>53</v>
      </c>
      <c r="D1625" s="79">
        <f>IFERROR(VLOOKUP($G1625,基本資料!$A:$J,6,0),"無")</f>
        <v>-223</v>
      </c>
      <c r="E1625" s="79">
        <f>IFERROR(VLOOKUP($G1625,基本資料!$A:$J,7,0),"無")</f>
        <v>-126</v>
      </c>
      <c r="F1625" s="6">
        <f>IFERROR(VLOOKUP($G1625,基本資料!$A:$J,8,0),"無")</f>
        <v>67.22</v>
      </c>
      <c r="G1625" s="79">
        <v>5864</v>
      </c>
      <c r="H1625" s="17" t="s">
        <v>304</v>
      </c>
      <c r="I1625" s="16" t="s">
        <v>4661</v>
      </c>
      <c r="J1625" s="8">
        <f>IFERROR(VLOOKUP($G1625,今日總結!$A:$AN,39,0),"")</f>
        <v>0</v>
      </c>
      <c r="K1625" s="5" t="str">
        <f>IFERROR(VLOOKUP($G1625,今日總結!$A:$AN,40,0),"")</f>
        <v>主融</v>
      </c>
      <c r="L1625" s="156">
        <f>IFERROR(VLOOKUP($G1625,今日總結!$A:$AN,37,0),"")</f>
        <v>0</v>
      </c>
      <c r="M1625" s="337">
        <f>IFERROR(VLOOKUP($G1625,今日總結!$A:$AN,38,0),"")</f>
        <v>3</v>
      </c>
      <c r="N1625" s="240">
        <f t="shared" si="279"/>
        <v>-3</v>
      </c>
      <c r="O1625" s="359">
        <f>IFERROR(VLOOKUP($G1625,融外自投!$A:$J,7,0),"無")</f>
        <v>676</v>
      </c>
      <c r="P1625" s="79" t="str">
        <f>IFERROR(VLOOKUP($G1625,融外自投!$A:$J,9,0),"無")</f>
        <v>無</v>
      </c>
      <c r="Q1625" s="342">
        <f>IFERROR(VLOOKUP($G1625,融外自投!$A:$J,8,0),"無")</f>
        <v>1384</v>
      </c>
      <c r="R1625" s="81" t="str">
        <f>IFERROR(VLOOKUP($G1625,融外自投!$A:$J,10,0),"無")</f>
        <v>無</v>
      </c>
      <c r="S1625" s="324">
        <f>IFERROR(VLOOKUP($G1625,'321買'!$A:$E,4,0),"'沒有資料'")</f>
        <v>891</v>
      </c>
      <c r="T1625" s="186">
        <f>IFERROR(VLOOKUP($G1625,基本資料!$A:$J,9,0),"無")</f>
        <v>1.2</v>
      </c>
      <c r="U1625" s="307">
        <f t="shared" si="275"/>
        <v>8.7272727272727266E-2</v>
      </c>
      <c r="V1625" s="94">
        <f>IFERROR(VLOOKUP($G1625,基本資料!$A:$J,10,0),"無")</f>
        <v>2.79</v>
      </c>
      <c r="W1625" s="36">
        <f>RTD("money.excel",,"5864","Price")</f>
        <v>13.75</v>
      </c>
      <c r="X1625" s="66"/>
      <c r="Y1625" s="15">
        <f t="shared" si="276"/>
        <v>13.75</v>
      </c>
      <c r="Z1625" s="3" t="e">
        <f t="shared" si="277"/>
        <v>#DIV/0!</v>
      </c>
      <c r="AA1625" s="340">
        <f>IFERROR(VLOOKUP($G1625,基本資料!$A:$M,11,0),"無")</f>
        <v>-39.56</v>
      </c>
      <c r="AB1625" s="389">
        <f>IFERROR(VLOOKUP($G1625,基本資料!$A:$M,12,0),"無")</f>
        <v>23</v>
      </c>
      <c r="AC1625" s="16" t="s">
        <v>4661</v>
      </c>
      <c r="AF1625" s="33">
        <f t="shared" si="278"/>
        <v>0</v>
      </c>
      <c r="AG1625" s="43" t="s">
        <v>2195</v>
      </c>
      <c r="AH1625" s="66">
        <f t="shared" si="280"/>
        <v>0.46280991735537191</v>
      </c>
      <c r="AI1625" s="283">
        <f>RTD("money.excel",,$G1625,"PredictVolume")</f>
        <v>112</v>
      </c>
      <c r="AJ1625" s="391">
        <f>IFERROR(VLOOKUP($G1625,基本資料!$A:$M,13,0),"無")</f>
        <v>242</v>
      </c>
      <c r="AR1625" s="245" t="str">
        <f>INDEX(基本資料!N:N,MATCH($G1625,基本資料!A:A,0))</f>
        <v>低</v>
      </c>
    </row>
    <row r="1626" spans="1:44">
      <c r="A1626" s="343">
        <f>IFERROR(VLOOKUP($G1626,基本資料!$A:$J,3,0),"無")</f>
        <v>448</v>
      </c>
      <c r="B1626" s="79">
        <f>IFERROR(VLOOKUP($G1626,基本資料!$A:$J,4,0),"無")</f>
        <v>4</v>
      </c>
      <c r="C1626" s="79">
        <f>IFERROR(VLOOKUP($G1626,基本資料!$A:$J,5,0),"無")</f>
        <v>0</v>
      </c>
      <c r="D1626" s="79">
        <f>IFERROR(VLOOKUP($G1626,基本資料!$A:$J,6,0),"無")</f>
        <v>-14</v>
      </c>
      <c r="E1626" s="79">
        <f>IFERROR(VLOOKUP($G1626,基本資料!$A:$J,7,0),"無")</f>
        <v>14</v>
      </c>
      <c r="F1626" s="6">
        <f>IFERROR(VLOOKUP($G1626,基本資料!$A:$J,8,0),"無")</f>
        <v>0</v>
      </c>
      <c r="G1626" s="79">
        <v>5876</v>
      </c>
      <c r="H1626" s="17" t="s">
        <v>304</v>
      </c>
      <c r="I1626" s="22" t="s">
        <v>1124</v>
      </c>
      <c r="J1626" s="8">
        <f>IFERROR(VLOOKUP($G1626,今日總結!$A:$AN,39,0),"")</f>
        <v>0</v>
      </c>
      <c r="K1626" s="5">
        <f>IFERROR(VLOOKUP($G1626,今日總結!$A:$AN,40,0),"")</f>
        <v>0</v>
      </c>
      <c r="L1626" s="156">
        <f>IFERROR(VLOOKUP($G1626,今日總結!$A:$AN,37,0),"")</f>
        <v>0</v>
      </c>
      <c r="M1626" s="337">
        <f>IFERROR(VLOOKUP($G1626,今日總結!$A:$AN,38,0),"")</f>
        <v>0</v>
      </c>
      <c r="N1626" s="240">
        <f t="shared" si="279"/>
        <v>0</v>
      </c>
      <c r="O1626" s="359">
        <f>IFERROR(VLOOKUP($G1626,融外自投!$A:$J,7,0),"無")</f>
        <v>1413</v>
      </c>
      <c r="P1626" s="79">
        <f>IFERROR(VLOOKUP($G1626,融外自投!$A:$J,9,0),"無")</f>
        <v>615</v>
      </c>
      <c r="Q1626" s="342">
        <f>IFERROR(VLOOKUP($G1626,融外自投!$A:$J,8,0),"無")</f>
        <v>52</v>
      </c>
      <c r="R1626" s="81">
        <f>IFERROR(VLOOKUP($G1626,融外自投!$A:$J,10,0),"無")</f>
        <v>224</v>
      </c>
      <c r="S1626" s="324">
        <f>IFERROR(VLOOKUP($G1626,'321買'!$A:$E,4,0),"'沒有資料'")</f>
        <v>411</v>
      </c>
      <c r="T1626" s="186">
        <f>IFERROR(VLOOKUP($G1626,基本資料!$A:$J,9,0),"無")</f>
        <v>1.8</v>
      </c>
      <c r="U1626" s="307">
        <f t="shared" si="275"/>
        <v>3.8918918918918917E-2</v>
      </c>
      <c r="V1626" s="94">
        <f>IFERROR(VLOOKUP($G1626,基本資料!$A:$J,10,0),"無")</f>
        <v>3.19</v>
      </c>
      <c r="W1626" s="36">
        <f>RTD("money.excel",,"5876","Price")</f>
        <v>46.25</v>
      </c>
      <c r="X1626" s="66"/>
      <c r="Y1626" s="15">
        <f t="shared" si="276"/>
        <v>46.25</v>
      </c>
      <c r="Z1626" s="3" t="e">
        <f t="shared" si="277"/>
        <v>#DIV/0!</v>
      </c>
      <c r="AA1626" s="340">
        <f>IFERROR(VLOOKUP($G1626,基本資料!$A:$M,11,0),"無")</f>
        <v>-9.31</v>
      </c>
      <c r="AB1626" s="389">
        <f>IFERROR(VLOOKUP($G1626,基本資料!$A:$M,12,0),"無")</f>
        <v>38.75</v>
      </c>
      <c r="AC1626" s="22" t="s">
        <v>1124</v>
      </c>
      <c r="AF1626" s="33">
        <f t="shared" si="278"/>
        <v>0</v>
      </c>
      <c r="AG1626" s="43" t="s">
        <v>1125</v>
      </c>
      <c r="AH1626" s="66">
        <f t="shared" si="280"/>
        <v>0.93184136228584935</v>
      </c>
      <c r="AI1626" s="283">
        <f>RTD("money.excel",,$G1626,"PredictVolume")</f>
        <v>3152</v>
      </c>
      <c r="AJ1626" s="391">
        <f>IFERROR(VLOOKUP($G1626,基本資料!$A:$M,13,0),"無")</f>
        <v>3382.55</v>
      </c>
      <c r="AR1626" s="245" t="str">
        <f>INDEX(基本資料!N:N,MATCH($G1626,基本資料!A:A,0))</f>
        <v>中</v>
      </c>
    </row>
    <row r="1627" spans="1:44">
      <c r="A1627" s="343">
        <f>IFERROR(VLOOKUP($G1627,基本資料!$A:$J,3,0),"無")</f>
        <v>2.5</v>
      </c>
      <c r="B1627" s="79">
        <f>IFERROR(VLOOKUP($G1627,基本資料!$A:$J,4,0),"無")</f>
        <v>-14</v>
      </c>
      <c r="C1627" s="79">
        <f>IFERROR(VLOOKUP($G1627,基本資料!$A:$J,5,0),"無")</f>
        <v>-17</v>
      </c>
      <c r="D1627" s="79">
        <f>IFERROR(VLOOKUP($G1627,基本資料!$A:$J,6,0),"無")</f>
        <v>13</v>
      </c>
      <c r="E1627" s="79">
        <f>IFERROR(VLOOKUP($G1627,基本資料!$A:$J,7,0),"無")</f>
        <v>2</v>
      </c>
      <c r="F1627" s="6">
        <f>IFERROR(VLOOKUP($G1627,基本資料!$A:$J,8,0),"無")</f>
        <v>10.48</v>
      </c>
      <c r="G1627" s="79">
        <v>5878</v>
      </c>
      <c r="H1627" s="17" t="s">
        <v>304</v>
      </c>
      <c r="I1627" s="16" t="s">
        <v>338</v>
      </c>
      <c r="J1627" s="8" t="str">
        <f>IFERROR(VLOOKUP($G1627,今日總結!$A:$AN,39,0),"")</f>
        <v/>
      </c>
      <c r="K1627" s="5" t="str">
        <f>IFERROR(VLOOKUP($G1627,今日總結!$A:$AN,40,0),"")</f>
        <v/>
      </c>
      <c r="L1627" s="156" t="str">
        <f>IFERROR(VLOOKUP($G1627,今日總結!$A:$AN,37,0),"")</f>
        <v/>
      </c>
      <c r="M1627" s="337" t="str">
        <f>IFERROR(VLOOKUP($G1627,今日總結!$A:$AN,38,0),"")</f>
        <v/>
      </c>
      <c r="N1627" s="240" t="str">
        <f t="shared" si="279"/>
        <v/>
      </c>
      <c r="O1627" s="359" t="str">
        <f>IFERROR(VLOOKUP($G1627,融外自投!$A:$J,7,0),"無")</f>
        <v>無</v>
      </c>
      <c r="P1627" s="79" t="str">
        <f>IFERROR(VLOOKUP($G1627,融外自投!$A:$J,9,0),"無")</f>
        <v>無</v>
      </c>
      <c r="Q1627" s="342" t="str">
        <f>IFERROR(VLOOKUP($G1627,融外自投!$A:$J,8,0),"無")</f>
        <v>無</v>
      </c>
      <c r="R1627" s="81" t="str">
        <f>IFERROR(VLOOKUP($G1627,融外自投!$A:$J,10,0),"無")</f>
        <v>無</v>
      </c>
      <c r="S1627" s="324" t="str">
        <f>IFERROR(VLOOKUP($G1627,'321買'!$A:$E,4,0),"'沒有資料'")</f>
        <v>'沒有資料'</v>
      </c>
      <c r="T1627" s="186">
        <f>IFERROR(VLOOKUP($G1627,基本資料!$A:$J,9,0),"無")</f>
        <v>3</v>
      </c>
      <c r="U1627" s="307">
        <f t="shared" si="275"/>
        <v>6.1349693251533742E-2</v>
      </c>
      <c r="V1627" s="94">
        <f>IFERROR(VLOOKUP($G1627,基本資料!$A:$J,10,0),"無")</f>
        <v>2.98</v>
      </c>
      <c r="W1627" s="36">
        <f>RTD("money.excel",,"5878","Price")</f>
        <v>48.9</v>
      </c>
      <c r="X1627" s="66"/>
      <c r="Y1627" s="15">
        <f t="shared" si="276"/>
        <v>48.9</v>
      </c>
      <c r="Z1627" s="3" t="e">
        <f t="shared" si="277"/>
        <v>#DIV/0!</v>
      </c>
      <c r="AA1627" s="340">
        <f>IFERROR(VLOOKUP($G1627,基本資料!$A:$M,11,0),"無")</f>
        <v>-1.81</v>
      </c>
      <c r="AB1627" s="389">
        <f>IFERROR(VLOOKUP($G1627,基本資料!$A:$M,12,0),"無")</f>
        <v>68.430000000000007</v>
      </c>
      <c r="AC1627" s="16" t="s">
        <v>338</v>
      </c>
      <c r="AF1627" s="33">
        <f t="shared" si="278"/>
        <v>0</v>
      </c>
      <c r="AG1627" s="43" t="s">
        <v>2704</v>
      </c>
      <c r="AH1627" s="66">
        <f t="shared" si="280"/>
        <v>0.82644628099173556</v>
      </c>
      <c r="AI1627" s="283">
        <f>RTD("money.excel",,$G1627,"PredictVolume")</f>
        <v>5</v>
      </c>
      <c r="AJ1627" s="391">
        <f>IFERROR(VLOOKUP($G1627,基本資料!$A:$M,13,0),"無")</f>
        <v>6.05</v>
      </c>
      <c r="AR1627" s="245" t="str">
        <f>INDEX(基本資料!N:N,MATCH($G1627,基本資料!A:A,0))</f>
        <v>高</v>
      </c>
    </row>
    <row r="1628" spans="1:44">
      <c r="A1628" s="343">
        <f>IFERROR(VLOOKUP($G1628,基本資料!$A:$J,3,0),"無")</f>
        <v>1360</v>
      </c>
      <c r="B1628" s="79">
        <f>IFERROR(VLOOKUP($G1628,基本資料!$A:$J,4,0),"無")</f>
        <v>23</v>
      </c>
      <c r="C1628" s="79">
        <f>IFERROR(VLOOKUP($G1628,基本資料!$A:$J,5,0),"無")</f>
        <v>0</v>
      </c>
      <c r="D1628" s="79">
        <f>IFERROR(VLOOKUP($G1628,基本資料!$A:$J,6,0),"無")</f>
        <v>-13</v>
      </c>
      <c r="E1628" s="79">
        <f>IFERROR(VLOOKUP($G1628,基本資料!$A:$J,7,0),"無")</f>
        <v>-25</v>
      </c>
      <c r="F1628" s="6">
        <f>IFERROR(VLOOKUP($G1628,基本資料!$A:$J,8,0),"無")</f>
        <v>0</v>
      </c>
      <c r="G1628" s="79">
        <v>5880</v>
      </c>
      <c r="H1628" s="17" t="s">
        <v>304</v>
      </c>
      <c r="I1628" s="22" t="s">
        <v>4662</v>
      </c>
      <c r="J1628" s="8">
        <f>IFERROR(VLOOKUP($G1628,今日總結!$A:$AN,39,0),"")</f>
        <v>0</v>
      </c>
      <c r="K1628" s="5">
        <f>IFERROR(VLOOKUP($G1628,今日總結!$A:$AN,40,0),"")</f>
        <v>0</v>
      </c>
      <c r="L1628" s="156">
        <f>IFERROR(VLOOKUP($G1628,今日總結!$A:$AN,37,0),"")</f>
        <v>0</v>
      </c>
      <c r="M1628" s="337">
        <f>IFERROR(VLOOKUP($G1628,今日總結!$A:$AN,38,0),"")</f>
        <v>0</v>
      </c>
      <c r="N1628" s="240">
        <f t="shared" si="279"/>
        <v>0</v>
      </c>
      <c r="O1628" s="359">
        <f>IFERROR(VLOOKUP($G1628,融外自投!$A:$J,7,0),"無")</f>
        <v>1437</v>
      </c>
      <c r="P1628" s="79">
        <f>IFERROR(VLOOKUP($G1628,融外自投!$A:$J,9,0),"無")</f>
        <v>615</v>
      </c>
      <c r="Q1628" s="342">
        <f>IFERROR(VLOOKUP($G1628,融外自投!$A:$J,8,0),"無")</f>
        <v>303</v>
      </c>
      <c r="R1628" s="81">
        <f>IFERROR(VLOOKUP($G1628,融外自投!$A:$J,10,0),"無")</f>
        <v>212</v>
      </c>
      <c r="S1628" s="324">
        <f>IFERROR(VLOOKUP($G1628,'321買'!$A:$E,4,0),"'沒有資料'")</f>
        <v>178</v>
      </c>
      <c r="T1628" s="186">
        <f>IFERROR(VLOOKUP($G1628,基本資料!$A:$J,9,0),"無")</f>
        <v>1.3</v>
      </c>
      <c r="U1628" s="307">
        <f t="shared" si="275"/>
        <v>5.0682261208577002E-2</v>
      </c>
      <c r="V1628" s="94">
        <f>IFERROR(VLOOKUP($G1628,基本資料!$A:$J,10,0),"無")</f>
        <v>1.51</v>
      </c>
      <c r="W1628" s="36">
        <f>RTD("money.excel",,"5880","Price")</f>
        <v>25.65</v>
      </c>
      <c r="X1628" s="66"/>
      <c r="Y1628" s="15">
        <f t="shared" si="276"/>
        <v>25.65</v>
      </c>
      <c r="Z1628" s="3" t="e">
        <f t="shared" si="277"/>
        <v>#DIV/0!</v>
      </c>
      <c r="AA1628" s="340">
        <f>IFERROR(VLOOKUP($G1628,基本資料!$A:$M,11,0),"無")</f>
        <v>-18.57</v>
      </c>
      <c r="AB1628" s="389">
        <f>IFERROR(VLOOKUP($G1628,基本資料!$A:$M,12,0),"無")</f>
        <v>27.4</v>
      </c>
      <c r="AC1628" s="22" t="s">
        <v>4662</v>
      </c>
      <c r="AF1628" s="33">
        <f t="shared" si="278"/>
        <v>0</v>
      </c>
      <c r="AG1628" s="117" t="s">
        <v>2602</v>
      </c>
      <c r="AH1628" s="66">
        <f t="shared" si="280"/>
        <v>0.81889300629374739</v>
      </c>
      <c r="AI1628" s="283">
        <f>RTD("money.excel",,$G1628,"PredictVolume")</f>
        <v>13922</v>
      </c>
      <c r="AJ1628" s="391">
        <f>IFERROR(VLOOKUP($G1628,基本資料!$A:$M,13,0),"無")</f>
        <v>17001</v>
      </c>
      <c r="AR1628" s="245" t="str">
        <f>INDEX(基本資料!N:N,MATCH($G1628,基本資料!A:A,0))</f>
        <v>中</v>
      </c>
    </row>
    <row r="1629" spans="1:44">
      <c r="A1629" s="343">
        <f>IFERROR(VLOOKUP($G1629,基本資料!$A:$J,3,0),"無")</f>
        <v>217</v>
      </c>
      <c r="B1629" s="79">
        <f>IFERROR(VLOOKUP($G1629,基本資料!$A:$J,4,0),"無")</f>
        <v>42</v>
      </c>
      <c r="C1629" s="79">
        <f>IFERROR(VLOOKUP($G1629,基本資料!$A:$J,5,0),"無")</f>
        <v>63</v>
      </c>
      <c r="D1629" s="79">
        <f>IFERROR(VLOOKUP($G1629,基本資料!$A:$J,6,0),"無")</f>
        <v>-53</v>
      </c>
      <c r="E1629" s="79">
        <f>IFERROR(VLOOKUP($G1629,基本資料!$A:$J,7,0),"無")</f>
        <v>-67</v>
      </c>
      <c r="F1629" s="6">
        <f>IFERROR(VLOOKUP($G1629,基本資料!$A:$J,8,0),"無")</f>
        <v>40.06</v>
      </c>
      <c r="G1629" s="79">
        <v>6005</v>
      </c>
      <c r="H1629" s="17" t="s">
        <v>304</v>
      </c>
      <c r="I1629" s="22" t="s">
        <v>4663</v>
      </c>
      <c r="J1629" s="8">
        <f>IFERROR(VLOOKUP($G1629,今日總結!$A:$AN,39,0),"")</f>
        <v>0</v>
      </c>
      <c r="K1629" s="5">
        <f>IFERROR(VLOOKUP($G1629,今日總結!$A:$AN,40,0),"")</f>
        <v>0</v>
      </c>
      <c r="L1629" s="156">
        <f>IFERROR(VLOOKUP($G1629,今日總結!$A:$AN,37,0),"")</f>
        <v>0</v>
      </c>
      <c r="M1629" s="337">
        <f>IFERROR(VLOOKUP($G1629,今日總結!$A:$AN,38,0),"")</f>
        <v>0</v>
      </c>
      <c r="N1629" s="240">
        <f t="shared" si="279"/>
        <v>0</v>
      </c>
      <c r="O1629" s="359">
        <f>IFERROR(VLOOKUP($G1629,融外自投!$A:$J,7,0),"無")</f>
        <v>1241</v>
      </c>
      <c r="P1629" s="79" t="str">
        <f>IFERROR(VLOOKUP($G1629,融外自投!$A:$J,9,0),"無")</f>
        <v>無</v>
      </c>
      <c r="Q1629" s="342">
        <f>IFERROR(VLOOKUP($G1629,融外自投!$A:$J,8,0),"無")</f>
        <v>324</v>
      </c>
      <c r="R1629" s="81">
        <f>IFERROR(VLOOKUP($G1629,融外自投!$A:$J,10,0),"無")</f>
        <v>283</v>
      </c>
      <c r="S1629" s="324">
        <f>IFERROR(VLOOKUP($G1629,'321買'!$A:$E,4,0),"'沒有資料'")</f>
        <v>1002</v>
      </c>
      <c r="T1629" s="186">
        <f>IFERROR(VLOOKUP($G1629,基本資料!$A:$J,9,0),"無")</f>
        <v>1.65</v>
      </c>
      <c r="U1629" s="307">
        <f t="shared" si="275"/>
        <v>0.11702127659574468</v>
      </c>
      <c r="V1629" s="94">
        <f>IFERROR(VLOOKUP($G1629,基本資料!$A:$J,10,0),"無")</f>
        <v>2.42</v>
      </c>
      <c r="W1629" s="36">
        <f>RTD("money.excel",,"6005","Price")</f>
        <v>14.1</v>
      </c>
      <c r="X1629" s="66"/>
      <c r="Y1629" s="15">
        <f t="shared" si="276"/>
        <v>14.1</v>
      </c>
      <c r="Z1629" s="3" t="e">
        <f t="shared" si="277"/>
        <v>#DIV/0!</v>
      </c>
      <c r="AA1629" s="340">
        <f>IFERROR(VLOOKUP($G1629,基本資料!$A:$M,11,0),"無")</f>
        <v>-21.01</v>
      </c>
      <c r="AB1629" s="389">
        <f>IFERROR(VLOOKUP($G1629,基本資料!$A:$M,12,0),"無")</f>
        <v>27.6</v>
      </c>
      <c r="AC1629" s="22" t="s">
        <v>4663</v>
      </c>
      <c r="AF1629" s="33">
        <f t="shared" si="278"/>
        <v>0</v>
      </c>
      <c r="AG1629" s="117" t="s">
        <v>2195</v>
      </c>
      <c r="AH1629" s="66">
        <f t="shared" si="280"/>
        <v>1.2812541905911325</v>
      </c>
      <c r="AI1629" s="283">
        <f>RTD("money.excel",,$G1629,"PredictVolume")</f>
        <v>5255</v>
      </c>
      <c r="AJ1629" s="391">
        <f>IFERROR(VLOOKUP($G1629,基本資料!$A:$M,13,0),"無")</f>
        <v>4101.45</v>
      </c>
      <c r="AR1629" s="245" t="str">
        <f>INDEX(基本資料!N:N,MATCH($G1629,基本資料!A:A,0))</f>
        <v>低</v>
      </c>
    </row>
    <row r="1630" spans="1:44">
      <c r="A1630" s="343">
        <f>IFERROR(VLOOKUP($G1630,基本資料!$A:$J,3,0),"無")</f>
        <v>33.130000000000003</v>
      </c>
      <c r="B1630" s="79">
        <f>IFERROR(VLOOKUP($G1630,基本資料!$A:$J,4,0),"無")</f>
        <v>198</v>
      </c>
      <c r="C1630" s="79">
        <f>IFERROR(VLOOKUP($G1630,基本資料!$A:$J,5,0),"無")</f>
        <v>276</v>
      </c>
      <c r="D1630" s="79">
        <f>IFERROR(VLOOKUP($G1630,基本資料!$A:$J,6,0),"無")</f>
        <v>-33</v>
      </c>
      <c r="E1630" s="79">
        <f>IFERROR(VLOOKUP($G1630,基本資料!$A:$J,7,0),"無")</f>
        <v>-88</v>
      </c>
      <c r="F1630" s="6">
        <f>IFERROR(VLOOKUP($G1630,基本資料!$A:$J,8,0),"無")</f>
        <v>46</v>
      </c>
      <c r="G1630" s="79">
        <v>6015</v>
      </c>
      <c r="H1630" s="17" t="s">
        <v>304</v>
      </c>
      <c r="I1630" s="16" t="s">
        <v>339</v>
      </c>
      <c r="J1630" s="8">
        <f>IFERROR(VLOOKUP($G1630,今日總結!$A:$AN,39,0),"")</f>
        <v>0</v>
      </c>
      <c r="K1630" s="5" t="str">
        <f>IFERROR(VLOOKUP($G1630,今日總結!$A:$AN,40,0),"")</f>
        <v>融外借</v>
      </c>
      <c r="L1630" s="156">
        <f>IFERROR(VLOOKUP($G1630,今日總結!$A:$AN,37,0),"")</f>
        <v>0</v>
      </c>
      <c r="M1630" s="337">
        <f>IFERROR(VLOOKUP($G1630,今日總結!$A:$AN,38,0),"")</f>
        <v>8</v>
      </c>
      <c r="N1630" s="240">
        <f t="shared" si="279"/>
        <v>-8</v>
      </c>
      <c r="O1630" s="359">
        <f>IFERROR(VLOOKUP($G1630,融外自投!$A:$J,7,0),"無")</f>
        <v>444</v>
      </c>
      <c r="P1630" s="79" t="str">
        <f>IFERROR(VLOOKUP($G1630,融外自投!$A:$J,9,0),"無")</f>
        <v>無</v>
      </c>
      <c r="Q1630" s="342">
        <f>IFERROR(VLOOKUP($G1630,融外自投!$A:$J,8,0),"無")</f>
        <v>1133</v>
      </c>
      <c r="R1630" s="81" t="str">
        <f>IFERROR(VLOOKUP($G1630,融外自投!$A:$J,10,0),"無")</f>
        <v>無</v>
      </c>
      <c r="S1630" s="324">
        <f>IFERROR(VLOOKUP($G1630,'321買'!$A:$E,4,0),"'沒有資料'")</f>
        <v>650</v>
      </c>
      <c r="T1630" s="186">
        <f>IFERROR(VLOOKUP($G1630,基本資料!$A:$J,9,0),"無")</f>
        <v>2.4</v>
      </c>
      <c r="U1630" s="307">
        <f t="shared" si="275"/>
        <v>0.16107382550335569</v>
      </c>
      <c r="V1630" s="94">
        <f>IFERROR(VLOOKUP($G1630,基本資料!$A:$J,10,0),"無")</f>
        <v>3.74</v>
      </c>
      <c r="W1630" s="36">
        <f>RTD("money.excel",,"6015","Price")</f>
        <v>14.9</v>
      </c>
      <c r="X1630" s="66"/>
      <c r="Y1630" s="15">
        <f t="shared" si="276"/>
        <v>14.9</v>
      </c>
      <c r="Z1630" s="3" t="e">
        <f t="shared" si="277"/>
        <v>#DIV/0!</v>
      </c>
      <c r="AA1630" s="340">
        <f>IFERROR(VLOOKUP($G1630,基本資料!$A:$M,11,0),"無")</f>
        <v>-45.52</v>
      </c>
      <c r="AB1630" s="389">
        <f>IFERROR(VLOOKUP($G1630,基本資料!$A:$M,12,0),"無")</f>
        <v>35.71</v>
      </c>
      <c r="AC1630" s="16" t="s">
        <v>339</v>
      </c>
      <c r="AF1630" s="33">
        <f t="shared" si="278"/>
        <v>0</v>
      </c>
      <c r="AG1630" s="43" t="s">
        <v>2194</v>
      </c>
      <c r="AH1630" s="66">
        <f t="shared" si="280"/>
        <v>0.51047218677276474</v>
      </c>
      <c r="AI1630" s="283">
        <f>RTD("money.excel",,$G1630,"PredictVolume")</f>
        <v>1020</v>
      </c>
      <c r="AJ1630" s="391">
        <f>IFERROR(VLOOKUP($G1630,基本資料!$A:$M,13,0),"無")</f>
        <v>1998.15</v>
      </c>
      <c r="AR1630" s="245" t="str">
        <f>INDEX(基本資料!N:N,MATCH($G1630,基本資料!A:A,0))</f>
        <v>低</v>
      </c>
    </row>
    <row r="1631" spans="1:44">
      <c r="A1631" s="343">
        <f>IFERROR(VLOOKUP($G1631,基本資料!$A:$J,3,0),"無")</f>
        <v>59.44</v>
      </c>
      <c r="B1631" s="79">
        <f>IFERROR(VLOOKUP($G1631,基本資料!$A:$J,4,0),"無")</f>
        <v>27</v>
      </c>
      <c r="C1631" s="79">
        <f>IFERROR(VLOOKUP($G1631,基本資料!$A:$J,5,0),"無")</f>
        <v>50</v>
      </c>
      <c r="D1631" s="79">
        <f>IFERROR(VLOOKUP($G1631,基本資料!$A:$J,6,0),"無")</f>
        <v>-62</v>
      </c>
      <c r="E1631" s="79">
        <f>IFERROR(VLOOKUP($G1631,基本資料!$A:$J,7,0),"無")</f>
        <v>-81</v>
      </c>
      <c r="F1631" s="6">
        <f>IFERROR(VLOOKUP($G1631,基本資料!$A:$J,8,0),"無")</f>
        <v>34.200000000000003</v>
      </c>
      <c r="G1631" s="79">
        <v>6016</v>
      </c>
      <c r="H1631" s="17" t="s">
        <v>304</v>
      </c>
      <c r="I1631" s="16" t="s">
        <v>340</v>
      </c>
      <c r="J1631" s="8">
        <f>IFERROR(VLOOKUP($G1631,今日總結!$A:$AN,39,0),"")</f>
        <v>0</v>
      </c>
      <c r="K1631" s="5" t="str">
        <f>IFERROR(VLOOKUP($G1631,今日總結!$A:$AN,40,0),"")</f>
        <v>主外</v>
      </c>
      <c r="L1631" s="156">
        <f>IFERROR(VLOOKUP($G1631,今日總結!$A:$AN,37,0),"")</f>
        <v>0</v>
      </c>
      <c r="M1631" s="337">
        <f>IFERROR(VLOOKUP($G1631,今日總結!$A:$AN,38,0),"")</f>
        <v>15</v>
      </c>
      <c r="N1631" s="240">
        <f t="shared" si="279"/>
        <v>-15</v>
      </c>
      <c r="O1631" s="359">
        <f>IFERROR(VLOOKUP($G1631,融外自投!$A:$J,7,0),"無")</f>
        <v>819</v>
      </c>
      <c r="P1631" s="79" t="str">
        <f>IFERROR(VLOOKUP($G1631,融外自投!$A:$J,9,0),"無")</f>
        <v>無</v>
      </c>
      <c r="Q1631" s="342">
        <f>IFERROR(VLOOKUP($G1631,融外自投!$A:$J,8,0),"無")</f>
        <v>999</v>
      </c>
      <c r="R1631" s="81" t="str">
        <f>IFERROR(VLOOKUP($G1631,融外自投!$A:$J,10,0),"無")</f>
        <v>無</v>
      </c>
      <c r="S1631" s="324">
        <f>IFERROR(VLOOKUP($G1631,'321買'!$A:$E,4,0),"'沒有資料'")</f>
        <v>891</v>
      </c>
      <c r="T1631" s="186">
        <f>IFERROR(VLOOKUP($G1631,基本資料!$A:$J,9,0),"無")</f>
        <v>1.55</v>
      </c>
      <c r="U1631" s="307">
        <f t="shared" si="275"/>
        <v>0.12301587301587302</v>
      </c>
      <c r="V1631" s="94">
        <f>IFERROR(VLOOKUP($G1631,基本資料!$A:$J,10,0),"無")</f>
        <v>2.33</v>
      </c>
      <c r="W1631" s="36">
        <f>RTD("money.excel",,"6016","Price")</f>
        <v>12.6</v>
      </c>
      <c r="X1631" s="66"/>
      <c r="Y1631" s="15">
        <f t="shared" si="276"/>
        <v>12.6</v>
      </c>
      <c r="Z1631" s="3" t="e">
        <f t="shared" si="277"/>
        <v>#DIV/0!</v>
      </c>
      <c r="AA1631" s="340">
        <f>IFERROR(VLOOKUP($G1631,基本資料!$A:$M,11,0),"無")</f>
        <v>-28.61</v>
      </c>
      <c r="AB1631" s="389">
        <f>IFERROR(VLOOKUP($G1631,基本資料!$A:$M,12,0),"無")</f>
        <v>26.64</v>
      </c>
      <c r="AC1631" s="16" t="s">
        <v>340</v>
      </c>
      <c r="AF1631" s="33">
        <f t="shared" si="278"/>
        <v>0</v>
      </c>
      <c r="AG1631" s="43" t="s">
        <v>1991</v>
      </c>
      <c r="AH1631" s="66">
        <f t="shared" si="280"/>
        <v>0.76755206384836017</v>
      </c>
      <c r="AI1631" s="283">
        <f>RTD("money.excel",,$G1631,"PredictVolume")</f>
        <v>1231</v>
      </c>
      <c r="AJ1631" s="391">
        <f>IFERROR(VLOOKUP($G1631,基本資料!$A:$M,13,0),"無")</f>
        <v>1603.8</v>
      </c>
      <c r="AR1631" s="245" t="str">
        <f>INDEX(基本資料!N:N,MATCH($G1631,基本資料!A:A,0))</f>
        <v>低</v>
      </c>
    </row>
    <row r="1632" spans="1:44">
      <c r="A1632" s="343">
        <f>IFERROR(VLOOKUP($G1632,基本資料!$A:$J,3,0),"無")</f>
        <v>25.23</v>
      </c>
      <c r="B1632" s="79">
        <f>IFERROR(VLOOKUP($G1632,基本資料!$A:$J,4,0),"無")</f>
        <v>229</v>
      </c>
      <c r="C1632" s="79">
        <f>IFERROR(VLOOKUP($G1632,基本資料!$A:$J,5,0),"無")</f>
        <v>290</v>
      </c>
      <c r="D1632" s="79">
        <f>IFERROR(VLOOKUP($G1632,基本資料!$A:$J,6,0),"無")</f>
        <v>-365</v>
      </c>
      <c r="E1632" s="79">
        <f>IFERROR(VLOOKUP($G1632,基本資料!$A:$J,7,0),"無")</f>
        <v>-149</v>
      </c>
      <c r="F1632" s="6">
        <f>IFERROR(VLOOKUP($G1632,基本資料!$A:$J,8,0),"無")</f>
        <v>73.42</v>
      </c>
      <c r="G1632" s="79">
        <v>6020</v>
      </c>
      <c r="H1632" s="17" t="s">
        <v>304</v>
      </c>
      <c r="I1632" s="16" t="s">
        <v>4664</v>
      </c>
      <c r="J1632" s="8">
        <f>IFERROR(VLOOKUP($G1632,今日總結!$A:$AN,39,0),"")</f>
        <v>0</v>
      </c>
      <c r="K1632" s="5">
        <f>IFERROR(VLOOKUP($G1632,今日總結!$A:$AN,40,0),"")</f>
        <v>0</v>
      </c>
      <c r="L1632" s="156">
        <f>IFERROR(VLOOKUP($G1632,今日總結!$A:$AN,37,0),"")</f>
        <v>0</v>
      </c>
      <c r="M1632" s="337">
        <f>IFERROR(VLOOKUP($G1632,今日總結!$A:$AN,38,0),"")</f>
        <v>0</v>
      </c>
      <c r="N1632" s="240">
        <f t="shared" si="279"/>
        <v>0</v>
      </c>
      <c r="O1632" s="359">
        <f>IFERROR(VLOOKUP($G1632,融外自投!$A:$J,7,0),"無")</f>
        <v>1407</v>
      </c>
      <c r="P1632" s="79" t="str">
        <f>IFERROR(VLOOKUP($G1632,融外自投!$A:$J,9,0),"無")</f>
        <v>無</v>
      </c>
      <c r="Q1632" s="342">
        <f>IFERROR(VLOOKUP($G1632,融外自投!$A:$J,8,0),"無")</f>
        <v>1459</v>
      </c>
      <c r="R1632" s="81" t="str">
        <f>IFERROR(VLOOKUP($G1632,融外自投!$A:$J,10,0),"無")</f>
        <v>無</v>
      </c>
      <c r="S1632" s="324">
        <f>IFERROR(VLOOKUP($G1632,'321買'!$A:$E,4,0),"'沒有資料'")</f>
        <v>1002</v>
      </c>
      <c r="T1632" s="186">
        <f>IFERROR(VLOOKUP($G1632,基本資料!$A:$J,9,0),"無")</f>
        <v>2.38</v>
      </c>
      <c r="U1632" s="307">
        <f t="shared" si="275"/>
        <v>0.12395833333333334</v>
      </c>
      <c r="V1632" s="94">
        <f>IFERROR(VLOOKUP($G1632,基本資料!$A:$J,10,0),"無")</f>
        <v>3.4</v>
      </c>
      <c r="W1632" s="36">
        <f>RTD("money.excel",,"6020","Price")</f>
        <v>19.2</v>
      </c>
      <c r="X1632" s="66"/>
      <c r="Y1632" s="15">
        <f t="shared" si="276"/>
        <v>19.2</v>
      </c>
      <c r="Z1632" s="3" t="e">
        <f t="shared" si="277"/>
        <v>#DIV/0!</v>
      </c>
      <c r="AA1632" s="340">
        <f>IFERROR(VLOOKUP($G1632,基本資料!$A:$M,11,0),"無")</f>
        <v>-21.47</v>
      </c>
      <c r="AB1632" s="389">
        <f>IFERROR(VLOOKUP($G1632,基本資料!$A:$M,12,0),"無")</f>
        <v>11.78</v>
      </c>
      <c r="AC1632" s="16" t="s">
        <v>4664</v>
      </c>
      <c r="AF1632" s="33">
        <f t="shared" si="278"/>
        <v>0</v>
      </c>
      <c r="AG1632" s="43" t="s">
        <v>2195</v>
      </c>
      <c r="AH1632" s="66">
        <f t="shared" si="280"/>
        <v>0.21547502448579825</v>
      </c>
      <c r="AI1632" s="283">
        <f>RTD("money.excel",,$G1632,"PredictVolume")</f>
        <v>11</v>
      </c>
      <c r="AJ1632" s="391">
        <f>IFERROR(VLOOKUP($G1632,基本資料!$A:$M,13,0),"無")</f>
        <v>51.05</v>
      </c>
      <c r="AR1632" s="245" t="str">
        <f>INDEX(基本資料!N:N,MATCH($G1632,基本資料!A:A,0))</f>
        <v>低</v>
      </c>
    </row>
    <row r="1633" spans="1:44">
      <c r="A1633" s="343">
        <f>IFERROR(VLOOKUP($G1633,基本資料!$A:$J,3,0),"無")</f>
        <v>30.98</v>
      </c>
      <c r="B1633" s="79">
        <f>IFERROR(VLOOKUP($G1633,基本資料!$A:$J,4,0),"無")</f>
        <v>203</v>
      </c>
      <c r="C1633" s="79">
        <f>IFERROR(VLOOKUP($G1633,基本資料!$A:$J,5,0),"無")</f>
        <v>320</v>
      </c>
      <c r="D1633" s="79">
        <f>IFERROR(VLOOKUP($G1633,基本資料!$A:$J,6,0),"無")</f>
        <v>37</v>
      </c>
      <c r="E1633" s="79">
        <f>IFERROR(VLOOKUP($G1633,基本資料!$A:$J,7,0),"無")</f>
        <v>0</v>
      </c>
      <c r="F1633" s="6">
        <f>IFERROR(VLOOKUP($G1633,基本資料!$A:$J,8,0),"無")</f>
        <v>23.84</v>
      </c>
      <c r="G1633" s="79">
        <v>6021</v>
      </c>
      <c r="H1633" s="17" t="s">
        <v>304</v>
      </c>
      <c r="I1633" s="16" t="s">
        <v>341</v>
      </c>
      <c r="J1633" s="8">
        <f>IFERROR(VLOOKUP($G1633,今日總結!$A:$AN,39,0),"")</f>
        <v>0</v>
      </c>
      <c r="K1633" s="5">
        <f>IFERROR(VLOOKUP($G1633,今日總結!$A:$AN,40,0),"")</f>
        <v>0</v>
      </c>
      <c r="L1633" s="156">
        <f>IFERROR(VLOOKUP($G1633,今日總結!$A:$AN,37,0),"")</f>
        <v>0</v>
      </c>
      <c r="M1633" s="337">
        <f>IFERROR(VLOOKUP($G1633,今日總結!$A:$AN,38,0),"")</f>
        <v>0</v>
      </c>
      <c r="N1633" s="240">
        <f t="shared" si="279"/>
        <v>0</v>
      </c>
      <c r="O1633" s="359">
        <f>IFERROR(VLOOKUP($G1633,融外自投!$A:$J,7,0),"無")</f>
        <v>1437</v>
      </c>
      <c r="P1633" s="79" t="str">
        <f>IFERROR(VLOOKUP($G1633,融外自投!$A:$J,9,0),"無")</f>
        <v>無</v>
      </c>
      <c r="Q1633" s="342">
        <f>IFERROR(VLOOKUP($G1633,融外自投!$A:$J,8,0),"無")</f>
        <v>553</v>
      </c>
      <c r="R1633" s="81" t="str">
        <f>IFERROR(VLOOKUP($G1633,融外自投!$A:$J,10,0),"無")</f>
        <v>無</v>
      </c>
      <c r="S1633" s="324">
        <f>IFERROR(VLOOKUP($G1633,'321買'!$A:$E,4,0),"'沒有資料'")</f>
        <v>891</v>
      </c>
      <c r="T1633" s="186">
        <f>IFERROR(VLOOKUP($G1633,基本資料!$A:$J,9,0),"無")</f>
        <v>0</v>
      </c>
      <c r="U1633" s="307">
        <f t="shared" si="275"/>
        <v>0</v>
      </c>
      <c r="V1633" s="94">
        <f>IFERROR(VLOOKUP($G1633,基本資料!$A:$J,10,0),"無")</f>
        <v>1.05</v>
      </c>
      <c r="W1633" s="36">
        <f>RTD("money.excel",,"6021","Price")</f>
        <v>20.7</v>
      </c>
      <c r="X1633" s="66"/>
      <c r="Y1633" s="15">
        <f t="shared" si="276"/>
        <v>20.7</v>
      </c>
      <c r="Z1633" s="3" t="e">
        <f t="shared" si="277"/>
        <v>#DIV/0!</v>
      </c>
      <c r="AA1633" s="340">
        <f>IFERROR(VLOOKUP($G1633,基本資料!$A:$M,11,0),"無")</f>
        <v>-11.35</v>
      </c>
      <c r="AB1633" s="389">
        <f>IFERROR(VLOOKUP($G1633,基本資料!$A:$M,12,0),"無")</f>
        <v>63.61</v>
      </c>
      <c r="AC1633" s="16" t="s">
        <v>341</v>
      </c>
      <c r="AF1633" s="33">
        <f t="shared" si="278"/>
        <v>0</v>
      </c>
      <c r="AG1633" s="43" t="s">
        <v>2705</v>
      </c>
      <c r="AH1633" s="66">
        <f t="shared" si="280"/>
        <v>0.74277854195323245</v>
      </c>
      <c r="AI1633" s="283">
        <f>RTD("money.excel",,$G1633,"PredictVolume")</f>
        <v>27</v>
      </c>
      <c r="AJ1633" s="391">
        <f>IFERROR(VLOOKUP($G1633,基本資料!$A:$M,13,0),"無")</f>
        <v>36.35</v>
      </c>
      <c r="AR1633" s="245" t="str">
        <f>INDEX(基本資料!N:N,MATCH($G1633,基本資料!A:A,0))</f>
        <v>中</v>
      </c>
    </row>
    <row r="1634" spans="1:44">
      <c r="A1634" s="343">
        <f>IFERROR(VLOOKUP($G1634,基本資料!$A:$J,3,0),"無")</f>
        <v>28.99</v>
      </c>
      <c r="B1634" s="79">
        <f>IFERROR(VLOOKUP($G1634,基本資料!$A:$J,4,0),"無")</f>
        <v>-19</v>
      </c>
      <c r="C1634" s="79">
        <f>IFERROR(VLOOKUP($G1634,基本資料!$A:$J,5,0),"無")</f>
        <v>-2</v>
      </c>
      <c r="D1634" s="79">
        <f>IFERROR(VLOOKUP($G1634,基本資料!$A:$J,6,0),"無")</f>
        <v>-23</v>
      </c>
      <c r="E1634" s="79">
        <f>IFERROR(VLOOKUP($G1634,基本資料!$A:$J,7,0),"無")</f>
        <v>5</v>
      </c>
      <c r="F1634" s="6">
        <f>IFERROR(VLOOKUP($G1634,基本資料!$A:$J,8,0),"無")</f>
        <v>11.88</v>
      </c>
      <c r="G1634" s="79">
        <v>6023</v>
      </c>
      <c r="H1634" s="17" t="s">
        <v>304</v>
      </c>
      <c r="I1634" s="16" t="s">
        <v>149</v>
      </c>
      <c r="J1634" s="8">
        <f>IFERROR(VLOOKUP($G1634,今日總結!$A:$AN,39,0),"")</f>
        <v>0</v>
      </c>
      <c r="K1634" s="5">
        <f>IFERROR(VLOOKUP($G1634,今日總結!$A:$AN,40,0),"")</f>
        <v>0</v>
      </c>
      <c r="L1634" s="156">
        <f>IFERROR(VLOOKUP($G1634,今日總結!$A:$AN,37,0),"")</f>
        <v>0</v>
      </c>
      <c r="M1634" s="337">
        <f>IFERROR(VLOOKUP($G1634,今日總結!$A:$AN,38,0),"")</f>
        <v>0</v>
      </c>
      <c r="N1634" s="240">
        <f t="shared" si="279"/>
        <v>0</v>
      </c>
      <c r="O1634" s="359">
        <f>IFERROR(VLOOKUP($G1634,融外自投!$A:$J,7,0),"無")</f>
        <v>1385</v>
      </c>
      <c r="P1634" s="79" t="str">
        <f>IFERROR(VLOOKUP($G1634,融外自投!$A:$J,9,0),"無")</f>
        <v>無</v>
      </c>
      <c r="Q1634" s="342">
        <f>IFERROR(VLOOKUP($G1634,融外自投!$A:$J,8,0),"無")</f>
        <v>1309</v>
      </c>
      <c r="R1634" s="81" t="str">
        <f>IFERROR(VLOOKUP($G1634,融外自投!$A:$J,10,0),"無")</f>
        <v>無</v>
      </c>
      <c r="S1634" s="324">
        <f>IFERROR(VLOOKUP($G1634,'321買'!$A:$E,4,0),"'沒有資料'")</f>
        <v>1002</v>
      </c>
      <c r="T1634" s="186">
        <f>IFERROR(VLOOKUP($G1634,基本資料!$A:$J,9,0),"無")</f>
        <v>2.2999999999999998</v>
      </c>
      <c r="U1634" s="307">
        <f t="shared" si="275"/>
        <v>4.7717842323651442E-2</v>
      </c>
      <c r="V1634" s="94">
        <f>IFERROR(VLOOKUP($G1634,基本資料!$A:$J,10,0),"無")</f>
        <v>2.97</v>
      </c>
      <c r="W1634" s="36">
        <f>RTD("money.excel",,"6023","Price")</f>
        <v>48.2</v>
      </c>
      <c r="X1634" s="66"/>
      <c r="Y1634" s="15">
        <f t="shared" si="276"/>
        <v>48.2</v>
      </c>
      <c r="Z1634" s="3" t="e">
        <f t="shared" si="277"/>
        <v>#DIV/0!</v>
      </c>
      <c r="AA1634" s="340">
        <f>IFERROR(VLOOKUP($G1634,基本資料!$A:$M,11,0),"無")</f>
        <v>-7.84</v>
      </c>
      <c r="AB1634" s="389">
        <f>IFERROR(VLOOKUP($G1634,基本資料!$A:$M,12,0),"無")</f>
        <v>18.809999999999999</v>
      </c>
      <c r="AC1634" s="16" t="s">
        <v>149</v>
      </c>
      <c r="AF1634" s="33">
        <f t="shared" si="278"/>
        <v>0</v>
      </c>
      <c r="AG1634" s="117" t="s">
        <v>2603</v>
      </c>
      <c r="AH1634" s="66">
        <f t="shared" si="280"/>
        <v>0.92009685230024219</v>
      </c>
      <c r="AI1634" s="283">
        <f>RTD("money.excel",,$G1634,"PredictVolume")</f>
        <v>76</v>
      </c>
      <c r="AJ1634" s="391">
        <f>IFERROR(VLOOKUP($G1634,基本資料!$A:$M,13,0),"無")</f>
        <v>82.6</v>
      </c>
      <c r="AR1634" s="245" t="str">
        <f>INDEX(基本資料!N:N,MATCH($G1634,基本資料!A:A,0))</f>
        <v>低</v>
      </c>
    </row>
    <row r="1635" spans="1:44" ht="15.75" customHeight="1">
      <c r="A1635" s="343">
        <f>IFERROR(VLOOKUP($G1635,基本資料!$A:$J,3,0),"無")</f>
        <v>21.04</v>
      </c>
      <c r="B1635" s="79">
        <f>IFERROR(VLOOKUP($G1635,基本資料!$A:$J,4,0),"無")</f>
        <v>-21</v>
      </c>
      <c r="C1635" s="79">
        <f>IFERROR(VLOOKUP($G1635,基本資料!$A:$J,5,0),"無")</f>
        <v>13</v>
      </c>
      <c r="D1635" s="79">
        <f>IFERROR(VLOOKUP($G1635,基本資料!$A:$J,6,0),"無")</f>
        <v>-24</v>
      </c>
      <c r="E1635" s="79">
        <f>IFERROR(VLOOKUP($G1635,基本資料!$A:$J,7,0),"無")</f>
        <v>-2</v>
      </c>
      <c r="F1635" s="6">
        <f>IFERROR(VLOOKUP($G1635,基本資料!$A:$J,8,0),"無")</f>
        <v>17.23</v>
      </c>
      <c r="G1635" s="79">
        <v>6024</v>
      </c>
      <c r="H1635" s="17" t="s">
        <v>304</v>
      </c>
      <c r="I1635" s="22" t="s">
        <v>337</v>
      </c>
      <c r="J1635" s="8">
        <f>IFERROR(VLOOKUP($G1635,今日總結!$A:$AN,39,0),"")</f>
        <v>0</v>
      </c>
      <c r="K1635" s="5">
        <f>IFERROR(VLOOKUP($G1635,今日總結!$A:$AN,40,0),"")</f>
        <v>0</v>
      </c>
      <c r="L1635" s="156">
        <f>IFERROR(VLOOKUP($G1635,今日總結!$A:$AN,37,0),"")</f>
        <v>0</v>
      </c>
      <c r="M1635" s="337">
        <f>IFERROR(VLOOKUP($G1635,今日總結!$A:$AN,38,0),"")</f>
        <v>0</v>
      </c>
      <c r="N1635" s="240">
        <f t="shared" si="279"/>
        <v>0</v>
      </c>
      <c r="O1635" s="359">
        <f>IFERROR(VLOOKUP($G1635,融外自投!$A:$J,7,0),"無")</f>
        <v>1392</v>
      </c>
      <c r="P1635" s="79" t="str">
        <f>IFERROR(VLOOKUP($G1635,融外自投!$A:$J,9,0),"無")</f>
        <v>無</v>
      </c>
      <c r="Q1635" s="342">
        <f>IFERROR(VLOOKUP($G1635,融外自投!$A:$J,8,0),"無")</f>
        <v>1097</v>
      </c>
      <c r="R1635" s="81" t="str">
        <f>IFERROR(VLOOKUP($G1635,融外自投!$A:$J,10,0),"無")</f>
        <v>無</v>
      </c>
      <c r="S1635" s="324">
        <f>IFERROR(VLOOKUP($G1635,'321買'!$A:$E,4,0),"'沒有資料'")</f>
        <v>1002</v>
      </c>
      <c r="T1635" s="186">
        <f>IFERROR(VLOOKUP($G1635,基本資料!$A:$J,9,0),"無")</f>
        <v>1.6</v>
      </c>
      <c r="U1635" s="307">
        <f t="shared" si="275"/>
        <v>4.507042253521127E-2</v>
      </c>
      <c r="V1635" s="94">
        <f>IFERROR(VLOOKUP($G1635,基本資料!$A:$J,10,0),"無")</f>
        <v>2.33</v>
      </c>
      <c r="W1635" s="36">
        <f>RTD("money.excel",,"6024","Price")</f>
        <v>35.5</v>
      </c>
      <c r="X1635" s="66"/>
      <c r="Y1635" s="15">
        <f t="shared" si="276"/>
        <v>35.5</v>
      </c>
      <c r="Z1635" s="3" t="e">
        <f t="shared" si="277"/>
        <v>#DIV/0!</v>
      </c>
      <c r="AA1635" s="340">
        <f>IFERROR(VLOOKUP($G1635,基本資料!$A:$M,11,0),"無")</f>
        <v>-12.67</v>
      </c>
      <c r="AB1635" s="389">
        <f>IFERROR(VLOOKUP($G1635,基本資料!$A:$M,12,0),"無")</f>
        <v>20.57</v>
      </c>
      <c r="AC1635" s="22" t="s">
        <v>337</v>
      </c>
      <c r="AF1635" s="33">
        <f t="shared" si="278"/>
        <v>0</v>
      </c>
      <c r="AG1635" s="43" t="s">
        <v>2603</v>
      </c>
      <c r="AH1635" s="66">
        <f t="shared" si="280"/>
        <v>0.63618290258449306</v>
      </c>
      <c r="AI1635" s="283">
        <f>RTD("money.excel",,$G1635,"PredictVolume")</f>
        <v>96</v>
      </c>
      <c r="AJ1635" s="391">
        <f>IFERROR(VLOOKUP($G1635,基本資料!$A:$M,13,0),"無")</f>
        <v>150.9</v>
      </c>
      <c r="AR1635" s="245" t="str">
        <f>INDEX(基本資料!N:N,MATCH($G1635,基本資料!A:A,0))</f>
        <v>低</v>
      </c>
    </row>
    <row r="1636" spans="1:44">
      <c r="A1636" s="343">
        <f>IFERROR(VLOOKUP($G1636,基本資料!$A:$J,3,0),"無")</f>
        <v>30.01</v>
      </c>
      <c r="B1636" s="79">
        <f>IFERROR(VLOOKUP($G1636,基本資料!$A:$J,4,0),"無")</f>
        <v>441</v>
      </c>
      <c r="C1636" s="79">
        <f>IFERROR(VLOOKUP($G1636,基本資料!$A:$J,5,0),"無")</f>
        <v>453</v>
      </c>
      <c r="D1636" s="79">
        <f>IFERROR(VLOOKUP($G1636,基本資料!$A:$J,6,0),"無")</f>
        <v>-416</v>
      </c>
      <c r="E1636" s="79">
        <f>IFERROR(VLOOKUP($G1636,基本資料!$A:$J,7,0),"無")</f>
        <v>-175</v>
      </c>
      <c r="F1636" s="6">
        <f>IFERROR(VLOOKUP($G1636,基本資料!$A:$J,8,0),"無")</f>
        <v>70.92</v>
      </c>
      <c r="G1636" s="79">
        <v>6026</v>
      </c>
      <c r="H1636" s="17" t="s">
        <v>304</v>
      </c>
      <c r="I1636" s="16" t="s">
        <v>342</v>
      </c>
      <c r="J1636" s="8">
        <f>IFERROR(VLOOKUP($G1636,今日總結!$A:$AN,39,0),"")</f>
        <v>0</v>
      </c>
      <c r="K1636" s="5" t="str">
        <f>IFERROR(VLOOKUP($G1636,今日總結!$A:$AN,40,0),"")</f>
        <v>融借</v>
      </c>
      <c r="L1636" s="156">
        <f>IFERROR(VLOOKUP($G1636,今日總結!$A:$AN,37,0),"")</f>
        <v>0</v>
      </c>
      <c r="M1636" s="337">
        <f>IFERROR(VLOOKUP($G1636,今日總結!$A:$AN,38,0),"")</f>
        <v>19</v>
      </c>
      <c r="N1636" s="240">
        <f t="shared" si="279"/>
        <v>-19</v>
      </c>
      <c r="O1636" s="359">
        <f>IFERROR(VLOOKUP($G1636,融外自投!$A:$J,7,0),"無")</f>
        <v>398</v>
      </c>
      <c r="P1636" s="79" t="str">
        <f>IFERROR(VLOOKUP($G1636,融外自投!$A:$J,9,0),"無")</f>
        <v>無</v>
      </c>
      <c r="Q1636" s="342">
        <f>IFERROR(VLOOKUP($G1636,融外自投!$A:$J,8,0),"無")</f>
        <v>1096</v>
      </c>
      <c r="R1636" s="81" t="str">
        <f>IFERROR(VLOOKUP($G1636,融外自投!$A:$J,10,0),"無")</f>
        <v>無</v>
      </c>
      <c r="S1636" s="324">
        <f>IFERROR(VLOOKUP($G1636,'321買'!$A:$E,4,0),"'沒有資料'")</f>
        <v>606</v>
      </c>
      <c r="T1636" s="186">
        <f>IFERROR(VLOOKUP($G1636,基本資料!$A:$J,9,0),"無")</f>
        <v>3.28</v>
      </c>
      <c r="U1636" s="307">
        <f t="shared" si="275"/>
        <v>0.20694006309148263</v>
      </c>
      <c r="V1636" s="94">
        <f>IFERROR(VLOOKUP($G1636,基本資料!$A:$J,10,0),"無")</f>
        <v>5</v>
      </c>
      <c r="W1636" s="36">
        <f>RTD("money.excel",,"6026","Price")</f>
        <v>15.85</v>
      </c>
      <c r="X1636" s="66"/>
      <c r="Y1636" s="15">
        <f t="shared" si="276"/>
        <v>15.85</v>
      </c>
      <c r="Z1636" s="3" t="e">
        <f t="shared" si="277"/>
        <v>#DIV/0!</v>
      </c>
      <c r="AA1636" s="340">
        <f>IFERROR(VLOOKUP($G1636,基本資料!$A:$M,11,0),"無")</f>
        <v>-33.96</v>
      </c>
      <c r="AB1636" s="389">
        <f>IFERROR(VLOOKUP($G1636,基本資料!$A:$M,12,0),"無")</f>
        <v>12.3</v>
      </c>
      <c r="AC1636" s="16" t="s">
        <v>342</v>
      </c>
      <c r="AF1636" s="33">
        <f t="shared" si="278"/>
        <v>0</v>
      </c>
      <c r="AG1636" s="43" t="s">
        <v>2195</v>
      </c>
      <c r="AH1636" s="66">
        <f t="shared" si="280"/>
        <v>0.50082576965966996</v>
      </c>
      <c r="AI1636" s="283">
        <f>RTD("money.excel",,$G1636,"PredictVolume")</f>
        <v>1774</v>
      </c>
      <c r="AJ1636" s="391">
        <f>IFERROR(VLOOKUP($G1636,基本資料!$A:$M,13,0),"無")</f>
        <v>3542.15</v>
      </c>
      <c r="AR1636" s="245" t="str">
        <f>INDEX(基本資料!N:N,MATCH($G1636,基本資料!A:A,0))</f>
        <v>低</v>
      </c>
    </row>
    <row r="1637" spans="1:44">
      <c r="B1637" s="79"/>
      <c r="C1637" s="79"/>
      <c r="D1637" s="218"/>
      <c r="E1637" s="79"/>
      <c r="F1637" s="57"/>
      <c r="G1637" s="79"/>
      <c r="H1637" s="17"/>
      <c r="I1637" s="16"/>
      <c r="L1637" s="2"/>
      <c r="O1637" s="360"/>
      <c r="Q1637" s="351"/>
      <c r="R1637" s="26"/>
      <c r="T1637" s="34"/>
      <c r="V1637" s="94"/>
      <c r="W1637" s="36"/>
      <c r="X1637" s="66"/>
      <c r="Y1637" s="15"/>
      <c r="Z1637" s="3"/>
      <c r="AC1637" s="16"/>
      <c r="AF1637" s="33"/>
      <c r="AG1637" s="43"/>
      <c r="AH1637" s="66" t="e">
        <f t="shared" si="280"/>
        <v>#DIV/0!</v>
      </c>
      <c r="AI1637" s="50"/>
    </row>
    <row r="1638" spans="1:44">
      <c r="A1638" s="127" t="s">
        <v>1672</v>
      </c>
      <c r="B1638" s="90" t="s">
        <v>1571</v>
      </c>
      <c r="C1638" s="90" t="s">
        <v>1572</v>
      </c>
      <c r="D1638" s="90" t="s">
        <v>1573</v>
      </c>
      <c r="E1638" s="90" t="s">
        <v>1574</v>
      </c>
      <c r="F1638" s="8" t="s">
        <v>1059</v>
      </c>
      <c r="G1638" s="27" t="s">
        <v>789</v>
      </c>
      <c r="H1638" s="55" t="s">
        <v>320</v>
      </c>
      <c r="I1638" s="8" t="s">
        <v>310</v>
      </c>
      <c r="J1638" s="8" t="s">
        <v>6211</v>
      </c>
      <c r="K1638" s="5" t="s">
        <v>6212</v>
      </c>
      <c r="L1638" s="334" t="s">
        <v>6197</v>
      </c>
      <c r="M1638" s="335" t="s">
        <v>6198</v>
      </c>
      <c r="N1638" s="336" t="s">
        <v>6199</v>
      </c>
      <c r="O1638" s="89" t="s">
        <v>6275</v>
      </c>
      <c r="P1638" s="292" t="s">
        <v>6274</v>
      </c>
      <c r="Q1638" s="350" t="s">
        <v>6273</v>
      </c>
      <c r="R1638" s="26" t="s">
        <v>6276</v>
      </c>
      <c r="S1638" s="318" t="s">
        <v>4715</v>
      </c>
      <c r="T1638" s="10" t="s">
        <v>66</v>
      </c>
      <c r="U1638" s="305" t="s">
        <v>4728</v>
      </c>
      <c r="V1638" s="68" t="s">
        <v>3272</v>
      </c>
      <c r="W1638" s="28" t="s">
        <v>2</v>
      </c>
      <c r="X1638" s="17" t="s">
        <v>1398</v>
      </c>
      <c r="Y1638" s="14" t="s">
        <v>5</v>
      </c>
      <c r="Z1638" s="21" t="s">
        <v>3</v>
      </c>
      <c r="AA1638" s="96" t="s">
        <v>6166</v>
      </c>
      <c r="AB1638" s="378" t="s">
        <v>6404</v>
      </c>
      <c r="AC1638" s="8" t="s">
        <v>310</v>
      </c>
      <c r="AD1638" s="71" t="s">
        <v>1399</v>
      </c>
      <c r="AE1638" s="72" t="s">
        <v>1156</v>
      </c>
      <c r="AF1638" s="32" t="s">
        <v>1157</v>
      </c>
      <c r="AG1638" s="25" t="s">
        <v>6200</v>
      </c>
      <c r="AH1638" s="8" t="s">
        <v>6696</v>
      </c>
      <c r="AI1638" s="50" t="s">
        <v>3360</v>
      </c>
      <c r="AJ1638" s="22" t="s">
        <v>6695</v>
      </c>
    </row>
    <row r="1639" spans="1:44">
      <c r="A1639" s="343">
        <f>IFERROR(VLOOKUP($G1639,基本資料!$A:$J,3,0),"無")</f>
        <v>9</v>
      </c>
      <c r="B1639" s="79">
        <f>IFERROR(VLOOKUP($G1639,基本資料!$A:$J,4,0),"無")</f>
        <v>-1083</v>
      </c>
      <c r="C1639" s="79">
        <f>IFERROR(VLOOKUP($G1639,基本資料!$A:$J,5,0),"無")</f>
        <v>-221</v>
      </c>
      <c r="D1639" s="79">
        <f>IFERROR(VLOOKUP($G1639,基本資料!$A:$J,6,0),"無")</f>
        <v>-11</v>
      </c>
      <c r="E1639" s="79">
        <f>IFERROR(VLOOKUP($G1639,基本資料!$A:$J,7,0),"無")</f>
        <v>0</v>
      </c>
      <c r="F1639" s="6">
        <f>IFERROR(VLOOKUP($G1639,基本資料!$A:$J,8,0),"無")</f>
        <v>-18.34</v>
      </c>
      <c r="G1639" s="79">
        <v>1432</v>
      </c>
      <c r="H1639" s="8" t="s">
        <v>310</v>
      </c>
      <c r="I1639" s="22" t="s">
        <v>799</v>
      </c>
      <c r="J1639" s="8" t="str">
        <f>IFERROR(VLOOKUP($G1639,今日總結!$A:$AN,39,0),"")</f>
        <v/>
      </c>
      <c r="K1639" s="5" t="str">
        <f>IFERROR(VLOOKUP($G1639,今日總結!$A:$AN,40,0),"")</f>
        <v/>
      </c>
      <c r="L1639" s="156" t="str">
        <f>IFERROR(VLOOKUP($G1639,今日總結!$A:$AN,37,0),"")</f>
        <v/>
      </c>
      <c r="M1639" s="337" t="str">
        <f>IFERROR(VLOOKUP($G1639,今日總結!$A:$AN,38,0),"")</f>
        <v/>
      </c>
      <c r="N1639" s="240" t="str">
        <f t="shared" ref="N1639:N1641" si="281">IFERROR(L1639-M1639,"")</f>
        <v/>
      </c>
      <c r="O1639" s="359" t="str">
        <f>IFERROR(VLOOKUP($G1639,融外自投!$A:$J,7,0),"無")</f>
        <v>無</v>
      </c>
      <c r="P1639" s="79" t="str">
        <f>IFERROR(VLOOKUP($G1639,融外自投!$A:$J,9,0),"無")</f>
        <v>無</v>
      </c>
      <c r="Q1639" s="342" t="str">
        <f>IFERROR(VLOOKUP($G1639,融外自投!$A:$J,8,0),"無")</f>
        <v>無</v>
      </c>
      <c r="R1639" s="81" t="str">
        <f>IFERROR(VLOOKUP($G1639,融外自投!$A:$J,10,0),"無")</f>
        <v>無</v>
      </c>
      <c r="S1639" s="324" t="str">
        <f>IFERROR(VLOOKUP($G1639,'321買'!$A:$E,4,0),"'沒有資料'")</f>
        <v>'沒有資料'</v>
      </c>
      <c r="T1639" s="186">
        <f>IFERROR(VLOOKUP($G1639,基本資料!$A:$J,9,0),"無")</f>
        <v>0</v>
      </c>
      <c r="U1639" s="307">
        <f t="shared" ref="U1639:U1675" si="282">$T1639/$W1639</f>
        <v>0</v>
      </c>
      <c r="V1639" s="94">
        <f>IFERROR(VLOOKUP($G1639,基本資料!$A:$J,10,0),"無")</f>
        <v>-2.0499999999999998</v>
      </c>
      <c r="W1639" s="36">
        <f>RTD("money.excel",,"1432","Price")</f>
        <v>10.35</v>
      </c>
      <c r="X1639" s="66"/>
      <c r="Y1639" s="15">
        <f t="shared" ref="Y1639:Y1675" si="283">W1639-X1639</f>
        <v>10.35</v>
      </c>
      <c r="Z1639" s="3" t="e">
        <f t="shared" ref="Z1639:Z1675" si="284">Y1639/X1639</f>
        <v>#DIV/0!</v>
      </c>
      <c r="AA1639" s="340">
        <f>IFERROR(VLOOKUP($G1639,基本資料!$A:$M,11,0),"無")</f>
        <v>-51.64</v>
      </c>
      <c r="AB1639" s="389">
        <f>IFERROR(VLOOKUP($G1639,基本資料!$A:$M,12,0),"無")</f>
        <v>6.71</v>
      </c>
      <c r="AC1639" s="22" t="s">
        <v>799</v>
      </c>
      <c r="AF1639" s="33">
        <f t="shared" ref="AF1639:AF1675" si="285">AE1639-AD1639</f>
        <v>0</v>
      </c>
      <c r="AG1639" s="43" t="s">
        <v>2033</v>
      </c>
      <c r="AH1639" s="66">
        <f t="shared" si="280"/>
        <v>0.66991473812423874</v>
      </c>
      <c r="AI1639" s="283">
        <f>RTD("money.excel",,$G1639,"PredictVolume")</f>
        <v>330</v>
      </c>
      <c r="AJ1639" s="391">
        <f>IFERROR(VLOOKUP($G1639,基本資料!$A:$M,13,0),"無")</f>
        <v>492.6</v>
      </c>
      <c r="AR1639" s="245" t="str">
        <f>INDEX(基本資料!N:N,MATCH($G1639,基本資料!A:A,0))</f>
        <v>低</v>
      </c>
    </row>
    <row r="1640" spans="1:44">
      <c r="A1640" s="343">
        <f>IFERROR(VLOOKUP($G1640,基本資料!$A:$J,3,0),"無")</f>
        <v>83.47</v>
      </c>
      <c r="B1640" s="79">
        <f>IFERROR(VLOOKUP($G1640,基本資料!$A:$J,4,0),"無")</f>
        <v>131</v>
      </c>
      <c r="C1640" s="79">
        <f>IFERROR(VLOOKUP($G1640,基本資料!$A:$J,5,0),"無")</f>
        <v>177</v>
      </c>
      <c r="D1640" s="79">
        <f>IFERROR(VLOOKUP($G1640,基本資料!$A:$J,6,0),"無")</f>
        <v>-17</v>
      </c>
      <c r="E1640" s="79">
        <f>IFERROR(VLOOKUP($G1640,基本資料!$A:$J,7,0),"無")</f>
        <v>-8</v>
      </c>
      <c r="F1640" s="6">
        <f>IFERROR(VLOOKUP($G1640,基本資料!$A:$J,8,0),"無")</f>
        <v>12.67</v>
      </c>
      <c r="G1640" s="79">
        <v>2601</v>
      </c>
      <c r="H1640" s="8" t="s">
        <v>310</v>
      </c>
      <c r="I1640" s="22" t="s">
        <v>4665</v>
      </c>
      <c r="J1640" s="8">
        <f>IFERROR(VLOOKUP($G1640,今日總結!$A:$AN,39,0),"")</f>
        <v>0</v>
      </c>
      <c r="K1640" s="5">
        <f>IFERROR(VLOOKUP($G1640,今日總結!$A:$AN,40,0),"")</f>
        <v>0</v>
      </c>
      <c r="L1640" s="156">
        <f>IFERROR(VLOOKUP($G1640,今日總結!$A:$AN,37,0),"")</f>
        <v>0</v>
      </c>
      <c r="M1640" s="337">
        <f>IFERROR(VLOOKUP($G1640,今日總結!$A:$AN,38,0),"")</f>
        <v>0</v>
      </c>
      <c r="N1640" s="240">
        <f t="shared" si="281"/>
        <v>0</v>
      </c>
      <c r="O1640" s="359">
        <f>IFERROR(VLOOKUP($G1640,融外自投!$A:$J,7,0),"無")</f>
        <v>470</v>
      </c>
      <c r="P1640" s="79">
        <f>IFERROR(VLOOKUP($G1640,融外自投!$A:$J,9,0),"無")</f>
        <v>649</v>
      </c>
      <c r="Q1640" s="342">
        <f>IFERROR(VLOOKUP($G1640,融外自投!$A:$J,8,0),"無")</f>
        <v>492</v>
      </c>
      <c r="R1640" s="81" t="str">
        <f>IFERROR(VLOOKUP($G1640,融外自投!$A:$J,10,0),"無")</f>
        <v>無</v>
      </c>
      <c r="S1640" s="324">
        <f>IFERROR(VLOOKUP($G1640,'321買'!$A:$E,4,0),"'沒有資料'")</f>
        <v>343</v>
      </c>
      <c r="T1640" s="186">
        <f>IFERROR(VLOOKUP($G1640,基本資料!$A:$J,9,0),"無")</f>
        <v>0</v>
      </c>
      <c r="U1640" s="307">
        <f t="shared" si="282"/>
        <v>0</v>
      </c>
      <c r="V1640" s="94">
        <f>IFERROR(VLOOKUP($G1640,基本資料!$A:$J,10,0),"無")</f>
        <v>0.2</v>
      </c>
      <c r="W1640" s="36">
        <f>RTD("money.excel",,"2601","Price")</f>
        <v>10.199999999999999</v>
      </c>
      <c r="X1640" s="66"/>
      <c r="Y1640" s="15">
        <f t="shared" si="283"/>
        <v>10.199999999999999</v>
      </c>
      <c r="Z1640" s="3" t="e">
        <f t="shared" si="284"/>
        <v>#DIV/0!</v>
      </c>
      <c r="AA1640" s="340">
        <f>IFERROR(VLOOKUP($G1640,基本資料!$A:$M,11,0),"無")</f>
        <v>-61.51</v>
      </c>
      <c r="AB1640" s="389">
        <f>IFERROR(VLOOKUP($G1640,基本資料!$A:$M,12,0),"無")</f>
        <v>16.91</v>
      </c>
      <c r="AC1640" s="22" t="s">
        <v>4665</v>
      </c>
      <c r="AF1640" s="33">
        <f t="shared" si="285"/>
        <v>0</v>
      </c>
      <c r="AG1640" s="43" t="s">
        <v>2105</v>
      </c>
      <c r="AH1640" s="66">
        <f t="shared" si="280"/>
        <v>0.47675647120971998</v>
      </c>
      <c r="AI1640" s="283">
        <f>RTD("money.excel",,$G1640,"PredictVolume")</f>
        <v>2888</v>
      </c>
      <c r="AJ1640" s="391">
        <f>IFERROR(VLOOKUP($G1640,基本資料!$A:$M,13,0),"無")</f>
        <v>6057.6</v>
      </c>
      <c r="AR1640" s="245" t="str">
        <f>INDEX(基本資料!N:N,MATCH($G1640,基本資料!A:A,0))</f>
        <v>低</v>
      </c>
    </row>
    <row r="1641" spans="1:44">
      <c r="A1641" s="343">
        <f>IFERROR(VLOOKUP($G1641,基本資料!$A:$J,3,0),"無")</f>
        <v>52.89</v>
      </c>
      <c r="B1641" s="79">
        <f>IFERROR(VLOOKUP($G1641,基本資料!$A:$J,4,0),"無")</f>
        <v>51</v>
      </c>
      <c r="C1641" s="79">
        <f>IFERROR(VLOOKUP($G1641,基本資料!$A:$J,5,0),"無")</f>
        <v>1647</v>
      </c>
      <c r="D1641" s="79">
        <f>IFERROR(VLOOKUP($G1641,基本資料!$A:$J,6,0),"無")</f>
        <v>-3</v>
      </c>
      <c r="E1641" s="79">
        <f>IFERROR(VLOOKUP($G1641,基本資料!$A:$J,7,0),"無")</f>
        <v>10</v>
      </c>
      <c r="F1641" s="6">
        <f>IFERROR(VLOOKUP($G1641,基本資料!$A:$J,8,0),"無")</f>
        <v>2.85</v>
      </c>
      <c r="G1641" s="79">
        <v>2614</v>
      </c>
      <c r="H1641" s="8" t="s">
        <v>310</v>
      </c>
      <c r="I1641" s="22" t="s">
        <v>800</v>
      </c>
      <c r="J1641" s="8">
        <f>IFERROR(VLOOKUP($G1641,今日總結!$A:$AN,39,0),"")</f>
        <v>0</v>
      </c>
      <c r="K1641" s="5">
        <f>IFERROR(VLOOKUP($G1641,今日總結!$A:$AN,40,0),"")</f>
        <v>0</v>
      </c>
      <c r="L1641" s="156">
        <f>IFERROR(VLOOKUP($G1641,今日總結!$A:$AN,37,0),"")</f>
        <v>0</v>
      </c>
      <c r="M1641" s="337">
        <f>IFERROR(VLOOKUP($G1641,今日總結!$A:$AN,38,0),"")</f>
        <v>0</v>
      </c>
      <c r="N1641" s="240">
        <f t="shared" si="281"/>
        <v>0</v>
      </c>
      <c r="O1641" s="359">
        <f>IFERROR(VLOOKUP($G1641,融外自投!$A:$J,7,0),"無")</f>
        <v>283</v>
      </c>
      <c r="P1641" s="79">
        <f>IFERROR(VLOOKUP($G1641,融外自投!$A:$J,9,0),"無")</f>
        <v>204</v>
      </c>
      <c r="Q1641" s="342">
        <f>IFERROR(VLOOKUP($G1641,融外自投!$A:$J,8,0),"無")</f>
        <v>1033</v>
      </c>
      <c r="R1641" s="81" t="str">
        <f>IFERROR(VLOOKUP($G1641,融外自投!$A:$J,10,0),"無")</f>
        <v>無</v>
      </c>
      <c r="S1641" s="324">
        <f>IFERROR(VLOOKUP($G1641,'321買'!$A:$E,4,0),"'沒有資料'")</f>
        <v>134</v>
      </c>
      <c r="T1641" s="186">
        <f>IFERROR(VLOOKUP($G1641,基本資料!$A:$J,9,0),"無")</f>
        <v>1</v>
      </c>
      <c r="U1641" s="307">
        <f t="shared" si="282"/>
        <v>3.9215686274509803E-2</v>
      </c>
      <c r="V1641" s="94">
        <f>IFERROR(VLOOKUP($G1641,基本資料!$A:$J,10,0),"無")</f>
        <v>1.37</v>
      </c>
      <c r="W1641" s="36">
        <f>RTD("money.excel",,"2614","Price")</f>
        <v>25.5</v>
      </c>
      <c r="X1641" s="66"/>
      <c r="Y1641" s="15">
        <f t="shared" si="283"/>
        <v>25.5</v>
      </c>
      <c r="Z1641" s="3" t="e">
        <f t="shared" si="284"/>
        <v>#DIV/0!</v>
      </c>
      <c r="AA1641" s="340">
        <f>IFERROR(VLOOKUP($G1641,基本資料!$A:$M,11,0),"無")</f>
        <v>-64.239999999999995</v>
      </c>
      <c r="AB1641" s="389">
        <f>IFERROR(VLOOKUP($G1641,基本資料!$A:$M,12,0),"無")</f>
        <v>15.61</v>
      </c>
      <c r="AC1641" s="22" t="s">
        <v>800</v>
      </c>
      <c r="AF1641" s="33">
        <f t="shared" si="285"/>
        <v>0</v>
      </c>
      <c r="AG1641" s="43" t="s">
        <v>2856</v>
      </c>
      <c r="AH1641" s="66">
        <f t="shared" si="280"/>
        <v>0.48748273998919373</v>
      </c>
      <c r="AI1641" s="283">
        <f>RTD("money.excel",,$G1641,"PredictVolume")</f>
        <v>3248</v>
      </c>
      <c r="AJ1641" s="391">
        <f>IFERROR(VLOOKUP($G1641,基本資料!$A:$M,13,0),"無")</f>
        <v>6662.8</v>
      </c>
      <c r="AR1641" s="245" t="str">
        <f>INDEX(基本資料!N:N,MATCH($G1641,基本資料!A:A,0))</f>
        <v>低</v>
      </c>
    </row>
    <row r="1642" spans="1:44">
      <c r="A1642" s="343">
        <f>IFERROR(VLOOKUP($G1642,基本資料!$A:$J,3,0),"無")</f>
        <v>7.3</v>
      </c>
      <c r="B1642" s="79">
        <f>IFERROR(VLOOKUP($G1642,基本資料!$A:$J,4,0),"無")</f>
        <v>-65</v>
      </c>
      <c r="C1642" s="79">
        <f>IFERROR(VLOOKUP($G1642,基本資料!$A:$J,5,0),"無")</f>
        <v>-164</v>
      </c>
      <c r="D1642" s="79">
        <f>IFERROR(VLOOKUP($G1642,基本資料!$A:$J,6,0),"無")</f>
        <v>-1</v>
      </c>
      <c r="E1642" s="79">
        <f>IFERROR(VLOOKUP($G1642,基本資料!$A:$J,7,0),"無")</f>
        <v>14</v>
      </c>
      <c r="F1642" s="6">
        <f>IFERROR(VLOOKUP($G1642,基本資料!$A:$J,8,0),"無")</f>
        <v>-5.89</v>
      </c>
      <c r="G1642" s="79">
        <v>2901</v>
      </c>
      <c r="H1642" s="8" t="s">
        <v>310</v>
      </c>
      <c r="I1642" s="22" t="s">
        <v>801</v>
      </c>
      <c r="J1642" s="8">
        <f>IFERROR(VLOOKUP($G1642,今日總結!$A:$AN,39,0),"")</f>
        <v>0</v>
      </c>
      <c r="K1642" s="5" t="str">
        <f>IFERROR(VLOOKUP($G1642,今日總結!$A:$AN,40,0),"")</f>
        <v>主</v>
      </c>
      <c r="L1642" s="156">
        <f>IFERROR(VLOOKUP($G1642,今日總結!$A:$AN,37,0),"")</f>
        <v>0</v>
      </c>
      <c r="M1642" s="337">
        <f>IFERROR(VLOOKUP($G1642,今日總結!$A:$AN,38,0),"")</f>
        <v>6</v>
      </c>
      <c r="N1642" s="240">
        <f t="shared" ref="N1642:N1675" si="286">IFERROR(L1642-M1642,"")</f>
        <v>-6</v>
      </c>
      <c r="O1642" s="359">
        <f>IFERROR(VLOOKUP($G1642,融外自投!$A:$J,7,0),"無")</f>
        <v>574</v>
      </c>
      <c r="P1642" s="79">
        <f>IFERROR(VLOOKUP($G1642,融外自投!$A:$J,9,0),"無")</f>
        <v>990</v>
      </c>
      <c r="Q1642" s="342">
        <f>IFERROR(VLOOKUP($G1642,融外自投!$A:$J,8,0),"無")</f>
        <v>1423</v>
      </c>
      <c r="R1642" s="81" t="str">
        <f>IFERROR(VLOOKUP($G1642,融外自投!$A:$J,10,0),"無")</f>
        <v>無</v>
      </c>
      <c r="S1642" s="324">
        <f>IFERROR(VLOOKUP($G1642,'321買'!$A:$E,4,0),"'沒有資料'")</f>
        <v>1002</v>
      </c>
      <c r="T1642" s="186">
        <f>IFERROR(VLOOKUP($G1642,基本資料!$A:$J,9,0),"無")</f>
        <v>7.0000000000000007E-2</v>
      </c>
      <c r="U1642" s="307">
        <f t="shared" si="282"/>
        <v>2.9850746268656721E-3</v>
      </c>
      <c r="V1642" s="94">
        <f>IFERROR(VLOOKUP($G1642,基本資料!$A:$J,10,0),"無")</f>
        <v>7.0000000000000007E-2</v>
      </c>
      <c r="W1642" s="36">
        <f>RTD("money.excel",,"2901","Price")</f>
        <v>23.45</v>
      </c>
      <c r="X1642" s="66"/>
      <c r="Y1642" s="15">
        <f t="shared" si="283"/>
        <v>23.45</v>
      </c>
      <c r="Z1642" s="3" t="e">
        <f t="shared" si="284"/>
        <v>#DIV/0!</v>
      </c>
      <c r="AA1642" s="340">
        <f>IFERROR(VLOOKUP($G1642,基本資料!$A:$M,11,0),"無")</f>
        <v>-31.63</v>
      </c>
      <c r="AB1642" s="389">
        <f>IFERROR(VLOOKUP($G1642,基本資料!$A:$M,12,0),"無")</f>
        <v>11.22</v>
      </c>
      <c r="AC1642" s="22" t="s">
        <v>801</v>
      </c>
      <c r="AF1642" s="33">
        <f t="shared" si="285"/>
        <v>0</v>
      </c>
      <c r="AG1642" s="43" t="s">
        <v>2857</v>
      </c>
      <c r="AH1642" s="66">
        <f t="shared" si="280"/>
        <v>0.4682926829268293</v>
      </c>
      <c r="AI1642" s="283">
        <f>RTD("money.excel",,$G1642,"PredictVolume")</f>
        <v>24</v>
      </c>
      <c r="AJ1642" s="391">
        <f>IFERROR(VLOOKUP($G1642,基本資料!$A:$M,13,0),"無")</f>
        <v>51.25</v>
      </c>
      <c r="AR1642" s="245" t="str">
        <f>INDEX(基本資料!N:N,MATCH($G1642,基本資料!A:A,0))</f>
        <v>低</v>
      </c>
    </row>
    <row r="1643" spans="1:44">
      <c r="A1643" s="343">
        <f>IFERROR(VLOOKUP($G1643,基本資料!$A:$J,3,0),"無")</f>
        <v>141</v>
      </c>
      <c r="B1643" s="79">
        <f>IFERROR(VLOOKUP($G1643,基本資料!$A:$J,4,0),"無")</f>
        <v>-25</v>
      </c>
      <c r="C1643" s="79">
        <f>IFERROR(VLOOKUP($G1643,基本資料!$A:$J,5,0),"無")</f>
        <v>-11</v>
      </c>
      <c r="D1643" s="79">
        <f>IFERROR(VLOOKUP($G1643,基本資料!$A:$J,6,0),"無")</f>
        <v>-17</v>
      </c>
      <c r="E1643" s="79">
        <f>IFERROR(VLOOKUP($G1643,基本資料!$A:$J,7,0),"無")</f>
        <v>-13</v>
      </c>
      <c r="F1643" s="6">
        <f>IFERROR(VLOOKUP($G1643,基本資料!$A:$J,8,0),"無")</f>
        <v>10.29</v>
      </c>
      <c r="G1643" s="79">
        <v>2903</v>
      </c>
      <c r="H1643" s="8" t="s">
        <v>310</v>
      </c>
      <c r="I1643" s="22" t="s">
        <v>802</v>
      </c>
      <c r="J1643" s="8">
        <f>IFERROR(VLOOKUP($G1643,今日總結!$A:$AN,39,0),"")</f>
        <v>0</v>
      </c>
      <c r="K1643" s="5" t="str">
        <f>IFERROR(VLOOKUP($G1643,今日總結!$A:$AN,40,0),"")</f>
        <v>外</v>
      </c>
      <c r="L1643" s="156">
        <f>IFERROR(VLOOKUP($G1643,今日總結!$A:$AN,37,0),"")</f>
        <v>0</v>
      </c>
      <c r="M1643" s="337">
        <f>IFERROR(VLOOKUP($G1643,今日總結!$A:$AN,38,0),"")</f>
        <v>3</v>
      </c>
      <c r="N1643" s="240">
        <f t="shared" si="286"/>
        <v>-3</v>
      </c>
      <c r="O1643" s="359">
        <f>IFERROR(VLOOKUP($G1643,融外自投!$A:$J,7,0),"無")</f>
        <v>1362</v>
      </c>
      <c r="P1643" s="79">
        <f>IFERROR(VLOOKUP($G1643,融外自投!$A:$J,9,0),"無")</f>
        <v>501</v>
      </c>
      <c r="Q1643" s="342">
        <f>IFERROR(VLOOKUP($G1643,融外自投!$A:$J,8,0),"無")</f>
        <v>500</v>
      </c>
      <c r="R1643" s="81" t="str">
        <f>IFERROR(VLOOKUP($G1643,融外自投!$A:$J,10,0),"無")</f>
        <v>無</v>
      </c>
      <c r="S1643" s="324">
        <f>IFERROR(VLOOKUP($G1643,'321買'!$A:$E,4,0),"'沒有資料'")</f>
        <v>1002</v>
      </c>
      <c r="T1643" s="186">
        <f>IFERROR(VLOOKUP($G1643,基本資料!$A:$J,9,0),"無")</f>
        <v>0.9</v>
      </c>
      <c r="U1643" s="307">
        <f t="shared" si="282"/>
        <v>4.6153846153846156E-2</v>
      </c>
      <c r="V1643" s="94">
        <f>IFERROR(VLOOKUP($G1643,基本資料!$A:$J,10,0),"無")</f>
        <v>0.86</v>
      </c>
      <c r="W1643" s="36">
        <f>RTD("money.excel",,"2903","Price")</f>
        <v>19.5</v>
      </c>
      <c r="X1643" s="66"/>
      <c r="Y1643" s="15">
        <f t="shared" si="283"/>
        <v>19.5</v>
      </c>
      <c r="Z1643" s="3" t="e">
        <f t="shared" si="284"/>
        <v>#DIV/0!</v>
      </c>
      <c r="AA1643" s="340">
        <f>IFERROR(VLOOKUP($G1643,基本資料!$A:$M,11,0),"無")</f>
        <v>-19.75</v>
      </c>
      <c r="AB1643" s="389">
        <f>IFERROR(VLOOKUP($G1643,基本資料!$A:$M,12,0),"無")</f>
        <v>15.81</v>
      </c>
      <c r="AC1643" s="22" t="s">
        <v>802</v>
      </c>
      <c r="AF1643" s="33">
        <f t="shared" si="285"/>
        <v>0</v>
      </c>
      <c r="AG1643" s="43" t="s">
        <v>2858</v>
      </c>
      <c r="AH1643" s="66">
        <f t="shared" si="280"/>
        <v>4.9245557170001115</v>
      </c>
      <c r="AI1643" s="283">
        <f>RTD("money.excel",,$G1643,"PredictVolume")</f>
        <v>2203</v>
      </c>
      <c r="AJ1643" s="391">
        <f>IFERROR(VLOOKUP($G1643,基本資料!$A:$M,13,0),"無")</f>
        <v>447.35</v>
      </c>
      <c r="AR1643" s="245" t="str">
        <f>INDEX(基本資料!N:N,MATCH($G1643,基本資料!A:A,0))</f>
        <v>低</v>
      </c>
    </row>
    <row r="1644" spans="1:44">
      <c r="A1644" s="343">
        <f>IFERROR(VLOOKUP($G1644,基本資料!$A:$J,3,0),"無")</f>
        <v>91.33</v>
      </c>
      <c r="B1644" s="79">
        <f>IFERROR(VLOOKUP($G1644,基本資料!$A:$J,4,0),"無")</f>
        <v>3</v>
      </c>
      <c r="C1644" s="79">
        <f>IFERROR(VLOOKUP($G1644,基本資料!$A:$J,5,0),"無")</f>
        <v>-45</v>
      </c>
      <c r="D1644" s="79">
        <f>IFERROR(VLOOKUP($G1644,基本資料!$A:$J,6,0),"無")</f>
        <v>9</v>
      </c>
      <c r="E1644" s="79">
        <f>IFERROR(VLOOKUP($G1644,基本資料!$A:$J,7,0),"無")</f>
        <v>22</v>
      </c>
      <c r="F1644" s="6">
        <f>IFERROR(VLOOKUP($G1644,基本資料!$A:$J,8,0),"無")</f>
        <v>6.78</v>
      </c>
      <c r="G1644" s="79">
        <v>2905</v>
      </c>
      <c r="H1644" s="8" t="s">
        <v>310</v>
      </c>
      <c r="I1644" s="22" t="s">
        <v>91</v>
      </c>
      <c r="J1644" s="8">
        <f>IFERROR(VLOOKUP($G1644,今日總結!$A:$AN,39,0),"")</f>
        <v>0</v>
      </c>
      <c r="K1644" s="5" t="str">
        <f>IFERROR(VLOOKUP($G1644,今日總結!$A:$AN,40,0),"")</f>
        <v>融外</v>
      </c>
      <c r="L1644" s="156">
        <f>IFERROR(VLOOKUP($G1644,今日總結!$A:$AN,37,0),"")</f>
        <v>0</v>
      </c>
      <c r="M1644" s="337">
        <f>IFERROR(VLOOKUP($G1644,今日總結!$A:$AN,38,0),"")</f>
        <v>4</v>
      </c>
      <c r="N1644" s="240">
        <f t="shared" si="286"/>
        <v>-4</v>
      </c>
      <c r="O1644" s="359">
        <f>IFERROR(VLOOKUP($G1644,融外自投!$A:$J,7,0),"無")</f>
        <v>1288</v>
      </c>
      <c r="P1644" s="79">
        <f>IFERROR(VLOOKUP($G1644,融外自投!$A:$J,9,0),"無")</f>
        <v>990</v>
      </c>
      <c r="Q1644" s="342">
        <f>IFERROR(VLOOKUP($G1644,融外自投!$A:$J,8,0),"無")</f>
        <v>702</v>
      </c>
      <c r="R1644" s="81" t="str">
        <f>IFERROR(VLOOKUP($G1644,融外自投!$A:$J,10,0),"無")</f>
        <v>無</v>
      </c>
      <c r="S1644" s="324">
        <f>IFERROR(VLOOKUP($G1644,'321買'!$A:$E,4,0),"'沒有資料'")</f>
        <v>1002</v>
      </c>
      <c r="T1644" s="186">
        <f>IFERROR(VLOOKUP($G1644,基本資料!$A:$J,9,0),"無")</f>
        <v>1.1000000000000001</v>
      </c>
      <c r="U1644" s="307">
        <f t="shared" si="282"/>
        <v>5.8201058201058212E-2</v>
      </c>
      <c r="V1644" s="94">
        <f>IFERROR(VLOOKUP($G1644,基本資料!$A:$J,10,0),"無")</f>
        <v>2.19</v>
      </c>
      <c r="W1644" s="36">
        <f>RTD("money.excel",,"2905","Price")</f>
        <v>18.899999999999999</v>
      </c>
      <c r="X1644" s="66"/>
      <c r="Y1644" s="15">
        <f t="shared" si="283"/>
        <v>18.899999999999999</v>
      </c>
      <c r="Z1644" s="3" t="e">
        <f t="shared" si="284"/>
        <v>#DIV/0!</v>
      </c>
      <c r="AA1644" s="340">
        <f>IFERROR(VLOOKUP($G1644,基本資料!$A:$M,11,0),"無")</f>
        <v>-27.59</v>
      </c>
      <c r="AB1644" s="389">
        <f>IFERROR(VLOOKUP($G1644,基本資料!$A:$M,12,0),"無")</f>
        <v>19.329999999999998</v>
      </c>
      <c r="AC1644" s="22" t="s">
        <v>91</v>
      </c>
      <c r="AF1644" s="33">
        <f t="shared" si="285"/>
        <v>0</v>
      </c>
      <c r="AG1644" s="117" t="s">
        <v>2859</v>
      </c>
      <c r="AH1644" s="66">
        <f t="shared" si="280"/>
        <v>3.7732528908999496</v>
      </c>
      <c r="AI1644" s="283">
        <f>RTD("money.excel",,$G1644,"PredictVolume")</f>
        <v>1501</v>
      </c>
      <c r="AJ1644" s="391">
        <f>IFERROR(VLOOKUP($G1644,基本資料!$A:$M,13,0),"無")</f>
        <v>397.8</v>
      </c>
      <c r="AR1644" s="245" t="str">
        <f>INDEX(基本資料!N:N,MATCH($G1644,基本資料!A:A,0))</f>
        <v>低</v>
      </c>
    </row>
    <row r="1645" spans="1:44">
      <c r="A1645" s="343">
        <f>IFERROR(VLOOKUP($G1645,基本資料!$A:$J,3,0),"無")</f>
        <v>20.91</v>
      </c>
      <c r="B1645" s="79">
        <f>IFERROR(VLOOKUP($G1645,基本資料!$A:$J,4,0),"無")</f>
        <v>44</v>
      </c>
      <c r="C1645" s="79">
        <f>IFERROR(VLOOKUP($G1645,基本資料!$A:$J,5,0),"無")</f>
        <v>29</v>
      </c>
      <c r="D1645" s="79">
        <f>IFERROR(VLOOKUP($G1645,基本資料!$A:$J,6,0),"無")</f>
        <v>-17</v>
      </c>
      <c r="E1645" s="79">
        <f>IFERROR(VLOOKUP($G1645,基本資料!$A:$J,7,0),"無")</f>
        <v>-14</v>
      </c>
      <c r="F1645" s="6">
        <f>IFERROR(VLOOKUP($G1645,基本資料!$A:$J,8,0),"無")</f>
        <v>4.0599999999999996</v>
      </c>
      <c r="G1645" s="79">
        <v>2906</v>
      </c>
      <c r="H1645" s="8" t="s">
        <v>310</v>
      </c>
      <c r="I1645" s="22" t="s">
        <v>803</v>
      </c>
      <c r="J1645" s="8">
        <f>IFERROR(VLOOKUP($G1645,今日總結!$A:$AN,39,0),"")</f>
        <v>0</v>
      </c>
      <c r="K1645" s="5" t="str">
        <f>IFERROR(VLOOKUP($G1645,今日總結!$A:$AN,40,0),"")</f>
        <v>融</v>
      </c>
      <c r="L1645" s="156">
        <f>IFERROR(VLOOKUP($G1645,今日總結!$A:$AN,37,0),"")</f>
        <v>0</v>
      </c>
      <c r="M1645" s="337">
        <f>IFERROR(VLOOKUP($G1645,今日總結!$A:$AN,38,0),"")</f>
        <v>2</v>
      </c>
      <c r="N1645" s="240">
        <f t="shared" si="286"/>
        <v>-2</v>
      </c>
      <c r="O1645" s="359">
        <f>IFERROR(VLOOKUP($G1645,融外自投!$A:$J,7,0),"無")</f>
        <v>286</v>
      </c>
      <c r="P1645" s="79">
        <f>IFERROR(VLOOKUP($G1645,融外自投!$A:$J,9,0),"無")</f>
        <v>39</v>
      </c>
      <c r="Q1645" s="342">
        <f>IFERROR(VLOOKUP($G1645,融外自投!$A:$J,8,0),"無")</f>
        <v>617</v>
      </c>
      <c r="R1645" s="81" t="str">
        <f>IFERROR(VLOOKUP($G1645,融外自投!$A:$J,10,0),"無")</f>
        <v>無</v>
      </c>
      <c r="S1645" s="324">
        <f>IFERROR(VLOOKUP($G1645,'321買'!$A:$E,4,0),"'沒有資料'")</f>
        <v>300</v>
      </c>
      <c r="T1645" s="186">
        <f>IFERROR(VLOOKUP($G1645,基本資料!$A:$J,9,0),"無")</f>
        <v>0.4</v>
      </c>
      <c r="U1645" s="307">
        <f t="shared" si="282"/>
        <v>2.3054755043227664E-2</v>
      </c>
      <c r="V1645" s="94">
        <f>IFERROR(VLOOKUP($G1645,基本資料!$A:$J,10,0),"無")</f>
        <v>0.43</v>
      </c>
      <c r="W1645" s="36">
        <f>RTD("money.excel",,"2906","Price")</f>
        <v>17.350000000000001</v>
      </c>
      <c r="X1645" s="66"/>
      <c r="Y1645" s="15">
        <f t="shared" si="283"/>
        <v>17.350000000000001</v>
      </c>
      <c r="Z1645" s="3" t="e">
        <f t="shared" si="284"/>
        <v>#DIV/0!</v>
      </c>
      <c r="AA1645" s="340">
        <f>IFERROR(VLOOKUP($G1645,基本資料!$A:$M,11,0),"無")</f>
        <v>-41.88</v>
      </c>
      <c r="AB1645" s="389">
        <f>IFERROR(VLOOKUP($G1645,基本資料!$A:$M,12,0),"無")</f>
        <v>14.08</v>
      </c>
      <c r="AC1645" s="22" t="s">
        <v>803</v>
      </c>
      <c r="AF1645" s="33">
        <f t="shared" si="285"/>
        <v>0</v>
      </c>
      <c r="AG1645" s="43" t="s">
        <v>2059</v>
      </c>
      <c r="AH1645" s="66">
        <f t="shared" si="280"/>
        <v>0.47755065607426583</v>
      </c>
      <c r="AI1645" s="283">
        <f>RTD("money.excel",,$G1645,"PredictVolume")</f>
        <v>2675</v>
      </c>
      <c r="AJ1645" s="391">
        <f>IFERROR(VLOOKUP($G1645,基本資料!$A:$M,13,0),"無")</f>
        <v>5601.5</v>
      </c>
      <c r="AR1645" s="245" t="str">
        <f>INDEX(基本資料!N:N,MATCH($G1645,基本資料!A:A,0))</f>
        <v>低</v>
      </c>
    </row>
    <row r="1646" spans="1:44">
      <c r="A1646" s="343">
        <f>IFERROR(VLOOKUP($G1646,基本資料!$A:$J,3,0),"無")</f>
        <v>50.98</v>
      </c>
      <c r="B1646" s="79">
        <f>IFERROR(VLOOKUP($G1646,基本資料!$A:$J,4,0),"無")</f>
        <v>1</v>
      </c>
      <c r="C1646" s="79">
        <f>IFERROR(VLOOKUP($G1646,基本資料!$A:$J,5,0),"無")</f>
        <v>-33</v>
      </c>
      <c r="D1646" s="79">
        <f>IFERROR(VLOOKUP($G1646,基本資料!$A:$J,6,0),"無")</f>
        <v>-9</v>
      </c>
      <c r="E1646" s="79">
        <f>IFERROR(VLOOKUP($G1646,基本資料!$A:$J,7,0),"無")</f>
        <v>-15</v>
      </c>
      <c r="F1646" s="6">
        <f>IFERROR(VLOOKUP($G1646,基本資料!$A:$J,8,0),"無")</f>
        <v>1.74</v>
      </c>
      <c r="G1646" s="79">
        <v>2908</v>
      </c>
      <c r="H1646" s="8" t="s">
        <v>310</v>
      </c>
      <c r="I1646" s="22" t="s">
        <v>804</v>
      </c>
      <c r="J1646" s="8" t="str">
        <f>IFERROR(VLOOKUP($G1646,今日總結!$A:$AN,39,0),"")</f>
        <v>融</v>
      </c>
      <c r="K1646" s="5">
        <f>IFERROR(VLOOKUP($G1646,今日總結!$A:$AN,40,0),"")</f>
        <v>0</v>
      </c>
      <c r="L1646" s="156">
        <f>IFERROR(VLOOKUP($G1646,今日總結!$A:$AN,37,0),"")</f>
        <v>9</v>
      </c>
      <c r="M1646" s="337">
        <f>IFERROR(VLOOKUP($G1646,今日總結!$A:$AN,38,0),"")</f>
        <v>0</v>
      </c>
      <c r="N1646" s="240">
        <f t="shared" si="286"/>
        <v>9</v>
      </c>
      <c r="O1646" s="359">
        <f>IFERROR(VLOOKUP($G1646,融外自投!$A:$J,7,0),"無")</f>
        <v>655</v>
      </c>
      <c r="P1646" s="79" t="str">
        <f>IFERROR(VLOOKUP($G1646,融外自投!$A:$J,9,0),"無")</f>
        <v>無</v>
      </c>
      <c r="Q1646" s="342">
        <f>IFERROR(VLOOKUP($G1646,融外自投!$A:$J,8,0),"無")</f>
        <v>852</v>
      </c>
      <c r="R1646" s="81" t="str">
        <f>IFERROR(VLOOKUP($G1646,融外自投!$A:$J,10,0),"無")</f>
        <v>無</v>
      </c>
      <c r="S1646" s="324">
        <f>IFERROR(VLOOKUP($G1646,'321買'!$A:$E,4,0),"'沒有資料'")</f>
        <v>1002</v>
      </c>
      <c r="T1646" s="186">
        <f>IFERROR(VLOOKUP($G1646,基本資料!$A:$J,9,0),"無")</f>
        <v>1.28</v>
      </c>
      <c r="U1646" s="307">
        <f t="shared" si="282"/>
        <v>5.9259259259259255E-2</v>
      </c>
      <c r="V1646" s="94">
        <f>IFERROR(VLOOKUP($G1646,基本資料!$A:$J,10,0),"無")</f>
        <v>1.58</v>
      </c>
      <c r="W1646" s="36">
        <f>RTD("money.excel",,"2908","Price")</f>
        <v>21.6</v>
      </c>
      <c r="X1646" s="66"/>
      <c r="Y1646" s="15">
        <f t="shared" si="283"/>
        <v>21.6</v>
      </c>
      <c r="Z1646" s="3" t="e">
        <f t="shared" si="284"/>
        <v>#DIV/0!</v>
      </c>
      <c r="AA1646" s="340">
        <f>IFERROR(VLOOKUP($G1646,基本資料!$A:$M,11,0),"無")</f>
        <v>-19.399999999999999</v>
      </c>
      <c r="AB1646" s="389">
        <f>IFERROR(VLOOKUP($G1646,基本資料!$A:$M,12,0),"無")</f>
        <v>71.92</v>
      </c>
      <c r="AC1646" s="22" t="s">
        <v>804</v>
      </c>
      <c r="AF1646" s="33">
        <f t="shared" si="285"/>
        <v>0</v>
      </c>
      <c r="AG1646" s="43" t="s">
        <v>2860</v>
      </c>
      <c r="AH1646" s="66">
        <f t="shared" si="280"/>
        <v>0.87797019734192505</v>
      </c>
      <c r="AI1646" s="283">
        <f>RTD("money.excel",,$G1646,"PredictVolume")</f>
        <v>109</v>
      </c>
      <c r="AJ1646" s="391">
        <f>IFERROR(VLOOKUP($G1646,基本資料!$A:$M,13,0),"無")</f>
        <v>124.15</v>
      </c>
      <c r="AR1646" s="245" t="str">
        <f>INDEX(基本資料!N:N,MATCH($G1646,基本資料!A:A,0))</f>
        <v>低</v>
      </c>
    </row>
    <row r="1647" spans="1:44">
      <c r="A1647" s="343">
        <f>IFERROR(VLOOKUP($G1647,基本資料!$A:$J,3,0),"無")</f>
        <v>20.87</v>
      </c>
      <c r="B1647" s="79">
        <f>IFERROR(VLOOKUP($G1647,基本資料!$A:$J,4,0),"無")</f>
        <v>23</v>
      </c>
      <c r="C1647" s="79">
        <f>IFERROR(VLOOKUP($G1647,基本資料!$A:$J,5,0),"無")</f>
        <v>-18</v>
      </c>
      <c r="D1647" s="79">
        <f>IFERROR(VLOOKUP($G1647,基本資料!$A:$J,6,0),"無")</f>
        <v>-7</v>
      </c>
      <c r="E1647" s="79">
        <f>IFERROR(VLOOKUP($G1647,基本資料!$A:$J,7,0),"無")</f>
        <v>-11</v>
      </c>
      <c r="F1647" s="6">
        <f>IFERROR(VLOOKUP($G1647,基本資料!$A:$J,8,0),"無")</f>
        <v>24.86</v>
      </c>
      <c r="G1647" s="79">
        <v>2910</v>
      </c>
      <c r="H1647" s="8" t="s">
        <v>310</v>
      </c>
      <c r="I1647" s="22" t="s">
        <v>805</v>
      </c>
      <c r="J1647" s="8">
        <f>IFERROR(VLOOKUP($G1647,今日總結!$A:$AN,39,0),"")</f>
        <v>0</v>
      </c>
      <c r="K1647" s="5">
        <f>IFERROR(VLOOKUP($G1647,今日總結!$A:$AN,40,0),"")</f>
        <v>0</v>
      </c>
      <c r="L1647" s="156">
        <f>IFERROR(VLOOKUP($G1647,今日總結!$A:$AN,37,0),"")</f>
        <v>0</v>
      </c>
      <c r="M1647" s="337">
        <f>IFERROR(VLOOKUP($G1647,今日總結!$A:$AN,38,0),"")</f>
        <v>0</v>
      </c>
      <c r="N1647" s="240">
        <f t="shared" si="286"/>
        <v>0</v>
      </c>
      <c r="O1647" s="359">
        <f>IFERROR(VLOOKUP($G1647,融外自投!$A:$J,7,0),"無")</f>
        <v>1462</v>
      </c>
      <c r="P1647" s="79" t="str">
        <f>IFERROR(VLOOKUP($G1647,融外自投!$A:$J,9,0),"無")</f>
        <v>無</v>
      </c>
      <c r="Q1647" s="342">
        <f>IFERROR(VLOOKUP($G1647,融外自投!$A:$J,8,0),"無")</f>
        <v>1419</v>
      </c>
      <c r="R1647" s="81" t="str">
        <f>IFERROR(VLOOKUP($G1647,融外自投!$A:$J,10,0),"無")</f>
        <v>無</v>
      </c>
      <c r="S1647" s="324">
        <f>IFERROR(VLOOKUP($G1647,'321買'!$A:$E,4,0),"'沒有資料'")</f>
        <v>1002</v>
      </c>
      <c r="T1647" s="186">
        <f>IFERROR(VLOOKUP($G1647,基本資料!$A:$J,9,0),"無")</f>
        <v>0.5</v>
      </c>
      <c r="U1647" s="307">
        <f t="shared" si="282"/>
        <v>1.5527950310559004E-2</v>
      </c>
      <c r="V1647" s="94">
        <f>IFERROR(VLOOKUP($G1647,基本資料!$A:$J,10,0),"無")</f>
        <v>0.8</v>
      </c>
      <c r="W1647" s="36">
        <f>RTD("money.excel",,"2910","Price")</f>
        <v>32.200000000000003</v>
      </c>
      <c r="X1647" s="66"/>
      <c r="Y1647" s="15">
        <f t="shared" si="283"/>
        <v>32.200000000000003</v>
      </c>
      <c r="Z1647" s="3" t="e">
        <f t="shared" si="284"/>
        <v>#DIV/0!</v>
      </c>
      <c r="AA1647" s="340">
        <f>IFERROR(VLOOKUP($G1647,基本資料!$A:$M,11,0),"無")</f>
        <v>-23.97</v>
      </c>
      <c r="AB1647" s="389">
        <f>IFERROR(VLOOKUP($G1647,基本資料!$A:$M,12,0),"無")</f>
        <v>59.31</v>
      </c>
      <c r="AC1647" s="22" t="s">
        <v>805</v>
      </c>
      <c r="AF1647" s="33">
        <f t="shared" si="285"/>
        <v>0</v>
      </c>
      <c r="AG1647" s="43" t="s">
        <v>2861</v>
      </c>
      <c r="AH1647" s="66">
        <f t="shared" si="280"/>
        <v>0.23346303501945526</v>
      </c>
      <c r="AI1647" s="283">
        <f>RTD("money.excel",,$G1647,"PredictVolume")</f>
        <v>3</v>
      </c>
      <c r="AJ1647" s="391">
        <f>IFERROR(VLOOKUP($G1647,基本資料!$A:$M,13,0),"無")</f>
        <v>12.85</v>
      </c>
      <c r="AR1647" s="245" t="str">
        <f>INDEX(基本資料!N:N,MATCH($G1647,基本資料!A:A,0))</f>
        <v>低</v>
      </c>
    </row>
    <row r="1648" spans="1:44">
      <c r="A1648" s="343">
        <f>IFERROR(VLOOKUP($G1648,基本資料!$A:$J,3,0),"無")</f>
        <v>18.46</v>
      </c>
      <c r="B1648" s="79">
        <f>IFERROR(VLOOKUP($G1648,基本資料!$A:$J,4,0),"無")</f>
        <v>22</v>
      </c>
      <c r="C1648" s="79">
        <f>IFERROR(VLOOKUP($G1648,基本資料!$A:$J,5,0),"無")</f>
        <v>-60</v>
      </c>
      <c r="D1648" s="79">
        <f>IFERROR(VLOOKUP($G1648,基本資料!$A:$J,6,0),"無")</f>
        <v>-20</v>
      </c>
      <c r="E1648" s="79">
        <f>IFERROR(VLOOKUP($G1648,基本資料!$A:$J,7,0),"無")</f>
        <v>-26</v>
      </c>
      <c r="F1648" s="6">
        <f>IFERROR(VLOOKUP($G1648,基本資料!$A:$J,8,0),"無")</f>
        <v>-14.09</v>
      </c>
      <c r="G1648" s="79">
        <v>2911</v>
      </c>
      <c r="H1648" s="8" t="s">
        <v>310</v>
      </c>
      <c r="I1648" s="22" t="s">
        <v>806</v>
      </c>
      <c r="J1648" s="8">
        <f>IFERROR(VLOOKUP($G1648,今日總結!$A:$AN,39,0),"")</f>
        <v>0</v>
      </c>
      <c r="K1648" s="5" t="str">
        <f>IFERROR(VLOOKUP($G1648,今日總結!$A:$AN,40,0),"")</f>
        <v>主</v>
      </c>
      <c r="L1648" s="156">
        <f>IFERROR(VLOOKUP($G1648,今日總結!$A:$AN,37,0),"")</f>
        <v>0</v>
      </c>
      <c r="M1648" s="337">
        <f>IFERROR(VLOOKUP($G1648,今日總結!$A:$AN,38,0),"")</f>
        <v>6</v>
      </c>
      <c r="N1648" s="240">
        <f t="shared" si="286"/>
        <v>-6</v>
      </c>
      <c r="O1648" s="359">
        <f>IFERROR(VLOOKUP($G1648,融外自投!$A:$J,7,0),"無")</f>
        <v>978</v>
      </c>
      <c r="P1648" s="79">
        <f>IFERROR(VLOOKUP($G1648,融外自投!$A:$J,9,0),"無")</f>
        <v>200</v>
      </c>
      <c r="Q1648" s="342">
        <f>IFERROR(VLOOKUP($G1648,融外自投!$A:$J,8,0),"無")</f>
        <v>311</v>
      </c>
      <c r="R1648" s="81" t="str">
        <f>IFERROR(VLOOKUP($G1648,融外自投!$A:$J,10,0),"無")</f>
        <v>無</v>
      </c>
      <c r="S1648" s="324">
        <f>IFERROR(VLOOKUP($G1648,'321買'!$A:$E,4,0),"'沒有資料'")</f>
        <v>891</v>
      </c>
      <c r="T1648" s="186">
        <f>IFERROR(VLOOKUP($G1648,基本資料!$A:$J,9,0),"無")</f>
        <v>0</v>
      </c>
      <c r="U1648" s="307">
        <f t="shared" si="282"/>
        <v>0</v>
      </c>
      <c r="V1648" s="94">
        <f>IFERROR(VLOOKUP($G1648,基本資料!$A:$J,10,0),"無")</f>
        <v>-1.32</v>
      </c>
      <c r="W1648" s="36">
        <f>RTD("money.excel",,"2911","Price")</f>
        <v>6.88</v>
      </c>
      <c r="X1648" s="66"/>
      <c r="Y1648" s="15">
        <f t="shared" si="283"/>
        <v>6.88</v>
      </c>
      <c r="Z1648" s="3" t="e">
        <f t="shared" si="284"/>
        <v>#DIV/0!</v>
      </c>
      <c r="AA1648" s="340">
        <f>IFERROR(VLOOKUP($G1648,基本資料!$A:$M,11,0),"無")</f>
        <v>-25.46</v>
      </c>
      <c r="AB1648" s="389">
        <f>IFERROR(VLOOKUP($G1648,基本資料!$A:$M,12,0),"無")</f>
        <v>16.079999999999998</v>
      </c>
      <c r="AC1648" s="22" t="s">
        <v>806</v>
      </c>
      <c r="AF1648" s="33">
        <f t="shared" si="285"/>
        <v>0</v>
      </c>
      <c r="AG1648" s="43" t="s">
        <v>1528</v>
      </c>
      <c r="AH1648" s="66">
        <f t="shared" si="280"/>
        <v>1.0218437615697888</v>
      </c>
      <c r="AI1648" s="283">
        <f>RTD("money.excel",,$G1648,"PredictVolume")</f>
        <v>138</v>
      </c>
      <c r="AJ1648" s="391">
        <f>IFERROR(VLOOKUP($G1648,基本資料!$A:$M,13,0),"無")</f>
        <v>135.05000000000001</v>
      </c>
      <c r="AR1648" s="245" t="str">
        <f>INDEX(基本資料!N:N,MATCH($G1648,基本資料!A:A,0))</f>
        <v>低</v>
      </c>
    </row>
    <row r="1649" spans="1:44">
      <c r="A1649" s="343">
        <f>IFERROR(VLOOKUP($G1649,基本資料!$A:$J,3,0),"無")</f>
        <v>103</v>
      </c>
      <c r="B1649" s="79">
        <f>IFERROR(VLOOKUP($G1649,基本資料!$A:$J,4,0),"無")</f>
        <v>-11</v>
      </c>
      <c r="C1649" s="79">
        <f>IFERROR(VLOOKUP($G1649,基本資料!$A:$J,5,0),"無")</f>
        <v>-12</v>
      </c>
      <c r="D1649" s="79">
        <f>IFERROR(VLOOKUP($G1649,基本資料!$A:$J,6,0),"無")</f>
        <v>0</v>
      </c>
      <c r="E1649" s="79">
        <f>IFERROR(VLOOKUP($G1649,基本資料!$A:$J,7,0),"無")</f>
        <v>10</v>
      </c>
      <c r="F1649" s="6">
        <f>IFERROR(VLOOKUP($G1649,基本資料!$A:$J,8,0),"無")</f>
        <v>4.0599999999999996</v>
      </c>
      <c r="G1649" s="79">
        <v>2912</v>
      </c>
      <c r="H1649" s="8" t="s">
        <v>310</v>
      </c>
      <c r="I1649" s="22" t="s">
        <v>4666</v>
      </c>
      <c r="J1649" s="8">
        <f>IFERROR(VLOOKUP($G1649,今日總結!$A:$AN,39,0),"")</f>
        <v>0</v>
      </c>
      <c r="K1649" s="5" t="str">
        <f>IFERROR(VLOOKUP($G1649,今日總結!$A:$AN,40,0),"")</f>
        <v>外</v>
      </c>
      <c r="L1649" s="156">
        <f>IFERROR(VLOOKUP($G1649,今日總結!$A:$AN,37,0),"")</f>
        <v>0</v>
      </c>
      <c r="M1649" s="337">
        <f>IFERROR(VLOOKUP($G1649,今日總結!$A:$AN,38,0),"")</f>
        <v>3</v>
      </c>
      <c r="N1649" s="240">
        <f t="shared" si="286"/>
        <v>-3</v>
      </c>
      <c r="O1649" s="359">
        <f>IFERROR(VLOOKUP($G1649,融外自投!$A:$J,7,0),"無")</f>
        <v>1437</v>
      </c>
      <c r="P1649" s="79">
        <f>IFERROR(VLOOKUP($G1649,融外自投!$A:$J,9,0),"無")</f>
        <v>451</v>
      </c>
      <c r="Q1649" s="342">
        <f>IFERROR(VLOOKUP($G1649,融外自投!$A:$J,8,0),"無")</f>
        <v>183</v>
      </c>
      <c r="R1649" s="81">
        <f>IFERROR(VLOOKUP($G1649,融外自投!$A:$J,10,0),"無")</f>
        <v>155</v>
      </c>
      <c r="S1649" s="324">
        <f>IFERROR(VLOOKUP($G1649,'321買'!$A:$E,4,0),"'沒有資料'")</f>
        <v>530</v>
      </c>
      <c r="T1649" s="186">
        <f>IFERROR(VLOOKUP($G1649,基本資料!$A:$J,9,0),"無")</f>
        <v>9</v>
      </c>
      <c r="U1649" s="307">
        <f t="shared" si="282"/>
        <v>3.4090909090909088E-2</v>
      </c>
      <c r="V1649" s="94">
        <f>IFERROR(VLOOKUP($G1649,基本資料!$A:$J,10,0),"無")</f>
        <v>8.52</v>
      </c>
      <c r="W1649" s="36">
        <f>RTD("money.excel",,"2912","Price")</f>
        <v>264</v>
      </c>
      <c r="X1649" s="66"/>
      <c r="Y1649" s="15">
        <f t="shared" si="283"/>
        <v>264</v>
      </c>
      <c r="Z1649" s="3" t="e">
        <f t="shared" si="284"/>
        <v>#DIV/0!</v>
      </c>
      <c r="AA1649" s="340">
        <f>IFERROR(VLOOKUP($G1649,基本資料!$A:$M,11,0),"無")</f>
        <v>-10.199999999999999</v>
      </c>
      <c r="AB1649" s="389">
        <f>IFERROR(VLOOKUP($G1649,基本資料!$A:$M,12,0),"無")</f>
        <v>48.05</v>
      </c>
      <c r="AC1649" s="22" t="s">
        <v>4666</v>
      </c>
      <c r="AF1649" s="33">
        <f t="shared" si="285"/>
        <v>0</v>
      </c>
      <c r="AG1649" s="117" t="s">
        <v>2862</v>
      </c>
      <c r="AH1649" s="66">
        <f t="shared" si="280"/>
        <v>0.47765530205930107</v>
      </c>
      <c r="AI1649" s="283">
        <f>RTD("money.excel",,$G1649,"PredictVolume")</f>
        <v>559</v>
      </c>
      <c r="AJ1649" s="391">
        <f>IFERROR(VLOOKUP($G1649,基本資料!$A:$M,13,0),"無")</f>
        <v>1170.3</v>
      </c>
      <c r="AR1649" s="245" t="str">
        <f>INDEX(基本資料!N:N,MATCH($G1649,基本資料!A:A,0))</f>
        <v>低</v>
      </c>
    </row>
    <row r="1650" spans="1:44">
      <c r="A1650" s="343">
        <f>IFERROR(VLOOKUP($G1650,基本資料!$A:$J,3,0),"無")</f>
        <v>79</v>
      </c>
      <c r="B1650" s="79">
        <f>IFERROR(VLOOKUP($G1650,基本資料!$A:$J,4,0),"無")</f>
        <v>-6368</v>
      </c>
      <c r="C1650" s="79">
        <f>IFERROR(VLOOKUP($G1650,基本資料!$A:$J,5,0),"無")</f>
        <v>-23</v>
      </c>
      <c r="D1650" s="79">
        <f>IFERROR(VLOOKUP($G1650,基本資料!$A:$J,6,0),"無")</f>
        <v>2</v>
      </c>
      <c r="E1650" s="79">
        <f>IFERROR(VLOOKUP($G1650,基本資料!$A:$J,7,0),"無")</f>
        <v>-14</v>
      </c>
      <c r="F1650" s="6">
        <f>IFERROR(VLOOKUP($G1650,基本資料!$A:$J,8,0),"無")</f>
        <v>-49.45</v>
      </c>
      <c r="G1650" s="79">
        <v>2913</v>
      </c>
      <c r="H1650" s="8" t="s">
        <v>310</v>
      </c>
      <c r="I1650" s="22" t="s">
        <v>807</v>
      </c>
      <c r="J1650" s="8">
        <f>IFERROR(VLOOKUP($G1650,今日總結!$A:$AN,39,0),"")</f>
        <v>0</v>
      </c>
      <c r="K1650" s="5" t="str">
        <f>IFERROR(VLOOKUP($G1650,今日總結!$A:$AN,40,0),"")</f>
        <v>融</v>
      </c>
      <c r="L1650" s="156">
        <f>IFERROR(VLOOKUP($G1650,今日總結!$A:$AN,37,0),"")</f>
        <v>0</v>
      </c>
      <c r="M1650" s="337">
        <f>IFERROR(VLOOKUP($G1650,今日總結!$A:$AN,38,0),"")</f>
        <v>2</v>
      </c>
      <c r="N1650" s="240">
        <f t="shared" si="286"/>
        <v>-2</v>
      </c>
      <c r="O1650" s="359">
        <f>IFERROR(VLOOKUP($G1650,融外自投!$A:$J,7,0),"無")</f>
        <v>658</v>
      </c>
      <c r="P1650" s="79">
        <f>IFERROR(VLOOKUP($G1650,融外自投!$A:$J,9,0),"無")</f>
        <v>869</v>
      </c>
      <c r="Q1650" s="342">
        <f>IFERROR(VLOOKUP($G1650,融外自投!$A:$J,8,0),"無")</f>
        <v>611</v>
      </c>
      <c r="R1650" s="81">
        <f>IFERROR(VLOOKUP($G1650,融外自投!$A:$J,10,0),"無")</f>
        <v>439</v>
      </c>
      <c r="S1650" s="324">
        <f>IFERROR(VLOOKUP($G1650,'321買'!$A:$E,4,0),"'沒有資料'")</f>
        <v>1002</v>
      </c>
      <c r="T1650" s="186">
        <f>IFERROR(VLOOKUP($G1650,基本資料!$A:$J,9,0),"無")</f>
        <v>0</v>
      </c>
      <c r="U1650" s="307">
        <f t="shared" si="282"/>
        <v>0</v>
      </c>
      <c r="V1650" s="94">
        <f>IFERROR(VLOOKUP($G1650,基本資料!$A:$J,10,0),"無")</f>
        <v>-1.42</v>
      </c>
      <c r="W1650" s="36">
        <f>RTD("money.excel",,"2913","Price")</f>
        <v>18.3</v>
      </c>
      <c r="X1650" s="66"/>
      <c r="Y1650" s="15">
        <f t="shared" si="283"/>
        <v>18.3</v>
      </c>
      <c r="Z1650" s="3" t="e">
        <f t="shared" si="284"/>
        <v>#DIV/0!</v>
      </c>
      <c r="AA1650" s="340">
        <f>IFERROR(VLOOKUP($G1650,基本資料!$A:$M,11,0),"無")</f>
        <v>-17.75</v>
      </c>
      <c r="AB1650" s="389">
        <f>IFERROR(VLOOKUP($G1650,基本資料!$A:$M,12,0),"無")</f>
        <v>18.329999999999998</v>
      </c>
      <c r="AC1650" s="22" t="s">
        <v>807</v>
      </c>
      <c r="AF1650" s="33">
        <f t="shared" si="285"/>
        <v>0</v>
      </c>
      <c r="AG1650" s="43" t="s">
        <v>2176</v>
      </c>
      <c r="AH1650" s="66">
        <f t="shared" si="280"/>
        <v>0.43789527753699958</v>
      </c>
      <c r="AI1650" s="283">
        <f>RTD("money.excel",,$G1650,"PredictVolume")</f>
        <v>682</v>
      </c>
      <c r="AJ1650" s="391">
        <f>IFERROR(VLOOKUP($G1650,基本資料!$A:$M,13,0),"無")</f>
        <v>1557.45</v>
      </c>
      <c r="AR1650" s="245" t="str">
        <f>INDEX(基本資料!N:N,MATCH($G1650,基本資料!A:A,0))</f>
        <v>低</v>
      </c>
    </row>
    <row r="1651" spans="1:44">
      <c r="A1651" s="343">
        <f>IFERROR(VLOOKUP($G1651,基本資料!$A:$J,3,0),"無")</f>
        <v>73.430000000000007</v>
      </c>
      <c r="B1651" s="79">
        <f>IFERROR(VLOOKUP($G1651,基本資料!$A:$J,4,0),"無")</f>
        <v>93</v>
      </c>
      <c r="C1651" s="79">
        <f>IFERROR(VLOOKUP($G1651,基本資料!$A:$J,5,0),"無")</f>
        <v>-26</v>
      </c>
      <c r="D1651" s="79">
        <f>IFERROR(VLOOKUP($G1651,基本資料!$A:$J,6,0),"無")</f>
        <v>30</v>
      </c>
      <c r="E1651" s="79">
        <f>IFERROR(VLOOKUP($G1651,基本資料!$A:$J,7,0),"無")</f>
        <v>12</v>
      </c>
      <c r="F1651" s="6">
        <f>IFERROR(VLOOKUP($G1651,基本資料!$A:$J,8,0),"無")</f>
        <v>1.42</v>
      </c>
      <c r="G1651" s="79">
        <v>2915</v>
      </c>
      <c r="H1651" s="8" t="s">
        <v>310</v>
      </c>
      <c r="I1651" s="22" t="s">
        <v>4667</v>
      </c>
      <c r="J1651" s="8">
        <f>IFERROR(VLOOKUP($G1651,今日總結!$A:$AN,39,0),"")</f>
        <v>0</v>
      </c>
      <c r="K1651" s="5" t="str">
        <f>IFERROR(VLOOKUP($G1651,今日總結!$A:$AN,40,0),"")</f>
        <v>主自</v>
      </c>
      <c r="L1651" s="156">
        <f>IFERROR(VLOOKUP($G1651,今日總結!$A:$AN,37,0),"")</f>
        <v>0</v>
      </c>
      <c r="M1651" s="337">
        <f>IFERROR(VLOOKUP($G1651,今日總結!$A:$AN,38,0),"")</f>
        <v>8</v>
      </c>
      <c r="N1651" s="240">
        <f t="shared" si="286"/>
        <v>-8</v>
      </c>
      <c r="O1651" s="359">
        <f>IFERROR(VLOOKUP($G1651,融外自投!$A:$J,7,0),"無")</f>
        <v>769</v>
      </c>
      <c r="P1651" s="79">
        <f>IFERROR(VLOOKUP($G1651,融外自投!$A:$J,9,0),"無")</f>
        <v>26</v>
      </c>
      <c r="Q1651" s="342">
        <f>IFERROR(VLOOKUP($G1651,融外自投!$A:$J,8,0),"無")</f>
        <v>569</v>
      </c>
      <c r="R1651" s="81">
        <f>IFERROR(VLOOKUP($G1651,融外自投!$A:$J,10,0),"無")</f>
        <v>476</v>
      </c>
      <c r="S1651" s="324">
        <f>IFERROR(VLOOKUP($G1651,'321買'!$A:$E,4,0),"'沒有資料'")</f>
        <v>394</v>
      </c>
      <c r="T1651" s="186">
        <f>IFERROR(VLOOKUP($G1651,基本資料!$A:$J,9,0),"無")</f>
        <v>5</v>
      </c>
      <c r="U1651" s="307">
        <f t="shared" si="282"/>
        <v>6.1728395061728392E-2</v>
      </c>
      <c r="V1651" s="94">
        <f>IFERROR(VLOOKUP($G1651,基本資料!$A:$J,10,0),"無")</f>
        <v>22.49</v>
      </c>
      <c r="W1651" s="36">
        <f>RTD("money.excel",,"2915","Price")</f>
        <v>81</v>
      </c>
      <c r="X1651" s="66"/>
      <c r="Y1651" s="15">
        <f t="shared" si="283"/>
        <v>81</v>
      </c>
      <c r="Z1651" s="3" t="e">
        <f t="shared" si="284"/>
        <v>#DIV/0!</v>
      </c>
      <c r="AA1651" s="340">
        <f>IFERROR(VLOOKUP($G1651,基本資料!$A:$M,11,0),"無")</f>
        <v>-45.08</v>
      </c>
      <c r="AB1651" s="389">
        <f>IFERROR(VLOOKUP($G1651,基本資料!$A:$M,12,0),"無")</f>
        <v>18.36</v>
      </c>
      <c r="AC1651" s="22" t="s">
        <v>4667</v>
      </c>
      <c r="AF1651" s="33">
        <f t="shared" si="285"/>
        <v>0</v>
      </c>
      <c r="AG1651" s="117" t="s">
        <v>2058</v>
      </c>
      <c r="AH1651" s="66">
        <f t="shared" si="280"/>
        <v>1.0844270368079894</v>
      </c>
      <c r="AI1651" s="283">
        <f>RTD("money.excel",,$G1651,"PredictVolume")</f>
        <v>9469</v>
      </c>
      <c r="AJ1651" s="391">
        <f>IFERROR(VLOOKUP($G1651,基本資料!$A:$M,13,0),"無")</f>
        <v>8731.7999999999993</v>
      </c>
      <c r="AR1651" s="245" t="str">
        <f>INDEX(基本資料!N:N,MATCH($G1651,基本資料!A:A,0))</f>
        <v>低</v>
      </c>
    </row>
    <row r="1652" spans="1:44">
      <c r="A1652" s="343">
        <f>IFERROR(VLOOKUP($G1652,基本資料!$A:$J,3,0),"無")</f>
        <v>5.46</v>
      </c>
      <c r="B1652" s="79">
        <f>IFERROR(VLOOKUP($G1652,基本資料!$A:$J,4,0),"無")</f>
        <v>56</v>
      </c>
      <c r="C1652" s="79">
        <f>IFERROR(VLOOKUP($G1652,基本資料!$A:$J,5,0),"無")</f>
        <v>28</v>
      </c>
      <c r="D1652" s="79">
        <f>IFERROR(VLOOKUP($G1652,基本資料!$A:$J,6,0),"無")</f>
        <v>-15</v>
      </c>
      <c r="E1652" s="79">
        <f>IFERROR(VLOOKUP($G1652,基本資料!$A:$J,7,0),"無")</f>
        <v>-21</v>
      </c>
      <c r="F1652" s="6">
        <f>IFERROR(VLOOKUP($G1652,基本資料!$A:$J,8,0),"無")</f>
        <v>9.11</v>
      </c>
      <c r="G1652" s="79">
        <v>2916</v>
      </c>
      <c r="H1652" s="8" t="s">
        <v>310</v>
      </c>
      <c r="I1652" s="16" t="s">
        <v>790</v>
      </c>
      <c r="J1652" s="8">
        <f>IFERROR(VLOOKUP($G1652,今日總結!$A:$AN,39,0),"")</f>
        <v>0</v>
      </c>
      <c r="K1652" s="5">
        <f>IFERROR(VLOOKUP($G1652,今日總結!$A:$AN,40,0),"")</f>
        <v>0</v>
      </c>
      <c r="L1652" s="156">
        <f>IFERROR(VLOOKUP($G1652,今日總結!$A:$AN,37,0),"")</f>
        <v>0</v>
      </c>
      <c r="M1652" s="337">
        <f>IFERROR(VLOOKUP($G1652,今日總結!$A:$AN,38,0),"")</f>
        <v>0</v>
      </c>
      <c r="N1652" s="240">
        <f t="shared" si="286"/>
        <v>0</v>
      </c>
      <c r="O1652" s="359">
        <f>IFERROR(VLOOKUP($G1652,融外自投!$A:$J,7,0),"無")</f>
        <v>1183</v>
      </c>
      <c r="P1652" s="79">
        <f>IFERROR(VLOOKUP($G1652,融外自投!$A:$J,9,0),"無")</f>
        <v>1123</v>
      </c>
      <c r="Q1652" s="342">
        <f>IFERROR(VLOOKUP($G1652,融外自投!$A:$J,8,0),"無")</f>
        <v>260</v>
      </c>
      <c r="R1652" s="81" t="str">
        <f>IFERROR(VLOOKUP($G1652,融外自投!$A:$J,10,0),"無")</f>
        <v>無</v>
      </c>
      <c r="S1652" s="324">
        <f>IFERROR(VLOOKUP($G1652,'321買'!$A:$E,4,0),"'沒有資料'")</f>
        <v>1002</v>
      </c>
      <c r="T1652" s="186">
        <f>IFERROR(VLOOKUP($G1652,基本資料!$A:$J,9,0),"無")</f>
        <v>2.2000000000000002</v>
      </c>
      <c r="U1652" s="307">
        <f t="shared" si="282"/>
        <v>9.6069868995633204E-2</v>
      </c>
      <c r="V1652" s="94">
        <f>IFERROR(VLOOKUP($G1652,基本資料!$A:$J,10,0),"無")</f>
        <v>2.52</v>
      </c>
      <c r="W1652" s="36">
        <f>RTD("money.excel",,"2916","Price")</f>
        <v>22.9</v>
      </c>
      <c r="X1652" s="66"/>
      <c r="Y1652" s="15">
        <f t="shared" si="283"/>
        <v>22.9</v>
      </c>
      <c r="Z1652" s="3" t="e">
        <f t="shared" si="284"/>
        <v>#DIV/0!</v>
      </c>
      <c r="AA1652" s="340">
        <f>IFERROR(VLOOKUP($G1652,基本資料!$A:$M,11,0),"無")</f>
        <v>-10.199999999999999</v>
      </c>
      <c r="AB1652" s="389">
        <f>IFERROR(VLOOKUP($G1652,基本資料!$A:$M,12,0),"無")</f>
        <v>32.68</v>
      </c>
      <c r="AC1652" s="16" t="s">
        <v>790</v>
      </c>
      <c r="AF1652" s="33">
        <f t="shared" si="285"/>
        <v>0</v>
      </c>
      <c r="AG1652" s="43" t="s">
        <v>2642</v>
      </c>
      <c r="AH1652" s="66">
        <f t="shared" si="280"/>
        <v>0.99462365591397839</v>
      </c>
      <c r="AI1652" s="283">
        <f>RTD("money.excel",,$G1652,"PredictVolume")</f>
        <v>37</v>
      </c>
      <c r="AJ1652" s="391">
        <f>IFERROR(VLOOKUP($G1652,基本資料!$A:$M,13,0),"無")</f>
        <v>37.200000000000003</v>
      </c>
      <c r="AR1652" s="245" t="str">
        <f>INDEX(基本資料!N:N,MATCH($G1652,基本資料!A:A,0))</f>
        <v>中</v>
      </c>
    </row>
    <row r="1653" spans="1:44">
      <c r="A1653" s="343">
        <f>IFERROR(VLOOKUP($G1653,基本資料!$A:$J,3,0),"無")</f>
        <v>3.28</v>
      </c>
      <c r="B1653" s="79">
        <f>IFERROR(VLOOKUP($G1653,基本資料!$A:$J,4,0),"無")</f>
        <v>54</v>
      </c>
      <c r="C1653" s="79">
        <f>IFERROR(VLOOKUP($G1653,基本資料!$A:$J,5,0),"無")</f>
        <v>-142</v>
      </c>
      <c r="D1653" s="79">
        <f>IFERROR(VLOOKUP($G1653,基本資料!$A:$J,6,0),"無")</f>
        <v>-35</v>
      </c>
      <c r="E1653" s="79">
        <f>IFERROR(VLOOKUP($G1653,基本資料!$A:$J,7,0),"無")</f>
        <v>-78</v>
      </c>
      <c r="F1653" s="6">
        <f>IFERROR(VLOOKUP($G1653,基本資料!$A:$J,8,0),"無")</f>
        <v>-60.52</v>
      </c>
      <c r="G1653" s="79">
        <v>2924</v>
      </c>
      <c r="H1653" s="8" t="s">
        <v>310</v>
      </c>
      <c r="I1653" s="16" t="s">
        <v>791</v>
      </c>
      <c r="J1653" s="8" t="str">
        <f>IFERROR(VLOOKUP($G1653,今日總結!$A:$AN,39,0),"")</f>
        <v/>
      </c>
      <c r="K1653" s="5" t="str">
        <f>IFERROR(VLOOKUP($G1653,今日總結!$A:$AN,40,0),"")</f>
        <v/>
      </c>
      <c r="L1653" s="156" t="str">
        <f>IFERROR(VLOOKUP($G1653,今日總結!$A:$AN,37,0),"")</f>
        <v/>
      </c>
      <c r="M1653" s="337" t="str">
        <f>IFERROR(VLOOKUP($G1653,今日總結!$A:$AN,38,0),"")</f>
        <v/>
      </c>
      <c r="N1653" s="240" t="str">
        <f t="shared" si="286"/>
        <v/>
      </c>
      <c r="O1653" s="359" t="str">
        <f>IFERROR(VLOOKUP($G1653,融外自投!$A:$J,7,0),"無")</f>
        <v>無</v>
      </c>
      <c r="P1653" s="79" t="str">
        <f>IFERROR(VLOOKUP($G1653,融外自投!$A:$J,9,0),"無")</f>
        <v>無</v>
      </c>
      <c r="Q1653" s="342" t="str">
        <f>IFERROR(VLOOKUP($G1653,融外自投!$A:$J,8,0),"無")</f>
        <v>無</v>
      </c>
      <c r="R1653" s="81" t="str">
        <f>IFERROR(VLOOKUP($G1653,融外自投!$A:$J,10,0),"無")</f>
        <v>無</v>
      </c>
      <c r="S1653" s="324" t="str">
        <f>IFERROR(VLOOKUP($G1653,'321買'!$A:$E,4,0),"'沒有資料'")</f>
        <v>'沒有資料'</v>
      </c>
      <c r="T1653" s="186">
        <f>IFERROR(VLOOKUP($G1653,基本資料!$A:$J,9,0),"無")</f>
        <v>0</v>
      </c>
      <c r="U1653" s="307">
        <f t="shared" si="282"/>
        <v>0</v>
      </c>
      <c r="V1653" s="94">
        <f>IFERROR(VLOOKUP($G1653,基本資料!$A:$J,10,0),"無")</f>
        <v>-1.72</v>
      </c>
      <c r="W1653" s="36">
        <f>RTD("money.excel",,"2924","Price")</f>
        <v>30</v>
      </c>
      <c r="X1653" s="66"/>
      <c r="Y1653" s="15">
        <f t="shared" si="283"/>
        <v>30</v>
      </c>
      <c r="Z1653" s="3" t="e">
        <f t="shared" si="284"/>
        <v>#DIV/0!</v>
      </c>
      <c r="AA1653" s="340">
        <f>IFERROR(VLOOKUP($G1653,基本資料!$A:$M,11,0),"無")</f>
        <v>-35.21</v>
      </c>
      <c r="AB1653" s="389">
        <f>IFERROR(VLOOKUP($G1653,基本資料!$A:$M,12,0),"無")</f>
        <v>14.35</v>
      </c>
      <c r="AC1653" s="16" t="s">
        <v>791</v>
      </c>
      <c r="AF1653" s="33">
        <f t="shared" si="285"/>
        <v>0</v>
      </c>
      <c r="AG1653" s="43" t="s">
        <v>2643</v>
      </c>
      <c r="AH1653" s="66">
        <f t="shared" si="280"/>
        <v>1.1764705882352942</v>
      </c>
      <c r="AI1653" s="283">
        <f>RTD("money.excel",,$G1653,"PredictVolume")</f>
        <v>2</v>
      </c>
      <c r="AJ1653" s="391">
        <f>IFERROR(VLOOKUP($G1653,基本資料!$A:$M,13,0),"無")</f>
        <v>1.7</v>
      </c>
      <c r="AR1653" s="245" t="str">
        <f>INDEX(基本資料!N:N,MATCH($G1653,基本資料!A:A,0))</f>
        <v>中</v>
      </c>
    </row>
    <row r="1654" spans="1:44">
      <c r="A1654" s="343">
        <f>IFERROR(VLOOKUP($G1654,基本資料!$A:$J,3,0),"無")</f>
        <v>7.6</v>
      </c>
      <c r="B1654" s="79">
        <f>IFERROR(VLOOKUP($G1654,基本資料!$A:$J,4,0),"無")</f>
        <v>24</v>
      </c>
      <c r="C1654" s="79">
        <f>IFERROR(VLOOKUP($G1654,基本資料!$A:$J,5,0),"無")</f>
        <v>49</v>
      </c>
      <c r="D1654" s="79">
        <f>IFERROR(VLOOKUP($G1654,基本資料!$A:$J,6,0),"無")</f>
        <v>-16</v>
      </c>
      <c r="E1654" s="79">
        <f>IFERROR(VLOOKUP($G1654,基本資料!$A:$J,7,0),"無")</f>
        <v>-33</v>
      </c>
      <c r="F1654" s="6">
        <f>IFERROR(VLOOKUP($G1654,基本資料!$A:$J,8,0),"無")</f>
        <v>5.67</v>
      </c>
      <c r="G1654" s="79">
        <v>2936</v>
      </c>
      <c r="H1654" s="8" t="s">
        <v>310</v>
      </c>
      <c r="I1654" s="22" t="s">
        <v>1114</v>
      </c>
      <c r="J1654" s="8">
        <f>IFERROR(VLOOKUP($G1654,今日總結!$A:$AN,39,0),"")</f>
        <v>0</v>
      </c>
      <c r="K1654" s="5">
        <f>IFERROR(VLOOKUP($G1654,今日總結!$A:$AN,40,0),"")</f>
        <v>0</v>
      </c>
      <c r="L1654" s="156">
        <f>IFERROR(VLOOKUP($G1654,今日總結!$A:$AN,37,0),"")</f>
        <v>0</v>
      </c>
      <c r="M1654" s="337">
        <f>IFERROR(VLOOKUP($G1654,今日總結!$A:$AN,38,0),"")</f>
        <v>0</v>
      </c>
      <c r="N1654" s="240">
        <f t="shared" si="286"/>
        <v>0</v>
      </c>
      <c r="O1654" s="359">
        <f>IFERROR(VLOOKUP($G1654,融外自投!$A:$J,7,0),"無")</f>
        <v>1227</v>
      </c>
      <c r="P1654" s="79">
        <f>IFERROR(VLOOKUP($G1654,融外自投!$A:$J,9,0),"無")</f>
        <v>163</v>
      </c>
      <c r="Q1654" s="342">
        <f>IFERROR(VLOOKUP($G1654,融外自投!$A:$J,8,0),"無")</f>
        <v>2</v>
      </c>
      <c r="R1654" s="81" t="str">
        <f>IFERROR(VLOOKUP($G1654,融外自投!$A:$J,10,0),"無")</f>
        <v>無</v>
      </c>
      <c r="S1654" s="324">
        <f>IFERROR(VLOOKUP($G1654,'321買'!$A:$E,4,0),"'沒有資料'")</f>
        <v>743</v>
      </c>
      <c r="T1654" s="186">
        <f>IFERROR(VLOOKUP($G1654,基本資料!$A:$J,9,0),"無")</f>
        <v>0</v>
      </c>
      <c r="U1654" s="307">
        <f t="shared" si="282"/>
        <v>0</v>
      </c>
      <c r="V1654" s="94">
        <f>IFERROR(VLOOKUP($G1654,基本資料!$A:$J,10,0),"無")</f>
        <v>4.0199999999999996</v>
      </c>
      <c r="W1654" s="36">
        <f>RTD("money.excel",,"2936","Price")</f>
        <v>39.25</v>
      </c>
      <c r="X1654" s="66"/>
      <c r="Y1654" s="15">
        <f t="shared" si="283"/>
        <v>39.25</v>
      </c>
      <c r="Z1654" s="3" t="e">
        <f t="shared" si="284"/>
        <v>#DIV/0!</v>
      </c>
      <c r="AA1654" s="340">
        <f>IFERROR(VLOOKUP($G1654,基本資料!$A:$M,11,0),"無")</f>
        <v>-0.63</v>
      </c>
      <c r="AB1654" s="389">
        <f>IFERROR(VLOOKUP($G1654,基本資料!$A:$M,12,0),"無")</f>
        <v>89.28</v>
      </c>
      <c r="AC1654" s="22" t="s">
        <v>1114</v>
      </c>
      <c r="AF1654" s="33">
        <f t="shared" si="285"/>
        <v>0</v>
      </c>
      <c r="AG1654" s="43" t="s">
        <v>2863</v>
      </c>
      <c r="AH1654" s="66">
        <f t="shared" si="280"/>
        <v>0.73270013568521031</v>
      </c>
      <c r="AI1654" s="283">
        <f>RTD("money.excel",,$G1654,"PredictVolume")</f>
        <v>27</v>
      </c>
      <c r="AJ1654" s="391">
        <f>IFERROR(VLOOKUP($G1654,基本資料!$A:$M,13,0),"無")</f>
        <v>36.85</v>
      </c>
      <c r="AR1654" s="245" t="str">
        <f>INDEX(基本資料!N:N,MATCH($G1654,基本資料!A:A,0))</f>
        <v>高</v>
      </c>
    </row>
    <row r="1655" spans="1:44">
      <c r="A1655" s="343">
        <f>IFERROR(VLOOKUP($G1655,基本資料!$A:$J,3,0),"無")</f>
        <v>4.04</v>
      </c>
      <c r="B1655" s="79">
        <f>IFERROR(VLOOKUP($G1655,基本資料!$A:$J,4,0),"無")</f>
        <v>13</v>
      </c>
      <c r="C1655" s="79">
        <f>IFERROR(VLOOKUP($G1655,基本資料!$A:$J,5,0),"無")</f>
        <v>17</v>
      </c>
      <c r="D1655" s="79">
        <f>IFERROR(VLOOKUP($G1655,基本資料!$A:$J,6,0),"無")</f>
        <v>0</v>
      </c>
      <c r="E1655" s="79">
        <f>IFERROR(VLOOKUP($G1655,基本資料!$A:$J,7,0),"無")</f>
        <v>20</v>
      </c>
      <c r="F1655" s="6">
        <f>IFERROR(VLOOKUP($G1655,基本資料!$A:$J,8,0),"無")</f>
        <v>4.62</v>
      </c>
      <c r="G1655" s="79">
        <v>2937</v>
      </c>
      <c r="H1655" s="8" t="s">
        <v>310</v>
      </c>
      <c r="I1655" s="16" t="s">
        <v>792</v>
      </c>
      <c r="J1655" s="8" t="str">
        <f>IFERROR(VLOOKUP($G1655,今日總結!$A:$AN,39,0),"")</f>
        <v/>
      </c>
      <c r="K1655" s="5" t="str">
        <f>IFERROR(VLOOKUP($G1655,今日總結!$A:$AN,40,0),"")</f>
        <v/>
      </c>
      <c r="L1655" s="156" t="str">
        <f>IFERROR(VLOOKUP($G1655,今日總結!$A:$AN,37,0),"")</f>
        <v/>
      </c>
      <c r="M1655" s="337" t="str">
        <f>IFERROR(VLOOKUP($G1655,今日總結!$A:$AN,38,0),"")</f>
        <v/>
      </c>
      <c r="N1655" s="240" t="str">
        <f t="shared" si="286"/>
        <v/>
      </c>
      <c r="O1655" s="359" t="str">
        <f>IFERROR(VLOOKUP($G1655,融外自投!$A:$J,7,0),"無")</f>
        <v>無</v>
      </c>
      <c r="P1655" s="79" t="str">
        <f>IFERROR(VLOOKUP($G1655,融外自投!$A:$J,9,0),"無")</f>
        <v>無</v>
      </c>
      <c r="Q1655" s="342" t="str">
        <f>IFERROR(VLOOKUP($G1655,融外自投!$A:$J,8,0),"無")</f>
        <v>無</v>
      </c>
      <c r="R1655" s="81" t="str">
        <f>IFERROR(VLOOKUP($G1655,融外自投!$A:$J,10,0),"無")</f>
        <v>無</v>
      </c>
      <c r="S1655" s="324" t="str">
        <f>IFERROR(VLOOKUP($G1655,'321買'!$A:$E,4,0),"'沒有資料'")</f>
        <v>'沒有資料'</v>
      </c>
      <c r="T1655" s="186">
        <f>IFERROR(VLOOKUP($G1655,基本資料!$A:$J,9,0),"無")</f>
        <v>2.25</v>
      </c>
      <c r="U1655" s="307" t="e">
        <f t="shared" si="282"/>
        <v>#VALUE!</v>
      </c>
      <c r="V1655" s="94">
        <f>IFERROR(VLOOKUP($G1655,基本資料!$A:$J,10,0),"無")</f>
        <v>3.2</v>
      </c>
      <c r="W1655" s="36" t="str">
        <f>RTD("money.excel",,"2937","Price")</f>
        <v>無資料</v>
      </c>
      <c r="X1655" s="66"/>
      <c r="Y1655" s="15" t="e">
        <f t="shared" si="283"/>
        <v>#VALUE!</v>
      </c>
      <c r="Z1655" s="3" t="e">
        <f t="shared" si="284"/>
        <v>#VALUE!</v>
      </c>
      <c r="AA1655" s="340">
        <f>IFERROR(VLOOKUP($G1655,基本資料!$A:$M,11,0),"無")</f>
        <v>-16</v>
      </c>
      <c r="AB1655" s="389">
        <f>IFERROR(VLOOKUP($G1655,基本資料!$A:$M,12,0),"無")</f>
        <v>49.05</v>
      </c>
      <c r="AC1655" s="16" t="s">
        <v>792</v>
      </c>
      <c r="AF1655" s="33">
        <f t="shared" si="285"/>
        <v>0</v>
      </c>
      <c r="AG1655" s="43" t="s">
        <v>2644</v>
      </c>
      <c r="AH1655" s="66">
        <f t="shared" si="280"/>
        <v>0</v>
      </c>
      <c r="AI1655" s="283">
        <f>RTD("money.excel",,$G1655,"PredictVolume")</f>
        <v>0</v>
      </c>
      <c r="AJ1655" s="391">
        <f>IFERROR(VLOOKUP($G1655,基本資料!$A:$M,13,0),"無")</f>
        <v>7.4</v>
      </c>
      <c r="AR1655" s="245" t="str">
        <f>INDEX(基本資料!N:N,MATCH($G1655,基本資料!A:A,0))</f>
        <v>中</v>
      </c>
    </row>
    <row r="1656" spans="1:44">
      <c r="A1656" s="343">
        <f>IFERROR(VLOOKUP($G1656,基本資料!$A:$J,3,0),"無")</f>
        <v>4.55</v>
      </c>
      <c r="B1656" s="79">
        <f>IFERROR(VLOOKUP($G1656,基本資料!$A:$J,4,0),"無")</f>
        <v>-1854</v>
      </c>
      <c r="C1656" s="79">
        <f>IFERROR(VLOOKUP($G1656,基本資料!$A:$J,5,0),"無")</f>
        <v>-139</v>
      </c>
      <c r="D1656" s="79">
        <f>IFERROR(VLOOKUP($G1656,基本資料!$A:$J,6,0),"無")</f>
        <v>19</v>
      </c>
      <c r="E1656" s="79">
        <f>IFERROR(VLOOKUP($G1656,基本資料!$A:$J,7,0),"無")</f>
        <v>37</v>
      </c>
      <c r="F1656" s="6">
        <f>IFERROR(VLOOKUP($G1656,基本資料!$A:$J,8,0),"無")</f>
        <v>-3.14</v>
      </c>
      <c r="G1656" s="79">
        <v>2939</v>
      </c>
      <c r="H1656" s="8" t="s">
        <v>310</v>
      </c>
      <c r="I1656" s="22" t="s">
        <v>808</v>
      </c>
      <c r="J1656" s="8">
        <f>IFERROR(VLOOKUP($G1656,今日總結!$A:$AN,39,0),"")</f>
        <v>0</v>
      </c>
      <c r="K1656" s="5">
        <f>IFERROR(VLOOKUP($G1656,今日總結!$A:$AN,40,0),"")</f>
        <v>0</v>
      </c>
      <c r="L1656" s="156">
        <f>IFERROR(VLOOKUP($G1656,今日總結!$A:$AN,37,0),"")</f>
        <v>0</v>
      </c>
      <c r="M1656" s="337">
        <f>IFERROR(VLOOKUP($G1656,今日總結!$A:$AN,38,0),"")</f>
        <v>0</v>
      </c>
      <c r="N1656" s="240">
        <f t="shared" si="286"/>
        <v>0</v>
      </c>
      <c r="O1656" s="359">
        <f>IFERROR(VLOOKUP($G1656,融外自投!$A:$J,7,0),"無")</f>
        <v>764</v>
      </c>
      <c r="P1656" s="79">
        <f>IFERROR(VLOOKUP($G1656,融外自投!$A:$J,9,0),"無")</f>
        <v>426</v>
      </c>
      <c r="Q1656" s="342">
        <f>IFERROR(VLOOKUP($G1656,融外自投!$A:$J,8,0),"無")</f>
        <v>64</v>
      </c>
      <c r="R1656" s="81" t="str">
        <f>IFERROR(VLOOKUP($G1656,融外自投!$A:$J,10,0),"無")</f>
        <v>無</v>
      </c>
      <c r="S1656" s="324">
        <f>IFERROR(VLOOKUP($G1656,'321買'!$A:$E,4,0),"'沒有資料'")</f>
        <v>1002</v>
      </c>
      <c r="T1656" s="186">
        <f>IFERROR(VLOOKUP($G1656,基本資料!$A:$J,9,0),"無")</f>
        <v>0</v>
      </c>
      <c r="U1656" s="307">
        <f t="shared" si="282"/>
        <v>0</v>
      </c>
      <c r="V1656" s="94">
        <f>IFERROR(VLOOKUP($G1656,基本資料!$A:$J,10,0),"無")</f>
        <v>-1.06</v>
      </c>
      <c r="W1656" s="36">
        <f>RTD("money.excel",,"2939","Price")</f>
        <v>25.1</v>
      </c>
      <c r="X1656" s="66"/>
      <c r="Y1656" s="15">
        <f t="shared" si="283"/>
        <v>25.1</v>
      </c>
      <c r="Z1656" s="3" t="e">
        <f t="shared" si="284"/>
        <v>#DIV/0!</v>
      </c>
      <c r="AA1656" s="340">
        <f>IFERROR(VLOOKUP($G1656,基本資料!$A:$M,11,0),"無")</f>
        <v>-47.71</v>
      </c>
      <c r="AB1656" s="389">
        <f>IFERROR(VLOOKUP($G1656,基本資料!$A:$M,12,0),"無")</f>
        <v>39.049999999999997</v>
      </c>
      <c r="AC1656" s="22" t="s">
        <v>808</v>
      </c>
      <c r="AF1656" s="33">
        <f t="shared" si="285"/>
        <v>0</v>
      </c>
      <c r="AG1656" s="43" t="s">
        <v>2864</v>
      </c>
      <c r="AH1656" s="66">
        <f t="shared" si="280"/>
        <v>0.41591320072332733</v>
      </c>
      <c r="AI1656" s="283">
        <f>RTD("money.excel",,$G1656,"PredictVolume")</f>
        <v>23</v>
      </c>
      <c r="AJ1656" s="391">
        <f>IFERROR(VLOOKUP($G1656,基本資料!$A:$M,13,0),"無")</f>
        <v>55.3</v>
      </c>
      <c r="AR1656" s="245" t="str">
        <f>INDEX(基本資料!N:N,MATCH($G1656,基本資料!A:A,0))</f>
        <v>低</v>
      </c>
    </row>
    <row r="1657" spans="1:44">
      <c r="A1657" s="343">
        <f>IFERROR(VLOOKUP($G1657,基本資料!$A:$J,3,0),"無")</f>
        <v>6.75</v>
      </c>
      <c r="B1657" s="79">
        <f>IFERROR(VLOOKUP($G1657,基本資料!$A:$J,4,0),"無")</f>
        <v>6</v>
      </c>
      <c r="C1657" s="79">
        <f>IFERROR(VLOOKUP($G1657,基本資料!$A:$J,5,0),"無")</f>
        <v>-2</v>
      </c>
      <c r="D1657" s="79">
        <f>IFERROR(VLOOKUP($G1657,基本資料!$A:$J,6,0),"無")</f>
        <v>7</v>
      </c>
      <c r="E1657" s="79">
        <f>IFERROR(VLOOKUP($G1657,基本資料!$A:$J,7,0),"無")</f>
        <v>9</v>
      </c>
      <c r="F1657" s="6">
        <f>IFERROR(VLOOKUP($G1657,基本資料!$A:$J,8,0),"無")</f>
        <v>1.76</v>
      </c>
      <c r="G1657" s="79">
        <v>2945</v>
      </c>
      <c r="H1657" s="8" t="s">
        <v>310</v>
      </c>
      <c r="I1657" s="22" t="s">
        <v>3515</v>
      </c>
      <c r="J1657" s="8" t="str">
        <f>IFERROR(VLOOKUP($G1657,今日總結!$A:$AN,39,0),"")</f>
        <v/>
      </c>
      <c r="K1657" s="5" t="str">
        <f>IFERROR(VLOOKUP($G1657,今日總結!$A:$AN,40,0),"")</f>
        <v/>
      </c>
      <c r="L1657" s="156" t="str">
        <f>IFERROR(VLOOKUP($G1657,今日總結!$A:$AN,37,0),"")</f>
        <v/>
      </c>
      <c r="M1657" s="337" t="str">
        <f>IFERROR(VLOOKUP($G1657,今日總結!$A:$AN,38,0),"")</f>
        <v/>
      </c>
      <c r="N1657" s="240" t="str">
        <f t="shared" si="286"/>
        <v/>
      </c>
      <c r="O1657" s="359" t="str">
        <f>IFERROR(VLOOKUP($G1657,融外自投!$A:$J,7,0),"無")</f>
        <v>無</v>
      </c>
      <c r="P1657" s="79" t="str">
        <f>IFERROR(VLOOKUP($G1657,融外自投!$A:$J,9,0),"無")</f>
        <v>無</v>
      </c>
      <c r="Q1657" s="342" t="str">
        <f>IFERROR(VLOOKUP($G1657,融外自投!$A:$J,8,0),"無")</f>
        <v>無</v>
      </c>
      <c r="R1657" s="81" t="str">
        <f>IFERROR(VLOOKUP($G1657,融外自投!$A:$J,10,0),"無")</f>
        <v>無</v>
      </c>
      <c r="S1657" s="324" t="str">
        <f>IFERROR(VLOOKUP($G1657,'321買'!$A:$E,4,0),"'沒有資料'")</f>
        <v>'沒有資料'</v>
      </c>
      <c r="T1657" s="186">
        <f>IFERROR(VLOOKUP($G1657,基本資料!$A:$J,9,0),"無")</f>
        <v>2.59</v>
      </c>
      <c r="U1657" s="307">
        <f t="shared" si="282"/>
        <v>5.1593625498007965E-2</v>
      </c>
      <c r="V1657" s="94">
        <f>IFERROR(VLOOKUP($G1657,基本資料!$A:$J,10,0),"無")</f>
        <v>3.21</v>
      </c>
      <c r="W1657" s="36">
        <f>RTD("money.excel",,"2945","Price")</f>
        <v>50.2</v>
      </c>
      <c r="X1657" s="66"/>
      <c r="Y1657" s="15">
        <f t="shared" si="283"/>
        <v>50.2</v>
      </c>
      <c r="Z1657" s="3" t="e">
        <f t="shared" si="284"/>
        <v>#DIV/0!</v>
      </c>
      <c r="AA1657" s="340" t="str">
        <f>IFERROR(VLOOKUP($G1657,基本資料!$A:$M,11,0),"無")</f>
        <v>無</v>
      </c>
      <c r="AB1657" s="389" t="str">
        <f>IFERROR(VLOOKUP($G1657,基本資料!$A:$M,12,0),"無")</f>
        <v>無</v>
      </c>
      <c r="AC1657" s="22" t="s">
        <v>3515</v>
      </c>
      <c r="AF1657" s="33">
        <f t="shared" si="285"/>
        <v>0</v>
      </c>
      <c r="AG1657" s="43" t="s">
        <v>3516</v>
      </c>
      <c r="AH1657" s="66" t="e">
        <f t="shared" si="280"/>
        <v>#VALUE!</v>
      </c>
      <c r="AI1657" s="283">
        <f>RTD("money.excel",,$G1657,"PredictVolume")</f>
        <v>46</v>
      </c>
      <c r="AJ1657" s="391" t="str">
        <f>IFERROR(VLOOKUP($G1657,基本資料!$A:$M,13,0),"無")</f>
        <v>無</v>
      </c>
      <c r="AR1657" s="245" t="str">
        <f>INDEX(基本資料!N:N,MATCH($G1657,基本資料!A:A,0))</f>
        <v>無</v>
      </c>
    </row>
    <row r="1658" spans="1:44">
      <c r="A1658" s="343">
        <f>IFERROR(VLOOKUP($G1658,基本資料!$A:$J,3,0),"無")</f>
        <v>1.92</v>
      </c>
      <c r="B1658" s="79">
        <f>IFERROR(VLOOKUP($G1658,基本資料!$A:$J,4,0),"無")</f>
        <v>9</v>
      </c>
      <c r="C1658" s="79">
        <f>IFERROR(VLOOKUP($G1658,基本資料!$A:$J,5,0),"無")</f>
        <v>5</v>
      </c>
      <c r="D1658" s="79">
        <f>IFERROR(VLOOKUP($G1658,基本資料!$A:$J,6,0),"無")</f>
        <v>0</v>
      </c>
      <c r="E1658" s="79">
        <f>IFERROR(VLOOKUP($G1658,基本資料!$A:$J,7,0),"無")</f>
        <v>9</v>
      </c>
      <c r="F1658" s="6">
        <f>IFERROR(VLOOKUP($G1658,基本資料!$A:$J,8,0),"無")</f>
        <v>8.56</v>
      </c>
      <c r="G1658" s="79">
        <v>2947</v>
      </c>
      <c r="H1658" s="8" t="s">
        <v>310</v>
      </c>
      <c r="I1658" s="16" t="s">
        <v>3455</v>
      </c>
      <c r="J1658" s="8" t="str">
        <f>IFERROR(VLOOKUP($G1658,今日總結!$A:$AN,39,0),"")</f>
        <v/>
      </c>
      <c r="K1658" s="5" t="str">
        <f>IFERROR(VLOOKUP($G1658,今日總結!$A:$AN,40,0),"")</f>
        <v/>
      </c>
      <c r="L1658" s="156" t="str">
        <f>IFERROR(VLOOKUP($G1658,今日總結!$A:$AN,37,0),"")</f>
        <v/>
      </c>
      <c r="M1658" s="337" t="str">
        <f>IFERROR(VLOOKUP($G1658,今日總結!$A:$AN,38,0),"")</f>
        <v/>
      </c>
      <c r="N1658" s="240" t="str">
        <f t="shared" si="286"/>
        <v/>
      </c>
      <c r="O1658" s="359" t="str">
        <f>IFERROR(VLOOKUP($G1658,融外自投!$A:$J,7,0),"無")</f>
        <v>無</v>
      </c>
      <c r="P1658" s="79" t="str">
        <f>IFERROR(VLOOKUP($G1658,融外自投!$A:$J,9,0),"無")</f>
        <v>無</v>
      </c>
      <c r="Q1658" s="342" t="str">
        <f>IFERROR(VLOOKUP($G1658,融外自投!$A:$J,8,0),"無")</f>
        <v>無</v>
      </c>
      <c r="R1658" s="81" t="str">
        <f>IFERROR(VLOOKUP($G1658,融外自投!$A:$J,10,0),"無")</f>
        <v>無</v>
      </c>
      <c r="S1658" s="324" t="str">
        <f>IFERROR(VLOOKUP($G1658,'321買'!$A:$E,4,0),"'沒有資料'")</f>
        <v>'沒有資料'</v>
      </c>
      <c r="T1658" s="186">
        <f>IFERROR(VLOOKUP($G1658,基本資料!$A:$J,9,0),"無")</f>
        <v>3.8</v>
      </c>
      <c r="U1658" s="307">
        <f t="shared" si="282"/>
        <v>2.9921259842519685E-2</v>
      </c>
      <c r="V1658" s="94">
        <f>IFERROR(VLOOKUP($G1658,基本資料!$A:$J,10,0),"無")</f>
        <v>6.26</v>
      </c>
      <c r="W1658" s="36">
        <f>RTD("money.excel",,"2947","Price")</f>
        <v>127</v>
      </c>
      <c r="X1658" s="66"/>
      <c r="Y1658" s="15">
        <f t="shared" si="283"/>
        <v>127</v>
      </c>
      <c r="Z1658" s="3" t="e">
        <f t="shared" si="284"/>
        <v>#DIV/0!</v>
      </c>
      <c r="AA1658" s="340" t="str">
        <f>IFERROR(VLOOKUP($G1658,基本資料!$A:$M,11,0),"無")</f>
        <v>無</v>
      </c>
      <c r="AB1658" s="389" t="str">
        <f>IFERROR(VLOOKUP($G1658,基本資料!$A:$M,12,0),"無")</f>
        <v>無</v>
      </c>
      <c r="AC1658" s="16" t="s">
        <v>3455</v>
      </c>
      <c r="AF1658" s="33">
        <f t="shared" si="285"/>
        <v>0</v>
      </c>
      <c r="AG1658" s="43" t="s">
        <v>3456</v>
      </c>
      <c r="AH1658" s="66" t="e">
        <f t="shared" si="280"/>
        <v>#VALUE!</v>
      </c>
      <c r="AI1658" s="283">
        <f>RTD("money.excel",,$G1658,"PredictVolume")</f>
        <v>3</v>
      </c>
      <c r="AJ1658" s="391" t="str">
        <f>IFERROR(VLOOKUP($G1658,基本資料!$A:$M,13,0),"無")</f>
        <v>無</v>
      </c>
      <c r="AR1658" s="245" t="str">
        <f>INDEX(基本資料!N:N,MATCH($G1658,基本資料!A:A,0))</f>
        <v>無</v>
      </c>
    </row>
    <row r="1659" spans="1:44">
      <c r="A1659" s="343">
        <f>IFERROR(VLOOKUP($G1659,基本資料!$A:$J,3,0),"無")</f>
        <v>6.67</v>
      </c>
      <c r="B1659" s="79">
        <f>IFERROR(VLOOKUP($G1659,基本資料!$A:$J,4,0),"無")</f>
        <v>-16</v>
      </c>
      <c r="C1659" s="79">
        <f>IFERROR(VLOOKUP($G1659,基本資料!$A:$J,5,0),"無")</f>
        <v>-21</v>
      </c>
      <c r="D1659" s="79">
        <f>IFERROR(VLOOKUP($G1659,基本資料!$A:$J,6,0),"無")</f>
        <v>0</v>
      </c>
      <c r="E1659" s="79">
        <f>IFERROR(VLOOKUP($G1659,基本資料!$A:$J,7,0),"無")</f>
        <v>-4</v>
      </c>
      <c r="F1659" s="6">
        <f>IFERROR(VLOOKUP($G1659,基本資料!$A:$J,8,0),"無")</f>
        <v>5.64</v>
      </c>
      <c r="G1659" s="79">
        <v>3171</v>
      </c>
      <c r="H1659" s="8" t="s">
        <v>310</v>
      </c>
      <c r="I1659" s="16" t="s">
        <v>793</v>
      </c>
      <c r="J1659" s="8">
        <f>IFERROR(VLOOKUP($G1659,今日總結!$A:$AN,39,0),"")</f>
        <v>0</v>
      </c>
      <c r="K1659" s="5">
        <f>IFERROR(VLOOKUP($G1659,今日總結!$A:$AN,40,0),"")</f>
        <v>0</v>
      </c>
      <c r="L1659" s="156">
        <f>IFERROR(VLOOKUP($G1659,今日總結!$A:$AN,37,0),"")</f>
        <v>0</v>
      </c>
      <c r="M1659" s="337">
        <f>IFERROR(VLOOKUP($G1659,今日總結!$A:$AN,38,0),"")</f>
        <v>0</v>
      </c>
      <c r="N1659" s="240">
        <f t="shared" si="286"/>
        <v>0</v>
      </c>
      <c r="O1659" s="359">
        <f>IFERROR(VLOOKUP($G1659,融外自投!$A:$J,7,0),"無")</f>
        <v>1066</v>
      </c>
      <c r="P1659" s="79">
        <f>IFERROR(VLOOKUP($G1659,融外自投!$A:$J,9,0),"無")</f>
        <v>1123</v>
      </c>
      <c r="Q1659" s="342">
        <f>IFERROR(VLOOKUP($G1659,融外自投!$A:$J,8,0),"無")</f>
        <v>1348</v>
      </c>
      <c r="R1659" s="81" t="str">
        <f>IFERROR(VLOOKUP($G1659,融外自投!$A:$J,10,0),"無")</f>
        <v>無</v>
      </c>
      <c r="S1659" s="324">
        <f>IFERROR(VLOOKUP($G1659,'321買'!$A:$E,4,0),"'沒有資料'")</f>
        <v>1002</v>
      </c>
      <c r="T1659" s="186">
        <f>IFERROR(VLOOKUP($G1659,基本資料!$A:$J,9,0),"無")</f>
        <v>1.57</v>
      </c>
      <c r="U1659" s="307">
        <f t="shared" si="282"/>
        <v>9.3452380952380953E-2</v>
      </c>
      <c r="V1659" s="94">
        <f>IFERROR(VLOOKUP($G1659,基本資料!$A:$J,10,0),"無")</f>
        <v>1.64</v>
      </c>
      <c r="W1659" s="36">
        <f>RTD("money.excel",,"3171","Price")</f>
        <v>16.8</v>
      </c>
      <c r="X1659" s="66"/>
      <c r="Y1659" s="15">
        <f t="shared" si="283"/>
        <v>16.8</v>
      </c>
      <c r="Z1659" s="3" t="e">
        <f t="shared" si="284"/>
        <v>#DIV/0!</v>
      </c>
      <c r="AA1659" s="340">
        <f>IFERROR(VLOOKUP($G1659,基本資料!$A:$M,11,0),"無")</f>
        <v>-35.880000000000003</v>
      </c>
      <c r="AB1659" s="389">
        <f>IFERROR(VLOOKUP($G1659,基本資料!$A:$M,12,0),"無")</f>
        <v>26.25</v>
      </c>
      <c r="AC1659" s="16" t="s">
        <v>793</v>
      </c>
      <c r="AF1659" s="33">
        <f t="shared" si="285"/>
        <v>0</v>
      </c>
      <c r="AG1659" s="43" t="s">
        <v>2063</v>
      </c>
      <c r="AH1659" s="66">
        <f t="shared" si="280"/>
        <v>4.021024967148489</v>
      </c>
      <c r="AI1659" s="283">
        <f>RTD("money.excel",,$G1659,"PredictVolume")</f>
        <v>459</v>
      </c>
      <c r="AJ1659" s="391">
        <f>IFERROR(VLOOKUP($G1659,基本資料!$A:$M,13,0),"無")</f>
        <v>114.15</v>
      </c>
      <c r="AR1659" s="245" t="str">
        <f>INDEX(基本資料!N:N,MATCH($G1659,基本資料!A:A,0))</f>
        <v>低</v>
      </c>
    </row>
    <row r="1660" spans="1:44">
      <c r="A1660" s="343">
        <f>IFERROR(VLOOKUP($G1660,基本資料!$A:$J,3,0),"無")</f>
        <v>3.83</v>
      </c>
      <c r="B1660" s="79">
        <f>IFERROR(VLOOKUP($G1660,基本資料!$A:$J,4,0),"無")</f>
        <v>40</v>
      </c>
      <c r="C1660" s="79">
        <f>IFERROR(VLOOKUP($G1660,基本資料!$A:$J,5,0),"無")</f>
        <v>57</v>
      </c>
      <c r="D1660" s="79">
        <f>IFERROR(VLOOKUP($G1660,基本資料!$A:$J,6,0),"無")</f>
        <v>-19</v>
      </c>
      <c r="E1660" s="79">
        <f>IFERROR(VLOOKUP($G1660,基本資料!$A:$J,7,0),"無")</f>
        <v>-47</v>
      </c>
      <c r="F1660" s="6">
        <f>IFERROR(VLOOKUP($G1660,基本資料!$A:$J,8,0),"無")</f>
        <v>8.68</v>
      </c>
      <c r="G1660" s="79">
        <v>4807</v>
      </c>
      <c r="H1660" s="8" t="s">
        <v>310</v>
      </c>
      <c r="I1660" s="22" t="s">
        <v>809</v>
      </c>
      <c r="J1660" s="8">
        <f>IFERROR(VLOOKUP($G1660,今日總結!$A:$AN,39,0),"")</f>
        <v>0</v>
      </c>
      <c r="K1660" s="5">
        <f>IFERROR(VLOOKUP($G1660,今日總結!$A:$AN,40,0),"")</f>
        <v>0</v>
      </c>
      <c r="L1660" s="156">
        <f>IFERROR(VLOOKUP($G1660,今日總結!$A:$AN,37,0),"")</f>
        <v>0</v>
      </c>
      <c r="M1660" s="337">
        <f>IFERROR(VLOOKUP($G1660,今日總結!$A:$AN,38,0),"")</f>
        <v>0</v>
      </c>
      <c r="N1660" s="240">
        <f t="shared" si="286"/>
        <v>0</v>
      </c>
      <c r="O1660" s="359">
        <f>IFERROR(VLOOKUP($G1660,融外自投!$A:$J,7,0),"無")</f>
        <v>838</v>
      </c>
      <c r="P1660" s="79">
        <f>IFERROR(VLOOKUP($G1660,融外自投!$A:$J,9,0),"無")</f>
        <v>696</v>
      </c>
      <c r="Q1660" s="342">
        <f>IFERROR(VLOOKUP($G1660,融外自投!$A:$J,8,0),"無")</f>
        <v>19</v>
      </c>
      <c r="R1660" s="81" t="str">
        <f>IFERROR(VLOOKUP($G1660,融外自投!$A:$J,10,0),"無")</f>
        <v>無</v>
      </c>
      <c r="S1660" s="324">
        <f>IFERROR(VLOOKUP($G1660,'321買'!$A:$E,4,0),"'沒有資料'")</f>
        <v>1002</v>
      </c>
      <c r="T1660" s="186">
        <f>IFERROR(VLOOKUP($G1660,基本資料!$A:$J,9,0),"無")</f>
        <v>1.66</v>
      </c>
      <c r="U1660" s="307">
        <f t="shared" si="282"/>
        <v>6.7206477732793521E-2</v>
      </c>
      <c r="V1660" s="94">
        <f>IFERROR(VLOOKUP($G1660,基本資料!$A:$J,10,0),"無")</f>
        <v>3.32</v>
      </c>
      <c r="W1660" s="36">
        <f>RTD("money.excel",,"4807","Price")</f>
        <v>24.7</v>
      </c>
      <c r="X1660" s="66"/>
      <c r="Y1660" s="15">
        <f t="shared" si="283"/>
        <v>24.7</v>
      </c>
      <c r="Z1660" s="3" t="e">
        <f t="shared" si="284"/>
        <v>#DIV/0!</v>
      </c>
      <c r="AA1660" s="340">
        <f>IFERROR(VLOOKUP($G1660,基本資料!$A:$M,11,0),"無")</f>
        <v>-24.35</v>
      </c>
      <c r="AB1660" s="389">
        <f>IFERROR(VLOOKUP($G1660,基本資料!$A:$M,12,0),"無")</f>
        <v>20.93</v>
      </c>
      <c r="AC1660" s="22" t="s">
        <v>809</v>
      </c>
      <c r="AF1660" s="33">
        <f t="shared" si="285"/>
        <v>0</v>
      </c>
      <c r="AG1660" s="43" t="s">
        <v>2679</v>
      </c>
      <c r="AH1660" s="66">
        <f t="shared" si="280"/>
        <v>1.1764705882352942</v>
      </c>
      <c r="AI1660" s="283">
        <f>RTD("money.excel",,$G1660,"PredictVolume")</f>
        <v>23</v>
      </c>
      <c r="AJ1660" s="391">
        <f>IFERROR(VLOOKUP($G1660,基本資料!$A:$M,13,0),"無")</f>
        <v>19.55</v>
      </c>
      <c r="AR1660" s="245" t="str">
        <f>INDEX(基本資料!N:N,MATCH($G1660,基本資料!A:A,0))</f>
        <v>低</v>
      </c>
    </row>
    <row r="1661" spans="1:44">
      <c r="A1661" s="343">
        <f>IFERROR(VLOOKUP($G1661,基本資料!$A:$J,3,0),"無")</f>
        <v>9.4499999999999993</v>
      </c>
      <c r="B1661" s="79">
        <f>IFERROR(VLOOKUP($G1661,基本資料!$A:$J,4,0),"無")</f>
        <v>14</v>
      </c>
      <c r="C1661" s="79">
        <f>IFERROR(VLOOKUP($G1661,基本資料!$A:$J,5,0),"無")</f>
        <v>20</v>
      </c>
      <c r="D1661" s="79">
        <f>IFERROR(VLOOKUP($G1661,基本資料!$A:$J,6,0),"無")</f>
        <v>-18</v>
      </c>
      <c r="E1661" s="79">
        <f>IFERROR(VLOOKUP($G1661,基本資料!$A:$J,7,0),"無")</f>
        <v>28</v>
      </c>
      <c r="F1661" s="6">
        <f>IFERROR(VLOOKUP($G1661,基本資料!$A:$J,8,0),"無")</f>
        <v>10.119999999999999</v>
      </c>
      <c r="G1661" s="79">
        <v>5902</v>
      </c>
      <c r="H1661" s="8" t="s">
        <v>310</v>
      </c>
      <c r="I1661" s="16" t="s">
        <v>794</v>
      </c>
      <c r="J1661" s="8">
        <f>IFERROR(VLOOKUP($G1661,今日總結!$A:$AN,39,0),"")</f>
        <v>0</v>
      </c>
      <c r="K1661" s="5" t="str">
        <f>IFERROR(VLOOKUP($G1661,今日總結!$A:$AN,40,0),"")</f>
        <v>主</v>
      </c>
      <c r="L1661" s="156">
        <f>IFERROR(VLOOKUP($G1661,今日總結!$A:$AN,37,0),"")</f>
        <v>0</v>
      </c>
      <c r="M1661" s="337">
        <f>IFERROR(VLOOKUP($G1661,今日總結!$A:$AN,38,0),"")</f>
        <v>3</v>
      </c>
      <c r="N1661" s="240">
        <f t="shared" si="286"/>
        <v>-3</v>
      </c>
      <c r="O1661" s="359">
        <f>IFERROR(VLOOKUP($G1661,融外自投!$A:$J,7,0),"無")</f>
        <v>173</v>
      </c>
      <c r="P1661" s="79">
        <f>IFERROR(VLOOKUP($G1661,融外自投!$A:$J,9,0),"無")</f>
        <v>615</v>
      </c>
      <c r="Q1661" s="342">
        <f>IFERROR(VLOOKUP($G1661,融外自投!$A:$J,8,0),"無")</f>
        <v>1440</v>
      </c>
      <c r="R1661" s="81" t="str">
        <f>IFERROR(VLOOKUP($G1661,融外自投!$A:$J,10,0),"無")</f>
        <v>無</v>
      </c>
      <c r="S1661" s="324">
        <f>IFERROR(VLOOKUP($G1661,'321買'!$A:$E,4,0),"'沒有資料'")</f>
        <v>1002</v>
      </c>
      <c r="T1661" s="186">
        <f>IFERROR(VLOOKUP($G1661,基本資料!$A:$J,9,0),"無")</f>
        <v>1.2</v>
      </c>
      <c r="U1661" s="307">
        <f t="shared" si="282"/>
        <v>4.4117647058823532E-2</v>
      </c>
      <c r="V1661" s="94">
        <f>IFERROR(VLOOKUP($G1661,基本資料!$A:$J,10,0),"無")</f>
        <v>1.57</v>
      </c>
      <c r="W1661" s="36">
        <f>RTD("money.excel",,"5902","Price")</f>
        <v>27.2</v>
      </c>
      <c r="X1661" s="66"/>
      <c r="Y1661" s="15">
        <f t="shared" si="283"/>
        <v>27.2</v>
      </c>
      <c r="Z1661" s="3" t="e">
        <f t="shared" si="284"/>
        <v>#DIV/0!</v>
      </c>
      <c r="AA1661" s="340">
        <f>IFERROR(VLOOKUP($G1661,基本資料!$A:$M,11,0),"無")</f>
        <v>-9.0299999999999994</v>
      </c>
      <c r="AB1661" s="389">
        <f>IFERROR(VLOOKUP($G1661,基本資料!$A:$M,12,0),"無")</f>
        <v>58.58</v>
      </c>
      <c r="AC1661" s="16" t="s">
        <v>794</v>
      </c>
      <c r="AF1661" s="33">
        <f t="shared" si="285"/>
        <v>0</v>
      </c>
      <c r="AG1661" s="43" t="s">
        <v>2645</v>
      </c>
      <c r="AH1661" s="66">
        <f t="shared" si="280"/>
        <v>0.45397225725094575</v>
      </c>
      <c r="AI1661" s="283">
        <f>RTD("money.excel",,$G1661,"PredictVolume")</f>
        <v>54</v>
      </c>
      <c r="AJ1661" s="391">
        <f>IFERROR(VLOOKUP($G1661,基本資料!$A:$M,13,0),"無")</f>
        <v>118.95</v>
      </c>
      <c r="AR1661" s="245" t="str">
        <f>INDEX(基本資料!N:N,MATCH($G1661,基本資料!A:A,0))</f>
        <v>中</v>
      </c>
    </row>
    <row r="1662" spans="1:44">
      <c r="A1662" s="343">
        <f>IFERROR(VLOOKUP($G1662,基本資料!$A:$J,3,0),"無")</f>
        <v>22.32</v>
      </c>
      <c r="B1662" s="79">
        <f>IFERROR(VLOOKUP($G1662,基本資料!$A:$J,4,0),"無")</f>
        <v>-37</v>
      </c>
      <c r="C1662" s="79">
        <f>IFERROR(VLOOKUP($G1662,基本資料!$A:$J,5,0),"無")</f>
        <v>-40</v>
      </c>
      <c r="D1662" s="79">
        <f>IFERROR(VLOOKUP($G1662,基本資料!$A:$J,6,0),"無")</f>
        <v>-1</v>
      </c>
      <c r="E1662" s="79">
        <f>IFERROR(VLOOKUP($G1662,基本資料!$A:$J,7,0),"無")</f>
        <v>3</v>
      </c>
      <c r="F1662" s="6">
        <f>IFERROR(VLOOKUP($G1662,基本資料!$A:$J,8,0),"無")</f>
        <v>1.99</v>
      </c>
      <c r="G1662" s="79">
        <v>5903</v>
      </c>
      <c r="H1662" s="8" t="s">
        <v>310</v>
      </c>
      <c r="I1662" s="16" t="s">
        <v>4668</v>
      </c>
      <c r="J1662" s="8">
        <f>IFERROR(VLOOKUP($G1662,今日總結!$A:$AN,39,0),"")</f>
        <v>0</v>
      </c>
      <c r="K1662" s="5" t="str">
        <f>IFERROR(VLOOKUP($G1662,今日總結!$A:$AN,40,0),"")</f>
        <v>主外</v>
      </c>
      <c r="L1662" s="156">
        <f>IFERROR(VLOOKUP($G1662,今日總結!$A:$AN,37,0),"")</f>
        <v>0</v>
      </c>
      <c r="M1662" s="337">
        <f>IFERROR(VLOOKUP($G1662,今日總結!$A:$AN,38,0),"")</f>
        <v>21</v>
      </c>
      <c r="N1662" s="240">
        <f t="shared" si="286"/>
        <v>-21</v>
      </c>
      <c r="O1662" s="359">
        <f>IFERROR(VLOOKUP($G1662,融外自投!$A:$J,7,0),"無")</f>
        <v>1450</v>
      </c>
      <c r="P1662" s="79" t="str">
        <f>IFERROR(VLOOKUP($G1662,融外自投!$A:$J,9,0),"無")</f>
        <v>無</v>
      </c>
      <c r="Q1662" s="342">
        <f>IFERROR(VLOOKUP($G1662,融外自投!$A:$J,8,0),"無")</f>
        <v>68</v>
      </c>
      <c r="R1662" s="81" t="str">
        <f>IFERROR(VLOOKUP($G1662,融外自投!$A:$J,10,0),"無")</f>
        <v>無</v>
      </c>
      <c r="S1662" s="324">
        <f>IFERROR(VLOOKUP($G1662,'321買'!$A:$E,4,0),"'沒有資料'")</f>
        <v>1002</v>
      </c>
      <c r="T1662" s="186">
        <f>IFERROR(VLOOKUP($G1662,基本資料!$A:$J,9,0),"無")</f>
        <v>4.7</v>
      </c>
      <c r="U1662" s="307">
        <f t="shared" si="282"/>
        <v>2.5753424657534246E-2</v>
      </c>
      <c r="V1662" s="94">
        <f>IFERROR(VLOOKUP($G1662,基本資料!$A:$J,10,0),"無")</f>
        <v>6.02</v>
      </c>
      <c r="W1662" s="36">
        <f>RTD("money.excel",,"5903","Price")</f>
        <v>182.5</v>
      </c>
      <c r="X1662" s="66"/>
      <c r="Y1662" s="15">
        <f t="shared" si="283"/>
        <v>182.5</v>
      </c>
      <c r="Z1662" s="3" t="e">
        <f t="shared" si="284"/>
        <v>#DIV/0!</v>
      </c>
      <c r="AA1662" s="340">
        <f>IFERROR(VLOOKUP($G1662,基本資料!$A:$M,11,0),"無")</f>
        <v>-32.9</v>
      </c>
      <c r="AB1662" s="389">
        <f>IFERROR(VLOOKUP($G1662,基本資料!$A:$M,12,0),"無")</f>
        <v>8.31</v>
      </c>
      <c r="AC1662" s="16" t="s">
        <v>4668</v>
      </c>
      <c r="AF1662" s="33">
        <f t="shared" si="285"/>
        <v>0</v>
      </c>
      <c r="AG1662" s="117" t="s">
        <v>2621</v>
      </c>
      <c r="AH1662" s="66">
        <f t="shared" si="280"/>
        <v>0.8408796895213454</v>
      </c>
      <c r="AI1662" s="283">
        <f>RTD("money.excel",,$G1662,"PredictVolume")</f>
        <v>65</v>
      </c>
      <c r="AJ1662" s="391">
        <f>IFERROR(VLOOKUP($G1662,基本資料!$A:$M,13,0),"無")</f>
        <v>77.3</v>
      </c>
      <c r="AR1662" s="245" t="str">
        <f>INDEX(基本資料!N:N,MATCH($G1662,基本資料!A:A,0))</f>
        <v>低</v>
      </c>
    </row>
    <row r="1663" spans="1:44">
      <c r="A1663" s="343">
        <f>IFERROR(VLOOKUP($G1663,基本資料!$A:$J,3,0),"無")</f>
        <v>10.08</v>
      </c>
      <c r="B1663" s="79">
        <f>IFERROR(VLOOKUP($G1663,基本資料!$A:$J,4,0),"無")</f>
        <v>-12</v>
      </c>
      <c r="C1663" s="79">
        <f>IFERROR(VLOOKUP($G1663,基本資料!$A:$J,5,0),"無")</f>
        <v>-12</v>
      </c>
      <c r="D1663" s="79">
        <f>IFERROR(VLOOKUP($G1663,基本資料!$A:$J,6,0),"無")</f>
        <v>2</v>
      </c>
      <c r="E1663" s="79">
        <f>IFERROR(VLOOKUP($G1663,基本資料!$A:$J,7,0),"無")</f>
        <v>3</v>
      </c>
      <c r="F1663" s="6">
        <f>IFERROR(VLOOKUP($G1663,基本資料!$A:$J,8,0),"無")</f>
        <v>13.3</v>
      </c>
      <c r="G1663" s="79">
        <v>5904</v>
      </c>
      <c r="H1663" s="8" t="s">
        <v>310</v>
      </c>
      <c r="I1663" s="16" t="s">
        <v>147</v>
      </c>
      <c r="J1663" s="8">
        <f>IFERROR(VLOOKUP($G1663,今日總結!$A:$AN,39,0),"")</f>
        <v>0</v>
      </c>
      <c r="K1663" s="5" t="str">
        <f>IFERROR(VLOOKUP($G1663,今日總結!$A:$AN,40,0),"")</f>
        <v>主外</v>
      </c>
      <c r="L1663" s="156">
        <f>IFERROR(VLOOKUP($G1663,今日總結!$A:$AN,37,0),"")</f>
        <v>0</v>
      </c>
      <c r="M1663" s="337">
        <f>IFERROR(VLOOKUP($G1663,今日總結!$A:$AN,38,0),"")</f>
        <v>2</v>
      </c>
      <c r="N1663" s="240">
        <f t="shared" si="286"/>
        <v>-2</v>
      </c>
      <c r="O1663" s="359">
        <f>IFERROR(VLOOKUP($G1663,融外自投!$A:$J,7,0),"無")</f>
        <v>1271</v>
      </c>
      <c r="P1663" s="79">
        <f>IFERROR(VLOOKUP($G1663,融外自投!$A:$J,9,0),"無")</f>
        <v>946</v>
      </c>
      <c r="Q1663" s="342">
        <f>IFERROR(VLOOKUP($G1663,融外自投!$A:$J,8,0),"無")</f>
        <v>169</v>
      </c>
      <c r="R1663" s="81">
        <f>IFERROR(VLOOKUP($G1663,融外自投!$A:$J,10,0),"無")</f>
        <v>294</v>
      </c>
      <c r="S1663" s="324">
        <f>IFERROR(VLOOKUP($G1663,'321買'!$A:$E,4,0),"'沒有資料'")</f>
        <v>1002</v>
      </c>
      <c r="T1663" s="186">
        <f>IFERROR(VLOOKUP($G1663,基本資料!$A:$J,9,0),"無")</f>
        <v>11.1</v>
      </c>
      <c r="U1663" s="307">
        <f t="shared" si="282"/>
        <v>3.9928057553956835E-2</v>
      </c>
      <c r="V1663" s="94">
        <f>IFERROR(VLOOKUP($G1663,基本資料!$A:$J,10,0),"無")</f>
        <v>18.25</v>
      </c>
      <c r="W1663" s="36">
        <f>RTD("money.excel",,"5904","Price")</f>
        <v>278</v>
      </c>
      <c r="X1663" s="66"/>
      <c r="Y1663" s="15">
        <f t="shared" si="283"/>
        <v>278</v>
      </c>
      <c r="Z1663" s="3" t="e">
        <f t="shared" si="284"/>
        <v>#DIV/0!</v>
      </c>
      <c r="AA1663" s="340">
        <f>IFERROR(VLOOKUP($G1663,基本資料!$A:$M,11,0),"無")</f>
        <v>-53.82</v>
      </c>
      <c r="AB1663" s="389">
        <f>IFERROR(VLOOKUP($G1663,基本資料!$A:$M,12,0),"無")</f>
        <v>8.08</v>
      </c>
      <c r="AC1663" s="16" t="s">
        <v>147</v>
      </c>
      <c r="AF1663" s="33">
        <f t="shared" si="285"/>
        <v>0</v>
      </c>
      <c r="AG1663" s="117" t="s">
        <v>2048</v>
      </c>
      <c r="AH1663" s="66">
        <f t="shared" si="280"/>
        <v>1.580826109127996</v>
      </c>
      <c r="AI1663" s="283">
        <f>RTD("money.excel",,$G1663,"PredictVolume")</f>
        <v>310</v>
      </c>
      <c r="AJ1663" s="391">
        <f>IFERROR(VLOOKUP($G1663,基本資料!$A:$M,13,0),"無")</f>
        <v>196.1</v>
      </c>
      <c r="AR1663" s="245" t="str">
        <f>INDEX(基本資料!N:N,MATCH($G1663,基本資料!A:A,0))</f>
        <v>低</v>
      </c>
    </row>
    <row r="1664" spans="1:44">
      <c r="A1664" s="343">
        <f>IFERROR(VLOOKUP($G1664,基本資料!$A:$J,3,0),"無")</f>
        <v>18.98</v>
      </c>
      <c r="B1664" s="79">
        <f>IFERROR(VLOOKUP($G1664,基本資料!$A:$J,4,0),"無")</f>
        <v>-371</v>
      </c>
      <c r="C1664" s="79">
        <f>IFERROR(VLOOKUP($G1664,基本資料!$A:$J,5,0),"無")</f>
        <v>-2400</v>
      </c>
      <c r="D1664" s="79">
        <f>IFERROR(VLOOKUP($G1664,基本資料!$A:$J,6,0),"無")</f>
        <v>-28</v>
      </c>
      <c r="E1664" s="79">
        <f>IFERROR(VLOOKUP($G1664,基本資料!$A:$J,7,0),"無")</f>
        <v>-27</v>
      </c>
      <c r="F1664" s="6">
        <f>IFERROR(VLOOKUP($G1664,基本資料!$A:$J,8,0),"無")</f>
        <v>-31.84</v>
      </c>
      <c r="G1664" s="79">
        <v>5905</v>
      </c>
      <c r="H1664" s="8" t="s">
        <v>310</v>
      </c>
      <c r="I1664" s="16" t="s">
        <v>795</v>
      </c>
      <c r="J1664" s="8">
        <f>IFERROR(VLOOKUP($G1664,今日總結!$A:$AN,39,0),"")</f>
        <v>0</v>
      </c>
      <c r="K1664" s="5" t="str">
        <f>IFERROR(VLOOKUP($G1664,今日總結!$A:$AN,40,0),"")</f>
        <v>融借</v>
      </c>
      <c r="L1664" s="156">
        <f>IFERROR(VLOOKUP($G1664,今日總結!$A:$AN,37,0),"")</f>
        <v>0</v>
      </c>
      <c r="M1664" s="337">
        <f>IFERROR(VLOOKUP($G1664,今日總結!$A:$AN,38,0),"")</f>
        <v>6</v>
      </c>
      <c r="N1664" s="240">
        <f t="shared" si="286"/>
        <v>-6</v>
      </c>
      <c r="O1664" s="359">
        <f>IFERROR(VLOOKUP($G1664,融外自投!$A:$J,7,0),"無")</f>
        <v>550</v>
      </c>
      <c r="P1664" s="79">
        <f>IFERROR(VLOOKUP($G1664,融外自投!$A:$J,9,0),"無")</f>
        <v>550</v>
      </c>
      <c r="Q1664" s="342">
        <f>IFERROR(VLOOKUP($G1664,融外自投!$A:$J,8,0),"無")</f>
        <v>1142</v>
      </c>
      <c r="R1664" s="81" t="str">
        <f>IFERROR(VLOOKUP($G1664,融外自投!$A:$J,10,0),"無")</f>
        <v>無</v>
      </c>
      <c r="S1664" s="324">
        <f>IFERROR(VLOOKUP($G1664,'321買'!$A:$E,4,0),"'沒有資料'")</f>
        <v>465</v>
      </c>
      <c r="T1664" s="186">
        <f>IFERROR(VLOOKUP($G1664,基本資料!$A:$J,9,0),"無")</f>
        <v>0</v>
      </c>
      <c r="U1664" s="307">
        <f t="shared" si="282"/>
        <v>0</v>
      </c>
      <c r="V1664" s="94">
        <f>IFERROR(VLOOKUP($G1664,基本資料!$A:$J,10,0),"無")</f>
        <v>-0.77</v>
      </c>
      <c r="W1664" s="36">
        <f>RTD("money.excel",,"5905","Price")</f>
        <v>12</v>
      </c>
      <c r="X1664" s="66"/>
      <c r="Y1664" s="15">
        <f t="shared" si="283"/>
        <v>12</v>
      </c>
      <c r="Z1664" s="3" t="e">
        <f t="shared" si="284"/>
        <v>#DIV/0!</v>
      </c>
      <c r="AA1664" s="340">
        <f>IFERROR(VLOOKUP($G1664,基本資料!$A:$M,11,0),"無")</f>
        <v>-42.58</v>
      </c>
      <c r="AB1664" s="389">
        <f>IFERROR(VLOOKUP($G1664,基本資料!$A:$M,12,0),"無")</f>
        <v>14.6</v>
      </c>
      <c r="AC1664" s="16" t="s">
        <v>795</v>
      </c>
      <c r="AF1664" s="33">
        <f t="shared" si="285"/>
        <v>0</v>
      </c>
      <c r="AG1664" s="43" t="s">
        <v>2646</v>
      </c>
      <c r="AH1664" s="66">
        <f t="shared" si="280"/>
        <v>0.74947589098532486</v>
      </c>
      <c r="AI1664" s="283">
        <f>RTD("money.excel",,$G1664,"PredictVolume")</f>
        <v>286</v>
      </c>
      <c r="AJ1664" s="391">
        <f>IFERROR(VLOOKUP($G1664,基本資料!$A:$M,13,0),"無")</f>
        <v>381.6</v>
      </c>
      <c r="AR1664" s="245" t="str">
        <f>INDEX(基本資料!N:N,MATCH($G1664,基本資料!A:A,0))</f>
        <v>低</v>
      </c>
    </row>
    <row r="1665" spans="1:44">
      <c r="A1665" s="343">
        <f>IFERROR(VLOOKUP($G1665,基本資料!$A:$J,3,0),"無")</f>
        <v>3.24</v>
      </c>
      <c r="B1665" s="79">
        <f>IFERROR(VLOOKUP($G1665,基本資料!$A:$J,4,0),"無")</f>
        <v>45</v>
      </c>
      <c r="C1665" s="79">
        <f>IFERROR(VLOOKUP($G1665,基本資料!$A:$J,5,0),"無")</f>
        <v>30</v>
      </c>
      <c r="D1665" s="79">
        <f>IFERROR(VLOOKUP($G1665,基本資料!$A:$J,6,0),"無")</f>
        <v>-14</v>
      </c>
      <c r="E1665" s="79">
        <f>IFERROR(VLOOKUP($G1665,基本資料!$A:$J,7,0),"無")</f>
        <v>-9</v>
      </c>
      <c r="F1665" s="6">
        <f>IFERROR(VLOOKUP($G1665,基本資料!$A:$J,8,0),"無")</f>
        <v>8.42</v>
      </c>
      <c r="G1665" s="79">
        <v>5906</v>
      </c>
      <c r="H1665" s="8" t="s">
        <v>310</v>
      </c>
      <c r="I1665" s="22" t="s">
        <v>810</v>
      </c>
      <c r="J1665" s="8">
        <f>IFERROR(VLOOKUP($G1665,今日總結!$A:$AN,39,0),"")</f>
        <v>0</v>
      </c>
      <c r="K1665" s="5">
        <f>IFERROR(VLOOKUP($G1665,今日總結!$A:$AN,40,0),"")</f>
        <v>0</v>
      </c>
      <c r="L1665" s="156">
        <f>IFERROR(VLOOKUP($G1665,今日總結!$A:$AN,37,0),"")</f>
        <v>0</v>
      </c>
      <c r="M1665" s="337">
        <f>IFERROR(VLOOKUP($G1665,今日總結!$A:$AN,38,0),"")</f>
        <v>0</v>
      </c>
      <c r="N1665" s="240">
        <f t="shared" si="286"/>
        <v>0</v>
      </c>
      <c r="O1665" s="359">
        <f>IFERROR(VLOOKUP($G1665,融外自投!$A:$J,7,0),"無")</f>
        <v>1108</v>
      </c>
      <c r="P1665" s="79" t="str">
        <f>IFERROR(VLOOKUP($G1665,融外自投!$A:$J,9,0),"無")</f>
        <v>無</v>
      </c>
      <c r="Q1665" s="342">
        <f>IFERROR(VLOOKUP($G1665,融外自投!$A:$J,8,0),"無")</f>
        <v>287</v>
      </c>
      <c r="R1665" s="81" t="str">
        <f>IFERROR(VLOOKUP($G1665,融外自投!$A:$J,10,0),"無")</f>
        <v>無</v>
      </c>
      <c r="S1665" s="324">
        <f>IFERROR(VLOOKUP($G1665,'321買'!$A:$E,4,0),"'沒有資料'")</f>
        <v>1002</v>
      </c>
      <c r="T1665" s="186">
        <f>IFERROR(VLOOKUP($G1665,基本資料!$A:$J,9,0),"無")</f>
        <v>1.7</v>
      </c>
      <c r="U1665" s="307">
        <f t="shared" si="282"/>
        <v>5.1051051051051052E-2</v>
      </c>
      <c r="V1665" s="94">
        <f>IFERROR(VLOOKUP($G1665,基本資料!$A:$J,10,0),"無")</f>
        <v>3.23</v>
      </c>
      <c r="W1665" s="36">
        <f>RTD("money.excel",,"5906","Price")</f>
        <v>33.299999999999997</v>
      </c>
      <c r="X1665" s="66"/>
      <c r="Y1665" s="15">
        <f t="shared" si="283"/>
        <v>33.299999999999997</v>
      </c>
      <c r="Z1665" s="3" t="e">
        <f t="shared" si="284"/>
        <v>#DIV/0!</v>
      </c>
      <c r="AA1665" s="340">
        <f>IFERROR(VLOOKUP($G1665,基本資料!$A:$M,11,0),"無")</f>
        <v>-20.05</v>
      </c>
      <c r="AB1665" s="389">
        <f>IFERROR(VLOOKUP($G1665,基本資料!$A:$M,12,0),"無")</f>
        <v>23.83</v>
      </c>
      <c r="AC1665" s="22" t="s">
        <v>810</v>
      </c>
      <c r="AF1665" s="33">
        <f t="shared" si="285"/>
        <v>0</v>
      </c>
      <c r="AG1665" s="43" t="s">
        <v>2865</v>
      </c>
      <c r="AH1665" s="66">
        <f t="shared" si="280"/>
        <v>0.27972027972027969</v>
      </c>
      <c r="AI1665" s="283">
        <f>RTD("money.excel",,$G1665,"PredictVolume")</f>
        <v>2</v>
      </c>
      <c r="AJ1665" s="391">
        <f>IFERROR(VLOOKUP($G1665,基本資料!$A:$M,13,0),"無")</f>
        <v>7.15</v>
      </c>
      <c r="AR1665" s="245" t="str">
        <f>INDEX(基本資料!N:N,MATCH($G1665,基本資料!A:A,0))</f>
        <v>低</v>
      </c>
    </row>
    <row r="1666" spans="1:44">
      <c r="A1666" s="343">
        <f>IFERROR(VLOOKUP($G1666,基本資料!$A:$J,3,0),"無")</f>
        <v>19.55</v>
      </c>
      <c r="B1666" s="79">
        <f>IFERROR(VLOOKUP($G1666,基本資料!$A:$J,4,0),"無")</f>
        <v>-124</v>
      </c>
      <c r="C1666" s="79">
        <f>IFERROR(VLOOKUP($G1666,基本資料!$A:$J,5,0),"無")</f>
        <v>73</v>
      </c>
      <c r="D1666" s="79">
        <f>IFERROR(VLOOKUP($G1666,基本資料!$A:$J,6,0),"無")</f>
        <v>-19</v>
      </c>
      <c r="E1666" s="79">
        <f>IFERROR(VLOOKUP($G1666,基本資料!$A:$J,7,0),"無")</f>
        <v>-20</v>
      </c>
      <c r="F1666" s="6">
        <f>IFERROR(VLOOKUP($G1666,基本資料!$A:$J,8,0),"無")</f>
        <v>8.31</v>
      </c>
      <c r="G1666" s="79">
        <v>5907</v>
      </c>
      <c r="H1666" s="8" t="s">
        <v>310</v>
      </c>
      <c r="I1666" s="22" t="s">
        <v>811</v>
      </c>
      <c r="J1666" s="8">
        <f>IFERROR(VLOOKUP($G1666,今日總結!$A:$AN,39,0),"")</f>
        <v>0</v>
      </c>
      <c r="K1666" s="5">
        <f>IFERROR(VLOOKUP($G1666,今日總結!$A:$AN,40,0),"")</f>
        <v>0</v>
      </c>
      <c r="L1666" s="156">
        <f>IFERROR(VLOOKUP($G1666,今日總結!$A:$AN,37,0),"")</f>
        <v>0</v>
      </c>
      <c r="M1666" s="337">
        <f>IFERROR(VLOOKUP($G1666,今日總結!$A:$AN,38,0),"")</f>
        <v>0</v>
      </c>
      <c r="N1666" s="240">
        <f t="shared" si="286"/>
        <v>0</v>
      </c>
      <c r="O1666" s="359">
        <f>IFERROR(VLOOKUP($G1666,融外自投!$A:$J,7,0),"無")</f>
        <v>775</v>
      </c>
      <c r="P1666" s="79">
        <f>IFERROR(VLOOKUP($G1666,融外自投!$A:$J,9,0),"無")</f>
        <v>1051</v>
      </c>
      <c r="Q1666" s="342">
        <f>IFERROR(VLOOKUP($G1666,融外自投!$A:$J,8,0),"無")</f>
        <v>64</v>
      </c>
      <c r="R1666" s="81" t="str">
        <f>IFERROR(VLOOKUP($G1666,融外自投!$A:$J,10,0),"無")</f>
        <v>無</v>
      </c>
      <c r="S1666" s="324">
        <f>IFERROR(VLOOKUP($G1666,'321買'!$A:$E,4,0),"'沒有資料'")</f>
        <v>1002</v>
      </c>
      <c r="T1666" s="186">
        <f>IFERROR(VLOOKUP($G1666,基本資料!$A:$J,9,0),"無")</f>
        <v>0</v>
      </c>
      <c r="U1666" s="307">
        <f t="shared" si="282"/>
        <v>0</v>
      </c>
      <c r="V1666" s="94">
        <f>IFERROR(VLOOKUP($G1666,基本資料!$A:$J,10,0),"無")</f>
        <v>-1.19</v>
      </c>
      <c r="W1666" s="36">
        <f>RTD("money.excel",,"5907","Price")</f>
        <v>15.6</v>
      </c>
      <c r="X1666" s="66"/>
      <c r="Y1666" s="15">
        <f t="shared" si="283"/>
        <v>15.6</v>
      </c>
      <c r="Z1666" s="3" t="e">
        <f t="shared" si="284"/>
        <v>#DIV/0!</v>
      </c>
      <c r="AA1666" s="340">
        <f>IFERROR(VLOOKUP($G1666,基本資料!$A:$M,11,0),"無")</f>
        <v>-40.57</v>
      </c>
      <c r="AB1666" s="389">
        <f>IFERROR(VLOOKUP($G1666,基本資料!$A:$M,12,0),"無")</f>
        <v>12.37</v>
      </c>
      <c r="AC1666" s="22" t="s">
        <v>811</v>
      </c>
      <c r="AF1666" s="33">
        <f t="shared" si="285"/>
        <v>0</v>
      </c>
      <c r="AG1666" s="43" t="s">
        <v>2866</v>
      </c>
      <c r="AH1666" s="66">
        <f t="shared" si="280"/>
        <v>1.6937669376693767</v>
      </c>
      <c r="AI1666" s="283">
        <f>RTD("money.excel",,$G1666,"PredictVolume")</f>
        <v>125</v>
      </c>
      <c r="AJ1666" s="391">
        <f>IFERROR(VLOOKUP($G1666,基本資料!$A:$M,13,0),"無")</f>
        <v>73.8</v>
      </c>
      <c r="AR1666" s="245" t="str">
        <f>INDEX(基本資料!N:N,MATCH($G1666,基本資料!A:A,0))</f>
        <v>低</v>
      </c>
    </row>
    <row r="1667" spans="1:44">
      <c r="A1667" s="343">
        <f>IFERROR(VLOOKUP($G1667,基本資料!$A:$J,3,0),"無")</f>
        <v>5.01</v>
      </c>
      <c r="B1667" s="79">
        <f>IFERROR(VLOOKUP($G1667,基本資料!$A:$J,4,0),"無")</f>
        <v>19</v>
      </c>
      <c r="C1667" s="79">
        <f>IFERROR(VLOOKUP($G1667,基本資料!$A:$J,5,0),"無")</f>
        <v>13</v>
      </c>
      <c r="D1667" s="79">
        <f>IFERROR(VLOOKUP($G1667,基本資料!$A:$J,6,0),"無")</f>
        <v>14</v>
      </c>
      <c r="E1667" s="79">
        <f>IFERROR(VLOOKUP($G1667,基本資料!$A:$J,7,0),"無")</f>
        <v>12</v>
      </c>
      <c r="F1667" s="6">
        <f>IFERROR(VLOOKUP($G1667,基本資料!$A:$J,8,0),"無")</f>
        <v>12.03</v>
      </c>
      <c r="G1667" s="79">
        <v>6195</v>
      </c>
      <c r="H1667" s="8" t="s">
        <v>310</v>
      </c>
      <c r="I1667" s="16" t="s">
        <v>103</v>
      </c>
      <c r="J1667" s="8">
        <f>IFERROR(VLOOKUP($G1667,今日總結!$A:$AN,39,0),"")</f>
        <v>0</v>
      </c>
      <c r="K1667" s="5" t="str">
        <f>IFERROR(VLOOKUP($G1667,今日總結!$A:$AN,40,0),"")</f>
        <v>主</v>
      </c>
      <c r="L1667" s="156">
        <f>IFERROR(VLOOKUP($G1667,今日總結!$A:$AN,37,0),"")</f>
        <v>0</v>
      </c>
      <c r="M1667" s="337">
        <f>IFERROR(VLOOKUP($G1667,今日總結!$A:$AN,38,0),"")</f>
        <v>2</v>
      </c>
      <c r="N1667" s="240">
        <f t="shared" si="286"/>
        <v>-2</v>
      </c>
      <c r="O1667" s="359">
        <f>IFERROR(VLOOKUP($G1667,融外自投!$A:$J,7,0),"無")</f>
        <v>1061</v>
      </c>
      <c r="P1667" s="79" t="str">
        <f>IFERROR(VLOOKUP($G1667,融外自投!$A:$J,9,0),"無")</f>
        <v>無</v>
      </c>
      <c r="Q1667" s="342">
        <f>IFERROR(VLOOKUP($G1667,融外自投!$A:$J,8,0),"無")</f>
        <v>87</v>
      </c>
      <c r="R1667" s="81" t="str">
        <f>IFERROR(VLOOKUP($G1667,融外自投!$A:$J,10,0),"無")</f>
        <v>無</v>
      </c>
      <c r="S1667" s="324">
        <f>IFERROR(VLOOKUP($G1667,'321買'!$A:$E,4,0),"'沒有資料'")</f>
        <v>1002</v>
      </c>
      <c r="T1667" s="186">
        <f>IFERROR(VLOOKUP($G1667,基本資料!$A:$J,9,0),"無")</f>
        <v>4.4000000000000004</v>
      </c>
      <c r="U1667" s="307">
        <f t="shared" si="282"/>
        <v>8.826479438314945E-2</v>
      </c>
      <c r="V1667" s="94">
        <f>IFERROR(VLOOKUP($G1667,基本資料!$A:$J,10,0),"無")</f>
        <v>5.54</v>
      </c>
      <c r="W1667" s="36">
        <f>RTD("money.excel",,"6195","Price")</f>
        <v>49.85</v>
      </c>
      <c r="X1667" s="66"/>
      <c r="Y1667" s="15">
        <f t="shared" si="283"/>
        <v>49.85</v>
      </c>
      <c r="Z1667" s="3" t="e">
        <f t="shared" si="284"/>
        <v>#DIV/0!</v>
      </c>
      <c r="AA1667" s="340">
        <f>IFERROR(VLOOKUP($G1667,基本資料!$A:$M,11,0),"無")</f>
        <v>-13.15</v>
      </c>
      <c r="AB1667" s="389">
        <f>IFERROR(VLOOKUP($G1667,基本資料!$A:$M,12,0),"無")</f>
        <v>11.25</v>
      </c>
      <c r="AC1667" s="16" t="s">
        <v>103</v>
      </c>
      <c r="AF1667" s="33">
        <f t="shared" si="285"/>
        <v>0</v>
      </c>
      <c r="AG1667" s="117" t="s">
        <v>2469</v>
      </c>
      <c r="AH1667" s="66">
        <f t="shared" si="280"/>
        <v>0.87221095334685605</v>
      </c>
      <c r="AI1667" s="283">
        <f>RTD("money.excel",,$G1667,"PredictVolume")</f>
        <v>43</v>
      </c>
      <c r="AJ1667" s="391">
        <f>IFERROR(VLOOKUP($G1667,基本資料!$A:$M,13,0),"無")</f>
        <v>49.3</v>
      </c>
      <c r="AR1667" s="245" t="str">
        <f>INDEX(基本資料!N:N,MATCH($G1667,基本資料!A:A,0))</f>
        <v>低</v>
      </c>
    </row>
    <row r="1668" spans="1:44">
      <c r="A1668" s="343">
        <f>IFERROR(VLOOKUP($G1668,基本資料!$A:$J,3,0),"無")</f>
        <v>2.2999999999999998</v>
      </c>
      <c r="B1668" s="79">
        <f>IFERROR(VLOOKUP($G1668,基本資料!$A:$J,4,0),"無")</f>
        <v>167</v>
      </c>
      <c r="C1668" s="79">
        <f>IFERROR(VLOOKUP($G1668,基本資料!$A:$J,5,0),"無")</f>
        <v>168</v>
      </c>
      <c r="D1668" s="79">
        <f>IFERROR(VLOOKUP($G1668,基本資料!$A:$J,6,0),"無")</f>
        <v>56</v>
      </c>
      <c r="E1668" s="79">
        <f>IFERROR(VLOOKUP($G1668,基本資料!$A:$J,7,0),"無")</f>
        <v>58</v>
      </c>
      <c r="F1668" s="6">
        <f>IFERROR(VLOOKUP($G1668,基本資料!$A:$J,8,0),"無")</f>
        <v>17.600000000000001</v>
      </c>
      <c r="G1668" s="79">
        <v>6728</v>
      </c>
      <c r="H1668" s="8" t="s">
        <v>310</v>
      </c>
      <c r="I1668" s="16" t="s">
        <v>2140</v>
      </c>
      <c r="J1668" s="8" t="str">
        <f>IFERROR(VLOOKUP($G1668,今日總結!$A:$AN,39,0),"")</f>
        <v/>
      </c>
      <c r="K1668" s="5" t="str">
        <f>IFERROR(VLOOKUP($G1668,今日總結!$A:$AN,40,0),"")</f>
        <v/>
      </c>
      <c r="L1668" s="156" t="str">
        <f>IFERROR(VLOOKUP($G1668,今日總結!$A:$AN,37,0),"")</f>
        <v/>
      </c>
      <c r="M1668" s="337" t="str">
        <f>IFERROR(VLOOKUP($G1668,今日總結!$A:$AN,38,0),"")</f>
        <v/>
      </c>
      <c r="N1668" s="240" t="str">
        <f t="shared" si="286"/>
        <v/>
      </c>
      <c r="O1668" s="359" t="str">
        <f>IFERROR(VLOOKUP($G1668,融外自投!$A:$J,7,0),"無")</f>
        <v>無</v>
      </c>
      <c r="P1668" s="79" t="str">
        <f>IFERROR(VLOOKUP($G1668,融外自投!$A:$J,9,0),"無")</f>
        <v>無</v>
      </c>
      <c r="Q1668" s="342" t="str">
        <f>IFERROR(VLOOKUP($G1668,融外自投!$A:$J,8,0),"無")</f>
        <v>無</v>
      </c>
      <c r="R1668" s="81" t="str">
        <f>IFERROR(VLOOKUP($G1668,融外自投!$A:$J,10,0),"無")</f>
        <v>無</v>
      </c>
      <c r="S1668" s="324" t="str">
        <f>IFERROR(VLOOKUP($G1668,'321買'!$A:$E,4,0),"'沒有資料'")</f>
        <v>'沒有資料'</v>
      </c>
      <c r="T1668" s="186">
        <f>IFERROR(VLOOKUP($G1668,基本資料!$A:$J,9,0),"無")</f>
        <v>9</v>
      </c>
      <c r="U1668" s="307">
        <f t="shared" si="282"/>
        <v>5.1724137931034482E-2</v>
      </c>
      <c r="V1668" s="94">
        <f>IFERROR(VLOOKUP($G1668,基本資料!$A:$J,10,0),"無")</f>
        <v>11.74</v>
      </c>
      <c r="W1668" s="36">
        <f>RTD("money.excel",,"6728","Price")</f>
        <v>174</v>
      </c>
      <c r="X1668" s="66"/>
      <c r="Y1668" s="15">
        <f t="shared" si="283"/>
        <v>174</v>
      </c>
      <c r="Z1668" s="3" t="e">
        <f t="shared" si="284"/>
        <v>#DIV/0!</v>
      </c>
      <c r="AA1668" s="340">
        <f>IFERROR(VLOOKUP($G1668,基本資料!$A:$M,11,0),"無")</f>
        <v>-10.08</v>
      </c>
      <c r="AB1668" s="389">
        <f>IFERROR(VLOOKUP($G1668,基本資料!$A:$M,12,0),"無")</f>
        <v>58.47</v>
      </c>
      <c r="AC1668" s="16" t="s">
        <v>2140</v>
      </c>
      <c r="AF1668" s="33">
        <f t="shared" si="285"/>
        <v>0</v>
      </c>
      <c r="AG1668" s="43" t="s">
        <v>2141</v>
      </c>
      <c r="AH1668" s="66">
        <f t="shared" si="280"/>
        <v>0.35225048923679059</v>
      </c>
      <c r="AI1668" s="283">
        <f>RTD("money.excel",,$G1668,"PredictVolume")</f>
        <v>18</v>
      </c>
      <c r="AJ1668" s="391">
        <f>IFERROR(VLOOKUP($G1668,基本資料!$A:$M,13,0),"無")</f>
        <v>51.1</v>
      </c>
      <c r="AR1668" s="245" t="str">
        <f>INDEX(基本資料!N:N,MATCH($G1668,基本資料!A:A,0))</f>
        <v>高</v>
      </c>
    </row>
    <row r="1669" spans="1:44">
      <c r="A1669" s="343">
        <f>IFERROR(VLOOKUP($G1669,基本資料!$A:$J,3,0),"無")</f>
        <v>3.01</v>
      </c>
      <c r="B1669" s="79">
        <f>IFERROR(VLOOKUP($G1669,基本資料!$A:$J,4,0),"無")</f>
        <v>-28</v>
      </c>
      <c r="C1669" s="79">
        <f>IFERROR(VLOOKUP($G1669,基本資料!$A:$J,5,0),"無")</f>
        <v>-30</v>
      </c>
      <c r="D1669" s="79">
        <f>IFERROR(VLOOKUP($G1669,基本資料!$A:$J,6,0),"無")</f>
        <v>-3</v>
      </c>
      <c r="E1669" s="79">
        <f>IFERROR(VLOOKUP($G1669,基本資料!$A:$J,7,0),"無")</f>
        <v>-19</v>
      </c>
      <c r="F1669" s="6">
        <f>IFERROR(VLOOKUP($G1669,基本資料!$A:$J,8,0),"無")</f>
        <v>2.8</v>
      </c>
      <c r="G1669" s="79">
        <v>8066</v>
      </c>
      <c r="H1669" s="8" t="s">
        <v>310</v>
      </c>
      <c r="I1669" s="16" t="s">
        <v>796</v>
      </c>
      <c r="J1669" s="8">
        <f>IFERROR(VLOOKUP($G1669,今日總結!$A:$AN,39,0),"")</f>
        <v>0</v>
      </c>
      <c r="K1669" s="5">
        <f>IFERROR(VLOOKUP($G1669,今日總結!$A:$AN,40,0),"")</f>
        <v>0</v>
      </c>
      <c r="L1669" s="156">
        <f>IFERROR(VLOOKUP($G1669,今日總結!$A:$AN,37,0),"")</f>
        <v>0</v>
      </c>
      <c r="M1669" s="337">
        <f>IFERROR(VLOOKUP($G1669,今日總結!$A:$AN,38,0),"")</f>
        <v>0</v>
      </c>
      <c r="N1669" s="240">
        <f t="shared" si="286"/>
        <v>0</v>
      </c>
      <c r="O1669" s="359">
        <f>IFERROR(VLOOKUP($G1669,融外自投!$A:$J,7,0),"無")</f>
        <v>674</v>
      </c>
      <c r="P1669" s="79">
        <f>IFERROR(VLOOKUP($G1669,融外自投!$A:$J,9,0),"無")</f>
        <v>537</v>
      </c>
      <c r="Q1669" s="342">
        <f>IFERROR(VLOOKUP($G1669,融外自投!$A:$J,8,0),"無")</f>
        <v>849</v>
      </c>
      <c r="R1669" s="81" t="str">
        <f>IFERROR(VLOOKUP($G1669,融外自投!$A:$J,10,0),"無")</f>
        <v>無</v>
      </c>
      <c r="S1669" s="324">
        <f>IFERROR(VLOOKUP($G1669,'321買'!$A:$E,4,0),"'沒有資料'")</f>
        <v>891</v>
      </c>
      <c r="T1669" s="186">
        <f>IFERROR(VLOOKUP($G1669,基本資料!$A:$J,9,0),"無")</f>
        <v>1</v>
      </c>
      <c r="U1669" s="307">
        <f t="shared" si="282"/>
        <v>3.6166365280289332E-2</v>
      </c>
      <c r="V1669" s="94">
        <f>IFERROR(VLOOKUP($G1669,基本資料!$A:$J,10,0),"無")</f>
        <v>1.1100000000000001</v>
      </c>
      <c r="W1669" s="36">
        <f>RTD("money.excel",,"8066","Price")</f>
        <v>27.65</v>
      </c>
      <c r="X1669" s="66"/>
      <c r="Y1669" s="15">
        <f t="shared" si="283"/>
        <v>27.65</v>
      </c>
      <c r="Z1669" s="3" t="e">
        <f t="shared" si="284"/>
        <v>#DIV/0!</v>
      </c>
      <c r="AA1669" s="340">
        <f>IFERROR(VLOOKUP($G1669,基本資料!$A:$M,11,0),"無")</f>
        <v>-45.25</v>
      </c>
      <c r="AB1669" s="389">
        <f>IFERROR(VLOOKUP($G1669,基本資料!$A:$M,12,0),"無")</f>
        <v>18.23</v>
      </c>
      <c r="AC1669" s="16" t="s">
        <v>796</v>
      </c>
      <c r="AF1669" s="33">
        <f t="shared" si="285"/>
        <v>0</v>
      </c>
      <c r="AG1669" s="43" t="s">
        <v>2647</v>
      </c>
      <c r="AH1669" s="66">
        <f t="shared" si="280"/>
        <v>0.32488628979857048</v>
      </c>
      <c r="AI1669" s="283">
        <f>RTD("money.excel",,$G1669,"PredictVolume")</f>
        <v>25</v>
      </c>
      <c r="AJ1669" s="391">
        <f>IFERROR(VLOOKUP($G1669,基本資料!$A:$M,13,0),"無")</f>
        <v>76.95</v>
      </c>
      <c r="AR1669" s="245" t="str">
        <f>INDEX(基本資料!N:N,MATCH($G1669,基本資料!A:A,0))</f>
        <v>低</v>
      </c>
    </row>
    <row r="1670" spans="1:44">
      <c r="A1670" s="343">
        <f>IFERROR(VLOOKUP($G1670,基本資料!$A:$J,3,0),"無")</f>
        <v>18.57</v>
      </c>
      <c r="B1670" s="79">
        <f>IFERROR(VLOOKUP($G1670,基本資料!$A:$J,4,0),"無")</f>
        <v>104</v>
      </c>
      <c r="C1670" s="79">
        <f>IFERROR(VLOOKUP($G1670,基本資料!$A:$J,5,0),"無")</f>
        <v>97</v>
      </c>
      <c r="D1670" s="79">
        <f>IFERROR(VLOOKUP($G1670,基本資料!$A:$J,6,0),"無")</f>
        <v>-47</v>
      </c>
      <c r="E1670" s="79">
        <f>IFERROR(VLOOKUP($G1670,基本資料!$A:$J,7,0),"無")</f>
        <v>-82</v>
      </c>
      <c r="F1670" s="6">
        <f>IFERROR(VLOOKUP($G1670,基本資料!$A:$J,8,0),"無")</f>
        <v>-3.54</v>
      </c>
      <c r="G1670" s="79">
        <v>8429</v>
      </c>
      <c r="H1670" s="8" t="s">
        <v>310</v>
      </c>
      <c r="I1670" s="22" t="s">
        <v>812</v>
      </c>
      <c r="J1670" s="8">
        <f>IFERROR(VLOOKUP($G1670,今日總結!$A:$AN,39,0),"")</f>
        <v>0</v>
      </c>
      <c r="K1670" s="5" t="str">
        <f>IFERROR(VLOOKUP($G1670,今日總結!$A:$AN,40,0),"")</f>
        <v>主</v>
      </c>
      <c r="L1670" s="156">
        <f>IFERROR(VLOOKUP($G1670,今日總結!$A:$AN,37,0),"")</f>
        <v>0</v>
      </c>
      <c r="M1670" s="337">
        <f>IFERROR(VLOOKUP($G1670,今日總結!$A:$AN,38,0),"")</f>
        <v>4</v>
      </c>
      <c r="N1670" s="240">
        <f t="shared" si="286"/>
        <v>-4</v>
      </c>
      <c r="O1670" s="359">
        <f>IFERROR(VLOOKUP($G1670,融外自投!$A:$J,7,0),"無")</f>
        <v>257</v>
      </c>
      <c r="P1670" s="79">
        <f>IFERROR(VLOOKUP($G1670,融外自投!$A:$J,9,0),"無")</f>
        <v>825</v>
      </c>
      <c r="Q1670" s="342">
        <f>IFERROR(VLOOKUP($G1670,融外自投!$A:$J,8,0),"無")</f>
        <v>152</v>
      </c>
      <c r="R1670" s="81" t="str">
        <f>IFERROR(VLOOKUP($G1670,融外自投!$A:$J,10,0),"無")</f>
        <v>無</v>
      </c>
      <c r="S1670" s="324">
        <f>IFERROR(VLOOKUP($G1670,'321買'!$A:$E,4,0),"'沒有資料'")</f>
        <v>743</v>
      </c>
      <c r="T1670" s="186">
        <f>IFERROR(VLOOKUP($G1670,基本資料!$A:$J,9,0),"無")</f>
        <v>0</v>
      </c>
      <c r="U1670" s="307">
        <f t="shared" si="282"/>
        <v>0</v>
      </c>
      <c r="V1670" s="94">
        <f>IFERROR(VLOOKUP($G1670,基本資料!$A:$J,10,0),"無")</f>
        <v>0.12</v>
      </c>
      <c r="W1670" s="36">
        <f>RTD("money.excel",,"8429","Price")</f>
        <v>10</v>
      </c>
      <c r="X1670" s="66"/>
      <c r="Y1670" s="15">
        <f t="shared" si="283"/>
        <v>10</v>
      </c>
      <c r="Z1670" s="3" t="e">
        <f t="shared" si="284"/>
        <v>#DIV/0!</v>
      </c>
      <c r="AA1670" s="340">
        <f>IFERROR(VLOOKUP($G1670,基本資料!$A:$M,11,0),"無")</f>
        <v>-53.81</v>
      </c>
      <c r="AB1670" s="389">
        <f>IFERROR(VLOOKUP($G1670,基本資料!$A:$M,12,0),"無")</f>
        <v>15.25</v>
      </c>
      <c r="AC1670" s="22" t="s">
        <v>812</v>
      </c>
      <c r="AF1670" s="33">
        <f t="shared" si="285"/>
        <v>0</v>
      </c>
      <c r="AG1670" s="43" t="s">
        <v>2867</v>
      </c>
      <c r="AH1670" s="66">
        <f t="shared" ref="AH1670:AH1733" si="287">AI1670/AJ1670</f>
        <v>0.87575837509891841</v>
      </c>
      <c r="AI1670" s="283">
        <f>RTD("money.excel",,$G1670,"PredictVolume")</f>
        <v>166</v>
      </c>
      <c r="AJ1670" s="391">
        <f>IFERROR(VLOOKUP($G1670,基本資料!$A:$M,13,0),"無")</f>
        <v>189.55</v>
      </c>
      <c r="AR1670" s="245" t="str">
        <f>INDEX(基本資料!N:N,MATCH($G1670,基本資料!A:A,0))</f>
        <v>低</v>
      </c>
    </row>
    <row r="1671" spans="1:44">
      <c r="A1671" s="343">
        <f>IFERROR(VLOOKUP($G1671,基本資料!$A:$J,3,0),"無")</f>
        <v>5.2</v>
      </c>
      <c r="B1671" s="79">
        <f>IFERROR(VLOOKUP($G1671,基本資料!$A:$J,4,0),"無")</f>
        <v>19</v>
      </c>
      <c r="C1671" s="79">
        <f>IFERROR(VLOOKUP($G1671,基本資料!$A:$J,5,0),"無")</f>
        <v>12</v>
      </c>
      <c r="D1671" s="79">
        <f>IFERROR(VLOOKUP($G1671,基本資料!$A:$J,6,0),"無")</f>
        <v>19</v>
      </c>
      <c r="E1671" s="79">
        <f>IFERROR(VLOOKUP($G1671,基本資料!$A:$J,7,0),"無")</f>
        <v>38</v>
      </c>
      <c r="F1671" s="6">
        <f>IFERROR(VLOOKUP($G1671,基本資料!$A:$J,8,0),"無")</f>
        <v>10.31</v>
      </c>
      <c r="G1671" s="79">
        <v>8433</v>
      </c>
      <c r="H1671" s="8" t="s">
        <v>310</v>
      </c>
      <c r="I1671" s="16" t="s">
        <v>4669</v>
      </c>
      <c r="J1671" s="8">
        <f>IFERROR(VLOOKUP($G1671,今日總結!$A:$AN,39,0),"")</f>
        <v>0</v>
      </c>
      <c r="K1671" s="5">
        <f>IFERROR(VLOOKUP($G1671,今日總結!$A:$AN,40,0),"")</f>
        <v>0</v>
      </c>
      <c r="L1671" s="156">
        <f>IFERROR(VLOOKUP($G1671,今日總結!$A:$AN,37,0),"")</f>
        <v>0</v>
      </c>
      <c r="M1671" s="337">
        <f>IFERROR(VLOOKUP($G1671,今日總結!$A:$AN,38,0),"")</f>
        <v>0</v>
      </c>
      <c r="N1671" s="240">
        <f t="shared" si="286"/>
        <v>0</v>
      </c>
      <c r="O1671" s="359">
        <f>IFERROR(VLOOKUP($G1671,融外自投!$A:$J,7,0),"無")</f>
        <v>1011</v>
      </c>
      <c r="P1671" s="79">
        <f>IFERROR(VLOOKUP($G1671,融外自投!$A:$J,9,0),"無")</f>
        <v>990</v>
      </c>
      <c r="Q1671" s="342">
        <f>IFERROR(VLOOKUP($G1671,融外自投!$A:$J,8,0),"無")</f>
        <v>1330</v>
      </c>
      <c r="R1671" s="81">
        <f>IFERROR(VLOOKUP($G1671,融外自投!$A:$J,10,0),"無")</f>
        <v>403</v>
      </c>
      <c r="S1671" s="324">
        <f>IFERROR(VLOOKUP($G1671,'321買'!$A:$E,4,0),"'沒有資料'")</f>
        <v>1002</v>
      </c>
      <c r="T1671" s="186">
        <f>IFERROR(VLOOKUP($G1671,基本資料!$A:$J,9,0),"無")</f>
        <v>2.5</v>
      </c>
      <c r="U1671" s="307">
        <f t="shared" si="282"/>
        <v>5.0200803212851405E-2</v>
      </c>
      <c r="V1671" s="94">
        <f>IFERROR(VLOOKUP($G1671,基本資料!$A:$J,10,0),"無")</f>
        <v>4</v>
      </c>
      <c r="W1671" s="36">
        <f>RTD("money.excel",,"8433","Price")</f>
        <v>49.8</v>
      </c>
      <c r="X1671" s="66"/>
      <c r="Y1671" s="15">
        <f t="shared" si="283"/>
        <v>49.8</v>
      </c>
      <c r="Z1671" s="3" t="e">
        <f t="shared" si="284"/>
        <v>#DIV/0!</v>
      </c>
      <c r="AA1671" s="340">
        <f>IFERROR(VLOOKUP($G1671,基本資料!$A:$M,11,0),"無")</f>
        <v>-2.54</v>
      </c>
      <c r="AB1671" s="389">
        <f>IFERROR(VLOOKUP($G1671,基本資料!$A:$M,12,0),"無")</f>
        <v>63.05</v>
      </c>
      <c r="AC1671" s="16" t="s">
        <v>4669</v>
      </c>
      <c r="AF1671" s="33">
        <f t="shared" si="285"/>
        <v>0</v>
      </c>
      <c r="AG1671" s="117" t="s">
        <v>1415</v>
      </c>
      <c r="AH1671" s="66">
        <f t="shared" si="287"/>
        <v>1.4044213263979193</v>
      </c>
      <c r="AI1671" s="283">
        <f>RTD("money.excel",,$G1671,"PredictVolume")</f>
        <v>108</v>
      </c>
      <c r="AJ1671" s="391">
        <f>IFERROR(VLOOKUP($G1671,基本資料!$A:$M,13,0),"無")</f>
        <v>76.900000000000006</v>
      </c>
      <c r="AR1671" s="245" t="str">
        <f>INDEX(基本資料!N:N,MATCH($G1671,基本資料!A:A,0))</f>
        <v>高</v>
      </c>
    </row>
    <row r="1672" spans="1:44">
      <c r="A1672" s="343">
        <f>IFERROR(VLOOKUP($G1672,基本資料!$A:$J,3,0),"無")</f>
        <v>6.68</v>
      </c>
      <c r="B1672" s="79">
        <f>IFERROR(VLOOKUP($G1672,基本資料!$A:$J,4,0),"無")</f>
        <v>-38</v>
      </c>
      <c r="C1672" s="79">
        <f>IFERROR(VLOOKUP($G1672,基本資料!$A:$J,5,0),"無")</f>
        <v>-7</v>
      </c>
      <c r="D1672" s="79">
        <f>IFERROR(VLOOKUP($G1672,基本資料!$A:$J,6,0),"無")</f>
        <v>-10</v>
      </c>
      <c r="E1672" s="79">
        <f>IFERROR(VLOOKUP($G1672,基本資料!$A:$J,7,0),"無")</f>
        <v>-1</v>
      </c>
      <c r="F1672" s="6">
        <f>IFERROR(VLOOKUP($G1672,基本資料!$A:$J,8,0),"無")</f>
        <v>-23.2</v>
      </c>
      <c r="G1672" s="79">
        <v>8443</v>
      </c>
      <c r="H1672" s="8" t="s">
        <v>310</v>
      </c>
      <c r="I1672" s="22" t="s">
        <v>813</v>
      </c>
      <c r="J1672" s="8">
        <f>IFERROR(VLOOKUP($G1672,今日總結!$A:$AN,39,0),"")</f>
        <v>0</v>
      </c>
      <c r="K1672" s="5">
        <f>IFERROR(VLOOKUP($G1672,今日總結!$A:$AN,40,0),"")</f>
        <v>0</v>
      </c>
      <c r="L1672" s="156">
        <f>IFERROR(VLOOKUP($G1672,今日總結!$A:$AN,37,0),"")</f>
        <v>0</v>
      </c>
      <c r="M1672" s="337">
        <f>IFERROR(VLOOKUP($G1672,今日總結!$A:$AN,38,0),"")</f>
        <v>0</v>
      </c>
      <c r="N1672" s="240">
        <f t="shared" si="286"/>
        <v>0</v>
      </c>
      <c r="O1672" s="359">
        <f>IFERROR(VLOOKUP($G1672,融外自投!$A:$J,7,0),"無")</f>
        <v>1161</v>
      </c>
      <c r="P1672" s="79">
        <f>IFERROR(VLOOKUP($G1672,融外自投!$A:$J,9,0),"無")</f>
        <v>908</v>
      </c>
      <c r="Q1672" s="342">
        <f>IFERROR(VLOOKUP($G1672,融外自投!$A:$J,8,0),"無")</f>
        <v>724</v>
      </c>
      <c r="R1672" s="81" t="str">
        <f>IFERROR(VLOOKUP($G1672,融外自投!$A:$J,10,0),"無")</f>
        <v>無</v>
      </c>
      <c r="S1672" s="324">
        <f>IFERROR(VLOOKUP($G1672,'321買'!$A:$E,4,0),"'沒有資料'")</f>
        <v>1002</v>
      </c>
      <c r="T1672" s="186">
        <f>IFERROR(VLOOKUP($G1672,基本資料!$A:$J,9,0),"無")</f>
        <v>0</v>
      </c>
      <c r="U1672" s="307">
        <f t="shared" si="282"/>
        <v>0</v>
      </c>
      <c r="V1672" s="94">
        <f>IFERROR(VLOOKUP($G1672,基本資料!$A:$J,10,0),"無")</f>
        <v>-3.9</v>
      </c>
      <c r="W1672" s="36">
        <f>RTD("money.excel",,"8443","Price")</f>
        <v>10.95</v>
      </c>
      <c r="X1672" s="66"/>
      <c r="Y1672" s="15">
        <f t="shared" si="283"/>
        <v>10.95</v>
      </c>
      <c r="Z1672" s="3" t="e">
        <f t="shared" si="284"/>
        <v>#DIV/0!</v>
      </c>
      <c r="AA1672" s="340">
        <f>IFERROR(VLOOKUP($G1672,基本資料!$A:$M,11,0),"無")</f>
        <v>-21.22</v>
      </c>
      <c r="AB1672" s="389">
        <f>IFERROR(VLOOKUP($G1672,基本資料!$A:$M,12,0),"無")</f>
        <v>22.69</v>
      </c>
      <c r="AC1672" s="22" t="s">
        <v>813</v>
      </c>
      <c r="AF1672" s="33">
        <f t="shared" si="285"/>
        <v>0</v>
      </c>
      <c r="AG1672" s="43" t="s">
        <v>2868</v>
      </c>
      <c r="AH1672" s="66">
        <f t="shared" si="287"/>
        <v>1.795275590551181</v>
      </c>
      <c r="AI1672" s="283">
        <f>RTD("money.excel",,$G1672,"PredictVolume")</f>
        <v>57</v>
      </c>
      <c r="AJ1672" s="391">
        <f>IFERROR(VLOOKUP($G1672,基本資料!$A:$M,13,0),"無")</f>
        <v>31.75</v>
      </c>
      <c r="AR1672" s="245" t="str">
        <f>INDEX(基本資料!N:N,MATCH($G1672,基本資料!A:A,0))</f>
        <v>低</v>
      </c>
    </row>
    <row r="1673" spans="1:44">
      <c r="A1673" s="343">
        <f>IFERROR(VLOOKUP($G1673,基本資料!$A:$J,3,0),"無")</f>
        <v>18.2</v>
      </c>
      <c r="B1673" s="79">
        <f>IFERROR(VLOOKUP($G1673,基本資料!$A:$J,4,0),"無")</f>
        <v>68</v>
      </c>
      <c r="C1673" s="79">
        <f>IFERROR(VLOOKUP($G1673,基本資料!$A:$J,5,0),"無")</f>
        <v>82</v>
      </c>
      <c r="D1673" s="79">
        <f>IFERROR(VLOOKUP($G1673,基本資料!$A:$J,6,0),"無")</f>
        <v>1</v>
      </c>
      <c r="E1673" s="79">
        <f>IFERROR(VLOOKUP($G1673,基本資料!$A:$J,7,0),"無")</f>
        <v>31</v>
      </c>
      <c r="F1673" s="6">
        <f>IFERROR(VLOOKUP($G1673,基本資料!$A:$J,8,0),"無")</f>
        <v>4.57</v>
      </c>
      <c r="G1673" s="79">
        <v>8454</v>
      </c>
      <c r="H1673" s="8" t="s">
        <v>310</v>
      </c>
      <c r="I1673" s="22" t="s">
        <v>121</v>
      </c>
      <c r="J1673" s="8">
        <f>IFERROR(VLOOKUP($G1673,今日總結!$A:$AN,39,0),"")</f>
        <v>0</v>
      </c>
      <c r="K1673" s="5">
        <f>IFERROR(VLOOKUP($G1673,今日總結!$A:$AN,40,0),"")</f>
        <v>0</v>
      </c>
      <c r="L1673" s="156">
        <f>IFERROR(VLOOKUP($G1673,今日總結!$A:$AN,37,0),"")</f>
        <v>0</v>
      </c>
      <c r="M1673" s="337">
        <f>IFERROR(VLOOKUP($G1673,今日總結!$A:$AN,38,0),"")</f>
        <v>0</v>
      </c>
      <c r="N1673" s="240">
        <f t="shared" si="286"/>
        <v>0</v>
      </c>
      <c r="O1673" s="359">
        <f>IFERROR(VLOOKUP($G1673,融外自投!$A:$J,7,0),"無")</f>
        <v>1189</v>
      </c>
      <c r="P1673" s="79">
        <f>IFERROR(VLOOKUP($G1673,融外自投!$A:$J,9,0),"無")</f>
        <v>762</v>
      </c>
      <c r="Q1673" s="342">
        <f>IFERROR(VLOOKUP($G1673,融外自投!$A:$J,8,0),"無")</f>
        <v>196</v>
      </c>
      <c r="R1673" s="81">
        <f>IFERROR(VLOOKUP($G1673,融外自投!$A:$J,10,0),"無")</f>
        <v>302</v>
      </c>
      <c r="S1673" s="324">
        <f>IFERROR(VLOOKUP($G1673,'321買'!$A:$E,4,0),"'沒有資料'")</f>
        <v>801</v>
      </c>
      <c r="T1673" s="186">
        <f>IFERROR(VLOOKUP($G1673,基本資料!$A:$J,9,0),"無")</f>
        <v>15</v>
      </c>
      <c r="U1673" s="307">
        <f t="shared" si="282"/>
        <v>1.9736842105263157E-2</v>
      </c>
      <c r="V1673" s="94">
        <f>IFERROR(VLOOKUP($G1673,基本資料!$A:$J,10,0),"無")</f>
        <v>18.02</v>
      </c>
      <c r="W1673" s="36">
        <f>RTD("money.excel",,"8454","Price")</f>
        <v>760</v>
      </c>
      <c r="X1673" s="66"/>
      <c r="Y1673" s="137">
        <f t="shared" si="283"/>
        <v>760</v>
      </c>
      <c r="Z1673" s="3" t="e">
        <f t="shared" si="284"/>
        <v>#DIV/0!</v>
      </c>
      <c r="AA1673" s="340">
        <f>IFERROR(VLOOKUP($G1673,基本資料!$A:$M,11,0),"無")</f>
        <v>-65.3</v>
      </c>
      <c r="AB1673" s="389">
        <f>IFERROR(VLOOKUP($G1673,基本資料!$A:$M,12,0),"無")</f>
        <v>14.51</v>
      </c>
      <c r="AC1673" s="22" t="s">
        <v>121</v>
      </c>
      <c r="AF1673" s="33">
        <f t="shared" si="285"/>
        <v>0</v>
      </c>
      <c r="AG1673" s="117" t="s">
        <v>2869</v>
      </c>
      <c r="AH1673" s="66">
        <f t="shared" si="287"/>
        <v>1.0622443015780245</v>
      </c>
      <c r="AI1673" s="283">
        <f>RTD("money.excel",,$G1673,"PredictVolume")</f>
        <v>727</v>
      </c>
      <c r="AJ1673" s="391">
        <f>IFERROR(VLOOKUP($G1673,基本資料!$A:$M,13,0),"無")</f>
        <v>684.4</v>
      </c>
      <c r="AR1673" s="245" t="str">
        <f>INDEX(基本資料!N:N,MATCH($G1673,基本資料!A:A,0))</f>
        <v>低</v>
      </c>
    </row>
    <row r="1674" spans="1:44">
      <c r="A1674" s="343">
        <f>IFERROR(VLOOKUP($G1674,基本資料!$A:$J,3,0),"無")</f>
        <v>3.04</v>
      </c>
      <c r="B1674" s="79">
        <f>IFERROR(VLOOKUP($G1674,基本資料!$A:$J,4,0),"無")</f>
        <v>24</v>
      </c>
      <c r="C1674" s="79">
        <f>IFERROR(VLOOKUP($G1674,基本資料!$A:$J,5,0),"無")</f>
        <v>-22</v>
      </c>
      <c r="D1674" s="79">
        <f>IFERROR(VLOOKUP($G1674,基本資料!$A:$J,6,0),"無")</f>
        <v>-14</v>
      </c>
      <c r="E1674" s="79">
        <f>IFERROR(VLOOKUP($G1674,基本資料!$A:$J,7,0),"無")</f>
        <v>-4</v>
      </c>
      <c r="F1674" s="6">
        <f>IFERROR(VLOOKUP($G1674,基本資料!$A:$J,8,0),"無")</f>
        <v>1.6</v>
      </c>
      <c r="G1674" s="79">
        <v>8941</v>
      </c>
      <c r="H1674" s="8" t="s">
        <v>310</v>
      </c>
      <c r="I1674" s="16" t="s">
        <v>797</v>
      </c>
      <c r="J1674" s="8" t="str">
        <f>IFERROR(VLOOKUP($G1674,今日總結!$A:$AN,39,0),"")</f>
        <v/>
      </c>
      <c r="K1674" s="5" t="str">
        <f>IFERROR(VLOOKUP($G1674,今日總結!$A:$AN,40,0),"")</f>
        <v/>
      </c>
      <c r="L1674" s="156" t="str">
        <f>IFERROR(VLOOKUP($G1674,今日總結!$A:$AN,37,0),"")</f>
        <v/>
      </c>
      <c r="M1674" s="337" t="str">
        <f>IFERROR(VLOOKUP($G1674,今日總結!$A:$AN,38,0),"")</f>
        <v/>
      </c>
      <c r="N1674" s="240" t="str">
        <f t="shared" si="286"/>
        <v/>
      </c>
      <c r="O1674" s="359">
        <f>IFERROR(VLOOKUP($G1674,融外自投!$A:$J,7,0),"無")</f>
        <v>1072</v>
      </c>
      <c r="P1674" s="79" t="str">
        <f>IFERROR(VLOOKUP($G1674,融外自投!$A:$J,9,0),"無")</f>
        <v>無</v>
      </c>
      <c r="Q1674" s="342">
        <f>IFERROR(VLOOKUP($G1674,融外自投!$A:$J,8,0),"無")</f>
        <v>1120</v>
      </c>
      <c r="R1674" s="81" t="str">
        <f>IFERROR(VLOOKUP($G1674,融外自投!$A:$J,10,0),"無")</f>
        <v>無</v>
      </c>
      <c r="S1674" s="324" t="str">
        <f>IFERROR(VLOOKUP($G1674,'321買'!$A:$E,4,0),"'沒有資料'")</f>
        <v>'沒有資料'</v>
      </c>
      <c r="T1674" s="186">
        <f>IFERROR(VLOOKUP($G1674,基本資料!$A:$J,9,0),"無")</f>
        <v>3</v>
      </c>
      <c r="U1674" s="307">
        <f t="shared" si="282"/>
        <v>7.8023407022106625E-2</v>
      </c>
      <c r="V1674" s="94">
        <f>IFERROR(VLOOKUP($G1674,基本資料!$A:$J,10,0),"無")</f>
        <v>3.6</v>
      </c>
      <c r="W1674" s="36">
        <f>RTD("money.excel",,"8941","Price")</f>
        <v>38.450000000000003</v>
      </c>
      <c r="X1674" s="66"/>
      <c r="Y1674" s="15">
        <f t="shared" si="283"/>
        <v>38.450000000000003</v>
      </c>
      <c r="Z1674" s="3" t="e">
        <f t="shared" si="284"/>
        <v>#DIV/0!</v>
      </c>
      <c r="AA1674" s="340">
        <f>IFERROR(VLOOKUP($G1674,基本資料!$A:$M,11,0),"無")</f>
        <v>-7.57</v>
      </c>
      <c r="AB1674" s="389">
        <f>IFERROR(VLOOKUP($G1674,基本資料!$A:$M,12,0),"無")</f>
        <v>51.17</v>
      </c>
      <c r="AC1674" s="16" t="s">
        <v>797</v>
      </c>
      <c r="AF1674" s="33">
        <f t="shared" si="285"/>
        <v>0</v>
      </c>
      <c r="AG1674" s="43" t="s">
        <v>2648</v>
      </c>
      <c r="AH1674" s="66">
        <f t="shared" si="287"/>
        <v>0.60606060606060608</v>
      </c>
      <c r="AI1674" s="283">
        <f>RTD("money.excel",,$G1674,"PredictVolume")</f>
        <v>8</v>
      </c>
      <c r="AJ1674" s="391">
        <f>IFERROR(VLOOKUP($G1674,基本資料!$A:$M,13,0),"無")</f>
        <v>13.2</v>
      </c>
      <c r="AR1674" s="245" t="str">
        <f>INDEX(基本資料!N:N,MATCH($G1674,基本資料!A:A,0))</f>
        <v>中</v>
      </c>
    </row>
    <row r="1675" spans="1:44">
      <c r="A1675" s="343">
        <f>IFERROR(VLOOKUP($G1675,基本資料!$A:$J,3,0),"無")</f>
        <v>3.35</v>
      </c>
      <c r="B1675" s="79">
        <f>IFERROR(VLOOKUP($G1675,基本資料!$A:$J,4,0),"無")</f>
        <v>80</v>
      </c>
      <c r="C1675" s="79">
        <f>IFERROR(VLOOKUP($G1675,基本資料!$A:$J,5,0),"無")</f>
        <v>116</v>
      </c>
      <c r="D1675" s="79">
        <f>IFERROR(VLOOKUP($G1675,基本資料!$A:$J,6,0),"無")</f>
        <v>43</v>
      </c>
      <c r="E1675" s="79">
        <f>IFERROR(VLOOKUP($G1675,基本資料!$A:$J,7,0),"無")</f>
        <v>17</v>
      </c>
      <c r="F1675" s="6">
        <f>IFERROR(VLOOKUP($G1675,基本資料!$A:$J,8,0),"無")</f>
        <v>12.02</v>
      </c>
      <c r="G1675" s="79">
        <v>9960</v>
      </c>
      <c r="H1675" s="8" t="s">
        <v>310</v>
      </c>
      <c r="I1675" s="16" t="s">
        <v>798</v>
      </c>
      <c r="J1675" s="8" t="str">
        <f>IFERROR(VLOOKUP($G1675,今日總結!$A:$AN,39,0),"")</f>
        <v/>
      </c>
      <c r="K1675" s="5" t="str">
        <f>IFERROR(VLOOKUP($G1675,今日總結!$A:$AN,40,0),"")</f>
        <v/>
      </c>
      <c r="L1675" s="156" t="str">
        <f>IFERROR(VLOOKUP($G1675,今日總結!$A:$AN,37,0),"")</f>
        <v/>
      </c>
      <c r="M1675" s="337" t="str">
        <f>IFERROR(VLOOKUP($G1675,今日總結!$A:$AN,38,0),"")</f>
        <v/>
      </c>
      <c r="N1675" s="240" t="str">
        <f t="shared" si="286"/>
        <v/>
      </c>
      <c r="O1675" s="359">
        <f>IFERROR(VLOOKUP($G1675,融外自投!$A:$J,7,0),"無")</f>
        <v>298</v>
      </c>
      <c r="P1675" s="79" t="str">
        <f>IFERROR(VLOOKUP($G1675,融外自投!$A:$J,9,0),"無")</f>
        <v>無</v>
      </c>
      <c r="Q1675" s="342">
        <f>IFERROR(VLOOKUP($G1675,融外自投!$A:$J,8,0),"無")</f>
        <v>589</v>
      </c>
      <c r="R1675" s="81" t="str">
        <f>IFERROR(VLOOKUP($G1675,融外自投!$A:$J,10,0),"無")</f>
        <v>無</v>
      </c>
      <c r="S1675" s="324" t="str">
        <f>IFERROR(VLOOKUP($G1675,'321買'!$A:$E,4,0),"'沒有資料'")</f>
        <v>'沒有資料'</v>
      </c>
      <c r="T1675" s="186">
        <f>IFERROR(VLOOKUP($G1675,基本資料!$A:$J,9,0),"無")</f>
        <v>1.7</v>
      </c>
      <c r="U1675" s="307">
        <f t="shared" si="282"/>
        <v>6.7193675889328064E-2</v>
      </c>
      <c r="V1675" s="94">
        <f>IFERROR(VLOOKUP($G1675,基本資料!$A:$J,10,0),"無")</f>
        <v>2.54</v>
      </c>
      <c r="W1675" s="36">
        <f>RTD("money.excel",,"9960","Price")</f>
        <v>25.3</v>
      </c>
      <c r="X1675" s="66"/>
      <c r="Y1675" s="15">
        <f t="shared" si="283"/>
        <v>25.3</v>
      </c>
      <c r="Z1675" s="3" t="e">
        <f t="shared" si="284"/>
        <v>#DIV/0!</v>
      </c>
      <c r="AA1675" s="340">
        <f>IFERROR(VLOOKUP($G1675,基本資料!$A:$M,11,0),"無")</f>
        <v>-17.05</v>
      </c>
      <c r="AB1675" s="389">
        <f>IFERROR(VLOOKUP($G1675,基本資料!$A:$M,12,0),"無")</f>
        <v>28.51</v>
      </c>
      <c r="AC1675" s="16" t="s">
        <v>798</v>
      </c>
      <c r="AF1675" s="33">
        <f t="shared" si="285"/>
        <v>0</v>
      </c>
      <c r="AG1675" s="43" t="s">
        <v>2649</v>
      </c>
      <c r="AH1675" s="66">
        <f t="shared" si="287"/>
        <v>0.94594594594594594</v>
      </c>
      <c r="AI1675" s="283">
        <f>RTD("money.excel",,$G1675,"PredictVolume")</f>
        <v>7</v>
      </c>
      <c r="AJ1675" s="391">
        <f>IFERROR(VLOOKUP($G1675,基本資料!$A:$M,13,0),"無")</f>
        <v>7.4</v>
      </c>
      <c r="AR1675" s="245" t="str">
        <f>INDEX(基本資料!N:N,MATCH($G1675,基本資料!A:A,0))</f>
        <v>低</v>
      </c>
    </row>
    <row r="1676" spans="1:44">
      <c r="B1676" s="90"/>
      <c r="C1676" s="90"/>
      <c r="D1676" s="90"/>
      <c r="E1676" s="90"/>
      <c r="F1676" s="57"/>
      <c r="G1676" s="79"/>
      <c r="H1676" s="8"/>
      <c r="I1676" s="16"/>
      <c r="L1676" s="2"/>
      <c r="O1676" s="360"/>
      <c r="Q1676" s="351"/>
      <c r="R1676" s="81"/>
      <c r="S1676" s="324"/>
      <c r="T1676" s="34"/>
      <c r="V1676" s="94"/>
      <c r="W1676" s="36"/>
      <c r="X1676" s="66"/>
      <c r="Y1676" s="15"/>
      <c r="Z1676" s="3"/>
      <c r="AC1676" s="16"/>
      <c r="AF1676" s="33"/>
      <c r="AG1676" s="43"/>
      <c r="AH1676" s="66" t="e">
        <f t="shared" si="287"/>
        <v>#DIV/0!</v>
      </c>
      <c r="AI1676" s="283"/>
    </row>
    <row r="1677" spans="1:44">
      <c r="A1677" s="127" t="s">
        <v>1672</v>
      </c>
      <c r="B1677" s="90" t="s">
        <v>1571</v>
      </c>
      <c r="C1677" s="90" t="s">
        <v>1572</v>
      </c>
      <c r="D1677" s="90" t="s">
        <v>1573</v>
      </c>
      <c r="E1677" s="90" t="s">
        <v>1574</v>
      </c>
      <c r="F1677" s="8" t="s">
        <v>1059</v>
      </c>
      <c r="G1677" s="27" t="s">
        <v>978</v>
      </c>
      <c r="H1677" s="55" t="s">
        <v>320</v>
      </c>
      <c r="I1677" s="8" t="s">
        <v>312</v>
      </c>
      <c r="J1677" s="8" t="s">
        <v>6211</v>
      </c>
      <c r="K1677" s="5" t="s">
        <v>6212</v>
      </c>
      <c r="L1677" s="334" t="s">
        <v>6197</v>
      </c>
      <c r="M1677" s="335" t="s">
        <v>6198</v>
      </c>
      <c r="N1677" s="336" t="s">
        <v>6199</v>
      </c>
      <c r="O1677" s="89" t="s">
        <v>6275</v>
      </c>
      <c r="P1677" s="292" t="s">
        <v>6274</v>
      </c>
      <c r="Q1677" s="350" t="s">
        <v>6273</v>
      </c>
      <c r="R1677" s="26" t="s">
        <v>6276</v>
      </c>
      <c r="S1677" s="318" t="s">
        <v>4715</v>
      </c>
      <c r="T1677" s="10" t="s">
        <v>66</v>
      </c>
      <c r="U1677" s="305" t="s">
        <v>4728</v>
      </c>
      <c r="V1677" s="68" t="s">
        <v>3272</v>
      </c>
      <c r="W1677" s="28" t="s">
        <v>2</v>
      </c>
      <c r="X1677" s="17" t="s">
        <v>1398</v>
      </c>
      <c r="Y1677" s="14" t="s">
        <v>5</v>
      </c>
      <c r="Z1677" s="21" t="s">
        <v>3</v>
      </c>
      <c r="AA1677" s="96" t="s">
        <v>6166</v>
      </c>
      <c r="AB1677" s="378" t="s">
        <v>6404</v>
      </c>
      <c r="AC1677" s="8" t="s">
        <v>312</v>
      </c>
      <c r="AD1677" s="71" t="s">
        <v>1399</v>
      </c>
      <c r="AE1677" s="72" t="s">
        <v>1156</v>
      </c>
      <c r="AF1677" s="32" t="s">
        <v>1157</v>
      </c>
      <c r="AG1677" s="25" t="s">
        <v>6200</v>
      </c>
      <c r="AH1677" s="8" t="s">
        <v>6696</v>
      </c>
      <c r="AI1677" s="50" t="s">
        <v>3360</v>
      </c>
      <c r="AJ1677" s="22" t="s">
        <v>6695</v>
      </c>
    </row>
    <row r="1678" spans="1:44">
      <c r="A1678" s="343">
        <f>IFERROR(VLOOKUP($G1678,基本資料!$A:$J,3,0),"無")</f>
        <v>13.72</v>
      </c>
      <c r="B1678" s="79">
        <f>IFERROR(VLOOKUP($G1678,基本資料!$A:$J,4,0),"無")</f>
        <v>11</v>
      </c>
      <c r="C1678" s="79">
        <f>IFERROR(VLOOKUP($G1678,基本資料!$A:$J,5,0),"無")</f>
        <v>-2</v>
      </c>
      <c r="D1678" s="79">
        <f>IFERROR(VLOOKUP($G1678,基本資料!$A:$J,6,0),"無")</f>
        <v>-10</v>
      </c>
      <c r="E1678" s="79">
        <f>IFERROR(VLOOKUP($G1678,基本資料!$A:$J,7,0),"無")</f>
        <v>6</v>
      </c>
      <c r="F1678" s="6">
        <f>IFERROR(VLOOKUP($G1678,基本資料!$A:$J,8,0),"無")</f>
        <v>2</v>
      </c>
      <c r="G1678" s="79">
        <v>2616</v>
      </c>
      <c r="H1678" s="8" t="s">
        <v>312</v>
      </c>
      <c r="I1678" s="22" t="s">
        <v>983</v>
      </c>
      <c r="J1678" s="8">
        <f>IFERROR(VLOOKUP($G1678,今日總結!$A:$AN,39,0),"")</f>
        <v>0</v>
      </c>
      <c r="K1678" s="5" t="str">
        <f>IFERROR(VLOOKUP($G1678,今日總結!$A:$AN,40,0),"")</f>
        <v>主</v>
      </c>
      <c r="L1678" s="156">
        <f>IFERROR(VLOOKUP($G1678,今日總結!$A:$AN,37,0),"")</f>
        <v>0</v>
      </c>
      <c r="M1678" s="337">
        <f>IFERROR(VLOOKUP($G1678,今日總結!$A:$AN,38,0),"")</f>
        <v>6</v>
      </c>
      <c r="N1678" s="240">
        <f t="shared" ref="N1678:N1680" si="288">IFERROR(L1678-M1678,"")</f>
        <v>-6</v>
      </c>
      <c r="O1678" s="359">
        <f>IFERROR(VLOOKUP($G1678,融外自投!$A:$J,7,0),"無")</f>
        <v>1425</v>
      </c>
      <c r="P1678" s="79">
        <f>IFERROR(VLOOKUP($G1678,融外自投!$A:$J,9,0),"無")</f>
        <v>1123</v>
      </c>
      <c r="Q1678" s="342">
        <f>IFERROR(VLOOKUP($G1678,融外自投!$A:$J,8,0),"無")</f>
        <v>899</v>
      </c>
      <c r="R1678" s="81" t="str">
        <f>IFERROR(VLOOKUP($G1678,融外自投!$A:$J,10,0),"無")</f>
        <v>無</v>
      </c>
      <c r="S1678" s="324">
        <f>IFERROR(VLOOKUP($G1678,'321買'!$A:$E,4,0),"'沒有資料'")</f>
        <v>1002</v>
      </c>
      <c r="T1678" s="186">
        <f>IFERROR(VLOOKUP($G1678,基本資料!$A:$J,9,0),"無")</f>
        <v>2.5</v>
      </c>
      <c r="U1678" s="307">
        <f t="shared" ref="U1678:U1689" si="289">$T1678/$W1678</f>
        <v>6.9637883008356549E-2</v>
      </c>
      <c r="V1678" s="94">
        <f>IFERROR(VLOOKUP($G1678,基本資料!$A:$J,10,0),"無")</f>
        <v>3.06</v>
      </c>
      <c r="W1678" s="36">
        <f>RTD("money.excel",,"2616","Price")</f>
        <v>35.9</v>
      </c>
      <c r="X1678" s="66"/>
      <c r="Y1678" s="15">
        <f t="shared" ref="Y1678:Y1689" si="290">W1678-X1678</f>
        <v>35.9</v>
      </c>
      <c r="Z1678" s="3" t="e">
        <f t="shared" ref="Z1678:Z1689" si="291">Y1678/X1678</f>
        <v>#DIV/0!</v>
      </c>
      <c r="AA1678" s="340">
        <f>IFERROR(VLOOKUP($G1678,基本資料!$A:$M,11,0),"無")</f>
        <v>-11.36</v>
      </c>
      <c r="AB1678" s="389">
        <f>IFERROR(VLOOKUP($G1678,基本資料!$A:$M,12,0),"無")</f>
        <v>27.73</v>
      </c>
      <c r="AC1678" s="22" t="s">
        <v>983</v>
      </c>
      <c r="AF1678" s="33">
        <f t="shared" ref="AF1678:AF1689" si="292">AE1678-AD1678</f>
        <v>0</v>
      </c>
      <c r="AG1678" s="43" t="s">
        <v>2682</v>
      </c>
      <c r="AH1678" s="66">
        <f t="shared" si="287"/>
        <v>0.36987720076934461</v>
      </c>
      <c r="AI1678" s="283">
        <f>RTD("money.excel",,$G1678,"PredictVolume")</f>
        <v>125</v>
      </c>
      <c r="AJ1678" s="391">
        <f>IFERROR(VLOOKUP($G1678,基本資料!$A:$M,13,0),"無")</f>
        <v>337.95</v>
      </c>
      <c r="AR1678" s="245" t="str">
        <f>INDEX(基本資料!N:N,MATCH($G1678,基本資料!A:A,0))</f>
        <v>中</v>
      </c>
    </row>
    <row r="1679" spans="1:44">
      <c r="A1679" s="343">
        <f>IFERROR(VLOOKUP($G1679,基本資料!$A:$J,3,0),"無")</f>
        <v>58.9</v>
      </c>
      <c r="B1679" s="79">
        <f>IFERROR(VLOOKUP($G1679,基本資料!$A:$J,4,0),"無")</f>
        <v>-15</v>
      </c>
      <c r="C1679" s="79">
        <f>IFERROR(VLOOKUP($G1679,基本資料!$A:$J,5,0),"無")</f>
        <v>-6</v>
      </c>
      <c r="D1679" s="79">
        <f>IFERROR(VLOOKUP($G1679,基本資料!$A:$J,6,0),"無")</f>
        <v>57</v>
      </c>
      <c r="E1679" s="79">
        <f>IFERROR(VLOOKUP($G1679,基本資料!$A:$J,7,0),"無")</f>
        <v>-29</v>
      </c>
      <c r="F1679" s="6">
        <f>IFERROR(VLOOKUP($G1679,基本資料!$A:$J,8,0),"無")</f>
        <v>6.87</v>
      </c>
      <c r="G1679" s="79">
        <v>8926</v>
      </c>
      <c r="H1679" s="8" t="s">
        <v>312</v>
      </c>
      <c r="I1679" s="22" t="s">
        <v>984</v>
      </c>
      <c r="J1679" s="8">
        <f>IFERROR(VLOOKUP($G1679,今日總結!$A:$AN,39,0),"")</f>
        <v>0</v>
      </c>
      <c r="K1679" s="5" t="str">
        <f>IFERROR(VLOOKUP($G1679,今日總結!$A:$AN,40,0),"")</f>
        <v>借</v>
      </c>
      <c r="L1679" s="156">
        <f>IFERROR(VLOOKUP($G1679,今日總結!$A:$AN,37,0),"")</f>
        <v>0</v>
      </c>
      <c r="M1679" s="337">
        <f>IFERROR(VLOOKUP($G1679,今日總結!$A:$AN,38,0),"")</f>
        <v>1</v>
      </c>
      <c r="N1679" s="240">
        <f t="shared" si="288"/>
        <v>-1</v>
      </c>
      <c r="O1679" s="359">
        <f>IFERROR(VLOOKUP($G1679,融外自投!$A:$J,7,0),"無")</f>
        <v>1336</v>
      </c>
      <c r="P1679" s="79">
        <f>IFERROR(VLOOKUP($G1679,融外自投!$A:$J,9,0),"無")</f>
        <v>350</v>
      </c>
      <c r="Q1679" s="342">
        <f>IFERROR(VLOOKUP($G1679,融外自投!$A:$J,8,0),"無")</f>
        <v>620</v>
      </c>
      <c r="R1679" s="81">
        <f>IFERROR(VLOOKUP($G1679,融外自投!$A:$J,10,0),"無")</f>
        <v>369</v>
      </c>
      <c r="S1679" s="324">
        <f>IFERROR(VLOOKUP($G1679,'321買'!$A:$E,4,0),"'沒有資料'")</f>
        <v>606</v>
      </c>
      <c r="T1679" s="186">
        <f>IFERROR(VLOOKUP($G1679,基本資料!$A:$J,9,0),"無")</f>
        <v>1.75</v>
      </c>
      <c r="U1679" s="307">
        <f t="shared" si="289"/>
        <v>4.6854082998661312E-2</v>
      </c>
      <c r="V1679" s="94">
        <f>IFERROR(VLOOKUP($G1679,基本資料!$A:$J,10,0),"無")</f>
        <v>1.52</v>
      </c>
      <c r="W1679" s="36">
        <f>RTD("money.excel",,"8926","Price")</f>
        <v>37.35</v>
      </c>
      <c r="X1679" s="66"/>
      <c r="Y1679" s="15">
        <f t="shared" si="290"/>
        <v>37.35</v>
      </c>
      <c r="Z1679" s="3" t="e">
        <f t="shared" si="291"/>
        <v>#DIV/0!</v>
      </c>
      <c r="AA1679" s="340">
        <f>IFERROR(VLOOKUP($G1679,基本資料!$A:$M,11,0),"無")</f>
        <v>-5.8</v>
      </c>
      <c r="AB1679" s="389">
        <f>IFERROR(VLOOKUP($G1679,基本資料!$A:$M,12,0),"無")</f>
        <v>26.22</v>
      </c>
      <c r="AC1679" s="22" t="s">
        <v>984</v>
      </c>
      <c r="AF1679" s="33">
        <f t="shared" si="292"/>
        <v>0</v>
      </c>
      <c r="AG1679" s="43" t="s">
        <v>1953</v>
      </c>
      <c r="AH1679" s="66">
        <f t="shared" si="287"/>
        <v>1.2975299784769909</v>
      </c>
      <c r="AI1679" s="283">
        <f>RTD("money.excel",,$G1679,"PredictVolume")</f>
        <v>633</v>
      </c>
      <c r="AJ1679" s="391">
        <f>IFERROR(VLOOKUP($G1679,基本資料!$A:$M,13,0),"無")</f>
        <v>487.85</v>
      </c>
      <c r="AR1679" s="245" t="str">
        <f>INDEX(基本資料!N:N,MATCH($G1679,基本資料!A:A,0))</f>
        <v>低</v>
      </c>
    </row>
    <row r="1680" spans="1:44">
      <c r="A1680" s="343">
        <f>IFERROR(VLOOKUP($G1680,基本資料!$A:$J,3,0),"無")</f>
        <v>14.78</v>
      </c>
      <c r="B1680" s="79">
        <f>IFERROR(VLOOKUP($G1680,基本資料!$A:$J,4,0),"無")</f>
        <v>0</v>
      </c>
      <c r="C1680" s="79">
        <f>IFERROR(VLOOKUP($G1680,基本資料!$A:$J,5,0),"無")</f>
        <v>-3</v>
      </c>
      <c r="D1680" s="79">
        <f>IFERROR(VLOOKUP($G1680,基本資料!$A:$J,6,0),"無")</f>
        <v>-1</v>
      </c>
      <c r="E1680" s="79">
        <f>IFERROR(VLOOKUP($G1680,基本資料!$A:$J,7,0),"無")</f>
        <v>13</v>
      </c>
      <c r="F1680" s="6">
        <f>IFERROR(VLOOKUP($G1680,基本資料!$A:$J,8,0),"無")</f>
        <v>16.95</v>
      </c>
      <c r="G1680" s="79">
        <v>8917</v>
      </c>
      <c r="H1680" s="8" t="s">
        <v>312</v>
      </c>
      <c r="I1680" s="16" t="s">
        <v>980</v>
      </c>
      <c r="J1680" s="8" t="str">
        <f>IFERROR(VLOOKUP($G1680,今日總結!$A:$AN,39,0),"")</f>
        <v/>
      </c>
      <c r="K1680" s="5" t="str">
        <f>IFERROR(VLOOKUP($G1680,今日總結!$A:$AN,40,0),"")</f>
        <v/>
      </c>
      <c r="L1680" s="156" t="str">
        <f>IFERROR(VLOOKUP($G1680,今日總結!$A:$AN,37,0),"")</f>
        <v/>
      </c>
      <c r="M1680" s="337" t="str">
        <f>IFERROR(VLOOKUP($G1680,今日總結!$A:$AN,38,0),"")</f>
        <v/>
      </c>
      <c r="N1680" s="240" t="str">
        <f t="shared" si="288"/>
        <v/>
      </c>
      <c r="O1680" s="359">
        <f>IFERROR(VLOOKUP($G1680,融外自投!$A:$J,7,0),"無")</f>
        <v>1467</v>
      </c>
      <c r="P1680" s="79" t="str">
        <f>IFERROR(VLOOKUP($G1680,融外自投!$A:$J,9,0),"無")</f>
        <v>無</v>
      </c>
      <c r="Q1680" s="342">
        <f>IFERROR(VLOOKUP($G1680,融外自投!$A:$J,8,0),"無")</f>
        <v>1164</v>
      </c>
      <c r="R1680" s="81" t="str">
        <f>IFERROR(VLOOKUP($G1680,融外自投!$A:$J,10,0),"無")</f>
        <v>無</v>
      </c>
      <c r="S1680" s="324" t="str">
        <f>IFERROR(VLOOKUP($G1680,'321買'!$A:$E,4,0),"'沒有資料'")</f>
        <v>'沒有資料'</v>
      </c>
      <c r="T1680" s="186">
        <f>IFERROR(VLOOKUP($G1680,基本資料!$A:$J,9,0),"無")</f>
        <v>2.1</v>
      </c>
      <c r="U1680" s="307">
        <f t="shared" si="289"/>
        <v>2.2826086956521739E-2</v>
      </c>
      <c r="V1680" s="94">
        <f>IFERROR(VLOOKUP($G1680,基本資料!$A:$J,10,0),"無")</f>
        <v>2.21</v>
      </c>
      <c r="W1680" s="36">
        <f>RTD("money.excel",,"8917","Price")</f>
        <v>92</v>
      </c>
      <c r="X1680" s="66"/>
      <c r="Y1680" s="15">
        <f t="shared" si="290"/>
        <v>92</v>
      </c>
      <c r="Z1680" s="3" t="e">
        <f t="shared" si="291"/>
        <v>#DIV/0!</v>
      </c>
      <c r="AA1680" s="340">
        <f>IFERROR(VLOOKUP($G1680,基本資料!$A:$M,11,0),"無")</f>
        <v>-7.91</v>
      </c>
      <c r="AB1680" s="389">
        <f>IFERROR(VLOOKUP($G1680,基本資料!$A:$M,12,0),"無")</f>
        <v>37.76</v>
      </c>
      <c r="AC1680" s="16" t="s">
        <v>980</v>
      </c>
      <c r="AF1680" s="33">
        <f t="shared" si="292"/>
        <v>0</v>
      </c>
      <c r="AG1680" s="43" t="s">
        <v>2681</v>
      </c>
      <c r="AH1680" s="66">
        <f t="shared" si="287"/>
        <v>2.2222222222222223</v>
      </c>
      <c r="AI1680" s="283">
        <f>RTD("money.excel",,$G1680,"PredictVolume")</f>
        <v>7</v>
      </c>
      <c r="AJ1680" s="391">
        <f>IFERROR(VLOOKUP($G1680,基本資料!$A:$M,13,0),"無")</f>
        <v>3.15</v>
      </c>
      <c r="AR1680" s="245" t="str">
        <f>INDEX(基本資料!N:N,MATCH($G1680,基本資料!A:A,0))</f>
        <v>中</v>
      </c>
    </row>
    <row r="1681" spans="1:44">
      <c r="A1681" s="343">
        <f>IFERROR(VLOOKUP($G1681,基本資料!$A:$J,3,0),"無")</f>
        <v>11.04</v>
      </c>
      <c r="B1681" s="79">
        <f>IFERROR(VLOOKUP($G1681,基本資料!$A:$J,4,0),"無")</f>
        <v>25</v>
      </c>
      <c r="C1681" s="79">
        <f>IFERROR(VLOOKUP($G1681,基本資料!$A:$J,5,0),"無")</f>
        <v>4</v>
      </c>
      <c r="D1681" s="79">
        <f>IFERROR(VLOOKUP($G1681,基本資料!$A:$J,6,0),"無")</f>
        <v>4</v>
      </c>
      <c r="E1681" s="79">
        <f>IFERROR(VLOOKUP($G1681,基本資料!$A:$J,7,0),"無")</f>
        <v>9</v>
      </c>
      <c r="F1681" s="6">
        <f>IFERROR(VLOOKUP($G1681,基本資料!$A:$J,8,0),"無")</f>
        <v>13.91</v>
      </c>
      <c r="G1681" s="79">
        <v>9931</v>
      </c>
      <c r="H1681" s="8" t="s">
        <v>312</v>
      </c>
      <c r="I1681" s="22" t="s">
        <v>988</v>
      </c>
      <c r="J1681" s="8">
        <f>IFERROR(VLOOKUP($G1681,今日總結!$A:$AN,39,0),"")</f>
        <v>0</v>
      </c>
      <c r="K1681" s="5">
        <f>IFERROR(VLOOKUP($G1681,今日總結!$A:$AN,40,0),"")</f>
        <v>0</v>
      </c>
      <c r="L1681" s="156">
        <f>IFERROR(VLOOKUP($G1681,今日總結!$A:$AN,37,0),"")</f>
        <v>0</v>
      </c>
      <c r="M1681" s="337">
        <f>IFERROR(VLOOKUP($G1681,今日總結!$A:$AN,38,0),"")</f>
        <v>0</v>
      </c>
      <c r="N1681" s="240">
        <f t="shared" ref="N1681:N1689" si="293">IFERROR(L1681-M1681,"")</f>
        <v>0</v>
      </c>
      <c r="O1681" s="359">
        <f>IFERROR(VLOOKUP($G1681,融外自投!$A:$J,7,0),"無")</f>
        <v>1458</v>
      </c>
      <c r="P1681" s="79" t="str">
        <f>IFERROR(VLOOKUP($G1681,融外自投!$A:$J,9,0),"無")</f>
        <v>無</v>
      </c>
      <c r="Q1681" s="342">
        <f>IFERROR(VLOOKUP($G1681,融外自投!$A:$J,8,0),"無")</f>
        <v>1314</v>
      </c>
      <c r="R1681" s="81" t="str">
        <f>IFERROR(VLOOKUP($G1681,融外自投!$A:$J,10,0),"無")</f>
        <v>無</v>
      </c>
      <c r="S1681" s="324">
        <f>IFERROR(VLOOKUP($G1681,'321買'!$A:$E,4,0),"'沒有資料'")</f>
        <v>1002</v>
      </c>
      <c r="T1681" s="186">
        <f>IFERROR(VLOOKUP($G1681,基本資料!$A:$J,9,0),"無")</f>
        <v>1.4</v>
      </c>
      <c r="U1681" s="307">
        <f t="shared" si="289"/>
        <v>3.465346534653465E-2</v>
      </c>
      <c r="V1681" s="94">
        <f>IFERROR(VLOOKUP($G1681,基本資料!$A:$J,10,0),"無")</f>
        <v>2.15</v>
      </c>
      <c r="W1681" s="36">
        <f>RTD("money.excel",,"9931","Price")</f>
        <v>40.4</v>
      </c>
      <c r="X1681" s="66"/>
      <c r="Y1681" s="15">
        <f t="shared" si="290"/>
        <v>40.4</v>
      </c>
      <c r="Z1681" s="3" t="e">
        <f t="shared" si="291"/>
        <v>#DIV/0!</v>
      </c>
      <c r="AA1681" s="340">
        <f>IFERROR(VLOOKUP($G1681,基本資料!$A:$M,11,0),"無")</f>
        <v>-7.87</v>
      </c>
      <c r="AB1681" s="389">
        <f>IFERROR(VLOOKUP($G1681,基本資料!$A:$M,12,0),"無")</f>
        <v>21.59</v>
      </c>
      <c r="AC1681" s="22" t="s">
        <v>988</v>
      </c>
      <c r="AF1681" s="33">
        <f t="shared" si="292"/>
        <v>0</v>
      </c>
      <c r="AG1681" s="43" t="s">
        <v>2681</v>
      </c>
      <c r="AH1681" s="66">
        <f t="shared" si="287"/>
        <v>2.5609756097560976</v>
      </c>
      <c r="AI1681" s="283">
        <f>RTD("money.excel",,$G1681,"PredictVolume")</f>
        <v>21</v>
      </c>
      <c r="AJ1681" s="391">
        <f>IFERROR(VLOOKUP($G1681,基本資料!$A:$M,13,0),"無")</f>
        <v>8.1999999999999993</v>
      </c>
      <c r="AR1681" s="245" t="str">
        <f>INDEX(基本資料!N:N,MATCH($G1681,基本資料!A:A,0))</f>
        <v>中</v>
      </c>
    </row>
    <row r="1682" spans="1:44">
      <c r="A1682" s="343">
        <f>IFERROR(VLOOKUP($G1682,基本資料!$A:$J,3,0),"無")</f>
        <v>12.22</v>
      </c>
      <c r="B1682" s="79">
        <f>IFERROR(VLOOKUP($G1682,基本資料!$A:$J,4,0),"無")</f>
        <v>-6</v>
      </c>
      <c r="C1682" s="79">
        <f>IFERROR(VLOOKUP($G1682,基本資料!$A:$J,5,0),"無")</f>
        <v>-12</v>
      </c>
      <c r="D1682" s="79">
        <f>IFERROR(VLOOKUP($G1682,基本資料!$A:$J,6,0),"無")</f>
        <v>-3</v>
      </c>
      <c r="E1682" s="79">
        <f>IFERROR(VLOOKUP($G1682,基本資料!$A:$J,7,0),"無")</f>
        <v>25</v>
      </c>
      <c r="F1682" s="6">
        <f>IFERROR(VLOOKUP($G1682,基本資料!$A:$J,8,0),"無")</f>
        <v>11.48</v>
      </c>
      <c r="G1682" s="79">
        <v>8931</v>
      </c>
      <c r="H1682" s="8" t="s">
        <v>312</v>
      </c>
      <c r="I1682" s="16" t="s">
        <v>982</v>
      </c>
      <c r="J1682" s="8">
        <f>IFERROR(VLOOKUP($G1682,今日總結!$A:$AN,39,0),"")</f>
        <v>0</v>
      </c>
      <c r="K1682" s="5">
        <f>IFERROR(VLOOKUP($G1682,今日總結!$A:$AN,40,0),"")</f>
        <v>0</v>
      </c>
      <c r="L1682" s="156">
        <f>IFERROR(VLOOKUP($G1682,今日總結!$A:$AN,37,0),"")</f>
        <v>0</v>
      </c>
      <c r="M1682" s="337">
        <f>IFERROR(VLOOKUP($G1682,今日總結!$A:$AN,38,0),"")</f>
        <v>0</v>
      </c>
      <c r="N1682" s="240">
        <f t="shared" si="293"/>
        <v>0</v>
      </c>
      <c r="O1682" s="359">
        <f>IFERROR(VLOOKUP($G1682,融外自投!$A:$J,7,0),"無")</f>
        <v>857</v>
      </c>
      <c r="P1682" s="79">
        <f>IFERROR(VLOOKUP($G1682,融外自投!$A:$J,9,0),"無")</f>
        <v>790</v>
      </c>
      <c r="Q1682" s="342">
        <f>IFERROR(VLOOKUP($G1682,融外自投!$A:$J,8,0),"無")</f>
        <v>1462</v>
      </c>
      <c r="R1682" s="81" t="str">
        <f>IFERROR(VLOOKUP($G1682,融外自投!$A:$J,10,0),"無")</f>
        <v>無</v>
      </c>
      <c r="S1682" s="324">
        <f>IFERROR(VLOOKUP($G1682,'321買'!$A:$E,4,0),"'沒有資料'")</f>
        <v>1002</v>
      </c>
      <c r="T1682" s="186">
        <f>IFERROR(VLOOKUP($G1682,基本資料!$A:$J,9,0),"無")</f>
        <v>1.5</v>
      </c>
      <c r="U1682" s="307">
        <f t="shared" si="289"/>
        <v>4.8622366288492702E-2</v>
      </c>
      <c r="V1682" s="94">
        <f>IFERROR(VLOOKUP($G1682,基本資料!$A:$J,10,0),"無")</f>
        <v>1.39</v>
      </c>
      <c r="W1682" s="36">
        <f>RTD("money.excel",,"8931","Price")</f>
        <v>30.85</v>
      </c>
      <c r="X1682" s="66"/>
      <c r="Y1682" s="15">
        <f t="shared" si="290"/>
        <v>30.85</v>
      </c>
      <c r="Z1682" s="3" t="e">
        <f t="shared" si="291"/>
        <v>#DIV/0!</v>
      </c>
      <c r="AA1682" s="340">
        <f>IFERROR(VLOOKUP($G1682,基本資料!$A:$M,11,0),"無")</f>
        <v>-12.85</v>
      </c>
      <c r="AB1682" s="389">
        <f>IFERROR(VLOOKUP($G1682,基本資料!$A:$M,12,0),"無")</f>
        <v>20.010000000000002</v>
      </c>
      <c r="AC1682" s="16" t="s">
        <v>982</v>
      </c>
      <c r="AF1682" s="33">
        <f t="shared" si="292"/>
        <v>0</v>
      </c>
      <c r="AG1682" s="43" t="s">
        <v>1953</v>
      </c>
      <c r="AH1682" s="66">
        <f t="shared" si="287"/>
        <v>1.0457516339869282</v>
      </c>
      <c r="AI1682" s="283">
        <f>RTD("money.excel",,$G1682,"PredictVolume")</f>
        <v>80</v>
      </c>
      <c r="AJ1682" s="391">
        <f>IFERROR(VLOOKUP($G1682,基本資料!$A:$M,13,0),"無")</f>
        <v>76.5</v>
      </c>
      <c r="AR1682" s="245" t="str">
        <f>INDEX(基本資料!N:N,MATCH($G1682,基本資料!A:A,0))</f>
        <v>低</v>
      </c>
    </row>
    <row r="1683" spans="1:44">
      <c r="A1683" s="343">
        <f>IFERROR(VLOOKUP($G1683,基本資料!$A:$J,3,0),"無")</f>
        <v>18.05</v>
      </c>
      <c r="B1683" s="79">
        <f>IFERROR(VLOOKUP($G1683,基本資料!$A:$J,4,0),"無")</f>
        <v>4</v>
      </c>
      <c r="C1683" s="79">
        <f>IFERROR(VLOOKUP($G1683,基本資料!$A:$J,5,0),"無")</f>
        <v>-14</v>
      </c>
      <c r="D1683" s="79">
        <f>IFERROR(VLOOKUP($G1683,基本資料!$A:$J,6,0),"無")</f>
        <v>-22</v>
      </c>
      <c r="E1683" s="79">
        <f>IFERROR(VLOOKUP($G1683,基本資料!$A:$J,7,0),"無")</f>
        <v>3</v>
      </c>
      <c r="F1683" s="6">
        <f>IFERROR(VLOOKUP($G1683,基本資料!$A:$J,8,0),"無")</f>
        <v>14.57</v>
      </c>
      <c r="G1683" s="79">
        <v>9918</v>
      </c>
      <c r="H1683" s="8" t="s">
        <v>312</v>
      </c>
      <c r="I1683" s="22" t="s">
        <v>986</v>
      </c>
      <c r="J1683" s="8">
        <f>IFERROR(VLOOKUP($G1683,今日總結!$A:$AN,39,0),"")</f>
        <v>0</v>
      </c>
      <c r="K1683" s="5">
        <f>IFERROR(VLOOKUP($G1683,今日總結!$A:$AN,40,0),"")</f>
        <v>0</v>
      </c>
      <c r="L1683" s="156">
        <f>IFERROR(VLOOKUP($G1683,今日總結!$A:$AN,37,0),"")</f>
        <v>0</v>
      </c>
      <c r="M1683" s="337">
        <f>IFERROR(VLOOKUP($G1683,今日總結!$A:$AN,38,0),"")</f>
        <v>0</v>
      </c>
      <c r="N1683" s="240">
        <f t="shared" si="293"/>
        <v>0</v>
      </c>
      <c r="O1683" s="359">
        <f>IFERROR(VLOOKUP($G1683,融外自投!$A:$J,7,0),"無")</f>
        <v>1437</v>
      </c>
      <c r="P1683" s="79">
        <f>IFERROR(VLOOKUP($G1683,融外自投!$A:$J,9,0),"無")</f>
        <v>1123</v>
      </c>
      <c r="Q1683" s="342">
        <f>IFERROR(VLOOKUP($G1683,融外自投!$A:$J,8,0),"無")</f>
        <v>1021</v>
      </c>
      <c r="R1683" s="81" t="str">
        <f>IFERROR(VLOOKUP($G1683,融外自投!$A:$J,10,0),"無")</f>
        <v>無</v>
      </c>
      <c r="S1683" s="324">
        <f>IFERROR(VLOOKUP($G1683,'321買'!$A:$E,4,0),"'沒有資料'")</f>
        <v>1002</v>
      </c>
      <c r="T1683" s="186">
        <f>IFERROR(VLOOKUP($G1683,基本資料!$A:$J,9,0),"無")</f>
        <v>1.7</v>
      </c>
      <c r="U1683" s="307">
        <f t="shared" si="289"/>
        <v>3.9443155452436193E-2</v>
      </c>
      <c r="V1683" s="94">
        <f>IFERROR(VLOOKUP($G1683,基本資料!$A:$J,10,0),"無")</f>
        <v>1.92</v>
      </c>
      <c r="W1683" s="36">
        <f>RTD("money.excel",,"9918","Price")</f>
        <v>43.1</v>
      </c>
      <c r="X1683" s="66"/>
      <c r="Y1683" s="15">
        <f t="shared" si="290"/>
        <v>43.1</v>
      </c>
      <c r="Z1683" s="3" t="e">
        <f t="shared" si="291"/>
        <v>#DIV/0!</v>
      </c>
      <c r="AA1683" s="340">
        <f>IFERROR(VLOOKUP($G1683,基本資料!$A:$M,11,0),"無")</f>
        <v>-22.2</v>
      </c>
      <c r="AB1683" s="389">
        <f>IFERROR(VLOOKUP($G1683,基本資料!$A:$M,12,0),"無")</f>
        <v>23.67</v>
      </c>
      <c r="AC1683" s="22" t="s">
        <v>986</v>
      </c>
      <c r="AF1683" s="33">
        <f t="shared" si="292"/>
        <v>0</v>
      </c>
      <c r="AG1683" s="43" t="s">
        <v>2681</v>
      </c>
      <c r="AH1683" s="66">
        <f t="shared" si="287"/>
        <v>0.85910652920962194</v>
      </c>
      <c r="AI1683" s="283">
        <f>RTD("money.excel",,$G1683,"PredictVolume")</f>
        <v>25</v>
      </c>
      <c r="AJ1683" s="391">
        <f>IFERROR(VLOOKUP($G1683,基本資料!$A:$M,13,0),"無")</f>
        <v>29.1</v>
      </c>
      <c r="AR1683" s="245" t="str">
        <f>INDEX(基本資料!N:N,MATCH($G1683,基本資料!A:A,0))</f>
        <v>低</v>
      </c>
    </row>
    <row r="1684" spans="1:44">
      <c r="A1684" s="343">
        <f>IFERROR(VLOOKUP($G1684,基本資料!$A:$J,3,0),"無")</f>
        <v>17.95</v>
      </c>
      <c r="B1684" s="79">
        <f>IFERROR(VLOOKUP($G1684,基本資料!$A:$J,4,0),"無")</f>
        <v>6</v>
      </c>
      <c r="C1684" s="79">
        <f>IFERROR(VLOOKUP($G1684,基本資料!$A:$J,5,0),"無")</f>
        <v>6</v>
      </c>
      <c r="D1684" s="79">
        <f>IFERROR(VLOOKUP($G1684,基本資料!$A:$J,6,0),"無")</f>
        <v>-9</v>
      </c>
      <c r="E1684" s="79">
        <f>IFERROR(VLOOKUP($G1684,基本資料!$A:$J,7,0),"無")</f>
        <v>3</v>
      </c>
      <c r="F1684" s="6">
        <f>IFERROR(VLOOKUP($G1684,基本資料!$A:$J,8,0),"無")</f>
        <v>21.83</v>
      </c>
      <c r="G1684" s="79">
        <v>9926</v>
      </c>
      <c r="H1684" s="8" t="s">
        <v>312</v>
      </c>
      <c r="I1684" s="22" t="s">
        <v>987</v>
      </c>
      <c r="J1684" s="8">
        <f>IFERROR(VLOOKUP($G1684,今日總結!$A:$AN,39,0),"")</f>
        <v>0</v>
      </c>
      <c r="K1684" s="5">
        <f>IFERROR(VLOOKUP($G1684,今日總結!$A:$AN,40,0),"")</f>
        <v>0</v>
      </c>
      <c r="L1684" s="156">
        <f>IFERROR(VLOOKUP($G1684,今日總結!$A:$AN,37,0),"")</f>
        <v>0</v>
      </c>
      <c r="M1684" s="337">
        <f>IFERROR(VLOOKUP($G1684,今日總結!$A:$AN,38,0),"")</f>
        <v>0</v>
      </c>
      <c r="N1684" s="240">
        <f t="shared" si="293"/>
        <v>0</v>
      </c>
      <c r="O1684" s="359">
        <f>IFERROR(VLOOKUP($G1684,融外自投!$A:$J,7,0),"無")</f>
        <v>1462</v>
      </c>
      <c r="P1684" s="79" t="str">
        <f>IFERROR(VLOOKUP($G1684,融外自投!$A:$J,9,0),"無")</f>
        <v>無</v>
      </c>
      <c r="Q1684" s="342">
        <f>IFERROR(VLOOKUP($G1684,融外自投!$A:$J,8,0),"無")</f>
        <v>1397</v>
      </c>
      <c r="R1684" s="81" t="str">
        <f>IFERROR(VLOOKUP($G1684,融外自投!$A:$J,10,0),"無")</f>
        <v>無</v>
      </c>
      <c r="S1684" s="324">
        <f>IFERROR(VLOOKUP($G1684,'321買'!$A:$E,4,0),"'沒有資料'")</f>
        <v>1002</v>
      </c>
      <c r="T1684" s="186">
        <f>IFERROR(VLOOKUP($G1684,基本資料!$A:$J,9,0),"無")</f>
        <v>2</v>
      </c>
      <c r="U1684" s="307" t="e">
        <f t="shared" si="289"/>
        <v>#VALUE!</v>
      </c>
      <c r="V1684" s="94">
        <f>IFERROR(VLOOKUP($G1684,基本資料!$A:$J,10,0),"無")</f>
        <v>2.5</v>
      </c>
      <c r="W1684" s="36" t="str">
        <f>RTD("money.excel",,"9926","Price")</f>
        <v>無資料</v>
      </c>
      <c r="X1684" s="66"/>
      <c r="Y1684" s="15" t="e">
        <f t="shared" si="290"/>
        <v>#VALUE!</v>
      </c>
      <c r="Z1684" s="3" t="e">
        <f t="shared" si="291"/>
        <v>#VALUE!</v>
      </c>
      <c r="AA1684" s="340">
        <f>IFERROR(VLOOKUP($G1684,基本資料!$A:$M,11,0),"無")</f>
        <v>-9.3699999999999992</v>
      </c>
      <c r="AB1684" s="389">
        <f>IFERROR(VLOOKUP($G1684,基本資料!$A:$M,12,0),"無")</f>
        <v>56.24</v>
      </c>
      <c r="AC1684" s="22" t="s">
        <v>987</v>
      </c>
      <c r="AF1684" s="33">
        <f t="shared" si="292"/>
        <v>0</v>
      </c>
      <c r="AG1684" s="43" t="s">
        <v>2681</v>
      </c>
      <c r="AH1684" s="66">
        <f t="shared" si="287"/>
        <v>0</v>
      </c>
      <c r="AI1684" s="283">
        <f>RTD("money.excel",,$G1684,"PredictVolume")</f>
        <v>0</v>
      </c>
      <c r="AJ1684" s="391">
        <f>IFERROR(VLOOKUP($G1684,基本資料!$A:$M,13,0),"無")</f>
        <v>14.7</v>
      </c>
      <c r="AR1684" s="245" t="str">
        <f>INDEX(基本資料!N:N,MATCH($G1684,基本資料!A:A,0))</f>
        <v>中</v>
      </c>
    </row>
    <row r="1685" spans="1:44">
      <c r="A1685" s="343">
        <f>IFERROR(VLOOKUP($G1685,基本資料!$A:$J,3,0),"無")</f>
        <v>22.4</v>
      </c>
      <c r="B1685" s="79">
        <f>IFERROR(VLOOKUP($G1685,基本資料!$A:$J,4,0),"無")</f>
        <v>25</v>
      </c>
      <c r="C1685" s="79">
        <f>IFERROR(VLOOKUP($G1685,基本資料!$A:$J,5,0),"無")</f>
        <v>30</v>
      </c>
      <c r="D1685" s="79">
        <f>IFERROR(VLOOKUP($G1685,基本資料!$A:$J,6,0),"無")</f>
        <v>-5</v>
      </c>
      <c r="E1685" s="79">
        <f>IFERROR(VLOOKUP($G1685,基本資料!$A:$J,7,0),"無")</f>
        <v>18</v>
      </c>
      <c r="F1685" s="6">
        <f>IFERROR(VLOOKUP($G1685,基本資料!$A:$J,8,0),"無")</f>
        <v>9.3800000000000008</v>
      </c>
      <c r="G1685" s="79">
        <v>8908</v>
      </c>
      <c r="H1685" s="8" t="s">
        <v>312</v>
      </c>
      <c r="I1685" s="16" t="s">
        <v>979</v>
      </c>
      <c r="J1685" s="8">
        <f>IFERROR(VLOOKUP($G1685,今日總結!$A:$AN,39,0),"")</f>
        <v>0</v>
      </c>
      <c r="K1685" s="5">
        <f>IFERROR(VLOOKUP($G1685,今日總結!$A:$AN,40,0),"")</f>
        <v>0</v>
      </c>
      <c r="L1685" s="156">
        <f>IFERROR(VLOOKUP($G1685,今日總結!$A:$AN,37,0),"")</f>
        <v>0</v>
      </c>
      <c r="M1685" s="337">
        <f>IFERROR(VLOOKUP($G1685,今日總結!$A:$AN,38,0),"")</f>
        <v>0</v>
      </c>
      <c r="N1685" s="240">
        <f t="shared" si="293"/>
        <v>0</v>
      </c>
      <c r="O1685" s="359">
        <f>IFERROR(VLOOKUP($G1685,融外自投!$A:$J,7,0),"無")</f>
        <v>1437</v>
      </c>
      <c r="P1685" s="79" t="str">
        <f>IFERROR(VLOOKUP($G1685,融外自投!$A:$J,9,0),"無")</f>
        <v>無</v>
      </c>
      <c r="Q1685" s="342">
        <f>IFERROR(VLOOKUP($G1685,融外自投!$A:$J,8,0),"無")</f>
        <v>1431</v>
      </c>
      <c r="R1685" s="81" t="str">
        <f>IFERROR(VLOOKUP($G1685,融外自投!$A:$J,10,0),"無")</f>
        <v>無</v>
      </c>
      <c r="S1685" s="324">
        <f>IFERROR(VLOOKUP($G1685,'321買'!$A:$E,4,0),"'沒有資料'")</f>
        <v>1002</v>
      </c>
      <c r="T1685" s="186">
        <f>IFERROR(VLOOKUP($G1685,基本資料!$A:$J,9,0),"無")</f>
        <v>1.9</v>
      </c>
      <c r="U1685" s="307">
        <f t="shared" si="289"/>
        <v>2.4358974358974359E-2</v>
      </c>
      <c r="V1685" s="94">
        <f>IFERROR(VLOOKUP($G1685,基本資料!$A:$J,10,0),"無")</f>
        <v>2.16</v>
      </c>
      <c r="W1685" s="36">
        <f>RTD("money.excel",,"8908","Price")</f>
        <v>78</v>
      </c>
      <c r="X1685" s="66"/>
      <c r="Y1685" s="15">
        <f t="shared" si="290"/>
        <v>78</v>
      </c>
      <c r="Z1685" s="3" t="e">
        <f t="shared" si="291"/>
        <v>#DIV/0!</v>
      </c>
      <c r="AA1685" s="340">
        <f>IFERROR(VLOOKUP($G1685,基本資料!$A:$M,11,0),"無")</f>
        <v>-13.04</v>
      </c>
      <c r="AB1685" s="389">
        <f>IFERROR(VLOOKUP($G1685,基本資料!$A:$M,12,0),"無")</f>
        <v>46.86</v>
      </c>
      <c r="AC1685" s="16" t="s">
        <v>979</v>
      </c>
      <c r="AF1685" s="33">
        <f t="shared" si="292"/>
        <v>0</v>
      </c>
      <c r="AG1685" s="43" t="s">
        <v>2681</v>
      </c>
      <c r="AH1685" s="66">
        <f t="shared" si="287"/>
        <v>0.7303370786516854</v>
      </c>
      <c r="AI1685" s="283">
        <f>RTD("money.excel",,$G1685,"PredictVolume")</f>
        <v>39</v>
      </c>
      <c r="AJ1685" s="391">
        <f>IFERROR(VLOOKUP($G1685,基本資料!$A:$M,13,0),"無")</f>
        <v>53.4</v>
      </c>
      <c r="AR1685" s="245" t="str">
        <f>INDEX(基本資料!N:N,MATCH($G1685,基本資料!A:A,0))</f>
        <v>高</v>
      </c>
    </row>
    <row r="1686" spans="1:44">
      <c r="A1686" s="343">
        <f>IFERROR(VLOOKUP($G1686,基本資料!$A:$J,3,0),"無")</f>
        <v>51.63</v>
      </c>
      <c r="B1686" s="79">
        <f>IFERROR(VLOOKUP($G1686,基本資料!$A:$J,4,0),"無")</f>
        <v>6</v>
      </c>
      <c r="C1686" s="79">
        <f>IFERROR(VLOOKUP($G1686,基本資料!$A:$J,5,0),"無")</f>
        <v>-7</v>
      </c>
      <c r="D1686" s="79">
        <f>IFERROR(VLOOKUP($G1686,基本資料!$A:$J,6,0),"無")</f>
        <v>-13</v>
      </c>
      <c r="E1686" s="79">
        <f>IFERROR(VLOOKUP($G1686,基本資料!$A:$J,7,0),"無")</f>
        <v>1</v>
      </c>
      <c r="F1686" s="6">
        <f>IFERROR(VLOOKUP($G1686,基本資料!$A:$J,8,0),"無")</f>
        <v>17.78</v>
      </c>
      <c r="G1686" s="79">
        <v>9908</v>
      </c>
      <c r="H1686" s="8" t="s">
        <v>312</v>
      </c>
      <c r="I1686" s="22" t="s">
        <v>985</v>
      </c>
      <c r="J1686" s="8">
        <f>IFERROR(VLOOKUP($G1686,今日總結!$A:$AN,39,0),"")</f>
        <v>0</v>
      </c>
      <c r="K1686" s="5" t="str">
        <f>IFERROR(VLOOKUP($G1686,今日總結!$A:$AN,40,0),"")</f>
        <v>主</v>
      </c>
      <c r="L1686" s="156">
        <f>IFERROR(VLOOKUP($G1686,今日總結!$A:$AN,37,0),"")</f>
        <v>0</v>
      </c>
      <c r="M1686" s="337">
        <f>IFERROR(VLOOKUP($G1686,今日總結!$A:$AN,38,0),"")</f>
        <v>6</v>
      </c>
      <c r="N1686" s="240">
        <f t="shared" si="293"/>
        <v>-6</v>
      </c>
      <c r="O1686" s="359">
        <f>IFERROR(VLOOKUP($G1686,融外自投!$A:$J,7,0),"無")</f>
        <v>1450</v>
      </c>
      <c r="P1686" s="79">
        <f>IFERROR(VLOOKUP($G1686,融外自投!$A:$J,9,0),"無")</f>
        <v>1123</v>
      </c>
      <c r="Q1686" s="342">
        <f>IFERROR(VLOOKUP($G1686,融外自投!$A:$J,8,0),"無")</f>
        <v>1043</v>
      </c>
      <c r="R1686" s="81" t="str">
        <f>IFERROR(VLOOKUP($G1686,融外自投!$A:$J,10,0),"無")</f>
        <v>無</v>
      </c>
      <c r="S1686" s="324">
        <f>IFERROR(VLOOKUP($G1686,'321買'!$A:$E,4,0),"'沒有資料'")</f>
        <v>1002</v>
      </c>
      <c r="T1686" s="186">
        <f>IFERROR(VLOOKUP($G1686,基本資料!$A:$J,9,0),"無")</f>
        <v>1.1000000000000001</v>
      </c>
      <c r="U1686" s="307">
        <f t="shared" si="289"/>
        <v>3.3536585365853668E-2</v>
      </c>
      <c r="V1686" s="94">
        <f>IFERROR(VLOOKUP($G1686,基本資料!$A:$J,10,0),"無")</f>
        <v>1.75</v>
      </c>
      <c r="W1686" s="36">
        <f>RTD("money.excel",,"9908","Price")</f>
        <v>32.799999999999997</v>
      </c>
      <c r="X1686" s="66"/>
      <c r="Y1686" s="15">
        <f t="shared" si="290"/>
        <v>32.799999999999997</v>
      </c>
      <c r="Z1686" s="3" t="e">
        <f t="shared" si="291"/>
        <v>#DIV/0!</v>
      </c>
      <c r="AA1686" s="340">
        <f>IFERROR(VLOOKUP($G1686,基本資料!$A:$M,11,0),"無")</f>
        <v>-5.88</v>
      </c>
      <c r="AB1686" s="389">
        <f>IFERROR(VLOOKUP($G1686,基本資料!$A:$M,12,0),"無")</f>
        <v>33.880000000000003</v>
      </c>
      <c r="AC1686" s="22" t="s">
        <v>985</v>
      </c>
      <c r="AF1686" s="33">
        <f t="shared" si="292"/>
        <v>0</v>
      </c>
      <c r="AG1686" s="43" t="s">
        <v>2681</v>
      </c>
      <c r="AH1686" s="66">
        <f t="shared" si="287"/>
        <v>1.2563044475011462</v>
      </c>
      <c r="AI1686" s="283">
        <f>RTD("money.excel",,$G1686,"PredictVolume")</f>
        <v>137</v>
      </c>
      <c r="AJ1686" s="391">
        <f>IFERROR(VLOOKUP($G1686,基本資料!$A:$M,13,0),"無")</f>
        <v>109.05</v>
      </c>
      <c r="AR1686" s="245" t="str">
        <f>INDEX(基本資料!N:N,MATCH($G1686,基本資料!A:A,0))</f>
        <v>低</v>
      </c>
    </row>
    <row r="1687" spans="1:44">
      <c r="A1687" s="343">
        <f>IFERROR(VLOOKUP($G1687,基本資料!$A:$J,3,0),"無")</f>
        <v>30.9</v>
      </c>
      <c r="B1687" s="79">
        <f>IFERROR(VLOOKUP($G1687,基本資料!$A:$J,4,0),"無")</f>
        <v>3</v>
      </c>
      <c r="C1687" s="79">
        <f>IFERROR(VLOOKUP($G1687,基本資料!$A:$J,5,0),"無")</f>
        <v>16</v>
      </c>
      <c r="D1687" s="79">
        <f>IFERROR(VLOOKUP($G1687,基本資料!$A:$J,6,0),"無")</f>
        <v>-10</v>
      </c>
      <c r="E1687" s="79">
        <f>IFERROR(VLOOKUP($G1687,基本資料!$A:$J,7,0),"無")</f>
        <v>12</v>
      </c>
      <c r="F1687" s="6">
        <f>IFERROR(VLOOKUP($G1687,基本資料!$A:$J,8,0),"無")</f>
        <v>3.88</v>
      </c>
      <c r="G1687" s="79">
        <v>9937</v>
      </c>
      <c r="H1687" s="8" t="s">
        <v>312</v>
      </c>
      <c r="I1687" s="22" t="s">
        <v>989</v>
      </c>
      <c r="J1687" s="8">
        <f>IFERROR(VLOOKUP($G1687,今日總結!$A:$AN,39,0),"")</f>
        <v>0</v>
      </c>
      <c r="K1687" s="5">
        <f>IFERROR(VLOOKUP($G1687,今日總結!$A:$AN,40,0),"")</f>
        <v>0</v>
      </c>
      <c r="L1687" s="156">
        <f>IFERROR(VLOOKUP($G1687,今日總結!$A:$AN,37,0),"")</f>
        <v>0</v>
      </c>
      <c r="M1687" s="337">
        <f>IFERROR(VLOOKUP($G1687,今日總結!$A:$AN,38,0),"")</f>
        <v>0</v>
      </c>
      <c r="N1687" s="240">
        <f t="shared" si="293"/>
        <v>0</v>
      </c>
      <c r="O1687" s="359">
        <f>IFERROR(VLOOKUP($G1687,融外自投!$A:$J,7,0),"無")</f>
        <v>1385</v>
      </c>
      <c r="P1687" s="79" t="str">
        <f>IFERROR(VLOOKUP($G1687,融外自投!$A:$J,9,0),"無")</f>
        <v>無</v>
      </c>
      <c r="Q1687" s="342">
        <f>IFERROR(VLOOKUP($G1687,融外自投!$A:$J,8,0),"無")</f>
        <v>958</v>
      </c>
      <c r="R1687" s="81" t="str">
        <f>IFERROR(VLOOKUP($G1687,融外自投!$A:$J,10,0),"無")</f>
        <v>無</v>
      </c>
      <c r="S1687" s="324">
        <f>IFERROR(VLOOKUP($G1687,'321買'!$A:$E,4,0),"'沒有資料'")</f>
        <v>1002</v>
      </c>
      <c r="T1687" s="186">
        <f>IFERROR(VLOOKUP($G1687,基本資料!$A:$J,9,0),"無")</f>
        <v>2.1</v>
      </c>
      <c r="U1687" s="307">
        <f t="shared" si="289"/>
        <v>4.3254376930998976E-2</v>
      </c>
      <c r="V1687" s="94">
        <f>IFERROR(VLOOKUP($G1687,基本資料!$A:$J,10,0),"無")</f>
        <v>2.62</v>
      </c>
      <c r="W1687" s="36">
        <f>RTD("money.excel",,"9937","Price")</f>
        <v>48.55</v>
      </c>
      <c r="X1687" s="66"/>
      <c r="Y1687" s="15">
        <f t="shared" si="290"/>
        <v>48.55</v>
      </c>
      <c r="Z1687" s="3" t="e">
        <f t="shared" si="291"/>
        <v>#DIV/0!</v>
      </c>
      <c r="AA1687" s="340">
        <f>IFERROR(VLOOKUP($G1687,基本資料!$A:$M,11,0),"無")</f>
        <v>-2.8</v>
      </c>
      <c r="AB1687" s="389">
        <f>IFERROR(VLOOKUP($G1687,基本資料!$A:$M,12,0),"無")</f>
        <v>27.89</v>
      </c>
      <c r="AC1687" s="22" t="s">
        <v>989</v>
      </c>
      <c r="AF1687" s="33">
        <f t="shared" si="292"/>
        <v>0</v>
      </c>
      <c r="AG1687" s="43" t="s">
        <v>2682</v>
      </c>
      <c r="AH1687" s="66">
        <f t="shared" si="287"/>
        <v>4.8076923076923073E-2</v>
      </c>
      <c r="AI1687" s="283">
        <f>RTD("money.excel",,$G1687,"PredictVolume")</f>
        <v>1</v>
      </c>
      <c r="AJ1687" s="391">
        <f>IFERROR(VLOOKUP($G1687,基本資料!$A:$M,13,0),"無")</f>
        <v>20.8</v>
      </c>
      <c r="AR1687" s="245" t="str">
        <f>INDEX(基本資料!N:N,MATCH($G1687,基本資料!A:A,0))</f>
        <v>中</v>
      </c>
    </row>
    <row r="1688" spans="1:44">
      <c r="A1688" s="343">
        <f>IFERROR(VLOOKUP($G1688,基本資料!$A:$J,3,0),"無")</f>
        <v>952</v>
      </c>
      <c r="B1688" s="79">
        <f>IFERROR(VLOOKUP($G1688,基本資料!$A:$J,4,0),"無")</f>
        <v>569</v>
      </c>
      <c r="C1688" s="79">
        <f>IFERROR(VLOOKUP($G1688,基本資料!$A:$J,5,0),"無")</f>
        <v>1892</v>
      </c>
      <c r="D1688" s="79">
        <f>IFERROR(VLOOKUP($G1688,基本資料!$A:$J,6,0),"無")</f>
        <v>-4</v>
      </c>
      <c r="E1688" s="79">
        <f>IFERROR(VLOOKUP($G1688,基本資料!$A:$J,7,0),"無")</f>
        <v>40</v>
      </c>
      <c r="F1688" s="6">
        <f>IFERROR(VLOOKUP($G1688,基本資料!$A:$J,8,0),"無")</f>
        <v>8.9</v>
      </c>
      <c r="G1688" s="79">
        <v>6505</v>
      </c>
      <c r="H1688" s="17" t="s">
        <v>312</v>
      </c>
      <c r="I1688" s="22" t="s">
        <v>4670</v>
      </c>
      <c r="J1688" s="8">
        <f>IFERROR(VLOOKUP($G1688,今日總結!$A:$AN,39,0),"")</f>
        <v>0</v>
      </c>
      <c r="K1688" s="5" t="str">
        <f>IFERROR(VLOOKUP($G1688,今日總結!$A:$AN,40,0),"")</f>
        <v>融</v>
      </c>
      <c r="L1688" s="156">
        <f>IFERROR(VLOOKUP($G1688,今日總結!$A:$AN,37,0),"")</f>
        <v>0</v>
      </c>
      <c r="M1688" s="337">
        <f>IFERROR(VLOOKUP($G1688,今日總結!$A:$AN,38,0),"")</f>
        <v>2</v>
      </c>
      <c r="N1688" s="240">
        <f t="shared" si="293"/>
        <v>-2</v>
      </c>
      <c r="O1688" s="359">
        <f>IFERROR(VLOOKUP($G1688,融外自投!$A:$J,7,0),"無")</f>
        <v>1446</v>
      </c>
      <c r="P1688" s="79">
        <f>IFERROR(VLOOKUP($G1688,融外自投!$A:$J,9,0),"無")</f>
        <v>908</v>
      </c>
      <c r="Q1688" s="342">
        <f>IFERROR(VLOOKUP($G1688,融外自投!$A:$J,8,0),"無")</f>
        <v>643</v>
      </c>
      <c r="R1688" s="81">
        <f>IFERROR(VLOOKUP($G1688,融外自投!$A:$J,10,0),"無")</f>
        <v>336</v>
      </c>
      <c r="S1688" s="324">
        <f>IFERROR(VLOOKUP($G1688,'321買'!$A:$E,4,0),"'沒有資料'")</f>
        <v>411</v>
      </c>
      <c r="T1688" s="186">
        <f>IFERROR(VLOOKUP($G1688,基本資料!$A:$J,9,0),"無")</f>
        <v>3.8</v>
      </c>
      <c r="U1688" s="307">
        <f t="shared" si="289"/>
        <v>4.1621029572836803E-2</v>
      </c>
      <c r="V1688" s="94">
        <f>IFERROR(VLOOKUP($G1688,基本資料!$A:$J,10,0),"無")</f>
        <v>5.19</v>
      </c>
      <c r="W1688" s="36">
        <f>RTD("money.excel",,"6505","Price")</f>
        <v>91.3</v>
      </c>
      <c r="X1688" s="65"/>
      <c r="Y1688" s="15">
        <f t="shared" si="290"/>
        <v>91.3</v>
      </c>
      <c r="Z1688" s="3" t="e">
        <f t="shared" si="291"/>
        <v>#DIV/0!</v>
      </c>
      <c r="AA1688" s="340">
        <f>IFERROR(VLOOKUP($G1688,基本資料!$A:$M,11,0),"無")</f>
        <v>-22.3</v>
      </c>
      <c r="AB1688" s="389">
        <f>IFERROR(VLOOKUP($G1688,基本資料!$A:$M,12,0),"無")</f>
        <v>24.64</v>
      </c>
      <c r="AC1688" s="22" t="s">
        <v>4670</v>
      </c>
      <c r="AF1688" s="33">
        <f t="shared" si="292"/>
        <v>0</v>
      </c>
      <c r="AG1688" s="43" t="s">
        <v>2595</v>
      </c>
      <c r="AH1688" s="66">
        <f t="shared" si="287"/>
        <v>0.59019059234282711</v>
      </c>
      <c r="AI1688" s="283">
        <f>RTD("money.excel",,$G1688,"PredictVolume")</f>
        <v>1234</v>
      </c>
      <c r="AJ1688" s="391">
        <f>IFERROR(VLOOKUP($G1688,基本資料!$A:$M,13,0),"無")</f>
        <v>2090.85</v>
      </c>
      <c r="AR1688" s="245" t="str">
        <f>INDEX(基本資料!N:N,MATCH($G1688,基本資料!A:A,0))</f>
        <v>低</v>
      </c>
    </row>
    <row r="1689" spans="1:44">
      <c r="A1689" s="343">
        <f>IFERROR(VLOOKUP($G1689,基本資料!$A:$J,3,0),"無")</f>
        <v>24.76</v>
      </c>
      <c r="B1689" s="79">
        <f>IFERROR(VLOOKUP($G1689,基本資料!$A:$J,4,0),"無")</f>
        <v>18</v>
      </c>
      <c r="C1689" s="79">
        <f>IFERROR(VLOOKUP($G1689,基本資料!$A:$J,5,0),"無")</f>
        <v>-38</v>
      </c>
      <c r="D1689" s="79">
        <f>IFERROR(VLOOKUP($G1689,基本資料!$A:$J,6,0),"無")</f>
        <v>-4</v>
      </c>
      <c r="E1689" s="79">
        <f>IFERROR(VLOOKUP($G1689,基本資料!$A:$J,7,0),"無")</f>
        <v>22</v>
      </c>
      <c r="F1689" s="6">
        <f>IFERROR(VLOOKUP($G1689,基本資料!$A:$J,8,0),"無")</f>
        <v>1.23</v>
      </c>
      <c r="G1689" s="79">
        <v>8927</v>
      </c>
      <c r="H1689" s="8" t="s">
        <v>312</v>
      </c>
      <c r="I1689" s="16" t="s">
        <v>981</v>
      </c>
      <c r="J1689" s="8">
        <f>IFERROR(VLOOKUP($G1689,今日總結!$A:$AN,39,0),"")</f>
        <v>0</v>
      </c>
      <c r="K1689" s="5">
        <f>IFERROR(VLOOKUP($G1689,今日總結!$A:$AN,40,0),"")</f>
        <v>0</v>
      </c>
      <c r="L1689" s="156">
        <f>IFERROR(VLOOKUP($G1689,今日總結!$A:$AN,37,0),"")</f>
        <v>0</v>
      </c>
      <c r="M1689" s="337">
        <f>IFERROR(VLOOKUP($G1689,今日總結!$A:$AN,38,0),"")</f>
        <v>0</v>
      </c>
      <c r="N1689" s="240">
        <f t="shared" si="293"/>
        <v>0</v>
      </c>
      <c r="O1689" s="359">
        <f>IFERROR(VLOOKUP($G1689,融外自投!$A:$J,7,0),"無")</f>
        <v>639</v>
      </c>
      <c r="P1689" s="79">
        <f>IFERROR(VLOOKUP($G1689,融外自投!$A:$J,9,0),"無")</f>
        <v>790</v>
      </c>
      <c r="Q1689" s="342">
        <f>IFERROR(VLOOKUP($G1689,融外自投!$A:$J,8,0),"無")</f>
        <v>1424</v>
      </c>
      <c r="R1689" s="81" t="str">
        <f>IFERROR(VLOOKUP($G1689,融外自投!$A:$J,10,0),"無")</f>
        <v>無</v>
      </c>
      <c r="S1689" s="324">
        <f>IFERROR(VLOOKUP($G1689,'321買'!$A:$E,4,0),"'沒有資料'")</f>
        <v>891</v>
      </c>
      <c r="T1689" s="186">
        <f>IFERROR(VLOOKUP($G1689,基本資料!$A:$J,9,0),"無")</f>
        <v>1.6</v>
      </c>
      <c r="U1689" s="307">
        <f t="shared" si="289"/>
        <v>4.2496679946879154E-2</v>
      </c>
      <c r="V1689" s="94">
        <f>IFERROR(VLOOKUP($G1689,基本資料!$A:$J,10,0),"無")</f>
        <v>0.69</v>
      </c>
      <c r="W1689" s="36">
        <f>RTD("money.excel",,"8927","Price")</f>
        <v>37.65</v>
      </c>
      <c r="X1689" s="66"/>
      <c r="Y1689" s="15">
        <f t="shared" si="290"/>
        <v>37.65</v>
      </c>
      <c r="Z1689" s="3" t="e">
        <f t="shared" si="291"/>
        <v>#DIV/0!</v>
      </c>
      <c r="AA1689" s="340">
        <f>IFERROR(VLOOKUP($G1689,基本資料!$A:$M,11,0),"無")</f>
        <v>-11.2</v>
      </c>
      <c r="AB1689" s="389">
        <f>IFERROR(VLOOKUP($G1689,基本資料!$A:$M,12,0),"無")</f>
        <v>62.21</v>
      </c>
      <c r="AC1689" s="16" t="s">
        <v>981</v>
      </c>
      <c r="AF1689" s="33">
        <f t="shared" si="292"/>
        <v>0</v>
      </c>
      <c r="AG1689" s="43" t="s">
        <v>2682</v>
      </c>
      <c r="AH1689" s="66">
        <f t="shared" si="287"/>
        <v>0.30650307851332526</v>
      </c>
      <c r="AI1689" s="283">
        <f>RTD("money.excel",,$G1689,"PredictVolume")</f>
        <v>341</v>
      </c>
      <c r="AJ1689" s="391">
        <f>IFERROR(VLOOKUP($G1689,基本資料!$A:$M,13,0),"無")</f>
        <v>1112.55</v>
      </c>
      <c r="AR1689" s="245" t="str">
        <f>INDEX(基本資料!N:N,MATCH($G1689,基本資料!A:A,0))</f>
        <v>中</v>
      </c>
    </row>
    <row r="1690" spans="1:44">
      <c r="A1690" s="142"/>
      <c r="B1690" s="79"/>
      <c r="C1690" s="80"/>
      <c r="D1690" s="79"/>
      <c r="E1690" s="79"/>
      <c r="F1690" s="6"/>
      <c r="G1690" s="79"/>
      <c r="H1690" s="8"/>
      <c r="I1690" s="16"/>
      <c r="L1690" s="2"/>
      <c r="O1690" s="360"/>
      <c r="Q1690" s="351"/>
      <c r="R1690" s="26"/>
      <c r="T1690" s="34"/>
      <c r="V1690" s="94"/>
      <c r="W1690" s="36"/>
      <c r="X1690" s="66"/>
      <c r="Y1690" s="15"/>
      <c r="Z1690" s="3"/>
      <c r="AC1690" s="16"/>
      <c r="AF1690" s="33"/>
      <c r="AG1690" s="43"/>
      <c r="AH1690" s="66" t="e">
        <f t="shared" si="287"/>
        <v>#DIV/0!</v>
      </c>
    </row>
    <row r="1691" spans="1:44">
      <c r="A1691" s="127" t="s">
        <v>1672</v>
      </c>
      <c r="B1691" s="90" t="s">
        <v>1571</v>
      </c>
      <c r="C1691" s="90" t="s">
        <v>1572</v>
      </c>
      <c r="D1691" s="90" t="s">
        <v>1573</v>
      </c>
      <c r="E1691" s="90" t="s">
        <v>1574</v>
      </c>
      <c r="F1691" s="8" t="s">
        <v>1059</v>
      </c>
      <c r="G1691" s="27" t="s">
        <v>4671</v>
      </c>
      <c r="H1691" s="55" t="s">
        <v>320</v>
      </c>
      <c r="I1691" s="30" t="s">
        <v>3353</v>
      </c>
      <c r="J1691" s="8" t="s">
        <v>6211</v>
      </c>
      <c r="K1691" s="5" t="s">
        <v>6212</v>
      </c>
      <c r="L1691" s="334" t="s">
        <v>6197</v>
      </c>
      <c r="M1691" s="335" t="s">
        <v>6198</v>
      </c>
      <c r="N1691" s="336" t="s">
        <v>6199</v>
      </c>
      <c r="O1691" s="89" t="s">
        <v>6275</v>
      </c>
      <c r="P1691" s="292" t="s">
        <v>6274</v>
      </c>
      <c r="Q1691" s="350" t="s">
        <v>6273</v>
      </c>
      <c r="R1691" s="26" t="s">
        <v>6276</v>
      </c>
      <c r="S1691" s="318" t="s">
        <v>4715</v>
      </c>
      <c r="T1691" s="10" t="s">
        <v>66</v>
      </c>
      <c r="U1691" s="305" t="s">
        <v>4728</v>
      </c>
      <c r="V1691" s="68" t="s">
        <v>3272</v>
      </c>
      <c r="W1691" s="28" t="s">
        <v>2</v>
      </c>
      <c r="X1691" s="17" t="s">
        <v>1398</v>
      </c>
      <c r="Y1691" s="14" t="s">
        <v>5</v>
      </c>
      <c r="Z1691" s="21" t="s">
        <v>3</v>
      </c>
      <c r="AA1691" s="96" t="s">
        <v>6166</v>
      </c>
      <c r="AB1691" s="378" t="s">
        <v>6404</v>
      </c>
      <c r="AC1691" s="30" t="s">
        <v>3353</v>
      </c>
      <c r="AD1691" s="71" t="s">
        <v>1399</v>
      </c>
      <c r="AE1691" s="72" t="s">
        <v>1156</v>
      </c>
      <c r="AF1691" s="32" t="s">
        <v>1157</v>
      </c>
      <c r="AG1691" s="25" t="s">
        <v>6200</v>
      </c>
      <c r="AH1691" s="8" t="s">
        <v>6696</v>
      </c>
      <c r="AI1691" s="50" t="s">
        <v>3360</v>
      </c>
      <c r="AJ1691" s="22" t="s">
        <v>6695</v>
      </c>
    </row>
    <row r="1692" spans="1:44">
      <c r="A1692" s="343">
        <f>IFERROR(VLOOKUP($G1692,基本資料!$A:$J,3,0),"無")</f>
        <v>59.36</v>
      </c>
      <c r="B1692" s="79">
        <f>IFERROR(VLOOKUP($G1692,基本資料!$A:$J,4,0),"無")</f>
        <v>48</v>
      </c>
      <c r="C1692" s="79">
        <f>IFERROR(VLOOKUP($G1692,基本資料!$A:$J,5,0),"無")</f>
        <v>1</v>
      </c>
      <c r="D1692" s="79">
        <f>IFERROR(VLOOKUP($G1692,基本資料!$A:$J,6,0),"無")</f>
        <v>-45</v>
      </c>
      <c r="E1692" s="79">
        <f>IFERROR(VLOOKUP($G1692,基本資料!$A:$J,7,0),"無")</f>
        <v>-32</v>
      </c>
      <c r="F1692" s="6">
        <f>IFERROR(VLOOKUP($G1692,基本資料!$A:$J,8,0),"無")</f>
        <v>5.16</v>
      </c>
      <c r="G1692" s="79">
        <v>1785</v>
      </c>
      <c r="H1692" s="8" t="s">
        <v>314</v>
      </c>
      <c r="I1692" s="16" t="s">
        <v>305</v>
      </c>
      <c r="J1692" s="8">
        <f>IFERROR(VLOOKUP($G1692,今日總結!$A:$AN,39,0),"")</f>
        <v>0</v>
      </c>
      <c r="K1692" s="5" t="str">
        <f>IFERROR(VLOOKUP($G1692,今日總結!$A:$AN,40,0),"")</f>
        <v>融券</v>
      </c>
      <c r="L1692" s="156">
        <f>IFERROR(VLOOKUP($G1692,今日總結!$A:$AN,37,0),"")</f>
        <v>0</v>
      </c>
      <c r="M1692" s="337">
        <f>IFERROR(VLOOKUP($G1692,今日總結!$A:$AN,38,0),"")</f>
        <v>3</v>
      </c>
      <c r="N1692" s="240">
        <f t="shared" ref="N1692" si="294">IFERROR(L1692-M1692,"")</f>
        <v>-3</v>
      </c>
      <c r="O1692" s="359">
        <f>IFERROR(VLOOKUP($G1692,融外自投!$A:$J,7,0),"無")</f>
        <v>334</v>
      </c>
      <c r="P1692" s="79">
        <f>IFERROR(VLOOKUP($G1692,融外自投!$A:$J,9,0),"無")</f>
        <v>990</v>
      </c>
      <c r="Q1692" s="342">
        <f>IFERROR(VLOOKUP($G1692,融外自投!$A:$J,8,0),"無")</f>
        <v>652</v>
      </c>
      <c r="R1692" s="81">
        <f>IFERROR(VLOOKUP($G1692,融外自投!$A:$J,10,0),"無")</f>
        <v>413</v>
      </c>
      <c r="S1692" s="324">
        <f>IFERROR(VLOOKUP($G1692,'321買'!$A:$E,4,0),"'沒有資料'")</f>
        <v>343</v>
      </c>
      <c r="T1692" s="186">
        <f>IFERROR(VLOOKUP($G1692,基本資料!$A:$J,9,0),"無")</f>
        <v>1.5</v>
      </c>
      <c r="U1692" s="307">
        <f t="shared" ref="U1692:U1755" si="295">$T1692/$W1692</f>
        <v>3.271537622682661E-2</v>
      </c>
      <c r="V1692" s="94">
        <f>IFERROR(VLOOKUP($G1692,基本資料!$A:$J,10,0),"無")</f>
        <v>2.15</v>
      </c>
      <c r="W1692" s="36">
        <f>RTD("money.excel",,"1785","Price")</f>
        <v>45.85</v>
      </c>
      <c r="X1692" s="66"/>
      <c r="Y1692" s="15">
        <f t="shared" ref="Y1692:Y1755" si="296">W1692-X1692</f>
        <v>45.85</v>
      </c>
      <c r="Z1692" s="3" t="e">
        <f t="shared" ref="Z1692:Z1755" si="297">Y1692/X1692</f>
        <v>#DIV/0!</v>
      </c>
      <c r="AA1692" s="340">
        <f>IFERROR(VLOOKUP($G1692,基本資料!$A:$M,11,0),"無")</f>
        <v>-22.16</v>
      </c>
      <c r="AB1692" s="389">
        <f>IFERROR(VLOOKUP($G1692,基本資料!$A:$M,12,0),"無")</f>
        <v>21.76</v>
      </c>
      <c r="AC1692" s="16" t="s">
        <v>305</v>
      </c>
      <c r="AF1692" s="33">
        <f t="shared" ref="AF1692:AF1755" si="298">AE1692-AD1692</f>
        <v>0</v>
      </c>
      <c r="AG1692" s="43" t="s">
        <v>2266</v>
      </c>
      <c r="AH1692" s="66">
        <f t="shared" si="287"/>
        <v>0.48774740810556078</v>
      </c>
      <c r="AI1692" s="283">
        <f>RTD("money.excel",,$G1692,"PredictVolume")</f>
        <v>1449</v>
      </c>
      <c r="AJ1692" s="391">
        <f>IFERROR(VLOOKUP($G1692,基本資料!$A:$M,13,0),"無")</f>
        <v>2970.8</v>
      </c>
      <c r="AR1692" s="245" t="str">
        <f>INDEX(基本資料!N:N,MATCH($G1692,基本資料!A:A,0))</f>
        <v>低</v>
      </c>
    </row>
    <row r="1693" spans="1:44">
      <c r="A1693" s="343">
        <f>IFERROR(VLOOKUP($G1693,基本資料!$A:$J,3,0),"無")</f>
        <v>149</v>
      </c>
      <c r="B1693" s="79">
        <f>IFERROR(VLOOKUP($G1693,基本資料!$A:$J,4,0),"無")</f>
        <v>-7</v>
      </c>
      <c r="C1693" s="79">
        <f>IFERROR(VLOOKUP($G1693,基本資料!$A:$J,5,0),"無")</f>
        <v>68</v>
      </c>
      <c r="D1693" s="79">
        <f>IFERROR(VLOOKUP($G1693,基本資料!$A:$J,6,0),"無")</f>
        <v>-5</v>
      </c>
      <c r="E1693" s="79">
        <f>IFERROR(VLOOKUP($G1693,基本資料!$A:$J,7,0),"無")</f>
        <v>12</v>
      </c>
      <c r="F1693" s="6">
        <f>IFERROR(VLOOKUP($G1693,基本資料!$A:$J,8,0),"無")</f>
        <v>0.88</v>
      </c>
      <c r="G1693" s="79">
        <v>2312</v>
      </c>
      <c r="H1693" s="8" t="s">
        <v>314</v>
      </c>
      <c r="I1693" s="22" t="s">
        <v>491</v>
      </c>
      <c r="J1693" s="8" t="str">
        <f>IFERROR(VLOOKUP($G1693,今日總結!$A:$AN,39,0),"")</f>
        <v>券</v>
      </c>
      <c r="K1693" s="5" t="str">
        <f>IFERROR(VLOOKUP($G1693,今日總結!$A:$AN,40,0),"")</f>
        <v>主</v>
      </c>
      <c r="L1693" s="156">
        <f>IFERROR(VLOOKUP($G1693,今日總結!$A:$AN,37,0),"")</f>
        <v>4</v>
      </c>
      <c r="M1693" s="337">
        <f>IFERROR(VLOOKUP($G1693,今日總結!$A:$AN,38,0),"")</f>
        <v>6</v>
      </c>
      <c r="N1693" s="240">
        <f t="shared" ref="N1693:N1756" si="299">IFERROR(L1693-M1693,"")</f>
        <v>-2</v>
      </c>
      <c r="O1693" s="359">
        <f>IFERROR(VLOOKUP($G1693,融外自投!$A:$J,7,0),"無")</f>
        <v>650</v>
      </c>
      <c r="P1693" s="79">
        <f>IFERROR(VLOOKUP($G1693,融外自投!$A:$J,9,0),"無")</f>
        <v>869</v>
      </c>
      <c r="Q1693" s="342">
        <f>IFERROR(VLOOKUP($G1693,融外自投!$A:$J,8,0),"無")</f>
        <v>482</v>
      </c>
      <c r="R1693" s="81">
        <f>IFERROR(VLOOKUP($G1693,融外自投!$A:$J,10,0),"無")</f>
        <v>476</v>
      </c>
      <c r="S1693" s="324">
        <f>IFERROR(VLOOKUP($G1693,'321買'!$A:$E,4,0),"'沒有資料'")</f>
        <v>321</v>
      </c>
      <c r="T1693" s="186">
        <f>IFERROR(VLOOKUP($G1693,基本資料!$A:$J,9,0),"無")</f>
        <v>0.2</v>
      </c>
      <c r="U1693" s="307">
        <f t="shared" si="295"/>
        <v>1.509433962264151E-2</v>
      </c>
      <c r="V1693" s="94">
        <f>IFERROR(VLOOKUP($G1693,基本資料!$A:$J,10,0),"無")</f>
        <v>0.01</v>
      </c>
      <c r="W1693" s="36">
        <f>RTD("money.excel",,"2312","Price")</f>
        <v>13.25</v>
      </c>
      <c r="X1693" s="66"/>
      <c r="Y1693" s="15">
        <f t="shared" si="296"/>
        <v>13.25</v>
      </c>
      <c r="Z1693" s="3" t="e">
        <f t="shared" si="297"/>
        <v>#DIV/0!</v>
      </c>
      <c r="AA1693" s="340">
        <f>IFERROR(VLOOKUP($G1693,基本資料!$A:$M,11,0),"無")</f>
        <v>-25.98</v>
      </c>
      <c r="AB1693" s="389">
        <f>IFERROR(VLOOKUP($G1693,基本資料!$A:$M,12,0),"無")</f>
        <v>19.010000000000002</v>
      </c>
      <c r="AC1693" s="22" t="s">
        <v>491</v>
      </c>
      <c r="AF1693" s="33">
        <f t="shared" si="298"/>
        <v>0</v>
      </c>
      <c r="AG1693" s="43" t="s">
        <v>1946</v>
      </c>
      <c r="AH1693" s="66">
        <f t="shared" si="287"/>
        <v>0.85905804047025691</v>
      </c>
      <c r="AI1693" s="283">
        <f>RTD("money.excel",,$G1693,"PredictVolume")</f>
        <v>13668</v>
      </c>
      <c r="AJ1693" s="391">
        <f>IFERROR(VLOOKUP($G1693,基本資料!$A:$M,13,0),"無")</f>
        <v>15910.45</v>
      </c>
      <c r="AR1693" s="245" t="str">
        <f>INDEX(基本資料!N:N,MATCH($G1693,基本資料!A:A,0))</f>
        <v>低</v>
      </c>
    </row>
    <row r="1694" spans="1:44">
      <c r="A1694" s="343">
        <f>IFERROR(VLOOKUP($G1694,基本資料!$A:$J,3,0),"無")</f>
        <v>1386</v>
      </c>
      <c r="B1694" s="79">
        <f>IFERROR(VLOOKUP($G1694,基本資料!$A:$J,4,0),"無")</f>
        <v>34</v>
      </c>
      <c r="C1694" s="79">
        <f>IFERROR(VLOOKUP($G1694,基本資料!$A:$J,5,0),"無")</f>
        <v>34</v>
      </c>
      <c r="D1694" s="79">
        <f>IFERROR(VLOOKUP($G1694,基本資料!$A:$J,6,0),"無")</f>
        <v>-4</v>
      </c>
      <c r="E1694" s="79">
        <f>IFERROR(VLOOKUP($G1694,基本資料!$A:$J,7,0),"無")</f>
        <v>-2</v>
      </c>
      <c r="F1694" s="6">
        <f>IFERROR(VLOOKUP($G1694,基本資料!$A:$J,8,0),"無")</f>
        <v>2.4900000000000002</v>
      </c>
      <c r="G1694" s="79">
        <v>2317</v>
      </c>
      <c r="H1694" s="17" t="s">
        <v>314</v>
      </c>
      <c r="I1694" s="22" t="s">
        <v>4</v>
      </c>
      <c r="J1694" s="8" t="str">
        <f>IFERROR(VLOOKUP($G1694,今日總結!$A:$AN,39,0),"")</f>
        <v>自投</v>
      </c>
      <c r="K1694" s="5">
        <f>IFERROR(VLOOKUP($G1694,今日總結!$A:$AN,40,0),"")</f>
        <v>0</v>
      </c>
      <c r="L1694" s="156">
        <f>IFERROR(VLOOKUP($G1694,今日總結!$A:$AN,37,0),"")</f>
        <v>13</v>
      </c>
      <c r="M1694" s="337">
        <f>IFERROR(VLOOKUP($G1694,今日總結!$A:$AN,38,0),"")</f>
        <v>0</v>
      </c>
      <c r="N1694" s="240">
        <f t="shared" si="299"/>
        <v>13</v>
      </c>
      <c r="O1694" s="359">
        <f>IFERROR(VLOOKUP($G1694,融外自投!$A:$J,7,0),"無")</f>
        <v>1173</v>
      </c>
      <c r="P1694" s="79">
        <f>IFERROR(VLOOKUP($G1694,融外自投!$A:$J,9,0),"無")</f>
        <v>331</v>
      </c>
      <c r="Q1694" s="342">
        <f>IFERROR(VLOOKUP($G1694,融外自投!$A:$J,8,0),"無")</f>
        <v>94</v>
      </c>
      <c r="R1694" s="81">
        <f>IFERROR(VLOOKUP($G1694,融外自投!$A:$J,10,0),"無")</f>
        <v>161</v>
      </c>
      <c r="S1694" s="324">
        <f>IFERROR(VLOOKUP($G1694,'321買'!$A:$E,4,0),"'沒有資料'")</f>
        <v>530</v>
      </c>
      <c r="T1694" s="186">
        <f>IFERROR(VLOOKUP($G1694,基本資料!$A:$J,9,0),"無")</f>
        <v>5.2</v>
      </c>
      <c r="U1694" s="307">
        <f t="shared" si="295"/>
        <v>4.9760765550239235E-2</v>
      </c>
      <c r="V1694" s="94">
        <f>IFERROR(VLOOKUP($G1694,基本資料!$A:$J,10,0),"無")</f>
        <v>10.050000000000001</v>
      </c>
      <c r="W1694" s="36">
        <f>RTD("money.excel",,"2317","Price")</f>
        <v>104.5</v>
      </c>
      <c r="X1694" s="65"/>
      <c r="Y1694" s="15">
        <f t="shared" si="296"/>
        <v>104.5</v>
      </c>
      <c r="Z1694" s="3" t="e">
        <f t="shared" si="297"/>
        <v>#DIV/0!</v>
      </c>
      <c r="AA1694" s="340">
        <f>IFERROR(VLOOKUP($G1694,基本資料!$A:$M,11,0),"無")</f>
        <v>-12.92</v>
      </c>
      <c r="AB1694" s="389">
        <f>IFERROR(VLOOKUP($G1694,基本資料!$A:$M,12,0),"無")</f>
        <v>50.13</v>
      </c>
      <c r="AC1694" s="22" t="s">
        <v>4</v>
      </c>
      <c r="AF1694" s="33">
        <f t="shared" si="298"/>
        <v>0</v>
      </c>
      <c r="AG1694" s="43" t="s">
        <v>2561</v>
      </c>
      <c r="AH1694" s="66">
        <f t="shared" si="287"/>
        <v>0.94381710652737449</v>
      </c>
      <c r="AI1694" s="283">
        <f>RTD("money.excel",,$G1694,"PredictVolume")</f>
        <v>22446</v>
      </c>
      <c r="AJ1694" s="391">
        <f>IFERROR(VLOOKUP($G1694,基本資料!$A:$M,13,0),"無")</f>
        <v>23782.15</v>
      </c>
      <c r="AR1694" s="245" t="str">
        <f>INDEX(基本資料!N:N,MATCH($G1694,基本資料!A:A,0))</f>
        <v>中</v>
      </c>
    </row>
    <row r="1695" spans="1:44">
      <c r="A1695" s="343">
        <f>IFERROR(VLOOKUP($G1695,基本資料!$A:$J,3,0),"無")</f>
        <v>141</v>
      </c>
      <c r="B1695" s="79">
        <f>IFERROR(VLOOKUP($G1695,基本資料!$A:$J,4,0),"無")</f>
        <v>-5</v>
      </c>
      <c r="C1695" s="79">
        <f>IFERROR(VLOOKUP($G1695,基本資料!$A:$J,5,0),"無")</f>
        <v>37</v>
      </c>
      <c r="D1695" s="79">
        <f>IFERROR(VLOOKUP($G1695,基本資料!$A:$J,6,0),"無")</f>
        <v>-30</v>
      </c>
      <c r="E1695" s="79">
        <f>IFERROR(VLOOKUP($G1695,基本資料!$A:$J,7,0),"無")</f>
        <v>-11</v>
      </c>
      <c r="F1695" s="6">
        <f>IFERROR(VLOOKUP($G1695,基本資料!$A:$J,8,0),"無")</f>
        <v>3.45</v>
      </c>
      <c r="G1695" s="79">
        <v>2354</v>
      </c>
      <c r="H1695" s="17" t="s">
        <v>314</v>
      </c>
      <c r="I1695" s="22" t="s">
        <v>4672</v>
      </c>
      <c r="J1695" s="8" t="str">
        <f>IFERROR(VLOOKUP($G1695,今日總結!$A:$AN,39,0),"")</f>
        <v>融</v>
      </c>
      <c r="K1695" s="5">
        <f>IFERROR(VLOOKUP($G1695,今日總結!$A:$AN,40,0),"")</f>
        <v>0</v>
      </c>
      <c r="L1695" s="156">
        <f>IFERROR(VLOOKUP($G1695,今日總結!$A:$AN,37,0),"")</f>
        <v>1</v>
      </c>
      <c r="M1695" s="337">
        <f>IFERROR(VLOOKUP($G1695,今日總結!$A:$AN,38,0),"")</f>
        <v>0</v>
      </c>
      <c r="N1695" s="240">
        <f t="shared" si="299"/>
        <v>1</v>
      </c>
      <c r="O1695" s="359">
        <f>IFERROR(VLOOKUP($G1695,融外自投!$A:$J,7,0),"無")</f>
        <v>917</v>
      </c>
      <c r="P1695" s="79">
        <f>IFERROR(VLOOKUP($G1695,融外自投!$A:$J,9,0),"無")</f>
        <v>403</v>
      </c>
      <c r="Q1695" s="342">
        <f>IFERROR(VLOOKUP($G1695,融外自投!$A:$J,8,0),"無")</f>
        <v>272</v>
      </c>
      <c r="R1695" s="81">
        <f>IFERROR(VLOOKUP($G1695,融外自投!$A:$J,10,0),"無")</f>
        <v>114</v>
      </c>
      <c r="S1695" s="324">
        <f>IFERROR(VLOOKUP($G1695,'321買'!$A:$E,4,0),"'沒有資料'")</f>
        <v>440</v>
      </c>
      <c r="T1695" s="186">
        <f>IFERROR(VLOOKUP($G1695,基本資料!$A:$J,9,0),"無")</f>
        <v>1.7</v>
      </c>
      <c r="U1695" s="307">
        <f t="shared" si="295"/>
        <v>3.041144901610018E-2</v>
      </c>
      <c r="V1695" s="94">
        <f>IFERROR(VLOOKUP($G1695,基本資料!$A:$J,10,0),"無")</f>
        <v>3.17</v>
      </c>
      <c r="W1695" s="36">
        <f>RTD("money.excel",,"2354","Price")</f>
        <v>55.9</v>
      </c>
      <c r="X1695" s="66"/>
      <c r="Y1695" s="15">
        <f t="shared" si="296"/>
        <v>55.9</v>
      </c>
      <c r="Z1695" s="3" t="e">
        <f t="shared" si="297"/>
        <v>#DIV/0!</v>
      </c>
      <c r="AA1695" s="340">
        <f>IFERROR(VLOOKUP($G1695,基本資料!$A:$M,11,0),"無")</f>
        <v>-22.14</v>
      </c>
      <c r="AB1695" s="389">
        <f>IFERROR(VLOOKUP($G1695,基本資料!$A:$M,12,0),"無")</f>
        <v>17.420000000000002</v>
      </c>
      <c r="AC1695" s="22" t="s">
        <v>4672</v>
      </c>
      <c r="AF1695" s="33">
        <f t="shared" si="298"/>
        <v>0</v>
      </c>
      <c r="AG1695" s="117" t="s">
        <v>2300</v>
      </c>
      <c r="AH1695" s="66">
        <f t="shared" si="287"/>
        <v>2.4533253559239063</v>
      </c>
      <c r="AI1695" s="283">
        <f>RTD("money.excel",,$G1695,"PredictVolume")</f>
        <v>9021</v>
      </c>
      <c r="AJ1695" s="391">
        <f>IFERROR(VLOOKUP($G1695,基本資料!$A:$M,13,0),"無")</f>
        <v>3677.05</v>
      </c>
      <c r="AR1695" s="245" t="str">
        <f>INDEX(基本資料!N:N,MATCH($G1695,基本資料!A:A,0))</f>
        <v>低</v>
      </c>
    </row>
    <row r="1696" spans="1:44">
      <c r="A1696" s="343">
        <f>IFERROR(VLOOKUP($G1696,基本資料!$A:$J,3,0),"無")</f>
        <v>17.14</v>
      </c>
      <c r="B1696" s="79">
        <f>IFERROR(VLOOKUP($G1696,基本資料!$A:$J,4,0),"無")</f>
        <v>611</v>
      </c>
      <c r="C1696" s="79">
        <f>IFERROR(VLOOKUP($G1696,基本資料!$A:$J,5,0),"無")</f>
        <v>5</v>
      </c>
      <c r="D1696" s="79">
        <f>IFERROR(VLOOKUP($G1696,基本資料!$A:$J,6,0),"無")</f>
        <v>30</v>
      </c>
      <c r="E1696" s="79">
        <f>IFERROR(VLOOKUP($G1696,基本資料!$A:$J,7,0),"無")</f>
        <v>64</v>
      </c>
      <c r="F1696" s="6">
        <f>IFERROR(VLOOKUP($G1696,基本資料!$A:$J,8,0),"無")</f>
        <v>1.26</v>
      </c>
      <c r="G1696" s="79">
        <v>2359</v>
      </c>
      <c r="H1696" s="17" t="s">
        <v>314</v>
      </c>
      <c r="I1696" s="22" t="s">
        <v>492</v>
      </c>
      <c r="J1696" s="8" t="str">
        <f>IFERROR(VLOOKUP($G1696,今日總結!$A:$AN,39,0),"")</f>
        <v>融</v>
      </c>
      <c r="K1696" s="5">
        <f>IFERROR(VLOOKUP($G1696,今日總結!$A:$AN,40,0),"")</f>
        <v>0</v>
      </c>
      <c r="L1696" s="156">
        <f>IFERROR(VLOOKUP($G1696,今日總結!$A:$AN,37,0),"")</f>
        <v>1</v>
      </c>
      <c r="M1696" s="337">
        <f>IFERROR(VLOOKUP($G1696,今日總結!$A:$AN,38,0),"")</f>
        <v>0</v>
      </c>
      <c r="N1696" s="240">
        <f t="shared" si="299"/>
        <v>1</v>
      </c>
      <c r="O1696" s="359">
        <f>IFERROR(VLOOKUP($G1696,融外自投!$A:$J,7,0),"無")</f>
        <v>106</v>
      </c>
      <c r="P1696" s="79">
        <f>IFERROR(VLOOKUP($G1696,融外自投!$A:$J,9,0),"無")</f>
        <v>340</v>
      </c>
      <c r="Q1696" s="342">
        <f>IFERROR(VLOOKUP($G1696,融外自投!$A:$J,8,0),"無")</f>
        <v>823</v>
      </c>
      <c r="R1696" s="81">
        <f>IFERROR(VLOOKUP($G1696,融外自投!$A:$J,10,0),"無")</f>
        <v>377</v>
      </c>
      <c r="S1696" s="324">
        <f>IFERROR(VLOOKUP($G1696,'321買'!$A:$E,4,0),"'沒有資料'")</f>
        <v>244</v>
      </c>
      <c r="T1696" s="186">
        <f>IFERROR(VLOOKUP($G1696,基本資料!$A:$J,9,0),"無")</f>
        <v>0.9</v>
      </c>
      <c r="U1696" s="307">
        <f t="shared" si="295"/>
        <v>3.4090909090909095E-2</v>
      </c>
      <c r="V1696" s="94">
        <f>IFERROR(VLOOKUP($G1696,基本資料!$A:$J,10,0),"無")</f>
        <v>1.1599999999999999</v>
      </c>
      <c r="W1696" s="36">
        <f>RTD("money.excel",,"2359","Price")</f>
        <v>26.4</v>
      </c>
      <c r="X1696" s="66"/>
      <c r="Y1696" s="15">
        <f t="shared" si="296"/>
        <v>26.4</v>
      </c>
      <c r="Z1696" s="3" t="e">
        <f t="shared" si="297"/>
        <v>#DIV/0!</v>
      </c>
      <c r="AA1696" s="340">
        <f>IFERROR(VLOOKUP($G1696,基本資料!$A:$M,11,0),"無")</f>
        <v>-16.72</v>
      </c>
      <c r="AB1696" s="389">
        <f>IFERROR(VLOOKUP($G1696,基本資料!$A:$M,12,0),"無")</f>
        <v>40.299999999999997</v>
      </c>
      <c r="AC1696" s="22" t="s">
        <v>492</v>
      </c>
      <c r="AF1696" s="33">
        <f t="shared" si="298"/>
        <v>0</v>
      </c>
      <c r="AG1696" s="43" t="s">
        <v>1042</v>
      </c>
      <c r="AH1696" s="66">
        <f t="shared" si="287"/>
        <v>1.44616379926428</v>
      </c>
      <c r="AI1696" s="283">
        <f>RTD("money.excel",,$G1696,"PredictVolume")</f>
        <v>9612</v>
      </c>
      <c r="AJ1696" s="391">
        <f>IFERROR(VLOOKUP($G1696,基本資料!$A:$M,13,0),"無")</f>
        <v>6646.55</v>
      </c>
      <c r="AR1696" s="245" t="str">
        <f>INDEX(基本資料!N:N,MATCH($G1696,基本資料!A:A,0))</f>
        <v>中</v>
      </c>
    </row>
    <row r="1697" spans="1:44">
      <c r="A1697" s="343">
        <f>IFERROR(VLOOKUP($G1697,基本資料!$A:$J,3,0),"無")</f>
        <v>42.24</v>
      </c>
      <c r="B1697" s="79">
        <f>IFERROR(VLOOKUP($G1697,基本資料!$A:$J,4,0),"無")</f>
        <v>80</v>
      </c>
      <c r="C1697" s="79">
        <f>IFERROR(VLOOKUP($G1697,基本資料!$A:$J,5,0),"無")</f>
        <v>9</v>
      </c>
      <c r="D1697" s="79">
        <f>IFERROR(VLOOKUP($G1697,基本資料!$A:$J,6,0),"無")</f>
        <v>-29</v>
      </c>
      <c r="E1697" s="79">
        <f>IFERROR(VLOOKUP($G1697,基本資料!$A:$J,7,0),"無")</f>
        <v>-9</v>
      </c>
      <c r="F1697" s="6">
        <f>IFERROR(VLOOKUP($G1697,基本資料!$A:$J,8,0),"無")</f>
        <v>17.489999999999998</v>
      </c>
      <c r="G1697" s="79">
        <v>2360</v>
      </c>
      <c r="H1697" s="8" t="s">
        <v>314</v>
      </c>
      <c r="I1697" s="22" t="s">
        <v>44</v>
      </c>
      <c r="J1697" s="8" t="str">
        <f>IFERROR(VLOOKUP($G1697,今日總結!$A:$AN,39,0),"")</f>
        <v>借</v>
      </c>
      <c r="K1697" s="5" t="str">
        <f>IFERROR(VLOOKUP($G1697,今日總結!$A:$AN,40,0),"")</f>
        <v>融</v>
      </c>
      <c r="L1697" s="156">
        <f>IFERROR(VLOOKUP($G1697,今日總結!$A:$AN,37,0),"")</f>
        <v>1</v>
      </c>
      <c r="M1697" s="337">
        <f>IFERROR(VLOOKUP($G1697,今日總結!$A:$AN,38,0),"")</f>
        <v>1</v>
      </c>
      <c r="N1697" s="240">
        <f t="shared" si="299"/>
        <v>0</v>
      </c>
      <c r="O1697" s="359">
        <f>IFERROR(VLOOKUP($G1697,融外自投!$A:$J,7,0),"無")</f>
        <v>1323</v>
      </c>
      <c r="P1697" s="79">
        <f>IFERROR(VLOOKUP($G1697,融外自投!$A:$J,9,0),"無")</f>
        <v>741</v>
      </c>
      <c r="Q1697" s="342">
        <f>IFERROR(VLOOKUP($G1697,融外自投!$A:$J,8,0),"無")</f>
        <v>29</v>
      </c>
      <c r="R1697" s="81">
        <f>IFERROR(VLOOKUP($G1697,融外自投!$A:$J,10,0),"無")</f>
        <v>231</v>
      </c>
      <c r="S1697" s="324">
        <f>IFERROR(VLOOKUP($G1697,'321買'!$A:$E,4,0),"'沒有資料'")</f>
        <v>801</v>
      </c>
      <c r="T1697" s="186">
        <f>IFERROR(VLOOKUP($G1697,基本資料!$A:$J,9,0),"無")</f>
        <v>7</v>
      </c>
      <c r="U1697" s="307">
        <f t="shared" si="295"/>
        <v>4.4303797468354431E-2</v>
      </c>
      <c r="V1697" s="94">
        <f>IFERROR(VLOOKUP($G1697,基本資料!$A:$J,10,0),"無")</f>
        <v>9.9600000000000009</v>
      </c>
      <c r="W1697" s="36">
        <f>RTD("money.excel",,"2360","Price")</f>
        <v>158</v>
      </c>
      <c r="X1697" s="66"/>
      <c r="Y1697" s="15">
        <f t="shared" si="296"/>
        <v>158</v>
      </c>
      <c r="Z1697" s="3" t="e">
        <f t="shared" si="297"/>
        <v>#DIV/0!</v>
      </c>
      <c r="AA1697" s="340">
        <f>IFERROR(VLOOKUP($G1697,基本資料!$A:$M,11,0),"無")</f>
        <v>-33.61</v>
      </c>
      <c r="AB1697" s="389">
        <f>IFERROR(VLOOKUP($G1697,基本資料!$A:$M,12,0),"無")</f>
        <v>20.37</v>
      </c>
      <c r="AC1697" s="22" t="s">
        <v>44</v>
      </c>
      <c r="AF1697" s="33">
        <f t="shared" si="298"/>
        <v>0</v>
      </c>
      <c r="AG1697" s="117" t="s">
        <v>3062</v>
      </c>
      <c r="AH1697" s="66">
        <f t="shared" si="287"/>
        <v>0.54848894903022105</v>
      </c>
      <c r="AI1697" s="283">
        <f>RTD("money.excel",,$G1697,"PredictVolume")</f>
        <v>304</v>
      </c>
      <c r="AJ1697" s="391">
        <f>IFERROR(VLOOKUP($G1697,基本資料!$A:$M,13,0),"無")</f>
        <v>554.25</v>
      </c>
      <c r="AR1697" s="245" t="str">
        <f>INDEX(基本資料!N:N,MATCH($G1697,基本資料!A:A,0))</f>
        <v>低</v>
      </c>
    </row>
    <row r="1698" spans="1:44">
      <c r="A1698" s="343">
        <f>IFERROR(VLOOKUP($G1698,基本資料!$A:$J,3,0),"無")</f>
        <v>23.62</v>
      </c>
      <c r="B1698" s="79">
        <f>IFERROR(VLOOKUP($G1698,基本資料!$A:$J,4,0),"無")</f>
        <v>-2</v>
      </c>
      <c r="C1698" s="79">
        <f>IFERROR(VLOOKUP($G1698,基本資料!$A:$J,5,0),"無")</f>
        <v>-3</v>
      </c>
      <c r="D1698" s="79">
        <f>IFERROR(VLOOKUP($G1698,基本資料!$A:$J,6,0),"無")</f>
        <v>-41</v>
      </c>
      <c r="E1698" s="79">
        <f>IFERROR(VLOOKUP($G1698,基本資料!$A:$J,7,0),"無")</f>
        <v>-51</v>
      </c>
      <c r="F1698" s="6">
        <f>IFERROR(VLOOKUP($G1698,基本資料!$A:$J,8,0),"無")</f>
        <v>10.82</v>
      </c>
      <c r="G1698" s="79">
        <v>2373</v>
      </c>
      <c r="H1698" s="8" t="s">
        <v>314</v>
      </c>
      <c r="I1698" s="23" t="s">
        <v>248</v>
      </c>
      <c r="J1698" s="8">
        <f>IFERROR(VLOOKUP($G1698,今日總結!$A:$AN,39,0),"")</f>
        <v>0</v>
      </c>
      <c r="K1698" s="5">
        <f>IFERROR(VLOOKUP($G1698,今日總結!$A:$AN,40,0),"")</f>
        <v>0</v>
      </c>
      <c r="L1698" s="156">
        <f>IFERROR(VLOOKUP($G1698,今日總結!$A:$AN,37,0),"")</f>
        <v>0</v>
      </c>
      <c r="M1698" s="337">
        <f>IFERROR(VLOOKUP($G1698,今日總結!$A:$AN,38,0),"")</f>
        <v>0</v>
      </c>
      <c r="N1698" s="240">
        <f t="shared" si="299"/>
        <v>0</v>
      </c>
      <c r="O1698" s="359">
        <f>IFERROR(VLOOKUP($G1698,融外自投!$A:$J,7,0),"無")</f>
        <v>1381</v>
      </c>
      <c r="P1698" s="79">
        <f>IFERROR(VLOOKUP($G1698,融外自投!$A:$J,9,0),"無")</f>
        <v>908</v>
      </c>
      <c r="Q1698" s="342">
        <f>IFERROR(VLOOKUP($G1698,融外自投!$A:$J,8,0),"無")</f>
        <v>1078</v>
      </c>
      <c r="R1698" s="81" t="str">
        <f>IFERROR(VLOOKUP($G1698,融外自投!$A:$J,10,0),"無")</f>
        <v>無</v>
      </c>
      <c r="S1698" s="324">
        <f>IFERROR(VLOOKUP($G1698,'321買'!$A:$E,4,0),"'沒有資料'")</f>
        <v>1002</v>
      </c>
      <c r="T1698" s="186">
        <f>IFERROR(VLOOKUP($G1698,基本資料!$A:$J,9,0),"無")</f>
        <v>6</v>
      </c>
      <c r="U1698" s="307">
        <f t="shared" si="295"/>
        <v>6.8181818181818177E-2</v>
      </c>
      <c r="V1698" s="94">
        <f>IFERROR(VLOOKUP($G1698,基本資料!$A:$J,10,0),"無")</f>
        <v>6.19</v>
      </c>
      <c r="W1698" s="36">
        <f>RTD("money.excel",,"2373","Price")</f>
        <v>88</v>
      </c>
      <c r="X1698" s="66"/>
      <c r="Y1698" s="15">
        <f t="shared" si="296"/>
        <v>88</v>
      </c>
      <c r="Z1698" s="3" t="e">
        <f t="shared" si="297"/>
        <v>#DIV/0!</v>
      </c>
      <c r="AA1698" s="340">
        <f>IFERROR(VLOOKUP($G1698,基本資料!$A:$M,11,0),"無")</f>
        <v>-6.48</v>
      </c>
      <c r="AB1698" s="389">
        <f>IFERROR(VLOOKUP($G1698,基本資料!$A:$M,12,0),"無")</f>
        <v>23.81</v>
      </c>
      <c r="AC1698" s="23" t="s">
        <v>248</v>
      </c>
      <c r="AF1698" s="33">
        <f t="shared" si="298"/>
        <v>0</v>
      </c>
      <c r="AG1698" s="119" t="s">
        <v>2562</v>
      </c>
      <c r="AH1698" s="66">
        <f t="shared" si="287"/>
        <v>1.035007610350076</v>
      </c>
      <c r="AI1698" s="283">
        <f>RTD("money.excel",,$G1698,"PredictVolume")</f>
        <v>34</v>
      </c>
      <c r="AJ1698" s="391">
        <f>IFERROR(VLOOKUP($G1698,基本資料!$A:$M,13,0),"無")</f>
        <v>32.85</v>
      </c>
      <c r="AR1698" s="245" t="str">
        <f>INDEX(基本資料!N:N,MATCH($G1698,基本資料!A:A,0))</f>
        <v>低</v>
      </c>
    </row>
    <row r="1699" spans="1:44">
      <c r="A1699" s="343">
        <f>IFERROR(VLOOKUP($G1699,基本資料!$A:$J,3,0),"無")</f>
        <v>21.4</v>
      </c>
      <c r="B1699" s="79">
        <f>IFERROR(VLOOKUP($G1699,基本資料!$A:$J,4,0),"無")</f>
        <v>630</v>
      </c>
      <c r="C1699" s="79">
        <f>IFERROR(VLOOKUP($G1699,基本資料!$A:$J,5,0),"無")</f>
        <v>-39</v>
      </c>
      <c r="D1699" s="79">
        <f>IFERROR(VLOOKUP($G1699,基本資料!$A:$J,6,0),"無")</f>
        <v>-10</v>
      </c>
      <c r="E1699" s="79">
        <f>IFERROR(VLOOKUP($G1699,基本資料!$A:$J,7,0),"無")</f>
        <v>-29</v>
      </c>
      <c r="F1699" s="6">
        <f>IFERROR(VLOOKUP($G1699,基本資料!$A:$J,8,0),"無")</f>
        <v>-28.92</v>
      </c>
      <c r="G1699" s="79">
        <v>2390</v>
      </c>
      <c r="H1699" s="8" t="s">
        <v>314</v>
      </c>
      <c r="I1699" s="22" t="s">
        <v>493</v>
      </c>
      <c r="J1699" s="8">
        <f>IFERROR(VLOOKUP($G1699,今日總結!$A:$AN,39,0),"")</f>
        <v>0</v>
      </c>
      <c r="K1699" s="5" t="str">
        <f>IFERROR(VLOOKUP($G1699,今日總結!$A:$AN,40,0),"")</f>
        <v>2借</v>
      </c>
      <c r="L1699" s="156">
        <f>IFERROR(VLOOKUP($G1699,今日總結!$A:$AN,37,0),"")</f>
        <v>0</v>
      </c>
      <c r="M1699" s="337">
        <f>IFERROR(VLOOKUP($G1699,今日總結!$A:$AN,38,0),"")</f>
        <v>7</v>
      </c>
      <c r="N1699" s="240">
        <f t="shared" si="299"/>
        <v>-7</v>
      </c>
      <c r="O1699" s="359">
        <f>IFERROR(VLOOKUP($G1699,融外自投!$A:$J,7,0),"無")</f>
        <v>113</v>
      </c>
      <c r="P1699" s="79">
        <f>IFERROR(VLOOKUP($G1699,融外自投!$A:$J,9,0),"無")</f>
        <v>649</v>
      </c>
      <c r="Q1699" s="342">
        <f>IFERROR(VLOOKUP($G1699,融外自投!$A:$J,8,0),"無")</f>
        <v>1150</v>
      </c>
      <c r="R1699" s="81" t="str">
        <f>IFERROR(VLOOKUP($G1699,融外自投!$A:$J,10,0),"無")</f>
        <v>無</v>
      </c>
      <c r="S1699" s="324">
        <f>IFERROR(VLOOKUP($G1699,'321買'!$A:$E,4,0),"'沒有資料'")</f>
        <v>343</v>
      </c>
      <c r="T1699" s="186">
        <f>IFERROR(VLOOKUP($G1699,基本資料!$A:$J,9,0),"無")</f>
        <v>1</v>
      </c>
      <c r="U1699" s="307">
        <f t="shared" si="295"/>
        <v>5.181347150259067E-2</v>
      </c>
      <c r="V1699" s="94">
        <f>IFERROR(VLOOKUP($G1699,基本資料!$A:$J,10,0),"無")</f>
        <v>6.67</v>
      </c>
      <c r="W1699" s="36">
        <f>RTD("money.excel",,"2390","Price")</f>
        <v>19.3</v>
      </c>
      <c r="X1699" s="66"/>
      <c r="Y1699" s="15">
        <f t="shared" si="296"/>
        <v>19.3</v>
      </c>
      <c r="Z1699" s="3" t="e">
        <f t="shared" si="297"/>
        <v>#DIV/0!</v>
      </c>
      <c r="AA1699" s="340">
        <f>IFERROR(VLOOKUP($G1699,基本資料!$A:$M,11,0),"無")</f>
        <v>-43.32</v>
      </c>
      <c r="AB1699" s="389">
        <f>IFERROR(VLOOKUP($G1699,基本資料!$A:$M,12,0),"無")</f>
        <v>33.99</v>
      </c>
      <c r="AC1699" s="22" t="s">
        <v>493</v>
      </c>
      <c r="AF1699" s="33">
        <f t="shared" si="298"/>
        <v>0</v>
      </c>
      <c r="AG1699" s="43" t="s">
        <v>2563</v>
      </c>
      <c r="AH1699" s="66">
        <f t="shared" si="287"/>
        <v>1.4913545984042067</v>
      </c>
      <c r="AI1699" s="283">
        <f>RTD("money.excel",,$G1699,"PredictVolume")</f>
        <v>12252</v>
      </c>
      <c r="AJ1699" s="391">
        <f>IFERROR(VLOOKUP($G1699,基本資料!$A:$M,13,0),"無")</f>
        <v>8215.35</v>
      </c>
      <c r="AR1699" s="245" t="str">
        <f>INDEX(基本資料!N:N,MATCH($G1699,基本資料!A:A,0))</f>
        <v>低</v>
      </c>
    </row>
    <row r="1700" spans="1:44">
      <c r="A1700" s="343">
        <f>IFERROR(VLOOKUP($G1700,基本資料!$A:$J,3,0),"無")</f>
        <v>19.05</v>
      </c>
      <c r="B1700" s="79">
        <f>IFERROR(VLOOKUP($G1700,基本資料!$A:$J,4,0),"無")</f>
        <v>-31</v>
      </c>
      <c r="C1700" s="79">
        <f>IFERROR(VLOOKUP($G1700,基本資料!$A:$J,5,0),"無")</f>
        <v>-32</v>
      </c>
      <c r="D1700" s="79">
        <f>IFERROR(VLOOKUP($G1700,基本資料!$A:$J,6,0),"無")</f>
        <v>15</v>
      </c>
      <c r="E1700" s="79">
        <f>IFERROR(VLOOKUP($G1700,基本資料!$A:$J,7,0),"無")</f>
        <v>16</v>
      </c>
      <c r="F1700" s="6">
        <f>IFERROR(VLOOKUP($G1700,基本資料!$A:$J,8,0),"無")</f>
        <v>12.26</v>
      </c>
      <c r="G1700" s="79">
        <v>2404</v>
      </c>
      <c r="H1700" s="8" t="s">
        <v>314</v>
      </c>
      <c r="I1700" s="22" t="s">
        <v>494</v>
      </c>
      <c r="J1700" s="8">
        <f>IFERROR(VLOOKUP($G1700,今日總結!$A:$AN,39,0),"")</f>
        <v>0</v>
      </c>
      <c r="K1700" s="5">
        <f>IFERROR(VLOOKUP($G1700,今日總結!$A:$AN,40,0),"")</f>
        <v>0</v>
      </c>
      <c r="L1700" s="156">
        <f>IFERROR(VLOOKUP($G1700,今日總結!$A:$AN,37,0),"")</f>
        <v>0</v>
      </c>
      <c r="M1700" s="337">
        <f>IFERROR(VLOOKUP($G1700,今日總結!$A:$AN,38,0),"")</f>
        <v>0</v>
      </c>
      <c r="N1700" s="240">
        <f t="shared" si="299"/>
        <v>0</v>
      </c>
      <c r="O1700" s="359">
        <f>IFERROR(VLOOKUP($G1700,融外自投!$A:$J,7,0),"無")</f>
        <v>942</v>
      </c>
      <c r="P1700" s="79">
        <f>IFERROR(VLOOKUP($G1700,融外自投!$A:$J,9,0),"無")</f>
        <v>21</v>
      </c>
      <c r="Q1700" s="342">
        <f>IFERROR(VLOOKUP($G1700,融外自投!$A:$J,8,0),"無")</f>
        <v>249</v>
      </c>
      <c r="R1700" s="81">
        <f>IFERROR(VLOOKUP($G1700,融外自投!$A:$J,10,0),"無")</f>
        <v>127</v>
      </c>
      <c r="S1700" s="324">
        <f>IFERROR(VLOOKUP($G1700,'321買'!$A:$E,4,0),"'沒有資料'")</f>
        <v>366</v>
      </c>
      <c r="T1700" s="186">
        <f>IFERROR(VLOOKUP($G1700,基本資料!$A:$J,9,0),"無")</f>
        <v>13</v>
      </c>
      <c r="U1700" s="307">
        <f t="shared" si="295"/>
        <v>7.4498567335243557E-2</v>
      </c>
      <c r="V1700" s="94">
        <f>IFERROR(VLOOKUP($G1700,基本資料!$A:$J,10,0),"無")</f>
        <v>14.53</v>
      </c>
      <c r="W1700" s="36">
        <f>RTD("money.excel",,"2404","Price")</f>
        <v>174.5</v>
      </c>
      <c r="X1700" s="66"/>
      <c r="Y1700" s="15">
        <f t="shared" si="296"/>
        <v>174.5</v>
      </c>
      <c r="Z1700" s="3" t="e">
        <f t="shared" si="297"/>
        <v>#DIV/0!</v>
      </c>
      <c r="AA1700" s="340">
        <f>IFERROR(VLOOKUP($G1700,基本資料!$A:$M,11,0),"無")</f>
        <v>-28.34</v>
      </c>
      <c r="AB1700" s="389">
        <f>IFERROR(VLOOKUP($G1700,基本資料!$A:$M,12,0),"無")</f>
        <v>23.2</v>
      </c>
      <c r="AC1700" s="22" t="s">
        <v>494</v>
      </c>
      <c r="AF1700" s="33">
        <f t="shared" si="298"/>
        <v>0</v>
      </c>
      <c r="AG1700" s="43" t="s">
        <v>1444</v>
      </c>
      <c r="AH1700" s="66">
        <f t="shared" si="287"/>
        <v>0.53068592057761732</v>
      </c>
      <c r="AI1700" s="283">
        <f>RTD("money.excel",,$G1700,"PredictVolume")</f>
        <v>294</v>
      </c>
      <c r="AJ1700" s="391">
        <f>IFERROR(VLOOKUP($G1700,基本資料!$A:$M,13,0),"無")</f>
        <v>554</v>
      </c>
      <c r="AR1700" s="245" t="str">
        <f>INDEX(基本資料!N:N,MATCH($G1700,基本資料!A:A,0))</f>
        <v>低</v>
      </c>
    </row>
    <row r="1701" spans="1:44">
      <c r="A1701" s="343">
        <f>IFERROR(VLOOKUP($G1701,基本資料!$A:$J,3,0),"無")</f>
        <v>14.5</v>
      </c>
      <c r="B1701" s="79">
        <f>IFERROR(VLOOKUP($G1701,基本資料!$A:$J,4,0),"無")</f>
        <v>45</v>
      </c>
      <c r="C1701" s="79">
        <f>IFERROR(VLOOKUP($G1701,基本資料!$A:$J,5,0),"無")</f>
        <v>52</v>
      </c>
      <c r="D1701" s="79">
        <f>IFERROR(VLOOKUP($G1701,基本資料!$A:$J,6,0),"無")</f>
        <v>-16</v>
      </c>
      <c r="E1701" s="79">
        <f>IFERROR(VLOOKUP($G1701,基本資料!$A:$J,7,0),"無")</f>
        <v>-1</v>
      </c>
      <c r="F1701" s="6">
        <f>IFERROR(VLOOKUP($G1701,基本資料!$A:$J,8,0),"無")</f>
        <v>14.56</v>
      </c>
      <c r="G1701" s="79">
        <v>2423</v>
      </c>
      <c r="H1701" s="8" t="s">
        <v>314</v>
      </c>
      <c r="I1701" s="22" t="s">
        <v>495</v>
      </c>
      <c r="J1701" s="8">
        <f>IFERROR(VLOOKUP($G1701,今日總結!$A:$AN,39,0),"")</f>
        <v>0</v>
      </c>
      <c r="K1701" s="5" t="str">
        <f>IFERROR(VLOOKUP($G1701,今日總結!$A:$AN,40,0),"")</f>
        <v>自</v>
      </c>
      <c r="L1701" s="156">
        <f>IFERROR(VLOOKUP($G1701,今日總結!$A:$AN,37,0),"")</f>
        <v>0</v>
      </c>
      <c r="M1701" s="337">
        <f>IFERROR(VLOOKUP($G1701,今日總結!$A:$AN,38,0),"")</f>
        <v>1</v>
      </c>
      <c r="N1701" s="240">
        <f t="shared" si="299"/>
        <v>-1</v>
      </c>
      <c r="O1701" s="359">
        <f>IFERROR(VLOOKUP($G1701,融外自投!$A:$J,7,0),"無")</f>
        <v>1209</v>
      </c>
      <c r="P1701" s="79">
        <f>IFERROR(VLOOKUP($G1701,融外自投!$A:$J,9,0),"無")</f>
        <v>615</v>
      </c>
      <c r="Q1701" s="342">
        <f>IFERROR(VLOOKUP($G1701,融外自投!$A:$J,8,0),"無")</f>
        <v>859</v>
      </c>
      <c r="R1701" s="81" t="str">
        <f>IFERROR(VLOOKUP($G1701,融外自投!$A:$J,10,0),"無")</f>
        <v>無</v>
      </c>
      <c r="S1701" s="324">
        <f>IFERROR(VLOOKUP($G1701,'321買'!$A:$E,4,0),"'沒有資料'")</f>
        <v>1002</v>
      </c>
      <c r="T1701" s="186">
        <f>IFERROR(VLOOKUP($G1701,基本資料!$A:$J,9,0),"無")</f>
        <v>1.5</v>
      </c>
      <c r="U1701" s="307">
        <f t="shared" si="295"/>
        <v>5.3003533568904596E-2</v>
      </c>
      <c r="V1701" s="94">
        <f>IFERROR(VLOOKUP($G1701,基本資料!$A:$J,10,0),"無")</f>
        <v>2</v>
      </c>
      <c r="W1701" s="36">
        <f>RTD("money.excel",,"2423","Price")</f>
        <v>28.3</v>
      </c>
      <c r="X1701" s="66"/>
      <c r="Y1701" s="15">
        <f t="shared" si="296"/>
        <v>28.3</v>
      </c>
      <c r="Z1701" s="3" t="e">
        <f t="shared" si="297"/>
        <v>#DIV/0!</v>
      </c>
      <c r="AA1701" s="340">
        <f>IFERROR(VLOOKUP($G1701,基本資料!$A:$M,11,0),"無")</f>
        <v>-15.52</v>
      </c>
      <c r="AB1701" s="389">
        <f>IFERROR(VLOOKUP($G1701,基本資料!$A:$M,12,0),"無")</f>
        <v>55.44</v>
      </c>
      <c r="AC1701" s="22" t="s">
        <v>495</v>
      </c>
      <c r="AF1701" s="33">
        <f t="shared" si="298"/>
        <v>0</v>
      </c>
      <c r="AG1701" s="43" t="s">
        <v>2564</v>
      </c>
      <c r="AH1701" s="66">
        <f t="shared" si="287"/>
        <v>0.85098544851722235</v>
      </c>
      <c r="AI1701" s="283">
        <f>RTD("money.excel",,$G1701,"PredictVolume")</f>
        <v>231</v>
      </c>
      <c r="AJ1701" s="391">
        <f>IFERROR(VLOOKUP($G1701,基本資料!$A:$M,13,0),"無")</f>
        <v>271.45</v>
      </c>
      <c r="AR1701" s="245" t="str">
        <f>INDEX(基本資料!N:N,MATCH($G1701,基本資料!A:A,0))</f>
        <v>中</v>
      </c>
    </row>
    <row r="1702" spans="1:44">
      <c r="A1702" s="343">
        <f>IFERROR(VLOOKUP($G1702,基本資料!$A:$J,3,0),"無")</f>
        <v>14.44</v>
      </c>
      <c r="B1702" s="79">
        <f>IFERROR(VLOOKUP($G1702,基本資料!$A:$J,4,0),"無")</f>
        <v>-4</v>
      </c>
      <c r="C1702" s="79">
        <f>IFERROR(VLOOKUP($G1702,基本資料!$A:$J,5,0),"無")</f>
        <v>-11</v>
      </c>
      <c r="D1702" s="79">
        <f>IFERROR(VLOOKUP($G1702,基本資料!$A:$J,6,0),"無")</f>
        <v>0</v>
      </c>
      <c r="E1702" s="79">
        <f>IFERROR(VLOOKUP($G1702,基本資料!$A:$J,7,0),"無")</f>
        <v>-18</v>
      </c>
      <c r="F1702" s="6">
        <f>IFERROR(VLOOKUP($G1702,基本資料!$A:$J,8,0),"無")</f>
        <v>11.55</v>
      </c>
      <c r="G1702" s="79">
        <v>2433</v>
      </c>
      <c r="H1702" s="8" t="s">
        <v>314</v>
      </c>
      <c r="I1702" s="22" t="s">
        <v>496</v>
      </c>
      <c r="J1702" s="8">
        <f>IFERROR(VLOOKUP($G1702,今日總結!$A:$AN,39,0),"")</f>
        <v>0</v>
      </c>
      <c r="K1702" s="5">
        <f>IFERROR(VLOOKUP($G1702,今日總結!$A:$AN,40,0),"")</f>
        <v>0</v>
      </c>
      <c r="L1702" s="156">
        <f>IFERROR(VLOOKUP($G1702,今日總結!$A:$AN,37,0),"")</f>
        <v>0</v>
      </c>
      <c r="M1702" s="337">
        <f>IFERROR(VLOOKUP($G1702,今日總結!$A:$AN,38,0),"")</f>
        <v>0</v>
      </c>
      <c r="N1702" s="240">
        <f t="shared" si="299"/>
        <v>0</v>
      </c>
      <c r="O1702" s="359">
        <f>IFERROR(VLOOKUP($G1702,融外自投!$A:$J,7,0),"無")</f>
        <v>1399</v>
      </c>
      <c r="P1702" s="79">
        <f>IFERROR(VLOOKUP($G1702,融外自投!$A:$J,9,0),"無")</f>
        <v>869</v>
      </c>
      <c r="Q1702" s="342">
        <f>IFERROR(VLOOKUP($G1702,融外自投!$A:$J,8,0),"無")</f>
        <v>1262</v>
      </c>
      <c r="R1702" s="81" t="str">
        <f>IFERROR(VLOOKUP($G1702,融外自投!$A:$J,10,0),"無")</f>
        <v>無</v>
      </c>
      <c r="S1702" s="324">
        <f>IFERROR(VLOOKUP($G1702,'321買'!$A:$E,4,0),"'沒有資料'")</f>
        <v>1002</v>
      </c>
      <c r="T1702" s="186">
        <f>IFERROR(VLOOKUP($G1702,基本資料!$A:$J,9,0),"無")</f>
        <v>3.5</v>
      </c>
      <c r="U1702" s="307">
        <f t="shared" si="295"/>
        <v>6.8359375E-2</v>
      </c>
      <c r="V1702" s="94">
        <f>IFERROR(VLOOKUP($G1702,基本資料!$A:$J,10,0),"無")</f>
        <v>3.8</v>
      </c>
      <c r="W1702" s="36">
        <f>RTD("money.excel",,"2433","Price")</f>
        <v>51.2</v>
      </c>
      <c r="X1702" s="66"/>
      <c r="Y1702" s="15">
        <f t="shared" si="296"/>
        <v>51.2</v>
      </c>
      <c r="Z1702" s="3" t="e">
        <f t="shared" si="297"/>
        <v>#DIV/0!</v>
      </c>
      <c r="AA1702" s="340">
        <f>IFERROR(VLOOKUP($G1702,基本資料!$A:$M,11,0),"無")</f>
        <v>-6.91</v>
      </c>
      <c r="AB1702" s="389">
        <f>IFERROR(VLOOKUP($G1702,基本資料!$A:$M,12,0),"無")</f>
        <v>37.799999999999997</v>
      </c>
      <c r="AC1702" s="22" t="s">
        <v>496</v>
      </c>
      <c r="AF1702" s="33">
        <f t="shared" si="298"/>
        <v>0</v>
      </c>
      <c r="AG1702" s="43" t="s">
        <v>2565</v>
      </c>
      <c r="AH1702" s="66">
        <f t="shared" si="287"/>
        <v>1.0790464240903388</v>
      </c>
      <c r="AI1702" s="283">
        <f>RTD("money.excel",,$G1702,"PredictVolume")</f>
        <v>43</v>
      </c>
      <c r="AJ1702" s="391">
        <f>IFERROR(VLOOKUP($G1702,基本資料!$A:$M,13,0),"無")</f>
        <v>39.85</v>
      </c>
      <c r="AR1702" s="245" t="str">
        <f>INDEX(基本資料!N:N,MATCH($G1702,基本資料!A:A,0))</f>
        <v>低</v>
      </c>
    </row>
    <row r="1703" spans="1:44">
      <c r="A1703" s="343">
        <f>IFERROR(VLOOKUP($G1703,基本資料!$A:$J,3,0),"無")</f>
        <v>16.38</v>
      </c>
      <c r="B1703" s="79">
        <f>IFERROR(VLOOKUP($G1703,基本資料!$A:$J,4,0),"無")</f>
        <v>78</v>
      </c>
      <c r="C1703" s="79">
        <f>IFERROR(VLOOKUP($G1703,基本資料!$A:$J,5,0),"無")</f>
        <v>-5</v>
      </c>
      <c r="D1703" s="79">
        <f>IFERROR(VLOOKUP($G1703,基本資料!$A:$J,6,0),"無")</f>
        <v>-2</v>
      </c>
      <c r="E1703" s="79">
        <f>IFERROR(VLOOKUP($G1703,基本資料!$A:$J,7,0),"無")</f>
        <v>6</v>
      </c>
      <c r="F1703" s="6">
        <f>IFERROR(VLOOKUP($G1703,基本資料!$A:$J,8,0),"無")</f>
        <v>3.52</v>
      </c>
      <c r="G1703" s="79">
        <v>2461</v>
      </c>
      <c r="H1703" s="8" t="s">
        <v>314</v>
      </c>
      <c r="I1703" s="22" t="s">
        <v>497</v>
      </c>
      <c r="J1703" s="8">
        <f>IFERROR(VLOOKUP($G1703,今日總結!$A:$AN,39,0),"")</f>
        <v>0</v>
      </c>
      <c r="K1703" s="5">
        <f>IFERROR(VLOOKUP($G1703,今日總結!$A:$AN,40,0),"")</f>
        <v>0</v>
      </c>
      <c r="L1703" s="156">
        <f>IFERROR(VLOOKUP($G1703,今日總結!$A:$AN,37,0),"")</f>
        <v>0</v>
      </c>
      <c r="M1703" s="337">
        <f>IFERROR(VLOOKUP($G1703,今日總結!$A:$AN,38,0),"")</f>
        <v>0</v>
      </c>
      <c r="N1703" s="240">
        <f t="shared" si="299"/>
        <v>0</v>
      </c>
      <c r="O1703" s="359">
        <f>IFERROR(VLOOKUP($G1703,融外自投!$A:$J,7,0),"無")</f>
        <v>272</v>
      </c>
      <c r="P1703" s="79">
        <f>IFERROR(VLOOKUP($G1703,融外自投!$A:$J,9,0),"無")</f>
        <v>990</v>
      </c>
      <c r="Q1703" s="342">
        <f>IFERROR(VLOOKUP($G1703,融外自投!$A:$J,8,0),"無")</f>
        <v>641</v>
      </c>
      <c r="R1703" s="81" t="str">
        <f>IFERROR(VLOOKUP($G1703,融外自投!$A:$J,10,0),"無")</f>
        <v>無</v>
      </c>
      <c r="S1703" s="324">
        <f>IFERROR(VLOOKUP($G1703,'321買'!$A:$E,4,0),"'沒有資料'")</f>
        <v>321</v>
      </c>
      <c r="T1703" s="186">
        <f>IFERROR(VLOOKUP($G1703,基本資料!$A:$J,9,0),"無")</f>
        <v>1.74</v>
      </c>
      <c r="U1703" s="307">
        <f t="shared" si="295"/>
        <v>8.7218045112781958E-2</v>
      </c>
      <c r="V1703" s="94">
        <f>IFERROR(VLOOKUP($G1703,基本資料!$A:$J,10,0),"無")</f>
        <v>2.42</v>
      </c>
      <c r="W1703" s="36">
        <f>RTD("money.excel",,"2461","Price")</f>
        <v>19.95</v>
      </c>
      <c r="X1703" s="66"/>
      <c r="Y1703" s="15">
        <f t="shared" si="296"/>
        <v>19.95</v>
      </c>
      <c r="Z1703" s="3" t="e">
        <f t="shared" si="297"/>
        <v>#DIV/0!</v>
      </c>
      <c r="AA1703" s="340">
        <f>IFERROR(VLOOKUP($G1703,基本資料!$A:$M,11,0),"無")</f>
        <v>-24.72</v>
      </c>
      <c r="AB1703" s="389">
        <f>IFERROR(VLOOKUP($G1703,基本資料!$A:$M,12,0),"無")</f>
        <v>8.8000000000000007</v>
      </c>
      <c r="AC1703" s="22" t="s">
        <v>497</v>
      </c>
      <c r="AF1703" s="33">
        <f t="shared" si="298"/>
        <v>0</v>
      </c>
      <c r="AG1703" s="43" t="s">
        <v>2566</v>
      </c>
      <c r="AH1703" s="66">
        <f t="shared" si="287"/>
        <v>1.2678770666396186</v>
      </c>
      <c r="AI1703" s="283">
        <f>RTD("money.excel",,$G1703,"PredictVolume")</f>
        <v>625</v>
      </c>
      <c r="AJ1703" s="391">
        <f>IFERROR(VLOOKUP($G1703,基本資料!$A:$M,13,0),"無")</f>
        <v>492.95</v>
      </c>
      <c r="AR1703" s="245" t="str">
        <f>INDEX(基本資料!N:N,MATCH($G1703,基本資料!A:A,0))</f>
        <v>低</v>
      </c>
    </row>
    <row r="1704" spans="1:44">
      <c r="A1704" s="343">
        <f>IFERROR(VLOOKUP($G1704,基本資料!$A:$J,3,0),"無")</f>
        <v>19.55</v>
      </c>
      <c r="B1704" s="79">
        <f>IFERROR(VLOOKUP($G1704,基本資料!$A:$J,4,0),"無")</f>
        <v>3</v>
      </c>
      <c r="C1704" s="79">
        <f>IFERROR(VLOOKUP($G1704,基本資料!$A:$J,5,0),"無")</f>
        <v>3</v>
      </c>
      <c r="D1704" s="79">
        <f>IFERROR(VLOOKUP($G1704,基本資料!$A:$J,6,0),"無")</f>
        <v>-3</v>
      </c>
      <c r="E1704" s="79">
        <f>IFERROR(VLOOKUP($G1704,基本資料!$A:$J,7,0),"無")</f>
        <v>11</v>
      </c>
      <c r="F1704" s="6">
        <f>IFERROR(VLOOKUP($G1704,基本資料!$A:$J,8,0),"無")</f>
        <v>7.01</v>
      </c>
      <c r="G1704" s="79">
        <v>2464</v>
      </c>
      <c r="H1704" s="8" t="s">
        <v>314</v>
      </c>
      <c r="I1704" s="22" t="s">
        <v>498</v>
      </c>
      <c r="J1704" s="8">
        <f>IFERROR(VLOOKUP($G1704,今日總結!$A:$AN,39,0),"")</f>
        <v>0</v>
      </c>
      <c r="K1704" s="5" t="str">
        <f>IFERROR(VLOOKUP($G1704,今日總結!$A:$AN,40,0),"")</f>
        <v>融</v>
      </c>
      <c r="L1704" s="156">
        <f>IFERROR(VLOOKUP($G1704,今日總結!$A:$AN,37,0),"")</f>
        <v>0</v>
      </c>
      <c r="M1704" s="337">
        <f>IFERROR(VLOOKUP($G1704,今日總結!$A:$AN,38,0),"")</f>
        <v>14</v>
      </c>
      <c r="N1704" s="240">
        <f t="shared" si="299"/>
        <v>-14</v>
      </c>
      <c r="O1704" s="359">
        <f>IFERROR(VLOOKUP($G1704,融外自投!$A:$J,7,0),"無")</f>
        <v>826</v>
      </c>
      <c r="P1704" s="79">
        <f>IFERROR(VLOOKUP($G1704,融外自投!$A:$J,9,0),"無")</f>
        <v>550</v>
      </c>
      <c r="Q1704" s="342">
        <f>IFERROR(VLOOKUP($G1704,融外自投!$A:$J,8,0),"無")</f>
        <v>753</v>
      </c>
      <c r="R1704" s="81" t="str">
        <f>IFERROR(VLOOKUP($G1704,融外自投!$A:$J,10,0),"無")</f>
        <v>無</v>
      </c>
      <c r="S1704" s="324">
        <f>IFERROR(VLOOKUP($G1704,'321買'!$A:$E,4,0),"'沒有資料'")</f>
        <v>801</v>
      </c>
      <c r="T1704" s="186">
        <f>IFERROR(VLOOKUP($G1704,基本資料!$A:$J,9,0),"無")</f>
        <v>2.2000000000000002</v>
      </c>
      <c r="U1704" s="307">
        <f t="shared" si="295"/>
        <v>5.5068836045056323E-2</v>
      </c>
      <c r="V1704" s="94">
        <f>IFERROR(VLOOKUP($G1704,基本資料!$A:$J,10,0),"無")</f>
        <v>2.7</v>
      </c>
      <c r="W1704" s="36">
        <f>RTD("money.excel",,"2464","Price")</f>
        <v>39.950000000000003</v>
      </c>
      <c r="X1704" s="66"/>
      <c r="Y1704" s="15">
        <f t="shared" si="296"/>
        <v>39.950000000000003</v>
      </c>
      <c r="Z1704" s="3" t="e">
        <f t="shared" si="297"/>
        <v>#DIV/0!</v>
      </c>
      <c r="AA1704" s="340">
        <f>IFERROR(VLOOKUP($G1704,基本資料!$A:$M,11,0),"無")</f>
        <v>-14.36</v>
      </c>
      <c r="AB1704" s="389">
        <f>IFERROR(VLOOKUP($G1704,基本資料!$A:$M,12,0),"無")</f>
        <v>22.8</v>
      </c>
      <c r="AC1704" s="22" t="s">
        <v>498</v>
      </c>
      <c r="AF1704" s="33">
        <f t="shared" si="298"/>
        <v>0</v>
      </c>
      <c r="AG1704" s="43" t="s">
        <v>1436</v>
      </c>
      <c r="AH1704" s="66">
        <f t="shared" si="287"/>
        <v>1.2656084656084656</v>
      </c>
      <c r="AI1704" s="283">
        <f>RTD("money.excel",,$G1704,"PredictVolume")</f>
        <v>299</v>
      </c>
      <c r="AJ1704" s="391">
        <f>IFERROR(VLOOKUP($G1704,基本資料!$A:$M,13,0),"無")</f>
        <v>236.25</v>
      </c>
      <c r="AR1704" s="245" t="str">
        <f>INDEX(基本資料!N:N,MATCH($G1704,基本資料!A:A,0))</f>
        <v>低</v>
      </c>
    </row>
    <row r="1705" spans="1:44">
      <c r="A1705" s="343">
        <f>IFERROR(VLOOKUP($G1705,基本資料!$A:$J,3,0),"無")</f>
        <v>72.97</v>
      </c>
      <c r="B1705" s="79">
        <f>IFERROR(VLOOKUP($G1705,基本資料!$A:$J,4,0),"無")</f>
        <v>-59</v>
      </c>
      <c r="C1705" s="79">
        <f>IFERROR(VLOOKUP($G1705,基本資料!$A:$J,5,0),"無")</f>
        <v>-41</v>
      </c>
      <c r="D1705" s="79">
        <f>IFERROR(VLOOKUP($G1705,基本資料!$A:$J,6,0),"無")</f>
        <v>-58</v>
      </c>
      <c r="E1705" s="79">
        <f>IFERROR(VLOOKUP($G1705,基本資料!$A:$J,7,0),"無")</f>
        <v>-70</v>
      </c>
      <c r="F1705" s="6">
        <f>IFERROR(VLOOKUP($G1705,基本資料!$A:$J,8,0),"無")</f>
        <v>21.32</v>
      </c>
      <c r="G1705" s="79">
        <v>2474</v>
      </c>
      <c r="H1705" s="192" t="s">
        <v>314</v>
      </c>
      <c r="I1705" s="22" t="s">
        <v>273</v>
      </c>
      <c r="J1705" s="8">
        <f>IFERROR(VLOOKUP($G1705,今日總結!$A:$AN,39,0),"")</f>
        <v>0</v>
      </c>
      <c r="K1705" s="5" t="str">
        <f>IFERROR(VLOOKUP($G1705,今日總結!$A:$AN,40,0),"")</f>
        <v>融券</v>
      </c>
      <c r="L1705" s="156">
        <f>IFERROR(VLOOKUP($G1705,今日總結!$A:$AN,37,0),"")</f>
        <v>0</v>
      </c>
      <c r="M1705" s="337">
        <f>IFERROR(VLOOKUP($G1705,今日總結!$A:$AN,38,0),"")</f>
        <v>2</v>
      </c>
      <c r="N1705" s="240">
        <f t="shared" si="299"/>
        <v>-2</v>
      </c>
      <c r="O1705" s="359">
        <f>IFERROR(VLOOKUP($G1705,融外自投!$A:$J,7,0),"無")</f>
        <v>991</v>
      </c>
      <c r="P1705" s="79">
        <f>IFERROR(VLOOKUP($G1705,融外自投!$A:$J,9,0),"無")</f>
        <v>350</v>
      </c>
      <c r="Q1705" s="342">
        <f>IFERROR(VLOOKUP($G1705,融外自投!$A:$J,8,0),"無")</f>
        <v>97</v>
      </c>
      <c r="R1705" s="81">
        <f>IFERROR(VLOOKUP($G1705,融外自投!$A:$J,10,0),"無")</f>
        <v>312</v>
      </c>
      <c r="S1705" s="324">
        <f>IFERROR(VLOOKUP($G1705,'321買'!$A:$E,4,0),"'沒有資料'")</f>
        <v>530</v>
      </c>
      <c r="T1705" s="186">
        <f>IFERROR(VLOOKUP($G1705,基本資料!$A:$J,9,0),"無")</f>
        <v>10</v>
      </c>
      <c r="U1705" s="307">
        <f t="shared" si="295"/>
        <v>6.4102564102564097E-2</v>
      </c>
      <c r="V1705" s="94">
        <f>IFERROR(VLOOKUP($G1705,基本資料!$A:$J,10,0),"無")</f>
        <v>11.31</v>
      </c>
      <c r="W1705" s="36">
        <f>RTD("money.excel",,"2474","Price")</f>
        <v>156</v>
      </c>
      <c r="X1705" s="66"/>
      <c r="Y1705" s="15">
        <f t="shared" si="296"/>
        <v>156</v>
      </c>
      <c r="Z1705" s="3" t="e">
        <f t="shared" si="297"/>
        <v>#DIV/0!</v>
      </c>
      <c r="AA1705" s="340">
        <f>IFERROR(VLOOKUP($G1705,基本資料!$A:$M,11,0),"無")</f>
        <v>-18.75</v>
      </c>
      <c r="AB1705" s="389">
        <f>IFERROR(VLOOKUP($G1705,基本資料!$A:$M,12,0),"無")</f>
        <v>71.53</v>
      </c>
      <c r="AC1705" s="22" t="s">
        <v>273</v>
      </c>
      <c r="AF1705" s="33">
        <f t="shared" si="298"/>
        <v>0</v>
      </c>
      <c r="AG1705" s="117" t="s">
        <v>2393</v>
      </c>
      <c r="AH1705" s="66">
        <f t="shared" si="287"/>
        <v>1.9436002860207366</v>
      </c>
      <c r="AI1705" s="283">
        <f>RTD("money.excel",,$G1705,"PredictVolume")</f>
        <v>4349</v>
      </c>
      <c r="AJ1705" s="391">
        <f>IFERROR(VLOOKUP($G1705,基本資料!$A:$M,13,0),"無")</f>
        <v>2237.6</v>
      </c>
      <c r="AR1705" s="245" t="str">
        <f>INDEX(基本資料!N:N,MATCH($G1705,基本資料!A:A,0))</f>
        <v>低</v>
      </c>
    </row>
    <row r="1706" spans="1:44">
      <c r="A1706" s="343">
        <f>IFERROR(VLOOKUP($G1706,基本資料!$A:$J,3,0),"無")</f>
        <v>19.82</v>
      </c>
      <c r="B1706" s="79">
        <f>IFERROR(VLOOKUP($G1706,基本資料!$A:$J,4,0),"無")</f>
        <v>823</v>
      </c>
      <c r="C1706" s="79">
        <f>IFERROR(VLOOKUP($G1706,基本資料!$A:$J,5,0),"無")</f>
        <v>-119</v>
      </c>
      <c r="D1706" s="79">
        <f>IFERROR(VLOOKUP($G1706,基本資料!$A:$J,6,0),"無")</f>
        <v>31</v>
      </c>
      <c r="E1706" s="79">
        <f>IFERROR(VLOOKUP($G1706,基本資料!$A:$J,7,0),"無")</f>
        <v>25</v>
      </c>
      <c r="F1706" s="6">
        <f>IFERROR(VLOOKUP($G1706,基本資料!$A:$J,8,0),"無")</f>
        <v>-0.73</v>
      </c>
      <c r="G1706" s="79">
        <v>2477</v>
      </c>
      <c r="H1706" s="8" t="s">
        <v>314</v>
      </c>
      <c r="I1706" s="22" t="s">
        <v>1070</v>
      </c>
      <c r="J1706" s="8">
        <f>IFERROR(VLOOKUP($G1706,今日總結!$A:$AN,39,0),"")</f>
        <v>0</v>
      </c>
      <c r="K1706" s="5">
        <f>IFERROR(VLOOKUP($G1706,今日總結!$A:$AN,40,0),"")</f>
        <v>0</v>
      </c>
      <c r="L1706" s="156">
        <f>IFERROR(VLOOKUP($G1706,今日總結!$A:$AN,37,0),"")</f>
        <v>0</v>
      </c>
      <c r="M1706" s="337">
        <f>IFERROR(VLOOKUP($G1706,今日總結!$A:$AN,38,0),"")</f>
        <v>0</v>
      </c>
      <c r="N1706" s="240">
        <f t="shared" si="299"/>
        <v>0</v>
      </c>
      <c r="O1706" s="359">
        <f>IFERROR(VLOOKUP($G1706,融外自投!$A:$J,7,0),"無")</f>
        <v>847</v>
      </c>
      <c r="P1706" s="79">
        <f>IFERROR(VLOOKUP($G1706,融外自投!$A:$J,9,0),"無")</f>
        <v>1051</v>
      </c>
      <c r="Q1706" s="342">
        <f>IFERROR(VLOOKUP($G1706,融外自投!$A:$J,8,0),"無")</f>
        <v>251</v>
      </c>
      <c r="R1706" s="81" t="str">
        <f>IFERROR(VLOOKUP($G1706,融外自投!$A:$J,10,0),"無")</f>
        <v>無</v>
      </c>
      <c r="S1706" s="324">
        <f>IFERROR(VLOOKUP($G1706,'321買'!$A:$E,4,0),"'沒有資料'")</f>
        <v>1002</v>
      </c>
      <c r="T1706" s="186">
        <f>IFERROR(VLOOKUP($G1706,基本資料!$A:$J,9,0),"無")</f>
        <v>1</v>
      </c>
      <c r="U1706" s="307">
        <f t="shared" si="295"/>
        <v>4.0899795501022497E-2</v>
      </c>
      <c r="V1706" s="94">
        <f>IFERROR(VLOOKUP($G1706,基本資料!$A:$J,10,0),"無")</f>
        <v>8.27</v>
      </c>
      <c r="W1706" s="36">
        <f>RTD("money.excel",,"2477","Price")</f>
        <v>24.45</v>
      </c>
      <c r="X1706" s="66"/>
      <c r="Y1706" s="15">
        <f t="shared" si="296"/>
        <v>24.45</v>
      </c>
      <c r="Z1706" s="3" t="e">
        <f t="shared" si="297"/>
        <v>#DIV/0!</v>
      </c>
      <c r="AA1706" s="340">
        <f>IFERROR(VLOOKUP($G1706,基本資料!$A:$M,11,0),"無")</f>
        <v>-35.32</v>
      </c>
      <c r="AB1706" s="389">
        <f>IFERROR(VLOOKUP($G1706,基本資料!$A:$M,12,0),"無")</f>
        <v>8.92</v>
      </c>
      <c r="AC1706" s="22" t="s">
        <v>1070</v>
      </c>
      <c r="AF1706" s="33">
        <f t="shared" si="298"/>
        <v>0</v>
      </c>
      <c r="AG1706" s="43" t="s">
        <v>2567</v>
      </c>
      <c r="AH1706" s="66">
        <f t="shared" si="287"/>
        <v>0.57109098070106334</v>
      </c>
      <c r="AI1706" s="283">
        <f>RTD("money.excel",,$G1706,"PredictVolume")</f>
        <v>145</v>
      </c>
      <c r="AJ1706" s="391">
        <f>IFERROR(VLOOKUP($G1706,基本資料!$A:$M,13,0),"無")</f>
        <v>253.9</v>
      </c>
      <c r="AR1706" s="245" t="str">
        <f>INDEX(基本資料!N:N,MATCH($G1706,基本資料!A:A,0))</f>
        <v>低</v>
      </c>
    </row>
    <row r="1707" spans="1:44">
      <c r="A1707" s="343">
        <f>IFERROR(VLOOKUP($G1707,基本資料!$A:$J,3,0),"無")</f>
        <v>6.96</v>
      </c>
      <c r="B1707" s="79">
        <f>IFERROR(VLOOKUP($G1707,基本資料!$A:$J,4,0),"無")</f>
        <v>121</v>
      </c>
      <c r="C1707" s="79">
        <f>IFERROR(VLOOKUP($G1707,基本資料!$A:$J,5,0),"無")</f>
        <v>99</v>
      </c>
      <c r="D1707" s="79">
        <f>IFERROR(VLOOKUP($G1707,基本資料!$A:$J,6,0),"無")</f>
        <v>126</v>
      </c>
      <c r="E1707" s="79">
        <f>IFERROR(VLOOKUP($G1707,基本資料!$A:$J,7,0),"無")</f>
        <v>93</v>
      </c>
      <c r="F1707" s="6">
        <f>IFERROR(VLOOKUP($G1707,基本資料!$A:$J,8,0),"無")</f>
        <v>-0.03</v>
      </c>
      <c r="G1707" s="79">
        <v>2482</v>
      </c>
      <c r="H1707" s="8" t="s">
        <v>314</v>
      </c>
      <c r="I1707" s="22" t="s">
        <v>499</v>
      </c>
      <c r="J1707" s="8">
        <f>IFERROR(VLOOKUP($G1707,今日總結!$A:$AN,39,0),"")</f>
        <v>0</v>
      </c>
      <c r="K1707" s="5" t="str">
        <f>IFERROR(VLOOKUP($G1707,今日總結!$A:$AN,40,0),"")</f>
        <v>券</v>
      </c>
      <c r="L1707" s="156">
        <f>IFERROR(VLOOKUP($G1707,今日總結!$A:$AN,37,0),"")</f>
        <v>0</v>
      </c>
      <c r="M1707" s="337">
        <f>IFERROR(VLOOKUP($G1707,今日總結!$A:$AN,38,0),"")</f>
        <v>1</v>
      </c>
      <c r="N1707" s="240">
        <f t="shared" si="299"/>
        <v>-1</v>
      </c>
      <c r="O1707" s="359">
        <f>IFERROR(VLOOKUP($G1707,融外自投!$A:$J,7,0),"無")</f>
        <v>148</v>
      </c>
      <c r="P1707" s="79">
        <f>IFERROR(VLOOKUP($G1707,融外自投!$A:$J,9,0),"無")</f>
        <v>671</v>
      </c>
      <c r="Q1707" s="342">
        <f>IFERROR(VLOOKUP($G1707,融外自投!$A:$J,8,0),"無")</f>
        <v>748</v>
      </c>
      <c r="R1707" s="81" t="str">
        <f>IFERROR(VLOOKUP($G1707,融外自投!$A:$J,10,0),"無")</f>
        <v>無</v>
      </c>
      <c r="S1707" s="324">
        <f>IFERROR(VLOOKUP($G1707,'321買'!$A:$E,4,0),"'沒有資料'")</f>
        <v>440</v>
      </c>
      <c r="T1707" s="186">
        <f>IFERROR(VLOOKUP($G1707,基本資料!$A:$J,9,0),"無")</f>
        <v>0</v>
      </c>
      <c r="U1707" s="307">
        <f t="shared" si="295"/>
        <v>0</v>
      </c>
      <c r="V1707" s="94">
        <f>IFERROR(VLOOKUP($G1707,基本資料!$A:$J,10,0),"無")</f>
        <v>0.11</v>
      </c>
      <c r="W1707" s="36">
        <f>RTD("money.excel",,"2482","Price")</f>
        <v>16.2</v>
      </c>
      <c r="X1707" s="66"/>
      <c r="Y1707" s="15">
        <f t="shared" si="296"/>
        <v>16.2</v>
      </c>
      <c r="Z1707" s="3" t="e">
        <f t="shared" si="297"/>
        <v>#DIV/0!</v>
      </c>
      <c r="AA1707" s="340">
        <f>IFERROR(VLOOKUP($G1707,基本資料!$A:$M,11,0),"無")</f>
        <v>-16.71</v>
      </c>
      <c r="AB1707" s="389">
        <f>IFERROR(VLOOKUP($G1707,基本資料!$A:$M,12,0),"無")</f>
        <v>56.59</v>
      </c>
      <c r="AC1707" s="22" t="s">
        <v>499</v>
      </c>
      <c r="AF1707" s="33">
        <f t="shared" si="298"/>
        <v>0</v>
      </c>
      <c r="AG1707" s="43" t="s">
        <v>2568</v>
      </c>
      <c r="AH1707" s="66">
        <f t="shared" si="287"/>
        <v>8.03239608801956</v>
      </c>
      <c r="AI1707" s="283">
        <f>RTD("money.excel",,$G1707,"PredictVolume")</f>
        <v>13141</v>
      </c>
      <c r="AJ1707" s="391">
        <f>IFERROR(VLOOKUP($G1707,基本資料!$A:$M,13,0),"無")</f>
        <v>1636</v>
      </c>
      <c r="AR1707" s="245" t="str">
        <f>INDEX(基本資料!N:N,MATCH($G1707,基本資料!A:A,0))</f>
        <v>中</v>
      </c>
    </row>
    <row r="1708" spans="1:44">
      <c r="A1708" s="343">
        <f>IFERROR(VLOOKUP($G1708,基本資料!$A:$J,3,0),"無")</f>
        <v>7.99</v>
      </c>
      <c r="B1708" s="79">
        <f>IFERROR(VLOOKUP($G1708,基本資料!$A:$J,4,0),"無")</f>
        <v>-22</v>
      </c>
      <c r="C1708" s="79">
        <f>IFERROR(VLOOKUP($G1708,基本資料!$A:$J,5,0),"無")</f>
        <v>-10</v>
      </c>
      <c r="D1708" s="79">
        <f>IFERROR(VLOOKUP($G1708,基本資料!$A:$J,6,0),"無")</f>
        <v>69</v>
      </c>
      <c r="E1708" s="79">
        <f>IFERROR(VLOOKUP($G1708,基本資料!$A:$J,7,0),"無")</f>
        <v>34</v>
      </c>
      <c r="F1708" s="6">
        <f>IFERROR(VLOOKUP($G1708,基本資料!$A:$J,8,0),"無")</f>
        <v>6.34</v>
      </c>
      <c r="G1708" s="79">
        <v>2488</v>
      </c>
      <c r="H1708" s="8" t="s">
        <v>314</v>
      </c>
      <c r="I1708" s="22" t="s">
        <v>500</v>
      </c>
      <c r="J1708" s="8">
        <f>IFERROR(VLOOKUP($G1708,今日總結!$A:$AN,39,0),"")</f>
        <v>0</v>
      </c>
      <c r="K1708" s="5">
        <f>IFERROR(VLOOKUP($G1708,今日總結!$A:$AN,40,0),"")</f>
        <v>0</v>
      </c>
      <c r="L1708" s="156">
        <f>IFERROR(VLOOKUP($G1708,今日總結!$A:$AN,37,0),"")</f>
        <v>0</v>
      </c>
      <c r="M1708" s="337">
        <f>IFERROR(VLOOKUP($G1708,今日總結!$A:$AN,38,0),"")</f>
        <v>0</v>
      </c>
      <c r="N1708" s="240">
        <f t="shared" si="299"/>
        <v>0</v>
      </c>
      <c r="O1708" s="359">
        <f>IFERROR(VLOOKUP($G1708,融外自投!$A:$J,7,0),"無")</f>
        <v>933</v>
      </c>
      <c r="P1708" s="79">
        <f>IFERROR(VLOOKUP($G1708,融外自投!$A:$J,9,0),"無")</f>
        <v>869</v>
      </c>
      <c r="Q1708" s="342">
        <f>IFERROR(VLOOKUP($G1708,融外自投!$A:$J,8,0),"無")</f>
        <v>1014</v>
      </c>
      <c r="R1708" s="81" t="str">
        <f>IFERROR(VLOOKUP($G1708,融外自投!$A:$J,10,0),"無")</f>
        <v>無</v>
      </c>
      <c r="S1708" s="324">
        <f>IFERROR(VLOOKUP($G1708,'321買'!$A:$E,4,0),"'沒有資料'")</f>
        <v>1002</v>
      </c>
      <c r="T1708" s="186">
        <f>IFERROR(VLOOKUP($G1708,基本資料!$A:$J,9,0),"無")</f>
        <v>1.2</v>
      </c>
      <c r="U1708" s="307">
        <f t="shared" si="295"/>
        <v>4.7058823529411764E-2</v>
      </c>
      <c r="V1708" s="94">
        <f>IFERROR(VLOOKUP($G1708,基本資料!$A:$J,10,0),"無")</f>
        <v>1.79</v>
      </c>
      <c r="W1708" s="36">
        <f>RTD("money.excel",,"2488","Price")</f>
        <v>25.5</v>
      </c>
      <c r="X1708" s="66"/>
      <c r="Y1708" s="15">
        <f t="shared" si="296"/>
        <v>25.5</v>
      </c>
      <c r="Z1708" s="3" t="e">
        <f t="shared" si="297"/>
        <v>#DIV/0!</v>
      </c>
      <c r="AA1708" s="340">
        <f>IFERROR(VLOOKUP($G1708,基本資料!$A:$M,11,0),"無")</f>
        <v>-18.79</v>
      </c>
      <c r="AB1708" s="389">
        <f>IFERROR(VLOOKUP($G1708,基本資料!$A:$M,12,0),"無")</f>
        <v>26.93</v>
      </c>
      <c r="AC1708" s="22" t="s">
        <v>500</v>
      </c>
      <c r="AF1708" s="33">
        <f t="shared" si="298"/>
        <v>0</v>
      </c>
      <c r="AG1708" s="43" t="s">
        <v>2569</v>
      </c>
      <c r="AH1708" s="66">
        <f t="shared" si="287"/>
        <v>0.25280898876404495</v>
      </c>
      <c r="AI1708" s="283">
        <f>RTD("money.excel",,$G1708,"PredictVolume")</f>
        <v>9</v>
      </c>
      <c r="AJ1708" s="391">
        <f>IFERROR(VLOOKUP($G1708,基本資料!$A:$M,13,0),"無")</f>
        <v>35.6</v>
      </c>
      <c r="AR1708" s="245" t="str">
        <f>INDEX(基本資料!N:N,MATCH($G1708,基本資料!A:A,0))</f>
        <v>低</v>
      </c>
    </row>
    <row r="1709" spans="1:44">
      <c r="A1709" s="343">
        <f>IFERROR(VLOOKUP($G1709,基本資料!$A:$J,3,0),"無")</f>
        <v>27.35</v>
      </c>
      <c r="B1709" s="79">
        <f>IFERROR(VLOOKUP($G1709,基本資料!$A:$J,4,0),"無")</f>
        <v>323</v>
      </c>
      <c r="C1709" s="79">
        <f>IFERROR(VLOOKUP($G1709,基本資料!$A:$J,5,0),"無")</f>
        <v>186</v>
      </c>
      <c r="D1709" s="79">
        <f>IFERROR(VLOOKUP($G1709,基本資料!$A:$J,6,0),"無")</f>
        <v>-19</v>
      </c>
      <c r="E1709" s="79">
        <f>IFERROR(VLOOKUP($G1709,基本資料!$A:$J,7,0),"無")</f>
        <v>-9</v>
      </c>
      <c r="F1709" s="6">
        <f>IFERROR(VLOOKUP($G1709,基本資料!$A:$J,8,0),"無")</f>
        <v>2.19</v>
      </c>
      <c r="G1709" s="79">
        <v>2495</v>
      </c>
      <c r="H1709" s="8" t="s">
        <v>314</v>
      </c>
      <c r="I1709" s="22" t="s">
        <v>501</v>
      </c>
      <c r="J1709" s="8">
        <f>IFERROR(VLOOKUP($G1709,今日總結!$A:$AN,39,0),"")</f>
        <v>0</v>
      </c>
      <c r="K1709" s="5">
        <f>IFERROR(VLOOKUP($G1709,今日總結!$A:$AN,40,0),"")</f>
        <v>0</v>
      </c>
      <c r="L1709" s="156">
        <f>IFERROR(VLOOKUP($G1709,今日總結!$A:$AN,37,0),"")</f>
        <v>0</v>
      </c>
      <c r="M1709" s="337">
        <f>IFERROR(VLOOKUP($G1709,今日總結!$A:$AN,38,0),"")</f>
        <v>0</v>
      </c>
      <c r="N1709" s="240">
        <f t="shared" si="299"/>
        <v>0</v>
      </c>
      <c r="O1709" s="359">
        <f>IFERROR(VLOOKUP($G1709,融外自投!$A:$J,7,0),"無")</f>
        <v>568</v>
      </c>
      <c r="P1709" s="79">
        <f>IFERROR(VLOOKUP($G1709,融外自投!$A:$J,9,0),"無")</f>
        <v>584</v>
      </c>
      <c r="Q1709" s="342">
        <f>IFERROR(VLOOKUP($G1709,融外自投!$A:$J,8,0),"無")</f>
        <v>315</v>
      </c>
      <c r="R1709" s="81" t="str">
        <f>IFERROR(VLOOKUP($G1709,融外自投!$A:$J,10,0),"無")</f>
        <v>無</v>
      </c>
      <c r="S1709" s="324">
        <f>IFERROR(VLOOKUP($G1709,'321買'!$A:$E,4,0),"'沒有資料'")</f>
        <v>650</v>
      </c>
      <c r="T1709" s="186">
        <f>IFERROR(VLOOKUP($G1709,基本資料!$A:$J,9,0),"無")</f>
        <v>0.4</v>
      </c>
      <c r="U1709" s="307">
        <f t="shared" si="295"/>
        <v>2.7586206896551727E-2</v>
      </c>
      <c r="V1709" s="94">
        <f>IFERROR(VLOOKUP($G1709,基本資料!$A:$J,10,0),"無")</f>
        <v>0.53</v>
      </c>
      <c r="W1709" s="36">
        <f>RTD("money.excel",,"2495","Price")</f>
        <v>14.5</v>
      </c>
      <c r="X1709" s="66"/>
      <c r="Y1709" s="15">
        <f t="shared" si="296"/>
        <v>14.5</v>
      </c>
      <c r="Z1709" s="3" t="e">
        <f t="shared" si="297"/>
        <v>#DIV/0!</v>
      </c>
      <c r="AA1709" s="340">
        <f>IFERROR(VLOOKUP($G1709,基本資料!$A:$M,11,0),"無")</f>
        <v>-35.270000000000003</v>
      </c>
      <c r="AB1709" s="389">
        <f>IFERROR(VLOOKUP($G1709,基本資料!$A:$M,12,0),"無")</f>
        <v>23.55</v>
      </c>
      <c r="AC1709" s="22" t="s">
        <v>501</v>
      </c>
      <c r="AF1709" s="33">
        <f t="shared" si="298"/>
        <v>0</v>
      </c>
      <c r="AG1709" s="43" t="s">
        <v>2570</v>
      </c>
      <c r="AH1709" s="66">
        <f t="shared" si="287"/>
        <v>1.1272211926305462</v>
      </c>
      <c r="AI1709" s="283">
        <f>RTD("money.excel",,$G1709,"PredictVolume")</f>
        <v>517</v>
      </c>
      <c r="AJ1709" s="391">
        <f>IFERROR(VLOOKUP($G1709,基本資料!$A:$M,13,0),"無")</f>
        <v>458.65</v>
      </c>
      <c r="AR1709" s="245" t="str">
        <f>INDEX(基本資料!N:N,MATCH($G1709,基本資料!A:A,0))</f>
        <v>低</v>
      </c>
    </row>
    <row r="1710" spans="1:44">
      <c r="A1710" s="343">
        <f>IFERROR(VLOOKUP($G1710,基本資料!$A:$J,3,0),"無")</f>
        <v>7.81</v>
      </c>
      <c r="B1710" s="79">
        <f>IFERROR(VLOOKUP($G1710,基本資料!$A:$J,4,0),"無")</f>
        <v>-359</v>
      </c>
      <c r="C1710" s="79">
        <f>IFERROR(VLOOKUP($G1710,基本資料!$A:$J,5,0),"無")</f>
        <v>-84</v>
      </c>
      <c r="D1710" s="79">
        <f>IFERROR(VLOOKUP($G1710,基本資料!$A:$J,6,0),"無")</f>
        <v>-53</v>
      </c>
      <c r="E1710" s="79">
        <f>IFERROR(VLOOKUP($G1710,基本資料!$A:$J,7,0),"無")</f>
        <v>-41</v>
      </c>
      <c r="F1710" s="6">
        <f>IFERROR(VLOOKUP($G1710,基本資料!$A:$J,8,0),"無")</f>
        <v>-6.88</v>
      </c>
      <c r="G1710" s="79">
        <v>3018</v>
      </c>
      <c r="H1710" s="8" t="s">
        <v>314</v>
      </c>
      <c r="I1710" s="22" t="s">
        <v>502</v>
      </c>
      <c r="J1710" s="8" t="str">
        <f>IFERROR(VLOOKUP($G1710,今日總結!$A:$AN,39,0),"")</f>
        <v/>
      </c>
      <c r="K1710" s="5" t="str">
        <f>IFERROR(VLOOKUP($G1710,今日總結!$A:$AN,40,0),"")</f>
        <v/>
      </c>
      <c r="L1710" s="156" t="str">
        <f>IFERROR(VLOOKUP($G1710,今日總結!$A:$AN,37,0),"")</f>
        <v/>
      </c>
      <c r="M1710" s="337" t="str">
        <f>IFERROR(VLOOKUP($G1710,今日總結!$A:$AN,38,0),"")</f>
        <v/>
      </c>
      <c r="N1710" s="240" t="str">
        <f t="shared" si="299"/>
        <v/>
      </c>
      <c r="O1710" s="359" t="str">
        <f>IFERROR(VLOOKUP($G1710,融外自投!$A:$J,7,0),"無")</f>
        <v>無</v>
      </c>
      <c r="P1710" s="79" t="str">
        <f>IFERROR(VLOOKUP($G1710,融外自投!$A:$J,9,0),"無")</f>
        <v>無</v>
      </c>
      <c r="Q1710" s="342" t="str">
        <f>IFERROR(VLOOKUP($G1710,融外自投!$A:$J,8,0),"無")</f>
        <v>無</v>
      </c>
      <c r="R1710" s="81" t="str">
        <f>IFERROR(VLOOKUP($G1710,融外自投!$A:$J,10,0),"無")</f>
        <v>無</v>
      </c>
      <c r="S1710" s="324" t="str">
        <f>IFERROR(VLOOKUP($G1710,'321買'!$A:$E,4,0),"'沒有資料'")</f>
        <v>'沒有資料'</v>
      </c>
      <c r="T1710" s="186">
        <f>IFERROR(VLOOKUP($G1710,基本資料!$A:$J,9,0),"無")</f>
        <v>0</v>
      </c>
      <c r="U1710" s="307">
        <f t="shared" si="295"/>
        <v>0</v>
      </c>
      <c r="V1710" s="94">
        <f>IFERROR(VLOOKUP($G1710,基本資料!$A:$J,10,0),"無")</f>
        <v>-4.18</v>
      </c>
      <c r="W1710" s="36">
        <f>RTD("money.excel",,"3018","Price")</f>
        <v>13</v>
      </c>
      <c r="X1710" s="66"/>
      <c r="Y1710" s="15">
        <f t="shared" si="296"/>
        <v>13</v>
      </c>
      <c r="Z1710" s="3" t="e">
        <f t="shared" si="297"/>
        <v>#DIV/0!</v>
      </c>
      <c r="AA1710" s="340">
        <f>IFERROR(VLOOKUP($G1710,基本資料!$A:$M,11,0),"無")</f>
        <v>-42.22</v>
      </c>
      <c r="AB1710" s="389">
        <f>IFERROR(VLOOKUP($G1710,基本資料!$A:$M,12,0),"無")</f>
        <v>23.39</v>
      </c>
      <c r="AC1710" s="22" t="s">
        <v>502</v>
      </c>
      <c r="AF1710" s="33">
        <f t="shared" si="298"/>
        <v>0</v>
      </c>
      <c r="AG1710" s="43" t="s">
        <v>2571</v>
      </c>
      <c r="AH1710" s="66">
        <f t="shared" si="287"/>
        <v>6.2549277266754277</v>
      </c>
      <c r="AI1710" s="283">
        <f>RTD("money.excel",,$G1710,"PredictVolume")</f>
        <v>952</v>
      </c>
      <c r="AJ1710" s="391">
        <f>IFERROR(VLOOKUP($G1710,基本資料!$A:$M,13,0),"無")</f>
        <v>152.19999999999999</v>
      </c>
      <c r="AR1710" s="245" t="str">
        <f>INDEX(基本資料!N:N,MATCH($G1710,基本資料!A:A,0))</f>
        <v>低</v>
      </c>
    </row>
    <row r="1711" spans="1:44">
      <c r="A1711" s="343">
        <f>IFERROR(VLOOKUP($G1711,基本資料!$A:$J,3,0),"無")</f>
        <v>23.62</v>
      </c>
      <c r="B1711" s="79">
        <f>IFERROR(VLOOKUP($G1711,基本資料!$A:$J,4,0),"無")</f>
        <v>8</v>
      </c>
      <c r="C1711" s="79">
        <f>IFERROR(VLOOKUP($G1711,基本資料!$A:$J,5,0),"無")</f>
        <v>8</v>
      </c>
      <c r="D1711" s="79">
        <f>IFERROR(VLOOKUP($G1711,基本資料!$A:$J,6,0),"無")</f>
        <v>-23</v>
      </c>
      <c r="E1711" s="79">
        <f>IFERROR(VLOOKUP($G1711,基本資料!$A:$J,7,0),"無")</f>
        <v>-4</v>
      </c>
      <c r="F1711" s="6">
        <f>IFERROR(VLOOKUP($G1711,基本資料!$A:$J,8,0),"無")</f>
        <v>27.79</v>
      </c>
      <c r="G1711" s="79">
        <v>3030</v>
      </c>
      <c r="H1711" s="8" t="s">
        <v>314</v>
      </c>
      <c r="I1711" s="22" t="s">
        <v>98</v>
      </c>
      <c r="J1711" s="8">
        <f>IFERROR(VLOOKUP($G1711,今日總結!$A:$AN,39,0),"")</f>
        <v>0</v>
      </c>
      <c r="K1711" s="5" t="str">
        <f>IFERROR(VLOOKUP($G1711,今日總結!$A:$AN,40,0),"")</f>
        <v>融</v>
      </c>
      <c r="L1711" s="156">
        <f>IFERROR(VLOOKUP($G1711,今日總結!$A:$AN,37,0),"")</f>
        <v>0</v>
      </c>
      <c r="M1711" s="337">
        <f>IFERROR(VLOOKUP($G1711,今日總結!$A:$AN,38,0),"")</f>
        <v>4</v>
      </c>
      <c r="N1711" s="240">
        <f t="shared" si="299"/>
        <v>-4</v>
      </c>
      <c r="O1711" s="359">
        <f>IFERROR(VLOOKUP($G1711,融外自投!$A:$J,7,0),"無")</f>
        <v>670</v>
      </c>
      <c r="P1711" s="79">
        <f>IFERROR(VLOOKUP($G1711,融外自投!$A:$J,9,0),"無")</f>
        <v>508</v>
      </c>
      <c r="Q1711" s="342">
        <f>IFERROR(VLOOKUP($G1711,融外自投!$A:$J,8,0),"無")</f>
        <v>300</v>
      </c>
      <c r="R1711" s="81">
        <f>IFERROR(VLOOKUP($G1711,融外自投!$A:$J,10,0),"無")</f>
        <v>476</v>
      </c>
      <c r="S1711" s="324">
        <f>IFERROR(VLOOKUP($G1711,'321買'!$A:$E,4,0),"'沒有資料'")</f>
        <v>696</v>
      </c>
      <c r="T1711" s="186">
        <f>IFERROR(VLOOKUP($G1711,基本資料!$A:$J,9,0),"無")</f>
        <v>3.3</v>
      </c>
      <c r="U1711" s="307">
        <f t="shared" si="295"/>
        <v>5.1562499999999997E-2</v>
      </c>
      <c r="V1711" s="94">
        <f>IFERROR(VLOOKUP($G1711,基本資料!$A:$J,10,0),"無")</f>
        <v>5.0199999999999996</v>
      </c>
      <c r="W1711" s="36">
        <f>RTD("money.excel",,"3030","Price")</f>
        <v>64</v>
      </c>
      <c r="X1711" s="66"/>
      <c r="Y1711" s="15">
        <f t="shared" si="296"/>
        <v>64</v>
      </c>
      <c r="Z1711" s="3" t="e">
        <f t="shared" si="297"/>
        <v>#DIV/0!</v>
      </c>
      <c r="AA1711" s="340">
        <f>IFERROR(VLOOKUP($G1711,基本資料!$A:$M,11,0),"無")</f>
        <v>-13.4</v>
      </c>
      <c r="AB1711" s="389">
        <f>IFERROR(VLOOKUP($G1711,基本資料!$A:$M,12,0),"無")</f>
        <v>35.44</v>
      </c>
      <c r="AC1711" s="22" t="s">
        <v>98</v>
      </c>
      <c r="AF1711" s="33">
        <f t="shared" si="298"/>
        <v>0</v>
      </c>
      <c r="AG1711" s="117" t="s">
        <v>2572</v>
      </c>
      <c r="AH1711" s="66">
        <f t="shared" si="287"/>
        <v>0.42986828052687792</v>
      </c>
      <c r="AI1711" s="283">
        <f>RTD("money.excel",,$G1711,"PredictVolume")</f>
        <v>483</v>
      </c>
      <c r="AJ1711" s="391">
        <f>IFERROR(VLOOKUP($G1711,基本資料!$A:$M,13,0),"無")</f>
        <v>1123.5999999999999</v>
      </c>
      <c r="AR1711" s="245" t="str">
        <f>INDEX(基本資料!N:N,MATCH($G1711,基本資料!A:A,0))</f>
        <v>中</v>
      </c>
    </row>
    <row r="1712" spans="1:44">
      <c r="A1712" s="343">
        <f>IFERROR(VLOOKUP($G1712,基本資料!$A:$J,3,0),"無")</f>
        <v>19.48</v>
      </c>
      <c r="B1712" s="79">
        <f>IFERROR(VLOOKUP($G1712,基本資料!$A:$J,4,0),"無")</f>
        <v>148</v>
      </c>
      <c r="C1712" s="79">
        <f>IFERROR(VLOOKUP($G1712,基本資料!$A:$J,5,0),"無")</f>
        <v>-144</v>
      </c>
      <c r="D1712" s="79">
        <f>IFERROR(VLOOKUP($G1712,基本資料!$A:$J,6,0),"無")</f>
        <v>24</v>
      </c>
      <c r="E1712" s="79">
        <f>IFERROR(VLOOKUP($G1712,基本資料!$A:$J,7,0),"無")</f>
        <v>9</v>
      </c>
      <c r="F1712" s="6">
        <f>IFERROR(VLOOKUP($G1712,基本資料!$A:$J,8,0),"無")</f>
        <v>-6.35</v>
      </c>
      <c r="G1712" s="79">
        <v>3043</v>
      </c>
      <c r="H1712" s="8" t="s">
        <v>314</v>
      </c>
      <c r="I1712" s="22" t="s">
        <v>503</v>
      </c>
      <c r="J1712" s="8" t="str">
        <f>IFERROR(VLOOKUP($G1712,今日總結!$A:$AN,39,0),"")</f>
        <v/>
      </c>
      <c r="K1712" s="5" t="str">
        <f>IFERROR(VLOOKUP($G1712,今日總結!$A:$AN,40,0),"")</f>
        <v/>
      </c>
      <c r="L1712" s="156" t="str">
        <f>IFERROR(VLOOKUP($G1712,今日總結!$A:$AN,37,0),"")</f>
        <v/>
      </c>
      <c r="M1712" s="337" t="str">
        <f>IFERROR(VLOOKUP($G1712,今日總結!$A:$AN,38,0),"")</f>
        <v/>
      </c>
      <c r="N1712" s="240" t="str">
        <f t="shared" si="299"/>
        <v/>
      </c>
      <c r="O1712" s="359" t="str">
        <f>IFERROR(VLOOKUP($G1712,融外自投!$A:$J,7,0),"無")</f>
        <v>無</v>
      </c>
      <c r="P1712" s="79" t="str">
        <f>IFERROR(VLOOKUP($G1712,融外自投!$A:$J,9,0),"無")</f>
        <v>無</v>
      </c>
      <c r="Q1712" s="342" t="str">
        <f>IFERROR(VLOOKUP($G1712,融外自投!$A:$J,8,0),"無")</f>
        <v>無</v>
      </c>
      <c r="R1712" s="81" t="str">
        <f>IFERROR(VLOOKUP($G1712,融外自投!$A:$J,10,0),"無")</f>
        <v>無</v>
      </c>
      <c r="S1712" s="324" t="str">
        <f>IFERROR(VLOOKUP($G1712,'321買'!$A:$E,4,0),"'沒有資料'")</f>
        <v>'沒有資料'</v>
      </c>
      <c r="T1712" s="186">
        <f>IFERROR(VLOOKUP($G1712,基本資料!$A:$J,9,0),"無")</f>
        <v>0</v>
      </c>
      <c r="U1712" s="307">
        <f t="shared" si="295"/>
        <v>0</v>
      </c>
      <c r="V1712" s="94">
        <f>IFERROR(VLOOKUP($G1712,基本資料!$A:$J,10,0),"無")</f>
        <v>0.12</v>
      </c>
      <c r="W1712" s="36">
        <f>RTD("money.excel",,"3043","Price")</f>
        <v>3.67</v>
      </c>
      <c r="X1712" s="66"/>
      <c r="Y1712" s="15">
        <f t="shared" si="296"/>
        <v>3.67</v>
      </c>
      <c r="Z1712" s="3" t="e">
        <f t="shared" si="297"/>
        <v>#DIV/0!</v>
      </c>
      <c r="AA1712" s="340">
        <f>IFERROR(VLOOKUP($G1712,基本資料!$A:$M,11,0),"無")</f>
        <v>-34.700000000000003</v>
      </c>
      <c r="AB1712" s="389">
        <f>IFERROR(VLOOKUP($G1712,基本資料!$A:$M,12,0),"無")</f>
        <v>19.62</v>
      </c>
      <c r="AC1712" s="22" t="s">
        <v>503</v>
      </c>
      <c r="AF1712" s="33">
        <f t="shared" si="298"/>
        <v>0</v>
      </c>
      <c r="AG1712" s="43" t="s">
        <v>2573</v>
      </c>
      <c r="AH1712" s="66">
        <f t="shared" si="287"/>
        <v>2.2723074080916312</v>
      </c>
      <c r="AI1712" s="283">
        <f>RTD("money.excel",,$G1712,"PredictVolume")</f>
        <v>615</v>
      </c>
      <c r="AJ1712" s="391">
        <f>IFERROR(VLOOKUP($G1712,基本資料!$A:$M,13,0),"無")</f>
        <v>270.64999999999998</v>
      </c>
      <c r="AR1712" s="245" t="str">
        <f>INDEX(基本資料!N:N,MATCH($G1712,基本資料!A:A,0))</f>
        <v>低</v>
      </c>
    </row>
    <row r="1713" spans="1:44">
      <c r="A1713" s="343">
        <f>IFERROR(VLOOKUP($G1713,基本資料!$A:$J,3,0),"無")</f>
        <v>2</v>
      </c>
      <c r="B1713" s="79">
        <f>IFERROR(VLOOKUP($G1713,基本資料!$A:$J,4,0),"無")</f>
        <v>504</v>
      </c>
      <c r="C1713" s="79">
        <f>IFERROR(VLOOKUP($G1713,基本資料!$A:$J,5,0),"無")</f>
        <v>7</v>
      </c>
      <c r="D1713" s="79">
        <f>IFERROR(VLOOKUP($G1713,基本資料!$A:$J,6,0),"無")</f>
        <v>889</v>
      </c>
      <c r="E1713" s="79">
        <f>IFERROR(VLOOKUP($G1713,基本資料!$A:$J,7,0),"無")</f>
        <v>15</v>
      </c>
      <c r="F1713" s="6">
        <f>IFERROR(VLOOKUP($G1713,基本資料!$A:$J,8,0),"無")</f>
        <v>-43.96</v>
      </c>
      <c r="G1713" s="79">
        <v>3067</v>
      </c>
      <c r="H1713" s="8" t="s">
        <v>314</v>
      </c>
      <c r="I1713" s="16" t="s">
        <v>474</v>
      </c>
      <c r="J1713" s="8" t="str">
        <f>IFERROR(VLOOKUP($G1713,今日總結!$A:$AN,39,0),"")</f>
        <v/>
      </c>
      <c r="K1713" s="5" t="str">
        <f>IFERROR(VLOOKUP($G1713,今日總結!$A:$AN,40,0),"")</f>
        <v/>
      </c>
      <c r="L1713" s="156" t="str">
        <f>IFERROR(VLOOKUP($G1713,今日總結!$A:$AN,37,0),"")</f>
        <v/>
      </c>
      <c r="M1713" s="337" t="str">
        <f>IFERROR(VLOOKUP($G1713,今日總結!$A:$AN,38,0),"")</f>
        <v/>
      </c>
      <c r="N1713" s="240" t="str">
        <f t="shared" si="299"/>
        <v/>
      </c>
      <c r="O1713" s="359" t="str">
        <f>IFERROR(VLOOKUP($G1713,融外自投!$A:$J,7,0),"無")</f>
        <v>無</v>
      </c>
      <c r="P1713" s="79" t="str">
        <f>IFERROR(VLOOKUP($G1713,融外自投!$A:$J,9,0),"無")</f>
        <v>無</v>
      </c>
      <c r="Q1713" s="342" t="str">
        <f>IFERROR(VLOOKUP($G1713,融外自投!$A:$J,8,0),"無")</f>
        <v>無</v>
      </c>
      <c r="R1713" s="81" t="str">
        <f>IFERROR(VLOOKUP($G1713,融外自投!$A:$J,10,0),"無")</f>
        <v>無</v>
      </c>
      <c r="S1713" s="324" t="str">
        <f>IFERROR(VLOOKUP($G1713,'321買'!$A:$E,4,0),"'沒有資料'")</f>
        <v>'沒有資料'</v>
      </c>
      <c r="T1713" s="186">
        <f>IFERROR(VLOOKUP($G1713,基本資料!$A:$J,9,0),"無")</f>
        <v>0</v>
      </c>
      <c r="U1713" s="307" t="e">
        <f t="shared" si="295"/>
        <v>#VALUE!</v>
      </c>
      <c r="V1713" s="94">
        <f>IFERROR(VLOOKUP($G1713,基本資料!$A:$J,10,0),"無")</f>
        <v>4.71</v>
      </c>
      <c r="W1713" s="36" t="str">
        <f>RTD("money.excel",,"3067","Price")</f>
        <v>無資料</v>
      </c>
      <c r="X1713" s="66"/>
      <c r="Y1713" s="15" t="e">
        <f t="shared" si="296"/>
        <v>#VALUE!</v>
      </c>
      <c r="Z1713" s="3" t="e">
        <f t="shared" si="297"/>
        <v>#VALUE!</v>
      </c>
      <c r="AA1713" s="340">
        <f>IFERROR(VLOOKUP($G1713,基本資料!$A:$M,11,0),"無")</f>
        <v>-4.53</v>
      </c>
      <c r="AB1713" s="389">
        <f>IFERROR(VLOOKUP($G1713,基本資料!$A:$M,12,0),"無")</f>
        <v>39.78</v>
      </c>
      <c r="AC1713" s="16" t="s">
        <v>474</v>
      </c>
      <c r="AF1713" s="33">
        <f t="shared" si="298"/>
        <v>0</v>
      </c>
      <c r="AG1713" s="43" t="s">
        <v>2446</v>
      </c>
      <c r="AH1713" s="66">
        <f t="shared" si="287"/>
        <v>0</v>
      </c>
      <c r="AI1713" s="283">
        <f>RTD("money.excel",,$G1713,"PredictVolume")</f>
        <v>0</v>
      </c>
      <c r="AJ1713" s="391">
        <f>IFERROR(VLOOKUP($G1713,基本資料!$A:$M,13,0),"無")</f>
        <v>6.85</v>
      </c>
      <c r="AR1713" s="245" t="str">
        <f>INDEX(基本資料!N:N,MATCH($G1713,基本資料!A:A,0))</f>
        <v>高</v>
      </c>
    </row>
    <row r="1714" spans="1:44">
      <c r="A1714" s="343">
        <f>IFERROR(VLOOKUP($G1714,基本資料!$A:$J,3,0),"無")</f>
        <v>3.62</v>
      </c>
      <c r="B1714" s="79">
        <f>IFERROR(VLOOKUP($G1714,基本資料!$A:$J,4,0),"無")</f>
        <v>52</v>
      </c>
      <c r="C1714" s="79">
        <f>IFERROR(VLOOKUP($G1714,基本資料!$A:$J,5,0),"無")</f>
        <v>74</v>
      </c>
      <c r="D1714" s="79">
        <f>IFERROR(VLOOKUP($G1714,基本資料!$A:$J,6,0),"無")</f>
        <v>37</v>
      </c>
      <c r="E1714" s="79">
        <f>IFERROR(VLOOKUP($G1714,基本資料!$A:$J,7,0),"無")</f>
        <v>96</v>
      </c>
      <c r="F1714" s="6">
        <f>IFERROR(VLOOKUP($G1714,基本資料!$A:$J,8,0),"無")</f>
        <v>17.5</v>
      </c>
      <c r="G1714" s="79">
        <v>3093</v>
      </c>
      <c r="H1714" s="8" t="s">
        <v>314</v>
      </c>
      <c r="I1714" s="16" t="s">
        <v>4673</v>
      </c>
      <c r="J1714" s="8">
        <f>IFERROR(VLOOKUP($G1714,今日總結!$A:$AN,39,0),"")</f>
        <v>3</v>
      </c>
      <c r="K1714" s="5">
        <f>IFERROR(VLOOKUP($G1714,今日總結!$A:$AN,40,0),"")</f>
        <v>2</v>
      </c>
      <c r="L1714" s="156">
        <f>IFERROR(VLOOKUP($G1714,今日總結!$A:$AN,37,0),"")</f>
        <v>1</v>
      </c>
      <c r="M1714" s="337">
        <f>IFERROR(VLOOKUP($G1714,今日總結!$A:$AN,38,0),"")</f>
        <v>1</v>
      </c>
      <c r="N1714" s="240">
        <f t="shared" si="299"/>
        <v>0</v>
      </c>
      <c r="O1714" s="359">
        <f>IFERROR(VLOOKUP($G1714,融外自投!$A:$J,7,0),"無")</f>
        <v>73</v>
      </c>
      <c r="P1714" s="79">
        <f>IFERROR(VLOOKUP($G1714,融外自投!$A:$J,9,0),"無")</f>
        <v>825</v>
      </c>
      <c r="Q1714" s="342">
        <f>IFERROR(VLOOKUP($G1714,融外自投!$A:$J,8,0),"無")</f>
        <v>27</v>
      </c>
      <c r="R1714" s="81" t="str">
        <f>IFERROR(VLOOKUP($G1714,融外自投!$A:$J,10,0),"無")</f>
        <v>無</v>
      </c>
      <c r="S1714" s="324">
        <f>IFERROR(VLOOKUP($G1714,'321買'!$A:$E,4,0),"'沒有資料'")</f>
        <v>801</v>
      </c>
      <c r="T1714" s="186">
        <f>IFERROR(VLOOKUP($G1714,基本資料!$A:$J,9,0),"無")</f>
        <v>6.3</v>
      </c>
      <c r="U1714" s="307">
        <f t="shared" si="295"/>
        <v>5.575221238938053E-2</v>
      </c>
      <c r="V1714" s="94">
        <f>IFERROR(VLOOKUP($G1714,基本資料!$A:$J,10,0),"無")</f>
        <v>7.41</v>
      </c>
      <c r="W1714" s="36">
        <f>RTD("money.excel",,"3093","Price")</f>
        <v>113</v>
      </c>
      <c r="X1714" s="66"/>
      <c r="Y1714" s="15">
        <f t="shared" si="296"/>
        <v>113</v>
      </c>
      <c r="Z1714" s="3" t="e">
        <f t="shared" si="297"/>
        <v>#DIV/0!</v>
      </c>
      <c r="AA1714" s="340">
        <f>IFERROR(VLOOKUP($G1714,基本資料!$A:$M,11,0),"無")</f>
        <v>-4.24</v>
      </c>
      <c r="AB1714" s="389">
        <f>IFERROR(VLOOKUP($G1714,基本資料!$A:$M,12,0),"無")</f>
        <v>65.05</v>
      </c>
      <c r="AC1714" s="16" t="s">
        <v>4673</v>
      </c>
      <c r="AF1714" s="33">
        <f t="shared" si="298"/>
        <v>0</v>
      </c>
      <c r="AG1714" s="43" t="s">
        <v>2447</v>
      </c>
      <c r="AH1714" s="66">
        <f t="shared" si="287"/>
        <v>4.2474537910222558</v>
      </c>
      <c r="AI1714" s="283">
        <f>RTD("money.excel",,$G1714,"PredictVolume")</f>
        <v>2815</v>
      </c>
      <c r="AJ1714" s="391">
        <f>IFERROR(VLOOKUP($G1714,基本資料!$A:$M,13,0),"無")</f>
        <v>662.75</v>
      </c>
      <c r="AR1714" s="245" t="str">
        <f>INDEX(基本資料!N:N,MATCH($G1714,基本資料!A:A,0))</f>
        <v>高</v>
      </c>
    </row>
    <row r="1715" spans="1:44">
      <c r="A1715" s="343">
        <f>IFERROR(VLOOKUP($G1715,基本資料!$A:$J,3,0),"無")</f>
        <v>2.92</v>
      </c>
      <c r="B1715" s="79">
        <f>IFERROR(VLOOKUP($G1715,基本資料!$A:$J,4,0),"無")</f>
        <v>68</v>
      </c>
      <c r="C1715" s="79">
        <f>IFERROR(VLOOKUP($G1715,基本資料!$A:$J,5,0),"無")</f>
        <v>54</v>
      </c>
      <c r="D1715" s="79">
        <f>IFERROR(VLOOKUP($G1715,基本資料!$A:$J,6,0),"無")</f>
        <v>-5</v>
      </c>
      <c r="E1715" s="79">
        <f>IFERROR(VLOOKUP($G1715,基本資料!$A:$J,7,0),"無")</f>
        <v>1</v>
      </c>
      <c r="F1715" s="6">
        <f>IFERROR(VLOOKUP($G1715,基本資料!$A:$J,8,0),"無")</f>
        <v>22.53</v>
      </c>
      <c r="G1715" s="79">
        <v>3131</v>
      </c>
      <c r="H1715" s="8" t="s">
        <v>314</v>
      </c>
      <c r="I1715" s="16" t="s">
        <v>4674</v>
      </c>
      <c r="J1715" s="8" t="str">
        <f>IFERROR(VLOOKUP($G1715,今日總結!$A:$AN,39,0),"")</f>
        <v/>
      </c>
      <c r="K1715" s="5" t="str">
        <f>IFERROR(VLOOKUP($G1715,今日總結!$A:$AN,40,0),"")</f>
        <v/>
      </c>
      <c r="L1715" s="156" t="str">
        <f>IFERROR(VLOOKUP($G1715,今日總結!$A:$AN,37,0),"")</f>
        <v/>
      </c>
      <c r="M1715" s="337" t="str">
        <f>IFERROR(VLOOKUP($G1715,今日總結!$A:$AN,38,0),"")</f>
        <v/>
      </c>
      <c r="N1715" s="240" t="str">
        <f t="shared" si="299"/>
        <v/>
      </c>
      <c r="O1715" s="359" t="str">
        <f>IFERROR(VLOOKUP($G1715,融外自投!$A:$J,7,0),"無")</f>
        <v>無</v>
      </c>
      <c r="P1715" s="79" t="str">
        <f>IFERROR(VLOOKUP($G1715,融外自投!$A:$J,9,0),"無")</f>
        <v>無</v>
      </c>
      <c r="Q1715" s="342" t="str">
        <f>IFERROR(VLOOKUP($G1715,融外自投!$A:$J,8,0),"無")</f>
        <v>無</v>
      </c>
      <c r="R1715" s="81" t="str">
        <f>IFERROR(VLOOKUP($G1715,融外自投!$A:$J,10,0),"無")</f>
        <v>無</v>
      </c>
      <c r="S1715" s="324" t="str">
        <f>IFERROR(VLOOKUP($G1715,'321買'!$A:$E,4,0),"'沒有資料'")</f>
        <v>'沒有資料'</v>
      </c>
      <c r="T1715" s="186">
        <f>IFERROR(VLOOKUP($G1715,基本資料!$A:$J,9,0),"無")</f>
        <v>17</v>
      </c>
      <c r="U1715" s="307">
        <f t="shared" si="295"/>
        <v>5.9859154929577461E-2</v>
      </c>
      <c r="V1715" s="94">
        <f>IFERROR(VLOOKUP($G1715,基本資料!$A:$J,10,0),"無")</f>
        <v>23.47</v>
      </c>
      <c r="W1715" s="36">
        <f>RTD("money.excel",,"3131","Price")</f>
        <v>284</v>
      </c>
      <c r="X1715" s="66"/>
      <c r="Y1715" s="15">
        <f t="shared" si="296"/>
        <v>284</v>
      </c>
      <c r="Z1715" s="3" t="e">
        <f t="shared" si="297"/>
        <v>#DIV/0!</v>
      </c>
      <c r="AA1715" s="340">
        <f>IFERROR(VLOOKUP($G1715,基本資料!$A:$M,11,0),"無")</f>
        <v>-37.65</v>
      </c>
      <c r="AB1715" s="389">
        <f>IFERROR(VLOOKUP($G1715,基本資料!$A:$M,12,0),"無")</f>
        <v>16.059999999999999</v>
      </c>
      <c r="AC1715" s="16" t="s">
        <v>4674</v>
      </c>
      <c r="AF1715" s="33">
        <f t="shared" si="298"/>
        <v>0</v>
      </c>
      <c r="AG1715" s="43" t="s">
        <v>2308</v>
      </c>
      <c r="AH1715" s="66">
        <f t="shared" si="287"/>
        <v>0.83491461100569253</v>
      </c>
      <c r="AI1715" s="283">
        <f>RTD("money.excel",,$G1715,"PredictVolume")</f>
        <v>44</v>
      </c>
      <c r="AJ1715" s="391">
        <f>IFERROR(VLOOKUP($G1715,基本資料!$A:$M,13,0),"無")</f>
        <v>52.7</v>
      </c>
      <c r="AR1715" s="245" t="str">
        <f>INDEX(基本資料!N:N,MATCH($G1715,基本資料!A:A,0))</f>
        <v>低</v>
      </c>
    </row>
    <row r="1716" spans="1:44">
      <c r="A1716" s="343">
        <f>IFERROR(VLOOKUP($G1716,基本資料!$A:$J,3,0),"無")</f>
        <v>4.2699999999999996</v>
      </c>
      <c r="B1716" s="79">
        <f>IFERROR(VLOOKUP($G1716,基本資料!$A:$J,4,0),"無")</f>
        <v>-77</v>
      </c>
      <c r="C1716" s="79">
        <f>IFERROR(VLOOKUP($G1716,基本資料!$A:$J,5,0),"無")</f>
        <v>-81</v>
      </c>
      <c r="D1716" s="79">
        <f>IFERROR(VLOOKUP($G1716,基本資料!$A:$J,6,0),"無")</f>
        <v>55</v>
      </c>
      <c r="E1716" s="79">
        <f>IFERROR(VLOOKUP($G1716,基本資料!$A:$J,7,0),"無")</f>
        <v>-14</v>
      </c>
      <c r="F1716" s="6">
        <f>IFERROR(VLOOKUP($G1716,基本資料!$A:$J,8,0),"無")</f>
        <v>1.04</v>
      </c>
      <c r="G1716" s="79">
        <v>3285</v>
      </c>
      <c r="H1716" s="8" t="s">
        <v>314</v>
      </c>
      <c r="I1716" s="16" t="s">
        <v>4675</v>
      </c>
      <c r="J1716" s="8">
        <f>IFERROR(VLOOKUP($G1716,今日總結!$A:$AN,39,0),"")</f>
        <v>0</v>
      </c>
      <c r="K1716" s="5">
        <f>IFERROR(VLOOKUP($G1716,今日總結!$A:$AN,40,0),"")</f>
        <v>0</v>
      </c>
      <c r="L1716" s="156">
        <f>IFERROR(VLOOKUP($G1716,今日總結!$A:$AN,37,0),"")</f>
        <v>0</v>
      </c>
      <c r="M1716" s="337">
        <f>IFERROR(VLOOKUP($G1716,今日總結!$A:$AN,38,0),"")</f>
        <v>0</v>
      </c>
      <c r="N1716" s="240">
        <f t="shared" si="299"/>
        <v>0</v>
      </c>
      <c r="O1716" s="359">
        <f>IFERROR(VLOOKUP($G1716,融外自投!$A:$J,7,0),"無")</f>
        <v>169</v>
      </c>
      <c r="P1716" s="79" t="str">
        <f>IFERROR(VLOOKUP($G1716,融外自投!$A:$J,9,0),"無")</f>
        <v>無</v>
      </c>
      <c r="Q1716" s="342">
        <f>IFERROR(VLOOKUP($G1716,融外自投!$A:$J,8,0),"無")</f>
        <v>1259</v>
      </c>
      <c r="R1716" s="81" t="str">
        <f>IFERROR(VLOOKUP($G1716,融外自投!$A:$J,10,0),"無")</f>
        <v>無</v>
      </c>
      <c r="S1716" s="324">
        <f>IFERROR(VLOOKUP($G1716,'321買'!$A:$E,4,0),"'沒有資料'")</f>
        <v>891</v>
      </c>
      <c r="T1716" s="186">
        <f>IFERROR(VLOOKUP($G1716,基本資料!$A:$J,9,0),"無")</f>
        <v>0</v>
      </c>
      <c r="U1716" s="307">
        <f t="shared" si="295"/>
        <v>0</v>
      </c>
      <c r="V1716" s="94">
        <f>IFERROR(VLOOKUP($G1716,基本資料!$A:$J,10,0),"無")</f>
        <v>-0.02</v>
      </c>
      <c r="W1716" s="36">
        <f>RTD("money.excel",,"3285","Price")</f>
        <v>20.55</v>
      </c>
      <c r="X1716" s="66"/>
      <c r="Y1716" s="15">
        <f t="shared" si="296"/>
        <v>20.55</v>
      </c>
      <c r="Z1716" s="3" t="e">
        <f t="shared" si="297"/>
        <v>#DIV/0!</v>
      </c>
      <c r="AA1716" s="340">
        <f>IFERROR(VLOOKUP($G1716,基本資料!$A:$M,11,0),"無")</f>
        <v>-20.5</v>
      </c>
      <c r="AB1716" s="389">
        <f>IFERROR(VLOOKUP($G1716,基本資料!$A:$M,12,0),"無")</f>
        <v>32.590000000000003</v>
      </c>
      <c r="AC1716" s="16" t="s">
        <v>4675</v>
      </c>
      <c r="AF1716" s="33">
        <f t="shared" si="298"/>
        <v>0</v>
      </c>
      <c r="AG1716" s="43" t="s">
        <v>2276</v>
      </c>
      <c r="AH1716" s="66">
        <f t="shared" si="287"/>
        <v>0.99216710182767631</v>
      </c>
      <c r="AI1716" s="283">
        <f>RTD("money.excel",,$G1716,"PredictVolume")</f>
        <v>19</v>
      </c>
      <c r="AJ1716" s="391">
        <f>IFERROR(VLOOKUP($G1716,基本資料!$A:$M,13,0),"無")</f>
        <v>19.149999999999999</v>
      </c>
      <c r="AR1716" s="245" t="str">
        <f>INDEX(基本資料!N:N,MATCH($G1716,基本資料!A:A,0))</f>
        <v>低</v>
      </c>
    </row>
    <row r="1717" spans="1:44">
      <c r="A1717" s="343">
        <f>IFERROR(VLOOKUP($G1717,基本資料!$A:$J,3,0),"無")</f>
        <v>7.47</v>
      </c>
      <c r="B1717" s="79">
        <f>IFERROR(VLOOKUP($G1717,基本資料!$A:$J,4,0),"無")</f>
        <v>-46</v>
      </c>
      <c r="C1717" s="79">
        <f>IFERROR(VLOOKUP($G1717,基本資料!$A:$J,5,0),"無")</f>
        <v>-16</v>
      </c>
      <c r="D1717" s="79">
        <f>IFERROR(VLOOKUP($G1717,基本資料!$A:$J,6,0),"無")</f>
        <v>-6</v>
      </c>
      <c r="E1717" s="79">
        <f>IFERROR(VLOOKUP($G1717,基本資料!$A:$J,7,0),"無")</f>
        <v>6</v>
      </c>
      <c r="F1717" s="6">
        <f>IFERROR(VLOOKUP($G1717,基本資料!$A:$J,8,0),"無")</f>
        <v>5.87</v>
      </c>
      <c r="G1717" s="79">
        <v>3289</v>
      </c>
      <c r="H1717" s="8" t="s">
        <v>314</v>
      </c>
      <c r="I1717" s="16" t="s">
        <v>155</v>
      </c>
      <c r="J1717" s="8" t="str">
        <f>IFERROR(VLOOKUP($G1717,今日總結!$A:$AN,39,0),"")</f>
        <v>外</v>
      </c>
      <c r="K1717" s="5">
        <f>IFERROR(VLOOKUP($G1717,今日總結!$A:$AN,40,0),"")</f>
        <v>0</v>
      </c>
      <c r="L1717" s="156">
        <f>IFERROR(VLOOKUP($G1717,今日總結!$A:$AN,37,0),"")</f>
        <v>1</v>
      </c>
      <c r="M1717" s="337">
        <f>IFERROR(VLOOKUP($G1717,今日總結!$A:$AN,38,0),"")</f>
        <v>0</v>
      </c>
      <c r="N1717" s="240">
        <f t="shared" si="299"/>
        <v>1</v>
      </c>
      <c r="O1717" s="359">
        <f>IFERROR(VLOOKUP($G1717,融外自投!$A:$J,7,0),"無")</f>
        <v>413</v>
      </c>
      <c r="P1717" s="79">
        <f>IFERROR(VLOOKUP($G1717,融外自投!$A:$J,9,0),"無")</f>
        <v>508</v>
      </c>
      <c r="Q1717" s="342">
        <f>IFERROR(VLOOKUP($G1717,融外自投!$A:$J,8,0),"無")</f>
        <v>740</v>
      </c>
      <c r="R1717" s="81" t="str">
        <f>IFERROR(VLOOKUP($G1717,融外自投!$A:$J,10,0),"無")</f>
        <v>無</v>
      </c>
      <c r="S1717" s="324">
        <f>IFERROR(VLOOKUP($G1717,'321買'!$A:$E,4,0),"'沒有資料'")</f>
        <v>801</v>
      </c>
      <c r="T1717" s="186">
        <f>IFERROR(VLOOKUP($G1717,基本資料!$A:$J,9,0),"無")</f>
        <v>0</v>
      </c>
      <c r="U1717" s="307">
        <f t="shared" si="295"/>
        <v>0</v>
      </c>
      <c r="V1717" s="94">
        <f>IFERROR(VLOOKUP($G1717,基本資料!$A:$J,10,0),"無")</f>
        <v>2.02</v>
      </c>
      <c r="W1717" s="36">
        <f>RTD("money.excel",,"3289","Price")</f>
        <v>50.4</v>
      </c>
      <c r="X1717" s="66"/>
      <c r="Y1717" s="15">
        <f t="shared" si="296"/>
        <v>50.4</v>
      </c>
      <c r="Z1717" s="3" t="e">
        <f t="shared" si="297"/>
        <v>#DIV/0!</v>
      </c>
      <c r="AA1717" s="340">
        <f>IFERROR(VLOOKUP($G1717,基本資料!$A:$M,11,0),"無")</f>
        <v>-16</v>
      </c>
      <c r="AB1717" s="389">
        <f>IFERROR(VLOOKUP($G1717,基本資料!$A:$M,12,0),"無")</f>
        <v>39.53</v>
      </c>
      <c r="AC1717" s="16" t="s">
        <v>155</v>
      </c>
      <c r="AF1717" s="33">
        <f t="shared" si="298"/>
        <v>0</v>
      </c>
      <c r="AG1717" s="117" t="s">
        <v>2448</v>
      </c>
      <c r="AH1717" s="66">
        <f t="shared" si="287"/>
        <v>1.6589861751152073</v>
      </c>
      <c r="AI1717" s="283">
        <f>RTD("money.excel",,$G1717,"PredictVolume")</f>
        <v>234</v>
      </c>
      <c r="AJ1717" s="391">
        <f>IFERROR(VLOOKUP($G1717,基本資料!$A:$M,13,0),"無")</f>
        <v>141.05000000000001</v>
      </c>
      <c r="AR1717" s="245" t="str">
        <f>INDEX(基本資料!N:N,MATCH($G1717,基本資料!A:A,0))</f>
        <v>中</v>
      </c>
    </row>
    <row r="1718" spans="1:44">
      <c r="A1718" s="343">
        <f>IFERROR(VLOOKUP($G1718,基本資料!$A:$J,3,0),"無")</f>
        <v>9.4</v>
      </c>
      <c r="B1718" s="79">
        <f>IFERROR(VLOOKUP($G1718,基本資料!$A:$J,4,0),"無")</f>
        <v>4</v>
      </c>
      <c r="C1718" s="79">
        <f>IFERROR(VLOOKUP($G1718,基本資料!$A:$J,5,0),"無")</f>
        <v>30</v>
      </c>
      <c r="D1718" s="79">
        <f>IFERROR(VLOOKUP($G1718,基本資料!$A:$J,6,0),"無")</f>
        <v>-17</v>
      </c>
      <c r="E1718" s="79">
        <f>IFERROR(VLOOKUP($G1718,基本資料!$A:$J,7,0),"無")</f>
        <v>5</v>
      </c>
      <c r="F1718" s="6">
        <f>IFERROR(VLOOKUP($G1718,基本資料!$A:$J,8,0),"無")</f>
        <v>13.33</v>
      </c>
      <c r="G1718" s="79">
        <v>3303</v>
      </c>
      <c r="H1718" s="8" t="s">
        <v>314</v>
      </c>
      <c r="I1718" s="16" t="s">
        <v>475</v>
      </c>
      <c r="J1718" s="8">
        <f>IFERROR(VLOOKUP($G1718,今日總結!$A:$AN,39,0),"")</f>
        <v>0</v>
      </c>
      <c r="K1718" s="5" t="str">
        <f>IFERROR(VLOOKUP($G1718,今日總結!$A:$AN,40,0),"")</f>
        <v>外</v>
      </c>
      <c r="L1718" s="156">
        <f>IFERROR(VLOOKUP($G1718,今日總結!$A:$AN,37,0),"")</f>
        <v>0</v>
      </c>
      <c r="M1718" s="337">
        <f>IFERROR(VLOOKUP($G1718,今日總結!$A:$AN,38,0),"")</f>
        <v>11</v>
      </c>
      <c r="N1718" s="240">
        <f t="shared" si="299"/>
        <v>-11</v>
      </c>
      <c r="O1718" s="359">
        <f>IFERROR(VLOOKUP($G1718,融外自投!$A:$J,7,0),"無")</f>
        <v>631</v>
      </c>
      <c r="P1718" s="79">
        <f>IFERROR(VLOOKUP($G1718,融外自投!$A:$J,9,0),"無")</f>
        <v>825</v>
      </c>
      <c r="Q1718" s="342">
        <f>IFERROR(VLOOKUP($G1718,融外自投!$A:$J,8,0),"無")</f>
        <v>809</v>
      </c>
      <c r="R1718" s="81" t="str">
        <f>IFERROR(VLOOKUP($G1718,融外自投!$A:$J,10,0),"無")</f>
        <v>無</v>
      </c>
      <c r="S1718" s="324">
        <f>IFERROR(VLOOKUP($G1718,'321買'!$A:$E,4,0),"'沒有資料'")</f>
        <v>891</v>
      </c>
      <c r="T1718" s="186">
        <f>IFERROR(VLOOKUP($G1718,基本資料!$A:$J,9,0),"無")</f>
        <v>1.45</v>
      </c>
      <c r="U1718" s="307">
        <f t="shared" si="295"/>
        <v>5.4511278195488719E-2</v>
      </c>
      <c r="V1718" s="94">
        <f>IFERROR(VLOOKUP($G1718,基本資料!$A:$J,10,0),"無")</f>
        <v>1.61</v>
      </c>
      <c r="W1718" s="36">
        <f>RTD("money.excel",,"3303","Price")</f>
        <v>26.6</v>
      </c>
      <c r="X1718" s="66"/>
      <c r="Y1718" s="15">
        <f t="shared" si="296"/>
        <v>26.6</v>
      </c>
      <c r="Z1718" s="3" t="e">
        <f t="shared" si="297"/>
        <v>#DIV/0!</v>
      </c>
      <c r="AA1718" s="340">
        <f>IFERROR(VLOOKUP($G1718,基本資料!$A:$M,11,0),"無")</f>
        <v>-14.05</v>
      </c>
      <c r="AB1718" s="389">
        <f>IFERROR(VLOOKUP($G1718,基本資料!$A:$M,12,0),"無")</f>
        <v>41.45</v>
      </c>
      <c r="AC1718" s="16" t="s">
        <v>475</v>
      </c>
      <c r="AF1718" s="33">
        <f t="shared" si="298"/>
        <v>0</v>
      </c>
      <c r="AG1718" s="43" t="s">
        <v>2489</v>
      </c>
      <c r="AH1718" s="66">
        <f t="shared" si="287"/>
        <v>0.38046564452015902</v>
      </c>
      <c r="AI1718" s="283">
        <f>RTD("money.excel",,$G1718,"PredictVolume")</f>
        <v>67</v>
      </c>
      <c r="AJ1718" s="391">
        <f>IFERROR(VLOOKUP($G1718,基本資料!$A:$M,13,0),"無")</f>
        <v>176.1</v>
      </c>
      <c r="AR1718" s="245" t="str">
        <f>INDEX(基本資料!N:N,MATCH($G1718,基本資料!A:A,0))</f>
        <v>中</v>
      </c>
    </row>
    <row r="1719" spans="1:44">
      <c r="A1719" s="343">
        <f>IFERROR(VLOOKUP($G1719,基本資料!$A:$J,3,0),"無")</f>
        <v>24.9</v>
      </c>
      <c r="B1719" s="79">
        <f>IFERROR(VLOOKUP($G1719,基本資料!$A:$J,4,0),"無")</f>
        <v>285</v>
      </c>
      <c r="C1719" s="79">
        <f>IFERROR(VLOOKUP($G1719,基本資料!$A:$J,5,0),"無")</f>
        <v>220</v>
      </c>
      <c r="D1719" s="79">
        <f>IFERROR(VLOOKUP($G1719,基本資料!$A:$J,6,0),"無")</f>
        <v>-4</v>
      </c>
      <c r="E1719" s="79">
        <f>IFERROR(VLOOKUP($G1719,基本資料!$A:$J,7,0),"無")</f>
        <v>49</v>
      </c>
      <c r="F1719" s="6">
        <f>IFERROR(VLOOKUP($G1719,基本資料!$A:$J,8,0),"無")</f>
        <v>16.97</v>
      </c>
      <c r="G1719" s="79">
        <v>1708</v>
      </c>
      <c r="H1719" s="8" t="s">
        <v>755</v>
      </c>
      <c r="I1719" s="22" t="s">
        <v>757</v>
      </c>
      <c r="J1719" s="8">
        <f>IFERROR(VLOOKUP($G1719,今日總結!$A:$AN,39,0),"")</f>
        <v>4</v>
      </c>
      <c r="K1719" s="5" t="str">
        <f>IFERROR(VLOOKUP($G1719,今日總結!$A:$AN,40,0),"")</f>
        <v>7融</v>
      </c>
      <c r="L1719" s="156">
        <f>IFERROR(VLOOKUP($G1719,今日總結!$A:$AN,37,0),"")</f>
        <v>1</v>
      </c>
      <c r="M1719" s="337">
        <f>IFERROR(VLOOKUP($G1719,今日總結!$A:$AN,38,0),"")</f>
        <v>3</v>
      </c>
      <c r="N1719" s="240">
        <f t="shared" si="299"/>
        <v>-2</v>
      </c>
      <c r="O1719" s="359">
        <f>IFERROR(VLOOKUP($G1719,融外自投!$A:$J,7,0),"無")</f>
        <v>77</v>
      </c>
      <c r="P1719" s="79">
        <f>IFERROR(VLOOKUP($G1719,融外自投!$A:$J,9,0),"無")</f>
        <v>200</v>
      </c>
      <c r="Q1719" s="342">
        <f>IFERROR(VLOOKUP($G1719,融外自投!$A:$J,8,0),"無")</f>
        <v>341</v>
      </c>
      <c r="R1719" s="81">
        <f>IFERROR(VLOOKUP($G1719,融外自投!$A:$J,10,0),"無")</f>
        <v>302</v>
      </c>
      <c r="S1719" s="324">
        <f>IFERROR(VLOOKUP($G1719,'321買'!$A:$E,4,0),"'沒有資料'")</f>
        <v>37</v>
      </c>
      <c r="T1719" s="186">
        <f>IFERROR(VLOOKUP($G1719,基本資料!$A:$J,9,0),"無")</f>
        <v>2</v>
      </c>
      <c r="U1719" s="307">
        <f t="shared" si="295"/>
        <v>3.4722222222222224E-2</v>
      </c>
      <c r="V1719" s="94">
        <f>IFERROR(VLOOKUP($G1719,基本資料!$A:$J,10,0),"無")</f>
        <v>2.69</v>
      </c>
      <c r="W1719" s="36">
        <f>RTD("money.excel",,"1708","Price")</f>
        <v>57.6</v>
      </c>
      <c r="X1719" s="66"/>
      <c r="Y1719" s="15">
        <f t="shared" si="296"/>
        <v>57.6</v>
      </c>
      <c r="Z1719" s="3" t="e">
        <f t="shared" si="297"/>
        <v>#DIV/0!</v>
      </c>
      <c r="AA1719" s="340">
        <f>IFERROR(VLOOKUP($G1719,基本資料!$A:$M,11,0),"無")</f>
        <v>-21.2</v>
      </c>
      <c r="AB1719" s="389">
        <f>IFERROR(VLOOKUP($G1719,基本資料!$A:$M,12,0),"無")</f>
        <v>57.67</v>
      </c>
      <c r="AC1719" s="22" t="s">
        <v>757</v>
      </c>
      <c r="AF1719" s="33">
        <f t="shared" si="298"/>
        <v>0</v>
      </c>
      <c r="AG1719" s="43" t="s">
        <v>1524</v>
      </c>
      <c r="AH1719" s="66">
        <f t="shared" si="287"/>
        <v>0.81045341736041265</v>
      </c>
      <c r="AI1719" s="314">
        <f>RTD("money.excel",,$G1719,"PredictVolume")</f>
        <v>52984</v>
      </c>
      <c r="AJ1719" s="391">
        <f>IFERROR(VLOOKUP($G1719,基本資料!$A:$M,13,0),"無")</f>
        <v>65375.75</v>
      </c>
      <c r="AR1719" s="245" t="str">
        <f>INDEX(基本資料!N:N,MATCH($G1719,基本資料!A:A,0))</f>
        <v>中</v>
      </c>
    </row>
    <row r="1720" spans="1:44">
      <c r="A1720" s="343">
        <f>IFERROR(VLOOKUP($G1720,基本資料!$A:$J,3,0),"無")</f>
        <v>8.83</v>
      </c>
      <c r="B1720" s="79">
        <f>IFERROR(VLOOKUP($G1720,基本資料!$A:$J,4,0),"無")</f>
        <v>2</v>
      </c>
      <c r="C1720" s="79">
        <f>IFERROR(VLOOKUP($G1720,基本資料!$A:$J,5,0),"無")</f>
        <v>-11</v>
      </c>
      <c r="D1720" s="79">
        <f>IFERROR(VLOOKUP($G1720,基本資料!$A:$J,6,0),"無")</f>
        <v>-27</v>
      </c>
      <c r="E1720" s="79">
        <f>IFERROR(VLOOKUP($G1720,基本資料!$A:$J,7,0),"無")</f>
        <v>-6</v>
      </c>
      <c r="F1720" s="6">
        <f>IFERROR(VLOOKUP($G1720,基本資料!$A:$J,8,0),"無")</f>
        <v>9.67</v>
      </c>
      <c r="G1720" s="79">
        <v>3324</v>
      </c>
      <c r="H1720" s="8" t="s">
        <v>314</v>
      </c>
      <c r="I1720" s="16" t="s">
        <v>228</v>
      </c>
      <c r="J1720" s="8">
        <f>IFERROR(VLOOKUP($G1720,今日總結!$A:$AN,39,0),"")</f>
        <v>0</v>
      </c>
      <c r="K1720" s="5">
        <f>IFERROR(VLOOKUP($G1720,今日總結!$A:$AN,40,0),"")</f>
        <v>0</v>
      </c>
      <c r="L1720" s="156">
        <f>IFERROR(VLOOKUP($G1720,今日總結!$A:$AN,37,0),"")</f>
        <v>0</v>
      </c>
      <c r="M1720" s="337">
        <f>IFERROR(VLOOKUP($G1720,今日總結!$A:$AN,38,0),"")</f>
        <v>0</v>
      </c>
      <c r="N1720" s="240">
        <f t="shared" si="299"/>
        <v>0</v>
      </c>
      <c r="O1720" s="359">
        <f>IFERROR(VLOOKUP($G1720,融外自投!$A:$J,7,0),"無")</f>
        <v>53</v>
      </c>
      <c r="P1720" s="79">
        <f>IFERROR(VLOOKUP($G1720,融外自投!$A:$J,9,0),"無")</f>
        <v>81</v>
      </c>
      <c r="Q1720" s="342">
        <f>IFERROR(VLOOKUP($G1720,融外自投!$A:$J,8,0),"無")</f>
        <v>410</v>
      </c>
      <c r="R1720" s="81">
        <f>IFERROR(VLOOKUP($G1720,融外自投!$A:$J,10,0),"無")</f>
        <v>88</v>
      </c>
      <c r="S1720" s="324">
        <f>IFERROR(VLOOKUP($G1720,'321買'!$A:$E,4,0),"'沒有資料'")</f>
        <v>26</v>
      </c>
      <c r="T1720" s="186">
        <f>IFERROR(VLOOKUP($G1720,基本資料!$A:$J,9,0),"無")</f>
        <v>6</v>
      </c>
      <c r="U1720" s="307">
        <f t="shared" si="295"/>
        <v>3.8216560509554139E-2</v>
      </c>
      <c r="V1720" s="94">
        <f>IFERROR(VLOOKUP($G1720,基本資料!$A:$J,10,0),"無")</f>
        <v>13.12</v>
      </c>
      <c r="W1720" s="36">
        <f>RTD("money.excel",,"3324","Price")</f>
        <v>157</v>
      </c>
      <c r="X1720" s="66"/>
      <c r="Y1720" s="15">
        <f t="shared" si="296"/>
        <v>157</v>
      </c>
      <c r="Z1720" s="3" t="e">
        <f t="shared" si="297"/>
        <v>#DIV/0!</v>
      </c>
      <c r="AA1720" s="340">
        <f>IFERROR(VLOOKUP($G1720,基本資料!$A:$M,11,0),"無")</f>
        <v>-40.75</v>
      </c>
      <c r="AB1720" s="389">
        <f>IFERROR(VLOOKUP($G1720,基本資料!$A:$M,12,0),"無")</f>
        <v>10.68</v>
      </c>
      <c r="AC1720" s="16" t="s">
        <v>228</v>
      </c>
      <c r="AF1720" s="33">
        <f t="shared" si="298"/>
        <v>0</v>
      </c>
      <c r="AG1720" s="43" t="s">
        <v>2924</v>
      </c>
      <c r="AH1720" s="66">
        <f t="shared" si="287"/>
        <v>0.9967877603735471</v>
      </c>
      <c r="AI1720" s="283">
        <f>RTD("money.excel",,$G1720,"PredictVolume")</f>
        <v>1505</v>
      </c>
      <c r="AJ1720" s="391">
        <f>IFERROR(VLOOKUP($G1720,基本資料!$A:$M,13,0),"無")</f>
        <v>1509.85</v>
      </c>
      <c r="AR1720" s="245" t="str">
        <f>INDEX(基本資料!N:N,MATCH($G1720,基本資料!A:A,0))</f>
        <v>低</v>
      </c>
    </row>
    <row r="1721" spans="1:44">
      <c r="A1721" s="343">
        <f>IFERROR(VLOOKUP($G1721,基本資料!$A:$J,3,0),"無")</f>
        <v>4.32</v>
      </c>
      <c r="B1721" s="79">
        <f>IFERROR(VLOOKUP($G1721,基本資料!$A:$J,4,0),"無")</f>
        <v>-84</v>
      </c>
      <c r="C1721" s="79">
        <f>IFERROR(VLOOKUP($G1721,基本資料!$A:$J,5,0),"無")</f>
        <v>-84</v>
      </c>
      <c r="D1721" s="79">
        <f>IFERROR(VLOOKUP($G1721,基本資料!$A:$J,6,0),"無")</f>
        <v>-92</v>
      </c>
      <c r="E1721" s="79">
        <f>IFERROR(VLOOKUP($G1721,基本資料!$A:$J,7,0),"無")</f>
        <v>-96</v>
      </c>
      <c r="F1721" s="6">
        <f>IFERROR(VLOOKUP($G1721,基本資料!$A:$J,8,0),"無")</f>
        <v>15.17</v>
      </c>
      <c r="G1721" s="79">
        <v>3373</v>
      </c>
      <c r="H1721" s="8" t="s">
        <v>314</v>
      </c>
      <c r="I1721" s="16" t="s">
        <v>476</v>
      </c>
      <c r="J1721" s="8">
        <f>IFERROR(VLOOKUP($G1721,今日總結!$A:$AN,39,0),"")</f>
        <v>0</v>
      </c>
      <c r="K1721" s="5" t="str">
        <f>IFERROR(VLOOKUP($G1721,今日總結!$A:$AN,40,0),"")</f>
        <v>融</v>
      </c>
      <c r="L1721" s="156">
        <f>IFERROR(VLOOKUP($G1721,今日總結!$A:$AN,37,0),"")</f>
        <v>0</v>
      </c>
      <c r="M1721" s="337">
        <f>IFERROR(VLOOKUP($G1721,今日總結!$A:$AN,38,0),"")</f>
        <v>1</v>
      </c>
      <c r="N1721" s="240">
        <f t="shared" si="299"/>
        <v>-1</v>
      </c>
      <c r="O1721" s="359">
        <f>IFERROR(VLOOKUP($G1721,融外自投!$A:$J,7,0),"無")</f>
        <v>465</v>
      </c>
      <c r="P1721" s="79">
        <f>IFERROR(VLOOKUP($G1721,融外自投!$A:$J,9,0),"無")</f>
        <v>18</v>
      </c>
      <c r="Q1721" s="342">
        <f>IFERROR(VLOOKUP($G1721,融外自投!$A:$J,8,0),"無")</f>
        <v>1144</v>
      </c>
      <c r="R1721" s="81" t="str">
        <f>IFERROR(VLOOKUP($G1721,融外自投!$A:$J,10,0),"無")</f>
        <v>無</v>
      </c>
      <c r="S1721" s="324">
        <f>IFERROR(VLOOKUP($G1721,'321買'!$A:$E,4,0),"'沒有資料'")</f>
        <v>465</v>
      </c>
      <c r="T1721" s="186">
        <f>IFERROR(VLOOKUP($G1721,基本資料!$A:$J,9,0),"無")</f>
        <v>1.5</v>
      </c>
      <c r="U1721" s="307">
        <f t="shared" si="295"/>
        <v>5.514705882352941E-2</v>
      </c>
      <c r="V1721" s="94">
        <f>IFERROR(VLOOKUP($G1721,基本資料!$A:$J,10,0),"無")</f>
        <v>2.6</v>
      </c>
      <c r="W1721" s="36">
        <f>RTD("money.excel",,"3373","Price")</f>
        <v>27.2</v>
      </c>
      <c r="X1721" s="66"/>
      <c r="Y1721" s="15">
        <f t="shared" si="296"/>
        <v>27.2</v>
      </c>
      <c r="Z1721" s="3" t="e">
        <f t="shared" si="297"/>
        <v>#DIV/0!</v>
      </c>
      <c r="AA1721" s="340">
        <f>IFERROR(VLOOKUP($G1721,基本資料!$A:$M,11,0),"無")</f>
        <v>-62.74</v>
      </c>
      <c r="AB1721" s="389">
        <f>IFERROR(VLOOKUP($G1721,基本資料!$A:$M,12,0),"無")</f>
        <v>18.670000000000002</v>
      </c>
      <c r="AC1721" s="16" t="s">
        <v>476</v>
      </c>
      <c r="AF1721" s="33">
        <f t="shared" si="298"/>
        <v>0</v>
      </c>
      <c r="AG1721" s="43" t="s">
        <v>3064</v>
      </c>
      <c r="AH1721" s="66">
        <f t="shared" si="287"/>
        <v>0.19155590304925724</v>
      </c>
      <c r="AI1721" s="283">
        <f>RTD("money.excel",,$G1721,"PredictVolume")</f>
        <v>49</v>
      </c>
      <c r="AJ1721" s="391">
        <f>IFERROR(VLOOKUP($G1721,基本資料!$A:$M,13,0),"無")</f>
        <v>255.8</v>
      </c>
      <c r="AR1721" s="245" t="str">
        <f>INDEX(基本資料!N:N,MATCH($G1721,基本資料!A:A,0))</f>
        <v>低</v>
      </c>
    </row>
    <row r="1722" spans="1:44">
      <c r="A1722" s="343">
        <f>IFERROR(VLOOKUP($G1722,基本資料!$A:$J,3,0),"無")</f>
        <v>7.3</v>
      </c>
      <c r="B1722" s="79">
        <f>IFERROR(VLOOKUP($G1722,基本資料!$A:$J,4,0),"無")</f>
        <v>32</v>
      </c>
      <c r="C1722" s="79">
        <f>IFERROR(VLOOKUP($G1722,基本資料!$A:$J,5,0),"無")</f>
        <v>29</v>
      </c>
      <c r="D1722" s="79">
        <f>IFERROR(VLOOKUP($G1722,基本資料!$A:$J,6,0),"無")</f>
        <v>3</v>
      </c>
      <c r="E1722" s="79">
        <f>IFERROR(VLOOKUP($G1722,基本資料!$A:$J,7,0),"無")</f>
        <v>28</v>
      </c>
      <c r="F1722" s="6">
        <f>IFERROR(VLOOKUP($G1722,基本資料!$A:$J,8,0),"無")</f>
        <v>10.65</v>
      </c>
      <c r="G1722" s="79">
        <v>3402</v>
      </c>
      <c r="H1722" s="8" t="s">
        <v>314</v>
      </c>
      <c r="I1722" s="16" t="s">
        <v>477</v>
      </c>
      <c r="J1722" s="8">
        <f>IFERROR(VLOOKUP($G1722,今日總結!$A:$AN,39,0),"")</f>
        <v>0</v>
      </c>
      <c r="K1722" s="5" t="str">
        <f>IFERROR(VLOOKUP($G1722,今日總結!$A:$AN,40,0),"")</f>
        <v>主外</v>
      </c>
      <c r="L1722" s="156">
        <f>IFERROR(VLOOKUP($G1722,今日總結!$A:$AN,37,0),"")</f>
        <v>0</v>
      </c>
      <c r="M1722" s="337">
        <f>IFERROR(VLOOKUP($G1722,今日總結!$A:$AN,38,0),"")</f>
        <v>6</v>
      </c>
      <c r="N1722" s="240">
        <f t="shared" si="299"/>
        <v>-6</v>
      </c>
      <c r="O1722" s="359">
        <f>IFERROR(VLOOKUP($G1722,融外自投!$A:$J,7,0),"無")</f>
        <v>545</v>
      </c>
      <c r="P1722" s="79">
        <f>IFERROR(VLOOKUP($G1722,融外自投!$A:$J,9,0),"無")</f>
        <v>1051</v>
      </c>
      <c r="Q1722" s="342">
        <f>IFERROR(VLOOKUP($G1722,融外自投!$A:$J,8,0),"無")</f>
        <v>722</v>
      </c>
      <c r="R1722" s="81" t="str">
        <f>IFERROR(VLOOKUP($G1722,融外自投!$A:$J,10,0),"無")</f>
        <v>無</v>
      </c>
      <c r="S1722" s="324">
        <f>IFERROR(VLOOKUP($G1722,'321買'!$A:$E,4,0),"'沒有資料'")</f>
        <v>497</v>
      </c>
      <c r="T1722" s="186">
        <f>IFERROR(VLOOKUP($G1722,基本資料!$A:$J,9,0),"無")</f>
        <v>3</v>
      </c>
      <c r="U1722" s="307">
        <f t="shared" si="295"/>
        <v>6.5075921908893705E-2</v>
      </c>
      <c r="V1722" s="94">
        <f>IFERROR(VLOOKUP($G1722,基本資料!$A:$J,10,0),"無")</f>
        <v>3.93</v>
      </c>
      <c r="W1722" s="36">
        <f>RTD("money.excel",,"3402","Price")</f>
        <v>46.1</v>
      </c>
      <c r="X1722" s="66"/>
      <c r="Y1722" s="15">
        <f t="shared" si="296"/>
        <v>46.1</v>
      </c>
      <c r="Z1722" s="3" t="e">
        <f t="shared" si="297"/>
        <v>#DIV/0!</v>
      </c>
      <c r="AA1722" s="340">
        <f>IFERROR(VLOOKUP($G1722,基本資料!$A:$M,11,0),"無")</f>
        <v>-15.72</v>
      </c>
      <c r="AB1722" s="389">
        <f>IFERROR(VLOOKUP($G1722,基本資料!$A:$M,12,0),"無")</f>
        <v>21.9</v>
      </c>
      <c r="AC1722" s="16" t="s">
        <v>477</v>
      </c>
      <c r="AF1722" s="33">
        <f t="shared" si="298"/>
        <v>0</v>
      </c>
      <c r="AG1722" s="43" t="s">
        <v>2517</v>
      </c>
      <c r="AH1722" s="66">
        <f t="shared" si="287"/>
        <v>0.79265345577573709</v>
      </c>
      <c r="AI1722" s="283">
        <f>RTD("money.excel",,$G1722,"PredictVolume")</f>
        <v>164</v>
      </c>
      <c r="AJ1722" s="391">
        <f>IFERROR(VLOOKUP($G1722,基本資料!$A:$M,13,0),"無")</f>
        <v>206.9</v>
      </c>
      <c r="AR1722" s="245" t="str">
        <f>INDEX(基本資料!N:N,MATCH($G1722,基本資料!A:A,0))</f>
        <v>中</v>
      </c>
    </row>
    <row r="1723" spans="1:44">
      <c r="A1723" s="343">
        <f>IFERROR(VLOOKUP($G1723,基本資料!$A:$J,3,0),"無")</f>
        <v>14.56</v>
      </c>
      <c r="B1723" s="79">
        <f>IFERROR(VLOOKUP($G1723,基本資料!$A:$J,4,0),"無")</f>
        <v>38</v>
      </c>
      <c r="C1723" s="79">
        <f>IFERROR(VLOOKUP($G1723,基本資料!$A:$J,5,0),"無")</f>
        <v>25</v>
      </c>
      <c r="D1723" s="79">
        <f>IFERROR(VLOOKUP($G1723,基本資料!$A:$J,6,0),"無")</f>
        <v>-2</v>
      </c>
      <c r="E1723" s="79">
        <f>IFERROR(VLOOKUP($G1723,基本資料!$A:$J,7,0),"無")</f>
        <v>-13</v>
      </c>
      <c r="F1723" s="6">
        <f>IFERROR(VLOOKUP($G1723,基本資料!$A:$J,8,0),"無")</f>
        <v>15.47</v>
      </c>
      <c r="G1723" s="79">
        <v>3450</v>
      </c>
      <c r="H1723" s="8" t="s">
        <v>314</v>
      </c>
      <c r="I1723" s="22" t="s">
        <v>4676</v>
      </c>
      <c r="J1723" s="8">
        <f>IFERROR(VLOOKUP($G1723,今日總結!$A:$AN,39,0),"")</f>
        <v>0</v>
      </c>
      <c r="K1723" s="5">
        <f>IFERROR(VLOOKUP($G1723,今日總結!$A:$AN,40,0),"")</f>
        <v>0</v>
      </c>
      <c r="L1723" s="156">
        <f>IFERROR(VLOOKUP($G1723,今日總結!$A:$AN,37,0),"")</f>
        <v>0</v>
      </c>
      <c r="M1723" s="337">
        <f>IFERROR(VLOOKUP($G1723,今日總結!$A:$AN,38,0),"")</f>
        <v>0</v>
      </c>
      <c r="N1723" s="240">
        <f t="shared" si="299"/>
        <v>0</v>
      </c>
      <c r="O1723" s="359">
        <f>IFERROR(VLOOKUP($G1723,融外自投!$A:$J,7,0),"無")</f>
        <v>348</v>
      </c>
      <c r="P1723" s="79">
        <f>IFERROR(VLOOKUP($G1723,融外自投!$A:$J,9,0),"無")</f>
        <v>635</v>
      </c>
      <c r="Q1723" s="342">
        <f>IFERROR(VLOOKUP($G1723,融外自投!$A:$J,8,0),"無")</f>
        <v>626</v>
      </c>
      <c r="R1723" s="81" t="str">
        <f>IFERROR(VLOOKUP($G1723,融外自投!$A:$J,10,0),"無")</f>
        <v>無</v>
      </c>
      <c r="S1723" s="324">
        <f>IFERROR(VLOOKUP($G1723,'321買'!$A:$E,4,0),"'沒有資料'")</f>
        <v>891</v>
      </c>
      <c r="T1723" s="186">
        <f>IFERROR(VLOOKUP($G1723,基本資料!$A:$J,9,0),"無")</f>
        <v>1.8</v>
      </c>
      <c r="U1723" s="307">
        <f t="shared" si="295"/>
        <v>4.3165467625899276E-2</v>
      </c>
      <c r="V1723" s="94">
        <f>IFERROR(VLOOKUP($G1723,基本資料!$A:$J,10,0),"無")</f>
        <v>2.5499999999999998</v>
      </c>
      <c r="W1723" s="36">
        <f>RTD("money.excel",,"3450","Price")</f>
        <v>41.7</v>
      </c>
      <c r="X1723" s="66"/>
      <c r="Y1723" s="15">
        <f t="shared" si="296"/>
        <v>41.7</v>
      </c>
      <c r="Z1723" s="3" t="e">
        <f t="shared" si="297"/>
        <v>#DIV/0!</v>
      </c>
      <c r="AA1723" s="340">
        <f>IFERROR(VLOOKUP($G1723,基本資料!$A:$M,11,0),"無")</f>
        <v>-35.25</v>
      </c>
      <c r="AB1723" s="389">
        <f>IFERROR(VLOOKUP($G1723,基本資料!$A:$M,12,0),"無")</f>
        <v>9.6999999999999993</v>
      </c>
      <c r="AC1723" s="22" t="s">
        <v>4676</v>
      </c>
      <c r="AF1723" s="33">
        <f t="shared" si="298"/>
        <v>0</v>
      </c>
      <c r="AG1723" s="117" t="s">
        <v>2184</v>
      </c>
      <c r="AH1723" s="66">
        <f t="shared" si="287"/>
        <v>0.51625239005736145</v>
      </c>
      <c r="AI1723" s="283">
        <f>RTD("money.excel",,$G1723,"PredictVolume")</f>
        <v>108</v>
      </c>
      <c r="AJ1723" s="391">
        <f>IFERROR(VLOOKUP($G1723,基本資料!$A:$M,13,0),"無")</f>
        <v>209.2</v>
      </c>
      <c r="AR1723" s="245" t="str">
        <f>INDEX(基本資料!N:N,MATCH($G1723,基本資料!A:A,0))</f>
        <v>低</v>
      </c>
    </row>
    <row r="1724" spans="1:44">
      <c r="A1724" s="343">
        <f>IFERROR(VLOOKUP($G1724,基本資料!$A:$J,3,0),"無")</f>
        <v>6.28</v>
      </c>
      <c r="B1724" s="79">
        <f>IFERROR(VLOOKUP($G1724,基本資料!$A:$J,4,0),"無")</f>
        <v>143</v>
      </c>
      <c r="C1724" s="79">
        <f>IFERROR(VLOOKUP($G1724,基本資料!$A:$J,5,0),"無")</f>
        <v>159</v>
      </c>
      <c r="D1724" s="79">
        <f>IFERROR(VLOOKUP($G1724,基本資料!$A:$J,6,0),"無")</f>
        <v>41</v>
      </c>
      <c r="E1724" s="79">
        <f>IFERROR(VLOOKUP($G1724,基本資料!$A:$J,7,0),"無")</f>
        <v>-70</v>
      </c>
      <c r="F1724" s="6">
        <f>IFERROR(VLOOKUP($G1724,基本資料!$A:$J,8,0),"無")</f>
        <v>1.98</v>
      </c>
      <c r="G1724" s="79">
        <v>3498</v>
      </c>
      <c r="H1724" s="8" t="s">
        <v>314</v>
      </c>
      <c r="I1724" s="16" t="s">
        <v>231</v>
      </c>
      <c r="J1724" s="8">
        <f>IFERROR(VLOOKUP($G1724,今日總結!$A:$AN,39,0),"")</f>
        <v>0</v>
      </c>
      <c r="K1724" s="5">
        <f>IFERROR(VLOOKUP($G1724,今日總結!$A:$AN,40,0),"")</f>
        <v>0</v>
      </c>
      <c r="L1724" s="156">
        <f>IFERROR(VLOOKUP($G1724,今日總結!$A:$AN,37,0),"")</f>
        <v>0</v>
      </c>
      <c r="M1724" s="337">
        <f>IFERROR(VLOOKUP($G1724,今日總結!$A:$AN,38,0),"")</f>
        <v>0</v>
      </c>
      <c r="N1724" s="240">
        <f t="shared" si="299"/>
        <v>0</v>
      </c>
      <c r="O1724" s="359">
        <f>IFERROR(VLOOKUP($G1724,融外自投!$A:$J,7,0),"無")</f>
        <v>471</v>
      </c>
      <c r="P1724" s="79">
        <f>IFERROR(VLOOKUP($G1724,融外自投!$A:$J,9,0),"無")</f>
        <v>147</v>
      </c>
      <c r="Q1724" s="342">
        <f>IFERROR(VLOOKUP($G1724,融外自投!$A:$J,8,0),"無")</f>
        <v>1039</v>
      </c>
      <c r="R1724" s="81" t="str">
        <f>IFERROR(VLOOKUP($G1724,融外自投!$A:$J,10,0),"無")</f>
        <v>無</v>
      </c>
      <c r="S1724" s="324">
        <f>IFERROR(VLOOKUP($G1724,'321買'!$A:$E,4,0),"'沒有資料'")</f>
        <v>1002</v>
      </c>
      <c r="T1724" s="186">
        <f>IFERROR(VLOOKUP($G1724,基本資料!$A:$J,9,0),"無")</f>
        <v>0</v>
      </c>
      <c r="U1724" s="307">
        <f t="shared" si="295"/>
        <v>0</v>
      </c>
      <c r="V1724" s="94">
        <f>IFERROR(VLOOKUP($G1724,基本資料!$A:$J,10,0),"無")</f>
        <v>0.27</v>
      </c>
      <c r="W1724" s="36">
        <f>RTD("money.excel",,"3498","Price")</f>
        <v>25.3</v>
      </c>
      <c r="X1724" s="66"/>
      <c r="Y1724" s="15">
        <f t="shared" si="296"/>
        <v>25.3</v>
      </c>
      <c r="Z1724" s="3" t="e">
        <f t="shared" si="297"/>
        <v>#DIV/0!</v>
      </c>
      <c r="AA1724" s="340">
        <f>IFERROR(VLOOKUP($G1724,基本資料!$A:$M,11,0),"無")</f>
        <v>-43.4</v>
      </c>
      <c r="AB1724" s="389">
        <f>IFERROR(VLOOKUP($G1724,基本資料!$A:$M,12,0),"無")</f>
        <v>6.35</v>
      </c>
      <c r="AC1724" s="16" t="s">
        <v>231</v>
      </c>
      <c r="AF1724" s="33">
        <f t="shared" si="298"/>
        <v>0</v>
      </c>
      <c r="AG1724" s="119" t="s">
        <v>1451</v>
      </c>
      <c r="AH1724" s="66">
        <f t="shared" si="287"/>
        <v>0.77201447527141132</v>
      </c>
      <c r="AI1724" s="283">
        <f>RTD("money.excel",,$G1724,"PredictVolume")</f>
        <v>32</v>
      </c>
      <c r="AJ1724" s="391">
        <f>IFERROR(VLOOKUP($G1724,基本資料!$A:$M,13,0),"無")</f>
        <v>41.45</v>
      </c>
      <c r="AR1724" s="245" t="str">
        <f>INDEX(基本資料!N:N,MATCH($G1724,基本資料!A:A,0))</f>
        <v>低</v>
      </c>
    </row>
    <row r="1725" spans="1:44">
      <c r="A1725" s="343">
        <f>IFERROR(VLOOKUP($G1725,基本資料!$A:$J,3,0),"無")</f>
        <v>10.210000000000001</v>
      </c>
      <c r="B1725" s="79">
        <f>IFERROR(VLOOKUP($G1725,基本資料!$A:$J,4,0),"無")</f>
        <v>43</v>
      </c>
      <c r="C1725" s="79">
        <f>IFERROR(VLOOKUP($G1725,基本資料!$A:$J,5,0),"無")</f>
        <v>55</v>
      </c>
      <c r="D1725" s="79">
        <f>IFERROR(VLOOKUP($G1725,基本資料!$A:$J,6,0),"無")</f>
        <v>-21</v>
      </c>
      <c r="E1725" s="79">
        <f>IFERROR(VLOOKUP($G1725,基本資料!$A:$J,7,0),"無")</f>
        <v>11</v>
      </c>
      <c r="F1725" s="6">
        <f>IFERROR(VLOOKUP($G1725,基本資料!$A:$J,8,0),"無")</f>
        <v>-11.85</v>
      </c>
      <c r="G1725" s="79">
        <v>3508</v>
      </c>
      <c r="H1725" s="8" t="s">
        <v>314</v>
      </c>
      <c r="I1725" s="16" t="s">
        <v>4677</v>
      </c>
      <c r="J1725" s="8">
        <f>IFERROR(VLOOKUP($G1725,今日總結!$A:$AN,39,0),"")</f>
        <v>0</v>
      </c>
      <c r="K1725" s="5">
        <f>IFERROR(VLOOKUP($G1725,今日總結!$A:$AN,40,0),"")</f>
        <v>0</v>
      </c>
      <c r="L1725" s="156">
        <f>IFERROR(VLOOKUP($G1725,今日總結!$A:$AN,37,0),"")</f>
        <v>0</v>
      </c>
      <c r="M1725" s="337">
        <f>IFERROR(VLOOKUP($G1725,今日總結!$A:$AN,38,0),"")</f>
        <v>0</v>
      </c>
      <c r="N1725" s="240">
        <f t="shared" si="299"/>
        <v>0</v>
      </c>
      <c r="O1725" s="359">
        <f>IFERROR(VLOOKUP($G1725,融外自投!$A:$J,7,0),"無")</f>
        <v>180</v>
      </c>
      <c r="P1725" s="79">
        <f>IFERROR(VLOOKUP($G1725,融外自投!$A:$J,9,0),"無")</f>
        <v>62</v>
      </c>
      <c r="Q1725" s="342">
        <f>IFERROR(VLOOKUP($G1725,融外自投!$A:$J,8,0),"無")</f>
        <v>692</v>
      </c>
      <c r="R1725" s="81" t="str">
        <f>IFERROR(VLOOKUP($G1725,融外自投!$A:$J,10,0),"無")</f>
        <v>無</v>
      </c>
      <c r="S1725" s="324">
        <f>IFERROR(VLOOKUP($G1725,'321買'!$A:$E,4,0),"'沒有資料'")</f>
        <v>52</v>
      </c>
      <c r="T1725" s="186">
        <f>IFERROR(VLOOKUP($G1725,基本資料!$A:$J,9,0),"無")</f>
        <v>0</v>
      </c>
      <c r="U1725" s="307">
        <f t="shared" si="295"/>
        <v>0</v>
      </c>
      <c r="V1725" s="94">
        <f>IFERROR(VLOOKUP($G1725,基本資料!$A:$J,10,0),"無")</f>
        <v>-0.92</v>
      </c>
      <c r="W1725" s="36">
        <f>RTD("money.excel",,"3508","Price")</f>
        <v>33.65</v>
      </c>
      <c r="X1725" s="66"/>
      <c r="Y1725" s="15">
        <f t="shared" si="296"/>
        <v>33.65</v>
      </c>
      <c r="Z1725" s="3" t="e">
        <f t="shared" si="297"/>
        <v>#DIV/0!</v>
      </c>
      <c r="AA1725" s="340">
        <f>IFERROR(VLOOKUP($G1725,基本資料!$A:$M,11,0),"無")</f>
        <v>-55.43</v>
      </c>
      <c r="AB1725" s="389">
        <f>IFERROR(VLOOKUP($G1725,基本資料!$A:$M,12,0),"無")</f>
        <v>13.15</v>
      </c>
      <c r="AC1725" s="16" t="s">
        <v>4677</v>
      </c>
      <c r="AF1725" s="33">
        <f t="shared" si="298"/>
        <v>0</v>
      </c>
      <c r="AG1725" s="117" t="s">
        <v>2518</v>
      </c>
      <c r="AH1725" s="66">
        <f t="shared" si="287"/>
        <v>0.64724401045835334</v>
      </c>
      <c r="AI1725" s="283">
        <f>RTD("money.excel",,$G1725,"PredictVolume")</f>
        <v>1213</v>
      </c>
      <c r="AJ1725" s="391">
        <f>IFERROR(VLOOKUP($G1725,基本資料!$A:$M,13,0),"無")</f>
        <v>1874.1</v>
      </c>
      <c r="AR1725" s="245" t="str">
        <f>INDEX(基本資料!N:N,MATCH($G1725,基本資料!A:A,0))</f>
        <v>低</v>
      </c>
    </row>
    <row r="1726" spans="1:44">
      <c r="A1726" s="343">
        <f>IFERROR(VLOOKUP($G1726,基本資料!$A:$J,3,0),"無")</f>
        <v>8.07</v>
      </c>
      <c r="B1726" s="79">
        <f>IFERROR(VLOOKUP($G1726,基本資料!$A:$J,4,0),"無")</f>
        <v>173</v>
      </c>
      <c r="C1726" s="79">
        <f>IFERROR(VLOOKUP($G1726,基本資料!$A:$J,5,0),"無")</f>
        <v>488</v>
      </c>
      <c r="D1726" s="79">
        <f>IFERROR(VLOOKUP($G1726,基本資料!$A:$J,6,0),"無")</f>
        <v>-39</v>
      </c>
      <c r="E1726" s="79">
        <f>IFERROR(VLOOKUP($G1726,基本資料!$A:$J,7,0),"無")</f>
        <v>-48</v>
      </c>
      <c r="F1726" s="6">
        <f>IFERROR(VLOOKUP($G1726,基本資料!$A:$J,8,0),"無")</f>
        <v>7.58</v>
      </c>
      <c r="G1726" s="79">
        <v>3518</v>
      </c>
      <c r="H1726" s="8" t="s">
        <v>314</v>
      </c>
      <c r="I1726" s="22" t="s">
        <v>505</v>
      </c>
      <c r="J1726" s="8">
        <f>IFERROR(VLOOKUP($G1726,今日總結!$A:$AN,39,0),"")</f>
        <v>0</v>
      </c>
      <c r="K1726" s="5">
        <f>IFERROR(VLOOKUP($G1726,今日總結!$A:$AN,40,0),"")</f>
        <v>0</v>
      </c>
      <c r="L1726" s="156">
        <f>IFERROR(VLOOKUP($G1726,今日總結!$A:$AN,37,0),"")</f>
        <v>0</v>
      </c>
      <c r="M1726" s="337">
        <f>IFERROR(VLOOKUP($G1726,今日總結!$A:$AN,38,0),"")</f>
        <v>0</v>
      </c>
      <c r="N1726" s="240">
        <f t="shared" si="299"/>
        <v>0</v>
      </c>
      <c r="O1726" s="359">
        <f>IFERROR(VLOOKUP($G1726,融外自投!$A:$J,7,0),"無")</f>
        <v>236</v>
      </c>
      <c r="P1726" s="79">
        <f>IFERROR(VLOOKUP($G1726,融外自投!$A:$J,9,0),"無")</f>
        <v>426</v>
      </c>
      <c r="Q1726" s="342">
        <f>IFERROR(VLOOKUP($G1726,融外自投!$A:$J,8,0),"無")</f>
        <v>595</v>
      </c>
      <c r="R1726" s="81" t="str">
        <f>IFERROR(VLOOKUP($G1726,融外自投!$A:$J,10,0),"無")</f>
        <v>無</v>
      </c>
      <c r="S1726" s="324">
        <f>IFERROR(VLOOKUP($G1726,'321買'!$A:$E,4,0),"'沒有資料'")</f>
        <v>801</v>
      </c>
      <c r="T1726" s="186">
        <f>IFERROR(VLOOKUP($G1726,基本資料!$A:$J,9,0),"無")</f>
        <v>1</v>
      </c>
      <c r="U1726" s="307">
        <f t="shared" si="295"/>
        <v>5.3908355795148244E-2</v>
      </c>
      <c r="V1726" s="94">
        <f>IFERROR(VLOOKUP($G1726,基本資料!$A:$J,10,0),"無")</f>
        <v>0.52</v>
      </c>
      <c r="W1726" s="36">
        <f>RTD("money.excel",,"3518","Price")</f>
        <v>18.55</v>
      </c>
      <c r="X1726" s="66"/>
      <c r="Y1726" s="15">
        <f t="shared" si="296"/>
        <v>18.55</v>
      </c>
      <c r="Z1726" s="3" t="e">
        <f t="shared" si="297"/>
        <v>#DIV/0!</v>
      </c>
      <c r="AA1726" s="340">
        <f>IFERROR(VLOOKUP($G1726,基本資料!$A:$M,11,0),"無")</f>
        <v>-33.39</v>
      </c>
      <c r="AB1726" s="389">
        <f>IFERROR(VLOOKUP($G1726,基本資料!$A:$M,12,0),"無")</f>
        <v>17.05</v>
      </c>
      <c r="AC1726" s="22" t="s">
        <v>505</v>
      </c>
      <c r="AF1726" s="33">
        <f t="shared" si="298"/>
        <v>0</v>
      </c>
      <c r="AG1726" s="43" t="s">
        <v>2575</v>
      </c>
      <c r="AH1726" s="66">
        <f t="shared" si="287"/>
        <v>0.56221198156682028</v>
      </c>
      <c r="AI1726" s="283">
        <f>RTD("money.excel",,$G1726,"PredictVolume")</f>
        <v>61</v>
      </c>
      <c r="AJ1726" s="391">
        <f>IFERROR(VLOOKUP($G1726,基本資料!$A:$M,13,0),"無")</f>
        <v>108.5</v>
      </c>
      <c r="AR1726" s="245" t="str">
        <f>INDEX(基本資料!N:N,MATCH($G1726,基本資料!A:A,0))</f>
        <v>低</v>
      </c>
    </row>
    <row r="1727" spans="1:44">
      <c r="A1727" s="343">
        <f>IFERROR(VLOOKUP($G1727,基本資料!$A:$J,3,0),"無")</f>
        <v>5.67</v>
      </c>
      <c r="B1727" s="79">
        <f>IFERROR(VLOOKUP($G1727,基本資料!$A:$J,4,0),"無")</f>
        <v>57</v>
      </c>
      <c r="C1727" s="79">
        <f>IFERROR(VLOOKUP($G1727,基本資料!$A:$J,5,0),"無")</f>
        <v>35</v>
      </c>
      <c r="D1727" s="79">
        <f>IFERROR(VLOOKUP($G1727,基本資料!$A:$J,6,0),"無")</f>
        <v>-9</v>
      </c>
      <c r="E1727" s="79">
        <f>IFERROR(VLOOKUP($G1727,基本資料!$A:$J,7,0),"無")</f>
        <v>36</v>
      </c>
      <c r="F1727" s="6">
        <f>IFERROR(VLOOKUP($G1727,基本資料!$A:$J,8,0),"無")</f>
        <v>14.96</v>
      </c>
      <c r="G1727" s="79">
        <v>3541</v>
      </c>
      <c r="H1727" s="8" t="s">
        <v>314</v>
      </c>
      <c r="I1727" s="16" t="s">
        <v>157</v>
      </c>
      <c r="J1727" s="8" t="str">
        <f>IFERROR(VLOOKUP($G1727,今日總結!$A:$AN,39,0),"")</f>
        <v>主</v>
      </c>
      <c r="K1727" s="5">
        <f>IFERROR(VLOOKUP($G1727,今日總結!$A:$AN,40,0),"")</f>
        <v>0</v>
      </c>
      <c r="L1727" s="156">
        <f>IFERROR(VLOOKUP($G1727,今日總結!$A:$AN,37,0),"")</f>
        <v>3</v>
      </c>
      <c r="M1727" s="337">
        <f>IFERROR(VLOOKUP($G1727,今日總結!$A:$AN,38,0),"")</f>
        <v>0</v>
      </c>
      <c r="N1727" s="240">
        <f t="shared" si="299"/>
        <v>3</v>
      </c>
      <c r="O1727" s="359">
        <f>IFERROR(VLOOKUP($G1727,融外自投!$A:$J,7,0),"無")</f>
        <v>594</v>
      </c>
      <c r="P1727" s="79">
        <f>IFERROR(VLOOKUP($G1727,融外自投!$A:$J,9,0),"無")</f>
        <v>253</v>
      </c>
      <c r="Q1727" s="342">
        <f>IFERROR(VLOOKUP($G1727,融外自投!$A:$J,8,0),"無")</f>
        <v>731</v>
      </c>
      <c r="R1727" s="81">
        <f>IFERROR(VLOOKUP($G1727,融外自投!$A:$J,10,0),"無")</f>
        <v>439</v>
      </c>
      <c r="S1727" s="324">
        <f>IFERROR(VLOOKUP($G1727,'321買'!$A:$E,4,0),"'沒有資料'")</f>
        <v>606</v>
      </c>
      <c r="T1727" s="186">
        <f>IFERROR(VLOOKUP($G1727,基本資料!$A:$J,9,0),"無")</f>
        <v>3</v>
      </c>
      <c r="U1727" s="307">
        <f t="shared" si="295"/>
        <v>4.2313117066290547E-2</v>
      </c>
      <c r="V1727" s="94">
        <f>IFERROR(VLOOKUP($G1727,基本資料!$A:$J,10,0),"無")</f>
        <v>3.38</v>
      </c>
      <c r="W1727" s="36">
        <f>RTD("money.excel",,"3541","Price")</f>
        <v>70.900000000000006</v>
      </c>
      <c r="X1727" s="66"/>
      <c r="Y1727" s="15">
        <f t="shared" si="296"/>
        <v>70.900000000000006</v>
      </c>
      <c r="Z1727" s="3" t="e">
        <f t="shared" si="297"/>
        <v>#DIV/0!</v>
      </c>
      <c r="AA1727" s="340">
        <f>IFERROR(VLOOKUP($G1727,基本資料!$A:$M,11,0),"無")</f>
        <v>-2.61</v>
      </c>
      <c r="AB1727" s="389">
        <f>IFERROR(VLOOKUP($G1727,基本資料!$A:$M,12,0),"無")</f>
        <v>78.72</v>
      </c>
      <c r="AC1727" s="16" t="s">
        <v>157</v>
      </c>
      <c r="AF1727" s="33">
        <f t="shared" si="298"/>
        <v>0</v>
      </c>
      <c r="AG1727" s="117" t="s">
        <v>2519</v>
      </c>
      <c r="AH1727" s="66">
        <f t="shared" si="287"/>
        <v>1.7319408181026978</v>
      </c>
      <c r="AI1727" s="283">
        <f>RTD("money.excel",,$G1727,"PredictVolume")</f>
        <v>398</v>
      </c>
      <c r="AJ1727" s="391">
        <f>IFERROR(VLOOKUP($G1727,基本資料!$A:$M,13,0),"無")</f>
        <v>229.8</v>
      </c>
      <c r="AR1727" s="245" t="str">
        <f>INDEX(基本資料!N:N,MATCH($G1727,基本資料!A:A,0))</f>
        <v>高</v>
      </c>
    </row>
    <row r="1728" spans="1:44">
      <c r="A1728" s="343">
        <f>IFERROR(VLOOKUP($G1728,基本資料!$A:$J,3,0),"無")</f>
        <v>5.67</v>
      </c>
      <c r="B1728" s="79">
        <f>IFERROR(VLOOKUP($G1728,基本資料!$A:$J,4,0),"無")</f>
        <v>61</v>
      </c>
      <c r="C1728" s="79">
        <f>IFERROR(VLOOKUP($G1728,基本資料!$A:$J,5,0),"無")</f>
        <v>24</v>
      </c>
      <c r="D1728" s="79">
        <f>IFERROR(VLOOKUP($G1728,基本資料!$A:$J,6,0),"無")</f>
        <v>4</v>
      </c>
      <c r="E1728" s="79">
        <f>IFERROR(VLOOKUP($G1728,基本資料!$A:$J,7,0),"無")</f>
        <v>16</v>
      </c>
      <c r="F1728" s="6">
        <f>IFERROR(VLOOKUP($G1728,基本資料!$A:$J,8,0),"無")</f>
        <v>19.510000000000002</v>
      </c>
      <c r="G1728" s="79">
        <v>3551</v>
      </c>
      <c r="H1728" s="8" t="s">
        <v>314</v>
      </c>
      <c r="I1728" s="16" t="s">
        <v>478</v>
      </c>
      <c r="J1728" s="8" t="str">
        <f>IFERROR(VLOOKUP($G1728,今日總結!$A:$AN,39,0),"")</f>
        <v>外</v>
      </c>
      <c r="K1728" s="5">
        <f>IFERROR(VLOOKUP($G1728,今日總結!$A:$AN,40,0),"")</f>
        <v>0</v>
      </c>
      <c r="L1728" s="156">
        <f>IFERROR(VLOOKUP($G1728,今日總結!$A:$AN,37,0),"")</f>
        <v>6</v>
      </c>
      <c r="M1728" s="337">
        <f>IFERROR(VLOOKUP($G1728,今日總結!$A:$AN,38,0),"")</f>
        <v>0</v>
      </c>
      <c r="N1728" s="240">
        <f t="shared" si="299"/>
        <v>6</v>
      </c>
      <c r="O1728" s="359">
        <f>IFERROR(VLOOKUP($G1728,融外自投!$A:$J,7,0),"無")</f>
        <v>504</v>
      </c>
      <c r="P1728" s="79">
        <f>IFERROR(VLOOKUP($G1728,融外自投!$A:$J,9,0),"無")</f>
        <v>283</v>
      </c>
      <c r="Q1728" s="342">
        <f>IFERROR(VLOOKUP($G1728,融外自投!$A:$J,8,0),"無")</f>
        <v>712</v>
      </c>
      <c r="R1728" s="81">
        <f>IFERROR(VLOOKUP($G1728,融外自投!$A:$J,10,0),"無")</f>
        <v>244</v>
      </c>
      <c r="S1728" s="324">
        <f>IFERROR(VLOOKUP($G1728,'321買'!$A:$E,4,0),"'沒有資料'")</f>
        <v>214</v>
      </c>
      <c r="T1728" s="186">
        <f>IFERROR(VLOOKUP($G1728,基本資料!$A:$J,9,0),"無")</f>
        <v>3.5</v>
      </c>
      <c r="U1728" s="307">
        <f t="shared" si="295"/>
        <v>5.4858934169278999E-2</v>
      </c>
      <c r="V1728" s="94">
        <f>IFERROR(VLOOKUP($G1728,基本資料!$A:$J,10,0),"無")</f>
        <v>7.16</v>
      </c>
      <c r="W1728" s="36">
        <f>RTD("money.excel",,"3551","Price")</f>
        <v>63.8</v>
      </c>
      <c r="X1728" s="66"/>
      <c r="Y1728" s="15">
        <f t="shared" si="296"/>
        <v>63.8</v>
      </c>
      <c r="Z1728" s="3" t="e">
        <f t="shared" si="297"/>
        <v>#DIV/0!</v>
      </c>
      <c r="AA1728" s="340">
        <f>IFERROR(VLOOKUP($G1728,基本資料!$A:$M,11,0),"無")</f>
        <v>-19.850000000000001</v>
      </c>
      <c r="AB1728" s="389">
        <f>IFERROR(VLOOKUP($G1728,基本資料!$A:$M,12,0),"無")</f>
        <v>19.510000000000002</v>
      </c>
      <c r="AC1728" s="16" t="s">
        <v>478</v>
      </c>
      <c r="AF1728" s="33">
        <f t="shared" si="298"/>
        <v>0</v>
      </c>
      <c r="AG1728" s="43" t="s">
        <v>2308</v>
      </c>
      <c r="AH1728" s="66">
        <f t="shared" si="287"/>
        <v>1.0709318497913769</v>
      </c>
      <c r="AI1728" s="283">
        <f>RTD("money.excel",,$G1728,"PredictVolume")</f>
        <v>154</v>
      </c>
      <c r="AJ1728" s="391">
        <f>IFERROR(VLOOKUP($G1728,基本資料!$A:$M,13,0),"無")</f>
        <v>143.80000000000001</v>
      </c>
      <c r="AR1728" s="245" t="str">
        <f>INDEX(基本資料!N:N,MATCH($G1728,基本資料!A:A,0))</f>
        <v>中</v>
      </c>
    </row>
    <row r="1729" spans="1:44">
      <c r="A1729" s="343">
        <f>IFERROR(VLOOKUP($G1729,基本資料!$A:$J,3,0),"無")</f>
        <v>8.5500000000000007</v>
      </c>
      <c r="B1729" s="79">
        <f>IFERROR(VLOOKUP($G1729,基本資料!$A:$J,4,0),"無")</f>
        <v>66</v>
      </c>
      <c r="C1729" s="79">
        <f>IFERROR(VLOOKUP($G1729,基本資料!$A:$J,5,0),"無")</f>
        <v>232</v>
      </c>
      <c r="D1729" s="79">
        <f>IFERROR(VLOOKUP($G1729,基本資料!$A:$J,6,0),"無")</f>
        <v>-20</v>
      </c>
      <c r="E1729" s="79">
        <f>IFERROR(VLOOKUP($G1729,基本資料!$A:$J,7,0),"無")</f>
        <v>-3</v>
      </c>
      <c r="F1729" s="6">
        <f>IFERROR(VLOOKUP($G1729,基本資料!$A:$J,8,0),"無")</f>
        <v>5.97</v>
      </c>
      <c r="G1729" s="79">
        <v>3552</v>
      </c>
      <c r="H1729" s="8" t="s">
        <v>314</v>
      </c>
      <c r="I1729" s="16" t="s">
        <v>4678</v>
      </c>
      <c r="J1729" s="8">
        <f>IFERROR(VLOOKUP($G1729,今日總結!$A:$AN,39,0),"")</f>
        <v>0</v>
      </c>
      <c r="K1729" s="5">
        <f>IFERROR(VLOOKUP($G1729,今日總結!$A:$AN,40,0),"")</f>
        <v>0</v>
      </c>
      <c r="L1729" s="156">
        <f>IFERROR(VLOOKUP($G1729,今日總結!$A:$AN,37,0),"")</f>
        <v>0</v>
      </c>
      <c r="M1729" s="337">
        <f>IFERROR(VLOOKUP($G1729,今日總結!$A:$AN,38,0),"")</f>
        <v>0</v>
      </c>
      <c r="N1729" s="240">
        <f t="shared" si="299"/>
        <v>0</v>
      </c>
      <c r="O1729" s="359">
        <f>IFERROR(VLOOKUP($G1729,融外自投!$A:$J,7,0),"無")</f>
        <v>76</v>
      </c>
      <c r="P1729" s="79">
        <f>IFERROR(VLOOKUP($G1729,融外自投!$A:$J,9,0),"無")</f>
        <v>62</v>
      </c>
      <c r="Q1729" s="342">
        <f>IFERROR(VLOOKUP($G1729,融外自投!$A:$J,8,0),"無")</f>
        <v>394</v>
      </c>
      <c r="R1729" s="81">
        <f>IFERROR(VLOOKUP($G1729,融外自投!$A:$J,10,0),"無")</f>
        <v>439</v>
      </c>
      <c r="S1729" s="324">
        <f>IFERROR(VLOOKUP($G1729,'321買'!$A:$E,4,0),"'沒有資料'")</f>
        <v>164</v>
      </c>
      <c r="T1729" s="186">
        <f>IFERROR(VLOOKUP($G1729,基本資料!$A:$J,9,0),"無")</f>
        <v>2.5</v>
      </c>
      <c r="U1729" s="307">
        <f t="shared" si="295"/>
        <v>1.6556291390728478E-2</v>
      </c>
      <c r="V1729" s="94">
        <f>IFERROR(VLOOKUP($G1729,基本資料!$A:$J,10,0),"無")</f>
        <v>5.44</v>
      </c>
      <c r="W1729" s="36">
        <f>RTD("money.excel",,"3552","Price")</f>
        <v>151</v>
      </c>
      <c r="X1729" s="66"/>
      <c r="Y1729" s="15">
        <f t="shared" si="296"/>
        <v>151</v>
      </c>
      <c r="Z1729" s="3" t="e">
        <f t="shared" si="297"/>
        <v>#DIV/0!</v>
      </c>
      <c r="AA1729" s="340">
        <f>IFERROR(VLOOKUP($G1729,基本資料!$A:$M,11,0),"無")</f>
        <v>-46.64</v>
      </c>
      <c r="AB1729" s="389">
        <f>IFERROR(VLOOKUP($G1729,基本資料!$A:$M,12,0),"無")</f>
        <v>52.85</v>
      </c>
      <c r="AC1729" s="16" t="s">
        <v>4678</v>
      </c>
      <c r="AF1729" s="33">
        <f t="shared" si="298"/>
        <v>0</v>
      </c>
      <c r="AG1729" s="117" t="s">
        <v>2325</v>
      </c>
      <c r="AH1729" s="66">
        <f t="shared" si="287"/>
        <v>0.55508011921975986</v>
      </c>
      <c r="AI1729" s="283">
        <f>RTD("money.excel",,$G1729,"PredictVolume")</f>
        <v>1881</v>
      </c>
      <c r="AJ1729" s="391">
        <f>IFERROR(VLOOKUP($G1729,基本資料!$A:$M,13,0),"無")</f>
        <v>3388.7</v>
      </c>
      <c r="AR1729" s="245" t="str">
        <f>INDEX(基本資料!N:N,MATCH($G1729,基本資料!A:A,0))</f>
        <v>低</v>
      </c>
    </row>
    <row r="1730" spans="1:44">
      <c r="A1730" s="343">
        <f>IFERROR(VLOOKUP($G1730,基本資料!$A:$J,3,0),"無")</f>
        <v>3.94</v>
      </c>
      <c r="B1730" s="79">
        <f>IFERROR(VLOOKUP($G1730,基本資料!$A:$J,4,0),"無")</f>
        <v>64</v>
      </c>
      <c r="C1730" s="79">
        <f>IFERROR(VLOOKUP($G1730,基本資料!$A:$J,5,0),"無")</f>
        <v>168</v>
      </c>
      <c r="D1730" s="79">
        <f>IFERROR(VLOOKUP($G1730,基本資料!$A:$J,6,0),"無")</f>
        <v>-20</v>
      </c>
      <c r="E1730" s="79">
        <f>IFERROR(VLOOKUP($G1730,基本資料!$A:$J,7,0),"無")</f>
        <v>-16</v>
      </c>
      <c r="F1730" s="6">
        <f>IFERROR(VLOOKUP($G1730,基本資料!$A:$J,8,0),"無")</f>
        <v>17.600000000000001</v>
      </c>
      <c r="G1730" s="79">
        <v>3580</v>
      </c>
      <c r="H1730" s="8" t="s">
        <v>314</v>
      </c>
      <c r="I1730" s="16" t="s">
        <v>4679</v>
      </c>
      <c r="J1730" s="8">
        <f>IFERROR(VLOOKUP($G1730,今日總結!$A:$AN,39,0),"")</f>
        <v>0</v>
      </c>
      <c r="K1730" s="5" t="str">
        <f>IFERROR(VLOOKUP($G1730,今日總結!$A:$AN,40,0),"")</f>
        <v>券</v>
      </c>
      <c r="L1730" s="156">
        <f>IFERROR(VLOOKUP($G1730,今日總結!$A:$AN,37,0),"")</f>
        <v>0</v>
      </c>
      <c r="M1730" s="337">
        <f>IFERROR(VLOOKUP($G1730,今日總結!$A:$AN,38,0),"")</f>
        <v>2</v>
      </c>
      <c r="N1730" s="240">
        <f t="shared" si="299"/>
        <v>-2</v>
      </c>
      <c r="O1730" s="359">
        <f>IFERROR(VLOOKUP($G1730,融外自投!$A:$J,7,0),"無")</f>
        <v>40</v>
      </c>
      <c r="P1730" s="79">
        <f>IFERROR(VLOOKUP($G1730,融外自投!$A:$J,9,0),"無")</f>
        <v>762</v>
      </c>
      <c r="Q1730" s="342">
        <f>IFERROR(VLOOKUP($G1730,融外自投!$A:$J,8,0),"無")</f>
        <v>708</v>
      </c>
      <c r="R1730" s="81" t="str">
        <f>IFERROR(VLOOKUP($G1730,融外自投!$A:$J,10,0),"無")</f>
        <v>無</v>
      </c>
      <c r="S1730" s="324">
        <f>IFERROR(VLOOKUP($G1730,'321買'!$A:$E,4,0),"'沒有資料'")</f>
        <v>530</v>
      </c>
      <c r="T1730" s="186">
        <f>IFERROR(VLOOKUP($G1730,基本資料!$A:$J,9,0),"無")</f>
        <v>2.1</v>
      </c>
      <c r="U1730" s="307">
        <f t="shared" si="295"/>
        <v>3.2659409020217731E-2</v>
      </c>
      <c r="V1730" s="94">
        <f>IFERROR(VLOOKUP($G1730,基本資料!$A:$J,10,0),"無")</f>
        <v>3.02</v>
      </c>
      <c r="W1730" s="36">
        <f>RTD("money.excel",,"3580","Price")</f>
        <v>64.3</v>
      </c>
      <c r="X1730" s="66"/>
      <c r="Y1730" s="15">
        <f t="shared" si="296"/>
        <v>64.3</v>
      </c>
      <c r="Z1730" s="3" t="e">
        <f t="shared" si="297"/>
        <v>#DIV/0!</v>
      </c>
      <c r="AA1730" s="340">
        <f>IFERROR(VLOOKUP($G1730,基本資料!$A:$M,11,0),"無")</f>
        <v>-12.87</v>
      </c>
      <c r="AB1730" s="389">
        <f>IFERROR(VLOOKUP($G1730,基本資料!$A:$M,12,0),"無")</f>
        <v>38.14</v>
      </c>
      <c r="AC1730" s="16" t="s">
        <v>4679</v>
      </c>
      <c r="AF1730" s="33">
        <f t="shared" si="298"/>
        <v>0</v>
      </c>
      <c r="AG1730" s="117" t="s">
        <v>2322</v>
      </c>
      <c r="AH1730" s="66">
        <f t="shared" si="287"/>
        <v>2.3102700571653854</v>
      </c>
      <c r="AI1730" s="283">
        <f>RTD("money.excel",,$G1730,"PredictVolume")</f>
        <v>586</v>
      </c>
      <c r="AJ1730" s="391">
        <f>IFERROR(VLOOKUP($G1730,基本資料!$A:$M,13,0),"無")</f>
        <v>253.65</v>
      </c>
      <c r="AR1730" s="245" t="str">
        <f>INDEX(基本資料!N:N,MATCH($G1730,基本資料!A:A,0))</f>
        <v>高</v>
      </c>
    </row>
    <row r="1731" spans="1:44">
      <c r="A1731" s="343">
        <f>IFERROR(VLOOKUP($G1731,基本資料!$A:$J,3,0),"無")</f>
        <v>6.23</v>
      </c>
      <c r="B1731" s="79">
        <f>IFERROR(VLOOKUP($G1731,基本資料!$A:$J,4,0),"無")</f>
        <v>52</v>
      </c>
      <c r="C1731" s="79">
        <f>IFERROR(VLOOKUP($G1731,基本資料!$A:$J,5,0),"無")</f>
        <v>51</v>
      </c>
      <c r="D1731" s="79">
        <f>IFERROR(VLOOKUP($G1731,基本資料!$A:$J,6,0),"無")</f>
        <v>-11</v>
      </c>
      <c r="E1731" s="79">
        <f>IFERROR(VLOOKUP($G1731,基本資料!$A:$J,7,0),"無")</f>
        <v>13</v>
      </c>
      <c r="F1731" s="6">
        <f>IFERROR(VLOOKUP($G1731,基本資料!$A:$J,8,0),"無")</f>
        <v>19.93</v>
      </c>
      <c r="G1731" s="79">
        <v>3587</v>
      </c>
      <c r="H1731" s="8" t="s">
        <v>314</v>
      </c>
      <c r="I1731" s="16" t="s">
        <v>158</v>
      </c>
      <c r="J1731" s="8">
        <f>IFERROR(VLOOKUP($G1731,今日總結!$A:$AN,39,0),"")</f>
        <v>0</v>
      </c>
      <c r="K1731" s="5" t="str">
        <f>IFERROR(VLOOKUP($G1731,今日總結!$A:$AN,40,0),"")</f>
        <v>主</v>
      </c>
      <c r="L1731" s="156">
        <f>IFERROR(VLOOKUP($G1731,今日總結!$A:$AN,37,0),"")</f>
        <v>0</v>
      </c>
      <c r="M1731" s="337">
        <f>IFERROR(VLOOKUP($G1731,今日總結!$A:$AN,38,0),"")</f>
        <v>3</v>
      </c>
      <c r="N1731" s="240">
        <f t="shared" si="299"/>
        <v>-3</v>
      </c>
      <c r="O1731" s="359">
        <f>IFERROR(VLOOKUP($G1731,融外自投!$A:$J,7,0),"無")</f>
        <v>634</v>
      </c>
      <c r="P1731" s="79">
        <f>IFERROR(VLOOKUP($G1731,融外自投!$A:$J,9,0),"無")</f>
        <v>596</v>
      </c>
      <c r="Q1731" s="342">
        <f>IFERROR(VLOOKUP($G1731,融外自投!$A:$J,8,0),"無")</f>
        <v>1009</v>
      </c>
      <c r="R1731" s="81">
        <f>IFERROR(VLOOKUP($G1731,融外自投!$A:$J,10,0),"無")</f>
        <v>175</v>
      </c>
      <c r="S1731" s="324">
        <f>IFERROR(VLOOKUP($G1731,'321買'!$A:$E,4,0),"'沒有資料'")</f>
        <v>164</v>
      </c>
      <c r="T1731" s="186">
        <f>IFERROR(VLOOKUP($G1731,基本資料!$A:$J,9,0),"無")</f>
        <v>5</v>
      </c>
      <c r="U1731" s="307">
        <f t="shared" si="295"/>
        <v>4.2918454935622317E-2</v>
      </c>
      <c r="V1731" s="94">
        <f>IFERROR(VLOOKUP($G1731,基本資料!$A:$J,10,0),"無")</f>
        <v>9.48</v>
      </c>
      <c r="W1731" s="36">
        <f>RTD("money.excel",,"3587","Price")</f>
        <v>116.5</v>
      </c>
      <c r="X1731" s="66"/>
      <c r="Y1731" s="15">
        <f t="shared" si="296"/>
        <v>116.5</v>
      </c>
      <c r="Z1731" s="3" t="e">
        <f t="shared" si="297"/>
        <v>#DIV/0!</v>
      </c>
      <c r="AA1731" s="340">
        <f>IFERROR(VLOOKUP($G1731,基本資料!$A:$M,11,0),"無")</f>
        <v>-30.65</v>
      </c>
      <c r="AB1731" s="389">
        <f>IFERROR(VLOOKUP($G1731,基本資料!$A:$M,12,0),"無")</f>
        <v>11.22</v>
      </c>
      <c r="AC1731" s="16" t="s">
        <v>158</v>
      </c>
      <c r="AF1731" s="33">
        <f t="shared" si="298"/>
        <v>0</v>
      </c>
      <c r="AG1731" s="117" t="s">
        <v>1997</v>
      </c>
      <c r="AH1731" s="66">
        <f t="shared" si="287"/>
        <v>1.2447338184603598</v>
      </c>
      <c r="AI1731" s="283">
        <f>RTD("money.excel",,$G1731,"PredictVolume")</f>
        <v>325</v>
      </c>
      <c r="AJ1731" s="391">
        <f>IFERROR(VLOOKUP($G1731,基本資料!$A:$M,13,0),"無")</f>
        <v>261.10000000000002</v>
      </c>
      <c r="AR1731" s="245" t="str">
        <f>INDEX(基本資料!N:N,MATCH($G1731,基本資料!A:A,0))</f>
        <v>低</v>
      </c>
    </row>
    <row r="1732" spans="1:44">
      <c r="A1732" s="343">
        <f>IFERROR(VLOOKUP($G1732,基本資料!$A:$J,3,0),"無")</f>
        <v>8.09</v>
      </c>
      <c r="B1732" s="79">
        <f>IFERROR(VLOOKUP($G1732,基本資料!$A:$J,4,0),"無")</f>
        <v>-111</v>
      </c>
      <c r="C1732" s="79">
        <f>IFERROR(VLOOKUP($G1732,基本資料!$A:$J,5,0),"無")</f>
        <v>-87</v>
      </c>
      <c r="D1732" s="79">
        <f>IFERROR(VLOOKUP($G1732,基本資料!$A:$J,6,0),"無")</f>
        <v>36</v>
      </c>
      <c r="E1732" s="79">
        <f>IFERROR(VLOOKUP($G1732,基本資料!$A:$J,7,0),"無")</f>
        <v>53</v>
      </c>
      <c r="F1732" s="6">
        <f>IFERROR(VLOOKUP($G1732,基本資料!$A:$J,8,0),"無")</f>
        <v>1.06</v>
      </c>
      <c r="G1732" s="79">
        <v>3617</v>
      </c>
      <c r="H1732" s="8" t="s">
        <v>314</v>
      </c>
      <c r="I1732" s="22" t="s">
        <v>506</v>
      </c>
      <c r="J1732" s="8">
        <f>IFERROR(VLOOKUP($G1732,今日總結!$A:$AN,39,0),"")</f>
        <v>0</v>
      </c>
      <c r="K1732" s="5">
        <f>IFERROR(VLOOKUP($G1732,今日總結!$A:$AN,40,0),"")</f>
        <v>0</v>
      </c>
      <c r="L1732" s="156">
        <f>IFERROR(VLOOKUP($G1732,今日總結!$A:$AN,37,0),"")</f>
        <v>0</v>
      </c>
      <c r="M1732" s="337">
        <f>IFERROR(VLOOKUP($G1732,今日總結!$A:$AN,38,0),"")</f>
        <v>0</v>
      </c>
      <c r="N1732" s="240">
        <f t="shared" si="299"/>
        <v>0</v>
      </c>
      <c r="O1732" s="359">
        <f>IFERROR(VLOOKUP($G1732,融外自投!$A:$J,7,0),"無")</f>
        <v>1220</v>
      </c>
      <c r="P1732" s="79">
        <f>IFERROR(VLOOKUP($G1732,融外自投!$A:$J,9,0),"無")</f>
        <v>908</v>
      </c>
      <c r="Q1732" s="342">
        <f>IFERROR(VLOOKUP($G1732,融外自投!$A:$J,8,0),"無")</f>
        <v>888</v>
      </c>
      <c r="R1732" s="81">
        <f>IFERROR(VLOOKUP($G1732,融外自投!$A:$J,10,0),"無")</f>
        <v>324</v>
      </c>
      <c r="S1732" s="324">
        <f>IFERROR(VLOOKUP($G1732,'321買'!$A:$E,4,0),"'沒有資料'")</f>
        <v>1002</v>
      </c>
      <c r="T1732" s="186">
        <f>IFERROR(VLOOKUP($G1732,基本資料!$A:$J,9,0),"無")</f>
        <v>1</v>
      </c>
      <c r="U1732" s="307">
        <f t="shared" si="295"/>
        <v>1.4749262536873156E-2</v>
      </c>
      <c r="V1732" s="94">
        <f>IFERROR(VLOOKUP($G1732,基本資料!$A:$J,10,0),"無")</f>
        <v>-0.89</v>
      </c>
      <c r="W1732" s="36">
        <f>RTD("money.excel",,"3617","Price")</f>
        <v>67.8</v>
      </c>
      <c r="X1732" s="66"/>
      <c r="Y1732" s="15">
        <f t="shared" si="296"/>
        <v>67.8</v>
      </c>
      <c r="Z1732" s="3" t="e">
        <f t="shared" si="297"/>
        <v>#DIV/0!</v>
      </c>
      <c r="AA1732" s="340">
        <f>IFERROR(VLOOKUP($G1732,基本資料!$A:$M,11,0),"無")</f>
        <v>-22.51</v>
      </c>
      <c r="AB1732" s="389">
        <f>IFERROR(VLOOKUP($G1732,基本資料!$A:$M,12,0),"無")</f>
        <v>40.31</v>
      </c>
      <c r="AC1732" s="22" t="s">
        <v>506</v>
      </c>
      <c r="AF1732" s="33">
        <f t="shared" si="298"/>
        <v>0</v>
      </c>
      <c r="AG1732" s="43" t="s">
        <v>1440</v>
      </c>
      <c r="AH1732" s="66">
        <f t="shared" si="287"/>
        <v>3.6928702010968921</v>
      </c>
      <c r="AI1732" s="283">
        <f>RTD("money.excel",,$G1732,"PredictVolume")</f>
        <v>303</v>
      </c>
      <c r="AJ1732" s="391">
        <f>IFERROR(VLOOKUP($G1732,基本資料!$A:$M,13,0),"無")</f>
        <v>82.05</v>
      </c>
      <c r="AR1732" s="245" t="str">
        <f>INDEX(基本資料!N:N,MATCH($G1732,基本資料!A:A,0))</f>
        <v>中</v>
      </c>
    </row>
    <row r="1733" spans="1:44">
      <c r="A1733" s="343">
        <f>IFERROR(VLOOKUP($G1733,基本資料!$A:$J,3,0),"無")</f>
        <v>4.5</v>
      </c>
      <c r="B1733" s="79">
        <f>IFERROR(VLOOKUP($G1733,基本資料!$A:$J,4,0),"無")</f>
        <v>70</v>
      </c>
      <c r="C1733" s="79">
        <f>IFERROR(VLOOKUP($G1733,基本資料!$A:$J,5,0),"無")</f>
        <v>47</v>
      </c>
      <c r="D1733" s="79">
        <f>IFERROR(VLOOKUP($G1733,基本資料!$A:$J,6,0),"無")</f>
        <v>-21</v>
      </c>
      <c r="E1733" s="79">
        <f>IFERROR(VLOOKUP($G1733,基本資料!$A:$J,7,0),"無")</f>
        <v>-29</v>
      </c>
      <c r="F1733" s="6">
        <f>IFERROR(VLOOKUP($G1733,基本資料!$A:$J,8,0),"無")</f>
        <v>2.61</v>
      </c>
      <c r="G1733" s="79">
        <v>3628</v>
      </c>
      <c r="H1733" s="8" t="s">
        <v>314</v>
      </c>
      <c r="I1733" s="16" t="s">
        <v>4680</v>
      </c>
      <c r="J1733" s="8">
        <f>IFERROR(VLOOKUP($G1733,今日總結!$A:$AN,39,0),"")</f>
        <v>0</v>
      </c>
      <c r="K1733" s="5">
        <f>IFERROR(VLOOKUP($G1733,今日總結!$A:$AN,40,0),"")</f>
        <v>0</v>
      </c>
      <c r="L1733" s="156">
        <f>IFERROR(VLOOKUP($G1733,今日總結!$A:$AN,37,0),"")</f>
        <v>0</v>
      </c>
      <c r="M1733" s="337">
        <f>IFERROR(VLOOKUP($G1733,今日總結!$A:$AN,38,0),"")</f>
        <v>0</v>
      </c>
      <c r="N1733" s="240">
        <f t="shared" si="299"/>
        <v>0</v>
      </c>
      <c r="O1733" s="359">
        <f>IFERROR(VLOOKUP($G1733,融外自投!$A:$J,7,0),"無")</f>
        <v>741</v>
      </c>
      <c r="P1733" s="79">
        <f>IFERROR(VLOOKUP($G1733,融外自投!$A:$J,9,0),"無")</f>
        <v>565</v>
      </c>
      <c r="Q1733" s="342">
        <f>IFERROR(VLOOKUP($G1733,融外自投!$A:$J,8,0),"無")</f>
        <v>1055</v>
      </c>
      <c r="R1733" s="81" t="str">
        <f>IFERROR(VLOOKUP($G1733,融外自投!$A:$J,10,0),"無")</f>
        <v>無</v>
      </c>
      <c r="S1733" s="324">
        <f>IFERROR(VLOOKUP($G1733,'321買'!$A:$E,4,0),"'沒有資料'")</f>
        <v>497</v>
      </c>
      <c r="T1733" s="186">
        <f>IFERROR(VLOOKUP($G1733,基本資料!$A:$J,9,0),"無")</f>
        <v>1.25</v>
      </c>
      <c r="U1733" s="307">
        <f t="shared" si="295"/>
        <v>2.8409090909090908E-2</v>
      </c>
      <c r="V1733" s="94">
        <f>IFERROR(VLOOKUP($G1733,基本資料!$A:$J,10,0),"無")</f>
        <v>1.6</v>
      </c>
      <c r="W1733" s="36">
        <f>RTD("money.excel",,"3628","Price")</f>
        <v>44</v>
      </c>
      <c r="X1733" s="66"/>
      <c r="Y1733" s="15">
        <f t="shared" si="296"/>
        <v>44</v>
      </c>
      <c r="Z1733" s="3" t="e">
        <f t="shared" si="297"/>
        <v>#DIV/0!</v>
      </c>
      <c r="AA1733" s="340">
        <f>IFERROR(VLOOKUP($G1733,基本資料!$A:$M,11,0),"無")</f>
        <v>-29.82</v>
      </c>
      <c r="AB1733" s="389">
        <f>IFERROR(VLOOKUP($G1733,基本資料!$A:$M,12,0),"無")</f>
        <v>21.01</v>
      </c>
      <c r="AC1733" s="16" t="s">
        <v>4680</v>
      </c>
      <c r="AF1733" s="33">
        <f t="shared" si="298"/>
        <v>0</v>
      </c>
      <c r="AG1733" s="43" t="s">
        <v>1440</v>
      </c>
      <c r="AH1733" s="66">
        <f t="shared" si="287"/>
        <v>0.49574142825944534</v>
      </c>
      <c r="AI1733" s="283">
        <f>RTD("money.excel",,$G1733,"PredictVolume")</f>
        <v>227</v>
      </c>
      <c r="AJ1733" s="391">
        <f>IFERROR(VLOOKUP($G1733,基本資料!$A:$M,13,0),"無")</f>
        <v>457.9</v>
      </c>
      <c r="AR1733" s="245" t="str">
        <f>INDEX(基本資料!N:N,MATCH($G1733,基本資料!A:A,0))</f>
        <v>中</v>
      </c>
    </row>
    <row r="1734" spans="1:44">
      <c r="A1734" s="343">
        <f>IFERROR(VLOOKUP($G1734,基本資料!$A:$J,3,0),"無")</f>
        <v>4.33</v>
      </c>
      <c r="B1734" s="79">
        <f>IFERROR(VLOOKUP($G1734,基本資料!$A:$J,4,0),"無")</f>
        <v>37</v>
      </c>
      <c r="C1734" s="79">
        <f>IFERROR(VLOOKUP($G1734,基本資料!$A:$J,5,0),"無")</f>
        <v>0</v>
      </c>
      <c r="D1734" s="79">
        <f>IFERROR(VLOOKUP($G1734,基本資料!$A:$J,6,0),"無")</f>
        <v>-74</v>
      </c>
      <c r="E1734" s="79">
        <f>IFERROR(VLOOKUP($G1734,基本資料!$A:$J,7,0),"無")</f>
        <v>-73</v>
      </c>
      <c r="F1734" s="6">
        <f>IFERROR(VLOOKUP($G1734,基本資料!$A:$J,8,0),"無")</f>
        <v>-26.99</v>
      </c>
      <c r="G1734" s="79">
        <v>3642</v>
      </c>
      <c r="H1734" s="8" t="s">
        <v>314</v>
      </c>
      <c r="I1734" s="16" t="s">
        <v>479</v>
      </c>
      <c r="J1734" s="8" t="str">
        <f>IFERROR(VLOOKUP($G1734,今日總結!$A:$AN,39,0),"")</f>
        <v/>
      </c>
      <c r="K1734" s="5" t="str">
        <f>IFERROR(VLOOKUP($G1734,今日總結!$A:$AN,40,0),"")</f>
        <v/>
      </c>
      <c r="L1734" s="156" t="str">
        <f>IFERROR(VLOOKUP($G1734,今日總結!$A:$AN,37,0),"")</f>
        <v/>
      </c>
      <c r="M1734" s="337" t="str">
        <f>IFERROR(VLOOKUP($G1734,今日總結!$A:$AN,38,0),"")</f>
        <v/>
      </c>
      <c r="N1734" s="240" t="str">
        <f t="shared" si="299"/>
        <v/>
      </c>
      <c r="O1734" s="359" t="str">
        <f>IFERROR(VLOOKUP($G1734,融外自投!$A:$J,7,0),"無")</f>
        <v>無</v>
      </c>
      <c r="P1734" s="79" t="str">
        <f>IFERROR(VLOOKUP($G1734,融外自投!$A:$J,9,0),"無")</f>
        <v>無</v>
      </c>
      <c r="Q1734" s="342" t="str">
        <f>IFERROR(VLOOKUP($G1734,融外自投!$A:$J,8,0),"無")</f>
        <v>無</v>
      </c>
      <c r="R1734" s="81" t="str">
        <f>IFERROR(VLOOKUP($G1734,融外自投!$A:$J,10,0),"無")</f>
        <v>無</v>
      </c>
      <c r="S1734" s="324" t="str">
        <f>IFERROR(VLOOKUP($G1734,'321買'!$A:$E,4,0),"'沒有資料'")</f>
        <v>'沒有資料'</v>
      </c>
      <c r="T1734" s="186">
        <f>IFERROR(VLOOKUP($G1734,基本資料!$A:$J,9,0),"無")</f>
        <v>0</v>
      </c>
      <c r="U1734" s="307">
        <f t="shared" si="295"/>
        <v>0</v>
      </c>
      <c r="V1734" s="94">
        <f>IFERROR(VLOOKUP($G1734,基本資料!$A:$J,10,0),"無")</f>
        <v>-2.3199999999999998</v>
      </c>
      <c r="W1734" s="36">
        <f>RTD("money.excel",,"3642","Price")</f>
        <v>7.9</v>
      </c>
      <c r="X1734" s="66"/>
      <c r="Y1734" s="15">
        <f t="shared" si="296"/>
        <v>7.9</v>
      </c>
      <c r="Z1734" s="3" t="e">
        <f t="shared" si="297"/>
        <v>#DIV/0!</v>
      </c>
      <c r="AA1734" s="340">
        <f>IFERROR(VLOOKUP($G1734,基本資料!$A:$M,11,0),"無")</f>
        <v>-45.89</v>
      </c>
      <c r="AB1734" s="389">
        <f>IFERROR(VLOOKUP($G1734,基本資料!$A:$M,12,0),"無")</f>
        <v>48.92</v>
      </c>
      <c r="AC1734" s="16" t="s">
        <v>479</v>
      </c>
      <c r="AF1734" s="33">
        <f t="shared" si="298"/>
        <v>0</v>
      </c>
      <c r="AG1734" s="43" t="s">
        <v>2520</v>
      </c>
      <c r="AH1734" s="66">
        <f t="shared" ref="AH1734:AH1797" si="300">AI1734/AJ1734</f>
        <v>0.16229712858926343</v>
      </c>
      <c r="AI1734" s="283">
        <f>RTD("money.excel",,$G1734,"PredictVolume")</f>
        <v>13</v>
      </c>
      <c r="AJ1734" s="391">
        <f>IFERROR(VLOOKUP($G1734,基本資料!$A:$M,13,0),"無")</f>
        <v>80.099999999999994</v>
      </c>
      <c r="AR1734" s="245" t="str">
        <f>INDEX(基本資料!N:N,MATCH($G1734,基本資料!A:A,0))</f>
        <v>低</v>
      </c>
    </row>
    <row r="1735" spans="1:44">
      <c r="A1735" s="343">
        <f>IFERROR(VLOOKUP($G1735,基本資料!$A:$J,3,0),"無")</f>
        <v>7.34</v>
      </c>
      <c r="B1735" s="79">
        <f>IFERROR(VLOOKUP($G1735,基本資料!$A:$J,4,0),"無")</f>
        <v>48</v>
      </c>
      <c r="C1735" s="79">
        <f>IFERROR(VLOOKUP($G1735,基本資料!$A:$J,5,0),"無")</f>
        <v>32</v>
      </c>
      <c r="D1735" s="79">
        <f>IFERROR(VLOOKUP($G1735,基本資料!$A:$J,6,0),"無")</f>
        <v>-10</v>
      </c>
      <c r="E1735" s="79">
        <f>IFERROR(VLOOKUP($G1735,基本資料!$A:$J,7,0),"無")</f>
        <v>-9</v>
      </c>
      <c r="F1735" s="6">
        <f>IFERROR(VLOOKUP($G1735,基本資料!$A:$J,8,0),"無")</f>
        <v>3.09</v>
      </c>
      <c r="G1735" s="79">
        <v>3663</v>
      </c>
      <c r="H1735" s="8" t="s">
        <v>314</v>
      </c>
      <c r="I1735" s="16" t="s">
        <v>4681</v>
      </c>
      <c r="J1735" s="8">
        <f>IFERROR(VLOOKUP($G1735,今日總結!$A:$AN,39,0),"")</f>
        <v>0</v>
      </c>
      <c r="K1735" s="5" t="str">
        <f>IFERROR(VLOOKUP($G1735,今日總結!$A:$AN,40,0),"")</f>
        <v>融</v>
      </c>
      <c r="L1735" s="156">
        <f>IFERROR(VLOOKUP($G1735,今日總結!$A:$AN,37,0),"")</f>
        <v>0</v>
      </c>
      <c r="M1735" s="337">
        <f>IFERROR(VLOOKUP($G1735,今日總結!$A:$AN,38,0),"")</f>
        <v>1</v>
      </c>
      <c r="N1735" s="240">
        <f t="shared" si="299"/>
        <v>-1</v>
      </c>
      <c r="O1735" s="359">
        <f>IFERROR(VLOOKUP($G1735,融外自投!$A:$J,7,0),"無")</f>
        <v>383</v>
      </c>
      <c r="P1735" s="79">
        <f>IFERROR(VLOOKUP($G1735,融外自投!$A:$J,9,0),"無")</f>
        <v>478</v>
      </c>
      <c r="Q1735" s="342">
        <f>IFERROR(VLOOKUP($G1735,融外自投!$A:$J,8,0),"無")</f>
        <v>1354</v>
      </c>
      <c r="R1735" s="81" t="str">
        <f>IFERROR(VLOOKUP($G1735,融外自投!$A:$J,10,0),"無")</f>
        <v>無</v>
      </c>
      <c r="S1735" s="324">
        <f>IFERROR(VLOOKUP($G1735,'321買'!$A:$E,4,0),"'沒有資料'")</f>
        <v>300</v>
      </c>
      <c r="T1735" s="186">
        <f>IFERROR(VLOOKUP($G1735,基本資料!$A:$J,9,0),"無")</f>
        <v>0.9</v>
      </c>
      <c r="U1735" s="307">
        <f t="shared" si="295"/>
        <v>3.5856573705179279E-2</v>
      </c>
      <c r="V1735" s="94">
        <f>IFERROR(VLOOKUP($G1735,基本資料!$A:$J,10,0),"無")</f>
        <v>0.96</v>
      </c>
      <c r="W1735" s="36">
        <f>RTD("money.excel",,"3663","Price")</f>
        <v>25.1</v>
      </c>
      <c r="X1735" s="66"/>
      <c r="Y1735" s="15">
        <f t="shared" si="296"/>
        <v>25.1</v>
      </c>
      <c r="Z1735" s="3" t="e">
        <f t="shared" si="297"/>
        <v>#DIV/0!</v>
      </c>
      <c r="AA1735" s="340">
        <f>IFERROR(VLOOKUP($G1735,基本資料!$A:$M,11,0),"無")</f>
        <v>-52.82</v>
      </c>
      <c r="AB1735" s="389">
        <f>IFERROR(VLOOKUP($G1735,基本資料!$A:$M,12,0),"無")</f>
        <v>10.130000000000001</v>
      </c>
      <c r="AC1735" s="16" t="s">
        <v>4681</v>
      </c>
      <c r="AF1735" s="33">
        <f t="shared" si="298"/>
        <v>0</v>
      </c>
      <c r="AG1735" s="43" t="s">
        <v>2521</v>
      </c>
      <c r="AH1735" s="66">
        <f t="shared" si="300"/>
        <v>0.89937338739402872</v>
      </c>
      <c r="AI1735" s="283">
        <f>RTD("money.excel",,$G1735,"PredictVolume")</f>
        <v>122</v>
      </c>
      <c r="AJ1735" s="391">
        <f>IFERROR(VLOOKUP($G1735,基本資料!$A:$M,13,0),"無")</f>
        <v>135.65</v>
      </c>
      <c r="AR1735" s="245" t="str">
        <f>INDEX(基本資料!N:N,MATCH($G1735,基本資料!A:A,0))</f>
        <v>低</v>
      </c>
    </row>
    <row r="1736" spans="1:44">
      <c r="A1736" s="343">
        <f>IFERROR(VLOOKUP($G1736,基本資料!$A:$J,3,0),"無")</f>
        <v>15.27</v>
      </c>
      <c r="B1736" s="79">
        <f>IFERROR(VLOOKUP($G1736,基本資料!$A:$J,4,0),"無")</f>
        <v>11</v>
      </c>
      <c r="C1736" s="79">
        <f>IFERROR(VLOOKUP($G1736,基本資料!$A:$J,5,0),"無")</f>
        <v>8</v>
      </c>
      <c r="D1736" s="79">
        <f>IFERROR(VLOOKUP($G1736,基本資料!$A:$J,6,0),"無")</f>
        <v>-1</v>
      </c>
      <c r="E1736" s="79">
        <f>IFERROR(VLOOKUP($G1736,基本資料!$A:$J,7,0),"無")</f>
        <v>86</v>
      </c>
      <c r="F1736" s="6">
        <f>IFERROR(VLOOKUP($G1736,基本資料!$A:$J,8,0),"無")</f>
        <v>9.31</v>
      </c>
      <c r="G1736" s="79">
        <v>3665</v>
      </c>
      <c r="H1736" s="192" t="s">
        <v>314</v>
      </c>
      <c r="I1736" s="22" t="s">
        <v>267</v>
      </c>
      <c r="J1736" s="8" t="str">
        <f>IFERROR(VLOOKUP($G1736,今日總結!$A:$AN,39,0),"")</f>
        <v>借</v>
      </c>
      <c r="K1736" s="5" t="str">
        <f>IFERROR(VLOOKUP($G1736,今日總結!$A:$AN,40,0),"")</f>
        <v>主投</v>
      </c>
      <c r="L1736" s="156">
        <f>IFERROR(VLOOKUP($G1736,今日總結!$A:$AN,37,0),"")</f>
        <v>1</v>
      </c>
      <c r="M1736" s="337">
        <f>IFERROR(VLOOKUP($G1736,今日總結!$A:$AN,38,0),"")</f>
        <v>6</v>
      </c>
      <c r="N1736" s="240">
        <f t="shared" si="299"/>
        <v>-5</v>
      </c>
      <c r="O1736" s="359">
        <f>IFERROR(VLOOKUP($G1736,融外自投!$A:$J,7,0),"無")</f>
        <v>601</v>
      </c>
      <c r="P1736" s="79">
        <f>IFERROR(VLOOKUP($G1736,融外自投!$A:$J,9,0),"無")</f>
        <v>89</v>
      </c>
      <c r="Q1736" s="342">
        <f>IFERROR(VLOOKUP($G1736,融外自投!$A:$J,8,0),"無")</f>
        <v>84</v>
      </c>
      <c r="R1736" s="81">
        <f>IFERROR(VLOOKUP($G1736,融外自投!$A:$J,10,0),"無")</f>
        <v>77</v>
      </c>
      <c r="S1736" s="324">
        <f>IFERROR(VLOOKUP($G1736,'321買'!$A:$E,4,0),"'沒有資料'")</f>
        <v>164</v>
      </c>
      <c r="T1736" s="186">
        <f>IFERROR(VLOOKUP($G1736,基本資料!$A:$J,9,0),"無")</f>
        <v>9.1300000000000008</v>
      </c>
      <c r="U1736" s="307">
        <f t="shared" si="295"/>
        <v>3.0082372322899509E-2</v>
      </c>
      <c r="V1736" s="94">
        <f>IFERROR(VLOOKUP($G1736,基本資料!$A:$J,10,0),"無")</f>
        <v>15.22</v>
      </c>
      <c r="W1736" s="36">
        <f>RTD("money.excel",,"3665","Price")</f>
        <v>303.5</v>
      </c>
      <c r="X1736" s="66"/>
      <c r="Y1736" s="15">
        <f t="shared" si="296"/>
        <v>303.5</v>
      </c>
      <c r="Z1736" s="3" t="e">
        <f t="shared" si="297"/>
        <v>#DIV/0!</v>
      </c>
      <c r="AA1736" s="340">
        <f>IFERROR(VLOOKUP($G1736,基本資料!$A:$M,11,0),"無")</f>
        <v>-11.77</v>
      </c>
      <c r="AB1736" s="389">
        <f>IFERROR(VLOOKUP($G1736,基本資料!$A:$M,12,0),"無")</f>
        <v>53.67</v>
      </c>
      <c r="AC1736" s="22" t="s">
        <v>267</v>
      </c>
      <c r="AF1736" s="33">
        <f t="shared" si="298"/>
        <v>0</v>
      </c>
      <c r="AG1736" s="117" t="s">
        <v>2310</v>
      </c>
      <c r="AH1736" s="66">
        <f t="shared" si="300"/>
        <v>1.8240446025505004</v>
      </c>
      <c r="AI1736" s="283">
        <f>RTD("money.excel",,$G1736,"PredictVolume")</f>
        <v>4384</v>
      </c>
      <c r="AJ1736" s="391">
        <f>IFERROR(VLOOKUP($G1736,基本資料!$A:$M,13,0),"無")</f>
        <v>2403.4499999999998</v>
      </c>
      <c r="AR1736" s="245" t="str">
        <f>INDEX(基本資料!N:N,MATCH($G1736,基本資料!A:A,0))</f>
        <v>高</v>
      </c>
    </row>
    <row r="1737" spans="1:44">
      <c r="A1737" s="343">
        <f>IFERROR(VLOOKUP($G1737,基本資料!$A:$J,3,0),"無")</f>
        <v>2.13</v>
      </c>
      <c r="B1737" s="79">
        <f>IFERROR(VLOOKUP($G1737,基本資料!$A:$J,4,0),"無")</f>
        <v>741</v>
      </c>
      <c r="C1737" s="79">
        <f>IFERROR(VLOOKUP($G1737,基本資料!$A:$J,5,0),"無")</f>
        <v>1147</v>
      </c>
      <c r="D1737" s="79">
        <f>IFERROR(VLOOKUP($G1737,基本資料!$A:$J,6,0),"無")</f>
        <v>-15</v>
      </c>
      <c r="E1737" s="79">
        <f>IFERROR(VLOOKUP($G1737,基本資料!$A:$J,7,0),"無")</f>
        <v>9</v>
      </c>
      <c r="F1737" s="6">
        <f>IFERROR(VLOOKUP($G1737,基本資料!$A:$J,8,0),"無")</f>
        <v>12.68</v>
      </c>
      <c r="G1737" s="79">
        <v>4554</v>
      </c>
      <c r="H1737" s="8" t="s">
        <v>314</v>
      </c>
      <c r="I1737" s="24" t="s">
        <v>244</v>
      </c>
      <c r="J1737" s="8" t="str">
        <f>IFERROR(VLOOKUP($G1737,今日總結!$A:$AN,39,0),"")</f>
        <v/>
      </c>
      <c r="K1737" s="5" t="str">
        <f>IFERROR(VLOOKUP($G1737,今日總結!$A:$AN,40,0),"")</f>
        <v/>
      </c>
      <c r="L1737" s="156" t="str">
        <f>IFERROR(VLOOKUP($G1737,今日總結!$A:$AN,37,0),"")</f>
        <v/>
      </c>
      <c r="M1737" s="337" t="str">
        <f>IFERROR(VLOOKUP($G1737,今日總結!$A:$AN,38,0),"")</f>
        <v/>
      </c>
      <c r="N1737" s="240" t="str">
        <f t="shared" si="299"/>
        <v/>
      </c>
      <c r="O1737" s="359" t="str">
        <f>IFERROR(VLOOKUP($G1737,融外自投!$A:$J,7,0),"無")</f>
        <v>無</v>
      </c>
      <c r="P1737" s="79" t="str">
        <f>IFERROR(VLOOKUP($G1737,融外自投!$A:$J,9,0),"無")</f>
        <v>無</v>
      </c>
      <c r="Q1737" s="342" t="str">
        <f>IFERROR(VLOOKUP($G1737,融外自投!$A:$J,8,0),"無")</f>
        <v>無</v>
      </c>
      <c r="R1737" s="81" t="str">
        <f>IFERROR(VLOOKUP($G1737,融外自投!$A:$J,10,0),"無")</f>
        <v>無</v>
      </c>
      <c r="S1737" s="324" t="str">
        <f>IFERROR(VLOOKUP($G1737,'321買'!$A:$E,4,0),"'沒有資料'")</f>
        <v>'沒有資料'</v>
      </c>
      <c r="T1737" s="186">
        <f>IFERROR(VLOOKUP($G1737,基本資料!$A:$J,9,0),"無")</f>
        <v>1.8</v>
      </c>
      <c r="U1737" s="307">
        <f t="shared" si="295"/>
        <v>5.1798561151079135E-2</v>
      </c>
      <c r="V1737" s="94">
        <f>IFERROR(VLOOKUP($G1737,基本資料!$A:$J,10,0),"無")</f>
        <v>2</v>
      </c>
      <c r="W1737" s="36">
        <f>RTD("money.excel",,"4554","Price")</f>
        <v>34.75</v>
      </c>
      <c r="X1737" s="66"/>
      <c r="Y1737" s="15">
        <f t="shared" si="296"/>
        <v>34.75</v>
      </c>
      <c r="Z1737" s="3" t="e">
        <f t="shared" si="297"/>
        <v>#DIV/0!</v>
      </c>
      <c r="AA1737" s="340">
        <f>IFERROR(VLOOKUP($G1737,基本資料!$A:$M,11,0),"無")</f>
        <v>-19.28</v>
      </c>
      <c r="AB1737" s="389">
        <f>IFERROR(VLOOKUP($G1737,基本資料!$A:$M,12,0),"無")</f>
        <v>63.05</v>
      </c>
      <c r="AC1737" s="24" t="s">
        <v>244</v>
      </c>
      <c r="AF1737" s="33">
        <f t="shared" si="298"/>
        <v>0</v>
      </c>
      <c r="AG1737" s="119" t="s">
        <v>2162</v>
      </c>
      <c r="AH1737" s="66">
        <f t="shared" si="300"/>
        <v>0.60057197330791223</v>
      </c>
      <c r="AI1737" s="283">
        <f>RTD("money.excel",,$G1737,"PredictVolume")</f>
        <v>63</v>
      </c>
      <c r="AJ1737" s="391">
        <f>IFERROR(VLOOKUP($G1737,基本資料!$A:$M,13,0),"無")</f>
        <v>104.9</v>
      </c>
      <c r="AR1737" s="245" t="str">
        <f>INDEX(基本資料!N:N,MATCH($G1737,基本資料!A:A,0))</f>
        <v>中</v>
      </c>
    </row>
    <row r="1738" spans="1:44">
      <c r="A1738" s="343">
        <f>IFERROR(VLOOKUP($G1738,基本資料!$A:$J,3,0),"無")</f>
        <v>3.23</v>
      </c>
      <c r="B1738" s="79">
        <f>IFERROR(VLOOKUP($G1738,基本資料!$A:$J,4,0),"無")</f>
        <v>48</v>
      </c>
      <c r="C1738" s="79">
        <f>IFERROR(VLOOKUP($G1738,基本資料!$A:$J,5,0),"無")</f>
        <v>47</v>
      </c>
      <c r="D1738" s="79">
        <f>IFERROR(VLOOKUP($G1738,基本資料!$A:$J,6,0),"無")</f>
        <v>0</v>
      </c>
      <c r="E1738" s="79">
        <f>IFERROR(VLOOKUP($G1738,基本資料!$A:$J,7,0),"無")</f>
        <v>-33</v>
      </c>
      <c r="F1738" s="6">
        <f>IFERROR(VLOOKUP($G1738,基本資料!$A:$J,8,0),"無")</f>
        <v>14.09</v>
      </c>
      <c r="G1738" s="79">
        <v>4760</v>
      </c>
      <c r="H1738" s="8" t="s">
        <v>314</v>
      </c>
      <c r="I1738" s="24" t="s">
        <v>3240</v>
      </c>
      <c r="J1738" s="8">
        <f>IFERROR(VLOOKUP($G1738,今日總結!$A:$AN,39,0),"")</f>
        <v>0</v>
      </c>
      <c r="K1738" s="5" t="str">
        <f>IFERROR(VLOOKUP($G1738,今日總結!$A:$AN,40,0),"")</f>
        <v>融</v>
      </c>
      <c r="L1738" s="156">
        <f>IFERROR(VLOOKUP($G1738,今日總結!$A:$AN,37,0),"")</f>
        <v>0</v>
      </c>
      <c r="M1738" s="337">
        <f>IFERROR(VLOOKUP($G1738,今日總結!$A:$AN,38,0),"")</f>
        <v>6</v>
      </c>
      <c r="N1738" s="240">
        <f t="shared" si="299"/>
        <v>-6</v>
      </c>
      <c r="O1738" s="359">
        <f>IFERROR(VLOOKUP($G1738,融外自投!$A:$J,7,0),"無")</f>
        <v>254</v>
      </c>
      <c r="P1738" s="79">
        <f>IFERROR(VLOOKUP($G1738,融外自投!$A:$J,9,0),"無")</f>
        <v>990</v>
      </c>
      <c r="Q1738" s="342">
        <f>IFERROR(VLOOKUP($G1738,融外自投!$A:$J,8,0),"無")</f>
        <v>1180</v>
      </c>
      <c r="R1738" s="81" t="str">
        <f>IFERROR(VLOOKUP($G1738,融外自投!$A:$J,10,0),"無")</f>
        <v>無</v>
      </c>
      <c r="S1738" s="324">
        <f>IFERROR(VLOOKUP($G1738,'321買'!$A:$E,4,0),"'沒有資料'")</f>
        <v>223</v>
      </c>
      <c r="T1738" s="186">
        <f>IFERROR(VLOOKUP($G1738,基本資料!$A:$J,9,0),"無")</f>
        <v>4.5</v>
      </c>
      <c r="U1738" s="307">
        <f t="shared" si="295"/>
        <v>6.3469675599435824E-2</v>
      </c>
      <c r="V1738" s="94">
        <f>IFERROR(VLOOKUP($G1738,基本資料!$A:$J,10,0),"無")</f>
        <v>6.7</v>
      </c>
      <c r="W1738" s="36">
        <f>RTD("money.excel",,"4760","Price")</f>
        <v>70.900000000000006</v>
      </c>
      <c r="X1738" s="66"/>
      <c r="Y1738" s="15">
        <f t="shared" si="296"/>
        <v>70.900000000000006</v>
      </c>
      <c r="Z1738" s="3" t="e">
        <f t="shared" si="297"/>
        <v>#DIV/0!</v>
      </c>
      <c r="AA1738" s="340">
        <f>IFERROR(VLOOKUP($G1738,基本資料!$A:$M,11,0),"無")</f>
        <v>-55.83</v>
      </c>
      <c r="AB1738" s="389">
        <f>IFERROR(VLOOKUP($G1738,基本資料!$A:$M,12,0),"無")</f>
        <v>28.7</v>
      </c>
      <c r="AC1738" s="24" t="s">
        <v>3240</v>
      </c>
      <c r="AF1738" s="33">
        <f t="shared" si="298"/>
        <v>0</v>
      </c>
      <c r="AG1738" s="119" t="s">
        <v>2538</v>
      </c>
      <c r="AH1738" s="66">
        <f t="shared" si="300"/>
        <v>0.48606994665085956</v>
      </c>
      <c r="AI1738" s="283">
        <f>RTD("money.excel",,$G1738,"PredictVolume")</f>
        <v>41</v>
      </c>
      <c r="AJ1738" s="391">
        <f>IFERROR(VLOOKUP($G1738,基本資料!$A:$M,13,0),"無")</f>
        <v>84.35</v>
      </c>
      <c r="AR1738" s="245" t="str">
        <f>INDEX(基本資料!N:N,MATCH($G1738,基本資料!A:A,0))</f>
        <v>低</v>
      </c>
    </row>
    <row r="1739" spans="1:44">
      <c r="A1739" s="343">
        <f>IFERROR(VLOOKUP($G1739,基本資料!$A:$J,3,0),"無")</f>
        <v>1.02</v>
      </c>
      <c r="B1739" s="79">
        <f>IFERROR(VLOOKUP($G1739,基本資料!$A:$J,4,0),"無")</f>
        <v>-29</v>
      </c>
      <c r="C1739" s="79">
        <f>IFERROR(VLOOKUP($G1739,基本資料!$A:$J,5,0),"無")</f>
        <v>-7</v>
      </c>
      <c r="D1739" s="79">
        <f>IFERROR(VLOOKUP($G1739,基本資料!$A:$J,6,0),"無")</f>
        <v>-81</v>
      </c>
      <c r="E1739" s="79">
        <f>IFERROR(VLOOKUP($G1739,基本資料!$A:$J,7,0),"無")</f>
        <v>-90</v>
      </c>
      <c r="F1739" s="6">
        <f>IFERROR(VLOOKUP($G1739,基本資料!$A:$J,8,0),"無")</f>
        <v>-57.27</v>
      </c>
      <c r="G1739" s="79">
        <v>5205</v>
      </c>
      <c r="H1739" s="8" t="s">
        <v>314</v>
      </c>
      <c r="I1739" s="16" t="s">
        <v>1071</v>
      </c>
      <c r="J1739" s="8" t="str">
        <f>IFERROR(VLOOKUP($G1739,今日總結!$A:$AN,39,0),"")</f>
        <v/>
      </c>
      <c r="K1739" s="5" t="str">
        <f>IFERROR(VLOOKUP($G1739,今日總結!$A:$AN,40,0),"")</f>
        <v/>
      </c>
      <c r="L1739" s="156" t="str">
        <f>IFERROR(VLOOKUP($G1739,今日總結!$A:$AN,37,0),"")</f>
        <v/>
      </c>
      <c r="M1739" s="337" t="str">
        <f>IFERROR(VLOOKUP($G1739,今日總結!$A:$AN,38,0),"")</f>
        <v/>
      </c>
      <c r="N1739" s="240" t="str">
        <f t="shared" si="299"/>
        <v/>
      </c>
      <c r="O1739" s="359" t="str">
        <f>IFERROR(VLOOKUP($G1739,融外自投!$A:$J,7,0),"無")</f>
        <v>無</v>
      </c>
      <c r="P1739" s="79" t="str">
        <f>IFERROR(VLOOKUP($G1739,融外自投!$A:$J,9,0),"無")</f>
        <v>無</v>
      </c>
      <c r="Q1739" s="342" t="str">
        <f>IFERROR(VLOOKUP($G1739,融外自投!$A:$J,8,0),"無")</f>
        <v>無</v>
      </c>
      <c r="R1739" s="81" t="str">
        <f>IFERROR(VLOOKUP($G1739,融外自投!$A:$J,10,0),"無")</f>
        <v>無</v>
      </c>
      <c r="S1739" s="324" t="str">
        <f>IFERROR(VLOOKUP($G1739,'321買'!$A:$E,4,0),"'沒有資料'")</f>
        <v>'沒有資料'</v>
      </c>
      <c r="T1739" s="186">
        <f>IFERROR(VLOOKUP($G1739,基本資料!$A:$J,9,0),"無")</f>
        <v>0</v>
      </c>
      <c r="U1739" s="307">
        <f t="shared" si="295"/>
        <v>0</v>
      </c>
      <c r="V1739" s="94">
        <f>IFERROR(VLOOKUP($G1739,基本資料!$A:$J,10,0),"無")</f>
        <v>-1.69</v>
      </c>
      <c r="W1739" s="36">
        <f>RTD("money.excel",,"5205","Price")</f>
        <v>14.35</v>
      </c>
      <c r="X1739" s="66"/>
      <c r="Y1739" s="15">
        <f t="shared" si="296"/>
        <v>14.35</v>
      </c>
      <c r="Z1739" s="3" t="e">
        <f t="shared" si="297"/>
        <v>#DIV/0!</v>
      </c>
      <c r="AA1739" s="340">
        <f>IFERROR(VLOOKUP($G1739,基本資料!$A:$M,11,0),"無")</f>
        <v>-35.94</v>
      </c>
      <c r="AB1739" s="389">
        <f>IFERROR(VLOOKUP($G1739,基本資料!$A:$M,12,0),"無")</f>
        <v>40.770000000000003</v>
      </c>
      <c r="AC1739" s="16" t="s">
        <v>1071</v>
      </c>
      <c r="AF1739" s="33">
        <f t="shared" si="298"/>
        <v>0</v>
      </c>
      <c r="AG1739" s="43" t="s">
        <v>2522</v>
      </c>
      <c r="AH1739" s="66">
        <f t="shared" si="300"/>
        <v>5.1063829787234036</v>
      </c>
      <c r="AI1739" s="283">
        <f>RTD("money.excel",,$G1739,"PredictVolume")</f>
        <v>12</v>
      </c>
      <c r="AJ1739" s="391">
        <f>IFERROR(VLOOKUP($G1739,基本資料!$A:$M,13,0),"無")</f>
        <v>2.35</v>
      </c>
      <c r="AR1739" s="245" t="str">
        <f>INDEX(基本資料!N:N,MATCH($G1739,基本資料!A:A,0))</f>
        <v>中</v>
      </c>
    </row>
    <row r="1740" spans="1:44">
      <c r="A1740" s="343">
        <f>IFERROR(VLOOKUP($G1740,基本資料!$A:$J,3,0),"無")</f>
        <v>6.14</v>
      </c>
      <c r="B1740" s="79">
        <f>IFERROR(VLOOKUP($G1740,基本資料!$A:$J,4,0),"無")</f>
        <v>154</v>
      </c>
      <c r="C1740" s="79">
        <f>IFERROR(VLOOKUP($G1740,基本資料!$A:$J,5,0),"無")</f>
        <v>50</v>
      </c>
      <c r="D1740" s="79">
        <f>IFERROR(VLOOKUP($G1740,基本資料!$A:$J,6,0),"無")</f>
        <v>22</v>
      </c>
      <c r="E1740" s="79">
        <f>IFERROR(VLOOKUP($G1740,基本資料!$A:$J,7,0),"無")</f>
        <v>28</v>
      </c>
      <c r="F1740" s="6">
        <f>IFERROR(VLOOKUP($G1740,基本資料!$A:$J,8,0),"無")</f>
        <v>-3.21</v>
      </c>
      <c r="G1740" s="79">
        <v>5225</v>
      </c>
      <c r="H1740" s="8" t="s">
        <v>314</v>
      </c>
      <c r="I1740" s="22" t="s">
        <v>507</v>
      </c>
      <c r="J1740" s="8">
        <f>IFERROR(VLOOKUP($G1740,今日總結!$A:$AN,39,0),"")</f>
        <v>0</v>
      </c>
      <c r="K1740" s="5">
        <f>IFERROR(VLOOKUP($G1740,今日總結!$A:$AN,40,0),"")</f>
        <v>0</v>
      </c>
      <c r="L1740" s="156">
        <f>IFERROR(VLOOKUP($G1740,今日總結!$A:$AN,37,0),"")</f>
        <v>0</v>
      </c>
      <c r="M1740" s="337">
        <f>IFERROR(VLOOKUP($G1740,今日總結!$A:$AN,38,0),"")</f>
        <v>0</v>
      </c>
      <c r="N1740" s="240">
        <f t="shared" si="299"/>
        <v>0</v>
      </c>
      <c r="O1740" s="359">
        <f>IFERROR(VLOOKUP($G1740,融外自投!$A:$J,7,0),"無")</f>
        <v>630</v>
      </c>
      <c r="P1740" s="79">
        <f>IFERROR(VLOOKUP($G1740,融外自投!$A:$J,9,0),"無")</f>
        <v>790</v>
      </c>
      <c r="Q1740" s="342">
        <f>IFERROR(VLOOKUP($G1740,融外自投!$A:$J,8,0),"無")</f>
        <v>63</v>
      </c>
      <c r="R1740" s="81">
        <f>IFERROR(VLOOKUP($G1740,融外自投!$A:$J,10,0),"無")</f>
        <v>476</v>
      </c>
      <c r="S1740" s="324">
        <f>IFERROR(VLOOKUP($G1740,'321買'!$A:$E,4,0),"'沒有資料'")</f>
        <v>1002</v>
      </c>
      <c r="T1740" s="186">
        <f>IFERROR(VLOOKUP($G1740,基本資料!$A:$J,9,0),"無")</f>
        <v>0.6</v>
      </c>
      <c r="U1740" s="307">
        <f t="shared" si="295"/>
        <v>2.4640657084188909E-2</v>
      </c>
      <c r="V1740" s="94">
        <f>IFERROR(VLOOKUP($G1740,基本資料!$A:$J,10,0),"無")</f>
        <v>6.03</v>
      </c>
      <c r="W1740" s="36">
        <f>RTD("money.excel",,"5225","Price")</f>
        <v>24.35</v>
      </c>
      <c r="X1740" s="66"/>
      <c r="Y1740" s="15">
        <f t="shared" si="296"/>
        <v>24.35</v>
      </c>
      <c r="Z1740" s="3" t="e">
        <f t="shared" si="297"/>
        <v>#DIV/0!</v>
      </c>
      <c r="AA1740" s="340">
        <f>IFERROR(VLOOKUP($G1740,基本資料!$A:$M,11,0),"無")</f>
        <v>-8.9700000000000006</v>
      </c>
      <c r="AB1740" s="389">
        <f>IFERROR(VLOOKUP($G1740,基本資料!$A:$M,12,0),"無")</f>
        <v>53.97</v>
      </c>
      <c r="AC1740" s="22" t="s">
        <v>507</v>
      </c>
      <c r="AF1740" s="33">
        <f t="shared" si="298"/>
        <v>0</v>
      </c>
      <c r="AG1740" s="43" t="s">
        <v>2576</v>
      </c>
      <c r="AH1740" s="66">
        <f t="shared" si="300"/>
        <v>1.9909749760700124</v>
      </c>
      <c r="AI1740" s="283">
        <f>RTD("money.excel",,$G1740,"PredictVolume")</f>
        <v>728</v>
      </c>
      <c r="AJ1740" s="391">
        <f>IFERROR(VLOOKUP($G1740,基本資料!$A:$M,13,0),"無")</f>
        <v>365.65</v>
      </c>
      <c r="AR1740" s="245" t="str">
        <f>INDEX(基本資料!N:N,MATCH($G1740,基本資料!A:A,0))</f>
        <v>高</v>
      </c>
    </row>
    <row r="1741" spans="1:44">
      <c r="A1741" s="343">
        <f>IFERROR(VLOOKUP($G1741,基本資料!$A:$J,3,0),"無")</f>
        <v>7.94</v>
      </c>
      <c r="B1741" s="79">
        <f>IFERROR(VLOOKUP($G1741,基本資料!$A:$J,4,0),"無")</f>
        <v>222</v>
      </c>
      <c r="C1741" s="79">
        <f>IFERROR(VLOOKUP($G1741,基本資料!$A:$J,5,0),"無")</f>
        <v>241</v>
      </c>
      <c r="D1741" s="79">
        <f>IFERROR(VLOOKUP($G1741,基本資料!$A:$J,6,0),"無")</f>
        <v>0</v>
      </c>
      <c r="E1741" s="79">
        <f>IFERROR(VLOOKUP($G1741,基本資料!$A:$J,7,0),"無")</f>
        <v>28</v>
      </c>
      <c r="F1741" s="6">
        <f>IFERROR(VLOOKUP($G1741,基本資料!$A:$J,8,0),"無")</f>
        <v>6.07</v>
      </c>
      <c r="G1741" s="79">
        <v>5383</v>
      </c>
      <c r="H1741" s="8" t="s">
        <v>314</v>
      </c>
      <c r="I1741" s="16" t="s">
        <v>480</v>
      </c>
      <c r="J1741" s="8" t="str">
        <f>IFERROR(VLOOKUP($G1741,今日總結!$A:$AN,39,0),"")</f>
        <v/>
      </c>
      <c r="K1741" s="5" t="str">
        <f>IFERROR(VLOOKUP($G1741,今日總結!$A:$AN,40,0),"")</f>
        <v/>
      </c>
      <c r="L1741" s="156" t="str">
        <f>IFERROR(VLOOKUP($G1741,今日總結!$A:$AN,37,0),"")</f>
        <v/>
      </c>
      <c r="M1741" s="337" t="str">
        <f>IFERROR(VLOOKUP($G1741,今日總結!$A:$AN,38,0),"")</f>
        <v/>
      </c>
      <c r="N1741" s="240" t="str">
        <f t="shared" si="299"/>
        <v/>
      </c>
      <c r="O1741" s="359" t="str">
        <f>IFERROR(VLOOKUP($G1741,融外自投!$A:$J,7,0),"無")</f>
        <v>無</v>
      </c>
      <c r="P1741" s="79" t="str">
        <f>IFERROR(VLOOKUP($G1741,融外自投!$A:$J,9,0),"無")</f>
        <v>無</v>
      </c>
      <c r="Q1741" s="342" t="str">
        <f>IFERROR(VLOOKUP($G1741,融外自投!$A:$J,8,0),"無")</f>
        <v>無</v>
      </c>
      <c r="R1741" s="81" t="str">
        <f>IFERROR(VLOOKUP($G1741,融外自投!$A:$J,10,0),"無")</f>
        <v>無</v>
      </c>
      <c r="S1741" s="324" t="str">
        <f>IFERROR(VLOOKUP($G1741,'321買'!$A:$E,4,0),"'沒有資料'")</f>
        <v>'沒有資料'</v>
      </c>
      <c r="T1741" s="186">
        <f>IFERROR(VLOOKUP($G1741,基本資料!$A:$J,9,0),"無")</f>
        <v>0</v>
      </c>
      <c r="U1741" s="307">
        <f t="shared" si="295"/>
        <v>0</v>
      </c>
      <c r="V1741" s="94">
        <f>IFERROR(VLOOKUP($G1741,基本資料!$A:$J,10,0),"無")</f>
        <v>0.33</v>
      </c>
      <c r="W1741" s="36">
        <f>RTD("money.excel",,"5383","Price")</f>
        <v>30.9</v>
      </c>
      <c r="X1741" s="66"/>
      <c r="Y1741" s="15">
        <f t="shared" si="296"/>
        <v>30.9</v>
      </c>
      <c r="Z1741" s="3" t="e">
        <f t="shared" si="297"/>
        <v>#DIV/0!</v>
      </c>
      <c r="AA1741" s="340">
        <f>IFERROR(VLOOKUP($G1741,基本資料!$A:$M,11,0),"無")</f>
        <v>-40.229999999999997</v>
      </c>
      <c r="AB1741" s="389">
        <f>IFERROR(VLOOKUP($G1741,基本資料!$A:$M,12,0),"無")</f>
        <v>26.73</v>
      </c>
      <c r="AC1741" s="16" t="s">
        <v>480</v>
      </c>
      <c r="AF1741" s="33">
        <f t="shared" si="298"/>
        <v>0</v>
      </c>
      <c r="AG1741" s="43" t="s">
        <v>2523</v>
      </c>
      <c r="AH1741" s="66">
        <f t="shared" si="300"/>
        <v>0.3706343549536707</v>
      </c>
      <c r="AI1741" s="283">
        <f>RTD("money.excel",,$G1741,"PredictVolume")</f>
        <v>52</v>
      </c>
      <c r="AJ1741" s="391">
        <f>IFERROR(VLOOKUP($G1741,基本資料!$A:$M,13,0),"無")</f>
        <v>140.30000000000001</v>
      </c>
      <c r="AR1741" s="245" t="str">
        <f>INDEX(基本資料!N:N,MATCH($G1741,基本資料!A:A,0))</f>
        <v>低</v>
      </c>
    </row>
    <row r="1742" spans="1:44">
      <c r="A1742" s="343">
        <f>IFERROR(VLOOKUP($G1742,基本資料!$A:$J,3,0),"無")</f>
        <v>14.87</v>
      </c>
      <c r="B1742" s="79">
        <f>IFERROR(VLOOKUP($G1742,基本資料!$A:$J,4,0),"無")</f>
        <v>74</v>
      </c>
      <c r="C1742" s="79">
        <f>IFERROR(VLOOKUP($G1742,基本資料!$A:$J,5,0),"無")</f>
        <v>78</v>
      </c>
      <c r="D1742" s="79">
        <f>IFERROR(VLOOKUP($G1742,基本資料!$A:$J,6,0),"無")</f>
        <v>-11</v>
      </c>
      <c r="E1742" s="79">
        <f>IFERROR(VLOOKUP($G1742,基本資料!$A:$J,7,0),"無")</f>
        <v>5</v>
      </c>
      <c r="F1742" s="6">
        <f>IFERROR(VLOOKUP($G1742,基本資料!$A:$J,8,0),"無")</f>
        <v>6.67</v>
      </c>
      <c r="G1742" s="79">
        <v>5452</v>
      </c>
      <c r="H1742" s="8" t="s">
        <v>314</v>
      </c>
      <c r="I1742" s="16" t="s">
        <v>481</v>
      </c>
      <c r="J1742" s="8">
        <f>IFERROR(VLOOKUP($G1742,今日總結!$A:$AN,39,0),"")</f>
        <v>0</v>
      </c>
      <c r="K1742" s="5">
        <f>IFERROR(VLOOKUP($G1742,今日總結!$A:$AN,40,0),"")</f>
        <v>0</v>
      </c>
      <c r="L1742" s="156">
        <f>IFERROR(VLOOKUP($G1742,今日總結!$A:$AN,37,0),"")</f>
        <v>0</v>
      </c>
      <c r="M1742" s="337">
        <f>IFERROR(VLOOKUP($G1742,今日總結!$A:$AN,38,0),"")</f>
        <v>0</v>
      </c>
      <c r="N1742" s="240">
        <f t="shared" si="299"/>
        <v>0</v>
      </c>
      <c r="O1742" s="359">
        <f>IFERROR(VLOOKUP($G1742,融外自投!$A:$J,7,0),"無")</f>
        <v>430</v>
      </c>
      <c r="P1742" s="79">
        <f>IFERROR(VLOOKUP($G1742,融外自投!$A:$J,9,0),"無")</f>
        <v>403</v>
      </c>
      <c r="Q1742" s="342">
        <f>IFERROR(VLOOKUP($G1742,融外自投!$A:$J,8,0),"無")</f>
        <v>487</v>
      </c>
      <c r="R1742" s="81" t="str">
        <f>IFERROR(VLOOKUP($G1742,融外自投!$A:$J,10,0),"無")</f>
        <v>無</v>
      </c>
      <c r="S1742" s="324">
        <f>IFERROR(VLOOKUP($G1742,'321買'!$A:$E,4,0),"'沒有資料'")</f>
        <v>801</v>
      </c>
      <c r="T1742" s="186">
        <f>IFERROR(VLOOKUP($G1742,基本資料!$A:$J,9,0),"無")</f>
        <v>0.8</v>
      </c>
      <c r="U1742" s="307">
        <f t="shared" si="295"/>
        <v>4.7337278106508882E-2</v>
      </c>
      <c r="V1742" s="94">
        <f>IFERROR(VLOOKUP($G1742,基本資料!$A:$J,10,0),"無")</f>
        <v>1.6</v>
      </c>
      <c r="W1742" s="36">
        <f>RTD("money.excel",,"5452","Price")</f>
        <v>16.899999999999999</v>
      </c>
      <c r="X1742" s="66"/>
      <c r="Y1742" s="15">
        <f t="shared" si="296"/>
        <v>16.899999999999999</v>
      </c>
      <c r="Z1742" s="3" t="e">
        <f t="shared" si="297"/>
        <v>#DIV/0!</v>
      </c>
      <c r="AA1742" s="340">
        <f>IFERROR(VLOOKUP($G1742,基本資料!$A:$M,11,0),"無")</f>
        <v>-43.95</v>
      </c>
      <c r="AB1742" s="389">
        <f>IFERROR(VLOOKUP($G1742,基本資料!$A:$M,12,0),"無")</f>
        <v>18.440000000000001</v>
      </c>
      <c r="AC1742" s="16" t="s">
        <v>481</v>
      </c>
      <c r="AF1742" s="33">
        <f t="shared" si="298"/>
        <v>0</v>
      </c>
      <c r="AG1742" s="43" t="s">
        <v>2524</v>
      </c>
      <c r="AH1742" s="66">
        <f t="shared" si="300"/>
        <v>1.0841452612931799</v>
      </c>
      <c r="AI1742" s="283">
        <f>RTD("money.excel",,$G1742,"PredictVolume")</f>
        <v>306</v>
      </c>
      <c r="AJ1742" s="391">
        <f>IFERROR(VLOOKUP($G1742,基本資料!$A:$M,13,0),"無")</f>
        <v>282.25</v>
      </c>
      <c r="AR1742" s="245" t="str">
        <f>INDEX(基本資料!N:N,MATCH($G1742,基本資料!A:A,0))</f>
        <v>低</v>
      </c>
    </row>
    <row r="1743" spans="1:44">
      <c r="A1743" s="343">
        <f>IFERROR(VLOOKUP($G1743,基本資料!$A:$J,3,0),"無")</f>
        <v>10.27</v>
      </c>
      <c r="B1743" s="79">
        <f>IFERROR(VLOOKUP($G1743,基本資料!$A:$J,4,0),"無")</f>
        <v>532</v>
      </c>
      <c r="C1743" s="79">
        <f>IFERROR(VLOOKUP($G1743,基本資料!$A:$J,5,0),"無")</f>
        <v>257</v>
      </c>
      <c r="D1743" s="79">
        <f>IFERROR(VLOOKUP($G1743,基本資料!$A:$J,6,0),"無")</f>
        <v>-6</v>
      </c>
      <c r="E1743" s="79">
        <f>IFERROR(VLOOKUP($G1743,基本資料!$A:$J,7,0),"無")</f>
        <v>0</v>
      </c>
      <c r="F1743" s="6">
        <f>IFERROR(VLOOKUP($G1743,基本資料!$A:$J,8,0),"無")</f>
        <v>11.11</v>
      </c>
      <c r="G1743" s="79">
        <v>5489</v>
      </c>
      <c r="H1743" s="8" t="s">
        <v>314</v>
      </c>
      <c r="I1743" s="16" t="s">
        <v>4682</v>
      </c>
      <c r="J1743" s="8" t="str">
        <f>IFERROR(VLOOKUP($G1743,今日總結!$A:$AN,39,0),"")</f>
        <v/>
      </c>
      <c r="K1743" s="5" t="str">
        <f>IFERROR(VLOOKUP($G1743,今日總結!$A:$AN,40,0),"")</f>
        <v/>
      </c>
      <c r="L1743" s="156" t="str">
        <f>IFERROR(VLOOKUP($G1743,今日總結!$A:$AN,37,0),"")</f>
        <v/>
      </c>
      <c r="M1743" s="337" t="str">
        <f>IFERROR(VLOOKUP($G1743,今日總結!$A:$AN,38,0),"")</f>
        <v/>
      </c>
      <c r="N1743" s="240" t="str">
        <f t="shared" si="299"/>
        <v/>
      </c>
      <c r="O1743" s="359">
        <f>IFERROR(VLOOKUP($G1743,融外自投!$A:$J,7,0),"無")</f>
        <v>1209</v>
      </c>
      <c r="P1743" s="79">
        <f>IFERROR(VLOOKUP($G1743,融外自投!$A:$J,9,0),"無")</f>
        <v>762</v>
      </c>
      <c r="Q1743" s="342">
        <f>IFERROR(VLOOKUP($G1743,融外自投!$A:$J,8,0),"無")</f>
        <v>1256</v>
      </c>
      <c r="R1743" s="81" t="str">
        <f>IFERROR(VLOOKUP($G1743,融外自投!$A:$J,10,0),"無")</f>
        <v>無</v>
      </c>
      <c r="S1743" s="324" t="str">
        <f>IFERROR(VLOOKUP($G1743,'321買'!$A:$E,4,0),"'沒有資料'")</f>
        <v>'沒有資料'</v>
      </c>
      <c r="T1743" s="186">
        <f>IFERROR(VLOOKUP($G1743,基本資料!$A:$J,9,0),"無")</f>
        <v>1</v>
      </c>
      <c r="U1743" s="307">
        <f t="shared" si="295"/>
        <v>2.8612303290414875E-2</v>
      </c>
      <c r="V1743" s="94">
        <f>IFERROR(VLOOKUP($G1743,基本資料!$A:$J,10,0),"無")</f>
        <v>1.25</v>
      </c>
      <c r="W1743" s="36">
        <f>RTD("money.excel",,"5489","Price")</f>
        <v>34.950000000000003</v>
      </c>
      <c r="X1743" s="66"/>
      <c r="Y1743" s="15">
        <f t="shared" si="296"/>
        <v>34.950000000000003</v>
      </c>
      <c r="Z1743" s="3" t="e">
        <f t="shared" si="297"/>
        <v>#DIV/0!</v>
      </c>
      <c r="AA1743" s="340">
        <f>IFERROR(VLOOKUP($G1743,基本資料!$A:$M,11,0),"無")</f>
        <v>-9.69</v>
      </c>
      <c r="AB1743" s="389">
        <f>IFERROR(VLOOKUP($G1743,基本資料!$A:$M,12,0),"無")</f>
        <v>80.37</v>
      </c>
      <c r="AC1743" s="16" t="s">
        <v>4682</v>
      </c>
      <c r="AF1743" s="33">
        <f t="shared" si="298"/>
        <v>0</v>
      </c>
      <c r="AG1743" s="117" t="s">
        <v>2434</v>
      </c>
      <c r="AH1743" s="66">
        <f t="shared" si="300"/>
        <v>0.3931203931203931</v>
      </c>
      <c r="AI1743" s="283">
        <f>RTD("money.excel",,$G1743,"PredictVolume")</f>
        <v>8</v>
      </c>
      <c r="AJ1743" s="391">
        <f>IFERROR(VLOOKUP($G1743,基本資料!$A:$M,13,0),"無")</f>
        <v>20.350000000000001</v>
      </c>
      <c r="AR1743" s="245" t="str">
        <f>INDEX(基本資料!N:N,MATCH($G1743,基本資料!A:A,0))</f>
        <v>中</v>
      </c>
    </row>
    <row r="1744" spans="1:44">
      <c r="A1744" s="343">
        <f>IFERROR(VLOOKUP($G1744,基本資料!$A:$J,3,0),"無")</f>
        <v>4.16</v>
      </c>
      <c r="B1744" s="79">
        <f>IFERROR(VLOOKUP($G1744,基本資料!$A:$J,4,0),"無")</f>
        <v>38</v>
      </c>
      <c r="C1744" s="79">
        <f>IFERROR(VLOOKUP($G1744,基本資料!$A:$J,5,0),"無")</f>
        <v>33</v>
      </c>
      <c r="D1744" s="79">
        <f>IFERROR(VLOOKUP($G1744,基本資料!$A:$J,6,0),"無")</f>
        <v>-11</v>
      </c>
      <c r="E1744" s="79">
        <f>IFERROR(VLOOKUP($G1744,基本資料!$A:$J,7,0),"無")</f>
        <v>17</v>
      </c>
      <c r="F1744" s="6">
        <f>IFERROR(VLOOKUP($G1744,基本資料!$A:$J,8,0),"無")</f>
        <v>9.3800000000000008</v>
      </c>
      <c r="G1744" s="79">
        <v>5493</v>
      </c>
      <c r="H1744" s="8" t="s">
        <v>314</v>
      </c>
      <c r="I1744" s="16" t="s">
        <v>4683</v>
      </c>
      <c r="J1744" s="8" t="str">
        <f>IFERROR(VLOOKUP($G1744,今日總結!$A:$AN,39,0),"")</f>
        <v>融外</v>
      </c>
      <c r="K1744" s="5">
        <f>IFERROR(VLOOKUP($G1744,今日總結!$A:$AN,40,0),"")</f>
        <v>0</v>
      </c>
      <c r="L1744" s="156">
        <f>IFERROR(VLOOKUP($G1744,今日總結!$A:$AN,37,0),"")</f>
        <v>4</v>
      </c>
      <c r="M1744" s="337">
        <f>IFERROR(VLOOKUP($G1744,今日總結!$A:$AN,38,0),"")</f>
        <v>0</v>
      </c>
      <c r="N1744" s="240">
        <f t="shared" si="299"/>
        <v>4</v>
      </c>
      <c r="O1744" s="359">
        <f>IFERROR(VLOOKUP($G1744,融外自投!$A:$J,7,0),"無")</f>
        <v>67</v>
      </c>
      <c r="P1744" s="79" t="str">
        <f>IFERROR(VLOOKUP($G1744,融外自投!$A:$J,9,0),"無")</f>
        <v>無</v>
      </c>
      <c r="Q1744" s="342">
        <f>IFERROR(VLOOKUP($G1744,融外自投!$A:$J,8,0),"無")</f>
        <v>1330</v>
      </c>
      <c r="R1744" s="81" t="str">
        <f>IFERROR(VLOOKUP($G1744,融外自投!$A:$J,10,0),"無")</f>
        <v>無</v>
      </c>
      <c r="S1744" s="324">
        <f>IFERROR(VLOOKUP($G1744,'321買'!$A:$E,4,0),"'沒有資料'")</f>
        <v>1002</v>
      </c>
      <c r="T1744" s="186">
        <f>IFERROR(VLOOKUP($G1744,基本資料!$A:$J,9,0),"無")</f>
        <v>3.1</v>
      </c>
      <c r="U1744" s="307">
        <f t="shared" si="295"/>
        <v>5.7835820895522388E-2</v>
      </c>
      <c r="V1744" s="94">
        <f>IFERROR(VLOOKUP($G1744,基本資料!$A:$J,10,0),"無")</f>
        <v>4.6500000000000004</v>
      </c>
      <c r="W1744" s="36">
        <f>RTD("money.excel",,"5493","Price")</f>
        <v>53.6</v>
      </c>
      <c r="X1744" s="66"/>
      <c r="Y1744" s="15">
        <f t="shared" si="296"/>
        <v>53.6</v>
      </c>
      <c r="Z1744" s="3" t="e">
        <f t="shared" si="297"/>
        <v>#DIV/0!</v>
      </c>
      <c r="AA1744" s="340">
        <f>IFERROR(VLOOKUP($G1744,基本資料!$A:$M,11,0),"無")</f>
        <v>-10.52</v>
      </c>
      <c r="AB1744" s="389">
        <f>IFERROR(VLOOKUP($G1744,基本資料!$A:$M,12,0),"無")</f>
        <v>60.31</v>
      </c>
      <c r="AC1744" s="16" t="s">
        <v>4683</v>
      </c>
      <c r="AF1744" s="33">
        <f t="shared" si="298"/>
        <v>0</v>
      </c>
      <c r="AG1744" s="43" t="s">
        <v>2525</v>
      </c>
      <c r="AH1744" s="66">
        <f t="shared" si="300"/>
        <v>0.73385518590998045</v>
      </c>
      <c r="AI1744" s="283">
        <f>RTD("money.excel",,$G1744,"PredictVolume")</f>
        <v>75</v>
      </c>
      <c r="AJ1744" s="391">
        <f>IFERROR(VLOOKUP($G1744,基本資料!$A:$M,13,0),"無")</f>
        <v>102.2</v>
      </c>
      <c r="AR1744" s="245" t="str">
        <f>INDEX(基本資料!N:N,MATCH($G1744,基本資料!A:A,0))</f>
        <v>高</v>
      </c>
    </row>
    <row r="1745" spans="1:44">
      <c r="A1745" s="343">
        <f>IFERROR(VLOOKUP($G1745,基本資料!$A:$J,3,0),"無")</f>
        <v>5.72</v>
      </c>
      <c r="B1745" s="79">
        <f>IFERROR(VLOOKUP($G1745,基本資料!$A:$J,4,0),"無")</f>
        <v>29</v>
      </c>
      <c r="C1745" s="79">
        <f>IFERROR(VLOOKUP($G1745,基本資料!$A:$J,5,0),"無")</f>
        <v>25</v>
      </c>
      <c r="D1745" s="79">
        <f>IFERROR(VLOOKUP($G1745,基本資料!$A:$J,6,0),"無")</f>
        <v>-22</v>
      </c>
      <c r="E1745" s="79">
        <f>IFERROR(VLOOKUP($G1745,基本資料!$A:$J,7,0),"無")</f>
        <v>-3</v>
      </c>
      <c r="F1745" s="6">
        <f>IFERROR(VLOOKUP($G1745,基本資料!$A:$J,8,0),"無")</f>
        <v>10.58</v>
      </c>
      <c r="G1745" s="79">
        <v>5536</v>
      </c>
      <c r="H1745" s="8" t="s">
        <v>314</v>
      </c>
      <c r="I1745" s="16" t="s">
        <v>148</v>
      </c>
      <c r="J1745" s="8">
        <f>IFERROR(VLOOKUP($G1745,今日總結!$A:$AN,39,0),"")</f>
        <v>0</v>
      </c>
      <c r="K1745" s="5" t="str">
        <f>IFERROR(VLOOKUP($G1745,今日總結!$A:$AN,40,0),"")</f>
        <v>主自</v>
      </c>
      <c r="L1745" s="156">
        <f>IFERROR(VLOOKUP($G1745,今日總結!$A:$AN,37,0),"")</f>
        <v>0</v>
      </c>
      <c r="M1745" s="337">
        <f>IFERROR(VLOOKUP($G1745,今日總結!$A:$AN,38,0),"")</f>
        <v>6</v>
      </c>
      <c r="N1745" s="240">
        <f t="shared" si="299"/>
        <v>-6</v>
      </c>
      <c r="O1745" s="359">
        <f>IFERROR(VLOOKUP($G1745,融外自投!$A:$J,7,0),"無")</f>
        <v>955</v>
      </c>
      <c r="P1745" s="79">
        <f>IFERROR(VLOOKUP($G1745,融外自投!$A:$J,9,0),"無")</f>
        <v>97</v>
      </c>
      <c r="Q1745" s="342">
        <f>IFERROR(VLOOKUP($G1745,融外自投!$A:$J,8,0),"無")</f>
        <v>301</v>
      </c>
      <c r="R1745" s="81" t="str">
        <f>IFERROR(VLOOKUP($G1745,融外自投!$A:$J,10,0),"無")</f>
        <v>無</v>
      </c>
      <c r="S1745" s="324">
        <f>IFERROR(VLOOKUP($G1745,'321買'!$A:$E,4,0),"'沒有資料'")</f>
        <v>565</v>
      </c>
      <c r="T1745" s="186">
        <f>IFERROR(VLOOKUP($G1745,基本資料!$A:$J,9,0),"無")</f>
        <v>15</v>
      </c>
      <c r="U1745" s="307">
        <f t="shared" si="295"/>
        <v>7.6530612244897961E-2</v>
      </c>
      <c r="V1745" s="94">
        <f>IFERROR(VLOOKUP($G1745,基本資料!$A:$J,10,0),"無")</f>
        <v>21.08</v>
      </c>
      <c r="W1745" s="36">
        <f>RTD("money.excel",,"5536","Price")</f>
        <v>196</v>
      </c>
      <c r="X1745" s="66"/>
      <c r="Y1745" s="15">
        <f t="shared" si="296"/>
        <v>196</v>
      </c>
      <c r="Z1745" s="3" t="e">
        <f t="shared" si="297"/>
        <v>#DIV/0!</v>
      </c>
      <c r="AA1745" s="340">
        <f>IFERROR(VLOOKUP($G1745,基本資料!$A:$M,11,0),"無")</f>
        <v>-18.329999999999998</v>
      </c>
      <c r="AB1745" s="389">
        <f>IFERROR(VLOOKUP($G1745,基本資料!$A:$M,12,0),"無")</f>
        <v>16.52</v>
      </c>
      <c r="AC1745" s="16" t="s">
        <v>148</v>
      </c>
      <c r="AF1745" s="33">
        <f t="shared" si="298"/>
        <v>0</v>
      </c>
      <c r="AG1745" s="117" t="s">
        <v>1444</v>
      </c>
      <c r="AH1745" s="66">
        <f t="shared" si="300"/>
        <v>2.0250521920668061</v>
      </c>
      <c r="AI1745" s="283">
        <f>RTD("money.excel",,$G1745,"PredictVolume")</f>
        <v>194</v>
      </c>
      <c r="AJ1745" s="391">
        <f>IFERROR(VLOOKUP($G1745,基本資料!$A:$M,13,0),"無")</f>
        <v>95.8</v>
      </c>
      <c r="AR1745" s="245" t="str">
        <f>INDEX(基本資料!N:N,MATCH($G1745,基本資料!A:A,0))</f>
        <v>低</v>
      </c>
    </row>
    <row r="1746" spans="1:44">
      <c r="A1746" s="343">
        <f>IFERROR(VLOOKUP($G1746,基本資料!$A:$J,3,0),"無")</f>
        <v>22.55</v>
      </c>
      <c r="B1746" s="79">
        <f>IFERROR(VLOOKUP($G1746,基本資料!$A:$J,4,0),"無")</f>
        <v>54</v>
      </c>
      <c r="C1746" s="79">
        <f>IFERROR(VLOOKUP($G1746,基本資料!$A:$J,5,0),"無")</f>
        <v>316</v>
      </c>
      <c r="D1746" s="79">
        <f>IFERROR(VLOOKUP($G1746,基本資料!$A:$J,6,0),"無")</f>
        <v>-4</v>
      </c>
      <c r="E1746" s="79">
        <f>IFERROR(VLOOKUP($G1746,基本資料!$A:$J,7,0),"無")</f>
        <v>42</v>
      </c>
      <c r="F1746" s="6">
        <f>IFERROR(VLOOKUP($G1746,基本資料!$A:$J,8,0),"無")</f>
        <v>1.18</v>
      </c>
      <c r="G1746" s="79">
        <v>6139</v>
      </c>
      <c r="H1746" s="8" t="s">
        <v>314</v>
      </c>
      <c r="I1746" s="22" t="s">
        <v>508</v>
      </c>
      <c r="J1746" s="8">
        <f>IFERROR(VLOOKUP($G1746,今日總結!$A:$AN,39,0),"")</f>
        <v>0</v>
      </c>
      <c r="K1746" s="5">
        <f>IFERROR(VLOOKUP($G1746,今日總結!$A:$AN,40,0),"")</f>
        <v>0</v>
      </c>
      <c r="L1746" s="156">
        <f>IFERROR(VLOOKUP($G1746,今日總結!$A:$AN,37,0),"")</f>
        <v>0</v>
      </c>
      <c r="M1746" s="337">
        <f>IFERROR(VLOOKUP($G1746,今日總結!$A:$AN,38,0),"")</f>
        <v>0</v>
      </c>
      <c r="N1746" s="240">
        <f t="shared" si="299"/>
        <v>0</v>
      </c>
      <c r="O1746" s="359">
        <f>IFERROR(VLOOKUP($G1746,融外自投!$A:$J,7,0),"無")</f>
        <v>660</v>
      </c>
      <c r="P1746" s="79">
        <f>IFERROR(VLOOKUP($G1746,融外自投!$A:$J,9,0),"無")</f>
        <v>635</v>
      </c>
      <c r="Q1746" s="342">
        <f>IFERROR(VLOOKUP($G1746,融外自投!$A:$J,8,0),"無")</f>
        <v>337</v>
      </c>
      <c r="R1746" s="81">
        <f>IFERROR(VLOOKUP($G1746,融外自投!$A:$J,10,0),"無")</f>
        <v>395</v>
      </c>
      <c r="S1746" s="324">
        <f>IFERROR(VLOOKUP($G1746,'321買'!$A:$E,4,0),"'沒有資料'")</f>
        <v>801</v>
      </c>
      <c r="T1746" s="186">
        <f>IFERROR(VLOOKUP($G1746,基本資料!$A:$J,9,0),"無")</f>
        <v>1.5</v>
      </c>
      <c r="U1746" s="307">
        <f t="shared" si="295"/>
        <v>4.9668874172185434E-2</v>
      </c>
      <c r="V1746" s="94">
        <f>IFERROR(VLOOKUP($G1746,基本資料!$A:$J,10,0),"無")</f>
        <v>1.43</v>
      </c>
      <c r="W1746" s="36">
        <f>RTD("money.excel",,"6139","Price")</f>
        <v>30.2</v>
      </c>
      <c r="X1746" s="66"/>
      <c r="Y1746" s="15">
        <f t="shared" si="296"/>
        <v>30.2</v>
      </c>
      <c r="Z1746" s="3" t="e">
        <f t="shared" si="297"/>
        <v>#DIV/0!</v>
      </c>
      <c r="AA1746" s="340">
        <f>IFERROR(VLOOKUP($G1746,基本資料!$A:$M,11,0),"無")</f>
        <v>-12.46</v>
      </c>
      <c r="AB1746" s="389">
        <f>IFERROR(VLOOKUP($G1746,基本資料!$A:$M,12,0),"無")</f>
        <v>24.34</v>
      </c>
      <c r="AC1746" s="22" t="s">
        <v>508</v>
      </c>
      <c r="AF1746" s="33">
        <f t="shared" si="298"/>
        <v>0</v>
      </c>
      <c r="AG1746" s="43" t="s">
        <v>1444</v>
      </c>
      <c r="AH1746" s="66">
        <f t="shared" si="300"/>
        <v>0.56200746578183325</v>
      </c>
      <c r="AI1746" s="283">
        <f>RTD("money.excel",,$G1746,"PredictVolume")</f>
        <v>271</v>
      </c>
      <c r="AJ1746" s="391">
        <f>IFERROR(VLOOKUP($G1746,基本資料!$A:$M,13,0),"無")</f>
        <v>482.2</v>
      </c>
      <c r="AR1746" s="245" t="str">
        <f>INDEX(基本資料!N:N,MATCH($G1746,基本資料!A:A,0))</f>
        <v>中</v>
      </c>
    </row>
    <row r="1747" spans="1:44">
      <c r="A1747" s="343">
        <f>IFERROR(VLOOKUP($G1747,基本資料!$A:$J,3,0),"無")</f>
        <v>9.6999999999999993</v>
      </c>
      <c r="B1747" s="79">
        <f>IFERROR(VLOOKUP($G1747,基本資料!$A:$J,4,0),"無")</f>
        <v>42</v>
      </c>
      <c r="C1747" s="79">
        <f>IFERROR(VLOOKUP($G1747,基本資料!$A:$J,5,0),"無")</f>
        <v>41</v>
      </c>
      <c r="D1747" s="79">
        <f>IFERROR(VLOOKUP($G1747,基本資料!$A:$J,6,0),"無")</f>
        <v>1</v>
      </c>
      <c r="E1747" s="79">
        <f>IFERROR(VLOOKUP($G1747,基本資料!$A:$J,7,0),"無")</f>
        <v>20</v>
      </c>
      <c r="F1747" s="6">
        <f>IFERROR(VLOOKUP($G1747,基本資料!$A:$J,8,0),"無")</f>
        <v>33.229999999999997</v>
      </c>
      <c r="G1747" s="79">
        <v>6146</v>
      </c>
      <c r="H1747" s="8" t="s">
        <v>314</v>
      </c>
      <c r="I1747" s="16" t="s">
        <v>4684</v>
      </c>
      <c r="J1747" s="8">
        <f>IFERROR(VLOOKUP($G1747,今日總結!$A:$AN,39,0),"")</f>
        <v>0</v>
      </c>
      <c r="K1747" s="5">
        <f>IFERROR(VLOOKUP($G1747,今日總結!$A:$AN,40,0),"")</f>
        <v>0</v>
      </c>
      <c r="L1747" s="156">
        <f>IFERROR(VLOOKUP($G1747,今日總結!$A:$AN,37,0),"")</f>
        <v>0</v>
      </c>
      <c r="M1747" s="337">
        <f>IFERROR(VLOOKUP($G1747,今日總結!$A:$AN,38,0),"")</f>
        <v>0</v>
      </c>
      <c r="N1747" s="240">
        <f t="shared" si="299"/>
        <v>0</v>
      </c>
      <c r="O1747" s="359">
        <f>IFERROR(VLOOKUP($G1747,融外自投!$A:$J,7,0),"無")</f>
        <v>1348</v>
      </c>
      <c r="P1747" s="79">
        <f>IFERROR(VLOOKUP($G1747,融外自投!$A:$J,9,0),"無")</f>
        <v>946</v>
      </c>
      <c r="Q1747" s="342">
        <f>IFERROR(VLOOKUP($G1747,融外自投!$A:$J,8,0),"無")</f>
        <v>71</v>
      </c>
      <c r="R1747" s="81">
        <f>IFERROR(VLOOKUP($G1747,融外自投!$A:$J,10,0),"無")</f>
        <v>308</v>
      </c>
      <c r="S1747" s="324">
        <f>IFERROR(VLOOKUP($G1747,'321買'!$A:$E,4,0),"'沒有資料'")</f>
        <v>1002</v>
      </c>
      <c r="T1747" s="186">
        <f>IFERROR(VLOOKUP($G1747,基本資料!$A:$J,9,0),"無")</f>
        <v>9</v>
      </c>
      <c r="U1747" s="307">
        <f t="shared" si="295"/>
        <v>4.736842105263158E-2</v>
      </c>
      <c r="V1747" s="94">
        <f>IFERROR(VLOOKUP($G1747,基本資料!$A:$J,10,0),"無")</f>
        <v>11.01</v>
      </c>
      <c r="W1747" s="36">
        <f>RTD("money.excel",,"6146","Price")</f>
        <v>190</v>
      </c>
      <c r="X1747" s="66"/>
      <c r="Y1747" s="15">
        <f t="shared" si="296"/>
        <v>190</v>
      </c>
      <c r="Z1747" s="3" t="e">
        <f t="shared" si="297"/>
        <v>#DIV/0!</v>
      </c>
      <c r="AA1747" s="340">
        <f>IFERROR(VLOOKUP($G1747,基本資料!$A:$M,11,0),"無")</f>
        <v>-26.21</v>
      </c>
      <c r="AB1747" s="389">
        <f>IFERROR(VLOOKUP($G1747,基本資料!$A:$M,12,0),"無")</f>
        <v>55.88</v>
      </c>
      <c r="AC1747" s="16" t="s">
        <v>4684</v>
      </c>
      <c r="AF1747" s="33">
        <f t="shared" si="298"/>
        <v>0</v>
      </c>
      <c r="AG1747" s="117" t="s">
        <v>2951</v>
      </c>
      <c r="AH1747" s="66">
        <f t="shared" si="300"/>
        <v>1.1948998178506376</v>
      </c>
      <c r="AI1747" s="283">
        <f>RTD("money.excel",,$G1747,"PredictVolume")</f>
        <v>164</v>
      </c>
      <c r="AJ1747" s="391">
        <f>IFERROR(VLOOKUP($G1747,基本資料!$A:$M,13,0),"無")</f>
        <v>137.25</v>
      </c>
      <c r="AR1747" s="245" t="str">
        <f>INDEX(基本資料!N:N,MATCH($G1747,基本資料!A:A,0))</f>
        <v>低</v>
      </c>
    </row>
    <row r="1748" spans="1:44">
      <c r="A1748" s="343">
        <f>IFERROR(VLOOKUP($G1748,基本資料!$A:$J,3,0),"無")</f>
        <v>5.52</v>
      </c>
      <c r="B1748" s="79">
        <f>IFERROR(VLOOKUP($G1748,基本資料!$A:$J,4,0),"無")</f>
        <v>91</v>
      </c>
      <c r="C1748" s="79">
        <f>IFERROR(VLOOKUP($G1748,基本資料!$A:$J,5,0),"無")</f>
        <v>108</v>
      </c>
      <c r="D1748" s="79">
        <f>IFERROR(VLOOKUP($G1748,基本資料!$A:$J,6,0),"無")</f>
        <v>-17</v>
      </c>
      <c r="E1748" s="79">
        <f>IFERROR(VLOOKUP($G1748,基本資料!$A:$J,7,0),"無")</f>
        <v>-43</v>
      </c>
      <c r="F1748" s="6">
        <f>IFERROR(VLOOKUP($G1748,基本資料!$A:$J,8,0),"無")</f>
        <v>11.24</v>
      </c>
      <c r="G1748" s="79">
        <v>6151</v>
      </c>
      <c r="H1748" s="8" t="s">
        <v>314</v>
      </c>
      <c r="I1748" s="16" t="s">
        <v>4685</v>
      </c>
      <c r="J1748" s="8">
        <f>IFERROR(VLOOKUP($G1748,今日總結!$A:$AN,39,0),"")</f>
        <v>0</v>
      </c>
      <c r="K1748" s="5" t="str">
        <f>IFERROR(VLOOKUP($G1748,今日總結!$A:$AN,40,0),"")</f>
        <v>主</v>
      </c>
      <c r="L1748" s="156">
        <f>IFERROR(VLOOKUP($G1748,今日總結!$A:$AN,37,0),"")</f>
        <v>0</v>
      </c>
      <c r="M1748" s="337">
        <f>IFERROR(VLOOKUP($G1748,今日總結!$A:$AN,38,0),"")</f>
        <v>4</v>
      </c>
      <c r="N1748" s="240">
        <f t="shared" si="299"/>
        <v>-4</v>
      </c>
      <c r="O1748" s="359">
        <f>IFERROR(VLOOKUP($G1748,融外自投!$A:$J,7,0),"無")</f>
        <v>1142</v>
      </c>
      <c r="P1748" s="79">
        <f>IFERROR(VLOOKUP($G1748,融外自投!$A:$J,9,0),"無")</f>
        <v>908</v>
      </c>
      <c r="Q1748" s="342">
        <f>IFERROR(VLOOKUP($G1748,融外自投!$A:$J,8,0),"無")</f>
        <v>1351</v>
      </c>
      <c r="R1748" s="81" t="str">
        <f>IFERROR(VLOOKUP($G1748,融外自投!$A:$J,10,0),"無")</f>
        <v>無</v>
      </c>
      <c r="S1748" s="324">
        <f>IFERROR(VLOOKUP($G1748,'321買'!$A:$E,4,0),"'沒有資料'")</f>
        <v>1002</v>
      </c>
      <c r="T1748" s="186">
        <f>IFERROR(VLOOKUP($G1748,基本資料!$A:$J,9,0),"無")</f>
        <v>3</v>
      </c>
      <c r="U1748" s="307">
        <f t="shared" si="295"/>
        <v>0.10204081632653061</v>
      </c>
      <c r="V1748" s="94">
        <f>IFERROR(VLOOKUP($G1748,基本資料!$A:$J,10,0),"無")</f>
        <v>4.04</v>
      </c>
      <c r="W1748" s="36">
        <f>RTD("money.excel",,"6151","Price")</f>
        <v>29.4</v>
      </c>
      <c r="X1748" s="66"/>
      <c r="Y1748" s="15">
        <f t="shared" si="296"/>
        <v>29.4</v>
      </c>
      <c r="Z1748" s="3" t="e">
        <f t="shared" si="297"/>
        <v>#DIV/0!</v>
      </c>
      <c r="AA1748" s="340">
        <f>IFERROR(VLOOKUP($G1748,基本資料!$A:$M,11,0),"無")</f>
        <v>-36.770000000000003</v>
      </c>
      <c r="AB1748" s="389">
        <f>IFERROR(VLOOKUP($G1748,基本資料!$A:$M,12,0),"無")</f>
        <v>8.07</v>
      </c>
      <c r="AC1748" s="16" t="s">
        <v>4685</v>
      </c>
      <c r="AF1748" s="33">
        <f t="shared" si="298"/>
        <v>0</v>
      </c>
      <c r="AG1748" s="43" t="s">
        <v>2526</v>
      </c>
      <c r="AH1748" s="66">
        <f t="shared" si="300"/>
        <v>0.4277456647398844</v>
      </c>
      <c r="AI1748" s="283">
        <f>RTD("money.excel",,$G1748,"PredictVolume")</f>
        <v>37</v>
      </c>
      <c r="AJ1748" s="391">
        <f>IFERROR(VLOOKUP($G1748,基本資料!$A:$M,13,0),"無")</f>
        <v>86.5</v>
      </c>
      <c r="AR1748" s="245" t="str">
        <f>INDEX(基本資料!N:N,MATCH($G1748,基本資料!A:A,0))</f>
        <v>低</v>
      </c>
    </row>
    <row r="1749" spans="1:44">
      <c r="A1749" s="343">
        <f>IFERROR(VLOOKUP($G1749,基本資料!$A:$J,3,0),"無")</f>
        <v>8.33</v>
      </c>
      <c r="B1749" s="79">
        <f>IFERROR(VLOOKUP($G1749,基本資料!$A:$J,4,0),"無")</f>
        <v>119</v>
      </c>
      <c r="C1749" s="79">
        <f>IFERROR(VLOOKUP($G1749,基本資料!$A:$J,5,0),"無")</f>
        <v>111</v>
      </c>
      <c r="D1749" s="79">
        <f>IFERROR(VLOOKUP($G1749,基本資料!$A:$J,6,0),"無")</f>
        <v>-7</v>
      </c>
      <c r="E1749" s="79">
        <f>IFERROR(VLOOKUP($G1749,基本資料!$A:$J,7,0),"無")</f>
        <v>-1</v>
      </c>
      <c r="F1749" s="6">
        <f>IFERROR(VLOOKUP($G1749,基本資料!$A:$J,8,0),"無")</f>
        <v>24.41</v>
      </c>
      <c r="G1749" s="79">
        <v>6187</v>
      </c>
      <c r="H1749" s="8" t="s">
        <v>314</v>
      </c>
      <c r="I1749" s="16" t="s">
        <v>4686</v>
      </c>
      <c r="J1749" s="8">
        <f>IFERROR(VLOOKUP($G1749,今日總結!$A:$AN,39,0),"")</f>
        <v>0</v>
      </c>
      <c r="K1749" s="5">
        <f>IFERROR(VLOOKUP($G1749,今日總結!$A:$AN,40,0),"")</f>
        <v>0</v>
      </c>
      <c r="L1749" s="156">
        <f>IFERROR(VLOOKUP($G1749,今日總結!$A:$AN,37,0),"")</f>
        <v>0</v>
      </c>
      <c r="M1749" s="337">
        <f>IFERROR(VLOOKUP($G1749,今日總結!$A:$AN,38,0),"")</f>
        <v>0</v>
      </c>
      <c r="N1749" s="240">
        <f t="shared" si="299"/>
        <v>0</v>
      </c>
      <c r="O1749" s="359">
        <f>IFERROR(VLOOKUP($G1749,融外自投!$A:$J,7,0),"無")</f>
        <v>223</v>
      </c>
      <c r="P1749" s="79">
        <f>IFERROR(VLOOKUP($G1749,融外自投!$A:$J,9,0),"無")</f>
        <v>48</v>
      </c>
      <c r="Q1749" s="342">
        <f>IFERROR(VLOOKUP($G1749,融外自投!$A:$J,8,0),"無")</f>
        <v>995</v>
      </c>
      <c r="R1749" s="81">
        <f>IFERROR(VLOOKUP($G1749,融外自投!$A:$J,10,0),"無")</f>
        <v>5</v>
      </c>
      <c r="S1749" s="324">
        <f>IFERROR(VLOOKUP($G1749,'321買'!$A:$E,4,0),"'沒有資料'")</f>
        <v>91</v>
      </c>
      <c r="T1749" s="186">
        <f>IFERROR(VLOOKUP($G1749,基本資料!$A:$J,9,0),"無")</f>
        <v>4.5</v>
      </c>
      <c r="U1749" s="307">
        <f t="shared" si="295"/>
        <v>4.3689320388349516E-2</v>
      </c>
      <c r="V1749" s="94">
        <f>IFERROR(VLOOKUP($G1749,基本資料!$A:$J,10,0),"無")</f>
        <v>6.64</v>
      </c>
      <c r="W1749" s="36">
        <f>RTD("money.excel",,"6187","Price")</f>
        <v>103</v>
      </c>
      <c r="X1749" s="66"/>
      <c r="Y1749" s="15">
        <f t="shared" si="296"/>
        <v>103</v>
      </c>
      <c r="Z1749" s="3" t="e">
        <f t="shared" si="297"/>
        <v>#DIV/0!</v>
      </c>
      <c r="AA1749" s="340">
        <f>IFERROR(VLOOKUP($G1749,基本資料!$A:$M,11,0),"無")</f>
        <v>-39.049999999999997</v>
      </c>
      <c r="AB1749" s="389">
        <f>IFERROR(VLOOKUP($G1749,基本資料!$A:$M,12,0),"無")</f>
        <v>15.91</v>
      </c>
      <c r="AC1749" s="16" t="s">
        <v>4686</v>
      </c>
      <c r="AF1749" s="33">
        <f t="shared" si="298"/>
        <v>0</v>
      </c>
      <c r="AG1749" s="43" t="s">
        <v>2308</v>
      </c>
      <c r="AH1749" s="66">
        <f t="shared" si="300"/>
        <v>0.43088303282478041</v>
      </c>
      <c r="AI1749" s="283">
        <f>RTD("money.excel",,$G1749,"PredictVolume")</f>
        <v>466</v>
      </c>
      <c r="AJ1749" s="391">
        <f>IFERROR(VLOOKUP($G1749,基本資料!$A:$M,13,0),"無")</f>
        <v>1081.5</v>
      </c>
      <c r="AR1749" s="245" t="str">
        <f>INDEX(基本資料!N:N,MATCH($G1749,基本資料!A:A,0))</f>
        <v>低</v>
      </c>
    </row>
    <row r="1750" spans="1:44">
      <c r="A1750" s="343">
        <f>IFERROR(VLOOKUP($G1750,基本資料!$A:$J,3,0),"無")</f>
        <v>10.68</v>
      </c>
      <c r="B1750" s="79">
        <f>IFERROR(VLOOKUP($G1750,基本資料!$A:$J,4,0),"無")</f>
        <v>14</v>
      </c>
      <c r="C1750" s="79">
        <f>IFERROR(VLOOKUP($G1750,基本資料!$A:$J,5,0),"無")</f>
        <v>14</v>
      </c>
      <c r="D1750" s="79">
        <f>IFERROR(VLOOKUP($G1750,基本資料!$A:$J,6,0),"無")</f>
        <v>-18</v>
      </c>
      <c r="E1750" s="79">
        <f>IFERROR(VLOOKUP($G1750,基本資料!$A:$J,7,0),"無")</f>
        <v>-22</v>
      </c>
      <c r="F1750" s="6">
        <f>IFERROR(VLOOKUP($G1750,基本資料!$A:$J,8,0),"無")</f>
        <v>17.55</v>
      </c>
      <c r="G1750" s="79">
        <v>6192</v>
      </c>
      <c r="H1750" s="8" t="s">
        <v>314</v>
      </c>
      <c r="I1750" s="22" t="s">
        <v>509</v>
      </c>
      <c r="J1750" s="8" t="str">
        <f>IFERROR(VLOOKUP($G1750,今日總結!$A:$AN,39,0),"")</f>
        <v>自</v>
      </c>
      <c r="K1750" s="5" t="str">
        <f>IFERROR(VLOOKUP($G1750,今日總結!$A:$AN,40,0),"")</f>
        <v>主外</v>
      </c>
      <c r="L1750" s="156">
        <f>IFERROR(VLOOKUP($G1750,今日總結!$A:$AN,37,0),"")</f>
        <v>1</v>
      </c>
      <c r="M1750" s="337">
        <f>IFERROR(VLOOKUP($G1750,今日總結!$A:$AN,38,0),"")</f>
        <v>8</v>
      </c>
      <c r="N1750" s="240">
        <f t="shared" si="299"/>
        <v>-7</v>
      </c>
      <c r="O1750" s="359">
        <f>IFERROR(VLOOKUP($G1750,融外自投!$A:$J,7,0),"無")</f>
        <v>1348</v>
      </c>
      <c r="P1750" s="79">
        <f>IFERROR(VLOOKUP($G1750,融外自投!$A:$J,9,0),"無")</f>
        <v>138</v>
      </c>
      <c r="Q1750" s="342">
        <f>IFERROR(VLOOKUP($G1750,融外自投!$A:$J,8,0),"無")</f>
        <v>245</v>
      </c>
      <c r="R1750" s="81">
        <f>IFERROR(VLOOKUP($G1750,融外自投!$A:$J,10,0),"無")</f>
        <v>495</v>
      </c>
      <c r="S1750" s="324">
        <f>IFERROR(VLOOKUP($G1750,'321買'!$A:$E,4,0),"'沒有資料'")</f>
        <v>1002</v>
      </c>
      <c r="T1750" s="186">
        <f>IFERROR(VLOOKUP($G1750,基本資料!$A:$J,9,0),"無")</f>
        <v>4</v>
      </c>
      <c r="U1750" s="307">
        <f t="shared" si="295"/>
        <v>5.8394160583941604E-2</v>
      </c>
      <c r="V1750" s="94">
        <f>IFERROR(VLOOKUP($G1750,基本資料!$A:$J,10,0),"無")</f>
        <v>7.96</v>
      </c>
      <c r="W1750" s="36">
        <f>RTD("money.excel",,"6192","Price")</f>
        <v>68.5</v>
      </c>
      <c r="X1750" s="66"/>
      <c r="Y1750" s="15">
        <f t="shared" si="296"/>
        <v>68.5</v>
      </c>
      <c r="Z1750" s="3" t="e">
        <f t="shared" si="297"/>
        <v>#DIV/0!</v>
      </c>
      <c r="AA1750" s="340">
        <f>IFERROR(VLOOKUP($G1750,基本資料!$A:$M,11,0),"無")</f>
        <v>-10.46</v>
      </c>
      <c r="AB1750" s="389">
        <f>IFERROR(VLOOKUP($G1750,基本資料!$A:$M,12,0),"無")</f>
        <v>24.35</v>
      </c>
      <c r="AC1750" s="22" t="s">
        <v>509</v>
      </c>
      <c r="AF1750" s="33">
        <f t="shared" si="298"/>
        <v>0</v>
      </c>
      <c r="AG1750" s="43" t="s">
        <v>2577</v>
      </c>
      <c r="AH1750" s="66">
        <f t="shared" si="300"/>
        <v>0.98235904531304041</v>
      </c>
      <c r="AI1750" s="283">
        <f>RTD("money.excel",,$G1750,"PredictVolume")</f>
        <v>142</v>
      </c>
      <c r="AJ1750" s="391">
        <f>IFERROR(VLOOKUP($G1750,基本資料!$A:$M,13,0),"無")</f>
        <v>144.55000000000001</v>
      </c>
      <c r="AR1750" s="245" t="str">
        <f>INDEX(基本資料!N:N,MATCH($G1750,基本資料!A:A,0))</f>
        <v>低</v>
      </c>
    </row>
    <row r="1751" spans="1:44">
      <c r="A1751" s="343">
        <f>IFERROR(VLOOKUP($G1751,基本資料!$A:$J,3,0),"無")</f>
        <v>19.5</v>
      </c>
      <c r="B1751" s="79">
        <f>IFERROR(VLOOKUP($G1751,基本資料!$A:$J,4,0),"無")</f>
        <v>72</v>
      </c>
      <c r="C1751" s="79">
        <f>IFERROR(VLOOKUP($G1751,基本資料!$A:$J,5,0),"無")</f>
        <v>36</v>
      </c>
      <c r="D1751" s="79">
        <f>IFERROR(VLOOKUP($G1751,基本資料!$A:$J,6,0),"無")</f>
        <v>7</v>
      </c>
      <c r="E1751" s="79">
        <f>IFERROR(VLOOKUP($G1751,基本資料!$A:$J,7,0),"無")</f>
        <v>46</v>
      </c>
      <c r="F1751" s="6">
        <f>IFERROR(VLOOKUP($G1751,基本資料!$A:$J,8,0),"無")</f>
        <v>4.7699999999999996</v>
      </c>
      <c r="G1751" s="79">
        <v>6196</v>
      </c>
      <c r="H1751" s="8" t="s">
        <v>314</v>
      </c>
      <c r="I1751" s="22" t="s">
        <v>101</v>
      </c>
      <c r="J1751" s="8" t="str">
        <f>IFERROR(VLOOKUP($G1751,今日總結!$A:$AN,39,0),"")</f>
        <v>借</v>
      </c>
      <c r="K1751" s="5">
        <f>IFERROR(VLOOKUP($G1751,今日總結!$A:$AN,40,0),"")</f>
        <v>0</v>
      </c>
      <c r="L1751" s="156">
        <f>IFERROR(VLOOKUP($G1751,今日總結!$A:$AN,37,0),"")</f>
        <v>3</v>
      </c>
      <c r="M1751" s="337">
        <f>IFERROR(VLOOKUP($G1751,今日總結!$A:$AN,38,0),"")</f>
        <v>0</v>
      </c>
      <c r="N1751" s="240">
        <f t="shared" si="299"/>
        <v>3</v>
      </c>
      <c r="O1751" s="359">
        <f>IFERROR(VLOOKUP($G1751,融外自投!$A:$J,7,0),"無")</f>
        <v>878</v>
      </c>
      <c r="P1751" s="79">
        <f>IFERROR(VLOOKUP($G1751,融外自投!$A:$J,9,0),"無")</f>
        <v>635</v>
      </c>
      <c r="Q1751" s="342">
        <f>IFERROR(VLOOKUP($G1751,融外自投!$A:$J,8,0),"無")</f>
        <v>602</v>
      </c>
      <c r="R1751" s="81">
        <f>IFERROR(VLOOKUP($G1751,融外自投!$A:$J,10,0),"無")</f>
        <v>312</v>
      </c>
      <c r="S1751" s="324">
        <f>IFERROR(VLOOKUP($G1751,'321買'!$A:$E,4,0),"'沒有資料'")</f>
        <v>202</v>
      </c>
      <c r="T1751" s="186">
        <f>IFERROR(VLOOKUP($G1751,基本資料!$A:$J,9,0),"無")</f>
        <v>4.5</v>
      </c>
      <c r="U1751" s="307">
        <f t="shared" si="295"/>
        <v>3.7037037037037035E-2</v>
      </c>
      <c r="V1751" s="94">
        <f>IFERROR(VLOOKUP($G1751,基本資料!$A:$J,10,0),"無")</f>
        <v>8.24</v>
      </c>
      <c r="W1751" s="36">
        <f>RTD("money.excel",,"6196","Price")</f>
        <v>121.5</v>
      </c>
      <c r="X1751" s="66"/>
      <c r="Y1751" s="15">
        <f t="shared" si="296"/>
        <v>121.5</v>
      </c>
      <c r="Z1751" s="3" t="e">
        <f t="shared" si="297"/>
        <v>#DIV/0!</v>
      </c>
      <c r="AA1751" s="340">
        <f>IFERROR(VLOOKUP($G1751,基本資料!$A:$M,11,0),"無")</f>
        <v>-37.69</v>
      </c>
      <c r="AB1751" s="389">
        <f>IFERROR(VLOOKUP($G1751,基本資料!$A:$M,12,0),"無")</f>
        <v>13.67</v>
      </c>
      <c r="AC1751" s="22" t="s">
        <v>101</v>
      </c>
      <c r="AF1751" s="33">
        <f t="shared" si="298"/>
        <v>0</v>
      </c>
      <c r="AG1751" s="117" t="s">
        <v>2164</v>
      </c>
      <c r="AH1751" s="66">
        <f t="shared" si="300"/>
        <v>0.82248291865411882</v>
      </c>
      <c r="AI1751" s="283">
        <f>RTD("money.excel",,$G1751,"PredictVolume")</f>
        <v>638</v>
      </c>
      <c r="AJ1751" s="391">
        <f>IFERROR(VLOOKUP($G1751,基本資料!$A:$M,13,0),"無")</f>
        <v>775.7</v>
      </c>
      <c r="AR1751" s="245" t="str">
        <f>INDEX(基本資料!N:N,MATCH($G1751,基本資料!A:A,0))</f>
        <v>低</v>
      </c>
    </row>
    <row r="1752" spans="1:44">
      <c r="A1752" s="343">
        <f>IFERROR(VLOOKUP($G1752,基本資料!$A:$J,3,0),"無")</f>
        <v>8.92</v>
      </c>
      <c r="B1752" s="79">
        <f>IFERROR(VLOOKUP($G1752,基本資料!$A:$J,4,0),"無")</f>
        <v>0</v>
      </c>
      <c r="C1752" s="79">
        <f>IFERROR(VLOOKUP($G1752,基本資料!$A:$J,5,0),"無")</f>
        <v>1</v>
      </c>
      <c r="D1752" s="79">
        <f>IFERROR(VLOOKUP($G1752,基本資料!$A:$J,6,0),"無")</f>
        <v>-5</v>
      </c>
      <c r="E1752" s="79">
        <f>IFERROR(VLOOKUP($G1752,基本資料!$A:$J,7,0),"無")</f>
        <v>-23</v>
      </c>
      <c r="F1752" s="6">
        <f>IFERROR(VLOOKUP($G1752,基本資料!$A:$J,8,0),"無")</f>
        <v>10.06</v>
      </c>
      <c r="G1752" s="79">
        <v>6201</v>
      </c>
      <c r="H1752" s="8" t="s">
        <v>314</v>
      </c>
      <c r="I1752" s="22" t="s">
        <v>510</v>
      </c>
      <c r="J1752" s="8">
        <f>IFERROR(VLOOKUP($G1752,今日總結!$A:$AN,39,0),"")</f>
        <v>0</v>
      </c>
      <c r="K1752" s="5">
        <f>IFERROR(VLOOKUP($G1752,今日總結!$A:$AN,40,0),"")</f>
        <v>0</v>
      </c>
      <c r="L1752" s="156">
        <f>IFERROR(VLOOKUP($G1752,今日總結!$A:$AN,37,0),"")</f>
        <v>0</v>
      </c>
      <c r="M1752" s="337">
        <f>IFERROR(VLOOKUP($G1752,今日總結!$A:$AN,38,0),"")</f>
        <v>0</v>
      </c>
      <c r="N1752" s="240">
        <f t="shared" si="299"/>
        <v>0</v>
      </c>
      <c r="O1752" s="359">
        <f>IFERROR(VLOOKUP($G1752,融外自投!$A:$J,7,0),"無")</f>
        <v>1360</v>
      </c>
      <c r="P1752" s="79">
        <f>IFERROR(VLOOKUP($G1752,融外自投!$A:$J,9,0),"無")</f>
        <v>1051</v>
      </c>
      <c r="Q1752" s="342">
        <f>IFERROR(VLOOKUP($G1752,融外自投!$A:$J,8,0),"無")</f>
        <v>1354</v>
      </c>
      <c r="R1752" s="81" t="str">
        <f>IFERROR(VLOOKUP($G1752,融外自投!$A:$J,10,0),"無")</f>
        <v>無</v>
      </c>
      <c r="S1752" s="324">
        <f>IFERROR(VLOOKUP($G1752,'321買'!$A:$E,4,0),"'沒有資料'")</f>
        <v>1002</v>
      </c>
      <c r="T1752" s="186">
        <f>IFERROR(VLOOKUP($G1752,基本資料!$A:$J,9,0),"無")</f>
        <v>3</v>
      </c>
      <c r="U1752" s="307">
        <f t="shared" si="295"/>
        <v>7.0257611241217793E-2</v>
      </c>
      <c r="V1752" s="94">
        <f>IFERROR(VLOOKUP($G1752,基本資料!$A:$J,10,0),"無")</f>
        <v>3.38</v>
      </c>
      <c r="W1752" s="36">
        <f>RTD("money.excel",,"6201","Price")</f>
        <v>42.7</v>
      </c>
      <c r="X1752" s="66"/>
      <c r="Y1752" s="15">
        <f t="shared" si="296"/>
        <v>42.7</v>
      </c>
      <c r="Z1752" s="3" t="e">
        <f t="shared" si="297"/>
        <v>#DIV/0!</v>
      </c>
      <c r="AA1752" s="340">
        <f>IFERROR(VLOOKUP($G1752,基本資料!$A:$M,11,0),"無")</f>
        <v>-13.74</v>
      </c>
      <c r="AB1752" s="389">
        <f>IFERROR(VLOOKUP($G1752,基本資料!$A:$M,12,0),"無")</f>
        <v>14.1</v>
      </c>
      <c r="AC1752" s="22" t="s">
        <v>510</v>
      </c>
      <c r="AF1752" s="33">
        <f t="shared" si="298"/>
        <v>0</v>
      </c>
      <c r="AG1752" s="43" t="s">
        <v>2578</v>
      </c>
      <c r="AH1752" s="66">
        <f t="shared" si="300"/>
        <v>0.42666666666666669</v>
      </c>
      <c r="AI1752" s="283">
        <f>RTD("money.excel",,$G1752,"PredictVolume")</f>
        <v>8</v>
      </c>
      <c r="AJ1752" s="391">
        <f>IFERROR(VLOOKUP($G1752,基本資料!$A:$M,13,0),"無")</f>
        <v>18.75</v>
      </c>
      <c r="AR1752" s="245" t="str">
        <f>INDEX(基本資料!N:N,MATCH($G1752,基本資料!A:A,0))</f>
        <v>低</v>
      </c>
    </row>
    <row r="1753" spans="1:44">
      <c r="A1753" s="343">
        <f>IFERROR(VLOOKUP($G1753,基本資料!$A:$J,3,0),"無")</f>
        <v>8.27</v>
      </c>
      <c r="B1753" s="79">
        <f>IFERROR(VLOOKUP($G1753,基本資料!$A:$J,4,0),"無")</f>
        <v>235</v>
      </c>
      <c r="C1753" s="79">
        <f>IFERROR(VLOOKUP($G1753,基本資料!$A:$J,5,0),"無")</f>
        <v>189</v>
      </c>
      <c r="D1753" s="79">
        <f>IFERROR(VLOOKUP($G1753,基本資料!$A:$J,6,0),"無")</f>
        <v>-19</v>
      </c>
      <c r="E1753" s="79">
        <f>IFERROR(VLOOKUP($G1753,基本資料!$A:$J,7,0),"無")</f>
        <v>-13</v>
      </c>
      <c r="F1753" s="6">
        <f>IFERROR(VLOOKUP($G1753,基本資料!$A:$J,8,0),"無")</f>
        <v>10.75</v>
      </c>
      <c r="G1753" s="79">
        <v>6215</v>
      </c>
      <c r="H1753" s="8" t="s">
        <v>314</v>
      </c>
      <c r="I1753" s="22" t="s">
        <v>511</v>
      </c>
      <c r="J1753" s="8">
        <f>IFERROR(VLOOKUP($G1753,今日總結!$A:$AN,39,0),"")</f>
        <v>0</v>
      </c>
      <c r="K1753" s="5">
        <f>IFERROR(VLOOKUP($G1753,今日總結!$A:$AN,40,0),"")</f>
        <v>0</v>
      </c>
      <c r="L1753" s="156">
        <f>IFERROR(VLOOKUP($G1753,今日總結!$A:$AN,37,0),"")</f>
        <v>0</v>
      </c>
      <c r="M1753" s="337">
        <f>IFERROR(VLOOKUP($G1753,今日總結!$A:$AN,38,0),"")</f>
        <v>0</v>
      </c>
      <c r="N1753" s="240">
        <f t="shared" si="299"/>
        <v>0</v>
      </c>
      <c r="O1753" s="359">
        <f>IFERROR(VLOOKUP($G1753,融外自投!$A:$J,7,0),"無")</f>
        <v>460</v>
      </c>
      <c r="P1753" s="79">
        <f>IFERROR(VLOOKUP($G1753,融外自投!$A:$J,9,0),"無")</f>
        <v>990</v>
      </c>
      <c r="Q1753" s="342">
        <f>IFERROR(VLOOKUP($G1753,融外自投!$A:$J,8,0),"無")</f>
        <v>675</v>
      </c>
      <c r="R1753" s="81" t="str">
        <f>IFERROR(VLOOKUP($G1753,融外自投!$A:$J,10,0),"無")</f>
        <v>無</v>
      </c>
      <c r="S1753" s="324">
        <f>IFERROR(VLOOKUP($G1753,'321買'!$A:$E,4,0),"'沒有資料'")</f>
        <v>465</v>
      </c>
      <c r="T1753" s="186">
        <f>IFERROR(VLOOKUP($G1753,基本資料!$A:$J,9,0),"無")</f>
        <v>1.8</v>
      </c>
      <c r="U1753" s="307">
        <f t="shared" si="295"/>
        <v>7.7753779697624203E-2</v>
      </c>
      <c r="V1753" s="94">
        <f>IFERROR(VLOOKUP($G1753,基本資料!$A:$J,10,0),"無")</f>
        <v>3.2</v>
      </c>
      <c r="W1753" s="36">
        <f>RTD("money.excel",,"6215","Price")</f>
        <v>23.15</v>
      </c>
      <c r="X1753" s="66"/>
      <c r="Y1753" s="15">
        <f t="shared" si="296"/>
        <v>23.15</v>
      </c>
      <c r="Z1753" s="3" t="e">
        <f t="shared" si="297"/>
        <v>#DIV/0!</v>
      </c>
      <c r="AA1753" s="340">
        <f>IFERROR(VLOOKUP($G1753,基本資料!$A:$M,11,0),"無")</f>
        <v>-41.98</v>
      </c>
      <c r="AB1753" s="389">
        <f>IFERROR(VLOOKUP($G1753,基本資料!$A:$M,12,0),"無")</f>
        <v>15.25</v>
      </c>
      <c r="AC1753" s="22" t="s">
        <v>511</v>
      </c>
      <c r="AF1753" s="33">
        <f t="shared" si="298"/>
        <v>0</v>
      </c>
      <c r="AG1753" s="43" t="s">
        <v>1436</v>
      </c>
      <c r="AH1753" s="66">
        <f t="shared" si="300"/>
        <v>0.61997253286246812</v>
      </c>
      <c r="AI1753" s="283">
        <f>RTD("money.excel",,$G1753,"PredictVolume")</f>
        <v>158</v>
      </c>
      <c r="AJ1753" s="391">
        <f>IFERROR(VLOOKUP($G1753,基本資料!$A:$M,13,0),"無")</f>
        <v>254.85</v>
      </c>
      <c r="AR1753" s="245" t="str">
        <f>INDEX(基本資料!N:N,MATCH($G1753,基本資料!A:A,0))</f>
        <v>低</v>
      </c>
    </row>
    <row r="1754" spans="1:44">
      <c r="A1754" s="343">
        <f>IFERROR(VLOOKUP($G1754,基本資料!$A:$J,3,0),"無")</f>
        <v>6.03</v>
      </c>
      <c r="B1754" s="79">
        <f>IFERROR(VLOOKUP($G1754,基本資料!$A:$J,4,0),"無")</f>
        <v>-8</v>
      </c>
      <c r="C1754" s="79">
        <f>IFERROR(VLOOKUP($G1754,基本資料!$A:$J,5,0),"無")</f>
        <v>-26</v>
      </c>
      <c r="D1754" s="79">
        <f>IFERROR(VLOOKUP($G1754,基本資料!$A:$J,6,0),"無")</f>
        <v>34</v>
      </c>
      <c r="E1754" s="79">
        <f>IFERROR(VLOOKUP($G1754,基本資料!$A:$J,7,0),"無")</f>
        <v>-37</v>
      </c>
      <c r="F1754" s="6">
        <f>IFERROR(VLOOKUP($G1754,基本資料!$A:$J,8,0),"無")</f>
        <v>-17.78</v>
      </c>
      <c r="G1754" s="79">
        <v>6247</v>
      </c>
      <c r="H1754" s="8" t="s">
        <v>314</v>
      </c>
      <c r="I1754" s="16" t="s">
        <v>482</v>
      </c>
      <c r="J1754" s="8" t="str">
        <f>IFERROR(VLOOKUP($G1754,今日總結!$A:$AN,39,0),"")</f>
        <v/>
      </c>
      <c r="K1754" s="5" t="str">
        <f>IFERROR(VLOOKUP($G1754,今日總結!$A:$AN,40,0),"")</f>
        <v/>
      </c>
      <c r="L1754" s="156" t="str">
        <f>IFERROR(VLOOKUP($G1754,今日總結!$A:$AN,37,0),"")</f>
        <v/>
      </c>
      <c r="M1754" s="337" t="str">
        <f>IFERROR(VLOOKUP($G1754,今日總結!$A:$AN,38,0),"")</f>
        <v/>
      </c>
      <c r="N1754" s="240" t="str">
        <f t="shared" si="299"/>
        <v/>
      </c>
      <c r="O1754" s="359" t="str">
        <f>IFERROR(VLOOKUP($G1754,融外自投!$A:$J,7,0),"無")</f>
        <v>無</v>
      </c>
      <c r="P1754" s="79" t="str">
        <f>IFERROR(VLOOKUP($G1754,融外自投!$A:$J,9,0),"無")</f>
        <v>無</v>
      </c>
      <c r="Q1754" s="342" t="str">
        <f>IFERROR(VLOOKUP($G1754,融外自投!$A:$J,8,0),"無")</f>
        <v>無</v>
      </c>
      <c r="R1754" s="81" t="str">
        <f>IFERROR(VLOOKUP($G1754,融外自投!$A:$J,10,0),"無")</f>
        <v>無</v>
      </c>
      <c r="S1754" s="324" t="str">
        <f>IFERROR(VLOOKUP($G1754,'321買'!$A:$E,4,0),"'沒有資料'")</f>
        <v>'沒有資料'</v>
      </c>
      <c r="T1754" s="186">
        <f>IFERROR(VLOOKUP($G1754,基本資料!$A:$J,9,0),"無")</f>
        <v>0</v>
      </c>
      <c r="U1754" s="307" t="e">
        <f t="shared" si="295"/>
        <v>#VALUE!</v>
      </c>
      <c r="V1754" s="94">
        <f>IFERROR(VLOOKUP($G1754,基本資料!$A:$J,10,0),"無")</f>
        <v>-1.42</v>
      </c>
      <c r="W1754" s="36" t="str">
        <f>RTD("money.excel",,"6247","Price")</f>
        <v>無資料</v>
      </c>
      <c r="X1754" s="66"/>
      <c r="Y1754" s="15" t="e">
        <f t="shared" si="296"/>
        <v>#VALUE!</v>
      </c>
      <c r="Z1754" s="3" t="e">
        <f t="shared" si="297"/>
        <v>#VALUE!</v>
      </c>
      <c r="AA1754" s="340">
        <f>IFERROR(VLOOKUP($G1754,基本資料!$A:$M,11,0),"無")</f>
        <v>-31.35</v>
      </c>
      <c r="AB1754" s="389">
        <f>IFERROR(VLOOKUP($G1754,基本資料!$A:$M,12,0),"無")</f>
        <v>44.36</v>
      </c>
      <c r="AC1754" s="16" t="s">
        <v>482</v>
      </c>
      <c r="AF1754" s="33">
        <f t="shared" si="298"/>
        <v>0</v>
      </c>
      <c r="AG1754" s="43" t="s">
        <v>2527</v>
      </c>
      <c r="AH1754" s="66">
        <f t="shared" si="300"/>
        <v>0</v>
      </c>
      <c r="AI1754" s="283">
        <f>RTD("money.excel",,$G1754,"PredictVolume")</f>
        <v>0</v>
      </c>
      <c r="AJ1754" s="391">
        <f>IFERROR(VLOOKUP($G1754,基本資料!$A:$M,13,0),"無")</f>
        <v>11.9</v>
      </c>
      <c r="AR1754" s="245" t="str">
        <f>INDEX(基本資料!N:N,MATCH($G1754,基本資料!A:A,0))</f>
        <v>低</v>
      </c>
    </row>
    <row r="1755" spans="1:44">
      <c r="A1755" s="343">
        <f>IFERROR(VLOOKUP($G1755,基本資料!$A:$J,3,0),"無")</f>
        <v>7.01</v>
      </c>
      <c r="B1755" s="79">
        <f>IFERROR(VLOOKUP($G1755,基本資料!$A:$J,4,0),"無")</f>
        <v>41</v>
      </c>
      <c r="C1755" s="79">
        <f>IFERROR(VLOOKUP($G1755,基本資料!$A:$J,5,0),"無")</f>
        <v>25</v>
      </c>
      <c r="D1755" s="79">
        <f>IFERROR(VLOOKUP($G1755,基本資料!$A:$J,6,0),"無")</f>
        <v>-3</v>
      </c>
      <c r="E1755" s="79">
        <f>IFERROR(VLOOKUP($G1755,基本資料!$A:$J,7,0),"無")</f>
        <v>-4</v>
      </c>
      <c r="F1755" s="6">
        <f>IFERROR(VLOOKUP($G1755,基本資料!$A:$J,8,0),"無")</f>
        <v>5.82</v>
      </c>
      <c r="G1755" s="79">
        <v>6275</v>
      </c>
      <c r="H1755" s="8" t="s">
        <v>314</v>
      </c>
      <c r="I1755" s="16" t="s">
        <v>483</v>
      </c>
      <c r="J1755" s="8">
        <f>IFERROR(VLOOKUP($G1755,今日總結!$A:$AN,39,0),"")</f>
        <v>0</v>
      </c>
      <c r="K1755" s="5">
        <f>IFERROR(VLOOKUP($G1755,今日總結!$A:$AN,40,0),"")</f>
        <v>0</v>
      </c>
      <c r="L1755" s="156">
        <f>IFERROR(VLOOKUP($G1755,今日總結!$A:$AN,37,0),"")</f>
        <v>0</v>
      </c>
      <c r="M1755" s="337">
        <f>IFERROR(VLOOKUP($G1755,今日總結!$A:$AN,38,0),"")</f>
        <v>0</v>
      </c>
      <c r="N1755" s="240">
        <f t="shared" si="299"/>
        <v>0</v>
      </c>
      <c r="O1755" s="359">
        <f>IFERROR(VLOOKUP($G1755,融外自投!$A:$J,7,0),"無")</f>
        <v>234</v>
      </c>
      <c r="P1755" s="79">
        <f>IFERROR(VLOOKUP($G1755,融外自投!$A:$J,9,0),"無")</f>
        <v>340</v>
      </c>
      <c r="Q1755" s="342">
        <f>IFERROR(VLOOKUP($G1755,融外自投!$A:$J,8,0),"無")</f>
        <v>1116</v>
      </c>
      <c r="R1755" s="81" t="str">
        <f>IFERROR(VLOOKUP($G1755,融外自投!$A:$J,10,0),"無")</f>
        <v>無</v>
      </c>
      <c r="S1755" s="324">
        <f>IFERROR(VLOOKUP($G1755,'321買'!$A:$E,4,0),"'沒有資料'")</f>
        <v>300</v>
      </c>
      <c r="T1755" s="186">
        <f>IFERROR(VLOOKUP($G1755,基本資料!$A:$J,9,0),"無")</f>
        <v>2.2000000000000002</v>
      </c>
      <c r="U1755" s="307">
        <f t="shared" si="295"/>
        <v>6.8642745709828409E-2</v>
      </c>
      <c r="V1755" s="94">
        <f>IFERROR(VLOOKUP($G1755,基本資料!$A:$J,10,0),"無")</f>
        <v>2.86</v>
      </c>
      <c r="W1755" s="36">
        <f>RTD("money.excel",,"6275","Price")</f>
        <v>32.049999999999997</v>
      </c>
      <c r="X1755" s="66"/>
      <c r="Y1755" s="15">
        <f t="shared" si="296"/>
        <v>32.049999999999997</v>
      </c>
      <c r="Z1755" s="3" t="e">
        <f t="shared" si="297"/>
        <v>#DIV/0!</v>
      </c>
      <c r="AA1755" s="340">
        <f>IFERROR(VLOOKUP($G1755,基本資料!$A:$M,11,0),"無")</f>
        <v>-28.14</v>
      </c>
      <c r="AB1755" s="389">
        <f>IFERROR(VLOOKUP($G1755,基本資料!$A:$M,12,0),"無")</f>
        <v>13.85</v>
      </c>
      <c r="AC1755" s="16" t="s">
        <v>483</v>
      </c>
      <c r="AF1755" s="33">
        <f t="shared" si="298"/>
        <v>0</v>
      </c>
      <c r="AG1755" s="43" t="s">
        <v>2274</v>
      </c>
      <c r="AH1755" s="66">
        <f t="shared" si="300"/>
        <v>1.2188108709767185</v>
      </c>
      <c r="AI1755" s="283">
        <f>RTD("money.excel",,$G1755,"PredictVolume")</f>
        <v>657</v>
      </c>
      <c r="AJ1755" s="391">
        <f>IFERROR(VLOOKUP($G1755,基本資料!$A:$M,13,0),"無")</f>
        <v>539.04999999999995</v>
      </c>
      <c r="AR1755" s="245" t="str">
        <f>INDEX(基本資料!N:N,MATCH($G1755,基本資料!A:A,0))</f>
        <v>低</v>
      </c>
    </row>
    <row r="1756" spans="1:44">
      <c r="A1756" s="343">
        <f>IFERROR(VLOOKUP($G1756,基本資料!$A:$J,3,0),"無")</f>
        <v>14.79</v>
      </c>
      <c r="B1756" s="79">
        <f>IFERROR(VLOOKUP($G1756,基本資料!$A:$J,4,0),"無")</f>
        <v>-131</v>
      </c>
      <c r="C1756" s="79">
        <f>IFERROR(VLOOKUP($G1756,基本資料!$A:$J,5,0),"無")</f>
        <v>-114</v>
      </c>
      <c r="D1756" s="79">
        <f>IFERROR(VLOOKUP($G1756,基本資料!$A:$J,6,0),"無")</f>
        <v>-16</v>
      </c>
      <c r="E1756" s="79">
        <f>IFERROR(VLOOKUP($G1756,基本資料!$A:$J,7,0),"無")</f>
        <v>-35</v>
      </c>
      <c r="F1756" s="6">
        <f>IFERROR(VLOOKUP($G1756,基本資料!$A:$J,8,0),"無")</f>
        <v>-15.54</v>
      </c>
      <c r="G1756" s="79">
        <v>6283</v>
      </c>
      <c r="H1756" s="8" t="s">
        <v>314</v>
      </c>
      <c r="I1756" s="22" t="s">
        <v>332</v>
      </c>
      <c r="J1756" s="8" t="str">
        <f>IFERROR(VLOOKUP($G1756,今日總結!$A:$AN,39,0),"")</f>
        <v>外</v>
      </c>
      <c r="K1756" s="5" t="str">
        <f>IFERROR(VLOOKUP($G1756,今日總結!$A:$AN,40,0),"")</f>
        <v>券</v>
      </c>
      <c r="L1756" s="156">
        <f>IFERROR(VLOOKUP($G1756,今日總結!$A:$AN,37,0),"")</f>
        <v>1</v>
      </c>
      <c r="M1756" s="337">
        <f>IFERROR(VLOOKUP($G1756,今日總結!$A:$AN,38,0),"")</f>
        <v>1</v>
      </c>
      <c r="N1756" s="240">
        <f t="shared" si="299"/>
        <v>0</v>
      </c>
      <c r="O1756" s="359">
        <f>IFERROR(VLOOKUP($G1756,融外自投!$A:$J,7,0),"無")</f>
        <v>96</v>
      </c>
      <c r="P1756" s="79">
        <f>IFERROR(VLOOKUP($G1756,融外自投!$A:$J,9,0),"無")</f>
        <v>649</v>
      </c>
      <c r="Q1756" s="342">
        <f>IFERROR(VLOOKUP($G1756,融外自投!$A:$J,8,0),"無")</f>
        <v>299</v>
      </c>
      <c r="R1756" s="81" t="str">
        <f>IFERROR(VLOOKUP($G1756,融外自投!$A:$J,10,0),"無")</f>
        <v>無</v>
      </c>
      <c r="S1756" s="324">
        <f>IFERROR(VLOOKUP($G1756,'321買'!$A:$E,4,0),"'沒有資料'")</f>
        <v>801</v>
      </c>
      <c r="T1756" s="186">
        <f>IFERROR(VLOOKUP($G1756,基本資料!$A:$J,9,0),"無")</f>
        <v>0</v>
      </c>
      <c r="U1756" s="307">
        <f t="shared" ref="U1756:U1777" si="301">$T1756/$W1756</f>
        <v>0</v>
      </c>
      <c r="V1756" s="94">
        <f>IFERROR(VLOOKUP($G1756,基本資料!$A:$J,10,0),"無")</f>
        <v>-0.4</v>
      </c>
      <c r="W1756" s="36">
        <f>RTD("money.excel",,"6283","Price")</f>
        <v>30.7</v>
      </c>
      <c r="X1756" s="66"/>
      <c r="Y1756" s="15">
        <f t="shared" ref="Y1756:Y1777" si="302">W1756-X1756</f>
        <v>30.7</v>
      </c>
      <c r="Z1756" s="3" t="e">
        <f t="shared" ref="Z1756:Z1777" si="303">Y1756/X1756</f>
        <v>#DIV/0!</v>
      </c>
      <c r="AA1756" s="340">
        <f>IFERROR(VLOOKUP($G1756,基本資料!$A:$M,11,0),"無")</f>
        <v>-53.34</v>
      </c>
      <c r="AB1756" s="389">
        <f>IFERROR(VLOOKUP($G1756,基本資料!$A:$M,12,0),"無")</f>
        <v>18.68</v>
      </c>
      <c r="AC1756" s="22" t="s">
        <v>332</v>
      </c>
      <c r="AF1756" s="33">
        <f t="shared" ref="AF1756:AF1777" si="304">AE1756-AD1756</f>
        <v>0</v>
      </c>
      <c r="AG1756" s="43" t="s">
        <v>2579</v>
      </c>
      <c r="AH1756" s="66">
        <f t="shared" si="300"/>
        <v>0.56921086675291077</v>
      </c>
      <c r="AI1756" s="283">
        <f>RTD("money.excel",,$G1756,"PredictVolume")</f>
        <v>132</v>
      </c>
      <c r="AJ1756" s="391">
        <f>IFERROR(VLOOKUP($G1756,基本資料!$A:$M,13,0),"無")</f>
        <v>231.9</v>
      </c>
      <c r="AR1756" s="245" t="str">
        <f>INDEX(基本資料!N:N,MATCH($G1756,基本資料!A:A,0))</f>
        <v>低</v>
      </c>
    </row>
    <row r="1757" spans="1:44">
      <c r="A1757" s="343">
        <f>IFERROR(VLOOKUP($G1757,基本資料!$A:$J,3,0),"無")</f>
        <v>8.7200000000000006</v>
      </c>
      <c r="B1757" s="79">
        <f>IFERROR(VLOOKUP($G1757,基本資料!$A:$J,4,0),"無")</f>
        <v>7</v>
      </c>
      <c r="C1757" s="79">
        <f>IFERROR(VLOOKUP($G1757,基本資料!$A:$J,5,0),"無")</f>
        <v>7</v>
      </c>
      <c r="D1757" s="79">
        <f>IFERROR(VLOOKUP($G1757,基本資料!$A:$J,6,0),"無")</f>
        <v>24</v>
      </c>
      <c r="E1757" s="79">
        <f>IFERROR(VLOOKUP($G1757,基本資料!$A:$J,7,0),"無")</f>
        <v>51</v>
      </c>
      <c r="F1757" s="6">
        <f>IFERROR(VLOOKUP($G1757,基本資料!$A:$J,8,0),"無")</f>
        <v>17.25</v>
      </c>
      <c r="G1757" s="79">
        <v>6409</v>
      </c>
      <c r="H1757" s="8" t="s">
        <v>314</v>
      </c>
      <c r="I1757" s="22" t="s">
        <v>45</v>
      </c>
      <c r="J1757" s="8" t="str">
        <f>IFERROR(VLOOKUP($G1757,今日總結!$A:$AN,39,0),"")</f>
        <v>借</v>
      </c>
      <c r="K1757" s="5">
        <f>IFERROR(VLOOKUP($G1757,今日總結!$A:$AN,40,0),"")</f>
        <v>0</v>
      </c>
      <c r="L1757" s="156">
        <f>IFERROR(VLOOKUP($G1757,今日總結!$A:$AN,37,0),"")</f>
        <v>1</v>
      </c>
      <c r="M1757" s="337">
        <f>IFERROR(VLOOKUP($G1757,今日總結!$A:$AN,38,0),"")</f>
        <v>0</v>
      </c>
      <c r="N1757" s="240">
        <f t="shared" ref="N1757:N1777" si="305">IFERROR(L1757-M1757,"")</f>
        <v>1</v>
      </c>
      <c r="O1757" s="359">
        <f>IFERROR(VLOOKUP($G1757,融外自投!$A:$J,7,0),"無")</f>
        <v>1421</v>
      </c>
      <c r="P1757" s="79">
        <f>IFERROR(VLOOKUP($G1757,融外自投!$A:$J,9,0),"無")</f>
        <v>825</v>
      </c>
      <c r="Q1757" s="342">
        <f>IFERROR(VLOOKUP($G1757,融外自投!$A:$J,8,0),"無")</f>
        <v>28</v>
      </c>
      <c r="R1757" s="81">
        <f>IFERROR(VLOOKUP($G1757,融外自投!$A:$J,10,0),"無")</f>
        <v>272</v>
      </c>
      <c r="S1757" s="324">
        <f>IFERROR(VLOOKUP($G1757,'321買'!$A:$E,4,0),"'沒有資料'")</f>
        <v>696</v>
      </c>
      <c r="T1757" s="186">
        <f>IFERROR(VLOOKUP($G1757,基本資料!$A:$J,9,0),"無")</f>
        <v>23.5</v>
      </c>
      <c r="U1757" s="307">
        <f t="shared" si="301"/>
        <v>1.6785714285714286E-2</v>
      </c>
      <c r="V1757" s="94">
        <f>IFERROR(VLOOKUP($G1757,基本資料!$A:$J,10,0),"無")</f>
        <v>27.13</v>
      </c>
      <c r="W1757" s="366">
        <f>RTD("money.excel",,"6409","Price")</f>
        <v>1400</v>
      </c>
      <c r="X1757" s="66"/>
      <c r="Y1757" s="137">
        <f t="shared" si="302"/>
        <v>1400</v>
      </c>
      <c r="Z1757" s="3" t="e">
        <f t="shared" si="303"/>
        <v>#DIV/0!</v>
      </c>
      <c r="AA1757" s="340">
        <f>IFERROR(VLOOKUP($G1757,基本資料!$A:$M,11,0),"無")</f>
        <v>-25.53</v>
      </c>
      <c r="AB1757" s="389">
        <f>IFERROR(VLOOKUP($G1757,基本資料!$A:$M,12,0),"無")</f>
        <v>40.04</v>
      </c>
      <c r="AC1757" s="22" t="s">
        <v>45</v>
      </c>
      <c r="AF1757" s="33">
        <f t="shared" si="304"/>
        <v>0</v>
      </c>
      <c r="AG1757" s="117" t="s">
        <v>1440</v>
      </c>
      <c r="AH1757" s="66">
        <f t="shared" si="300"/>
        <v>2.2996766079770032</v>
      </c>
      <c r="AI1757" s="283">
        <f>RTD("money.excel",,$G1757,"PredictVolume")</f>
        <v>320</v>
      </c>
      <c r="AJ1757" s="391">
        <f>IFERROR(VLOOKUP($G1757,基本資料!$A:$M,13,0),"無")</f>
        <v>139.15</v>
      </c>
      <c r="AR1757" s="245" t="str">
        <f>INDEX(基本資料!N:N,MATCH($G1757,基本資料!A:A,0))</f>
        <v>低</v>
      </c>
    </row>
    <row r="1758" spans="1:44">
      <c r="A1758" s="343">
        <f>IFERROR(VLOOKUP($G1758,基本資料!$A:$J,3,0),"無")</f>
        <v>7.14</v>
      </c>
      <c r="B1758" s="79">
        <f>IFERROR(VLOOKUP($G1758,基本資料!$A:$J,4,0),"無")</f>
        <v>71</v>
      </c>
      <c r="C1758" s="79">
        <f>IFERROR(VLOOKUP($G1758,基本資料!$A:$J,5,0),"無")</f>
        <v>65</v>
      </c>
      <c r="D1758" s="79">
        <f>IFERROR(VLOOKUP($G1758,基本資料!$A:$J,6,0),"無")</f>
        <v>-9</v>
      </c>
      <c r="E1758" s="79">
        <f>IFERROR(VLOOKUP($G1758,基本資料!$A:$J,7,0),"無")</f>
        <v>19</v>
      </c>
      <c r="F1758" s="6">
        <f>IFERROR(VLOOKUP($G1758,基本資料!$A:$J,8,0),"無")</f>
        <v>16.79</v>
      </c>
      <c r="G1758" s="79">
        <v>6438</v>
      </c>
      <c r="H1758" s="8" t="s">
        <v>314</v>
      </c>
      <c r="I1758" s="22" t="s">
        <v>484</v>
      </c>
      <c r="J1758" s="8" t="str">
        <f>IFERROR(VLOOKUP($G1758,今日總結!$A:$AN,39,0),"")</f>
        <v>外</v>
      </c>
      <c r="K1758" s="5" t="str">
        <f>IFERROR(VLOOKUP($G1758,今日總結!$A:$AN,40,0),"")</f>
        <v>融</v>
      </c>
      <c r="L1758" s="156">
        <f>IFERROR(VLOOKUP($G1758,今日總結!$A:$AN,37,0),"")</f>
        <v>1</v>
      </c>
      <c r="M1758" s="337">
        <f>IFERROR(VLOOKUP($G1758,今日總結!$A:$AN,38,0),"")</f>
        <v>1</v>
      </c>
      <c r="N1758" s="240">
        <f t="shared" si="305"/>
        <v>0</v>
      </c>
      <c r="O1758" s="359">
        <f>IFERROR(VLOOKUP($G1758,融外自投!$A:$J,7,0),"無")</f>
        <v>124</v>
      </c>
      <c r="P1758" s="79">
        <f>IFERROR(VLOOKUP($G1758,融外自投!$A:$J,9,0),"無")</f>
        <v>487</v>
      </c>
      <c r="Q1758" s="342">
        <f>IFERROR(VLOOKUP($G1758,融外自投!$A:$J,8,0),"無")</f>
        <v>386</v>
      </c>
      <c r="R1758" s="81">
        <f>IFERROR(VLOOKUP($G1758,融外自投!$A:$J,10,0),"無")</f>
        <v>42</v>
      </c>
      <c r="S1758" s="324">
        <f>IFERROR(VLOOKUP($G1758,'321買'!$A:$E,4,0),"'沒有資料'")</f>
        <v>91</v>
      </c>
      <c r="T1758" s="186">
        <f>IFERROR(VLOOKUP($G1758,基本資料!$A:$J,9,0),"無")</f>
        <v>6.3</v>
      </c>
      <c r="U1758" s="307">
        <f t="shared" si="301"/>
        <v>5.8333333333333334E-2</v>
      </c>
      <c r="V1758" s="94">
        <f>IFERROR(VLOOKUP($G1758,基本資料!$A:$J,10,0),"無")</f>
        <v>10.15</v>
      </c>
      <c r="W1758" s="36">
        <f>RTD("money.excel",,"6438","Price")</f>
        <v>108</v>
      </c>
      <c r="X1758" s="66"/>
      <c r="Y1758" s="15">
        <f t="shared" si="302"/>
        <v>108</v>
      </c>
      <c r="Z1758" s="3" t="e">
        <f t="shared" si="303"/>
        <v>#DIV/0!</v>
      </c>
      <c r="AA1758" s="340">
        <f>IFERROR(VLOOKUP($G1758,基本資料!$A:$M,11,0),"無")</f>
        <v>-19.7</v>
      </c>
      <c r="AB1758" s="389">
        <f>IFERROR(VLOOKUP($G1758,基本資料!$A:$M,12,0),"無")</f>
        <v>17.309999999999999</v>
      </c>
      <c r="AC1758" s="22" t="s">
        <v>484</v>
      </c>
      <c r="AF1758" s="33">
        <f t="shared" si="304"/>
        <v>0</v>
      </c>
      <c r="AG1758" s="43" t="s">
        <v>2308</v>
      </c>
      <c r="AH1758" s="66">
        <f t="shared" si="300"/>
        <v>0.78376241103593713</v>
      </c>
      <c r="AI1758" s="283">
        <f>RTD("money.excel",,$G1758,"PredictVolume")</f>
        <v>446</v>
      </c>
      <c r="AJ1758" s="391">
        <f>IFERROR(VLOOKUP($G1758,基本資料!$A:$M,13,0),"無")</f>
        <v>569.04999999999995</v>
      </c>
      <c r="AR1758" s="245" t="str">
        <f>INDEX(基本資料!N:N,MATCH($G1758,基本資料!A:A,0))</f>
        <v>中</v>
      </c>
    </row>
    <row r="1759" spans="1:44">
      <c r="A1759" s="343">
        <f>IFERROR(VLOOKUP($G1759,基本資料!$A:$J,3,0),"無")</f>
        <v>2.5</v>
      </c>
      <c r="B1759" s="79">
        <f>IFERROR(VLOOKUP($G1759,基本資料!$A:$J,4,0),"無")</f>
        <v>-105</v>
      </c>
      <c r="C1759" s="79">
        <f>IFERROR(VLOOKUP($G1759,基本資料!$A:$J,5,0),"無")</f>
        <v>-60</v>
      </c>
      <c r="D1759" s="79">
        <f>IFERROR(VLOOKUP($G1759,基本資料!$A:$J,6,0),"無")</f>
        <v>26</v>
      </c>
      <c r="E1759" s="79">
        <f>IFERROR(VLOOKUP($G1759,基本資料!$A:$J,7,0),"無")</f>
        <v>151</v>
      </c>
      <c r="F1759" s="6">
        <f>IFERROR(VLOOKUP($G1759,基本資料!$A:$J,8,0),"無")</f>
        <v>-17.829999999999998</v>
      </c>
      <c r="G1759" s="79">
        <v>6512</v>
      </c>
      <c r="H1759" s="8" t="s">
        <v>314</v>
      </c>
      <c r="I1759" s="16" t="s">
        <v>485</v>
      </c>
      <c r="J1759" s="8" t="str">
        <f>IFERROR(VLOOKUP($G1759,今日總結!$A:$AN,39,0),"")</f>
        <v/>
      </c>
      <c r="K1759" s="5" t="str">
        <f>IFERROR(VLOOKUP($G1759,今日總結!$A:$AN,40,0),"")</f>
        <v/>
      </c>
      <c r="L1759" s="156" t="str">
        <f>IFERROR(VLOOKUP($G1759,今日總結!$A:$AN,37,0),"")</f>
        <v/>
      </c>
      <c r="M1759" s="337" t="str">
        <f>IFERROR(VLOOKUP($G1759,今日總結!$A:$AN,38,0),"")</f>
        <v/>
      </c>
      <c r="N1759" s="240" t="str">
        <f t="shared" si="305"/>
        <v/>
      </c>
      <c r="O1759" s="359" t="str">
        <f>IFERROR(VLOOKUP($G1759,融外自投!$A:$J,7,0),"無")</f>
        <v>無</v>
      </c>
      <c r="P1759" s="79" t="str">
        <f>IFERROR(VLOOKUP($G1759,融外自投!$A:$J,9,0),"無")</f>
        <v>無</v>
      </c>
      <c r="Q1759" s="342" t="str">
        <f>IFERROR(VLOOKUP($G1759,融外自投!$A:$J,8,0),"無")</f>
        <v>無</v>
      </c>
      <c r="R1759" s="81" t="str">
        <f>IFERROR(VLOOKUP($G1759,融外自投!$A:$J,10,0),"無")</f>
        <v>無</v>
      </c>
      <c r="S1759" s="324" t="str">
        <f>IFERROR(VLOOKUP($G1759,'321買'!$A:$E,4,0),"'沒有資料'")</f>
        <v>'沒有資料'</v>
      </c>
      <c r="T1759" s="186">
        <f>IFERROR(VLOOKUP($G1759,基本資料!$A:$J,9,0),"無")</f>
        <v>0</v>
      </c>
      <c r="U1759" s="307">
        <f t="shared" si="301"/>
        <v>0</v>
      </c>
      <c r="V1759" s="94">
        <f>IFERROR(VLOOKUP($G1759,基本資料!$A:$J,10,0),"無")</f>
        <v>-1.51</v>
      </c>
      <c r="W1759" s="36">
        <f>RTD("money.excel",,"6512","Price")</f>
        <v>17.5</v>
      </c>
      <c r="X1759" s="66"/>
      <c r="Y1759" s="15">
        <f t="shared" si="302"/>
        <v>17.5</v>
      </c>
      <c r="Z1759" s="3" t="e">
        <f t="shared" si="303"/>
        <v>#DIV/0!</v>
      </c>
      <c r="AA1759" s="340">
        <f>IFERROR(VLOOKUP($G1759,基本資料!$A:$M,11,0),"無")</f>
        <v>-16.670000000000002</v>
      </c>
      <c r="AB1759" s="389">
        <f>IFERROR(VLOOKUP($G1759,基本資料!$A:$M,12,0),"無")</f>
        <v>30.75</v>
      </c>
      <c r="AC1759" s="16" t="s">
        <v>485</v>
      </c>
      <c r="AF1759" s="33">
        <f t="shared" si="304"/>
        <v>0</v>
      </c>
      <c r="AG1759" s="43" t="s">
        <v>2528</v>
      </c>
      <c r="AH1759" s="66">
        <f t="shared" si="300"/>
        <v>1.3716814159292035</v>
      </c>
      <c r="AI1759" s="283">
        <f>RTD("money.excel",,$G1759,"PredictVolume")</f>
        <v>31</v>
      </c>
      <c r="AJ1759" s="391">
        <f>IFERROR(VLOOKUP($G1759,基本資料!$A:$M,13,0),"無")</f>
        <v>22.6</v>
      </c>
      <c r="AR1759" s="245" t="str">
        <f>INDEX(基本資料!N:N,MATCH($G1759,基本資料!A:A,0))</f>
        <v>中</v>
      </c>
    </row>
    <row r="1760" spans="1:44">
      <c r="A1760" s="343">
        <f>IFERROR(VLOOKUP($G1760,基本資料!$A:$J,3,0),"無")</f>
        <v>9.3699999999999992</v>
      </c>
      <c r="B1760" s="79">
        <f>IFERROR(VLOOKUP($G1760,基本資料!$A:$J,4,0),"無")</f>
        <v>-94</v>
      </c>
      <c r="C1760" s="79">
        <f>IFERROR(VLOOKUP($G1760,基本資料!$A:$J,5,0),"無")</f>
        <v>-71</v>
      </c>
      <c r="D1760" s="79">
        <f>IFERROR(VLOOKUP($G1760,基本資料!$A:$J,6,0),"無")</f>
        <v>-80</v>
      </c>
      <c r="E1760" s="79">
        <f>IFERROR(VLOOKUP($G1760,基本資料!$A:$J,7,0),"無")</f>
        <v>-88</v>
      </c>
      <c r="F1760" s="6">
        <f>IFERROR(VLOOKUP($G1760,基本資料!$A:$J,8,0),"無")</f>
        <v>1.72</v>
      </c>
      <c r="G1760" s="79">
        <v>6558</v>
      </c>
      <c r="H1760" s="8" t="s">
        <v>314</v>
      </c>
      <c r="I1760" s="22" t="s">
        <v>1064</v>
      </c>
      <c r="J1760" s="8">
        <f>IFERROR(VLOOKUP($G1760,今日總結!$A:$AN,39,0),"")</f>
        <v>0</v>
      </c>
      <c r="K1760" s="5">
        <f>IFERROR(VLOOKUP($G1760,今日總結!$A:$AN,40,0),"")</f>
        <v>0</v>
      </c>
      <c r="L1760" s="156">
        <f>IFERROR(VLOOKUP($G1760,今日總結!$A:$AN,37,0),"")</f>
        <v>0</v>
      </c>
      <c r="M1760" s="337">
        <f>IFERROR(VLOOKUP($G1760,今日總結!$A:$AN,38,0),"")</f>
        <v>0</v>
      </c>
      <c r="N1760" s="240">
        <f t="shared" si="305"/>
        <v>0</v>
      </c>
      <c r="O1760" s="359">
        <f>IFERROR(VLOOKUP($G1760,融外自投!$A:$J,7,0),"無")</f>
        <v>467</v>
      </c>
      <c r="P1760" s="79">
        <f>IFERROR(VLOOKUP($G1760,融外自投!$A:$J,9,0),"無")</f>
        <v>1051</v>
      </c>
      <c r="Q1760" s="342">
        <f>IFERROR(VLOOKUP($G1760,融外自投!$A:$J,8,0),"無")</f>
        <v>1039</v>
      </c>
      <c r="R1760" s="81" t="str">
        <f>IFERROR(VLOOKUP($G1760,融外自投!$A:$J,10,0),"無")</f>
        <v>無</v>
      </c>
      <c r="S1760" s="324">
        <f>IFERROR(VLOOKUP($G1760,'321買'!$A:$E,4,0),"'沒有資料'")</f>
        <v>891</v>
      </c>
      <c r="T1760" s="186">
        <f>IFERROR(VLOOKUP($G1760,基本資料!$A:$J,9,0),"無")</f>
        <v>0</v>
      </c>
      <c r="U1760" s="307">
        <f t="shared" si="301"/>
        <v>0</v>
      </c>
      <c r="V1760" s="94">
        <f>IFERROR(VLOOKUP($G1760,基本資料!$A:$J,10,0),"無")</f>
        <v>0.04</v>
      </c>
      <c r="W1760" s="36">
        <f>RTD("money.excel",,"6558","Price")</f>
        <v>22.65</v>
      </c>
      <c r="X1760" s="66"/>
      <c r="Y1760" s="15">
        <f t="shared" si="302"/>
        <v>22.65</v>
      </c>
      <c r="Z1760" s="3" t="e">
        <f t="shared" si="303"/>
        <v>#DIV/0!</v>
      </c>
      <c r="AA1760" s="340">
        <f>IFERROR(VLOOKUP($G1760,基本資料!$A:$M,11,0),"無")</f>
        <v>-48.11</v>
      </c>
      <c r="AB1760" s="389">
        <f>IFERROR(VLOOKUP($G1760,基本資料!$A:$M,12,0),"無")</f>
        <v>9.73</v>
      </c>
      <c r="AC1760" s="22" t="s">
        <v>1064</v>
      </c>
      <c r="AF1760" s="33">
        <f t="shared" si="304"/>
        <v>0</v>
      </c>
      <c r="AG1760" s="43" t="s">
        <v>1972</v>
      </c>
      <c r="AH1760" s="66">
        <f t="shared" si="300"/>
        <v>0.77618688771665423</v>
      </c>
      <c r="AI1760" s="283">
        <f>RTD("money.excel",,$G1760,"PredictVolume")</f>
        <v>103</v>
      </c>
      <c r="AJ1760" s="391">
        <f>IFERROR(VLOOKUP($G1760,基本資料!$A:$M,13,0),"無")</f>
        <v>132.69999999999999</v>
      </c>
      <c r="AR1760" s="245" t="str">
        <f>INDEX(基本資料!N:N,MATCH($G1760,基本資料!A:A,0))</f>
        <v>低</v>
      </c>
    </row>
    <row r="1761" spans="1:44">
      <c r="A1761" s="343">
        <f>IFERROR(VLOOKUP($G1761,基本資料!$A:$J,3,0),"無")</f>
        <v>3.39</v>
      </c>
      <c r="B1761" s="79">
        <f>IFERROR(VLOOKUP($G1761,基本資料!$A:$J,4,0),"無")</f>
        <v>53</v>
      </c>
      <c r="C1761" s="79">
        <f>IFERROR(VLOOKUP($G1761,基本資料!$A:$J,5,0),"無")</f>
        <v>42</v>
      </c>
      <c r="D1761" s="79">
        <f>IFERROR(VLOOKUP($G1761,基本資料!$A:$J,6,0),"無")</f>
        <v>-39</v>
      </c>
      <c r="E1761" s="79">
        <f>IFERROR(VLOOKUP($G1761,基本資料!$A:$J,7,0),"無")</f>
        <v>0</v>
      </c>
      <c r="F1761" s="6">
        <f>IFERROR(VLOOKUP($G1761,基本資料!$A:$J,8,0),"無")</f>
        <v>13.49</v>
      </c>
      <c r="G1761" s="79">
        <v>6613</v>
      </c>
      <c r="H1761" s="8" t="s">
        <v>314</v>
      </c>
      <c r="I1761" s="16" t="s">
        <v>486</v>
      </c>
      <c r="J1761" s="8">
        <f>IFERROR(VLOOKUP($G1761,今日總結!$A:$AN,39,0),"")</f>
        <v>0</v>
      </c>
      <c r="K1761" s="5">
        <f>IFERROR(VLOOKUP($G1761,今日總結!$A:$AN,40,0),"")</f>
        <v>0</v>
      </c>
      <c r="L1761" s="156">
        <f>IFERROR(VLOOKUP($G1761,今日總結!$A:$AN,37,0),"")</f>
        <v>0</v>
      </c>
      <c r="M1761" s="337">
        <f>IFERROR(VLOOKUP($G1761,今日總結!$A:$AN,38,0),"")</f>
        <v>0</v>
      </c>
      <c r="N1761" s="240">
        <f t="shared" si="305"/>
        <v>0</v>
      </c>
      <c r="O1761" s="359">
        <f>IFERROR(VLOOKUP($G1761,融外自投!$A:$J,7,0),"無")</f>
        <v>1171</v>
      </c>
      <c r="P1761" s="79">
        <f>IFERROR(VLOOKUP($G1761,融外自投!$A:$J,9,0),"無")</f>
        <v>487</v>
      </c>
      <c r="Q1761" s="342">
        <f>IFERROR(VLOOKUP($G1761,融外自投!$A:$J,8,0),"無")</f>
        <v>1061</v>
      </c>
      <c r="R1761" s="81">
        <f>IFERROR(VLOOKUP($G1761,融外自投!$A:$J,10,0),"無")</f>
        <v>413</v>
      </c>
      <c r="S1761" s="324">
        <f>IFERROR(VLOOKUP($G1761,'321買'!$A:$E,4,0),"'沒有資料'")</f>
        <v>1002</v>
      </c>
      <c r="T1761" s="186">
        <f>IFERROR(VLOOKUP($G1761,基本資料!$A:$J,9,0),"無")</f>
        <v>12</v>
      </c>
      <c r="U1761" s="307">
        <f t="shared" si="301"/>
        <v>7.3394495412844041E-2</v>
      </c>
      <c r="V1761" s="94">
        <f>IFERROR(VLOOKUP($G1761,基本資料!$A:$J,10,0),"無")</f>
        <v>16.75</v>
      </c>
      <c r="W1761" s="36">
        <f>RTD("money.excel",,"6613","Price")</f>
        <v>163.5</v>
      </c>
      <c r="X1761" s="66"/>
      <c r="Y1761" s="15">
        <f t="shared" si="302"/>
        <v>163.5</v>
      </c>
      <c r="Z1761" s="3" t="e">
        <f t="shared" si="303"/>
        <v>#DIV/0!</v>
      </c>
      <c r="AA1761" s="340">
        <f>IFERROR(VLOOKUP($G1761,基本資料!$A:$M,11,0),"無")</f>
        <v>-9.17</v>
      </c>
      <c r="AB1761" s="389">
        <f>IFERROR(VLOOKUP($G1761,基本資料!$A:$M,12,0),"無")</f>
        <v>37.67</v>
      </c>
      <c r="AC1761" s="16" t="s">
        <v>486</v>
      </c>
      <c r="AF1761" s="33">
        <f t="shared" si="304"/>
        <v>0</v>
      </c>
      <c r="AG1761" s="43" t="s">
        <v>1747</v>
      </c>
      <c r="AH1761" s="66">
        <f t="shared" si="300"/>
        <v>0.4148148148148148</v>
      </c>
      <c r="AI1761" s="283">
        <f>RTD("money.excel",,$G1761,"PredictVolume")</f>
        <v>14</v>
      </c>
      <c r="AJ1761" s="391">
        <f>IFERROR(VLOOKUP($G1761,基本資料!$A:$M,13,0),"無")</f>
        <v>33.75</v>
      </c>
      <c r="AR1761" s="245" t="str">
        <f>INDEX(基本資料!N:N,MATCH($G1761,基本資料!A:A,0))</f>
        <v>中</v>
      </c>
    </row>
    <row r="1762" spans="1:44">
      <c r="A1762" s="343">
        <f>IFERROR(VLOOKUP($G1762,基本資料!$A:$J,3,0),"無")</f>
        <v>3.32</v>
      </c>
      <c r="B1762" s="79">
        <f>IFERROR(VLOOKUP($G1762,基本資料!$A:$J,4,0),"無")</f>
        <v>239</v>
      </c>
      <c r="C1762" s="79">
        <f>IFERROR(VLOOKUP($G1762,基本資料!$A:$J,5,0),"無")</f>
        <v>284</v>
      </c>
      <c r="D1762" s="79">
        <f>IFERROR(VLOOKUP($G1762,基本資料!$A:$J,6,0),"無")</f>
        <v>36</v>
      </c>
      <c r="E1762" s="79">
        <f>IFERROR(VLOOKUP($G1762,基本資料!$A:$J,7,0),"無")</f>
        <v>-40</v>
      </c>
      <c r="F1762" s="6">
        <f>IFERROR(VLOOKUP($G1762,基本資料!$A:$J,8,0),"無")</f>
        <v>25.2</v>
      </c>
      <c r="G1762" s="79">
        <v>6654</v>
      </c>
      <c r="H1762" s="8" t="s">
        <v>314</v>
      </c>
      <c r="I1762" s="16" t="s">
        <v>1072</v>
      </c>
      <c r="J1762" s="8">
        <f>IFERROR(VLOOKUP($G1762,今日總結!$A:$AN,39,0),"")</f>
        <v>0</v>
      </c>
      <c r="K1762" s="5" t="str">
        <f>IFERROR(VLOOKUP($G1762,今日總結!$A:$AN,40,0),"")</f>
        <v>外</v>
      </c>
      <c r="L1762" s="156">
        <f>IFERROR(VLOOKUP($G1762,今日總結!$A:$AN,37,0),"")</f>
        <v>0</v>
      </c>
      <c r="M1762" s="337">
        <f>IFERROR(VLOOKUP($G1762,今日總結!$A:$AN,38,0),"")</f>
        <v>4</v>
      </c>
      <c r="N1762" s="240">
        <f t="shared" si="305"/>
        <v>-4</v>
      </c>
      <c r="O1762" s="359">
        <f>IFERROR(VLOOKUP($G1762,融外自投!$A:$J,7,0),"無")</f>
        <v>560</v>
      </c>
      <c r="P1762" s="79">
        <f>IFERROR(VLOOKUP($G1762,融外自投!$A:$J,9,0),"無")</f>
        <v>825</v>
      </c>
      <c r="Q1762" s="342">
        <f>IFERROR(VLOOKUP($G1762,融外自投!$A:$J,8,0),"無")</f>
        <v>1195</v>
      </c>
      <c r="R1762" s="81" t="str">
        <f>IFERROR(VLOOKUP($G1762,融外自投!$A:$J,10,0),"無")</f>
        <v>無</v>
      </c>
      <c r="S1762" s="324">
        <f>IFERROR(VLOOKUP($G1762,'321買'!$A:$E,4,0),"'沒有資料'")</f>
        <v>696</v>
      </c>
      <c r="T1762" s="186">
        <f>IFERROR(VLOOKUP($G1762,基本資料!$A:$J,9,0),"無")</f>
        <v>4.5</v>
      </c>
      <c r="U1762" s="307">
        <f t="shared" si="301"/>
        <v>7.6660988074957401E-2</v>
      </c>
      <c r="V1762" s="94">
        <f>IFERROR(VLOOKUP($G1762,基本資料!$A:$J,10,0),"無")</f>
        <v>6.26</v>
      </c>
      <c r="W1762" s="36">
        <f>RTD("money.excel",,"6654","Price")</f>
        <v>58.7</v>
      </c>
      <c r="X1762" s="66"/>
      <c r="Y1762" s="15">
        <f t="shared" si="302"/>
        <v>58.7</v>
      </c>
      <c r="Z1762" s="3" t="e">
        <f t="shared" si="303"/>
        <v>#DIV/0!</v>
      </c>
      <c r="AA1762" s="340">
        <f>IFERROR(VLOOKUP($G1762,基本資料!$A:$M,11,0),"無")</f>
        <v>-48.05</v>
      </c>
      <c r="AB1762" s="389">
        <f>IFERROR(VLOOKUP($G1762,基本資料!$A:$M,12,0),"無")</f>
        <v>6.92</v>
      </c>
      <c r="AC1762" s="16" t="s">
        <v>1072</v>
      </c>
      <c r="AF1762" s="33">
        <f t="shared" si="304"/>
        <v>0</v>
      </c>
      <c r="AG1762" s="43" t="s">
        <v>2198</v>
      </c>
      <c r="AH1762" s="66">
        <f t="shared" si="300"/>
        <v>0.51383399209486169</v>
      </c>
      <c r="AI1762" s="283">
        <f>RTD("money.excel",,$G1762,"PredictVolume")</f>
        <v>13</v>
      </c>
      <c r="AJ1762" s="391">
        <f>IFERROR(VLOOKUP($G1762,基本資料!$A:$M,13,0),"無")</f>
        <v>25.3</v>
      </c>
      <c r="AR1762" s="245" t="str">
        <f>INDEX(基本資料!N:N,MATCH($G1762,基本資料!A:A,0))</f>
        <v>低</v>
      </c>
    </row>
    <row r="1763" spans="1:44">
      <c r="A1763" s="343">
        <f>IFERROR(VLOOKUP($G1763,基本資料!$A:$J,3,0),"無")</f>
        <v>3.97</v>
      </c>
      <c r="B1763" s="79">
        <f>IFERROR(VLOOKUP($G1763,基本資料!$A:$J,4,0),"無")</f>
        <v>76</v>
      </c>
      <c r="C1763" s="79">
        <f>IFERROR(VLOOKUP($G1763,基本資料!$A:$J,5,0),"無")</f>
        <v>197</v>
      </c>
      <c r="D1763" s="79">
        <f>IFERROR(VLOOKUP($G1763,基本資料!$A:$J,6,0),"無")</f>
        <v>-18</v>
      </c>
      <c r="E1763" s="79">
        <f>IFERROR(VLOOKUP($G1763,基本資料!$A:$J,7,0),"無")</f>
        <v>47</v>
      </c>
      <c r="F1763" s="6">
        <f>IFERROR(VLOOKUP($G1763,基本資料!$A:$J,8,0),"無")</f>
        <v>8.65</v>
      </c>
      <c r="G1763" s="79">
        <v>6667</v>
      </c>
      <c r="H1763" s="8" t="s">
        <v>314</v>
      </c>
      <c r="I1763" s="16" t="s">
        <v>1073</v>
      </c>
      <c r="J1763" s="8">
        <f>IFERROR(VLOOKUP($G1763,今日總結!$A:$AN,39,0),"")</f>
        <v>0</v>
      </c>
      <c r="K1763" s="5">
        <f>IFERROR(VLOOKUP($G1763,今日總結!$A:$AN,40,0),"")</f>
        <v>0</v>
      </c>
      <c r="L1763" s="156">
        <f>IFERROR(VLOOKUP($G1763,今日總結!$A:$AN,37,0),"")</f>
        <v>0</v>
      </c>
      <c r="M1763" s="337">
        <f>IFERROR(VLOOKUP($G1763,今日總結!$A:$AN,38,0),"")</f>
        <v>0</v>
      </c>
      <c r="N1763" s="240">
        <f t="shared" si="305"/>
        <v>0</v>
      </c>
      <c r="O1763" s="359">
        <f>IFERROR(VLOOKUP($G1763,融外自投!$A:$J,7,0),"無")</f>
        <v>107</v>
      </c>
      <c r="P1763" s="79">
        <f>IFERROR(VLOOKUP($G1763,融外自投!$A:$J,9,0),"無")</f>
        <v>487</v>
      </c>
      <c r="Q1763" s="342">
        <f>IFERROR(VLOOKUP($G1763,融外自投!$A:$J,8,0),"無")</f>
        <v>887</v>
      </c>
      <c r="R1763" s="81">
        <f>IFERROR(VLOOKUP($G1763,融外自投!$A:$J,10,0),"無")</f>
        <v>262</v>
      </c>
      <c r="S1763" s="324">
        <f>IFERROR(VLOOKUP($G1763,'321買'!$A:$E,4,0),"'沒有資料'")</f>
        <v>300</v>
      </c>
      <c r="T1763" s="186">
        <f>IFERROR(VLOOKUP($G1763,基本資料!$A:$J,9,0),"無")</f>
        <v>2.94</v>
      </c>
      <c r="U1763" s="307">
        <f t="shared" si="301"/>
        <v>3.8684210526315786E-2</v>
      </c>
      <c r="V1763" s="94">
        <f>IFERROR(VLOOKUP($G1763,基本資料!$A:$J,10,0),"無")</f>
        <v>3.27</v>
      </c>
      <c r="W1763" s="36">
        <f>RTD("money.excel",,"6667","Price")</f>
        <v>76</v>
      </c>
      <c r="X1763" s="66"/>
      <c r="Y1763" s="15">
        <f t="shared" si="302"/>
        <v>76</v>
      </c>
      <c r="Z1763" s="3" t="e">
        <f t="shared" si="303"/>
        <v>#DIV/0!</v>
      </c>
      <c r="AA1763" s="340">
        <f>IFERROR(VLOOKUP($G1763,基本資料!$A:$M,11,0),"無")</f>
        <v>-24</v>
      </c>
      <c r="AB1763" s="389">
        <f>IFERROR(VLOOKUP($G1763,基本資料!$A:$M,12,0),"無")</f>
        <v>18.22</v>
      </c>
      <c r="AC1763" s="16" t="s">
        <v>1073</v>
      </c>
      <c r="AF1763" s="33">
        <f t="shared" si="304"/>
        <v>0</v>
      </c>
      <c r="AG1763" s="43" t="s">
        <v>2529</v>
      </c>
      <c r="AH1763" s="66">
        <f t="shared" si="300"/>
        <v>1.0486128785950624</v>
      </c>
      <c r="AI1763" s="283">
        <f>RTD("money.excel",,$G1763,"PredictVolume")</f>
        <v>206</v>
      </c>
      <c r="AJ1763" s="391">
        <f>IFERROR(VLOOKUP($G1763,基本資料!$A:$M,13,0),"無")</f>
        <v>196.45</v>
      </c>
      <c r="AR1763" s="245" t="str">
        <f>INDEX(基本資料!N:N,MATCH($G1763,基本資料!A:A,0))</f>
        <v>中</v>
      </c>
    </row>
    <row r="1764" spans="1:44">
      <c r="A1764" s="343" t="str">
        <f>IFERROR(VLOOKUP($G1764,基本資料!$A:$J,3,0),"無")</f>
        <v>無</v>
      </c>
      <c r="B1764" s="79" t="str">
        <f>IFERROR(VLOOKUP($G1764,基本資料!$A:$J,4,0),"無")</f>
        <v>無</v>
      </c>
      <c r="C1764" s="79" t="str">
        <f>IFERROR(VLOOKUP($G1764,基本資料!$A:$J,5,0),"無")</f>
        <v>無</v>
      </c>
      <c r="D1764" s="79" t="str">
        <f>IFERROR(VLOOKUP($G1764,基本資料!$A:$J,6,0),"無")</f>
        <v>無</v>
      </c>
      <c r="E1764" s="79" t="str">
        <f>IFERROR(VLOOKUP($G1764,基本資料!$A:$J,7,0),"無")</f>
        <v>無</v>
      </c>
      <c r="F1764" s="6" t="str">
        <f>IFERROR(VLOOKUP($G1764,基本資料!$A:$J,8,0),"無")</f>
        <v>無</v>
      </c>
      <c r="G1764" s="79">
        <v>6691</v>
      </c>
      <c r="H1764" s="8" t="s">
        <v>314</v>
      </c>
      <c r="I1764" s="22" t="s">
        <v>3569</v>
      </c>
      <c r="J1764" s="8" t="str">
        <f>IFERROR(VLOOKUP($G1764,今日總結!$A:$AN,39,0),"")</f>
        <v/>
      </c>
      <c r="K1764" s="5" t="str">
        <f>IFERROR(VLOOKUP($G1764,今日總結!$A:$AN,40,0),"")</f>
        <v/>
      </c>
      <c r="L1764" s="156" t="str">
        <f>IFERROR(VLOOKUP($G1764,今日總結!$A:$AN,37,0),"")</f>
        <v/>
      </c>
      <c r="M1764" s="337" t="str">
        <f>IFERROR(VLOOKUP($G1764,今日總結!$A:$AN,38,0),"")</f>
        <v/>
      </c>
      <c r="N1764" s="240" t="str">
        <f t="shared" si="305"/>
        <v/>
      </c>
      <c r="O1764" s="359" t="str">
        <f>IFERROR(VLOOKUP($G1764,融外自投!$A:$J,7,0),"無")</f>
        <v>無</v>
      </c>
      <c r="P1764" s="79" t="str">
        <f>IFERROR(VLOOKUP($G1764,融外自投!$A:$J,9,0),"無")</f>
        <v>無</v>
      </c>
      <c r="Q1764" s="342" t="str">
        <f>IFERROR(VLOOKUP($G1764,融外自投!$A:$J,8,0),"無")</f>
        <v>無</v>
      </c>
      <c r="R1764" s="81" t="str">
        <f>IFERROR(VLOOKUP($G1764,融外自投!$A:$J,10,0),"無")</f>
        <v>無</v>
      </c>
      <c r="S1764" s="324" t="str">
        <f>IFERROR(VLOOKUP($G1764,'321買'!$A:$E,4,0),"'沒有資料'")</f>
        <v>'沒有資料'</v>
      </c>
      <c r="T1764" s="186" t="str">
        <f>IFERROR(VLOOKUP($G1764,基本資料!$A:$J,9,0),"無")</f>
        <v>無</v>
      </c>
      <c r="U1764" s="307" t="e">
        <f t="shared" si="301"/>
        <v>#VALUE!</v>
      </c>
      <c r="V1764" s="94" t="str">
        <f>IFERROR(VLOOKUP($G1764,基本資料!$A:$J,10,0),"無")</f>
        <v>無</v>
      </c>
      <c r="W1764" s="36">
        <f>RTD("money.excel",,"6691","Price")</f>
        <v>178.5</v>
      </c>
      <c r="X1764" s="66"/>
      <c r="Y1764" s="15">
        <f t="shared" si="302"/>
        <v>178.5</v>
      </c>
      <c r="Z1764" s="3" t="e">
        <f t="shared" si="303"/>
        <v>#DIV/0!</v>
      </c>
      <c r="AA1764" s="340" t="str">
        <f>IFERROR(VLOOKUP($G1764,基本資料!$A:$M,11,0),"無")</f>
        <v>無</v>
      </c>
      <c r="AB1764" s="389" t="str">
        <f>IFERROR(VLOOKUP($G1764,基本資料!$A:$M,12,0),"無")</f>
        <v>無</v>
      </c>
      <c r="AC1764" s="22" t="s">
        <v>3569</v>
      </c>
      <c r="AF1764" s="33">
        <f t="shared" si="304"/>
        <v>0</v>
      </c>
      <c r="AG1764" s="43" t="s">
        <v>3570</v>
      </c>
      <c r="AH1764" s="66" t="e">
        <f t="shared" si="300"/>
        <v>#VALUE!</v>
      </c>
      <c r="AI1764" s="283">
        <f>RTD("money.excel",,$G1764,"PredictVolume")</f>
        <v>26</v>
      </c>
      <c r="AJ1764" s="391" t="str">
        <f>IFERROR(VLOOKUP($G1764,基本資料!$A:$M,13,0),"無")</f>
        <v>無</v>
      </c>
      <c r="AR1764" s="245" t="e">
        <f>INDEX(基本資料!N:N,MATCH($G1764,基本資料!A:A,0))</f>
        <v>#N/A</v>
      </c>
    </row>
    <row r="1765" spans="1:44">
      <c r="A1765" s="343">
        <f>IFERROR(VLOOKUP($G1765,基本資料!$A:$J,3,0),"無")</f>
        <v>6.63</v>
      </c>
      <c r="B1765" s="79">
        <f>IFERROR(VLOOKUP($G1765,基本資料!$A:$J,4,0),"無")</f>
        <v>170</v>
      </c>
      <c r="C1765" s="79">
        <f>IFERROR(VLOOKUP($G1765,基本資料!$A:$J,5,0),"無")</f>
        <v>50</v>
      </c>
      <c r="D1765" s="79">
        <f>IFERROR(VLOOKUP($G1765,基本資料!$A:$J,6,0),"無")</f>
        <v>-13</v>
      </c>
      <c r="E1765" s="79">
        <f>IFERROR(VLOOKUP($G1765,基本資料!$A:$J,7,0),"無")</f>
        <v>55</v>
      </c>
      <c r="F1765" s="6">
        <f>IFERROR(VLOOKUP($G1765,基本資料!$A:$J,8,0),"無")</f>
        <v>7.44</v>
      </c>
      <c r="G1765" s="79">
        <v>6698</v>
      </c>
      <c r="H1765" s="8" t="s">
        <v>314</v>
      </c>
      <c r="I1765" s="22" t="s">
        <v>1774</v>
      </c>
      <c r="J1765" s="8">
        <f>IFERROR(VLOOKUP($G1765,今日總結!$A:$AN,39,0),"")</f>
        <v>0</v>
      </c>
      <c r="K1765" s="5" t="str">
        <f>IFERROR(VLOOKUP($G1765,今日總結!$A:$AN,40,0),"")</f>
        <v>融</v>
      </c>
      <c r="L1765" s="156">
        <f>IFERROR(VLOOKUP($G1765,今日總結!$A:$AN,37,0),"")</f>
        <v>0</v>
      </c>
      <c r="M1765" s="337">
        <f>IFERROR(VLOOKUP($G1765,今日總結!$A:$AN,38,0),"")</f>
        <v>2</v>
      </c>
      <c r="N1765" s="240">
        <f t="shared" si="305"/>
        <v>-2</v>
      </c>
      <c r="O1765" s="359">
        <f>IFERROR(VLOOKUP($G1765,融外自投!$A:$J,7,0),"無")</f>
        <v>510</v>
      </c>
      <c r="P1765" s="79">
        <f>IFERROR(VLOOKUP($G1765,融外自投!$A:$J,9,0),"無")</f>
        <v>990</v>
      </c>
      <c r="Q1765" s="342">
        <f>IFERROR(VLOOKUP($G1765,融外自投!$A:$J,8,0),"無")</f>
        <v>1087</v>
      </c>
      <c r="R1765" s="81">
        <f>IFERROR(VLOOKUP($G1765,融外自投!$A:$J,10,0),"無")</f>
        <v>166</v>
      </c>
      <c r="S1765" s="324">
        <f>IFERROR(VLOOKUP($G1765,'321買'!$A:$E,4,0),"'沒有資料'")</f>
        <v>497</v>
      </c>
      <c r="T1765" s="186">
        <f>IFERROR(VLOOKUP($G1765,基本資料!$A:$J,9,0),"無")</f>
        <v>0</v>
      </c>
      <c r="U1765" s="307">
        <f t="shared" si="301"/>
        <v>0</v>
      </c>
      <c r="V1765" s="94">
        <f>IFERROR(VLOOKUP($G1765,基本資料!$A:$J,10,0),"無")</f>
        <v>0.39</v>
      </c>
      <c r="W1765" s="36">
        <f>RTD("money.excel",,"6698","Price")</f>
        <v>36.049999999999997</v>
      </c>
      <c r="X1765" s="66"/>
      <c r="Y1765" s="15">
        <f t="shared" si="302"/>
        <v>36.049999999999997</v>
      </c>
      <c r="Z1765" s="3" t="e">
        <f t="shared" si="303"/>
        <v>#DIV/0!</v>
      </c>
      <c r="AA1765" s="340">
        <f>IFERROR(VLOOKUP($G1765,基本資料!$A:$M,11,0),"無")</f>
        <v>-42.78</v>
      </c>
      <c r="AB1765" s="389">
        <f>IFERROR(VLOOKUP($G1765,基本資料!$A:$M,12,0),"無")</f>
        <v>11.17</v>
      </c>
      <c r="AC1765" s="22" t="s">
        <v>1774</v>
      </c>
      <c r="AF1765" s="33">
        <f t="shared" si="304"/>
        <v>0</v>
      </c>
      <c r="AG1765" s="43" t="s">
        <v>2333</v>
      </c>
      <c r="AH1765" s="66">
        <f t="shared" si="300"/>
        <v>0.51223241590214064</v>
      </c>
      <c r="AI1765" s="283">
        <f>RTD("money.excel",,$G1765,"PredictVolume")</f>
        <v>67</v>
      </c>
      <c r="AJ1765" s="391">
        <f>IFERROR(VLOOKUP($G1765,基本資料!$A:$M,13,0),"無")</f>
        <v>130.80000000000001</v>
      </c>
      <c r="AR1765" s="245" t="str">
        <f>INDEX(基本資料!N:N,MATCH($G1765,基本資料!A:A,0))</f>
        <v>低</v>
      </c>
    </row>
    <row r="1766" spans="1:44">
      <c r="A1766" s="343" t="str">
        <f>IFERROR(VLOOKUP($G1766,基本資料!$A:$J,3,0),"無")</f>
        <v>無</v>
      </c>
      <c r="B1766" s="79" t="str">
        <f>IFERROR(VLOOKUP($G1766,基本資料!$A:$J,4,0),"無")</f>
        <v>無</v>
      </c>
      <c r="C1766" s="79" t="str">
        <f>IFERROR(VLOOKUP($G1766,基本資料!$A:$J,5,0),"無")</f>
        <v>無</v>
      </c>
      <c r="D1766" s="79" t="str">
        <f>IFERROR(VLOOKUP($G1766,基本資料!$A:$J,6,0),"無")</f>
        <v>無</v>
      </c>
      <c r="E1766" s="79" t="str">
        <f>IFERROR(VLOOKUP($G1766,基本資料!$A:$J,7,0),"無")</f>
        <v>無</v>
      </c>
      <c r="F1766" s="6" t="str">
        <f>IFERROR(VLOOKUP($G1766,基本資料!$A:$J,8,0),"無")</f>
        <v>無</v>
      </c>
      <c r="G1766" s="79">
        <v>6735</v>
      </c>
      <c r="H1766" s="8" t="s">
        <v>314</v>
      </c>
      <c r="I1766" s="16" t="s">
        <v>6218</v>
      </c>
      <c r="J1766" s="8" t="str">
        <f>IFERROR(VLOOKUP($G1766,今日總結!$A:$AN,39,0),"")</f>
        <v/>
      </c>
      <c r="K1766" s="5" t="str">
        <f>IFERROR(VLOOKUP($G1766,今日總結!$A:$AN,40,0),"")</f>
        <v/>
      </c>
      <c r="L1766" s="156" t="str">
        <f>IFERROR(VLOOKUP($G1766,今日總結!$A:$AN,37,0),"")</f>
        <v/>
      </c>
      <c r="M1766" s="337" t="str">
        <f>IFERROR(VLOOKUP($G1766,今日總結!$A:$AN,38,0),"")</f>
        <v/>
      </c>
      <c r="N1766" s="240" t="str">
        <f t="shared" si="305"/>
        <v/>
      </c>
      <c r="O1766" s="359" t="str">
        <f>IFERROR(VLOOKUP($G1766,融外自投!$A:$J,7,0),"無")</f>
        <v>無</v>
      </c>
      <c r="P1766" s="79" t="str">
        <f>IFERROR(VLOOKUP($G1766,融外自投!$A:$J,9,0),"無")</f>
        <v>無</v>
      </c>
      <c r="Q1766" s="342" t="str">
        <f>IFERROR(VLOOKUP($G1766,融外自投!$A:$J,8,0),"無")</f>
        <v>無</v>
      </c>
      <c r="R1766" s="81" t="str">
        <f>IFERROR(VLOOKUP($G1766,融外自投!$A:$J,10,0),"無")</f>
        <v>無</v>
      </c>
      <c r="S1766" s="324" t="str">
        <f>IFERROR(VLOOKUP($G1766,'321買'!$A:$E,4,0),"'沒有資料'")</f>
        <v>'沒有資料'</v>
      </c>
      <c r="T1766" s="186" t="str">
        <f>IFERROR(VLOOKUP($G1766,基本資料!$A:$J,9,0),"無")</f>
        <v>無</v>
      </c>
      <c r="U1766" s="307" t="e">
        <f t="shared" si="301"/>
        <v>#VALUE!</v>
      </c>
      <c r="V1766" s="94" t="str">
        <f>IFERROR(VLOOKUP($G1766,基本資料!$A:$J,10,0),"無")</f>
        <v>無</v>
      </c>
      <c r="W1766" s="36">
        <f>RTD("money.excel",,"6735","Price")</f>
        <v>84.3</v>
      </c>
      <c r="X1766" s="66"/>
      <c r="Y1766" s="15">
        <f t="shared" ref="Y1766" si="306">W1766-X1766</f>
        <v>84.3</v>
      </c>
      <c r="Z1766" s="3" t="e">
        <f t="shared" ref="Z1766" si="307">Y1766/X1766</f>
        <v>#DIV/0!</v>
      </c>
      <c r="AA1766" s="340" t="str">
        <f>IFERROR(VLOOKUP($G1766,基本資料!$A:$M,11,0),"無")</f>
        <v>無</v>
      </c>
      <c r="AB1766" s="389" t="str">
        <f>IFERROR(VLOOKUP($G1766,基本資料!$A:$M,12,0),"無")</f>
        <v>無</v>
      </c>
      <c r="AC1766" s="16" t="s">
        <v>6218</v>
      </c>
      <c r="AF1766" s="33">
        <f t="shared" ref="AF1766" si="308">AE1766-AD1766</f>
        <v>0</v>
      </c>
      <c r="AG1766" s="43" t="s">
        <v>6219</v>
      </c>
      <c r="AH1766" s="66" t="e">
        <f t="shared" si="300"/>
        <v>#VALUE!</v>
      </c>
      <c r="AI1766" s="283">
        <f>RTD("money.excel",,$G1766,"PredictVolume")</f>
        <v>97</v>
      </c>
      <c r="AJ1766" s="391" t="str">
        <f>IFERROR(VLOOKUP($G1766,基本資料!$A:$M,13,0),"無")</f>
        <v>無</v>
      </c>
      <c r="AR1766" s="245" t="e">
        <f>INDEX(基本資料!N:N,MATCH($G1766,基本資料!A:A,0))</f>
        <v>#N/A</v>
      </c>
    </row>
    <row r="1767" spans="1:44">
      <c r="A1767" s="343">
        <f>IFERROR(VLOOKUP($G1767,基本資料!$A:$J,3,0),"無")</f>
        <v>15</v>
      </c>
      <c r="B1767" s="79">
        <f>IFERROR(VLOOKUP($G1767,基本資料!$A:$J,4,0),"無")</f>
        <v>-109</v>
      </c>
      <c r="C1767" s="79">
        <f>IFERROR(VLOOKUP($G1767,基本資料!$A:$J,5,0),"無")</f>
        <v>-102</v>
      </c>
      <c r="D1767" s="79">
        <f>IFERROR(VLOOKUP($G1767,基本資料!$A:$J,6,0),"無")</f>
        <v>-8</v>
      </c>
      <c r="E1767" s="79">
        <f>IFERROR(VLOOKUP($G1767,基本資料!$A:$J,7,0),"無")</f>
        <v>-31</v>
      </c>
      <c r="F1767" s="6">
        <f>IFERROR(VLOOKUP($G1767,基本資料!$A:$J,8,0),"無")</f>
        <v>-0.33</v>
      </c>
      <c r="G1767" s="79">
        <v>6743</v>
      </c>
      <c r="H1767" s="8" t="s">
        <v>314</v>
      </c>
      <c r="I1767" s="22" t="s">
        <v>2109</v>
      </c>
      <c r="J1767" s="8">
        <f>IFERROR(VLOOKUP($G1767,今日總結!$A:$AN,39,0),"")</f>
        <v>0</v>
      </c>
      <c r="K1767" s="5">
        <f>IFERROR(VLOOKUP($G1767,今日總結!$A:$AN,40,0),"")</f>
        <v>0</v>
      </c>
      <c r="L1767" s="156">
        <f>IFERROR(VLOOKUP($G1767,今日總結!$A:$AN,37,0),"")</f>
        <v>0</v>
      </c>
      <c r="M1767" s="337">
        <f>IFERROR(VLOOKUP($G1767,今日總結!$A:$AN,38,0),"")</f>
        <v>0</v>
      </c>
      <c r="N1767" s="240">
        <f t="shared" si="305"/>
        <v>0</v>
      </c>
      <c r="O1767" s="359">
        <f>IFERROR(VLOOKUP($G1767,融外自投!$A:$J,7,0),"無")</f>
        <v>742</v>
      </c>
      <c r="P1767" s="79" t="str">
        <f>IFERROR(VLOOKUP($G1767,融外自投!$A:$J,9,0),"無")</f>
        <v>無</v>
      </c>
      <c r="Q1767" s="342">
        <f>IFERROR(VLOOKUP($G1767,融外自投!$A:$J,8,0),"無")</f>
        <v>856</v>
      </c>
      <c r="R1767" s="81" t="str">
        <f>IFERROR(VLOOKUP($G1767,融外自投!$A:$J,10,0),"無")</f>
        <v>無</v>
      </c>
      <c r="S1767" s="324">
        <f>IFERROR(VLOOKUP($G1767,'321買'!$A:$E,4,0),"'沒有資料'")</f>
        <v>1002</v>
      </c>
      <c r="T1767" s="186">
        <f>IFERROR(VLOOKUP($G1767,基本資料!$A:$J,9,0),"無")</f>
        <v>0.5</v>
      </c>
      <c r="U1767" s="307">
        <f t="shared" si="301"/>
        <v>1.1135857461024499E-2</v>
      </c>
      <c r="V1767" s="94">
        <f>IFERROR(VLOOKUP($G1767,基本資料!$A:$J,10,0),"無")</f>
        <v>-0.33</v>
      </c>
      <c r="W1767" s="36">
        <f>RTD("money.excel",,"6743","Price")</f>
        <v>44.9</v>
      </c>
      <c r="X1767" s="66"/>
      <c r="Y1767" s="15">
        <f t="shared" si="302"/>
        <v>44.9</v>
      </c>
      <c r="Z1767" s="3" t="e">
        <f t="shared" si="303"/>
        <v>#DIV/0!</v>
      </c>
      <c r="AA1767" s="340">
        <f>IFERROR(VLOOKUP($G1767,基本資料!$A:$M,11,0),"無")</f>
        <v>-68.489999999999995</v>
      </c>
      <c r="AB1767" s="389">
        <f>IFERROR(VLOOKUP($G1767,基本資料!$A:$M,12,0),"無")</f>
        <v>11.11</v>
      </c>
      <c r="AC1767" s="22" t="s">
        <v>2109</v>
      </c>
      <c r="AF1767" s="33">
        <f t="shared" si="304"/>
        <v>0</v>
      </c>
      <c r="AG1767" s="43" t="s">
        <v>3361</v>
      </c>
      <c r="AH1767" s="66">
        <f t="shared" si="300"/>
        <v>2.3627497247129146</v>
      </c>
      <c r="AI1767" s="283">
        <f>RTD("money.excel",,$G1767,"PredictVolume")</f>
        <v>751</v>
      </c>
      <c r="AJ1767" s="391">
        <f>IFERROR(VLOOKUP($G1767,基本資料!$A:$M,13,0),"無")</f>
        <v>317.85000000000002</v>
      </c>
      <c r="AR1767" s="245" t="str">
        <f>INDEX(基本資料!N:N,MATCH($G1767,基本資料!A:A,0))</f>
        <v>低</v>
      </c>
    </row>
    <row r="1768" spans="1:44">
      <c r="A1768" s="343" t="str">
        <f>IFERROR(VLOOKUP($G1768,基本資料!$A:$J,3,0),"無")</f>
        <v>無</v>
      </c>
      <c r="B1768" s="79" t="str">
        <f>IFERROR(VLOOKUP($G1768,基本資料!$A:$J,4,0),"無")</f>
        <v>無</v>
      </c>
      <c r="C1768" s="79" t="str">
        <f>IFERROR(VLOOKUP($G1768,基本資料!$A:$J,5,0),"無")</f>
        <v>無</v>
      </c>
      <c r="D1768" s="79" t="str">
        <f>IFERROR(VLOOKUP($G1768,基本資料!$A:$J,6,0),"無")</f>
        <v>無</v>
      </c>
      <c r="E1768" s="79" t="str">
        <f>IFERROR(VLOOKUP($G1768,基本資料!$A:$J,7,0),"無")</f>
        <v>無</v>
      </c>
      <c r="F1768" s="6" t="str">
        <f>IFERROR(VLOOKUP($G1768,基本資料!$A:$J,8,0),"無")</f>
        <v>無</v>
      </c>
      <c r="G1768" s="79">
        <v>6826</v>
      </c>
      <c r="H1768" s="8" t="s">
        <v>314</v>
      </c>
      <c r="I1768" s="22" t="s">
        <v>6262</v>
      </c>
      <c r="J1768" s="8" t="str">
        <f>IFERROR(VLOOKUP($G1768,今日總結!$A:$AN,39,0),"")</f>
        <v/>
      </c>
      <c r="K1768" s="5" t="str">
        <f>IFERROR(VLOOKUP($G1768,今日總結!$A:$AN,40,0),"")</f>
        <v/>
      </c>
      <c r="L1768" s="156" t="str">
        <f>IFERROR(VLOOKUP($G1768,今日總結!$A:$AN,37,0),"")</f>
        <v/>
      </c>
      <c r="M1768" s="337" t="str">
        <f>IFERROR(VLOOKUP($G1768,今日總結!$A:$AN,38,0),"")</f>
        <v/>
      </c>
      <c r="N1768" s="240" t="str">
        <f t="shared" si="305"/>
        <v/>
      </c>
      <c r="O1768" s="359" t="str">
        <f>IFERROR(VLOOKUP($G1768,融外自投!$A:$J,7,0),"無")</f>
        <v>無</v>
      </c>
      <c r="P1768" s="79" t="str">
        <f>IFERROR(VLOOKUP($G1768,融外自投!$A:$J,9,0),"無")</f>
        <v>無</v>
      </c>
      <c r="Q1768" s="342" t="str">
        <f>IFERROR(VLOOKUP($G1768,融外自投!$A:$J,8,0),"無")</f>
        <v>無</v>
      </c>
      <c r="R1768" s="81" t="str">
        <f>IFERROR(VLOOKUP($G1768,融外自投!$A:$J,10,0),"無")</f>
        <v>無</v>
      </c>
      <c r="S1768" s="324" t="str">
        <f>IFERROR(VLOOKUP($G1768,'321買'!$A:$E,4,0),"'沒有資料'")</f>
        <v>'沒有資料'</v>
      </c>
      <c r="T1768" s="186" t="str">
        <f>IFERROR(VLOOKUP($G1768,基本資料!$A:$J,9,0),"無")</f>
        <v>無</v>
      </c>
      <c r="U1768" s="307" t="e">
        <f t="shared" si="301"/>
        <v>#VALUE!</v>
      </c>
      <c r="V1768" s="94" t="str">
        <f>IFERROR(VLOOKUP($G1768,基本資料!$A:$J,10,0),"無")</f>
        <v>無</v>
      </c>
      <c r="W1768" s="36">
        <f>RTD("money.excel",,"6826","Price")</f>
        <v>86.5</v>
      </c>
      <c r="X1768" s="66"/>
      <c r="Y1768" s="15">
        <f t="shared" ref="Y1768" si="309">W1768-X1768</f>
        <v>86.5</v>
      </c>
      <c r="Z1768" s="3" t="e">
        <f t="shared" ref="Z1768" si="310">Y1768/X1768</f>
        <v>#DIV/0!</v>
      </c>
      <c r="AA1768" s="340" t="str">
        <f>IFERROR(VLOOKUP($G1768,基本資料!$A:$M,11,0),"無")</f>
        <v>無</v>
      </c>
      <c r="AB1768" s="389" t="str">
        <f>IFERROR(VLOOKUP($G1768,基本資料!$A:$M,12,0),"無")</f>
        <v>無</v>
      </c>
      <c r="AC1768" s="22" t="s">
        <v>6262</v>
      </c>
      <c r="AF1768" s="33">
        <f t="shared" ref="AF1768" si="311">AE1768-AD1768</f>
        <v>0</v>
      </c>
      <c r="AG1768" s="43" t="s">
        <v>6263</v>
      </c>
      <c r="AH1768" s="66" t="e">
        <f t="shared" si="300"/>
        <v>#VALUE!</v>
      </c>
      <c r="AI1768" s="283">
        <f>RTD("money.excel",,$G1768,"PredictVolume")</f>
        <v>30</v>
      </c>
      <c r="AJ1768" s="391" t="str">
        <f>IFERROR(VLOOKUP($G1768,基本資料!$A:$M,13,0),"無")</f>
        <v>無</v>
      </c>
      <c r="AR1768" s="245" t="e">
        <f>INDEX(基本資料!N:N,MATCH($G1768,基本資料!A:A,0))</f>
        <v>#N/A</v>
      </c>
    </row>
    <row r="1769" spans="1:44">
      <c r="A1769" s="343">
        <f>IFERROR(VLOOKUP($G1769,基本資料!$A:$J,3,0),"無")</f>
        <v>14.21</v>
      </c>
      <c r="B1769" s="79">
        <f>IFERROR(VLOOKUP($G1769,基本資料!$A:$J,4,0),"無")</f>
        <v>61</v>
      </c>
      <c r="C1769" s="79">
        <f>IFERROR(VLOOKUP($G1769,基本資料!$A:$J,5,0),"無")</f>
        <v>37</v>
      </c>
      <c r="D1769" s="79">
        <f>IFERROR(VLOOKUP($G1769,基本資料!$A:$J,6,0),"無")</f>
        <v>0</v>
      </c>
      <c r="E1769" s="79">
        <f>IFERROR(VLOOKUP($G1769,基本資料!$A:$J,7,0),"無")</f>
        <v>1</v>
      </c>
      <c r="F1769" s="6">
        <f>IFERROR(VLOOKUP($G1769,基本資料!$A:$J,8,0),"無")</f>
        <v>17.04</v>
      </c>
      <c r="G1769" s="79">
        <v>8021</v>
      </c>
      <c r="H1769" s="8" t="s">
        <v>314</v>
      </c>
      <c r="I1769" s="22" t="s">
        <v>512</v>
      </c>
      <c r="J1769" s="8">
        <f>IFERROR(VLOOKUP($G1769,今日總結!$A:$AN,39,0),"")</f>
        <v>0</v>
      </c>
      <c r="K1769" s="5">
        <f>IFERROR(VLOOKUP($G1769,今日總結!$A:$AN,40,0),"")</f>
        <v>0</v>
      </c>
      <c r="L1769" s="156">
        <f>IFERROR(VLOOKUP($G1769,今日總結!$A:$AN,37,0),"")</f>
        <v>0</v>
      </c>
      <c r="M1769" s="337">
        <f>IFERROR(VLOOKUP($G1769,今日總結!$A:$AN,38,0),"")</f>
        <v>0</v>
      </c>
      <c r="N1769" s="240">
        <f t="shared" si="305"/>
        <v>0</v>
      </c>
      <c r="O1769" s="359">
        <f>IFERROR(VLOOKUP($G1769,融外自投!$A:$J,7,0),"無")</f>
        <v>547</v>
      </c>
      <c r="P1769" s="79">
        <f>IFERROR(VLOOKUP($G1769,融外自投!$A:$J,9,0),"無")</f>
        <v>487</v>
      </c>
      <c r="Q1769" s="342">
        <f>IFERROR(VLOOKUP($G1769,融外自投!$A:$J,8,0),"無")</f>
        <v>538</v>
      </c>
      <c r="R1769" s="81" t="str">
        <f>IFERROR(VLOOKUP($G1769,融外自投!$A:$J,10,0),"無")</f>
        <v>無</v>
      </c>
      <c r="S1769" s="324">
        <f>IFERROR(VLOOKUP($G1769,'321買'!$A:$E,4,0),"'沒有資料'")</f>
        <v>300</v>
      </c>
      <c r="T1769" s="186">
        <f>IFERROR(VLOOKUP($G1769,基本資料!$A:$J,9,0),"無")</f>
        <v>2.2999999999999998</v>
      </c>
      <c r="U1769" s="307">
        <f t="shared" si="301"/>
        <v>6.7946824224519933E-2</v>
      </c>
      <c r="V1769" s="94">
        <f>IFERROR(VLOOKUP($G1769,基本資料!$A:$J,10,0),"無")</f>
        <v>3.14</v>
      </c>
      <c r="W1769" s="36">
        <f>RTD("money.excel",,"8021","Price")</f>
        <v>33.85</v>
      </c>
      <c r="X1769" s="66"/>
      <c r="Y1769" s="15">
        <f t="shared" si="302"/>
        <v>33.85</v>
      </c>
      <c r="Z1769" s="3" t="e">
        <f t="shared" si="303"/>
        <v>#DIV/0!</v>
      </c>
      <c r="AA1769" s="340">
        <f>IFERROR(VLOOKUP($G1769,基本資料!$A:$M,11,0),"無")</f>
        <v>-31.62</v>
      </c>
      <c r="AB1769" s="389">
        <f>IFERROR(VLOOKUP($G1769,基本資料!$A:$M,12,0),"無")</f>
        <v>24.73</v>
      </c>
      <c r="AC1769" s="22" t="s">
        <v>512</v>
      </c>
      <c r="AF1769" s="33">
        <f t="shared" si="304"/>
        <v>0</v>
      </c>
      <c r="AG1769" s="43" t="s">
        <v>2580</v>
      </c>
      <c r="AH1769" s="66">
        <f t="shared" si="300"/>
        <v>0.98636728147554131</v>
      </c>
      <c r="AI1769" s="283">
        <f>RTD("money.excel",,$G1769,"PredictVolume")</f>
        <v>492</v>
      </c>
      <c r="AJ1769" s="391">
        <f>IFERROR(VLOOKUP($G1769,基本資料!$A:$M,13,0),"無")</f>
        <v>498.8</v>
      </c>
      <c r="AR1769" s="245" t="str">
        <f>INDEX(基本資料!N:N,MATCH($G1769,基本資料!A:A,0))</f>
        <v>低</v>
      </c>
    </row>
    <row r="1770" spans="1:44">
      <c r="A1770" s="343">
        <f>IFERROR(VLOOKUP($G1770,基本資料!$A:$J,3,0),"無")</f>
        <v>4.16</v>
      </c>
      <c r="B1770" s="79">
        <f>IFERROR(VLOOKUP($G1770,基本資料!$A:$J,4,0),"無")</f>
        <v>57</v>
      </c>
      <c r="C1770" s="79">
        <f>IFERROR(VLOOKUP($G1770,基本資料!$A:$J,5,0),"無")</f>
        <v>157</v>
      </c>
      <c r="D1770" s="79">
        <f>IFERROR(VLOOKUP($G1770,基本資料!$A:$J,6,0),"無")</f>
        <v>-14</v>
      </c>
      <c r="E1770" s="79">
        <f>IFERROR(VLOOKUP($G1770,基本資料!$A:$J,7,0),"無")</f>
        <v>-2</v>
      </c>
      <c r="F1770" s="6">
        <f>IFERROR(VLOOKUP($G1770,基本資料!$A:$J,8,0),"無")</f>
        <v>0.99</v>
      </c>
      <c r="G1770" s="79">
        <v>8047</v>
      </c>
      <c r="H1770" s="8" t="s">
        <v>314</v>
      </c>
      <c r="I1770" s="16" t="s">
        <v>487</v>
      </c>
      <c r="J1770" s="8">
        <f>IFERROR(VLOOKUP($G1770,今日總結!$A:$AN,39,0),"")</f>
        <v>0</v>
      </c>
      <c r="K1770" s="5">
        <f>IFERROR(VLOOKUP($G1770,今日總結!$A:$AN,40,0),"")</f>
        <v>0</v>
      </c>
      <c r="L1770" s="156">
        <f>IFERROR(VLOOKUP($G1770,今日總結!$A:$AN,37,0),"")</f>
        <v>0</v>
      </c>
      <c r="M1770" s="337">
        <f>IFERROR(VLOOKUP($G1770,今日總結!$A:$AN,38,0),"")</f>
        <v>0</v>
      </c>
      <c r="N1770" s="240">
        <f t="shared" si="305"/>
        <v>0</v>
      </c>
      <c r="O1770" s="359">
        <f>IFERROR(VLOOKUP($G1770,融外自投!$A:$J,7,0),"無")</f>
        <v>911</v>
      </c>
      <c r="P1770" s="79" t="str">
        <f>IFERROR(VLOOKUP($G1770,融外自投!$A:$J,9,0),"無")</f>
        <v>無</v>
      </c>
      <c r="Q1770" s="342">
        <f>IFERROR(VLOOKUP($G1770,融外自投!$A:$J,8,0),"無")</f>
        <v>1454</v>
      </c>
      <c r="R1770" s="81" t="str">
        <f>IFERROR(VLOOKUP($G1770,融外自投!$A:$J,10,0),"無")</f>
        <v>無</v>
      </c>
      <c r="S1770" s="324">
        <f>IFERROR(VLOOKUP($G1770,'321買'!$A:$E,4,0),"'沒有資料'")</f>
        <v>1002</v>
      </c>
      <c r="T1770" s="186">
        <f>IFERROR(VLOOKUP($G1770,基本資料!$A:$J,9,0),"無")</f>
        <v>0.25</v>
      </c>
      <c r="U1770" s="307">
        <f t="shared" si="301"/>
        <v>1.7857142857142856E-2</v>
      </c>
      <c r="V1770" s="94">
        <f>IFERROR(VLOOKUP($G1770,基本資料!$A:$J,10,0),"無")</f>
        <v>0.43</v>
      </c>
      <c r="W1770" s="36">
        <f>RTD("money.excel",,"8047","Price")</f>
        <v>14</v>
      </c>
      <c r="X1770" s="66"/>
      <c r="Y1770" s="15">
        <f t="shared" si="302"/>
        <v>14</v>
      </c>
      <c r="Z1770" s="3" t="e">
        <f t="shared" si="303"/>
        <v>#DIV/0!</v>
      </c>
      <c r="AA1770" s="340">
        <f>IFERROR(VLOOKUP($G1770,基本資料!$A:$M,11,0),"無")</f>
        <v>-6.35</v>
      </c>
      <c r="AB1770" s="389">
        <f>IFERROR(VLOOKUP($G1770,基本資料!$A:$M,12,0),"無")</f>
        <v>61.32</v>
      </c>
      <c r="AC1770" s="16" t="s">
        <v>487</v>
      </c>
      <c r="AF1770" s="33">
        <f t="shared" si="304"/>
        <v>0</v>
      </c>
      <c r="AG1770" s="43" t="s">
        <v>2530</v>
      </c>
      <c r="AH1770" s="66">
        <f t="shared" si="300"/>
        <v>1.5209580838323353</v>
      </c>
      <c r="AI1770" s="283">
        <f>RTD("money.excel",,$G1770,"PredictVolume")</f>
        <v>127</v>
      </c>
      <c r="AJ1770" s="391">
        <f>IFERROR(VLOOKUP($G1770,基本資料!$A:$M,13,0),"無")</f>
        <v>83.5</v>
      </c>
      <c r="AR1770" s="245" t="str">
        <f>INDEX(基本資料!N:N,MATCH($G1770,基本資料!A:A,0))</f>
        <v>高</v>
      </c>
    </row>
    <row r="1771" spans="1:44">
      <c r="A1771" s="343">
        <f>IFERROR(VLOOKUP($G1771,基本資料!$A:$J,3,0),"無")</f>
        <v>13.99</v>
      </c>
      <c r="B1771" s="79">
        <f>IFERROR(VLOOKUP($G1771,基本資料!$A:$J,4,0),"無")</f>
        <v>144</v>
      </c>
      <c r="C1771" s="79">
        <f>IFERROR(VLOOKUP($G1771,基本資料!$A:$J,5,0),"無")</f>
        <v>84</v>
      </c>
      <c r="D1771" s="79">
        <f>IFERROR(VLOOKUP($G1771,基本資料!$A:$J,6,0),"無")</f>
        <v>-7</v>
      </c>
      <c r="E1771" s="79">
        <f>IFERROR(VLOOKUP($G1771,基本資料!$A:$J,7,0),"無")</f>
        <v>-8</v>
      </c>
      <c r="F1771" s="6">
        <f>IFERROR(VLOOKUP($G1771,基本資料!$A:$J,8,0),"無")</f>
        <v>-2.36</v>
      </c>
      <c r="G1771" s="79">
        <v>8085</v>
      </c>
      <c r="H1771" s="8" t="s">
        <v>314</v>
      </c>
      <c r="I1771" s="16" t="s">
        <v>488</v>
      </c>
      <c r="J1771" s="8" t="str">
        <f>IFERROR(VLOOKUP($G1771,今日總結!$A:$AN,39,0),"")</f>
        <v>融</v>
      </c>
      <c r="K1771" s="5">
        <f>IFERROR(VLOOKUP($G1771,今日總結!$A:$AN,40,0),"")</f>
        <v>0</v>
      </c>
      <c r="L1771" s="156">
        <f>IFERROR(VLOOKUP($G1771,今日總結!$A:$AN,37,0),"")</f>
        <v>3</v>
      </c>
      <c r="M1771" s="337">
        <f>IFERROR(VLOOKUP($G1771,今日總結!$A:$AN,38,0),"")</f>
        <v>0</v>
      </c>
      <c r="N1771" s="240">
        <f t="shared" si="305"/>
        <v>3</v>
      </c>
      <c r="O1771" s="359">
        <f>IFERROR(VLOOKUP($G1771,融外自投!$A:$J,7,0),"無")</f>
        <v>1136</v>
      </c>
      <c r="P1771" s="79" t="str">
        <f>IFERROR(VLOOKUP($G1771,融外自投!$A:$J,9,0),"無")</f>
        <v>無</v>
      </c>
      <c r="Q1771" s="342">
        <f>IFERROR(VLOOKUP($G1771,融外自投!$A:$J,8,0),"無")</f>
        <v>1419</v>
      </c>
      <c r="R1771" s="81" t="str">
        <f>IFERROR(VLOOKUP($G1771,融外自投!$A:$J,10,0),"無")</f>
        <v>無</v>
      </c>
      <c r="S1771" s="324">
        <f>IFERROR(VLOOKUP($G1771,'321買'!$A:$E,4,0),"'沒有資料'")</f>
        <v>606</v>
      </c>
      <c r="T1771" s="186">
        <f>IFERROR(VLOOKUP($G1771,基本資料!$A:$J,9,0),"無")</f>
        <v>0.2</v>
      </c>
      <c r="U1771" s="307">
        <f t="shared" si="301"/>
        <v>1.1331444759206801E-2</v>
      </c>
      <c r="V1771" s="94">
        <f>IFERROR(VLOOKUP($G1771,基本資料!$A:$J,10,0),"無")</f>
        <v>0.24</v>
      </c>
      <c r="W1771" s="36">
        <f>RTD("money.excel",,"8085","Price")</f>
        <v>17.649999999999999</v>
      </c>
      <c r="X1771" s="66"/>
      <c r="Y1771" s="15">
        <f t="shared" si="302"/>
        <v>17.649999999999999</v>
      </c>
      <c r="Z1771" s="3" t="e">
        <f t="shared" si="303"/>
        <v>#DIV/0!</v>
      </c>
      <c r="AA1771" s="340">
        <f>IFERROR(VLOOKUP($G1771,基本資料!$A:$M,11,0),"無")</f>
        <v>-13.69</v>
      </c>
      <c r="AB1771" s="389">
        <f>IFERROR(VLOOKUP($G1771,基本資料!$A:$M,12,0),"無")</f>
        <v>43.11</v>
      </c>
      <c r="AC1771" s="16" t="s">
        <v>488</v>
      </c>
      <c r="AF1771" s="33">
        <f t="shared" si="304"/>
        <v>0</v>
      </c>
      <c r="AG1771" s="43" t="s">
        <v>2236</v>
      </c>
      <c r="AH1771" s="66">
        <f t="shared" si="300"/>
        <v>0.88188976377952755</v>
      </c>
      <c r="AI1771" s="283">
        <f>RTD("money.excel",,$G1771,"PredictVolume")</f>
        <v>140</v>
      </c>
      <c r="AJ1771" s="391">
        <f>IFERROR(VLOOKUP($G1771,基本資料!$A:$M,13,0),"無")</f>
        <v>158.75</v>
      </c>
      <c r="AR1771" s="245" t="str">
        <f>INDEX(基本資料!N:N,MATCH($G1771,基本資料!A:A,0))</f>
        <v>中</v>
      </c>
    </row>
    <row r="1772" spans="1:44">
      <c r="A1772" s="343">
        <f>IFERROR(VLOOKUP($G1772,基本資料!$A:$J,3,0),"無")</f>
        <v>3.88</v>
      </c>
      <c r="B1772" s="79">
        <f>IFERROR(VLOOKUP($G1772,基本資料!$A:$J,4,0),"無")</f>
        <v>-17</v>
      </c>
      <c r="C1772" s="79">
        <f>IFERROR(VLOOKUP($G1772,基本資料!$A:$J,5,0),"無")</f>
        <v>19</v>
      </c>
      <c r="D1772" s="79">
        <f>IFERROR(VLOOKUP($G1772,基本資料!$A:$J,6,0),"無")</f>
        <v>11</v>
      </c>
      <c r="E1772" s="79">
        <f>IFERROR(VLOOKUP($G1772,基本資料!$A:$J,7,0),"無")</f>
        <v>1</v>
      </c>
      <c r="F1772" s="6">
        <f>IFERROR(VLOOKUP($G1772,基本資料!$A:$J,8,0),"無")</f>
        <v>-6.66</v>
      </c>
      <c r="G1772" s="79">
        <v>8092</v>
      </c>
      <c r="H1772" s="8" t="s">
        <v>314</v>
      </c>
      <c r="I1772" s="16" t="s">
        <v>489</v>
      </c>
      <c r="J1772" s="8" t="str">
        <f>IFERROR(VLOOKUP($G1772,今日總結!$A:$AN,39,0),"")</f>
        <v/>
      </c>
      <c r="K1772" s="5" t="str">
        <f>IFERROR(VLOOKUP($G1772,今日總結!$A:$AN,40,0),"")</f>
        <v/>
      </c>
      <c r="L1772" s="156" t="str">
        <f>IFERROR(VLOOKUP($G1772,今日總結!$A:$AN,37,0),"")</f>
        <v/>
      </c>
      <c r="M1772" s="337" t="str">
        <f>IFERROR(VLOOKUP($G1772,今日總結!$A:$AN,38,0),"")</f>
        <v/>
      </c>
      <c r="N1772" s="240" t="str">
        <f t="shared" si="305"/>
        <v/>
      </c>
      <c r="O1772" s="359" t="str">
        <f>IFERROR(VLOOKUP($G1772,融外自投!$A:$J,7,0),"無")</f>
        <v>無</v>
      </c>
      <c r="P1772" s="79" t="str">
        <f>IFERROR(VLOOKUP($G1772,融外自投!$A:$J,9,0),"無")</f>
        <v>無</v>
      </c>
      <c r="Q1772" s="342" t="str">
        <f>IFERROR(VLOOKUP($G1772,融外自投!$A:$J,8,0),"無")</f>
        <v>無</v>
      </c>
      <c r="R1772" s="81" t="str">
        <f>IFERROR(VLOOKUP($G1772,融外自投!$A:$J,10,0),"無")</f>
        <v>無</v>
      </c>
      <c r="S1772" s="324" t="str">
        <f>IFERROR(VLOOKUP($G1772,'321買'!$A:$E,4,0),"'沒有資料'")</f>
        <v>'沒有資料'</v>
      </c>
      <c r="T1772" s="186">
        <f>IFERROR(VLOOKUP($G1772,基本資料!$A:$J,9,0),"無")</f>
        <v>0</v>
      </c>
      <c r="U1772" s="307">
        <f t="shared" si="301"/>
        <v>0</v>
      </c>
      <c r="V1772" s="94">
        <f>IFERROR(VLOOKUP($G1772,基本資料!$A:$J,10,0),"無")</f>
        <v>-0.57999999999999996</v>
      </c>
      <c r="W1772" s="36">
        <f>RTD("money.excel",,"8092","Price")</f>
        <v>9.84</v>
      </c>
      <c r="X1772" s="66"/>
      <c r="Y1772" s="15">
        <f t="shared" si="302"/>
        <v>9.84</v>
      </c>
      <c r="Z1772" s="3" t="e">
        <f t="shared" si="303"/>
        <v>#DIV/0!</v>
      </c>
      <c r="AA1772" s="340">
        <f>IFERROR(VLOOKUP($G1772,基本資料!$A:$M,11,0),"無")</f>
        <v>-35.479999999999997</v>
      </c>
      <c r="AB1772" s="389">
        <f>IFERROR(VLOOKUP($G1772,基本資料!$A:$M,12,0),"無")</f>
        <v>17.079999999999998</v>
      </c>
      <c r="AC1772" s="16" t="s">
        <v>489</v>
      </c>
      <c r="AF1772" s="33">
        <f t="shared" si="304"/>
        <v>0</v>
      </c>
      <c r="AG1772" s="43" t="s">
        <v>2531</v>
      </c>
      <c r="AH1772" s="66">
        <f t="shared" si="300"/>
        <v>1.1325966850828728</v>
      </c>
      <c r="AI1772" s="283">
        <f>RTD("money.excel",,$G1772,"PredictVolume")</f>
        <v>41</v>
      </c>
      <c r="AJ1772" s="391">
        <f>IFERROR(VLOOKUP($G1772,基本資料!$A:$M,13,0),"無")</f>
        <v>36.200000000000003</v>
      </c>
      <c r="AR1772" s="245" t="str">
        <f>INDEX(基本資料!N:N,MATCH($G1772,基本資料!A:A,0))</f>
        <v>低</v>
      </c>
    </row>
    <row r="1773" spans="1:44">
      <c r="A1773" s="343">
        <f>IFERROR(VLOOKUP($G1773,基本資料!$A:$J,3,0),"無")</f>
        <v>12.12</v>
      </c>
      <c r="B1773" s="79">
        <f>IFERROR(VLOOKUP($G1773,基本資料!$A:$J,4,0),"無")</f>
        <v>140</v>
      </c>
      <c r="C1773" s="79">
        <f>IFERROR(VLOOKUP($G1773,基本資料!$A:$J,5,0),"無")</f>
        <v>151</v>
      </c>
      <c r="D1773" s="79">
        <f>IFERROR(VLOOKUP($G1773,基本資料!$A:$J,6,0),"無")</f>
        <v>-35</v>
      </c>
      <c r="E1773" s="79">
        <f>IFERROR(VLOOKUP($G1773,基本資料!$A:$J,7,0),"無")</f>
        <v>18</v>
      </c>
      <c r="F1773" s="6">
        <f>IFERROR(VLOOKUP($G1773,基本資料!$A:$J,8,0),"無")</f>
        <v>13.68</v>
      </c>
      <c r="G1773" s="79">
        <v>8183</v>
      </c>
      <c r="H1773" s="8" t="s">
        <v>314</v>
      </c>
      <c r="I1773" s="16" t="s">
        <v>239</v>
      </c>
      <c r="J1773" s="8">
        <f>IFERROR(VLOOKUP($G1773,今日總結!$A:$AN,39,0),"")</f>
        <v>0</v>
      </c>
      <c r="K1773" s="5">
        <f>IFERROR(VLOOKUP($G1773,今日總結!$A:$AN,40,0),"")</f>
        <v>245</v>
      </c>
      <c r="L1773" s="156">
        <f>IFERROR(VLOOKUP($G1773,今日總結!$A:$AN,37,0),"")</f>
        <v>0</v>
      </c>
      <c r="M1773" s="337">
        <f>IFERROR(VLOOKUP($G1773,今日總結!$A:$AN,38,0),"")</f>
        <v>3</v>
      </c>
      <c r="N1773" s="240">
        <f t="shared" si="305"/>
        <v>-3</v>
      </c>
      <c r="O1773" s="359">
        <f>IFERROR(VLOOKUP($G1773,融外自投!$A:$J,7,0),"無")</f>
        <v>81</v>
      </c>
      <c r="P1773" s="79">
        <f>IFERROR(VLOOKUP($G1773,融外自投!$A:$J,9,0),"無")</f>
        <v>378</v>
      </c>
      <c r="Q1773" s="342">
        <f>IFERROR(VLOOKUP($G1773,融外自投!$A:$J,8,0),"無")</f>
        <v>1230</v>
      </c>
      <c r="R1773" s="81">
        <f>IFERROR(VLOOKUP($G1773,融外自投!$A:$J,10,0),"無")</f>
        <v>94</v>
      </c>
      <c r="S1773" s="324">
        <f>IFERROR(VLOOKUP($G1773,'321買'!$A:$E,4,0),"'沒有資料'")</f>
        <v>91</v>
      </c>
      <c r="T1773" s="186">
        <f>IFERROR(VLOOKUP($G1773,基本資料!$A:$J,9,0),"無")</f>
        <v>1.25</v>
      </c>
      <c r="U1773" s="307">
        <f t="shared" si="301"/>
        <v>2.1929824561403508E-2</v>
      </c>
      <c r="V1773" s="94">
        <f>IFERROR(VLOOKUP($G1773,基本資料!$A:$J,10,0),"無")</f>
        <v>4.16</v>
      </c>
      <c r="W1773" s="36">
        <f>RTD("money.excel",,"8183","Price")</f>
        <v>57</v>
      </c>
      <c r="X1773" s="66"/>
      <c r="Y1773" s="15">
        <f t="shared" si="302"/>
        <v>57</v>
      </c>
      <c r="Z1773" s="3" t="e">
        <f t="shared" si="303"/>
        <v>#DIV/0!</v>
      </c>
      <c r="AA1773" s="340">
        <f>IFERROR(VLOOKUP($G1773,基本資料!$A:$M,11,0),"無")</f>
        <v>-26.36</v>
      </c>
      <c r="AB1773" s="389">
        <f>IFERROR(VLOOKUP($G1773,基本資料!$A:$M,12,0),"無")</f>
        <v>31.41</v>
      </c>
      <c r="AC1773" s="16" t="s">
        <v>239</v>
      </c>
      <c r="AF1773" s="33">
        <f t="shared" si="304"/>
        <v>0</v>
      </c>
      <c r="AG1773" s="117" t="s">
        <v>2327</v>
      </c>
      <c r="AH1773" s="66">
        <f t="shared" si="300"/>
        <v>0.99185034265604743</v>
      </c>
      <c r="AI1773" s="283">
        <f>RTD("money.excel",,$G1773,"PredictVolume")</f>
        <v>8568</v>
      </c>
      <c r="AJ1773" s="391">
        <f>IFERROR(VLOOKUP($G1773,基本資料!$A:$M,13,0),"無")</f>
        <v>8638.4</v>
      </c>
      <c r="AR1773" s="245" t="str">
        <f>INDEX(基本資料!N:N,MATCH($G1773,基本資料!A:A,0))</f>
        <v>中</v>
      </c>
    </row>
    <row r="1774" spans="1:44">
      <c r="A1774" s="343">
        <f>IFERROR(VLOOKUP($G1774,基本資料!$A:$J,3,0),"無")</f>
        <v>6.23</v>
      </c>
      <c r="B1774" s="79">
        <f>IFERROR(VLOOKUP($G1774,基本資料!$A:$J,4,0),"無")</f>
        <v>329</v>
      </c>
      <c r="C1774" s="79">
        <f>IFERROR(VLOOKUP($G1774,基本資料!$A:$J,5,0),"無")</f>
        <v>-87</v>
      </c>
      <c r="D1774" s="79">
        <f>IFERROR(VLOOKUP($G1774,基本資料!$A:$J,6,0),"無")</f>
        <v>10</v>
      </c>
      <c r="E1774" s="79">
        <f>IFERROR(VLOOKUP($G1774,基本資料!$A:$J,7,0),"無")</f>
        <v>12</v>
      </c>
      <c r="F1774" s="6">
        <f>IFERROR(VLOOKUP($G1774,基本資料!$A:$J,8,0),"無")</f>
        <v>-14.94</v>
      </c>
      <c r="G1774" s="79">
        <v>8201</v>
      </c>
      <c r="H1774" s="8" t="s">
        <v>314</v>
      </c>
      <c r="I1774" s="22" t="s">
        <v>513</v>
      </c>
      <c r="J1774" s="8">
        <f>IFERROR(VLOOKUP($G1774,今日總結!$A:$AN,39,0),"")</f>
        <v>0</v>
      </c>
      <c r="K1774" s="5">
        <f>IFERROR(VLOOKUP($G1774,今日總結!$A:$AN,40,0),"")</f>
        <v>0</v>
      </c>
      <c r="L1774" s="156">
        <f>IFERROR(VLOOKUP($G1774,今日總結!$A:$AN,37,0),"")</f>
        <v>0</v>
      </c>
      <c r="M1774" s="337">
        <f>IFERROR(VLOOKUP($G1774,今日總結!$A:$AN,38,0),"")</f>
        <v>0</v>
      </c>
      <c r="N1774" s="240">
        <f t="shared" si="305"/>
        <v>0</v>
      </c>
      <c r="O1774" s="359">
        <f>IFERROR(VLOOKUP($G1774,融外自投!$A:$J,7,0),"無")</f>
        <v>461</v>
      </c>
      <c r="P1774" s="79">
        <f>IFERROR(VLOOKUP($G1774,融外自投!$A:$J,9,0),"無")</f>
        <v>426</v>
      </c>
      <c r="Q1774" s="342">
        <f>IFERROR(VLOOKUP($G1774,融外自投!$A:$J,8,0),"無")</f>
        <v>932</v>
      </c>
      <c r="R1774" s="81" t="str">
        <f>IFERROR(VLOOKUP($G1774,融外自投!$A:$J,10,0),"無")</f>
        <v>無</v>
      </c>
      <c r="S1774" s="324">
        <f>IFERROR(VLOOKUP($G1774,'321買'!$A:$E,4,0),"'沒有資料'")</f>
        <v>244</v>
      </c>
      <c r="T1774" s="186">
        <f>IFERROR(VLOOKUP($G1774,基本資料!$A:$J,9,0),"無")</f>
        <v>0</v>
      </c>
      <c r="U1774" s="307">
        <f t="shared" si="301"/>
        <v>0</v>
      </c>
      <c r="V1774" s="94">
        <f>IFERROR(VLOOKUP($G1774,基本資料!$A:$J,10,0),"無")</f>
        <v>1.75</v>
      </c>
      <c r="W1774" s="36">
        <f>RTD("money.excel",,"8201","Price")</f>
        <v>11.5</v>
      </c>
      <c r="X1774" s="66"/>
      <c r="Y1774" s="15">
        <f t="shared" si="302"/>
        <v>11.5</v>
      </c>
      <c r="Z1774" s="3" t="e">
        <f t="shared" si="303"/>
        <v>#DIV/0!</v>
      </c>
      <c r="AA1774" s="340">
        <f>IFERROR(VLOOKUP($G1774,基本資料!$A:$M,11,0),"無")</f>
        <v>-40.409999999999997</v>
      </c>
      <c r="AB1774" s="389">
        <f>IFERROR(VLOOKUP($G1774,基本資料!$A:$M,12,0),"無")</f>
        <v>9.3800000000000008</v>
      </c>
      <c r="AC1774" s="22" t="s">
        <v>513</v>
      </c>
      <c r="AF1774" s="33">
        <f t="shared" si="304"/>
        <v>0</v>
      </c>
      <c r="AG1774" s="43" t="s">
        <v>2012</v>
      </c>
      <c r="AH1774" s="66">
        <f t="shared" si="300"/>
        <v>0.3720387053720387</v>
      </c>
      <c r="AI1774" s="283">
        <f>RTD("money.excel",,$G1774,"PredictVolume")</f>
        <v>223</v>
      </c>
      <c r="AJ1774" s="391">
        <f>IFERROR(VLOOKUP($G1774,基本資料!$A:$M,13,0),"無")</f>
        <v>599.4</v>
      </c>
      <c r="AR1774" s="245" t="str">
        <f>INDEX(基本資料!N:N,MATCH($G1774,基本資料!A:A,0))</f>
        <v>低</v>
      </c>
    </row>
    <row r="1775" spans="1:44">
      <c r="A1775" s="343">
        <f>IFERROR(VLOOKUP($G1775,基本資料!$A:$J,3,0),"無")</f>
        <v>11.81</v>
      </c>
      <c r="B1775" s="79">
        <f>IFERROR(VLOOKUP($G1775,基本資料!$A:$J,4,0),"無")</f>
        <v>-138</v>
      </c>
      <c r="C1775" s="79">
        <f>IFERROR(VLOOKUP($G1775,基本資料!$A:$J,5,0),"無")</f>
        <v>-120</v>
      </c>
      <c r="D1775" s="79">
        <f>IFERROR(VLOOKUP($G1775,基本資料!$A:$J,6,0),"無")</f>
        <v>-16</v>
      </c>
      <c r="E1775" s="79">
        <f>IFERROR(VLOOKUP($G1775,基本資料!$A:$J,7,0),"無")</f>
        <v>11</v>
      </c>
      <c r="F1775" s="6">
        <f>IFERROR(VLOOKUP($G1775,基本資料!$A:$J,8,0),"無")</f>
        <v>-2.1</v>
      </c>
      <c r="G1775" s="79">
        <v>8383</v>
      </c>
      <c r="H1775" s="8" t="s">
        <v>314</v>
      </c>
      <c r="I1775" s="16" t="s">
        <v>163</v>
      </c>
      <c r="J1775" s="8">
        <f>IFERROR(VLOOKUP($G1775,今日總結!$A:$AN,39,0),"")</f>
        <v>0</v>
      </c>
      <c r="K1775" s="5" t="str">
        <f>IFERROR(VLOOKUP($G1775,今日總結!$A:$AN,40,0),"")</f>
        <v>外借</v>
      </c>
      <c r="L1775" s="156">
        <f>IFERROR(VLOOKUP($G1775,今日總結!$A:$AN,37,0),"")</f>
        <v>0</v>
      </c>
      <c r="M1775" s="337">
        <f>IFERROR(VLOOKUP($G1775,今日總結!$A:$AN,38,0),"")</f>
        <v>2</v>
      </c>
      <c r="N1775" s="240">
        <f t="shared" si="305"/>
        <v>-2</v>
      </c>
      <c r="O1775" s="359">
        <f>IFERROR(VLOOKUP($G1775,融外自投!$A:$J,7,0),"無")</f>
        <v>865</v>
      </c>
      <c r="P1775" s="79">
        <f>IFERROR(VLOOKUP($G1775,融外自投!$A:$J,9,0),"無")</f>
        <v>478</v>
      </c>
      <c r="Q1775" s="342">
        <f>IFERROR(VLOOKUP($G1775,融外自投!$A:$J,8,0),"無")</f>
        <v>633</v>
      </c>
      <c r="R1775" s="81" t="str">
        <f>IFERROR(VLOOKUP($G1775,融外自投!$A:$J,10,0),"無")</f>
        <v>無</v>
      </c>
      <c r="S1775" s="324">
        <f>IFERROR(VLOOKUP($G1775,'321買'!$A:$E,4,0),"'沒有資料'")</f>
        <v>1002</v>
      </c>
      <c r="T1775" s="186">
        <f>IFERROR(VLOOKUP($G1775,基本資料!$A:$J,9,0),"無")</f>
        <v>2.5</v>
      </c>
      <c r="U1775" s="307">
        <f t="shared" si="301"/>
        <v>6.4432989690721656E-2</v>
      </c>
      <c r="V1775" s="94">
        <f>IFERROR(VLOOKUP($G1775,基本資料!$A:$J,10,0),"無")</f>
        <v>-1.33</v>
      </c>
      <c r="W1775" s="36">
        <f>RTD("money.excel",,"8383","Price")</f>
        <v>38.799999999999997</v>
      </c>
      <c r="X1775" s="66"/>
      <c r="Y1775" s="15">
        <f t="shared" si="302"/>
        <v>38.799999999999997</v>
      </c>
      <c r="Z1775" s="3" t="e">
        <f t="shared" si="303"/>
        <v>#DIV/0!</v>
      </c>
      <c r="AA1775" s="340">
        <f>IFERROR(VLOOKUP($G1775,基本資料!$A:$M,11,0),"無")</f>
        <v>-9.98</v>
      </c>
      <c r="AB1775" s="389">
        <f>IFERROR(VLOOKUP($G1775,基本資料!$A:$M,12,0),"無")</f>
        <v>40.380000000000003</v>
      </c>
      <c r="AC1775" s="16" t="s">
        <v>163</v>
      </c>
      <c r="AF1775" s="33">
        <f t="shared" si="304"/>
        <v>0</v>
      </c>
      <c r="AG1775" s="117" t="s">
        <v>3056</v>
      </c>
      <c r="AH1775" s="66">
        <f t="shared" si="300"/>
        <v>1.0652038052912993</v>
      </c>
      <c r="AI1775" s="283">
        <f>RTD("money.excel",,$G1775,"PredictVolume")</f>
        <v>767</v>
      </c>
      <c r="AJ1775" s="391">
        <f>IFERROR(VLOOKUP($G1775,基本資料!$A:$M,13,0),"無")</f>
        <v>720.05</v>
      </c>
      <c r="AR1775" s="245" t="str">
        <f>INDEX(基本資料!N:N,MATCH($G1775,基本資料!A:A,0))</f>
        <v>低</v>
      </c>
    </row>
    <row r="1776" spans="1:44">
      <c r="A1776" s="343">
        <f>IFERROR(VLOOKUP($G1776,基本資料!$A:$J,3,0),"無")</f>
        <v>4.4400000000000004</v>
      </c>
      <c r="B1776" s="79">
        <f>IFERROR(VLOOKUP($G1776,基本資料!$A:$J,4,0),"無")</f>
        <v>80</v>
      </c>
      <c r="C1776" s="79">
        <f>IFERROR(VLOOKUP($G1776,基本資料!$A:$J,5,0),"無")</f>
        <v>86</v>
      </c>
      <c r="D1776" s="79">
        <f>IFERROR(VLOOKUP($G1776,基本資料!$A:$J,6,0),"無")</f>
        <v>18</v>
      </c>
      <c r="E1776" s="79">
        <f>IFERROR(VLOOKUP($G1776,基本資料!$A:$J,7,0),"無")</f>
        <v>19</v>
      </c>
      <c r="F1776" s="6">
        <f>IFERROR(VLOOKUP($G1776,基本資料!$A:$J,8,0),"無")</f>
        <v>21.79</v>
      </c>
      <c r="G1776" s="79">
        <v>8431</v>
      </c>
      <c r="H1776" s="8" t="s">
        <v>314</v>
      </c>
      <c r="I1776" s="16" t="s">
        <v>4688</v>
      </c>
      <c r="J1776" s="8">
        <f>IFERROR(VLOOKUP($G1776,今日總結!$A:$AN,39,0),"")</f>
        <v>0</v>
      </c>
      <c r="K1776" s="5">
        <f>IFERROR(VLOOKUP($G1776,今日總結!$A:$AN,40,0),"")</f>
        <v>0</v>
      </c>
      <c r="L1776" s="156">
        <f>IFERROR(VLOOKUP($G1776,今日總結!$A:$AN,37,0),"")</f>
        <v>0</v>
      </c>
      <c r="M1776" s="337">
        <f>IFERROR(VLOOKUP($G1776,今日總結!$A:$AN,38,0),"")</f>
        <v>0</v>
      </c>
      <c r="N1776" s="240">
        <f t="shared" si="305"/>
        <v>0</v>
      </c>
      <c r="O1776" s="359">
        <f>IFERROR(VLOOKUP($G1776,融外自投!$A:$J,7,0),"無")</f>
        <v>18</v>
      </c>
      <c r="P1776" s="79">
        <f>IFERROR(VLOOKUP($G1776,融外自投!$A:$J,9,0),"無")</f>
        <v>596</v>
      </c>
      <c r="Q1776" s="342">
        <f>IFERROR(VLOOKUP($G1776,融外自投!$A:$J,8,0),"無")</f>
        <v>1205</v>
      </c>
      <c r="R1776" s="81">
        <f>IFERROR(VLOOKUP($G1776,融外自投!$A:$J,10,0),"無")</f>
        <v>227</v>
      </c>
      <c r="S1776" s="324">
        <f>IFERROR(VLOOKUP($G1776,'321買'!$A:$E,4,0),"'沒有資料'")</f>
        <v>272</v>
      </c>
      <c r="T1776" s="186">
        <f>IFERROR(VLOOKUP($G1776,基本資料!$A:$J,9,0),"無")</f>
        <v>1.8</v>
      </c>
      <c r="U1776" s="307">
        <f t="shared" si="301"/>
        <v>3.2200357781753133E-2</v>
      </c>
      <c r="V1776" s="94">
        <f>IFERROR(VLOOKUP($G1776,基本資料!$A:$J,10,0),"無")</f>
        <v>4.24</v>
      </c>
      <c r="W1776" s="36">
        <f>RTD("money.excel",,"8431","Price")</f>
        <v>55.9</v>
      </c>
      <c r="X1776" s="66"/>
      <c r="Y1776" s="15">
        <f t="shared" si="302"/>
        <v>55.9</v>
      </c>
      <c r="Z1776" s="3" t="e">
        <f t="shared" si="303"/>
        <v>#DIV/0!</v>
      </c>
      <c r="AA1776" s="340">
        <f>IFERROR(VLOOKUP($G1776,基本資料!$A:$M,11,0),"無")</f>
        <v>-33.770000000000003</v>
      </c>
      <c r="AB1776" s="389">
        <f>IFERROR(VLOOKUP($G1776,基本資料!$A:$M,12,0),"無")</f>
        <v>14.52</v>
      </c>
      <c r="AC1776" s="16" t="s">
        <v>4688</v>
      </c>
      <c r="AF1776" s="33">
        <f t="shared" si="304"/>
        <v>0</v>
      </c>
      <c r="AG1776" s="43" t="s">
        <v>2532</v>
      </c>
      <c r="AH1776" s="66">
        <f t="shared" si="300"/>
        <v>0.77134986225895319</v>
      </c>
      <c r="AI1776" s="283">
        <f>RTD("money.excel",,$G1776,"PredictVolume")</f>
        <v>154</v>
      </c>
      <c r="AJ1776" s="391">
        <f>IFERROR(VLOOKUP($G1776,基本資料!$A:$M,13,0),"無")</f>
        <v>199.65</v>
      </c>
      <c r="AR1776" s="245" t="str">
        <f>INDEX(基本資料!N:N,MATCH($G1776,基本資料!A:A,0))</f>
        <v>低</v>
      </c>
    </row>
    <row r="1777" spans="1:44">
      <c r="A1777" s="343">
        <f>IFERROR(VLOOKUP($G1777,基本資料!$A:$J,3,0),"無")</f>
        <v>2.52</v>
      </c>
      <c r="B1777" s="79">
        <f>IFERROR(VLOOKUP($G1777,基本資料!$A:$J,4,0),"無")</f>
        <v>152</v>
      </c>
      <c r="C1777" s="79">
        <f>IFERROR(VLOOKUP($G1777,基本資料!$A:$J,5,0),"無")</f>
        <v>107</v>
      </c>
      <c r="D1777" s="79">
        <f>IFERROR(VLOOKUP($G1777,基本資料!$A:$J,6,0),"無")</f>
        <v>-31</v>
      </c>
      <c r="E1777" s="79">
        <f>IFERROR(VLOOKUP($G1777,基本資料!$A:$J,7,0),"無")</f>
        <v>14</v>
      </c>
      <c r="F1777" s="6">
        <f>IFERROR(VLOOKUP($G1777,基本資料!$A:$J,8,0),"無")</f>
        <v>0.18</v>
      </c>
      <c r="G1777" s="79">
        <v>8455</v>
      </c>
      <c r="H1777" s="8" t="s">
        <v>314</v>
      </c>
      <c r="I1777" s="16" t="s">
        <v>1074</v>
      </c>
      <c r="J1777" s="8" t="str">
        <f>IFERROR(VLOOKUP($G1777,今日總結!$A:$AN,39,0),"")</f>
        <v/>
      </c>
      <c r="K1777" s="5" t="str">
        <f>IFERROR(VLOOKUP($G1777,今日總結!$A:$AN,40,0),"")</f>
        <v/>
      </c>
      <c r="L1777" s="156" t="str">
        <f>IFERROR(VLOOKUP($G1777,今日總結!$A:$AN,37,0),"")</f>
        <v/>
      </c>
      <c r="M1777" s="337" t="str">
        <f>IFERROR(VLOOKUP($G1777,今日總結!$A:$AN,38,0),"")</f>
        <v/>
      </c>
      <c r="N1777" s="240" t="str">
        <f t="shared" si="305"/>
        <v/>
      </c>
      <c r="O1777" s="359" t="str">
        <f>IFERROR(VLOOKUP($G1777,融外自投!$A:$J,7,0),"無")</f>
        <v>無</v>
      </c>
      <c r="P1777" s="79" t="str">
        <f>IFERROR(VLOOKUP($G1777,融外自投!$A:$J,9,0),"無")</f>
        <v>無</v>
      </c>
      <c r="Q1777" s="342" t="str">
        <f>IFERROR(VLOOKUP($G1777,融外自投!$A:$J,8,0),"無")</f>
        <v>無</v>
      </c>
      <c r="R1777" s="81" t="str">
        <f>IFERROR(VLOOKUP($G1777,融外自投!$A:$J,10,0),"無")</f>
        <v>無</v>
      </c>
      <c r="S1777" s="324" t="str">
        <f>IFERROR(VLOOKUP($G1777,'321買'!$A:$E,4,0),"'沒有資料'")</f>
        <v>'沒有資料'</v>
      </c>
      <c r="T1777" s="186">
        <f>IFERROR(VLOOKUP($G1777,基本資料!$A:$J,9,0),"無")</f>
        <v>0</v>
      </c>
      <c r="U1777" s="307">
        <f t="shared" si="301"/>
        <v>0</v>
      </c>
      <c r="V1777" s="94">
        <f>IFERROR(VLOOKUP($G1777,基本資料!$A:$J,10,0),"無")</f>
        <v>1</v>
      </c>
      <c r="W1777" s="36">
        <f>RTD("money.excel",,"8455","Price")</f>
        <v>28.45</v>
      </c>
      <c r="X1777" s="66"/>
      <c r="Y1777" s="15">
        <f t="shared" si="302"/>
        <v>28.45</v>
      </c>
      <c r="Z1777" s="3" t="e">
        <f t="shared" si="303"/>
        <v>#DIV/0!</v>
      </c>
      <c r="AA1777" s="340">
        <f>IFERROR(VLOOKUP($G1777,基本資料!$A:$M,11,0),"無")</f>
        <v>-16.2</v>
      </c>
      <c r="AB1777" s="389">
        <f>IFERROR(VLOOKUP($G1777,基本資料!$A:$M,12,0),"無")</f>
        <v>62.14</v>
      </c>
      <c r="AC1777" s="16" t="s">
        <v>490</v>
      </c>
      <c r="AF1777" s="33">
        <f t="shared" si="304"/>
        <v>0</v>
      </c>
      <c r="AG1777" s="43" t="s">
        <v>2533</v>
      </c>
      <c r="AH1777" s="66">
        <f t="shared" si="300"/>
        <v>9.0909090909090912E-2</v>
      </c>
      <c r="AI1777" s="283">
        <f>RTD("money.excel",,$G1777,"PredictVolume")</f>
        <v>1</v>
      </c>
      <c r="AJ1777" s="391">
        <f>IFERROR(VLOOKUP($G1777,基本資料!$A:$M,13,0),"無")</f>
        <v>11</v>
      </c>
      <c r="AR1777" s="245" t="str">
        <f>INDEX(基本資料!N:N,MATCH($G1777,基本資料!A:A,0))</f>
        <v>高</v>
      </c>
    </row>
    <row r="1778" spans="1:44">
      <c r="A1778" s="142"/>
      <c r="B1778" s="90"/>
      <c r="C1778" s="90"/>
      <c r="D1778" s="90"/>
      <c r="E1778" s="90"/>
      <c r="F1778" s="6"/>
      <c r="G1778" s="79"/>
      <c r="H1778" s="8"/>
      <c r="I1778" s="16"/>
      <c r="L1778" s="2"/>
      <c r="O1778" s="360"/>
      <c r="Q1778" s="351"/>
      <c r="R1778" s="26"/>
      <c r="T1778" s="34"/>
      <c r="V1778" s="94"/>
      <c r="W1778" s="36"/>
      <c r="X1778" s="66"/>
      <c r="Y1778" s="15"/>
      <c r="Z1778" s="3"/>
      <c r="AC1778" s="16"/>
      <c r="AF1778" s="33"/>
      <c r="AG1778" s="43"/>
      <c r="AH1778" s="66" t="e">
        <f t="shared" si="300"/>
        <v>#DIV/0!</v>
      </c>
      <c r="AI1778" s="283"/>
    </row>
    <row r="1779" spans="1:44">
      <c r="A1779" s="127" t="s">
        <v>1672</v>
      </c>
      <c r="B1779" s="90" t="s">
        <v>1571</v>
      </c>
      <c r="C1779" s="90" t="s">
        <v>1572</v>
      </c>
      <c r="D1779" s="90" t="s">
        <v>1573</v>
      </c>
      <c r="E1779" s="90" t="s">
        <v>1574</v>
      </c>
      <c r="F1779" s="8" t="s">
        <v>1059</v>
      </c>
      <c r="G1779" s="27" t="s">
        <v>4689</v>
      </c>
      <c r="H1779" s="55" t="s">
        <v>320</v>
      </c>
      <c r="I1779" s="50" t="s">
        <v>1024</v>
      </c>
      <c r="J1779" s="8" t="s">
        <v>6211</v>
      </c>
      <c r="K1779" s="5" t="s">
        <v>6212</v>
      </c>
      <c r="L1779" s="334" t="s">
        <v>6197</v>
      </c>
      <c r="M1779" s="335" t="s">
        <v>6198</v>
      </c>
      <c r="N1779" s="336" t="s">
        <v>6199</v>
      </c>
      <c r="O1779" s="89" t="s">
        <v>6275</v>
      </c>
      <c r="P1779" s="292" t="s">
        <v>6274</v>
      </c>
      <c r="Q1779" s="350" t="s">
        <v>6273</v>
      </c>
      <c r="R1779" s="26" t="s">
        <v>6276</v>
      </c>
      <c r="S1779" s="318" t="s">
        <v>4715</v>
      </c>
      <c r="T1779" s="10" t="s">
        <v>66</v>
      </c>
      <c r="U1779" s="305" t="s">
        <v>4728</v>
      </c>
      <c r="V1779" s="68" t="s">
        <v>3272</v>
      </c>
      <c r="W1779" s="28" t="s">
        <v>2</v>
      </c>
      <c r="X1779" s="17" t="s">
        <v>1398</v>
      </c>
      <c r="Y1779" s="14" t="s">
        <v>5</v>
      </c>
      <c r="Z1779" s="21" t="s">
        <v>3</v>
      </c>
      <c r="AA1779" s="96" t="s">
        <v>6166</v>
      </c>
      <c r="AB1779" s="378" t="s">
        <v>6404</v>
      </c>
      <c r="AC1779" s="50" t="s">
        <v>1024</v>
      </c>
      <c r="AD1779" s="71" t="s">
        <v>1399</v>
      </c>
      <c r="AE1779" s="72" t="s">
        <v>1156</v>
      </c>
      <c r="AF1779" s="32" t="s">
        <v>1157</v>
      </c>
      <c r="AG1779" s="25" t="s">
        <v>6200</v>
      </c>
      <c r="AH1779" s="8" t="s">
        <v>6696</v>
      </c>
      <c r="AI1779" s="50" t="s">
        <v>3360</v>
      </c>
      <c r="AJ1779" s="22" t="s">
        <v>6695</v>
      </c>
    </row>
    <row r="1780" spans="1:44">
      <c r="A1780" s="343">
        <f>IFERROR(VLOOKUP($G1780,基本資料!$A:$J,3,0),"無")</f>
        <v>4.7300000000000004</v>
      </c>
      <c r="B1780" s="79">
        <f>IFERROR(VLOOKUP($G1780,基本資料!$A:$J,4,0),"無")</f>
        <v>-568</v>
      </c>
      <c r="C1780" s="79">
        <f>IFERROR(VLOOKUP($G1780,基本資料!$A:$J,5,0),"無")</f>
        <v>-610</v>
      </c>
      <c r="D1780" s="79">
        <f>IFERROR(VLOOKUP($G1780,基本資料!$A:$J,6,0),"無")</f>
        <v>-8</v>
      </c>
      <c r="E1780" s="79">
        <f>IFERROR(VLOOKUP($G1780,基本資料!$A:$J,7,0),"無")</f>
        <v>-8</v>
      </c>
      <c r="F1780" s="6">
        <f>IFERROR(VLOOKUP($G1780,基本資料!$A:$J,8,0),"無")</f>
        <v>-9.5500000000000007</v>
      </c>
      <c r="G1780" s="79">
        <v>2926</v>
      </c>
      <c r="H1780" s="8" t="s">
        <v>1024</v>
      </c>
      <c r="I1780" s="16" t="s">
        <v>4690</v>
      </c>
      <c r="J1780" s="8">
        <f>IFERROR(VLOOKUP($G1780,今日總結!$A:$AN,39,0),"")</f>
        <v>0</v>
      </c>
      <c r="K1780" s="5">
        <f>IFERROR(VLOOKUP($G1780,今日總結!$A:$AN,40,0),"")</f>
        <v>0</v>
      </c>
      <c r="L1780" s="156">
        <f>IFERROR(VLOOKUP($G1780,今日總結!$A:$AN,37,0),"")</f>
        <v>0</v>
      </c>
      <c r="M1780" s="337">
        <f>IFERROR(VLOOKUP($G1780,今日總結!$A:$AN,38,0),"")</f>
        <v>0</v>
      </c>
      <c r="N1780" s="240">
        <f t="shared" ref="N1780:N1789" si="312">IFERROR(L1780-M1780,"")</f>
        <v>0</v>
      </c>
      <c r="O1780" s="359">
        <f>IFERROR(VLOOKUP($G1780,融外自投!$A:$J,7,0),"無")</f>
        <v>1222</v>
      </c>
      <c r="P1780" s="79">
        <f>IFERROR(VLOOKUP($G1780,融外自投!$A:$J,9,0),"無")</f>
        <v>1123</v>
      </c>
      <c r="Q1780" s="342">
        <f>IFERROR(VLOOKUP($G1780,融外自投!$A:$J,8,0),"無")</f>
        <v>401</v>
      </c>
      <c r="R1780" s="81" t="str">
        <f>IFERROR(VLOOKUP($G1780,融外自投!$A:$J,10,0),"無")</f>
        <v>無</v>
      </c>
      <c r="S1780" s="324">
        <f>IFERROR(VLOOKUP($G1780,'321買'!$A:$E,4,0),"'沒有資料'")</f>
        <v>1002</v>
      </c>
      <c r="T1780" s="186">
        <f>IFERROR(VLOOKUP($G1780,基本資料!$A:$J,9,0),"無")</f>
        <v>0</v>
      </c>
      <c r="U1780" s="307">
        <f t="shared" ref="U1780:U1804" si="313">$T1780/$W1780</f>
        <v>0</v>
      </c>
      <c r="V1780" s="94">
        <f>IFERROR(VLOOKUP($G1780,基本資料!$A:$J,10,0),"無")</f>
        <v>-4.82</v>
      </c>
      <c r="W1780" s="36">
        <f>RTD("money.excel",,"2926","Price")</f>
        <v>52</v>
      </c>
      <c r="X1780" s="66"/>
      <c r="Y1780" s="15">
        <f t="shared" ref="Y1780:Y1804" si="314">W1780-X1780</f>
        <v>52</v>
      </c>
      <c r="Z1780" s="3" t="e">
        <f t="shared" ref="Z1780:Z1804" si="315">Y1780/X1780</f>
        <v>#DIV/0!</v>
      </c>
      <c r="AA1780" s="340">
        <f>IFERROR(VLOOKUP($G1780,基本資料!$A:$M,11,0),"無")</f>
        <v>-23.08</v>
      </c>
      <c r="AB1780" s="389">
        <f>IFERROR(VLOOKUP($G1780,基本資料!$A:$M,12,0),"無")</f>
        <v>7.16</v>
      </c>
      <c r="AC1780" s="16" t="s">
        <v>4690</v>
      </c>
      <c r="AF1780" s="33">
        <f t="shared" ref="AF1780:AF1804" si="316">AE1780-AD1780</f>
        <v>0</v>
      </c>
      <c r="AG1780" s="117" t="s">
        <v>2346</v>
      </c>
      <c r="AH1780" s="66">
        <f t="shared" si="300"/>
        <v>1.1453744493392071</v>
      </c>
      <c r="AI1780" s="283">
        <f>RTD("money.excel",,$G1780,"PredictVolume")</f>
        <v>13</v>
      </c>
      <c r="AJ1780" s="391">
        <f>IFERROR(VLOOKUP($G1780,基本資料!$A:$M,13,0),"無")</f>
        <v>11.35</v>
      </c>
      <c r="AR1780" s="245" t="str">
        <f>INDEX(基本資料!N:N,MATCH($G1780,基本資料!A:A,0))</f>
        <v>低</v>
      </c>
    </row>
    <row r="1781" spans="1:44">
      <c r="A1781" s="343">
        <f>IFERROR(VLOOKUP($G1781,基本資料!$A:$J,3,0),"無")</f>
        <v>2.67</v>
      </c>
      <c r="B1781" s="79">
        <f>IFERROR(VLOOKUP($G1781,基本資料!$A:$J,4,0),"無")</f>
        <v>61</v>
      </c>
      <c r="C1781" s="79">
        <f>IFERROR(VLOOKUP($G1781,基本資料!$A:$J,5,0),"無")</f>
        <v>83</v>
      </c>
      <c r="D1781" s="79">
        <f>IFERROR(VLOOKUP($G1781,基本資料!$A:$J,6,0),"無")</f>
        <v>7</v>
      </c>
      <c r="E1781" s="79">
        <f>IFERROR(VLOOKUP($G1781,基本資料!$A:$J,7,0),"無")</f>
        <v>-73</v>
      </c>
      <c r="F1781" s="6">
        <f>IFERROR(VLOOKUP($G1781,基本資料!$A:$J,8,0),"無")</f>
        <v>-3.56</v>
      </c>
      <c r="G1781" s="79">
        <v>3064</v>
      </c>
      <c r="H1781" s="8" t="s">
        <v>1024</v>
      </c>
      <c r="I1781" s="16" t="s">
        <v>70</v>
      </c>
      <c r="J1781" s="8" t="str">
        <f>IFERROR(VLOOKUP($G1781,今日總結!$A:$AN,39,0),"")</f>
        <v/>
      </c>
      <c r="K1781" s="5" t="str">
        <f>IFERROR(VLOOKUP($G1781,今日總結!$A:$AN,40,0),"")</f>
        <v/>
      </c>
      <c r="L1781" s="156" t="str">
        <f>IFERROR(VLOOKUP($G1781,今日總結!$A:$AN,37,0),"")</f>
        <v/>
      </c>
      <c r="M1781" s="337" t="str">
        <f>IFERROR(VLOOKUP($G1781,今日總結!$A:$AN,38,0),"")</f>
        <v/>
      </c>
      <c r="N1781" s="240" t="str">
        <f t="shared" si="312"/>
        <v/>
      </c>
      <c r="O1781" s="359" t="str">
        <f>IFERROR(VLOOKUP($G1781,融外自投!$A:$J,7,0),"無")</f>
        <v>無</v>
      </c>
      <c r="P1781" s="79" t="str">
        <f>IFERROR(VLOOKUP($G1781,融外自投!$A:$J,9,0),"無")</f>
        <v>無</v>
      </c>
      <c r="Q1781" s="342" t="str">
        <f>IFERROR(VLOOKUP($G1781,融外自投!$A:$J,8,0),"無")</f>
        <v>無</v>
      </c>
      <c r="R1781" s="81" t="str">
        <f>IFERROR(VLOOKUP($G1781,融外自投!$A:$J,10,0),"無")</f>
        <v>無</v>
      </c>
      <c r="S1781" s="324" t="str">
        <f>IFERROR(VLOOKUP($G1781,'321買'!$A:$E,4,0),"'沒有資料'")</f>
        <v>'沒有資料'</v>
      </c>
      <c r="T1781" s="186">
        <f>IFERROR(VLOOKUP($G1781,基本資料!$A:$J,9,0),"無")</f>
        <v>0</v>
      </c>
      <c r="U1781" s="307" t="e">
        <f t="shared" si="313"/>
        <v>#VALUE!</v>
      </c>
      <c r="V1781" s="94">
        <f>IFERROR(VLOOKUP($G1781,基本資料!$A:$J,10,0),"無")</f>
        <v>-0.75</v>
      </c>
      <c r="W1781" s="36" t="str">
        <f>RTD("money.excel",,"3064","Price")</f>
        <v>無資料</v>
      </c>
      <c r="X1781" s="66"/>
      <c r="Y1781" s="15" t="e">
        <f t="shared" si="314"/>
        <v>#VALUE!</v>
      </c>
      <c r="Z1781" s="3" t="e">
        <f t="shared" si="315"/>
        <v>#VALUE!</v>
      </c>
      <c r="AA1781" s="340">
        <f>IFERROR(VLOOKUP($G1781,基本資料!$A:$M,11,0),"無")</f>
        <v>-56.47</v>
      </c>
      <c r="AB1781" s="389">
        <f>IFERROR(VLOOKUP($G1781,基本資料!$A:$M,12,0),"無")</f>
        <v>11.17</v>
      </c>
      <c r="AC1781" s="16" t="s">
        <v>70</v>
      </c>
      <c r="AF1781" s="33">
        <f t="shared" si="316"/>
        <v>0</v>
      </c>
      <c r="AG1781" s="117" t="s">
        <v>2345</v>
      </c>
      <c r="AH1781" s="66">
        <f t="shared" si="300"/>
        <v>0</v>
      </c>
      <c r="AI1781" s="283">
        <f>RTD("money.excel",,$G1781,"PredictVolume")</f>
        <v>0</v>
      </c>
      <c r="AJ1781" s="391">
        <f>IFERROR(VLOOKUP($G1781,基本資料!$A:$M,13,0),"無")</f>
        <v>2.15</v>
      </c>
      <c r="AR1781" s="245" t="str">
        <f>INDEX(基本資料!N:N,MATCH($G1781,基本資料!A:A,0))</f>
        <v>低</v>
      </c>
    </row>
    <row r="1782" spans="1:44">
      <c r="A1782" s="343">
        <f>IFERROR(VLOOKUP($G1782,基本資料!$A:$J,3,0),"無")</f>
        <v>8.6199999999999992</v>
      </c>
      <c r="B1782" s="79">
        <f>IFERROR(VLOOKUP($G1782,基本資料!$A:$J,4,0),"無")</f>
        <v>-384</v>
      </c>
      <c r="C1782" s="79">
        <f>IFERROR(VLOOKUP($G1782,基本資料!$A:$J,5,0),"無")</f>
        <v>-532</v>
      </c>
      <c r="D1782" s="79">
        <f>IFERROR(VLOOKUP($G1782,基本資料!$A:$J,6,0),"無")</f>
        <v>14</v>
      </c>
      <c r="E1782" s="79">
        <f>IFERROR(VLOOKUP($G1782,基本資料!$A:$J,7,0),"無")</f>
        <v>35</v>
      </c>
      <c r="F1782" s="6">
        <f>IFERROR(VLOOKUP($G1782,基本資料!$A:$J,8,0),"無")</f>
        <v>-18.45</v>
      </c>
      <c r="G1782" s="79">
        <v>3083</v>
      </c>
      <c r="H1782" s="8" t="s">
        <v>1024</v>
      </c>
      <c r="I1782" s="16" t="s">
        <v>4691</v>
      </c>
      <c r="J1782" s="8">
        <f>IFERROR(VLOOKUP($G1782,今日總結!$A:$AN,39,0),"")</f>
        <v>0</v>
      </c>
      <c r="K1782" s="5" t="str">
        <f>IFERROR(VLOOKUP($G1782,今日總結!$A:$AN,40,0),"")</f>
        <v>融</v>
      </c>
      <c r="L1782" s="156">
        <f>IFERROR(VLOOKUP($G1782,今日總結!$A:$AN,37,0),"")</f>
        <v>0</v>
      </c>
      <c r="M1782" s="337">
        <f>IFERROR(VLOOKUP($G1782,今日總結!$A:$AN,38,0),"")</f>
        <v>3</v>
      </c>
      <c r="N1782" s="240">
        <f t="shared" si="312"/>
        <v>-3</v>
      </c>
      <c r="O1782" s="359">
        <f>IFERROR(VLOOKUP($G1782,融外自投!$A:$J,7,0),"無")</f>
        <v>528</v>
      </c>
      <c r="P1782" s="79">
        <f>IFERROR(VLOOKUP($G1782,融外自投!$A:$J,9,0),"無")</f>
        <v>336</v>
      </c>
      <c r="Q1782" s="342">
        <f>IFERROR(VLOOKUP($G1782,融外自投!$A:$J,8,0),"無")</f>
        <v>1387</v>
      </c>
      <c r="R1782" s="81">
        <f>IFERROR(VLOOKUP($G1782,融外自投!$A:$J,10,0),"無")</f>
        <v>233</v>
      </c>
      <c r="S1782" s="324">
        <f>IFERROR(VLOOKUP($G1782,'321買'!$A:$E,4,0),"'沒有資料'")</f>
        <v>530</v>
      </c>
      <c r="T1782" s="186">
        <f>IFERROR(VLOOKUP($G1782,基本資料!$A:$J,9,0),"無")</f>
        <v>0</v>
      </c>
      <c r="U1782" s="307">
        <f t="shared" si="313"/>
        <v>0</v>
      </c>
      <c r="V1782" s="94">
        <f>IFERROR(VLOOKUP($G1782,基本資料!$A:$J,10,0),"無")</f>
        <v>-0.46</v>
      </c>
      <c r="W1782" s="36">
        <f>RTD("money.excel",,"3083","Price")</f>
        <v>45.6</v>
      </c>
      <c r="X1782" s="66"/>
      <c r="Y1782" s="15">
        <f t="shared" si="314"/>
        <v>45.6</v>
      </c>
      <c r="Z1782" s="3" t="e">
        <f t="shared" si="315"/>
        <v>#DIV/0!</v>
      </c>
      <c r="AA1782" s="340">
        <f>IFERROR(VLOOKUP($G1782,基本資料!$A:$M,11,0),"無")</f>
        <v>-34.67</v>
      </c>
      <c r="AB1782" s="389">
        <f>IFERROR(VLOOKUP($G1782,基本資料!$A:$M,12,0),"無")</f>
        <v>26.9</v>
      </c>
      <c r="AC1782" s="16" t="s">
        <v>4691</v>
      </c>
      <c r="AF1782" s="33">
        <f t="shared" si="316"/>
        <v>0</v>
      </c>
      <c r="AG1782" s="117" t="s">
        <v>2010</v>
      </c>
      <c r="AH1782" s="66">
        <f t="shared" si="300"/>
        <v>0.22588235294117648</v>
      </c>
      <c r="AI1782" s="283">
        <f>RTD("money.excel",,$G1782,"PredictVolume")</f>
        <v>120</v>
      </c>
      <c r="AJ1782" s="391">
        <f>IFERROR(VLOOKUP($G1782,基本資料!$A:$M,13,0),"無")</f>
        <v>531.25</v>
      </c>
      <c r="AR1782" s="245" t="str">
        <f>INDEX(基本資料!N:N,MATCH($G1782,基本資料!A:A,0))</f>
        <v>低</v>
      </c>
    </row>
    <row r="1783" spans="1:44">
      <c r="A1783" s="343">
        <f>IFERROR(VLOOKUP($G1783,基本資料!$A:$J,3,0),"無")</f>
        <v>1.93</v>
      </c>
      <c r="B1783" s="79">
        <f>IFERROR(VLOOKUP($G1783,基本資料!$A:$J,4,0),"無")</f>
        <v>16379</v>
      </c>
      <c r="C1783" s="79">
        <f>IFERROR(VLOOKUP($G1783,基本資料!$A:$J,5,0),"無")</f>
        <v>5265</v>
      </c>
      <c r="D1783" s="79">
        <f>IFERROR(VLOOKUP($G1783,基本資料!$A:$J,6,0),"無")</f>
        <v>-14</v>
      </c>
      <c r="E1783" s="79">
        <f>IFERROR(VLOOKUP($G1783,基本資料!$A:$J,7,0),"無")</f>
        <v>-45</v>
      </c>
      <c r="F1783" s="6">
        <f>IFERROR(VLOOKUP($G1783,基本資料!$A:$J,8,0),"無")</f>
        <v>38.619999999999997</v>
      </c>
      <c r="G1783" s="79">
        <v>3086</v>
      </c>
      <c r="H1783" s="8" t="s">
        <v>1024</v>
      </c>
      <c r="I1783" s="16" t="s">
        <v>4692</v>
      </c>
      <c r="J1783" s="8">
        <f>IFERROR(VLOOKUP($G1783,今日總結!$A:$AN,39,0),"")</f>
        <v>0</v>
      </c>
      <c r="K1783" s="5">
        <f>IFERROR(VLOOKUP($G1783,今日總結!$A:$AN,40,0),"")</f>
        <v>0</v>
      </c>
      <c r="L1783" s="156">
        <f>IFERROR(VLOOKUP($G1783,今日總結!$A:$AN,37,0),"")</f>
        <v>0</v>
      </c>
      <c r="M1783" s="337">
        <f>IFERROR(VLOOKUP($G1783,今日總結!$A:$AN,38,0),"")</f>
        <v>0</v>
      </c>
      <c r="N1783" s="240">
        <f t="shared" si="312"/>
        <v>0</v>
      </c>
      <c r="O1783" s="359">
        <f>IFERROR(VLOOKUP($G1783,融外自投!$A:$J,7,0),"無")</f>
        <v>385</v>
      </c>
      <c r="P1783" s="79" t="str">
        <f>IFERROR(VLOOKUP($G1783,融外自投!$A:$J,9,0),"無")</f>
        <v>無</v>
      </c>
      <c r="Q1783" s="342">
        <f>IFERROR(VLOOKUP($G1783,融外自投!$A:$J,8,0),"無")</f>
        <v>189</v>
      </c>
      <c r="R1783" s="81" t="str">
        <f>IFERROR(VLOOKUP($G1783,融外自投!$A:$J,10,0),"無")</f>
        <v>無</v>
      </c>
      <c r="S1783" s="324">
        <f>IFERROR(VLOOKUP($G1783,'321買'!$A:$E,4,0),"'沒有資料'")</f>
        <v>465</v>
      </c>
      <c r="T1783" s="186">
        <f>IFERROR(VLOOKUP($G1783,基本資料!$A:$J,9,0),"無")</f>
        <v>3.5</v>
      </c>
      <c r="U1783" s="307">
        <f t="shared" si="313"/>
        <v>3.3816425120772944E-2</v>
      </c>
      <c r="V1783" s="94">
        <f>IFERROR(VLOOKUP($G1783,基本資料!$A:$J,10,0),"無")</f>
        <v>4.8</v>
      </c>
      <c r="W1783" s="36">
        <f>RTD("money.excel",,"3086","Price")</f>
        <v>103.5</v>
      </c>
      <c r="X1783" s="66"/>
      <c r="Y1783" s="15">
        <f t="shared" si="314"/>
        <v>103.5</v>
      </c>
      <c r="Z1783" s="3" t="e">
        <f t="shared" si="315"/>
        <v>#DIV/0!</v>
      </c>
      <c r="AA1783" s="340">
        <f>IFERROR(VLOOKUP($G1783,基本資料!$A:$M,11,0),"無")</f>
        <v>-40.17</v>
      </c>
      <c r="AB1783" s="389">
        <f>IFERROR(VLOOKUP($G1783,基本資料!$A:$M,12,0),"無")</f>
        <v>18.14</v>
      </c>
      <c r="AC1783" s="16" t="s">
        <v>4692</v>
      </c>
      <c r="AF1783" s="33">
        <f t="shared" si="316"/>
        <v>0</v>
      </c>
      <c r="AG1783" s="117" t="s">
        <v>2318</v>
      </c>
      <c r="AH1783" s="66">
        <f t="shared" si="300"/>
        <v>0.26345502446368085</v>
      </c>
      <c r="AI1783" s="283">
        <f>RTD("money.excel",,$G1783,"PredictVolume")</f>
        <v>35</v>
      </c>
      <c r="AJ1783" s="391">
        <f>IFERROR(VLOOKUP($G1783,基本資料!$A:$M,13,0),"無")</f>
        <v>132.85</v>
      </c>
      <c r="AR1783" s="245" t="str">
        <f>INDEX(基本資料!N:N,MATCH($G1783,基本資料!A:A,0))</f>
        <v>低</v>
      </c>
    </row>
    <row r="1784" spans="1:44">
      <c r="A1784" s="343">
        <f>IFERROR(VLOOKUP($G1784,基本資料!$A:$J,3,0),"無")</f>
        <v>7.04</v>
      </c>
      <c r="B1784" s="79">
        <f>IFERROR(VLOOKUP($G1784,基本資料!$A:$J,4,0),"無")</f>
        <v>38</v>
      </c>
      <c r="C1784" s="79">
        <f>IFERROR(VLOOKUP($G1784,基本資料!$A:$J,5,0),"無")</f>
        <v>37</v>
      </c>
      <c r="D1784" s="79">
        <f>IFERROR(VLOOKUP($G1784,基本資料!$A:$J,6,0),"無")</f>
        <v>-3</v>
      </c>
      <c r="E1784" s="79">
        <f>IFERROR(VLOOKUP($G1784,基本資料!$A:$J,7,0),"無")</f>
        <v>5</v>
      </c>
      <c r="F1784" s="6">
        <f>IFERROR(VLOOKUP($G1784,基本資料!$A:$J,8,0),"無")</f>
        <v>51.51</v>
      </c>
      <c r="G1784" s="79">
        <v>3293</v>
      </c>
      <c r="H1784" s="8" t="s">
        <v>1024</v>
      </c>
      <c r="I1784" s="16" t="s">
        <v>260</v>
      </c>
      <c r="J1784" s="8">
        <f>IFERROR(VLOOKUP($G1784,今日總結!$A:$AN,39,0),"")</f>
        <v>0</v>
      </c>
      <c r="K1784" s="5">
        <f>IFERROR(VLOOKUP($G1784,今日總結!$A:$AN,40,0),"")</f>
        <v>0</v>
      </c>
      <c r="L1784" s="156">
        <f>IFERROR(VLOOKUP($G1784,今日總結!$A:$AN,37,0),"")</f>
        <v>0</v>
      </c>
      <c r="M1784" s="337">
        <f>IFERROR(VLOOKUP($G1784,今日總結!$A:$AN,38,0),"")</f>
        <v>0</v>
      </c>
      <c r="N1784" s="240">
        <f t="shared" si="312"/>
        <v>0</v>
      </c>
      <c r="O1784" s="359">
        <f>IFERROR(VLOOKUP($G1784,融外自投!$A:$J,7,0),"無")</f>
        <v>669</v>
      </c>
      <c r="P1784" s="79">
        <f>IFERROR(VLOOKUP($G1784,融外自投!$A:$J,9,0),"無")</f>
        <v>55</v>
      </c>
      <c r="Q1784" s="342">
        <f>IFERROR(VLOOKUP($G1784,融外自投!$A:$J,8,0),"無")</f>
        <v>185</v>
      </c>
      <c r="R1784" s="81">
        <f>IFERROR(VLOOKUP($G1784,融外自投!$A:$J,10,0),"無")</f>
        <v>224</v>
      </c>
      <c r="S1784" s="324">
        <f>IFERROR(VLOOKUP($G1784,'321買'!$A:$E,4,0),"'沒有資料'")</f>
        <v>650</v>
      </c>
      <c r="T1784" s="186">
        <f>IFERROR(VLOOKUP($G1784,基本資料!$A:$J,9,0),"無")</f>
        <v>60</v>
      </c>
      <c r="U1784" s="307">
        <f t="shared" si="313"/>
        <v>8.4033613445378158E-2</v>
      </c>
      <c r="V1784" s="94">
        <f>IFERROR(VLOOKUP($G1784,基本資料!$A:$J,10,0),"無")</f>
        <v>67.209999999999994</v>
      </c>
      <c r="W1784" s="36">
        <f>RTD("money.excel",,"3293","Price")</f>
        <v>714</v>
      </c>
      <c r="X1784" s="66"/>
      <c r="Y1784" s="15">
        <f t="shared" si="314"/>
        <v>714</v>
      </c>
      <c r="Z1784" s="3" t="e">
        <f t="shared" si="315"/>
        <v>#DIV/0!</v>
      </c>
      <c r="AA1784" s="340">
        <f>IFERROR(VLOOKUP($G1784,基本資料!$A:$M,11,0),"無")</f>
        <v>-23.06</v>
      </c>
      <c r="AB1784" s="389">
        <f>IFERROR(VLOOKUP($G1784,基本資料!$A:$M,12,0),"無")</f>
        <v>30.13</v>
      </c>
      <c r="AC1784" s="16" t="s">
        <v>260</v>
      </c>
      <c r="AF1784" s="33">
        <f t="shared" si="316"/>
        <v>0</v>
      </c>
      <c r="AG1784" s="117" t="s">
        <v>2318</v>
      </c>
      <c r="AH1784" s="66">
        <f t="shared" si="300"/>
        <v>0.42162387810477975</v>
      </c>
      <c r="AI1784" s="283">
        <f>RTD("money.excel",,$G1784,"PredictVolume")</f>
        <v>101</v>
      </c>
      <c r="AJ1784" s="391">
        <f>IFERROR(VLOOKUP($G1784,基本資料!$A:$M,13,0),"無")</f>
        <v>239.55</v>
      </c>
      <c r="AR1784" s="245" t="str">
        <f>INDEX(基本資料!N:N,MATCH($G1784,基本資料!A:A,0))</f>
        <v>中</v>
      </c>
    </row>
    <row r="1785" spans="1:44">
      <c r="A1785" s="343">
        <f>IFERROR(VLOOKUP($G1785,基本資料!$A:$J,3,0),"無")</f>
        <v>4.8099999999999996</v>
      </c>
      <c r="B1785" s="79">
        <f>IFERROR(VLOOKUP($G1785,基本資料!$A:$J,4,0),"無")</f>
        <v>2</v>
      </c>
      <c r="C1785" s="79">
        <f>IFERROR(VLOOKUP($G1785,基本資料!$A:$J,5,0),"無")</f>
        <v>3</v>
      </c>
      <c r="D1785" s="79">
        <f>IFERROR(VLOOKUP($G1785,基本資料!$A:$J,6,0),"無")</f>
        <v>12</v>
      </c>
      <c r="E1785" s="79">
        <f>IFERROR(VLOOKUP($G1785,基本資料!$A:$J,7,0),"無")</f>
        <v>25</v>
      </c>
      <c r="F1785" s="6">
        <f>IFERROR(VLOOKUP($G1785,基本資料!$A:$J,8,0),"無")</f>
        <v>20.38</v>
      </c>
      <c r="G1785" s="79">
        <v>3546</v>
      </c>
      <c r="H1785" s="8" t="s">
        <v>1024</v>
      </c>
      <c r="I1785" s="16" t="s">
        <v>71</v>
      </c>
      <c r="J1785" s="8">
        <f>IFERROR(VLOOKUP($G1785,今日總結!$A:$AN,39,0),"")</f>
        <v>0</v>
      </c>
      <c r="K1785" s="5">
        <f>IFERROR(VLOOKUP($G1785,今日總結!$A:$AN,40,0),"")</f>
        <v>0</v>
      </c>
      <c r="L1785" s="156">
        <f>IFERROR(VLOOKUP($G1785,今日總結!$A:$AN,37,0),"")</f>
        <v>0</v>
      </c>
      <c r="M1785" s="337">
        <f>IFERROR(VLOOKUP($G1785,今日總結!$A:$AN,38,0),"")</f>
        <v>0</v>
      </c>
      <c r="N1785" s="240">
        <f t="shared" si="312"/>
        <v>0</v>
      </c>
      <c r="O1785" s="359">
        <f>IFERROR(VLOOKUP($G1785,融外自投!$A:$J,7,0),"無")</f>
        <v>336</v>
      </c>
      <c r="P1785" s="79">
        <f>IFERROR(VLOOKUP($G1785,融外自投!$A:$J,9,0),"無")</f>
        <v>825</v>
      </c>
      <c r="Q1785" s="342">
        <f>IFERROR(VLOOKUP($G1785,融外自投!$A:$J,8,0),"無")</f>
        <v>463</v>
      </c>
      <c r="R1785" s="81" t="str">
        <f>IFERROR(VLOOKUP($G1785,融外自投!$A:$J,10,0),"無")</f>
        <v>無</v>
      </c>
      <c r="S1785" s="324">
        <f>IFERROR(VLOOKUP($G1785,'321買'!$A:$E,4,0),"'沒有資料'")</f>
        <v>253</v>
      </c>
      <c r="T1785" s="186">
        <f>IFERROR(VLOOKUP($G1785,基本資料!$A:$J,9,0),"無")</f>
        <v>5</v>
      </c>
      <c r="U1785" s="307">
        <f t="shared" si="313"/>
        <v>6.3371356147021538E-2</v>
      </c>
      <c r="V1785" s="94">
        <f>IFERROR(VLOOKUP($G1785,基本資料!$A:$J,10,0),"無")</f>
        <v>6.01</v>
      </c>
      <c r="W1785" s="36">
        <f>RTD("money.excel",,"3546","Price")</f>
        <v>78.900000000000006</v>
      </c>
      <c r="X1785" s="66"/>
      <c r="Y1785" s="15">
        <f t="shared" si="314"/>
        <v>78.900000000000006</v>
      </c>
      <c r="Z1785" s="3" t="e">
        <f t="shared" si="315"/>
        <v>#DIV/0!</v>
      </c>
      <c r="AA1785" s="340">
        <f>IFERROR(VLOOKUP($G1785,基本資料!$A:$M,11,0),"無")</f>
        <v>-24.5</v>
      </c>
      <c r="AB1785" s="389">
        <f>IFERROR(VLOOKUP($G1785,基本資料!$A:$M,12,0),"無")</f>
        <v>24.13</v>
      </c>
      <c r="AC1785" s="16" t="s">
        <v>71</v>
      </c>
      <c r="AF1785" s="33">
        <f t="shared" si="316"/>
        <v>0</v>
      </c>
      <c r="AG1785" s="117" t="s">
        <v>3068</v>
      </c>
      <c r="AH1785" s="66">
        <f t="shared" si="300"/>
        <v>1.329923273657289</v>
      </c>
      <c r="AI1785" s="283">
        <f>RTD("money.excel",,$G1785,"PredictVolume")</f>
        <v>182</v>
      </c>
      <c r="AJ1785" s="391">
        <f>IFERROR(VLOOKUP($G1785,基本資料!$A:$M,13,0),"無")</f>
        <v>136.85</v>
      </c>
      <c r="AR1785" s="245" t="str">
        <f>INDEX(基本資料!N:N,MATCH($G1785,基本資料!A:A,0))</f>
        <v>低</v>
      </c>
    </row>
    <row r="1786" spans="1:44">
      <c r="A1786" s="343">
        <f>IFERROR(VLOOKUP($G1786,基本資料!$A:$J,3,0),"無")</f>
        <v>3.37</v>
      </c>
      <c r="B1786" s="79">
        <f>IFERROR(VLOOKUP($G1786,基本資料!$A:$J,4,0),"無")</f>
        <v>-780</v>
      </c>
      <c r="C1786" s="79">
        <f>IFERROR(VLOOKUP($G1786,基本資料!$A:$J,5,0),"無")</f>
        <v>-237</v>
      </c>
      <c r="D1786" s="79">
        <f>IFERROR(VLOOKUP($G1786,基本資料!$A:$J,6,0),"無")</f>
        <v>-60</v>
      </c>
      <c r="E1786" s="79">
        <f>IFERROR(VLOOKUP($G1786,基本資料!$A:$J,7,0),"無")</f>
        <v>-75</v>
      </c>
      <c r="F1786" s="6">
        <f>IFERROR(VLOOKUP($G1786,基本資料!$A:$J,8,0),"無")</f>
        <v>-31.41</v>
      </c>
      <c r="G1786" s="79">
        <v>3629</v>
      </c>
      <c r="H1786" s="8" t="s">
        <v>1024</v>
      </c>
      <c r="I1786" s="16" t="s">
        <v>3001</v>
      </c>
      <c r="J1786" s="8" t="str">
        <f>IFERROR(VLOOKUP($G1786,今日總結!$A:$AN,39,0),"")</f>
        <v/>
      </c>
      <c r="K1786" s="5" t="str">
        <f>IFERROR(VLOOKUP($G1786,今日總結!$A:$AN,40,0),"")</f>
        <v/>
      </c>
      <c r="L1786" s="156" t="str">
        <f>IFERROR(VLOOKUP($G1786,今日總結!$A:$AN,37,0),"")</f>
        <v/>
      </c>
      <c r="M1786" s="337" t="str">
        <f>IFERROR(VLOOKUP($G1786,今日總結!$A:$AN,38,0),"")</f>
        <v/>
      </c>
      <c r="N1786" s="240" t="str">
        <f t="shared" si="312"/>
        <v/>
      </c>
      <c r="O1786" s="359" t="str">
        <f>IFERROR(VLOOKUP($G1786,融外自投!$A:$J,7,0),"無")</f>
        <v>無</v>
      </c>
      <c r="P1786" s="79" t="str">
        <f>IFERROR(VLOOKUP($G1786,融外自投!$A:$J,9,0),"無")</f>
        <v>無</v>
      </c>
      <c r="Q1786" s="342" t="str">
        <f>IFERROR(VLOOKUP($G1786,融外自投!$A:$J,8,0),"無")</f>
        <v>無</v>
      </c>
      <c r="R1786" s="81" t="str">
        <f>IFERROR(VLOOKUP($G1786,融外自投!$A:$J,10,0),"無")</f>
        <v>無</v>
      </c>
      <c r="S1786" s="324" t="str">
        <f>IFERROR(VLOOKUP($G1786,'321買'!$A:$E,4,0),"'沒有資料'")</f>
        <v>'沒有資料'</v>
      </c>
      <c r="T1786" s="186">
        <f>IFERROR(VLOOKUP($G1786,基本資料!$A:$J,9,0),"無")</f>
        <v>0</v>
      </c>
      <c r="U1786" s="307">
        <f t="shared" si="313"/>
        <v>0</v>
      </c>
      <c r="V1786" s="94">
        <f>IFERROR(VLOOKUP($G1786,基本資料!$A:$J,10,0),"無")</f>
        <v>-4.76</v>
      </c>
      <c r="W1786" s="36">
        <f>RTD("money.excel",,"3629","Price")</f>
        <v>31.5</v>
      </c>
      <c r="X1786" s="66"/>
      <c r="Y1786" s="15">
        <f t="shared" si="314"/>
        <v>31.5</v>
      </c>
      <c r="Z1786" s="3" t="e">
        <f t="shared" si="315"/>
        <v>#DIV/0!</v>
      </c>
      <c r="AA1786" s="340">
        <f>IFERROR(VLOOKUP($G1786,基本資料!$A:$M,11,0),"無")</f>
        <v>-53.4</v>
      </c>
      <c r="AB1786" s="389">
        <f>IFERROR(VLOOKUP($G1786,基本資料!$A:$M,12,0),"無")</f>
        <v>9.84</v>
      </c>
      <c r="AC1786" s="16" t="s">
        <v>3001</v>
      </c>
      <c r="AF1786" s="33">
        <f t="shared" si="316"/>
        <v>0</v>
      </c>
      <c r="AG1786" s="43" t="s">
        <v>3002</v>
      </c>
      <c r="AH1786" s="66">
        <f t="shared" si="300"/>
        <v>0.62068965517241381</v>
      </c>
      <c r="AI1786" s="283">
        <f>RTD("money.excel",,$G1786,"PredictVolume")</f>
        <v>9</v>
      </c>
      <c r="AJ1786" s="391">
        <f>IFERROR(VLOOKUP($G1786,基本資料!$A:$M,13,0),"無")</f>
        <v>14.5</v>
      </c>
      <c r="AR1786" s="245" t="str">
        <f>INDEX(基本資料!N:N,MATCH($G1786,基本資料!A:A,0))</f>
        <v>低</v>
      </c>
    </row>
    <row r="1787" spans="1:44">
      <c r="A1787" s="343">
        <f>IFERROR(VLOOKUP($G1787,基本資料!$A:$J,3,0),"無")</f>
        <v>5.21</v>
      </c>
      <c r="B1787" s="79">
        <f>IFERROR(VLOOKUP($G1787,基本資料!$A:$J,4,0),"無")</f>
        <v>-60</v>
      </c>
      <c r="C1787" s="79">
        <f>IFERROR(VLOOKUP($G1787,基本資料!$A:$J,5,0),"無")</f>
        <v>-89</v>
      </c>
      <c r="D1787" s="79">
        <f>IFERROR(VLOOKUP($G1787,基本資料!$A:$J,6,0),"無")</f>
        <v>0</v>
      </c>
      <c r="E1787" s="79">
        <f>IFERROR(VLOOKUP($G1787,基本資料!$A:$J,7,0),"無")</f>
        <v>0</v>
      </c>
      <c r="F1787" s="6">
        <f>IFERROR(VLOOKUP($G1787,基本資料!$A:$J,8,0),"無")</f>
        <v>-27709.17</v>
      </c>
      <c r="G1787" s="79">
        <v>4806</v>
      </c>
      <c r="H1787" s="8" t="s">
        <v>1024</v>
      </c>
      <c r="I1787" s="16" t="s">
        <v>1025</v>
      </c>
      <c r="J1787" s="8" t="str">
        <f>IFERROR(VLOOKUP($G1787,今日總結!$A:$AN,39,0),"")</f>
        <v/>
      </c>
      <c r="K1787" s="5" t="str">
        <f>IFERROR(VLOOKUP($G1787,今日總結!$A:$AN,40,0),"")</f>
        <v/>
      </c>
      <c r="L1787" s="156" t="str">
        <f>IFERROR(VLOOKUP($G1787,今日總結!$A:$AN,37,0),"")</f>
        <v/>
      </c>
      <c r="M1787" s="337" t="str">
        <f>IFERROR(VLOOKUP($G1787,今日總結!$A:$AN,38,0),"")</f>
        <v/>
      </c>
      <c r="N1787" s="240" t="str">
        <f t="shared" si="312"/>
        <v/>
      </c>
      <c r="O1787" s="359" t="str">
        <f>IFERROR(VLOOKUP($G1787,融外自投!$A:$J,7,0),"無")</f>
        <v>無</v>
      </c>
      <c r="P1787" s="79" t="str">
        <f>IFERROR(VLOOKUP($G1787,融外自投!$A:$J,9,0),"無")</f>
        <v>無</v>
      </c>
      <c r="Q1787" s="342" t="str">
        <f>IFERROR(VLOOKUP($G1787,融外自投!$A:$J,8,0),"無")</f>
        <v>無</v>
      </c>
      <c r="R1787" s="81" t="str">
        <f>IFERROR(VLOOKUP($G1787,融外自投!$A:$J,10,0),"無")</f>
        <v>無</v>
      </c>
      <c r="S1787" s="324" t="str">
        <f>IFERROR(VLOOKUP($G1787,'321買'!$A:$E,4,0),"'沒有資料'")</f>
        <v>'沒有資料'</v>
      </c>
      <c r="T1787" s="186">
        <f>IFERROR(VLOOKUP($G1787,基本資料!$A:$J,9,0),"無")</f>
        <v>0</v>
      </c>
      <c r="U1787" s="307" t="e">
        <f t="shared" si="313"/>
        <v>#VALUE!</v>
      </c>
      <c r="V1787" s="94">
        <f>IFERROR(VLOOKUP($G1787,基本資料!$A:$J,10,0),"無")</f>
        <v>-4.13</v>
      </c>
      <c r="W1787" s="36" t="str">
        <f>RTD("money.excel",,"4806","Price")</f>
        <v>無資料</v>
      </c>
      <c r="X1787" s="66"/>
      <c r="Y1787" s="15" t="e">
        <f t="shared" si="314"/>
        <v>#VALUE!</v>
      </c>
      <c r="Z1787" s="3" t="e">
        <f t="shared" si="315"/>
        <v>#VALUE!</v>
      </c>
      <c r="AA1787" s="340">
        <f>IFERROR(VLOOKUP($G1787,基本資料!$A:$M,11,0),"無")</f>
        <v>-13.75</v>
      </c>
      <c r="AB1787" s="389">
        <f>IFERROR(VLOOKUP($G1787,基本資料!$A:$M,12,0),"無")</f>
        <v>61.92</v>
      </c>
      <c r="AC1787" s="16" t="s">
        <v>1025</v>
      </c>
      <c r="AF1787" s="33">
        <f t="shared" si="316"/>
        <v>0</v>
      </c>
      <c r="AG1787" s="43" t="s">
        <v>2348</v>
      </c>
      <c r="AH1787" s="66">
        <f t="shared" si="300"/>
        <v>0</v>
      </c>
      <c r="AI1787" s="283">
        <f>RTD("money.excel",,$G1787,"PredictVolume")</f>
        <v>0</v>
      </c>
      <c r="AJ1787" s="391">
        <f>IFERROR(VLOOKUP($G1787,基本資料!$A:$M,13,0),"無")</f>
        <v>36.700000000000003</v>
      </c>
      <c r="AR1787" s="245" t="str">
        <f>INDEX(基本資料!N:N,MATCH($G1787,基本資料!A:A,0))</f>
        <v>中</v>
      </c>
    </row>
    <row r="1788" spans="1:44">
      <c r="A1788" s="343">
        <f>IFERROR(VLOOKUP($G1788,基本資料!$A:$J,3,0),"無")</f>
        <v>1.39</v>
      </c>
      <c r="B1788" s="79">
        <f>IFERROR(VLOOKUP($G1788,基本資料!$A:$J,4,0),"無")</f>
        <v>127</v>
      </c>
      <c r="C1788" s="79">
        <f>IFERROR(VLOOKUP($G1788,基本資料!$A:$J,5,0),"無")</f>
        <v>-7</v>
      </c>
      <c r="D1788" s="79">
        <f>IFERROR(VLOOKUP($G1788,基本資料!$A:$J,6,0),"無")</f>
        <v>176</v>
      </c>
      <c r="E1788" s="79">
        <f>IFERROR(VLOOKUP($G1788,基本資料!$A:$J,7,0),"無")</f>
        <v>1452</v>
      </c>
      <c r="F1788" s="6">
        <f>IFERROR(VLOOKUP($G1788,基本資料!$A:$J,8,0),"無")</f>
        <v>-145.97</v>
      </c>
      <c r="G1788" s="79">
        <v>4946</v>
      </c>
      <c r="H1788" s="8" t="s">
        <v>1024</v>
      </c>
      <c r="I1788" s="16" t="s">
        <v>73</v>
      </c>
      <c r="J1788" s="8" t="str">
        <f>IFERROR(VLOOKUP($G1788,今日總結!$A:$AN,39,0),"")</f>
        <v/>
      </c>
      <c r="K1788" s="5" t="str">
        <f>IFERROR(VLOOKUP($G1788,今日總結!$A:$AN,40,0),"")</f>
        <v/>
      </c>
      <c r="L1788" s="156" t="str">
        <f>IFERROR(VLOOKUP($G1788,今日總結!$A:$AN,37,0),"")</f>
        <v/>
      </c>
      <c r="M1788" s="337" t="str">
        <f>IFERROR(VLOOKUP($G1788,今日總結!$A:$AN,38,0),"")</f>
        <v/>
      </c>
      <c r="N1788" s="240" t="str">
        <f t="shared" si="312"/>
        <v/>
      </c>
      <c r="O1788" s="359" t="str">
        <f>IFERROR(VLOOKUP($G1788,融外自投!$A:$J,7,0),"無")</f>
        <v>無</v>
      </c>
      <c r="P1788" s="79" t="str">
        <f>IFERROR(VLOOKUP($G1788,融外自投!$A:$J,9,0),"無")</f>
        <v>無</v>
      </c>
      <c r="Q1788" s="342" t="str">
        <f>IFERROR(VLOOKUP($G1788,融外自投!$A:$J,8,0),"無")</f>
        <v>無</v>
      </c>
      <c r="R1788" s="81" t="str">
        <f>IFERROR(VLOOKUP($G1788,融外自投!$A:$J,10,0),"無")</f>
        <v>無</v>
      </c>
      <c r="S1788" s="324" t="str">
        <f>IFERROR(VLOOKUP($G1788,'321買'!$A:$E,4,0),"'沒有資料'")</f>
        <v>'沒有資料'</v>
      </c>
      <c r="T1788" s="186">
        <f>IFERROR(VLOOKUP($G1788,基本資料!$A:$J,9,0),"無")</f>
        <v>0</v>
      </c>
      <c r="U1788" s="307">
        <f t="shared" si="313"/>
        <v>0</v>
      </c>
      <c r="V1788" s="94">
        <f>IFERROR(VLOOKUP($G1788,基本資料!$A:$J,10,0),"無")</f>
        <v>1.79</v>
      </c>
      <c r="W1788" s="36">
        <f>RTD("money.excel",,"4946","Price")</f>
        <v>61.9</v>
      </c>
      <c r="X1788" s="66"/>
      <c r="Y1788" s="15">
        <f t="shared" si="314"/>
        <v>61.9</v>
      </c>
      <c r="Z1788" s="3" t="e">
        <f t="shared" si="315"/>
        <v>#DIV/0!</v>
      </c>
      <c r="AA1788" s="340">
        <f>IFERROR(VLOOKUP($G1788,基本資料!$A:$M,11,0),"無")</f>
        <v>-34.36</v>
      </c>
      <c r="AB1788" s="389">
        <f>IFERROR(VLOOKUP($G1788,基本資料!$A:$M,12,0),"無")</f>
        <v>19.71</v>
      </c>
      <c r="AC1788" s="16" t="s">
        <v>73</v>
      </c>
      <c r="AF1788" s="33">
        <f t="shared" si="316"/>
        <v>0</v>
      </c>
      <c r="AG1788" s="117" t="s">
        <v>2318</v>
      </c>
      <c r="AH1788" s="66">
        <f t="shared" si="300"/>
        <v>0.8779797026197782</v>
      </c>
      <c r="AI1788" s="283">
        <f>RTD("money.excel",,$G1788,"PredictVolume")</f>
        <v>186</v>
      </c>
      <c r="AJ1788" s="391">
        <f>IFERROR(VLOOKUP($G1788,基本資料!$A:$M,13,0),"無")</f>
        <v>211.85</v>
      </c>
      <c r="AR1788" s="245" t="str">
        <f>INDEX(基本資料!N:N,MATCH($G1788,基本資料!A:A,0))</f>
        <v>中</v>
      </c>
    </row>
    <row r="1789" spans="1:44">
      <c r="A1789" s="343">
        <f>IFERROR(VLOOKUP($G1789,基本資料!$A:$J,3,0),"無")</f>
        <v>6.09</v>
      </c>
      <c r="B1789" s="79">
        <f>IFERROR(VLOOKUP($G1789,基本資料!$A:$J,4,0),"無")</f>
        <v>-157</v>
      </c>
      <c r="C1789" s="79">
        <f>IFERROR(VLOOKUP($G1789,基本資料!$A:$J,5,0),"無")</f>
        <v>-699</v>
      </c>
      <c r="D1789" s="79">
        <f>IFERROR(VLOOKUP($G1789,基本資料!$A:$J,6,0),"無")</f>
        <v>-9</v>
      </c>
      <c r="E1789" s="79">
        <f>IFERROR(VLOOKUP($G1789,基本資料!$A:$J,7,0),"無")</f>
        <v>-12</v>
      </c>
      <c r="F1789" s="6">
        <f>IFERROR(VLOOKUP($G1789,基本資料!$A:$J,8,0),"無")</f>
        <v>-22.87</v>
      </c>
      <c r="G1789" s="79">
        <v>5263</v>
      </c>
      <c r="H1789" s="8" t="s">
        <v>1024</v>
      </c>
      <c r="I1789" s="16" t="s">
        <v>216</v>
      </c>
      <c r="J1789" s="8" t="str">
        <f>IFERROR(VLOOKUP($G1789,今日總結!$A:$AN,39,0),"")</f>
        <v>外</v>
      </c>
      <c r="K1789" s="5">
        <f>IFERROR(VLOOKUP($G1789,今日總結!$A:$AN,40,0),"")</f>
        <v>0</v>
      </c>
      <c r="L1789" s="156">
        <f>IFERROR(VLOOKUP($G1789,今日總結!$A:$AN,37,0),"")</f>
        <v>7</v>
      </c>
      <c r="M1789" s="337">
        <f>IFERROR(VLOOKUP($G1789,今日總結!$A:$AN,38,0),"")</f>
        <v>0</v>
      </c>
      <c r="N1789" s="240">
        <f t="shared" si="312"/>
        <v>7</v>
      </c>
      <c r="O1789" s="359">
        <f>IFERROR(VLOOKUP($G1789,融外自投!$A:$J,7,0),"無")</f>
        <v>478</v>
      </c>
      <c r="P1789" s="79" t="str">
        <f>IFERROR(VLOOKUP($G1789,融外自投!$A:$J,9,0),"無")</f>
        <v>無</v>
      </c>
      <c r="Q1789" s="342">
        <f>IFERROR(VLOOKUP($G1789,融外自投!$A:$J,8,0),"無")</f>
        <v>383</v>
      </c>
      <c r="R1789" s="81">
        <f>IFERROR(VLOOKUP($G1789,融外自投!$A:$J,10,0),"無")</f>
        <v>50</v>
      </c>
      <c r="S1789" s="324">
        <f>IFERROR(VLOOKUP($G1789,'321買'!$A:$E,4,0),"'沒有資料'")</f>
        <v>565</v>
      </c>
      <c r="T1789" s="186">
        <f>IFERROR(VLOOKUP($G1789,基本資料!$A:$J,9,0),"無")</f>
        <v>0</v>
      </c>
      <c r="U1789" s="307">
        <f t="shared" si="313"/>
        <v>0</v>
      </c>
      <c r="V1789" s="94">
        <f>IFERROR(VLOOKUP($G1789,基本資料!$A:$J,10,0),"無")</f>
        <v>-2.31</v>
      </c>
      <c r="W1789" s="36">
        <f>RTD("money.excel",,"5263","Price")</f>
        <v>111</v>
      </c>
      <c r="X1789" s="66"/>
      <c r="Y1789" s="15">
        <f t="shared" si="314"/>
        <v>111</v>
      </c>
      <c r="Z1789" s="3" t="e">
        <f t="shared" si="315"/>
        <v>#DIV/0!</v>
      </c>
      <c r="AA1789" s="340">
        <f>IFERROR(VLOOKUP($G1789,基本資料!$A:$M,11,0),"無")</f>
        <v>-34.9</v>
      </c>
      <c r="AB1789" s="389">
        <f>IFERROR(VLOOKUP($G1789,基本資料!$A:$M,12,0),"無")</f>
        <v>24.17</v>
      </c>
      <c r="AC1789" s="16" t="s">
        <v>216</v>
      </c>
      <c r="AF1789" s="33">
        <f t="shared" si="316"/>
        <v>0</v>
      </c>
      <c r="AG1789" s="117" t="s">
        <v>2692</v>
      </c>
      <c r="AH1789" s="66">
        <f t="shared" si="300"/>
        <v>0.5395996518711923</v>
      </c>
      <c r="AI1789" s="283">
        <f>RTD("money.excel",,$G1789,"PredictVolume")</f>
        <v>31</v>
      </c>
      <c r="AJ1789" s="391">
        <f>IFERROR(VLOOKUP($G1789,基本資料!$A:$M,13,0),"無")</f>
        <v>57.45</v>
      </c>
      <c r="AR1789" s="245" t="str">
        <f>INDEX(基本資料!N:N,MATCH($G1789,基本資料!A:A,0))</f>
        <v>低</v>
      </c>
    </row>
    <row r="1790" spans="1:44">
      <c r="A1790" s="343">
        <f>IFERROR(VLOOKUP($G1790,基本資料!$A:$J,3,0),"無")</f>
        <v>12.74</v>
      </c>
      <c r="B1790" s="79">
        <f>IFERROR(VLOOKUP($G1790,基本資料!$A:$J,4,0),"無")</f>
        <v>-12</v>
      </c>
      <c r="C1790" s="79">
        <f>IFERROR(VLOOKUP($G1790,基本資料!$A:$J,5,0),"無")</f>
        <v>-4</v>
      </c>
      <c r="D1790" s="79">
        <f>IFERROR(VLOOKUP($G1790,基本資料!$A:$J,6,0),"無")</f>
        <v>2</v>
      </c>
      <c r="E1790" s="79">
        <f>IFERROR(VLOOKUP($G1790,基本資料!$A:$J,7,0),"無")</f>
        <v>-16</v>
      </c>
      <c r="F1790" s="6">
        <f>IFERROR(VLOOKUP($G1790,基本資料!$A:$J,8,0),"無")</f>
        <v>15.96</v>
      </c>
      <c r="G1790" s="79">
        <v>5478</v>
      </c>
      <c r="H1790" s="8" t="s">
        <v>1024</v>
      </c>
      <c r="I1790" s="16" t="s">
        <v>219</v>
      </c>
      <c r="J1790" s="8">
        <f>IFERROR(VLOOKUP($G1790,今日總結!$A:$AN,39,0),"")</f>
        <v>0</v>
      </c>
      <c r="K1790" s="5">
        <f>IFERROR(VLOOKUP($G1790,今日總結!$A:$AN,40,0),"")</f>
        <v>0</v>
      </c>
      <c r="L1790" s="156">
        <f>IFERROR(VLOOKUP($G1790,今日總結!$A:$AN,37,0),"")</f>
        <v>0</v>
      </c>
      <c r="M1790" s="337">
        <f>IFERROR(VLOOKUP($G1790,今日總結!$A:$AN,38,0),"")</f>
        <v>0</v>
      </c>
      <c r="N1790" s="240">
        <f t="shared" ref="N1790:N1804" si="317">IFERROR(L1790-M1790,"")</f>
        <v>0</v>
      </c>
      <c r="O1790" s="359">
        <f>IFERROR(VLOOKUP($G1790,融外自投!$A:$J,7,0),"無")</f>
        <v>882</v>
      </c>
      <c r="P1790" s="79">
        <f>IFERROR(VLOOKUP($G1790,融外自投!$A:$J,9,0),"無")</f>
        <v>253</v>
      </c>
      <c r="Q1790" s="342">
        <f>IFERROR(VLOOKUP($G1790,融外自投!$A:$J,8,0),"無")</f>
        <v>178</v>
      </c>
      <c r="R1790" s="81">
        <f>IFERROR(VLOOKUP($G1790,融外自投!$A:$J,10,0),"無")</f>
        <v>439</v>
      </c>
      <c r="S1790" s="324">
        <f>IFERROR(VLOOKUP($G1790,'321買'!$A:$E,4,0),"'沒有資料'")</f>
        <v>891</v>
      </c>
      <c r="T1790" s="186">
        <f>IFERROR(VLOOKUP($G1790,基本資料!$A:$J,9,0),"無")</f>
        <v>5.2</v>
      </c>
      <c r="U1790" s="307">
        <f t="shared" si="313"/>
        <v>6.1104582843713284E-2</v>
      </c>
      <c r="V1790" s="94">
        <f>IFERROR(VLOOKUP($G1790,基本資料!$A:$J,10,0),"無")</f>
        <v>6.84</v>
      </c>
      <c r="W1790" s="36">
        <f>RTD("money.excel",,"5478","Price")</f>
        <v>85.1</v>
      </c>
      <c r="X1790" s="66"/>
      <c r="Y1790" s="15">
        <f t="shared" si="314"/>
        <v>85.1</v>
      </c>
      <c r="Z1790" s="3" t="e">
        <f t="shared" si="315"/>
        <v>#DIV/0!</v>
      </c>
      <c r="AA1790" s="340">
        <f>IFERROR(VLOOKUP($G1790,基本資料!$A:$M,11,0),"無")</f>
        <v>-32.19</v>
      </c>
      <c r="AB1790" s="389">
        <f>IFERROR(VLOOKUP($G1790,基本資料!$A:$M,12,0),"無")</f>
        <v>23.34</v>
      </c>
      <c r="AC1790" s="16" t="s">
        <v>219</v>
      </c>
      <c r="AF1790" s="33">
        <f t="shared" si="316"/>
        <v>0</v>
      </c>
      <c r="AG1790" s="117" t="s">
        <v>2318</v>
      </c>
      <c r="AH1790" s="66">
        <f t="shared" si="300"/>
        <v>1.3403310456197013</v>
      </c>
      <c r="AI1790" s="283">
        <f>RTD("money.excel",,$G1790,"PredictVolume")</f>
        <v>166</v>
      </c>
      <c r="AJ1790" s="391">
        <f>IFERROR(VLOOKUP($G1790,基本資料!$A:$M,13,0),"無")</f>
        <v>123.85</v>
      </c>
      <c r="AR1790" s="245" t="str">
        <f>INDEX(基本資料!N:N,MATCH($G1790,基本資料!A:A,0))</f>
        <v>低</v>
      </c>
    </row>
    <row r="1791" spans="1:44">
      <c r="A1791" s="343">
        <f>IFERROR(VLOOKUP($G1791,基本資料!$A:$J,3,0),"無")</f>
        <v>11.64</v>
      </c>
      <c r="B1791" s="79">
        <f>IFERROR(VLOOKUP($G1791,基本資料!$A:$J,4,0),"無")</f>
        <v>36</v>
      </c>
      <c r="C1791" s="79">
        <f>IFERROR(VLOOKUP($G1791,基本資料!$A:$J,5,0),"無")</f>
        <v>-88</v>
      </c>
      <c r="D1791" s="79">
        <f>IFERROR(VLOOKUP($G1791,基本資料!$A:$J,6,0),"無")</f>
        <v>28</v>
      </c>
      <c r="E1791" s="79">
        <f>IFERROR(VLOOKUP($G1791,基本資料!$A:$J,7,0),"無")</f>
        <v>710</v>
      </c>
      <c r="F1791" s="6">
        <f>IFERROR(VLOOKUP($G1791,基本資料!$A:$J,8,0),"無")</f>
        <v>-315.7</v>
      </c>
      <c r="G1791" s="79">
        <v>6101</v>
      </c>
      <c r="H1791" s="8" t="s">
        <v>1024</v>
      </c>
      <c r="I1791" s="16" t="s">
        <v>1026</v>
      </c>
      <c r="J1791" s="8" t="str">
        <f>IFERROR(VLOOKUP($G1791,今日總結!$A:$AN,39,0),"")</f>
        <v/>
      </c>
      <c r="K1791" s="5" t="str">
        <f>IFERROR(VLOOKUP($G1791,今日總結!$A:$AN,40,0),"")</f>
        <v/>
      </c>
      <c r="L1791" s="156" t="str">
        <f>IFERROR(VLOOKUP($G1791,今日總結!$A:$AN,37,0),"")</f>
        <v/>
      </c>
      <c r="M1791" s="337" t="str">
        <f>IFERROR(VLOOKUP($G1791,今日總結!$A:$AN,38,0),"")</f>
        <v/>
      </c>
      <c r="N1791" s="240" t="str">
        <f t="shared" si="317"/>
        <v/>
      </c>
      <c r="O1791" s="359" t="str">
        <f>IFERROR(VLOOKUP($G1791,融外自投!$A:$J,7,0),"無")</f>
        <v>無</v>
      </c>
      <c r="P1791" s="79" t="str">
        <f>IFERROR(VLOOKUP($G1791,融外自投!$A:$J,9,0),"無")</f>
        <v>無</v>
      </c>
      <c r="Q1791" s="342" t="str">
        <f>IFERROR(VLOOKUP($G1791,融外自投!$A:$J,8,0),"無")</f>
        <v>無</v>
      </c>
      <c r="R1791" s="81" t="str">
        <f>IFERROR(VLOOKUP($G1791,融外自投!$A:$J,10,0),"無")</f>
        <v>無</v>
      </c>
      <c r="S1791" s="324" t="str">
        <f>IFERROR(VLOOKUP($G1791,'321買'!$A:$E,4,0),"'沒有資料'")</f>
        <v>'沒有資料'</v>
      </c>
      <c r="T1791" s="186">
        <f>IFERROR(VLOOKUP($G1791,基本資料!$A:$J,9,0),"無")</f>
        <v>0</v>
      </c>
      <c r="U1791" s="307">
        <f t="shared" si="313"/>
        <v>0</v>
      </c>
      <c r="V1791" s="94">
        <f>IFERROR(VLOOKUP($G1791,基本資料!$A:$J,10,0),"無")</f>
        <v>-0.63</v>
      </c>
      <c r="W1791" s="36">
        <f>RTD("money.excel",,"6101","Price")</f>
        <v>22.45</v>
      </c>
      <c r="X1791" s="66"/>
      <c r="Y1791" s="15">
        <f t="shared" si="314"/>
        <v>22.45</v>
      </c>
      <c r="Z1791" s="3" t="e">
        <f t="shared" si="315"/>
        <v>#DIV/0!</v>
      </c>
      <c r="AA1791" s="340">
        <f>IFERROR(VLOOKUP($G1791,基本資料!$A:$M,11,0),"無")</f>
        <v>-6.46</v>
      </c>
      <c r="AB1791" s="389">
        <f>IFERROR(VLOOKUP($G1791,基本資料!$A:$M,12,0),"無")</f>
        <v>79.099999999999994</v>
      </c>
      <c r="AC1791" s="16" t="s">
        <v>1026</v>
      </c>
      <c r="AF1791" s="33">
        <f t="shared" si="316"/>
        <v>0</v>
      </c>
      <c r="AG1791" s="43" t="s">
        <v>2693</v>
      </c>
      <c r="AH1791" s="66">
        <f t="shared" si="300"/>
        <v>1.9333333333333333</v>
      </c>
      <c r="AI1791" s="283">
        <f>RTD("money.excel",,$G1791,"PredictVolume")</f>
        <v>29</v>
      </c>
      <c r="AJ1791" s="391">
        <f>IFERROR(VLOOKUP($G1791,基本資料!$A:$M,13,0),"無")</f>
        <v>15</v>
      </c>
      <c r="AR1791" s="245" t="str">
        <f>INDEX(基本資料!N:N,MATCH($G1791,基本資料!A:A,0))</f>
        <v>高</v>
      </c>
    </row>
    <row r="1792" spans="1:44">
      <c r="A1792" s="343">
        <f>IFERROR(VLOOKUP($G1792,基本資料!$A:$J,3,0),"無")</f>
        <v>6.55</v>
      </c>
      <c r="B1792" s="79">
        <f>IFERROR(VLOOKUP($G1792,基本資料!$A:$J,4,0),"無")</f>
        <v>1228</v>
      </c>
      <c r="C1792" s="79">
        <f>IFERROR(VLOOKUP($G1792,基本資料!$A:$J,5,0),"無")</f>
        <v>-83</v>
      </c>
      <c r="D1792" s="79">
        <f>IFERROR(VLOOKUP($G1792,基本資料!$A:$J,6,0),"無")</f>
        <v>104</v>
      </c>
      <c r="E1792" s="79">
        <f>IFERROR(VLOOKUP($G1792,基本資料!$A:$J,7,0),"無")</f>
        <v>316</v>
      </c>
      <c r="F1792" s="6">
        <f>IFERROR(VLOOKUP($G1792,基本資料!$A:$J,8,0),"無")</f>
        <v>4.1900000000000004</v>
      </c>
      <c r="G1792" s="79">
        <v>6111</v>
      </c>
      <c r="H1792" s="8" t="s">
        <v>1024</v>
      </c>
      <c r="I1792" s="16" t="s">
        <v>74</v>
      </c>
      <c r="J1792" s="8">
        <f>IFERROR(VLOOKUP($G1792,今日總結!$A:$AN,39,0),"")</f>
        <v>0</v>
      </c>
      <c r="K1792" s="5" t="str">
        <f>IFERROR(VLOOKUP($G1792,今日總結!$A:$AN,40,0),"")</f>
        <v>主</v>
      </c>
      <c r="L1792" s="156">
        <f>IFERROR(VLOOKUP($G1792,今日總結!$A:$AN,37,0),"")</f>
        <v>0</v>
      </c>
      <c r="M1792" s="337">
        <f>IFERROR(VLOOKUP($G1792,今日總結!$A:$AN,38,0),"")</f>
        <v>4</v>
      </c>
      <c r="N1792" s="240">
        <f t="shared" si="317"/>
        <v>-4</v>
      </c>
      <c r="O1792" s="359">
        <f>IFERROR(VLOOKUP($G1792,融外自投!$A:$J,7,0),"無")</f>
        <v>118</v>
      </c>
      <c r="P1792" s="79">
        <f>IFERROR(VLOOKUP($G1792,融外自投!$A:$J,9,0),"無")</f>
        <v>433</v>
      </c>
      <c r="Q1792" s="342">
        <f>IFERROR(VLOOKUP($G1792,融外自投!$A:$J,8,0),"無")</f>
        <v>190</v>
      </c>
      <c r="R1792" s="81" t="str">
        <f>IFERROR(VLOOKUP($G1792,融外自投!$A:$J,10,0),"無")</f>
        <v>無</v>
      </c>
      <c r="S1792" s="324">
        <f>IFERROR(VLOOKUP($G1792,'321買'!$A:$E,4,0),"'沒有資料'")</f>
        <v>321</v>
      </c>
      <c r="T1792" s="186">
        <f>IFERROR(VLOOKUP($G1792,基本資料!$A:$J,9,0),"無")</f>
        <v>6</v>
      </c>
      <c r="U1792" s="307">
        <f t="shared" si="313"/>
        <v>7.4626865671641784E-2</v>
      </c>
      <c r="V1792" s="94">
        <f>IFERROR(VLOOKUP($G1792,基本資料!$A:$J,10,0),"無")</f>
        <v>11.36</v>
      </c>
      <c r="W1792" s="36">
        <f>RTD("money.excel",,"6111","Price")</f>
        <v>80.400000000000006</v>
      </c>
      <c r="X1792" s="66"/>
      <c r="Y1792" s="15">
        <f t="shared" si="314"/>
        <v>80.400000000000006</v>
      </c>
      <c r="Z1792" s="3" t="e">
        <f t="shared" si="315"/>
        <v>#DIV/0!</v>
      </c>
      <c r="AA1792" s="340">
        <f>IFERROR(VLOOKUP($G1792,基本資料!$A:$M,11,0),"無")</f>
        <v>-28.53</v>
      </c>
      <c r="AB1792" s="389">
        <f>IFERROR(VLOOKUP($G1792,基本資料!$A:$M,12,0),"無")</f>
        <v>19.75</v>
      </c>
      <c r="AC1792" s="16" t="s">
        <v>74</v>
      </c>
      <c r="AF1792" s="33">
        <f t="shared" si="316"/>
        <v>0</v>
      </c>
      <c r="AG1792" s="117" t="s">
        <v>2318</v>
      </c>
      <c r="AH1792" s="66">
        <f t="shared" si="300"/>
        <v>0.76225045372050815</v>
      </c>
      <c r="AI1792" s="283">
        <f>RTD("money.excel",,$G1792,"PredictVolume")</f>
        <v>420</v>
      </c>
      <c r="AJ1792" s="391">
        <f>IFERROR(VLOOKUP($G1792,基本資料!$A:$M,13,0),"無")</f>
        <v>551</v>
      </c>
      <c r="AR1792" s="245" t="str">
        <f>INDEX(基本資料!N:N,MATCH($G1792,基本資料!A:A,0))</f>
        <v>中</v>
      </c>
    </row>
    <row r="1793" spans="1:44">
      <c r="A1793" s="343">
        <f>IFERROR(VLOOKUP($G1793,基本資料!$A:$J,3,0),"無")</f>
        <v>3.82</v>
      </c>
      <c r="B1793" s="79">
        <f>IFERROR(VLOOKUP($G1793,基本資料!$A:$J,4,0),"無")</f>
        <v>-1337</v>
      </c>
      <c r="C1793" s="79">
        <f>IFERROR(VLOOKUP($G1793,基本資料!$A:$J,5,0),"無")</f>
        <v>-404</v>
      </c>
      <c r="D1793" s="79">
        <f>IFERROR(VLOOKUP($G1793,基本資料!$A:$J,6,0),"無")</f>
        <v>-7</v>
      </c>
      <c r="E1793" s="79">
        <f>IFERROR(VLOOKUP($G1793,基本資料!$A:$J,7,0),"無")</f>
        <v>-12</v>
      </c>
      <c r="F1793" s="6">
        <f>IFERROR(VLOOKUP($G1793,基本資料!$A:$J,8,0),"無")</f>
        <v>-15.24</v>
      </c>
      <c r="G1793" s="79">
        <v>6144</v>
      </c>
      <c r="H1793" s="8" t="s">
        <v>1024</v>
      </c>
      <c r="I1793" s="16" t="s">
        <v>1027</v>
      </c>
      <c r="J1793" s="8" t="str">
        <f>IFERROR(VLOOKUP($G1793,今日總結!$A:$AN,39,0),"")</f>
        <v/>
      </c>
      <c r="K1793" s="5" t="str">
        <f>IFERROR(VLOOKUP($G1793,今日總結!$A:$AN,40,0),"")</f>
        <v/>
      </c>
      <c r="L1793" s="156" t="str">
        <f>IFERROR(VLOOKUP($G1793,今日總結!$A:$AN,37,0),"")</f>
        <v/>
      </c>
      <c r="M1793" s="337" t="str">
        <f>IFERROR(VLOOKUP($G1793,今日總結!$A:$AN,38,0),"")</f>
        <v/>
      </c>
      <c r="N1793" s="240" t="str">
        <f t="shared" si="317"/>
        <v/>
      </c>
      <c r="O1793" s="359" t="str">
        <f>IFERROR(VLOOKUP($G1793,融外自投!$A:$J,7,0),"無")</f>
        <v>無</v>
      </c>
      <c r="P1793" s="79" t="str">
        <f>IFERROR(VLOOKUP($G1793,融外自投!$A:$J,9,0),"無")</f>
        <v>無</v>
      </c>
      <c r="Q1793" s="342" t="str">
        <f>IFERROR(VLOOKUP($G1793,融外自投!$A:$J,8,0),"無")</f>
        <v>無</v>
      </c>
      <c r="R1793" s="81" t="str">
        <f>IFERROR(VLOOKUP($G1793,融外自投!$A:$J,10,0),"無")</f>
        <v>無</v>
      </c>
      <c r="S1793" s="324" t="str">
        <f>IFERROR(VLOOKUP($G1793,'321買'!$A:$E,4,0),"'沒有資料'")</f>
        <v>'沒有資料'</v>
      </c>
      <c r="T1793" s="186">
        <f>IFERROR(VLOOKUP($G1793,基本資料!$A:$J,9,0),"無")</f>
        <v>0</v>
      </c>
      <c r="U1793" s="307">
        <f t="shared" si="313"/>
        <v>0</v>
      </c>
      <c r="V1793" s="94">
        <f>IFERROR(VLOOKUP($G1793,基本資料!$A:$J,10,0),"無")</f>
        <v>-0.78</v>
      </c>
      <c r="W1793" s="36">
        <f>RTD("money.excel",,"6144","Price")</f>
        <v>15.4</v>
      </c>
      <c r="X1793" s="66"/>
      <c r="Y1793" s="15">
        <f t="shared" si="314"/>
        <v>15.4</v>
      </c>
      <c r="Z1793" s="3" t="e">
        <f t="shared" si="315"/>
        <v>#DIV/0!</v>
      </c>
      <c r="AA1793" s="340">
        <f>IFERROR(VLOOKUP($G1793,基本資料!$A:$M,11,0),"無")</f>
        <v>-25.6</v>
      </c>
      <c r="AB1793" s="389">
        <f>IFERROR(VLOOKUP($G1793,基本資料!$A:$M,12,0),"無")</f>
        <v>39.06</v>
      </c>
      <c r="AC1793" s="16" t="s">
        <v>1027</v>
      </c>
      <c r="AF1793" s="33">
        <f t="shared" si="316"/>
        <v>0</v>
      </c>
      <c r="AG1793" s="43" t="s">
        <v>2694</v>
      </c>
      <c r="AH1793" s="66">
        <f t="shared" si="300"/>
        <v>0.58252427184466016</v>
      </c>
      <c r="AI1793" s="283">
        <f>RTD("money.excel",,$G1793,"PredictVolume")</f>
        <v>6</v>
      </c>
      <c r="AJ1793" s="391">
        <f>IFERROR(VLOOKUP($G1793,基本資料!$A:$M,13,0),"無")</f>
        <v>10.3</v>
      </c>
      <c r="AR1793" s="245" t="str">
        <f>INDEX(基本資料!N:N,MATCH($G1793,基本資料!A:A,0))</f>
        <v>低</v>
      </c>
    </row>
    <row r="1794" spans="1:44">
      <c r="A1794" s="343">
        <f>IFERROR(VLOOKUP($G1794,基本資料!$A:$J,3,0),"無")</f>
        <v>2.33</v>
      </c>
      <c r="B1794" s="79">
        <f>IFERROR(VLOOKUP($G1794,基本資料!$A:$J,4,0),"無")</f>
        <v>40</v>
      </c>
      <c r="C1794" s="79">
        <f>IFERROR(VLOOKUP($G1794,基本資料!$A:$J,5,0),"無")</f>
        <v>25</v>
      </c>
      <c r="D1794" s="79">
        <f>IFERROR(VLOOKUP($G1794,基本資料!$A:$J,6,0),"無")</f>
        <v>-15</v>
      </c>
      <c r="E1794" s="79">
        <f>IFERROR(VLOOKUP($G1794,基本資料!$A:$J,7,0),"無")</f>
        <v>-87</v>
      </c>
      <c r="F1794" s="6">
        <f>IFERROR(VLOOKUP($G1794,基本資料!$A:$J,8,0),"無")</f>
        <v>-211.61</v>
      </c>
      <c r="G1794" s="79">
        <v>6169</v>
      </c>
      <c r="H1794" s="8" t="s">
        <v>1024</v>
      </c>
      <c r="I1794" s="16" t="s">
        <v>75</v>
      </c>
      <c r="J1794" s="8" t="str">
        <f>IFERROR(VLOOKUP($G1794,今日總結!$A:$AN,39,0),"")</f>
        <v/>
      </c>
      <c r="K1794" s="5" t="str">
        <f>IFERROR(VLOOKUP($G1794,今日總結!$A:$AN,40,0),"")</f>
        <v/>
      </c>
      <c r="L1794" s="156" t="str">
        <f>IFERROR(VLOOKUP($G1794,今日總結!$A:$AN,37,0),"")</f>
        <v/>
      </c>
      <c r="M1794" s="337" t="str">
        <f>IFERROR(VLOOKUP($G1794,今日總結!$A:$AN,38,0),"")</f>
        <v/>
      </c>
      <c r="N1794" s="240" t="str">
        <f t="shared" si="317"/>
        <v/>
      </c>
      <c r="O1794" s="359" t="str">
        <f>IFERROR(VLOOKUP($G1794,融外自投!$A:$J,7,0),"無")</f>
        <v>無</v>
      </c>
      <c r="P1794" s="79" t="str">
        <f>IFERROR(VLOOKUP($G1794,融外自投!$A:$J,9,0),"無")</f>
        <v>無</v>
      </c>
      <c r="Q1794" s="342" t="str">
        <f>IFERROR(VLOOKUP($G1794,融外自投!$A:$J,8,0),"無")</f>
        <v>無</v>
      </c>
      <c r="R1794" s="81" t="str">
        <f>IFERROR(VLOOKUP($G1794,融外自投!$A:$J,10,0),"無")</f>
        <v>無</v>
      </c>
      <c r="S1794" s="324" t="str">
        <f>IFERROR(VLOOKUP($G1794,'321買'!$A:$E,4,0),"'沒有資料'")</f>
        <v>'沒有資料'</v>
      </c>
      <c r="T1794" s="186">
        <f>IFERROR(VLOOKUP($G1794,基本資料!$A:$J,9,0),"無")</f>
        <v>0</v>
      </c>
      <c r="U1794" s="307">
        <f t="shared" si="313"/>
        <v>0</v>
      </c>
      <c r="V1794" s="94">
        <f>IFERROR(VLOOKUP($G1794,基本資料!$A:$J,10,0),"無")</f>
        <v>-0.71</v>
      </c>
      <c r="W1794" s="36">
        <f>RTD("money.excel",,"6169","Price")</f>
        <v>18.7</v>
      </c>
      <c r="X1794" s="66"/>
      <c r="Y1794" s="15">
        <f t="shared" si="314"/>
        <v>18.7</v>
      </c>
      <c r="Z1794" s="3" t="e">
        <f t="shared" si="315"/>
        <v>#DIV/0!</v>
      </c>
      <c r="AA1794" s="340">
        <f>IFERROR(VLOOKUP($G1794,基本資料!$A:$M,11,0),"無")</f>
        <v>-41.19</v>
      </c>
      <c r="AB1794" s="389">
        <f>IFERROR(VLOOKUP($G1794,基本資料!$A:$M,12,0),"無")</f>
        <v>12.57</v>
      </c>
      <c r="AC1794" s="16" t="s">
        <v>75</v>
      </c>
      <c r="AF1794" s="33">
        <f t="shared" si="316"/>
        <v>0</v>
      </c>
      <c r="AG1794" s="117" t="s">
        <v>2318</v>
      </c>
      <c r="AH1794" s="66">
        <f t="shared" si="300"/>
        <v>0.42857142857142855</v>
      </c>
      <c r="AI1794" s="283">
        <f>RTD("money.excel",,$G1794,"PredictVolume")</f>
        <v>15</v>
      </c>
      <c r="AJ1794" s="391">
        <f>IFERROR(VLOOKUP($G1794,基本資料!$A:$M,13,0),"無")</f>
        <v>35</v>
      </c>
      <c r="AR1794" s="245" t="str">
        <f>INDEX(基本資料!N:N,MATCH($G1794,基本資料!A:A,0))</f>
        <v>低</v>
      </c>
    </row>
    <row r="1795" spans="1:44">
      <c r="A1795" s="343">
        <f>IFERROR(VLOOKUP($G1795,基本資料!$A:$J,3,0),"無")</f>
        <v>17.54</v>
      </c>
      <c r="B1795" s="79">
        <f>IFERROR(VLOOKUP($G1795,基本資料!$A:$J,4,0),"無")</f>
        <v>28</v>
      </c>
      <c r="C1795" s="79">
        <f>IFERROR(VLOOKUP($G1795,基本資料!$A:$J,5,0),"無")</f>
        <v>52</v>
      </c>
      <c r="D1795" s="79">
        <f>IFERROR(VLOOKUP($G1795,基本資料!$A:$J,6,0),"無")</f>
        <v>-16</v>
      </c>
      <c r="E1795" s="79">
        <f>IFERROR(VLOOKUP($G1795,基本資料!$A:$J,7,0),"無")</f>
        <v>6</v>
      </c>
      <c r="F1795" s="6">
        <f>IFERROR(VLOOKUP($G1795,基本資料!$A:$J,8,0),"無")</f>
        <v>15.25</v>
      </c>
      <c r="G1795" s="79">
        <v>6180</v>
      </c>
      <c r="H1795" s="8" t="s">
        <v>1024</v>
      </c>
      <c r="I1795" s="16" t="s">
        <v>76</v>
      </c>
      <c r="J1795" s="8">
        <f>IFERROR(VLOOKUP($G1795,今日總結!$A:$AN,39,0),"")</f>
        <v>0</v>
      </c>
      <c r="K1795" s="5">
        <f>IFERROR(VLOOKUP($G1795,今日總結!$A:$AN,40,0),"")</f>
        <v>0</v>
      </c>
      <c r="L1795" s="156">
        <f>IFERROR(VLOOKUP($G1795,今日總結!$A:$AN,37,0),"")</f>
        <v>0</v>
      </c>
      <c r="M1795" s="337">
        <f>IFERROR(VLOOKUP($G1795,今日總結!$A:$AN,38,0),"")</f>
        <v>0</v>
      </c>
      <c r="N1795" s="240">
        <f t="shared" si="317"/>
        <v>0</v>
      </c>
      <c r="O1795" s="359">
        <f>IFERROR(VLOOKUP($G1795,融外自投!$A:$J,7,0),"無")</f>
        <v>722</v>
      </c>
      <c r="P1795" s="79">
        <f>IFERROR(VLOOKUP($G1795,融外自投!$A:$J,9,0),"無")</f>
        <v>1123</v>
      </c>
      <c r="Q1795" s="342">
        <f>IFERROR(VLOOKUP($G1795,融外自投!$A:$J,8,0),"無")</f>
        <v>212</v>
      </c>
      <c r="R1795" s="81">
        <f>IFERROR(VLOOKUP($G1795,融外自投!$A:$J,10,0),"無")</f>
        <v>413</v>
      </c>
      <c r="S1795" s="324">
        <f>IFERROR(VLOOKUP($G1795,'321買'!$A:$E,4,0),"'沒有資料'")</f>
        <v>565</v>
      </c>
      <c r="T1795" s="186">
        <f>IFERROR(VLOOKUP($G1795,基本資料!$A:$J,9,0),"無")</f>
        <v>5</v>
      </c>
      <c r="U1795" s="307">
        <f t="shared" si="313"/>
        <v>7.5187969924812026E-2</v>
      </c>
      <c r="V1795" s="94">
        <f>IFERROR(VLOOKUP($G1795,基本資料!$A:$J,10,0),"無")</f>
        <v>6.3</v>
      </c>
      <c r="W1795" s="36">
        <f>RTD("money.excel",,"6180","Price")</f>
        <v>66.5</v>
      </c>
      <c r="X1795" s="66"/>
      <c r="Y1795" s="15">
        <f t="shared" si="314"/>
        <v>66.5</v>
      </c>
      <c r="Z1795" s="3" t="e">
        <f t="shared" si="315"/>
        <v>#DIV/0!</v>
      </c>
      <c r="AA1795" s="340">
        <f>IFERROR(VLOOKUP($G1795,基本資料!$A:$M,11,0),"無")</f>
        <v>-9.89</v>
      </c>
      <c r="AB1795" s="389">
        <f>IFERROR(VLOOKUP($G1795,基本資料!$A:$M,12,0),"無")</f>
        <v>58.62</v>
      </c>
      <c r="AC1795" s="16" t="s">
        <v>76</v>
      </c>
      <c r="AF1795" s="33">
        <f t="shared" si="316"/>
        <v>0</v>
      </c>
      <c r="AG1795" s="117" t="s">
        <v>3068</v>
      </c>
      <c r="AH1795" s="66">
        <f t="shared" si="300"/>
        <v>0.60280156675297092</v>
      </c>
      <c r="AI1795" s="283">
        <f>RTD("money.excel",,$G1795,"PredictVolume")</f>
        <v>454</v>
      </c>
      <c r="AJ1795" s="391">
        <f>IFERROR(VLOOKUP($G1795,基本資料!$A:$M,13,0),"無")</f>
        <v>753.15</v>
      </c>
      <c r="AR1795" s="245" t="str">
        <f>INDEX(基本資料!N:N,MATCH($G1795,基本資料!A:A,0))</f>
        <v>中</v>
      </c>
    </row>
    <row r="1796" spans="1:44">
      <c r="A1796" s="343">
        <f>IFERROR(VLOOKUP($G1796,基本資料!$A:$J,3,0),"無")</f>
        <v>2.4500000000000002</v>
      </c>
      <c r="B1796" s="79">
        <f>IFERROR(VLOOKUP($G1796,基本資料!$A:$J,4,0),"無")</f>
        <v>4</v>
      </c>
      <c r="C1796" s="79">
        <f>IFERROR(VLOOKUP($G1796,基本資料!$A:$J,5,0),"無")</f>
        <v>1</v>
      </c>
      <c r="D1796" s="79">
        <f>IFERROR(VLOOKUP($G1796,基本資料!$A:$J,6,0),"無")</f>
        <v>7</v>
      </c>
      <c r="E1796" s="79">
        <f>IFERROR(VLOOKUP($G1796,基本資料!$A:$J,7,0),"無")</f>
        <v>0</v>
      </c>
      <c r="F1796" s="6">
        <f>IFERROR(VLOOKUP($G1796,基本資料!$A:$J,8,0),"無")</f>
        <v>35.22</v>
      </c>
      <c r="G1796" s="79">
        <v>6294</v>
      </c>
      <c r="H1796" s="8" t="s">
        <v>1024</v>
      </c>
      <c r="I1796" s="16" t="s">
        <v>83</v>
      </c>
      <c r="J1796" s="8">
        <f>IFERROR(VLOOKUP($G1796,今日總結!$A:$AN,39,0),"")</f>
        <v>0</v>
      </c>
      <c r="K1796" s="5">
        <f>IFERROR(VLOOKUP($G1796,今日總結!$A:$AN,40,0),"")</f>
        <v>5</v>
      </c>
      <c r="L1796" s="156">
        <f>IFERROR(VLOOKUP($G1796,今日總結!$A:$AN,37,0),"")</f>
        <v>0</v>
      </c>
      <c r="M1796" s="337">
        <f>IFERROR(VLOOKUP($G1796,今日總結!$A:$AN,38,0),"")</f>
        <v>1</v>
      </c>
      <c r="N1796" s="240">
        <f t="shared" si="317"/>
        <v>-1</v>
      </c>
      <c r="O1796" s="359">
        <f>IFERROR(VLOOKUP($G1796,融外自投!$A:$J,7,0),"無")</f>
        <v>1312</v>
      </c>
      <c r="P1796" s="79">
        <f>IFERROR(VLOOKUP($G1796,融外自投!$A:$J,9,0),"無")</f>
        <v>171</v>
      </c>
      <c r="Q1796" s="342">
        <f>IFERROR(VLOOKUP($G1796,融外自投!$A:$J,8,0),"無")</f>
        <v>592</v>
      </c>
      <c r="R1796" s="81" t="str">
        <f>IFERROR(VLOOKUP($G1796,融外自投!$A:$J,10,0),"無")</f>
        <v>無</v>
      </c>
      <c r="S1796" s="324">
        <f>IFERROR(VLOOKUP($G1796,'321買'!$A:$E,4,0),"'沒有資料'")</f>
        <v>1002</v>
      </c>
      <c r="T1796" s="186">
        <f>IFERROR(VLOOKUP($G1796,基本資料!$A:$J,9,0),"無")</f>
        <v>9.5</v>
      </c>
      <c r="U1796" s="307">
        <f t="shared" si="313"/>
        <v>9.6251266464032426E-2</v>
      </c>
      <c r="V1796" s="94">
        <f>IFERROR(VLOOKUP($G1796,基本資料!$A:$J,10,0),"無")</f>
        <v>11.21</v>
      </c>
      <c r="W1796" s="36">
        <f>RTD("money.excel",,"6294","Price")</f>
        <v>98.7</v>
      </c>
      <c r="X1796" s="66"/>
      <c r="Y1796" s="15">
        <f t="shared" si="314"/>
        <v>98.7</v>
      </c>
      <c r="Z1796" s="3" t="e">
        <f t="shared" si="315"/>
        <v>#DIV/0!</v>
      </c>
      <c r="AA1796" s="340">
        <f>IFERROR(VLOOKUP($G1796,基本資料!$A:$M,11,0),"無")</f>
        <v>-37.92</v>
      </c>
      <c r="AB1796" s="389">
        <f>IFERROR(VLOOKUP($G1796,基本資料!$A:$M,12,0),"無")</f>
        <v>12.96</v>
      </c>
      <c r="AC1796" s="16" t="s">
        <v>83</v>
      </c>
      <c r="AF1796" s="33">
        <f t="shared" si="316"/>
        <v>0</v>
      </c>
      <c r="AG1796" s="117" t="s">
        <v>2695</v>
      </c>
      <c r="AH1796" s="66">
        <f t="shared" si="300"/>
        <v>2.8388017118402287</v>
      </c>
      <c r="AI1796" s="283">
        <f>RTD("money.excel",,$G1796,"PredictVolume")</f>
        <v>199</v>
      </c>
      <c r="AJ1796" s="391">
        <f>IFERROR(VLOOKUP($G1796,基本資料!$A:$M,13,0),"無")</f>
        <v>70.099999999999994</v>
      </c>
      <c r="AR1796" s="245" t="str">
        <f>INDEX(基本資料!N:N,MATCH($G1796,基本資料!A:A,0))</f>
        <v>低</v>
      </c>
    </row>
    <row r="1797" spans="1:44">
      <c r="A1797" s="343">
        <f>IFERROR(VLOOKUP($G1797,基本資料!$A:$J,3,0),"無")</f>
        <v>1.71</v>
      </c>
      <c r="B1797" s="79">
        <f>IFERROR(VLOOKUP($G1797,基本資料!$A:$J,4,0),"無")</f>
        <v>139</v>
      </c>
      <c r="C1797" s="79">
        <f>IFERROR(VLOOKUP($G1797,基本資料!$A:$J,5,0),"無")</f>
        <v>156</v>
      </c>
      <c r="D1797" s="79">
        <f>IFERROR(VLOOKUP($G1797,基本資料!$A:$J,6,0),"無")</f>
        <v>28</v>
      </c>
      <c r="E1797" s="79">
        <f>IFERROR(VLOOKUP($G1797,基本資料!$A:$J,7,0),"無")</f>
        <v>58</v>
      </c>
      <c r="F1797" s="6">
        <f>IFERROR(VLOOKUP($G1797,基本資料!$A:$J,8,0),"無")</f>
        <v>11.07</v>
      </c>
      <c r="G1797" s="79">
        <v>6482</v>
      </c>
      <c r="H1797" s="8" t="s">
        <v>1024</v>
      </c>
      <c r="I1797" s="16" t="s">
        <v>1028</v>
      </c>
      <c r="J1797" s="8" t="str">
        <f>IFERROR(VLOOKUP($G1797,今日總結!$A:$AN,39,0),"")</f>
        <v/>
      </c>
      <c r="K1797" s="5" t="str">
        <f>IFERROR(VLOOKUP($G1797,今日總結!$A:$AN,40,0),"")</f>
        <v/>
      </c>
      <c r="L1797" s="156" t="str">
        <f>IFERROR(VLOOKUP($G1797,今日總結!$A:$AN,37,0),"")</f>
        <v/>
      </c>
      <c r="M1797" s="337" t="str">
        <f>IFERROR(VLOOKUP($G1797,今日總結!$A:$AN,38,0),"")</f>
        <v/>
      </c>
      <c r="N1797" s="240" t="str">
        <f t="shared" si="317"/>
        <v/>
      </c>
      <c r="O1797" s="359" t="str">
        <f>IFERROR(VLOOKUP($G1797,融外自投!$A:$J,7,0),"無")</f>
        <v>無</v>
      </c>
      <c r="P1797" s="79" t="str">
        <f>IFERROR(VLOOKUP($G1797,融外自投!$A:$J,9,0),"無")</f>
        <v>無</v>
      </c>
      <c r="Q1797" s="342" t="str">
        <f>IFERROR(VLOOKUP($G1797,融外自投!$A:$J,8,0),"無")</f>
        <v>無</v>
      </c>
      <c r="R1797" s="81" t="str">
        <f>IFERROR(VLOOKUP($G1797,融外自投!$A:$J,10,0),"無")</f>
        <v>無</v>
      </c>
      <c r="S1797" s="324" t="str">
        <f>IFERROR(VLOOKUP($G1797,'321買'!$A:$E,4,0),"'沒有資料'")</f>
        <v>'沒有資料'</v>
      </c>
      <c r="T1797" s="186">
        <f>IFERROR(VLOOKUP($G1797,基本資料!$A:$J,9,0),"無")</f>
        <v>1</v>
      </c>
      <c r="U1797" s="307">
        <f t="shared" si="313"/>
        <v>2.4875621890547261E-2</v>
      </c>
      <c r="V1797" s="94">
        <f>IFERROR(VLOOKUP($G1797,基本資料!$A:$J,10,0),"無")</f>
        <v>1.34</v>
      </c>
      <c r="W1797" s="36">
        <f>RTD("money.excel",,"6482","Price")</f>
        <v>40.200000000000003</v>
      </c>
      <c r="X1797" s="66"/>
      <c r="Y1797" s="15">
        <f t="shared" si="314"/>
        <v>40.200000000000003</v>
      </c>
      <c r="Z1797" s="3" t="e">
        <f t="shared" si="315"/>
        <v>#DIV/0!</v>
      </c>
      <c r="AA1797" s="340">
        <f>IFERROR(VLOOKUP($G1797,基本資料!$A:$M,11,0),"無")</f>
        <v>-25.14</v>
      </c>
      <c r="AB1797" s="389">
        <f>IFERROR(VLOOKUP($G1797,基本資料!$A:$M,12,0),"無")</f>
        <v>41.19</v>
      </c>
      <c r="AC1797" s="16" t="s">
        <v>1028</v>
      </c>
      <c r="AF1797" s="33">
        <f t="shared" si="316"/>
        <v>0</v>
      </c>
      <c r="AG1797" s="43" t="s">
        <v>2696</v>
      </c>
      <c r="AH1797" s="66">
        <f t="shared" si="300"/>
        <v>0.2821316614420063</v>
      </c>
      <c r="AI1797" s="283">
        <f>RTD("money.excel",,$G1797,"PredictVolume")</f>
        <v>9</v>
      </c>
      <c r="AJ1797" s="391">
        <f>IFERROR(VLOOKUP($G1797,基本資料!$A:$M,13,0),"無")</f>
        <v>31.9</v>
      </c>
      <c r="AR1797" s="245" t="str">
        <f>INDEX(基本資料!N:N,MATCH($G1797,基本資料!A:A,0))</f>
        <v>中</v>
      </c>
    </row>
    <row r="1798" spans="1:44">
      <c r="A1798" s="343">
        <f>IFERROR(VLOOKUP($G1798,基本資料!$A:$J,3,0),"無")</f>
        <v>4.2</v>
      </c>
      <c r="B1798" s="79">
        <f>IFERROR(VLOOKUP($G1798,基本資料!$A:$J,4,0),"無")</f>
        <v>-355</v>
      </c>
      <c r="C1798" s="79">
        <f>IFERROR(VLOOKUP($G1798,基本資料!$A:$J,5,0),"無")</f>
        <v>-255</v>
      </c>
      <c r="D1798" s="79">
        <f>IFERROR(VLOOKUP($G1798,基本資料!$A:$J,6,0),"無")</f>
        <v>-5</v>
      </c>
      <c r="E1798" s="79">
        <f>IFERROR(VLOOKUP($G1798,基本資料!$A:$J,7,0),"無")</f>
        <v>22</v>
      </c>
      <c r="F1798" s="6">
        <f>IFERROR(VLOOKUP($G1798,基本資料!$A:$J,8,0),"無")</f>
        <v>-13</v>
      </c>
      <c r="G1798" s="79">
        <v>6542</v>
      </c>
      <c r="H1798" s="8" t="s">
        <v>1024</v>
      </c>
      <c r="I1798" s="16" t="s">
        <v>4693</v>
      </c>
      <c r="J1798" s="8">
        <f>IFERROR(VLOOKUP($G1798,今日總結!$A:$AN,39,0),"")</f>
        <v>0</v>
      </c>
      <c r="K1798" s="5">
        <f>IFERROR(VLOOKUP($G1798,今日總結!$A:$AN,40,0),"")</f>
        <v>0</v>
      </c>
      <c r="L1798" s="156">
        <f>IFERROR(VLOOKUP($G1798,今日總結!$A:$AN,37,0),"")</f>
        <v>0</v>
      </c>
      <c r="M1798" s="337">
        <f>IFERROR(VLOOKUP($G1798,今日總結!$A:$AN,38,0),"")</f>
        <v>0</v>
      </c>
      <c r="N1798" s="240">
        <f t="shared" si="317"/>
        <v>0</v>
      </c>
      <c r="O1798" s="359">
        <f>IFERROR(VLOOKUP($G1798,融外自投!$A:$J,7,0),"無")</f>
        <v>1214</v>
      </c>
      <c r="P1798" s="79" t="str">
        <f>IFERROR(VLOOKUP($G1798,融外自投!$A:$J,9,0),"無")</f>
        <v>無</v>
      </c>
      <c r="Q1798" s="342">
        <f>IFERROR(VLOOKUP($G1798,融外自投!$A:$J,8,0),"無")</f>
        <v>261</v>
      </c>
      <c r="R1798" s="81" t="str">
        <f>IFERROR(VLOOKUP($G1798,融外自投!$A:$J,10,0),"無")</f>
        <v>無</v>
      </c>
      <c r="S1798" s="324">
        <f>IFERROR(VLOOKUP($G1798,'321買'!$A:$E,4,0),"'沒有資料'")</f>
        <v>1002</v>
      </c>
      <c r="T1798" s="186">
        <f>IFERROR(VLOOKUP($G1798,基本資料!$A:$J,9,0),"無")</f>
        <v>0</v>
      </c>
      <c r="U1798" s="307">
        <f t="shared" si="313"/>
        <v>0</v>
      </c>
      <c r="V1798" s="94">
        <f>IFERROR(VLOOKUP($G1798,基本資料!$A:$J,10,0),"無")</f>
        <v>-3.89</v>
      </c>
      <c r="W1798" s="36">
        <f>RTD("money.excel",,"6542","Price")</f>
        <v>52.4</v>
      </c>
      <c r="X1798" s="66"/>
      <c r="Y1798" s="15">
        <f t="shared" si="314"/>
        <v>52.4</v>
      </c>
      <c r="Z1798" s="3" t="e">
        <f t="shared" si="315"/>
        <v>#DIV/0!</v>
      </c>
      <c r="AA1798" s="340">
        <f>IFERROR(VLOOKUP($G1798,基本資料!$A:$M,11,0),"無")</f>
        <v>-36.33</v>
      </c>
      <c r="AB1798" s="389">
        <f>IFERROR(VLOOKUP($G1798,基本資料!$A:$M,12,0),"無")</f>
        <v>58.26</v>
      </c>
      <c r="AC1798" s="16" t="s">
        <v>4693</v>
      </c>
      <c r="AF1798" s="33">
        <f t="shared" si="316"/>
        <v>0</v>
      </c>
      <c r="AG1798" s="117" t="s">
        <v>2318</v>
      </c>
      <c r="AH1798" s="66">
        <f t="shared" ref="AH1798:AH1825" si="318">AI1798/AJ1798</f>
        <v>5.07936507936508</v>
      </c>
      <c r="AI1798" s="283">
        <f>RTD("money.excel",,$G1798,"PredictVolume")</f>
        <v>96</v>
      </c>
      <c r="AJ1798" s="391">
        <f>IFERROR(VLOOKUP($G1798,基本資料!$A:$M,13,0),"無")</f>
        <v>18.899999999999999</v>
      </c>
      <c r="AR1798" s="245" t="str">
        <f>INDEX(基本資料!N:N,MATCH($G1798,基本資料!A:A,0))</f>
        <v>中</v>
      </c>
    </row>
    <row r="1799" spans="1:44">
      <c r="A1799" s="343">
        <f>IFERROR(VLOOKUP($G1799,基本資料!$A:$J,3,0),"無")</f>
        <v>3</v>
      </c>
      <c r="B1799" s="79">
        <f>IFERROR(VLOOKUP($G1799,基本資料!$A:$J,4,0),"無")</f>
        <v>-198</v>
      </c>
      <c r="C1799" s="79">
        <f>IFERROR(VLOOKUP($G1799,基本資料!$A:$J,5,0),"無")</f>
        <v>-165</v>
      </c>
      <c r="D1799" s="79">
        <f>IFERROR(VLOOKUP($G1799,基本資料!$A:$J,6,0),"無")</f>
        <v>-84</v>
      </c>
      <c r="E1799" s="79">
        <f>IFERROR(VLOOKUP($G1799,基本資料!$A:$J,7,0),"無")</f>
        <v>-66</v>
      </c>
      <c r="F1799" s="6">
        <f>IFERROR(VLOOKUP($G1799,基本資料!$A:$J,8,0),"無")</f>
        <v>-36.14</v>
      </c>
      <c r="G1799" s="79">
        <v>6596</v>
      </c>
      <c r="H1799" s="8" t="s">
        <v>1024</v>
      </c>
      <c r="I1799" s="16" t="s">
        <v>1029</v>
      </c>
      <c r="J1799" s="8" t="str">
        <f>IFERROR(VLOOKUP($G1799,今日總結!$A:$AN,39,0),"")</f>
        <v/>
      </c>
      <c r="K1799" s="5" t="str">
        <f>IFERROR(VLOOKUP($G1799,今日總結!$A:$AN,40,0),"")</f>
        <v/>
      </c>
      <c r="L1799" s="156" t="str">
        <f>IFERROR(VLOOKUP($G1799,今日總結!$A:$AN,37,0),"")</f>
        <v/>
      </c>
      <c r="M1799" s="337" t="str">
        <f>IFERROR(VLOOKUP($G1799,今日總結!$A:$AN,38,0),"")</f>
        <v/>
      </c>
      <c r="N1799" s="240" t="str">
        <f t="shared" si="317"/>
        <v/>
      </c>
      <c r="O1799" s="359">
        <f>IFERROR(VLOOKUP($G1799,融外自投!$A:$J,7,0),"無")</f>
        <v>1295</v>
      </c>
      <c r="P1799" s="79" t="str">
        <f>IFERROR(VLOOKUP($G1799,融外自投!$A:$J,9,0),"無")</f>
        <v>無</v>
      </c>
      <c r="Q1799" s="342">
        <f>IFERROR(VLOOKUP($G1799,融外自投!$A:$J,8,0),"無")</f>
        <v>1425</v>
      </c>
      <c r="R1799" s="81" t="str">
        <f>IFERROR(VLOOKUP($G1799,融外自投!$A:$J,10,0),"無")</f>
        <v>無</v>
      </c>
      <c r="S1799" s="324" t="str">
        <f>IFERROR(VLOOKUP($G1799,'321買'!$A:$E,4,0),"'沒有資料'")</f>
        <v>'沒有資料'</v>
      </c>
      <c r="T1799" s="186">
        <f>IFERROR(VLOOKUP($G1799,基本資料!$A:$J,9,0),"無")</f>
        <v>0</v>
      </c>
      <c r="U1799" s="307">
        <f t="shared" si="313"/>
        <v>0</v>
      </c>
      <c r="V1799" s="94">
        <f>IFERROR(VLOOKUP($G1799,基本資料!$A:$J,10,0),"無")</f>
        <v>-2.86</v>
      </c>
      <c r="W1799" s="36">
        <f>RTD("money.excel",,"6596","Price")</f>
        <v>44.6</v>
      </c>
      <c r="X1799" s="66"/>
      <c r="Y1799" s="15">
        <f t="shared" si="314"/>
        <v>44.6</v>
      </c>
      <c r="Z1799" s="3" t="e">
        <f t="shared" si="315"/>
        <v>#DIV/0!</v>
      </c>
      <c r="AA1799" s="340">
        <f>IFERROR(VLOOKUP($G1799,基本資料!$A:$M,11,0),"無")</f>
        <v>-18.010000000000002</v>
      </c>
      <c r="AB1799" s="389">
        <f>IFERROR(VLOOKUP($G1799,基本資料!$A:$M,12,0),"無")</f>
        <v>15.79</v>
      </c>
      <c r="AC1799" s="16" t="s">
        <v>1029</v>
      </c>
      <c r="AF1799" s="33">
        <f t="shared" si="316"/>
        <v>0</v>
      </c>
      <c r="AG1799" s="43" t="s">
        <v>1983</v>
      </c>
      <c r="AH1799" s="66">
        <f t="shared" si="318"/>
        <v>0.21321961620469085</v>
      </c>
      <c r="AI1799" s="283">
        <f>RTD("money.excel",,$G1799,"PredictVolume")</f>
        <v>5</v>
      </c>
      <c r="AJ1799" s="391">
        <f>IFERROR(VLOOKUP($G1799,基本資料!$A:$M,13,0),"無")</f>
        <v>23.45</v>
      </c>
      <c r="AR1799" s="245" t="str">
        <f>INDEX(基本資料!N:N,MATCH($G1799,基本資料!A:A,0))</f>
        <v>低</v>
      </c>
    </row>
    <row r="1800" spans="1:44">
      <c r="A1800" s="343">
        <f>IFERROR(VLOOKUP($G1800,基本資料!$A:$J,3,0),"無")</f>
        <v>5.29</v>
      </c>
      <c r="B1800" s="79">
        <f>IFERROR(VLOOKUP($G1800,基本資料!$A:$J,4,0),"無")</f>
        <v>-31</v>
      </c>
      <c r="C1800" s="79">
        <f>IFERROR(VLOOKUP($G1800,基本資料!$A:$J,5,0),"無")</f>
        <v>-37</v>
      </c>
      <c r="D1800" s="79">
        <f>IFERROR(VLOOKUP($G1800,基本資料!$A:$J,6,0),"無")</f>
        <v>-29</v>
      </c>
      <c r="E1800" s="79">
        <f>IFERROR(VLOOKUP($G1800,基本資料!$A:$J,7,0),"無")</f>
        <v>2</v>
      </c>
      <c r="F1800" s="6">
        <f>IFERROR(VLOOKUP($G1800,基本資料!$A:$J,8,0),"無")</f>
        <v>45.92</v>
      </c>
      <c r="G1800" s="79">
        <v>8446</v>
      </c>
      <c r="H1800" s="8" t="s">
        <v>1024</v>
      </c>
      <c r="I1800" s="16" t="s">
        <v>152</v>
      </c>
      <c r="J1800" s="8">
        <f>IFERROR(VLOOKUP($G1800,今日總結!$A:$AN,39,0),"")</f>
        <v>0</v>
      </c>
      <c r="K1800" s="5">
        <f>IFERROR(VLOOKUP($G1800,今日總結!$A:$AN,40,0),"")</f>
        <v>0</v>
      </c>
      <c r="L1800" s="156">
        <f>IFERROR(VLOOKUP($G1800,今日總結!$A:$AN,37,0),"")</f>
        <v>0</v>
      </c>
      <c r="M1800" s="337">
        <f>IFERROR(VLOOKUP($G1800,今日總結!$A:$AN,38,0),"")</f>
        <v>0</v>
      </c>
      <c r="N1800" s="240">
        <f t="shared" si="317"/>
        <v>0</v>
      </c>
      <c r="O1800" s="359">
        <f>IFERROR(VLOOKUP($G1800,融外自投!$A:$J,7,0),"無")</f>
        <v>1029</v>
      </c>
      <c r="P1800" s="79" t="str">
        <f>IFERROR(VLOOKUP($G1800,融外自投!$A:$J,9,0),"無")</f>
        <v>無</v>
      </c>
      <c r="Q1800" s="342">
        <f>IFERROR(VLOOKUP($G1800,融外自投!$A:$J,8,0),"無")</f>
        <v>926</v>
      </c>
      <c r="R1800" s="81" t="str">
        <f>IFERROR(VLOOKUP($G1800,融外自投!$A:$J,10,0),"無")</f>
        <v>無</v>
      </c>
      <c r="S1800" s="324">
        <f>IFERROR(VLOOKUP($G1800,'321買'!$A:$E,4,0),"'沒有資料'")</f>
        <v>891</v>
      </c>
      <c r="T1800" s="186">
        <f>IFERROR(VLOOKUP($G1800,基本資料!$A:$J,9,0),"無")</f>
        <v>4.5</v>
      </c>
      <c r="U1800" s="307">
        <f t="shared" si="313"/>
        <v>6.1983471074380167E-2</v>
      </c>
      <c r="V1800" s="94">
        <f>IFERROR(VLOOKUP($G1800,基本資料!$A:$J,10,0),"無")</f>
        <v>6.56</v>
      </c>
      <c r="W1800" s="36">
        <f>RTD("money.excel",,"8446","Price")</f>
        <v>72.599999999999994</v>
      </c>
      <c r="X1800" s="66"/>
      <c r="Y1800" s="15">
        <f t="shared" si="314"/>
        <v>72.599999999999994</v>
      </c>
      <c r="Z1800" s="3" t="e">
        <f t="shared" si="315"/>
        <v>#DIV/0!</v>
      </c>
      <c r="AA1800" s="340">
        <f>IFERROR(VLOOKUP($G1800,基本資料!$A:$M,11,0),"無")</f>
        <v>-26.29</v>
      </c>
      <c r="AB1800" s="389">
        <f>IFERROR(VLOOKUP($G1800,基本資料!$A:$M,12,0),"無")</f>
        <v>9.57</v>
      </c>
      <c r="AC1800" s="16" t="s">
        <v>152</v>
      </c>
      <c r="AF1800" s="33">
        <f t="shared" si="316"/>
        <v>0</v>
      </c>
      <c r="AG1800" s="117" t="s">
        <v>1416</v>
      </c>
      <c r="AH1800" s="66">
        <f t="shared" si="318"/>
        <v>0.29329608938547486</v>
      </c>
      <c r="AI1800" s="283">
        <f>RTD("money.excel",,$G1800,"PredictVolume")</f>
        <v>21</v>
      </c>
      <c r="AJ1800" s="391">
        <f>IFERROR(VLOOKUP($G1800,基本資料!$A:$M,13,0),"無")</f>
        <v>71.599999999999994</v>
      </c>
      <c r="AR1800" s="245" t="str">
        <f>INDEX(基本資料!N:N,MATCH($G1800,基本資料!A:A,0))</f>
        <v>低</v>
      </c>
    </row>
    <row r="1801" spans="1:44">
      <c r="A1801" s="343">
        <f>IFERROR(VLOOKUP($G1801,基本資料!$A:$J,3,0),"無")</f>
        <v>5.13</v>
      </c>
      <c r="B1801" s="79">
        <f>IFERROR(VLOOKUP($G1801,基本資料!$A:$J,4,0),"無")</f>
        <v>-61</v>
      </c>
      <c r="C1801" s="79">
        <f>IFERROR(VLOOKUP($G1801,基本資料!$A:$J,5,0),"無")</f>
        <v>-64</v>
      </c>
      <c r="D1801" s="79">
        <f>IFERROR(VLOOKUP($G1801,基本資料!$A:$J,6,0),"無")</f>
        <v>9</v>
      </c>
      <c r="E1801" s="79">
        <f>IFERROR(VLOOKUP($G1801,基本資料!$A:$J,7,0),"無")</f>
        <v>-15</v>
      </c>
      <c r="F1801" s="6">
        <f>IFERROR(VLOOKUP($G1801,基本資料!$A:$J,8,0),"無")</f>
        <v>-55.05</v>
      </c>
      <c r="G1801" s="79">
        <v>8450</v>
      </c>
      <c r="H1801" s="8" t="s">
        <v>1024</v>
      </c>
      <c r="I1801" s="16" t="s">
        <v>85</v>
      </c>
      <c r="J1801" s="8">
        <f>IFERROR(VLOOKUP($G1801,今日總結!$A:$AN,39,0),"")</f>
        <v>0</v>
      </c>
      <c r="K1801" s="5" t="str">
        <f>IFERROR(VLOOKUP($G1801,今日總結!$A:$AN,40,0),"")</f>
        <v>券</v>
      </c>
      <c r="L1801" s="156">
        <f>IFERROR(VLOOKUP($G1801,今日總結!$A:$AN,37,0),"")</f>
        <v>0</v>
      </c>
      <c r="M1801" s="337">
        <f>IFERROR(VLOOKUP($G1801,今日總結!$A:$AN,38,0),"")</f>
        <v>1</v>
      </c>
      <c r="N1801" s="240">
        <f t="shared" si="317"/>
        <v>-1</v>
      </c>
      <c r="O1801" s="359">
        <f>IFERROR(VLOOKUP($G1801,融外自投!$A:$J,7,0),"無")</f>
        <v>387</v>
      </c>
      <c r="P1801" s="79">
        <f>IFERROR(VLOOKUP($G1801,融外自投!$A:$J,9,0),"無")</f>
        <v>210</v>
      </c>
      <c r="Q1801" s="342">
        <f>IFERROR(VLOOKUP($G1801,融外自投!$A:$J,8,0),"無")</f>
        <v>1082</v>
      </c>
      <c r="R1801" s="81" t="str">
        <f>IFERROR(VLOOKUP($G1801,融外自投!$A:$J,10,0),"無")</f>
        <v>無</v>
      </c>
      <c r="S1801" s="324">
        <f>IFERROR(VLOOKUP($G1801,'321買'!$A:$E,4,0),"'沒有資料'")</f>
        <v>321</v>
      </c>
      <c r="T1801" s="186">
        <f>IFERROR(VLOOKUP($G1801,基本資料!$A:$J,9,0),"無")</f>
        <v>0</v>
      </c>
      <c r="U1801" s="307">
        <f t="shared" si="313"/>
        <v>0</v>
      </c>
      <c r="V1801" s="94">
        <f>IFERROR(VLOOKUP($G1801,基本資料!$A:$J,10,0),"無")</f>
        <v>-4.5999999999999996</v>
      </c>
      <c r="W1801" s="36">
        <f>RTD("money.excel",,"8450","Price")</f>
        <v>26.95</v>
      </c>
      <c r="X1801" s="66"/>
      <c r="Y1801" s="15">
        <f t="shared" si="314"/>
        <v>26.95</v>
      </c>
      <c r="Z1801" s="3" t="e">
        <f t="shared" si="315"/>
        <v>#DIV/0!</v>
      </c>
      <c r="AA1801" s="340">
        <f>IFERROR(VLOOKUP($G1801,基本資料!$A:$M,11,0),"無")</f>
        <v>-63.03</v>
      </c>
      <c r="AB1801" s="389">
        <f>IFERROR(VLOOKUP($G1801,基本資料!$A:$M,12,0),"無")</f>
        <v>8.52</v>
      </c>
      <c r="AC1801" s="16" t="s">
        <v>85</v>
      </c>
      <c r="AF1801" s="33">
        <f t="shared" si="316"/>
        <v>0</v>
      </c>
      <c r="AG1801" s="117" t="s">
        <v>2697</v>
      </c>
      <c r="AH1801" s="66">
        <f t="shared" si="318"/>
        <v>0.49087099670757256</v>
      </c>
      <c r="AI1801" s="283">
        <f>RTD("money.excel",,$G1801,"PredictVolume")</f>
        <v>164</v>
      </c>
      <c r="AJ1801" s="391">
        <f>IFERROR(VLOOKUP($G1801,基本資料!$A:$M,13,0),"無")</f>
        <v>334.1</v>
      </c>
      <c r="AR1801" s="245" t="str">
        <f>INDEX(基本資料!N:N,MATCH($G1801,基本資料!A:A,0))</f>
        <v>低</v>
      </c>
    </row>
    <row r="1802" spans="1:44">
      <c r="A1802" s="343">
        <f>IFERROR(VLOOKUP($G1802,基本資料!$A:$J,3,0),"無")</f>
        <v>3.77</v>
      </c>
      <c r="B1802" s="79">
        <f>IFERROR(VLOOKUP($G1802,基本資料!$A:$J,4,0),"無")</f>
        <v>-60</v>
      </c>
      <c r="C1802" s="79">
        <f>IFERROR(VLOOKUP($G1802,基本資料!$A:$J,5,0),"無")</f>
        <v>-63</v>
      </c>
      <c r="D1802" s="79">
        <f>IFERROR(VLOOKUP($G1802,基本資料!$A:$J,6,0),"無")</f>
        <v>-3</v>
      </c>
      <c r="E1802" s="79">
        <f>IFERROR(VLOOKUP($G1802,基本資料!$A:$J,7,0),"無")</f>
        <v>-6</v>
      </c>
      <c r="F1802" s="6">
        <f>IFERROR(VLOOKUP($G1802,基本資料!$A:$J,8,0),"無")</f>
        <v>4.45</v>
      </c>
      <c r="G1802" s="79">
        <v>8489</v>
      </c>
      <c r="H1802" s="8" t="s">
        <v>1024</v>
      </c>
      <c r="I1802" s="16" t="s">
        <v>1030</v>
      </c>
      <c r="J1802" s="8" t="str">
        <f>IFERROR(VLOOKUP($G1802,今日總結!$A:$AN,39,0),"")</f>
        <v>融券</v>
      </c>
      <c r="K1802" s="5">
        <f>IFERROR(VLOOKUP($G1802,今日總結!$A:$AN,40,0),"")</f>
        <v>0</v>
      </c>
      <c r="L1802" s="156">
        <f>IFERROR(VLOOKUP($G1802,今日總結!$A:$AN,37,0),"")</f>
        <v>2</v>
      </c>
      <c r="M1802" s="337">
        <f>IFERROR(VLOOKUP($G1802,今日總結!$A:$AN,38,0),"")</f>
        <v>0</v>
      </c>
      <c r="N1802" s="240">
        <f t="shared" si="317"/>
        <v>2</v>
      </c>
      <c r="O1802" s="359">
        <f>IFERROR(VLOOKUP($G1802,融外自投!$A:$J,7,0),"無")</f>
        <v>459</v>
      </c>
      <c r="P1802" s="79" t="str">
        <f>IFERROR(VLOOKUP($G1802,融外自投!$A:$J,9,0),"無")</f>
        <v>無</v>
      </c>
      <c r="Q1802" s="342">
        <f>IFERROR(VLOOKUP($G1802,融外自投!$A:$J,8,0),"無")</f>
        <v>1164</v>
      </c>
      <c r="R1802" s="81" t="str">
        <f>IFERROR(VLOOKUP($G1802,融外自投!$A:$J,10,0),"無")</f>
        <v>無</v>
      </c>
      <c r="S1802" s="324">
        <f>IFERROR(VLOOKUP($G1802,'321買'!$A:$E,4,0),"'沒有資料'")</f>
        <v>801</v>
      </c>
      <c r="T1802" s="186">
        <f>IFERROR(VLOOKUP($G1802,基本資料!$A:$J,9,0),"無")</f>
        <v>0.2</v>
      </c>
      <c r="U1802" s="307">
        <f t="shared" si="313"/>
        <v>6.3897763578274766E-3</v>
      </c>
      <c r="V1802" s="94">
        <f>IFERROR(VLOOKUP($G1802,基本資料!$A:$J,10,0),"無")</f>
        <v>-0.8</v>
      </c>
      <c r="W1802" s="36">
        <f>RTD("money.excel",,"8489","Price")</f>
        <v>31.3</v>
      </c>
      <c r="X1802" s="66"/>
      <c r="Y1802" s="15">
        <f t="shared" si="314"/>
        <v>31.3</v>
      </c>
      <c r="Z1802" s="3" t="e">
        <f t="shared" si="315"/>
        <v>#DIV/0!</v>
      </c>
      <c r="AA1802" s="340">
        <f>IFERROR(VLOOKUP($G1802,基本資料!$A:$M,11,0),"無")</f>
        <v>-29.98</v>
      </c>
      <c r="AB1802" s="389">
        <f>IFERROR(VLOOKUP($G1802,基本資料!$A:$M,12,0),"無")</f>
        <v>17.59</v>
      </c>
      <c r="AC1802" s="16" t="s">
        <v>1030</v>
      </c>
      <c r="AF1802" s="33">
        <f t="shared" si="316"/>
        <v>0</v>
      </c>
      <c r="AG1802" s="43" t="s">
        <v>2698</v>
      </c>
      <c r="AH1802" s="66">
        <f t="shared" si="318"/>
        <v>0.12172854534388314</v>
      </c>
      <c r="AI1802" s="283">
        <f>RTD("money.excel",,$G1802,"PredictVolume")</f>
        <v>80</v>
      </c>
      <c r="AJ1802" s="391">
        <f>IFERROR(VLOOKUP($G1802,基本資料!$A:$M,13,0),"無")</f>
        <v>657.2</v>
      </c>
      <c r="AR1802" s="245" t="str">
        <f>INDEX(基本資料!N:N,MATCH($G1802,基本資料!A:A,0))</f>
        <v>低</v>
      </c>
    </row>
    <row r="1803" spans="1:44">
      <c r="A1803" s="343">
        <f>IFERROR(VLOOKUP($G1803,基本資料!$A:$J,3,0),"無")</f>
        <v>3.03</v>
      </c>
      <c r="B1803" s="79">
        <f>IFERROR(VLOOKUP($G1803,基本資料!$A:$J,4,0),"無")</f>
        <v>5</v>
      </c>
      <c r="C1803" s="79">
        <f>IFERROR(VLOOKUP($G1803,基本資料!$A:$J,5,0),"無")</f>
        <v>22</v>
      </c>
      <c r="D1803" s="79">
        <f>IFERROR(VLOOKUP($G1803,基本資料!$A:$J,6,0),"無")</f>
        <v>-18</v>
      </c>
      <c r="E1803" s="79">
        <f>IFERROR(VLOOKUP($G1803,基本資料!$A:$J,7,0),"無")</f>
        <v>-5</v>
      </c>
      <c r="F1803" s="6">
        <f>IFERROR(VLOOKUP($G1803,基本資料!$A:$J,8,0),"無")</f>
        <v>7.48</v>
      </c>
      <c r="G1803" s="79">
        <v>8923</v>
      </c>
      <c r="H1803" s="8" t="s">
        <v>1024</v>
      </c>
      <c r="I1803" s="16" t="s">
        <v>1031</v>
      </c>
      <c r="J1803" s="8" t="str">
        <f>IFERROR(VLOOKUP($G1803,今日總結!$A:$AN,39,0),"")</f>
        <v/>
      </c>
      <c r="K1803" s="5" t="str">
        <f>IFERROR(VLOOKUP($G1803,今日總結!$A:$AN,40,0),"")</f>
        <v/>
      </c>
      <c r="L1803" s="156" t="str">
        <f>IFERROR(VLOOKUP($G1803,今日總結!$A:$AN,37,0),"")</f>
        <v/>
      </c>
      <c r="M1803" s="337" t="str">
        <f>IFERROR(VLOOKUP($G1803,今日總結!$A:$AN,38,0),"")</f>
        <v/>
      </c>
      <c r="N1803" s="240" t="str">
        <f t="shared" si="317"/>
        <v/>
      </c>
      <c r="O1803" s="359">
        <f>IFERROR(VLOOKUP($G1803,融外自投!$A:$J,7,0),"無")</f>
        <v>1095</v>
      </c>
      <c r="P1803" s="79" t="str">
        <f>IFERROR(VLOOKUP($G1803,融外自投!$A:$J,9,0),"無")</f>
        <v>無</v>
      </c>
      <c r="Q1803" s="342">
        <f>IFERROR(VLOOKUP($G1803,融外自投!$A:$J,8,0),"無")</f>
        <v>840</v>
      </c>
      <c r="R1803" s="81" t="str">
        <f>IFERROR(VLOOKUP($G1803,融外自投!$A:$J,10,0),"無")</f>
        <v>無</v>
      </c>
      <c r="S1803" s="324" t="str">
        <f>IFERROR(VLOOKUP($G1803,'321買'!$A:$E,4,0),"'沒有資料'")</f>
        <v>'沒有資料'</v>
      </c>
      <c r="T1803" s="186">
        <f>IFERROR(VLOOKUP($G1803,基本資料!$A:$J,9,0),"無")</f>
        <v>0.9</v>
      </c>
      <c r="U1803" s="307">
        <f t="shared" si="313"/>
        <v>4.2959427207637235E-2</v>
      </c>
      <c r="V1803" s="94">
        <f>IFERROR(VLOOKUP($G1803,基本資料!$A:$J,10,0),"無")</f>
        <v>1</v>
      </c>
      <c r="W1803" s="36">
        <f>RTD("money.excel",,"8923","Price")</f>
        <v>20.95</v>
      </c>
      <c r="X1803" s="66"/>
      <c r="Y1803" s="15">
        <f t="shared" si="314"/>
        <v>20.95</v>
      </c>
      <c r="Z1803" s="3" t="e">
        <f t="shared" si="315"/>
        <v>#DIV/0!</v>
      </c>
      <c r="AA1803" s="340">
        <f>IFERROR(VLOOKUP($G1803,基本資料!$A:$M,11,0),"無")</f>
        <v>-7.51</v>
      </c>
      <c r="AB1803" s="389">
        <f>IFERROR(VLOOKUP($G1803,基本資料!$A:$M,12,0),"無")</f>
        <v>61.89</v>
      </c>
      <c r="AC1803" s="16" t="s">
        <v>1031</v>
      </c>
      <c r="AF1803" s="33">
        <f t="shared" si="316"/>
        <v>0</v>
      </c>
      <c r="AG1803" s="43" t="s">
        <v>1544</v>
      </c>
      <c r="AH1803" s="66">
        <f t="shared" si="318"/>
        <v>0.27777777777777773</v>
      </c>
      <c r="AI1803" s="283">
        <f>RTD("money.excel",,$G1803,"PredictVolume")</f>
        <v>3</v>
      </c>
      <c r="AJ1803" s="391">
        <f>IFERROR(VLOOKUP($G1803,基本資料!$A:$M,13,0),"無")</f>
        <v>10.8</v>
      </c>
      <c r="AR1803" s="245" t="str">
        <f>INDEX(基本資料!N:N,MATCH($G1803,基本資料!A:A,0))</f>
        <v>高</v>
      </c>
    </row>
    <row r="1804" spans="1:44">
      <c r="A1804" s="343">
        <f>IFERROR(VLOOKUP($G1804,基本資料!$A:$J,3,0),"無")</f>
        <v>4.4000000000000004</v>
      </c>
      <c r="B1804" s="79">
        <f>IFERROR(VLOOKUP($G1804,基本資料!$A:$J,4,0),"無")</f>
        <v>-18</v>
      </c>
      <c r="C1804" s="79">
        <f>IFERROR(VLOOKUP($G1804,基本資料!$A:$J,5,0),"無")</f>
        <v>18</v>
      </c>
      <c r="D1804" s="79">
        <f>IFERROR(VLOOKUP($G1804,基本資料!$A:$J,6,0),"無")</f>
        <v>-14</v>
      </c>
      <c r="E1804" s="79">
        <f>IFERROR(VLOOKUP($G1804,基本資料!$A:$J,7,0),"無")</f>
        <v>-13</v>
      </c>
      <c r="F1804" s="6">
        <f>IFERROR(VLOOKUP($G1804,基本資料!$A:$J,8,0),"無")</f>
        <v>-18.27</v>
      </c>
      <c r="G1804" s="79">
        <v>9949</v>
      </c>
      <c r="H1804" s="8" t="s">
        <v>1024</v>
      </c>
      <c r="I1804" s="16" t="s">
        <v>1032</v>
      </c>
      <c r="J1804" s="8" t="str">
        <f>IFERROR(VLOOKUP($G1804,今日總結!$A:$AN,39,0),"")</f>
        <v/>
      </c>
      <c r="K1804" s="5" t="str">
        <f>IFERROR(VLOOKUP($G1804,今日總結!$A:$AN,40,0),"")</f>
        <v/>
      </c>
      <c r="L1804" s="156" t="str">
        <f>IFERROR(VLOOKUP($G1804,今日總結!$A:$AN,37,0),"")</f>
        <v/>
      </c>
      <c r="M1804" s="337" t="str">
        <f>IFERROR(VLOOKUP($G1804,今日總結!$A:$AN,38,0),"")</f>
        <v/>
      </c>
      <c r="N1804" s="240" t="str">
        <f t="shared" si="317"/>
        <v/>
      </c>
      <c r="O1804" s="359" t="str">
        <f>IFERROR(VLOOKUP($G1804,融外自投!$A:$J,7,0),"無")</f>
        <v>無</v>
      </c>
      <c r="P1804" s="79" t="str">
        <f>IFERROR(VLOOKUP($G1804,融外自投!$A:$J,9,0),"無")</f>
        <v>無</v>
      </c>
      <c r="Q1804" s="342" t="str">
        <f>IFERROR(VLOOKUP($G1804,融外自投!$A:$J,8,0),"無")</f>
        <v>無</v>
      </c>
      <c r="R1804" s="81" t="str">
        <f>IFERROR(VLOOKUP($G1804,融外自投!$A:$J,10,0),"無")</f>
        <v>無</v>
      </c>
      <c r="S1804" s="324" t="str">
        <f>IFERROR(VLOOKUP($G1804,'321買'!$A:$E,4,0),"'沒有資料'")</f>
        <v>'沒有資料'</v>
      </c>
      <c r="T1804" s="186">
        <f>IFERROR(VLOOKUP($G1804,基本資料!$A:$J,9,0),"無")</f>
        <v>0</v>
      </c>
      <c r="U1804" s="307">
        <f t="shared" si="313"/>
        <v>0</v>
      </c>
      <c r="V1804" s="94">
        <f>IFERROR(VLOOKUP($G1804,基本資料!$A:$J,10,0),"無")</f>
        <v>-0.76</v>
      </c>
      <c r="W1804" s="36">
        <f>RTD("money.excel",,"9949","Price")</f>
        <v>14.55</v>
      </c>
      <c r="X1804" s="66"/>
      <c r="Y1804" s="15">
        <f t="shared" si="314"/>
        <v>14.55</v>
      </c>
      <c r="Z1804" s="3" t="e">
        <f t="shared" si="315"/>
        <v>#DIV/0!</v>
      </c>
      <c r="AA1804" s="340">
        <f>IFERROR(VLOOKUP($G1804,基本資料!$A:$M,11,0),"無")</f>
        <v>-7.91</v>
      </c>
      <c r="AB1804" s="389">
        <f>IFERROR(VLOOKUP($G1804,基本資料!$A:$M,12,0),"無")</f>
        <v>77.11</v>
      </c>
      <c r="AC1804" s="16" t="s">
        <v>1032</v>
      </c>
      <c r="AF1804" s="33">
        <f t="shared" si="316"/>
        <v>0</v>
      </c>
      <c r="AG1804" s="43" t="s">
        <v>2699</v>
      </c>
      <c r="AH1804" s="66">
        <f t="shared" si="318"/>
        <v>0.91610910962429226</v>
      </c>
      <c r="AI1804" s="283">
        <f>RTD("money.excel",,$G1804,"PredictVolume")</f>
        <v>89</v>
      </c>
      <c r="AJ1804" s="391">
        <f>IFERROR(VLOOKUP($G1804,基本資料!$A:$M,13,0),"無")</f>
        <v>97.15</v>
      </c>
      <c r="AR1804" s="245" t="str">
        <f>INDEX(基本資料!N:N,MATCH($G1804,基本資料!A:A,0))</f>
        <v>高</v>
      </c>
    </row>
    <row r="1805" spans="1:44">
      <c r="A1805" s="142"/>
      <c r="B1805" s="80"/>
      <c r="C1805" s="80"/>
      <c r="D1805" s="80"/>
      <c r="E1805" s="79"/>
      <c r="F1805" s="6"/>
      <c r="G1805" s="79"/>
      <c r="H1805" s="8"/>
      <c r="I1805" s="16"/>
      <c r="L1805" s="2"/>
      <c r="O1805" s="360"/>
      <c r="Q1805" s="351"/>
      <c r="R1805" s="26"/>
      <c r="T1805" s="34"/>
      <c r="V1805" s="94"/>
      <c r="W1805" s="36"/>
      <c r="X1805" s="66"/>
      <c r="Y1805" s="15"/>
      <c r="Z1805" s="3"/>
      <c r="AC1805" s="16"/>
      <c r="AF1805" s="33"/>
      <c r="AG1805" s="43"/>
      <c r="AH1805" s="66" t="e">
        <f t="shared" si="318"/>
        <v>#DIV/0!</v>
      </c>
    </row>
    <row r="1806" spans="1:44">
      <c r="A1806" s="127" t="s">
        <v>1672</v>
      </c>
      <c r="B1806" s="90" t="s">
        <v>1571</v>
      </c>
      <c r="C1806" s="90" t="s">
        <v>1572</v>
      </c>
      <c r="D1806" s="90" t="s">
        <v>1573</v>
      </c>
      <c r="E1806" s="90" t="s">
        <v>1574</v>
      </c>
      <c r="F1806" s="8" t="s">
        <v>1059</v>
      </c>
      <c r="G1806" s="27" t="s">
        <v>1023</v>
      </c>
      <c r="H1806" s="55" t="s">
        <v>320</v>
      </c>
      <c r="I1806" s="50" t="s">
        <v>330</v>
      </c>
      <c r="J1806" s="8" t="s">
        <v>6211</v>
      </c>
      <c r="K1806" s="5" t="s">
        <v>6212</v>
      </c>
      <c r="L1806" s="334" t="s">
        <v>6197</v>
      </c>
      <c r="M1806" s="335" t="s">
        <v>6198</v>
      </c>
      <c r="N1806" s="336" t="s">
        <v>6199</v>
      </c>
      <c r="O1806" s="89" t="s">
        <v>6275</v>
      </c>
      <c r="P1806" s="292" t="s">
        <v>6274</v>
      </c>
      <c r="Q1806" s="350" t="s">
        <v>6273</v>
      </c>
      <c r="R1806" s="26" t="s">
        <v>6276</v>
      </c>
      <c r="S1806" s="318" t="s">
        <v>4715</v>
      </c>
      <c r="T1806" s="10" t="s">
        <v>66</v>
      </c>
      <c r="U1806" s="305" t="s">
        <v>4728</v>
      </c>
      <c r="V1806" s="68" t="s">
        <v>3272</v>
      </c>
      <c r="W1806" s="28" t="s">
        <v>2</v>
      </c>
      <c r="X1806" s="17" t="s">
        <v>1398</v>
      </c>
      <c r="Y1806" s="14" t="s">
        <v>5</v>
      </c>
      <c r="Z1806" s="21" t="s">
        <v>3</v>
      </c>
      <c r="AA1806" s="96" t="s">
        <v>6166</v>
      </c>
      <c r="AB1806" s="378" t="s">
        <v>6404</v>
      </c>
      <c r="AC1806" s="50" t="s">
        <v>330</v>
      </c>
      <c r="AD1806" s="71" t="s">
        <v>1399</v>
      </c>
      <c r="AE1806" s="72" t="s">
        <v>1156</v>
      </c>
      <c r="AF1806" s="32" t="s">
        <v>1157</v>
      </c>
      <c r="AG1806" s="25" t="s">
        <v>6200</v>
      </c>
      <c r="AH1806" s="8" t="s">
        <v>6696</v>
      </c>
      <c r="AI1806" s="50" t="s">
        <v>3360</v>
      </c>
      <c r="AJ1806" s="22" t="s">
        <v>6695</v>
      </c>
    </row>
    <row r="1807" spans="1:44">
      <c r="A1807" s="343">
        <f>IFERROR(VLOOKUP($G1807,基本資料!$A:$J,3,0),"無")</f>
        <v>5.8</v>
      </c>
      <c r="B1807" s="79">
        <f>IFERROR(VLOOKUP($G1807,基本資料!$A:$J,4,0),"無")</f>
        <v>119</v>
      </c>
      <c r="C1807" s="79">
        <f>IFERROR(VLOOKUP($G1807,基本資料!$A:$J,5,0),"無")</f>
        <v>58</v>
      </c>
      <c r="D1807" s="79">
        <f>IFERROR(VLOOKUP($G1807,基本資料!$A:$J,6,0),"無")</f>
        <v>86</v>
      </c>
      <c r="E1807" s="79">
        <f>IFERROR(VLOOKUP($G1807,基本資料!$A:$J,7,0),"無")</f>
        <v>488</v>
      </c>
      <c r="F1807" s="6">
        <f>IFERROR(VLOOKUP($G1807,基本資料!$A:$J,8,0),"無")</f>
        <v>-61</v>
      </c>
      <c r="G1807" s="79">
        <v>3085</v>
      </c>
      <c r="H1807" s="8" t="s">
        <v>4713</v>
      </c>
      <c r="I1807" s="16" t="s">
        <v>991</v>
      </c>
      <c r="J1807" s="8" t="str">
        <f>IFERROR(VLOOKUP($G1807,今日總結!$A:$AN,39,0),"")</f>
        <v/>
      </c>
      <c r="K1807" s="5" t="str">
        <f>IFERROR(VLOOKUP($G1807,今日總結!$A:$AN,40,0),"")</f>
        <v/>
      </c>
      <c r="L1807" s="156" t="str">
        <f>IFERROR(VLOOKUP($G1807,今日總結!$A:$AN,37,0),"")</f>
        <v/>
      </c>
      <c r="M1807" s="337" t="str">
        <f>IFERROR(VLOOKUP($G1807,今日總結!$A:$AN,38,0),"")</f>
        <v/>
      </c>
      <c r="N1807" s="240" t="str">
        <f t="shared" ref="N1807:N1810" si="319">IFERROR(L1807-M1807,"")</f>
        <v/>
      </c>
      <c r="O1807" s="359" t="str">
        <f>IFERROR(VLOOKUP($G1807,融外自投!$A:$J,7,0),"無")</f>
        <v>無</v>
      </c>
      <c r="P1807" s="79" t="str">
        <f>IFERROR(VLOOKUP($G1807,融外自投!$A:$J,9,0),"無")</f>
        <v>無</v>
      </c>
      <c r="Q1807" s="342" t="str">
        <f>IFERROR(VLOOKUP($G1807,融外自投!$A:$J,8,0),"無")</f>
        <v>無</v>
      </c>
      <c r="R1807" s="81" t="str">
        <f>IFERROR(VLOOKUP($G1807,融外自投!$A:$J,10,0),"無")</f>
        <v>無</v>
      </c>
      <c r="S1807" s="324" t="str">
        <f>IFERROR(VLOOKUP($G1807,'321買'!$A:$E,4,0),"'沒有資料'")</f>
        <v>'沒有資料'</v>
      </c>
      <c r="T1807" s="186">
        <f>IFERROR(VLOOKUP($G1807,基本資料!$A:$J,9,0),"無")</f>
        <v>0</v>
      </c>
      <c r="U1807" s="307">
        <f t="shared" ref="U1807:U1815" si="320">$T1807/$W1807</f>
        <v>0</v>
      </c>
      <c r="V1807" s="94">
        <f>IFERROR(VLOOKUP($G1807,基本資料!$A:$J,10,0),"無")</f>
        <v>0.37</v>
      </c>
      <c r="W1807" s="36">
        <f>RTD("money.excel",,"3085","Price")</f>
        <v>10.55</v>
      </c>
      <c r="X1807" s="66"/>
      <c r="Y1807" s="15">
        <f t="shared" ref="Y1807:Y1815" si="321">W1807-X1807</f>
        <v>10.55</v>
      </c>
      <c r="Z1807" s="3" t="e">
        <f t="shared" ref="Z1807:Z1815" si="322">Y1807/X1807</f>
        <v>#DIV/0!</v>
      </c>
      <c r="AA1807" s="340">
        <f>IFERROR(VLOOKUP($G1807,基本資料!$A:$M,11,0),"無")</f>
        <v>-34.880000000000003</v>
      </c>
      <c r="AB1807" s="389">
        <f>IFERROR(VLOOKUP($G1807,基本資料!$A:$M,12,0),"無")</f>
        <v>43.23</v>
      </c>
      <c r="AC1807" s="16" t="s">
        <v>991</v>
      </c>
      <c r="AF1807" s="33">
        <f t="shared" ref="AF1807:AF1815" si="323">AE1807-AD1807</f>
        <v>0</v>
      </c>
      <c r="AG1807" s="43" t="s">
        <v>330</v>
      </c>
      <c r="AH1807" s="66">
        <f t="shared" si="318"/>
        <v>0.48192771084337349</v>
      </c>
      <c r="AI1807" s="283">
        <f>RTD("money.excel",,$G1807,"PredictVolume")</f>
        <v>10</v>
      </c>
      <c r="AJ1807" s="391">
        <f>IFERROR(VLOOKUP($G1807,基本資料!$A:$M,13,0),"無")</f>
        <v>20.75</v>
      </c>
      <c r="AR1807" s="245" t="str">
        <f>INDEX(基本資料!N:N,MATCH($G1807,基本資料!A:A,0))</f>
        <v>中</v>
      </c>
    </row>
    <row r="1808" spans="1:44">
      <c r="A1808" s="343">
        <f>IFERROR(VLOOKUP($G1808,基本資料!$A:$J,3,0),"無")</f>
        <v>3</v>
      </c>
      <c r="B1808" s="79">
        <f>IFERROR(VLOOKUP($G1808,基本資料!$A:$J,4,0),"無")</f>
        <v>73</v>
      </c>
      <c r="C1808" s="79">
        <f>IFERROR(VLOOKUP($G1808,基本資料!$A:$J,5,0),"無")</f>
        <v>92</v>
      </c>
      <c r="D1808" s="79">
        <f>IFERROR(VLOOKUP($G1808,基本資料!$A:$J,6,0),"無")</f>
        <v>-10</v>
      </c>
      <c r="E1808" s="79">
        <f>IFERROR(VLOOKUP($G1808,基本資料!$A:$J,7,0),"無")</f>
        <v>15</v>
      </c>
      <c r="F1808" s="6">
        <f>IFERROR(VLOOKUP($G1808,基本資料!$A:$J,8,0),"無")</f>
        <v>21.7</v>
      </c>
      <c r="G1808" s="79">
        <v>3687</v>
      </c>
      <c r="H1808" s="8" t="s">
        <v>4713</v>
      </c>
      <c r="I1808" s="16" t="s">
        <v>72</v>
      </c>
      <c r="J1808" s="8">
        <f>IFERROR(VLOOKUP($G1808,今日總結!$A:$AN,39,0),"")</f>
        <v>0</v>
      </c>
      <c r="K1808" s="5">
        <f>IFERROR(VLOOKUP($G1808,今日總結!$A:$AN,40,0),"")</f>
        <v>0</v>
      </c>
      <c r="L1808" s="156">
        <f>IFERROR(VLOOKUP($G1808,今日總結!$A:$AN,37,0),"")</f>
        <v>0</v>
      </c>
      <c r="M1808" s="337">
        <f>IFERROR(VLOOKUP($G1808,今日總結!$A:$AN,38,0),"")</f>
        <v>0</v>
      </c>
      <c r="N1808" s="240">
        <f t="shared" si="319"/>
        <v>0</v>
      </c>
      <c r="O1808" s="359">
        <f>IFERROR(VLOOKUP($G1808,融外自投!$A:$J,7,0),"無")</f>
        <v>80</v>
      </c>
      <c r="P1808" s="79">
        <f>IFERROR(VLOOKUP($G1808,融外自投!$A:$J,9,0),"無")</f>
        <v>167</v>
      </c>
      <c r="Q1808" s="342">
        <f>IFERROR(VLOOKUP($G1808,融外自投!$A:$J,8,0),"無")</f>
        <v>839</v>
      </c>
      <c r="R1808" s="81">
        <f>IFERROR(VLOOKUP($G1808,融外自投!$A:$J,10,0),"無")</f>
        <v>389</v>
      </c>
      <c r="S1808" s="324">
        <f>IFERROR(VLOOKUP($G1808,'321買'!$A:$E,4,0),"'沒有資料'")</f>
        <v>42</v>
      </c>
      <c r="T1808" s="186">
        <f>IFERROR(VLOOKUP($G1808,基本資料!$A:$J,9,0),"無")</f>
        <v>1.2</v>
      </c>
      <c r="U1808" s="307">
        <f t="shared" si="320"/>
        <v>9.4488188976377951E-3</v>
      </c>
      <c r="V1808" s="94">
        <f>IFERROR(VLOOKUP($G1808,基本資料!$A:$J,10,0),"無")</f>
        <v>2.42</v>
      </c>
      <c r="W1808" s="36">
        <f>RTD("money.excel",,"3687","Price")</f>
        <v>127</v>
      </c>
      <c r="X1808" s="66"/>
      <c r="Y1808" s="15">
        <f t="shared" si="321"/>
        <v>127</v>
      </c>
      <c r="Z1808" s="3" t="e">
        <f t="shared" si="322"/>
        <v>#DIV/0!</v>
      </c>
      <c r="AA1808" s="340">
        <f>IFERROR(VLOOKUP($G1808,基本資料!$A:$M,11,0),"無")</f>
        <v>-46.07</v>
      </c>
      <c r="AB1808" s="389">
        <f>IFERROR(VLOOKUP($G1808,基本資料!$A:$M,12,0),"無")</f>
        <v>9.4700000000000006</v>
      </c>
      <c r="AC1808" s="16" t="s">
        <v>72</v>
      </c>
      <c r="AF1808" s="33">
        <f t="shared" si="323"/>
        <v>0</v>
      </c>
      <c r="AG1808" s="117" t="s">
        <v>2347</v>
      </c>
      <c r="AH1808" s="66">
        <f t="shared" si="318"/>
        <v>0.5157404872707364</v>
      </c>
      <c r="AI1808" s="283">
        <f>RTD("money.excel",,$G1808,"PredictVolume")</f>
        <v>471</v>
      </c>
      <c r="AJ1808" s="391">
        <f>IFERROR(VLOOKUP($G1808,基本資料!$A:$M,13,0),"無")</f>
        <v>913.25</v>
      </c>
      <c r="AR1808" s="245" t="str">
        <f>INDEX(基本資料!N:N,MATCH($G1808,基本資料!A:A,0))</f>
        <v>低</v>
      </c>
    </row>
    <row r="1809" spans="1:44">
      <c r="A1809" s="343">
        <f>IFERROR(VLOOKUP($G1809,基本資料!$A:$J,3,0),"無")</f>
        <v>1.52</v>
      </c>
      <c r="B1809" s="79">
        <f>IFERROR(VLOOKUP($G1809,基本資料!$A:$J,4,0),"無")</f>
        <v>33</v>
      </c>
      <c r="C1809" s="79">
        <f>IFERROR(VLOOKUP($G1809,基本資料!$A:$J,5,0),"無")</f>
        <v>28</v>
      </c>
      <c r="D1809" s="79">
        <f>IFERROR(VLOOKUP($G1809,基本資料!$A:$J,6,0),"無")</f>
        <v>0</v>
      </c>
      <c r="E1809" s="79">
        <f>IFERROR(VLOOKUP($G1809,基本資料!$A:$J,7,0),"無")</f>
        <v>21</v>
      </c>
      <c r="F1809" s="6">
        <f>IFERROR(VLOOKUP($G1809,基本資料!$A:$J,8,0),"無")</f>
        <v>19.079999999999998</v>
      </c>
      <c r="G1809" s="79">
        <v>5278</v>
      </c>
      <c r="H1809" s="8" t="s">
        <v>4713</v>
      </c>
      <c r="I1809" s="16" t="s">
        <v>1034</v>
      </c>
      <c r="J1809" s="8" t="str">
        <f>IFERROR(VLOOKUP($G1809,今日總結!$A:$AN,39,0),"")</f>
        <v/>
      </c>
      <c r="K1809" s="5" t="str">
        <f>IFERROR(VLOOKUP($G1809,今日總結!$A:$AN,40,0),"")</f>
        <v/>
      </c>
      <c r="L1809" s="156" t="str">
        <f>IFERROR(VLOOKUP($G1809,今日總結!$A:$AN,37,0),"")</f>
        <v/>
      </c>
      <c r="M1809" s="337" t="str">
        <f>IFERROR(VLOOKUP($G1809,今日總結!$A:$AN,38,0),"")</f>
        <v/>
      </c>
      <c r="N1809" s="240" t="str">
        <f t="shared" si="319"/>
        <v/>
      </c>
      <c r="O1809" s="359" t="str">
        <f>IFERROR(VLOOKUP($G1809,融外自投!$A:$J,7,0),"無")</f>
        <v>無</v>
      </c>
      <c r="P1809" s="79" t="str">
        <f>IFERROR(VLOOKUP($G1809,融外自投!$A:$J,9,0),"無")</f>
        <v>無</v>
      </c>
      <c r="Q1809" s="342" t="str">
        <f>IFERROR(VLOOKUP($G1809,融外自投!$A:$J,8,0),"無")</f>
        <v>無</v>
      </c>
      <c r="R1809" s="81" t="str">
        <f>IFERROR(VLOOKUP($G1809,融外自投!$A:$J,10,0),"無")</f>
        <v>無</v>
      </c>
      <c r="S1809" s="324" t="str">
        <f>IFERROR(VLOOKUP($G1809,'321買'!$A:$E,4,0),"'沒有資料'")</f>
        <v>'沒有資料'</v>
      </c>
      <c r="T1809" s="186">
        <f>IFERROR(VLOOKUP($G1809,基本資料!$A:$J,9,0),"無")</f>
        <v>20.18</v>
      </c>
      <c r="U1809" s="307">
        <f t="shared" si="320"/>
        <v>8.7739130434782611E-2</v>
      </c>
      <c r="V1809" s="94">
        <f>IFERROR(VLOOKUP($G1809,基本資料!$A:$J,10,0),"無")</f>
        <v>16.52</v>
      </c>
      <c r="W1809" s="36">
        <f>RTD("money.excel",,"5278","Price")</f>
        <v>230</v>
      </c>
      <c r="X1809" s="66"/>
      <c r="Y1809" s="15">
        <f t="shared" si="321"/>
        <v>230</v>
      </c>
      <c r="Z1809" s="3" t="e">
        <f t="shared" si="322"/>
        <v>#DIV/0!</v>
      </c>
      <c r="AA1809" s="340">
        <f>IFERROR(VLOOKUP($G1809,基本資料!$A:$M,11,0),"無")</f>
        <v>-19.86</v>
      </c>
      <c r="AB1809" s="389">
        <f>IFERROR(VLOOKUP($G1809,基本資料!$A:$M,12,0),"無")</f>
        <v>27.42</v>
      </c>
      <c r="AC1809" s="16" t="s">
        <v>1034</v>
      </c>
      <c r="AF1809" s="33">
        <f t="shared" si="323"/>
        <v>0</v>
      </c>
      <c r="AG1809" s="43" t="s">
        <v>2700</v>
      </c>
      <c r="AH1809" s="66">
        <f t="shared" si="318"/>
        <v>0.18518518518518517</v>
      </c>
      <c r="AI1809" s="283">
        <f>RTD("money.excel",,$G1809,"PredictVolume")</f>
        <v>8</v>
      </c>
      <c r="AJ1809" s="391">
        <f>IFERROR(VLOOKUP($G1809,基本資料!$A:$M,13,0),"無")</f>
        <v>43.2</v>
      </c>
      <c r="AR1809" s="245" t="str">
        <f>INDEX(基本資料!N:N,MATCH($G1809,基本資料!A:A,0))</f>
        <v>中</v>
      </c>
    </row>
    <row r="1810" spans="1:44">
      <c r="A1810" s="343">
        <f>IFERROR(VLOOKUP($G1810,基本資料!$A:$J,3,0),"無")</f>
        <v>5.07</v>
      </c>
      <c r="B1810" s="79">
        <f>IFERROR(VLOOKUP($G1810,基本資料!$A:$J,4,0),"無")</f>
        <v>-2</v>
      </c>
      <c r="C1810" s="79">
        <f>IFERROR(VLOOKUP($G1810,基本資料!$A:$J,5,0),"無")</f>
        <v>-1</v>
      </c>
      <c r="D1810" s="79">
        <f>IFERROR(VLOOKUP($G1810,基本資料!$A:$J,6,0),"無")</f>
        <v>2</v>
      </c>
      <c r="E1810" s="79">
        <f>IFERROR(VLOOKUP($G1810,基本資料!$A:$J,7,0),"無")</f>
        <v>17</v>
      </c>
      <c r="F1810" s="6">
        <f>IFERROR(VLOOKUP($G1810,基本資料!$A:$J,8,0),"無")</f>
        <v>42.03</v>
      </c>
      <c r="G1810" s="79">
        <v>5287</v>
      </c>
      <c r="H1810" s="145" t="s">
        <v>4713</v>
      </c>
      <c r="I1810" s="16" t="s">
        <v>261</v>
      </c>
      <c r="J1810" s="8">
        <f>IFERROR(VLOOKUP($G1810,今日總結!$A:$AN,39,0),"")</f>
        <v>0</v>
      </c>
      <c r="K1810" s="5" t="str">
        <f>IFERROR(VLOOKUP($G1810,今日總結!$A:$AN,40,0),"")</f>
        <v>主</v>
      </c>
      <c r="L1810" s="156">
        <f>IFERROR(VLOOKUP($G1810,今日總結!$A:$AN,37,0),"")</f>
        <v>0</v>
      </c>
      <c r="M1810" s="337">
        <f>IFERROR(VLOOKUP($G1810,今日總結!$A:$AN,38,0),"")</f>
        <v>6</v>
      </c>
      <c r="N1810" s="240">
        <f t="shared" si="319"/>
        <v>-6</v>
      </c>
      <c r="O1810" s="359">
        <f>IFERROR(VLOOKUP($G1810,融外自投!$A:$J,7,0),"無")</f>
        <v>1388</v>
      </c>
      <c r="P1810" s="79">
        <f>IFERROR(VLOOKUP($G1810,融外自投!$A:$J,9,0),"無")</f>
        <v>1051</v>
      </c>
      <c r="Q1810" s="342">
        <f>IFERROR(VLOOKUP($G1810,融外自投!$A:$J,8,0),"無")</f>
        <v>167</v>
      </c>
      <c r="R1810" s="81" t="str">
        <f>IFERROR(VLOOKUP($G1810,融外自投!$A:$J,10,0),"無")</f>
        <v>無</v>
      </c>
      <c r="S1810" s="324">
        <f>IFERROR(VLOOKUP($G1810,'321買'!$A:$E,4,0),"'沒有資料'")</f>
        <v>1002</v>
      </c>
      <c r="T1810" s="186">
        <f>IFERROR(VLOOKUP($G1810,基本資料!$A:$J,9,0),"無")</f>
        <v>11.3</v>
      </c>
      <c r="U1810" s="307">
        <f t="shared" si="320"/>
        <v>5.7215189873417727E-2</v>
      </c>
      <c r="V1810" s="94">
        <f>IFERROR(VLOOKUP($G1810,基本資料!$A:$J,10,0),"無")</f>
        <v>12.13</v>
      </c>
      <c r="W1810" s="36">
        <f>RTD("money.excel",,"5287","Price")</f>
        <v>197.5</v>
      </c>
      <c r="X1810" s="66"/>
      <c r="Y1810" s="15">
        <f t="shared" si="321"/>
        <v>197.5</v>
      </c>
      <c r="Z1810" s="3" t="e">
        <f t="shared" si="322"/>
        <v>#DIV/0!</v>
      </c>
      <c r="AA1810" s="340">
        <f>IFERROR(VLOOKUP($G1810,基本資料!$A:$M,11,0),"無")</f>
        <v>-29.34</v>
      </c>
      <c r="AB1810" s="389">
        <f>IFERROR(VLOOKUP($G1810,基本資料!$A:$M,12,0),"無")</f>
        <v>9.7200000000000006</v>
      </c>
      <c r="AC1810" s="16" t="s">
        <v>261</v>
      </c>
      <c r="AF1810" s="33">
        <f t="shared" si="323"/>
        <v>0</v>
      </c>
      <c r="AG1810" s="117" t="s">
        <v>330</v>
      </c>
      <c r="AH1810" s="66">
        <f t="shared" si="318"/>
        <v>0.97709923664122134</v>
      </c>
      <c r="AI1810" s="283">
        <f>RTD("money.excel",,$G1810,"PredictVolume")</f>
        <v>32</v>
      </c>
      <c r="AJ1810" s="391">
        <f>IFERROR(VLOOKUP($G1810,基本資料!$A:$M,13,0),"無")</f>
        <v>32.75</v>
      </c>
      <c r="AR1810" s="245" t="str">
        <f>INDEX(基本資料!N:N,MATCH($G1810,基本資料!A:A,0))</f>
        <v>低</v>
      </c>
    </row>
    <row r="1811" spans="1:44">
      <c r="A1811" s="343">
        <f>IFERROR(VLOOKUP($G1811,基本資料!$A:$J,3,0),"無")</f>
        <v>6.02</v>
      </c>
      <c r="B1811" s="79">
        <f>IFERROR(VLOOKUP($G1811,基本資料!$A:$J,4,0),"無")</f>
        <v>44</v>
      </c>
      <c r="C1811" s="79">
        <f>IFERROR(VLOOKUP($G1811,基本資料!$A:$J,5,0),"無")</f>
        <v>51</v>
      </c>
      <c r="D1811" s="79">
        <f>IFERROR(VLOOKUP($G1811,基本資料!$A:$J,6,0),"無")</f>
        <v>-4</v>
      </c>
      <c r="E1811" s="79">
        <f>IFERROR(VLOOKUP($G1811,基本資料!$A:$J,7,0),"無")</f>
        <v>28</v>
      </c>
      <c r="F1811" s="6">
        <f>IFERROR(VLOOKUP($G1811,基本資料!$A:$J,8,0),"無")</f>
        <v>33.43</v>
      </c>
      <c r="G1811" s="79">
        <v>6741</v>
      </c>
      <c r="H1811" s="145" t="s">
        <v>4713</v>
      </c>
      <c r="I1811" s="16" t="s">
        <v>3329</v>
      </c>
      <c r="J1811" s="8">
        <f>IFERROR(VLOOKUP($G1811,今日總結!$A:$AN,39,0),"")</f>
        <v>0</v>
      </c>
      <c r="K1811" s="5" t="str">
        <f>IFERROR(VLOOKUP($G1811,今日總結!$A:$AN,40,0),"")</f>
        <v>外借</v>
      </c>
      <c r="L1811" s="156">
        <f>IFERROR(VLOOKUP($G1811,今日總結!$A:$AN,37,0),"")</f>
        <v>0</v>
      </c>
      <c r="M1811" s="337">
        <f>IFERROR(VLOOKUP($G1811,今日總結!$A:$AN,38,0),"")</f>
        <v>8</v>
      </c>
      <c r="N1811" s="240">
        <f t="shared" ref="N1811:N1815" si="324">IFERROR(L1811-M1811,"")</f>
        <v>-8</v>
      </c>
      <c r="O1811" s="359">
        <f>IFERROR(VLOOKUP($G1811,融外自投!$A:$J,7,0),"無")</f>
        <v>1145</v>
      </c>
      <c r="P1811" s="79">
        <f>IFERROR(VLOOKUP($G1811,融外自投!$A:$J,9,0),"無")</f>
        <v>1051</v>
      </c>
      <c r="Q1811" s="342">
        <f>IFERROR(VLOOKUP($G1811,融外自投!$A:$J,8,0),"無")</f>
        <v>13</v>
      </c>
      <c r="R1811" s="81">
        <f>IFERROR(VLOOKUP($G1811,融外自投!$A:$J,10,0),"無")</f>
        <v>495</v>
      </c>
      <c r="S1811" s="324">
        <f>IFERROR(VLOOKUP($G1811,'321買'!$A:$E,4,0),"'沒有資料'")</f>
        <v>440</v>
      </c>
      <c r="T1811" s="186">
        <f>IFERROR(VLOOKUP($G1811,基本資料!$A:$J,9,0),"無")</f>
        <v>0.48</v>
      </c>
      <c r="U1811" s="307">
        <f t="shared" si="320"/>
        <v>3.4042553191489361E-3</v>
      </c>
      <c r="V1811" s="94">
        <f>IFERROR(VLOOKUP($G1811,基本資料!$A:$J,10,0),"無")</f>
        <v>2.58</v>
      </c>
      <c r="W1811" s="36">
        <f>RTD("money.excel",,"6741","Price")</f>
        <v>141</v>
      </c>
      <c r="X1811" s="66"/>
      <c r="Y1811" s="15">
        <f t="shared" si="321"/>
        <v>141</v>
      </c>
      <c r="Z1811" s="154" t="e">
        <f t="shared" si="322"/>
        <v>#DIV/0!</v>
      </c>
      <c r="AA1811" s="340">
        <f>IFERROR(VLOOKUP($G1811,基本資料!$A:$M,11,0),"無")</f>
        <v>-66.98</v>
      </c>
      <c r="AB1811" s="389">
        <f>IFERROR(VLOOKUP($G1811,基本資料!$A:$M,12,0),"無")</f>
        <v>26.06</v>
      </c>
      <c r="AC1811" s="16" t="s">
        <v>3329</v>
      </c>
      <c r="AF1811" s="33">
        <f t="shared" si="323"/>
        <v>0</v>
      </c>
      <c r="AG1811" s="43" t="s">
        <v>3335</v>
      </c>
      <c r="AH1811" s="66">
        <f t="shared" si="318"/>
        <v>0.89250493096646932</v>
      </c>
      <c r="AI1811" s="283">
        <f>RTD("money.excel",,$G1811,"PredictVolume")</f>
        <v>181</v>
      </c>
      <c r="AJ1811" s="391">
        <f>IFERROR(VLOOKUP($G1811,基本資料!$A:$M,13,0),"無")</f>
        <v>202.8</v>
      </c>
      <c r="AR1811" s="245" t="str">
        <f>INDEX(基本資料!N:N,MATCH($G1811,基本資料!A:A,0))</f>
        <v>低</v>
      </c>
    </row>
    <row r="1812" spans="1:44">
      <c r="A1812" s="343" t="str">
        <f>IFERROR(VLOOKUP($G1812,基本資料!$A:$J,3,0),"無")</f>
        <v>無</v>
      </c>
      <c r="B1812" s="79" t="str">
        <f>IFERROR(VLOOKUP($G1812,基本資料!$A:$J,4,0),"無")</f>
        <v>無</v>
      </c>
      <c r="C1812" s="79" t="str">
        <f>IFERROR(VLOOKUP($G1812,基本資料!$A:$J,5,0),"無")</f>
        <v>無</v>
      </c>
      <c r="D1812" s="79" t="str">
        <f>IFERROR(VLOOKUP($G1812,基本資料!$A:$J,6,0),"無")</f>
        <v>無</v>
      </c>
      <c r="E1812" s="79" t="str">
        <f>IFERROR(VLOOKUP($G1812,基本資料!$A:$J,7,0),"無")</f>
        <v>無</v>
      </c>
      <c r="F1812" s="6" t="str">
        <f>IFERROR(VLOOKUP($G1812,基本資料!$A:$J,8,0),"無")</f>
        <v>無</v>
      </c>
      <c r="G1812" s="79">
        <v>6763</v>
      </c>
      <c r="H1812" s="145" t="s">
        <v>330</v>
      </c>
      <c r="I1812" s="16" t="s">
        <v>4759</v>
      </c>
      <c r="J1812" s="8" t="str">
        <f>IFERROR(VLOOKUP($G1812,今日總結!$A:$AN,39,0),"")</f>
        <v/>
      </c>
      <c r="K1812" s="5" t="str">
        <f>IFERROR(VLOOKUP($G1812,今日總結!$A:$AN,40,0),"")</f>
        <v/>
      </c>
      <c r="L1812" s="156" t="str">
        <f>IFERROR(VLOOKUP($G1812,今日總結!$A:$AN,37,0),"")</f>
        <v/>
      </c>
      <c r="M1812" s="337" t="str">
        <f>IFERROR(VLOOKUP($G1812,今日總結!$A:$AN,38,0),"")</f>
        <v/>
      </c>
      <c r="N1812" s="240" t="str">
        <f t="shared" si="324"/>
        <v/>
      </c>
      <c r="O1812" s="359" t="str">
        <f>IFERROR(VLOOKUP($G1812,融外自投!$A:$J,7,0),"無")</f>
        <v>無</v>
      </c>
      <c r="P1812" s="79" t="str">
        <f>IFERROR(VLOOKUP($G1812,融外自投!$A:$J,9,0),"無")</f>
        <v>無</v>
      </c>
      <c r="Q1812" s="342" t="str">
        <f>IFERROR(VLOOKUP($G1812,融外自投!$A:$J,8,0),"無")</f>
        <v>無</v>
      </c>
      <c r="R1812" s="81" t="str">
        <f>IFERROR(VLOOKUP($G1812,融外自投!$A:$J,10,0),"無")</f>
        <v>無</v>
      </c>
      <c r="S1812" s="324" t="str">
        <f>IFERROR(VLOOKUP($G1812,'321買'!$A:$E,4,0),"'沒有資料'")</f>
        <v>'沒有資料'</v>
      </c>
      <c r="T1812" s="186" t="str">
        <f>IFERROR(VLOOKUP($G1812,基本資料!$A:$J,9,0),"無")</f>
        <v>無</v>
      </c>
      <c r="U1812" s="307" t="e">
        <f t="shared" si="320"/>
        <v>#VALUE!</v>
      </c>
      <c r="V1812" s="94" t="str">
        <f>IFERROR(VLOOKUP($G1812,基本資料!$A:$J,10,0),"無")</f>
        <v>無</v>
      </c>
      <c r="W1812" s="36">
        <f>RTD("money.excel",,"6763","Price")</f>
        <v>518</v>
      </c>
      <c r="X1812" s="66"/>
      <c r="Y1812" s="15">
        <f>W1812-X1812</f>
        <v>518</v>
      </c>
      <c r="Z1812" s="154" t="e">
        <f>Y1812/X1812</f>
        <v>#DIV/0!</v>
      </c>
      <c r="AA1812" s="340" t="str">
        <f>IFERROR(VLOOKUP($G1812,基本資料!$A:$M,11,0),"無")</f>
        <v>無</v>
      </c>
      <c r="AB1812" s="389" t="str">
        <f>IFERROR(VLOOKUP($G1812,基本資料!$A:$M,12,0),"無")</f>
        <v>無</v>
      </c>
      <c r="AC1812" s="16" t="s">
        <v>4759</v>
      </c>
      <c r="AF1812" s="33">
        <f>AE1812-AD1812</f>
        <v>0</v>
      </c>
      <c r="AG1812" s="123" t="s">
        <v>4760</v>
      </c>
      <c r="AH1812" s="66" t="e">
        <f t="shared" si="318"/>
        <v>#VALUE!</v>
      </c>
      <c r="AI1812" s="283">
        <f>RTD("money.excel",,$G1812,"PredictVolume")</f>
        <v>49</v>
      </c>
      <c r="AJ1812" s="391" t="str">
        <f>IFERROR(VLOOKUP($G1812,基本資料!$A:$M,13,0),"無")</f>
        <v>無</v>
      </c>
      <c r="AR1812" s="245" t="e">
        <f>INDEX(基本資料!N:N,MATCH($G1812,基本資料!A:A,0))</f>
        <v>#N/A</v>
      </c>
    </row>
    <row r="1813" spans="1:44">
      <c r="A1813" s="343">
        <f>IFERROR(VLOOKUP($G1813,基本資料!$A:$J,3,0),"無")</f>
        <v>12.85</v>
      </c>
      <c r="B1813" s="79">
        <f>IFERROR(VLOOKUP($G1813,基本資料!$A:$J,4,0),"無")</f>
        <v>-71</v>
      </c>
      <c r="C1813" s="79">
        <f>IFERROR(VLOOKUP($G1813,基本資料!$A:$J,5,0),"無")</f>
        <v>-23</v>
      </c>
      <c r="D1813" s="79">
        <f>IFERROR(VLOOKUP($G1813,基本資料!$A:$J,6,0),"無")</f>
        <v>-8</v>
      </c>
      <c r="E1813" s="79">
        <f>IFERROR(VLOOKUP($G1813,基本資料!$A:$J,7,0),"無")</f>
        <v>0</v>
      </c>
      <c r="F1813" s="6">
        <f>IFERROR(VLOOKUP($G1813,基本資料!$A:$J,8,0),"無")</f>
        <v>0.5</v>
      </c>
      <c r="G1813" s="79">
        <v>8044</v>
      </c>
      <c r="H1813" s="145" t="s">
        <v>4713</v>
      </c>
      <c r="I1813" s="16" t="s">
        <v>4694</v>
      </c>
      <c r="J1813" s="8" t="str">
        <f>IFERROR(VLOOKUP($G1813,今日總結!$A:$AN,39,0),"")</f>
        <v>主</v>
      </c>
      <c r="K1813" s="5" t="str">
        <f>IFERROR(VLOOKUP($G1813,今日總結!$A:$AN,40,0),"")</f>
        <v>券</v>
      </c>
      <c r="L1813" s="156">
        <f>IFERROR(VLOOKUP($G1813,今日總結!$A:$AN,37,0),"")</f>
        <v>1</v>
      </c>
      <c r="M1813" s="337">
        <f>IFERROR(VLOOKUP($G1813,今日總結!$A:$AN,38,0),"")</f>
        <v>1</v>
      </c>
      <c r="N1813" s="240">
        <f t="shared" si="324"/>
        <v>0</v>
      </c>
      <c r="O1813" s="359">
        <f>IFERROR(VLOOKUP($G1813,融外自投!$A:$J,7,0),"無")</f>
        <v>284</v>
      </c>
      <c r="P1813" s="79">
        <f>IFERROR(VLOOKUP($G1813,融外自投!$A:$J,9,0),"無")</f>
        <v>207</v>
      </c>
      <c r="Q1813" s="342">
        <f>IFERROR(VLOOKUP($G1813,融外自投!$A:$J,8,0),"無")</f>
        <v>290</v>
      </c>
      <c r="R1813" s="81">
        <f>IFERROR(VLOOKUP($G1813,融外自投!$A:$J,10,0),"無")</f>
        <v>287</v>
      </c>
      <c r="S1813" s="324">
        <f>IFERROR(VLOOKUP($G1813,'321買'!$A:$E,4,0),"'沒有資料'")</f>
        <v>71</v>
      </c>
      <c r="T1813" s="186">
        <f>IFERROR(VLOOKUP($G1813,基本資料!$A:$J,9,0),"無")</f>
        <v>0.5</v>
      </c>
      <c r="U1813" s="307">
        <f t="shared" si="320"/>
        <v>6.8027210884353739E-3</v>
      </c>
      <c r="V1813" s="94">
        <f>IFERROR(VLOOKUP($G1813,基本資料!$A:$J,10,0),"無")</f>
        <v>0.84</v>
      </c>
      <c r="W1813" s="36">
        <f>RTD("money.excel",,"8044","Price")</f>
        <v>73.5</v>
      </c>
      <c r="X1813" s="66"/>
      <c r="Y1813" s="15">
        <f t="shared" si="321"/>
        <v>73.5</v>
      </c>
      <c r="Z1813" s="3" t="e">
        <f t="shared" si="322"/>
        <v>#DIV/0!</v>
      </c>
      <c r="AA1813" s="340">
        <f>IFERROR(VLOOKUP($G1813,基本資料!$A:$M,11,0),"無")</f>
        <v>-53.33</v>
      </c>
      <c r="AB1813" s="389">
        <f>IFERROR(VLOOKUP($G1813,基本資料!$A:$M,12,0),"無")</f>
        <v>18.78</v>
      </c>
      <c r="AC1813" s="16" t="s">
        <v>4694</v>
      </c>
      <c r="AF1813" s="33">
        <f t="shared" si="323"/>
        <v>0</v>
      </c>
      <c r="AG1813" s="117" t="s">
        <v>330</v>
      </c>
      <c r="AH1813" s="66">
        <f t="shared" si="318"/>
        <v>0.38015029197589745</v>
      </c>
      <c r="AI1813" s="283">
        <f>RTD("money.excel",,$G1813,"PredictVolume")</f>
        <v>817</v>
      </c>
      <c r="AJ1813" s="391">
        <f>IFERROR(VLOOKUP($G1813,基本資料!$A:$M,13,0),"無")</f>
        <v>2149.15</v>
      </c>
      <c r="AR1813" s="245" t="str">
        <f>INDEX(基本資料!N:N,MATCH($G1813,基本資料!A:A,0))</f>
        <v>低</v>
      </c>
    </row>
    <row r="1814" spans="1:44">
      <c r="A1814" s="343">
        <f>IFERROR(VLOOKUP($G1814,基本資料!$A:$J,3,0),"無")</f>
        <v>1.77</v>
      </c>
      <c r="B1814" s="79">
        <f>IFERROR(VLOOKUP($G1814,基本資料!$A:$J,4,0),"無")</f>
        <v>-77</v>
      </c>
      <c r="C1814" s="79">
        <f>IFERROR(VLOOKUP($G1814,基本資料!$A:$J,5,0),"無")</f>
        <v>-125</v>
      </c>
      <c r="D1814" s="79">
        <f>IFERROR(VLOOKUP($G1814,基本資料!$A:$J,6,0),"無")</f>
        <v>-28</v>
      </c>
      <c r="E1814" s="79">
        <f>IFERROR(VLOOKUP($G1814,基本資料!$A:$J,7,0),"無")</f>
        <v>-42</v>
      </c>
      <c r="F1814" s="6">
        <f>IFERROR(VLOOKUP($G1814,基本資料!$A:$J,8,0),"無")</f>
        <v>-4.47</v>
      </c>
      <c r="G1814" s="79">
        <v>8472</v>
      </c>
      <c r="H1814" s="145" t="s">
        <v>4713</v>
      </c>
      <c r="I1814" s="16" t="s">
        <v>1035</v>
      </c>
      <c r="J1814" s="8" t="str">
        <f>IFERROR(VLOOKUP($G1814,今日總結!$A:$AN,39,0),"")</f>
        <v/>
      </c>
      <c r="K1814" s="5" t="str">
        <f>IFERROR(VLOOKUP($G1814,今日總結!$A:$AN,40,0),"")</f>
        <v/>
      </c>
      <c r="L1814" s="156" t="str">
        <f>IFERROR(VLOOKUP($G1814,今日總結!$A:$AN,37,0),"")</f>
        <v/>
      </c>
      <c r="M1814" s="337" t="str">
        <f>IFERROR(VLOOKUP($G1814,今日總結!$A:$AN,38,0),"")</f>
        <v/>
      </c>
      <c r="N1814" s="240" t="str">
        <f t="shared" si="324"/>
        <v/>
      </c>
      <c r="O1814" s="359" t="str">
        <f>IFERROR(VLOOKUP($G1814,融外自投!$A:$J,7,0),"無")</f>
        <v>無</v>
      </c>
      <c r="P1814" s="79" t="str">
        <f>IFERROR(VLOOKUP($G1814,融外自投!$A:$J,9,0),"無")</f>
        <v>無</v>
      </c>
      <c r="Q1814" s="342" t="str">
        <f>IFERROR(VLOOKUP($G1814,融外自投!$A:$J,8,0),"無")</f>
        <v>無</v>
      </c>
      <c r="R1814" s="81" t="str">
        <f>IFERROR(VLOOKUP($G1814,融外自投!$A:$J,10,0),"無")</f>
        <v>無</v>
      </c>
      <c r="S1814" s="324" t="str">
        <f>IFERROR(VLOOKUP($G1814,'321買'!$A:$E,4,0),"'沒有資料'")</f>
        <v>'沒有資料'</v>
      </c>
      <c r="T1814" s="186">
        <f>IFERROR(VLOOKUP($G1814,基本資料!$A:$J,9,0),"無")</f>
        <v>1.5</v>
      </c>
      <c r="U1814" s="307" t="e">
        <f t="shared" si="320"/>
        <v>#VALUE!</v>
      </c>
      <c r="V1814" s="94">
        <f>IFERROR(VLOOKUP($G1814,基本資料!$A:$J,10,0),"無")</f>
        <v>0.61</v>
      </c>
      <c r="W1814" s="36" t="str">
        <f>RTD("money.excel",,"8472","Price")</f>
        <v>無資料</v>
      </c>
      <c r="X1814" s="66"/>
      <c r="Y1814" s="15" t="e">
        <f t="shared" si="321"/>
        <v>#VALUE!</v>
      </c>
      <c r="Z1814" s="3" t="e">
        <f t="shared" si="322"/>
        <v>#VALUE!</v>
      </c>
      <c r="AA1814" s="340">
        <f>IFERROR(VLOOKUP($G1814,基本資料!$A:$M,11,0),"無")</f>
        <v>-27.8</v>
      </c>
      <c r="AB1814" s="389">
        <f>IFERROR(VLOOKUP($G1814,基本資料!$A:$M,12,0),"無")</f>
        <v>52</v>
      </c>
      <c r="AC1814" s="16" t="s">
        <v>1035</v>
      </c>
      <c r="AF1814" s="33">
        <f t="shared" si="323"/>
        <v>0</v>
      </c>
      <c r="AG1814" s="43" t="s">
        <v>2701</v>
      </c>
      <c r="AH1814" s="66">
        <f t="shared" si="318"/>
        <v>0</v>
      </c>
      <c r="AI1814" s="283">
        <f>RTD("money.excel",,$G1814,"PredictVolume")</f>
        <v>0</v>
      </c>
      <c r="AJ1814" s="391">
        <f>IFERROR(VLOOKUP($G1814,基本資料!$A:$M,13,0),"無")</f>
        <v>1.6</v>
      </c>
      <c r="AR1814" s="245" t="str">
        <f>INDEX(基本資料!N:N,MATCH($G1814,基本資料!A:A,0))</f>
        <v>低</v>
      </c>
    </row>
    <row r="1815" spans="1:44">
      <c r="A1815" s="343">
        <f>IFERROR(VLOOKUP($G1815,基本資料!$A:$J,3,0),"無")</f>
        <v>3.15</v>
      </c>
      <c r="B1815" s="79">
        <f>IFERROR(VLOOKUP($G1815,基本資料!$A:$J,4,0),"無")</f>
        <v>-249</v>
      </c>
      <c r="C1815" s="79">
        <f>IFERROR(VLOOKUP($G1815,基本資料!$A:$J,5,0),"無")</f>
        <v>-676</v>
      </c>
      <c r="D1815" s="79">
        <f>IFERROR(VLOOKUP($G1815,基本資料!$A:$J,6,0),"無")</f>
        <v>-9</v>
      </c>
      <c r="E1815" s="79">
        <f>IFERROR(VLOOKUP($G1815,基本資料!$A:$J,7,0),"無")</f>
        <v>-23</v>
      </c>
      <c r="F1815" s="6">
        <f>IFERROR(VLOOKUP($G1815,基本資料!$A:$J,8,0),"無")</f>
        <v>-1.64</v>
      </c>
      <c r="G1815" s="79">
        <v>8477</v>
      </c>
      <c r="H1815" s="8" t="s">
        <v>4713</v>
      </c>
      <c r="I1815" s="16" t="s">
        <v>1036</v>
      </c>
      <c r="J1815" s="8" t="str">
        <f>IFERROR(VLOOKUP($G1815,今日總結!$A:$AN,39,0),"")</f>
        <v/>
      </c>
      <c r="K1815" s="5" t="str">
        <f>IFERROR(VLOOKUP($G1815,今日總結!$A:$AN,40,0),"")</f>
        <v/>
      </c>
      <c r="L1815" s="156" t="str">
        <f>IFERROR(VLOOKUP($G1815,今日總結!$A:$AN,37,0),"")</f>
        <v/>
      </c>
      <c r="M1815" s="337" t="str">
        <f>IFERROR(VLOOKUP($G1815,今日總結!$A:$AN,38,0),"")</f>
        <v/>
      </c>
      <c r="N1815" s="240" t="str">
        <f t="shared" si="324"/>
        <v/>
      </c>
      <c r="O1815" s="359">
        <f>IFERROR(VLOOKUP($G1815,融外自投!$A:$J,7,0),"無")</f>
        <v>1087</v>
      </c>
      <c r="P1815" s="79" t="str">
        <f>IFERROR(VLOOKUP($G1815,融外自投!$A:$J,9,0),"無")</f>
        <v>無</v>
      </c>
      <c r="Q1815" s="342">
        <f>IFERROR(VLOOKUP($G1815,融外自投!$A:$J,8,0),"無")</f>
        <v>271</v>
      </c>
      <c r="R1815" s="81" t="str">
        <f>IFERROR(VLOOKUP($G1815,融外自投!$A:$J,10,0),"無")</f>
        <v>無</v>
      </c>
      <c r="S1815" s="324" t="str">
        <f>IFERROR(VLOOKUP($G1815,'321買'!$A:$E,4,0),"'沒有資料'")</f>
        <v>'沒有資料'</v>
      </c>
      <c r="T1815" s="186">
        <f>IFERROR(VLOOKUP($G1815,基本資料!$A:$J,9,0),"無")</f>
        <v>0</v>
      </c>
      <c r="U1815" s="307">
        <f t="shared" si="320"/>
        <v>0</v>
      </c>
      <c r="V1815" s="94">
        <f>IFERROR(VLOOKUP($G1815,基本資料!$A:$J,10,0),"無")</f>
        <v>-1.06</v>
      </c>
      <c r="W1815" s="36">
        <f>RTD("money.excel",,"8477","Price")</f>
        <v>26.85</v>
      </c>
      <c r="X1815" s="66"/>
      <c r="Y1815" s="15">
        <f t="shared" si="321"/>
        <v>26.85</v>
      </c>
      <c r="Z1815" s="3" t="e">
        <f t="shared" si="322"/>
        <v>#DIV/0!</v>
      </c>
      <c r="AA1815" s="340">
        <f>IFERROR(VLOOKUP($G1815,基本資料!$A:$M,11,0),"無")</f>
        <v>-45.76</v>
      </c>
      <c r="AB1815" s="389">
        <f>IFERROR(VLOOKUP($G1815,基本資料!$A:$M,12,0),"無")</f>
        <v>21.78</v>
      </c>
      <c r="AC1815" s="16" t="s">
        <v>1036</v>
      </c>
      <c r="AF1815" s="33">
        <f t="shared" si="323"/>
        <v>0</v>
      </c>
      <c r="AG1815" s="43" t="s">
        <v>330</v>
      </c>
      <c r="AH1815" s="66">
        <f t="shared" si="318"/>
        <v>0.11080332409972299</v>
      </c>
      <c r="AI1815" s="283">
        <f>RTD("money.excel",,$G1815,"PredictVolume")</f>
        <v>2</v>
      </c>
      <c r="AJ1815" s="391">
        <f>IFERROR(VLOOKUP($G1815,基本資料!$A:$M,13,0),"無")</f>
        <v>18.05</v>
      </c>
      <c r="AR1815" s="245" t="str">
        <f>INDEX(基本資料!N:N,MATCH($G1815,基本資料!A:A,0))</f>
        <v>低</v>
      </c>
    </row>
    <row r="1816" spans="1:44">
      <c r="A1816" s="142"/>
      <c r="B1816" s="80"/>
      <c r="C1816" s="80"/>
      <c r="D1816" s="80"/>
      <c r="E1816" s="80"/>
      <c r="F1816" s="6"/>
      <c r="G1816" s="79"/>
      <c r="H1816" s="8"/>
      <c r="I1816" s="16"/>
      <c r="L1816" s="2"/>
      <c r="O1816" s="360"/>
      <c r="Q1816" s="351"/>
      <c r="R1816" s="26"/>
      <c r="T1816" s="34"/>
      <c r="V1816" s="94"/>
      <c r="W1816" s="36"/>
      <c r="X1816" s="66"/>
      <c r="Y1816" s="15"/>
      <c r="Z1816" s="3"/>
      <c r="AC1816" s="16"/>
      <c r="AF1816" s="33"/>
      <c r="AG1816" s="43"/>
      <c r="AH1816" s="66" t="e">
        <f t="shared" si="318"/>
        <v>#DIV/0!</v>
      </c>
      <c r="AI1816" s="283"/>
    </row>
    <row r="1817" spans="1:44">
      <c r="A1817" s="127" t="s">
        <v>1672</v>
      </c>
      <c r="B1817" s="90" t="s">
        <v>1571</v>
      </c>
      <c r="C1817" s="90" t="s">
        <v>1572</v>
      </c>
      <c r="D1817" s="90" t="s">
        <v>1573</v>
      </c>
      <c r="E1817" s="90" t="s">
        <v>1574</v>
      </c>
      <c r="F1817" s="8" t="s">
        <v>1059</v>
      </c>
      <c r="G1817" s="27" t="s">
        <v>1033</v>
      </c>
      <c r="H1817" s="55" t="s">
        <v>320</v>
      </c>
      <c r="I1817" s="50" t="s">
        <v>1037</v>
      </c>
      <c r="J1817" s="8" t="s">
        <v>6211</v>
      </c>
      <c r="K1817" s="5" t="s">
        <v>6212</v>
      </c>
      <c r="L1817" s="334" t="s">
        <v>6197</v>
      </c>
      <c r="M1817" s="335" t="s">
        <v>6198</v>
      </c>
      <c r="N1817" s="336" t="s">
        <v>6199</v>
      </c>
      <c r="O1817" s="89" t="s">
        <v>6275</v>
      </c>
      <c r="P1817" s="292" t="s">
        <v>6274</v>
      </c>
      <c r="Q1817" s="350" t="s">
        <v>6273</v>
      </c>
      <c r="R1817" s="26" t="s">
        <v>6276</v>
      </c>
      <c r="S1817" s="318" t="s">
        <v>4715</v>
      </c>
      <c r="T1817" s="10" t="s">
        <v>66</v>
      </c>
      <c r="U1817" s="305" t="s">
        <v>4728</v>
      </c>
      <c r="V1817" s="68" t="s">
        <v>3272</v>
      </c>
      <c r="W1817" s="28" t="s">
        <v>2</v>
      </c>
      <c r="X1817" s="17" t="s">
        <v>1398</v>
      </c>
      <c r="Y1817" s="14" t="s">
        <v>5</v>
      </c>
      <c r="Z1817" s="21" t="s">
        <v>3</v>
      </c>
      <c r="AA1817" s="96" t="s">
        <v>6166</v>
      </c>
      <c r="AB1817" s="378" t="s">
        <v>6404</v>
      </c>
      <c r="AC1817" s="50" t="s">
        <v>1037</v>
      </c>
      <c r="AD1817" s="71" t="s">
        <v>1399</v>
      </c>
      <c r="AE1817" s="72" t="s">
        <v>1156</v>
      </c>
      <c r="AF1817" s="32" t="s">
        <v>1157</v>
      </c>
      <c r="AG1817" s="25" t="s">
        <v>6200</v>
      </c>
      <c r="AH1817" s="8" t="s">
        <v>6696</v>
      </c>
      <c r="AI1817" s="50" t="s">
        <v>3360</v>
      </c>
      <c r="AJ1817" s="22" t="s">
        <v>6695</v>
      </c>
    </row>
    <row r="1818" spans="1:44">
      <c r="A1818" s="343">
        <f>IFERROR(VLOOKUP($G1818,基本資料!$A:$J,3,0),"無")</f>
        <v>3.93</v>
      </c>
      <c r="B1818" s="79">
        <f>IFERROR(VLOOKUP($G1818,基本資料!$A:$J,4,0),"無")</f>
        <v>-968</v>
      </c>
      <c r="C1818" s="79">
        <f>IFERROR(VLOOKUP($G1818,基本資料!$A:$J,5,0),"無")</f>
        <v>-514</v>
      </c>
      <c r="D1818" s="79">
        <f>IFERROR(VLOOKUP($G1818,基本資料!$A:$J,6,0),"無")</f>
        <v>0</v>
      </c>
      <c r="E1818" s="79">
        <f>IFERROR(VLOOKUP($G1818,基本資料!$A:$J,7,0),"無")</f>
        <v>57</v>
      </c>
      <c r="F1818" s="6">
        <f>IFERROR(VLOOKUP($G1818,基本資料!$A:$J,8,0),"無")</f>
        <v>-13.55</v>
      </c>
      <c r="G1818" s="79">
        <v>6578</v>
      </c>
      <c r="H1818" s="8" t="s">
        <v>1037</v>
      </c>
      <c r="I1818" s="16" t="s">
        <v>1120</v>
      </c>
      <c r="J1818" s="8">
        <f>IFERROR(VLOOKUP($G1818,今日總結!$A:$AN,39,0),"")</f>
        <v>0</v>
      </c>
      <c r="K1818" s="5" t="str">
        <f>IFERROR(VLOOKUP($G1818,今日總結!$A:$AN,40,0),"")</f>
        <v>融</v>
      </c>
      <c r="L1818" s="156">
        <f>IFERROR(VLOOKUP($G1818,今日總結!$A:$AN,37,0),"")</f>
        <v>0</v>
      </c>
      <c r="M1818" s="337">
        <f>IFERROR(VLOOKUP($G1818,今日總結!$A:$AN,38,0),"")</f>
        <v>1</v>
      </c>
      <c r="N1818" s="240">
        <f t="shared" ref="N1818:N1820" si="325">IFERROR(L1818-M1818,"")</f>
        <v>-1</v>
      </c>
      <c r="O1818" s="359">
        <f>IFERROR(VLOOKUP($G1818,融外自投!$A:$J,7,0),"無")</f>
        <v>251</v>
      </c>
      <c r="P1818" s="79" t="str">
        <f>IFERROR(VLOOKUP($G1818,融外自投!$A:$J,9,0),"無")</f>
        <v>無</v>
      </c>
      <c r="Q1818" s="342">
        <f>IFERROR(VLOOKUP($G1818,融外自投!$A:$J,8,0),"無")</f>
        <v>1243</v>
      </c>
      <c r="R1818" s="81" t="str">
        <f>IFERROR(VLOOKUP($G1818,融外自投!$A:$J,10,0),"無")</f>
        <v>無</v>
      </c>
      <c r="S1818" s="324">
        <f>IFERROR(VLOOKUP($G1818,'321買'!$A:$E,4,0),"'沒有資料'")</f>
        <v>465</v>
      </c>
      <c r="T1818" s="186">
        <f>IFERROR(VLOOKUP($G1818,基本資料!$A:$J,9,0),"無")</f>
        <v>0</v>
      </c>
      <c r="U1818" s="307">
        <f t="shared" ref="U1818:U1821" si="326">$T1818/$W1818</f>
        <v>0</v>
      </c>
      <c r="V1818" s="94">
        <f>IFERROR(VLOOKUP($G1818,基本資料!$A:$J,10,0),"無")</f>
        <v>-1.92</v>
      </c>
      <c r="W1818" s="36">
        <f>RTD("money.excel",,"6578","Price")</f>
        <v>22.9</v>
      </c>
      <c r="X1818" s="66"/>
      <c r="Y1818" s="15">
        <f>W1818-X1818</f>
        <v>22.9</v>
      </c>
      <c r="Z1818" s="3" t="e">
        <f>Y1818/X1818</f>
        <v>#DIV/0!</v>
      </c>
      <c r="AA1818" s="340">
        <f>IFERROR(VLOOKUP($G1818,基本資料!$A:$M,11,0),"無")</f>
        <v>-20.62</v>
      </c>
      <c r="AB1818" s="389">
        <f>IFERROR(VLOOKUP($G1818,基本資料!$A:$M,12,0),"無")</f>
        <v>53.82</v>
      </c>
      <c r="AC1818" s="16" t="s">
        <v>1120</v>
      </c>
      <c r="AF1818" s="33">
        <f>AE1818-AD1818</f>
        <v>0</v>
      </c>
      <c r="AG1818" s="43" t="s">
        <v>2614</v>
      </c>
      <c r="AH1818" s="66">
        <f t="shared" si="318"/>
        <v>0.65162506791090091</v>
      </c>
      <c r="AI1818" s="283">
        <f>RTD("money.excel",,$G1818,"PredictVolume")</f>
        <v>4078</v>
      </c>
      <c r="AJ1818" s="391">
        <f>IFERROR(VLOOKUP($G1818,基本資料!$A:$M,13,0),"無")</f>
        <v>6258.2</v>
      </c>
      <c r="AR1818" s="245" t="str">
        <f>INDEX(基本資料!N:N,MATCH($G1818,基本資料!A:A,0))</f>
        <v>中</v>
      </c>
    </row>
    <row r="1819" spans="1:44">
      <c r="A1819" s="343">
        <f>IFERROR(VLOOKUP($G1819,基本資料!$A:$J,3,0),"無")</f>
        <v>3.67</v>
      </c>
      <c r="B1819" s="79">
        <f>IFERROR(VLOOKUP($G1819,基本資料!$A:$J,4,0),"無")</f>
        <v>-25</v>
      </c>
      <c r="C1819" s="79">
        <f>IFERROR(VLOOKUP($G1819,基本資料!$A:$J,5,0),"無")</f>
        <v>-34</v>
      </c>
      <c r="D1819" s="79">
        <f>IFERROR(VLOOKUP($G1819,基本資料!$A:$J,6,0),"無")</f>
        <v>5</v>
      </c>
      <c r="E1819" s="79">
        <f>IFERROR(VLOOKUP($G1819,基本資料!$A:$J,7,0),"無")</f>
        <v>16</v>
      </c>
      <c r="F1819" s="6">
        <f>IFERROR(VLOOKUP($G1819,基本資料!$A:$J,8,0),"無")</f>
        <v>2.93</v>
      </c>
      <c r="G1819" s="79">
        <v>1240</v>
      </c>
      <c r="H1819" s="8" t="s">
        <v>1037</v>
      </c>
      <c r="I1819" s="16" t="s">
        <v>1119</v>
      </c>
      <c r="J1819" s="8">
        <f>IFERROR(VLOOKUP($G1819,今日總結!$A:$AN,39,0),"")</f>
        <v>0</v>
      </c>
      <c r="K1819" s="5" t="str">
        <f>IFERROR(VLOOKUP($G1819,今日總結!$A:$AN,40,0),"")</f>
        <v>主融</v>
      </c>
      <c r="L1819" s="156">
        <f>IFERROR(VLOOKUP($G1819,今日總結!$A:$AN,37,0),"")</f>
        <v>0</v>
      </c>
      <c r="M1819" s="337">
        <f>IFERROR(VLOOKUP($G1819,今日總結!$A:$AN,38,0),"")</f>
        <v>6</v>
      </c>
      <c r="N1819" s="240">
        <f t="shared" si="325"/>
        <v>-6</v>
      </c>
      <c r="O1819" s="359">
        <f>IFERROR(VLOOKUP($G1819,融外自投!$A:$J,7,0),"無")</f>
        <v>686</v>
      </c>
      <c r="P1819" s="79">
        <f>IFERROR(VLOOKUP($G1819,融外自投!$A:$J,9,0),"無")</f>
        <v>1123</v>
      </c>
      <c r="Q1819" s="342">
        <f>IFERROR(VLOOKUP($G1819,融外自投!$A:$J,8,0),"無")</f>
        <v>1354</v>
      </c>
      <c r="R1819" s="81" t="str">
        <f>IFERROR(VLOOKUP($G1819,融外自投!$A:$J,10,0),"無")</f>
        <v>無</v>
      </c>
      <c r="S1819" s="324">
        <f>IFERROR(VLOOKUP($G1819,'321買'!$A:$E,4,0),"'沒有資料'")</f>
        <v>606</v>
      </c>
      <c r="T1819" s="186">
        <f>IFERROR(VLOOKUP($G1819,基本資料!$A:$J,9,0),"無")</f>
        <v>2.5</v>
      </c>
      <c r="U1819" s="307">
        <f t="shared" si="326"/>
        <v>5.2631578947368418E-2</v>
      </c>
      <c r="V1819" s="94">
        <f>IFERROR(VLOOKUP($G1819,基本資料!$A:$J,10,0),"無")</f>
        <v>3.57</v>
      </c>
      <c r="W1819" s="36">
        <f>RTD("money.excel",,"1240","Price")</f>
        <v>47.5</v>
      </c>
      <c r="X1819" s="66"/>
      <c r="Y1819" s="15">
        <f>W1819-X1819</f>
        <v>47.5</v>
      </c>
      <c r="Z1819" s="3" t="e">
        <f>Y1819/X1819</f>
        <v>#DIV/0!</v>
      </c>
      <c r="AA1819" s="340">
        <f>IFERROR(VLOOKUP($G1819,基本資料!$A:$M,11,0),"無")</f>
        <v>-37.75</v>
      </c>
      <c r="AB1819" s="389">
        <f>IFERROR(VLOOKUP($G1819,基本資料!$A:$M,12,0),"無")</f>
        <v>23.9</v>
      </c>
      <c r="AC1819" s="16" t="s">
        <v>1119</v>
      </c>
      <c r="AF1819" s="33">
        <f>AE1819-AD1819</f>
        <v>0</v>
      </c>
      <c r="AG1819" s="43" t="s">
        <v>2614</v>
      </c>
      <c r="AH1819" s="66">
        <f t="shared" si="318"/>
        <v>0.25301285038950666</v>
      </c>
      <c r="AI1819" s="283">
        <f>RTD("money.excel",,$G1819,"PredictVolume")</f>
        <v>570</v>
      </c>
      <c r="AJ1819" s="391">
        <f>IFERROR(VLOOKUP($G1819,基本資料!$A:$M,13,0),"無")</f>
        <v>2252.85</v>
      </c>
      <c r="AR1819" s="245" t="str">
        <f>INDEX(基本資料!N:N,MATCH($G1819,基本資料!A:A,0))</f>
        <v>低</v>
      </c>
    </row>
    <row r="1820" spans="1:44">
      <c r="A1820" s="343">
        <f>IFERROR(VLOOKUP($G1820,基本資料!$A:$J,3,0),"無")</f>
        <v>8.56</v>
      </c>
      <c r="B1820" s="79">
        <f>IFERROR(VLOOKUP($G1820,基本資料!$A:$J,4,0),"無")</f>
        <v>73</v>
      </c>
      <c r="C1820" s="79">
        <f>IFERROR(VLOOKUP($G1820,基本資料!$A:$J,5,0),"無")</f>
        <v>-17</v>
      </c>
      <c r="D1820" s="79">
        <f>IFERROR(VLOOKUP($G1820,基本資料!$A:$J,6,0),"無")</f>
        <v>-12</v>
      </c>
      <c r="E1820" s="79">
        <f>IFERROR(VLOOKUP($G1820,基本資料!$A:$J,7,0),"無")</f>
        <v>24</v>
      </c>
      <c r="F1820" s="6">
        <f>IFERROR(VLOOKUP($G1820,基本資料!$A:$J,8,0),"無")</f>
        <v>11.57</v>
      </c>
      <c r="G1820" s="79">
        <v>6508</v>
      </c>
      <c r="H1820" s="8" t="s">
        <v>1037</v>
      </c>
      <c r="I1820" s="16" t="s">
        <v>1039</v>
      </c>
      <c r="J1820" s="8">
        <f>IFERROR(VLOOKUP($G1820,今日總結!$A:$AN,39,0),"")</f>
        <v>0</v>
      </c>
      <c r="K1820" s="5">
        <f>IFERROR(VLOOKUP($G1820,今日總結!$A:$AN,40,0),"")</f>
        <v>0</v>
      </c>
      <c r="L1820" s="156">
        <f>IFERROR(VLOOKUP($G1820,今日總結!$A:$AN,37,0),"")</f>
        <v>0</v>
      </c>
      <c r="M1820" s="337">
        <f>IFERROR(VLOOKUP($G1820,今日總結!$A:$AN,38,0),"")</f>
        <v>0</v>
      </c>
      <c r="N1820" s="240">
        <f t="shared" si="325"/>
        <v>0</v>
      </c>
      <c r="O1820" s="359">
        <f>IFERROR(VLOOKUP($G1820,融外自投!$A:$J,7,0),"無")</f>
        <v>262</v>
      </c>
      <c r="P1820" s="79">
        <f>IFERROR(VLOOKUP($G1820,融外自投!$A:$J,9,0),"無")</f>
        <v>741</v>
      </c>
      <c r="Q1820" s="342">
        <f>IFERROR(VLOOKUP($G1820,融外自投!$A:$J,8,0),"無")</f>
        <v>1082</v>
      </c>
      <c r="R1820" s="81" t="str">
        <f>IFERROR(VLOOKUP($G1820,融外自投!$A:$J,10,0),"無")</f>
        <v>無</v>
      </c>
      <c r="S1820" s="324">
        <f>IFERROR(VLOOKUP($G1820,'321買'!$A:$E,4,0),"'沒有資料'")</f>
        <v>202</v>
      </c>
      <c r="T1820" s="186">
        <f>IFERROR(VLOOKUP($G1820,基本資料!$A:$J,9,0),"無")</f>
        <v>3</v>
      </c>
      <c r="U1820" s="307">
        <f t="shared" si="326"/>
        <v>6.3291139240506333E-2</v>
      </c>
      <c r="V1820" s="94">
        <f>IFERROR(VLOOKUP($G1820,基本資料!$A:$J,10,0),"無")</f>
        <v>3.85</v>
      </c>
      <c r="W1820" s="36">
        <f>RTD("money.excel",,"6508","Price")</f>
        <v>47.4</v>
      </c>
      <c r="X1820" s="66"/>
      <c r="Y1820" s="15">
        <f>W1820-X1820</f>
        <v>47.4</v>
      </c>
      <c r="Z1820" s="3" t="e">
        <f>Y1820/X1820</f>
        <v>#DIV/0!</v>
      </c>
      <c r="AA1820" s="340">
        <f>IFERROR(VLOOKUP($G1820,基本資料!$A:$M,11,0),"無")</f>
        <v>-30.8</v>
      </c>
      <c r="AB1820" s="389">
        <f>IFERROR(VLOOKUP($G1820,基本資料!$A:$M,12,0),"無")</f>
        <v>51.94</v>
      </c>
      <c r="AC1820" s="16" t="s">
        <v>1039</v>
      </c>
      <c r="AF1820" s="33">
        <f>AE1820-AD1820</f>
        <v>0</v>
      </c>
      <c r="AG1820" s="43" t="s">
        <v>2703</v>
      </c>
      <c r="AH1820" s="66">
        <f t="shared" si="318"/>
        <v>0.62066197928910483</v>
      </c>
      <c r="AI1820" s="283">
        <f>RTD("money.excel",,$G1820,"PredictVolume")</f>
        <v>13069</v>
      </c>
      <c r="AJ1820" s="391">
        <f>IFERROR(VLOOKUP($G1820,基本資料!$A:$M,13,0),"無")</f>
        <v>21056.55</v>
      </c>
      <c r="AR1820" s="245" t="str">
        <f>INDEX(基本資料!N:N,MATCH($G1820,基本資料!A:A,0))</f>
        <v>中</v>
      </c>
    </row>
    <row r="1821" spans="1:44">
      <c r="A1821" s="343">
        <f>IFERROR(VLOOKUP($G1821,基本資料!$A:$J,3,0),"無")</f>
        <v>4.17</v>
      </c>
      <c r="B1821" s="79">
        <f>IFERROR(VLOOKUP($G1821,基本資料!$A:$J,4,0),"無")</f>
        <v>40</v>
      </c>
      <c r="C1821" s="79">
        <f>IFERROR(VLOOKUP($G1821,基本資料!$A:$J,5,0),"無")</f>
        <v>35</v>
      </c>
      <c r="D1821" s="79">
        <f>IFERROR(VLOOKUP($G1821,基本資料!$A:$J,6,0),"無")</f>
        <v>17</v>
      </c>
      <c r="E1821" s="79">
        <f>IFERROR(VLOOKUP($G1821,基本資料!$A:$J,7,0),"無")</f>
        <v>39</v>
      </c>
      <c r="F1821" s="6">
        <f>IFERROR(VLOOKUP($G1821,基本資料!$A:$J,8,0),"無")</f>
        <v>47.66</v>
      </c>
      <c r="G1821" s="79">
        <v>4171</v>
      </c>
      <c r="H1821" s="8" t="s">
        <v>1037</v>
      </c>
      <c r="I1821" s="16" t="s">
        <v>1038</v>
      </c>
      <c r="J1821" s="8" t="str">
        <f>IFERROR(VLOOKUP($G1821,今日總結!$A:$AN,39,0),"")</f>
        <v>主</v>
      </c>
      <c r="K1821" s="5">
        <f>IFERROR(VLOOKUP($G1821,今日總結!$A:$AN,40,0),"")</f>
        <v>0</v>
      </c>
      <c r="L1821" s="156">
        <f>IFERROR(VLOOKUP($G1821,今日總結!$A:$AN,37,0),"")</f>
        <v>3</v>
      </c>
      <c r="M1821" s="337">
        <f>IFERROR(VLOOKUP($G1821,今日總結!$A:$AN,38,0),"")</f>
        <v>0</v>
      </c>
      <c r="N1821" s="240">
        <f t="shared" ref="N1821" si="327">IFERROR(L1821-M1821,"")</f>
        <v>3</v>
      </c>
      <c r="O1821" s="359">
        <f>IFERROR(VLOOKUP($G1821,融外自投!$A:$J,7,0),"無")</f>
        <v>45</v>
      </c>
      <c r="P1821" s="79">
        <f>IFERROR(VLOOKUP($G1821,融外自投!$A:$J,9,0),"無")</f>
        <v>136</v>
      </c>
      <c r="Q1821" s="342">
        <f>IFERROR(VLOOKUP($G1821,融外自投!$A:$J,8,0),"無")</f>
        <v>209</v>
      </c>
      <c r="R1821" s="81" t="str">
        <f>IFERROR(VLOOKUP($G1821,融外自投!$A:$J,10,0),"無")</f>
        <v>無</v>
      </c>
      <c r="S1821" s="324">
        <f>IFERROR(VLOOKUP($G1821,'321買'!$A:$E,4,0),"'沒有資料'")</f>
        <v>140</v>
      </c>
      <c r="T1821" s="186">
        <f>IFERROR(VLOOKUP($G1821,基本資料!$A:$J,9,0),"無")</f>
        <v>6</v>
      </c>
      <c r="U1821" s="307">
        <f t="shared" si="326"/>
        <v>4.7430830039525688E-2</v>
      </c>
      <c r="V1821" s="94">
        <f>IFERROR(VLOOKUP($G1821,基本資料!$A:$J,10,0),"無")</f>
        <v>9.01</v>
      </c>
      <c r="W1821" s="36">
        <f>RTD("money.excel",,"4171","Price")</f>
        <v>126.5</v>
      </c>
      <c r="X1821" s="66"/>
      <c r="Y1821" s="15">
        <f>W1821-X1821</f>
        <v>126.5</v>
      </c>
      <c r="Z1821" s="3" t="e">
        <f>Y1821/X1821</f>
        <v>#DIV/0!</v>
      </c>
      <c r="AA1821" s="340">
        <f>IFERROR(VLOOKUP($G1821,基本資料!$A:$M,11,0),"無")</f>
        <v>-33.07</v>
      </c>
      <c r="AB1821" s="389">
        <f>IFERROR(VLOOKUP($G1821,基本資料!$A:$M,12,0),"無")</f>
        <v>53.06</v>
      </c>
      <c r="AC1821" s="16" t="s">
        <v>1038</v>
      </c>
      <c r="AF1821" s="33">
        <f>AE1821-AD1821</f>
        <v>0</v>
      </c>
      <c r="AG1821" s="43" t="s">
        <v>2702</v>
      </c>
      <c r="AH1821" s="66">
        <f t="shared" si="318"/>
        <v>0.17802390954538214</v>
      </c>
      <c r="AI1821" s="283">
        <f>RTD("money.excel",,$G1821,"PredictVolume")</f>
        <v>4973</v>
      </c>
      <c r="AJ1821" s="391">
        <f>IFERROR(VLOOKUP($G1821,基本資料!$A:$M,13,0),"無")</f>
        <v>27934.45</v>
      </c>
      <c r="AR1821" s="245" t="str">
        <f>INDEX(基本資料!N:N,MATCH($G1821,基本資料!A:A,0))</f>
        <v>中</v>
      </c>
    </row>
    <row r="1822" spans="1:44">
      <c r="B1822" s="79"/>
      <c r="C1822" s="79"/>
      <c r="D1822" s="80"/>
      <c r="E1822" s="79"/>
      <c r="F1822" s="57"/>
      <c r="G1822" s="79"/>
      <c r="H1822" s="8"/>
      <c r="I1822" s="16"/>
      <c r="L1822" s="2"/>
      <c r="O1822" s="360"/>
      <c r="Q1822" s="351"/>
      <c r="R1822" s="26"/>
      <c r="T1822" s="66"/>
      <c r="V1822" s="94"/>
      <c r="W1822" s="36"/>
      <c r="X1822" s="66"/>
      <c r="Y1822" s="15"/>
      <c r="Z1822" s="3"/>
      <c r="AC1822" s="16"/>
      <c r="AF1822" s="33"/>
      <c r="AG1822" s="43"/>
      <c r="AH1822" s="66" t="e">
        <f t="shared" si="318"/>
        <v>#DIV/0!</v>
      </c>
      <c r="AI1822" s="283"/>
    </row>
    <row r="1823" spans="1:44">
      <c r="A1823" s="127" t="s">
        <v>1672</v>
      </c>
      <c r="B1823" s="90" t="s">
        <v>1571</v>
      </c>
      <c r="C1823" s="90" t="s">
        <v>1572</v>
      </c>
      <c r="D1823" s="90" t="s">
        <v>1573</v>
      </c>
      <c r="E1823" s="90" t="s">
        <v>1574</v>
      </c>
      <c r="F1823" s="8" t="s">
        <v>1059</v>
      </c>
      <c r="G1823" s="27" t="s">
        <v>876</v>
      </c>
      <c r="H1823" s="55" t="s">
        <v>320</v>
      </c>
      <c r="I1823" s="50" t="s">
        <v>875</v>
      </c>
      <c r="J1823" s="8" t="s">
        <v>6211</v>
      </c>
      <c r="K1823" s="5" t="s">
        <v>6212</v>
      </c>
      <c r="L1823" s="334" t="s">
        <v>6197</v>
      </c>
      <c r="M1823" s="335" t="s">
        <v>6198</v>
      </c>
      <c r="N1823" s="336" t="s">
        <v>6199</v>
      </c>
      <c r="O1823" s="89" t="s">
        <v>6275</v>
      </c>
      <c r="P1823" s="292" t="s">
        <v>6274</v>
      </c>
      <c r="Q1823" s="350" t="s">
        <v>6273</v>
      </c>
      <c r="R1823" s="26" t="s">
        <v>6276</v>
      </c>
      <c r="S1823" s="318" t="s">
        <v>4715</v>
      </c>
      <c r="T1823" s="10" t="s">
        <v>66</v>
      </c>
      <c r="U1823" s="305" t="s">
        <v>4728</v>
      </c>
      <c r="V1823" s="68" t="s">
        <v>3272</v>
      </c>
      <c r="W1823" s="28" t="s">
        <v>2</v>
      </c>
      <c r="X1823" s="17" t="s">
        <v>1398</v>
      </c>
      <c r="Y1823" s="14" t="s">
        <v>5</v>
      </c>
      <c r="Z1823" s="21" t="s">
        <v>3</v>
      </c>
      <c r="AA1823" s="96" t="s">
        <v>6166</v>
      </c>
      <c r="AB1823" s="378" t="s">
        <v>6404</v>
      </c>
      <c r="AC1823" s="50" t="s">
        <v>875</v>
      </c>
      <c r="AD1823" s="71" t="s">
        <v>1399</v>
      </c>
      <c r="AE1823" s="72" t="s">
        <v>1156</v>
      </c>
      <c r="AF1823" s="32" t="s">
        <v>1157</v>
      </c>
      <c r="AG1823" s="25" t="s">
        <v>6200</v>
      </c>
      <c r="AH1823" s="8" t="s">
        <v>6696</v>
      </c>
      <c r="AI1823" s="50" t="s">
        <v>3360</v>
      </c>
      <c r="AJ1823" s="22" t="s">
        <v>6695</v>
      </c>
    </row>
    <row r="1824" spans="1:44">
      <c r="A1824" s="343">
        <f>IFERROR(VLOOKUP($G1824,基本資料!$A:$J,3,0),"無")</f>
        <v>153</v>
      </c>
      <c r="B1824" s="79">
        <f>IFERROR(VLOOKUP($G1824,基本資料!$A:$J,4,0),"無")</f>
        <v>344</v>
      </c>
      <c r="C1824" s="79">
        <f>IFERROR(VLOOKUP($G1824,基本資料!$A:$J,5,0),"無")</f>
        <v>-195</v>
      </c>
      <c r="D1824" s="79">
        <f>IFERROR(VLOOKUP($G1824,基本資料!$A:$J,6,0),"無")</f>
        <v>-12</v>
      </c>
      <c r="E1824" s="79">
        <f>IFERROR(VLOOKUP($G1824,基本資料!$A:$J,7,0),"無")</f>
        <v>-29</v>
      </c>
      <c r="F1824" s="6">
        <f>IFERROR(VLOOKUP($G1824,基本資料!$A:$J,8,0),"無")</f>
        <v>-2.09</v>
      </c>
      <c r="G1824" s="79">
        <v>2515</v>
      </c>
      <c r="H1824" s="8" t="s">
        <v>4714</v>
      </c>
      <c r="I1824" s="22" t="s">
        <v>323</v>
      </c>
      <c r="J1824" s="8">
        <f>IFERROR(VLOOKUP($G1824,今日總結!$A:$AN,39,0),"")</f>
        <v>0</v>
      </c>
      <c r="K1824" s="5" t="str">
        <f>IFERROR(VLOOKUP($G1824,今日總結!$A:$AN,40,0),"")</f>
        <v>自</v>
      </c>
      <c r="L1824" s="156">
        <f>IFERROR(VLOOKUP($G1824,今日總結!$A:$AN,37,0),"")</f>
        <v>0</v>
      </c>
      <c r="M1824" s="337">
        <f>IFERROR(VLOOKUP($G1824,今日總結!$A:$AN,38,0),"")</f>
        <v>3</v>
      </c>
      <c r="N1824" s="240">
        <f t="shared" ref="N1824:N1825" si="328">IFERROR(L1824-M1824,"")</f>
        <v>-3</v>
      </c>
      <c r="O1824" s="359">
        <f>IFERROR(VLOOKUP($G1824,融外自投!$A:$J,7,0),"無")</f>
        <v>673</v>
      </c>
      <c r="P1824" s="79">
        <f>IFERROR(VLOOKUP($G1824,融外自投!$A:$J,9,0),"無")</f>
        <v>550</v>
      </c>
      <c r="Q1824" s="342">
        <f>IFERROR(VLOOKUP($G1824,融外自投!$A:$J,8,0),"無")</f>
        <v>352</v>
      </c>
      <c r="R1824" s="81">
        <f>IFERROR(VLOOKUP($G1824,融外自投!$A:$J,10,0),"無")</f>
        <v>354</v>
      </c>
      <c r="S1824" s="324">
        <f>IFERROR(VLOOKUP($G1824,'321買'!$A:$E,4,0),"'沒有資料'")</f>
        <v>743</v>
      </c>
      <c r="T1824" s="186">
        <f>IFERROR(VLOOKUP($G1824,基本資料!$A:$J,9,0),"無")</f>
        <v>0.53</v>
      </c>
      <c r="U1824" s="307">
        <f t="shared" ref="U1824:U1825" si="329">$T1824/$W1824</f>
        <v>5.8628318584070804E-2</v>
      </c>
      <c r="V1824" s="94">
        <f>IFERROR(VLOOKUP($G1824,基本資料!$A:$J,10,0),"無")</f>
        <v>1.75</v>
      </c>
      <c r="W1824" s="36">
        <f>RTD("money.excel",,"2515","Price")</f>
        <v>9.0399999999999991</v>
      </c>
      <c r="X1824" s="66"/>
      <c r="Y1824" s="15">
        <f>W1824-X1824</f>
        <v>9.0399999999999991</v>
      </c>
      <c r="Z1824" s="3" t="e">
        <f>Y1824/X1824</f>
        <v>#DIV/0!</v>
      </c>
      <c r="AA1824" s="340">
        <f>IFERROR(VLOOKUP($G1824,基本資料!$A:$M,11,0),"無")</f>
        <v>-14.72</v>
      </c>
      <c r="AB1824" s="389">
        <f>IFERROR(VLOOKUP($G1824,基本資料!$A:$M,12,0),"無")</f>
        <v>30.06</v>
      </c>
      <c r="AC1824" s="22" t="s">
        <v>323</v>
      </c>
      <c r="AF1824" s="33">
        <f>AE1824-AD1824</f>
        <v>0</v>
      </c>
      <c r="AG1824" s="43" t="s">
        <v>1537</v>
      </c>
      <c r="AH1824" s="66">
        <f t="shared" si="318"/>
        <v>0.72691092122205314</v>
      </c>
      <c r="AI1824" s="283">
        <f>RTD("money.excel",,$G1824,"PredictVolume")</f>
        <v>4347</v>
      </c>
      <c r="AJ1824" s="391">
        <f>IFERROR(VLOOKUP($G1824,基本資料!$A:$M,13,0),"無")</f>
        <v>5980.1</v>
      </c>
      <c r="AR1824" s="245" t="str">
        <f>INDEX(基本資料!N:N,MATCH($G1824,基本資料!A:A,0))</f>
        <v>中</v>
      </c>
    </row>
    <row r="1825" spans="1:44">
      <c r="A1825" s="343">
        <f>IFERROR(VLOOKUP($G1825,基本資料!$A:$J,3,0),"無")</f>
        <v>78.150000000000006</v>
      </c>
      <c r="B1825" s="79">
        <f>IFERROR(VLOOKUP($G1825,基本資料!$A:$J,4,0),"無")</f>
        <v>58</v>
      </c>
      <c r="C1825" s="79">
        <f>IFERROR(VLOOKUP($G1825,基本資料!$A:$J,5,0),"無")</f>
        <v>60</v>
      </c>
      <c r="D1825" s="79">
        <f>IFERROR(VLOOKUP($G1825,基本資料!$A:$J,6,0),"無")</f>
        <v>-10</v>
      </c>
      <c r="E1825" s="79">
        <f>IFERROR(VLOOKUP($G1825,基本資料!$A:$J,7,0),"無")</f>
        <v>11</v>
      </c>
      <c r="F1825" s="6">
        <f>IFERROR(VLOOKUP($G1825,基本資料!$A:$J,8,0),"無")</f>
        <v>24.68</v>
      </c>
      <c r="G1825" s="79">
        <v>5522</v>
      </c>
      <c r="H1825" s="192" t="s">
        <v>4714</v>
      </c>
      <c r="I1825" s="22" t="s">
        <v>135</v>
      </c>
      <c r="J1825" s="8" t="str">
        <f>IFERROR(VLOOKUP($G1825,今日總結!$A:$AN,39,0),"")</f>
        <v>自</v>
      </c>
      <c r="K1825" s="5" t="str">
        <f>IFERROR(VLOOKUP($G1825,今日總結!$A:$AN,40,0),"")</f>
        <v>外</v>
      </c>
      <c r="L1825" s="156">
        <f>IFERROR(VLOOKUP($G1825,今日總結!$A:$AN,37,0),"")</f>
        <v>3</v>
      </c>
      <c r="M1825" s="337">
        <f>IFERROR(VLOOKUP($G1825,今日總結!$A:$AN,38,0),"")</f>
        <v>7</v>
      </c>
      <c r="N1825" s="240">
        <f t="shared" si="328"/>
        <v>-4</v>
      </c>
      <c r="O1825" s="359">
        <f>IFERROR(VLOOKUP($G1825,融外自投!$A:$J,7,0),"無")</f>
        <v>1404</v>
      </c>
      <c r="P1825" s="79">
        <f>IFERROR(VLOOKUP($G1825,融外自投!$A:$J,9,0),"無")</f>
        <v>47</v>
      </c>
      <c r="Q1825" s="342">
        <f>IFERROR(VLOOKUP($G1825,融外自投!$A:$J,8,0),"無")</f>
        <v>562</v>
      </c>
      <c r="R1825" s="81">
        <f>IFERROR(VLOOKUP($G1825,融外自投!$A:$J,10,0),"無")</f>
        <v>63</v>
      </c>
      <c r="S1825" s="324">
        <f>IFERROR(VLOOKUP($G1825,'321買'!$A:$E,4,0),"'沒有資料'")</f>
        <v>465</v>
      </c>
      <c r="T1825" s="186">
        <f>IFERROR(VLOOKUP($G1825,基本資料!$A:$J,9,0),"無")</f>
        <v>5.5</v>
      </c>
      <c r="U1825" s="307">
        <f t="shared" si="329"/>
        <v>8.5536547433903584E-2</v>
      </c>
      <c r="V1825" s="94">
        <f>IFERROR(VLOOKUP($G1825,基本資料!$A:$J,10,0),"無")</f>
        <v>7.78</v>
      </c>
      <c r="W1825" s="36">
        <f>RTD("money.excel",,"5522","Price")</f>
        <v>64.3</v>
      </c>
      <c r="X1825" s="66"/>
      <c r="Y1825" s="15">
        <f>W1825-X1825</f>
        <v>64.3</v>
      </c>
      <c r="Z1825" s="3" t="e">
        <f>Y1825/X1825</f>
        <v>#DIV/0!</v>
      </c>
      <c r="AA1825" s="340">
        <f>IFERROR(VLOOKUP($G1825,基本資料!$A:$M,11,0),"無")</f>
        <v>-7.88</v>
      </c>
      <c r="AB1825" s="389">
        <f>IFERROR(VLOOKUP($G1825,基本資料!$A:$M,12,0),"無")</f>
        <v>51.14</v>
      </c>
      <c r="AC1825" s="22" t="s">
        <v>135</v>
      </c>
      <c r="AF1825" s="33">
        <f>AE1825-AD1825</f>
        <v>0</v>
      </c>
      <c r="AG1825" s="117" t="s">
        <v>2016</v>
      </c>
      <c r="AH1825" s="66">
        <f t="shared" si="318"/>
        <v>1.3305309330165402</v>
      </c>
      <c r="AI1825" s="283">
        <f>RTD("money.excel",,$G1825,"PredictVolume")</f>
        <v>728</v>
      </c>
      <c r="AJ1825" s="391">
        <f>IFERROR(VLOOKUP($G1825,基本資料!$A:$M,13,0),"無")</f>
        <v>547.15</v>
      </c>
      <c r="AR1825" s="245" t="str">
        <f>INDEX(基本資料!N:N,MATCH($G1825,基本資料!A:A,0))</f>
        <v>中</v>
      </c>
    </row>
    <row r="1826" spans="1:44">
      <c r="A1826" s="129"/>
      <c r="B1826" s="245"/>
      <c r="C1826" s="245"/>
      <c r="D1826" s="245"/>
      <c r="E1826" s="245"/>
      <c r="F1826" s="245"/>
      <c r="G1826" s="187"/>
      <c r="H1826" s="187"/>
      <c r="I1826" s="245"/>
      <c r="J1826" s="262"/>
      <c r="K1826" s="362"/>
      <c r="L1826" s="2"/>
      <c r="N1826" s="22"/>
      <c r="O1826" s="360"/>
      <c r="Q1826" s="351"/>
      <c r="R1826" s="365"/>
      <c r="S1826" s="322"/>
      <c r="T1826" s="245"/>
      <c r="V1826" s="245"/>
      <c r="W1826" s="245"/>
      <c r="X1826" s="245"/>
      <c r="Y1826" s="245"/>
      <c r="Z1826" s="245"/>
      <c r="AA1826" s="349"/>
      <c r="AB1826" s="389"/>
      <c r="AC1826" s="245"/>
      <c r="AD1826" s="245"/>
      <c r="AE1826" s="245"/>
      <c r="AF1826" s="245"/>
      <c r="AG1826" s="245"/>
      <c r="AH1826" s="245"/>
      <c r="AI1826" s="245"/>
    </row>
    <row r="1827" spans="1:44">
      <c r="B1827" s="90"/>
      <c r="C1827" s="90"/>
      <c r="D1827" s="90"/>
      <c r="E1827" s="90"/>
      <c r="F1827" s="8"/>
      <c r="G1827" s="27"/>
      <c r="H1827" s="55"/>
      <c r="I1827" s="50"/>
      <c r="L1827" s="122"/>
      <c r="O1827" s="360"/>
      <c r="Q1827" s="351"/>
      <c r="R1827" s="26"/>
      <c r="S1827" s="318"/>
      <c r="T1827" s="10"/>
      <c r="V1827" s="387"/>
      <c r="W1827" s="388"/>
      <c r="X1827" s="17"/>
      <c r="Y1827" s="14"/>
      <c r="Z1827" s="21"/>
      <c r="AB1827" s="389"/>
      <c r="AC1827" s="50"/>
      <c r="AD1827" s="71"/>
      <c r="AE1827" s="72"/>
      <c r="AF1827" s="32"/>
      <c r="AG1827" s="43"/>
      <c r="AH1827" s="8"/>
      <c r="AI1827" s="50"/>
    </row>
    <row r="1828" spans="1:44">
      <c r="B1828" s="90"/>
      <c r="C1828" s="90"/>
      <c r="D1828" s="90"/>
      <c r="E1828" s="90"/>
      <c r="F1828" s="8"/>
      <c r="G1828" s="27"/>
      <c r="H1828" s="55"/>
      <c r="I1828" s="50"/>
      <c r="L1828" s="122"/>
      <c r="O1828" s="360"/>
      <c r="Q1828" s="351"/>
      <c r="R1828" s="26"/>
      <c r="S1828" s="318"/>
      <c r="T1828" s="10"/>
      <c r="V1828" s="387"/>
      <c r="W1828" s="388"/>
      <c r="X1828" s="17"/>
      <c r="Y1828" s="14"/>
      <c r="Z1828" s="21"/>
      <c r="AC1828" s="50"/>
      <c r="AD1828" s="71"/>
      <c r="AE1828" s="72"/>
      <c r="AF1828" s="32"/>
      <c r="AG1828" s="43"/>
      <c r="AH1828" s="8"/>
      <c r="AI1828" s="50"/>
    </row>
    <row r="1829" spans="1:44">
      <c r="B1829" s="90"/>
      <c r="C1829" s="90"/>
      <c r="D1829" s="90"/>
      <c r="E1829" s="90"/>
      <c r="F1829" s="8"/>
      <c r="G1829" s="27"/>
      <c r="H1829" s="55"/>
      <c r="I1829" s="50"/>
      <c r="L1829" s="122"/>
      <c r="O1829" s="360"/>
      <c r="Q1829" s="351"/>
      <c r="R1829" s="26"/>
      <c r="S1829" s="318"/>
      <c r="T1829" s="10"/>
      <c r="V1829" s="387"/>
      <c r="W1829" s="388"/>
      <c r="X1829" s="17"/>
      <c r="Y1829" s="14"/>
      <c r="Z1829" s="21"/>
      <c r="AC1829" s="50"/>
      <c r="AD1829" s="71"/>
      <c r="AE1829" s="72"/>
      <c r="AF1829" s="32"/>
      <c r="AG1829" s="43"/>
      <c r="AH1829" s="8"/>
      <c r="AI1829" s="50"/>
    </row>
    <row r="1830" spans="1:44">
      <c r="B1830" s="90"/>
      <c r="C1830" s="90"/>
      <c r="D1830" s="90"/>
      <c r="E1830" s="90"/>
      <c r="F1830" s="8"/>
      <c r="G1830" s="27"/>
      <c r="H1830" s="55"/>
      <c r="I1830" s="50"/>
      <c r="L1830" s="122"/>
      <c r="O1830" s="360"/>
      <c r="Q1830" s="351"/>
      <c r="R1830" s="26"/>
      <c r="S1830" s="318"/>
      <c r="T1830" s="10"/>
      <c r="V1830" s="387"/>
      <c r="W1830" s="388"/>
      <c r="X1830" s="17"/>
      <c r="Y1830" s="14"/>
      <c r="Z1830" s="21"/>
      <c r="AC1830" s="50"/>
      <c r="AD1830" s="71"/>
      <c r="AE1830" s="72"/>
      <c r="AF1830" s="32"/>
      <c r="AG1830" s="43"/>
      <c r="AH1830" s="8"/>
      <c r="AI1830" s="50"/>
    </row>
    <row r="1831" spans="1:44">
      <c r="B1831" s="90"/>
      <c r="C1831" s="90"/>
      <c r="D1831" s="90"/>
      <c r="E1831" s="90"/>
      <c r="F1831" s="8"/>
      <c r="G1831" s="27"/>
      <c r="H1831" s="55"/>
      <c r="I1831" s="50"/>
      <c r="L1831" s="122"/>
      <c r="O1831" s="360"/>
      <c r="Q1831" s="351"/>
      <c r="R1831" s="26"/>
      <c r="S1831" s="318"/>
      <c r="T1831" s="10"/>
      <c r="V1831" s="387"/>
      <c r="W1831" s="388"/>
      <c r="X1831" s="17"/>
      <c r="Y1831" s="14"/>
      <c r="Z1831" s="21"/>
      <c r="AC1831" s="50"/>
      <c r="AD1831" s="71"/>
      <c r="AE1831" s="72"/>
      <c r="AF1831" s="32"/>
      <c r="AG1831" s="43"/>
      <c r="AH1831" s="8"/>
      <c r="AI1831" s="50"/>
    </row>
    <row r="1832" spans="1:44">
      <c r="B1832" s="90"/>
      <c r="C1832" s="90"/>
      <c r="D1832" s="90"/>
      <c r="E1832" s="90"/>
      <c r="F1832" s="8"/>
      <c r="G1832" s="27"/>
      <c r="H1832" s="55"/>
      <c r="I1832" s="50"/>
      <c r="L1832" s="122"/>
      <c r="O1832" s="360"/>
      <c r="Q1832" s="351"/>
      <c r="R1832" s="26"/>
      <c r="S1832" s="318"/>
      <c r="T1832" s="10"/>
      <c r="V1832" s="387"/>
      <c r="W1832" s="388"/>
      <c r="X1832" s="17"/>
      <c r="Y1832" s="14"/>
      <c r="Z1832" s="21"/>
      <c r="AC1832" s="50"/>
      <c r="AD1832" s="71"/>
      <c r="AE1832" s="72"/>
      <c r="AF1832" s="32"/>
      <c r="AG1832" s="43"/>
      <c r="AH1832" s="8"/>
      <c r="AI1832" s="50"/>
    </row>
    <row r="1833" spans="1:44">
      <c r="B1833" s="90"/>
      <c r="C1833" s="90"/>
      <c r="D1833" s="90"/>
      <c r="E1833" s="90"/>
      <c r="F1833" s="8"/>
      <c r="G1833" s="27"/>
      <c r="H1833" s="55"/>
      <c r="I1833" s="50"/>
      <c r="L1833" s="122"/>
      <c r="O1833" s="360"/>
      <c r="Q1833" s="351"/>
      <c r="R1833" s="26"/>
      <c r="S1833" s="318"/>
      <c r="T1833" s="10"/>
      <c r="V1833" s="387"/>
      <c r="W1833" s="388"/>
      <c r="X1833" s="17"/>
      <c r="Y1833" s="14"/>
      <c r="Z1833" s="21"/>
      <c r="AC1833" s="50"/>
      <c r="AD1833" s="71"/>
      <c r="AE1833" s="72"/>
      <c r="AF1833" s="32"/>
      <c r="AG1833" s="43"/>
      <c r="AH1833" s="8"/>
      <c r="AI1833" s="50"/>
    </row>
    <row r="1834" spans="1:44">
      <c r="B1834" s="90"/>
      <c r="C1834" s="90"/>
      <c r="D1834" s="90"/>
      <c r="E1834" s="90"/>
      <c r="F1834" s="8"/>
      <c r="G1834" s="27"/>
      <c r="H1834" s="55"/>
      <c r="I1834" s="50"/>
      <c r="L1834" s="122"/>
      <c r="O1834" s="360"/>
      <c r="Q1834" s="351"/>
      <c r="R1834" s="26"/>
      <c r="S1834" s="318"/>
      <c r="T1834" s="10"/>
      <c r="V1834" s="387"/>
      <c r="W1834" s="388"/>
      <c r="X1834" s="17"/>
      <c r="Y1834" s="14"/>
      <c r="Z1834" s="21"/>
      <c r="AC1834" s="50"/>
      <c r="AD1834" s="71"/>
      <c r="AE1834" s="72"/>
      <c r="AF1834" s="32"/>
      <c r="AG1834" s="43"/>
      <c r="AH1834" s="8"/>
      <c r="AI1834" s="50"/>
    </row>
    <row r="1835" spans="1:44">
      <c r="B1835" s="90"/>
      <c r="C1835" s="90"/>
      <c r="D1835" s="90"/>
      <c r="E1835" s="90"/>
      <c r="F1835" s="8"/>
      <c r="G1835" s="27"/>
      <c r="H1835" s="55"/>
      <c r="I1835" s="50"/>
      <c r="L1835" s="122"/>
      <c r="O1835" s="360"/>
      <c r="Q1835" s="351"/>
      <c r="R1835" s="26"/>
      <c r="S1835" s="318"/>
      <c r="T1835" s="10"/>
      <c r="V1835" s="387"/>
      <c r="W1835" s="388"/>
      <c r="X1835" s="17"/>
      <c r="Y1835" s="14"/>
      <c r="Z1835" s="21"/>
      <c r="AC1835" s="50"/>
      <c r="AD1835" s="71"/>
      <c r="AE1835" s="72"/>
      <c r="AF1835" s="32"/>
      <c r="AG1835" s="43"/>
      <c r="AH1835" s="8"/>
      <c r="AI1835" s="50"/>
    </row>
    <row r="1836" spans="1:44">
      <c r="B1836" s="90"/>
      <c r="C1836" s="90"/>
      <c r="D1836" s="90"/>
      <c r="E1836" s="90"/>
      <c r="F1836" s="8"/>
      <c r="G1836" s="27"/>
      <c r="H1836" s="55"/>
      <c r="I1836" s="50"/>
      <c r="L1836" s="122"/>
      <c r="O1836" s="360"/>
      <c r="Q1836" s="351"/>
      <c r="R1836" s="26"/>
      <c r="S1836" s="318"/>
      <c r="T1836" s="10"/>
      <c r="V1836" s="387"/>
      <c r="W1836" s="388"/>
      <c r="X1836" s="17"/>
      <c r="Y1836" s="14"/>
      <c r="Z1836" s="21"/>
      <c r="AC1836" s="50"/>
      <c r="AD1836" s="71"/>
      <c r="AE1836" s="72"/>
      <c r="AF1836" s="32"/>
      <c r="AG1836" s="43"/>
      <c r="AH1836" s="8"/>
      <c r="AI1836" s="50"/>
    </row>
    <row r="1837" spans="1:44">
      <c r="B1837" s="90"/>
      <c r="C1837" s="90"/>
      <c r="D1837" s="90"/>
      <c r="E1837" s="90"/>
      <c r="F1837" s="8"/>
      <c r="G1837" s="27"/>
      <c r="H1837" s="55"/>
      <c r="I1837" s="50"/>
      <c r="L1837" s="122"/>
      <c r="O1837" s="360"/>
      <c r="Q1837" s="351"/>
      <c r="R1837" s="26"/>
      <c r="S1837" s="318"/>
      <c r="T1837" s="10"/>
      <c r="V1837" s="387"/>
      <c r="W1837" s="388"/>
      <c r="X1837" s="17"/>
      <c r="Y1837" s="14"/>
      <c r="Z1837" s="21"/>
      <c r="AC1837" s="50"/>
      <c r="AD1837" s="71"/>
      <c r="AE1837" s="72"/>
      <c r="AF1837" s="32"/>
      <c r="AG1837" s="43"/>
      <c r="AH1837" s="8"/>
      <c r="AI1837" s="50"/>
    </row>
    <row r="1838" spans="1:44">
      <c r="B1838" s="90"/>
      <c r="C1838" s="90"/>
      <c r="D1838" s="90"/>
      <c r="E1838" s="90"/>
      <c r="F1838" s="8"/>
      <c r="G1838" s="27"/>
      <c r="H1838" s="55"/>
      <c r="I1838" s="50"/>
      <c r="L1838" s="122"/>
      <c r="O1838" s="360"/>
      <c r="Q1838" s="351"/>
      <c r="R1838" s="26"/>
      <c r="S1838" s="318"/>
      <c r="T1838" s="10"/>
      <c r="V1838" s="387"/>
      <c r="W1838" s="388"/>
      <c r="X1838" s="17"/>
      <c r="Y1838" s="14"/>
      <c r="Z1838" s="21"/>
      <c r="AC1838" s="50"/>
      <c r="AD1838" s="71"/>
      <c r="AE1838" s="72"/>
      <c r="AF1838" s="33"/>
      <c r="AG1838" s="43"/>
      <c r="AH1838" s="8"/>
      <c r="AI1838" s="50"/>
    </row>
    <row r="1839" spans="1:44">
      <c r="B1839" s="90"/>
      <c r="C1839" s="90"/>
      <c r="D1839" s="90"/>
      <c r="E1839" s="90"/>
      <c r="F1839" s="8"/>
      <c r="G1839" s="27"/>
      <c r="H1839" s="55"/>
      <c r="I1839" s="50"/>
      <c r="L1839" s="2"/>
      <c r="O1839" s="360"/>
      <c r="Q1839" s="351"/>
      <c r="R1839" s="26"/>
      <c r="S1839" s="318"/>
      <c r="T1839" s="10"/>
      <c r="V1839" s="387"/>
      <c r="W1839" s="388"/>
      <c r="X1839" s="17"/>
      <c r="Y1839" s="14"/>
      <c r="Z1839" s="21"/>
      <c r="AC1839" s="50"/>
      <c r="AD1839" s="71"/>
      <c r="AE1839" s="72"/>
      <c r="AF1839" s="32"/>
      <c r="AG1839" s="43"/>
      <c r="AH1839" s="8"/>
      <c r="AI1839" s="50"/>
    </row>
    <row r="1840" spans="1:44">
      <c r="B1840" s="90"/>
      <c r="C1840" s="90"/>
      <c r="D1840" s="90"/>
      <c r="E1840" s="90"/>
      <c r="F1840" s="8"/>
      <c r="G1840" s="27"/>
      <c r="H1840" s="55"/>
      <c r="I1840" s="50"/>
      <c r="L1840" s="122"/>
      <c r="O1840" s="360"/>
      <c r="Q1840" s="351"/>
      <c r="R1840" s="26"/>
      <c r="S1840" s="318"/>
      <c r="T1840" s="10"/>
      <c r="V1840" s="387"/>
      <c r="W1840" s="388"/>
      <c r="X1840" s="17"/>
      <c r="Y1840" s="14"/>
      <c r="Z1840" s="21"/>
      <c r="AC1840" s="50"/>
      <c r="AD1840" s="71"/>
      <c r="AE1840" s="72"/>
      <c r="AF1840" s="32"/>
      <c r="AG1840" s="43"/>
      <c r="AH1840" s="8"/>
      <c r="AI1840" s="50"/>
    </row>
    <row r="1841" spans="1:35">
      <c r="B1841" s="90"/>
      <c r="C1841" s="90"/>
      <c r="D1841" s="90"/>
      <c r="E1841" s="90"/>
      <c r="F1841" s="8"/>
      <c r="G1841" s="27"/>
      <c r="H1841" s="55"/>
      <c r="I1841" s="50"/>
      <c r="L1841" s="2"/>
      <c r="O1841" s="360"/>
      <c r="Q1841" s="351"/>
      <c r="R1841" s="26"/>
      <c r="S1841" s="318"/>
      <c r="T1841" s="10"/>
      <c r="V1841" s="387"/>
      <c r="W1841" s="388"/>
      <c r="X1841" s="17"/>
      <c r="Y1841" s="14"/>
      <c r="Z1841" s="21"/>
      <c r="AC1841" s="50"/>
      <c r="AD1841" s="71"/>
      <c r="AE1841" s="72"/>
      <c r="AF1841" s="32"/>
      <c r="AG1841" s="43"/>
      <c r="AH1841" s="8"/>
      <c r="AI1841" s="50"/>
    </row>
    <row r="1842" spans="1:35">
      <c r="B1842" s="90"/>
      <c r="C1842" s="90"/>
      <c r="D1842" s="90"/>
      <c r="E1842" s="90"/>
      <c r="F1842" s="8"/>
      <c r="G1842" s="27"/>
      <c r="H1842" s="55"/>
      <c r="I1842" s="50"/>
      <c r="L1842" s="122"/>
      <c r="O1842" s="360"/>
      <c r="Q1842" s="351"/>
      <c r="R1842" s="26"/>
      <c r="S1842" s="318"/>
      <c r="T1842" s="10"/>
      <c r="V1842" s="387"/>
      <c r="W1842" s="388"/>
      <c r="X1842" s="17"/>
      <c r="Y1842" s="14"/>
      <c r="Z1842" s="21"/>
      <c r="AC1842" s="50"/>
      <c r="AD1842" s="71"/>
      <c r="AE1842" s="72"/>
      <c r="AF1842" s="32"/>
      <c r="AG1842" s="43"/>
      <c r="AH1842" s="8"/>
      <c r="AI1842" s="50"/>
    </row>
    <row r="1843" spans="1:35">
      <c r="B1843" s="90"/>
      <c r="C1843" s="90"/>
      <c r="D1843" s="90"/>
      <c r="E1843" s="90"/>
      <c r="F1843" s="8"/>
      <c r="G1843" s="27"/>
      <c r="H1843" s="55"/>
      <c r="I1843" s="8"/>
      <c r="L1843" s="122"/>
      <c r="O1843" s="360"/>
      <c r="Q1843" s="351"/>
      <c r="R1843" s="26"/>
      <c r="S1843" s="318"/>
      <c r="T1843" s="10"/>
      <c r="V1843" s="387"/>
      <c r="W1843" s="388"/>
      <c r="X1843" s="17"/>
      <c r="Y1843" s="14"/>
      <c r="Z1843" s="21"/>
      <c r="AC1843" s="8"/>
      <c r="AD1843" s="71"/>
      <c r="AE1843" s="72"/>
      <c r="AF1843" s="32"/>
      <c r="AG1843" s="43"/>
      <c r="AH1843" s="8"/>
      <c r="AI1843" s="50"/>
    </row>
    <row r="1844" spans="1:35">
      <c r="B1844" s="90"/>
      <c r="C1844" s="90"/>
      <c r="D1844" s="90"/>
      <c r="E1844" s="90"/>
      <c r="F1844" s="8"/>
      <c r="G1844" s="27"/>
      <c r="H1844" s="55"/>
      <c r="I1844" s="8"/>
      <c r="L1844" s="122"/>
      <c r="O1844" s="360"/>
      <c r="Q1844" s="351"/>
      <c r="R1844" s="26"/>
      <c r="S1844" s="318"/>
      <c r="T1844" s="10"/>
      <c r="V1844" s="387"/>
      <c r="W1844" s="388"/>
      <c r="X1844" s="17"/>
      <c r="Y1844" s="14"/>
      <c r="Z1844" s="21"/>
      <c r="AC1844" s="8"/>
      <c r="AD1844" s="71"/>
      <c r="AE1844" s="72"/>
      <c r="AF1844" s="32"/>
      <c r="AG1844" s="43"/>
      <c r="AH1844" s="8"/>
      <c r="AI1844" s="50"/>
    </row>
    <row r="1845" spans="1:35">
      <c r="B1845" s="90"/>
      <c r="C1845" s="90"/>
      <c r="D1845" s="90"/>
      <c r="E1845" s="90"/>
      <c r="F1845" s="8"/>
      <c r="G1845" s="27"/>
      <c r="H1845" s="55"/>
      <c r="I1845" s="8"/>
      <c r="L1845" s="122"/>
      <c r="O1845" s="360"/>
      <c r="Q1845" s="351"/>
      <c r="R1845" s="26"/>
      <c r="S1845" s="318"/>
      <c r="T1845" s="10"/>
      <c r="V1845" s="387"/>
      <c r="W1845" s="388"/>
      <c r="X1845" s="17"/>
      <c r="Y1845" s="14"/>
      <c r="Z1845" s="21"/>
      <c r="AC1845" s="8"/>
      <c r="AD1845" s="71"/>
      <c r="AE1845" s="72"/>
      <c r="AF1845" s="32"/>
      <c r="AG1845" s="43"/>
      <c r="AH1845" s="8"/>
      <c r="AI1845" s="50"/>
    </row>
    <row r="1846" spans="1:35">
      <c r="B1846" s="90"/>
      <c r="C1846" s="90"/>
      <c r="D1846" s="90"/>
      <c r="E1846" s="90"/>
      <c r="F1846" s="8"/>
      <c r="G1846" s="27"/>
      <c r="H1846" s="55"/>
      <c r="I1846" s="8"/>
      <c r="L1846" s="2"/>
      <c r="O1846" s="360"/>
      <c r="Q1846" s="351"/>
      <c r="R1846" s="26"/>
      <c r="S1846" s="318"/>
      <c r="T1846" s="10"/>
      <c r="V1846" s="387"/>
      <c r="W1846" s="388"/>
      <c r="X1846" s="17"/>
      <c r="Y1846" s="14"/>
      <c r="Z1846" s="21"/>
      <c r="AC1846" s="8"/>
      <c r="AD1846" s="71"/>
      <c r="AE1846" s="72"/>
      <c r="AF1846" s="32"/>
      <c r="AG1846" s="43"/>
      <c r="AH1846" s="8"/>
      <c r="AI1846" s="50"/>
    </row>
    <row r="1847" spans="1:35">
      <c r="B1847" s="90"/>
      <c r="C1847" s="90"/>
      <c r="D1847" s="90"/>
      <c r="E1847" s="90"/>
      <c r="F1847" s="8"/>
      <c r="G1847" s="27"/>
      <c r="H1847" s="55"/>
      <c r="I1847" s="8"/>
      <c r="L1847" s="2"/>
      <c r="O1847" s="360"/>
      <c r="Q1847" s="351"/>
      <c r="R1847" s="26"/>
      <c r="S1847" s="318"/>
      <c r="T1847" s="10"/>
      <c r="V1847" s="387"/>
      <c r="W1847" s="388"/>
      <c r="X1847" s="17"/>
      <c r="Y1847" s="14"/>
      <c r="Z1847" s="21"/>
      <c r="AC1847" s="8"/>
      <c r="AD1847" s="71"/>
      <c r="AE1847" s="72"/>
      <c r="AF1847" s="32"/>
      <c r="AG1847" s="43"/>
      <c r="AH1847" s="8"/>
      <c r="AI1847" s="50"/>
    </row>
    <row r="1848" spans="1:35">
      <c r="B1848" s="90"/>
      <c r="C1848" s="90"/>
      <c r="D1848" s="90"/>
      <c r="E1848" s="90"/>
      <c r="F1848" s="8"/>
      <c r="G1848" s="27"/>
      <c r="H1848" s="55"/>
      <c r="I1848" s="8"/>
      <c r="L1848" s="2"/>
      <c r="O1848" s="360"/>
      <c r="Q1848" s="351"/>
      <c r="R1848" s="26"/>
      <c r="S1848" s="318"/>
      <c r="T1848" s="10"/>
      <c r="V1848" s="387"/>
      <c r="W1848" s="388"/>
      <c r="X1848" s="17"/>
      <c r="Y1848" s="14"/>
      <c r="Z1848" s="21"/>
      <c r="AC1848" s="8"/>
      <c r="AD1848" s="71"/>
      <c r="AE1848" s="72"/>
      <c r="AF1848" s="32"/>
      <c r="AG1848" s="43"/>
      <c r="AH1848" s="8"/>
      <c r="AI1848" s="50"/>
    </row>
    <row r="1849" spans="1:35">
      <c r="B1849" s="90"/>
      <c r="C1849" s="90"/>
      <c r="D1849" s="90"/>
      <c r="E1849" s="90"/>
      <c r="F1849" s="8"/>
      <c r="G1849" s="27"/>
      <c r="H1849" s="55"/>
      <c r="I1849" s="8"/>
      <c r="L1849" s="2"/>
      <c r="O1849" s="360"/>
      <c r="Q1849" s="351"/>
      <c r="R1849" s="26"/>
      <c r="S1849" s="318"/>
      <c r="T1849" s="10"/>
      <c r="V1849" s="387"/>
      <c r="W1849" s="388"/>
      <c r="X1849" s="17"/>
      <c r="Y1849" s="14"/>
      <c r="Z1849" s="21"/>
      <c r="AC1849" s="8"/>
      <c r="AD1849" s="71"/>
      <c r="AE1849" s="72"/>
      <c r="AF1849" s="32"/>
      <c r="AG1849" s="43"/>
      <c r="AH1849" s="8"/>
      <c r="AI1849" s="50"/>
    </row>
    <row r="1850" spans="1:35">
      <c r="A1850" s="142"/>
      <c r="B1850" s="90"/>
      <c r="C1850" s="90"/>
      <c r="D1850" s="90"/>
      <c r="E1850" s="90"/>
      <c r="F1850" s="6"/>
      <c r="H1850" s="8"/>
      <c r="I1850" s="22"/>
      <c r="O1850" s="360"/>
      <c r="Q1850" s="351"/>
      <c r="R1850" s="19"/>
      <c r="T1850" s="34"/>
      <c r="V1850" s="94"/>
      <c r="W1850" s="36"/>
      <c r="X1850" s="66"/>
      <c r="Y1850" s="15"/>
      <c r="Z1850" s="3"/>
      <c r="AC1850" s="22"/>
      <c r="AF1850" s="33"/>
      <c r="AG1850" s="43"/>
    </row>
    <row r="1851" spans="1:35">
      <c r="O1851" s="360"/>
      <c r="Q1851" s="351"/>
    </row>
    <row r="1852" spans="1:35">
      <c r="O1852" s="360"/>
      <c r="Q1852" s="351"/>
    </row>
    <row r="1853" spans="1:35">
      <c r="O1853" s="360"/>
      <c r="Q1853" s="351"/>
    </row>
    <row r="1854" spans="1:35">
      <c r="O1854" s="360"/>
      <c r="Q1854" s="351"/>
    </row>
    <row r="1855" spans="1:35">
      <c r="O1855" s="360"/>
      <c r="Q1855" s="351"/>
    </row>
    <row r="1856" spans="1:35">
      <c r="O1856" s="360"/>
      <c r="Q1856" s="351"/>
    </row>
    <row r="1857" spans="15:17">
      <c r="O1857" s="360"/>
      <c r="Q1857" s="351"/>
    </row>
    <row r="1858" spans="15:17">
      <c r="O1858" s="360"/>
      <c r="Q1858" s="351"/>
    </row>
    <row r="1859" spans="15:17">
      <c r="O1859" s="360"/>
      <c r="Q1859" s="351"/>
    </row>
    <row r="1860" spans="15:17" ht="17.25" customHeight="1">
      <c r="O1860" s="360"/>
      <c r="Q1860" s="351"/>
    </row>
    <row r="1861" spans="15:17">
      <c r="O1861" s="360"/>
      <c r="Q1861" s="351"/>
    </row>
    <row r="1862" spans="15:17">
      <c r="O1862" s="360"/>
      <c r="Q1862" s="351"/>
    </row>
    <row r="1863" spans="15:17">
      <c r="O1863" s="360"/>
      <c r="Q1863" s="351"/>
    </row>
    <row r="1864" spans="15:17">
      <c r="O1864" s="360"/>
      <c r="Q1864" s="351"/>
    </row>
    <row r="1865" spans="15:17">
      <c r="O1865" s="360"/>
      <c r="Q1865" s="351"/>
    </row>
    <row r="1866" spans="15:17">
      <c r="O1866" s="360"/>
      <c r="Q1866" s="351"/>
    </row>
    <row r="1867" spans="15:17">
      <c r="O1867" s="360"/>
      <c r="Q1867" s="351"/>
    </row>
    <row r="1868" spans="15:17">
      <c r="O1868" s="360"/>
      <c r="Q1868" s="351"/>
    </row>
    <row r="1869" spans="15:17">
      <c r="O1869" s="360"/>
      <c r="Q1869" s="351"/>
    </row>
    <row r="1870" spans="15:17">
      <c r="O1870" s="360"/>
      <c r="Q1870" s="351"/>
    </row>
    <row r="1871" spans="15:17">
      <c r="O1871" s="360"/>
      <c r="Q1871" s="351"/>
    </row>
    <row r="1872" spans="15:17">
      <c r="O1872" s="360"/>
      <c r="Q1872" s="351"/>
    </row>
    <row r="1873" spans="15:17">
      <c r="O1873" s="360"/>
      <c r="Q1873" s="351"/>
    </row>
    <row r="1874" spans="15:17">
      <c r="O1874" s="360"/>
      <c r="Q1874" s="351"/>
    </row>
    <row r="1875" spans="15:17">
      <c r="O1875" s="360"/>
      <c r="Q1875" s="351"/>
    </row>
    <row r="1876" spans="15:17">
      <c r="O1876" s="360"/>
      <c r="Q1876" s="351"/>
    </row>
    <row r="1877" spans="15:17">
      <c r="O1877" s="360"/>
      <c r="Q1877" s="351"/>
    </row>
    <row r="1878" spans="15:17">
      <c r="O1878" s="360"/>
      <c r="Q1878" s="351"/>
    </row>
    <row r="1879" spans="15:17">
      <c r="O1879" s="360"/>
      <c r="Q1879" s="351"/>
    </row>
    <row r="1880" spans="15:17">
      <c r="O1880" s="360"/>
      <c r="Q1880" s="351"/>
    </row>
    <row r="1881" spans="15:17">
      <c r="O1881" s="360"/>
      <c r="Q1881" s="351"/>
    </row>
    <row r="1882" spans="15:17">
      <c r="O1882" s="360"/>
      <c r="Q1882" s="351"/>
    </row>
    <row r="1883" spans="15:17">
      <c r="O1883" s="360"/>
      <c r="Q1883" s="351"/>
    </row>
    <row r="1884" spans="15:17">
      <c r="O1884" s="360"/>
      <c r="Q1884" s="351"/>
    </row>
    <row r="1885" spans="15:17">
      <c r="O1885" s="360"/>
      <c r="Q1885" s="351"/>
    </row>
    <row r="1886" spans="15:17">
      <c r="O1886" s="360"/>
      <c r="Q1886" s="351"/>
    </row>
    <row r="1887" spans="15:17">
      <c r="O1887" s="360"/>
      <c r="Q1887" s="351"/>
    </row>
    <row r="1888" spans="15:17">
      <c r="O1888" s="360"/>
      <c r="Q1888" s="351"/>
    </row>
    <row r="1889" spans="15:17">
      <c r="O1889" s="360"/>
      <c r="Q1889" s="351"/>
    </row>
    <row r="1890" spans="15:17">
      <c r="O1890" s="360"/>
      <c r="Q1890" s="351"/>
    </row>
    <row r="1891" spans="15:17">
      <c r="O1891" s="360"/>
      <c r="Q1891" s="351"/>
    </row>
    <row r="1892" spans="15:17">
      <c r="O1892" s="360"/>
      <c r="Q1892" s="351"/>
    </row>
    <row r="1893" spans="15:17">
      <c r="O1893" s="360"/>
      <c r="Q1893" s="351"/>
    </row>
    <row r="1894" spans="15:17">
      <c r="O1894" s="360"/>
      <c r="Q1894" s="351"/>
    </row>
    <row r="1895" spans="15:17">
      <c r="O1895" s="360"/>
      <c r="Q1895" s="351"/>
    </row>
    <row r="1896" spans="15:17">
      <c r="O1896" s="360"/>
      <c r="Q1896" s="351"/>
    </row>
    <row r="1897" spans="15:17">
      <c r="O1897" s="360"/>
      <c r="Q1897" s="351"/>
    </row>
    <row r="1898" spans="15:17">
      <c r="O1898" s="360"/>
      <c r="Q1898" s="351"/>
    </row>
    <row r="1899" spans="15:17">
      <c r="O1899" s="360"/>
      <c r="Q1899" s="351"/>
    </row>
    <row r="1900" spans="15:17">
      <c r="O1900" s="360"/>
      <c r="Q1900" s="351"/>
    </row>
    <row r="1901" spans="15:17">
      <c r="O1901" s="360"/>
      <c r="Q1901" s="351"/>
    </row>
    <row r="1902" spans="15:17">
      <c r="O1902" s="360"/>
      <c r="Q1902" s="351"/>
    </row>
    <row r="1903" spans="15:17">
      <c r="O1903" s="360"/>
      <c r="Q1903" s="351"/>
    </row>
    <row r="1904" spans="15:17">
      <c r="O1904" s="360"/>
      <c r="Q1904" s="351"/>
    </row>
    <row r="1905" spans="15:17">
      <c r="O1905" s="360"/>
      <c r="Q1905" s="351"/>
    </row>
    <row r="1906" spans="15:17">
      <c r="O1906" s="360"/>
      <c r="Q1906" s="351"/>
    </row>
    <row r="1907" spans="15:17">
      <c r="O1907" s="360"/>
      <c r="Q1907" s="351"/>
    </row>
    <row r="1908" spans="15:17">
      <c r="O1908" s="360"/>
      <c r="Q1908" s="351"/>
    </row>
    <row r="1909" spans="15:17">
      <c r="O1909" s="360"/>
      <c r="Q1909" s="351"/>
    </row>
    <row r="1910" spans="15:17">
      <c r="O1910" s="360"/>
      <c r="Q1910" s="351"/>
    </row>
    <row r="1911" spans="15:17">
      <c r="O1911" s="360"/>
      <c r="Q1911" s="351"/>
    </row>
    <row r="1912" spans="15:17">
      <c r="O1912" s="360"/>
      <c r="Q1912" s="351"/>
    </row>
    <row r="1913" spans="15:17">
      <c r="O1913" s="360"/>
      <c r="Q1913" s="351"/>
    </row>
    <row r="1914" spans="15:17">
      <c r="O1914" s="360"/>
      <c r="Q1914" s="351"/>
    </row>
    <row r="1915" spans="15:17">
      <c r="O1915" s="360"/>
      <c r="Q1915" s="351"/>
    </row>
    <row r="1916" spans="15:17">
      <c r="O1916" s="360"/>
      <c r="Q1916" s="351"/>
    </row>
    <row r="1917" spans="15:17">
      <c r="O1917" s="360"/>
      <c r="Q1917" s="351"/>
    </row>
    <row r="1918" spans="15:17">
      <c r="O1918" s="360"/>
      <c r="Q1918" s="351"/>
    </row>
    <row r="1919" spans="15:17">
      <c r="O1919" s="360"/>
      <c r="Q1919" s="351"/>
    </row>
    <row r="1920" spans="15:17">
      <c r="O1920" s="360"/>
      <c r="Q1920" s="351"/>
    </row>
    <row r="1921" spans="15:17">
      <c r="O1921" s="360"/>
      <c r="Q1921" s="351"/>
    </row>
    <row r="1922" spans="15:17">
      <c r="O1922" s="360"/>
      <c r="Q1922" s="351"/>
    </row>
    <row r="1923" spans="15:17">
      <c r="O1923" s="360"/>
      <c r="Q1923" s="351"/>
    </row>
    <row r="1924" spans="15:17">
      <c r="O1924" s="360"/>
      <c r="Q1924" s="351"/>
    </row>
    <row r="1925" spans="15:17">
      <c r="O1925" s="360"/>
      <c r="Q1925" s="351"/>
    </row>
    <row r="1926" spans="15:17">
      <c r="O1926" s="360"/>
      <c r="Q1926" s="351"/>
    </row>
    <row r="1927" spans="15:17">
      <c r="O1927" s="360"/>
      <c r="Q1927" s="351"/>
    </row>
    <row r="1928" spans="15:17">
      <c r="O1928" s="360"/>
      <c r="Q1928" s="351"/>
    </row>
    <row r="1929" spans="15:17">
      <c r="O1929" s="360"/>
      <c r="Q1929" s="351"/>
    </row>
    <row r="1930" spans="15:17">
      <c r="O1930" s="360"/>
      <c r="Q1930" s="351"/>
    </row>
    <row r="1931" spans="15:17">
      <c r="O1931" s="360"/>
      <c r="Q1931" s="351"/>
    </row>
    <row r="1932" spans="15:17">
      <c r="O1932" s="360"/>
      <c r="Q1932" s="351"/>
    </row>
    <row r="1933" spans="15:17">
      <c r="O1933" s="360"/>
      <c r="Q1933" s="351"/>
    </row>
    <row r="1934" spans="15:17">
      <c r="O1934" s="360"/>
      <c r="Q1934" s="351"/>
    </row>
    <row r="1935" spans="15:17">
      <c r="O1935" s="360"/>
      <c r="Q1935" s="351"/>
    </row>
    <row r="1936" spans="15:17">
      <c r="O1936" s="360"/>
      <c r="Q1936" s="351"/>
    </row>
    <row r="1937" spans="15:17">
      <c r="O1937" s="360"/>
      <c r="Q1937" s="351"/>
    </row>
    <row r="1938" spans="15:17">
      <c r="O1938" s="360"/>
      <c r="Q1938" s="351"/>
    </row>
    <row r="1939" spans="15:17">
      <c r="O1939" s="360"/>
      <c r="Q1939" s="351"/>
    </row>
    <row r="1940" spans="15:17">
      <c r="O1940" s="360"/>
      <c r="Q1940" s="351"/>
    </row>
    <row r="1941" spans="15:17">
      <c r="O1941" s="360"/>
      <c r="Q1941" s="351"/>
    </row>
    <row r="1942" spans="15:17">
      <c r="O1942" s="360"/>
      <c r="Q1942" s="351"/>
    </row>
    <row r="1943" spans="15:17">
      <c r="O1943" s="360"/>
      <c r="Q1943" s="351"/>
    </row>
    <row r="1944" spans="15:17">
      <c r="O1944" s="360"/>
      <c r="Q1944" s="351"/>
    </row>
    <row r="1945" spans="15:17">
      <c r="O1945" s="360"/>
      <c r="Q1945" s="351"/>
    </row>
    <row r="1946" spans="15:17">
      <c r="O1946" s="360"/>
      <c r="Q1946" s="351"/>
    </row>
    <row r="1947" spans="15:17">
      <c r="O1947" s="360"/>
      <c r="Q1947" s="351"/>
    </row>
    <row r="1948" spans="15:17">
      <c r="O1948" s="360"/>
      <c r="Q1948" s="351"/>
    </row>
    <row r="1949" spans="15:17">
      <c r="O1949" s="360"/>
      <c r="Q1949" s="351"/>
    </row>
    <row r="1950" spans="15:17">
      <c r="O1950" s="360"/>
      <c r="Q1950" s="351"/>
    </row>
    <row r="1951" spans="15:17">
      <c r="O1951" s="360"/>
      <c r="Q1951" s="351"/>
    </row>
    <row r="1952" spans="15:17">
      <c r="O1952" s="360"/>
      <c r="Q1952" s="351"/>
    </row>
    <row r="1953" spans="15:17">
      <c r="O1953" s="360"/>
      <c r="Q1953" s="351"/>
    </row>
    <row r="1954" spans="15:17">
      <c r="O1954" s="360"/>
      <c r="Q1954" s="351"/>
    </row>
    <row r="1955" spans="15:17">
      <c r="O1955" s="360"/>
      <c r="Q1955" s="351"/>
    </row>
    <row r="1956" spans="15:17">
      <c r="O1956" s="360"/>
      <c r="Q1956" s="351"/>
    </row>
    <row r="1957" spans="15:17">
      <c r="O1957" s="360"/>
      <c r="Q1957" s="351"/>
    </row>
    <row r="1958" spans="15:17">
      <c r="O1958" s="360"/>
      <c r="Q1958" s="351"/>
    </row>
    <row r="1959" spans="15:17">
      <c r="O1959" s="360"/>
      <c r="Q1959" s="351"/>
    </row>
    <row r="1960" spans="15:17">
      <c r="O1960" s="360"/>
      <c r="Q1960" s="351"/>
    </row>
    <row r="1961" spans="15:17">
      <c r="O1961" s="360"/>
      <c r="Q1961" s="351"/>
    </row>
    <row r="1962" spans="15:17">
      <c r="O1962" s="360"/>
      <c r="Q1962" s="351"/>
    </row>
    <row r="1963" spans="15:17">
      <c r="O1963" s="360"/>
      <c r="Q1963" s="351"/>
    </row>
    <row r="1964" spans="15:17">
      <c r="O1964" s="360"/>
      <c r="Q1964" s="351"/>
    </row>
    <row r="1965" spans="15:17">
      <c r="O1965" s="360"/>
      <c r="Q1965" s="351"/>
    </row>
    <row r="1966" spans="15:17">
      <c r="O1966" s="360"/>
      <c r="Q1966" s="351"/>
    </row>
    <row r="1967" spans="15:17">
      <c r="O1967" s="360"/>
      <c r="Q1967" s="351"/>
    </row>
    <row r="1968" spans="15:17">
      <c r="O1968" s="360"/>
      <c r="Q1968" s="351"/>
    </row>
    <row r="1969" spans="15:17">
      <c r="O1969" s="360"/>
      <c r="Q1969" s="351"/>
    </row>
    <row r="1970" spans="15:17">
      <c r="O1970" s="360"/>
      <c r="Q1970" s="351"/>
    </row>
    <row r="1971" spans="15:17">
      <c r="O1971" s="360"/>
      <c r="Q1971" s="351"/>
    </row>
    <row r="1972" spans="15:17">
      <c r="O1972" s="360"/>
      <c r="Q1972" s="351"/>
    </row>
    <row r="1973" spans="15:17">
      <c r="O1973" s="360"/>
      <c r="Q1973" s="351"/>
    </row>
    <row r="1974" spans="15:17">
      <c r="O1974" s="360"/>
      <c r="Q1974" s="351"/>
    </row>
    <row r="1975" spans="15:17">
      <c r="O1975" s="360"/>
      <c r="Q1975" s="351"/>
    </row>
    <row r="1976" spans="15:17">
      <c r="O1976" s="360"/>
      <c r="Q1976" s="351"/>
    </row>
    <row r="1977" spans="15:17">
      <c r="O1977" s="360"/>
      <c r="Q1977" s="351"/>
    </row>
    <row r="1978" spans="15:17">
      <c r="O1978" s="360"/>
      <c r="Q1978" s="351"/>
    </row>
    <row r="1979" spans="15:17">
      <c r="O1979" s="360"/>
      <c r="Q1979" s="351"/>
    </row>
    <row r="1980" spans="15:17">
      <c r="O1980" s="360"/>
      <c r="Q1980" s="351"/>
    </row>
    <row r="1981" spans="15:17">
      <c r="O1981" s="360"/>
      <c r="Q1981" s="351"/>
    </row>
    <row r="1982" spans="15:17">
      <c r="O1982" s="360"/>
      <c r="Q1982" s="351"/>
    </row>
    <row r="1983" spans="15:17">
      <c r="O1983" s="360"/>
      <c r="Q1983" s="351"/>
    </row>
    <row r="1984" spans="15:17">
      <c r="O1984" s="360"/>
      <c r="Q1984" s="351"/>
    </row>
    <row r="1985" spans="15:17">
      <c r="O1985" s="360"/>
      <c r="Q1985" s="351"/>
    </row>
    <row r="1986" spans="15:17">
      <c r="O1986" s="360"/>
      <c r="Q1986" s="351"/>
    </row>
    <row r="1987" spans="15:17">
      <c r="O1987" s="360"/>
      <c r="Q1987" s="351"/>
    </row>
    <row r="1988" spans="15:17">
      <c r="O1988" s="360"/>
      <c r="Q1988" s="351"/>
    </row>
    <row r="1989" spans="15:17">
      <c r="O1989" s="360"/>
      <c r="Q1989" s="351"/>
    </row>
    <row r="1990" spans="15:17">
      <c r="O1990" s="360"/>
      <c r="Q1990" s="351"/>
    </row>
    <row r="1991" spans="15:17">
      <c r="O1991" s="360"/>
      <c r="Q1991" s="351"/>
    </row>
    <row r="1992" spans="15:17">
      <c r="O1992" s="360"/>
      <c r="Q1992" s="351"/>
    </row>
    <row r="1993" spans="15:17">
      <c r="O1993" s="360"/>
      <c r="Q1993" s="351"/>
    </row>
    <row r="1994" spans="15:17">
      <c r="O1994" s="360"/>
      <c r="Q1994" s="351"/>
    </row>
    <row r="1995" spans="15:17">
      <c r="O1995" s="360"/>
      <c r="Q1995" s="351"/>
    </row>
    <row r="1996" spans="15:17">
      <c r="O1996" s="360"/>
      <c r="Q1996" s="351"/>
    </row>
    <row r="1997" spans="15:17">
      <c r="O1997" s="360"/>
      <c r="Q1997" s="351"/>
    </row>
    <row r="1998" spans="15:17">
      <c r="O1998" s="360"/>
      <c r="Q1998" s="351"/>
    </row>
    <row r="1999" spans="15:17">
      <c r="O1999" s="360"/>
      <c r="Q1999" s="351"/>
    </row>
    <row r="2000" spans="15:17">
      <c r="O2000" s="360"/>
      <c r="Q2000" s="351"/>
    </row>
    <row r="2001" spans="15:17">
      <c r="O2001" s="360"/>
      <c r="Q2001" s="351"/>
    </row>
    <row r="2002" spans="15:17">
      <c r="O2002" s="360"/>
      <c r="Q2002" s="351"/>
    </row>
    <row r="2003" spans="15:17">
      <c r="O2003" s="360"/>
      <c r="Q2003" s="351"/>
    </row>
    <row r="2004" spans="15:17">
      <c r="O2004" s="360"/>
      <c r="Q2004" s="351"/>
    </row>
    <row r="2005" spans="15:17">
      <c r="O2005" s="360"/>
      <c r="Q2005" s="351"/>
    </row>
    <row r="2006" spans="15:17">
      <c r="O2006" s="360"/>
      <c r="Q2006" s="351"/>
    </row>
    <row r="2007" spans="15:17">
      <c r="O2007" s="360"/>
      <c r="Q2007" s="351"/>
    </row>
    <row r="2008" spans="15:17">
      <c r="O2008" s="360"/>
      <c r="Q2008" s="351"/>
    </row>
    <row r="2009" spans="15:17">
      <c r="O2009" s="360"/>
      <c r="Q2009" s="351"/>
    </row>
    <row r="2010" spans="15:17">
      <c r="O2010" s="360"/>
      <c r="Q2010" s="351"/>
    </row>
    <row r="2011" spans="15:17">
      <c r="O2011" s="360"/>
      <c r="Q2011" s="351"/>
    </row>
    <row r="2012" spans="15:17">
      <c r="O2012" s="360"/>
      <c r="Q2012" s="351"/>
    </row>
    <row r="2013" spans="15:17">
      <c r="O2013" s="360"/>
      <c r="Q2013" s="351"/>
    </row>
    <row r="2014" spans="15:17">
      <c r="O2014" s="360"/>
      <c r="Q2014" s="351"/>
    </row>
    <row r="2015" spans="15:17">
      <c r="O2015" s="360"/>
      <c r="Q2015" s="351"/>
    </row>
    <row r="2016" spans="15:17">
      <c r="O2016" s="360"/>
      <c r="Q2016" s="351"/>
    </row>
    <row r="2017" spans="15:17">
      <c r="O2017" s="360"/>
      <c r="Q2017" s="351"/>
    </row>
    <row r="2018" spans="15:17">
      <c r="O2018" s="360"/>
      <c r="Q2018" s="351"/>
    </row>
    <row r="2019" spans="15:17">
      <c r="O2019" s="360"/>
      <c r="Q2019" s="351"/>
    </row>
    <row r="2020" spans="15:17">
      <c r="O2020" s="360"/>
      <c r="Q2020" s="351"/>
    </row>
    <row r="2021" spans="15:17">
      <c r="O2021" s="360"/>
      <c r="Q2021" s="351"/>
    </row>
    <row r="2022" spans="15:17">
      <c r="O2022" s="360"/>
      <c r="Q2022" s="351"/>
    </row>
    <row r="2023" spans="15:17">
      <c r="O2023" s="360"/>
      <c r="Q2023" s="351"/>
    </row>
    <row r="2024" spans="15:17">
      <c r="O2024" s="360"/>
      <c r="Q2024" s="351"/>
    </row>
    <row r="2025" spans="15:17">
      <c r="O2025" s="360"/>
      <c r="Q2025" s="351"/>
    </row>
    <row r="2026" spans="15:17">
      <c r="O2026" s="360"/>
      <c r="Q2026" s="351"/>
    </row>
    <row r="2027" spans="15:17">
      <c r="O2027" s="360"/>
      <c r="Q2027" s="351"/>
    </row>
    <row r="2028" spans="15:17">
      <c r="O2028" s="360"/>
      <c r="Q2028" s="351"/>
    </row>
    <row r="2029" spans="15:17">
      <c r="O2029" s="360"/>
      <c r="Q2029" s="351"/>
    </row>
    <row r="2030" spans="15:17">
      <c r="O2030" s="360"/>
      <c r="Q2030" s="351"/>
    </row>
    <row r="2031" spans="15:17">
      <c r="O2031" s="360"/>
      <c r="Q2031" s="351"/>
    </row>
    <row r="2032" spans="15:17">
      <c r="O2032" s="360"/>
      <c r="Q2032" s="351"/>
    </row>
    <row r="2033" spans="15:17">
      <c r="O2033" s="360"/>
      <c r="Q2033" s="351"/>
    </row>
    <row r="2034" spans="15:17">
      <c r="O2034" s="360"/>
      <c r="Q2034" s="351"/>
    </row>
    <row r="2035" spans="15:17">
      <c r="O2035" s="360"/>
      <c r="Q2035" s="351"/>
    </row>
    <row r="2036" spans="15:17">
      <c r="O2036" s="360"/>
      <c r="Q2036" s="351"/>
    </row>
    <row r="2037" spans="15:17">
      <c r="O2037" s="360"/>
      <c r="Q2037" s="351"/>
    </row>
    <row r="2038" spans="15:17">
      <c r="O2038" s="360"/>
      <c r="Q2038" s="351"/>
    </row>
    <row r="2039" spans="15:17">
      <c r="O2039" s="360"/>
      <c r="Q2039" s="351"/>
    </row>
    <row r="2040" spans="15:17">
      <c r="O2040" s="360"/>
      <c r="Q2040" s="351"/>
    </row>
    <row r="2041" spans="15:17">
      <c r="O2041" s="360"/>
      <c r="Q2041" s="351"/>
    </row>
    <row r="2042" spans="15:17">
      <c r="O2042" s="360"/>
      <c r="Q2042" s="351"/>
    </row>
    <row r="2043" spans="15:17">
      <c r="O2043" s="360"/>
      <c r="Q2043" s="351"/>
    </row>
    <row r="2044" spans="15:17">
      <c r="O2044" s="360"/>
      <c r="Q2044" s="351"/>
    </row>
    <row r="2045" spans="15:17">
      <c r="O2045" s="360"/>
      <c r="Q2045" s="351"/>
    </row>
    <row r="2046" spans="15:17">
      <c r="O2046" s="360"/>
      <c r="Q2046" s="351"/>
    </row>
    <row r="2047" spans="15:17">
      <c r="O2047" s="360"/>
      <c r="Q2047" s="351"/>
    </row>
    <row r="2048" spans="15:17">
      <c r="O2048" s="360"/>
      <c r="Q2048" s="351"/>
    </row>
    <row r="2049" spans="15:17">
      <c r="O2049" s="360"/>
      <c r="Q2049" s="351"/>
    </row>
    <row r="2050" spans="15:17">
      <c r="O2050" s="360"/>
      <c r="Q2050" s="351"/>
    </row>
    <row r="2051" spans="15:17">
      <c r="O2051" s="360"/>
      <c r="Q2051" s="351"/>
    </row>
    <row r="2052" spans="15:17">
      <c r="O2052" s="360"/>
      <c r="Q2052" s="351"/>
    </row>
    <row r="2053" spans="15:17">
      <c r="O2053" s="360"/>
      <c r="Q2053" s="351"/>
    </row>
    <row r="2054" spans="15:17">
      <c r="O2054" s="360"/>
      <c r="Q2054" s="351"/>
    </row>
    <row r="2055" spans="15:17">
      <c r="O2055" s="360"/>
      <c r="Q2055" s="351"/>
    </row>
    <row r="2056" spans="15:17">
      <c r="O2056" s="360"/>
      <c r="Q2056" s="351"/>
    </row>
    <row r="2057" spans="15:17">
      <c r="O2057" s="360"/>
      <c r="Q2057" s="351"/>
    </row>
    <row r="2058" spans="15:17">
      <c r="O2058" s="360"/>
      <c r="Q2058" s="351"/>
    </row>
    <row r="2059" spans="15:17">
      <c r="O2059" s="360"/>
      <c r="Q2059" s="351"/>
    </row>
    <row r="2060" spans="15:17">
      <c r="O2060" s="360"/>
      <c r="Q2060" s="351"/>
    </row>
    <row r="2061" spans="15:17">
      <c r="O2061" s="360"/>
      <c r="Q2061" s="351"/>
    </row>
    <row r="2062" spans="15:17">
      <c r="O2062" s="360"/>
      <c r="Q2062" s="351"/>
    </row>
    <row r="2063" spans="15:17">
      <c r="O2063" s="360"/>
      <c r="Q2063" s="351"/>
    </row>
    <row r="2064" spans="15:17">
      <c r="O2064" s="360"/>
      <c r="Q2064" s="351"/>
    </row>
    <row r="2065" spans="15:17">
      <c r="O2065" s="360"/>
      <c r="Q2065" s="351"/>
    </row>
    <row r="2066" spans="15:17">
      <c r="O2066" s="360"/>
      <c r="Q2066" s="351"/>
    </row>
    <row r="2067" spans="15:17">
      <c r="O2067" s="360"/>
      <c r="Q2067" s="351"/>
    </row>
    <row r="2068" spans="15:17">
      <c r="O2068" s="360"/>
      <c r="Q2068" s="351"/>
    </row>
    <row r="2069" spans="15:17">
      <c r="O2069" s="360"/>
      <c r="Q2069" s="351"/>
    </row>
    <row r="2070" spans="15:17">
      <c r="O2070" s="360"/>
      <c r="Q2070" s="351"/>
    </row>
    <row r="2071" spans="15:17">
      <c r="O2071" s="360"/>
      <c r="Q2071" s="351"/>
    </row>
    <row r="2072" spans="15:17">
      <c r="O2072" s="360"/>
      <c r="Q2072" s="351"/>
    </row>
    <row r="2073" spans="15:17">
      <c r="O2073" s="360"/>
      <c r="Q2073" s="351"/>
    </row>
    <row r="2074" spans="15:17">
      <c r="O2074" s="360"/>
      <c r="Q2074" s="351"/>
    </row>
    <row r="2075" spans="15:17">
      <c r="O2075" s="360"/>
      <c r="Q2075" s="351"/>
    </row>
    <row r="2076" spans="15:17">
      <c r="O2076" s="360"/>
      <c r="Q2076" s="351"/>
    </row>
    <row r="2077" spans="15:17">
      <c r="O2077" s="360"/>
      <c r="Q2077" s="351"/>
    </row>
    <row r="2078" spans="15:17">
      <c r="O2078" s="360"/>
      <c r="Q2078" s="351"/>
    </row>
    <row r="2079" spans="15:17">
      <c r="O2079" s="360"/>
      <c r="Q2079" s="351"/>
    </row>
    <row r="2080" spans="15:17">
      <c r="O2080" s="360"/>
      <c r="Q2080" s="351"/>
    </row>
    <row r="2081" spans="15:17">
      <c r="O2081" s="360"/>
      <c r="Q2081" s="351"/>
    </row>
    <row r="2082" spans="15:17">
      <c r="O2082" s="360"/>
      <c r="Q2082" s="351"/>
    </row>
    <row r="2083" spans="15:17">
      <c r="O2083" s="360"/>
      <c r="Q2083" s="351"/>
    </row>
    <row r="2084" spans="15:17">
      <c r="O2084" s="360"/>
      <c r="Q2084" s="351"/>
    </row>
    <row r="2085" spans="15:17">
      <c r="O2085" s="360"/>
      <c r="Q2085" s="351"/>
    </row>
    <row r="2086" spans="15:17">
      <c r="O2086" s="360"/>
      <c r="Q2086" s="351"/>
    </row>
    <row r="2087" spans="15:17">
      <c r="O2087" s="360"/>
      <c r="Q2087" s="351"/>
    </row>
    <row r="2088" spans="15:17">
      <c r="O2088" s="360"/>
      <c r="Q2088" s="351"/>
    </row>
    <row r="2089" spans="15:17">
      <c r="O2089" s="360"/>
      <c r="Q2089" s="351"/>
    </row>
    <row r="2090" spans="15:17">
      <c r="O2090" s="360"/>
      <c r="Q2090" s="351"/>
    </row>
    <row r="2091" spans="15:17">
      <c r="O2091" s="360"/>
      <c r="Q2091" s="351"/>
    </row>
    <row r="2092" spans="15:17">
      <c r="O2092" s="360"/>
      <c r="Q2092" s="351"/>
    </row>
    <row r="2093" spans="15:17">
      <c r="O2093" s="360"/>
      <c r="Q2093" s="351"/>
    </row>
    <row r="2094" spans="15:17">
      <c r="O2094" s="360"/>
      <c r="Q2094" s="351"/>
    </row>
    <row r="2095" spans="15:17">
      <c r="O2095" s="360"/>
      <c r="Q2095" s="351"/>
    </row>
    <row r="2096" spans="15:17">
      <c r="O2096" s="360"/>
      <c r="Q2096" s="351"/>
    </row>
    <row r="2097" spans="15:17">
      <c r="O2097" s="360"/>
      <c r="Q2097" s="351"/>
    </row>
    <row r="2098" spans="15:17">
      <c r="O2098" s="360"/>
      <c r="Q2098" s="351"/>
    </row>
    <row r="2099" spans="15:17">
      <c r="O2099" s="360"/>
      <c r="Q2099" s="351"/>
    </row>
    <row r="2100" spans="15:17">
      <c r="O2100" s="360"/>
      <c r="Q2100" s="351"/>
    </row>
    <row r="2101" spans="15:17">
      <c r="O2101" s="360"/>
      <c r="Q2101" s="351"/>
    </row>
    <row r="2102" spans="15:17">
      <c r="O2102" s="360"/>
      <c r="Q2102" s="351"/>
    </row>
    <row r="2103" spans="15:17">
      <c r="O2103" s="360"/>
      <c r="Q2103" s="351"/>
    </row>
    <row r="2104" spans="15:17">
      <c r="O2104" s="360"/>
      <c r="Q2104" s="351"/>
    </row>
    <row r="2105" spans="15:17">
      <c r="O2105" s="360"/>
      <c r="Q2105" s="351"/>
    </row>
    <row r="2106" spans="15:17">
      <c r="O2106" s="360"/>
      <c r="Q2106" s="351"/>
    </row>
    <row r="2107" spans="15:17">
      <c r="O2107" s="360"/>
      <c r="Q2107" s="351"/>
    </row>
    <row r="2108" spans="15:17">
      <c r="O2108" s="360"/>
      <c r="Q2108" s="351"/>
    </row>
    <row r="2109" spans="15:17">
      <c r="O2109" s="360"/>
      <c r="Q2109" s="351"/>
    </row>
    <row r="2110" spans="15:17">
      <c r="O2110" s="360"/>
      <c r="Q2110" s="351"/>
    </row>
    <row r="2111" spans="15:17">
      <c r="O2111" s="360"/>
      <c r="Q2111" s="351"/>
    </row>
    <row r="2112" spans="15:17">
      <c r="O2112" s="360"/>
      <c r="Q2112" s="351"/>
    </row>
    <row r="2113" spans="15:17">
      <c r="O2113" s="360"/>
      <c r="Q2113" s="351"/>
    </row>
    <row r="2114" spans="15:17">
      <c r="O2114" s="360"/>
      <c r="Q2114" s="351"/>
    </row>
    <row r="2115" spans="15:17">
      <c r="O2115" s="360"/>
      <c r="Q2115" s="351"/>
    </row>
    <row r="2116" spans="15:17">
      <c r="O2116" s="360"/>
      <c r="Q2116" s="351"/>
    </row>
    <row r="2117" spans="15:17">
      <c r="O2117" s="360"/>
      <c r="Q2117" s="351"/>
    </row>
    <row r="2118" spans="15:17">
      <c r="O2118" s="360"/>
      <c r="Q2118" s="351"/>
    </row>
    <row r="2119" spans="15:17">
      <c r="O2119" s="360"/>
      <c r="Q2119" s="351"/>
    </row>
    <row r="2120" spans="15:17">
      <c r="O2120" s="360"/>
      <c r="Q2120" s="351"/>
    </row>
    <row r="2121" spans="15:17">
      <c r="O2121" s="360"/>
      <c r="Q2121" s="351"/>
    </row>
    <row r="2122" spans="15:17">
      <c r="O2122" s="360"/>
      <c r="Q2122" s="351"/>
    </row>
    <row r="2123" spans="15:17">
      <c r="O2123" s="360"/>
      <c r="Q2123" s="351"/>
    </row>
    <row r="2124" spans="15:17">
      <c r="O2124" s="360"/>
      <c r="Q2124" s="351"/>
    </row>
    <row r="2125" spans="15:17">
      <c r="O2125" s="360"/>
      <c r="Q2125" s="351"/>
    </row>
    <row r="2126" spans="15:17">
      <c r="O2126" s="360"/>
      <c r="Q2126" s="351"/>
    </row>
    <row r="2127" spans="15:17">
      <c r="O2127" s="360"/>
      <c r="Q2127" s="351"/>
    </row>
    <row r="2128" spans="15:17">
      <c r="O2128" s="360"/>
      <c r="Q2128" s="351"/>
    </row>
    <row r="2129" spans="15:17">
      <c r="O2129" s="360"/>
      <c r="Q2129" s="351"/>
    </row>
    <row r="2130" spans="15:17">
      <c r="O2130" s="360"/>
      <c r="Q2130" s="351"/>
    </row>
    <row r="2131" spans="15:17">
      <c r="O2131" s="360"/>
      <c r="Q2131" s="351"/>
    </row>
    <row r="2132" spans="15:17">
      <c r="O2132" s="360"/>
      <c r="Q2132" s="351"/>
    </row>
    <row r="2133" spans="15:17">
      <c r="O2133" s="360"/>
      <c r="Q2133" s="351"/>
    </row>
    <row r="2134" spans="15:17">
      <c r="O2134" s="360"/>
      <c r="Q2134" s="351"/>
    </row>
    <row r="2135" spans="15:17">
      <c r="O2135" s="360"/>
      <c r="Q2135" s="351"/>
    </row>
    <row r="2136" spans="15:17">
      <c r="O2136" s="360"/>
      <c r="Q2136" s="351"/>
    </row>
    <row r="2137" spans="15:17">
      <c r="O2137" s="360"/>
      <c r="Q2137" s="351"/>
    </row>
    <row r="2138" spans="15:17">
      <c r="O2138" s="360"/>
      <c r="Q2138" s="351"/>
    </row>
    <row r="2139" spans="15:17">
      <c r="O2139" s="360"/>
      <c r="Q2139" s="351"/>
    </row>
    <row r="2140" spans="15:17">
      <c r="O2140" s="360"/>
      <c r="Q2140" s="351"/>
    </row>
    <row r="2141" spans="15:17">
      <c r="O2141" s="360"/>
      <c r="Q2141" s="351"/>
    </row>
    <row r="2142" spans="15:17">
      <c r="O2142" s="360"/>
      <c r="Q2142" s="351"/>
    </row>
    <row r="2143" spans="15:17">
      <c r="O2143" s="360"/>
      <c r="Q2143" s="351"/>
    </row>
    <row r="2144" spans="15:17">
      <c r="O2144" s="360"/>
      <c r="Q2144" s="351"/>
    </row>
    <row r="2145" spans="15:17">
      <c r="O2145" s="360"/>
      <c r="Q2145" s="351"/>
    </row>
    <row r="2146" spans="15:17">
      <c r="O2146" s="360"/>
      <c r="Q2146" s="351"/>
    </row>
    <row r="2147" spans="15:17">
      <c r="O2147" s="360"/>
      <c r="Q2147" s="351"/>
    </row>
    <row r="2148" spans="15:17">
      <c r="O2148" s="360"/>
      <c r="Q2148" s="351"/>
    </row>
    <row r="2149" spans="15:17">
      <c r="O2149" s="360"/>
      <c r="Q2149" s="351"/>
    </row>
    <row r="2150" spans="15:17">
      <c r="O2150" s="360"/>
      <c r="Q2150" s="351"/>
    </row>
    <row r="2151" spans="15:17">
      <c r="O2151" s="360"/>
      <c r="Q2151" s="351"/>
    </row>
    <row r="2152" spans="15:17">
      <c r="O2152" s="360"/>
      <c r="Q2152" s="351"/>
    </row>
    <row r="2153" spans="15:17">
      <c r="O2153" s="360"/>
      <c r="Q2153" s="351"/>
    </row>
    <row r="2154" spans="15:17">
      <c r="O2154" s="360"/>
      <c r="Q2154" s="351"/>
    </row>
    <row r="2155" spans="15:17">
      <c r="O2155" s="360"/>
      <c r="Q2155" s="351"/>
    </row>
    <row r="2156" spans="15:17">
      <c r="O2156" s="360"/>
      <c r="Q2156" s="351"/>
    </row>
    <row r="2157" spans="15:17">
      <c r="O2157" s="360"/>
      <c r="Q2157" s="351"/>
    </row>
    <row r="2158" spans="15:17">
      <c r="O2158" s="360"/>
      <c r="Q2158" s="351"/>
    </row>
    <row r="2159" spans="15:17">
      <c r="O2159" s="360"/>
      <c r="Q2159" s="351"/>
    </row>
    <row r="2160" spans="15:17">
      <c r="O2160" s="360"/>
      <c r="Q2160" s="351"/>
    </row>
    <row r="2161" spans="15:17">
      <c r="O2161" s="360"/>
      <c r="Q2161" s="351"/>
    </row>
    <row r="2162" spans="15:17">
      <c r="O2162" s="360"/>
      <c r="Q2162" s="351"/>
    </row>
    <row r="2163" spans="15:17">
      <c r="O2163" s="360"/>
      <c r="Q2163" s="351"/>
    </row>
    <row r="2164" spans="15:17">
      <c r="O2164" s="360"/>
      <c r="Q2164" s="351"/>
    </row>
    <row r="2165" spans="15:17">
      <c r="O2165" s="360"/>
      <c r="Q2165" s="351"/>
    </row>
    <row r="2166" spans="15:17">
      <c r="O2166" s="360"/>
      <c r="Q2166" s="351"/>
    </row>
    <row r="2167" spans="15:17">
      <c r="O2167" s="360"/>
      <c r="Q2167" s="351"/>
    </row>
    <row r="2168" spans="15:17">
      <c r="O2168" s="360"/>
      <c r="Q2168" s="351"/>
    </row>
    <row r="2169" spans="15:17">
      <c r="O2169" s="360"/>
      <c r="Q2169" s="351"/>
    </row>
    <row r="2170" spans="15:17">
      <c r="O2170" s="360"/>
      <c r="Q2170" s="351"/>
    </row>
    <row r="2171" spans="15:17">
      <c r="O2171" s="360"/>
      <c r="Q2171" s="351"/>
    </row>
    <row r="2172" spans="15:17">
      <c r="O2172" s="360"/>
      <c r="Q2172" s="351"/>
    </row>
    <row r="2173" spans="15:17">
      <c r="O2173" s="360"/>
      <c r="Q2173" s="351"/>
    </row>
    <row r="2174" spans="15:17">
      <c r="O2174" s="360"/>
      <c r="Q2174" s="351"/>
    </row>
    <row r="2175" spans="15:17">
      <c r="O2175" s="360"/>
      <c r="Q2175" s="351"/>
    </row>
    <row r="2176" spans="15:17">
      <c r="O2176" s="360"/>
      <c r="Q2176" s="351"/>
    </row>
    <row r="2177" spans="15:17">
      <c r="O2177" s="360"/>
      <c r="Q2177" s="351"/>
    </row>
    <row r="2178" spans="15:17">
      <c r="O2178" s="360"/>
      <c r="Q2178" s="351"/>
    </row>
    <row r="2179" spans="15:17">
      <c r="O2179" s="360"/>
      <c r="Q2179" s="351"/>
    </row>
    <row r="2180" spans="15:17">
      <c r="O2180" s="360"/>
      <c r="Q2180" s="351"/>
    </row>
    <row r="2181" spans="15:17">
      <c r="O2181" s="360"/>
      <c r="Q2181" s="351"/>
    </row>
    <row r="2182" spans="15:17">
      <c r="O2182" s="360"/>
      <c r="Q2182" s="351"/>
    </row>
    <row r="2183" spans="15:17">
      <c r="O2183" s="360"/>
      <c r="Q2183" s="351"/>
    </row>
    <row r="2184" spans="15:17">
      <c r="O2184" s="360"/>
      <c r="Q2184" s="351"/>
    </row>
    <row r="2185" spans="15:17">
      <c r="O2185" s="360"/>
      <c r="Q2185" s="351"/>
    </row>
    <row r="2186" spans="15:17">
      <c r="O2186" s="360"/>
      <c r="Q2186" s="351"/>
    </row>
    <row r="2187" spans="15:17">
      <c r="O2187" s="360"/>
      <c r="Q2187" s="351"/>
    </row>
    <row r="2188" spans="15:17">
      <c r="O2188" s="360"/>
      <c r="Q2188" s="351"/>
    </row>
    <row r="2189" spans="15:17">
      <c r="O2189" s="360"/>
      <c r="Q2189" s="351"/>
    </row>
    <row r="2190" spans="15:17">
      <c r="O2190" s="360"/>
      <c r="Q2190" s="351"/>
    </row>
    <row r="2191" spans="15:17">
      <c r="O2191" s="360"/>
      <c r="Q2191" s="351"/>
    </row>
    <row r="2192" spans="15:17">
      <c r="O2192" s="360"/>
      <c r="Q2192" s="351"/>
    </row>
    <row r="2193" spans="15:17">
      <c r="O2193" s="360"/>
      <c r="Q2193" s="351"/>
    </row>
    <row r="2194" spans="15:17">
      <c r="O2194" s="360"/>
      <c r="Q2194" s="351"/>
    </row>
    <row r="2195" spans="15:17">
      <c r="O2195" s="360"/>
      <c r="Q2195" s="351"/>
    </row>
    <row r="2196" spans="15:17">
      <c r="O2196" s="360"/>
      <c r="Q2196" s="351"/>
    </row>
    <row r="2197" spans="15:17">
      <c r="O2197" s="360"/>
      <c r="Q2197" s="351"/>
    </row>
    <row r="2198" spans="15:17">
      <c r="O2198" s="360"/>
      <c r="Q2198" s="351"/>
    </row>
    <row r="2199" spans="15:17">
      <c r="O2199" s="360"/>
      <c r="Q2199" s="351"/>
    </row>
    <row r="2200" spans="15:17">
      <c r="O2200" s="360"/>
      <c r="Q2200" s="351"/>
    </row>
    <row r="2201" spans="15:17">
      <c r="O2201" s="360"/>
      <c r="Q2201" s="351"/>
    </row>
    <row r="2202" spans="15:17">
      <c r="O2202" s="360"/>
      <c r="Q2202" s="351"/>
    </row>
    <row r="2203" spans="15:17">
      <c r="O2203" s="360"/>
      <c r="Q2203" s="351"/>
    </row>
    <row r="2204" spans="15:17">
      <c r="O2204" s="360"/>
      <c r="Q2204" s="351"/>
    </row>
    <row r="2205" spans="15:17">
      <c r="O2205" s="360"/>
      <c r="Q2205" s="351"/>
    </row>
    <row r="2206" spans="15:17">
      <c r="O2206" s="360"/>
      <c r="Q2206" s="351"/>
    </row>
    <row r="2207" spans="15:17">
      <c r="O2207" s="360"/>
      <c r="Q2207" s="351"/>
    </row>
    <row r="2208" spans="15:17">
      <c r="O2208" s="360"/>
      <c r="Q2208" s="351"/>
    </row>
    <row r="2209" spans="15:17">
      <c r="O2209" s="360"/>
      <c r="Q2209" s="351"/>
    </row>
    <row r="2210" spans="15:17">
      <c r="O2210" s="360"/>
      <c r="Q2210" s="351"/>
    </row>
    <row r="2211" spans="15:17">
      <c r="O2211" s="360"/>
      <c r="Q2211" s="351"/>
    </row>
    <row r="2212" spans="15:17">
      <c r="O2212" s="360"/>
      <c r="Q2212" s="351"/>
    </row>
    <row r="2213" spans="15:17">
      <c r="O2213" s="360"/>
      <c r="Q2213" s="351"/>
    </row>
    <row r="2214" spans="15:17">
      <c r="O2214" s="360"/>
      <c r="Q2214" s="351"/>
    </row>
    <row r="2215" spans="15:17">
      <c r="O2215" s="360"/>
      <c r="Q2215" s="351"/>
    </row>
    <row r="2216" spans="15:17">
      <c r="O2216" s="360"/>
      <c r="Q2216" s="351"/>
    </row>
    <row r="2217" spans="15:17">
      <c r="O2217" s="360"/>
      <c r="Q2217" s="351"/>
    </row>
    <row r="2218" spans="15:17">
      <c r="O2218" s="360"/>
      <c r="Q2218" s="351"/>
    </row>
    <row r="2219" spans="15:17">
      <c r="O2219" s="360"/>
      <c r="Q2219" s="351"/>
    </row>
    <row r="2220" spans="15:17">
      <c r="O2220" s="360"/>
      <c r="Q2220" s="351"/>
    </row>
    <row r="2221" spans="15:17">
      <c r="O2221" s="360"/>
      <c r="Q2221" s="351"/>
    </row>
    <row r="2222" spans="15:17">
      <c r="O2222" s="360"/>
      <c r="Q2222" s="351"/>
    </row>
    <row r="2223" spans="15:17">
      <c r="O2223" s="360"/>
      <c r="Q2223" s="351"/>
    </row>
    <row r="2224" spans="15:17">
      <c r="O2224" s="360"/>
      <c r="Q2224" s="351"/>
    </row>
    <row r="2225" spans="15:17">
      <c r="O2225" s="360"/>
      <c r="Q2225" s="351"/>
    </row>
    <row r="2226" spans="15:17">
      <c r="O2226" s="360"/>
      <c r="Q2226" s="351"/>
    </row>
    <row r="2227" spans="15:17">
      <c r="O2227" s="360"/>
      <c r="Q2227" s="351"/>
    </row>
    <row r="2228" spans="15:17">
      <c r="O2228" s="360"/>
      <c r="Q2228" s="351"/>
    </row>
    <row r="2229" spans="15:17">
      <c r="O2229" s="360"/>
      <c r="Q2229" s="351"/>
    </row>
    <row r="2230" spans="15:17">
      <c r="O2230" s="360"/>
      <c r="Q2230" s="351"/>
    </row>
    <row r="2231" spans="15:17">
      <c r="O2231" s="360"/>
      <c r="Q2231" s="351"/>
    </row>
    <row r="2232" spans="15:17">
      <c r="O2232" s="360"/>
      <c r="Q2232" s="351"/>
    </row>
    <row r="2233" spans="15:17">
      <c r="O2233" s="360"/>
      <c r="Q2233" s="351"/>
    </row>
    <row r="2234" spans="15:17">
      <c r="O2234" s="360"/>
      <c r="Q2234" s="351"/>
    </row>
    <row r="2235" spans="15:17">
      <c r="O2235" s="360"/>
      <c r="Q2235" s="351"/>
    </row>
    <row r="2236" spans="15:17">
      <c r="O2236" s="360"/>
      <c r="Q2236" s="351"/>
    </row>
    <row r="2237" spans="15:17">
      <c r="O2237" s="360"/>
      <c r="Q2237" s="351"/>
    </row>
    <row r="2238" spans="15:17">
      <c r="O2238" s="360"/>
      <c r="Q2238" s="351"/>
    </row>
    <row r="2239" spans="15:17">
      <c r="O2239" s="360"/>
      <c r="Q2239" s="351"/>
    </row>
    <row r="2240" spans="15:17">
      <c r="O2240" s="360"/>
      <c r="Q2240" s="351"/>
    </row>
    <row r="2241" spans="15:17">
      <c r="O2241" s="360"/>
      <c r="Q2241" s="351"/>
    </row>
    <row r="2242" spans="15:17">
      <c r="O2242" s="360"/>
      <c r="Q2242" s="351"/>
    </row>
    <row r="2243" spans="15:17">
      <c r="O2243" s="360"/>
      <c r="Q2243" s="351"/>
    </row>
    <row r="2244" spans="15:17">
      <c r="O2244" s="360"/>
      <c r="Q2244" s="351"/>
    </row>
    <row r="2245" spans="15:17">
      <c r="O2245" s="360"/>
      <c r="Q2245" s="351"/>
    </row>
    <row r="2246" spans="15:17">
      <c r="O2246" s="360"/>
      <c r="Q2246" s="351"/>
    </row>
    <row r="2247" spans="15:17">
      <c r="O2247" s="360"/>
      <c r="Q2247" s="351"/>
    </row>
    <row r="2248" spans="15:17">
      <c r="O2248" s="360"/>
      <c r="Q2248" s="351"/>
    </row>
    <row r="2249" spans="15:17">
      <c r="O2249" s="360"/>
      <c r="Q2249" s="351"/>
    </row>
    <row r="2250" spans="15:17">
      <c r="O2250" s="360"/>
      <c r="Q2250" s="351"/>
    </row>
    <row r="2251" spans="15:17">
      <c r="O2251" s="360"/>
      <c r="Q2251" s="351"/>
    </row>
    <row r="2252" spans="15:17">
      <c r="O2252" s="360"/>
      <c r="Q2252" s="351"/>
    </row>
    <row r="2253" spans="15:17">
      <c r="O2253" s="360"/>
      <c r="Q2253" s="351"/>
    </row>
    <row r="2254" spans="15:17">
      <c r="O2254" s="360"/>
      <c r="Q2254" s="351"/>
    </row>
    <row r="2255" spans="15:17">
      <c r="O2255" s="360"/>
      <c r="Q2255" s="351"/>
    </row>
    <row r="2256" spans="15:17">
      <c r="O2256" s="360"/>
      <c r="Q2256" s="351"/>
    </row>
    <row r="2257" spans="15:17">
      <c r="O2257" s="360"/>
      <c r="Q2257" s="351"/>
    </row>
    <row r="2258" spans="15:17">
      <c r="O2258" s="360"/>
      <c r="Q2258" s="351"/>
    </row>
    <row r="2259" spans="15:17">
      <c r="O2259" s="360"/>
      <c r="Q2259" s="351"/>
    </row>
    <row r="2260" spans="15:17">
      <c r="O2260" s="360"/>
      <c r="Q2260" s="351"/>
    </row>
    <row r="2261" spans="15:17">
      <c r="O2261" s="360"/>
      <c r="Q2261" s="351"/>
    </row>
    <row r="2262" spans="15:17">
      <c r="O2262" s="360"/>
      <c r="Q2262" s="351"/>
    </row>
    <row r="2263" spans="15:17">
      <c r="O2263" s="360"/>
      <c r="Q2263" s="351"/>
    </row>
    <row r="2264" spans="15:17">
      <c r="O2264" s="360"/>
      <c r="Q2264" s="351"/>
    </row>
    <row r="2265" spans="15:17">
      <c r="O2265" s="360"/>
      <c r="Q2265" s="351"/>
    </row>
    <row r="2266" spans="15:17">
      <c r="O2266" s="360"/>
      <c r="Q2266" s="351"/>
    </row>
    <row r="2267" spans="15:17">
      <c r="O2267" s="360"/>
      <c r="Q2267" s="351"/>
    </row>
    <row r="2268" spans="15:17">
      <c r="O2268" s="360"/>
      <c r="Q2268" s="351"/>
    </row>
    <row r="2269" spans="15:17">
      <c r="O2269" s="360"/>
      <c r="Q2269" s="351"/>
    </row>
    <row r="2270" spans="15:17">
      <c r="O2270" s="360"/>
      <c r="Q2270" s="351"/>
    </row>
    <row r="2271" spans="15:17">
      <c r="O2271" s="360"/>
      <c r="Q2271" s="351"/>
    </row>
    <row r="2272" spans="15:17">
      <c r="O2272" s="360"/>
      <c r="Q2272" s="351"/>
    </row>
    <row r="2273" spans="15:17">
      <c r="O2273" s="360"/>
      <c r="Q2273" s="351"/>
    </row>
    <row r="2274" spans="15:17">
      <c r="O2274" s="360"/>
      <c r="Q2274" s="351"/>
    </row>
    <row r="2275" spans="15:17">
      <c r="O2275" s="360"/>
      <c r="Q2275" s="351"/>
    </row>
    <row r="2276" spans="15:17">
      <c r="O2276" s="360"/>
      <c r="Q2276" s="351"/>
    </row>
    <row r="2277" spans="15:17">
      <c r="O2277" s="360"/>
      <c r="Q2277" s="351"/>
    </row>
    <row r="2278" spans="15:17">
      <c r="O2278" s="360"/>
      <c r="Q2278" s="351"/>
    </row>
    <row r="2279" spans="15:17">
      <c r="O2279" s="360"/>
      <c r="Q2279" s="351"/>
    </row>
    <row r="2280" spans="15:17">
      <c r="O2280" s="360"/>
      <c r="Q2280" s="351"/>
    </row>
    <row r="2281" spans="15:17">
      <c r="O2281" s="360"/>
      <c r="Q2281" s="351"/>
    </row>
    <row r="2282" spans="15:17">
      <c r="O2282" s="360"/>
      <c r="Q2282" s="351"/>
    </row>
    <row r="2283" spans="15:17">
      <c r="O2283" s="360"/>
      <c r="Q2283" s="351"/>
    </row>
    <row r="2284" spans="15:17">
      <c r="O2284" s="360"/>
      <c r="Q2284" s="351"/>
    </row>
    <row r="2285" spans="15:17">
      <c r="O2285" s="360"/>
      <c r="Q2285" s="351"/>
    </row>
    <row r="2286" spans="15:17">
      <c r="O2286" s="360"/>
      <c r="Q2286" s="351"/>
    </row>
    <row r="2287" spans="15:17">
      <c r="O2287" s="360"/>
      <c r="Q2287" s="351"/>
    </row>
    <row r="2288" spans="15:17">
      <c r="O2288" s="360"/>
      <c r="Q2288" s="351"/>
    </row>
    <row r="2289" spans="15:17">
      <c r="O2289" s="360"/>
      <c r="Q2289" s="351"/>
    </row>
    <row r="2290" spans="15:17">
      <c r="O2290" s="360"/>
      <c r="Q2290" s="351"/>
    </row>
    <row r="2291" spans="15:17">
      <c r="O2291" s="360"/>
      <c r="Q2291" s="351"/>
    </row>
    <row r="2292" spans="15:17">
      <c r="O2292" s="360"/>
      <c r="Q2292" s="351"/>
    </row>
    <row r="2293" spans="15:17">
      <c r="O2293" s="360"/>
      <c r="Q2293" s="351"/>
    </row>
    <row r="2294" spans="15:17">
      <c r="O2294" s="360"/>
      <c r="Q2294" s="351"/>
    </row>
    <row r="2295" spans="15:17">
      <c r="O2295" s="360"/>
      <c r="Q2295" s="351"/>
    </row>
    <row r="2296" spans="15:17">
      <c r="O2296" s="360"/>
      <c r="Q2296" s="351"/>
    </row>
    <row r="2297" spans="15:17">
      <c r="O2297" s="360"/>
      <c r="Q2297" s="351"/>
    </row>
    <row r="2298" spans="15:17">
      <c r="O2298" s="360"/>
      <c r="Q2298" s="351"/>
    </row>
    <row r="2299" spans="15:17">
      <c r="O2299" s="360"/>
      <c r="Q2299" s="351"/>
    </row>
    <row r="2300" spans="15:17">
      <c r="O2300" s="360"/>
      <c r="Q2300" s="351"/>
    </row>
    <row r="2301" spans="15:17">
      <c r="O2301" s="360"/>
      <c r="Q2301" s="351"/>
    </row>
    <row r="2302" spans="15:17">
      <c r="O2302" s="360"/>
      <c r="Q2302" s="351"/>
    </row>
    <row r="2303" spans="15:17">
      <c r="O2303" s="360"/>
      <c r="Q2303" s="351"/>
    </row>
    <row r="2304" spans="15:17">
      <c r="O2304" s="360"/>
      <c r="Q2304" s="351"/>
    </row>
    <row r="2305" spans="15:17">
      <c r="O2305" s="360"/>
      <c r="Q2305" s="351"/>
    </row>
    <row r="2306" spans="15:17">
      <c r="O2306" s="360"/>
      <c r="Q2306" s="351"/>
    </row>
    <row r="2307" spans="15:17">
      <c r="O2307" s="360"/>
      <c r="Q2307" s="351"/>
    </row>
    <row r="2308" spans="15:17">
      <c r="O2308" s="360"/>
      <c r="Q2308" s="351"/>
    </row>
    <row r="2309" spans="15:17">
      <c r="O2309" s="360"/>
      <c r="Q2309" s="351"/>
    </row>
    <row r="2310" spans="15:17">
      <c r="O2310" s="360"/>
      <c r="Q2310" s="351"/>
    </row>
    <row r="2311" spans="15:17">
      <c r="O2311" s="360"/>
      <c r="Q2311" s="351"/>
    </row>
    <row r="2312" spans="15:17">
      <c r="O2312" s="360"/>
      <c r="Q2312" s="351"/>
    </row>
    <row r="2313" spans="15:17">
      <c r="O2313" s="360"/>
      <c r="Q2313" s="351"/>
    </row>
    <row r="2314" spans="15:17">
      <c r="O2314" s="360"/>
      <c r="Q2314" s="351"/>
    </row>
  </sheetData>
  <phoneticPr fontId="1" type="noConversion"/>
  <conditionalFormatting sqref="O1:P1048576 R1:R1048576">
    <cfRule type="cellIs" dxfId="225" priority="1995" operator="between">
      <formula>100</formula>
      <formula>1</formula>
    </cfRule>
  </conditionalFormatting>
  <conditionalFormatting sqref="Q1:Q1048576">
    <cfRule type="cellIs" dxfId="224" priority="1994" operator="between">
      <formula>200</formula>
      <formula>1</formula>
    </cfRule>
  </conditionalFormatting>
  <conditionalFormatting sqref="S1:S1048576">
    <cfRule type="cellIs" dxfId="223" priority="1613" operator="between">
      <formula>100</formula>
      <formula>1</formula>
    </cfRule>
  </conditionalFormatting>
  <conditionalFormatting sqref="B1229:E1264 B1267:E1306 B699:E806 B809:E927 B1020:E1226 B225:E241 B244:E286 B289:E414 B417:E421 B424:E429 B432:E477 B480:E491 B494:E526 B529:E696 B4:E10 B13:E39 B42:E67 B70:E125 B128:E222 B1309:E1438 B1441:E1514 B1517:E1545 B1548:E1591 B1594:E1636 B1639:E1675 B1678:E1689 B1692:E1777 B1780:E1804 B1807:E1815 B1818:E1821 B1824:E1825 B930:E1017">
    <cfRule type="cellIs" dxfId="222" priority="1093" operator="lessThan">
      <formula>0</formula>
    </cfRule>
  </conditionalFormatting>
  <conditionalFormatting sqref="F1229:F1264 F1267:F1306 F699:F806 F809:F927 F1020:F1226 F225:F241 F244:F286 F289:F414 F417:F421 F424:F429 F432:F477 F480:F491 F494:F526 F529:F696 F4:F10 F13:F39 F42:F67 F70:F125 F128:F222 F1309:F1438 F1441:F1514 F1517:F1545 F1548:F1591 F1594:F1636 F1639:F1675 F1678:F1689 F1692:F1777 F1780:F1804 F1807:F1815 F1818:F1821 F1824:F1825 F930:F1017">
    <cfRule type="cellIs" dxfId="221" priority="1092" operator="greaterThan">
      <formula>10</formula>
    </cfRule>
  </conditionalFormatting>
  <conditionalFormatting sqref="A4:A10 A1020:A1226 A1309:A1357">
    <cfRule type="expression" dxfId="220" priority="1091">
      <formula>IF($F4&gt;0,$A4,"")</formula>
    </cfRule>
  </conditionalFormatting>
  <conditionalFormatting sqref="A13:A39">
    <cfRule type="expression" dxfId="219" priority="1088">
      <formula>IF($F13&gt;0,$A13,"")</formula>
    </cfRule>
  </conditionalFormatting>
  <conditionalFormatting sqref="A42:A67">
    <cfRule type="expression" dxfId="218" priority="1085">
      <formula>IF($F42&gt;0,$A42,"")</formula>
    </cfRule>
  </conditionalFormatting>
  <conditionalFormatting sqref="A70:A125">
    <cfRule type="expression" dxfId="217" priority="1082">
      <formula>IF($F70&gt;0,$A70,"")</formula>
    </cfRule>
  </conditionalFormatting>
  <conditionalFormatting sqref="A128:A207">
    <cfRule type="expression" dxfId="216" priority="1079">
      <formula>IF($F128&gt;0,$A128,"")</formula>
    </cfRule>
  </conditionalFormatting>
  <conditionalFormatting sqref="A208:A222">
    <cfRule type="expression" dxfId="215" priority="1076">
      <formula>IF($F208&gt;0,$A208,"")</formula>
    </cfRule>
  </conditionalFormatting>
  <conditionalFormatting sqref="A225:A241">
    <cfRule type="expression" dxfId="214" priority="1073">
      <formula>IF($F225&gt;0,$A225,"")</formula>
    </cfRule>
  </conditionalFormatting>
  <conditionalFormatting sqref="A244:A286">
    <cfRule type="expression" dxfId="213" priority="1070">
      <formula>IF($F244&gt;0,$A244,"")</formula>
    </cfRule>
  </conditionalFormatting>
  <conditionalFormatting sqref="A289:A414">
    <cfRule type="expression" dxfId="212" priority="1067">
      <formula>IF($F289&gt;0,$A289,"")</formula>
    </cfRule>
  </conditionalFormatting>
  <conditionalFormatting sqref="A417:A421">
    <cfRule type="expression" dxfId="211" priority="1064">
      <formula>IF($F417&gt;0,$A417,"")</formula>
    </cfRule>
  </conditionalFormatting>
  <conditionalFormatting sqref="A424:A429">
    <cfRule type="expression" dxfId="210" priority="1061">
      <formula>IF($F424&gt;0,$A424,"")</formula>
    </cfRule>
  </conditionalFormatting>
  <conditionalFormatting sqref="A432:A477">
    <cfRule type="expression" dxfId="209" priority="1058">
      <formula>IF($F432&gt;0,$A432,"")</formula>
    </cfRule>
  </conditionalFormatting>
  <conditionalFormatting sqref="A480:A491">
    <cfRule type="expression" dxfId="208" priority="1055">
      <formula>IF($F480&gt;0,$A480,"")</formula>
    </cfRule>
  </conditionalFormatting>
  <conditionalFormatting sqref="A494:A526">
    <cfRule type="expression" dxfId="207" priority="1052">
      <formula>IF($F494&gt;0,$A494,"")</formula>
    </cfRule>
  </conditionalFormatting>
  <conditionalFormatting sqref="A529:A679">
    <cfRule type="expression" dxfId="206" priority="1049">
      <formula>IF($F529&gt;0,$A529,"")</formula>
    </cfRule>
  </conditionalFormatting>
  <conditionalFormatting sqref="A680:A696">
    <cfRule type="expression" dxfId="205" priority="1046">
      <formula>IF($F680&gt;0,$A680,"")</formula>
    </cfRule>
  </conditionalFormatting>
  <conditionalFormatting sqref="A699:A806">
    <cfRule type="expression" dxfId="204" priority="1043">
      <formula>IF($F699&gt;0,$A699,"")</formula>
    </cfRule>
  </conditionalFormatting>
  <conditionalFormatting sqref="A809:A927">
    <cfRule type="expression" dxfId="203" priority="1040">
      <formula>IF($F809&gt;0,$A809,"")</formula>
    </cfRule>
  </conditionalFormatting>
  <conditionalFormatting sqref="A930:A1017">
    <cfRule type="expression" dxfId="202" priority="1037">
      <formula>IF($F930&gt;0,$A930,"")</formula>
    </cfRule>
  </conditionalFormatting>
  <conditionalFormatting sqref="A1229:A1264">
    <cfRule type="expression" dxfId="201" priority="1031">
      <formula>IF($F1229&gt;0,$A1229,"")</formula>
    </cfRule>
  </conditionalFormatting>
  <conditionalFormatting sqref="A1267:A1306">
    <cfRule type="expression" dxfId="200" priority="1028">
      <formula>IF($F1267&gt;0,$A1267,"")</formula>
    </cfRule>
  </conditionalFormatting>
  <conditionalFormatting sqref="A1358:A1438">
    <cfRule type="expression" dxfId="199" priority="1022">
      <formula>IF($F1358&gt;0,$A1358,"")</formula>
    </cfRule>
  </conditionalFormatting>
  <conditionalFormatting sqref="A1441:A1514">
    <cfRule type="expression" dxfId="198" priority="1019">
      <formula>IF($F1441&gt;0,$A1441,"")</formula>
    </cfRule>
  </conditionalFormatting>
  <conditionalFormatting sqref="A1517:A1545">
    <cfRule type="expression" dxfId="197" priority="1016">
      <formula>IF($F1517&gt;0,$A1517,"")</formula>
    </cfRule>
  </conditionalFormatting>
  <conditionalFormatting sqref="A1548:A1591">
    <cfRule type="expression" dxfId="196" priority="1013">
      <formula>IF($F1548&gt;0,$A1548,"")</formula>
    </cfRule>
  </conditionalFormatting>
  <conditionalFormatting sqref="A1594:A1636">
    <cfRule type="expression" dxfId="195" priority="1010">
      <formula>IF($F1594&gt;0,$A1594,"")</formula>
    </cfRule>
  </conditionalFormatting>
  <conditionalFormatting sqref="A1639:A1675">
    <cfRule type="expression" dxfId="194" priority="1007">
      <formula>IF($F1639&gt;0,$A1639,"")</formula>
    </cfRule>
  </conditionalFormatting>
  <conditionalFormatting sqref="A1678:A1689">
    <cfRule type="expression" dxfId="193" priority="1004">
      <formula>IF($F1678&gt;0,$A1678,"")</formula>
    </cfRule>
  </conditionalFormatting>
  <conditionalFormatting sqref="A1692:A1767">
    <cfRule type="expression" dxfId="192" priority="1001">
      <formula>IF($F1692&gt;0,$A1692,"")</formula>
    </cfRule>
  </conditionalFormatting>
  <conditionalFormatting sqref="A1768:A1777">
    <cfRule type="expression" dxfId="191" priority="998">
      <formula>IF($F1768&gt;0,$A1768,"")</formula>
    </cfRule>
  </conditionalFormatting>
  <conditionalFormatting sqref="A1780:A1804">
    <cfRule type="expression" dxfId="190" priority="995">
      <formula>IF($F1780&gt;0,$A1780,"")</formula>
    </cfRule>
  </conditionalFormatting>
  <conditionalFormatting sqref="A1807:A1815">
    <cfRule type="expression" dxfId="189" priority="992">
      <formula>IF($F1807&gt;0,$A1807,"")</formula>
    </cfRule>
  </conditionalFormatting>
  <conditionalFormatting sqref="A1818:A1821">
    <cfRule type="expression" dxfId="188" priority="989">
      <formula>IF($F1818&gt;0,$A1818,"")</formula>
    </cfRule>
  </conditionalFormatting>
  <conditionalFormatting sqref="A1824:A1825">
    <cfRule type="expression" dxfId="187" priority="986">
      <formula>IF($F1824&gt;0,$A1824,"")</formula>
    </cfRule>
  </conditionalFormatting>
  <conditionalFormatting sqref="T1229:T1264 T1267:T1306 T699:T806 T809:T927 T1020:T1226 T225:T241 T244:T286 T289:T414 T417:T421 T424:T429 T432:T477 T480:T491 T494:T526 T529:T696 T4:T10 T13:T39 T42:T68 T70:T125 T128:T222 T1309:T1438 T1441:T1514 T1517:T1545 T1548:T1591 T1594:T1636 T1639:T1675 T1678:T1689 T930:T1017 T1692:T1777 T1780:T1804 T1807:T1815 T1818:T1821 T1824:T1825">
    <cfRule type="cellIs" dxfId="186" priority="985" operator="greaterThanOrEqual">
      <formula>3</formula>
    </cfRule>
  </conditionalFormatting>
  <conditionalFormatting sqref="V4:V10 V1020:V1226 V1309:V1357">
    <cfRule type="expression" dxfId="185" priority="984">
      <formula>IF($V4&lt;$T4,$V4,"")</formula>
    </cfRule>
  </conditionalFormatting>
  <conditionalFormatting sqref="V13:V39">
    <cfRule type="expression" dxfId="184" priority="982">
      <formula>IF($V13&lt;$T13,$V13,"")</formula>
    </cfRule>
  </conditionalFormatting>
  <conditionalFormatting sqref="V42:V68">
    <cfRule type="expression" dxfId="183" priority="980">
      <formula>IF($V42&lt;$T42,$V42,"")</formula>
    </cfRule>
  </conditionalFormatting>
  <conditionalFormatting sqref="V70:V125">
    <cfRule type="expression" dxfId="182" priority="978">
      <formula>IF($V70&lt;$T70,$V70,"")</formula>
    </cfRule>
  </conditionalFormatting>
  <conditionalFormatting sqref="V128:V207">
    <cfRule type="expression" dxfId="181" priority="976">
      <formula>IF($V128&lt;$T128,$V128,"")</formula>
    </cfRule>
  </conditionalFormatting>
  <conditionalFormatting sqref="V208:V222">
    <cfRule type="expression" dxfId="180" priority="974">
      <formula>IF($V208&lt;$T208,$V208,"")</formula>
    </cfRule>
  </conditionalFormatting>
  <conditionalFormatting sqref="V225:V241">
    <cfRule type="expression" dxfId="179" priority="972">
      <formula>IF($V225&lt;$T225,$V225,"")</formula>
    </cfRule>
  </conditionalFormatting>
  <conditionalFormatting sqref="V244:V286">
    <cfRule type="expression" dxfId="178" priority="970">
      <formula>IF($V244&lt;$T244,$V244,"")</formula>
    </cfRule>
  </conditionalFormatting>
  <conditionalFormatting sqref="V289:V414">
    <cfRule type="expression" dxfId="177" priority="968">
      <formula>IF($V289&lt;$T289,$V289,"")</formula>
    </cfRule>
  </conditionalFormatting>
  <conditionalFormatting sqref="V417:V421">
    <cfRule type="expression" dxfId="176" priority="966">
      <formula>IF($V417&lt;$T417,$V417,"")</formula>
    </cfRule>
  </conditionalFormatting>
  <conditionalFormatting sqref="V424:V429">
    <cfRule type="expression" dxfId="175" priority="964">
      <formula>IF($V424&lt;$T424,$V424,"")</formula>
    </cfRule>
  </conditionalFormatting>
  <conditionalFormatting sqref="V432:V477">
    <cfRule type="expression" dxfId="174" priority="962">
      <formula>IF($V432&lt;$T432,$V432,"")</formula>
    </cfRule>
  </conditionalFormatting>
  <conditionalFormatting sqref="V480:V491">
    <cfRule type="expression" dxfId="173" priority="960">
      <formula>IF($V480&lt;$T480,$V480,"")</formula>
    </cfRule>
  </conditionalFormatting>
  <conditionalFormatting sqref="V494:V526">
    <cfRule type="expression" dxfId="172" priority="958">
      <formula>IF($V494&lt;$T494,$V494,"")</formula>
    </cfRule>
  </conditionalFormatting>
  <conditionalFormatting sqref="V529:V679">
    <cfRule type="expression" dxfId="171" priority="956">
      <formula>IF($V529&lt;$T529,$V529,"")</formula>
    </cfRule>
  </conditionalFormatting>
  <conditionalFormatting sqref="V680:V696">
    <cfRule type="expression" dxfId="170" priority="954">
      <formula>IF($V680&lt;$T680,$V680,"")</formula>
    </cfRule>
  </conditionalFormatting>
  <conditionalFormatting sqref="V699:V806">
    <cfRule type="expression" dxfId="169" priority="952">
      <formula>IF($V699&lt;$T699,$V699,"")</formula>
    </cfRule>
  </conditionalFormatting>
  <conditionalFormatting sqref="V809:V927">
    <cfRule type="expression" dxfId="168" priority="950">
      <formula>IF($V809&lt;$T809,$V809,"")</formula>
    </cfRule>
  </conditionalFormatting>
  <conditionalFormatting sqref="V930:V1017">
    <cfRule type="expression" dxfId="167" priority="948">
      <formula>IF($V930&lt;$T930,$V930,"")</formula>
    </cfRule>
  </conditionalFormatting>
  <conditionalFormatting sqref="V1229:V1264">
    <cfRule type="expression" dxfId="166" priority="944">
      <formula>IF($V1229&lt;$T1229,$V1229,"")</formula>
    </cfRule>
  </conditionalFormatting>
  <conditionalFormatting sqref="V1267:V1306">
    <cfRule type="expression" dxfId="165" priority="942">
      <formula>IF($V1267&lt;$T1267,$V1267,"")</formula>
    </cfRule>
  </conditionalFormatting>
  <conditionalFormatting sqref="V1358:V1438">
    <cfRule type="expression" dxfId="164" priority="938">
      <formula>IF($V1358&lt;$T1358,$V1358,"")</formula>
    </cfRule>
  </conditionalFormatting>
  <conditionalFormatting sqref="V1441:V1514">
    <cfRule type="expression" dxfId="163" priority="936">
      <formula>IF($V1441&lt;$T1441,$V1441,"")</formula>
    </cfRule>
  </conditionalFormatting>
  <conditionalFormatting sqref="V1517:V1545">
    <cfRule type="expression" dxfId="162" priority="934">
      <formula>IF($V1517&lt;$T1517,$V1517,"")</formula>
    </cfRule>
  </conditionalFormatting>
  <conditionalFormatting sqref="V1548:V1591">
    <cfRule type="expression" dxfId="161" priority="932">
      <formula>IF($V1548&lt;$T1548,$V1548,"")</formula>
    </cfRule>
  </conditionalFormatting>
  <conditionalFormatting sqref="V1594:V1636">
    <cfRule type="expression" dxfId="160" priority="930">
      <formula>IF($V1594&lt;$T1594,$V1594,"")</formula>
    </cfRule>
  </conditionalFormatting>
  <conditionalFormatting sqref="V1639:V1675">
    <cfRule type="expression" dxfId="159" priority="928">
      <formula>IF($V1639&lt;$T1639,$V1639,"")</formula>
    </cfRule>
  </conditionalFormatting>
  <conditionalFormatting sqref="V1678:V1689">
    <cfRule type="expression" dxfId="158" priority="926">
      <formula>IF($V1678&lt;$T1678,$V1678,"")</formula>
    </cfRule>
  </conditionalFormatting>
  <conditionalFormatting sqref="V1692:V1767">
    <cfRule type="expression" dxfId="157" priority="924">
      <formula>IF($V1692&lt;$T1692,$V1692,"")</formula>
    </cfRule>
  </conditionalFormatting>
  <conditionalFormatting sqref="V1768:V1777">
    <cfRule type="expression" dxfId="156" priority="922">
      <formula>IF($V1768&lt;$T1768,$V1768,"")</formula>
    </cfRule>
  </conditionalFormatting>
  <conditionalFormatting sqref="V1780:V1804">
    <cfRule type="expression" dxfId="155" priority="920">
      <formula>IF($V1780&lt;$T1780,$V1780,"")</formula>
    </cfRule>
  </conditionalFormatting>
  <conditionalFormatting sqref="V1807:V1815">
    <cfRule type="expression" dxfId="154" priority="918">
      <formula>IF($V1807&lt;$T1807,$V1807,"")</formula>
    </cfRule>
  </conditionalFormatting>
  <conditionalFormatting sqref="V1818:V1821">
    <cfRule type="expression" dxfId="153" priority="916">
      <formula>IF($V1818&lt;$T1818,$V1818,"")</formula>
    </cfRule>
  </conditionalFormatting>
  <conditionalFormatting sqref="V1824:V1825">
    <cfRule type="expression" dxfId="152" priority="914">
      <formula>IF($V1824&lt;$T1824,$V1824,"")</formula>
    </cfRule>
  </conditionalFormatting>
  <conditionalFormatting sqref="S4:S10 S13:S39 S42:S67 S70:S125 S128:S222 S225:S241 S244:S286 S289:S414 S417:S421 S424:S429 S432:S477 S480:S491 S494:S526 S529:S696 S699:S806 S809:S927 S930:S1017 S1020:S1226 S1229:S1264 S1267:S1306 S1309:S1438 S1441:S1514 S1517:S1545 S1548:S1591 S1594:S1636 S1639:S1675 S1678:S1689 S1692:S1777 S1780:S1804 S1807:S1815 S1818:S1821 S1824:S1825">
    <cfRule type="cellIs" dxfId="151" priority="880" operator="between">
      <formula>101</formula>
      <formula>200</formula>
    </cfRule>
    <cfRule type="cellIs" dxfId="150" priority="881" operator="between">
      <formula>100</formula>
      <formula>1</formula>
    </cfRule>
  </conditionalFormatting>
  <conditionalFormatting sqref="Z1:Z1048576">
    <cfRule type="cellIs" dxfId="149" priority="289" operator="lessThanOrEqual">
      <formula>-0.1</formula>
    </cfRule>
  </conditionalFormatting>
  <conditionalFormatting sqref="AB4:AB10 AB13:AB39 AB42:AB68 AB70:AB125 AB128:AB222 AB225:AB241 AB244:AB286 AB289:AB414 AB417:AB421 AB424:AB429 AB432:AB477 AB480:AB491 AB494:AB526 AB529:AB696 AB699:AB806 AB809:AB927 AB930:AB1017 AB1020:AB1226 AB1229:AB1264 AB1267:AB1306 AB1309:AB1438 AB1441:AB1514 AB1517:AB1545 AB1548:AB1591 AB1594:AB1636 AB1639:AB1675 AB1678:AB1689 AB1692:AB1777 AB1780:AB1804 AB1807:AB1815 AB1818:AB1821 AB1824:AB1827">
    <cfRule type="expression" dxfId="148" priority="2754">
      <formula>IF($AR4="高",$AB4,"")</formula>
    </cfRule>
    <cfRule type="expression" dxfId="147" priority="2755">
      <formula>IF($AR4="中",$AB4,"")</formula>
    </cfRule>
    <cfRule type="expression" dxfId="146" priority="2756">
      <formula>IF($AR4="低",$AB4,"")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4" id="{FDFFAAF4-85FE-48BA-8073-1D14E16CD533}">
            <xm:f>IF(INDEX(基本資料!$N:$N,MATCH($G4,基本資料!$A:$A,0),0)="高",$AB4,"")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95" id="{2CD15586-F95B-4A14-BE5B-E573FB1D04E8}">
            <xm:f>IF(INDEX(基本資料!$N:$N,MATCH($G4,基本資料!$A:$A,0),0)="中",$AB4,"")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96" id="{50C96920-4E4E-4DC5-8BC6-C7F801892820}">
            <xm:f>IF(INDEX(基本資料!$N:$N,MATCH($G4,基本資料!$A:$A,0),0)="低",$AB4,"")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AB4:AB10</xm:sqref>
        </x14:conditionalFormatting>
        <x14:conditionalFormatting xmlns:xm="http://schemas.microsoft.com/office/excel/2006/main">
          <x14:cfRule type="expression" priority="91" id="{AD6D49CA-604A-4FF9-8558-DB60277D7F72}">
            <xm:f>IF(INDEX(基本資料!$N:$N,MATCH($G13,基本資料!$A:$A,0),0)="高",$AB13,"")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92" id="{FEA3ECC8-291C-4667-9EE2-7FE8947F6780}">
            <xm:f>IF(INDEX(基本資料!$N:$N,MATCH($G13,基本資料!$A:$A,0),0)="中",$AB13,"")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93" id="{C3816DBD-351A-4E46-93D1-2F810AF33043}">
            <xm:f>IF(INDEX(基本資料!$N:$N,MATCH($G13,基本資料!$A:$A,0),0)="低",$AB13,"")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AB13:AB39</xm:sqref>
        </x14:conditionalFormatting>
        <x14:conditionalFormatting xmlns:xm="http://schemas.microsoft.com/office/excel/2006/main">
          <x14:cfRule type="expression" priority="88" id="{9CB2934C-56F4-413B-ACB5-0B32819467F2}">
            <xm:f>IF(INDEX(基本資料!$N:$N,MATCH($G42,基本資料!$A:$A,0),0)="高",$AB42,"")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89" id="{DD0A1AA1-35AF-4449-B010-0D1C26C3BEBD}">
            <xm:f>IF(INDEX(基本資料!$N:$N,MATCH($G42,基本資料!$A:$A,0),0)="中",$AB42,"")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90" id="{FCC1FF5B-0D68-4182-9472-CF7ADDA9D462}">
            <xm:f>IF(INDEX(基本資料!$N:$N,MATCH($G42,基本資料!$A:$A,0),0)="低",$AB42,"")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AB42:AB68</xm:sqref>
        </x14:conditionalFormatting>
        <x14:conditionalFormatting xmlns:xm="http://schemas.microsoft.com/office/excel/2006/main">
          <x14:cfRule type="expression" priority="85" id="{5C1C1F56-BF37-4EBF-8960-3C74C8AC6744}">
            <xm:f>IF(INDEX(基本資料!$N:$N,MATCH($G70,基本資料!$A:$A,0),0)="高",$AB70,"")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86" id="{89E4DC51-5129-4314-B400-1852B69A67F4}">
            <xm:f>IF(INDEX(基本資料!$N:$N,MATCH($G70,基本資料!$A:$A,0),0)="中",$AB70,"")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87" id="{401BDE19-7A76-481C-ABF9-6F9C09510144}">
            <xm:f>IF(INDEX(基本資料!$N:$N,MATCH($G70,基本資料!$A:$A,0),0)="低",$AB70,"")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AB70:AB125</xm:sqref>
        </x14:conditionalFormatting>
        <x14:conditionalFormatting xmlns:xm="http://schemas.microsoft.com/office/excel/2006/main">
          <x14:cfRule type="expression" priority="82" id="{C19A97A2-4A1D-445E-AD3A-EFFD164387E3}">
            <xm:f>IF(INDEX(基本資料!$N:$N,MATCH($G128,基本資料!$A:$A,0),0)="高",$AB128,"")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83" id="{F2AB1EC0-1AFA-43B1-AAD5-1D49B572775C}">
            <xm:f>IF(INDEX(基本資料!$N:$N,MATCH($G128,基本資料!$A:$A,0),0)="中",$AB128,"")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84" id="{EFD63162-1F83-44F7-88E6-79C437A759FB}">
            <xm:f>IF(INDEX(基本資料!$N:$N,MATCH($G128,基本資料!$A:$A,0),0)="低",$AB128,"")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AB128:AB222</xm:sqref>
        </x14:conditionalFormatting>
        <x14:conditionalFormatting xmlns:xm="http://schemas.microsoft.com/office/excel/2006/main">
          <x14:cfRule type="expression" priority="79" id="{533D7FC9-A765-4E21-B09B-DF7CB5E7040F}">
            <xm:f>IF(INDEX(基本資料!$N:$N,MATCH($G225,基本資料!$A:$A,0),0)="高",$AB225,"")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80" id="{A265BD27-B4C1-4391-94B5-43C380069F78}">
            <xm:f>IF(INDEX(基本資料!$N:$N,MATCH($G225,基本資料!$A:$A,0),0)="中",$AB225,"")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81" id="{1472B4FB-8CC8-4760-B993-DABCF1554832}">
            <xm:f>IF(INDEX(基本資料!$N:$N,MATCH($G225,基本資料!$A:$A,0),0)="低",$AB225,"")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AB225:AB241</xm:sqref>
        </x14:conditionalFormatting>
        <x14:conditionalFormatting xmlns:xm="http://schemas.microsoft.com/office/excel/2006/main">
          <x14:cfRule type="expression" priority="76" id="{358A8090-FD44-4DF9-9C4D-93B04F930BD1}">
            <xm:f>IF(INDEX(基本資料!$N:$N,MATCH($G244,基本資料!$A:$A,0),0)="高",$AB244,"")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77" id="{C4171230-ABBA-46E1-B314-E74ED78FB5BD}">
            <xm:f>IF(INDEX(基本資料!$N:$N,MATCH($G244,基本資料!$A:$A,0),0)="中",$AB244,"")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78" id="{352092DC-A3E6-4C99-96E6-7018C489D88C}">
            <xm:f>IF(INDEX(基本資料!$N:$N,MATCH($G244,基本資料!$A:$A,0),0)="低",$AB244,"")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AB244:AB286</xm:sqref>
        </x14:conditionalFormatting>
        <x14:conditionalFormatting xmlns:xm="http://schemas.microsoft.com/office/excel/2006/main">
          <x14:cfRule type="expression" priority="73" id="{ABB44E25-98FD-4DAB-A1FB-F1ABC828DC52}">
            <xm:f>IF(INDEX(基本資料!$N:$N,MATCH($G289,基本資料!$A:$A,0),0)="高",$AB289,"")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74" id="{8BBA62D1-AF7B-4A09-AC9A-EB07AD970ABB}">
            <xm:f>IF(INDEX(基本資料!$N:$N,MATCH($G289,基本資料!$A:$A,0),0)="中",$AB289,"")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75" id="{5D1DA687-31B2-4BA7-B5C4-8281471C0153}">
            <xm:f>IF(INDEX(基本資料!$N:$N,MATCH($G289,基本資料!$A:$A,0),0)="低",$AB289,"")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AB289:AB414</xm:sqref>
        </x14:conditionalFormatting>
        <x14:conditionalFormatting xmlns:xm="http://schemas.microsoft.com/office/excel/2006/main">
          <x14:cfRule type="expression" priority="70" id="{4133EFA8-520B-45DB-9DDE-2D8F2A8E4729}">
            <xm:f>IF(INDEX(基本資料!$N:$N,MATCH($G417,基本資料!$A:$A,0),0)="高",$AB417,"")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71" id="{865F6522-583A-40ED-8B2F-C140C9A8EE22}">
            <xm:f>IF(INDEX(基本資料!$N:$N,MATCH($G417,基本資料!$A:$A,0),0)="中",$AB417,"")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72" id="{92D3A771-38A0-471B-9F4F-AE1E70FB1B90}">
            <xm:f>IF(INDEX(基本資料!$N:$N,MATCH($G417,基本資料!$A:$A,0),0)="低",$AB417,"")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AB417:AB421</xm:sqref>
        </x14:conditionalFormatting>
        <x14:conditionalFormatting xmlns:xm="http://schemas.microsoft.com/office/excel/2006/main">
          <x14:cfRule type="expression" priority="67" id="{CC193A06-C13D-4CC1-BF4D-16F2B09BBE10}">
            <xm:f>IF(INDEX(基本資料!$N:$N,MATCH($G424,基本資料!$A:$A,0),0)="高",$AB424,"")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68" id="{3D2E1662-51D6-4298-B582-39D92F8EA39F}">
            <xm:f>IF(INDEX(基本資料!$N:$N,MATCH($G424,基本資料!$A:$A,0),0)="中",$AB424,"")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69" id="{14092681-FF3C-49AF-8B10-A7DBF72102FD}">
            <xm:f>IF(INDEX(基本資料!$N:$N,MATCH($G424,基本資料!$A:$A,0),0)="低",$AB424,"")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AB424:AB429</xm:sqref>
        </x14:conditionalFormatting>
        <x14:conditionalFormatting xmlns:xm="http://schemas.microsoft.com/office/excel/2006/main">
          <x14:cfRule type="expression" priority="64" id="{956F2E13-6C5D-4A8B-B962-FF7ED770B5E9}">
            <xm:f>IF(INDEX(基本資料!$N:$N,MATCH($G432,基本資料!$A:$A,0),0)="高",$AB432,"")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65" id="{EAEDA287-60FF-44F1-A42D-D6A3FDC3B4E4}">
            <xm:f>IF(INDEX(基本資料!$N:$N,MATCH($G432,基本資料!$A:$A,0),0)="中",$AB432,"")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66" id="{C9599E6E-9806-414C-ADD2-D975EC34A3C8}">
            <xm:f>IF(INDEX(基本資料!$N:$N,MATCH($G432,基本資料!$A:$A,0),0)="低",$AB432,"")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AB432:AB477</xm:sqref>
        </x14:conditionalFormatting>
        <x14:conditionalFormatting xmlns:xm="http://schemas.microsoft.com/office/excel/2006/main">
          <x14:cfRule type="expression" priority="61" id="{9CED341A-229F-40F8-8ACB-491CBA99ABE4}">
            <xm:f>IF(INDEX(基本資料!$N:$N,MATCH($G480,基本資料!$A:$A,0),0)="高",$AB480,"")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62" id="{746A320C-F1E8-427B-8572-5B7203F3D2F2}">
            <xm:f>IF(INDEX(基本資料!$N:$N,MATCH($G480,基本資料!$A:$A,0),0)="中",$AB480,"")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63" id="{E2A57A40-AD1F-4F69-B412-2AEDE93E060D}">
            <xm:f>IF(INDEX(基本資料!$N:$N,MATCH($G480,基本資料!$A:$A,0),0)="低",$AB480,"")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AB480:AB491</xm:sqref>
        </x14:conditionalFormatting>
        <x14:conditionalFormatting xmlns:xm="http://schemas.microsoft.com/office/excel/2006/main">
          <x14:cfRule type="expression" priority="58" id="{2377063B-E3CB-4E76-9CE6-E3EFB82998AF}">
            <xm:f>IF(INDEX(基本資料!$N:$N,MATCH($G494,基本資料!$A:$A,0),0)="高",$AB494,"")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59" id="{B50EFCC1-656F-41A6-9FC3-CF8E67D59B36}">
            <xm:f>IF(INDEX(基本資料!$N:$N,MATCH($G494,基本資料!$A:$A,0),0)="中",$AB494,"")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60" id="{51B62470-64E5-4FC5-8805-C19A2D13802B}">
            <xm:f>IF(INDEX(基本資料!$N:$N,MATCH($G494,基本資料!$A:$A,0),0)="低",$AB494,"")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AB494:AB526</xm:sqref>
        </x14:conditionalFormatting>
        <x14:conditionalFormatting xmlns:xm="http://schemas.microsoft.com/office/excel/2006/main">
          <x14:cfRule type="expression" priority="55" id="{BFF46EAD-E15C-4E9D-B5EB-BDEADB6B0C8B}">
            <xm:f>IF(INDEX(基本資料!$N:$N,MATCH($G529,基本資料!$A:$A,0),0)="高",$AB529,"")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56" id="{2E6D6662-CF91-444A-B9C0-E26EF29E06B3}">
            <xm:f>IF(INDEX(基本資料!$N:$N,MATCH($G529,基本資料!$A:$A,0),0)="中",$AB529,"")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57" id="{C0895367-F69E-4003-BB73-EFABBBC7BDDB}">
            <xm:f>IF(INDEX(基本資料!$N:$N,MATCH($G529,基本資料!$A:$A,0),0)="低",$AB529,"")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AB529:AB696</xm:sqref>
        </x14:conditionalFormatting>
        <x14:conditionalFormatting xmlns:xm="http://schemas.microsoft.com/office/excel/2006/main">
          <x14:cfRule type="expression" priority="52" id="{AAED2761-9096-4DCE-A851-967EB9AB6F6E}">
            <xm:f>IF(INDEX(基本資料!$N:$N,MATCH($G699,基本資料!$A:$A,0),0)="高",$AB699,"")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53" id="{BE6E8058-F84B-4020-83B6-638B0FAEA1FB}">
            <xm:f>IF(INDEX(基本資料!$N:$N,MATCH($G699,基本資料!$A:$A,0),0)="中",$AB699,"")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54" id="{B8D57408-E86D-4473-94D3-EB23392EFAD6}">
            <xm:f>IF(INDEX(基本資料!$N:$N,MATCH($G699,基本資料!$A:$A,0),0)="低",$AB699,"")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AB699:AB806</xm:sqref>
        </x14:conditionalFormatting>
        <x14:conditionalFormatting xmlns:xm="http://schemas.microsoft.com/office/excel/2006/main">
          <x14:cfRule type="expression" priority="49" id="{B5ACA3D7-8F47-4FA0-8745-BFB622B83877}">
            <xm:f>IF(INDEX(基本資料!$N:$N,MATCH($G809,基本資料!$A:$A,0),0)="高",$AB809,"")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50" id="{23B238D7-06E6-4D7F-9B65-022C6743013C}">
            <xm:f>IF(INDEX(基本資料!$N:$N,MATCH($G809,基本資料!$A:$A,0),0)="中",$AB809,"")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51" id="{583A425A-A382-4518-B855-B54F6A231FE3}">
            <xm:f>IF(INDEX(基本資料!$N:$N,MATCH($G809,基本資料!$A:$A,0),0)="低",$AB809,"")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AB809:AB927</xm:sqref>
        </x14:conditionalFormatting>
        <x14:conditionalFormatting xmlns:xm="http://schemas.microsoft.com/office/excel/2006/main">
          <x14:cfRule type="expression" priority="46" id="{E0E57499-59DD-4522-BAB1-594392BE8ECA}">
            <xm:f>IF(INDEX(基本資料!$N:$N,MATCH($G930,基本資料!$A:$A,0),0)="高",$AB930,"")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47" id="{D8ACBE7B-15DD-4B31-963D-4EF4105622A6}">
            <xm:f>IF(INDEX(基本資料!$N:$N,MATCH($G930,基本資料!$A:$A,0),0)="中",$AB930,"")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48" id="{70A061CB-C733-42B7-9147-15E0709AAEF0}">
            <xm:f>IF(INDEX(基本資料!$N:$N,MATCH($G930,基本資料!$A:$A,0),0)="低",$AB930,"")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AB930:AB1017</xm:sqref>
        </x14:conditionalFormatting>
        <x14:conditionalFormatting xmlns:xm="http://schemas.microsoft.com/office/excel/2006/main">
          <x14:cfRule type="expression" priority="43" id="{4EFA9399-5D3D-40DF-B5A0-9E86307B4456}">
            <xm:f>IF(INDEX(基本資料!$N:$N,MATCH($G1020,基本資料!$A:$A,0),0)="高",$AB1020,"")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44" id="{FB45B236-65A4-41F2-9206-D5AFD018975C}">
            <xm:f>IF(INDEX(基本資料!$N:$N,MATCH($G1020,基本資料!$A:$A,0),0)="中",$AB1020,"")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45" id="{6ED2BE12-5844-4660-B8B7-14981F987755}">
            <xm:f>IF(INDEX(基本資料!$N:$N,MATCH($G1020,基本資料!$A:$A,0),0)="低",$AB1020,"")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AB1020:AB1226</xm:sqref>
        </x14:conditionalFormatting>
        <x14:conditionalFormatting xmlns:xm="http://schemas.microsoft.com/office/excel/2006/main">
          <x14:cfRule type="expression" priority="40" id="{F0AF48B7-2DE3-45BC-82EF-E091EEA7B40A}">
            <xm:f>IF(INDEX(基本資料!$N:$N,MATCH($G1229,基本資料!$A:$A,0),0)="高",$AB1229,"")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41" id="{EEF14AD0-9449-4FC8-9666-D320282884D7}">
            <xm:f>IF(INDEX(基本資料!$N:$N,MATCH($G1229,基本資料!$A:$A,0),0)="中",$AB1229,"")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42" id="{45710823-E217-4547-A006-F33D4D925C53}">
            <xm:f>IF(INDEX(基本資料!$N:$N,MATCH($G1229,基本資料!$A:$A,0),0)="低",$AB1229,"")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AB1229:AB1264</xm:sqref>
        </x14:conditionalFormatting>
        <x14:conditionalFormatting xmlns:xm="http://schemas.microsoft.com/office/excel/2006/main">
          <x14:cfRule type="expression" priority="37" id="{1EAEFF16-AA3B-4AD6-9F91-CA7371114A9A}">
            <xm:f>IF(INDEX(基本資料!$N:$N,MATCH($G1267,基本資料!$A:$A,0),0)="高",$AB1267,"")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8" id="{5E9824CF-BF91-4CCF-A894-C0FBE4ED9B1F}">
            <xm:f>IF(INDEX(基本資料!$N:$N,MATCH($G1267,基本資料!$A:$A,0),0)="中",$AB1267,"")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9" id="{1CB28264-640C-47FF-B142-7147392831C1}">
            <xm:f>IF(INDEX(基本資料!$N:$N,MATCH($G1267,基本資料!$A:$A,0),0)="低",$AB1267,"")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AB1267:AB1306</xm:sqref>
        </x14:conditionalFormatting>
        <x14:conditionalFormatting xmlns:xm="http://schemas.microsoft.com/office/excel/2006/main">
          <x14:cfRule type="expression" priority="34" id="{6C29B4B0-7410-46B7-8298-6CB28BB8F969}">
            <xm:f>IF(INDEX(基本資料!$N:$N,MATCH($G1309,基本資料!$A:$A,0),0)="高",$AB1309,"")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5" id="{A69F70C2-D281-4A5F-8CE5-4D4DEAB53668}">
            <xm:f>IF(INDEX(基本資料!$N:$N,MATCH($G1309,基本資料!$A:$A,0),0)="中",$AB1309,"")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6" id="{350CA7A1-7DB1-4C78-9448-9F1B3CDB647C}">
            <xm:f>IF(INDEX(基本資料!$N:$N,MATCH($G1309,基本資料!$A:$A,0),0)="低",$AB1309,"")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AB1309:AB1438</xm:sqref>
        </x14:conditionalFormatting>
        <x14:conditionalFormatting xmlns:xm="http://schemas.microsoft.com/office/excel/2006/main">
          <x14:cfRule type="expression" priority="31" id="{CC68F131-4D8F-4EB0-AD96-58C07A2847C7}">
            <xm:f>IF(INDEX(基本資料!$N:$N,MATCH($G1441,基本資料!$A:$A,0),0)="高",$AB1441,"")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2" id="{8BE0BE26-6194-4AA0-AE65-591856AC0B6E}">
            <xm:f>IF(INDEX(基本資料!$N:$N,MATCH($G1441,基本資料!$A:$A,0),0)="中",$AB1441,"")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3" id="{46E40A45-5695-4EC5-9B57-4D5FDD806494}">
            <xm:f>IF(INDEX(基本資料!$N:$N,MATCH($G1441,基本資料!$A:$A,0),0)="低",$AB1441,"")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AB1441:AB1514</xm:sqref>
        </x14:conditionalFormatting>
        <x14:conditionalFormatting xmlns:xm="http://schemas.microsoft.com/office/excel/2006/main">
          <x14:cfRule type="expression" priority="28" id="{EFCF8187-C24C-408F-A73A-5294E8981243}">
            <xm:f>IF(INDEX(基本資料!$N:$N,MATCH($G1517,基本資料!$A:$A,0),0)="高",$AB1517,"")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9" id="{D41A1FAD-532E-4466-9FD8-91F28DB99BA9}">
            <xm:f>IF(INDEX(基本資料!$N:$N,MATCH($G1517,基本資料!$A:$A,0),0)="中",$AB1517,"")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0" id="{2F8EAF8E-5338-42E9-9F42-7471209D597D}">
            <xm:f>IF(INDEX(基本資料!$N:$N,MATCH($G1517,基本資料!$A:$A,0),0)="低",$AB1517,"")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AB1517:AB1545</xm:sqref>
        </x14:conditionalFormatting>
        <x14:conditionalFormatting xmlns:xm="http://schemas.microsoft.com/office/excel/2006/main">
          <x14:cfRule type="expression" priority="25" id="{41367BC6-EC69-4266-B511-8E07497A8161}">
            <xm:f>IF(INDEX(基本資料!$N:$N,MATCH($G1548,基本資料!$A:$A,0),0)="高",$AB1548,"")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6" id="{6FA930FC-B067-49B7-A624-2E20C5B37C2C}">
            <xm:f>IF(INDEX(基本資料!$N:$N,MATCH($G1548,基本資料!$A:$A,0),0)="中",$AB1548,"")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27" id="{B9EEF159-E732-4E8E-80BA-1FA92FA93A80}">
            <xm:f>IF(INDEX(基本資料!$N:$N,MATCH($G1548,基本資料!$A:$A,0),0)="低",$AB1548,"")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AB1548:AB1591</xm:sqref>
        </x14:conditionalFormatting>
        <x14:conditionalFormatting xmlns:xm="http://schemas.microsoft.com/office/excel/2006/main">
          <x14:cfRule type="expression" priority="22" id="{3AAD6317-4DEA-4A14-9825-485CCBB1194B}">
            <xm:f>IF(INDEX(基本資料!$N:$N,MATCH($G1594,基本資料!$A:$A,0),0)="高",$AB1594,"")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3" id="{F57DC7B6-7706-4F5A-BED0-F83CA05460D9}">
            <xm:f>IF(INDEX(基本資料!$N:$N,MATCH($G1594,基本資料!$A:$A,0),0)="中",$AB1594,"")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24" id="{09637CE9-5BF0-4E81-802A-16D322301988}">
            <xm:f>IF(INDEX(基本資料!$N:$N,MATCH($G1594,基本資料!$A:$A,0),0)="低",$AB1594,"")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AB1594:AB1636</xm:sqref>
        </x14:conditionalFormatting>
        <x14:conditionalFormatting xmlns:xm="http://schemas.microsoft.com/office/excel/2006/main">
          <x14:cfRule type="expression" priority="19" id="{D1495FC5-088C-4166-8731-7B67CA6B0BCE}">
            <xm:f>IF(INDEX(基本資料!$N:$N,MATCH($G1639,基本資料!$A:$A,0),0)="高",$AB1639,"")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0" id="{5B795112-4D85-44F9-A246-C2D79AD28F99}">
            <xm:f>IF(INDEX(基本資料!$N:$N,MATCH($G1639,基本資料!$A:$A,0),0)="中",$AB1639,"")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21" id="{AF1054AB-2A52-4D85-A22B-E4FBE49311C5}">
            <xm:f>IF(INDEX(基本資料!$N:$N,MATCH($G1639,基本資料!$A:$A,0),0)="低",$AB1639,"")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AB1639:AB1675</xm:sqref>
        </x14:conditionalFormatting>
        <x14:conditionalFormatting xmlns:xm="http://schemas.microsoft.com/office/excel/2006/main">
          <x14:cfRule type="expression" priority="16" id="{AEA9C7F0-E497-499F-8C39-1EB342DCD9A9}">
            <xm:f>IF(INDEX(基本資料!$N:$N,MATCH($G1678,基本資料!$A:$A,0),0)="高",$AB1678,"")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17" id="{18D43426-6A68-429A-8CF1-33EA38D37B41}">
            <xm:f>IF(INDEX(基本資料!$N:$N,MATCH($G1678,基本資料!$A:$A,0),0)="中",$AB1678,"")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18" id="{2CBEE814-B7E2-45AF-AD5F-8F4A41296FDC}">
            <xm:f>IF(INDEX(基本資料!$N:$N,MATCH($G1678,基本資料!$A:$A,0),0)="低",$AB1678,"")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AB1678:AB1689</xm:sqref>
        </x14:conditionalFormatting>
        <x14:conditionalFormatting xmlns:xm="http://schemas.microsoft.com/office/excel/2006/main">
          <x14:cfRule type="expression" priority="13" id="{82439760-7068-4F3A-9633-8BB1B7899055}">
            <xm:f>IF(INDEX(基本資料!$N:$N,MATCH($G1692,基本資料!$A:$A,0),0)="高",$AB1692,"")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14" id="{B9C0E67F-87C0-4ADA-A20C-30BA243DF4D5}">
            <xm:f>IF(INDEX(基本資料!$N:$N,MATCH($G1692,基本資料!$A:$A,0),0)="中",$AB1692,"")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15" id="{0EC9FAFF-7B95-4EDC-BC4A-3A814C69D047}">
            <xm:f>IF(INDEX(基本資料!$N:$N,MATCH($G1692,基本資料!$A:$A,0),0)="低",$AB1692,"")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AB1692:AB1777</xm:sqref>
        </x14:conditionalFormatting>
        <x14:conditionalFormatting xmlns:xm="http://schemas.microsoft.com/office/excel/2006/main">
          <x14:cfRule type="expression" priority="10" id="{3F3CBFBE-48B1-49C0-B111-93272DC02B23}">
            <xm:f>IF(INDEX(基本資料!$N:$N,MATCH($G1780,基本資料!$A:$A,0),0)="高",$AB1780,"")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11" id="{D36A0041-A04E-48F5-8404-80439E242900}">
            <xm:f>IF(INDEX(基本資料!$N:$N,MATCH($G1780,基本資料!$A:$A,0),0)="中",$AB1780,"")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12" id="{4E49681C-C90F-44A9-94CF-3913CF2320DF}">
            <xm:f>IF(INDEX(基本資料!$N:$N,MATCH($G1780,基本資料!$A:$A,0),0)="低",$AB1780,"")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AB1780:AB1804</xm:sqref>
        </x14:conditionalFormatting>
        <x14:conditionalFormatting xmlns:xm="http://schemas.microsoft.com/office/excel/2006/main">
          <x14:cfRule type="expression" priority="7" id="{D1E43E30-DD6A-4995-9A2C-458EFCD7AF1E}">
            <xm:f>IF(INDEX(基本資料!$N:$N,MATCH($G1807,基本資料!$A:$A,0),0)="高",$AB1807,"")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8" id="{5457B16B-E436-4420-BEA1-3683B3371F96}">
            <xm:f>IF(INDEX(基本資料!$N:$N,MATCH($G1807,基本資料!$A:$A,0),0)="中",$AB1807,"")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9" id="{B4CAC589-37C5-4332-B493-7DFF16F0A12B}">
            <xm:f>IF(INDEX(基本資料!$N:$N,MATCH($G1807,基本資料!$A:$A,0),0)="低",$AB1807,"")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AB1807:AB1815</xm:sqref>
        </x14:conditionalFormatting>
        <x14:conditionalFormatting xmlns:xm="http://schemas.microsoft.com/office/excel/2006/main">
          <x14:cfRule type="expression" priority="4" id="{A37D0200-9A0E-4736-86AB-D96645967690}">
            <xm:f>IF(INDEX(基本資料!$N:$N,MATCH($G1818,基本資料!$A:$A,0),0)="高",$AB1818,"")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5" id="{272E726F-81F6-46BB-ACE7-A6C54C6BC090}">
            <xm:f>IF(INDEX(基本資料!$N:$N,MATCH($G1818,基本資料!$A:$A,0),0)="中",$AB1818,"")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6" id="{D3E8CB49-033F-46A3-8E6E-89B3F0064338}">
            <xm:f>IF(INDEX(基本資料!$N:$N,MATCH($G1818,基本資料!$A:$A,0),0)="低",$AB1818,"")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AB1818:AB1821</xm:sqref>
        </x14:conditionalFormatting>
        <x14:conditionalFormatting xmlns:xm="http://schemas.microsoft.com/office/excel/2006/main">
          <x14:cfRule type="expression" priority="1" id="{830ED9D6-F28F-4E99-B22B-FA9FEC45C351}">
            <xm:f>IF(INDEX(基本資料!$N:$N,MATCH($G1824,基本資料!$A:$A,0),0)="高",$AB1824,"")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" id="{D85543F4-B1B2-46C3-A966-7E53A97600EB}">
            <xm:f>IF(INDEX(基本資料!$N:$N,MATCH($G1824,基本資料!$A:$A,0),0)="中",$AB1824,"")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" id="{6D4E6AE5-A3CA-4DAD-AB06-8D6E1912CF51}">
            <xm:f>IF(INDEX(基本資料!$N:$N,MATCH($G1824,基本資料!$A:$A,0),0)="低",$AB1824,"")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AB1824:AB1826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1">
    <tabColor rgb="FFFFC000"/>
  </sheetPr>
  <dimension ref="A1:AR6119"/>
  <sheetViews>
    <sheetView tabSelected="1" topLeftCell="G1" workbookViewId="0">
      <selection activeCell="AE11" sqref="AE11"/>
    </sheetView>
  </sheetViews>
  <sheetFormatPr defaultColWidth="9.140625" defaultRowHeight="16.5"/>
  <cols>
    <col min="1" max="1" width="7.7109375" style="127" customWidth="1"/>
    <col min="2" max="5" width="5.7109375" style="91" customWidth="1"/>
    <col min="6" max="6" width="8.7109375" style="63" customWidth="1"/>
    <col min="7" max="7" width="6.7109375" style="19" customWidth="1"/>
    <col min="8" max="8" width="5.7109375" style="12" customWidth="1"/>
    <col min="9" max="9" width="7.7109375" style="9" customWidth="1"/>
    <col min="10" max="10" width="6.7109375" style="8" customWidth="1"/>
    <col min="11" max="11" width="6.7109375" style="5" customWidth="1"/>
    <col min="12" max="12" width="3.7109375" style="121" customWidth="1"/>
    <col min="13" max="13" width="3.7109375" style="234" customWidth="1"/>
    <col min="14" max="14" width="4.7109375" style="338" customWidth="1"/>
    <col min="15" max="15" width="6.7109375" style="89" customWidth="1"/>
    <col min="16" max="16" width="6.7109375" style="73" customWidth="1"/>
    <col min="17" max="17" width="6.7109375" style="350" customWidth="1"/>
    <col min="18" max="18" width="5.7109375" style="26" customWidth="1"/>
    <col min="19" max="19" width="7.7109375" style="319" customWidth="1"/>
    <col min="20" max="20" width="7.7109375" style="61" customWidth="1"/>
    <col min="21" max="21" width="7.7109375" style="308" customWidth="1"/>
    <col min="22" max="22" width="7.7109375" style="215" customWidth="1"/>
    <col min="23" max="23" width="8.7109375" style="246" customWidth="1"/>
    <col min="24" max="24" width="8.7109375" style="69" customWidth="1"/>
    <col min="25" max="25" width="9.7109375" style="58" customWidth="1"/>
    <col min="26" max="26" width="8.7109375" style="11" customWidth="1"/>
    <col min="27" max="27" width="6.7109375" style="98" customWidth="1"/>
    <col min="28" max="28" width="6.7109375" style="376" customWidth="1"/>
    <col min="29" max="29" width="7.7109375" style="9" customWidth="1"/>
    <col min="30" max="30" width="11.7109375" style="84" customWidth="1"/>
    <col min="31" max="31" width="11.7109375" style="83" customWidth="1"/>
    <col min="32" max="32" width="3.7109375" style="284" customWidth="1"/>
    <col min="33" max="33" width="3.7109375" style="78" customWidth="1"/>
    <col min="34" max="34" width="3.7109375" style="245" customWidth="1"/>
    <col min="35" max="35" width="13.7109375" style="224" customWidth="1"/>
    <col min="36" max="36" width="7.7109375" style="9" customWidth="1"/>
    <col min="37" max="37" width="7.7109375" style="259" customWidth="1"/>
    <col min="38" max="38" width="7.7109375" style="250" customWidth="1"/>
    <col min="39" max="39" width="7.7109375" style="22" customWidth="1"/>
    <col min="40" max="40" width="7.7109375" style="127" customWidth="1"/>
    <col min="41" max="41" width="7.7109375" style="284" customWidth="1"/>
    <col min="42" max="42" width="7.7109375" style="371" customWidth="1"/>
    <col min="43" max="43" width="2.7109375" style="245" customWidth="1"/>
    <col min="44" max="16384" width="9.140625" style="245"/>
  </cols>
  <sheetData>
    <row r="1" spans="1:44">
      <c r="G1" s="245"/>
      <c r="I1" s="2"/>
      <c r="AK1" s="19" t="s">
        <v>6420</v>
      </c>
      <c r="AL1" s="2" t="s">
        <v>6421</v>
      </c>
      <c r="AM1" s="48">
        <f>RTD("money.excel",,"TXF1","VolumeStrength")</f>
        <v>-10</v>
      </c>
      <c r="AN1" s="380">
        <f>RTD("money.excel",,"TXF1","PredictVolume")</f>
        <v>183593</v>
      </c>
      <c r="AO1" s="381">
        <f>RTD("money.excel",,"TXF1","PriorVolume")</f>
        <v>205086</v>
      </c>
      <c r="AP1" s="40">
        <f>RTD("money.excel",,"TXF1","ChangePercent")</f>
        <v>0.45428733674048838</v>
      </c>
    </row>
    <row r="2" spans="1:44" s="248" customFormat="1">
      <c r="A2" s="156" t="s">
        <v>3554</v>
      </c>
      <c r="B2" s="80"/>
      <c r="C2" s="80"/>
      <c r="D2" s="80"/>
      <c r="E2" s="79"/>
      <c r="F2" s="6"/>
      <c r="G2" s="51" t="s">
        <v>3175</v>
      </c>
      <c r="H2" s="5" t="s">
        <v>3177</v>
      </c>
      <c r="I2" s="153" t="s">
        <v>3176</v>
      </c>
      <c r="J2" s="8"/>
      <c r="K2" s="24" t="s">
        <v>6758</v>
      </c>
      <c r="L2" s="334"/>
      <c r="M2" s="335"/>
      <c r="N2" s="336"/>
      <c r="T2" s="231"/>
      <c r="U2" s="370" t="s">
        <v>3176</v>
      </c>
      <c r="V2" s="294" t="s">
        <v>3551</v>
      </c>
      <c r="W2" s="292" t="s">
        <v>6171</v>
      </c>
      <c r="X2" s="292" t="s">
        <v>1150</v>
      </c>
      <c r="Y2" s="294" t="s">
        <v>282</v>
      </c>
      <c r="AA2" s="345"/>
      <c r="AB2" s="376"/>
      <c r="AC2" s="50" t="s">
        <v>6817</v>
      </c>
      <c r="AD2" s="462">
        <f>AI11</f>
        <v>189514</v>
      </c>
      <c r="AE2" s="463" t="s">
        <v>6816</v>
      </c>
      <c r="AF2" s="331"/>
      <c r="AG2" s="116"/>
      <c r="AH2" s="232"/>
      <c r="AL2" s="153" t="s">
        <v>3176</v>
      </c>
      <c r="AM2" s="48">
        <f>RTD("money.excel",,"$TWT","VolumeStrength")</f>
        <v>6</v>
      </c>
      <c r="AN2" s="356">
        <f>RTD("money.excel",,"$TWT","PredictVolume")</f>
        <v>2395.16</v>
      </c>
      <c r="AO2" s="48">
        <f>RTD("money.excel",,"$TWT","PriorVolume")</f>
        <v>2255.6999999999998</v>
      </c>
      <c r="AP2" s="40">
        <f>RTD("money.excel",,"$TWT","ChangePercent")</f>
        <v>0.43265325715267416</v>
      </c>
    </row>
    <row r="3" spans="1:44" s="248" customFormat="1">
      <c r="A3" s="156" t="s">
        <v>3555</v>
      </c>
      <c r="B3" s="80"/>
      <c r="C3" s="80"/>
      <c r="D3" s="80"/>
      <c r="E3" s="79"/>
      <c r="F3" s="6"/>
      <c r="G3" s="51" t="s">
        <v>3178</v>
      </c>
      <c r="H3" s="5" t="s">
        <v>3177</v>
      </c>
      <c r="I3" s="166" t="s">
        <v>3179</v>
      </c>
      <c r="J3" s="8"/>
      <c r="K3" s="24" t="s">
        <v>6759</v>
      </c>
      <c r="L3" s="334"/>
      <c r="M3" s="335"/>
      <c r="N3" s="336"/>
      <c r="T3" s="231"/>
      <c r="U3" s="237" t="s">
        <v>3179</v>
      </c>
      <c r="V3" s="294" t="s">
        <v>3551</v>
      </c>
      <c r="W3" s="292" t="s">
        <v>6171</v>
      </c>
      <c r="X3" s="294" t="s">
        <v>1150</v>
      </c>
      <c r="Y3" s="292" t="s">
        <v>282</v>
      </c>
      <c r="AB3" s="376"/>
      <c r="AC3" s="30" t="s">
        <v>6811</v>
      </c>
      <c r="AD3" s="459"/>
      <c r="AE3" s="462">
        <f>AD2+AD3</f>
        <v>189514</v>
      </c>
      <c r="AF3" s="331"/>
      <c r="AG3" s="116"/>
      <c r="AH3" s="451"/>
      <c r="AI3" s="221"/>
      <c r="AL3" s="166" t="s">
        <v>3179</v>
      </c>
      <c r="AM3" s="48">
        <f>RTD("money.excel",,"$TWO","VolumeStrength")</f>
        <v>0</v>
      </c>
      <c r="AN3" s="356">
        <f>RTD("money.excel",,"$TWO","PredictVolume")</f>
        <v>597.91999999999996</v>
      </c>
      <c r="AO3" s="48">
        <f>RTD("money.excel",,"$TWO","PriorVolume")</f>
        <v>600.52</v>
      </c>
      <c r="AP3" s="40">
        <f>RTD("money.excel",,"$TWO","ChangePercent")</f>
        <v>0.27563969211566464</v>
      </c>
    </row>
    <row r="4" spans="1:44" s="248" customFormat="1">
      <c r="A4" s="156" t="s">
        <v>3556</v>
      </c>
      <c r="B4" s="80"/>
      <c r="C4" s="80"/>
      <c r="D4" s="80"/>
      <c r="E4" s="79"/>
      <c r="F4" s="6"/>
      <c r="G4" s="51" t="s">
        <v>3175</v>
      </c>
      <c r="H4" s="5" t="s">
        <v>3177</v>
      </c>
      <c r="I4" s="153" t="s">
        <v>3258</v>
      </c>
      <c r="J4" s="8"/>
      <c r="K4" s="281" t="s">
        <v>6756</v>
      </c>
      <c r="L4" s="156"/>
      <c r="M4" s="337"/>
      <c r="N4" s="240"/>
      <c r="T4" s="231"/>
      <c r="U4" s="370" t="s">
        <v>3258</v>
      </c>
      <c r="V4" s="296"/>
      <c r="W4" s="292" t="s">
        <v>6171</v>
      </c>
      <c r="X4" s="292" t="s">
        <v>1150</v>
      </c>
      <c r="Y4" s="294" t="s">
        <v>282</v>
      </c>
      <c r="AB4" s="376"/>
      <c r="AC4" s="30" t="s">
        <v>6812</v>
      </c>
      <c r="AD4" s="459"/>
      <c r="AE4" s="462">
        <f>AE3+AD4</f>
        <v>189514</v>
      </c>
      <c r="AF4" s="331"/>
      <c r="AG4" s="116"/>
      <c r="AH4" s="451"/>
      <c r="AI4" s="221"/>
      <c r="AL4" s="153" t="s">
        <v>3258</v>
      </c>
      <c r="AM4" s="48">
        <f>RTD("money.excel",,"$TWTNB","VolumeStrength")</f>
        <v>13</v>
      </c>
      <c r="AN4" s="356">
        <f>RTD("money.excel",,"$TWTNB","PredictVolume")</f>
        <v>964.19</v>
      </c>
      <c r="AO4" s="48">
        <f>RTD("money.excel",,"$TWTNB","PriorVolume")</f>
        <v>848.56</v>
      </c>
      <c r="AP4" s="40">
        <f>RTD("money.excel",,"$TWTNB","ChangePercent")</f>
        <v>-0.15509543129885875</v>
      </c>
    </row>
    <row r="5" spans="1:44" s="248" customFormat="1">
      <c r="A5" s="156" t="s">
        <v>3557</v>
      </c>
      <c r="B5" s="80"/>
      <c r="C5" s="80"/>
      <c r="D5" s="80"/>
      <c r="E5" s="79"/>
      <c r="F5" s="6"/>
      <c r="G5" s="27" t="s">
        <v>3175</v>
      </c>
      <c r="H5" s="5" t="s">
        <v>3177</v>
      </c>
      <c r="I5" s="153" t="s">
        <v>3244</v>
      </c>
      <c r="J5" s="8"/>
      <c r="K5" s="281" t="s">
        <v>6757</v>
      </c>
      <c r="L5" s="156"/>
      <c r="M5" s="337"/>
      <c r="N5" s="240"/>
      <c r="P5" s="281"/>
      <c r="T5" s="230"/>
      <c r="U5" s="370" t="s">
        <v>3244</v>
      </c>
      <c r="V5" s="296"/>
      <c r="W5" s="292" t="s">
        <v>6171</v>
      </c>
      <c r="X5" s="294" t="s">
        <v>1150</v>
      </c>
      <c r="Y5" s="292" t="s">
        <v>282</v>
      </c>
      <c r="AB5" s="376"/>
      <c r="AC5" s="30" t="s">
        <v>6813</v>
      </c>
      <c r="AD5" s="459">
        <v>139188</v>
      </c>
      <c r="AE5" s="462">
        <f>AE4+AD5</f>
        <v>328702</v>
      </c>
      <c r="AG5" s="116"/>
      <c r="AH5" s="451"/>
      <c r="AI5" s="221"/>
      <c r="AL5" s="153" t="s">
        <v>3244</v>
      </c>
      <c r="AM5" s="48">
        <f>RTD("money.excel",,"$TWT17","VolumeStrength")</f>
        <v>-12</v>
      </c>
      <c r="AN5" s="356">
        <f>RTD("money.excel",,"$TWT17","PredictVolume")</f>
        <v>133.66999999999999</v>
      </c>
      <c r="AO5" s="48">
        <f>RTD("money.excel",,"$TWT17","PriorVolume")</f>
        <v>152.41999999999999</v>
      </c>
      <c r="AP5" s="40">
        <f>RTD("money.excel",,"$TWT17","ChangePercent")</f>
        <v>-0.59715935886521343</v>
      </c>
    </row>
    <row r="6" spans="1:44" s="248" customFormat="1">
      <c r="A6" s="166" t="s">
        <v>3563</v>
      </c>
      <c r="B6" s="80"/>
      <c r="C6" s="80"/>
      <c r="D6" s="80"/>
      <c r="E6" s="79"/>
      <c r="F6" s="6"/>
      <c r="G6" s="51" t="s">
        <v>3175</v>
      </c>
      <c r="H6" s="5" t="s">
        <v>3177</v>
      </c>
      <c r="I6" s="153" t="s">
        <v>3324</v>
      </c>
      <c r="J6" s="8"/>
      <c r="K6" s="134" t="s">
        <v>3550</v>
      </c>
      <c r="L6" s="156"/>
      <c r="M6" s="337"/>
      <c r="N6" s="240"/>
      <c r="T6" s="231"/>
      <c r="U6" s="370" t="s">
        <v>3324</v>
      </c>
      <c r="V6" s="296"/>
      <c r="W6" s="292" t="s">
        <v>6171</v>
      </c>
      <c r="X6" s="294" t="s">
        <v>1150</v>
      </c>
      <c r="Y6" s="294" t="s">
        <v>282</v>
      </c>
      <c r="AA6" s="345"/>
      <c r="AB6" s="376"/>
      <c r="AC6" s="30" t="s">
        <v>6814</v>
      </c>
      <c r="AD6" s="459">
        <v>0</v>
      </c>
      <c r="AE6" s="462">
        <f t="shared" ref="AE6:AE7" si="0">AE5+AD6</f>
        <v>328702</v>
      </c>
      <c r="AF6" s="331"/>
      <c r="AG6" s="116"/>
      <c r="AH6" s="451"/>
      <c r="AI6" s="221"/>
      <c r="AL6" s="153" t="s">
        <v>3324</v>
      </c>
      <c r="AM6" s="48">
        <f>RTD("money.excel",,"$TWT13","VolumeStrength")</f>
        <v>3</v>
      </c>
      <c r="AN6" s="356">
        <f>RTD("money.excel",,"$TWT13","PredictVolume")</f>
        <v>1291.8</v>
      </c>
      <c r="AO6" s="48">
        <f>RTD("money.excel",,"$TWT13","PriorVolume")</f>
        <v>1249.48</v>
      </c>
      <c r="AP6" s="40">
        <f>RTD("money.excel",,"$TWT13","ChangePercent")</f>
        <v>0.91369169744221035</v>
      </c>
    </row>
    <row r="7" spans="1:44" s="248" customFormat="1">
      <c r="A7" s="156" t="s">
        <v>3571</v>
      </c>
      <c r="B7" s="80"/>
      <c r="C7" s="80"/>
      <c r="D7" s="80"/>
      <c r="E7" s="79"/>
      <c r="F7" s="6"/>
      <c r="G7" s="27" t="s">
        <v>3175</v>
      </c>
      <c r="H7" s="5" t="s">
        <v>3177</v>
      </c>
      <c r="I7" s="153" t="s">
        <v>3234</v>
      </c>
      <c r="J7" s="8"/>
      <c r="K7" s="166" t="s">
        <v>6821</v>
      </c>
      <c r="L7" s="156"/>
      <c r="M7" s="337"/>
      <c r="N7" s="240"/>
      <c r="T7" s="231"/>
      <c r="U7" s="370" t="s">
        <v>3234</v>
      </c>
      <c r="V7" s="296"/>
      <c r="W7" s="294" t="s">
        <v>6171</v>
      </c>
      <c r="X7" s="292" t="s">
        <v>1150</v>
      </c>
      <c r="Y7" s="294" t="s">
        <v>282</v>
      </c>
      <c r="Z7" s="253"/>
      <c r="AA7" s="346"/>
      <c r="AB7" s="376"/>
      <c r="AC7" s="30" t="s">
        <v>6815</v>
      </c>
      <c r="AD7" s="459">
        <v>0</v>
      </c>
      <c r="AE7" s="462">
        <f t="shared" si="0"/>
        <v>328702</v>
      </c>
      <c r="AF7" s="331"/>
      <c r="AG7" s="116"/>
      <c r="AH7" s="451"/>
      <c r="AI7" s="221"/>
      <c r="AL7" s="153" t="s">
        <v>3234</v>
      </c>
      <c r="AM7" s="48">
        <f>RTD("money.excel",,"$TWT22","VolumeStrength")</f>
        <v>-34</v>
      </c>
      <c r="AN7" s="356">
        <f>RTD("money.excel",,"$TWT22","PredictVolume")</f>
        <v>24.87</v>
      </c>
      <c r="AO7" s="48">
        <f>RTD("money.excel",,"$TWT22","PriorVolume")</f>
        <v>38.020000000000003</v>
      </c>
      <c r="AP7" s="40">
        <f>RTD("money.excel",,"$TWT22","ChangePercent")</f>
        <v>0.2574002574002574</v>
      </c>
    </row>
    <row r="8" spans="1:44">
      <c r="A8" s="297" t="s">
        <v>3579</v>
      </c>
      <c r="G8" s="51" t="s">
        <v>3178</v>
      </c>
      <c r="H8" s="5" t="s">
        <v>3177</v>
      </c>
      <c r="I8" s="166" t="s">
        <v>3324</v>
      </c>
      <c r="K8" s="134" t="s">
        <v>6754</v>
      </c>
      <c r="L8" s="156"/>
      <c r="M8" s="337"/>
      <c r="N8" s="240"/>
      <c r="T8" s="231"/>
      <c r="U8" s="237" t="s">
        <v>3324</v>
      </c>
      <c r="V8" s="293"/>
      <c r="W8" s="292" t="s">
        <v>6171</v>
      </c>
      <c r="X8" s="294" t="s">
        <v>1150</v>
      </c>
      <c r="Y8" s="292" t="s">
        <v>282</v>
      </c>
      <c r="Z8" s="42"/>
      <c r="AA8" s="46"/>
      <c r="AD8" s="459"/>
      <c r="AE8" s="459"/>
      <c r="AF8" s="332"/>
      <c r="AH8" s="69"/>
      <c r="AL8" s="166" t="s">
        <v>3324</v>
      </c>
      <c r="AM8" s="48">
        <f>RTD("money.excel",,"$TWO13","VolumeStrength")</f>
        <v>1</v>
      </c>
      <c r="AN8" s="356">
        <f>RTD("money.excel",,"$TWO13","PredictVolume")</f>
        <v>448.28</v>
      </c>
      <c r="AO8" s="48">
        <f>RTD("money.excel",,"$TWO13","PriorVolume")</f>
        <v>442.71</v>
      </c>
      <c r="AP8" s="40">
        <f>RTD("money.excel",,"$TWO13","ChangePercent")</f>
        <v>0.33836543466944302</v>
      </c>
    </row>
    <row r="9" spans="1:44">
      <c r="G9" s="51" t="s">
        <v>3178</v>
      </c>
      <c r="H9" s="5" t="s">
        <v>3177</v>
      </c>
      <c r="I9" s="166" t="s">
        <v>3234</v>
      </c>
      <c r="L9" s="156"/>
      <c r="M9" s="337"/>
      <c r="N9" s="240"/>
      <c r="T9" s="231"/>
      <c r="U9" s="237" t="s">
        <v>3234</v>
      </c>
      <c r="V9" s="293"/>
      <c r="W9" s="294" t="s">
        <v>6171</v>
      </c>
      <c r="X9" s="292" t="s">
        <v>1150</v>
      </c>
      <c r="Y9" s="292" t="s">
        <v>282</v>
      </c>
      <c r="Z9" s="42"/>
      <c r="AA9" s="46"/>
      <c r="AD9" s="459"/>
      <c r="AE9" s="459"/>
      <c r="AF9" s="332"/>
      <c r="AH9" s="69"/>
      <c r="AI9" s="245"/>
      <c r="AL9" s="166" t="s">
        <v>3234</v>
      </c>
      <c r="AM9" s="48">
        <f>RTD("money.excel",,"$TWO22","VolumeStrength")</f>
        <v>2</v>
      </c>
      <c r="AN9" s="356">
        <f>RTD("money.excel",,"$TWO22","PredictVolume")</f>
        <v>60.94</v>
      </c>
      <c r="AO9" s="48">
        <f>RTD("money.excel",,"$TWO22","PriorVolume")</f>
        <v>59.56</v>
      </c>
      <c r="AP9" s="40">
        <f>RTD("money.excel",,"$TWO22","ChangePercent")</f>
        <v>0.3393996137866464</v>
      </c>
    </row>
    <row r="10" spans="1:44" s="248" customFormat="1">
      <c r="A10" s="127" t="s">
        <v>1672</v>
      </c>
      <c r="B10" s="90" t="s">
        <v>1571</v>
      </c>
      <c r="C10" s="90" t="s">
        <v>1572</v>
      </c>
      <c r="D10" s="90" t="s">
        <v>1573</v>
      </c>
      <c r="E10" s="90" t="s">
        <v>1574</v>
      </c>
      <c r="F10" s="8" t="s">
        <v>1059</v>
      </c>
      <c r="G10" s="89" t="s">
        <v>3441</v>
      </c>
      <c r="H10" s="272" t="s">
        <v>320</v>
      </c>
      <c r="I10" s="8" t="s">
        <v>2248</v>
      </c>
      <c r="J10" s="8" t="s">
        <v>6211</v>
      </c>
      <c r="K10" s="5" t="s">
        <v>6212</v>
      </c>
      <c r="L10" s="334" t="s">
        <v>6197</v>
      </c>
      <c r="M10" s="335" t="s">
        <v>6198</v>
      </c>
      <c r="N10" s="336" t="s">
        <v>6199</v>
      </c>
      <c r="O10" s="89" t="s">
        <v>6275</v>
      </c>
      <c r="P10" s="292" t="s">
        <v>6274</v>
      </c>
      <c r="Q10" s="350" t="s">
        <v>6273</v>
      </c>
      <c r="R10" s="26" t="s">
        <v>6276</v>
      </c>
      <c r="S10" s="318" t="s">
        <v>4715</v>
      </c>
      <c r="T10" s="10" t="s">
        <v>3093</v>
      </c>
      <c r="U10" s="305" t="s">
        <v>4728</v>
      </c>
      <c r="V10" s="68" t="s">
        <v>3272</v>
      </c>
      <c r="W10" s="28" t="s">
        <v>2</v>
      </c>
      <c r="X10" s="17" t="s">
        <v>1398</v>
      </c>
      <c r="Y10" s="14" t="s">
        <v>2249</v>
      </c>
      <c r="Z10" s="21" t="s">
        <v>3</v>
      </c>
      <c r="AA10" s="347" t="s">
        <v>6166</v>
      </c>
      <c r="AB10" s="102" t="s">
        <v>6404</v>
      </c>
      <c r="AC10" s="8" t="s">
        <v>2248</v>
      </c>
      <c r="AD10" s="71" t="s">
        <v>6360</v>
      </c>
      <c r="AE10" s="72" t="s">
        <v>6140</v>
      </c>
      <c r="AF10" s="32" t="s">
        <v>3283</v>
      </c>
      <c r="AG10" s="8" t="s">
        <v>3465</v>
      </c>
      <c r="AI10" s="220">
        <v>1060119</v>
      </c>
      <c r="AJ10" s="8" t="s">
        <v>2248</v>
      </c>
      <c r="AM10" s="370" t="s">
        <v>6371</v>
      </c>
      <c r="AN10" s="50" t="s">
        <v>3360</v>
      </c>
      <c r="AO10" s="30" t="s">
        <v>6266</v>
      </c>
      <c r="AP10" s="26" t="s">
        <v>6267</v>
      </c>
      <c r="AQ10" s="4"/>
    </row>
    <row r="11" spans="1:44">
      <c r="B11" s="79"/>
      <c r="C11" s="79"/>
      <c r="D11" s="79"/>
      <c r="E11" s="79"/>
      <c r="F11" s="57"/>
      <c r="G11" s="51" t="s">
        <v>3483</v>
      </c>
      <c r="H11" s="5" t="s">
        <v>3177</v>
      </c>
      <c r="I11" s="22" t="s">
        <v>3484</v>
      </c>
      <c r="L11" s="156"/>
      <c r="M11" s="337"/>
      <c r="N11" s="240"/>
      <c r="O11" s="359"/>
      <c r="P11" s="79"/>
      <c r="Q11" s="342"/>
      <c r="R11" s="81"/>
      <c r="S11" s="324"/>
      <c r="T11" s="326">
        <v>3.2</v>
      </c>
      <c r="U11" s="307">
        <f t="shared" ref="U11" si="1">T11/W11</f>
        <v>2.6016260162601626E-2</v>
      </c>
      <c r="V11" s="186"/>
      <c r="W11" s="36">
        <f>RTD("money.excel",,"0050","Price")</f>
        <v>123</v>
      </c>
      <c r="X11" s="65"/>
      <c r="Y11" s="15">
        <f t="shared" ref="Y11" si="2">W11-X11</f>
        <v>123</v>
      </c>
      <c r="Z11" s="3" t="e">
        <f t="shared" ref="Z11" si="3">Y11/X11</f>
        <v>#DIV/0!</v>
      </c>
      <c r="AA11" s="99"/>
      <c r="AB11" s="389"/>
      <c r="AC11" s="22" t="s">
        <v>3484</v>
      </c>
      <c r="AF11" s="33">
        <f t="shared" ref="AF11" si="4">AE11-AD11</f>
        <v>0</v>
      </c>
      <c r="AH11" s="232" t="s">
        <v>1847</v>
      </c>
      <c r="AI11" s="220">
        <v>189514</v>
      </c>
      <c r="AJ11" s="22" t="s">
        <v>3484</v>
      </c>
      <c r="AM11" s="16"/>
      <c r="AO11" s="332"/>
    </row>
    <row r="12" spans="1:44" s="248" customFormat="1">
      <c r="A12" s="127" t="s">
        <v>3180</v>
      </c>
      <c r="B12" s="90" t="s">
        <v>3181</v>
      </c>
      <c r="C12" s="90" t="s">
        <v>3182</v>
      </c>
      <c r="D12" s="90" t="s">
        <v>3183</v>
      </c>
      <c r="E12" s="90" t="s">
        <v>3184</v>
      </c>
      <c r="F12" s="8" t="s">
        <v>3185</v>
      </c>
      <c r="G12" s="89" t="s">
        <v>3441</v>
      </c>
      <c r="H12" s="272" t="s">
        <v>320</v>
      </c>
      <c r="I12" s="8" t="s">
        <v>2248</v>
      </c>
      <c r="J12" s="8" t="s">
        <v>6211</v>
      </c>
      <c r="K12" s="5" t="s">
        <v>6212</v>
      </c>
      <c r="L12" s="334" t="s">
        <v>6197</v>
      </c>
      <c r="M12" s="335" t="s">
        <v>6198</v>
      </c>
      <c r="N12" s="336" t="s">
        <v>6199</v>
      </c>
      <c r="O12" s="89" t="s">
        <v>6275</v>
      </c>
      <c r="P12" s="292" t="s">
        <v>6274</v>
      </c>
      <c r="Q12" s="350" t="s">
        <v>6273</v>
      </c>
      <c r="R12" s="26" t="s">
        <v>6276</v>
      </c>
      <c r="S12" s="318" t="s">
        <v>4715</v>
      </c>
      <c r="T12" s="10" t="s">
        <v>3093</v>
      </c>
      <c r="U12" s="305" t="s">
        <v>4728</v>
      </c>
      <c r="V12" s="68" t="s">
        <v>3272</v>
      </c>
      <c r="W12" s="28" t="s">
        <v>2</v>
      </c>
      <c r="X12" s="17" t="s">
        <v>1398</v>
      </c>
      <c r="Y12" s="14" t="s">
        <v>3187</v>
      </c>
      <c r="Z12" s="21" t="s">
        <v>3188</v>
      </c>
      <c r="AA12" s="347" t="s">
        <v>6166</v>
      </c>
      <c r="AB12" s="102" t="s">
        <v>6404</v>
      </c>
      <c r="AC12" s="8" t="s">
        <v>3186</v>
      </c>
      <c r="AD12" s="71" t="s">
        <v>6360</v>
      </c>
      <c r="AE12" s="72" t="s">
        <v>6140</v>
      </c>
      <c r="AF12" s="32" t="s">
        <v>3283</v>
      </c>
      <c r="AG12" s="32"/>
      <c r="AH12" s="8"/>
      <c r="AI12" s="220">
        <f>SUM(AI10:AI11)</f>
        <v>1249633</v>
      </c>
      <c r="AJ12" s="8" t="s">
        <v>2248</v>
      </c>
      <c r="AK12" s="8" t="s">
        <v>6696</v>
      </c>
      <c r="AL12" s="50" t="s">
        <v>3360</v>
      </c>
      <c r="AM12" s="22" t="s">
        <v>6695</v>
      </c>
      <c r="AN12" s="350" t="s">
        <v>6704</v>
      </c>
      <c r="AO12" s="50" t="s">
        <v>6371</v>
      </c>
      <c r="AP12" s="26" t="s">
        <v>6267</v>
      </c>
    </row>
    <row r="13" spans="1:44">
      <c r="A13" s="343">
        <f>IFERROR(VLOOKUP($G13,基本資料!$A:$J,3,0),"無")</f>
        <v>8.52</v>
      </c>
      <c r="B13" s="79">
        <f>IFERROR(VLOOKUP($G13,基本資料!$A:$J,4,0),"無")</f>
        <v>-86</v>
      </c>
      <c r="C13" s="79">
        <f>IFERROR(VLOOKUP($G13,基本資料!$A:$J,5,0),"無")</f>
        <v>-85</v>
      </c>
      <c r="D13" s="79">
        <f>IFERROR(VLOOKUP($G13,基本資料!$A:$J,6,0),"無")</f>
        <v>23</v>
      </c>
      <c r="E13" s="79">
        <f>IFERROR(VLOOKUP($G13,基本資料!$A:$J,7,0),"無")</f>
        <v>-62</v>
      </c>
      <c r="F13" s="6">
        <f>IFERROR(VLOOKUP($G13,基本資料!$A:$J,8,0),"無")</f>
        <v>31.07</v>
      </c>
      <c r="G13" s="80">
        <v>1325</v>
      </c>
      <c r="H13" s="5" t="s">
        <v>3328</v>
      </c>
      <c r="I13" s="22" t="s">
        <v>602</v>
      </c>
      <c r="J13" s="8">
        <f>IFERROR(VLOOKUP($G13,今日總結!$A:$AN,39,0),"")</f>
        <v>0</v>
      </c>
      <c r="K13" s="5" t="str">
        <f>IFERROR(VLOOKUP($G13,今日總結!$A:$AN,40,0),"")</f>
        <v>融</v>
      </c>
      <c r="L13" s="156">
        <f>IFERROR(VLOOKUP($G13,今日總結!$A:$AN,37,0),"")</f>
        <v>0</v>
      </c>
      <c r="M13" s="337">
        <f>IFERROR(VLOOKUP($G13,今日總結!$A:$AN,38,0),"")</f>
        <v>3</v>
      </c>
      <c r="N13" s="240">
        <f t="shared" ref="N13:N14" si="5">IFERROR(L13-M13,"")</f>
        <v>-3</v>
      </c>
      <c r="O13" s="359">
        <f>IFERROR(VLOOKUP($G13,融外自投!$A:$J,7,0),"無")</f>
        <v>320</v>
      </c>
      <c r="P13" s="79">
        <f>IFERROR(VLOOKUP($G13,融外自投!$A:$J,9,0),"無")</f>
        <v>24</v>
      </c>
      <c r="Q13" s="342">
        <f>IFERROR(VLOOKUP($G13,融外自投!$A:$J,8,0),"無")</f>
        <v>832</v>
      </c>
      <c r="R13" s="81" t="str">
        <f>IFERROR(VLOOKUP($G13,融外自投!$A:$J,10,0),"無")</f>
        <v>無</v>
      </c>
      <c r="S13" s="324">
        <f>IFERROR(VLOOKUP($G13,'321買'!$A:$E,4,0),"'沒有資料'")</f>
        <v>223</v>
      </c>
      <c r="T13" s="186">
        <f>IFERROR(VLOOKUP($G13,基本資料!$A:$J,9,0),"無")</f>
        <v>2</v>
      </c>
      <c r="U13" s="307">
        <f>$T13/$W13</f>
        <v>6.2402496099843996E-2</v>
      </c>
      <c r="V13" s="94">
        <f>IFERROR(VLOOKUP($G13,基本資料!$A:$J,10,0),"無")</f>
        <v>3.26</v>
      </c>
      <c r="W13" s="36">
        <f>RTD("money.excel",,"1325","Price")</f>
        <v>32.049999999999997</v>
      </c>
      <c r="X13" s="66">
        <f>104.5-12</f>
        <v>92.5</v>
      </c>
      <c r="Y13" s="15">
        <f t="shared" ref="Y13:Y35" si="6">W13-X13</f>
        <v>-60.45</v>
      </c>
      <c r="Z13" s="76">
        <f t="shared" ref="Z13:Z35" si="7">Y13/X13</f>
        <v>-0.6535135135135135</v>
      </c>
      <c r="AA13" s="340">
        <v>-65.349999999999994</v>
      </c>
      <c r="AB13" s="389">
        <f>IFERROR(VLOOKUP($G13,基本資料!$A:$M,12,0),"無")</f>
        <v>15.25</v>
      </c>
      <c r="AC13" s="22" t="s">
        <v>602</v>
      </c>
      <c r="AF13" s="33">
        <f t="shared" ref="AF13:AF34" si="8">AE13-AD13</f>
        <v>0</v>
      </c>
      <c r="AG13" s="81">
        <v>6</v>
      </c>
      <c r="AH13" s="79">
        <v>4</v>
      </c>
      <c r="AI13" s="221">
        <f t="shared" ref="AI13:AI35" si="9">W13*AG13*1000</f>
        <v>192299.99999999997</v>
      </c>
      <c r="AJ13" s="22" t="s">
        <v>602</v>
      </c>
      <c r="AK13" s="66">
        <f>AL13/AM13</f>
        <v>0.32278045423262214</v>
      </c>
      <c r="AL13" s="283">
        <f>RTD("money.excel",,"1325","PredictVolume")</f>
        <v>469</v>
      </c>
      <c r="AM13" s="391">
        <f>IFERROR(VLOOKUP($G13,基本資料!$A:$M,13,0),"無")</f>
        <v>1453</v>
      </c>
      <c r="AO13" s="275">
        <f>RTD("money.excel",,"1325","VolumeStrength")</f>
        <v>-26</v>
      </c>
      <c r="AP13" s="40">
        <f>RTD("money.excel",,"1325","ChangePercent")</f>
        <v>2.3961661341853033</v>
      </c>
      <c r="AR13" s="245" t="str">
        <f>INDEX(基本資料!N:N,MATCH($G13,基本資料!$A:$A,0))</f>
        <v>低</v>
      </c>
    </row>
    <row r="14" spans="1:44">
      <c r="A14" s="343">
        <f>IFERROR(VLOOKUP($G14,基本資料!$A:$J,3,0),"無")</f>
        <v>4.5</v>
      </c>
      <c r="B14" s="79">
        <f>IFERROR(VLOOKUP($G14,基本資料!$A:$J,4,0),"無")</f>
        <v>-55</v>
      </c>
      <c r="C14" s="79">
        <f>IFERROR(VLOOKUP($G14,基本資料!$A:$J,5,0),"無")</f>
        <v>58</v>
      </c>
      <c r="D14" s="79">
        <f>IFERROR(VLOOKUP($G14,基本資料!$A:$J,6,0),"無")</f>
        <v>-45</v>
      </c>
      <c r="E14" s="79">
        <f>IFERROR(VLOOKUP($G14,基本資料!$A:$J,7,0),"無")</f>
        <v>-52</v>
      </c>
      <c r="F14" s="6">
        <f>IFERROR(VLOOKUP($G14,基本資料!$A:$J,8,0),"無")</f>
        <v>34.03</v>
      </c>
      <c r="G14" s="80">
        <v>6523</v>
      </c>
      <c r="H14" s="5" t="s">
        <v>4723</v>
      </c>
      <c r="I14" s="16" t="s">
        <v>3834</v>
      </c>
      <c r="J14" s="8">
        <f>IFERROR(VLOOKUP($G14,今日總結!$A:$AN,39,0),"")</f>
        <v>0</v>
      </c>
      <c r="K14" s="5">
        <f>IFERROR(VLOOKUP($G14,今日總結!$A:$AN,40,0),"")</f>
        <v>0</v>
      </c>
      <c r="L14" s="156">
        <f>IFERROR(VLOOKUP($G14,今日總結!$A:$AN,37,0),"")</f>
        <v>0</v>
      </c>
      <c r="M14" s="337">
        <f>IFERROR(VLOOKUP($G14,今日總結!$A:$AN,38,0),"")</f>
        <v>0</v>
      </c>
      <c r="N14" s="240">
        <f t="shared" si="5"/>
        <v>0</v>
      </c>
      <c r="O14" s="359">
        <f>IFERROR(VLOOKUP($G14,融外自投!$A:$J,7,0),"無")</f>
        <v>777</v>
      </c>
      <c r="P14" s="79">
        <f>IFERROR(VLOOKUP($G14,融外自投!$A:$J,9,0),"無")</f>
        <v>717</v>
      </c>
      <c r="Q14" s="342">
        <f>IFERROR(VLOOKUP($G14,融外自投!$A:$J,8,0),"無")</f>
        <v>955</v>
      </c>
      <c r="R14" s="81" t="str">
        <f>IFERROR(VLOOKUP($G14,融外自投!$A:$J,10,0),"無")</f>
        <v>無</v>
      </c>
      <c r="S14" s="324">
        <f>IFERROR(VLOOKUP($G14,'321買'!$A:$E,4,0),"'沒有資料'")</f>
        <v>530</v>
      </c>
      <c r="T14" s="186">
        <f>IFERROR(VLOOKUP($G14,基本資料!$A:$J,9,0),"無")</f>
        <v>15.22</v>
      </c>
      <c r="U14" s="307">
        <f t="shared" ref="U14:U35" si="10">$T14/$W14</f>
        <v>0.19048811013767208</v>
      </c>
      <c r="V14" s="94">
        <f>IFERROR(VLOOKUP($G14,基本資料!$A:$J,10,0),"無")</f>
        <v>6.58</v>
      </c>
      <c r="W14" s="36">
        <f>RTD("money.excel",,"6523","Price")</f>
        <v>79.900000000000006</v>
      </c>
      <c r="X14" s="217">
        <f>76.5-4-4-5.22-2</f>
        <v>61.28</v>
      </c>
      <c r="Y14" s="15">
        <f t="shared" si="6"/>
        <v>18.620000000000005</v>
      </c>
      <c r="Z14" s="63">
        <f t="shared" si="7"/>
        <v>0.30385117493472591</v>
      </c>
      <c r="AA14" s="341">
        <v>30.39</v>
      </c>
      <c r="AB14" s="389">
        <f>IFERROR(VLOOKUP($G14,基本資料!$A:$M,12,0),"無")</f>
        <v>16.52</v>
      </c>
      <c r="AC14" s="16" t="s">
        <v>622</v>
      </c>
      <c r="AF14" s="33">
        <f t="shared" si="8"/>
        <v>0</v>
      </c>
      <c r="AG14" s="81">
        <v>4</v>
      </c>
      <c r="AH14" s="79">
        <v>2</v>
      </c>
      <c r="AI14" s="221">
        <f t="shared" si="9"/>
        <v>319600</v>
      </c>
      <c r="AJ14" s="16" t="s">
        <v>622</v>
      </c>
      <c r="AK14" s="66">
        <f t="shared" ref="AK14:AK35" si="11">AL14/AM14</f>
        <v>0.36844213055666802</v>
      </c>
      <c r="AL14" s="283">
        <f>RTD("money.excel",,"6523","PredictVolume")</f>
        <v>46</v>
      </c>
      <c r="AM14" s="391">
        <f>IFERROR(VLOOKUP($G14,基本資料!$A:$M,13,0),"無")</f>
        <v>124.85</v>
      </c>
      <c r="AO14" s="275">
        <f>RTD("money.excel",,"6523","VolumeStrength")</f>
        <v>-63</v>
      </c>
      <c r="AP14" s="40">
        <f>RTD("money.excel",,"6523","ChangePercent")</f>
        <v>0</v>
      </c>
      <c r="AR14" s="245" t="str">
        <f>INDEX(基本資料!N:N,MATCH($G14,基本資料!$A:$A,0))</f>
        <v>低</v>
      </c>
    </row>
    <row r="15" spans="1:44">
      <c r="A15" s="343">
        <f>IFERROR(VLOOKUP($G15,基本資料!$A:$J,3,0),"無")</f>
        <v>46.63</v>
      </c>
      <c r="B15" s="79">
        <f>IFERROR(VLOOKUP($G15,基本資料!$A:$J,4,0),"無")</f>
        <v>-144</v>
      </c>
      <c r="C15" s="79">
        <f>IFERROR(VLOOKUP($G15,基本資料!$A:$J,5,0),"無")</f>
        <v>-5</v>
      </c>
      <c r="D15" s="79">
        <f>IFERROR(VLOOKUP($G15,基本資料!$A:$J,6,0),"無")</f>
        <v>49</v>
      </c>
      <c r="E15" s="79">
        <f>IFERROR(VLOOKUP($G15,基本資料!$A:$J,7,0),"無")</f>
        <v>61</v>
      </c>
      <c r="F15" s="6">
        <f>IFERROR(VLOOKUP($G15,基本資料!$A:$J,8,0),"無")</f>
        <v>-65.17</v>
      </c>
      <c r="G15" s="80">
        <v>4128</v>
      </c>
      <c r="H15" s="5" t="s">
        <v>4723</v>
      </c>
      <c r="I15" s="16" t="s">
        <v>3743</v>
      </c>
      <c r="J15" s="8">
        <f>IFERROR(VLOOKUP($G15,今日總結!$A:$AN,39,0),"")</f>
        <v>0</v>
      </c>
      <c r="K15" s="5">
        <f>IFERROR(VLOOKUP($G15,今日總結!$A:$AN,40,0),"")</f>
        <v>0</v>
      </c>
      <c r="L15" s="156">
        <f>IFERROR(VLOOKUP($G15,今日總結!$A:$AN,37,0),"")</f>
        <v>0</v>
      </c>
      <c r="M15" s="337">
        <f>IFERROR(VLOOKUP($G15,今日總結!$A:$AN,38,0),"")</f>
        <v>0</v>
      </c>
      <c r="N15" s="240">
        <f>IFERROR(L15-M15,"")</f>
        <v>0</v>
      </c>
      <c r="O15" s="359">
        <f>IFERROR(VLOOKUP($G15,融外自投!$A:$J,7,0),"無")</f>
        <v>371</v>
      </c>
      <c r="P15" s="79">
        <f>IFERROR(VLOOKUP($G15,融外自投!$A:$J,9,0),"無")</f>
        <v>649</v>
      </c>
      <c r="Q15" s="342">
        <f>IFERROR(VLOOKUP($G15,融外自投!$A:$J,8,0),"無")</f>
        <v>712</v>
      </c>
      <c r="R15" s="81">
        <f>IFERROR(VLOOKUP($G15,融外自投!$A:$J,10,0),"無")</f>
        <v>476</v>
      </c>
      <c r="S15" s="324">
        <f>IFERROR(VLOOKUP($G15,'321買'!$A:$E,4,0),"'沒有資料'")</f>
        <v>743</v>
      </c>
      <c r="T15" s="186">
        <f>IFERROR(VLOOKUP($G15,基本資料!$A:$J,9,0),"無")</f>
        <v>1</v>
      </c>
      <c r="U15" s="307">
        <f>$T15/$W15</f>
        <v>1.7605633802816902E-2</v>
      </c>
      <c r="V15" s="94">
        <f>IFERROR(VLOOKUP($G15,基本資料!$A:$J,10,0),"無")</f>
        <v>0.11</v>
      </c>
      <c r="W15" s="36">
        <f>RTD("money.excel",,"4128","Price")</f>
        <v>56.8</v>
      </c>
      <c r="X15" s="66">
        <v>48.83</v>
      </c>
      <c r="Y15" s="15">
        <f>W15-X15</f>
        <v>7.9699999999999989</v>
      </c>
      <c r="Z15" s="63">
        <f>Y15/X15</f>
        <v>0.16321933237763669</v>
      </c>
      <c r="AA15" s="341">
        <v>16.32</v>
      </c>
      <c r="AB15" s="389">
        <f>IFERROR(VLOOKUP($G15,基本資料!$A:$M,12,0),"無")</f>
        <v>22.43</v>
      </c>
      <c r="AC15" s="16" t="s">
        <v>611</v>
      </c>
      <c r="AF15" s="33">
        <f>AE15-AD15</f>
        <v>0</v>
      </c>
      <c r="AG15" s="81">
        <v>3</v>
      </c>
      <c r="AH15" s="79">
        <v>2</v>
      </c>
      <c r="AI15" s="221">
        <f t="shared" ref="AI15:AI20" si="12">W15*AG15*1000</f>
        <v>170399.99999999997</v>
      </c>
      <c r="AJ15" s="16" t="s">
        <v>611</v>
      </c>
      <c r="AK15" s="66">
        <f>AL15/AM15</f>
        <v>0.35041282541019353</v>
      </c>
      <c r="AL15" s="283">
        <f>RTD("money.excel",,"4128","PredictVolume")</f>
        <v>1165</v>
      </c>
      <c r="AM15" s="391">
        <f>IFERROR(VLOOKUP($G15,基本資料!$A:$M,13,0),"無")</f>
        <v>3324.65</v>
      </c>
      <c r="AO15" s="275">
        <f>RTD("money.excel",,"4128","VolumeStrength")</f>
        <v>-1</v>
      </c>
      <c r="AP15" s="40">
        <f>RTD("money.excel",,"4128","ChangePercent")</f>
        <v>0.35335689045936397</v>
      </c>
      <c r="AR15" s="245" t="str">
        <f>INDEX(基本資料!N:N,MATCH($G15,基本資料!$A:$A,0))</f>
        <v>低</v>
      </c>
    </row>
    <row r="16" spans="1:44">
      <c r="A16" s="343">
        <f>IFERROR(VLOOKUP($G16,基本資料!$A:$J,3,0),"無")</f>
        <v>94.7</v>
      </c>
      <c r="B16" s="79">
        <f>IFERROR(VLOOKUP($G16,基本資料!$A:$J,4,0),"無")</f>
        <v>19</v>
      </c>
      <c r="C16" s="79">
        <f>IFERROR(VLOOKUP($G16,基本資料!$A:$J,5,0),"無")</f>
        <v>11</v>
      </c>
      <c r="D16" s="79">
        <f>IFERROR(VLOOKUP($G16,基本資料!$A:$J,6,0),"無")</f>
        <v>-23</v>
      </c>
      <c r="E16" s="79">
        <f>IFERROR(VLOOKUP($G16,基本資料!$A:$J,7,0),"無")</f>
        <v>8</v>
      </c>
      <c r="F16" s="6">
        <f>IFERROR(VLOOKUP($G16,基本資料!$A:$J,8,0),"無")</f>
        <v>10.18</v>
      </c>
      <c r="G16" s="79">
        <v>4958</v>
      </c>
      <c r="H16" s="236" t="s">
        <v>3388</v>
      </c>
      <c r="I16" s="22" t="s">
        <v>27</v>
      </c>
      <c r="J16" s="8">
        <f>IFERROR(VLOOKUP($G16,今日總結!$A:$AN,39,0),"")</f>
        <v>0</v>
      </c>
      <c r="K16" s="5">
        <f>IFERROR(VLOOKUP($G16,今日總結!$A:$AN,40,0),"")</f>
        <v>0</v>
      </c>
      <c r="L16" s="156">
        <f>IFERROR(VLOOKUP($G16,今日總結!$A:$AN,37,0),"")</f>
        <v>0</v>
      </c>
      <c r="M16" s="337">
        <f>IFERROR(VLOOKUP($G16,今日總結!$A:$AN,38,0),"")</f>
        <v>0</v>
      </c>
      <c r="N16" s="240">
        <f>IFERROR(L16-M16,"")</f>
        <v>0</v>
      </c>
      <c r="O16" s="359">
        <f>IFERROR(VLOOKUP($G16,融外自投!$A:$J,7,0),"無")</f>
        <v>938</v>
      </c>
      <c r="P16" s="79">
        <f>IFERROR(VLOOKUP($G16,融外自投!$A:$J,9,0),"無")</f>
        <v>467</v>
      </c>
      <c r="Q16" s="342">
        <f>IFERROR(VLOOKUP($G16,融外自投!$A:$J,8,0),"無")</f>
        <v>42</v>
      </c>
      <c r="R16" s="81">
        <f>IFERROR(VLOOKUP($G16,融外自投!$A:$J,10,0),"無")</f>
        <v>149</v>
      </c>
      <c r="S16" s="324">
        <f>IFERROR(VLOOKUP($G16,'321買'!$A:$E,4,0),"'沒有資料'")</f>
        <v>253</v>
      </c>
      <c r="T16" s="186">
        <f>IFERROR(VLOOKUP($G16,基本資料!$A:$J,9,0),"無")</f>
        <v>5</v>
      </c>
      <c r="U16" s="307">
        <f>$T16/$W16</f>
        <v>4.7619047619047616E-2</v>
      </c>
      <c r="V16" s="94">
        <f>IFERROR(VLOOKUP($G16,基本資料!$A:$J,10,0),"無")</f>
        <v>10.210000000000001</v>
      </c>
      <c r="W16" s="36">
        <f>RTD("money.excel",,"4958","Price")</f>
        <v>105</v>
      </c>
      <c r="X16" s="66">
        <f>106-4.5</f>
        <v>101.5</v>
      </c>
      <c r="Y16" s="15">
        <f t="shared" ref="Y16" si="13">W16-X16</f>
        <v>3.5</v>
      </c>
      <c r="Z16" s="63">
        <f t="shared" ref="Z16" si="14">Y16/X16</f>
        <v>3.4482758620689655E-2</v>
      </c>
      <c r="AA16" s="341">
        <v>3.45</v>
      </c>
      <c r="AB16" s="389">
        <f>IFERROR(VLOOKUP($G16,基本資料!$A:$M,12,0),"無")</f>
        <v>58.68</v>
      </c>
      <c r="AC16" s="22" t="s">
        <v>27</v>
      </c>
      <c r="AF16" s="33">
        <f>AE16-AD16</f>
        <v>0</v>
      </c>
      <c r="AG16" s="81">
        <v>3</v>
      </c>
      <c r="AH16" s="41"/>
      <c r="AI16" s="221">
        <f t="shared" si="12"/>
        <v>315000</v>
      </c>
      <c r="AJ16" s="22" t="s">
        <v>27</v>
      </c>
      <c r="AK16" s="66">
        <f>AL16/AM16</f>
        <v>0.63889538965597936</v>
      </c>
      <c r="AL16" s="283">
        <f>RTD("money.excel",,"4958","PredictVolume")</f>
        <v>2730</v>
      </c>
      <c r="AM16" s="391">
        <f>IFERROR(VLOOKUP($G16,基本資料!$A:$M,13,0),"無")</f>
        <v>4273</v>
      </c>
      <c r="AO16" s="275">
        <f>RTD("money.excel",,"4958","VolumeStrength")</f>
        <v>-38</v>
      </c>
      <c r="AP16" s="40">
        <f>RTD("money.excel",,"4958","ChangePercent")</f>
        <v>-0.47393364928909953</v>
      </c>
      <c r="AR16" s="245" t="str">
        <f>INDEX(基本資料!N:N,MATCH($G16,基本資料!$A:$A,0))</f>
        <v>中</v>
      </c>
    </row>
    <row r="17" spans="1:44">
      <c r="A17" s="343">
        <f>IFERROR(VLOOKUP($G17,基本資料!$A:$J,3,0),"無")</f>
        <v>56.88</v>
      </c>
      <c r="B17" s="79">
        <f>IFERROR(VLOOKUP($G17,基本資料!$A:$J,4,0),"無")</f>
        <v>72</v>
      </c>
      <c r="C17" s="79">
        <f>IFERROR(VLOOKUP($G17,基本資料!$A:$J,5,0),"無")</f>
        <v>73</v>
      </c>
      <c r="D17" s="79">
        <f>IFERROR(VLOOKUP($G17,基本資料!$A:$J,6,0),"無")</f>
        <v>2</v>
      </c>
      <c r="E17" s="79">
        <f>IFERROR(VLOOKUP($G17,基本資料!$A:$J,7,0),"無")</f>
        <v>7</v>
      </c>
      <c r="F17" s="6">
        <f>IFERROR(VLOOKUP($G17,基本資料!$A:$J,8,0),"無")</f>
        <v>29.02</v>
      </c>
      <c r="G17" s="80">
        <v>2441</v>
      </c>
      <c r="H17" s="18" t="s">
        <v>307</v>
      </c>
      <c r="I17" s="22" t="s">
        <v>275</v>
      </c>
      <c r="J17" s="8" t="str">
        <f>IFERROR(VLOOKUP($G17,今日總結!$A:$AN,39,0),"")</f>
        <v>主自</v>
      </c>
      <c r="K17" s="5">
        <f>IFERROR(VLOOKUP($G17,今日總結!$A:$AN,40,0),"")</f>
        <v>0</v>
      </c>
      <c r="L17" s="156">
        <f>IFERROR(VLOOKUP($G17,今日總結!$A:$AN,37,0),"")</f>
        <v>15</v>
      </c>
      <c r="M17" s="337">
        <f>IFERROR(VLOOKUP($G17,今日總結!$A:$AN,38,0),"")</f>
        <v>0</v>
      </c>
      <c r="N17" s="240">
        <f t="shared" ref="N17" si="15">IFERROR(L17-M17,"")</f>
        <v>15</v>
      </c>
      <c r="O17" s="359">
        <f>IFERROR(VLOOKUP($G17,融外自投!$A:$J,7,0),"無")</f>
        <v>1167</v>
      </c>
      <c r="P17" s="79">
        <f>IFERROR(VLOOKUP($G17,融外自投!$A:$J,9,0),"無")</f>
        <v>49</v>
      </c>
      <c r="Q17" s="342">
        <f>IFERROR(VLOOKUP($G17,融外自投!$A:$J,8,0),"無")</f>
        <v>373</v>
      </c>
      <c r="R17" s="81">
        <f>IFERROR(VLOOKUP($G17,融外自投!$A:$J,10,0),"無")</f>
        <v>55</v>
      </c>
      <c r="S17" s="324">
        <f>IFERROR(VLOOKUP($G17,'321買'!$A:$E,4,0),"'沒有資料'")</f>
        <v>465</v>
      </c>
      <c r="T17" s="186">
        <f>IFERROR(VLOOKUP($G17,基本資料!$A:$J,9,0),"無")</f>
        <v>5</v>
      </c>
      <c r="U17" s="307">
        <f>$T17/$W17</f>
        <v>6.9735006973500699E-2</v>
      </c>
      <c r="V17" s="94">
        <f>IFERROR(VLOOKUP($G17,基本資料!$A:$J,10,0),"無")</f>
        <v>8.09</v>
      </c>
      <c r="W17" s="36">
        <f>RTD("money.excel",,"2441","Price")</f>
        <v>71.7</v>
      </c>
      <c r="X17" s="66">
        <v>71.2</v>
      </c>
      <c r="Y17" s="15">
        <f>W17-X17</f>
        <v>0.5</v>
      </c>
      <c r="Z17" s="63">
        <f>Y17/X17</f>
        <v>7.0224719101123594E-3</v>
      </c>
      <c r="AA17" s="341">
        <v>0.7</v>
      </c>
      <c r="AB17" s="389">
        <f>IFERROR(VLOOKUP($G17,基本資料!$A:$M,12,0),"無")</f>
        <v>41.86</v>
      </c>
      <c r="AC17" s="22" t="s">
        <v>275</v>
      </c>
      <c r="AF17" s="33">
        <f>AE17-AD17</f>
        <v>0</v>
      </c>
      <c r="AG17" s="81">
        <v>1</v>
      </c>
      <c r="AH17" s="63"/>
      <c r="AI17" s="221">
        <f t="shared" si="12"/>
        <v>71700</v>
      </c>
      <c r="AJ17" s="22" t="s">
        <v>275</v>
      </c>
      <c r="AK17" s="66">
        <f>AL17/AM17</f>
        <v>1.3158069441678284</v>
      </c>
      <c r="AL17" s="283">
        <f>RTD("money.excel",,"2441","PredictVolume")</f>
        <v>991</v>
      </c>
      <c r="AM17" s="391">
        <f>IFERROR(VLOOKUP($G17,基本資料!$A:$M,13,0),"無")</f>
        <v>753.15</v>
      </c>
      <c r="AO17" s="275">
        <f>RTD("money.excel",,"2441","VolumeStrength")</f>
        <v>48</v>
      </c>
      <c r="AP17" s="40">
        <f>RTD("money.excel",,"2441","ChangePercent")</f>
        <v>0.56100981767180924</v>
      </c>
      <c r="AR17" s="245" t="str">
        <f>INDEX(基本資料!N:N,MATCH($G17,基本資料!$A:$A,0))</f>
        <v>低</v>
      </c>
    </row>
    <row r="18" spans="1:44">
      <c r="A18" s="343">
        <v>14.33</v>
      </c>
      <c r="B18" s="79">
        <v>137</v>
      </c>
      <c r="C18" s="79">
        <v>170</v>
      </c>
      <c r="D18" s="79">
        <v>-18</v>
      </c>
      <c r="E18" s="79">
        <v>30</v>
      </c>
      <c r="F18" s="6">
        <v>12</v>
      </c>
      <c r="G18" s="80">
        <v>2636</v>
      </c>
      <c r="H18" s="132" t="s">
        <v>6716</v>
      </c>
      <c r="I18" s="22" t="s">
        <v>5198</v>
      </c>
      <c r="J18" s="8">
        <v>4</v>
      </c>
      <c r="L18" s="79">
        <v>1</v>
      </c>
      <c r="M18" s="403">
        <v>0</v>
      </c>
      <c r="N18" s="240">
        <f t="shared" ref="N18" si="16">L18-M18</f>
        <v>1</v>
      </c>
      <c r="O18" s="359">
        <v>91</v>
      </c>
      <c r="P18" s="79">
        <v>178</v>
      </c>
      <c r="Q18" s="342">
        <v>428</v>
      </c>
      <c r="R18" s="81">
        <v>494</v>
      </c>
      <c r="S18" s="324">
        <v>41</v>
      </c>
      <c r="T18" s="186">
        <v>13</v>
      </c>
      <c r="U18" s="426">
        <f>T18/W18</f>
        <v>0.11063829787234042</v>
      </c>
      <c r="V18" s="94">
        <v>33.549999999999997</v>
      </c>
      <c r="W18" s="39">
        <f>INDEX('TSE OTC全部'!$W:$W,MATCH($G18,'TSE OTC全部'!$G:$G,0))</f>
        <v>117.5</v>
      </c>
      <c r="X18" s="207">
        <v>118.5</v>
      </c>
      <c r="Y18" s="430">
        <f>W18-X18</f>
        <v>-1</v>
      </c>
      <c r="Z18" s="435">
        <f>Y18/X18</f>
        <v>-8.4388185654008432E-3</v>
      </c>
      <c r="AA18" s="340">
        <v>-0.84</v>
      </c>
      <c r="AB18" s="389">
        <f>IFERROR(VLOOKUP($G18,基本資料!$A:$M,12,0),"無")</f>
        <v>25.18</v>
      </c>
      <c r="AC18" s="23" t="s">
        <v>5198</v>
      </c>
      <c r="AF18" s="33">
        <f>AE18-AD18</f>
        <v>0</v>
      </c>
      <c r="AG18" s="79">
        <v>1</v>
      </c>
      <c r="AH18" s="79"/>
      <c r="AI18" s="221">
        <f t="shared" ref="AI18" si="17">W18*AG18*1000</f>
        <v>117500</v>
      </c>
      <c r="AJ18" s="22" t="s">
        <v>5198</v>
      </c>
      <c r="AK18" s="66">
        <f>AL18/AM18</f>
        <v>0.99877429521975136</v>
      </c>
      <c r="AL18" s="283">
        <f>RTD("money.excel",,"2636","PredictVolume")</f>
        <v>1426</v>
      </c>
      <c r="AM18" s="391">
        <f>IFERROR(VLOOKUP($G18,基本資料!$A:$M,13,0),"無")</f>
        <v>1427.75</v>
      </c>
      <c r="AO18" s="275">
        <f>RTD("money.excel",,"2636","VolumeStrength")</f>
        <v>1</v>
      </c>
      <c r="AP18" s="40">
        <f>RTD("money.excel",,"2636","ChangePercent")</f>
        <v>-2.0833333333333335</v>
      </c>
      <c r="AR18" s="245" t="str">
        <f>INDEX(基本資料!N:N,MATCH($G18,基本資料!$A:$A,0))</f>
        <v>低</v>
      </c>
    </row>
    <row r="19" spans="1:44">
      <c r="A19" s="343">
        <f>IFERROR(VLOOKUP($G19,基本資料!$A:$J,3,0),"無")</f>
        <v>8.81</v>
      </c>
      <c r="B19" s="79">
        <f>IFERROR(VLOOKUP($G19,基本資料!$A:$J,4,0),"無")</f>
        <v>-17</v>
      </c>
      <c r="C19" s="79">
        <f>IFERROR(VLOOKUP($G19,基本資料!$A:$J,5,0),"無")</f>
        <v>-28</v>
      </c>
      <c r="D19" s="79">
        <f>IFERROR(VLOOKUP($G19,基本資料!$A:$J,6,0),"無")</f>
        <v>-10</v>
      </c>
      <c r="E19" s="79">
        <f>IFERROR(VLOOKUP($G19,基本資料!$A:$J,7,0),"無")</f>
        <v>6</v>
      </c>
      <c r="F19" s="6">
        <f>IFERROR(VLOOKUP($G19,基本資料!$A:$J,8,0),"無")</f>
        <v>6.45</v>
      </c>
      <c r="G19" s="79">
        <v>6179</v>
      </c>
      <c r="H19" s="5" t="s">
        <v>1959</v>
      </c>
      <c r="I19" s="16" t="s">
        <v>6164</v>
      </c>
      <c r="J19" s="8">
        <f>IFERROR(VLOOKUP($G19,今日總結!$A:$AN,39,0),"")</f>
        <v>0</v>
      </c>
      <c r="K19" s="5">
        <f>IFERROR(VLOOKUP($G19,今日總結!$A:$AN,40,0),"")</f>
        <v>0</v>
      </c>
      <c r="L19" s="156">
        <f>IFERROR(VLOOKUP($G19,今日總結!$A:$AN,37,0),"")</f>
        <v>0</v>
      </c>
      <c r="M19" s="337">
        <f>IFERROR(VLOOKUP($G19,今日總結!$A:$AN,38,0),"")</f>
        <v>0</v>
      </c>
      <c r="N19" s="240">
        <f>IFERROR(L19-M19,"")</f>
        <v>0</v>
      </c>
      <c r="O19" s="359">
        <f>IFERROR(VLOOKUP($G19,融外自投!$A:$J,7,0),"無")</f>
        <v>314</v>
      </c>
      <c r="P19" s="79" t="str">
        <f>IFERROR(VLOOKUP($G19,融外自投!$A:$J,9,0),"無")</f>
        <v>無</v>
      </c>
      <c r="Q19" s="342">
        <f>IFERROR(VLOOKUP($G19,融外自投!$A:$J,8,0),"無")</f>
        <v>1297</v>
      </c>
      <c r="R19" s="81" t="str">
        <f>IFERROR(VLOOKUP($G19,融外自投!$A:$J,10,0),"無")</f>
        <v>無</v>
      </c>
      <c r="S19" s="324">
        <f>IFERROR(VLOOKUP($G19,'321買'!$A:$E,4,0),"'沒有資料'")</f>
        <v>743</v>
      </c>
      <c r="T19" s="186">
        <f>IFERROR(VLOOKUP($G19,基本資料!$A:$J,9,0),"無")</f>
        <v>1.5</v>
      </c>
      <c r="U19" s="307">
        <f>$T19/$W19</f>
        <v>4.9916805324459232E-2</v>
      </c>
      <c r="V19" s="94">
        <f>IFERROR(VLOOKUP($G19,基本資料!$A:$J,10,0),"無")</f>
        <v>1.84</v>
      </c>
      <c r="W19" s="36">
        <f>RTD("money.excel",,"6179","Price")</f>
        <v>30.05</v>
      </c>
      <c r="X19" s="66">
        <v>30.75</v>
      </c>
      <c r="Y19" s="15">
        <f>W19-X19</f>
        <v>-0.69999999999999929</v>
      </c>
      <c r="Z19" s="76">
        <f>Y19/X19</f>
        <v>-2.27642276422764E-2</v>
      </c>
      <c r="AA19" s="340">
        <v>-2.2799999999999998</v>
      </c>
      <c r="AB19" s="389">
        <f>IFERROR(VLOOKUP($G19,基本資料!$A:$M,12,0),"無")</f>
        <v>55.56</v>
      </c>
      <c r="AC19" s="16" t="s">
        <v>645</v>
      </c>
      <c r="AF19" s="33">
        <f>AE19-AD19</f>
        <v>0</v>
      </c>
      <c r="AG19" s="81">
        <v>1</v>
      </c>
      <c r="AH19" s="41"/>
      <c r="AI19" s="221">
        <f t="shared" si="12"/>
        <v>30050</v>
      </c>
      <c r="AJ19" s="16" t="s">
        <v>645</v>
      </c>
      <c r="AK19" s="66">
        <f>AL19/AM19</f>
        <v>0.5672609400324149</v>
      </c>
      <c r="AL19" s="283">
        <f>RTD("money.excel",,"6179","PredictVolume")</f>
        <v>140</v>
      </c>
      <c r="AM19" s="391">
        <f>IFERROR(VLOOKUP($G19,基本資料!$A:$M,13,0),"無")</f>
        <v>246.8</v>
      </c>
      <c r="AO19" s="275">
        <f>RTD("money.excel",,"6179","VolumeStrength")</f>
        <v>-16</v>
      </c>
      <c r="AP19" s="40">
        <f>RTD("money.excel",,"6179","ChangePercent")</f>
        <v>1.8644067796610169</v>
      </c>
      <c r="AR19" s="245" t="str">
        <f>INDEX(基本資料!N:N,MATCH($G19,基本資料!$A:$A,0))</f>
        <v>中</v>
      </c>
    </row>
    <row r="20" spans="1:44" s="248" customFormat="1">
      <c r="A20" s="343">
        <f>IFERROR(VLOOKUP($G20,基本資料!$A:$J,3,0),"無")</f>
        <v>266</v>
      </c>
      <c r="B20" s="79">
        <f>IFERROR(VLOOKUP($G20,基本資料!$A:$J,4,0),"無")</f>
        <v>11</v>
      </c>
      <c r="C20" s="79">
        <f>IFERROR(VLOOKUP($G20,基本資料!$A:$J,5,0),"無")</f>
        <v>-11</v>
      </c>
      <c r="D20" s="79">
        <f>IFERROR(VLOOKUP($G20,基本資料!$A:$J,6,0),"無")</f>
        <v>-35</v>
      </c>
      <c r="E20" s="79">
        <f>IFERROR(VLOOKUP($G20,基本資料!$A:$J,7,0),"無")</f>
        <v>-19</v>
      </c>
      <c r="F20" s="6">
        <f>IFERROR(VLOOKUP($G20,基本資料!$A:$J,8,0),"無")</f>
        <v>1.33</v>
      </c>
      <c r="G20" s="80">
        <v>4938</v>
      </c>
      <c r="H20" s="197" t="s">
        <v>1145</v>
      </c>
      <c r="I20" s="153" t="s">
        <v>3189</v>
      </c>
      <c r="J20" s="8" t="str">
        <f>IFERROR(VLOOKUP($G20,今日總結!$A:$AN,39,0),"")</f>
        <v>自</v>
      </c>
      <c r="K20" s="5">
        <f>IFERROR(VLOOKUP($G20,今日總結!$A:$AN,40,0),"")</f>
        <v>0</v>
      </c>
      <c r="L20" s="156">
        <f>IFERROR(VLOOKUP($G20,今日總結!$A:$AN,37,0),"")</f>
        <v>12</v>
      </c>
      <c r="M20" s="337">
        <f>IFERROR(VLOOKUP($G20,今日總結!$A:$AN,38,0),"")</f>
        <v>0</v>
      </c>
      <c r="N20" s="240">
        <f>IFERROR(L20-M20,"")</f>
        <v>12</v>
      </c>
      <c r="O20" s="359">
        <f>IFERROR(VLOOKUP($G20,融外自投!$A:$J,7,0),"無")</f>
        <v>1235</v>
      </c>
      <c r="P20" s="79">
        <f>IFERROR(VLOOKUP($G20,融外自投!$A:$J,9,0),"無")</f>
        <v>67</v>
      </c>
      <c r="Q20" s="342">
        <f>IFERROR(VLOOKUP($G20,融外自投!$A:$J,8,0),"無")</f>
        <v>162</v>
      </c>
      <c r="R20" s="81">
        <f>IFERROR(VLOOKUP($G20,融外自投!$A:$J,10,0),"無")</f>
        <v>75</v>
      </c>
      <c r="S20" s="324">
        <f>IFERROR(VLOOKUP($G20,'321買'!$A:$E,4,0),"'沒有資料'")</f>
        <v>366</v>
      </c>
      <c r="T20" s="186">
        <f>IFERROR(VLOOKUP($G20,基本資料!$A:$J,9,0),"無")</f>
        <v>5</v>
      </c>
      <c r="U20" s="307">
        <f>$T20/$W20</f>
        <v>7.7881619937694699E-2</v>
      </c>
      <c r="V20" s="94">
        <f>IFERROR(VLOOKUP($G20,基本資料!$A:$J,10,0),"無")</f>
        <v>7.71</v>
      </c>
      <c r="W20" s="161">
        <f>RTD("money.excel",,"4938","Price")</f>
        <v>64.2</v>
      </c>
      <c r="X20" s="65">
        <f>73.1-4.49</f>
        <v>68.61</v>
      </c>
      <c r="Y20" s="15">
        <f>W20-X20</f>
        <v>-4.4099999999999966</v>
      </c>
      <c r="Z20" s="76">
        <f>Y20/X20</f>
        <v>-6.4276344556187096E-2</v>
      </c>
      <c r="AA20" s="340">
        <v>-6.43</v>
      </c>
      <c r="AB20" s="389">
        <f>IFERROR(VLOOKUP($G20,基本資料!$A:$M,12,0),"無")</f>
        <v>27.41</v>
      </c>
      <c r="AC20" s="153" t="s">
        <v>3189</v>
      </c>
      <c r="AD20" s="253"/>
      <c r="AE20" s="83"/>
      <c r="AF20" s="33">
        <f t="shared" si="8"/>
        <v>0</v>
      </c>
      <c r="AG20" s="81">
        <v>1</v>
      </c>
      <c r="AH20" s="41"/>
      <c r="AI20" s="221">
        <f t="shared" si="12"/>
        <v>64200</v>
      </c>
      <c r="AJ20" s="153" t="s">
        <v>3189</v>
      </c>
      <c r="AK20" s="66">
        <f t="shared" si="11"/>
        <v>1.197367637424811</v>
      </c>
      <c r="AL20" s="283">
        <f>RTD("money.excel",,"4938","PredictVolume")</f>
        <v>8042</v>
      </c>
      <c r="AM20" s="391">
        <f>IFERROR(VLOOKUP($G20,基本資料!$A:$M,13,0),"無")</f>
        <v>6716.4</v>
      </c>
      <c r="AN20" s="127"/>
      <c r="AO20" s="275">
        <f>RTD("money.excel",,"4938","VolumeStrength")</f>
        <v>-56</v>
      </c>
      <c r="AP20" s="40">
        <f>RTD("money.excel",,"4938","ChangePercent")</f>
        <v>-0.61919504643962853</v>
      </c>
      <c r="AR20" s="245" t="str">
        <f>INDEX(基本資料!N:N,MATCH($G20,基本資料!$A:$A,0))</f>
        <v>低</v>
      </c>
    </row>
    <row r="21" spans="1:44">
      <c r="A21" s="343">
        <f>IFERROR(VLOOKUP($G21,基本資料!$A:$J,3,0),"無")</f>
        <v>4.82</v>
      </c>
      <c r="B21" s="79">
        <f>IFERROR(VLOOKUP($G21,基本資料!$A:$J,4,0),"無")</f>
        <v>-8</v>
      </c>
      <c r="C21" s="79">
        <f>IFERROR(VLOOKUP($G21,基本資料!$A:$J,5,0),"無")</f>
        <v>-32</v>
      </c>
      <c r="D21" s="79">
        <f>IFERROR(VLOOKUP($G21,基本資料!$A:$J,6,0),"無")</f>
        <v>-15</v>
      </c>
      <c r="E21" s="79">
        <f>IFERROR(VLOOKUP($G21,基本資料!$A:$J,7,0),"無")</f>
        <v>-7</v>
      </c>
      <c r="F21" s="6">
        <f>IFERROR(VLOOKUP($G21,基本資料!$A:$J,8,0),"無")</f>
        <v>11.25</v>
      </c>
      <c r="G21" s="80">
        <v>4163</v>
      </c>
      <c r="H21" s="5" t="s">
        <v>4723</v>
      </c>
      <c r="I21" s="16" t="s">
        <v>142</v>
      </c>
      <c r="J21" s="8">
        <f>IFERROR(VLOOKUP($G21,今日總結!$A:$AN,39,0),"")</f>
        <v>0</v>
      </c>
      <c r="K21" s="5">
        <f>IFERROR(VLOOKUP($G21,今日總結!$A:$AN,40,0),"")</f>
        <v>0</v>
      </c>
      <c r="L21" s="156">
        <f>IFERROR(VLOOKUP($G21,今日總結!$A:$AN,37,0),"")</f>
        <v>0</v>
      </c>
      <c r="M21" s="337">
        <f>IFERROR(VLOOKUP($G21,今日總結!$A:$AN,38,0),"")</f>
        <v>0</v>
      </c>
      <c r="N21" s="240">
        <f t="shared" ref="N21:N23" si="18">IFERROR(L21-M21,"")</f>
        <v>0</v>
      </c>
      <c r="O21" s="359">
        <f>IFERROR(VLOOKUP($G21,融外自投!$A:$J,7,0),"無")</f>
        <v>1129</v>
      </c>
      <c r="P21" s="79">
        <f>IFERROR(VLOOKUP($G21,融外自投!$A:$J,9,0),"無")</f>
        <v>649</v>
      </c>
      <c r="Q21" s="342">
        <f>IFERROR(VLOOKUP($G21,融外自投!$A:$J,8,0),"無")</f>
        <v>988</v>
      </c>
      <c r="R21" s="81" t="str">
        <f>IFERROR(VLOOKUP($G21,融外自投!$A:$J,10,0),"無")</f>
        <v>無</v>
      </c>
      <c r="S21" s="324">
        <f>IFERROR(VLOOKUP($G21,'321買'!$A:$E,4,0),"'沒有資料'")</f>
        <v>1002</v>
      </c>
      <c r="T21" s="186">
        <f>IFERROR(VLOOKUP($G21,基本資料!$A:$J,9,0),"無")</f>
        <v>2.5</v>
      </c>
      <c r="U21" s="307">
        <f t="shared" si="10"/>
        <v>3.0339805825242715E-2</v>
      </c>
      <c r="V21" s="94">
        <f>IFERROR(VLOOKUP($G21,基本資料!$A:$J,10,0),"無")</f>
        <v>4.7300000000000004</v>
      </c>
      <c r="W21" s="36">
        <f>RTD("money.excel",,"4163","Price")</f>
        <v>82.4</v>
      </c>
      <c r="X21" s="66">
        <f>91.7-3.5</f>
        <v>88.2</v>
      </c>
      <c r="Y21" s="15">
        <f>W21-X21</f>
        <v>-5.7999999999999972</v>
      </c>
      <c r="Z21" s="76">
        <f>Y21/X21</f>
        <v>-6.5759637188208583E-2</v>
      </c>
      <c r="AA21" s="340">
        <v>-6.58</v>
      </c>
      <c r="AB21" s="389">
        <f>IFERROR(VLOOKUP($G21,基本資料!$A:$M,12,0),"無")</f>
        <v>43.6</v>
      </c>
      <c r="AC21" s="16" t="s">
        <v>142</v>
      </c>
      <c r="AF21" s="33">
        <f t="shared" si="8"/>
        <v>0</v>
      </c>
      <c r="AG21" s="81">
        <v>2</v>
      </c>
      <c r="AH21" s="79">
        <v>1</v>
      </c>
      <c r="AI21" s="221">
        <f t="shared" si="9"/>
        <v>164800</v>
      </c>
      <c r="AJ21" s="16" t="s">
        <v>142</v>
      </c>
      <c r="AK21" s="66">
        <f t="shared" si="11"/>
        <v>0.30855539971949508</v>
      </c>
      <c r="AL21" s="283">
        <f>RTD("money.excel",,"4163","PredictVolume")</f>
        <v>11</v>
      </c>
      <c r="AM21" s="391">
        <f>IFERROR(VLOOKUP($G21,基本資料!$A:$M,13,0),"無")</f>
        <v>35.65</v>
      </c>
      <c r="AO21" s="275">
        <f>RTD("money.excel",,"4163","VolumeStrength")</f>
        <v>-38</v>
      </c>
      <c r="AP21" s="40">
        <f>RTD("money.excel",,"4163","ChangePercent")</f>
        <v>0.61050061050061055</v>
      </c>
      <c r="AR21" s="245" t="str">
        <f>INDEX(基本資料!N:N,MATCH($G21,基本資料!$A:$A,0))</f>
        <v>低</v>
      </c>
    </row>
    <row r="22" spans="1:44">
      <c r="A22" s="343">
        <f>IFERROR(VLOOKUP($G22,基本資料!$A:$J,3,0),"無")</f>
        <v>18.72</v>
      </c>
      <c r="B22" s="79">
        <f>IFERROR(VLOOKUP($G22,基本資料!$A:$J,4,0),"無")</f>
        <v>15</v>
      </c>
      <c r="C22" s="79">
        <f>IFERROR(VLOOKUP($G22,基本資料!$A:$J,5,0),"無")</f>
        <v>45</v>
      </c>
      <c r="D22" s="79">
        <f>IFERROR(VLOOKUP($G22,基本資料!$A:$J,6,0),"無")</f>
        <v>4</v>
      </c>
      <c r="E22" s="79">
        <f>IFERROR(VLOOKUP($G22,基本資料!$A:$J,7,0),"無")</f>
        <v>-9</v>
      </c>
      <c r="F22" s="6">
        <f>IFERROR(VLOOKUP($G22,基本資料!$A:$J,8,0),"無")</f>
        <v>4.04</v>
      </c>
      <c r="G22" s="80">
        <v>3015</v>
      </c>
      <c r="H22" s="5" t="s">
        <v>3388</v>
      </c>
      <c r="I22" s="22" t="s">
        <v>388</v>
      </c>
      <c r="J22" s="8" t="str">
        <f>IFERROR(VLOOKUP($G22,今日總結!$A:$AN,39,0),"")</f>
        <v>融</v>
      </c>
      <c r="K22" s="5">
        <f>IFERROR(VLOOKUP($G22,今日總結!$A:$AN,40,0),"")</f>
        <v>0</v>
      </c>
      <c r="L22" s="156">
        <f>IFERROR(VLOOKUP($G22,今日總結!$A:$AN,37,0),"")</f>
        <v>1</v>
      </c>
      <c r="M22" s="337">
        <f>IFERROR(VLOOKUP($G22,今日總結!$A:$AN,38,0),"")</f>
        <v>0</v>
      </c>
      <c r="N22" s="240">
        <f t="shared" si="18"/>
        <v>1</v>
      </c>
      <c r="O22" s="359">
        <f>IFERROR(VLOOKUP($G22,融外自投!$A:$J,7,0),"無")</f>
        <v>822</v>
      </c>
      <c r="P22" s="79">
        <f>IFERROR(VLOOKUP($G22,融外自投!$A:$J,9,0),"無")</f>
        <v>990</v>
      </c>
      <c r="Q22" s="342">
        <f>IFERROR(VLOOKUP($G22,融外自投!$A:$J,8,0),"無")</f>
        <v>459</v>
      </c>
      <c r="R22" s="81">
        <f>IFERROR(VLOOKUP($G22,融外自投!$A:$J,10,0),"無")</f>
        <v>476</v>
      </c>
      <c r="S22" s="324">
        <f>IFERROR(VLOOKUP($G22,'321買'!$A:$E,4,0),"'沒有資料'")</f>
        <v>1002</v>
      </c>
      <c r="T22" s="186">
        <f>IFERROR(VLOOKUP($G22,基本資料!$A:$J,9,0),"無")</f>
        <v>3.3</v>
      </c>
      <c r="U22" s="307">
        <f t="shared" si="10"/>
        <v>8.0291970802919707E-2</v>
      </c>
      <c r="V22" s="94">
        <f>IFERROR(VLOOKUP($G22,基本資料!$A:$J,10,0),"無")</f>
        <v>4.03</v>
      </c>
      <c r="W22" s="36">
        <f>RTD("money.excel",,"3015","Price")</f>
        <v>41.1</v>
      </c>
      <c r="X22" s="66">
        <v>44.4</v>
      </c>
      <c r="Y22" s="15">
        <f t="shared" ref="Y22" si="19">W22-X22</f>
        <v>-3.2999999999999972</v>
      </c>
      <c r="Z22" s="76">
        <f t="shared" ref="Z22" si="20">Y22/X22</f>
        <v>-7.4324324324324259E-2</v>
      </c>
      <c r="AA22" s="340">
        <v>-7.43</v>
      </c>
      <c r="AB22" s="389">
        <f>IFERROR(VLOOKUP($G22,基本資料!$A:$M,12,0),"無")</f>
        <v>20.67</v>
      </c>
      <c r="AC22" s="22" t="s">
        <v>388</v>
      </c>
      <c r="AF22" s="33">
        <f t="shared" si="8"/>
        <v>0</v>
      </c>
      <c r="AG22" s="81">
        <v>1</v>
      </c>
      <c r="AH22" s="60"/>
      <c r="AI22" s="221">
        <f t="shared" si="9"/>
        <v>41100</v>
      </c>
      <c r="AJ22" s="22" t="s">
        <v>388</v>
      </c>
      <c r="AK22" s="66">
        <f t="shared" si="11"/>
        <v>0.93371757925072041</v>
      </c>
      <c r="AL22" s="283">
        <f>RTD("money.excel",,"3015","PredictVolume")</f>
        <v>81</v>
      </c>
      <c r="AM22" s="391">
        <f>IFERROR(VLOOKUP($G22,基本資料!$A:$M,13,0),"無")</f>
        <v>86.75</v>
      </c>
      <c r="AO22" s="275">
        <f>RTD("money.excel",,"3015","VolumeStrength")</f>
        <v>-10</v>
      </c>
      <c r="AP22" s="40">
        <f>RTD("money.excel",,"3015","ChangePercent")</f>
        <v>1.6069221260815822</v>
      </c>
      <c r="AR22" s="245" t="str">
        <f>INDEX(基本資料!N:N,MATCH($G22,基本資料!$A:$A,0))</f>
        <v>中</v>
      </c>
    </row>
    <row r="23" spans="1:44">
      <c r="A23" s="343">
        <f>IFERROR(VLOOKUP($G23,基本資料!$A:$J,3,0),"無")</f>
        <v>4.45</v>
      </c>
      <c r="B23" s="79">
        <f>IFERROR(VLOOKUP($G23,基本資料!$A:$J,4,0),"無")</f>
        <v>-18</v>
      </c>
      <c r="C23" s="79">
        <f>IFERROR(VLOOKUP($G23,基本資料!$A:$J,5,0),"無")</f>
        <v>-29</v>
      </c>
      <c r="D23" s="79">
        <f>IFERROR(VLOOKUP($G23,基本資料!$A:$J,6,0),"無")</f>
        <v>-73</v>
      </c>
      <c r="E23" s="79">
        <f>IFERROR(VLOOKUP($G23,基本資料!$A:$J,7,0),"無")</f>
        <v>-61</v>
      </c>
      <c r="F23" s="6">
        <f>IFERROR(VLOOKUP($G23,基本資料!$A:$J,8,0),"無")</f>
        <v>12.61</v>
      </c>
      <c r="G23" s="80">
        <v>5223</v>
      </c>
      <c r="H23" s="183" t="s">
        <v>1145</v>
      </c>
      <c r="I23" s="16" t="s">
        <v>2220</v>
      </c>
      <c r="J23" s="8">
        <f>IFERROR(VLOOKUP($G23,今日總結!$A:$AN,39,0),"")</f>
        <v>0</v>
      </c>
      <c r="K23" s="5">
        <f>IFERROR(VLOOKUP($G23,今日總結!$A:$AN,40,0),"")</f>
        <v>0</v>
      </c>
      <c r="L23" s="156">
        <f>IFERROR(VLOOKUP($G23,今日總結!$A:$AN,37,0),"")</f>
        <v>0</v>
      </c>
      <c r="M23" s="337">
        <f>IFERROR(VLOOKUP($G23,今日總結!$A:$AN,38,0),"")</f>
        <v>0</v>
      </c>
      <c r="N23" s="240">
        <f t="shared" si="18"/>
        <v>0</v>
      </c>
      <c r="O23" s="359">
        <f>IFERROR(VLOOKUP($G23,融外自投!$A:$J,7,0),"無")</f>
        <v>295</v>
      </c>
      <c r="P23" s="79" t="str">
        <f>IFERROR(VLOOKUP($G23,融外自投!$A:$J,9,0),"無")</f>
        <v>無</v>
      </c>
      <c r="Q23" s="342">
        <f>IFERROR(VLOOKUP($G23,融外自投!$A:$J,8,0),"無")</f>
        <v>103</v>
      </c>
      <c r="R23" s="81" t="str">
        <f>IFERROR(VLOOKUP($G23,融外自投!$A:$J,10,0),"無")</f>
        <v>無</v>
      </c>
      <c r="S23" s="324">
        <f>IFERROR(VLOOKUP($G23,'321買'!$A:$E,4,0),"'沒有資料'")</f>
        <v>1002</v>
      </c>
      <c r="T23" s="186">
        <f>IFERROR(VLOOKUP($G23,基本資料!$A:$J,9,0),"無")</f>
        <v>2.7</v>
      </c>
      <c r="U23" s="307">
        <f t="shared" si="10"/>
        <v>5.844155844155844E-2</v>
      </c>
      <c r="V23" s="94">
        <f>IFERROR(VLOOKUP($G23,基本資料!$A:$J,10,0),"無")</f>
        <v>5.22</v>
      </c>
      <c r="W23" s="36">
        <f>RTD("money.excel",,"5223","Price")</f>
        <v>46.2</v>
      </c>
      <c r="X23" s="66">
        <v>53.3</v>
      </c>
      <c r="Y23" s="15">
        <f t="shared" ref="Y23" si="21">W23-X23</f>
        <v>-7.0999999999999943</v>
      </c>
      <c r="Z23" s="76">
        <f t="shared" ref="Z23" si="22">Y23/X23</f>
        <v>-0.13320825515947457</v>
      </c>
      <c r="AA23" s="340">
        <v>-13.32</v>
      </c>
      <c r="AB23" s="389">
        <f>IFERROR(VLOOKUP($G23,基本資料!$A:$M,12,0),"無")</f>
        <v>12.81</v>
      </c>
      <c r="AC23" s="16" t="s">
        <v>2220</v>
      </c>
      <c r="AF23" s="33">
        <f t="shared" si="8"/>
        <v>0</v>
      </c>
      <c r="AG23" s="81">
        <v>4</v>
      </c>
      <c r="AH23" s="41"/>
      <c r="AI23" s="221">
        <f t="shared" si="9"/>
        <v>184800</v>
      </c>
      <c r="AJ23" s="16" t="s">
        <v>2220</v>
      </c>
      <c r="AK23" s="66">
        <f t="shared" si="11"/>
        <v>1.042830540037244</v>
      </c>
      <c r="AL23" s="283">
        <f>RTD("money.excel",,"5223","PredictVolume")</f>
        <v>28</v>
      </c>
      <c r="AM23" s="391">
        <f>IFERROR(VLOOKUP($G23,基本資料!$A:$M,13,0),"無")</f>
        <v>26.85</v>
      </c>
      <c r="AO23" s="275">
        <f>RTD("money.excel",,"5223","VolumeStrength")</f>
        <v>-6</v>
      </c>
      <c r="AP23" s="40">
        <f>RTD("money.excel",,"5223","ChangePercent")</f>
        <v>-1.2820512820512822</v>
      </c>
      <c r="AR23" s="245" t="str">
        <f>INDEX(基本資料!N:N,MATCH($G23,基本資料!$A:$A,0))</f>
        <v>低</v>
      </c>
    </row>
    <row r="24" spans="1:44" s="248" customFormat="1">
      <c r="A24" s="343">
        <f>IFERROR(VLOOKUP($G24,基本資料!$A:$J,3,0),"無")</f>
        <v>27.13</v>
      </c>
      <c r="B24" s="79">
        <f>IFERROR(VLOOKUP($G24,基本資料!$A:$J,4,0),"無")</f>
        <v>8</v>
      </c>
      <c r="C24" s="79">
        <f>IFERROR(VLOOKUP($G24,基本資料!$A:$J,5,0),"無")</f>
        <v>25</v>
      </c>
      <c r="D24" s="79">
        <f>IFERROR(VLOOKUP($G24,基本資料!$A:$J,6,0),"無")</f>
        <v>3</v>
      </c>
      <c r="E24" s="79">
        <f>IFERROR(VLOOKUP($G24,基本資料!$A:$J,7,0),"無")</f>
        <v>54</v>
      </c>
      <c r="F24" s="6">
        <f>IFERROR(VLOOKUP($G24,基本資料!$A:$J,8,0),"無")</f>
        <v>28.8</v>
      </c>
      <c r="G24" s="79">
        <v>3374</v>
      </c>
      <c r="H24" s="145" t="s">
        <v>307</v>
      </c>
      <c r="I24" s="16" t="s">
        <v>167</v>
      </c>
      <c r="J24" s="8">
        <f>IFERROR(VLOOKUP($G24,今日總結!$A:$AN,39,0),"")</f>
        <v>0</v>
      </c>
      <c r="K24" s="5">
        <f>IFERROR(VLOOKUP($G24,今日總結!$A:$AN,40,0),"")</f>
        <v>0</v>
      </c>
      <c r="L24" s="156">
        <f>IFERROR(VLOOKUP($G24,今日總結!$A:$AN,37,0),"")</f>
        <v>0</v>
      </c>
      <c r="M24" s="337">
        <f>IFERROR(VLOOKUP($G24,今日總結!$A:$AN,38,0),"")</f>
        <v>0</v>
      </c>
      <c r="N24" s="240">
        <f>IFERROR(L24-M24,"")</f>
        <v>0</v>
      </c>
      <c r="O24" s="359">
        <f>IFERROR(VLOOKUP($G24,融外自投!$A:$J,7,0),"無")</f>
        <v>303</v>
      </c>
      <c r="P24" s="79">
        <f>IFERROR(VLOOKUP($G24,融外自投!$A:$J,9,0),"無")</f>
        <v>204</v>
      </c>
      <c r="Q24" s="342">
        <f>IFERROR(VLOOKUP($G24,融外自投!$A:$J,8,0),"無")</f>
        <v>689</v>
      </c>
      <c r="R24" s="81">
        <f>IFERROR(VLOOKUP($G24,融外自投!$A:$J,10,0),"無")</f>
        <v>71</v>
      </c>
      <c r="S24" s="324">
        <f>IFERROR(VLOOKUP($G24,'321買'!$A:$E,4,0),"'沒有資料'")</f>
        <v>272</v>
      </c>
      <c r="T24" s="186">
        <f>IFERROR(VLOOKUP($G24,基本資料!$A:$J,9,0),"無")</f>
        <v>3</v>
      </c>
      <c r="U24" s="307">
        <f>$T24/$W24</f>
        <v>2.2222222222222223E-2</v>
      </c>
      <c r="V24" s="94">
        <f>IFERROR(VLOOKUP($G24,基本資料!$A:$J,10,0),"無")</f>
        <v>6.92</v>
      </c>
      <c r="W24" s="36">
        <f>RTD("money.excel",,"3374","Price")</f>
        <v>135</v>
      </c>
      <c r="X24" s="65">
        <v>160</v>
      </c>
      <c r="Y24" s="15">
        <f>W24-X24</f>
        <v>-25</v>
      </c>
      <c r="Z24" s="76">
        <f>Y24/X24</f>
        <v>-0.15625</v>
      </c>
      <c r="AA24" s="340">
        <v>-15.63</v>
      </c>
      <c r="AB24" s="389">
        <f>IFERROR(VLOOKUP($G24,基本資料!$A:$M,12,0),"無")</f>
        <v>63.95</v>
      </c>
      <c r="AC24" s="166" t="s">
        <v>167</v>
      </c>
      <c r="AD24" s="84"/>
      <c r="AE24" s="83"/>
      <c r="AF24" s="33">
        <f>AE24-AD24</f>
        <v>0</v>
      </c>
      <c r="AG24" s="81">
        <v>4</v>
      </c>
      <c r="AH24" s="41"/>
      <c r="AI24" s="221">
        <f>W24*AG24*1000</f>
        <v>540000</v>
      </c>
      <c r="AJ24" s="16" t="s">
        <v>167</v>
      </c>
      <c r="AK24" s="66">
        <f>AL24/AM24</f>
        <v>0.34814011247823229</v>
      </c>
      <c r="AL24" s="283">
        <f>RTD("money.excel",,"3374","PredictVolume")</f>
        <v>2439</v>
      </c>
      <c r="AM24" s="391">
        <f>IFERROR(VLOOKUP($G24,基本資料!$A:$M,13,0),"無")</f>
        <v>7005.8</v>
      </c>
      <c r="AN24" s="127"/>
      <c r="AO24" s="275">
        <f>RTD("money.excel",,"3374","VolumeStrength")</f>
        <v>32</v>
      </c>
      <c r="AP24" s="40">
        <f>RTD("money.excel",,"3374","ChangePercent")</f>
        <v>-0.36900369003690037</v>
      </c>
      <c r="AR24" s="245" t="str">
        <f>INDEX(基本資料!N:N,MATCH($G24,基本資料!$A:$A,0))</f>
        <v>低</v>
      </c>
    </row>
    <row r="25" spans="1:44">
      <c r="A25" s="343">
        <f>IFERROR(VLOOKUP($G25,基本資料!$A:$J,3,0),"無")</f>
        <v>27.43</v>
      </c>
      <c r="B25" s="79">
        <f>IFERROR(VLOOKUP($G25,基本資料!$A:$J,4,0),"無")</f>
        <v>21</v>
      </c>
      <c r="C25" s="79">
        <f>IFERROR(VLOOKUP($G25,基本資料!$A:$J,5,0),"無")</f>
        <v>16</v>
      </c>
      <c r="D25" s="79">
        <f>IFERROR(VLOOKUP($G25,基本資料!$A:$J,6,0),"無")</f>
        <v>0</v>
      </c>
      <c r="E25" s="79">
        <f>IFERROR(VLOOKUP($G25,基本資料!$A:$J,7,0),"無")</f>
        <v>17</v>
      </c>
      <c r="F25" s="6">
        <f>IFERROR(VLOOKUP($G25,基本資料!$A:$J,8,0),"無")</f>
        <v>17.809999999999999</v>
      </c>
      <c r="G25" s="80">
        <v>1476</v>
      </c>
      <c r="H25" s="8" t="s">
        <v>294</v>
      </c>
      <c r="I25" s="22" t="s">
        <v>3588</v>
      </c>
      <c r="J25" s="8" t="str">
        <f>IFERROR(VLOOKUP($G25,今日總結!$A:$AN,39,0),"")</f>
        <v>外</v>
      </c>
      <c r="K25" s="5" t="str">
        <f>IFERROR(VLOOKUP($G25,今日總結!$A:$AN,40,0),"")</f>
        <v>借</v>
      </c>
      <c r="L25" s="156">
        <f>IFERROR(VLOOKUP($G25,今日總結!$A:$AN,37,0),"")</f>
        <v>2</v>
      </c>
      <c r="M25" s="337">
        <f>IFERROR(VLOOKUP($G25,今日總結!$A:$AN,38,0),"")</f>
        <v>2</v>
      </c>
      <c r="N25" s="240">
        <f t="shared" ref="N25:N30" si="23">IFERROR(L25-M25,"")</f>
        <v>0</v>
      </c>
      <c r="O25" s="359">
        <f>IFERROR(VLOOKUP($G25,融外自投!$A:$J,7,0),"無")</f>
        <v>1288</v>
      </c>
      <c r="P25" s="79">
        <f>IFERROR(VLOOKUP($G25,融外自投!$A:$J,9,0),"無")</f>
        <v>92</v>
      </c>
      <c r="Q25" s="342">
        <f>IFERROR(VLOOKUP($G25,融外自投!$A:$J,8,0),"無")</f>
        <v>121</v>
      </c>
      <c r="R25" s="81">
        <f>IFERROR(VLOOKUP($G25,融外自投!$A:$J,10,0),"無")</f>
        <v>157</v>
      </c>
      <c r="S25" s="324">
        <f>IFERROR(VLOOKUP($G25,'321買'!$A:$E,4,0),"'沒有資料'")</f>
        <v>465</v>
      </c>
      <c r="T25" s="186">
        <f>IFERROR(VLOOKUP($G25,基本資料!$A:$J,9,0),"無")</f>
        <v>12</v>
      </c>
      <c r="U25" s="307">
        <f t="shared" ref="U25:U31" si="24">$T25/$W25</f>
        <v>2.3715415019762844E-2</v>
      </c>
      <c r="V25" s="94">
        <f>IFERROR(VLOOKUP($G25,基本資料!$A:$J,10,0),"無")</f>
        <v>18.77</v>
      </c>
      <c r="W25" s="36">
        <f>RTD("money.excel",,"1476","Price")</f>
        <v>506</v>
      </c>
      <c r="X25" s="66">
        <v>587</v>
      </c>
      <c r="Y25" s="137">
        <f t="shared" ref="Y25:Y26" si="25">W25-X25</f>
        <v>-81</v>
      </c>
      <c r="Z25" s="76">
        <f t="shared" ref="Z25:Z26" si="26">Y25/X25</f>
        <v>-0.13798977853492334</v>
      </c>
      <c r="AA25" s="340">
        <v>-13.8</v>
      </c>
      <c r="AB25" s="389">
        <f>IFERROR(VLOOKUP($G25,基本資料!$A:$M,12,0),"無")</f>
        <v>64.650000000000006</v>
      </c>
      <c r="AC25" s="22" t="s">
        <v>3588</v>
      </c>
      <c r="AE25" s="83">
        <v>44697</v>
      </c>
      <c r="AF25" s="33">
        <f t="shared" ref="AF25:AF31" si="27">AE25-AD25</f>
        <v>44697</v>
      </c>
      <c r="AG25" s="79">
        <v>0</v>
      </c>
      <c r="AH25" s="60"/>
      <c r="AI25" s="221">
        <f t="shared" ref="AI25:AI31" si="28">W25*AG25*1000</f>
        <v>0</v>
      </c>
      <c r="AJ25" s="22" t="s">
        <v>3588</v>
      </c>
      <c r="AK25" s="66">
        <f t="shared" ref="AK25:AK31" si="29">AL25/AM25</f>
        <v>0.7929948033880273</v>
      </c>
      <c r="AL25" s="283">
        <f>RTD("money.excel",,$G25,"PredictVolume")</f>
        <v>969</v>
      </c>
      <c r="AM25" s="391">
        <f>IFERROR(VLOOKUP($G25,基本資料!$A:$M,13,0),"無")</f>
        <v>1221.95</v>
      </c>
      <c r="AO25" s="275">
        <f>RTD("money.excel",,"1476","VolumeStrength")</f>
        <v>-28</v>
      </c>
      <c r="AP25" s="40">
        <f>RTD("money.excel",,"1476","ChangePercent")</f>
        <v>-1.171875</v>
      </c>
      <c r="AR25" s="245" t="str">
        <f>INDEX(基本資料!N:N,MATCH($G25,基本資料!$A:$A,0))</f>
        <v>中</v>
      </c>
    </row>
    <row r="26" spans="1:44" s="248" customFormat="1" ht="16.5" customHeight="1">
      <c r="A26" s="343">
        <f>IFERROR(VLOOKUP($G26,基本資料!$A:$J,3,0),"無")</f>
        <v>5.05</v>
      </c>
      <c r="B26" s="79">
        <f>IFERROR(VLOOKUP($G26,基本資料!$A:$J,4,0),"無")</f>
        <v>-1063</v>
      </c>
      <c r="C26" s="79">
        <f>IFERROR(VLOOKUP($G26,基本資料!$A:$J,5,0),"無")</f>
        <v>-409</v>
      </c>
      <c r="D26" s="79">
        <f>IFERROR(VLOOKUP($G26,基本資料!$A:$J,6,0),"無")</f>
        <v>14</v>
      </c>
      <c r="E26" s="79">
        <f>IFERROR(VLOOKUP($G26,基本資料!$A:$J,7,0),"無")</f>
        <v>-22</v>
      </c>
      <c r="F26" s="6">
        <f>IFERROR(VLOOKUP($G26,基本資料!$A:$J,8,0),"無")</f>
        <v>-5.89</v>
      </c>
      <c r="G26" s="79">
        <v>4432</v>
      </c>
      <c r="H26" s="17" t="s">
        <v>294</v>
      </c>
      <c r="I26" s="166" t="s">
        <v>3590</v>
      </c>
      <c r="J26" s="8">
        <f>IFERROR(VLOOKUP($G26,今日總結!$A:$AN,39,0),"")</f>
        <v>0</v>
      </c>
      <c r="K26" s="5">
        <f>IFERROR(VLOOKUP($G26,今日總結!$A:$AN,40,0),"")</f>
        <v>2</v>
      </c>
      <c r="L26" s="156">
        <f>IFERROR(VLOOKUP($G26,今日總結!$A:$AN,37,0),"")</f>
        <v>0</v>
      </c>
      <c r="M26" s="337">
        <f>IFERROR(VLOOKUP($G26,今日總結!$A:$AN,38,0),"")</f>
        <v>1</v>
      </c>
      <c r="N26" s="240">
        <f t="shared" si="23"/>
        <v>-1</v>
      </c>
      <c r="O26" s="359">
        <f>IFERROR(VLOOKUP($G26,融外自投!$A:$J,7,0),"無")</f>
        <v>751</v>
      </c>
      <c r="P26" s="79">
        <f>IFERROR(VLOOKUP($G26,融外自投!$A:$J,9,0),"無")</f>
        <v>298</v>
      </c>
      <c r="Q26" s="342">
        <f>IFERROR(VLOOKUP($G26,融外自投!$A:$J,8,0),"無")</f>
        <v>1405</v>
      </c>
      <c r="R26" s="81" t="str">
        <f>IFERROR(VLOOKUP($G26,融外自投!$A:$J,10,0),"無")</f>
        <v>無</v>
      </c>
      <c r="S26" s="324">
        <f>IFERROR(VLOOKUP($G26,'321買'!$A:$E,4,0),"'沒有資料'")</f>
        <v>1002</v>
      </c>
      <c r="T26" s="186">
        <f>IFERROR(VLOOKUP($G26,基本資料!$A:$J,9,0),"無")</f>
        <v>0</v>
      </c>
      <c r="U26" s="307">
        <f t="shared" si="24"/>
        <v>0</v>
      </c>
      <c r="V26" s="94">
        <f>IFERROR(VLOOKUP($G26,基本資料!$A:$J,10,0),"無")</f>
        <v>-2.04</v>
      </c>
      <c r="W26" s="161">
        <f>RTD("money.excel",,"4432","Price")</f>
        <v>15</v>
      </c>
      <c r="X26" s="65">
        <v>17.899999999999999</v>
      </c>
      <c r="Y26" s="15">
        <f t="shared" si="25"/>
        <v>-2.8999999999999986</v>
      </c>
      <c r="Z26" s="76">
        <f t="shared" si="26"/>
        <v>-0.16201117318435748</v>
      </c>
      <c r="AA26" s="340">
        <v>-16.2</v>
      </c>
      <c r="AB26" s="389">
        <f>IFERROR(VLOOKUP($G26,基本資料!$A:$M,12,0),"無")</f>
        <v>46.62</v>
      </c>
      <c r="AC26" s="166" t="s">
        <v>206</v>
      </c>
      <c r="AD26" s="84"/>
      <c r="AE26" s="83"/>
      <c r="AF26" s="33">
        <f t="shared" si="27"/>
        <v>0</v>
      </c>
      <c r="AG26" s="79">
        <v>8</v>
      </c>
      <c r="AH26" s="79"/>
      <c r="AI26" s="221">
        <f t="shared" si="28"/>
        <v>120000</v>
      </c>
      <c r="AJ26" s="166" t="s">
        <v>206</v>
      </c>
      <c r="AK26" s="45">
        <f t="shared" si="29"/>
        <v>10.32875074716079</v>
      </c>
      <c r="AL26" s="283">
        <f>RTD("money.excel",,"4432","PredictVolume")</f>
        <v>2592</v>
      </c>
      <c r="AM26" s="391">
        <f>IFERROR(VLOOKUP($G26,基本資料!$A:$M,13,0),"無")</f>
        <v>250.95</v>
      </c>
      <c r="AN26" s="127" t="s">
        <v>6882</v>
      </c>
      <c r="AO26" s="275">
        <f>RTD("money.excel",,"4432","VolumeStrength")</f>
        <v>223</v>
      </c>
      <c r="AP26" s="40">
        <f>RTD("money.excel",,"4432","ChangePercent")</f>
        <v>-1.3157894736842106</v>
      </c>
      <c r="AQ26" s="50" t="s">
        <v>6755</v>
      </c>
      <c r="AR26" s="245" t="str">
        <f>INDEX(基本資料!N:N,MATCH($G26,基本資料!$A:$A,0))</f>
        <v>低</v>
      </c>
    </row>
    <row r="27" spans="1:44">
      <c r="A27" s="343">
        <f>IFERROR(VLOOKUP($G27,基本資料!$A:$J,3,0),"無")</f>
        <v>16.78</v>
      </c>
      <c r="B27" s="79">
        <f>IFERROR(VLOOKUP($G27,基本資料!$A:$J,4,0),"無")</f>
        <v>42</v>
      </c>
      <c r="C27" s="79">
        <f>IFERROR(VLOOKUP($G27,基本資料!$A:$J,5,0),"無")</f>
        <v>49</v>
      </c>
      <c r="D27" s="79">
        <f>IFERROR(VLOOKUP($G27,基本資料!$A:$J,6,0),"無")</f>
        <v>-7</v>
      </c>
      <c r="E27" s="79">
        <f>IFERROR(VLOOKUP($G27,基本資料!$A:$J,7,0),"無")</f>
        <v>-35</v>
      </c>
      <c r="F27" s="6">
        <f>IFERROR(VLOOKUP($G27,基本資料!$A:$J,8,0),"無")</f>
        <v>31.48</v>
      </c>
      <c r="G27" s="80">
        <v>5471</v>
      </c>
      <c r="H27" s="5" t="s">
        <v>307</v>
      </c>
      <c r="I27" s="22" t="s">
        <v>4058</v>
      </c>
      <c r="J27" s="8">
        <f>IFERROR(VLOOKUP($G27,今日總結!$A:$AN,39,0),"")</f>
        <v>0</v>
      </c>
      <c r="K27" s="5">
        <f>IFERROR(VLOOKUP($G27,今日總結!$A:$AN,40,0),"")</f>
        <v>0</v>
      </c>
      <c r="L27" s="156">
        <f>IFERROR(VLOOKUP($G27,今日總結!$A:$AN,37,0),"")</f>
        <v>0</v>
      </c>
      <c r="M27" s="337">
        <f>IFERROR(VLOOKUP($G27,今日總結!$A:$AN,38,0),"")</f>
        <v>0</v>
      </c>
      <c r="N27" s="240">
        <f t="shared" si="23"/>
        <v>0</v>
      </c>
      <c r="O27" s="359">
        <f>IFERROR(VLOOKUP($G27,融外自投!$A:$J,7,0),"無")</f>
        <v>353</v>
      </c>
      <c r="P27" s="79">
        <f>IFERROR(VLOOKUP($G27,融外自投!$A:$J,9,0),"無")</f>
        <v>908</v>
      </c>
      <c r="Q27" s="342">
        <f>IFERROR(VLOOKUP($G27,融外自投!$A:$J,8,0),"無")</f>
        <v>425</v>
      </c>
      <c r="R27" s="81">
        <f>IFERROR(VLOOKUP($G27,融外自投!$A:$J,10,0),"無")</f>
        <v>389</v>
      </c>
      <c r="S27" s="324">
        <f>IFERROR(VLOOKUP($G27,'321買'!$A:$E,4,0),"'沒有資料'")</f>
        <v>440</v>
      </c>
      <c r="T27" s="186">
        <f>IFERROR(VLOOKUP($G27,基本資料!$A:$J,9,0),"無")</f>
        <v>7</v>
      </c>
      <c r="U27" s="307">
        <f t="shared" si="24"/>
        <v>9.4466936572199733E-2</v>
      </c>
      <c r="V27" s="94">
        <f>IFERROR(VLOOKUP($G27,基本資料!$A:$J,10,0),"無")</f>
        <v>8.7100000000000009</v>
      </c>
      <c r="W27" s="36">
        <f>RTD("money.excel",,"5471","Price")</f>
        <v>74.099999999999994</v>
      </c>
      <c r="X27" s="66">
        <v>91.8</v>
      </c>
      <c r="Y27" s="15">
        <f t="shared" ref="Y27:Y31" si="30">W27-X27</f>
        <v>-17.700000000000003</v>
      </c>
      <c r="Z27" s="76">
        <f t="shared" ref="Z27:Z31" si="31">Y27/X27</f>
        <v>-0.19281045751633991</v>
      </c>
      <c r="AA27" s="340">
        <v>-19.28</v>
      </c>
      <c r="AB27" s="389">
        <f>IFERROR(VLOOKUP($G27,基本資料!$A:$M,12,0),"無")</f>
        <v>16.12</v>
      </c>
      <c r="AC27" s="22" t="s">
        <v>352</v>
      </c>
      <c r="AF27" s="33">
        <f t="shared" si="27"/>
        <v>0</v>
      </c>
      <c r="AG27" s="81">
        <v>2</v>
      </c>
      <c r="AH27" s="41"/>
      <c r="AI27" s="221">
        <f t="shared" si="28"/>
        <v>148200</v>
      </c>
      <c r="AJ27" s="22" t="s">
        <v>352</v>
      </c>
      <c r="AK27" s="66">
        <f t="shared" si="29"/>
        <v>0.63983018724888185</v>
      </c>
      <c r="AL27" s="283">
        <f>RTD("money.excel",,"5471","PredictVolume")</f>
        <v>422</v>
      </c>
      <c r="AM27" s="391">
        <f>IFERROR(VLOOKUP($G27,基本資料!$A:$M,13,0),"無")</f>
        <v>659.55</v>
      </c>
      <c r="AO27" s="275">
        <f>RTD("money.excel",,"5471","VolumeStrength")</f>
        <v>39</v>
      </c>
      <c r="AP27" s="40">
        <f>RTD("money.excel",,"5471","ChangePercent")</f>
        <v>-0.26917900403768508</v>
      </c>
      <c r="AR27" s="245" t="str">
        <f>INDEX(基本資料!N:N,MATCH($G27,基本資料!$A:$A,0))</f>
        <v>低</v>
      </c>
    </row>
    <row r="28" spans="1:44">
      <c r="A28" s="343">
        <f>IFERROR(VLOOKUP($G28,基本資料!$A:$J,3,0),"無")</f>
        <v>10.95</v>
      </c>
      <c r="B28" s="79">
        <f>IFERROR(VLOOKUP($G28,基本資料!$A:$J,4,0),"無")</f>
        <v>734</v>
      </c>
      <c r="C28" s="79">
        <f>IFERROR(VLOOKUP($G28,基本資料!$A:$J,5,0),"無")</f>
        <v>429</v>
      </c>
      <c r="D28" s="79">
        <f>IFERROR(VLOOKUP($G28,基本資料!$A:$J,6,0),"無")</f>
        <v>5</v>
      </c>
      <c r="E28" s="79">
        <f>IFERROR(VLOOKUP($G28,基本資料!$A:$J,7,0),"無")</f>
        <v>31</v>
      </c>
      <c r="F28" s="6">
        <f>IFERROR(VLOOKUP($G28,基本資料!$A:$J,8,0),"無")</f>
        <v>5.7</v>
      </c>
      <c r="G28" s="80">
        <v>3162</v>
      </c>
      <c r="H28" s="5" t="s">
        <v>3355</v>
      </c>
      <c r="I28" s="16" t="s">
        <v>531</v>
      </c>
      <c r="J28" s="8">
        <f>IFERROR(VLOOKUP($G28,今日總結!$A:$AN,39,0),"")</f>
        <v>0</v>
      </c>
      <c r="K28" s="5">
        <f>IFERROR(VLOOKUP($G28,今日總結!$A:$AN,40,0),"")</f>
        <v>0</v>
      </c>
      <c r="L28" s="156">
        <f>IFERROR(VLOOKUP($G28,今日總結!$A:$AN,37,0),"")</f>
        <v>0</v>
      </c>
      <c r="M28" s="337">
        <f>IFERROR(VLOOKUP($G28,今日總結!$A:$AN,38,0),"")</f>
        <v>0</v>
      </c>
      <c r="N28" s="240">
        <f>IFERROR(L28-M28,"")</f>
        <v>0</v>
      </c>
      <c r="O28" s="359">
        <f>IFERROR(VLOOKUP($G28,融外自投!$A:$J,7,0),"無")</f>
        <v>219</v>
      </c>
      <c r="P28" s="79" t="str">
        <f>IFERROR(VLOOKUP($G28,融外自投!$A:$J,9,0),"無")</f>
        <v>無</v>
      </c>
      <c r="Q28" s="342">
        <f>IFERROR(VLOOKUP($G28,融外自投!$A:$J,8,0),"無")</f>
        <v>73</v>
      </c>
      <c r="R28" s="81" t="str">
        <f>IFERROR(VLOOKUP($G28,融外自投!$A:$J,10,0),"無")</f>
        <v>無</v>
      </c>
      <c r="S28" s="324">
        <f>IFERROR(VLOOKUP($G28,'321買'!$A:$E,4,0),"'沒有資料'")</f>
        <v>1002</v>
      </c>
      <c r="T28" s="186">
        <f>IFERROR(VLOOKUP($G28,基本資料!$A:$J,9,0),"無")</f>
        <v>0</v>
      </c>
      <c r="U28" s="307">
        <f>$T28/$W28</f>
        <v>0</v>
      </c>
      <c r="V28" s="94">
        <f>IFERROR(VLOOKUP($G28,基本資料!$A:$J,10,0),"無")</f>
        <v>0.82</v>
      </c>
      <c r="W28" s="36">
        <f>RTD("money.excel",,"3162","Price")</f>
        <v>37.1</v>
      </c>
      <c r="X28" s="66">
        <v>46.2</v>
      </c>
      <c r="Y28" s="15">
        <f>W28-X28</f>
        <v>-9.1000000000000014</v>
      </c>
      <c r="Z28" s="76">
        <f>Y28/X28</f>
        <v>-0.19696969696969699</v>
      </c>
      <c r="AA28" s="340">
        <v>-19.7</v>
      </c>
      <c r="AB28" s="389">
        <f>IFERROR(VLOOKUP($G28,基本資料!$A:$M,12,0),"無")</f>
        <v>19.21</v>
      </c>
      <c r="AC28" s="16" t="s">
        <v>531</v>
      </c>
      <c r="AF28" s="33">
        <f>AE28-AD28</f>
        <v>0</v>
      </c>
      <c r="AG28" s="81">
        <v>1</v>
      </c>
      <c r="AH28" s="43"/>
      <c r="AI28" s="221">
        <f>W28*AG28*1000</f>
        <v>37100</v>
      </c>
      <c r="AJ28" s="16" t="s">
        <v>531</v>
      </c>
      <c r="AK28" s="66">
        <f>AL28/AM28</f>
        <v>0.9295694325634446</v>
      </c>
      <c r="AL28" s="283">
        <f>RTD("money.excel",,"3162","PredictVolume")</f>
        <v>163</v>
      </c>
      <c r="AM28" s="391">
        <f>IFERROR(VLOOKUP($G28,基本資料!$A:$M,13,0),"無")</f>
        <v>175.35</v>
      </c>
      <c r="AO28" s="275">
        <f>RTD("money.excel",,"3162","VolumeStrength")</f>
        <v>0</v>
      </c>
      <c r="AP28" s="40">
        <f>RTD("money.excel",,"3162","ChangePercent")</f>
        <v>4.507042253521127</v>
      </c>
      <c r="AR28" s="245" t="str">
        <f>INDEX(基本資料!N:N,MATCH($G28,基本資料!$A:$A,0))</f>
        <v>低</v>
      </c>
    </row>
    <row r="29" spans="1:44">
      <c r="A29" s="343">
        <f>IFERROR(VLOOKUP($G29,基本資料!$A:$J,3,0),"無")</f>
        <v>24.8</v>
      </c>
      <c r="B29" s="79">
        <f>IFERROR(VLOOKUP($G29,基本資料!$A:$J,4,0),"無")</f>
        <v>184</v>
      </c>
      <c r="C29" s="79">
        <f>IFERROR(VLOOKUP($G29,基本資料!$A:$J,5,0),"無")</f>
        <v>62</v>
      </c>
      <c r="D29" s="79">
        <f>IFERROR(VLOOKUP($G29,基本資料!$A:$J,6,0),"無")</f>
        <v>20</v>
      </c>
      <c r="E29" s="79">
        <f>IFERROR(VLOOKUP($G29,基本資料!$A:$J,7,0),"無")</f>
        <v>18</v>
      </c>
      <c r="F29" s="6">
        <f>IFERROR(VLOOKUP($G29,基本資料!$A:$J,8,0),"無")</f>
        <v>12.89</v>
      </c>
      <c r="G29" s="79">
        <v>8936</v>
      </c>
      <c r="H29" s="5" t="s">
        <v>1959</v>
      </c>
      <c r="I29" s="16" t="s">
        <v>668</v>
      </c>
      <c r="J29" s="8">
        <f>IFERROR(VLOOKUP($G29,今日總結!$A:$AN,39,0),"")</f>
        <v>0</v>
      </c>
      <c r="K29" s="5" t="str">
        <f>IFERROR(VLOOKUP($G29,今日總結!$A:$AN,40,0),"")</f>
        <v>主</v>
      </c>
      <c r="L29" s="156">
        <f>IFERROR(VLOOKUP($G29,今日總結!$A:$AN,37,0),"")</f>
        <v>0</v>
      </c>
      <c r="M29" s="337">
        <f>IFERROR(VLOOKUP($G29,今日總結!$A:$AN,38,0),"")</f>
        <v>5</v>
      </c>
      <c r="N29" s="240">
        <f t="shared" si="23"/>
        <v>-5</v>
      </c>
      <c r="O29" s="359">
        <f>IFERROR(VLOOKUP($G29,融外自投!$A:$J,7,0),"無")</f>
        <v>207</v>
      </c>
      <c r="P29" s="79">
        <f>IFERROR(VLOOKUP($G29,融外自投!$A:$J,9,0),"無")</f>
        <v>1051</v>
      </c>
      <c r="Q29" s="342">
        <f>IFERROR(VLOOKUP($G29,融外自投!$A:$J,8,0),"無")</f>
        <v>714</v>
      </c>
      <c r="R29" s="81" t="str">
        <f>IFERROR(VLOOKUP($G29,融外自投!$A:$J,10,0),"無")</f>
        <v>無</v>
      </c>
      <c r="S29" s="324">
        <f>IFERROR(VLOOKUP($G29,'321買'!$A:$E,4,0),"'沒有資料'")</f>
        <v>801</v>
      </c>
      <c r="T29" s="186">
        <f>IFERROR(VLOOKUP($G29,基本資料!$A:$J,9,0),"無")</f>
        <v>0.5</v>
      </c>
      <c r="U29" s="307">
        <f t="shared" si="24"/>
        <v>2.5188916876574305E-2</v>
      </c>
      <c r="V29" s="94">
        <f>IFERROR(VLOOKUP($G29,基本資料!$A:$J,10,0),"無")</f>
        <v>1.81</v>
      </c>
      <c r="W29" s="36">
        <f>RTD("money.excel",,"8936","Price")</f>
        <v>19.850000000000001</v>
      </c>
      <c r="X29" s="66">
        <f>25.1-0.25</f>
        <v>24.85</v>
      </c>
      <c r="Y29" s="15">
        <f t="shared" si="30"/>
        <v>-5</v>
      </c>
      <c r="Z29" s="76">
        <f t="shared" si="31"/>
        <v>-0.20120724346076457</v>
      </c>
      <c r="AA29" s="340">
        <v>-20.12</v>
      </c>
      <c r="AB29" s="389">
        <f>IFERROR(VLOOKUP($G29,基本資料!$A:$M,12,0),"無")</f>
        <v>23.89</v>
      </c>
      <c r="AC29" s="16" t="s">
        <v>668</v>
      </c>
      <c r="AF29" s="33">
        <f t="shared" si="27"/>
        <v>0</v>
      </c>
      <c r="AG29" s="81">
        <v>3</v>
      </c>
      <c r="AH29" s="41"/>
      <c r="AI29" s="221">
        <f t="shared" si="28"/>
        <v>59550.000000000007</v>
      </c>
      <c r="AJ29" s="16" t="s">
        <v>668</v>
      </c>
      <c r="AK29" s="66">
        <f t="shared" si="29"/>
        <v>0.69665907365224</v>
      </c>
      <c r="AL29" s="283">
        <f>RTD("money.excel",,"8936","PredictVolume")</f>
        <v>367</v>
      </c>
      <c r="AM29" s="391">
        <f>IFERROR(VLOOKUP($G29,基本資料!$A:$M,13,0),"無")</f>
        <v>526.79999999999995</v>
      </c>
      <c r="AO29" s="275">
        <f>RTD("money.excel",,"8936","VolumeStrength")</f>
        <v>-26</v>
      </c>
      <c r="AP29" s="40">
        <f>RTD("money.excel",,"8936","ChangePercent")</f>
        <v>-0.50125313283208017</v>
      </c>
      <c r="AR29" s="245" t="str">
        <f>INDEX(基本資料!N:N,MATCH($G29,基本資料!$A:$A,0))</f>
        <v>低</v>
      </c>
    </row>
    <row r="30" spans="1:44">
      <c r="A30" s="343">
        <f>IFERROR(VLOOKUP($G30,基本資料!$A:$J,3,0),"無")</f>
        <v>7.8</v>
      </c>
      <c r="B30" s="79">
        <f>IFERROR(VLOOKUP($G30,基本資料!$A:$J,4,0),"無")</f>
        <v>771</v>
      </c>
      <c r="C30" s="79">
        <f>IFERROR(VLOOKUP($G30,基本資料!$A:$J,5,0),"無")</f>
        <v>1228</v>
      </c>
      <c r="D30" s="79">
        <f>IFERROR(VLOOKUP($G30,基本資料!$A:$J,6,0),"無")</f>
        <v>-38</v>
      </c>
      <c r="E30" s="79">
        <f>IFERROR(VLOOKUP($G30,基本資料!$A:$J,7,0),"無")</f>
        <v>62</v>
      </c>
      <c r="F30" s="6">
        <f>IFERROR(VLOOKUP($G30,基本資料!$A:$J,8,0),"無")</f>
        <v>6.41</v>
      </c>
      <c r="G30" s="80">
        <v>3713</v>
      </c>
      <c r="H30" s="5" t="s">
        <v>1877</v>
      </c>
      <c r="I30" s="16" t="s">
        <v>2057</v>
      </c>
      <c r="J30" s="8" t="str">
        <f>IFERROR(VLOOKUP($G30,今日總結!$A:$AN,39,0),"")</f>
        <v/>
      </c>
      <c r="K30" s="5" t="str">
        <f>IFERROR(VLOOKUP($G30,今日總結!$A:$AN,40,0),"")</f>
        <v/>
      </c>
      <c r="L30" s="156" t="str">
        <f>IFERROR(VLOOKUP($G30,今日總結!$A:$AN,37,0),"")</f>
        <v/>
      </c>
      <c r="M30" s="337" t="str">
        <f>IFERROR(VLOOKUP($G30,今日總結!$A:$AN,38,0),"")</f>
        <v/>
      </c>
      <c r="N30" s="240" t="str">
        <f t="shared" si="23"/>
        <v/>
      </c>
      <c r="O30" s="359" t="str">
        <f>IFERROR(VLOOKUP($G30,融外自投!$A:$J,7,0),"無")</f>
        <v>無</v>
      </c>
      <c r="P30" s="79" t="str">
        <f>IFERROR(VLOOKUP($G30,融外自投!$A:$J,9,0),"無")</f>
        <v>無</v>
      </c>
      <c r="Q30" s="342" t="str">
        <f>IFERROR(VLOOKUP($G30,融外自投!$A:$J,8,0),"無")</f>
        <v>無</v>
      </c>
      <c r="R30" s="81" t="str">
        <f>IFERROR(VLOOKUP($G30,融外自投!$A:$J,10,0),"無")</f>
        <v>無</v>
      </c>
      <c r="S30" s="324" t="str">
        <f>IFERROR(VLOOKUP($G30,'321買'!$A:$E,4,0),"'沒有資料'")</f>
        <v>'沒有資料'</v>
      </c>
      <c r="T30" s="186">
        <f>IFERROR(VLOOKUP($G30,基本資料!$A:$J,9,0),"無")</f>
        <v>0</v>
      </c>
      <c r="U30" s="307">
        <f t="shared" si="24"/>
        <v>0</v>
      </c>
      <c r="V30" s="94">
        <f>IFERROR(VLOOKUP($G30,基本資料!$A:$J,10,0),"無")</f>
        <v>0.43</v>
      </c>
      <c r="W30" s="36">
        <f>RTD("money.excel",,"3713","Price")</f>
        <v>31.7</v>
      </c>
      <c r="X30" s="66">
        <v>40.75</v>
      </c>
      <c r="Y30" s="15">
        <f t="shared" si="30"/>
        <v>-9.0500000000000007</v>
      </c>
      <c r="Z30" s="76">
        <f t="shared" si="31"/>
        <v>-0.22208588957055217</v>
      </c>
      <c r="AA30" s="340">
        <v>-22.21</v>
      </c>
      <c r="AB30" s="389">
        <f>IFERROR(VLOOKUP($G30,基本資料!$A:$M,12,0),"無")</f>
        <v>25.01</v>
      </c>
      <c r="AC30" s="16" t="s">
        <v>2057</v>
      </c>
      <c r="AF30" s="33">
        <f t="shared" si="27"/>
        <v>0</v>
      </c>
      <c r="AG30" s="81">
        <v>2</v>
      </c>
      <c r="AH30" s="41"/>
      <c r="AI30" s="221">
        <f t="shared" si="28"/>
        <v>63400</v>
      </c>
      <c r="AJ30" s="16" t="s">
        <v>2057</v>
      </c>
      <c r="AK30" s="66">
        <f t="shared" si="29"/>
        <v>0.65288356909684431</v>
      </c>
      <c r="AL30" s="283">
        <f>RTD("money.excel",,"3713","PredictVolume")</f>
        <v>30</v>
      </c>
      <c r="AM30" s="391">
        <f>IFERROR(VLOOKUP($G30,基本資料!$A:$M,13,0),"無")</f>
        <v>45.95</v>
      </c>
      <c r="AO30" s="275">
        <f>RTD("money.excel",,"3713","VolumeStrength")</f>
        <v>-6</v>
      </c>
      <c r="AP30" s="40">
        <f>RTD("money.excel",,"3713","ChangePercent")</f>
        <v>0.95541401273885351</v>
      </c>
      <c r="AR30" s="245" t="str">
        <f>INDEX(基本資料!N:N,MATCH($G30,基本資料!$A:$A,0))</f>
        <v>低</v>
      </c>
    </row>
    <row r="31" spans="1:44">
      <c r="A31" s="343">
        <f>IFERROR(VLOOKUP($G31,基本資料!$A:$J,3,0),"無")</f>
        <v>37.86</v>
      </c>
      <c r="B31" s="79">
        <f>IFERROR(VLOOKUP($G31,基本資料!$A:$J,4,0),"無")</f>
        <v>-3</v>
      </c>
      <c r="C31" s="79">
        <f>IFERROR(VLOOKUP($G31,基本資料!$A:$J,5,0),"無")</f>
        <v>-7</v>
      </c>
      <c r="D31" s="79">
        <f>IFERROR(VLOOKUP($G31,基本資料!$A:$J,6,0),"無")</f>
        <v>0</v>
      </c>
      <c r="E31" s="79">
        <f>IFERROR(VLOOKUP($G31,基本資料!$A:$J,7,0),"無")</f>
        <v>-12</v>
      </c>
      <c r="F31" s="6">
        <f>IFERROR(VLOOKUP($G31,基本資料!$A:$J,8,0),"無")</f>
        <v>10.82</v>
      </c>
      <c r="G31" s="80">
        <v>1309</v>
      </c>
      <c r="H31" s="5" t="s">
        <v>3328</v>
      </c>
      <c r="I31" s="22" t="s">
        <v>315</v>
      </c>
      <c r="J31" s="8">
        <f>IFERROR(VLOOKUP($G31,今日總結!$A:$AN,39,0),"")</f>
        <v>0</v>
      </c>
      <c r="K31" s="5" t="str">
        <f>IFERROR(VLOOKUP($G31,今日總結!$A:$AN,40,0),"")</f>
        <v>融</v>
      </c>
      <c r="L31" s="156">
        <f>IFERROR(VLOOKUP($G31,今日總結!$A:$AN,37,0),"")</f>
        <v>0</v>
      </c>
      <c r="M31" s="337">
        <f>IFERROR(VLOOKUP($G31,今日總結!$A:$AN,38,0),"")</f>
        <v>3</v>
      </c>
      <c r="N31" s="240">
        <f t="shared" ref="N31" si="32">IFERROR(L31-M31,"")</f>
        <v>-3</v>
      </c>
      <c r="O31" s="359">
        <f>IFERROR(VLOOKUP($G31,融外自投!$A:$J,7,0),"無")</f>
        <v>838</v>
      </c>
      <c r="P31" s="79">
        <f>IFERROR(VLOOKUP($G31,融外自投!$A:$J,9,0),"無")</f>
        <v>433</v>
      </c>
      <c r="Q31" s="342">
        <f>IFERROR(VLOOKUP($G31,融外自投!$A:$J,8,0),"無")</f>
        <v>947</v>
      </c>
      <c r="R31" s="81">
        <f>IFERROR(VLOOKUP($G31,融外自投!$A:$J,10,0),"無")</f>
        <v>495</v>
      </c>
      <c r="S31" s="324">
        <f>IFERROR(VLOOKUP($G31,'321買'!$A:$E,4,0),"'沒有資料'")</f>
        <v>696</v>
      </c>
      <c r="T31" s="186">
        <f>IFERROR(VLOOKUP($G31,基本資料!$A:$J,9,0),"無")</f>
        <v>2.5</v>
      </c>
      <c r="U31" s="307">
        <f t="shared" si="24"/>
        <v>8.9766606822262118E-2</v>
      </c>
      <c r="V31" s="94">
        <f>IFERROR(VLOOKUP($G31,基本資料!$A:$J,10,0),"無")</f>
        <v>4.8899999999999997</v>
      </c>
      <c r="W31" s="36">
        <f>RTD("money.excel",,"1309","Price")</f>
        <v>27.85</v>
      </c>
      <c r="X31" s="66">
        <v>35.549999999999997</v>
      </c>
      <c r="Y31" s="15">
        <f t="shared" si="30"/>
        <v>-7.6999999999999957</v>
      </c>
      <c r="Z31" s="76">
        <f t="shared" si="31"/>
        <v>-0.21659634317862156</v>
      </c>
      <c r="AA31" s="340">
        <v>-21.66</v>
      </c>
      <c r="AB31" s="389">
        <f>IFERROR(VLOOKUP($G31,基本資料!$A:$M,12,0),"無")</f>
        <v>18.55</v>
      </c>
      <c r="AC31" s="22" t="s">
        <v>315</v>
      </c>
      <c r="AF31" s="33">
        <f t="shared" si="27"/>
        <v>0</v>
      </c>
      <c r="AG31" s="81">
        <v>1</v>
      </c>
      <c r="AH31" s="60"/>
      <c r="AI31" s="221">
        <f t="shared" si="28"/>
        <v>27850</v>
      </c>
      <c r="AJ31" s="22" t="s">
        <v>315</v>
      </c>
      <c r="AK31" s="66">
        <f t="shared" si="29"/>
        <v>0.83496247713943361</v>
      </c>
      <c r="AL31" s="283">
        <f>RTD("money.excel",,"1309","PredictVolume")</f>
        <v>662</v>
      </c>
      <c r="AM31" s="391">
        <f>IFERROR(VLOOKUP($G31,基本資料!$A:$M,13,0),"無")</f>
        <v>792.85</v>
      </c>
      <c r="AO31" s="275">
        <f>RTD("money.excel",,"1309","VolumeStrength")</f>
        <v>-50</v>
      </c>
      <c r="AP31" s="40">
        <f>RTD("money.excel",,"1309","ChangePercent")</f>
        <v>2.2018348623853212</v>
      </c>
      <c r="AR31" s="245" t="str">
        <f>INDEX(基本資料!N:N,MATCH($G31,基本資料!$A:$A,0))</f>
        <v>低</v>
      </c>
    </row>
    <row r="32" spans="1:44" ht="17.25" customHeight="1">
      <c r="A32" s="343">
        <f>IFERROR(VLOOKUP($G32,基本資料!$A:$J,3,0),"無")</f>
        <v>19.52</v>
      </c>
      <c r="B32" s="79">
        <f>IFERROR(VLOOKUP($G32,基本資料!$A:$J,4,0),"無")</f>
        <v>-19</v>
      </c>
      <c r="C32" s="79">
        <f>IFERROR(VLOOKUP($G32,基本資料!$A:$J,5,0),"無")</f>
        <v>-22</v>
      </c>
      <c r="D32" s="79">
        <f>IFERROR(VLOOKUP($G32,基本資料!$A:$J,6,0),"無")</f>
        <v>-46</v>
      </c>
      <c r="E32" s="79">
        <f>IFERROR(VLOOKUP($G32,基本資料!$A:$J,7,0),"無")</f>
        <v>-42</v>
      </c>
      <c r="F32" s="6">
        <f>IFERROR(VLOOKUP($G32,基本資料!$A:$J,8,0),"無")</f>
        <v>6.43</v>
      </c>
      <c r="G32" s="80">
        <v>2387</v>
      </c>
      <c r="H32" s="192" t="s">
        <v>1145</v>
      </c>
      <c r="I32" s="22" t="s">
        <v>6105</v>
      </c>
      <c r="J32" s="8" t="str">
        <f>IFERROR(VLOOKUP($G32,今日總結!$A:$AN,39,0),"")</f>
        <v>外</v>
      </c>
      <c r="K32" s="5" t="str">
        <f>IFERROR(VLOOKUP($G32,今日總結!$A:$AN,40,0),"")</f>
        <v>融</v>
      </c>
      <c r="L32" s="156">
        <f>IFERROR(VLOOKUP($G32,今日總結!$A:$AN,37,0),"")</f>
        <v>1</v>
      </c>
      <c r="M32" s="337">
        <f>IFERROR(VLOOKUP($G32,今日總結!$A:$AN,38,0),"")</f>
        <v>3</v>
      </c>
      <c r="N32" s="240">
        <f t="shared" ref="N32:N35" si="33">IFERROR(L32-M32,"")</f>
        <v>-2</v>
      </c>
      <c r="O32" s="359">
        <f>IFERROR(VLOOKUP($G32,融外自投!$A:$J,7,0),"無")</f>
        <v>617</v>
      </c>
      <c r="P32" s="79">
        <f>IFERROR(VLOOKUP($G32,融外自投!$A:$J,9,0),"無")</f>
        <v>615</v>
      </c>
      <c r="Q32" s="342">
        <f>IFERROR(VLOOKUP($G32,融外自投!$A:$J,8,0),"無")</f>
        <v>1043</v>
      </c>
      <c r="R32" s="81">
        <f>IFERROR(VLOOKUP($G32,融外自投!$A:$J,10,0),"無")</f>
        <v>156</v>
      </c>
      <c r="S32" s="324">
        <f>IFERROR(VLOOKUP($G32,'321買'!$A:$E,4,0),"'沒有資料'")</f>
        <v>743</v>
      </c>
      <c r="T32" s="186">
        <f>IFERROR(VLOOKUP($G32,基本資料!$A:$J,9,0),"無")</f>
        <v>3</v>
      </c>
      <c r="U32" s="307">
        <f t="shared" si="10"/>
        <v>8.3798882681564255E-2</v>
      </c>
      <c r="V32" s="94">
        <f>IFERROR(VLOOKUP($G32,基本資料!$A:$J,10,0),"無")</f>
        <v>5.31</v>
      </c>
      <c r="W32" s="36">
        <f>RTD("money.excel",,"2387","Price")</f>
        <v>35.799999999999997</v>
      </c>
      <c r="X32" s="66">
        <f>51.9-2</f>
        <v>49.9</v>
      </c>
      <c r="Y32" s="15">
        <f t="shared" si="6"/>
        <v>-14.100000000000001</v>
      </c>
      <c r="Z32" s="76">
        <f t="shared" si="7"/>
        <v>-0.2825651302605211</v>
      </c>
      <c r="AA32" s="340">
        <v>-28.26</v>
      </c>
      <c r="AB32" s="389">
        <f>IFERROR(VLOOKUP($G32,基本資料!$A:$M,12,0),"無")</f>
        <v>21.22</v>
      </c>
      <c r="AC32" s="22" t="s">
        <v>234</v>
      </c>
      <c r="AF32" s="33">
        <f t="shared" si="8"/>
        <v>0</v>
      </c>
      <c r="AG32" s="81">
        <v>1</v>
      </c>
      <c r="AH32" s="41"/>
      <c r="AI32" s="221">
        <f t="shared" si="9"/>
        <v>35800</v>
      </c>
      <c r="AJ32" s="22" t="s">
        <v>234</v>
      </c>
      <c r="AK32" s="66">
        <f t="shared" si="11"/>
        <v>0.61332055582175371</v>
      </c>
      <c r="AL32" s="283">
        <f>RTD("money.excel",,"2387","PredictVolume")</f>
        <v>256</v>
      </c>
      <c r="AM32" s="391">
        <f>IFERROR(VLOOKUP($G32,基本資料!$A:$M,13,0),"無")</f>
        <v>417.4</v>
      </c>
      <c r="AO32" s="275">
        <f>RTD("money.excel",,"2387","VolumeStrength")</f>
        <v>-3</v>
      </c>
      <c r="AP32" s="40">
        <f>RTD("money.excel",,"2387","ChangePercent")</f>
        <v>-1.3774104683195592</v>
      </c>
      <c r="AR32" s="245" t="str">
        <f>INDEX(基本資料!N:N,MATCH($G32,基本資料!$A:$A,0))</f>
        <v>低</v>
      </c>
    </row>
    <row r="33" spans="1:44">
      <c r="A33" s="343">
        <f>IFERROR(VLOOKUP($G33,基本資料!$A:$J,3,0),"無")</f>
        <v>3.67</v>
      </c>
      <c r="B33" s="79">
        <f>IFERROR(VLOOKUP($G33,基本資料!$A:$J,4,0),"無")</f>
        <v>-39</v>
      </c>
      <c r="C33" s="79">
        <f>IFERROR(VLOOKUP($G33,基本資料!$A:$J,5,0),"無")</f>
        <v>-41</v>
      </c>
      <c r="D33" s="79">
        <f>IFERROR(VLOOKUP($G33,基本資料!$A:$J,6,0),"無")</f>
        <v>-4</v>
      </c>
      <c r="E33" s="79">
        <f>IFERROR(VLOOKUP($G33,基本資料!$A:$J,7,0),"無")</f>
        <v>-71</v>
      </c>
      <c r="F33" s="6">
        <f>IFERROR(VLOOKUP($G33,基本資料!$A:$J,8,0),"無")</f>
        <v>16.8</v>
      </c>
      <c r="G33" s="80">
        <v>4735</v>
      </c>
      <c r="H33" s="5" t="s">
        <v>4723</v>
      </c>
      <c r="I33" s="16" t="s">
        <v>617</v>
      </c>
      <c r="J33" s="8">
        <f>IFERROR(VLOOKUP($G33,今日總結!$A:$AN,39,0),"")</f>
        <v>0</v>
      </c>
      <c r="K33" s="5" t="str">
        <f>IFERROR(VLOOKUP($G33,今日總結!$A:$AN,40,0),"")</f>
        <v>融</v>
      </c>
      <c r="L33" s="156">
        <f>IFERROR(VLOOKUP($G33,今日總結!$A:$AN,37,0),"")</f>
        <v>0</v>
      </c>
      <c r="M33" s="337">
        <f>IFERROR(VLOOKUP($G33,今日總結!$A:$AN,38,0),"")</f>
        <v>1</v>
      </c>
      <c r="N33" s="240">
        <f t="shared" si="33"/>
        <v>-1</v>
      </c>
      <c r="O33" s="359">
        <f>IFERROR(VLOOKUP($G33,融外自投!$A:$J,7,0),"無")</f>
        <v>724</v>
      </c>
      <c r="P33" s="79">
        <f>IFERROR(VLOOKUP($G33,融外自投!$A:$J,9,0),"無")</f>
        <v>392</v>
      </c>
      <c r="Q33" s="342">
        <f>IFERROR(VLOOKUP($G33,融外自投!$A:$J,8,0),"無")</f>
        <v>1259</v>
      </c>
      <c r="R33" s="81" t="str">
        <f>IFERROR(VLOOKUP($G33,融外自投!$A:$J,10,0),"無")</f>
        <v>無</v>
      </c>
      <c r="S33" s="324">
        <f>IFERROR(VLOOKUP($G33,'321買'!$A:$E,4,0),"'沒有資料'")</f>
        <v>801</v>
      </c>
      <c r="T33" s="186">
        <f>IFERROR(VLOOKUP($G33,基本資料!$A:$J,9,0),"無")</f>
        <v>6.2</v>
      </c>
      <c r="U33" s="307">
        <f>$T33/$W33</f>
        <v>0.15656565656565657</v>
      </c>
      <c r="V33" s="94">
        <f>IFERROR(VLOOKUP($G33,基本資料!$A:$J,10,0),"無")</f>
        <v>8.65</v>
      </c>
      <c r="W33" s="36">
        <f>RTD("money.excel",,"4735","Price")</f>
        <v>39.6</v>
      </c>
      <c r="X33" s="217">
        <f>71.1-2.5-1.2-1</f>
        <v>66.399999999999991</v>
      </c>
      <c r="Y33" s="15">
        <f>W33-X33</f>
        <v>-26.79999999999999</v>
      </c>
      <c r="Z33" s="76">
        <f>Y33/X33</f>
        <v>-0.40361445783132521</v>
      </c>
      <c r="AA33" s="340">
        <v>-40.36</v>
      </c>
      <c r="AB33" s="389">
        <f>IFERROR(VLOOKUP($G33,基本資料!$A:$M,12,0),"無")</f>
        <v>6.05</v>
      </c>
      <c r="AC33" s="16" t="s">
        <v>617</v>
      </c>
      <c r="AF33" s="33">
        <f t="shared" si="8"/>
        <v>0</v>
      </c>
      <c r="AG33" s="81">
        <v>3</v>
      </c>
      <c r="AH33" s="79">
        <v>1</v>
      </c>
      <c r="AI33" s="221">
        <f>W33*AG33*1000</f>
        <v>118800.00000000001</v>
      </c>
      <c r="AJ33" s="16" t="s">
        <v>617</v>
      </c>
      <c r="AK33" s="66">
        <f t="shared" si="11"/>
        <v>0.390290337934317</v>
      </c>
      <c r="AL33" s="283">
        <f>RTD("money.excel",,"4735","PredictVolume")</f>
        <v>41</v>
      </c>
      <c r="AM33" s="391">
        <f>IFERROR(VLOOKUP($G33,基本資料!$A:$M,13,0),"無")</f>
        <v>105.05</v>
      </c>
      <c r="AO33" s="275">
        <f>RTD("money.excel",,"4735","VolumeStrength")</f>
        <v>2</v>
      </c>
      <c r="AP33" s="40">
        <f>RTD("money.excel",,"4735","ChangePercent")</f>
        <v>-0.12610340479192939</v>
      </c>
      <c r="AR33" s="245" t="str">
        <f>INDEX(基本資料!N:N,MATCH($G33,基本資料!$A:$A,0))</f>
        <v>低</v>
      </c>
    </row>
    <row r="34" spans="1:44">
      <c r="A34" s="343">
        <f>IFERROR(VLOOKUP($G34,基本資料!$A:$J,3,0),"無")</f>
        <v>9.3699999999999992</v>
      </c>
      <c r="B34" s="79">
        <f>IFERROR(VLOOKUP($G34,基本資料!$A:$J,4,0),"無")</f>
        <v>-94</v>
      </c>
      <c r="C34" s="79">
        <f>IFERROR(VLOOKUP($G34,基本資料!$A:$J,5,0),"無")</f>
        <v>-71</v>
      </c>
      <c r="D34" s="79">
        <f>IFERROR(VLOOKUP($G34,基本資料!$A:$J,6,0),"無")</f>
        <v>-80</v>
      </c>
      <c r="E34" s="79">
        <f>IFERROR(VLOOKUP($G34,基本資料!$A:$J,7,0),"無")</f>
        <v>-88</v>
      </c>
      <c r="F34" s="6">
        <f>IFERROR(VLOOKUP($G34,基本資料!$A:$J,8,0),"無")</f>
        <v>1.72</v>
      </c>
      <c r="G34" s="80">
        <v>6558</v>
      </c>
      <c r="H34" s="5" t="s">
        <v>314</v>
      </c>
      <c r="I34" s="22" t="s">
        <v>6165</v>
      </c>
      <c r="J34" s="8">
        <f>IFERROR(VLOOKUP($G34,今日總結!$A:$AN,39,0),"")</f>
        <v>0</v>
      </c>
      <c r="K34" s="5">
        <f>IFERROR(VLOOKUP($G34,今日總結!$A:$AN,40,0),"")</f>
        <v>0</v>
      </c>
      <c r="L34" s="156">
        <f>IFERROR(VLOOKUP($G34,今日總結!$A:$AN,37,0),"")</f>
        <v>0</v>
      </c>
      <c r="M34" s="337">
        <f>IFERROR(VLOOKUP($G34,今日總結!$A:$AN,38,0),"")</f>
        <v>0</v>
      </c>
      <c r="N34" s="240">
        <f t="shared" si="33"/>
        <v>0</v>
      </c>
      <c r="O34" s="359">
        <f>IFERROR(VLOOKUP($G34,融外自投!$A:$J,7,0),"無")</f>
        <v>467</v>
      </c>
      <c r="P34" s="79">
        <f>IFERROR(VLOOKUP($G34,融外自投!$A:$J,9,0),"無")</f>
        <v>1051</v>
      </c>
      <c r="Q34" s="342">
        <f>IFERROR(VLOOKUP($G34,融外自投!$A:$J,8,0),"無")</f>
        <v>1039</v>
      </c>
      <c r="R34" s="81" t="str">
        <f>IFERROR(VLOOKUP($G34,融外自投!$A:$J,10,0),"無")</f>
        <v>無</v>
      </c>
      <c r="S34" s="324">
        <f>IFERROR(VLOOKUP($G34,'321買'!$A:$E,4,0),"'沒有資料'")</f>
        <v>891</v>
      </c>
      <c r="T34" s="186">
        <f>IFERROR(VLOOKUP($G34,基本資料!$A:$J,9,0),"無")</f>
        <v>0</v>
      </c>
      <c r="U34" s="307">
        <f>$T34/$W34</f>
        <v>0</v>
      </c>
      <c r="V34" s="94">
        <f>IFERROR(VLOOKUP($G34,基本資料!$A:$J,10,0),"無")</f>
        <v>0.04</v>
      </c>
      <c r="W34" s="36">
        <f>RTD("money.excel",,"6558","Price")</f>
        <v>22.65</v>
      </c>
      <c r="X34" s="66">
        <f>39.1-0.3</f>
        <v>38.800000000000004</v>
      </c>
      <c r="Y34" s="15">
        <f>W34-X34</f>
        <v>-16.150000000000006</v>
      </c>
      <c r="Z34" s="76">
        <f>Y34/X34</f>
        <v>-0.41623711340206193</v>
      </c>
      <c r="AA34" s="340">
        <v>-41.62</v>
      </c>
      <c r="AB34" s="389">
        <f>IFERROR(VLOOKUP($G34,基本資料!$A:$M,12,0),"無")</f>
        <v>9.73</v>
      </c>
      <c r="AC34" s="22" t="s">
        <v>1064</v>
      </c>
      <c r="AF34" s="33">
        <f t="shared" si="8"/>
        <v>0</v>
      </c>
      <c r="AG34" s="81">
        <v>2</v>
      </c>
      <c r="AH34" s="41"/>
      <c r="AI34" s="221">
        <f>W34*AG34*1000</f>
        <v>45300</v>
      </c>
      <c r="AJ34" s="22" t="s">
        <v>1064</v>
      </c>
      <c r="AK34" s="66">
        <f t="shared" si="11"/>
        <v>0.77618688771665423</v>
      </c>
      <c r="AL34" s="283">
        <f>RTD("money.excel",,"6558","PredictVolume")</f>
        <v>103</v>
      </c>
      <c r="AM34" s="391">
        <f>IFERROR(VLOOKUP($G34,基本資料!$A:$M,13,0),"無")</f>
        <v>132.69999999999999</v>
      </c>
      <c r="AO34" s="275">
        <f>RTD("money.excel",,"6558","VolumeStrength")</f>
        <v>-36</v>
      </c>
      <c r="AP34" s="40">
        <f>RTD("money.excel",,"6558","ChangePercent")</f>
        <v>1.797752808988764</v>
      </c>
      <c r="AR34" s="245" t="str">
        <f>INDEX(基本資料!N:N,MATCH($G34,基本資料!$A:$A,0))</f>
        <v>低</v>
      </c>
    </row>
    <row r="35" spans="1:44">
      <c r="A35" s="343">
        <f>IFERROR(VLOOKUP($G35,基本資料!$A:$J,3,0),"無")</f>
        <v>13.41</v>
      </c>
      <c r="B35" s="79">
        <f>IFERROR(VLOOKUP($G35,基本資料!$A:$J,4,0),"無")</f>
        <v>-66</v>
      </c>
      <c r="C35" s="79">
        <f>IFERROR(VLOOKUP($G35,基本資料!$A:$J,5,0),"無")</f>
        <v>-57</v>
      </c>
      <c r="D35" s="79">
        <f>IFERROR(VLOOKUP($G35,基本資料!$A:$J,6,0),"無")</f>
        <v>-43</v>
      </c>
      <c r="E35" s="79">
        <f>IFERROR(VLOOKUP($G35,基本資料!$A:$J,7,0),"無")</f>
        <v>-53</v>
      </c>
      <c r="F35" s="6">
        <f>IFERROR(VLOOKUP($G35,基本資料!$A:$J,8,0),"無")</f>
        <v>6.69</v>
      </c>
      <c r="G35" s="80">
        <v>1598</v>
      </c>
      <c r="H35" s="5" t="s">
        <v>309</v>
      </c>
      <c r="I35" s="22" t="s">
        <v>627</v>
      </c>
      <c r="J35" s="8">
        <f>IFERROR(VLOOKUP($G35,今日總結!$A:$AN,39,0),"")</f>
        <v>0</v>
      </c>
      <c r="K35" s="5">
        <f>IFERROR(VLOOKUP($G35,今日總結!$A:$AN,40,0),"")</f>
        <v>0</v>
      </c>
      <c r="L35" s="156">
        <f>IFERROR(VLOOKUP($G35,今日總結!$A:$AN,37,0),"")</f>
        <v>0</v>
      </c>
      <c r="M35" s="337">
        <f>IFERROR(VLOOKUP($G35,今日總結!$A:$AN,38,0),"")</f>
        <v>0</v>
      </c>
      <c r="N35" s="240">
        <f t="shared" si="33"/>
        <v>0</v>
      </c>
      <c r="O35" s="359">
        <f>IFERROR(VLOOKUP($G35,融外自投!$A:$J,7,0),"無")</f>
        <v>514</v>
      </c>
      <c r="P35" s="79">
        <f>IFERROR(VLOOKUP($G35,融外自投!$A:$J,9,0),"無")</f>
        <v>442</v>
      </c>
      <c r="Q35" s="342">
        <f>IFERROR(VLOOKUP($G35,融外自投!$A:$J,8,0),"無")</f>
        <v>822</v>
      </c>
      <c r="R35" s="81">
        <f>IFERROR(VLOOKUP($G35,融外自投!$A:$J,10,0),"無")</f>
        <v>495</v>
      </c>
      <c r="S35" s="324">
        <f>IFERROR(VLOOKUP($G35,'321買'!$A:$E,4,0),"'沒有資料'")</f>
        <v>891</v>
      </c>
      <c r="T35" s="186">
        <f>IFERROR(VLOOKUP($G35,基本資料!$A:$J,9,0),"無")</f>
        <v>2.5</v>
      </c>
      <c r="U35" s="307">
        <f t="shared" si="10"/>
        <v>5.9665871121718381E-2</v>
      </c>
      <c r="V35" s="94">
        <f>IFERROR(VLOOKUP($G35,基本資料!$A:$J,10,0),"無")</f>
        <v>3.48</v>
      </c>
      <c r="W35" s="36">
        <f>RTD("money.excel",,"1598","Price")</f>
        <v>41.9</v>
      </c>
      <c r="X35" s="66">
        <f>89.4-7.47</f>
        <v>81.93</v>
      </c>
      <c r="Y35" s="15">
        <f t="shared" si="6"/>
        <v>-40.030000000000008</v>
      </c>
      <c r="Z35" s="76">
        <f t="shared" si="7"/>
        <v>-0.48858781886976693</v>
      </c>
      <c r="AA35" s="340">
        <v>-48.86</v>
      </c>
      <c r="AB35" s="389">
        <f>IFERROR(VLOOKUP($G35,基本資料!$A:$M,12,0),"無")</f>
        <v>24.28</v>
      </c>
      <c r="AC35" s="22" t="s">
        <v>627</v>
      </c>
      <c r="AF35" s="33">
        <f t="shared" ref="AF35" si="34">AE35-AD35</f>
        <v>0</v>
      </c>
      <c r="AG35" s="81">
        <v>4</v>
      </c>
      <c r="AH35" s="79">
        <v>2</v>
      </c>
      <c r="AI35" s="221">
        <f t="shared" si="9"/>
        <v>167600</v>
      </c>
      <c r="AJ35" s="22" t="s">
        <v>627</v>
      </c>
      <c r="AK35" s="66">
        <f t="shared" si="11"/>
        <v>0.76065312624452408</v>
      </c>
      <c r="AL35" s="283">
        <f>RTD("money.excel",,"1598","PredictVolume")</f>
        <v>191</v>
      </c>
      <c r="AM35" s="391">
        <f>IFERROR(VLOOKUP($G35,基本資料!$A:$M,13,0),"無")</f>
        <v>251.1</v>
      </c>
      <c r="AO35" s="275">
        <f>RTD("money.excel",,"1598","VolumeStrength")</f>
        <v>-78</v>
      </c>
      <c r="AP35" s="40">
        <f>RTD("money.excel",,"1598","ChangePercent")</f>
        <v>-0.23809523809523808</v>
      </c>
      <c r="AR35" s="245" t="str">
        <f>INDEX(基本資料!N:N,MATCH($G35,基本資料!$A:$A,0))</f>
        <v>低</v>
      </c>
    </row>
    <row r="36" spans="1:44" s="248" customFormat="1">
      <c r="A36" s="127"/>
      <c r="B36" s="90"/>
      <c r="C36" s="90"/>
      <c r="D36" s="80"/>
      <c r="F36" s="290"/>
      <c r="G36" s="27"/>
      <c r="H36" s="8"/>
      <c r="I36" s="153"/>
      <c r="J36" s="8"/>
      <c r="K36" s="5"/>
      <c r="L36" s="156"/>
      <c r="M36" s="337"/>
      <c r="N36" s="240"/>
      <c r="O36" s="89"/>
      <c r="P36" s="292"/>
      <c r="Q36" s="350"/>
      <c r="R36" s="26"/>
      <c r="S36" s="318"/>
      <c r="U36" s="305"/>
      <c r="W36" s="166"/>
      <c r="AA36" s="345"/>
      <c r="AB36" s="376"/>
      <c r="AC36" s="280"/>
      <c r="AD36" s="55"/>
      <c r="AE36" s="301"/>
      <c r="AF36" s="333"/>
      <c r="AG36" s="50"/>
      <c r="AH36" s="237" t="s">
        <v>3358</v>
      </c>
      <c r="AI36" s="222">
        <f>SUM(AI13:AI35)</f>
        <v>3035050</v>
      </c>
      <c r="AJ36" s="153"/>
      <c r="AK36" s="63"/>
      <c r="AL36" s="283"/>
      <c r="AM36" s="22"/>
      <c r="AN36" s="127"/>
      <c r="AO36" s="16"/>
      <c r="AP36" s="339"/>
    </row>
    <row r="37" spans="1:44" s="248" customFormat="1">
      <c r="A37" s="46"/>
      <c r="B37" s="90"/>
      <c r="C37" s="90"/>
      <c r="D37" s="80"/>
      <c r="E37" s="80"/>
      <c r="F37" s="8"/>
      <c r="H37" s="8"/>
      <c r="I37" s="153"/>
      <c r="J37" s="8"/>
      <c r="K37" s="5"/>
      <c r="L37" s="334"/>
      <c r="M37" s="335"/>
      <c r="N37" s="336"/>
      <c r="O37" s="89"/>
      <c r="P37" s="292"/>
      <c r="Q37" s="350"/>
      <c r="R37" s="26"/>
      <c r="S37" s="318"/>
      <c r="T37" s="230"/>
      <c r="U37" s="305"/>
      <c r="AA37" s="345"/>
      <c r="AB37" s="376"/>
      <c r="AF37" s="333"/>
      <c r="AG37" s="8"/>
      <c r="AH37" s="238" t="s">
        <v>3330</v>
      </c>
      <c r="AI37" s="223">
        <f>AI36+AI12</f>
        <v>4284683</v>
      </c>
      <c r="AJ37" s="153"/>
      <c r="AK37" s="63"/>
      <c r="AL37" s="283"/>
      <c r="AM37" s="22"/>
      <c r="AN37" s="127"/>
      <c r="AO37" s="333"/>
      <c r="AP37" s="339"/>
    </row>
    <row r="38" spans="1:44">
      <c r="A38" s="46" t="s">
        <v>3356</v>
      </c>
      <c r="B38" s="79"/>
      <c r="C38" s="79"/>
      <c r="D38" s="79"/>
      <c r="E38" s="79"/>
      <c r="F38" s="6"/>
      <c r="G38" s="156" t="s">
        <v>6203</v>
      </c>
      <c r="H38" s="69"/>
      <c r="I38" s="22"/>
      <c r="L38" s="123"/>
      <c r="V38" s="19" t="s">
        <v>1496</v>
      </c>
      <c r="W38" s="69" t="s">
        <v>3229</v>
      </c>
      <c r="X38" s="66"/>
      <c r="Y38" s="15"/>
      <c r="AC38" s="8" t="s">
        <v>845</v>
      </c>
      <c r="AD38" s="465">
        <f>AI10</f>
        <v>1060119</v>
      </c>
      <c r="AE38" s="463" t="s">
        <v>6816</v>
      </c>
      <c r="AG38" s="33"/>
      <c r="AH38" s="43"/>
      <c r="AI38" s="123"/>
      <c r="AJ38" s="245"/>
      <c r="AK38" s="134"/>
      <c r="AL38" s="284"/>
    </row>
    <row r="39" spans="1:44">
      <c r="A39" s="46" t="s">
        <v>3423</v>
      </c>
      <c r="B39" s="92"/>
      <c r="C39" s="92"/>
      <c r="D39" s="79"/>
      <c r="E39" s="80"/>
      <c r="F39" s="69"/>
      <c r="G39" s="306" t="s">
        <v>6403</v>
      </c>
      <c r="H39" s="69"/>
      <c r="I39" s="16"/>
      <c r="L39" s="123"/>
      <c r="T39" s="198"/>
      <c r="W39" s="2" t="s">
        <v>3230</v>
      </c>
      <c r="AC39" s="30" t="s">
        <v>6811</v>
      </c>
      <c r="AD39" s="459">
        <v>0</v>
      </c>
      <c r="AE39" s="465">
        <f>AD38+AD39</f>
        <v>1060119</v>
      </c>
      <c r="AG39" s="33"/>
      <c r="AH39" s="344"/>
      <c r="AI39" s="221"/>
      <c r="AJ39" s="16"/>
      <c r="AK39" s="302"/>
    </row>
    <row r="40" spans="1:44">
      <c r="A40" s="46" t="s">
        <v>3424</v>
      </c>
      <c r="B40" s="92"/>
      <c r="C40" s="79"/>
      <c r="D40" s="79"/>
      <c r="E40" s="79"/>
      <c r="F40" s="6"/>
      <c r="H40" s="69"/>
      <c r="I40" s="155"/>
      <c r="L40" s="123"/>
      <c r="T40" s="198"/>
      <c r="W40" s="2" t="s">
        <v>3231</v>
      </c>
      <c r="X40" s="66"/>
      <c r="Y40" s="15"/>
      <c r="AC40" s="30" t="s">
        <v>6812</v>
      </c>
      <c r="AD40" s="459"/>
      <c r="AE40" s="465">
        <f>AE39+AD40</f>
        <v>1060119</v>
      </c>
      <c r="AG40" s="33"/>
      <c r="AH40" s="344"/>
      <c r="AI40" s="221"/>
      <c r="AJ40" s="16"/>
    </row>
    <row r="41" spans="1:44">
      <c r="A41" s="195" t="s">
        <v>3526</v>
      </c>
      <c r="B41" s="92"/>
      <c r="C41" s="79"/>
      <c r="D41" s="79"/>
      <c r="E41" s="79"/>
      <c r="F41" s="8"/>
      <c r="H41" s="42"/>
      <c r="I41" s="16"/>
      <c r="L41" s="163"/>
      <c r="M41" s="248"/>
      <c r="N41" s="339"/>
      <c r="T41" s="198"/>
      <c r="W41" s="2" t="s">
        <v>3232</v>
      </c>
      <c r="AC41" s="30" t="s">
        <v>6813</v>
      </c>
      <c r="AD41" s="459"/>
      <c r="AE41" s="465">
        <f>AE40+AD41</f>
        <v>1060119</v>
      </c>
      <c r="AG41" s="33"/>
      <c r="AH41" s="344"/>
      <c r="AI41" s="221"/>
      <c r="AJ41" s="16"/>
    </row>
    <row r="42" spans="1:44">
      <c r="B42" s="90"/>
      <c r="C42" s="90"/>
      <c r="D42" s="90"/>
      <c r="E42" s="90"/>
      <c r="F42" s="8"/>
      <c r="H42" s="42"/>
      <c r="I42" s="82"/>
      <c r="L42" s="123"/>
      <c r="T42" s="198"/>
      <c r="W42" s="2" t="s">
        <v>3233</v>
      </c>
      <c r="AC42" s="30" t="s">
        <v>6814</v>
      </c>
      <c r="AD42" s="459"/>
      <c r="AE42" s="465">
        <f t="shared" ref="AE42:AE43" si="35">AE41+AD42</f>
        <v>1060119</v>
      </c>
      <c r="AG42" s="33"/>
      <c r="AH42" s="344"/>
      <c r="AI42" s="221"/>
      <c r="AJ42" s="82"/>
    </row>
    <row r="43" spans="1:44">
      <c r="B43" s="90"/>
      <c r="C43" s="90"/>
      <c r="D43" s="90"/>
      <c r="E43" s="90"/>
      <c r="F43" s="8"/>
      <c r="G43" s="46"/>
      <c r="H43" s="42"/>
      <c r="I43" s="82"/>
      <c r="L43" s="123"/>
      <c r="P43" s="292"/>
      <c r="S43" s="318"/>
      <c r="T43" s="132"/>
      <c r="V43" s="69"/>
      <c r="W43" s="42"/>
      <c r="X43" s="203"/>
      <c r="Y43" s="69"/>
      <c r="AC43" s="30" t="s">
        <v>6815</v>
      </c>
      <c r="AD43" s="459"/>
      <c r="AE43" s="465">
        <f t="shared" si="35"/>
        <v>1060119</v>
      </c>
      <c r="AG43" s="33"/>
      <c r="AH43" s="344"/>
      <c r="AI43" s="221"/>
      <c r="AJ43" s="82"/>
      <c r="AK43" s="288"/>
    </row>
    <row r="44" spans="1:44">
      <c r="A44" s="69"/>
      <c r="B44" s="132"/>
      <c r="G44" s="81"/>
      <c r="H44" s="156"/>
      <c r="I44" s="82"/>
      <c r="L44" s="123"/>
      <c r="P44" s="134"/>
      <c r="S44" s="320"/>
      <c r="T44" s="202"/>
      <c r="V44" s="4"/>
      <c r="W44" s="4"/>
      <c r="X44" s="10"/>
      <c r="Y44" s="69"/>
      <c r="AC44" s="42"/>
      <c r="AE44" s="277"/>
      <c r="AG44" s="145"/>
      <c r="AH44" s="43"/>
      <c r="AJ44" s="82"/>
      <c r="AK44" s="288"/>
    </row>
    <row r="45" spans="1:44">
      <c r="A45" s="127" t="s">
        <v>1672</v>
      </c>
      <c r="B45" s="90" t="s">
        <v>1571</v>
      </c>
      <c r="C45" s="90" t="s">
        <v>1572</v>
      </c>
      <c r="D45" s="90" t="s">
        <v>1573</v>
      </c>
      <c r="E45" s="90" t="s">
        <v>1574</v>
      </c>
      <c r="F45" s="8" t="s">
        <v>1059</v>
      </c>
      <c r="G45" s="26" t="s">
        <v>3441</v>
      </c>
      <c r="H45" s="55" t="s">
        <v>320</v>
      </c>
      <c r="I45" s="8" t="s">
        <v>2277</v>
      </c>
      <c r="J45" s="8" t="s">
        <v>6211</v>
      </c>
      <c r="K45" s="5" t="s">
        <v>6212</v>
      </c>
      <c r="L45" s="334" t="s">
        <v>6197</v>
      </c>
      <c r="M45" s="335" t="s">
        <v>6198</v>
      </c>
      <c r="N45" s="336" t="s">
        <v>6199</v>
      </c>
      <c r="O45" s="89" t="s">
        <v>6275</v>
      </c>
      <c r="P45" s="292" t="s">
        <v>6274</v>
      </c>
      <c r="Q45" s="350" t="s">
        <v>6273</v>
      </c>
      <c r="R45" s="26" t="s">
        <v>6276</v>
      </c>
      <c r="S45" s="318" t="s">
        <v>4715</v>
      </c>
      <c r="T45" s="10" t="s">
        <v>66</v>
      </c>
      <c r="U45" s="305" t="s">
        <v>4728</v>
      </c>
      <c r="V45" s="68" t="s">
        <v>3272</v>
      </c>
      <c r="W45" s="28" t="s">
        <v>2</v>
      </c>
      <c r="X45" s="17" t="s">
        <v>1398</v>
      </c>
      <c r="Y45" s="14" t="s">
        <v>5</v>
      </c>
      <c r="Z45" s="21" t="s">
        <v>3</v>
      </c>
      <c r="AA45" s="347" t="s">
        <v>6166</v>
      </c>
      <c r="AB45" s="102" t="s">
        <v>6404</v>
      </c>
      <c r="AC45" s="8" t="s">
        <v>2277</v>
      </c>
      <c r="AD45" s="71" t="s">
        <v>1399</v>
      </c>
      <c r="AE45" s="72" t="s">
        <v>1156</v>
      </c>
      <c r="AF45" s="32" t="s">
        <v>1157</v>
      </c>
      <c r="AG45" s="42" t="s">
        <v>2278</v>
      </c>
      <c r="AK45" s="262"/>
    </row>
    <row r="46" spans="1:44">
      <c r="A46" s="343">
        <f>IFERROR(VLOOKUP($G46,基本資料!$A:$J,3,0),"無")</f>
        <v>22.33</v>
      </c>
      <c r="B46" s="79">
        <f>IFERROR(VLOOKUP($G46,基本資料!$A:$J,4,0),"無")</f>
        <v>58</v>
      </c>
      <c r="C46" s="79">
        <f>IFERROR(VLOOKUP($G46,基本資料!$A:$J,5,0),"無")</f>
        <v>54</v>
      </c>
      <c r="D46" s="79">
        <f>IFERROR(VLOOKUP($G46,基本資料!$A:$J,6,0),"無")</f>
        <v>37</v>
      </c>
      <c r="E46" s="79">
        <f>IFERROR(VLOOKUP($G46,基本資料!$A:$J,7,0),"無")</f>
        <v>13</v>
      </c>
      <c r="F46" s="6">
        <f>IFERROR(VLOOKUP($G46,基本資料!$A:$J,8,0),"無")</f>
        <v>-7.59</v>
      </c>
      <c r="G46" s="79">
        <v>3149</v>
      </c>
      <c r="H46" s="8" t="s">
        <v>1877</v>
      </c>
      <c r="I46" s="22" t="s">
        <v>4166</v>
      </c>
      <c r="J46" s="8" t="str">
        <f>IFERROR(VLOOKUP($G46,今日總結!$A:$AN,39,0),"")</f>
        <v/>
      </c>
      <c r="K46" s="5" t="str">
        <f>IFERROR(VLOOKUP($G46,今日總結!$A:$AN,40,0),"")</f>
        <v/>
      </c>
      <c r="L46" s="156" t="str">
        <f>IFERROR(VLOOKUP($G46,今日總結!$A:$AN,37,0),"")</f>
        <v/>
      </c>
      <c r="M46" s="337" t="str">
        <f>IFERROR(VLOOKUP($G46,今日總結!$A:$AN,38,0),"")</f>
        <v/>
      </c>
      <c r="N46" s="240" t="str">
        <f t="shared" ref="N46" si="36">IFERROR(L46-M46,"")</f>
        <v/>
      </c>
      <c r="O46" s="359" t="str">
        <f>IFERROR(VLOOKUP($G46,融外自投!$A:$J,7,0),"無")</f>
        <v>無</v>
      </c>
      <c r="P46" s="79" t="str">
        <f>IFERROR(VLOOKUP($G46,融外自投!$A:$J,9,0),"無")</f>
        <v>無</v>
      </c>
      <c r="Q46" s="342" t="str">
        <f>IFERROR(VLOOKUP($G46,融外自投!$A:$J,8,0),"無")</f>
        <v>無</v>
      </c>
      <c r="R46" s="81" t="str">
        <f>IFERROR(VLOOKUP($G46,融外自投!$A:$J,10,0),"無")</f>
        <v>無</v>
      </c>
      <c r="S46" s="324" t="str">
        <f>IFERROR(VLOOKUP($G46,'321買'!$A:$E,4,0),"'沒有資料'")</f>
        <v>'沒有資料'</v>
      </c>
      <c r="T46" s="186">
        <f>IFERROR(VLOOKUP($G46,基本資料!$A:$J,9,0),"無")</f>
        <v>0</v>
      </c>
      <c r="U46" s="307">
        <f t="shared" ref="U46" si="37">$T46/$W46</f>
        <v>0</v>
      </c>
      <c r="V46" s="94">
        <f>IFERROR(VLOOKUP($G46,基本資料!$A:$J,10,0),"無")</f>
        <v>-0.59</v>
      </c>
      <c r="W46" s="36">
        <f>RTD("money.excel",,"3149","Price")</f>
        <v>22.45</v>
      </c>
      <c r="X46" s="66">
        <v>20</v>
      </c>
      <c r="Y46" s="15">
        <f t="shared" ref="Y46" si="38">W46-X46</f>
        <v>2.4499999999999993</v>
      </c>
      <c r="Z46" s="3">
        <f t="shared" ref="Z46" si="39">Y46/X46</f>
        <v>0.12249999999999997</v>
      </c>
      <c r="AA46" s="348"/>
      <c r="AB46" s="389">
        <f>IFERROR(VLOOKUP($G46,基本資料!$A:$M,12,0),"無")</f>
        <v>29.43</v>
      </c>
      <c r="AC46" s="22" t="s">
        <v>4166</v>
      </c>
      <c r="AD46" s="84">
        <v>44707</v>
      </c>
      <c r="AE46" s="83">
        <v>44717</v>
      </c>
      <c r="AF46" s="33">
        <f t="shared" ref="AF46" si="40">AE46-AD46</f>
        <v>10</v>
      </c>
      <c r="AG46" s="117" t="s">
        <v>4167</v>
      </c>
      <c r="AH46" s="66">
        <f t="shared" ref="AH46" si="41">AI46/AJ46</f>
        <v>0.81294577805046397</v>
      </c>
      <c r="AI46" s="283">
        <f>RTD("money.excel",,$G46,"PredictVolume")</f>
        <v>530</v>
      </c>
      <c r="AJ46" s="391">
        <f>IFERROR(VLOOKUP($G46,基本資料!$A:$M,13,0),"無")</f>
        <v>651.95000000000005</v>
      </c>
      <c r="AK46" s="278"/>
      <c r="AL46" s="245"/>
      <c r="AM46" s="245"/>
      <c r="AN46" s="245"/>
      <c r="AO46" s="245"/>
      <c r="AP46" s="245"/>
      <c r="AR46" s="245" t="str">
        <f>INDEX(基本資料!N:N,MATCH($G46,基本資料!$A:$A,0))</f>
        <v>低</v>
      </c>
    </row>
    <row r="47" spans="1:44">
      <c r="A47" s="343" t="str">
        <f>IFERROR(VLOOKUP($G47,基本資料!$A:$J,3,0),"無")</f>
        <v>無</v>
      </c>
      <c r="B47" s="79" t="str">
        <f>IFERROR(VLOOKUP($G47,基本資料!$A:$J,4,0),"無")</f>
        <v>無</v>
      </c>
      <c r="C47" s="79" t="str">
        <f>IFERROR(VLOOKUP($G47,基本資料!$A:$J,5,0),"無")</f>
        <v>無</v>
      </c>
      <c r="D47" s="79" t="str">
        <f>IFERROR(VLOOKUP($G47,基本資料!$A:$J,6,0),"無")</f>
        <v>無</v>
      </c>
      <c r="E47" s="79" t="str">
        <f>IFERROR(VLOOKUP($G47,基本資料!$A:$J,7,0),"無")</f>
        <v>無</v>
      </c>
      <c r="F47" s="6" t="str">
        <f>IFERROR(VLOOKUP($G47,基本資料!$A:$J,8,0),"無")</f>
        <v>無</v>
      </c>
      <c r="G47" s="79">
        <v>6546</v>
      </c>
      <c r="H47" s="8" t="s">
        <v>311</v>
      </c>
      <c r="I47" s="16" t="s">
        <v>6705</v>
      </c>
      <c r="J47" s="8" t="str">
        <f>IFERROR(VLOOKUP($G47,今日總結!$A:$AN,39,0),"")</f>
        <v/>
      </c>
      <c r="K47" s="5" t="str">
        <f>IFERROR(VLOOKUP($G47,今日總結!$A:$AN,40,0),"")</f>
        <v/>
      </c>
      <c r="L47" s="156" t="str">
        <f>IFERROR(VLOOKUP($G47,今日總結!$A:$AN,37,0),"")</f>
        <v/>
      </c>
      <c r="M47" s="337" t="str">
        <f>IFERROR(VLOOKUP($G47,今日總結!$A:$AN,38,0),"")</f>
        <v/>
      </c>
      <c r="N47" s="240" t="str">
        <f t="shared" ref="N47" si="42">IFERROR(L47-M47,"")</f>
        <v/>
      </c>
      <c r="O47" s="359" t="str">
        <f>IFERROR(VLOOKUP($G47,融外自投!$A:$J,7,0),"無")</f>
        <v>無</v>
      </c>
      <c r="P47" s="79" t="str">
        <f>IFERROR(VLOOKUP($G47,融外自投!$A:$J,9,0),"無")</f>
        <v>無</v>
      </c>
      <c r="Q47" s="342" t="str">
        <f>IFERROR(VLOOKUP($G47,融外自投!$A:$J,8,0),"無")</f>
        <v>無</v>
      </c>
      <c r="R47" s="81" t="str">
        <f>IFERROR(VLOOKUP($G47,融外自投!$A:$J,10,0),"無")</f>
        <v>無</v>
      </c>
      <c r="S47" s="324" t="str">
        <f>IFERROR(VLOOKUP($G47,'321買'!$A:$E,4,0),"'沒有資料'")</f>
        <v>'沒有資料'</v>
      </c>
      <c r="T47" s="186" t="str">
        <f>IFERROR(VLOOKUP($G47,基本資料!$A:$J,9,0),"無")</f>
        <v>無</v>
      </c>
      <c r="U47" s="307" t="e">
        <f t="shared" ref="U47" si="43">$T47/$W47</f>
        <v>#VALUE!</v>
      </c>
      <c r="V47" s="94" t="str">
        <f>IFERROR(VLOOKUP($G47,基本資料!$A:$J,10,0),"無")</f>
        <v>無</v>
      </c>
      <c r="W47" s="36">
        <f>RTD("money.excel",,"6546","Price")</f>
        <v>113</v>
      </c>
      <c r="X47" s="66">
        <v>96</v>
      </c>
      <c r="Y47" s="15">
        <f t="shared" ref="Y47" si="44">W47-X47</f>
        <v>17</v>
      </c>
      <c r="Z47" s="3">
        <f t="shared" ref="Z47" si="45">Y47/X47</f>
        <v>0.17708333333333334</v>
      </c>
      <c r="AA47" s="348"/>
      <c r="AB47" s="389" t="str">
        <f>IFERROR(VLOOKUP($G47,基本資料!$A:$M,12,0),"無")</f>
        <v>無</v>
      </c>
      <c r="AC47" s="16" t="s">
        <v>6705</v>
      </c>
      <c r="AD47" s="84">
        <v>44705</v>
      </c>
      <c r="AE47" s="83">
        <v>44715</v>
      </c>
      <c r="AF47" s="33">
        <f t="shared" ref="AF47" si="46">AE47-AD47</f>
        <v>10</v>
      </c>
      <c r="AG47" s="43" t="s">
        <v>6706</v>
      </c>
      <c r="AH47" s="66" t="e">
        <f t="shared" ref="AH47" si="47">AI47/AJ47</f>
        <v>#VALUE!</v>
      </c>
      <c r="AI47" s="283">
        <f>RTD("money.excel",,$G47,"PredictVolume")</f>
        <v>149</v>
      </c>
      <c r="AJ47" s="391" t="str">
        <f>IFERROR(VLOOKUP($G47,基本資料!$A:$M,13,0),"無")</f>
        <v>無</v>
      </c>
      <c r="AK47" s="278"/>
      <c r="AL47" s="245"/>
      <c r="AM47" s="245"/>
      <c r="AN47" s="245"/>
      <c r="AO47" s="245"/>
      <c r="AP47" s="245"/>
      <c r="AR47" s="245" t="e">
        <f>INDEX(基本資料!N:N,MATCH($G47,基本資料!$A:$A,0))</f>
        <v>#N/A</v>
      </c>
    </row>
    <row r="48" spans="1:44">
      <c r="A48" s="343"/>
      <c r="B48" s="79"/>
      <c r="C48" s="79"/>
      <c r="D48" s="79"/>
      <c r="E48" s="79"/>
      <c r="F48" s="6"/>
      <c r="G48" s="79"/>
      <c r="H48" s="8"/>
      <c r="I48" s="16"/>
      <c r="L48" s="156"/>
      <c r="M48" s="5"/>
      <c r="N48" s="240"/>
      <c r="O48" s="359"/>
      <c r="P48" s="79"/>
      <c r="Q48" s="342"/>
      <c r="R48" s="81"/>
      <c r="S48" s="324"/>
      <c r="T48" s="186"/>
      <c r="U48" s="307"/>
      <c r="V48" s="94"/>
      <c r="W48" s="36"/>
      <c r="X48" s="66"/>
      <c r="Y48" s="15"/>
      <c r="Z48" s="3"/>
      <c r="AA48" s="348"/>
      <c r="AB48" s="389"/>
      <c r="AC48" s="16"/>
      <c r="AF48" s="33"/>
      <c r="AG48" s="43"/>
      <c r="AH48" s="66"/>
      <c r="AI48" s="283"/>
      <c r="AJ48" s="391"/>
      <c r="AK48" s="278"/>
      <c r="AL48" s="245"/>
      <c r="AM48" s="245"/>
      <c r="AN48" s="245"/>
      <c r="AO48" s="245"/>
      <c r="AP48" s="245"/>
    </row>
    <row r="49" spans="1:44">
      <c r="A49" s="343" t="str">
        <f>IFERROR(VLOOKUP($G49,基本資料!$A:$J,3,0),"無")</f>
        <v>無</v>
      </c>
      <c r="B49" s="79" t="str">
        <f>IFERROR(VLOOKUP($G49,基本資料!$A:$J,4,0),"無")</f>
        <v>無</v>
      </c>
      <c r="C49" s="79" t="str">
        <f>IFERROR(VLOOKUP($G49,基本資料!$A:$J,5,0),"無")</f>
        <v>無</v>
      </c>
      <c r="D49" s="79" t="str">
        <f>IFERROR(VLOOKUP($G49,基本資料!$A:$J,6,0),"無")</f>
        <v>無</v>
      </c>
      <c r="E49" s="79" t="str">
        <f>IFERROR(VLOOKUP($G49,基本資料!$A:$J,7,0),"無")</f>
        <v>無</v>
      </c>
      <c r="F49" s="6" t="str">
        <f>IFERROR(VLOOKUP($G49,基本資料!$A:$J,8,0),"無")</f>
        <v>無</v>
      </c>
      <c r="G49" s="79">
        <v>6585</v>
      </c>
      <c r="H49" s="8" t="s">
        <v>235</v>
      </c>
      <c r="I49" s="22" t="s">
        <v>6693</v>
      </c>
      <c r="J49" s="8" t="str">
        <f>IFERROR(VLOOKUP($G49,今日總結!$A:$AN,39,0),"")</f>
        <v/>
      </c>
      <c r="K49" s="5" t="str">
        <f>IFERROR(VLOOKUP($G49,今日總結!$A:$AN,40,0),"")</f>
        <v/>
      </c>
      <c r="L49" s="156" t="str">
        <f>IFERROR(VLOOKUP($G49,今日總結!$A:$AN,37,0),"")</f>
        <v/>
      </c>
      <c r="M49" s="337" t="str">
        <f>IFERROR(VLOOKUP($G49,今日總結!$A:$AN,38,0),"")</f>
        <v/>
      </c>
      <c r="N49" s="240" t="str">
        <f t="shared" ref="N49" si="48">IFERROR(L49-M49,"")</f>
        <v/>
      </c>
      <c r="O49" s="359" t="str">
        <f>IFERROR(VLOOKUP($G49,融外自投!$A:$J,7,0),"無")</f>
        <v>無</v>
      </c>
      <c r="P49" s="79" t="str">
        <f>IFERROR(VLOOKUP($G49,融外自投!$A:$J,9,0),"無")</f>
        <v>無</v>
      </c>
      <c r="Q49" s="342" t="str">
        <f>IFERROR(VLOOKUP($G49,融外自投!$A:$J,8,0),"無")</f>
        <v>無</v>
      </c>
      <c r="R49" s="81" t="str">
        <f>IFERROR(VLOOKUP($G49,融外自投!$A:$J,10,0),"無")</f>
        <v>無</v>
      </c>
      <c r="S49" s="324" t="str">
        <f>IFERROR(VLOOKUP($G49,'321買'!$A:$E,4,0),"'沒有資料'")</f>
        <v>'沒有資料'</v>
      </c>
      <c r="T49" s="186" t="str">
        <f>IFERROR(VLOOKUP($G49,基本資料!$A:$J,9,0),"無")</f>
        <v>無</v>
      </c>
      <c r="U49" s="307" t="e">
        <f t="shared" ref="U49" si="49">$T49/$W49</f>
        <v>#VALUE!</v>
      </c>
      <c r="V49" s="94" t="str">
        <f>IFERROR(VLOOKUP($G49,基本資料!$A:$J,10,0),"無")</f>
        <v>無</v>
      </c>
      <c r="W49" s="36">
        <f>RTD("money.excel",,"6585","Price")</f>
        <v>67</v>
      </c>
      <c r="X49" s="66">
        <v>60.79</v>
      </c>
      <c r="Y49" s="15">
        <f t="shared" ref="Y49" si="50">W49-X49</f>
        <v>6.2100000000000009</v>
      </c>
      <c r="Z49" s="3">
        <f t="shared" ref="Z49" si="51">Y49/X49</f>
        <v>0.10215495969731865</v>
      </c>
      <c r="AA49" s="348"/>
      <c r="AB49" s="389" t="str">
        <f>IFERROR(VLOOKUP($G49,基本資料!$A:$M,12,0),"無")</f>
        <v>無</v>
      </c>
      <c r="AC49" s="22" t="s">
        <v>6693</v>
      </c>
      <c r="AD49" s="84">
        <v>44701</v>
      </c>
      <c r="AE49" s="83">
        <v>44711</v>
      </c>
      <c r="AF49" s="33">
        <f t="shared" ref="AF49" si="52">AE49-AD49</f>
        <v>10</v>
      </c>
      <c r="AG49" s="43" t="s">
        <v>6694</v>
      </c>
      <c r="AH49" s="63" t="e">
        <f>AI49/(A49*10000)</f>
        <v>#VALUE!</v>
      </c>
      <c r="AI49" s="283">
        <f>RTD("money.excel",,$G49,"PredictVolume")</f>
        <v>17</v>
      </c>
      <c r="AJ49" s="81" t="str">
        <f>IFERROR(VLOOKUP($G49,基本資料!$A:$M,13,0),"無")</f>
        <v>無</v>
      </c>
      <c r="AK49" s="278"/>
      <c r="AL49" s="245"/>
      <c r="AM49" s="245"/>
      <c r="AN49" s="245"/>
      <c r="AO49" s="245"/>
      <c r="AP49" s="245"/>
      <c r="AR49" s="245" t="e">
        <f>INDEX(基本資料!N:N,MATCH($G49,基本資料!$A:$A,0))</f>
        <v>#N/A</v>
      </c>
    </row>
    <row r="50" spans="1:44">
      <c r="A50" s="343" t="str">
        <f>IFERROR(VLOOKUP($G50,基本資料!$A:$J,3,0),"無")</f>
        <v>無</v>
      </c>
      <c r="B50" s="79" t="str">
        <f>IFERROR(VLOOKUP($G50,基本資料!$A:$J,4,0),"無")</f>
        <v>無</v>
      </c>
      <c r="C50" s="79" t="str">
        <f>IFERROR(VLOOKUP($G50,基本資料!$A:$J,5,0),"無")</f>
        <v>無</v>
      </c>
      <c r="D50" s="79" t="str">
        <f>IFERROR(VLOOKUP($G50,基本資料!$A:$J,6,0),"無")</f>
        <v>無</v>
      </c>
      <c r="E50" s="79" t="str">
        <f>IFERROR(VLOOKUP($G50,基本資料!$A:$J,7,0),"無")</f>
        <v>無</v>
      </c>
      <c r="F50" s="6" t="str">
        <f>IFERROR(VLOOKUP($G50,基本資料!$A:$J,8,0),"無")</f>
        <v>無</v>
      </c>
      <c r="G50" s="79">
        <v>5228</v>
      </c>
      <c r="H50" s="8" t="s">
        <v>308</v>
      </c>
      <c r="I50" s="16" t="s">
        <v>6691</v>
      </c>
      <c r="J50" s="8" t="str">
        <f>IFERROR(VLOOKUP($G50,今日總結!$A:$AN,39,0),"")</f>
        <v/>
      </c>
      <c r="K50" s="5" t="str">
        <f>IFERROR(VLOOKUP($G50,今日總結!$A:$AN,40,0),"")</f>
        <v/>
      </c>
      <c r="L50" s="156" t="str">
        <f>IFERROR(VLOOKUP($G50,今日總結!$A:$AN,37,0),"")</f>
        <v/>
      </c>
      <c r="M50" s="337" t="str">
        <f>IFERROR(VLOOKUP($G50,今日總結!$A:$AN,38,0),"")</f>
        <v/>
      </c>
      <c r="N50" s="240" t="str">
        <f t="shared" ref="N50" si="53">IFERROR(L50-M50,"")</f>
        <v/>
      </c>
      <c r="O50" s="359" t="str">
        <f>IFERROR(VLOOKUP($G50,融外自投!$A:$J,7,0),"無")</f>
        <v>無</v>
      </c>
      <c r="P50" s="79" t="str">
        <f>IFERROR(VLOOKUP($G50,融外自投!$A:$J,9,0),"無")</f>
        <v>無</v>
      </c>
      <c r="Q50" s="342" t="str">
        <f>IFERROR(VLOOKUP($G50,融外自投!$A:$J,8,0),"無")</f>
        <v>無</v>
      </c>
      <c r="R50" s="81" t="str">
        <f>IFERROR(VLOOKUP($G50,融外自投!$A:$J,10,0),"無")</f>
        <v>無</v>
      </c>
      <c r="S50" s="324" t="str">
        <f>IFERROR(VLOOKUP($G50,'321買'!$A:$E,4,0),"'沒有資料'")</f>
        <v>'沒有資料'</v>
      </c>
      <c r="T50" s="186" t="str">
        <f>IFERROR(VLOOKUP($G50,基本資料!$A:$J,9,0),"無")</f>
        <v>無</v>
      </c>
      <c r="U50" s="307" t="e">
        <f t="shared" ref="U50" si="54">$T50/$W50</f>
        <v>#VALUE!</v>
      </c>
      <c r="V50" s="94" t="str">
        <f>IFERROR(VLOOKUP($G50,基本資料!$A:$J,10,0),"無")</f>
        <v>無</v>
      </c>
      <c r="W50" s="36">
        <f>RTD("money.excel",,"5228","Price")</f>
        <v>24.5</v>
      </c>
      <c r="X50" s="66">
        <v>20</v>
      </c>
      <c r="Y50" s="15">
        <f t="shared" ref="Y50" si="55">W50-X50</f>
        <v>4.5</v>
      </c>
      <c r="Z50" s="3">
        <f t="shared" ref="Z50" si="56">Y50/X50</f>
        <v>0.22500000000000001</v>
      </c>
      <c r="AA50" s="348"/>
      <c r="AB50" s="389" t="str">
        <f>IFERROR(VLOOKUP($G50,基本資料!$A:$M,12,0),"無")</f>
        <v>無</v>
      </c>
      <c r="AC50" s="16" t="s">
        <v>6691</v>
      </c>
      <c r="AD50" s="84">
        <v>44701</v>
      </c>
      <c r="AE50" s="83">
        <v>44711</v>
      </c>
      <c r="AF50" s="33">
        <f t="shared" ref="AF50" si="57">AE50-AD50</f>
        <v>10</v>
      </c>
      <c r="AG50" s="43" t="s">
        <v>6692</v>
      </c>
      <c r="AH50" s="63" t="e">
        <f>AI50/(A50*10000)</f>
        <v>#VALUE!</v>
      </c>
      <c r="AI50" s="283">
        <f>RTD("money.excel",,$G50,"PredictVolume")</f>
        <v>21</v>
      </c>
      <c r="AJ50" s="81" t="str">
        <f>IFERROR(VLOOKUP($G50,基本資料!$A:$M,13,0),"無")</f>
        <v>無</v>
      </c>
      <c r="AK50" s="278"/>
      <c r="AL50" s="245"/>
      <c r="AM50" s="245"/>
      <c r="AN50" s="245"/>
      <c r="AO50" s="245"/>
      <c r="AP50" s="245"/>
      <c r="AR50" s="245" t="e">
        <f>INDEX(基本資料!N:N,MATCH($G50,基本資料!$A:$A,0))</f>
        <v>#N/A</v>
      </c>
    </row>
    <row r="51" spans="1:44">
      <c r="A51" s="343">
        <f>IFERROR(VLOOKUP($G51,基本資料!$A:$J,3,0),"無")</f>
        <v>7</v>
      </c>
      <c r="B51" s="79">
        <f>IFERROR(VLOOKUP($G51,基本資料!$A:$J,4,0),"無")</f>
        <v>17</v>
      </c>
      <c r="C51" s="79">
        <f>IFERROR(VLOOKUP($G51,基本資料!$A:$J,5,0),"無")</f>
        <v>27</v>
      </c>
      <c r="D51" s="79">
        <f>IFERROR(VLOOKUP($G51,基本資料!$A:$J,6,0),"無")</f>
        <v>-20</v>
      </c>
      <c r="E51" s="79">
        <f>IFERROR(VLOOKUP($G51,基本資料!$A:$J,7,0),"無")</f>
        <v>257</v>
      </c>
      <c r="F51" s="6">
        <f>IFERROR(VLOOKUP($G51,基本資料!$A:$J,8,0),"無")</f>
        <v>-87.06</v>
      </c>
      <c r="G51" s="79">
        <v>5227</v>
      </c>
      <c r="H51" s="8" t="s">
        <v>308</v>
      </c>
      <c r="I51" s="16" t="s">
        <v>411</v>
      </c>
      <c r="J51" s="8" t="str">
        <f>IFERROR(VLOOKUP($G51,今日總結!$A:$AN,39,0),"")</f>
        <v/>
      </c>
      <c r="K51" s="5" t="str">
        <f>IFERROR(VLOOKUP($G51,今日總結!$A:$AN,40,0),"")</f>
        <v/>
      </c>
      <c r="L51" s="156" t="str">
        <f>IFERROR(VLOOKUP($G51,今日總結!$A:$AN,37,0),"")</f>
        <v/>
      </c>
      <c r="M51" s="337" t="str">
        <f>IFERROR(VLOOKUP($G51,今日總結!$A:$AN,38,0),"")</f>
        <v/>
      </c>
      <c r="N51" s="240" t="str">
        <f t="shared" ref="N51" si="58">IFERROR(L51-M51,"")</f>
        <v/>
      </c>
      <c r="O51" s="359" t="str">
        <f>IFERROR(VLOOKUP($G51,融外自投!$A:$J,7,0),"無")</f>
        <v>無</v>
      </c>
      <c r="P51" s="79" t="str">
        <f>IFERROR(VLOOKUP($G51,融外自投!$A:$J,9,0),"無")</f>
        <v>無</v>
      </c>
      <c r="Q51" s="342" t="str">
        <f>IFERROR(VLOOKUP($G51,融外自投!$A:$J,8,0),"無")</f>
        <v>無</v>
      </c>
      <c r="R51" s="81" t="str">
        <f>IFERROR(VLOOKUP($G51,融外自投!$A:$J,10,0),"無")</f>
        <v>無</v>
      </c>
      <c r="S51" s="324" t="str">
        <f>IFERROR(VLOOKUP($G51,'321買'!$A:$E,4,0),"'沒有資料'")</f>
        <v>'沒有資料'</v>
      </c>
      <c r="T51" s="186">
        <f>IFERROR(VLOOKUP($G51,基本資料!$A:$J,9,0),"無")</f>
        <v>0</v>
      </c>
      <c r="U51" s="307">
        <f t="shared" ref="U51" si="59">$T51/$W51</f>
        <v>0</v>
      </c>
      <c r="V51" s="94">
        <f>IFERROR(VLOOKUP($G51,基本資料!$A:$J,10,0),"無")</f>
        <v>-9.31</v>
      </c>
      <c r="W51" s="36">
        <f>RTD("money.excel",,"5227","Price")</f>
        <v>60</v>
      </c>
      <c r="X51" s="66">
        <v>60</v>
      </c>
      <c r="Y51" s="15">
        <f t="shared" ref="Y51" si="60">W51-X51</f>
        <v>0</v>
      </c>
      <c r="Z51" s="3">
        <f t="shared" ref="Z51" si="61">Y51/X51</f>
        <v>0</v>
      </c>
      <c r="AA51" s="348"/>
      <c r="AB51" s="389">
        <f>IFERROR(VLOOKUP($G51,基本資料!$A:$M,12,0),"無")</f>
        <v>7.02</v>
      </c>
      <c r="AC51" s="16" t="s">
        <v>411</v>
      </c>
      <c r="AD51" s="84">
        <v>44699</v>
      </c>
      <c r="AE51" s="83">
        <v>44709</v>
      </c>
      <c r="AF51" s="33">
        <f t="shared" ref="AF51" si="62">AE51-AD51</f>
        <v>10</v>
      </c>
      <c r="AG51" s="43" t="s">
        <v>2289</v>
      </c>
      <c r="AH51" s="63">
        <f>AI51/(A51*10000)</f>
        <v>3.8714285714285712E-3</v>
      </c>
      <c r="AI51" s="283">
        <f>RTD("money.excel",,$G51,"PredictVolume")</f>
        <v>271</v>
      </c>
      <c r="AJ51" s="299"/>
      <c r="AK51" s="278"/>
      <c r="AL51" s="245"/>
      <c r="AM51" s="371"/>
      <c r="AN51" s="284"/>
      <c r="AO51" s="245"/>
      <c r="AR51" s="245" t="str">
        <f>INDEX(基本資料!N:N,MATCH($G51,基本資料!$A:$A,0))</f>
        <v>中</v>
      </c>
    </row>
    <row r="52" spans="1:44">
      <c r="A52" s="343"/>
      <c r="B52" s="79"/>
      <c r="C52" s="79"/>
      <c r="D52" s="79"/>
      <c r="E52" s="79"/>
      <c r="F52" s="6"/>
      <c r="G52" s="79"/>
      <c r="H52" s="8"/>
      <c r="I52" s="16"/>
      <c r="L52" s="156"/>
      <c r="M52" s="337"/>
      <c r="N52" s="240"/>
      <c r="O52" s="359"/>
      <c r="P52" s="79"/>
      <c r="Q52" s="342"/>
      <c r="R52" s="81"/>
      <c r="S52" s="324"/>
      <c r="T52" s="186"/>
      <c r="U52" s="307"/>
      <c r="V52" s="94"/>
      <c r="W52" s="36"/>
      <c r="X52" s="66"/>
      <c r="Y52" s="15"/>
      <c r="Z52" s="3"/>
      <c r="AA52" s="348"/>
      <c r="AB52" s="389"/>
      <c r="AC52" s="16"/>
      <c r="AF52" s="33"/>
      <c r="AG52" s="43"/>
      <c r="AH52" s="63"/>
      <c r="AI52" s="283"/>
      <c r="AJ52" s="299"/>
      <c r="AK52" s="278"/>
      <c r="AL52" s="245"/>
      <c r="AM52" s="371"/>
      <c r="AN52" s="284"/>
      <c r="AO52" s="245"/>
    </row>
    <row r="53" spans="1:44">
      <c r="A53" s="343">
        <f>IFERROR(VLOOKUP($G53,基本資料!$A:$J,3,0),"無")</f>
        <v>19.649999999999999</v>
      </c>
      <c r="B53" s="79">
        <f>IFERROR(VLOOKUP($G53,基本資料!$A:$J,4,0),"無")</f>
        <v>86</v>
      </c>
      <c r="C53" s="79">
        <f>IFERROR(VLOOKUP($G53,基本資料!$A:$J,5,0),"無")</f>
        <v>5378</v>
      </c>
      <c r="D53" s="79">
        <f>IFERROR(VLOOKUP($G53,基本資料!$A:$J,6,0),"無")</f>
        <v>12</v>
      </c>
      <c r="E53" s="79">
        <f>IFERROR(VLOOKUP($G53,基本資料!$A:$J,7,0),"無")</f>
        <v>666</v>
      </c>
      <c r="F53" s="6">
        <f>IFERROR(VLOOKUP($G53,基本資料!$A:$J,8,0),"無")</f>
        <v>14.05</v>
      </c>
      <c r="G53" s="79">
        <v>6806</v>
      </c>
      <c r="H53" s="8" t="s">
        <v>1959</v>
      </c>
      <c r="I53" s="22" t="s">
        <v>3510</v>
      </c>
      <c r="J53" s="8" t="str">
        <f>IFERROR(VLOOKUP($G53,今日總結!$A:$AN,39,0),"")</f>
        <v/>
      </c>
      <c r="K53" s="5" t="str">
        <f>IFERROR(VLOOKUP($G53,今日總結!$A:$AN,40,0),"")</f>
        <v/>
      </c>
      <c r="L53" s="156" t="str">
        <f>IFERROR(VLOOKUP($G53,今日總結!$A:$AN,37,0),"")</f>
        <v/>
      </c>
      <c r="M53" s="337" t="str">
        <f>IFERROR(VLOOKUP($G53,今日總結!$A:$AN,38,0),"")</f>
        <v/>
      </c>
      <c r="N53" s="240" t="str">
        <f t="shared" ref="N53:N56" si="63">IFERROR(L53-M53,"")</f>
        <v/>
      </c>
      <c r="O53" s="359" t="str">
        <f>IFERROR(VLOOKUP($G53,融外自投!$A:$J,7,0),"無")</f>
        <v>無</v>
      </c>
      <c r="P53" s="79" t="str">
        <f>IFERROR(VLOOKUP($G53,融外自投!$A:$J,9,0),"無")</f>
        <v>無</v>
      </c>
      <c r="Q53" s="342" t="str">
        <f>IFERROR(VLOOKUP($G53,融外自投!$A:$J,8,0),"無")</f>
        <v>無</v>
      </c>
      <c r="R53" s="81" t="str">
        <f>IFERROR(VLOOKUP($G53,融外自投!$A:$J,10,0),"無")</f>
        <v>無</v>
      </c>
      <c r="S53" s="324" t="str">
        <f>IFERROR(VLOOKUP($G53,'321買'!$A:$E,4,0),"'沒有資料'")</f>
        <v>'沒有資料'</v>
      </c>
      <c r="T53" s="186">
        <f>IFERROR(VLOOKUP($G53,基本資料!$A:$J,9,0),"無")</f>
        <v>2</v>
      </c>
      <c r="U53" s="307">
        <f t="shared" ref="U53:U56" si="64">$T53/$W53</f>
        <v>2.2197558268590458E-2</v>
      </c>
      <c r="V53" s="94">
        <f>IFERROR(VLOOKUP($G53,基本資料!$A:$J,10,0),"無")</f>
        <v>3.78</v>
      </c>
      <c r="W53" s="36">
        <f>RTD("money.excel",,"6806","Price")</f>
        <v>90.1</v>
      </c>
      <c r="X53" s="66">
        <v>88</v>
      </c>
      <c r="Y53" s="15">
        <f t="shared" ref="Y53" si="65">W53-X53</f>
        <v>2.0999999999999943</v>
      </c>
      <c r="Z53" s="3">
        <f t="shared" ref="Z53" si="66">Y53/X53</f>
        <v>2.3863636363636299E-2</v>
      </c>
      <c r="AA53" s="348" t="s">
        <v>6884</v>
      </c>
      <c r="AB53" s="389" t="str">
        <f>IFERROR(VLOOKUP($G53,基本資料!$A:$M,12,0),"無")</f>
        <v>無</v>
      </c>
      <c r="AC53" s="22" t="s">
        <v>3510</v>
      </c>
      <c r="AD53" s="84">
        <v>44694</v>
      </c>
      <c r="AE53" s="86">
        <v>44704</v>
      </c>
      <c r="AF53" s="33">
        <f t="shared" ref="AF53" si="67">AE53-AD53</f>
        <v>10</v>
      </c>
      <c r="AG53" s="43" t="s">
        <v>3511</v>
      </c>
      <c r="AH53" s="63">
        <f>AI53/(A53*10000)</f>
        <v>6.7989821882951653E-3</v>
      </c>
      <c r="AI53" s="283">
        <f>RTD("money.excel",,$G53,"PredictVolume")</f>
        <v>1336</v>
      </c>
      <c r="AJ53" s="299">
        <v>3.8</v>
      </c>
      <c r="AK53" s="278"/>
      <c r="AL53" s="245"/>
      <c r="AM53" s="371"/>
      <c r="AN53" s="284"/>
      <c r="AR53" s="245" t="str">
        <f>INDEX(基本資料!N:N,MATCH($G53,基本資料!$A:$A,0))</f>
        <v>無</v>
      </c>
    </row>
    <row r="54" spans="1:44">
      <c r="A54" s="343" t="str">
        <f>IFERROR(VLOOKUP($G54,基本資料!$A:$J,3,0),"無")</f>
        <v>無</v>
      </c>
      <c r="B54" s="79" t="str">
        <f>IFERROR(VLOOKUP($G54,基本資料!$A:$J,4,0),"無")</f>
        <v>無</v>
      </c>
      <c r="C54" s="79" t="str">
        <f>IFERROR(VLOOKUP($G54,基本資料!$A:$J,5,0),"無")</f>
        <v>無</v>
      </c>
      <c r="D54" s="79" t="str">
        <f>IFERROR(VLOOKUP($G54,基本資料!$A:$J,6,0),"無")</f>
        <v>無</v>
      </c>
      <c r="E54" s="79" t="str">
        <f>IFERROR(VLOOKUP($G54,基本資料!$A:$J,7,0),"無")</f>
        <v>無</v>
      </c>
      <c r="F54" s="6" t="str">
        <f>IFERROR(VLOOKUP($G54,基本資料!$A:$J,8,0),"無")</f>
        <v>無</v>
      </c>
      <c r="G54" s="79">
        <v>6799</v>
      </c>
      <c r="H54" s="8" t="s">
        <v>3038</v>
      </c>
      <c r="I54" s="22" t="s">
        <v>6268</v>
      </c>
      <c r="J54" s="8" t="str">
        <f>IFERROR(VLOOKUP($G54,今日總結!$A:$AN,39,0),"")</f>
        <v/>
      </c>
      <c r="K54" s="5" t="str">
        <f>IFERROR(VLOOKUP($G54,今日總結!$A:$AN,40,0),"")</f>
        <v/>
      </c>
      <c r="L54" s="156" t="str">
        <f>IFERROR(VLOOKUP($G54,今日總結!$A:$AN,37,0),"")</f>
        <v/>
      </c>
      <c r="M54" s="337" t="str">
        <f>IFERROR(VLOOKUP($G54,今日總結!$A:$AN,38,0),"")</f>
        <v/>
      </c>
      <c r="N54" s="240" t="str">
        <f>IFERROR(L54-M54,"")</f>
        <v/>
      </c>
      <c r="O54" s="359" t="str">
        <f>IFERROR(VLOOKUP($G54,融外自投!$A:$J,7,0),"無")</f>
        <v>無</v>
      </c>
      <c r="P54" s="79" t="str">
        <f>IFERROR(VLOOKUP($G54,融外自投!$A:$J,9,0),"無")</f>
        <v>無</v>
      </c>
      <c r="Q54" s="342" t="str">
        <f>IFERROR(VLOOKUP($G54,融外自投!$A:$J,8,0),"無")</f>
        <v>無</v>
      </c>
      <c r="R54" s="81" t="str">
        <f>IFERROR(VLOOKUP($G54,融外自投!$A:$J,10,0),"無")</f>
        <v>無</v>
      </c>
      <c r="S54" s="324" t="str">
        <f>IFERROR(VLOOKUP($G54,'321買'!$A:$E,4,0),"'沒有資料'")</f>
        <v>'沒有資料'</v>
      </c>
      <c r="T54" s="186" t="str">
        <f>IFERROR(VLOOKUP($G54,基本資料!$A:$J,9,0),"無")</f>
        <v>無</v>
      </c>
      <c r="U54" s="307" t="e">
        <f>$T54/$W54</f>
        <v>#VALUE!</v>
      </c>
      <c r="V54" s="94" t="str">
        <f>IFERROR(VLOOKUP($G54,基本資料!$A:$J,10,0),"無")</f>
        <v>無</v>
      </c>
      <c r="W54" s="36">
        <f>RTD("money.excel",,"6799","Price")</f>
        <v>179</v>
      </c>
      <c r="X54" s="66">
        <v>139</v>
      </c>
      <c r="Y54" s="15">
        <f t="shared" ref="Y54" si="68">W54-X54</f>
        <v>40</v>
      </c>
      <c r="Z54" s="3">
        <f t="shared" ref="Z54" si="69">Y54/X54</f>
        <v>0.28776978417266186</v>
      </c>
      <c r="AA54" s="348" t="s">
        <v>6883</v>
      </c>
      <c r="AB54" s="389" t="str">
        <f>IFERROR(VLOOKUP($G54,基本資料!$A:$M,12,0),"無")</f>
        <v>無</v>
      </c>
      <c r="AC54" s="22" t="s">
        <v>6268</v>
      </c>
      <c r="AD54" s="84">
        <v>44693</v>
      </c>
      <c r="AE54" s="86">
        <v>44704</v>
      </c>
      <c r="AF54" s="33">
        <f t="shared" ref="AF54" si="70">AE54-AD54</f>
        <v>11</v>
      </c>
      <c r="AG54" s="43" t="s">
        <v>6269</v>
      </c>
      <c r="AH54" s="63" t="e">
        <f>AI54/(A54*10000)</f>
        <v>#VALUE!</v>
      </c>
      <c r="AI54" s="283">
        <f>RTD("money.excel",,$G54,"PredictVolume")</f>
        <v>1923</v>
      </c>
      <c r="AJ54" s="299"/>
      <c r="AK54" s="278"/>
      <c r="AL54" s="245"/>
      <c r="AM54" s="371"/>
      <c r="AN54" s="284"/>
      <c r="AO54" s="245"/>
      <c r="AR54" s="245" t="e">
        <f>INDEX(基本資料!N:N,MATCH($G54,基本資料!$A:$A,0))</f>
        <v>#N/A</v>
      </c>
    </row>
    <row r="55" spans="1:44">
      <c r="A55" s="343"/>
      <c r="B55" s="79"/>
      <c r="C55" s="79"/>
      <c r="D55" s="79"/>
      <c r="E55" s="79"/>
      <c r="F55" s="6"/>
      <c r="G55" s="79"/>
      <c r="H55" s="8"/>
      <c r="I55" s="22"/>
      <c r="L55" s="156"/>
      <c r="M55" s="337"/>
      <c r="N55" s="240"/>
      <c r="O55" s="359"/>
      <c r="P55" s="79"/>
      <c r="Q55" s="342"/>
      <c r="R55" s="81"/>
      <c r="S55" s="324"/>
      <c r="T55" s="186"/>
      <c r="U55" s="307"/>
      <c r="V55" s="94"/>
      <c r="W55" s="36"/>
      <c r="X55" s="66"/>
      <c r="Y55" s="15"/>
      <c r="Z55" s="3"/>
      <c r="AA55" s="348"/>
      <c r="AB55" s="389"/>
      <c r="AC55" s="22"/>
      <c r="AE55" s="86"/>
      <c r="AF55" s="33"/>
      <c r="AG55" s="43"/>
      <c r="AH55" s="63"/>
      <c r="AI55" s="283"/>
      <c r="AJ55" s="299"/>
      <c r="AK55" s="278"/>
      <c r="AL55" s="245"/>
      <c r="AM55" s="371"/>
      <c r="AN55" s="284"/>
      <c r="AO55" s="245"/>
    </row>
    <row r="56" spans="1:44">
      <c r="A56" s="343" t="str">
        <f>IFERROR(VLOOKUP($G56,基本資料!$A:$J,3,0),"無")</f>
        <v>無</v>
      </c>
      <c r="B56" s="79" t="str">
        <f>IFERROR(VLOOKUP($G56,基本資料!$A:$J,4,0),"無")</f>
        <v>無</v>
      </c>
      <c r="C56" s="79" t="str">
        <f>IFERROR(VLOOKUP($G56,基本資料!$A:$J,5,0),"無")</f>
        <v>無</v>
      </c>
      <c r="D56" s="79" t="str">
        <f>IFERROR(VLOOKUP($G56,基本資料!$A:$J,6,0),"無")</f>
        <v>無</v>
      </c>
      <c r="E56" s="79" t="str">
        <f>IFERROR(VLOOKUP($G56,基本資料!$A:$J,7,0),"無")</f>
        <v>無</v>
      </c>
      <c r="F56" s="6" t="str">
        <f>IFERROR(VLOOKUP($G56,基本資料!$A:$J,8,0),"無")</f>
        <v>無</v>
      </c>
      <c r="G56" s="79">
        <v>4583</v>
      </c>
      <c r="H56" s="8" t="s">
        <v>295</v>
      </c>
      <c r="I56" s="22" t="s">
        <v>6261</v>
      </c>
      <c r="J56" s="8" t="str">
        <f>IFERROR(VLOOKUP($G56,今日總結!$A:$AN,39,0),"")</f>
        <v/>
      </c>
      <c r="K56" s="5" t="str">
        <f>IFERROR(VLOOKUP($G56,今日總結!$A:$AN,40,0),"")</f>
        <v/>
      </c>
      <c r="L56" s="156" t="str">
        <f>IFERROR(VLOOKUP($G56,今日總結!$A:$AN,37,0),"")</f>
        <v/>
      </c>
      <c r="M56" s="337" t="str">
        <f>IFERROR(VLOOKUP($G56,今日總結!$A:$AN,38,0),"")</f>
        <v/>
      </c>
      <c r="N56" s="240" t="str">
        <f t="shared" si="63"/>
        <v/>
      </c>
      <c r="O56" s="359" t="str">
        <f>IFERROR(VLOOKUP($G56,融外自投!$A:$J,7,0),"無")</f>
        <v>無</v>
      </c>
      <c r="P56" s="79" t="str">
        <f>IFERROR(VLOOKUP($G56,融外自投!$A:$J,9,0),"無")</f>
        <v>無</v>
      </c>
      <c r="Q56" s="342" t="str">
        <f>IFERROR(VLOOKUP($G56,融外自投!$A:$J,8,0),"無")</f>
        <v>無</v>
      </c>
      <c r="R56" s="81" t="str">
        <f>IFERROR(VLOOKUP($G56,融外自投!$A:$J,10,0),"無")</f>
        <v>無</v>
      </c>
      <c r="S56" s="324" t="str">
        <f>IFERROR(VLOOKUP($G56,'321買'!$A:$E,4,0),"'沒有資料'")</f>
        <v>'沒有資料'</v>
      </c>
      <c r="T56" s="186" t="str">
        <f>IFERROR(VLOOKUP($G56,基本資料!$A:$J,9,0),"無")</f>
        <v>無</v>
      </c>
      <c r="U56" s="307" t="e">
        <f t="shared" si="64"/>
        <v>#VALUE!</v>
      </c>
      <c r="V56" s="94" t="str">
        <f>IFERROR(VLOOKUP($G56,基本資料!$A:$J,10,0),"無")</f>
        <v>無</v>
      </c>
      <c r="W56" s="36">
        <f>RTD("money.excel",,"4583","Price")</f>
        <v>202.5</v>
      </c>
      <c r="X56" s="66">
        <v>200</v>
      </c>
      <c r="Y56" s="15">
        <f t="shared" ref="Y56" si="71">W56-X56</f>
        <v>2.5</v>
      </c>
      <c r="Z56" s="3">
        <f t="shared" ref="Z56" si="72">Y56/X56</f>
        <v>1.2500000000000001E-2</v>
      </c>
      <c r="AA56" s="348" t="s">
        <v>6690</v>
      </c>
      <c r="AB56" s="389" t="str">
        <f>IFERROR(VLOOKUP($G56,基本資料!$A:$M,12,0),"無")</f>
        <v>無</v>
      </c>
      <c r="AC56" s="22" t="s">
        <v>6261</v>
      </c>
      <c r="AD56" s="84">
        <v>44690</v>
      </c>
      <c r="AE56" s="86">
        <v>44700</v>
      </c>
      <c r="AF56" s="33">
        <f t="shared" ref="AF56" si="73">AE56-AD56</f>
        <v>10</v>
      </c>
      <c r="AG56" s="43" t="s">
        <v>6264</v>
      </c>
      <c r="AH56" s="63" t="e">
        <f>AI56/(A56*10000)</f>
        <v>#VALUE!</v>
      </c>
      <c r="AI56" s="283">
        <f>RTD("money.excel",,$G56,"PredictVolume")</f>
        <v>98</v>
      </c>
      <c r="AJ56" s="299"/>
      <c r="AK56" s="278"/>
      <c r="AL56" s="245"/>
      <c r="AM56" s="371"/>
      <c r="AN56" s="284"/>
      <c r="AR56" s="245" t="e">
        <f>INDEX(基本資料!N:N,MATCH($G56,基本資料!$A:$A,0))</f>
        <v>#N/A</v>
      </c>
    </row>
    <row r="57" spans="1:44">
      <c r="A57" s="142"/>
      <c r="B57" s="80"/>
      <c r="C57" s="80"/>
      <c r="D57" s="79"/>
      <c r="E57" s="79"/>
      <c r="F57" s="6"/>
      <c r="G57" s="79"/>
      <c r="H57" s="8"/>
      <c r="I57" s="22"/>
      <c r="L57" s="156"/>
      <c r="M57" s="337"/>
      <c r="N57" s="240"/>
      <c r="O57" s="359"/>
      <c r="P57" s="79"/>
      <c r="Q57" s="342"/>
      <c r="R57" s="81"/>
      <c r="S57" s="324"/>
      <c r="T57" s="34"/>
      <c r="U57" s="307"/>
      <c r="V57" s="94"/>
      <c r="W57" s="36"/>
      <c r="X57" s="66"/>
      <c r="Y57" s="15"/>
      <c r="Z57" s="3"/>
      <c r="AA57" s="348"/>
      <c r="AC57" s="22"/>
      <c r="AF57" s="33"/>
      <c r="AG57" s="43"/>
      <c r="AH57" s="63"/>
      <c r="AI57" s="283"/>
      <c r="AJ57" s="299"/>
      <c r="AK57" s="278"/>
      <c r="AL57" s="245"/>
      <c r="AM57" s="371"/>
      <c r="AN57" s="284"/>
    </row>
    <row r="58" spans="1:44">
      <c r="B58" s="90"/>
      <c r="C58" s="90"/>
      <c r="D58" s="90"/>
      <c r="E58" s="90"/>
      <c r="F58" s="8"/>
      <c r="G58" s="26"/>
      <c r="H58" s="55"/>
      <c r="I58" s="8"/>
      <c r="L58" s="123"/>
      <c r="O58" s="359"/>
      <c r="P58" s="292"/>
      <c r="Q58" s="342"/>
      <c r="R58" s="81"/>
      <c r="S58" s="318"/>
      <c r="T58" s="10"/>
      <c r="U58" s="305"/>
      <c r="V58" s="68"/>
      <c r="W58" s="28"/>
      <c r="X58" s="17"/>
      <c r="Y58" s="14"/>
      <c r="Z58" s="21"/>
      <c r="AA58" s="347"/>
      <c r="AC58" s="8"/>
      <c r="AD58" s="71"/>
      <c r="AE58" s="72"/>
      <c r="AG58" s="8"/>
      <c r="AH58" s="42"/>
      <c r="AK58" s="262"/>
    </row>
    <row r="59" spans="1:44">
      <c r="A59" s="127" t="s">
        <v>1672</v>
      </c>
      <c r="B59" s="90" t="s">
        <v>1571</v>
      </c>
      <c r="C59" s="90" t="s">
        <v>1572</v>
      </c>
      <c r="D59" s="90" t="s">
        <v>1573</v>
      </c>
      <c r="E59" s="90" t="s">
        <v>1574</v>
      </c>
      <c r="F59" s="8" t="s">
        <v>1059</v>
      </c>
      <c r="G59" s="26" t="s">
        <v>3441</v>
      </c>
      <c r="H59" s="55" t="s">
        <v>320</v>
      </c>
      <c r="I59" s="8" t="s">
        <v>2271</v>
      </c>
      <c r="J59" s="8" t="s">
        <v>6211</v>
      </c>
      <c r="K59" s="5" t="s">
        <v>6212</v>
      </c>
      <c r="L59" s="334" t="s">
        <v>6197</v>
      </c>
      <c r="M59" s="335" t="s">
        <v>6198</v>
      </c>
      <c r="N59" s="336" t="s">
        <v>6199</v>
      </c>
      <c r="O59" s="89" t="s">
        <v>6275</v>
      </c>
      <c r="P59" s="292" t="s">
        <v>6274</v>
      </c>
      <c r="Q59" s="350" t="s">
        <v>6273</v>
      </c>
      <c r="R59" s="26" t="s">
        <v>6276</v>
      </c>
      <c r="S59" s="318" t="s">
        <v>4715</v>
      </c>
      <c r="T59" s="10" t="s">
        <v>66</v>
      </c>
      <c r="U59" s="305" t="s">
        <v>4728</v>
      </c>
      <c r="V59" s="68" t="s">
        <v>3272</v>
      </c>
      <c r="W59" s="28" t="s">
        <v>2</v>
      </c>
      <c r="X59" s="17" t="s">
        <v>1398</v>
      </c>
      <c r="Y59" s="14" t="s">
        <v>5</v>
      </c>
      <c r="Z59" s="21" t="s">
        <v>3</v>
      </c>
      <c r="AA59" s="347" t="s">
        <v>6166</v>
      </c>
      <c r="AB59" s="102" t="s">
        <v>6404</v>
      </c>
      <c r="AC59" s="8" t="s">
        <v>2271</v>
      </c>
      <c r="AD59" s="71" t="s">
        <v>1399</v>
      </c>
      <c r="AE59" s="72" t="s">
        <v>1156</v>
      </c>
      <c r="AF59" s="32" t="s">
        <v>1157</v>
      </c>
      <c r="AG59" s="42" t="s">
        <v>2272</v>
      </c>
      <c r="AH59" s="262"/>
      <c r="AJ59" s="245"/>
      <c r="AK59" s="245"/>
    </row>
    <row r="60" spans="1:44">
      <c r="A60" s="343" t="str">
        <f>IFERROR(VLOOKUP($G60,基本資料!$A:$J,3,0),"無")</f>
        <v>無</v>
      </c>
      <c r="B60" s="79" t="str">
        <f>IFERROR(VLOOKUP($G60,基本資料!$A:$J,4,0),"無")</f>
        <v>無</v>
      </c>
      <c r="C60" s="79" t="str">
        <f>IFERROR(VLOOKUP($G60,基本資料!$A:$J,5,0),"無")</f>
        <v>無</v>
      </c>
      <c r="D60" s="79" t="str">
        <f>IFERROR(VLOOKUP($G60,基本資料!$A:$J,6,0),"無")</f>
        <v>無</v>
      </c>
      <c r="E60" s="79" t="str">
        <f>IFERROR(VLOOKUP($G60,基本資料!$A:$J,7,0),"無")</f>
        <v>無</v>
      </c>
      <c r="F60" s="6" t="str">
        <f>IFERROR(VLOOKUP($G60,基本資料!$A:$J,8,0),"無")</f>
        <v>無</v>
      </c>
      <c r="G60" s="79">
        <v>6735</v>
      </c>
      <c r="H60" s="8" t="s">
        <v>314</v>
      </c>
      <c r="I60" s="16" t="s">
        <v>6218</v>
      </c>
      <c r="J60" s="8" t="str">
        <f>IFERROR(VLOOKUP($G60,今日總結!$A:$AN,39,0),"")</f>
        <v/>
      </c>
      <c r="K60" s="5" t="str">
        <f>IFERROR(VLOOKUP($G60,今日總結!$A:$AN,40,0),"")</f>
        <v/>
      </c>
      <c r="L60" s="156" t="str">
        <f>IFERROR(VLOOKUP($G60,今日總結!$A:$AN,37,0),"")</f>
        <v/>
      </c>
      <c r="M60" s="337" t="str">
        <f>IFERROR(VLOOKUP($G60,今日總結!$A:$AN,38,0),"")</f>
        <v/>
      </c>
      <c r="N60" s="240" t="str">
        <f t="shared" ref="N60" si="74">IFERROR(L60-M60,"")</f>
        <v/>
      </c>
      <c r="O60" s="359" t="str">
        <f>IFERROR(VLOOKUP($G60,融外自投!$A:$J,7,0),"無")</f>
        <v>無</v>
      </c>
      <c r="P60" s="79" t="str">
        <f>IFERROR(VLOOKUP($G60,融外自投!$A:$J,9,0),"無")</f>
        <v>無</v>
      </c>
      <c r="Q60" s="342" t="str">
        <f>IFERROR(VLOOKUP($G60,融外自投!$A:$J,8,0),"無")</f>
        <v>無</v>
      </c>
      <c r="R60" s="81" t="str">
        <f>IFERROR(VLOOKUP($G60,融外自投!$A:$J,10,0),"無")</f>
        <v>無</v>
      </c>
      <c r="S60" s="324" t="str">
        <f>IFERROR(VLOOKUP($G60,'321買'!$A:$E,4,0),"'沒有資料'")</f>
        <v>'沒有資料'</v>
      </c>
      <c r="T60" s="186" t="str">
        <f>IFERROR(VLOOKUP($G60,基本資料!$A:$J,9,0),"無")</f>
        <v>無</v>
      </c>
      <c r="U60" s="307" t="e">
        <f>$T60/$W60</f>
        <v>#VALUE!</v>
      </c>
      <c r="V60" s="94" t="str">
        <f>IFERROR(VLOOKUP($G60,基本資料!$A:$J,10,0),"無")</f>
        <v>無</v>
      </c>
      <c r="W60" s="36">
        <v>80.599999999999994</v>
      </c>
      <c r="X60" s="66">
        <v>83</v>
      </c>
      <c r="Y60" s="15">
        <f t="shared" ref="Y60" si="75">W60-X60</f>
        <v>-2.4000000000000057</v>
      </c>
      <c r="Z60" s="76">
        <f t="shared" ref="Z60" si="76">Y60/X60</f>
        <v>-2.891566265060248E-2</v>
      </c>
      <c r="AA60" s="99" t="s">
        <v>6270</v>
      </c>
      <c r="AB60" s="389" t="str">
        <f>IFERROR(VLOOKUP($G60,基本資料!$A:$M,12,0),"無")</f>
        <v>無</v>
      </c>
      <c r="AC60" s="16" t="s">
        <v>6218</v>
      </c>
      <c r="AD60" s="84">
        <v>44680</v>
      </c>
      <c r="AE60" s="86">
        <v>44690</v>
      </c>
      <c r="AF60" s="33">
        <f t="shared" ref="AF60" si="77">AE60-AD60</f>
        <v>10</v>
      </c>
      <c r="AG60" s="43" t="s">
        <v>6219</v>
      </c>
      <c r="AH60" s="63"/>
      <c r="AI60" s="283"/>
      <c r="AJ60" s="299"/>
      <c r="AK60" s="278"/>
      <c r="AL60" s="245"/>
      <c r="AM60" s="371"/>
      <c r="AN60" s="284"/>
      <c r="AR60" s="245" t="e">
        <f>INDEX(基本資料!N:N,MATCH($G60,基本資料!$A:$A,0))</f>
        <v>#N/A</v>
      </c>
    </row>
    <row r="61" spans="1:44">
      <c r="A61" s="343" t="str">
        <f>IFERROR(VLOOKUP($G61,基本資料!$A:$J,3,0),"無")</f>
        <v>無</v>
      </c>
      <c r="B61" s="79" t="str">
        <f>IFERROR(VLOOKUP($G61,基本資料!$A:$J,4,0),"無")</f>
        <v>無</v>
      </c>
      <c r="C61" s="79" t="str">
        <f>IFERROR(VLOOKUP($G61,基本資料!$A:$J,5,0),"無")</f>
        <v>無</v>
      </c>
      <c r="D61" s="79" t="str">
        <f>IFERROR(VLOOKUP($G61,基本資料!$A:$J,6,0),"無")</f>
        <v>無</v>
      </c>
      <c r="E61" s="79" t="str">
        <f>IFERROR(VLOOKUP($G61,基本資料!$A:$J,7,0),"無")</f>
        <v>無</v>
      </c>
      <c r="F61" s="6" t="str">
        <f>IFERROR(VLOOKUP($G61,基本資料!$A:$J,8,0),"無")</f>
        <v>無</v>
      </c>
      <c r="G61" s="79">
        <v>6721</v>
      </c>
      <c r="H61" s="8" t="s">
        <v>235</v>
      </c>
      <c r="I61" s="16" t="s">
        <v>6220</v>
      </c>
      <c r="J61" s="8" t="str">
        <f>IFERROR(VLOOKUP($G61,今日總結!$A:$AN,39,0),"")</f>
        <v/>
      </c>
      <c r="K61" s="5" t="str">
        <f>IFERROR(VLOOKUP($G61,今日總結!$A:$AN,40,0),"")</f>
        <v/>
      </c>
      <c r="L61" s="156" t="str">
        <f>IFERROR(VLOOKUP($G61,今日總結!$A:$AN,37,0),"")</f>
        <v/>
      </c>
      <c r="M61" s="337" t="str">
        <f>IFERROR(VLOOKUP($G61,今日總結!$A:$AN,38,0),"")</f>
        <v/>
      </c>
      <c r="N61" s="240" t="str">
        <f t="shared" ref="N61:N124" si="78">IFERROR(L61-M61,"")</f>
        <v/>
      </c>
      <c r="O61" s="359" t="str">
        <f>IFERROR(VLOOKUP($G61,融外自投!$A:$J,7,0),"無")</f>
        <v>無</v>
      </c>
      <c r="P61" s="79" t="str">
        <f>IFERROR(VLOOKUP($G61,融外自投!$A:$J,9,0),"無")</f>
        <v>無</v>
      </c>
      <c r="Q61" s="342" t="str">
        <f>IFERROR(VLOOKUP($G61,融外自投!$A:$J,8,0),"無")</f>
        <v>無</v>
      </c>
      <c r="R61" s="81" t="str">
        <f>IFERROR(VLOOKUP($G61,融外自投!$A:$J,10,0),"無")</f>
        <v>無</v>
      </c>
      <c r="S61" s="324" t="str">
        <f>IFERROR(VLOOKUP($G61,'321買'!$A:$E,4,0),"'沒有資料'")</f>
        <v>'沒有資料'</v>
      </c>
      <c r="T61" s="186" t="str">
        <f>IFERROR(VLOOKUP($G61,基本資料!$A:$J,9,0),"無")</f>
        <v>無</v>
      </c>
      <c r="U61" s="307" t="e">
        <f>$T61/$W61</f>
        <v>#VALUE!</v>
      </c>
      <c r="V61" s="94" t="str">
        <f>IFERROR(VLOOKUP($G61,基本資料!$A:$J,10,0),"無")</f>
        <v>無</v>
      </c>
      <c r="W61" s="36">
        <v>53.8</v>
      </c>
      <c r="X61" s="66">
        <v>58</v>
      </c>
      <c r="Y61" s="15">
        <f>W61-X61</f>
        <v>-4.2000000000000028</v>
      </c>
      <c r="Z61" s="76">
        <f>Y61/X61</f>
        <v>-7.2413793103448323E-2</v>
      </c>
      <c r="AA61" s="99" t="s">
        <v>6271</v>
      </c>
      <c r="AB61" s="389" t="str">
        <f>IFERROR(VLOOKUP($G61,基本資料!$A:$M,12,0),"無")</f>
        <v>無</v>
      </c>
      <c r="AC61" s="16" t="s">
        <v>6220</v>
      </c>
      <c r="AD61" s="84">
        <v>44680</v>
      </c>
      <c r="AE61" s="86">
        <v>44690</v>
      </c>
      <c r="AF61" s="33">
        <f>AE61-AD61</f>
        <v>10</v>
      </c>
      <c r="AG61" s="117" t="s">
        <v>6221</v>
      </c>
      <c r="AH61" s="63"/>
      <c r="AI61" s="283"/>
      <c r="AJ61" s="299"/>
      <c r="AK61" s="278"/>
      <c r="AL61" s="245"/>
      <c r="AM61" s="371"/>
      <c r="AN61" s="284"/>
      <c r="AR61" s="245" t="e">
        <f>INDEX(基本資料!N:N,MATCH($G61,基本資料!$A:$A,0))</f>
        <v>#N/A</v>
      </c>
    </row>
    <row r="62" spans="1:44">
      <c r="A62" s="343" t="str">
        <f>IFERROR(VLOOKUP($G62,基本資料!$A:$J,3,0),"無")</f>
        <v>無</v>
      </c>
      <c r="B62" s="79" t="str">
        <f>IFERROR(VLOOKUP($G62,基本資料!$A:$J,4,0),"無")</f>
        <v>無</v>
      </c>
      <c r="C62" s="79" t="str">
        <f>IFERROR(VLOOKUP($G62,基本資料!$A:$J,5,0),"無")</f>
        <v>無</v>
      </c>
      <c r="D62" s="79" t="str">
        <f>IFERROR(VLOOKUP($G62,基本資料!$A:$J,6,0),"無")</f>
        <v>無</v>
      </c>
      <c r="E62" s="79" t="str">
        <f>IFERROR(VLOOKUP($G62,基本資料!$A:$J,7,0),"無")</f>
        <v>無</v>
      </c>
      <c r="F62" s="6" t="str">
        <f>IFERROR(VLOOKUP($G62,基本資料!$A:$J,8,0),"無")</f>
        <v>無</v>
      </c>
      <c r="G62" s="79">
        <v>6807</v>
      </c>
      <c r="H62" s="8" t="s">
        <v>235</v>
      </c>
      <c r="I62" s="22" t="s">
        <v>6217</v>
      </c>
      <c r="J62" s="8" t="str">
        <f>IFERROR(VLOOKUP($G62,今日總結!$A:$AN,39,0),"")</f>
        <v/>
      </c>
      <c r="K62" s="5" t="str">
        <f>IFERROR(VLOOKUP($G62,今日總結!$A:$AN,40,0),"")</f>
        <v/>
      </c>
      <c r="L62" s="156" t="str">
        <f>IFERROR(VLOOKUP($G62,今日總結!$A:$AN,37,0),"")</f>
        <v/>
      </c>
      <c r="M62" s="337" t="str">
        <f>IFERROR(VLOOKUP($G62,今日總結!$A:$AN,38,0),"")</f>
        <v/>
      </c>
      <c r="N62" s="240" t="str">
        <f t="shared" si="78"/>
        <v/>
      </c>
      <c r="O62" s="359" t="str">
        <f>IFERROR(VLOOKUP($G62,融外自投!$A:$J,7,0),"無")</f>
        <v>無</v>
      </c>
      <c r="P62" s="79" t="str">
        <f>IFERROR(VLOOKUP($G62,融外自投!$A:$J,9,0),"無")</f>
        <v>無</v>
      </c>
      <c r="Q62" s="342" t="str">
        <f>IFERROR(VLOOKUP($G62,融外自投!$A:$J,8,0),"無")</f>
        <v>無</v>
      </c>
      <c r="R62" s="81" t="str">
        <f>IFERROR(VLOOKUP($G62,融外自投!$A:$J,10,0),"無")</f>
        <v>無</v>
      </c>
      <c r="S62" s="324" t="str">
        <f>IFERROR(VLOOKUP($G62,'321買'!$A:$E,4,0),"'沒有資料'")</f>
        <v>'沒有資料'</v>
      </c>
      <c r="T62" s="186" t="str">
        <f>IFERROR(VLOOKUP($G62,基本資料!$A:$J,9,0),"無")</f>
        <v>無</v>
      </c>
      <c r="U62" s="307" t="e">
        <f t="shared" ref="U62:U125" si="79">$T62/$W62</f>
        <v>#VALUE!</v>
      </c>
      <c r="V62" s="94" t="str">
        <f>IFERROR(VLOOKUP($G62,基本資料!$A:$J,10,0),"無")</f>
        <v>無</v>
      </c>
      <c r="W62" s="36">
        <v>36.450000000000003</v>
      </c>
      <c r="X62" s="66">
        <v>40</v>
      </c>
      <c r="Y62" s="15">
        <f t="shared" ref="Y62" si="80">W62-X62</f>
        <v>-3.5499999999999972</v>
      </c>
      <c r="Z62" s="76">
        <f t="shared" ref="Z62" si="81">Y62/X62</f>
        <v>-8.8749999999999926E-2</v>
      </c>
      <c r="AA62" s="99" t="s">
        <v>6260</v>
      </c>
      <c r="AB62" s="389" t="str">
        <f>IFERROR(VLOOKUP($G62,基本資料!$A:$M,12,0),"無")</f>
        <v>無</v>
      </c>
      <c r="AC62" s="22" t="s">
        <v>6217</v>
      </c>
      <c r="AD62" s="84">
        <v>44676</v>
      </c>
      <c r="AE62" s="86">
        <v>44686</v>
      </c>
      <c r="AF62" s="33">
        <f>AE62-AD62</f>
        <v>10</v>
      </c>
      <c r="AG62" s="43" t="s">
        <v>6265</v>
      </c>
      <c r="AH62" s="63"/>
      <c r="AI62" s="283"/>
      <c r="AK62" s="63"/>
      <c r="AL62" s="283"/>
      <c r="AM62" s="299"/>
      <c r="AN62" s="372"/>
      <c r="AR62" s="245" t="e">
        <f>INDEX(基本資料!N:N,MATCH($G62,基本資料!$A:$A,0))</f>
        <v>#N/A</v>
      </c>
    </row>
    <row r="63" spans="1:44">
      <c r="A63" s="343">
        <f>IFERROR(VLOOKUP($G63,基本資料!$A:$J,3,0),"無")</f>
        <v>14.99</v>
      </c>
      <c r="B63" s="79">
        <f>IFERROR(VLOOKUP($G63,基本資料!$A:$J,4,0),"無")</f>
        <v>10</v>
      </c>
      <c r="C63" s="79">
        <f>IFERROR(VLOOKUP($G63,基本資料!$A:$J,5,0),"無")</f>
        <v>15</v>
      </c>
      <c r="D63" s="79">
        <f>IFERROR(VLOOKUP($G63,基本資料!$A:$J,6,0),"無")</f>
        <v>0</v>
      </c>
      <c r="E63" s="79">
        <f>IFERROR(VLOOKUP($G63,基本資料!$A:$J,7,0),"無")</f>
        <v>-99</v>
      </c>
      <c r="F63" s="6">
        <f>IFERROR(VLOOKUP($G63,基本資料!$A:$J,8,0),"無")</f>
        <v>14.02</v>
      </c>
      <c r="G63" s="80">
        <v>6186</v>
      </c>
      <c r="H63" s="5" t="s">
        <v>4002</v>
      </c>
      <c r="I63" s="16" t="s">
        <v>892</v>
      </c>
      <c r="J63" s="8">
        <f>IFERROR(VLOOKUP($G63,今日總結!$A:$AN,39,0),"")</f>
        <v>0</v>
      </c>
      <c r="K63" s="5" t="str">
        <f>IFERROR(VLOOKUP($G63,今日總結!$A:$AN,40,0),"")</f>
        <v>借</v>
      </c>
      <c r="L63" s="156">
        <f>IFERROR(VLOOKUP($G63,今日總結!$A:$AN,37,0),"")</f>
        <v>0</v>
      </c>
      <c r="M63" s="337">
        <f>IFERROR(VLOOKUP($G63,今日總結!$A:$AN,38,0),"")</f>
        <v>5</v>
      </c>
      <c r="N63" s="240">
        <f t="shared" si="78"/>
        <v>-5</v>
      </c>
      <c r="O63" s="359">
        <f>IFERROR(VLOOKUP($G63,融外自投!$A:$J,7,0),"無")</f>
        <v>661</v>
      </c>
      <c r="P63" s="79" t="str">
        <f>IFERROR(VLOOKUP($G63,融外自投!$A:$J,9,0),"無")</f>
        <v>無</v>
      </c>
      <c r="Q63" s="342">
        <f>IFERROR(VLOOKUP($G63,融外自投!$A:$J,8,0),"無")</f>
        <v>1309</v>
      </c>
      <c r="R63" s="81" t="str">
        <f>IFERROR(VLOOKUP($G63,融外自投!$A:$J,10,0),"無")</f>
        <v>無</v>
      </c>
      <c r="S63" s="324">
        <f>IFERROR(VLOOKUP($G63,'321買'!$A:$E,4,0),"'沒有資料'")</f>
        <v>801</v>
      </c>
      <c r="T63" s="186">
        <f>IFERROR(VLOOKUP($G63,基本資料!$A:$J,9,0),"無")</f>
        <v>3</v>
      </c>
      <c r="U63" s="307">
        <f t="shared" si="79"/>
        <v>0.11299435028248588</v>
      </c>
      <c r="V63" s="94">
        <f>IFERROR(VLOOKUP($G63,基本資料!$A:$J,10,0),"無")</f>
        <v>3.08</v>
      </c>
      <c r="W63" s="36">
        <v>26.55</v>
      </c>
      <c r="X63" s="66">
        <v>24.5</v>
      </c>
      <c r="Y63" s="15">
        <f t="shared" ref="Y63" si="82">W63-X63</f>
        <v>2.0500000000000007</v>
      </c>
      <c r="Z63" s="63">
        <f t="shared" ref="Z63" si="83">Y63/X63</f>
        <v>8.3673469387755134E-2</v>
      </c>
      <c r="AA63" s="99" t="s">
        <v>6256</v>
      </c>
      <c r="AB63" s="389">
        <f>IFERROR(VLOOKUP($G63,基本資料!$A:$M,12,0),"無")</f>
        <v>59.54</v>
      </c>
      <c r="AC63" s="16" t="s">
        <v>892</v>
      </c>
      <c r="AD63" s="84">
        <v>44665</v>
      </c>
      <c r="AE63" s="86">
        <v>44676</v>
      </c>
      <c r="AF63" s="33">
        <f t="shared" ref="AF63:AF69" si="84">AE63-AD63</f>
        <v>11</v>
      </c>
      <c r="AG63" s="43" t="s">
        <v>2011</v>
      </c>
      <c r="AK63" s="63"/>
      <c r="AL63" s="283"/>
      <c r="AM63" s="299"/>
      <c r="AN63" s="372"/>
      <c r="AR63" s="245" t="str">
        <f>INDEX(基本資料!N:N,MATCH($G63,基本資料!$A:$A,0))</f>
        <v>低</v>
      </c>
    </row>
    <row r="64" spans="1:44">
      <c r="A64" s="343" t="str">
        <f>IFERROR(VLOOKUP($G64,基本資料!$A:$J,3,0),"無")</f>
        <v>無</v>
      </c>
      <c r="B64" s="79" t="str">
        <f>IFERROR(VLOOKUP($G64,基本資料!$A:$J,4,0),"無")</f>
        <v>無</v>
      </c>
      <c r="C64" s="79" t="str">
        <f>IFERROR(VLOOKUP($G64,基本資料!$A:$J,5,0),"無")</f>
        <v>無</v>
      </c>
      <c r="D64" s="79" t="str">
        <f>IFERROR(VLOOKUP($G64,基本資料!$A:$J,6,0),"無")</f>
        <v>無</v>
      </c>
      <c r="E64" s="79" t="str">
        <f>IFERROR(VLOOKUP($G64,基本資料!$A:$J,7,0),"無")</f>
        <v>無</v>
      </c>
      <c r="F64" s="6" t="str">
        <f>IFERROR(VLOOKUP($G64,基本資料!$A:$J,8,0),"無")</f>
        <v>無</v>
      </c>
      <c r="G64" s="80">
        <v>4768</v>
      </c>
      <c r="H64" s="5" t="s">
        <v>755</v>
      </c>
      <c r="I64" s="16" t="s">
        <v>6169</v>
      </c>
      <c r="J64" s="8" t="str">
        <f>IFERROR(VLOOKUP($G64,今日總結!$A:$AN,39,0),"")</f>
        <v/>
      </c>
      <c r="K64" s="5" t="str">
        <f>IFERROR(VLOOKUP($G64,今日總結!$A:$AN,40,0),"")</f>
        <v/>
      </c>
      <c r="L64" s="156" t="str">
        <f>IFERROR(VLOOKUP($G64,今日總結!$A:$AN,37,0),"")</f>
        <v/>
      </c>
      <c r="M64" s="337" t="str">
        <f>IFERROR(VLOOKUP($G64,今日總結!$A:$AN,38,0),"")</f>
        <v/>
      </c>
      <c r="N64" s="240" t="str">
        <f t="shared" si="78"/>
        <v/>
      </c>
      <c r="O64" s="359" t="str">
        <f>IFERROR(VLOOKUP($G64,融外自投!$A:$J,7,0),"無")</f>
        <v>無</v>
      </c>
      <c r="P64" s="79" t="str">
        <f>IFERROR(VLOOKUP($G64,融外自投!$A:$J,9,0),"無")</f>
        <v>無</v>
      </c>
      <c r="Q64" s="342" t="str">
        <f>IFERROR(VLOOKUP($G64,融外自投!$A:$J,8,0),"無")</f>
        <v>無</v>
      </c>
      <c r="R64" s="81" t="str">
        <f>IFERROR(VLOOKUP($G64,融外自投!$A:$J,10,0),"無")</f>
        <v>無</v>
      </c>
      <c r="S64" s="324" t="str">
        <f>IFERROR(VLOOKUP($G64,'321買'!$A:$E,4,0),"'沒有資料'")</f>
        <v>'沒有資料'</v>
      </c>
      <c r="T64" s="186" t="str">
        <f>IFERROR(VLOOKUP($G64,基本資料!$A:$J,9,0),"無")</f>
        <v>無</v>
      </c>
      <c r="U64" s="307" t="e">
        <f t="shared" si="79"/>
        <v>#VALUE!</v>
      </c>
      <c r="V64" s="94" t="str">
        <f>IFERROR(VLOOKUP($G64,基本資料!$A:$J,10,0),"無")</f>
        <v>無</v>
      </c>
      <c r="W64" s="36">
        <v>105</v>
      </c>
      <c r="X64" s="66">
        <v>86.8</v>
      </c>
      <c r="Y64" s="15">
        <f t="shared" ref="Y64" si="85">W64-X64</f>
        <v>18.200000000000003</v>
      </c>
      <c r="Z64" s="63">
        <f t="shared" ref="Z64" si="86">Y64/X64</f>
        <v>0.20967741935483875</v>
      </c>
      <c r="AA64" s="99" t="s">
        <v>6257</v>
      </c>
      <c r="AB64" s="389" t="str">
        <f>IFERROR(VLOOKUP($G64,基本資料!$A:$M,12,0),"無")</f>
        <v>無</v>
      </c>
      <c r="AC64" s="16" t="s">
        <v>6169</v>
      </c>
      <c r="AD64" s="84">
        <v>44664</v>
      </c>
      <c r="AE64" s="86">
        <v>44676</v>
      </c>
      <c r="AF64" s="33">
        <f t="shared" si="84"/>
        <v>12</v>
      </c>
      <c r="AG64" s="43" t="s">
        <v>6170</v>
      </c>
      <c r="AK64" s="63"/>
      <c r="AL64" s="283"/>
      <c r="AM64" s="299"/>
      <c r="AN64" s="373"/>
      <c r="AR64" s="245" t="e">
        <f>INDEX(基本資料!N:N,MATCH($G64,基本資料!$A:$A,0))</f>
        <v>#N/A</v>
      </c>
    </row>
    <row r="65" spans="1:44">
      <c r="A65" s="343">
        <f>IFERROR(VLOOKUP($G65,基本資料!$A:$J,3,0),"無")</f>
        <v>4.3099999999999996</v>
      </c>
      <c r="B65" s="79">
        <f>IFERROR(VLOOKUP($G65,基本資料!$A:$J,4,0),"無")</f>
        <v>6</v>
      </c>
      <c r="C65" s="79">
        <f>IFERROR(VLOOKUP($G65,基本資料!$A:$J,5,0),"無")</f>
        <v>2</v>
      </c>
      <c r="D65" s="79">
        <f>IFERROR(VLOOKUP($G65,基本資料!$A:$J,6,0),"無")</f>
        <v>5</v>
      </c>
      <c r="E65" s="79">
        <f>IFERROR(VLOOKUP($G65,基本資料!$A:$J,7,0),"無")</f>
        <v>13</v>
      </c>
      <c r="F65" s="6">
        <f>IFERROR(VLOOKUP($G65,基本資料!$A:$J,8,0),"無")</f>
        <v>18.38</v>
      </c>
      <c r="G65" s="79">
        <v>4580</v>
      </c>
      <c r="H65" s="8" t="s">
        <v>295</v>
      </c>
      <c r="I65" s="16" t="s">
        <v>1779</v>
      </c>
      <c r="J65" s="8">
        <f>IFERROR(VLOOKUP($G65,今日總結!$A:$AN,39,0),"")</f>
        <v>0</v>
      </c>
      <c r="K65" s="5">
        <f>IFERROR(VLOOKUP($G65,今日總結!$A:$AN,40,0),"")</f>
        <v>0</v>
      </c>
      <c r="L65" s="156">
        <f>IFERROR(VLOOKUP($G65,今日總結!$A:$AN,37,0),"")</f>
        <v>0</v>
      </c>
      <c r="M65" s="337">
        <f>IFERROR(VLOOKUP($G65,今日總結!$A:$AN,38,0),"")</f>
        <v>0</v>
      </c>
      <c r="N65" s="240">
        <f t="shared" si="78"/>
        <v>0</v>
      </c>
      <c r="O65" s="359">
        <f>IFERROR(VLOOKUP($G65,融外自投!$A:$J,7,0),"無")</f>
        <v>1106</v>
      </c>
      <c r="P65" s="79" t="str">
        <f>IFERROR(VLOOKUP($G65,融外自投!$A:$J,9,0),"無")</f>
        <v>無</v>
      </c>
      <c r="Q65" s="342">
        <f>IFERROR(VLOOKUP($G65,融外自投!$A:$J,8,0),"無")</f>
        <v>1330</v>
      </c>
      <c r="R65" s="81" t="str">
        <f>IFERROR(VLOOKUP($G65,融外自投!$A:$J,10,0),"無")</f>
        <v>無</v>
      </c>
      <c r="S65" s="324">
        <f>IFERROR(VLOOKUP($G65,'321買'!$A:$E,4,0),"'沒有資料'")</f>
        <v>891</v>
      </c>
      <c r="T65" s="186">
        <f>IFERROR(VLOOKUP($G65,基本資料!$A:$J,9,0),"無")</f>
        <v>5.75</v>
      </c>
      <c r="U65" s="307">
        <f t="shared" si="79"/>
        <v>6.4461883408071741E-2</v>
      </c>
      <c r="V65" s="94">
        <f>IFERROR(VLOOKUP($G65,基本資料!$A:$J,10,0),"無")</f>
        <v>8.0399999999999991</v>
      </c>
      <c r="W65" s="36">
        <v>89.2</v>
      </c>
      <c r="X65" s="66">
        <v>84</v>
      </c>
      <c r="Y65" s="15">
        <f t="shared" ref="Y65" si="87">W65-X65</f>
        <v>5.2000000000000028</v>
      </c>
      <c r="Z65" s="63">
        <f t="shared" ref="Z65" si="88">Y65/X65</f>
        <v>6.1904761904761942E-2</v>
      </c>
      <c r="AA65" s="99" t="s">
        <v>6201</v>
      </c>
      <c r="AB65" s="389">
        <f>IFERROR(VLOOKUP($G65,基本資料!$A:$M,12,0),"無")</f>
        <v>22.32</v>
      </c>
      <c r="AC65" s="16" t="s">
        <v>1779</v>
      </c>
      <c r="AD65" s="84">
        <v>44663</v>
      </c>
      <c r="AE65" s="86">
        <v>44673</v>
      </c>
      <c r="AF65" s="33">
        <f t="shared" si="84"/>
        <v>10</v>
      </c>
      <c r="AG65" s="119" t="s">
        <v>1780</v>
      </c>
      <c r="AK65" s="63"/>
      <c r="AL65" s="283"/>
      <c r="AM65" s="299"/>
      <c r="AN65" s="372"/>
      <c r="AR65" s="245" t="str">
        <f>INDEX(基本資料!N:N,MATCH($G65,基本資料!$A:$A,0))</f>
        <v>低</v>
      </c>
    </row>
    <row r="66" spans="1:44">
      <c r="A66" s="343">
        <f>IFERROR(VLOOKUP($G66,基本資料!$A:$J,3,0),"無")</f>
        <v>3.32</v>
      </c>
      <c r="B66" s="79">
        <f>IFERROR(VLOOKUP($G66,基本資料!$A:$J,4,0),"無")</f>
        <v>-23</v>
      </c>
      <c r="C66" s="79">
        <f>IFERROR(VLOOKUP($G66,基本資料!$A:$J,5,0),"無")</f>
        <v>-53</v>
      </c>
      <c r="D66" s="79">
        <f>IFERROR(VLOOKUP($G66,基本資料!$A:$J,6,0),"無")</f>
        <v>-25</v>
      </c>
      <c r="E66" s="79">
        <f>IFERROR(VLOOKUP($G66,基本資料!$A:$J,7,0),"無")</f>
        <v>73</v>
      </c>
      <c r="F66" s="6">
        <f>IFERROR(VLOOKUP($G66,基本資料!$A:$J,8,0),"無")</f>
        <v>6.2</v>
      </c>
      <c r="G66" s="79">
        <v>6569</v>
      </c>
      <c r="H66" s="5" t="s">
        <v>309</v>
      </c>
      <c r="I66" s="16" t="s">
        <v>3841</v>
      </c>
      <c r="J66" s="8" t="str">
        <f>IFERROR(VLOOKUP($G66,今日總結!$A:$AN,39,0),"")</f>
        <v/>
      </c>
      <c r="K66" s="5" t="str">
        <f>IFERROR(VLOOKUP($G66,今日總結!$A:$AN,40,0),"")</f>
        <v/>
      </c>
      <c r="L66" s="156" t="str">
        <f>IFERROR(VLOOKUP($G66,今日總結!$A:$AN,37,0),"")</f>
        <v/>
      </c>
      <c r="M66" s="337" t="str">
        <f>IFERROR(VLOOKUP($G66,今日總結!$A:$AN,38,0),"")</f>
        <v/>
      </c>
      <c r="N66" s="240" t="str">
        <f t="shared" si="78"/>
        <v/>
      </c>
      <c r="O66" s="359" t="str">
        <f>IFERROR(VLOOKUP($G66,融外自投!$A:$J,7,0),"無")</f>
        <v>無</v>
      </c>
      <c r="P66" s="79" t="str">
        <f>IFERROR(VLOOKUP($G66,融外自投!$A:$J,9,0),"無")</f>
        <v>無</v>
      </c>
      <c r="Q66" s="342" t="str">
        <f>IFERROR(VLOOKUP($G66,融外自投!$A:$J,8,0),"無")</f>
        <v>無</v>
      </c>
      <c r="R66" s="81" t="str">
        <f>IFERROR(VLOOKUP($G66,融外自投!$A:$J,10,0),"無")</f>
        <v>無</v>
      </c>
      <c r="S66" s="324" t="str">
        <f>IFERROR(VLOOKUP($G66,'321買'!$A:$E,4,0),"'沒有資料'")</f>
        <v>'沒有資料'</v>
      </c>
      <c r="T66" s="186">
        <f>IFERROR(VLOOKUP($G66,基本資料!$A:$J,9,0),"無")</f>
        <v>4</v>
      </c>
      <c r="U66" s="307">
        <f t="shared" si="79"/>
        <v>3.7914691943127965E-2</v>
      </c>
      <c r="V66" s="94">
        <f>IFERROR(VLOOKUP($G66,基本資料!$A:$J,10,0),"無")</f>
        <v>4.22</v>
      </c>
      <c r="W66" s="36">
        <v>105.5</v>
      </c>
      <c r="X66" s="66">
        <v>88</v>
      </c>
      <c r="Y66" s="15">
        <f t="shared" ref="Y66" si="89">W66-X66</f>
        <v>17.5</v>
      </c>
      <c r="Z66" s="63">
        <f t="shared" ref="Z66" si="90">Y66/X66</f>
        <v>0.19886363636363635</v>
      </c>
      <c r="AA66" s="99" t="s">
        <v>6191</v>
      </c>
      <c r="AB66" s="389">
        <f>IFERROR(VLOOKUP($G66,基本資料!$A:$M,12,0),"無")</f>
        <v>32.35</v>
      </c>
      <c r="AC66" s="16" t="s">
        <v>3841</v>
      </c>
      <c r="AD66" s="84">
        <v>44659</v>
      </c>
      <c r="AE66" s="86">
        <v>44669</v>
      </c>
      <c r="AF66" s="33">
        <f t="shared" si="84"/>
        <v>10</v>
      </c>
      <c r="AG66" s="43" t="s">
        <v>3842</v>
      </c>
      <c r="AK66" s="63"/>
      <c r="AL66" s="283"/>
      <c r="AM66" s="299"/>
      <c r="AN66" s="372"/>
      <c r="AR66" s="245" t="str">
        <f>INDEX(基本資料!N:N,MATCH($G66,基本資料!$A:$A,0))</f>
        <v>低</v>
      </c>
    </row>
    <row r="67" spans="1:44">
      <c r="A67" s="343">
        <f>IFERROR(VLOOKUP($G67,基本資料!$A:$J,3,0),"無")</f>
        <v>6.68</v>
      </c>
      <c r="B67" s="79">
        <f>IFERROR(VLOOKUP($G67,基本資料!$A:$J,4,0),"無")</f>
        <v>30</v>
      </c>
      <c r="C67" s="79">
        <f>IFERROR(VLOOKUP($G67,基本資料!$A:$J,5,0),"無")</f>
        <v>56</v>
      </c>
      <c r="D67" s="79">
        <f>IFERROR(VLOOKUP($G67,基本資料!$A:$J,6,0),"無")</f>
        <v>-4</v>
      </c>
      <c r="E67" s="79">
        <f>IFERROR(VLOOKUP($G67,基本資料!$A:$J,7,0),"無")</f>
        <v>-60</v>
      </c>
      <c r="F67" s="6">
        <f>IFERROR(VLOOKUP($G67,基本資料!$A:$J,8,0),"無")</f>
        <v>-8</v>
      </c>
      <c r="G67" s="80">
        <v>5484</v>
      </c>
      <c r="H67" s="5" t="s">
        <v>1877</v>
      </c>
      <c r="I67" s="22" t="s">
        <v>4260</v>
      </c>
      <c r="J67" s="8" t="str">
        <f>IFERROR(VLOOKUP($G67,今日總結!$A:$AN,39,0),"")</f>
        <v/>
      </c>
      <c r="K67" s="5" t="str">
        <f>IFERROR(VLOOKUP($G67,今日總結!$A:$AN,40,0),"")</f>
        <v/>
      </c>
      <c r="L67" s="156" t="str">
        <f>IFERROR(VLOOKUP($G67,今日總結!$A:$AN,37,0),"")</f>
        <v/>
      </c>
      <c r="M67" s="337" t="str">
        <f>IFERROR(VLOOKUP($G67,今日總結!$A:$AN,38,0),"")</f>
        <v/>
      </c>
      <c r="N67" s="240" t="str">
        <f t="shared" si="78"/>
        <v/>
      </c>
      <c r="O67" s="359" t="str">
        <f>IFERROR(VLOOKUP($G67,融外自投!$A:$J,7,0),"無")</f>
        <v>無</v>
      </c>
      <c r="P67" s="79" t="str">
        <f>IFERROR(VLOOKUP($G67,融外自投!$A:$J,9,0),"無")</f>
        <v>無</v>
      </c>
      <c r="Q67" s="342" t="str">
        <f>IFERROR(VLOOKUP($G67,融外自投!$A:$J,8,0),"無")</f>
        <v>無</v>
      </c>
      <c r="R67" s="81" t="str">
        <f>IFERROR(VLOOKUP($G67,融外自投!$A:$J,10,0),"無")</f>
        <v>無</v>
      </c>
      <c r="S67" s="324" t="str">
        <f>IFERROR(VLOOKUP($G67,'321買'!$A:$E,4,0),"'沒有資料'")</f>
        <v>'沒有資料'</v>
      </c>
      <c r="T67" s="186">
        <f>IFERROR(VLOOKUP($G67,基本資料!$A:$J,9,0),"無")</f>
        <v>0</v>
      </c>
      <c r="U67" s="307">
        <f t="shared" si="79"/>
        <v>0</v>
      </c>
      <c r="V67" s="94">
        <f>IFERROR(VLOOKUP($G67,基本資料!$A:$J,10,0),"無")</f>
        <v>-0.63</v>
      </c>
      <c r="W67" s="36">
        <v>14.2</v>
      </c>
      <c r="X67" s="66">
        <v>14</v>
      </c>
      <c r="Y67" s="15">
        <f t="shared" ref="Y67" si="91">W67-X67</f>
        <v>0.19999999999999929</v>
      </c>
      <c r="Z67" s="63">
        <f t="shared" ref="Z67" si="92">Y67/X67</f>
        <v>1.4285714285714235E-2</v>
      </c>
      <c r="AA67" s="99" t="s">
        <v>6192</v>
      </c>
      <c r="AB67" s="389">
        <f>IFERROR(VLOOKUP($G67,基本資料!$A:$M,12,0),"無")</f>
        <v>7.58</v>
      </c>
      <c r="AC67" s="22" t="s">
        <v>4260</v>
      </c>
      <c r="AD67" s="84">
        <v>44659</v>
      </c>
      <c r="AE67" s="86">
        <v>44669</v>
      </c>
      <c r="AF67" s="33">
        <f t="shared" si="84"/>
        <v>10</v>
      </c>
      <c r="AG67" s="43" t="s">
        <v>4261</v>
      </c>
      <c r="AK67" s="63"/>
      <c r="AL67" s="283"/>
      <c r="AM67" s="299"/>
      <c r="AN67" s="372"/>
      <c r="AR67" s="245" t="str">
        <f>INDEX(基本資料!N:N,MATCH($G67,基本資料!$A:$A,0))</f>
        <v>低</v>
      </c>
    </row>
    <row r="68" spans="1:44">
      <c r="A68" s="343">
        <f>IFERROR(VLOOKUP($G68,基本資料!$A:$J,3,0),"無")</f>
        <v>10.66</v>
      </c>
      <c r="B68" s="79">
        <f>IFERROR(VLOOKUP($G68,基本資料!$A:$J,4,0),"無")</f>
        <v>680</v>
      </c>
      <c r="C68" s="79">
        <f>IFERROR(VLOOKUP($G68,基本資料!$A:$J,5,0),"無")</f>
        <v>1465</v>
      </c>
      <c r="D68" s="79">
        <f>IFERROR(VLOOKUP($G68,基本資料!$A:$J,6,0),"無")</f>
        <v>-35</v>
      </c>
      <c r="E68" s="79">
        <f>IFERROR(VLOOKUP($G68,基本資料!$A:$J,7,0),"無")</f>
        <v>-13</v>
      </c>
      <c r="F68" s="6">
        <f>IFERROR(VLOOKUP($G68,基本資料!$A:$J,8,0),"無")</f>
        <v>1.62</v>
      </c>
      <c r="G68" s="80">
        <v>3346</v>
      </c>
      <c r="H68" s="5" t="s">
        <v>301</v>
      </c>
      <c r="I68" s="22" t="s">
        <v>577</v>
      </c>
      <c r="J68" s="8">
        <f>IFERROR(VLOOKUP($G68,今日總結!$A:$AN,39,0),"")</f>
        <v>0</v>
      </c>
      <c r="K68" s="5" t="str">
        <f>IFERROR(VLOOKUP($G68,今日總結!$A:$AN,40,0),"")</f>
        <v>融</v>
      </c>
      <c r="L68" s="156">
        <f>IFERROR(VLOOKUP($G68,今日總結!$A:$AN,37,0),"")</f>
        <v>0</v>
      </c>
      <c r="M68" s="337">
        <f>IFERROR(VLOOKUP($G68,今日總結!$A:$AN,38,0),"")</f>
        <v>2</v>
      </c>
      <c r="N68" s="240">
        <f t="shared" si="78"/>
        <v>-2</v>
      </c>
      <c r="O68" s="359">
        <f>IFERROR(VLOOKUP($G68,融外自投!$A:$J,7,0),"無")</f>
        <v>232</v>
      </c>
      <c r="P68" s="79" t="str">
        <f>IFERROR(VLOOKUP($G68,融外自投!$A:$J,9,0),"無")</f>
        <v>無</v>
      </c>
      <c r="Q68" s="342">
        <f>IFERROR(VLOOKUP($G68,融外自投!$A:$J,8,0),"無")</f>
        <v>901</v>
      </c>
      <c r="R68" s="81" t="str">
        <f>IFERROR(VLOOKUP($G68,融外自投!$A:$J,10,0),"無")</f>
        <v>無</v>
      </c>
      <c r="S68" s="324">
        <f>IFERROR(VLOOKUP($G68,'321買'!$A:$E,4,0),"'沒有資料'")</f>
        <v>696</v>
      </c>
      <c r="T68" s="186">
        <f>IFERROR(VLOOKUP($G68,基本資料!$A:$J,9,0),"無")</f>
        <v>0.62</v>
      </c>
      <c r="U68" s="307">
        <f t="shared" si="79"/>
        <v>1.7919075144508669E-2</v>
      </c>
      <c r="V68" s="94">
        <f>IFERROR(VLOOKUP($G68,基本資料!$A:$J,10,0),"無")</f>
        <v>1.03</v>
      </c>
      <c r="W68" s="36">
        <v>34.6</v>
      </c>
      <c r="X68" s="66">
        <v>33</v>
      </c>
      <c r="Y68" s="15">
        <f t="shared" ref="Y68" si="93">W68-X68</f>
        <v>1.6000000000000014</v>
      </c>
      <c r="Z68" s="63">
        <f t="shared" ref="Z68" si="94">Y68/X68</f>
        <v>4.8484848484848526E-2</v>
      </c>
      <c r="AA68" s="99" t="s">
        <v>6193</v>
      </c>
      <c r="AB68" s="389">
        <f>IFERROR(VLOOKUP($G68,基本資料!$A:$M,12,0),"無")</f>
        <v>11.82</v>
      </c>
      <c r="AC68" s="22" t="s">
        <v>577</v>
      </c>
      <c r="AD68" s="84">
        <v>44659</v>
      </c>
      <c r="AE68" s="86">
        <v>44669</v>
      </c>
      <c r="AF68" s="33">
        <f t="shared" si="84"/>
        <v>10</v>
      </c>
      <c r="AG68" s="43" t="s">
        <v>2088</v>
      </c>
      <c r="AK68" s="63"/>
      <c r="AL68" s="283"/>
      <c r="AM68" s="299"/>
      <c r="AN68" s="372"/>
      <c r="AR68" s="245" t="str">
        <f>INDEX(基本資料!N:N,MATCH($G68,基本資料!$A:$A,0))</f>
        <v>低</v>
      </c>
    </row>
    <row r="69" spans="1:44">
      <c r="A69" s="343">
        <f>IFERROR(VLOOKUP($G69,基本資料!$A:$J,3,0),"無")</f>
        <v>11.41</v>
      </c>
      <c r="B69" s="79">
        <f>IFERROR(VLOOKUP($G69,基本資料!$A:$J,4,0),"無")</f>
        <v>-2</v>
      </c>
      <c r="C69" s="79">
        <f>IFERROR(VLOOKUP($G69,基本資料!$A:$J,5,0),"無")</f>
        <v>-4</v>
      </c>
      <c r="D69" s="79">
        <f>IFERROR(VLOOKUP($G69,基本資料!$A:$J,6,0),"無")</f>
        <v>-4</v>
      </c>
      <c r="E69" s="79">
        <f>IFERROR(VLOOKUP($G69,基本資料!$A:$J,7,0),"無")</f>
        <v>0</v>
      </c>
      <c r="F69" s="6">
        <f>IFERROR(VLOOKUP($G69,基本資料!$A:$J,8,0),"無")</f>
        <v>-5.2</v>
      </c>
      <c r="G69" s="80">
        <v>3625</v>
      </c>
      <c r="H69" s="183" t="s">
        <v>1145</v>
      </c>
      <c r="I69" s="24" t="s">
        <v>2212</v>
      </c>
      <c r="J69" s="8">
        <f>IFERROR(VLOOKUP($G69,今日總結!$A:$AN,39,0),"")</f>
        <v>0</v>
      </c>
      <c r="K69" s="5">
        <f>IFERROR(VLOOKUP($G69,今日總結!$A:$AN,40,0),"")</f>
        <v>0</v>
      </c>
      <c r="L69" s="156">
        <f>IFERROR(VLOOKUP($G69,今日總結!$A:$AN,37,0),"")</f>
        <v>0</v>
      </c>
      <c r="M69" s="337">
        <f>IFERROR(VLOOKUP($G69,今日總結!$A:$AN,38,0),"")</f>
        <v>0</v>
      </c>
      <c r="N69" s="240">
        <f t="shared" si="78"/>
        <v>0</v>
      </c>
      <c r="O69" s="359">
        <f>IFERROR(VLOOKUP($G69,融外自投!$A:$J,7,0),"無")</f>
        <v>529</v>
      </c>
      <c r="P69" s="79" t="str">
        <f>IFERROR(VLOOKUP($G69,融外自投!$A:$J,9,0),"無")</f>
        <v>無</v>
      </c>
      <c r="Q69" s="342">
        <f>IFERROR(VLOOKUP($G69,融外自投!$A:$J,8,0),"無")</f>
        <v>664</v>
      </c>
      <c r="R69" s="81" t="str">
        <f>IFERROR(VLOOKUP($G69,融外自投!$A:$J,10,0),"無")</f>
        <v>無</v>
      </c>
      <c r="S69" s="324">
        <f>IFERROR(VLOOKUP($G69,'321買'!$A:$E,4,0),"'沒有資料'")</f>
        <v>565</v>
      </c>
      <c r="T69" s="186">
        <f>IFERROR(VLOOKUP($G69,基本資料!$A:$J,9,0),"無")</f>
        <v>0</v>
      </c>
      <c r="U69" s="307">
        <f t="shared" si="79"/>
        <v>0</v>
      </c>
      <c r="V69" s="94">
        <f>IFERROR(VLOOKUP($G69,基本資料!$A:$J,10,0),"無")</f>
        <v>-1.92</v>
      </c>
      <c r="W69" s="36">
        <v>19.75</v>
      </c>
      <c r="X69" s="66">
        <v>20</v>
      </c>
      <c r="Y69" s="15">
        <f t="shared" ref="Y69" si="95">W69-X69</f>
        <v>-0.25</v>
      </c>
      <c r="Z69" s="76">
        <f t="shared" ref="Z69" si="96">Y69/X69</f>
        <v>-1.2500000000000001E-2</v>
      </c>
      <c r="AA69" s="99" t="s">
        <v>1122</v>
      </c>
      <c r="AB69" s="389">
        <f>IFERROR(VLOOKUP($G69,基本資料!$A:$M,12,0),"無")</f>
        <v>7.45</v>
      </c>
      <c r="AC69" s="24" t="s">
        <v>2212</v>
      </c>
      <c r="AD69" s="84">
        <v>44658</v>
      </c>
      <c r="AE69" s="86">
        <v>44669</v>
      </c>
      <c r="AF69" s="33">
        <f t="shared" si="84"/>
        <v>11</v>
      </c>
      <c r="AG69" s="119" t="s">
        <v>2213</v>
      </c>
      <c r="AK69" s="63"/>
      <c r="AL69" s="283"/>
      <c r="AM69" s="299"/>
      <c r="AN69" s="372"/>
      <c r="AR69" s="245" t="str">
        <f>INDEX(基本資料!N:N,MATCH($G69,基本資料!$A:$A,0))</f>
        <v>低</v>
      </c>
    </row>
    <row r="70" spans="1:44">
      <c r="A70" s="343" t="str">
        <f>IFERROR(VLOOKUP($G70,基本資料!$A:$J,3,0),"無")</f>
        <v>無</v>
      </c>
      <c r="B70" s="79" t="str">
        <f>IFERROR(VLOOKUP($G70,基本資料!$A:$J,4,0),"無")</f>
        <v>無</v>
      </c>
      <c r="C70" s="79" t="str">
        <f>IFERROR(VLOOKUP($G70,基本資料!$A:$J,5,0),"無")</f>
        <v>無</v>
      </c>
      <c r="D70" s="79" t="str">
        <f>IFERROR(VLOOKUP($G70,基本資料!$A:$J,6,0),"無")</f>
        <v>無</v>
      </c>
      <c r="E70" s="79" t="str">
        <f>IFERROR(VLOOKUP($G70,基本資料!$A:$J,7,0),"無")</f>
        <v>無</v>
      </c>
      <c r="F70" s="6" t="str">
        <f>IFERROR(VLOOKUP($G70,基本資料!$A:$J,8,0),"無")</f>
        <v>無</v>
      </c>
      <c r="G70" s="80">
        <v>6804</v>
      </c>
      <c r="H70" s="5" t="s">
        <v>235</v>
      </c>
      <c r="I70" s="16" t="s">
        <v>6137</v>
      </c>
      <c r="J70" s="8" t="str">
        <f>IFERROR(VLOOKUP($G70,今日總結!$A:$AN,39,0),"")</f>
        <v/>
      </c>
      <c r="K70" s="5" t="str">
        <f>IFERROR(VLOOKUP($G70,今日總結!$A:$AN,40,0),"")</f>
        <v/>
      </c>
      <c r="L70" s="156" t="str">
        <f>IFERROR(VLOOKUP($G70,今日總結!$A:$AN,37,0),"")</f>
        <v/>
      </c>
      <c r="M70" s="337" t="str">
        <f>IFERROR(VLOOKUP($G70,今日總結!$A:$AN,38,0),"")</f>
        <v/>
      </c>
      <c r="N70" s="240" t="str">
        <f t="shared" si="78"/>
        <v/>
      </c>
      <c r="O70" s="359" t="str">
        <f>IFERROR(VLOOKUP($G70,融外自投!$A:$J,7,0),"無")</f>
        <v>無</v>
      </c>
      <c r="P70" s="79" t="str">
        <f>IFERROR(VLOOKUP($G70,融外自投!$A:$J,9,0),"無")</f>
        <v>無</v>
      </c>
      <c r="Q70" s="342" t="str">
        <f>IFERROR(VLOOKUP($G70,融外自投!$A:$J,8,0),"無")</f>
        <v>無</v>
      </c>
      <c r="R70" s="81" t="str">
        <f>IFERROR(VLOOKUP($G70,融外自投!$A:$J,10,0),"無")</f>
        <v>無</v>
      </c>
      <c r="S70" s="324" t="str">
        <f>IFERROR(VLOOKUP($G70,'321買'!$A:$E,4,0),"'沒有資料'")</f>
        <v>'沒有資料'</v>
      </c>
      <c r="T70" s="186" t="str">
        <f>IFERROR(VLOOKUP($G70,基本資料!$A:$J,9,0),"無")</f>
        <v>無</v>
      </c>
      <c r="U70" s="307" t="e">
        <f t="shared" si="79"/>
        <v>#VALUE!</v>
      </c>
      <c r="V70" s="94" t="str">
        <f>IFERROR(VLOOKUP($G70,基本資料!$A:$J,10,0),"無")</f>
        <v>無</v>
      </c>
      <c r="W70" s="36">
        <v>49</v>
      </c>
      <c r="X70" s="66">
        <v>40</v>
      </c>
      <c r="Y70" s="15">
        <f t="shared" ref="Y70" si="97">W70-X70</f>
        <v>9</v>
      </c>
      <c r="Z70" s="63">
        <f t="shared" ref="Z70" si="98">Y70/X70</f>
        <v>0.22500000000000001</v>
      </c>
      <c r="AA70" s="99" t="s">
        <v>1123</v>
      </c>
      <c r="AB70" s="389" t="str">
        <f>IFERROR(VLOOKUP($G70,基本資料!$A:$M,12,0),"無")</f>
        <v>無</v>
      </c>
      <c r="AC70" s="16" t="s">
        <v>6137</v>
      </c>
      <c r="AD70" s="84">
        <v>44651</v>
      </c>
      <c r="AE70" s="86">
        <v>44662</v>
      </c>
      <c r="AF70" s="33">
        <f t="shared" ref="AF70:AF133" si="99">AE70-AD70</f>
        <v>11</v>
      </c>
      <c r="AG70" s="117" t="s">
        <v>6138</v>
      </c>
      <c r="AH70" s="63"/>
      <c r="AJ70" s="245"/>
      <c r="AK70" s="245"/>
      <c r="AL70" s="283"/>
      <c r="AM70" s="299"/>
      <c r="AN70" s="372"/>
      <c r="AR70" s="245" t="e">
        <f>INDEX(基本資料!N:N,MATCH($G70,基本資料!$A:$A,0))</f>
        <v>#N/A</v>
      </c>
    </row>
    <row r="71" spans="1:44">
      <c r="A71" s="343">
        <f>IFERROR(VLOOKUP($G71,基本資料!$A:$J,3,0),"無")</f>
        <v>22.92</v>
      </c>
      <c r="B71" s="79">
        <f>IFERROR(VLOOKUP($G71,基本資料!$A:$J,4,0),"無")</f>
        <v>-15</v>
      </c>
      <c r="C71" s="79">
        <f>IFERROR(VLOOKUP($G71,基本資料!$A:$J,5,0),"無")</f>
        <v>-17</v>
      </c>
      <c r="D71" s="79">
        <f>IFERROR(VLOOKUP($G71,基本資料!$A:$J,6,0),"無")</f>
        <v>-84</v>
      </c>
      <c r="E71" s="79">
        <f>IFERROR(VLOOKUP($G71,基本資料!$A:$J,7,0),"無")</f>
        <v>-84</v>
      </c>
      <c r="F71" s="6">
        <f>IFERROR(VLOOKUP($G71,基本資料!$A:$J,8,0),"無")</f>
        <v>-9141.35</v>
      </c>
      <c r="G71" s="80">
        <v>4174</v>
      </c>
      <c r="H71" s="5" t="s">
        <v>309</v>
      </c>
      <c r="I71" s="16" t="s">
        <v>3786</v>
      </c>
      <c r="J71" s="8" t="str">
        <f>IFERROR(VLOOKUP($G71,今日總結!$A:$AN,39,0),"")</f>
        <v>融</v>
      </c>
      <c r="K71" s="5">
        <f>IFERROR(VLOOKUP($G71,今日總結!$A:$AN,40,0),"")</f>
        <v>0</v>
      </c>
      <c r="L71" s="156">
        <f>IFERROR(VLOOKUP($G71,今日總結!$A:$AN,37,0),"")</f>
        <v>7</v>
      </c>
      <c r="M71" s="337">
        <f>IFERROR(VLOOKUP($G71,今日總結!$A:$AN,38,0),"")</f>
        <v>0</v>
      </c>
      <c r="N71" s="240">
        <f t="shared" si="78"/>
        <v>7</v>
      </c>
      <c r="O71" s="359">
        <f>IFERROR(VLOOKUP($G71,融外自投!$A:$J,7,0),"無")</f>
        <v>282</v>
      </c>
      <c r="P71" s="79">
        <f>IFERROR(VLOOKUP($G71,融外自投!$A:$J,9,0),"無")</f>
        <v>1123</v>
      </c>
      <c r="Q71" s="342">
        <f>IFERROR(VLOOKUP($G71,融外自投!$A:$J,8,0),"無")</f>
        <v>453</v>
      </c>
      <c r="R71" s="81" t="str">
        <f>IFERROR(VLOOKUP($G71,融外自投!$A:$J,10,0),"無")</f>
        <v>無</v>
      </c>
      <c r="S71" s="324">
        <f>IFERROR(VLOOKUP($G71,'321買'!$A:$E,4,0),"'沒有資料'")</f>
        <v>650</v>
      </c>
      <c r="T71" s="186">
        <f>IFERROR(VLOOKUP($G71,基本資料!$A:$J,9,0),"無")</f>
        <v>0</v>
      </c>
      <c r="U71" s="307">
        <f t="shared" si="79"/>
        <v>0</v>
      </c>
      <c r="V71" s="94">
        <f>IFERROR(VLOOKUP($G71,基本資料!$A:$J,10,0),"無")</f>
        <v>-7.69</v>
      </c>
      <c r="W71" s="36">
        <v>107.5</v>
      </c>
      <c r="X71" s="66">
        <v>105</v>
      </c>
      <c r="Y71" s="15">
        <f t="shared" ref="Y71" si="100">W71-X71</f>
        <v>2.5</v>
      </c>
      <c r="Z71" s="63">
        <f t="shared" ref="Z71" si="101">Y71/X71</f>
        <v>2.3809523809523808E-2</v>
      </c>
      <c r="AA71" s="99" t="s">
        <v>1458</v>
      </c>
      <c r="AB71" s="389">
        <f>IFERROR(VLOOKUP($G71,基本資料!$A:$M,12,0),"無")</f>
        <v>44.26</v>
      </c>
      <c r="AC71" s="16" t="s">
        <v>3786</v>
      </c>
      <c r="AD71" s="84">
        <v>44650</v>
      </c>
      <c r="AE71" s="86">
        <v>44662</v>
      </c>
      <c r="AF71" s="33">
        <f t="shared" si="99"/>
        <v>12</v>
      </c>
      <c r="AG71" s="43" t="s">
        <v>3787</v>
      </c>
      <c r="AH71" s="63"/>
      <c r="AJ71" s="245"/>
      <c r="AK71" s="245"/>
      <c r="AL71" s="283"/>
      <c r="AM71" s="299"/>
      <c r="AN71" s="372"/>
      <c r="AR71" s="245" t="str">
        <f>INDEX(基本資料!N:N,MATCH($G71,基本資料!$A:$A,0))</f>
        <v>中</v>
      </c>
    </row>
    <row r="72" spans="1:44">
      <c r="A72" s="343">
        <f>IFERROR(VLOOKUP($G72,基本資料!$A:$J,3,0),"無")</f>
        <v>309</v>
      </c>
      <c r="B72" s="79">
        <f>IFERROR(VLOOKUP($G72,基本資料!$A:$J,4,0),"無")</f>
        <v>-24</v>
      </c>
      <c r="C72" s="79">
        <f>IFERROR(VLOOKUP($G72,基本資料!$A:$J,5,0),"無")</f>
        <v>-175</v>
      </c>
      <c r="D72" s="79">
        <f>IFERROR(VLOOKUP($G72,基本資料!$A:$J,6,0),"無")</f>
        <v>-35</v>
      </c>
      <c r="E72" s="79">
        <f>IFERROR(VLOOKUP($G72,基本資料!$A:$J,7,0),"無")</f>
        <v>-35</v>
      </c>
      <c r="F72" s="6">
        <f>IFERROR(VLOOKUP($G72,基本資料!$A:$J,8,0),"無")</f>
        <v>-0.83</v>
      </c>
      <c r="G72" s="80">
        <v>2867</v>
      </c>
      <c r="H72" s="18" t="s">
        <v>4640</v>
      </c>
      <c r="I72" s="22" t="s">
        <v>116</v>
      </c>
      <c r="J72" s="8">
        <f>IFERROR(VLOOKUP($G72,今日總結!$A:$AN,39,0),"")</f>
        <v>0</v>
      </c>
      <c r="K72" s="5">
        <f>IFERROR(VLOOKUP($G72,今日總結!$A:$AN,40,0),"")</f>
        <v>0</v>
      </c>
      <c r="L72" s="156">
        <f>IFERROR(VLOOKUP($G72,今日總結!$A:$AN,37,0),"")</f>
        <v>0</v>
      </c>
      <c r="M72" s="337">
        <f>IFERROR(VLOOKUP($G72,今日總結!$A:$AN,38,0),"")</f>
        <v>0</v>
      </c>
      <c r="N72" s="240">
        <f t="shared" si="78"/>
        <v>0</v>
      </c>
      <c r="O72" s="359">
        <f>IFERROR(VLOOKUP($G72,融外自投!$A:$J,7,0),"無")</f>
        <v>862</v>
      </c>
      <c r="P72" s="79">
        <f>IFERROR(VLOOKUP($G72,融外自投!$A:$J,9,0),"無")</f>
        <v>1123</v>
      </c>
      <c r="Q72" s="342">
        <f>IFERROR(VLOOKUP($G72,融外自投!$A:$J,8,0),"無")</f>
        <v>750</v>
      </c>
      <c r="R72" s="81" t="str">
        <f>IFERROR(VLOOKUP($G72,融外自投!$A:$J,10,0),"無")</f>
        <v>無</v>
      </c>
      <c r="S72" s="324">
        <f>IFERROR(VLOOKUP($G72,'321買'!$A:$E,4,0),"'沒有資料'")</f>
        <v>1002</v>
      </c>
      <c r="T72" s="186">
        <f>IFERROR(VLOOKUP($G72,基本資料!$A:$J,9,0),"無")</f>
        <v>0</v>
      </c>
      <c r="U72" s="307">
        <f t="shared" si="79"/>
        <v>0</v>
      </c>
      <c r="V72" s="94">
        <f>IFERROR(VLOOKUP($G72,基本資料!$A:$J,10,0),"無")</f>
        <v>0.42</v>
      </c>
      <c r="W72" s="36">
        <v>8.65</v>
      </c>
      <c r="X72" s="66">
        <v>8.1999999999999993</v>
      </c>
      <c r="Y72" s="15">
        <f>W72-X72</f>
        <v>0.45000000000000107</v>
      </c>
      <c r="Z72" s="63">
        <f>Y72/X72</f>
        <v>5.4878048780487937E-2</v>
      </c>
      <c r="AA72" s="99" t="s">
        <v>1708</v>
      </c>
      <c r="AB72" s="389">
        <f>IFERROR(VLOOKUP($G72,基本資料!$A:$M,12,0),"無")</f>
        <v>11.88</v>
      </c>
      <c r="AC72" s="22" t="s">
        <v>116</v>
      </c>
      <c r="AD72" s="84">
        <v>44644</v>
      </c>
      <c r="AE72" s="86">
        <v>44657</v>
      </c>
      <c r="AF72" s="33">
        <f t="shared" si="99"/>
        <v>13</v>
      </c>
      <c r="AG72" s="117" t="s">
        <v>2156</v>
      </c>
      <c r="AH72" s="63"/>
      <c r="AJ72" s="245"/>
      <c r="AK72" s="245"/>
      <c r="AL72" s="283"/>
      <c r="AM72" s="299"/>
      <c r="AN72" s="372"/>
      <c r="AR72" s="245" t="str">
        <f>INDEX(基本資料!N:N,MATCH($G72,基本資料!$A:$A,0))</f>
        <v>低</v>
      </c>
    </row>
    <row r="73" spans="1:44">
      <c r="A73" s="343" t="str">
        <f>IFERROR(VLOOKUP($G73,基本資料!$A:$J,3,0),"無")</f>
        <v>無</v>
      </c>
      <c r="B73" s="79" t="str">
        <f>IFERROR(VLOOKUP($G73,基本資料!$A:$J,4,0),"無")</f>
        <v>無</v>
      </c>
      <c r="C73" s="79" t="str">
        <f>IFERROR(VLOOKUP($G73,基本資料!$A:$J,5,0),"無")</f>
        <v>無</v>
      </c>
      <c r="D73" s="79" t="str">
        <f>IFERROR(VLOOKUP($G73,基本資料!$A:$J,6,0),"無")</f>
        <v>無</v>
      </c>
      <c r="E73" s="79" t="str">
        <f>IFERROR(VLOOKUP($G73,基本資料!$A:$J,7,0),"無")</f>
        <v>無</v>
      </c>
      <c r="F73" s="6" t="str">
        <f>IFERROR(VLOOKUP($G73,基本資料!$A:$J,8,0),"無")</f>
        <v>無</v>
      </c>
      <c r="G73" s="80">
        <v>3349</v>
      </c>
      <c r="H73" s="183" t="s">
        <v>1145</v>
      </c>
      <c r="I73" s="16" t="s">
        <v>4766</v>
      </c>
      <c r="J73" s="8" t="str">
        <f>IFERROR(VLOOKUP($G73,今日總結!$A:$AN,39,0),"")</f>
        <v/>
      </c>
      <c r="K73" s="5" t="str">
        <f>IFERROR(VLOOKUP($G73,今日總結!$A:$AN,40,0),"")</f>
        <v/>
      </c>
      <c r="L73" s="156" t="str">
        <f>IFERROR(VLOOKUP($G73,今日總結!$A:$AN,37,0),"")</f>
        <v/>
      </c>
      <c r="M73" s="337" t="str">
        <f>IFERROR(VLOOKUP($G73,今日總結!$A:$AN,38,0),"")</f>
        <v/>
      </c>
      <c r="N73" s="240" t="str">
        <f t="shared" si="78"/>
        <v/>
      </c>
      <c r="O73" s="359" t="str">
        <f>IFERROR(VLOOKUP($G73,融外自投!$A:$J,7,0),"無")</f>
        <v>無</v>
      </c>
      <c r="P73" s="79" t="str">
        <f>IFERROR(VLOOKUP($G73,融外自投!$A:$J,9,0),"無")</f>
        <v>無</v>
      </c>
      <c r="Q73" s="342" t="str">
        <f>IFERROR(VLOOKUP($G73,融外自投!$A:$J,8,0),"無")</f>
        <v>無</v>
      </c>
      <c r="R73" s="81" t="str">
        <f>IFERROR(VLOOKUP($G73,融外自投!$A:$J,10,0),"無")</f>
        <v>無</v>
      </c>
      <c r="S73" s="324" t="str">
        <f>IFERROR(VLOOKUP($G73,'321買'!$A:$E,4,0),"'沒有資料'")</f>
        <v>'沒有資料'</v>
      </c>
      <c r="T73" s="186" t="str">
        <f>IFERROR(VLOOKUP($G73,基本資料!$A:$J,9,0),"無")</f>
        <v>無</v>
      </c>
      <c r="U73" s="307" t="e">
        <f t="shared" si="79"/>
        <v>#VALUE!</v>
      </c>
      <c r="V73" s="94" t="str">
        <f>IFERROR(VLOOKUP($G73,基本資料!$A:$J,10,0),"無")</f>
        <v>無</v>
      </c>
      <c r="W73" s="36">
        <v>20.65</v>
      </c>
      <c r="X73" s="66">
        <v>18.88</v>
      </c>
      <c r="Y73" s="15">
        <f>W73-X73</f>
        <v>1.7699999999999996</v>
      </c>
      <c r="Z73" s="63">
        <f>Y73/X73</f>
        <v>9.3749999999999986E-2</v>
      </c>
      <c r="AA73" s="99" t="s">
        <v>6139</v>
      </c>
      <c r="AB73" s="389" t="str">
        <f>IFERROR(VLOOKUP($G73,基本資料!$A:$M,12,0),"無")</f>
        <v>無</v>
      </c>
      <c r="AC73" s="16" t="s">
        <v>4766</v>
      </c>
      <c r="AD73" s="84">
        <v>44643</v>
      </c>
      <c r="AE73" s="86">
        <v>44657</v>
      </c>
      <c r="AF73" s="33">
        <f t="shared" si="99"/>
        <v>14</v>
      </c>
      <c r="AG73" s="43" t="s">
        <v>4767</v>
      </c>
      <c r="AH73" s="63"/>
      <c r="AJ73" s="245"/>
      <c r="AK73" s="245"/>
      <c r="AL73" s="283"/>
      <c r="AM73" s="299"/>
      <c r="AN73" s="372"/>
      <c r="AR73" s="245" t="e">
        <f>INDEX(基本資料!N:N,MATCH($G73,基本資料!$A:$A,0))</f>
        <v>#N/A</v>
      </c>
    </row>
    <row r="74" spans="1:44">
      <c r="A74" s="343" t="str">
        <f>IFERROR(VLOOKUP($G74,基本資料!$A:$J,3,0),"無")</f>
        <v>無</v>
      </c>
      <c r="B74" s="79" t="str">
        <f>IFERROR(VLOOKUP($G74,基本資料!$A:$J,4,0),"無")</f>
        <v>無</v>
      </c>
      <c r="C74" s="79" t="str">
        <f>IFERROR(VLOOKUP($G74,基本資料!$A:$J,5,0),"無")</f>
        <v>無</v>
      </c>
      <c r="D74" s="79" t="str">
        <f>IFERROR(VLOOKUP($G74,基本資料!$A:$J,6,0),"無")</f>
        <v>無</v>
      </c>
      <c r="E74" s="79" t="str">
        <f>IFERROR(VLOOKUP($G74,基本資料!$A:$J,7,0),"無")</f>
        <v>無</v>
      </c>
      <c r="F74" s="6" t="str">
        <f>IFERROR(VLOOKUP($G74,基本資料!$A:$J,8,0),"無")</f>
        <v>無</v>
      </c>
      <c r="G74" s="80">
        <v>4558</v>
      </c>
      <c r="H74" s="5" t="s">
        <v>295</v>
      </c>
      <c r="I74" s="16" t="s">
        <v>4764</v>
      </c>
      <c r="J74" s="8" t="str">
        <f>IFERROR(VLOOKUP($G74,今日總結!$A:$AN,39,0),"")</f>
        <v/>
      </c>
      <c r="K74" s="5" t="str">
        <f>IFERROR(VLOOKUP($G74,今日總結!$A:$AN,40,0),"")</f>
        <v/>
      </c>
      <c r="L74" s="156" t="str">
        <f>IFERROR(VLOOKUP($G74,今日總結!$A:$AN,37,0),"")</f>
        <v/>
      </c>
      <c r="M74" s="337" t="str">
        <f>IFERROR(VLOOKUP($G74,今日總結!$A:$AN,38,0),"")</f>
        <v/>
      </c>
      <c r="N74" s="240" t="str">
        <f t="shared" si="78"/>
        <v/>
      </c>
      <c r="O74" s="359" t="str">
        <f>IFERROR(VLOOKUP($G74,融外自投!$A:$J,7,0),"無")</f>
        <v>無</v>
      </c>
      <c r="P74" s="79" t="str">
        <f>IFERROR(VLOOKUP($G74,融外自投!$A:$J,9,0),"無")</f>
        <v>無</v>
      </c>
      <c r="Q74" s="342" t="str">
        <f>IFERROR(VLOOKUP($G74,融外自投!$A:$J,8,0),"無")</f>
        <v>無</v>
      </c>
      <c r="R74" s="81" t="str">
        <f>IFERROR(VLOOKUP($G74,融外自投!$A:$J,10,0),"無")</f>
        <v>無</v>
      </c>
      <c r="S74" s="324" t="str">
        <f>IFERROR(VLOOKUP($G74,'321買'!$A:$E,4,0),"'沒有資料'")</f>
        <v>'沒有資料'</v>
      </c>
      <c r="T74" s="186" t="str">
        <f>IFERROR(VLOOKUP($G74,基本資料!$A:$J,9,0),"無")</f>
        <v>無</v>
      </c>
      <c r="U74" s="307" t="e">
        <f t="shared" si="79"/>
        <v>#VALUE!</v>
      </c>
      <c r="V74" s="94" t="str">
        <f>IFERROR(VLOOKUP($G74,基本資料!$A:$J,10,0),"無")</f>
        <v>無</v>
      </c>
      <c r="W74" s="13">
        <v>46.15</v>
      </c>
      <c r="X74" s="66">
        <v>40</v>
      </c>
      <c r="Y74" s="15">
        <f>W74-X74</f>
        <v>6.1499999999999986</v>
      </c>
      <c r="Z74" s="63">
        <f>Y74/X74</f>
        <v>0.15374999999999997</v>
      </c>
      <c r="AA74" s="99" t="s">
        <v>6136</v>
      </c>
      <c r="AB74" s="389" t="str">
        <f>IFERROR(VLOOKUP($G74,基本資料!$A:$M,12,0),"無")</f>
        <v>無</v>
      </c>
      <c r="AC74" s="16" t="s">
        <v>4764</v>
      </c>
      <c r="AD74" s="84">
        <v>44637</v>
      </c>
      <c r="AE74" s="86">
        <v>44648</v>
      </c>
      <c r="AF74" s="33">
        <f t="shared" si="99"/>
        <v>11</v>
      </c>
      <c r="AG74" s="43" t="s">
        <v>4765</v>
      </c>
      <c r="AH74" s="63"/>
      <c r="AJ74" s="245"/>
      <c r="AK74" s="245"/>
      <c r="AL74" s="283"/>
      <c r="AM74" s="299"/>
      <c r="AN74" s="372"/>
      <c r="AR74" s="245" t="e">
        <f>INDEX(基本資料!N:N,MATCH($G74,基本資料!$A:$A,0))</f>
        <v>#N/A</v>
      </c>
    </row>
    <row r="75" spans="1:44">
      <c r="A75" s="343" t="str">
        <f>IFERROR(VLOOKUP($G75,基本資料!$A:$J,3,0),"無")</f>
        <v>無</v>
      </c>
      <c r="B75" s="79" t="str">
        <f>IFERROR(VLOOKUP($G75,基本資料!$A:$J,4,0),"無")</f>
        <v>無</v>
      </c>
      <c r="C75" s="79" t="str">
        <f>IFERROR(VLOOKUP($G75,基本資料!$A:$J,5,0),"無")</f>
        <v>無</v>
      </c>
      <c r="D75" s="79" t="str">
        <f>IFERROR(VLOOKUP($G75,基本資料!$A:$J,6,0),"無")</f>
        <v>無</v>
      </c>
      <c r="E75" s="79" t="str">
        <f>IFERROR(VLOOKUP($G75,基本資料!$A:$J,7,0),"無")</f>
        <v>無</v>
      </c>
      <c r="F75" s="6" t="str">
        <f>IFERROR(VLOOKUP($G75,基本資料!$A:$J,8,0),"無")</f>
        <v>無</v>
      </c>
      <c r="G75" s="80">
        <v>6763</v>
      </c>
      <c r="H75" s="183" t="s">
        <v>330</v>
      </c>
      <c r="I75" s="16" t="s">
        <v>4759</v>
      </c>
      <c r="J75" s="8" t="str">
        <f>IFERROR(VLOOKUP($G75,今日總結!$A:$AN,39,0),"")</f>
        <v/>
      </c>
      <c r="K75" s="5" t="str">
        <f>IFERROR(VLOOKUP($G75,今日總結!$A:$AN,40,0),"")</f>
        <v/>
      </c>
      <c r="L75" s="156" t="str">
        <f>IFERROR(VLOOKUP($G75,今日總結!$A:$AN,37,0),"")</f>
        <v/>
      </c>
      <c r="M75" s="337" t="str">
        <f>IFERROR(VLOOKUP($G75,今日總結!$A:$AN,38,0),"")</f>
        <v/>
      </c>
      <c r="N75" s="240" t="str">
        <f t="shared" si="78"/>
        <v/>
      </c>
      <c r="O75" s="359" t="str">
        <f>IFERROR(VLOOKUP($G75,融外自投!$A:$J,7,0),"無")</f>
        <v>無</v>
      </c>
      <c r="P75" s="79" t="str">
        <f>IFERROR(VLOOKUP($G75,融外自投!$A:$J,9,0),"無")</f>
        <v>無</v>
      </c>
      <c r="Q75" s="342" t="str">
        <f>IFERROR(VLOOKUP($G75,融外自投!$A:$J,8,0),"無")</f>
        <v>無</v>
      </c>
      <c r="R75" s="81" t="str">
        <f>IFERROR(VLOOKUP($G75,融外自投!$A:$J,10,0),"無")</f>
        <v>無</v>
      </c>
      <c r="S75" s="324" t="str">
        <f>IFERROR(VLOOKUP($G75,'321買'!$A:$E,4,0),"'沒有資料'")</f>
        <v>'沒有資料'</v>
      </c>
      <c r="T75" s="186" t="str">
        <f>IFERROR(VLOOKUP($G75,基本資料!$A:$J,9,0),"無")</f>
        <v>無</v>
      </c>
      <c r="U75" s="307" t="e">
        <f t="shared" si="79"/>
        <v>#VALUE!</v>
      </c>
      <c r="V75" s="94" t="str">
        <f>IFERROR(VLOOKUP($G75,基本資料!$A:$J,10,0),"無")</f>
        <v>無</v>
      </c>
      <c r="W75" s="36">
        <v>768</v>
      </c>
      <c r="X75" s="66">
        <v>760</v>
      </c>
      <c r="Y75" s="15">
        <f t="shared" ref="Y75" si="102">W75-X75</f>
        <v>8</v>
      </c>
      <c r="Z75" s="148">
        <f t="shared" ref="Z75" si="103">Y75/X75</f>
        <v>1.0526315789473684E-2</v>
      </c>
      <c r="AA75" s="99" t="s">
        <v>6135</v>
      </c>
      <c r="AB75" s="389" t="str">
        <f>IFERROR(VLOOKUP($G75,基本資料!$A:$M,12,0),"無")</f>
        <v>無</v>
      </c>
      <c r="AC75" s="16" t="s">
        <v>4759</v>
      </c>
      <c r="AD75" s="84">
        <v>44635</v>
      </c>
      <c r="AE75" s="86">
        <v>44645</v>
      </c>
      <c r="AF75" s="33">
        <f t="shared" si="99"/>
        <v>10</v>
      </c>
      <c r="AG75" s="123" t="s">
        <v>4760</v>
      </c>
      <c r="AH75" s="63"/>
      <c r="AJ75" s="245"/>
      <c r="AK75" s="245"/>
      <c r="AL75" s="283"/>
      <c r="AM75" s="299"/>
      <c r="AN75" s="372"/>
      <c r="AR75" s="245" t="e">
        <f>INDEX(基本資料!N:N,MATCH($G75,基本資料!$A:$A,0))</f>
        <v>#N/A</v>
      </c>
    </row>
    <row r="76" spans="1:44">
      <c r="A76" s="343" t="str">
        <f>IFERROR(VLOOKUP($G76,基本資料!$A:$J,3,0),"無")</f>
        <v>無</v>
      </c>
      <c r="B76" s="79" t="str">
        <f>IFERROR(VLOOKUP($G76,基本資料!$A:$J,4,0),"無")</f>
        <v>無</v>
      </c>
      <c r="C76" s="79" t="str">
        <f>IFERROR(VLOOKUP($G76,基本資料!$A:$J,5,0),"無")</f>
        <v>無</v>
      </c>
      <c r="D76" s="79" t="str">
        <f>IFERROR(VLOOKUP($G76,基本資料!$A:$J,6,0),"無")</f>
        <v>無</v>
      </c>
      <c r="E76" s="79" t="str">
        <f>IFERROR(VLOOKUP($G76,基本資料!$A:$J,7,0),"無")</f>
        <v>無</v>
      </c>
      <c r="F76" s="6" t="str">
        <f>IFERROR(VLOOKUP($G76,基本資料!$A:$J,8,0),"無")</f>
        <v>無</v>
      </c>
      <c r="G76" s="80">
        <v>4923</v>
      </c>
      <c r="H76" s="145" t="s">
        <v>3038</v>
      </c>
      <c r="I76" s="16" t="s">
        <v>4758</v>
      </c>
      <c r="J76" s="8" t="str">
        <f>IFERROR(VLOOKUP($G76,今日總結!$A:$AN,39,0),"")</f>
        <v/>
      </c>
      <c r="K76" s="5" t="str">
        <f>IFERROR(VLOOKUP($G76,今日總結!$A:$AN,40,0),"")</f>
        <v/>
      </c>
      <c r="L76" s="156" t="str">
        <f>IFERROR(VLOOKUP($G76,今日總結!$A:$AN,37,0),"")</f>
        <v/>
      </c>
      <c r="M76" s="337" t="str">
        <f>IFERROR(VLOOKUP($G76,今日總結!$A:$AN,38,0),"")</f>
        <v/>
      </c>
      <c r="N76" s="240" t="str">
        <f t="shared" si="78"/>
        <v/>
      </c>
      <c r="O76" s="359" t="str">
        <f>IFERROR(VLOOKUP($G76,融外自投!$A:$J,7,0),"無")</f>
        <v>無</v>
      </c>
      <c r="P76" s="79" t="str">
        <f>IFERROR(VLOOKUP($G76,融外自投!$A:$J,9,0),"無")</f>
        <v>無</v>
      </c>
      <c r="Q76" s="342" t="str">
        <f>IFERROR(VLOOKUP($G76,融外自投!$A:$J,8,0),"無")</f>
        <v>無</v>
      </c>
      <c r="R76" s="81" t="str">
        <f>IFERROR(VLOOKUP($G76,融外自投!$A:$J,10,0),"無")</f>
        <v>無</v>
      </c>
      <c r="S76" s="324" t="str">
        <f>IFERROR(VLOOKUP($G76,'321買'!$A:$E,4,0),"'沒有資料'")</f>
        <v>'沒有資料'</v>
      </c>
      <c r="T76" s="186" t="str">
        <f>IFERROR(VLOOKUP($G76,基本資料!$A:$J,9,0),"無")</f>
        <v>無</v>
      </c>
      <c r="U76" s="307" t="e">
        <f t="shared" si="79"/>
        <v>#VALUE!</v>
      </c>
      <c r="V76" s="94" t="str">
        <f>IFERROR(VLOOKUP($G76,基本資料!$A:$J,10,0),"無")</f>
        <v>無</v>
      </c>
      <c r="W76" s="36">
        <v>81.2</v>
      </c>
      <c r="X76" s="66">
        <v>61.88</v>
      </c>
      <c r="Y76" s="15">
        <f>W76-X76</f>
        <v>19.32</v>
      </c>
      <c r="Z76" s="63">
        <f>Y76/X76</f>
        <v>0.31221719457013575</v>
      </c>
      <c r="AA76" s="99" t="s">
        <v>6134</v>
      </c>
      <c r="AB76" s="389" t="str">
        <f>IFERROR(VLOOKUP($G76,基本資料!$A:$M,12,0),"無")</f>
        <v>無</v>
      </c>
      <c r="AC76" s="16" t="s">
        <v>4758</v>
      </c>
      <c r="AD76" s="84">
        <v>44634</v>
      </c>
      <c r="AE76" s="86">
        <v>44644</v>
      </c>
      <c r="AF76" s="33">
        <f t="shared" si="99"/>
        <v>10</v>
      </c>
      <c r="AG76" s="123" t="s">
        <v>4761</v>
      </c>
      <c r="AH76" s="63"/>
      <c r="AJ76" s="245"/>
      <c r="AK76" s="245"/>
      <c r="AL76" s="283"/>
      <c r="AM76" s="299"/>
      <c r="AN76" s="372"/>
      <c r="AR76" s="245" t="e">
        <f>INDEX(基本資料!N:N,MATCH($G76,基本資料!$A:$A,0))</f>
        <v>#N/A</v>
      </c>
    </row>
    <row r="77" spans="1:44">
      <c r="A77" s="343" t="str">
        <f>IFERROR(VLOOKUP($G77,基本資料!$A:$J,3,0),"無")</f>
        <v>無</v>
      </c>
      <c r="B77" s="79" t="str">
        <f>IFERROR(VLOOKUP($G77,基本資料!$A:$J,4,0),"無")</f>
        <v>無</v>
      </c>
      <c r="C77" s="79" t="str">
        <f>IFERROR(VLOOKUP($G77,基本資料!$A:$J,5,0),"無")</f>
        <v>無</v>
      </c>
      <c r="D77" s="79" t="str">
        <f>IFERROR(VLOOKUP($G77,基本資料!$A:$J,6,0),"無")</f>
        <v>無</v>
      </c>
      <c r="E77" s="79" t="str">
        <f>IFERROR(VLOOKUP($G77,基本資料!$A:$J,7,0),"無")</f>
        <v>無</v>
      </c>
      <c r="F77" s="6" t="str">
        <f>IFERROR(VLOOKUP($G77,基本資料!$A:$J,8,0),"無")</f>
        <v>無</v>
      </c>
      <c r="G77" s="80">
        <v>8438</v>
      </c>
      <c r="H77" s="5" t="s">
        <v>1959</v>
      </c>
      <c r="I77" s="22" t="s">
        <v>4757</v>
      </c>
      <c r="J77" s="8" t="str">
        <f>IFERROR(VLOOKUP($G77,今日總結!$A:$AN,39,0),"")</f>
        <v/>
      </c>
      <c r="K77" s="5" t="str">
        <f>IFERROR(VLOOKUP($G77,今日總結!$A:$AN,40,0),"")</f>
        <v/>
      </c>
      <c r="L77" s="156" t="str">
        <f>IFERROR(VLOOKUP($G77,今日總結!$A:$AN,37,0),"")</f>
        <v/>
      </c>
      <c r="M77" s="337" t="str">
        <f>IFERROR(VLOOKUP($G77,今日總結!$A:$AN,38,0),"")</f>
        <v/>
      </c>
      <c r="N77" s="240" t="str">
        <f t="shared" si="78"/>
        <v/>
      </c>
      <c r="O77" s="359" t="str">
        <f>IFERROR(VLOOKUP($G77,融外自投!$A:$J,7,0),"無")</f>
        <v>無</v>
      </c>
      <c r="P77" s="79" t="str">
        <f>IFERROR(VLOOKUP($G77,融外自投!$A:$J,9,0),"無")</f>
        <v>無</v>
      </c>
      <c r="Q77" s="342" t="str">
        <f>IFERROR(VLOOKUP($G77,融外自投!$A:$J,8,0),"無")</f>
        <v>無</v>
      </c>
      <c r="R77" s="81" t="str">
        <f>IFERROR(VLOOKUP($G77,融外自投!$A:$J,10,0),"無")</f>
        <v>無</v>
      </c>
      <c r="S77" s="324" t="str">
        <f>IFERROR(VLOOKUP($G77,'321買'!$A:$E,4,0),"'沒有資料'")</f>
        <v>'沒有資料'</v>
      </c>
      <c r="T77" s="186" t="str">
        <f>IFERROR(VLOOKUP($G77,基本資料!$A:$J,9,0),"無")</f>
        <v>無</v>
      </c>
      <c r="U77" s="307" t="e">
        <f t="shared" si="79"/>
        <v>#VALUE!</v>
      </c>
      <c r="V77" s="94" t="str">
        <f>IFERROR(VLOOKUP($G77,基本資料!$A:$J,10,0),"無")</f>
        <v>無</v>
      </c>
      <c r="W77" s="13">
        <v>39.950000000000003</v>
      </c>
      <c r="X77" s="66">
        <v>40</v>
      </c>
      <c r="Y77" s="15">
        <f t="shared" ref="Y77:Y84" si="104">W77-X77</f>
        <v>-4.9999999999997158E-2</v>
      </c>
      <c r="Z77" s="76">
        <f t="shared" ref="Z77:Z84" si="105">Y77/X77</f>
        <v>-1.2499999999999289E-3</v>
      </c>
      <c r="AA77" s="99" t="s">
        <v>4768</v>
      </c>
      <c r="AB77" s="389" t="str">
        <f>IFERROR(VLOOKUP($G77,基本資料!$A:$M,12,0),"無")</f>
        <v>無</v>
      </c>
      <c r="AC77" s="22" t="s">
        <v>4757</v>
      </c>
      <c r="AD77" s="84">
        <v>44631</v>
      </c>
      <c r="AE77" s="86">
        <v>44641</v>
      </c>
      <c r="AF77" s="33">
        <f t="shared" si="99"/>
        <v>10</v>
      </c>
      <c r="AG77" s="123" t="s">
        <v>4762</v>
      </c>
      <c r="AH77" s="63"/>
      <c r="AJ77" s="245"/>
      <c r="AK77" s="245"/>
      <c r="AL77" s="283"/>
      <c r="AM77" s="299"/>
      <c r="AN77" s="372"/>
      <c r="AR77" s="245" t="e">
        <f>INDEX(基本資料!N:N,MATCH($G77,基本資料!$A:$A,0))</f>
        <v>#N/A</v>
      </c>
    </row>
    <row r="78" spans="1:44">
      <c r="A78" s="343" t="str">
        <f>IFERROR(VLOOKUP($G78,基本資料!$A:$J,3,0),"無")</f>
        <v>無</v>
      </c>
      <c r="B78" s="79" t="str">
        <f>IFERROR(VLOOKUP($G78,基本資料!$A:$J,4,0),"無")</f>
        <v>無</v>
      </c>
      <c r="C78" s="79" t="str">
        <f>IFERROR(VLOOKUP($G78,基本資料!$A:$J,5,0),"無")</f>
        <v>無</v>
      </c>
      <c r="D78" s="79" t="str">
        <f>IFERROR(VLOOKUP($G78,基本資料!$A:$J,6,0),"無")</f>
        <v>無</v>
      </c>
      <c r="E78" s="79" t="str">
        <f>IFERROR(VLOOKUP($G78,基本資料!$A:$J,7,0),"無")</f>
        <v>無</v>
      </c>
      <c r="F78" s="6" t="str">
        <f>IFERROR(VLOOKUP($G78,基本資料!$A:$J,8,0),"無")</f>
        <v>無</v>
      </c>
      <c r="G78" s="80">
        <v>6829</v>
      </c>
      <c r="H78" s="8" t="s">
        <v>295</v>
      </c>
      <c r="I78" s="16" t="s">
        <v>4756</v>
      </c>
      <c r="J78" s="8" t="str">
        <f>IFERROR(VLOOKUP($G78,今日總結!$A:$AN,39,0),"")</f>
        <v/>
      </c>
      <c r="K78" s="5" t="str">
        <f>IFERROR(VLOOKUP($G78,今日總結!$A:$AN,40,0),"")</f>
        <v/>
      </c>
      <c r="L78" s="156" t="str">
        <f>IFERROR(VLOOKUP($G78,今日總結!$A:$AN,37,0),"")</f>
        <v/>
      </c>
      <c r="M78" s="337" t="str">
        <f>IFERROR(VLOOKUP($G78,今日總結!$A:$AN,38,0),"")</f>
        <v/>
      </c>
      <c r="N78" s="240" t="str">
        <f t="shared" si="78"/>
        <v/>
      </c>
      <c r="O78" s="359" t="str">
        <f>IFERROR(VLOOKUP($G78,融外自投!$A:$J,7,0),"無")</f>
        <v>無</v>
      </c>
      <c r="P78" s="79" t="str">
        <f>IFERROR(VLOOKUP($G78,融外自投!$A:$J,9,0),"無")</f>
        <v>無</v>
      </c>
      <c r="Q78" s="342" t="str">
        <f>IFERROR(VLOOKUP($G78,融外自投!$A:$J,8,0),"無")</f>
        <v>無</v>
      </c>
      <c r="R78" s="81" t="str">
        <f>IFERROR(VLOOKUP($G78,融外自投!$A:$J,10,0),"無")</f>
        <v>無</v>
      </c>
      <c r="S78" s="324" t="str">
        <f>IFERROR(VLOOKUP($G78,'321買'!$A:$E,4,0),"'沒有資料'")</f>
        <v>'沒有資料'</v>
      </c>
      <c r="T78" s="186" t="str">
        <f>IFERROR(VLOOKUP($G78,基本資料!$A:$J,9,0),"無")</f>
        <v>無</v>
      </c>
      <c r="U78" s="307" t="e">
        <f t="shared" si="79"/>
        <v>#VALUE!</v>
      </c>
      <c r="V78" s="94" t="str">
        <f>IFERROR(VLOOKUP($G78,基本資料!$A:$J,10,0),"無")</f>
        <v>無</v>
      </c>
      <c r="W78" s="36">
        <v>83.9</v>
      </c>
      <c r="X78" s="66">
        <v>66</v>
      </c>
      <c r="Y78" s="15">
        <f t="shared" si="104"/>
        <v>17.900000000000006</v>
      </c>
      <c r="Z78" s="63">
        <f t="shared" si="105"/>
        <v>0.27121212121212129</v>
      </c>
      <c r="AA78" s="99" t="s">
        <v>4769</v>
      </c>
      <c r="AB78" s="389" t="str">
        <f>IFERROR(VLOOKUP($G78,基本資料!$A:$M,12,0),"無")</f>
        <v>無</v>
      </c>
      <c r="AC78" s="16" t="s">
        <v>4756</v>
      </c>
      <c r="AD78" s="84">
        <v>44631</v>
      </c>
      <c r="AE78" s="86">
        <v>44641</v>
      </c>
      <c r="AF78" s="33">
        <f t="shared" si="99"/>
        <v>10</v>
      </c>
      <c r="AG78" s="123" t="s">
        <v>4763</v>
      </c>
      <c r="AH78" s="63"/>
      <c r="AJ78" s="245"/>
      <c r="AK78" s="245"/>
      <c r="AL78" s="283"/>
      <c r="AM78" s="299"/>
      <c r="AN78" s="372"/>
      <c r="AR78" s="245" t="e">
        <f>INDEX(基本資料!N:N,MATCH($G78,基本資料!$A:$A,0))</f>
        <v>#N/A</v>
      </c>
    </row>
    <row r="79" spans="1:44">
      <c r="A79" s="343">
        <f>IFERROR(VLOOKUP($G79,基本資料!$A:$J,3,0),"無")</f>
        <v>2</v>
      </c>
      <c r="B79" s="79">
        <f>IFERROR(VLOOKUP($G79,基本資料!$A:$J,4,0),"無")</f>
        <v>3</v>
      </c>
      <c r="C79" s="79">
        <f>IFERROR(VLOOKUP($G79,基本資料!$A:$J,5,0),"無")</f>
        <v>-4</v>
      </c>
      <c r="D79" s="79">
        <f>IFERROR(VLOOKUP($G79,基本資料!$A:$J,6,0),"無")</f>
        <v>0</v>
      </c>
      <c r="E79" s="79">
        <f>IFERROR(VLOOKUP($G79,基本資料!$A:$J,7,0),"無")</f>
        <v>39</v>
      </c>
      <c r="F79" s="6">
        <f>IFERROR(VLOOKUP($G79,基本資料!$A:$J,8,0),"無")</f>
        <v>3.12</v>
      </c>
      <c r="G79" s="80">
        <v>6751</v>
      </c>
      <c r="H79" s="5" t="s">
        <v>313</v>
      </c>
      <c r="I79" s="16" t="s">
        <v>2138</v>
      </c>
      <c r="J79" s="8" t="str">
        <f>IFERROR(VLOOKUP($G79,今日總結!$A:$AN,39,0),"")</f>
        <v/>
      </c>
      <c r="K79" s="5" t="str">
        <f>IFERROR(VLOOKUP($G79,今日總結!$A:$AN,40,0),"")</f>
        <v/>
      </c>
      <c r="L79" s="156" t="str">
        <f>IFERROR(VLOOKUP($G79,今日總結!$A:$AN,37,0),"")</f>
        <v/>
      </c>
      <c r="M79" s="337" t="str">
        <f>IFERROR(VLOOKUP($G79,今日總結!$A:$AN,38,0),"")</f>
        <v/>
      </c>
      <c r="N79" s="240" t="str">
        <f t="shared" si="78"/>
        <v/>
      </c>
      <c r="O79" s="359" t="str">
        <f>IFERROR(VLOOKUP($G79,融外自投!$A:$J,7,0),"無")</f>
        <v>無</v>
      </c>
      <c r="P79" s="79" t="str">
        <f>IFERROR(VLOOKUP($G79,融外自投!$A:$J,9,0),"無")</f>
        <v>無</v>
      </c>
      <c r="Q79" s="342" t="str">
        <f>IFERROR(VLOOKUP($G79,融外自投!$A:$J,8,0),"無")</f>
        <v>無</v>
      </c>
      <c r="R79" s="81" t="str">
        <f>IFERROR(VLOOKUP($G79,融外自投!$A:$J,10,0),"無")</f>
        <v>無</v>
      </c>
      <c r="S79" s="324" t="str">
        <f>IFERROR(VLOOKUP($G79,'321買'!$A:$E,4,0),"'沒有資料'")</f>
        <v>'沒有資料'</v>
      </c>
      <c r="T79" s="186">
        <f>IFERROR(VLOOKUP($G79,基本資料!$A:$J,9,0),"無")</f>
        <v>2.1</v>
      </c>
      <c r="U79" s="307">
        <f t="shared" si="79"/>
        <v>4.7511312217194568E-2</v>
      </c>
      <c r="V79" s="94">
        <f>IFERROR(VLOOKUP($G79,基本資料!$A:$J,10,0),"無")</f>
        <v>2.44</v>
      </c>
      <c r="W79" s="36">
        <v>44.2</v>
      </c>
      <c r="X79" s="66">
        <v>45</v>
      </c>
      <c r="Y79" s="15">
        <f t="shared" si="104"/>
        <v>-0.79999999999999716</v>
      </c>
      <c r="Z79" s="76">
        <f t="shared" si="105"/>
        <v>-1.7777777777777715E-2</v>
      </c>
      <c r="AA79" s="99" t="s">
        <v>4770</v>
      </c>
      <c r="AB79" s="389">
        <f>IFERROR(VLOOKUP($G79,基本資料!$A:$M,12,0),"無")</f>
        <v>11.73</v>
      </c>
      <c r="AC79" s="16" t="s">
        <v>2138</v>
      </c>
      <c r="AD79" s="84">
        <v>44631</v>
      </c>
      <c r="AE79" s="86">
        <v>44641</v>
      </c>
      <c r="AF79" s="33">
        <f t="shared" si="99"/>
        <v>10</v>
      </c>
      <c r="AG79" s="43" t="s">
        <v>2139</v>
      </c>
      <c r="AH79" s="63"/>
      <c r="AJ79" s="245"/>
      <c r="AK79" s="245"/>
      <c r="AL79" s="283"/>
      <c r="AM79" s="299"/>
      <c r="AN79" s="372"/>
      <c r="AR79" s="245" t="str">
        <f>INDEX(基本資料!N:N,MATCH($G79,基本資料!$A:$A,0))</f>
        <v>低</v>
      </c>
    </row>
    <row r="80" spans="1:44">
      <c r="A80" s="343">
        <f>IFERROR(VLOOKUP($G80,基本資料!$A:$J,3,0),"無")</f>
        <v>23.8</v>
      </c>
      <c r="B80" s="79">
        <f>IFERROR(VLOOKUP($G80,基本資料!$A:$J,4,0),"無")</f>
        <v>-371</v>
      </c>
      <c r="C80" s="79">
        <f>IFERROR(VLOOKUP($G80,基本資料!$A:$J,5,0),"無")</f>
        <v>-246</v>
      </c>
      <c r="D80" s="79">
        <f>IFERROR(VLOOKUP($G80,基本資料!$A:$J,6,0),"無")</f>
        <v>-13</v>
      </c>
      <c r="E80" s="79">
        <f>IFERROR(VLOOKUP($G80,基本資料!$A:$J,7,0),"無")</f>
        <v>8</v>
      </c>
      <c r="F80" s="6">
        <f>IFERROR(VLOOKUP($G80,基本資料!$A:$J,8,0),"無")</f>
        <v>-12.09</v>
      </c>
      <c r="G80" s="80">
        <v>2314</v>
      </c>
      <c r="H80" s="5" t="s">
        <v>4314</v>
      </c>
      <c r="I80" s="22" t="s">
        <v>4315</v>
      </c>
      <c r="J80" s="8" t="str">
        <f>IFERROR(VLOOKUP($G80,今日總結!$A:$AN,39,0),"")</f>
        <v/>
      </c>
      <c r="K80" s="5" t="str">
        <f>IFERROR(VLOOKUP($G80,今日總結!$A:$AN,40,0),"")</f>
        <v/>
      </c>
      <c r="L80" s="156" t="str">
        <f>IFERROR(VLOOKUP($G80,今日總結!$A:$AN,37,0),"")</f>
        <v/>
      </c>
      <c r="M80" s="337" t="str">
        <f>IFERROR(VLOOKUP($G80,今日總結!$A:$AN,38,0),"")</f>
        <v/>
      </c>
      <c r="N80" s="240" t="str">
        <f t="shared" si="78"/>
        <v/>
      </c>
      <c r="O80" s="359" t="str">
        <f>IFERROR(VLOOKUP($G80,融外自投!$A:$J,7,0),"無")</f>
        <v>無</v>
      </c>
      <c r="P80" s="79" t="str">
        <f>IFERROR(VLOOKUP($G80,融外自投!$A:$J,9,0),"無")</f>
        <v>無</v>
      </c>
      <c r="Q80" s="342" t="str">
        <f>IFERROR(VLOOKUP($G80,融外自投!$A:$J,8,0),"無")</f>
        <v>無</v>
      </c>
      <c r="R80" s="81" t="str">
        <f>IFERROR(VLOOKUP($G80,融外自投!$A:$J,10,0),"無")</f>
        <v>無</v>
      </c>
      <c r="S80" s="324" t="str">
        <f>IFERROR(VLOOKUP($G80,'321買'!$A:$E,4,0),"'沒有資料'")</f>
        <v>'沒有資料'</v>
      </c>
      <c r="T80" s="186">
        <f>IFERROR(VLOOKUP($G80,基本資料!$A:$J,9,0),"無")</f>
        <v>0</v>
      </c>
      <c r="U80" s="307">
        <f t="shared" si="79"/>
        <v>0</v>
      </c>
      <c r="V80" s="94">
        <f>IFERROR(VLOOKUP($G80,基本資料!$A:$J,10,0),"無")</f>
        <v>-1.97</v>
      </c>
      <c r="W80" s="36">
        <v>57.7</v>
      </c>
      <c r="X80" s="66">
        <v>52</v>
      </c>
      <c r="Y80" s="15">
        <f t="shared" si="104"/>
        <v>5.7000000000000028</v>
      </c>
      <c r="Z80" s="63">
        <f t="shared" si="105"/>
        <v>0.10961538461538467</v>
      </c>
      <c r="AA80" s="99" t="s">
        <v>3493</v>
      </c>
      <c r="AB80" s="389">
        <f>IFERROR(VLOOKUP($G80,基本資料!$A:$M,12,0),"無")</f>
        <v>21.99</v>
      </c>
      <c r="AC80" s="22" t="s">
        <v>4315</v>
      </c>
      <c r="AD80" s="84">
        <v>44631</v>
      </c>
      <c r="AE80" s="86">
        <v>44641</v>
      </c>
      <c r="AF80" s="33">
        <f t="shared" si="99"/>
        <v>10</v>
      </c>
      <c r="AG80" s="119" t="s">
        <v>4316</v>
      </c>
      <c r="AH80" s="63"/>
      <c r="AJ80" s="245"/>
      <c r="AK80" s="245"/>
      <c r="AL80" s="283"/>
      <c r="AM80" s="299"/>
      <c r="AN80" s="372"/>
      <c r="AR80" s="245" t="str">
        <f>INDEX(基本資料!N:N,MATCH($G80,基本資料!$A:$A,0))</f>
        <v>低</v>
      </c>
    </row>
    <row r="81" spans="1:44">
      <c r="A81" s="343">
        <f>IFERROR(VLOOKUP($G81,基本資料!$A:$J,3,0),"無")</f>
        <v>8.77</v>
      </c>
      <c r="B81" s="79">
        <f>IFERROR(VLOOKUP($G81,基本資料!$A:$J,4,0),"無")</f>
        <v>178</v>
      </c>
      <c r="C81" s="79">
        <f>IFERROR(VLOOKUP($G81,基本資料!$A:$J,5,0),"無")</f>
        <v>73</v>
      </c>
      <c r="D81" s="79">
        <f>IFERROR(VLOOKUP($G81,基本資料!$A:$J,6,0),"無")</f>
        <v>4</v>
      </c>
      <c r="E81" s="79">
        <f>IFERROR(VLOOKUP($G81,基本資料!$A:$J,7,0),"無")</f>
        <v>19</v>
      </c>
      <c r="F81" s="6">
        <f>IFERROR(VLOOKUP($G81,基本資料!$A:$J,8,0),"無")</f>
        <v>21.52</v>
      </c>
      <c r="G81" s="80">
        <v>8367</v>
      </c>
      <c r="H81" s="8" t="s">
        <v>302</v>
      </c>
      <c r="I81" s="22" t="s">
        <v>1775</v>
      </c>
      <c r="J81" s="8">
        <f>IFERROR(VLOOKUP($G81,今日總結!$A:$AN,39,0),"")</f>
        <v>0</v>
      </c>
      <c r="K81" s="5">
        <f>IFERROR(VLOOKUP($G81,今日總結!$A:$AN,40,0),"")</f>
        <v>0</v>
      </c>
      <c r="L81" s="156">
        <f>IFERROR(VLOOKUP($G81,今日總結!$A:$AN,37,0),"")</f>
        <v>0</v>
      </c>
      <c r="M81" s="337">
        <f>IFERROR(VLOOKUP($G81,今日總結!$A:$AN,38,0),"")</f>
        <v>0</v>
      </c>
      <c r="N81" s="240">
        <f t="shared" si="78"/>
        <v>0</v>
      </c>
      <c r="O81" s="359">
        <f>IFERROR(VLOOKUP($G81,融外自投!$A:$J,7,0),"無")</f>
        <v>850</v>
      </c>
      <c r="P81" s="79" t="str">
        <f>IFERROR(VLOOKUP($G81,融外自投!$A:$J,9,0),"無")</f>
        <v>無</v>
      </c>
      <c r="Q81" s="342">
        <f>IFERROR(VLOOKUP($G81,融外自投!$A:$J,8,0),"無")</f>
        <v>1092</v>
      </c>
      <c r="R81" s="81" t="str">
        <f>IFERROR(VLOOKUP($G81,融外自投!$A:$J,10,0),"無")</f>
        <v>無</v>
      </c>
      <c r="S81" s="324">
        <f>IFERROR(VLOOKUP($G81,'321買'!$A:$E,4,0),"'沒有資料'")</f>
        <v>440</v>
      </c>
      <c r="T81" s="186">
        <f>IFERROR(VLOOKUP($G81,基本資料!$A:$J,9,0),"無")</f>
        <v>2.8</v>
      </c>
      <c r="U81" s="307">
        <f t="shared" si="79"/>
        <v>5.4901960784313725E-2</v>
      </c>
      <c r="V81" s="94">
        <f>IFERROR(VLOOKUP($G81,基本資料!$A:$J,10,0),"無")</f>
        <v>7.1</v>
      </c>
      <c r="W81" s="36">
        <v>51</v>
      </c>
      <c r="X81" s="66">
        <v>42.5</v>
      </c>
      <c r="Y81" s="15">
        <f t="shared" si="104"/>
        <v>8.5</v>
      </c>
      <c r="Z81" s="63">
        <f t="shared" si="105"/>
        <v>0.2</v>
      </c>
      <c r="AA81" s="99" t="s">
        <v>4754</v>
      </c>
      <c r="AB81" s="389">
        <f>IFERROR(VLOOKUP($G81,基本資料!$A:$M,12,0),"無")</f>
        <v>12.75</v>
      </c>
      <c r="AC81" s="22" t="s">
        <v>1775</v>
      </c>
      <c r="AD81" s="84">
        <v>44623</v>
      </c>
      <c r="AE81" s="86">
        <v>44634</v>
      </c>
      <c r="AF81" s="33">
        <f t="shared" si="99"/>
        <v>11</v>
      </c>
      <c r="AG81" s="43" t="s">
        <v>1776</v>
      </c>
      <c r="AH81" s="63"/>
      <c r="AJ81" s="245"/>
      <c r="AK81" s="245"/>
      <c r="AL81" s="283"/>
      <c r="AM81" s="299"/>
      <c r="AN81" s="372"/>
      <c r="AR81" s="245" t="str">
        <f>INDEX(基本資料!N:N,MATCH($G81,基本資料!$A:$A,0))</f>
        <v>低</v>
      </c>
    </row>
    <row r="82" spans="1:44">
      <c r="A82" s="343">
        <f>IFERROR(VLOOKUP($G82,基本資料!$A:$J,3,0),"無")</f>
        <v>6.05</v>
      </c>
      <c r="B82" s="79">
        <f>IFERROR(VLOOKUP($G82,基本資料!$A:$J,4,0),"無")</f>
        <v>-33</v>
      </c>
      <c r="C82" s="79">
        <f>IFERROR(VLOOKUP($G82,基本資料!$A:$J,5,0),"無")</f>
        <v>-40</v>
      </c>
      <c r="D82" s="79">
        <f>IFERROR(VLOOKUP($G82,基本資料!$A:$J,6,0),"無")</f>
        <v>0</v>
      </c>
      <c r="E82" s="79">
        <f>IFERROR(VLOOKUP($G82,基本資料!$A:$J,7,0),"無")</f>
        <v>33</v>
      </c>
      <c r="F82" s="6">
        <f>IFERROR(VLOOKUP($G82,基本資料!$A:$J,8,0),"無")</f>
        <v>9.75</v>
      </c>
      <c r="G82" s="80">
        <v>6715</v>
      </c>
      <c r="H82" s="5" t="s">
        <v>3388</v>
      </c>
      <c r="I82" s="22" t="s">
        <v>1922</v>
      </c>
      <c r="J82" s="8" t="str">
        <f>IFERROR(VLOOKUP($G82,今日總結!$A:$AN,39,0),"")</f>
        <v>融</v>
      </c>
      <c r="K82" s="5">
        <f>IFERROR(VLOOKUP($G82,今日總結!$A:$AN,40,0),"")</f>
        <v>0</v>
      </c>
      <c r="L82" s="156">
        <f>IFERROR(VLOOKUP($G82,今日總結!$A:$AN,37,0),"")</f>
        <v>1</v>
      </c>
      <c r="M82" s="337">
        <f>IFERROR(VLOOKUP($G82,今日總結!$A:$AN,38,0),"")</f>
        <v>0</v>
      </c>
      <c r="N82" s="240">
        <f t="shared" si="78"/>
        <v>1</v>
      </c>
      <c r="O82" s="359">
        <f>IFERROR(VLOOKUP($G82,融外自投!$A:$J,7,0),"無")</f>
        <v>310</v>
      </c>
      <c r="P82" s="79">
        <f>IFERROR(VLOOKUP($G82,融外自投!$A:$J,9,0),"無")</f>
        <v>908</v>
      </c>
      <c r="Q82" s="342">
        <f>IFERROR(VLOOKUP($G82,融外自投!$A:$J,8,0),"無")</f>
        <v>1124</v>
      </c>
      <c r="R82" s="81" t="str">
        <f>IFERROR(VLOOKUP($G82,融外自投!$A:$J,10,0),"無")</f>
        <v>無</v>
      </c>
      <c r="S82" s="324">
        <f>IFERROR(VLOOKUP($G82,'321買'!$A:$E,4,0),"'沒有資料'")</f>
        <v>891</v>
      </c>
      <c r="T82" s="186">
        <f>IFERROR(VLOOKUP($G82,基本資料!$A:$J,9,0),"無")</f>
        <v>1.8</v>
      </c>
      <c r="U82" s="307">
        <f t="shared" si="79"/>
        <v>1.7560975609756099E-2</v>
      </c>
      <c r="V82" s="94">
        <f>IFERROR(VLOOKUP($G82,基本資料!$A:$J,10,0),"無")</f>
        <v>3.05</v>
      </c>
      <c r="W82" s="36">
        <v>102.5</v>
      </c>
      <c r="X82" s="66">
        <v>95</v>
      </c>
      <c r="Y82" s="15">
        <f t="shared" si="104"/>
        <v>7.5</v>
      </c>
      <c r="Z82" s="63">
        <f t="shared" si="105"/>
        <v>7.8947368421052627E-2</v>
      </c>
      <c r="AA82" s="99" t="s">
        <v>4753</v>
      </c>
      <c r="AB82" s="389">
        <f>IFERROR(VLOOKUP($G82,基本資料!$A:$M,12,0),"無")</f>
        <v>57.53</v>
      </c>
      <c r="AC82" s="22" t="s">
        <v>1922</v>
      </c>
      <c r="AD82" s="84">
        <v>44623</v>
      </c>
      <c r="AE82" s="86">
        <v>44634</v>
      </c>
      <c r="AF82" s="33">
        <f t="shared" si="99"/>
        <v>11</v>
      </c>
      <c r="AG82" s="119" t="s">
        <v>1923</v>
      </c>
      <c r="AH82" s="63"/>
      <c r="AJ82" s="245"/>
      <c r="AK82" s="245"/>
      <c r="AL82" s="283"/>
      <c r="AM82" s="299"/>
      <c r="AN82" s="372"/>
      <c r="AR82" s="245" t="str">
        <f>INDEX(基本資料!N:N,MATCH($G82,基本資料!$A:$A,0))</f>
        <v>低</v>
      </c>
    </row>
    <row r="83" spans="1:44">
      <c r="A83" s="343">
        <f>IFERROR(VLOOKUP($G83,基本資料!$A:$J,3,0),"無")</f>
        <v>35.090000000000003</v>
      </c>
      <c r="B83" s="79">
        <f>IFERROR(VLOOKUP($G83,基本資料!$A:$J,4,0),"無")</f>
        <v>51</v>
      </c>
      <c r="C83" s="79">
        <f>IFERROR(VLOOKUP($G83,基本資料!$A:$J,5,0),"無")</f>
        <v>57</v>
      </c>
      <c r="D83" s="79">
        <f>IFERROR(VLOOKUP($G83,基本資料!$A:$J,6,0),"無")</f>
        <v>3</v>
      </c>
      <c r="E83" s="79">
        <f>IFERROR(VLOOKUP($G83,基本資料!$A:$J,7,0),"無")</f>
        <v>-16</v>
      </c>
      <c r="F83" s="6">
        <f>IFERROR(VLOOKUP($G83,基本資料!$A:$J,8,0),"無")</f>
        <v>-1.23</v>
      </c>
      <c r="G83" s="80">
        <v>2406</v>
      </c>
      <c r="H83" s="8" t="s">
        <v>306</v>
      </c>
      <c r="I83" s="22" t="s">
        <v>444</v>
      </c>
      <c r="J83" s="8">
        <f>IFERROR(VLOOKUP($G83,今日總結!$A:$AN,39,0),"")</f>
        <v>0</v>
      </c>
      <c r="K83" s="5">
        <f>IFERROR(VLOOKUP($G83,今日總結!$A:$AN,40,0),"")</f>
        <v>0</v>
      </c>
      <c r="L83" s="156">
        <f>IFERROR(VLOOKUP($G83,今日總結!$A:$AN,37,0),"")</f>
        <v>0</v>
      </c>
      <c r="M83" s="337">
        <f>IFERROR(VLOOKUP($G83,今日總結!$A:$AN,38,0),"")</f>
        <v>0</v>
      </c>
      <c r="N83" s="240">
        <f t="shared" si="78"/>
        <v>0</v>
      </c>
      <c r="O83" s="359">
        <f>IFERROR(VLOOKUP($G83,融外自投!$A:$J,7,0),"無")</f>
        <v>174</v>
      </c>
      <c r="P83" s="79">
        <f>IFERROR(VLOOKUP($G83,融外自投!$A:$J,9,0),"無")</f>
        <v>365</v>
      </c>
      <c r="Q83" s="342">
        <f>IFERROR(VLOOKUP($G83,融外自投!$A:$J,8,0),"無")</f>
        <v>768</v>
      </c>
      <c r="R83" s="81" t="str">
        <f>IFERROR(VLOOKUP($G83,融外自投!$A:$J,10,0),"無")</f>
        <v>無</v>
      </c>
      <c r="S83" s="324">
        <f>IFERROR(VLOOKUP($G83,'321買'!$A:$E,4,0),"'沒有資料'")</f>
        <v>164</v>
      </c>
      <c r="T83" s="186">
        <f>IFERROR(VLOOKUP($G83,基本資料!$A:$J,9,0),"無")</f>
        <v>0</v>
      </c>
      <c r="U83" s="307">
        <f t="shared" si="79"/>
        <v>0</v>
      </c>
      <c r="V83" s="94">
        <f>IFERROR(VLOOKUP($G83,基本資料!$A:$J,10,0),"無")</f>
        <v>0.09</v>
      </c>
      <c r="W83" s="36">
        <v>25.65</v>
      </c>
      <c r="X83" s="66">
        <v>25</v>
      </c>
      <c r="Y83" s="15">
        <f t="shared" si="104"/>
        <v>0.64999999999999858</v>
      </c>
      <c r="Z83" s="63">
        <f t="shared" si="105"/>
        <v>2.5999999999999943E-2</v>
      </c>
      <c r="AA83" s="100" t="s">
        <v>4755</v>
      </c>
      <c r="AB83" s="389">
        <f>IFERROR(VLOOKUP($G83,基本資料!$A:$M,12,0),"無")</f>
        <v>14.68</v>
      </c>
      <c r="AC83" s="22" t="s">
        <v>444</v>
      </c>
      <c r="AD83" s="84">
        <v>44622</v>
      </c>
      <c r="AE83" s="86">
        <v>44634</v>
      </c>
      <c r="AF83" s="33">
        <f t="shared" si="99"/>
        <v>12</v>
      </c>
      <c r="AG83" s="43" t="s">
        <v>4135</v>
      </c>
      <c r="AH83" s="63"/>
      <c r="AJ83" s="245"/>
      <c r="AK83" s="245"/>
      <c r="AL83" s="283"/>
      <c r="AM83" s="299"/>
      <c r="AN83" s="372"/>
      <c r="AR83" s="245" t="str">
        <f>INDEX(基本資料!N:N,MATCH($G83,基本資料!$A:$A,0))</f>
        <v>低</v>
      </c>
    </row>
    <row r="84" spans="1:44">
      <c r="A84" s="343" t="str">
        <f>IFERROR(VLOOKUP($G84,基本資料!$A:$J,3,0),"無")</f>
        <v>無</v>
      </c>
      <c r="B84" s="79" t="str">
        <f>IFERROR(VLOOKUP($G84,基本資料!$A:$J,4,0),"無")</f>
        <v>無</v>
      </c>
      <c r="C84" s="79" t="str">
        <f>IFERROR(VLOOKUP($G84,基本資料!$A:$J,5,0),"無")</f>
        <v>無</v>
      </c>
      <c r="D84" s="79" t="str">
        <f>IFERROR(VLOOKUP($G84,基本資料!$A:$J,6,0),"無")</f>
        <v>無</v>
      </c>
      <c r="E84" s="79" t="str">
        <f>IFERROR(VLOOKUP($G84,基本資料!$A:$J,7,0),"無")</f>
        <v>無</v>
      </c>
      <c r="F84" s="6" t="str">
        <f>IFERROR(VLOOKUP($G84,基本資料!$A:$J,8,0),"無")</f>
        <v>無</v>
      </c>
      <c r="G84" s="79">
        <v>6693</v>
      </c>
      <c r="H84" s="192" t="s">
        <v>3038</v>
      </c>
      <c r="I84" s="16" t="s">
        <v>4744</v>
      </c>
      <c r="J84" s="8" t="str">
        <f>IFERROR(VLOOKUP($G84,今日總結!$A:$AN,39,0),"")</f>
        <v/>
      </c>
      <c r="K84" s="5" t="str">
        <f>IFERROR(VLOOKUP($G84,今日總結!$A:$AN,40,0),"")</f>
        <v/>
      </c>
      <c r="L84" s="156" t="str">
        <f>IFERROR(VLOOKUP($G84,今日總結!$A:$AN,37,0),"")</f>
        <v/>
      </c>
      <c r="M84" s="337" t="str">
        <f>IFERROR(VLOOKUP($G84,今日總結!$A:$AN,38,0),"")</f>
        <v/>
      </c>
      <c r="N84" s="240" t="str">
        <f t="shared" si="78"/>
        <v/>
      </c>
      <c r="O84" s="359" t="str">
        <f>IFERROR(VLOOKUP($G84,融外自投!$A:$J,7,0),"無")</f>
        <v>無</v>
      </c>
      <c r="P84" s="79" t="str">
        <f>IFERROR(VLOOKUP($G84,融外自投!$A:$J,9,0),"無")</f>
        <v>無</v>
      </c>
      <c r="Q84" s="342" t="str">
        <f>IFERROR(VLOOKUP($G84,融外自投!$A:$J,8,0),"無")</f>
        <v>無</v>
      </c>
      <c r="R84" s="81" t="str">
        <f>IFERROR(VLOOKUP($G84,融外自投!$A:$J,10,0),"無")</f>
        <v>無</v>
      </c>
      <c r="S84" s="324" t="str">
        <f>IFERROR(VLOOKUP($G84,'321買'!$A:$E,4,0),"'沒有資料'")</f>
        <v>'沒有資料'</v>
      </c>
      <c r="T84" s="186" t="str">
        <f>IFERROR(VLOOKUP($G84,基本資料!$A:$J,9,0),"無")</f>
        <v>無</v>
      </c>
      <c r="U84" s="307" t="e">
        <f t="shared" si="79"/>
        <v>#VALUE!</v>
      </c>
      <c r="V84" s="94" t="str">
        <f>IFERROR(VLOOKUP($G84,基本資料!$A:$J,10,0),"無")</f>
        <v>無</v>
      </c>
      <c r="W84" s="36">
        <v>100</v>
      </c>
      <c r="X84" s="66">
        <v>116</v>
      </c>
      <c r="Y84" s="15">
        <f t="shared" si="104"/>
        <v>-16</v>
      </c>
      <c r="Z84" s="76">
        <f t="shared" si="105"/>
        <v>-0.13793103448275862</v>
      </c>
      <c r="AA84" s="99" t="s">
        <v>1667</v>
      </c>
      <c r="AB84" s="389" t="str">
        <f>IFERROR(VLOOKUP($G84,基本資料!$A:$M,12,0),"無")</f>
        <v>無</v>
      </c>
      <c r="AC84" s="16" t="s">
        <v>4744</v>
      </c>
      <c r="AD84" s="84">
        <v>44621</v>
      </c>
      <c r="AE84" s="86">
        <v>44631</v>
      </c>
      <c r="AF84" s="33">
        <f t="shared" si="99"/>
        <v>10</v>
      </c>
      <c r="AG84" s="43" t="s">
        <v>4745</v>
      </c>
      <c r="AH84" s="63"/>
      <c r="AJ84" s="245"/>
      <c r="AK84" s="245"/>
      <c r="AL84" s="283"/>
      <c r="AM84" s="299"/>
      <c r="AN84" s="372"/>
      <c r="AR84" s="245" t="e">
        <f>INDEX(基本資料!N:N,MATCH($G84,基本資料!$A:$A,0))</f>
        <v>#N/A</v>
      </c>
    </row>
    <row r="85" spans="1:44">
      <c r="A85" s="343">
        <f>IFERROR(VLOOKUP($G85,基本資料!$A:$J,3,0),"無")</f>
        <v>4.2</v>
      </c>
      <c r="B85" s="79">
        <f>IFERROR(VLOOKUP($G85,基本資料!$A:$J,4,0),"無")</f>
        <v>14</v>
      </c>
      <c r="C85" s="79">
        <f>IFERROR(VLOOKUP($G85,基本資料!$A:$J,5,0),"無")</f>
        <v>12</v>
      </c>
      <c r="D85" s="79">
        <f>IFERROR(VLOOKUP($G85,基本資料!$A:$J,6,0),"無")</f>
        <v>-20</v>
      </c>
      <c r="E85" s="79">
        <f>IFERROR(VLOOKUP($G85,基本資料!$A:$J,7,0),"無")</f>
        <v>106</v>
      </c>
      <c r="F85" s="6">
        <f>IFERROR(VLOOKUP($G85,基本資料!$A:$J,8,0),"無")</f>
        <v>-136.1</v>
      </c>
      <c r="G85" s="79">
        <v>6649</v>
      </c>
      <c r="H85" s="8" t="s">
        <v>4723</v>
      </c>
      <c r="I85" s="16" t="s">
        <v>3851</v>
      </c>
      <c r="J85" s="8" t="str">
        <f>IFERROR(VLOOKUP($G85,今日總結!$A:$AN,39,0),"")</f>
        <v/>
      </c>
      <c r="K85" s="5" t="str">
        <f>IFERROR(VLOOKUP($G85,今日總結!$A:$AN,40,0),"")</f>
        <v/>
      </c>
      <c r="L85" s="156" t="str">
        <f>IFERROR(VLOOKUP($G85,今日總結!$A:$AN,37,0),"")</f>
        <v/>
      </c>
      <c r="M85" s="337" t="str">
        <f>IFERROR(VLOOKUP($G85,今日總結!$A:$AN,38,0),"")</f>
        <v/>
      </c>
      <c r="N85" s="240" t="str">
        <f t="shared" si="78"/>
        <v/>
      </c>
      <c r="O85" s="359" t="str">
        <f>IFERROR(VLOOKUP($G85,融外自投!$A:$J,7,0),"無")</f>
        <v>無</v>
      </c>
      <c r="P85" s="79" t="str">
        <f>IFERROR(VLOOKUP($G85,融外自投!$A:$J,9,0),"無")</f>
        <v>無</v>
      </c>
      <c r="Q85" s="342" t="str">
        <f>IFERROR(VLOOKUP($G85,融外自投!$A:$J,8,0),"無")</f>
        <v>無</v>
      </c>
      <c r="R85" s="81" t="str">
        <f>IFERROR(VLOOKUP($G85,融外自投!$A:$J,10,0),"無")</f>
        <v>無</v>
      </c>
      <c r="S85" s="324" t="str">
        <f>IFERROR(VLOOKUP($G85,'321買'!$A:$E,4,0),"'沒有資料'")</f>
        <v>'沒有資料'</v>
      </c>
      <c r="T85" s="186">
        <f>IFERROR(VLOOKUP($G85,基本資料!$A:$J,9,0),"無")</f>
        <v>0</v>
      </c>
      <c r="U85" s="307">
        <f t="shared" si="79"/>
        <v>0</v>
      </c>
      <c r="V85" s="94">
        <f>IFERROR(VLOOKUP($G85,基本資料!$A:$J,10,0),"無")</f>
        <v>-1.44</v>
      </c>
      <c r="W85" s="36">
        <v>23.45</v>
      </c>
      <c r="X85" s="66">
        <v>21.2</v>
      </c>
      <c r="Y85" s="15">
        <f t="shared" ref="Y85:Y116" si="106">W85-X85</f>
        <v>2.25</v>
      </c>
      <c r="Z85" s="63">
        <f t="shared" ref="Z85:Z116" si="107">Y85/X85</f>
        <v>0.10613207547169812</v>
      </c>
      <c r="AA85" s="99" t="s">
        <v>4747</v>
      </c>
      <c r="AB85" s="389">
        <f>IFERROR(VLOOKUP($G85,基本資料!$A:$M,12,0),"無")</f>
        <v>36.39</v>
      </c>
      <c r="AC85" s="16" t="s">
        <v>3851</v>
      </c>
      <c r="AD85" s="84">
        <v>44613</v>
      </c>
      <c r="AE85" s="86">
        <v>44623</v>
      </c>
      <c r="AF85" s="33">
        <f t="shared" si="99"/>
        <v>10</v>
      </c>
      <c r="AG85" s="43" t="s">
        <v>3852</v>
      </c>
      <c r="AH85" s="63"/>
      <c r="AJ85" s="245"/>
      <c r="AK85" s="245"/>
      <c r="AL85" s="283"/>
      <c r="AM85" s="299"/>
      <c r="AN85" s="372"/>
      <c r="AR85" s="245" t="str">
        <f>INDEX(基本資料!N:N,MATCH($G85,基本資料!$A:$A,0))</f>
        <v>低</v>
      </c>
    </row>
    <row r="86" spans="1:44">
      <c r="A86" s="343">
        <f>IFERROR(VLOOKUP($G86,基本資料!$A:$J,3,0),"無")</f>
        <v>3.93</v>
      </c>
      <c r="B86" s="79">
        <f>IFERROR(VLOOKUP($G86,基本資料!$A:$J,4,0),"無")</f>
        <v>-968</v>
      </c>
      <c r="C86" s="79">
        <f>IFERROR(VLOOKUP($G86,基本資料!$A:$J,5,0),"無")</f>
        <v>-514</v>
      </c>
      <c r="D86" s="79">
        <f>IFERROR(VLOOKUP($G86,基本資料!$A:$J,6,0),"無")</f>
        <v>0</v>
      </c>
      <c r="E86" s="79">
        <f>IFERROR(VLOOKUP($G86,基本資料!$A:$J,7,0),"無")</f>
        <v>57</v>
      </c>
      <c r="F86" s="6">
        <f>IFERROR(VLOOKUP($G86,基本資料!$A:$J,8,0),"無")</f>
        <v>-13.55</v>
      </c>
      <c r="G86" s="80">
        <v>6578</v>
      </c>
      <c r="H86" s="5" t="s">
        <v>1037</v>
      </c>
      <c r="I86" s="16" t="s">
        <v>1120</v>
      </c>
      <c r="J86" s="8">
        <f>IFERROR(VLOOKUP($G86,今日總結!$A:$AN,39,0),"")</f>
        <v>0</v>
      </c>
      <c r="K86" s="5" t="str">
        <f>IFERROR(VLOOKUP($G86,今日總結!$A:$AN,40,0),"")</f>
        <v>融</v>
      </c>
      <c r="L86" s="156">
        <f>IFERROR(VLOOKUP($G86,今日總結!$A:$AN,37,0),"")</f>
        <v>0</v>
      </c>
      <c r="M86" s="337">
        <f>IFERROR(VLOOKUP($G86,今日總結!$A:$AN,38,0),"")</f>
        <v>1</v>
      </c>
      <c r="N86" s="240">
        <f t="shared" si="78"/>
        <v>-1</v>
      </c>
      <c r="O86" s="359">
        <f>IFERROR(VLOOKUP($G86,融外自投!$A:$J,7,0),"無")</f>
        <v>251</v>
      </c>
      <c r="P86" s="79" t="str">
        <f>IFERROR(VLOOKUP($G86,融外自投!$A:$J,9,0),"無")</f>
        <v>無</v>
      </c>
      <c r="Q86" s="342">
        <f>IFERROR(VLOOKUP($G86,融外自投!$A:$J,8,0),"無")</f>
        <v>1243</v>
      </c>
      <c r="R86" s="81" t="str">
        <f>IFERROR(VLOOKUP($G86,融外自投!$A:$J,10,0),"無")</f>
        <v>無</v>
      </c>
      <c r="S86" s="324">
        <f>IFERROR(VLOOKUP($G86,'321買'!$A:$E,4,0),"'沒有資料'")</f>
        <v>465</v>
      </c>
      <c r="T86" s="186">
        <f>IFERROR(VLOOKUP($G86,基本資料!$A:$J,9,0),"無")</f>
        <v>0</v>
      </c>
      <c r="U86" s="307">
        <f t="shared" si="79"/>
        <v>0</v>
      </c>
      <c r="V86" s="94">
        <f>IFERROR(VLOOKUP($G86,基本資料!$A:$J,10,0),"無")</f>
        <v>-1.92</v>
      </c>
      <c r="W86" s="36">
        <v>16.600000000000001</v>
      </c>
      <c r="X86" s="66">
        <v>16</v>
      </c>
      <c r="Y86" s="15">
        <f t="shared" si="106"/>
        <v>0.60000000000000142</v>
      </c>
      <c r="Z86" s="63">
        <f t="shared" si="107"/>
        <v>3.7500000000000089E-2</v>
      </c>
      <c r="AA86" s="99" t="s">
        <v>1666</v>
      </c>
      <c r="AB86" s="389">
        <f>IFERROR(VLOOKUP($G86,基本資料!$A:$M,12,0),"無")</f>
        <v>53.82</v>
      </c>
      <c r="AC86" s="16" t="s">
        <v>1120</v>
      </c>
      <c r="AD86" s="84">
        <v>44586</v>
      </c>
      <c r="AE86" s="86">
        <v>44599</v>
      </c>
      <c r="AF86" s="33">
        <f t="shared" si="99"/>
        <v>13</v>
      </c>
      <c r="AG86" s="43" t="s">
        <v>2614</v>
      </c>
      <c r="AH86" s="63"/>
      <c r="AJ86" s="245"/>
      <c r="AK86" s="245"/>
      <c r="AL86" s="283"/>
      <c r="AM86" s="299"/>
      <c r="AN86" s="374"/>
      <c r="AR86" s="245" t="str">
        <f>INDEX(基本資料!N:N,MATCH($G86,基本資料!$A:$A,0))</f>
        <v>中</v>
      </c>
    </row>
    <row r="87" spans="1:44">
      <c r="A87" s="343" t="str">
        <f>IFERROR(VLOOKUP($G87,基本資料!$A:$J,3,0),"無")</f>
        <v>無</v>
      </c>
      <c r="B87" s="79" t="str">
        <f>IFERROR(VLOOKUP($G87,基本資料!$A:$J,4,0),"無")</f>
        <v>無</v>
      </c>
      <c r="C87" s="79" t="str">
        <f>IFERROR(VLOOKUP($G87,基本資料!$A:$J,5,0),"無")</f>
        <v>無</v>
      </c>
      <c r="D87" s="79" t="str">
        <f>IFERROR(VLOOKUP($G87,基本資料!$A:$J,6,0),"無")</f>
        <v>無</v>
      </c>
      <c r="E87" s="79" t="str">
        <f>IFERROR(VLOOKUP($G87,基本資料!$A:$J,7,0),"無")</f>
        <v>無</v>
      </c>
      <c r="F87" s="6" t="str">
        <f>IFERROR(VLOOKUP($G87,基本資料!$A:$J,8,0),"無")</f>
        <v>無</v>
      </c>
      <c r="G87" s="80">
        <v>5244</v>
      </c>
      <c r="H87" s="5" t="s">
        <v>306</v>
      </c>
      <c r="I87" s="22" t="s">
        <v>4708</v>
      </c>
      <c r="J87" s="8" t="str">
        <f>IFERROR(VLOOKUP($G87,今日總結!$A:$AN,39,0),"")</f>
        <v/>
      </c>
      <c r="K87" s="5" t="str">
        <f>IFERROR(VLOOKUP($G87,今日總結!$A:$AN,40,0),"")</f>
        <v/>
      </c>
      <c r="L87" s="156" t="str">
        <f>IFERROR(VLOOKUP($G87,今日總結!$A:$AN,37,0),"")</f>
        <v/>
      </c>
      <c r="M87" s="337" t="str">
        <f>IFERROR(VLOOKUP($G87,今日總結!$A:$AN,38,0),"")</f>
        <v/>
      </c>
      <c r="N87" s="240" t="str">
        <f t="shared" si="78"/>
        <v/>
      </c>
      <c r="O87" s="359" t="str">
        <f>IFERROR(VLOOKUP($G87,融外自投!$A:$J,7,0),"無")</f>
        <v>無</v>
      </c>
      <c r="P87" s="79" t="str">
        <f>IFERROR(VLOOKUP($G87,融外自投!$A:$J,9,0),"無")</f>
        <v>無</v>
      </c>
      <c r="Q87" s="342" t="str">
        <f>IFERROR(VLOOKUP($G87,融外自投!$A:$J,8,0),"無")</f>
        <v>無</v>
      </c>
      <c r="R87" s="81" t="str">
        <f>IFERROR(VLOOKUP($G87,融外自投!$A:$J,10,0),"無")</f>
        <v>無</v>
      </c>
      <c r="S87" s="324" t="str">
        <f>IFERROR(VLOOKUP($G87,'321買'!$A:$E,4,0),"'沒有資料'")</f>
        <v>'沒有資料'</v>
      </c>
      <c r="T87" s="186" t="str">
        <f>IFERROR(VLOOKUP($G87,基本資料!$A:$J,9,0),"無")</f>
        <v>無</v>
      </c>
      <c r="U87" s="307" t="e">
        <f t="shared" si="79"/>
        <v>#VALUE!</v>
      </c>
      <c r="V87" s="94" t="str">
        <f>IFERROR(VLOOKUP($G87,基本資料!$A:$J,10,0),"無")</f>
        <v>無</v>
      </c>
      <c r="W87" s="36">
        <v>46.4</v>
      </c>
      <c r="X87" s="66">
        <v>41</v>
      </c>
      <c r="Y87" s="15">
        <f t="shared" si="106"/>
        <v>5.3999999999999986</v>
      </c>
      <c r="Z87" s="63">
        <f t="shared" si="107"/>
        <v>0.13170731707317071</v>
      </c>
      <c r="AA87" s="99" t="s">
        <v>4730</v>
      </c>
      <c r="AB87" s="389" t="str">
        <f>IFERROR(VLOOKUP($G87,基本資料!$A:$M,12,0),"無")</f>
        <v>無</v>
      </c>
      <c r="AC87" s="22" t="s">
        <v>4708</v>
      </c>
      <c r="AD87" s="84">
        <v>44580</v>
      </c>
      <c r="AE87" s="86">
        <v>44599</v>
      </c>
      <c r="AF87" s="33">
        <f t="shared" si="99"/>
        <v>19</v>
      </c>
      <c r="AG87" s="43" t="s">
        <v>2509</v>
      </c>
      <c r="AH87" s="63"/>
      <c r="AJ87" s="245"/>
      <c r="AK87" s="245"/>
      <c r="AL87" s="283"/>
      <c r="AM87" s="299"/>
      <c r="AN87" s="375"/>
      <c r="AR87" s="245" t="e">
        <f>INDEX(基本資料!N:N,MATCH($G87,基本資料!$A:$A,0))</f>
        <v>#N/A</v>
      </c>
    </row>
    <row r="88" spans="1:44">
      <c r="A88" s="343">
        <f>IFERROR(VLOOKUP($G88,基本資料!$A:$J,3,0),"無")</f>
        <v>18.53</v>
      </c>
      <c r="B88" s="79">
        <f>IFERROR(VLOOKUP($G88,基本資料!$A:$J,4,0),"無")</f>
        <v>204</v>
      </c>
      <c r="C88" s="79">
        <f>IFERROR(VLOOKUP($G88,基本資料!$A:$J,5,0),"無")</f>
        <v>641</v>
      </c>
      <c r="D88" s="79">
        <f>IFERROR(VLOOKUP($G88,基本資料!$A:$J,6,0),"無")</f>
        <v>-11</v>
      </c>
      <c r="E88" s="79">
        <f>IFERROR(VLOOKUP($G88,基本資料!$A:$J,7,0),"無")</f>
        <v>5</v>
      </c>
      <c r="F88" s="6">
        <f>IFERROR(VLOOKUP($G88,基本資料!$A:$J,8,0),"無")</f>
        <v>4.1500000000000004</v>
      </c>
      <c r="G88" s="80">
        <v>5014</v>
      </c>
      <c r="H88" s="8" t="s">
        <v>299</v>
      </c>
      <c r="I88" s="16" t="s">
        <v>3974</v>
      </c>
      <c r="J88" s="8">
        <f>IFERROR(VLOOKUP($G88,今日總結!$A:$AN,39,0),"")</f>
        <v>5</v>
      </c>
      <c r="K88" s="5">
        <f>IFERROR(VLOOKUP($G88,今日總結!$A:$AN,40,0),"")</f>
        <v>0</v>
      </c>
      <c r="L88" s="156">
        <f>IFERROR(VLOOKUP($G88,今日總結!$A:$AN,37,0),"")</f>
        <v>1</v>
      </c>
      <c r="M88" s="337">
        <f>IFERROR(VLOOKUP($G88,今日總結!$A:$AN,38,0),"")</f>
        <v>0</v>
      </c>
      <c r="N88" s="240">
        <f t="shared" si="78"/>
        <v>1</v>
      </c>
      <c r="O88" s="359">
        <f>IFERROR(VLOOKUP($G88,融外自投!$A:$J,7,0),"無")</f>
        <v>48</v>
      </c>
      <c r="P88" s="79">
        <f>IFERROR(VLOOKUP($G88,融外自投!$A:$J,9,0),"無")</f>
        <v>283</v>
      </c>
      <c r="Q88" s="342">
        <f>IFERROR(VLOOKUP($G88,融外自投!$A:$J,8,0),"無")</f>
        <v>1117</v>
      </c>
      <c r="R88" s="81" t="str">
        <f>IFERROR(VLOOKUP($G88,融外自投!$A:$J,10,0),"無")</f>
        <v>無</v>
      </c>
      <c r="S88" s="324">
        <f>IFERROR(VLOOKUP($G88,'321買'!$A:$E,4,0),"'沒有資料'")</f>
        <v>164</v>
      </c>
      <c r="T88" s="186">
        <f>IFERROR(VLOOKUP($G88,基本資料!$A:$J,9,0),"無")</f>
        <v>1.2</v>
      </c>
      <c r="U88" s="307">
        <f t="shared" si="79"/>
        <v>6.0759493670886074E-2</v>
      </c>
      <c r="V88" s="94">
        <f>IFERROR(VLOOKUP($G88,基本資料!$A:$J,10,0),"無")</f>
        <v>3.14</v>
      </c>
      <c r="W88" s="36">
        <v>19.75</v>
      </c>
      <c r="X88" s="66">
        <v>19</v>
      </c>
      <c r="Y88" s="15">
        <f t="shared" si="106"/>
        <v>0.75</v>
      </c>
      <c r="Z88" s="63">
        <f t="shared" si="107"/>
        <v>3.9473684210526314E-2</v>
      </c>
      <c r="AA88" s="99" t="s">
        <v>3960</v>
      </c>
      <c r="AB88" s="389">
        <f>IFERROR(VLOOKUP($G88,基本資料!$A:$M,12,0),"無")</f>
        <v>30.88</v>
      </c>
      <c r="AC88" s="16" t="s">
        <v>3974</v>
      </c>
      <c r="AD88" s="84">
        <v>44578</v>
      </c>
      <c r="AE88" s="86">
        <v>44599</v>
      </c>
      <c r="AF88" s="33">
        <f t="shared" si="99"/>
        <v>21</v>
      </c>
      <c r="AG88" s="43" t="s">
        <v>3975</v>
      </c>
      <c r="AH88" s="63"/>
      <c r="AJ88" s="245"/>
      <c r="AK88" s="245"/>
      <c r="AL88" s="283"/>
      <c r="AN88" s="375"/>
      <c r="AR88" s="245" t="str">
        <f>INDEX(基本資料!N:N,MATCH($G88,基本資料!$A:$A,0))</f>
        <v>低</v>
      </c>
    </row>
    <row r="89" spans="1:44">
      <c r="A89" s="343" t="str">
        <f>IFERROR(VLOOKUP($G89,基本資料!$A:$J,3,0),"無")</f>
        <v>無</v>
      </c>
      <c r="B89" s="79" t="str">
        <f>IFERROR(VLOOKUP($G89,基本資料!$A:$J,4,0),"無")</f>
        <v>無</v>
      </c>
      <c r="C89" s="79" t="str">
        <f>IFERROR(VLOOKUP($G89,基本資料!$A:$J,5,0),"無")</f>
        <v>無</v>
      </c>
      <c r="D89" s="79" t="str">
        <f>IFERROR(VLOOKUP($G89,基本資料!$A:$J,6,0),"無")</f>
        <v>無</v>
      </c>
      <c r="E89" s="79" t="str">
        <f>IFERROR(VLOOKUP($G89,基本資料!$A:$J,7,0),"無")</f>
        <v>無</v>
      </c>
      <c r="F89" s="6" t="str">
        <f>IFERROR(VLOOKUP($G89,基本資料!$A:$J,8,0),"無")</f>
        <v>無</v>
      </c>
      <c r="G89" s="80">
        <v>2756</v>
      </c>
      <c r="H89" s="5" t="s">
        <v>303</v>
      </c>
      <c r="I89" s="16" t="s">
        <v>4696</v>
      </c>
      <c r="J89" s="8" t="str">
        <f>IFERROR(VLOOKUP($G89,今日總結!$A:$AN,39,0),"")</f>
        <v/>
      </c>
      <c r="K89" s="5" t="str">
        <f>IFERROR(VLOOKUP($G89,今日總結!$A:$AN,40,0),"")</f>
        <v/>
      </c>
      <c r="L89" s="156" t="str">
        <f>IFERROR(VLOOKUP($G89,今日總結!$A:$AN,37,0),"")</f>
        <v/>
      </c>
      <c r="M89" s="337" t="str">
        <f>IFERROR(VLOOKUP($G89,今日總結!$A:$AN,38,0),"")</f>
        <v/>
      </c>
      <c r="N89" s="240" t="str">
        <f t="shared" si="78"/>
        <v/>
      </c>
      <c r="O89" s="359" t="str">
        <f>IFERROR(VLOOKUP($G89,融外自投!$A:$J,7,0),"無")</f>
        <v>無</v>
      </c>
      <c r="P89" s="79" t="str">
        <f>IFERROR(VLOOKUP($G89,融外自投!$A:$J,9,0),"無")</f>
        <v>無</v>
      </c>
      <c r="Q89" s="342" t="str">
        <f>IFERROR(VLOOKUP($G89,融外自投!$A:$J,8,0),"無")</f>
        <v>無</v>
      </c>
      <c r="R89" s="81" t="str">
        <f>IFERROR(VLOOKUP($G89,融外自投!$A:$J,10,0),"無")</f>
        <v>無</v>
      </c>
      <c r="S89" s="324" t="str">
        <f>IFERROR(VLOOKUP($G89,'321買'!$A:$E,4,0),"'沒有資料'")</f>
        <v>'沒有資料'</v>
      </c>
      <c r="T89" s="186" t="str">
        <f>IFERROR(VLOOKUP($G89,基本資料!$A:$J,9,0),"無")</f>
        <v>無</v>
      </c>
      <c r="U89" s="307" t="e">
        <f t="shared" si="79"/>
        <v>#VALUE!</v>
      </c>
      <c r="V89" s="94" t="str">
        <f>IFERROR(VLOOKUP($G89,基本資料!$A:$J,10,0),"無")</f>
        <v>無</v>
      </c>
      <c r="W89" s="36">
        <v>112.5</v>
      </c>
      <c r="X89" s="66">
        <v>78.8</v>
      </c>
      <c r="Y89" s="15">
        <f t="shared" si="106"/>
        <v>33.700000000000003</v>
      </c>
      <c r="Z89" s="63">
        <f t="shared" si="107"/>
        <v>0.42766497461928937</v>
      </c>
      <c r="AA89" s="99" t="s">
        <v>4722</v>
      </c>
      <c r="AB89" s="389" t="str">
        <f>IFERROR(VLOOKUP($G89,基本資料!$A:$M,12,0),"無")</f>
        <v>無</v>
      </c>
      <c r="AC89" s="16" t="s">
        <v>4696</v>
      </c>
      <c r="AD89" s="84">
        <v>44575</v>
      </c>
      <c r="AE89" s="86">
        <v>44585</v>
      </c>
      <c r="AF89" s="33">
        <f t="shared" si="99"/>
        <v>10</v>
      </c>
      <c r="AG89" s="43" t="s">
        <v>4698</v>
      </c>
      <c r="AH89" s="63"/>
      <c r="AJ89" s="245"/>
      <c r="AK89" s="245"/>
      <c r="AL89" s="283"/>
      <c r="AN89" s="375"/>
      <c r="AR89" s="245" t="e">
        <f>INDEX(基本資料!N:N,MATCH($G89,基本資料!$A:$A,0))</f>
        <v>#N/A</v>
      </c>
    </row>
    <row r="90" spans="1:44">
      <c r="A90" s="343" t="str">
        <f>IFERROR(VLOOKUP($G90,基本資料!$A:$J,3,0),"無")</f>
        <v>無</v>
      </c>
      <c r="B90" s="79" t="str">
        <f>IFERROR(VLOOKUP($G90,基本資料!$A:$J,4,0),"無")</f>
        <v>無</v>
      </c>
      <c r="C90" s="79" t="str">
        <f>IFERROR(VLOOKUP($G90,基本資料!$A:$J,5,0),"無")</f>
        <v>無</v>
      </c>
      <c r="D90" s="79" t="str">
        <f>IFERROR(VLOOKUP($G90,基本資料!$A:$J,6,0),"無")</f>
        <v>無</v>
      </c>
      <c r="E90" s="79" t="str">
        <f>IFERROR(VLOOKUP($G90,基本資料!$A:$J,7,0),"無")</f>
        <v>無</v>
      </c>
      <c r="F90" s="6" t="str">
        <f>IFERROR(VLOOKUP($G90,基本資料!$A:$J,8,0),"無")</f>
        <v>無</v>
      </c>
      <c r="G90" s="79">
        <v>6719</v>
      </c>
      <c r="H90" s="192" t="s">
        <v>3038</v>
      </c>
      <c r="I90" s="22" t="s">
        <v>4697</v>
      </c>
      <c r="J90" s="8" t="str">
        <f>IFERROR(VLOOKUP($G90,今日總結!$A:$AN,39,0),"")</f>
        <v/>
      </c>
      <c r="K90" s="5" t="str">
        <f>IFERROR(VLOOKUP($G90,今日總結!$A:$AN,40,0),"")</f>
        <v/>
      </c>
      <c r="L90" s="156" t="str">
        <f>IFERROR(VLOOKUP($G90,今日總結!$A:$AN,37,0),"")</f>
        <v/>
      </c>
      <c r="M90" s="337" t="str">
        <f>IFERROR(VLOOKUP($G90,今日總結!$A:$AN,38,0),"")</f>
        <v/>
      </c>
      <c r="N90" s="240" t="str">
        <f t="shared" si="78"/>
        <v/>
      </c>
      <c r="O90" s="359" t="str">
        <f>IFERROR(VLOOKUP($G90,融外自投!$A:$J,7,0),"無")</f>
        <v>無</v>
      </c>
      <c r="P90" s="79" t="str">
        <f>IFERROR(VLOOKUP($G90,融外自投!$A:$J,9,0),"無")</f>
        <v>無</v>
      </c>
      <c r="Q90" s="342" t="str">
        <f>IFERROR(VLOOKUP($G90,融外自投!$A:$J,8,0),"無")</f>
        <v>無</v>
      </c>
      <c r="R90" s="81" t="str">
        <f>IFERROR(VLOOKUP($G90,融外自投!$A:$J,10,0),"無")</f>
        <v>無</v>
      </c>
      <c r="S90" s="324" t="str">
        <f>IFERROR(VLOOKUP($G90,'321買'!$A:$E,4,0),"'沒有資料'")</f>
        <v>'沒有資料'</v>
      </c>
      <c r="T90" s="186" t="str">
        <f>IFERROR(VLOOKUP($G90,基本資料!$A:$J,9,0),"無")</f>
        <v>無</v>
      </c>
      <c r="U90" s="307" t="e">
        <f t="shared" si="79"/>
        <v>#VALUE!</v>
      </c>
      <c r="V90" s="94" t="str">
        <f>IFERROR(VLOOKUP($G90,基本資料!$A:$J,10,0),"無")</f>
        <v>無</v>
      </c>
      <c r="W90" s="36">
        <v>960</v>
      </c>
      <c r="X90" s="66">
        <v>589</v>
      </c>
      <c r="Y90" s="15">
        <f t="shared" si="106"/>
        <v>371</v>
      </c>
      <c r="Z90" s="63">
        <f t="shared" si="107"/>
        <v>0.62988115449915105</v>
      </c>
      <c r="AA90" s="99" t="s">
        <v>4719</v>
      </c>
      <c r="AB90" s="389" t="str">
        <f>IFERROR(VLOOKUP($G90,基本資料!$A:$M,12,0),"無")</f>
        <v>無</v>
      </c>
      <c r="AC90" s="22" t="s">
        <v>4697</v>
      </c>
      <c r="AD90" s="84">
        <v>44574</v>
      </c>
      <c r="AE90" s="86">
        <v>44585</v>
      </c>
      <c r="AF90" s="33">
        <f t="shared" si="99"/>
        <v>11</v>
      </c>
      <c r="AG90" s="43" t="s">
        <v>4699</v>
      </c>
      <c r="AH90" s="63"/>
      <c r="AJ90" s="245"/>
      <c r="AK90" s="245"/>
      <c r="AL90" s="283"/>
      <c r="AN90" s="375"/>
      <c r="AR90" s="245" t="e">
        <f>INDEX(基本資料!N:N,MATCH($G90,基本資料!$A:$A,0))</f>
        <v>#N/A</v>
      </c>
    </row>
    <row r="91" spans="1:44">
      <c r="A91" s="343" t="str">
        <f>IFERROR(VLOOKUP($G91,基本資料!$A:$J,3,0),"無")</f>
        <v>無</v>
      </c>
      <c r="B91" s="79" t="str">
        <f>IFERROR(VLOOKUP($G91,基本資料!$A:$J,4,0),"無")</f>
        <v>無</v>
      </c>
      <c r="C91" s="79" t="str">
        <f>IFERROR(VLOOKUP($G91,基本資料!$A:$J,5,0),"無")</f>
        <v>無</v>
      </c>
      <c r="D91" s="79" t="str">
        <f>IFERROR(VLOOKUP($G91,基本資料!$A:$J,6,0),"無")</f>
        <v>無</v>
      </c>
      <c r="E91" s="79" t="str">
        <f>IFERROR(VLOOKUP($G91,基本資料!$A:$J,7,0),"無")</f>
        <v>無</v>
      </c>
      <c r="F91" s="6" t="str">
        <f>IFERROR(VLOOKUP($G91,基本資料!$A:$J,8,0),"無")</f>
        <v>無</v>
      </c>
      <c r="G91" s="79">
        <v>3592</v>
      </c>
      <c r="H91" s="8" t="s">
        <v>3038</v>
      </c>
      <c r="I91" s="22" t="s">
        <v>3575</v>
      </c>
      <c r="J91" s="8" t="str">
        <f>IFERROR(VLOOKUP($G91,今日總結!$A:$AN,39,0),"")</f>
        <v/>
      </c>
      <c r="K91" s="5" t="str">
        <f>IFERROR(VLOOKUP($G91,今日總結!$A:$AN,40,0),"")</f>
        <v/>
      </c>
      <c r="L91" s="156" t="str">
        <f>IFERROR(VLOOKUP($G91,今日總結!$A:$AN,37,0),"")</f>
        <v/>
      </c>
      <c r="M91" s="337" t="str">
        <f>IFERROR(VLOOKUP($G91,今日總結!$A:$AN,38,0),"")</f>
        <v/>
      </c>
      <c r="N91" s="240" t="str">
        <f t="shared" si="78"/>
        <v/>
      </c>
      <c r="O91" s="359" t="str">
        <f>IFERROR(VLOOKUP($G91,融外自投!$A:$J,7,0),"無")</f>
        <v>無</v>
      </c>
      <c r="P91" s="79" t="str">
        <f>IFERROR(VLOOKUP($G91,融外自投!$A:$J,9,0),"無")</f>
        <v>無</v>
      </c>
      <c r="Q91" s="342" t="str">
        <f>IFERROR(VLOOKUP($G91,融外自投!$A:$J,8,0),"無")</f>
        <v>無</v>
      </c>
      <c r="R91" s="81" t="str">
        <f>IFERROR(VLOOKUP($G91,融外自投!$A:$J,10,0),"無")</f>
        <v>無</v>
      </c>
      <c r="S91" s="324" t="str">
        <f>IFERROR(VLOOKUP($G91,'321買'!$A:$E,4,0),"'沒有資料'")</f>
        <v>'沒有資料'</v>
      </c>
      <c r="T91" s="186" t="str">
        <f>IFERROR(VLOOKUP($G91,基本資料!$A:$J,9,0),"無")</f>
        <v>無</v>
      </c>
      <c r="U91" s="307" t="e">
        <f t="shared" si="79"/>
        <v>#VALUE!</v>
      </c>
      <c r="V91" s="94" t="str">
        <f>IFERROR(VLOOKUP($G91,基本資料!$A:$J,10,0),"無")</f>
        <v>無</v>
      </c>
      <c r="W91" s="36">
        <v>624</v>
      </c>
      <c r="X91" s="66">
        <v>308</v>
      </c>
      <c r="Y91" s="15">
        <f t="shared" si="106"/>
        <v>316</v>
      </c>
      <c r="Z91" s="148">
        <f t="shared" si="107"/>
        <v>1.025974025974026</v>
      </c>
      <c r="AA91" s="99" t="s">
        <v>4709</v>
      </c>
      <c r="AB91" s="389" t="str">
        <f>IFERROR(VLOOKUP($G91,基本資料!$A:$M,12,0),"無")</f>
        <v>無</v>
      </c>
      <c r="AC91" s="22" t="s">
        <v>3575</v>
      </c>
      <c r="AD91" s="84">
        <v>44568</v>
      </c>
      <c r="AE91" s="86">
        <v>44578</v>
      </c>
      <c r="AF91" s="33">
        <f t="shared" si="99"/>
        <v>10</v>
      </c>
      <c r="AG91" s="43" t="s">
        <v>3576</v>
      </c>
      <c r="AH91" s="63"/>
      <c r="AJ91" s="245"/>
      <c r="AK91" s="245"/>
      <c r="AL91" s="283"/>
      <c r="AR91" s="245" t="e">
        <f>INDEX(基本資料!N:N,MATCH($G91,基本資料!$A:$A,0))</f>
        <v>#N/A</v>
      </c>
    </row>
    <row r="92" spans="1:44">
      <c r="A92" s="343">
        <f>IFERROR(VLOOKUP($G92,基本資料!$A:$J,3,0),"無")</f>
        <v>10.6</v>
      </c>
      <c r="B92" s="79">
        <f>IFERROR(VLOOKUP($G92,基本資料!$A:$J,4,0),"無")</f>
        <v>6</v>
      </c>
      <c r="C92" s="79">
        <f>IFERROR(VLOOKUP($G92,基本資料!$A:$J,5,0),"無")</f>
        <v>-13</v>
      </c>
      <c r="D92" s="79">
        <f>IFERROR(VLOOKUP($G92,基本資料!$A:$J,6,0),"無")</f>
        <v>-14</v>
      </c>
      <c r="E92" s="79">
        <f>IFERROR(VLOOKUP($G92,基本資料!$A:$J,7,0),"無")</f>
        <v>16</v>
      </c>
      <c r="F92" s="6">
        <f>IFERROR(VLOOKUP($G92,基本資料!$A:$J,8,0),"無")</f>
        <v>3.31</v>
      </c>
      <c r="G92" s="79">
        <v>6414</v>
      </c>
      <c r="H92" s="193" t="s">
        <v>1145</v>
      </c>
      <c r="I92" s="22" t="s">
        <v>213</v>
      </c>
      <c r="J92" s="8">
        <f>IFERROR(VLOOKUP($G92,今日總結!$A:$AN,39,0),"")</f>
        <v>0</v>
      </c>
      <c r="K92" s="5">
        <f>IFERROR(VLOOKUP($G92,今日總結!$A:$AN,40,0),"")</f>
        <v>0</v>
      </c>
      <c r="L92" s="156">
        <f>IFERROR(VLOOKUP($G92,今日總結!$A:$AN,37,0),"")</f>
        <v>0</v>
      </c>
      <c r="M92" s="337">
        <f>IFERROR(VLOOKUP($G92,今日總結!$A:$AN,38,0),"")</f>
        <v>0</v>
      </c>
      <c r="N92" s="240">
        <f t="shared" si="78"/>
        <v>0</v>
      </c>
      <c r="O92" s="359">
        <f>IFERROR(VLOOKUP($G92,融外自投!$A:$J,7,0),"無")</f>
        <v>357</v>
      </c>
      <c r="P92" s="79">
        <f>IFERROR(VLOOKUP($G92,融外自投!$A:$J,9,0),"無")</f>
        <v>615</v>
      </c>
      <c r="Q92" s="342">
        <f>IFERROR(VLOOKUP($G92,融外自投!$A:$J,8,0),"無")</f>
        <v>477</v>
      </c>
      <c r="R92" s="81">
        <f>IFERROR(VLOOKUP($G92,融外自投!$A:$J,10,0),"無")</f>
        <v>254</v>
      </c>
      <c r="S92" s="324">
        <f>IFERROR(VLOOKUP($G92,'321買'!$A:$E,4,0),"'沒有資料'")</f>
        <v>321</v>
      </c>
      <c r="T92" s="186">
        <f>IFERROR(VLOOKUP($G92,基本資料!$A:$J,9,0),"無")</f>
        <v>7</v>
      </c>
      <c r="U92" s="307">
        <f t="shared" si="79"/>
        <v>2.9787234042553193E-2</v>
      </c>
      <c r="V92" s="94">
        <f>IFERROR(VLOOKUP($G92,基本資料!$A:$J,10,0),"無")</f>
        <v>13.91</v>
      </c>
      <c r="W92" s="36">
        <v>235</v>
      </c>
      <c r="X92" s="66">
        <v>195</v>
      </c>
      <c r="Y92" s="15">
        <f t="shared" si="106"/>
        <v>40</v>
      </c>
      <c r="Z92" s="63">
        <f t="shared" si="107"/>
        <v>0.20512820512820512</v>
      </c>
      <c r="AA92" s="99" t="s">
        <v>4705</v>
      </c>
      <c r="AB92" s="389">
        <f>IFERROR(VLOOKUP($G92,基本資料!$A:$M,12,0),"無")</f>
        <v>28.44</v>
      </c>
      <c r="AC92" s="22" t="s">
        <v>213</v>
      </c>
      <c r="AD92" s="84">
        <v>44566</v>
      </c>
      <c r="AE92" s="86">
        <v>44578</v>
      </c>
      <c r="AF92" s="33">
        <f t="shared" si="99"/>
        <v>12</v>
      </c>
      <c r="AG92" s="117" t="s">
        <v>1505</v>
      </c>
      <c r="AH92" s="33"/>
      <c r="AJ92" s="245"/>
      <c r="AK92" s="245"/>
      <c r="AL92" s="33"/>
      <c r="AR92" s="245" t="str">
        <f>INDEX(基本資料!N:N,MATCH($G92,基本資料!$A:$A,0))</f>
        <v>低</v>
      </c>
    </row>
    <row r="93" spans="1:44">
      <c r="A93" s="343">
        <f>IFERROR(VLOOKUP($G93,基本資料!$A:$J,3,0),"無")</f>
        <v>32.92</v>
      </c>
      <c r="B93" s="79">
        <f>IFERROR(VLOOKUP($G93,基本資料!$A:$J,4,0),"無")</f>
        <v>289</v>
      </c>
      <c r="C93" s="79">
        <f>IFERROR(VLOOKUP($G93,基本資料!$A:$J,5,0),"無")</f>
        <v>430</v>
      </c>
      <c r="D93" s="79">
        <f>IFERROR(VLOOKUP($G93,基本資料!$A:$J,6,0),"無")</f>
        <v>3</v>
      </c>
      <c r="E93" s="79">
        <f>IFERROR(VLOOKUP($G93,基本資料!$A:$J,7,0),"無")</f>
        <v>76</v>
      </c>
      <c r="F93" s="6">
        <f>IFERROR(VLOOKUP($G93,基本資料!$A:$J,8,0),"無")</f>
        <v>41.05</v>
      </c>
      <c r="G93" s="80">
        <v>5608</v>
      </c>
      <c r="H93" s="5" t="s">
        <v>302</v>
      </c>
      <c r="I93" s="22" t="s">
        <v>874</v>
      </c>
      <c r="J93" s="8">
        <f>IFERROR(VLOOKUP($G93,今日總結!$A:$AN,39,0),"")</f>
        <v>0</v>
      </c>
      <c r="K93" s="5" t="str">
        <f>IFERROR(VLOOKUP($G93,今日總結!$A:$AN,40,0),"")</f>
        <v>主</v>
      </c>
      <c r="L93" s="156">
        <f>IFERROR(VLOOKUP($G93,今日總結!$A:$AN,37,0),"")</f>
        <v>0</v>
      </c>
      <c r="M93" s="337">
        <f>IFERROR(VLOOKUP($G93,今日總結!$A:$AN,38,0),"")</f>
        <v>3</v>
      </c>
      <c r="N93" s="240">
        <f t="shared" si="78"/>
        <v>-3</v>
      </c>
      <c r="O93" s="359">
        <f>IFERROR(VLOOKUP($G93,融外自投!$A:$J,7,0),"無")</f>
        <v>160</v>
      </c>
      <c r="P93" s="79">
        <f>IFERROR(VLOOKUP($G93,融外自投!$A:$J,9,0),"無")</f>
        <v>190</v>
      </c>
      <c r="Q93" s="342">
        <f>IFERROR(VLOOKUP($G93,融外自投!$A:$J,8,0),"無")</f>
        <v>771</v>
      </c>
      <c r="R93" s="81">
        <f>IFERROR(VLOOKUP($G93,融外自投!$A:$J,10,0),"無")</f>
        <v>495</v>
      </c>
      <c r="S93" s="324">
        <f>IFERROR(VLOOKUP($G93,'321買'!$A:$E,4,0),"'沒有資料'")</f>
        <v>53</v>
      </c>
      <c r="T93" s="186">
        <f>IFERROR(VLOOKUP($G93,基本資料!$A:$J,9,0),"無")</f>
        <v>2</v>
      </c>
      <c r="U93" s="307">
        <f t="shared" si="79"/>
        <v>5.0632911392405063E-2</v>
      </c>
      <c r="V93" s="94">
        <f>IFERROR(VLOOKUP($G93,基本資料!$A:$J,10,0),"無")</f>
        <v>7.16</v>
      </c>
      <c r="W93" s="36">
        <v>39.5</v>
      </c>
      <c r="X93" s="66">
        <v>32.799999999999997</v>
      </c>
      <c r="Y93" s="15">
        <f t="shared" si="106"/>
        <v>6.7000000000000028</v>
      </c>
      <c r="Z93" s="63">
        <f t="shared" si="107"/>
        <v>0.20426829268292693</v>
      </c>
      <c r="AA93" s="99" t="s">
        <v>4706</v>
      </c>
      <c r="AB93" s="389">
        <f>IFERROR(VLOOKUP($G93,基本資料!$A:$M,12,0),"無")</f>
        <v>36.33</v>
      </c>
      <c r="AC93" s="22" t="s">
        <v>874</v>
      </c>
      <c r="AD93" s="84">
        <v>44566</v>
      </c>
      <c r="AE93" s="86">
        <v>44578</v>
      </c>
      <c r="AF93" s="33">
        <f t="shared" si="99"/>
        <v>12</v>
      </c>
      <c r="AG93" s="43" t="s">
        <v>1530</v>
      </c>
      <c r="AJ93" s="245"/>
      <c r="AK93" s="245"/>
      <c r="AL93" s="245"/>
      <c r="AR93" s="245" t="str">
        <f>INDEX(基本資料!N:N,MATCH($G93,基本資料!$A:$A,0))</f>
        <v>低</v>
      </c>
    </row>
    <row r="94" spans="1:44">
      <c r="A94" s="343">
        <f>IFERROR(VLOOKUP($G94,基本資料!$A:$J,3,0),"無")</f>
        <v>3.22</v>
      </c>
      <c r="B94" s="79">
        <f>IFERROR(VLOOKUP($G94,基本資料!$A:$J,4,0),"無")</f>
        <v>72</v>
      </c>
      <c r="C94" s="79">
        <f>IFERROR(VLOOKUP($G94,基本資料!$A:$J,5,0),"無")</f>
        <v>33</v>
      </c>
      <c r="D94" s="79">
        <f>IFERROR(VLOOKUP($G94,基本資料!$A:$J,6,0),"無")</f>
        <v>-8</v>
      </c>
      <c r="E94" s="79">
        <f>IFERROR(VLOOKUP($G94,基本資料!$A:$J,7,0),"無")</f>
        <v>34</v>
      </c>
      <c r="F94" s="6">
        <f>IFERROR(VLOOKUP($G94,基本資料!$A:$J,8,0),"無")</f>
        <v>5.15</v>
      </c>
      <c r="G94" s="79">
        <v>4542</v>
      </c>
      <c r="H94" s="5" t="s">
        <v>3388</v>
      </c>
      <c r="I94" s="16" t="s">
        <v>409</v>
      </c>
      <c r="J94" s="8" t="str">
        <f>IFERROR(VLOOKUP($G94,今日總結!$A:$AN,39,0),"")</f>
        <v/>
      </c>
      <c r="K94" s="5" t="str">
        <f>IFERROR(VLOOKUP($G94,今日總結!$A:$AN,40,0),"")</f>
        <v/>
      </c>
      <c r="L94" s="156" t="str">
        <f>IFERROR(VLOOKUP($G94,今日總結!$A:$AN,37,0),"")</f>
        <v/>
      </c>
      <c r="M94" s="337" t="str">
        <f>IFERROR(VLOOKUP($G94,今日總結!$A:$AN,38,0),"")</f>
        <v/>
      </c>
      <c r="N94" s="240" t="str">
        <f t="shared" si="78"/>
        <v/>
      </c>
      <c r="O94" s="359">
        <f>IFERROR(VLOOKUP($G94,融外自投!$A:$J,7,0),"無")</f>
        <v>964</v>
      </c>
      <c r="P94" s="79" t="str">
        <f>IFERROR(VLOOKUP($G94,融外自投!$A:$J,9,0),"無")</f>
        <v>無</v>
      </c>
      <c r="Q94" s="342">
        <f>IFERROR(VLOOKUP($G94,融外自投!$A:$J,8,0),"無")</f>
        <v>872</v>
      </c>
      <c r="R94" s="81" t="str">
        <f>IFERROR(VLOOKUP($G94,融外自投!$A:$J,10,0),"無")</f>
        <v>無</v>
      </c>
      <c r="S94" s="324" t="str">
        <f>IFERROR(VLOOKUP($G94,'321買'!$A:$E,4,0),"'沒有資料'")</f>
        <v>'沒有資料'</v>
      </c>
      <c r="T94" s="186">
        <f>IFERROR(VLOOKUP($G94,基本資料!$A:$J,9,0),"無")</f>
        <v>1</v>
      </c>
      <c r="U94" s="307">
        <f t="shared" si="79"/>
        <v>3.3388981636060099E-2</v>
      </c>
      <c r="V94" s="94">
        <f>IFERROR(VLOOKUP($G94,基本資料!$A:$J,10,0),"無")</f>
        <v>1.1100000000000001</v>
      </c>
      <c r="W94" s="36">
        <v>29.95</v>
      </c>
      <c r="X94" s="66">
        <v>25.7</v>
      </c>
      <c r="Y94" s="15">
        <f t="shared" si="106"/>
        <v>4.25</v>
      </c>
      <c r="Z94" s="63">
        <f t="shared" si="107"/>
        <v>0.16536964980544747</v>
      </c>
      <c r="AA94" s="99" t="s">
        <v>4700</v>
      </c>
      <c r="AB94" s="389">
        <f>IFERROR(VLOOKUP($G94,基本資料!$A:$M,12,0),"無")</f>
        <v>42.64</v>
      </c>
      <c r="AC94" s="16" t="s">
        <v>409</v>
      </c>
      <c r="AD94" s="84">
        <v>44565</v>
      </c>
      <c r="AE94" s="86">
        <v>44575</v>
      </c>
      <c r="AF94" s="33">
        <f t="shared" si="99"/>
        <v>10</v>
      </c>
      <c r="AG94" s="43" t="s">
        <v>2291</v>
      </c>
      <c r="AJ94" s="245"/>
      <c r="AK94" s="245"/>
      <c r="AL94" s="245"/>
      <c r="AR94" s="245" t="str">
        <f>INDEX(基本資料!N:N,MATCH($G94,基本資料!$A:$A,0))</f>
        <v>低</v>
      </c>
    </row>
    <row r="95" spans="1:44">
      <c r="A95" s="343" t="str">
        <f>IFERROR(VLOOKUP($G95,基本資料!$A:$J,3,0),"無")</f>
        <v>無</v>
      </c>
      <c r="B95" s="79" t="str">
        <f>IFERROR(VLOOKUP($G95,基本資料!$A:$J,4,0),"無")</f>
        <v>無</v>
      </c>
      <c r="C95" s="79" t="str">
        <f>IFERROR(VLOOKUP($G95,基本資料!$A:$J,5,0),"無")</f>
        <v>無</v>
      </c>
      <c r="D95" s="79" t="str">
        <f>IFERROR(VLOOKUP($G95,基本資料!$A:$J,6,0),"無")</f>
        <v>無</v>
      </c>
      <c r="E95" s="79" t="str">
        <f>IFERROR(VLOOKUP($G95,基本資料!$A:$J,7,0),"無")</f>
        <v>無</v>
      </c>
      <c r="F95" s="6" t="str">
        <f>IFERROR(VLOOKUP($G95,基本資料!$A:$J,8,0),"無")</f>
        <v>無</v>
      </c>
      <c r="G95" s="80">
        <v>6691</v>
      </c>
      <c r="H95" s="5" t="s">
        <v>314</v>
      </c>
      <c r="I95" s="22" t="s">
        <v>3569</v>
      </c>
      <c r="J95" s="8" t="str">
        <f>IFERROR(VLOOKUP($G95,今日總結!$A:$AN,39,0),"")</f>
        <v/>
      </c>
      <c r="K95" s="5" t="str">
        <f>IFERROR(VLOOKUP($G95,今日總結!$A:$AN,40,0),"")</f>
        <v/>
      </c>
      <c r="L95" s="156" t="str">
        <f>IFERROR(VLOOKUP($G95,今日總結!$A:$AN,37,0),"")</f>
        <v/>
      </c>
      <c r="M95" s="337" t="str">
        <f>IFERROR(VLOOKUP($G95,今日總結!$A:$AN,38,0),"")</f>
        <v/>
      </c>
      <c r="N95" s="240" t="str">
        <f t="shared" si="78"/>
        <v/>
      </c>
      <c r="O95" s="359" t="str">
        <f>IFERROR(VLOOKUP($G95,融外自投!$A:$J,7,0),"無")</f>
        <v>無</v>
      </c>
      <c r="P95" s="79" t="str">
        <f>IFERROR(VLOOKUP($G95,融外自投!$A:$J,9,0),"無")</f>
        <v>無</v>
      </c>
      <c r="Q95" s="342" t="str">
        <f>IFERROR(VLOOKUP($G95,融外自投!$A:$J,8,0),"無")</f>
        <v>無</v>
      </c>
      <c r="R95" s="81" t="str">
        <f>IFERROR(VLOOKUP($G95,融外自投!$A:$J,10,0),"無")</f>
        <v>無</v>
      </c>
      <c r="S95" s="324" t="str">
        <f>IFERROR(VLOOKUP($G95,'321買'!$A:$E,4,0),"'沒有資料'")</f>
        <v>'沒有資料'</v>
      </c>
      <c r="T95" s="186" t="str">
        <f>IFERROR(VLOOKUP($G95,基本資料!$A:$J,9,0),"無")</f>
        <v>無</v>
      </c>
      <c r="U95" s="307" t="e">
        <f t="shared" si="79"/>
        <v>#VALUE!</v>
      </c>
      <c r="V95" s="94" t="str">
        <f>IFERROR(VLOOKUP($G95,基本資料!$A:$J,10,0),"無")</f>
        <v>無</v>
      </c>
      <c r="W95" s="36">
        <v>211</v>
      </c>
      <c r="X95" s="66">
        <v>180</v>
      </c>
      <c r="Y95" s="15">
        <f t="shared" si="106"/>
        <v>31</v>
      </c>
      <c r="Z95" s="63">
        <f t="shared" si="107"/>
        <v>0.17222222222222222</v>
      </c>
      <c r="AA95" s="99" t="s">
        <v>4695</v>
      </c>
      <c r="AB95" s="389" t="str">
        <f>IFERROR(VLOOKUP($G95,基本資料!$A:$M,12,0),"無")</f>
        <v>無</v>
      </c>
      <c r="AC95" s="22" t="s">
        <v>3569</v>
      </c>
      <c r="AD95" s="84">
        <v>44564</v>
      </c>
      <c r="AE95" s="86">
        <v>44574</v>
      </c>
      <c r="AF95" s="33">
        <f t="shared" si="99"/>
        <v>10</v>
      </c>
      <c r="AG95" s="43" t="s">
        <v>3570</v>
      </c>
      <c r="AJ95" s="245"/>
      <c r="AK95" s="245"/>
      <c r="AL95" s="245"/>
      <c r="AM95" s="48"/>
      <c r="AR95" s="245" t="e">
        <f>INDEX(基本資料!N:N,MATCH($G95,基本資料!$A:$A,0))</f>
        <v>#N/A</v>
      </c>
    </row>
    <row r="96" spans="1:44">
      <c r="A96" s="343">
        <f>IFERROR(VLOOKUP($G96,基本資料!$A:$J,3,0),"無")</f>
        <v>8.75</v>
      </c>
      <c r="B96" s="79">
        <f>IFERROR(VLOOKUP($G96,基本資料!$A:$J,4,0),"無")</f>
        <v>10</v>
      </c>
      <c r="C96" s="79">
        <f>IFERROR(VLOOKUP($G96,基本資料!$A:$J,5,0),"無")</f>
        <v>29</v>
      </c>
      <c r="D96" s="79">
        <f>IFERROR(VLOOKUP($G96,基本資料!$A:$J,6,0),"無")</f>
        <v>-27</v>
      </c>
      <c r="E96" s="79">
        <f>IFERROR(VLOOKUP($G96,基本資料!$A:$J,7,0),"無")</f>
        <v>-28</v>
      </c>
      <c r="F96" s="6">
        <f>IFERROR(VLOOKUP($G96,基本資料!$A:$J,8,0),"無")</f>
        <v>-11.35</v>
      </c>
      <c r="G96" s="80">
        <v>4562</v>
      </c>
      <c r="H96" s="5" t="s">
        <v>295</v>
      </c>
      <c r="I96" s="22" t="s">
        <v>6106</v>
      </c>
      <c r="J96" s="8">
        <f>IFERROR(VLOOKUP($G96,今日總結!$A:$AN,39,0),"")</f>
        <v>0</v>
      </c>
      <c r="K96" s="5">
        <f>IFERROR(VLOOKUP($G96,今日總結!$A:$AN,40,0),"")</f>
        <v>0</v>
      </c>
      <c r="L96" s="156">
        <f>IFERROR(VLOOKUP($G96,今日總結!$A:$AN,37,0),"")</f>
        <v>0</v>
      </c>
      <c r="M96" s="337">
        <f>IFERROR(VLOOKUP($G96,今日總結!$A:$AN,38,0),"")</f>
        <v>0</v>
      </c>
      <c r="N96" s="240">
        <f t="shared" si="78"/>
        <v>0</v>
      </c>
      <c r="O96" s="359">
        <f>IFERROR(VLOOKUP($G96,融外自投!$A:$J,7,0),"無")</f>
        <v>969</v>
      </c>
      <c r="P96" s="79" t="str">
        <f>IFERROR(VLOOKUP($G96,融外自投!$A:$J,9,0),"無")</f>
        <v>無</v>
      </c>
      <c r="Q96" s="342">
        <f>IFERROR(VLOOKUP($G96,融外自投!$A:$J,8,0),"無")</f>
        <v>1164</v>
      </c>
      <c r="R96" s="81" t="str">
        <f>IFERROR(VLOOKUP($G96,融外自投!$A:$J,10,0),"無")</f>
        <v>無</v>
      </c>
      <c r="S96" s="324">
        <f>IFERROR(VLOOKUP($G96,'321買'!$A:$E,4,0),"'沒有資料'")</f>
        <v>1002</v>
      </c>
      <c r="T96" s="186">
        <f>IFERROR(VLOOKUP($G96,基本資料!$A:$J,9,0),"無")</f>
        <v>0</v>
      </c>
      <c r="U96" s="307">
        <f t="shared" si="79"/>
        <v>0</v>
      </c>
      <c r="V96" s="94">
        <f>IFERROR(VLOOKUP($G96,基本資料!$A:$J,10,0),"無")</f>
        <v>-2.0099999999999998</v>
      </c>
      <c r="W96" s="36">
        <v>15.9</v>
      </c>
      <c r="X96" s="66">
        <v>15</v>
      </c>
      <c r="Y96" s="15">
        <f t="shared" si="106"/>
        <v>0.90000000000000036</v>
      </c>
      <c r="Z96" s="63">
        <f t="shared" si="107"/>
        <v>6.0000000000000026E-2</v>
      </c>
      <c r="AA96" s="99" t="s">
        <v>3552</v>
      </c>
      <c r="AB96" s="389">
        <f>IFERROR(VLOOKUP($G96,基本資料!$A:$M,12,0),"無")</f>
        <v>49.56</v>
      </c>
      <c r="AC96" s="22" t="s">
        <v>583</v>
      </c>
      <c r="AD96" s="84">
        <v>44560</v>
      </c>
      <c r="AE96" s="86">
        <v>44571</v>
      </c>
      <c r="AF96" s="33">
        <f t="shared" si="99"/>
        <v>11</v>
      </c>
      <c r="AG96" s="43" t="s">
        <v>2747</v>
      </c>
      <c r="AJ96" s="245"/>
      <c r="AK96" s="245"/>
      <c r="AL96" s="245"/>
      <c r="AR96" s="245" t="str">
        <f>INDEX(基本資料!N:N,MATCH($G96,基本資料!$A:$A,0))</f>
        <v>低</v>
      </c>
    </row>
    <row r="97" spans="1:44">
      <c r="A97" s="343">
        <f>IFERROR(VLOOKUP($G97,基本資料!$A:$J,3,0),"無")</f>
        <v>7.05</v>
      </c>
      <c r="B97" s="79">
        <f>IFERROR(VLOOKUP($G97,基本資料!$A:$J,4,0),"無")</f>
        <v>53</v>
      </c>
      <c r="C97" s="79">
        <f>IFERROR(VLOOKUP($G97,基本資料!$A:$J,5,0),"無")</f>
        <v>162</v>
      </c>
      <c r="D97" s="79">
        <f>IFERROR(VLOOKUP($G97,基本資料!$A:$J,6,0),"無")</f>
        <v>1</v>
      </c>
      <c r="E97" s="79">
        <f>IFERROR(VLOOKUP($G97,基本資料!$A:$J,7,0),"無")</f>
        <v>272</v>
      </c>
      <c r="F97" s="6">
        <f>IFERROR(VLOOKUP($G97,基本資料!$A:$J,8,0),"無")</f>
        <v>2.8</v>
      </c>
      <c r="G97" s="80">
        <v>8476</v>
      </c>
      <c r="H97" s="5" t="s">
        <v>1959</v>
      </c>
      <c r="I97" s="16" t="s">
        <v>6107</v>
      </c>
      <c r="J97" s="8">
        <f>IFERROR(VLOOKUP($G97,今日總結!$A:$AN,39,0),"")</f>
        <v>0</v>
      </c>
      <c r="K97" s="5" t="str">
        <f>IFERROR(VLOOKUP($G97,今日總結!$A:$AN,40,0),"")</f>
        <v>外</v>
      </c>
      <c r="L97" s="156">
        <f>IFERROR(VLOOKUP($G97,今日總結!$A:$AN,37,0),"")</f>
        <v>0</v>
      </c>
      <c r="M97" s="337">
        <f>IFERROR(VLOOKUP($G97,今日總結!$A:$AN,38,0),"")</f>
        <v>2</v>
      </c>
      <c r="N97" s="240">
        <f t="shared" si="78"/>
        <v>-2</v>
      </c>
      <c r="O97" s="359">
        <f>IFERROR(VLOOKUP($G97,融外自投!$A:$J,7,0),"無")</f>
        <v>734</v>
      </c>
      <c r="P97" s="79" t="str">
        <f>IFERROR(VLOOKUP($G97,融外自投!$A:$J,9,0),"無")</f>
        <v>無</v>
      </c>
      <c r="Q97" s="342">
        <f>IFERROR(VLOOKUP($G97,融外自投!$A:$J,8,0),"無")</f>
        <v>1379</v>
      </c>
      <c r="R97" s="81" t="str">
        <f>IFERROR(VLOOKUP($G97,融外自投!$A:$J,10,0),"無")</f>
        <v>無</v>
      </c>
      <c r="S97" s="324">
        <f>IFERROR(VLOOKUP($G97,'321買'!$A:$E,4,0),"'沒有資料'")</f>
        <v>1002</v>
      </c>
      <c r="T97" s="186">
        <f>IFERROR(VLOOKUP($G97,基本資料!$A:$J,9,0),"無")</f>
        <v>0</v>
      </c>
      <c r="U97" s="307">
        <f t="shared" si="79"/>
        <v>0</v>
      </c>
      <c r="V97" s="94">
        <f>IFERROR(VLOOKUP($G97,基本資料!$A:$J,10,0),"無")</f>
        <v>-0.49</v>
      </c>
      <c r="W97" s="36">
        <v>56.2</v>
      </c>
      <c r="X97" s="66">
        <v>50</v>
      </c>
      <c r="Y97" s="15">
        <f t="shared" si="106"/>
        <v>6.2000000000000028</v>
      </c>
      <c r="Z97" s="63">
        <f t="shared" si="107"/>
        <v>0.12400000000000005</v>
      </c>
      <c r="AA97" s="99" t="s">
        <v>3578</v>
      </c>
      <c r="AB97" s="389">
        <f>IFERROR(VLOOKUP($G97,基本資料!$A:$M,12,0),"無")</f>
        <v>22.74</v>
      </c>
      <c r="AC97" s="16" t="s">
        <v>658</v>
      </c>
      <c r="AD97" s="84">
        <v>44557</v>
      </c>
      <c r="AE97" s="86">
        <v>44567</v>
      </c>
      <c r="AF97" s="33">
        <f t="shared" si="99"/>
        <v>10</v>
      </c>
      <c r="AG97" s="43" t="s">
        <v>2480</v>
      </c>
      <c r="AH97" s="287"/>
      <c r="AJ97" s="245"/>
      <c r="AK97" s="245"/>
      <c r="AL97" s="284"/>
      <c r="AR97" s="245" t="str">
        <f>INDEX(基本資料!N:N,MATCH($G97,基本資料!$A:$A,0))</f>
        <v>中</v>
      </c>
    </row>
    <row r="98" spans="1:44">
      <c r="A98" s="343">
        <f>IFERROR(VLOOKUP($G98,基本資料!$A:$J,3,0),"無")</f>
        <v>453</v>
      </c>
      <c r="B98" s="79">
        <f>IFERROR(VLOOKUP($G98,基本資料!$A:$J,4,0),"無")</f>
        <v>19</v>
      </c>
      <c r="C98" s="79">
        <f>IFERROR(VLOOKUP($G98,基本資料!$A:$J,5,0),"無")</f>
        <v>0</v>
      </c>
      <c r="D98" s="79">
        <f>IFERROR(VLOOKUP($G98,基本資料!$A:$J,6,0),"無")</f>
        <v>-14</v>
      </c>
      <c r="E98" s="79">
        <f>IFERROR(VLOOKUP($G98,基本資料!$A:$J,7,0),"無")</f>
        <v>-7</v>
      </c>
      <c r="F98" s="6">
        <f>IFERROR(VLOOKUP($G98,基本資料!$A:$J,8,0),"無")</f>
        <v>0</v>
      </c>
      <c r="G98" s="79">
        <v>2812</v>
      </c>
      <c r="H98" s="17" t="s">
        <v>304</v>
      </c>
      <c r="I98" s="22" t="s">
        <v>4644</v>
      </c>
      <c r="J98" s="8">
        <f>IFERROR(VLOOKUP($G98,今日總結!$A:$AN,39,0),"")</f>
        <v>0</v>
      </c>
      <c r="K98" s="5">
        <f>IFERROR(VLOOKUP($G98,今日總結!$A:$AN,40,0),"")</f>
        <v>0</v>
      </c>
      <c r="L98" s="156">
        <f>IFERROR(VLOOKUP($G98,今日總結!$A:$AN,37,0),"")</f>
        <v>0</v>
      </c>
      <c r="M98" s="337">
        <f>IFERROR(VLOOKUP($G98,今日總結!$A:$AN,38,0),"")</f>
        <v>0</v>
      </c>
      <c r="N98" s="240">
        <f t="shared" si="78"/>
        <v>0</v>
      </c>
      <c r="O98" s="359">
        <f>IFERROR(VLOOKUP($G98,融外自投!$A:$J,7,0),"無")</f>
        <v>1358</v>
      </c>
      <c r="P98" s="79">
        <f>IFERROR(VLOOKUP($G98,融外自投!$A:$J,9,0),"無")</f>
        <v>1123</v>
      </c>
      <c r="Q98" s="342">
        <f>IFERROR(VLOOKUP($G98,融外自投!$A:$J,8,0),"無")</f>
        <v>456</v>
      </c>
      <c r="R98" s="81">
        <f>IFERROR(VLOOKUP($G98,融外自投!$A:$J,10,0),"無")</f>
        <v>294</v>
      </c>
      <c r="S98" s="324">
        <f>IFERROR(VLOOKUP($G98,'321買'!$A:$E,4,0),"'沒有資料'")</f>
        <v>411</v>
      </c>
      <c r="T98" s="186">
        <f>IFERROR(VLOOKUP($G98,基本資料!$A:$J,9,0),"無")</f>
        <v>0.75</v>
      </c>
      <c r="U98" s="307">
        <f t="shared" si="79"/>
        <v>6.0728744939271259E-2</v>
      </c>
      <c r="V98" s="94">
        <f>IFERROR(VLOOKUP($G98,基本資料!$A:$J,10,0),"無")</f>
        <v>1.1000000000000001</v>
      </c>
      <c r="W98" s="36">
        <v>12.35</v>
      </c>
      <c r="X98" s="66">
        <v>11.15</v>
      </c>
      <c r="Y98" s="15">
        <f t="shared" si="106"/>
        <v>1.1999999999999993</v>
      </c>
      <c r="Z98" s="63">
        <f t="shared" si="107"/>
        <v>0.10762331838565016</v>
      </c>
      <c r="AA98" s="99" t="s">
        <v>1599</v>
      </c>
      <c r="AB98" s="389">
        <f>IFERROR(VLOOKUP($G98,基本資料!$A:$M,12,0),"無")</f>
        <v>30.38</v>
      </c>
      <c r="AC98" s="22" t="s">
        <v>133</v>
      </c>
      <c r="AD98" s="84">
        <v>44557</v>
      </c>
      <c r="AE98" s="86">
        <v>44567</v>
      </c>
      <c r="AF98" s="33">
        <f t="shared" si="99"/>
        <v>10</v>
      </c>
      <c r="AG98" s="117" t="s">
        <v>1428</v>
      </c>
      <c r="AH98" s="287"/>
      <c r="AJ98" s="245"/>
      <c r="AK98" s="245"/>
      <c r="AL98" s="284"/>
      <c r="AR98" s="245" t="str">
        <f>INDEX(基本資料!N:N,MATCH($G98,基本資料!$A:$A,0))</f>
        <v>中</v>
      </c>
    </row>
    <row r="99" spans="1:44">
      <c r="A99" s="343">
        <f>IFERROR(VLOOKUP($G99,基本資料!$A:$J,3,0),"無")</f>
        <v>15.24</v>
      </c>
      <c r="B99" s="79">
        <f>IFERROR(VLOOKUP($G99,基本資料!$A:$J,4,0),"無")</f>
        <v>21</v>
      </c>
      <c r="C99" s="79">
        <f>IFERROR(VLOOKUP($G99,基本資料!$A:$J,5,0),"無")</f>
        <v>24</v>
      </c>
      <c r="D99" s="79">
        <f>IFERROR(VLOOKUP($G99,基本資料!$A:$J,6,0),"無")</f>
        <v>-16</v>
      </c>
      <c r="E99" s="79">
        <f>IFERROR(VLOOKUP($G99,基本資料!$A:$J,7,0),"無")</f>
        <v>0</v>
      </c>
      <c r="F99" s="6">
        <f>IFERROR(VLOOKUP($G99,基本資料!$A:$J,8,0),"無")</f>
        <v>4.8600000000000003</v>
      </c>
      <c r="G99" s="80">
        <v>3029</v>
      </c>
      <c r="H99" s="5" t="s">
        <v>3435</v>
      </c>
      <c r="I99" s="22" t="s">
        <v>1018</v>
      </c>
      <c r="J99" s="8" t="str">
        <f>IFERROR(VLOOKUP($G99,今日總結!$A:$AN,39,0),"")</f>
        <v>借</v>
      </c>
      <c r="K99" s="5" t="str">
        <f>IFERROR(VLOOKUP($G99,今日總結!$A:$AN,40,0),"")</f>
        <v>主</v>
      </c>
      <c r="L99" s="156">
        <f>IFERROR(VLOOKUP($G99,今日總結!$A:$AN,37,0),"")</f>
        <v>1</v>
      </c>
      <c r="M99" s="337">
        <f>IFERROR(VLOOKUP($G99,今日總結!$A:$AN,38,0),"")</f>
        <v>2</v>
      </c>
      <c r="N99" s="240">
        <f t="shared" si="78"/>
        <v>-1</v>
      </c>
      <c r="O99" s="359">
        <f>IFERROR(VLOOKUP($G99,融外自投!$A:$J,7,0),"無")</f>
        <v>942</v>
      </c>
      <c r="P99" s="79">
        <f>IFERROR(VLOOKUP($G99,融外自投!$A:$J,9,0),"無")</f>
        <v>340</v>
      </c>
      <c r="Q99" s="342">
        <f>IFERROR(VLOOKUP($G99,融外自投!$A:$J,8,0),"無")</f>
        <v>834</v>
      </c>
      <c r="R99" s="81" t="str">
        <f>IFERROR(VLOOKUP($G99,融外自投!$A:$J,10,0),"無")</f>
        <v>無</v>
      </c>
      <c r="S99" s="324">
        <f>IFERROR(VLOOKUP($G99,'321買'!$A:$E,4,0),"'沒有資料'")</f>
        <v>565</v>
      </c>
      <c r="T99" s="186">
        <f>IFERROR(VLOOKUP($G99,基本資料!$A:$J,9,0),"無")</f>
        <v>3.6</v>
      </c>
      <c r="U99" s="307">
        <f t="shared" si="79"/>
        <v>8.2191780821917818E-2</v>
      </c>
      <c r="V99" s="94">
        <f>IFERROR(VLOOKUP($G99,基本資料!$A:$J,10,0),"無")</f>
        <v>4.24</v>
      </c>
      <c r="W99" s="36">
        <v>43.8</v>
      </c>
      <c r="X99" s="66">
        <v>40</v>
      </c>
      <c r="Y99" s="15">
        <f t="shared" si="106"/>
        <v>3.7999999999999972</v>
      </c>
      <c r="Z99" s="63">
        <f t="shared" si="107"/>
        <v>9.4999999999999932E-2</v>
      </c>
      <c r="AA99" s="99" t="s">
        <v>1649</v>
      </c>
      <c r="AB99" s="389">
        <f>IFERROR(VLOOKUP($G99,基本資料!$A:$M,12,0),"無")</f>
        <v>10.25</v>
      </c>
      <c r="AC99" s="22" t="s">
        <v>1018</v>
      </c>
      <c r="AD99" s="84">
        <v>44554</v>
      </c>
      <c r="AE99" s="86">
        <v>44564</v>
      </c>
      <c r="AF99" s="33">
        <f t="shared" si="99"/>
        <v>10</v>
      </c>
      <c r="AG99" s="43" t="s">
        <v>1543</v>
      </c>
      <c r="AH99" s="287"/>
      <c r="AJ99" s="245"/>
      <c r="AK99" s="245"/>
      <c r="AL99" s="284"/>
      <c r="AR99" s="245" t="str">
        <f>INDEX(基本資料!N:N,MATCH($G99,基本資料!$A:$A,0))</f>
        <v>低</v>
      </c>
    </row>
    <row r="100" spans="1:44">
      <c r="A100" s="343">
        <f>IFERROR(VLOOKUP($G100,基本資料!$A:$J,3,0),"無")</f>
        <v>9</v>
      </c>
      <c r="B100" s="79">
        <f>IFERROR(VLOOKUP($G100,基本資料!$A:$J,4,0),"無")</f>
        <v>-1083</v>
      </c>
      <c r="C100" s="79">
        <f>IFERROR(VLOOKUP($G100,基本資料!$A:$J,5,0),"無")</f>
        <v>-221</v>
      </c>
      <c r="D100" s="79">
        <f>IFERROR(VLOOKUP($G100,基本資料!$A:$J,6,0),"無")</f>
        <v>-11</v>
      </c>
      <c r="E100" s="79">
        <f>IFERROR(VLOOKUP($G100,基本資料!$A:$J,7,0),"無")</f>
        <v>0</v>
      </c>
      <c r="F100" s="6">
        <f>IFERROR(VLOOKUP($G100,基本資料!$A:$J,8,0),"無")</f>
        <v>-18.34</v>
      </c>
      <c r="G100" s="80">
        <v>1432</v>
      </c>
      <c r="H100" s="5" t="s">
        <v>6108</v>
      </c>
      <c r="I100" s="22" t="s">
        <v>799</v>
      </c>
      <c r="J100" s="8" t="str">
        <f>IFERROR(VLOOKUP($G100,今日總結!$A:$AN,39,0),"")</f>
        <v/>
      </c>
      <c r="K100" s="5" t="str">
        <f>IFERROR(VLOOKUP($G100,今日總結!$A:$AN,40,0),"")</f>
        <v/>
      </c>
      <c r="L100" s="156" t="str">
        <f>IFERROR(VLOOKUP($G100,今日總結!$A:$AN,37,0),"")</f>
        <v/>
      </c>
      <c r="M100" s="337" t="str">
        <f>IFERROR(VLOOKUP($G100,今日總結!$A:$AN,38,0),"")</f>
        <v/>
      </c>
      <c r="N100" s="240" t="str">
        <f t="shared" si="78"/>
        <v/>
      </c>
      <c r="O100" s="359" t="str">
        <f>IFERROR(VLOOKUP($G100,融外自投!$A:$J,7,0),"無")</f>
        <v>無</v>
      </c>
      <c r="P100" s="79" t="str">
        <f>IFERROR(VLOOKUP($G100,融外自投!$A:$J,9,0),"無")</f>
        <v>無</v>
      </c>
      <c r="Q100" s="342" t="str">
        <f>IFERROR(VLOOKUP($G100,融外自投!$A:$J,8,0),"無")</f>
        <v>無</v>
      </c>
      <c r="R100" s="81" t="str">
        <f>IFERROR(VLOOKUP($G100,融外自投!$A:$J,10,0),"無")</f>
        <v>無</v>
      </c>
      <c r="S100" s="324" t="str">
        <f>IFERROR(VLOOKUP($G100,'321買'!$A:$E,4,0),"'沒有資料'")</f>
        <v>'沒有資料'</v>
      </c>
      <c r="T100" s="186">
        <f>IFERROR(VLOOKUP($G100,基本資料!$A:$J,9,0),"無")</f>
        <v>0</v>
      </c>
      <c r="U100" s="307">
        <f t="shared" si="79"/>
        <v>0</v>
      </c>
      <c r="V100" s="94">
        <f>IFERROR(VLOOKUP($G100,基本資料!$A:$J,10,0),"無")</f>
        <v>-2.0499999999999998</v>
      </c>
      <c r="W100" s="36">
        <v>11.7</v>
      </c>
      <c r="X100" s="66">
        <v>11</v>
      </c>
      <c r="Y100" s="15">
        <f t="shared" si="106"/>
        <v>0.69999999999999929</v>
      </c>
      <c r="Z100" s="63">
        <f t="shared" si="107"/>
        <v>6.3636363636363574E-2</v>
      </c>
      <c r="AA100" s="99" t="s">
        <v>3573</v>
      </c>
      <c r="AB100" s="389">
        <f>IFERROR(VLOOKUP($G100,基本資料!$A:$M,12,0),"無")</f>
        <v>6.71</v>
      </c>
      <c r="AC100" s="22" t="s">
        <v>799</v>
      </c>
      <c r="AD100" s="84">
        <v>44554</v>
      </c>
      <c r="AE100" s="86">
        <v>44564</v>
      </c>
      <c r="AF100" s="33">
        <f t="shared" si="99"/>
        <v>10</v>
      </c>
      <c r="AG100" s="43" t="s">
        <v>2033</v>
      </c>
      <c r="AH100" s="287"/>
      <c r="AJ100" s="245"/>
      <c r="AK100" s="245"/>
      <c r="AL100" s="284"/>
      <c r="AR100" s="245" t="str">
        <f>INDEX(基本資料!N:N,MATCH($G100,基本資料!$A:$A,0))</f>
        <v>低</v>
      </c>
    </row>
    <row r="101" spans="1:44">
      <c r="A101" s="343">
        <f>IFERROR(VLOOKUP($G101,基本資料!$A:$J,3,0),"無")</f>
        <v>378</v>
      </c>
      <c r="B101" s="79">
        <f>IFERROR(VLOOKUP($G101,基本資料!$A:$J,4,0),"無")</f>
        <v>433</v>
      </c>
      <c r="C101" s="79">
        <f>IFERROR(VLOOKUP($G101,基本資料!$A:$J,5,0),"無")</f>
        <v>238</v>
      </c>
      <c r="D101" s="79">
        <f>IFERROR(VLOOKUP($G101,基本資料!$A:$J,6,0),"無")</f>
        <v>6</v>
      </c>
      <c r="E101" s="79">
        <f>IFERROR(VLOOKUP($G101,基本資料!$A:$J,7,0),"無")</f>
        <v>-1</v>
      </c>
      <c r="F101" s="6">
        <f>IFERROR(VLOOKUP($G101,基本資料!$A:$J,8,0),"無")</f>
        <v>7.15</v>
      </c>
      <c r="G101" s="79">
        <v>1314</v>
      </c>
      <c r="H101" s="193" t="s">
        <v>293</v>
      </c>
      <c r="I101" s="22" t="s">
        <v>3585</v>
      </c>
      <c r="J101" s="8">
        <f>IFERROR(VLOOKUP($G101,今日總結!$A:$AN,39,0),"")</f>
        <v>0</v>
      </c>
      <c r="K101" s="5">
        <f>IFERROR(VLOOKUP($G101,今日總結!$A:$AN,40,0),"")</f>
        <v>0</v>
      </c>
      <c r="L101" s="156">
        <f>IFERROR(VLOOKUP($G101,今日總結!$A:$AN,37,0),"")</f>
        <v>0</v>
      </c>
      <c r="M101" s="337">
        <f>IFERROR(VLOOKUP($G101,今日總結!$A:$AN,38,0),"")</f>
        <v>0</v>
      </c>
      <c r="N101" s="240">
        <f t="shared" si="78"/>
        <v>0</v>
      </c>
      <c r="O101" s="359">
        <f>IFERROR(VLOOKUP($G101,融外自投!$A:$J,7,0),"無")</f>
        <v>389</v>
      </c>
      <c r="P101" s="79">
        <f>IFERROR(VLOOKUP($G101,融外自投!$A:$J,9,0),"無")</f>
        <v>596</v>
      </c>
      <c r="Q101" s="342">
        <f>IFERROR(VLOOKUP($G101,融外自投!$A:$J,8,0),"無")</f>
        <v>528</v>
      </c>
      <c r="R101" s="81" t="str">
        <f>IFERROR(VLOOKUP($G101,融外自投!$A:$J,10,0),"無")</f>
        <v>無</v>
      </c>
      <c r="S101" s="324">
        <f>IFERROR(VLOOKUP($G101,'321買'!$A:$E,4,0),"'沒有資料'")</f>
        <v>801</v>
      </c>
      <c r="T101" s="186">
        <f>IFERROR(VLOOKUP($G101,基本資料!$A:$J,9,0),"無")</f>
        <v>0.4</v>
      </c>
      <c r="U101" s="307">
        <f t="shared" si="79"/>
        <v>3.0888030888030892E-2</v>
      </c>
      <c r="V101" s="94">
        <f>IFERROR(VLOOKUP($G101,基本資料!$A:$J,10,0),"無")</f>
        <v>1.0900000000000001</v>
      </c>
      <c r="W101" s="36">
        <v>12.95</v>
      </c>
      <c r="X101" s="66">
        <v>11.75</v>
      </c>
      <c r="Y101" s="15">
        <f t="shared" si="106"/>
        <v>1.1999999999999993</v>
      </c>
      <c r="Z101" s="63">
        <f t="shared" si="107"/>
        <v>0.10212765957446802</v>
      </c>
      <c r="AA101" s="99" t="s">
        <v>3574</v>
      </c>
      <c r="AB101" s="389">
        <f>IFERROR(VLOOKUP($G101,基本資料!$A:$M,12,0),"無")</f>
        <v>9.52</v>
      </c>
      <c r="AC101" s="22" t="s">
        <v>124</v>
      </c>
      <c r="AD101" s="84">
        <v>44554</v>
      </c>
      <c r="AE101" s="86">
        <v>44564</v>
      </c>
      <c r="AF101" s="33">
        <f t="shared" si="99"/>
        <v>10</v>
      </c>
      <c r="AG101" s="117" t="s">
        <v>2754</v>
      </c>
      <c r="AH101" s="287"/>
      <c r="AJ101" s="245"/>
      <c r="AK101" s="245"/>
      <c r="AL101" s="284"/>
      <c r="AR101" s="245" t="str">
        <f>INDEX(基本資料!N:N,MATCH($G101,基本資料!$A:$A,0))</f>
        <v>低</v>
      </c>
    </row>
    <row r="102" spans="1:44">
      <c r="A102" s="343">
        <f>IFERROR(VLOOKUP($G102,基本資料!$A:$J,3,0),"無")</f>
        <v>7.85</v>
      </c>
      <c r="B102" s="79">
        <f>IFERROR(VLOOKUP($G102,基本資料!$A:$J,4,0),"無")</f>
        <v>83</v>
      </c>
      <c r="C102" s="79">
        <f>IFERROR(VLOOKUP($G102,基本資料!$A:$J,5,0),"無")</f>
        <v>78</v>
      </c>
      <c r="D102" s="79">
        <f>IFERROR(VLOOKUP($G102,基本資料!$A:$J,6,0),"無")</f>
        <v>-8</v>
      </c>
      <c r="E102" s="79">
        <f>IFERROR(VLOOKUP($G102,基本資料!$A:$J,7,0),"無")</f>
        <v>75</v>
      </c>
      <c r="F102" s="6">
        <f>IFERROR(VLOOKUP($G102,基本資料!$A:$J,8,0),"無")</f>
        <v>31.15</v>
      </c>
      <c r="G102" s="79">
        <v>4770</v>
      </c>
      <c r="H102" s="8" t="s">
        <v>3577</v>
      </c>
      <c r="I102" s="22" t="s">
        <v>3549</v>
      </c>
      <c r="J102" s="8" t="str">
        <f>IFERROR(VLOOKUP($G102,今日總結!$A:$AN,39,0),"")</f>
        <v/>
      </c>
      <c r="K102" s="5" t="str">
        <f>IFERROR(VLOOKUP($G102,今日總結!$A:$AN,40,0),"")</f>
        <v/>
      </c>
      <c r="L102" s="156" t="str">
        <f>IFERROR(VLOOKUP($G102,今日總結!$A:$AN,37,0),"")</f>
        <v/>
      </c>
      <c r="M102" s="337" t="str">
        <f>IFERROR(VLOOKUP($G102,今日總結!$A:$AN,38,0),"")</f>
        <v/>
      </c>
      <c r="N102" s="240" t="str">
        <f t="shared" si="78"/>
        <v/>
      </c>
      <c r="O102" s="359" t="str">
        <f>IFERROR(VLOOKUP($G102,融外自投!$A:$J,7,0),"無")</f>
        <v>無</v>
      </c>
      <c r="P102" s="79" t="str">
        <f>IFERROR(VLOOKUP($G102,融外自投!$A:$J,9,0),"無")</f>
        <v>無</v>
      </c>
      <c r="Q102" s="342" t="str">
        <f>IFERROR(VLOOKUP($G102,融外自投!$A:$J,8,0),"無")</f>
        <v>無</v>
      </c>
      <c r="R102" s="81" t="str">
        <f>IFERROR(VLOOKUP($G102,融外自投!$A:$J,10,0),"無")</f>
        <v>無</v>
      </c>
      <c r="S102" s="324" t="str">
        <f>IFERROR(VLOOKUP($G102,'321買'!$A:$E,4,0),"'沒有資料'")</f>
        <v>'沒有資料'</v>
      </c>
      <c r="T102" s="186">
        <f>IFERROR(VLOOKUP($G102,基本資料!$A:$J,9,0),"無")</f>
        <v>8</v>
      </c>
      <c r="U102" s="307">
        <f t="shared" si="79"/>
        <v>2.768166089965398E-2</v>
      </c>
      <c r="V102" s="94">
        <f>IFERROR(VLOOKUP($G102,基本資料!$A:$J,10,0),"無")</f>
        <v>13.94</v>
      </c>
      <c r="W102" s="36">
        <v>289</v>
      </c>
      <c r="X102" s="66">
        <v>166</v>
      </c>
      <c r="Y102" s="15">
        <f t="shared" si="106"/>
        <v>123</v>
      </c>
      <c r="Z102" s="63">
        <f t="shared" si="107"/>
        <v>0.74096385542168675</v>
      </c>
      <c r="AA102" s="99" t="s">
        <v>3572</v>
      </c>
      <c r="AB102" s="389" t="str">
        <f>IFERROR(VLOOKUP($G102,基本資料!$A:$M,12,0),"無")</f>
        <v>無</v>
      </c>
      <c r="AC102" s="22" t="s">
        <v>3549</v>
      </c>
      <c r="AD102" s="84">
        <v>44552</v>
      </c>
      <c r="AE102" s="86">
        <v>44564</v>
      </c>
      <c r="AF102" s="33">
        <f t="shared" si="99"/>
        <v>12</v>
      </c>
      <c r="AG102" s="43" t="s">
        <v>2637</v>
      </c>
      <c r="AH102" s="287"/>
      <c r="AJ102" s="245"/>
      <c r="AK102" s="245"/>
      <c r="AL102" s="284"/>
      <c r="AR102" s="245" t="str">
        <f>INDEX(基本資料!N:N,MATCH($G102,基本資料!$A:$A,0))</f>
        <v>無</v>
      </c>
    </row>
    <row r="103" spans="1:44">
      <c r="A103" s="343">
        <f>IFERROR(VLOOKUP($G103,基本資料!$A:$J,3,0),"無")</f>
        <v>16.32</v>
      </c>
      <c r="B103" s="79">
        <f>IFERROR(VLOOKUP($G103,基本資料!$A:$J,4,0),"無")</f>
        <v>129</v>
      </c>
      <c r="C103" s="79">
        <f>IFERROR(VLOOKUP($G103,基本資料!$A:$J,5,0),"無")</f>
        <v>-25</v>
      </c>
      <c r="D103" s="79">
        <f>IFERROR(VLOOKUP($G103,基本資料!$A:$J,6,0),"無")</f>
        <v>1673</v>
      </c>
      <c r="E103" s="79">
        <f>IFERROR(VLOOKUP($G103,基本資料!$A:$J,7,0),"無")</f>
        <v>14</v>
      </c>
      <c r="F103" s="6">
        <f>IFERROR(VLOOKUP($G103,基本資料!$A:$J,8,0),"無")</f>
        <v>-2478.27</v>
      </c>
      <c r="G103" s="79">
        <v>6535</v>
      </c>
      <c r="H103" s="8" t="s">
        <v>4723</v>
      </c>
      <c r="I103" s="16" t="s">
        <v>3837</v>
      </c>
      <c r="J103" s="8" t="str">
        <f>IFERROR(VLOOKUP($G103,今日總結!$A:$AN,39,0),"")</f>
        <v/>
      </c>
      <c r="K103" s="5" t="str">
        <f>IFERROR(VLOOKUP($G103,今日總結!$A:$AN,40,0),"")</f>
        <v/>
      </c>
      <c r="L103" s="156" t="str">
        <f>IFERROR(VLOOKUP($G103,今日總結!$A:$AN,37,0),"")</f>
        <v/>
      </c>
      <c r="M103" s="337" t="str">
        <f>IFERROR(VLOOKUP($G103,今日總結!$A:$AN,38,0),"")</f>
        <v/>
      </c>
      <c r="N103" s="240" t="str">
        <f t="shared" si="78"/>
        <v/>
      </c>
      <c r="O103" s="359" t="str">
        <f>IFERROR(VLOOKUP($G103,融外自投!$A:$J,7,0),"無")</f>
        <v>無</v>
      </c>
      <c r="P103" s="79" t="str">
        <f>IFERROR(VLOOKUP($G103,融外自投!$A:$J,9,0),"無")</f>
        <v>無</v>
      </c>
      <c r="Q103" s="342" t="str">
        <f>IFERROR(VLOOKUP($G103,融外自投!$A:$J,8,0),"無")</f>
        <v>無</v>
      </c>
      <c r="R103" s="81" t="str">
        <f>IFERROR(VLOOKUP($G103,融外自投!$A:$J,10,0),"無")</f>
        <v>無</v>
      </c>
      <c r="S103" s="324" t="str">
        <f>IFERROR(VLOOKUP($G103,'321買'!$A:$E,4,0),"'沒有資料'")</f>
        <v>'沒有資料'</v>
      </c>
      <c r="T103" s="186">
        <f>IFERROR(VLOOKUP($G103,基本資料!$A:$J,9,0),"無")</f>
        <v>0</v>
      </c>
      <c r="U103" s="307">
        <f t="shared" si="79"/>
        <v>0</v>
      </c>
      <c r="V103" s="94">
        <f>IFERROR(VLOOKUP($G103,基本資料!$A:$J,10,0),"無")</f>
        <v>0.64</v>
      </c>
      <c r="W103" s="36">
        <v>38.950000000000003</v>
      </c>
      <c r="X103" s="66">
        <v>30</v>
      </c>
      <c r="Y103" s="15">
        <f t="shared" si="106"/>
        <v>8.9500000000000028</v>
      </c>
      <c r="Z103" s="63">
        <f t="shared" si="107"/>
        <v>0.29833333333333345</v>
      </c>
      <c r="AA103" s="99" t="s">
        <v>3256</v>
      </c>
      <c r="AB103" s="389">
        <f>IFERROR(VLOOKUP($G103,基本資料!$A:$M,12,0),"無")</f>
        <v>10.98</v>
      </c>
      <c r="AC103" s="16" t="s">
        <v>623</v>
      </c>
      <c r="AD103" s="84">
        <v>44552</v>
      </c>
      <c r="AE103" s="86">
        <v>44564</v>
      </c>
      <c r="AF103" s="33">
        <f t="shared" si="99"/>
        <v>12</v>
      </c>
      <c r="AG103" s="43" t="s">
        <v>2150</v>
      </c>
      <c r="AH103" s="287"/>
      <c r="AJ103" s="245"/>
      <c r="AK103" s="245"/>
      <c r="AL103" s="284"/>
      <c r="AR103" s="245" t="str">
        <f>INDEX(基本資料!N:N,MATCH($G103,基本資料!$A:$A,0))</f>
        <v>低</v>
      </c>
    </row>
    <row r="104" spans="1:44">
      <c r="A104" s="343">
        <f>IFERROR(VLOOKUP($G104,基本資料!$A:$J,3,0),"無")</f>
        <v>13.43</v>
      </c>
      <c r="B104" s="79">
        <f>IFERROR(VLOOKUP($G104,基本資料!$A:$J,4,0),"無")</f>
        <v>95</v>
      </c>
      <c r="C104" s="79">
        <f>IFERROR(VLOOKUP($G104,基本資料!$A:$J,5,0),"無")</f>
        <v>47</v>
      </c>
      <c r="D104" s="79">
        <f>IFERROR(VLOOKUP($G104,基本資料!$A:$J,6,0),"無")</f>
        <v>-17</v>
      </c>
      <c r="E104" s="79">
        <f>IFERROR(VLOOKUP($G104,基本資料!$A:$J,7,0),"無")</f>
        <v>-9</v>
      </c>
      <c r="F104" s="6">
        <f>IFERROR(VLOOKUP($G104,基本資料!$A:$J,8,0),"無")</f>
        <v>4.8600000000000003</v>
      </c>
      <c r="G104" s="79">
        <v>3605</v>
      </c>
      <c r="H104" s="8" t="s">
        <v>3388</v>
      </c>
      <c r="I104" s="22" t="s">
        <v>391</v>
      </c>
      <c r="J104" s="8">
        <f>IFERROR(VLOOKUP($G104,今日總結!$A:$AN,39,0),"")</f>
        <v>0</v>
      </c>
      <c r="K104" s="5">
        <f>IFERROR(VLOOKUP($G104,今日總結!$A:$AN,40,0),"")</f>
        <v>0</v>
      </c>
      <c r="L104" s="156">
        <f>IFERROR(VLOOKUP($G104,今日總結!$A:$AN,37,0),"")</f>
        <v>0</v>
      </c>
      <c r="M104" s="337">
        <f>IFERROR(VLOOKUP($G104,今日總結!$A:$AN,38,0),"")</f>
        <v>0</v>
      </c>
      <c r="N104" s="240">
        <f t="shared" si="78"/>
        <v>0</v>
      </c>
      <c r="O104" s="359">
        <f>IFERROR(VLOOKUP($G104,融外自投!$A:$J,7,0),"無")</f>
        <v>279</v>
      </c>
      <c r="P104" s="79">
        <f>IFERROR(VLOOKUP($G104,融外自投!$A:$J,9,0),"無")</f>
        <v>717</v>
      </c>
      <c r="Q104" s="342">
        <f>IFERROR(VLOOKUP($G104,融外自投!$A:$J,8,0),"無")</f>
        <v>538</v>
      </c>
      <c r="R104" s="81" t="str">
        <f>IFERROR(VLOOKUP($G104,融外自投!$A:$J,10,0),"無")</f>
        <v>無</v>
      </c>
      <c r="S104" s="324">
        <f>IFERROR(VLOOKUP($G104,'321買'!$A:$E,4,0),"'沒有資料'")</f>
        <v>300</v>
      </c>
      <c r="T104" s="186">
        <f>IFERROR(VLOOKUP($G104,基本資料!$A:$J,9,0),"無")</f>
        <v>1.5</v>
      </c>
      <c r="U104" s="307">
        <f t="shared" si="79"/>
        <v>2.9411764705882353E-2</v>
      </c>
      <c r="V104" s="94">
        <f>IFERROR(VLOOKUP($G104,基本資料!$A:$J,10,0),"無")</f>
        <v>4.16</v>
      </c>
      <c r="W104" s="36">
        <v>51</v>
      </c>
      <c r="X104" s="66">
        <v>40</v>
      </c>
      <c r="Y104" s="15">
        <f t="shared" si="106"/>
        <v>11</v>
      </c>
      <c r="Z104" s="63">
        <f t="shared" si="107"/>
        <v>0.27500000000000002</v>
      </c>
      <c r="AA104" s="99" t="s">
        <v>3568</v>
      </c>
      <c r="AB104" s="389">
        <f>IFERROR(VLOOKUP($G104,基本資料!$A:$M,12,0),"無")</f>
        <v>11.39</v>
      </c>
      <c r="AC104" s="22" t="s">
        <v>391</v>
      </c>
      <c r="AD104" s="84">
        <v>44551</v>
      </c>
      <c r="AE104" s="86">
        <v>44564</v>
      </c>
      <c r="AF104" s="33">
        <f t="shared" si="99"/>
        <v>13</v>
      </c>
      <c r="AG104" s="43" t="s">
        <v>1902</v>
      </c>
      <c r="AH104" s="287"/>
      <c r="AJ104" s="245"/>
      <c r="AK104" s="245"/>
      <c r="AL104" s="284"/>
      <c r="AR104" s="245" t="str">
        <f>INDEX(基本資料!N:N,MATCH($G104,基本資料!$A:$A,0))</f>
        <v>低</v>
      </c>
    </row>
    <row r="105" spans="1:44">
      <c r="A105" s="343">
        <f>IFERROR(VLOOKUP($G105,基本資料!$A:$J,3,0),"無")</f>
        <v>24.76</v>
      </c>
      <c r="B105" s="79">
        <f>IFERROR(VLOOKUP($G105,基本資料!$A:$J,4,0),"無")</f>
        <v>18</v>
      </c>
      <c r="C105" s="79">
        <f>IFERROR(VLOOKUP($G105,基本資料!$A:$J,5,0),"無")</f>
        <v>-38</v>
      </c>
      <c r="D105" s="79">
        <f>IFERROR(VLOOKUP($G105,基本資料!$A:$J,6,0),"無")</f>
        <v>-4</v>
      </c>
      <c r="E105" s="79">
        <f>IFERROR(VLOOKUP($G105,基本資料!$A:$J,7,0),"無")</f>
        <v>22</v>
      </c>
      <c r="F105" s="6">
        <f>IFERROR(VLOOKUP($G105,基本資料!$A:$J,8,0),"無")</f>
        <v>1.23</v>
      </c>
      <c r="G105" s="80">
        <v>8927</v>
      </c>
      <c r="H105" s="5" t="s">
        <v>312</v>
      </c>
      <c r="I105" s="16" t="s">
        <v>6109</v>
      </c>
      <c r="J105" s="8">
        <f>IFERROR(VLOOKUP($G105,今日總結!$A:$AN,39,0),"")</f>
        <v>0</v>
      </c>
      <c r="K105" s="5">
        <f>IFERROR(VLOOKUP($G105,今日總結!$A:$AN,40,0),"")</f>
        <v>0</v>
      </c>
      <c r="L105" s="156">
        <f>IFERROR(VLOOKUP($G105,今日總結!$A:$AN,37,0),"")</f>
        <v>0</v>
      </c>
      <c r="M105" s="337">
        <f>IFERROR(VLOOKUP($G105,今日總結!$A:$AN,38,0),"")</f>
        <v>0</v>
      </c>
      <c r="N105" s="240">
        <f t="shared" si="78"/>
        <v>0</v>
      </c>
      <c r="O105" s="359">
        <f>IFERROR(VLOOKUP($G105,融外自投!$A:$J,7,0),"無")</f>
        <v>639</v>
      </c>
      <c r="P105" s="79">
        <f>IFERROR(VLOOKUP($G105,融外自投!$A:$J,9,0),"無")</f>
        <v>790</v>
      </c>
      <c r="Q105" s="342">
        <f>IFERROR(VLOOKUP($G105,融外自投!$A:$J,8,0),"無")</f>
        <v>1424</v>
      </c>
      <c r="R105" s="81" t="str">
        <f>IFERROR(VLOOKUP($G105,融外自投!$A:$J,10,0),"無")</f>
        <v>無</v>
      </c>
      <c r="S105" s="324">
        <f>IFERROR(VLOOKUP($G105,'321買'!$A:$E,4,0),"'沒有資料'")</f>
        <v>891</v>
      </c>
      <c r="T105" s="186">
        <f>IFERROR(VLOOKUP($G105,基本資料!$A:$J,9,0),"無")</f>
        <v>1.6</v>
      </c>
      <c r="U105" s="307">
        <f t="shared" si="79"/>
        <v>5.2287581699346407E-2</v>
      </c>
      <c r="V105" s="94">
        <f>IFERROR(VLOOKUP($G105,基本資料!$A:$J,10,0),"無")</f>
        <v>0.69</v>
      </c>
      <c r="W105" s="36">
        <v>30.6</v>
      </c>
      <c r="X105" s="66">
        <v>25</v>
      </c>
      <c r="Y105" s="15">
        <f t="shared" si="106"/>
        <v>5.6000000000000014</v>
      </c>
      <c r="Z105" s="63">
        <f t="shared" si="107"/>
        <v>0.22400000000000006</v>
      </c>
      <c r="AA105" s="99" t="s">
        <v>978</v>
      </c>
      <c r="AB105" s="389">
        <f>IFERROR(VLOOKUP($G105,基本資料!$A:$M,12,0),"無")</f>
        <v>62.21</v>
      </c>
      <c r="AC105" s="16" t="s">
        <v>981</v>
      </c>
      <c r="AD105" s="84">
        <v>44546</v>
      </c>
      <c r="AE105" s="86">
        <v>44557</v>
      </c>
      <c r="AF105" s="33">
        <f t="shared" si="99"/>
        <v>11</v>
      </c>
      <c r="AG105" s="43" t="s">
        <v>2682</v>
      </c>
      <c r="AH105" s="287"/>
      <c r="AJ105" s="245"/>
      <c r="AK105" s="245"/>
      <c r="AL105" s="284"/>
      <c r="AR105" s="245" t="str">
        <f>INDEX(基本資料!N:N,MATCH($G105,基本資料!$A:$A,0))</f>
        <v>中</v>
      </c>
    </row>
    <row r="106" spans="1:44">
      <c r="A106" s="343">
        <f>IFERROR(VLOOKUP($G106,基本資料!$A:$J,3,0),"無")</f>
        <v>6.88</v>
      </c>
      <c r="B106" s="79">
        <f>IFERROR(VLOOKUP($G106,基本資料!$A:$J,4,0),"無")</f>
        <v>-27</v>
      </c>
      <c r="C106" s="79">
        <f>IFERROR(VLOOKUP($G106,基本資料!$A:$J,5,0),"無")</f>
        <v>-15</v>
      </c>
      <c r="D106" s="79">
        <f>IFERROR(VLOOKUP($G106,基本資料!$A:$J,6,0),"無")</f>
        <v>-31</v>
      </c>
      <c r="E106" s="79">
        <f>IFERROR(VLOOKUP($G106,基本資料!$A:$J,7,0),"無")</f>
        <v>17</v>
      </c>
      <c r="F106" s="6">
        <f>IFERROR(VLOOKUP($G106,基本資料!$A:$J,8,0),"無")</f>
        <v>2.0699999999999998</v>
      </c>
      <c r="G106" s="79">
        <v>3520</v>
      </c>
      <c r="H106" s="8" t="s">
        <v>3388</v>
      </c>
      <c r="I106" s="16" t="s">
        <v>2960</v>
      </c>
      <c r="J106" s="8">
        <f>IFERROR(VLOOKUP($G106,今日總結!$A:$AN,39,0),"")</f>
        <v>0</v>
      </c>
      <c r="K106" s="5">
        <f>IFERROR(VLOOKUP($G106,今日總結!$A:$AN,40,0),"")</f>
        <v>0</v>
      </c>
      <c r="L106" s="156">
        <f>IFERROR(VLOOKUP($G106,今日總結!$A:$AN,37,0),"")</f>
        <v>0</v>
      </c>
      <c r="M106" s="337">
        <f>IFERROR(VLOOKUP($G106,今日總結!$A:$AN,38,0),"")</f>
        <v>0</v>
      </c>
      <c r="N106" s="240">
        <f t="shared" si="78"/>
        <v>0</v>
      </c>
      <c r="O106" s="359">
        <f>IFERROR(VLOOKUP($G106,融外自投!$A:$J,7,0),"無")</f>
        <v>1213</v>
      </c>
      <c r="P106" s="79">
        <f>IFERROR(VLOOKUP($G106,融外自投!$A:$J,9,0),"無")</f>
        <v>1123</v>
      </c>
      <c r="Q106" s="342">
        <f>IFERROR(VLOOKUP($G106,融外自投!$A:$J,8,0),"無")</f>
        <v>1440</v>
      </c>
      <c r="R106" s="81" t="str">
        <f>IFERROR(VLOOKUP($G106,融外自投!$A:$J,10,0),"無")</f>
        <v>無</v>
      </c>
      <c r="S106" s="324">
        <f>IFERROR(VLOOKUP($G106,'321買'!$A:$E,4,0),"'沒有資料'")</f>
        <v>891</v>
      </c>
      <c r="T106" s="186">
        <f>IFERROR(VLOOKUP($G106,基本資料!$A:$J,9,0),"無")</f>
        <v>0</v>
      </c>
      <c r="U106" s="307">
        <f t="shared" si="79"/>
        <v>0</v>
      </c>
      <c r="V106" s="94">
        <f>IFERROR(VLOOKUP($G106,基本資料!$A:$J,10,0),"無")</f>
        <v>0.13</v>
      </c>
      <c r="W106" s="36">
        <v>15.8</v>
      </c>
      <c r="X106" s="66">
        <v>12.8</v>
      </c>
      <c r="Y106" s="15">
        <f t="shared" si="106"/>
        <v>3</v>
      </c>
      <c r="Z106" s="63">
        <f t="shared" si="107"/>
        <v>0.234375</v>
      </c>
      <c r="AA106" s="99" t="s">
        <v>3564</v>
      </c>
      <c r="AB106" s="389">
        <f>IFERROR(VLOOKUP($G106,基本資料!$A:$M,12,0),"無")</f>
        <v>17.13</v>
      </c>
      <c r="AC106" s="16" t="s">
        <v>2960</v>
      </c>
      <c r="AD106" s="84">
        <v>44546</v>
      </c>
      <c r="AE106" s="86">
        <v>44557</v>
      </c>
      <c r="AF106" s="33">
        <f t="shared" si="99"/>
        <v>11</v>
      </c>
      <c r="AG106" s="43" t="s">
        <v>2402</v>
      </c>
      <c r="AH106" s="287"/>
      <c r="AJ106" s="245"/>
      <c r="AK106" s="245"/>
      <c r="AL106" s="284"/>
      <c r="AR106" s="245" t="str">
        <f>INDEX(基本資料!N:N,MATCH($G106,基本資料!$A:$A,0))</f>
        <v>低</v>
      </c>
    </row>
    <row r="107" spans="1:44">
      <c r="A107" s="343">
        <f>IFERROR(VLOOKUP($G107,基本資料!$A:$J,3,0),"無")</f>
        <v>9.0399999999999991</v>
      </c>
      <c r="B107" s="79">
        <f>IFERROR(VLOOKUP($G107,基本資料!$A:$J,4,0),"無")</f>
        <v>-126</v>
      </c>
      <c r="C107" s="79">
        <f>IFERROR(VLOOKUP($G107,基本資料!$A:$J,5,0),"無")</f>
        <v>-160</v>
      </c>
      <c r="D107" s="79">
        <f>IFERROR(VLOOKUP($G107,基本資料!$A:$J,6,0),"無")</f>
        <v>-21</v>
      </c>
      <c r="E107" s="79">
        <f>IFERROR(VLOOKUP($G107,基本資料!$A:$J,7,0),"無")</f>
        <v>5</v>
      </c>
      <c r="F107" s="6">
        <f>IFERROR(VLOOKUP($G107,基本資料!$A:$J,8,0),"無")</f>
        <v>-3.78</v>
      </c>
      <c r="G107" s="80">
        <v>2748</v>
      </c>
      <c r="H107" s="5" t="s">
        <v>303</v>
      </c>
      <c r="I107" s="22" t="s">
        <v>977</v>
      </c>
      <c r="J107" s="8">
        <f>IFERROR(VLOOKUP($G107,今日總結!$A:$AN,39,0),"")</f>
        <v>0</v>
      </c>
      <c r="K107" s="5">
        <f>IFERROR(VLOOKUP($G107,今日總結!$A:$AN,40,0),"")</f>
        <v>0</v>
      </c>
      <c r="L107" s="156">
        <f>IFERROR(VLOOKUP($G107,今日總結!$A:$AN,37,0),"")</f>
        <v>0</v>
      </c>
      <c r="M107" s="337">
        <f>IFERROR(VLOOKUP($G107,今日總結!$A:$AN,38,0),"")</f>
        <v>0</v>
      </c>
      <c r="N107" s="240">
        <f t="shared" si="78"/>
        <v>0</v>
      </c>
      <c r="O107" s="359">
        <f>IFERROR(VLOOKUP($G107,融外自投!$A:$J,7,0),"無")</f>
        <v>1172</v>
      </c>
      <c r="P107" s="79" t="str">
        <f>IFERROR(VLOOKUP($G107,融外自投!$A:$J,9,0),"無")</f>
        <v>無</v>
      </c>
      <c r="Q107" s="342">
        <f>IFERROR(VLOOKUP($G107,融外自投!$A:$J,8,0),"無")</f>
        <v>1366</v>
      </c>
      <c r="R107" s="81" t="str">
        <f>IFERROR(VLOOKUP($G107,融外自投!$A:$J,10,0),"無")</f>
        <v>無</v>
      </c>
      <c r="S107" s="324">
        <f>IFERROR(VLOOKUP($G107,'321買'!$A:$E,4,0),"'沒有資料'")</f>
        <v>1002</v>
      </c>
      <c r="T107" s="186">
        <f>IFERROR(VLOOKUP($G107,基本資料!$A:$J,9,0),"無")</f>
        <v>0.5</v>
      </c>
      <c r="U107" s="307">
        <f t="shared" si="79"/>
        <v>1.282051282051282E-2</v>
      </c>
      <c r="V107" s="94">
        <f>IFERROR(VLOOKUP($G107,基本資料!$A:$J,10,0),"無")</f>
        <v>-0.38</v>
      </c>
      <c r="W107" s="36">
        <v>39</v>
      </c>
      <c r="X107" s="66">
        <v>34</v>
      </c>
      <c r="Y107" s="15">
        <f t="shared" si="106"/>
        <v>5</v>
      </c>
      <c r="Z107" s="63">
        <f t="shared" si="107"/>
        <v>0.14705882352941177</v>
      </c>
      <c r="AA107" s="99" t="s">
        <v>3565</v>
      </c>
      <c r="AB107" s="389">
        <f>IFERROR(VLOOKUP($G107,基本資料!$A:$M,12,0),"無")</f>
        <v>23.93</v>
      </c>
      <c r="AC107" s="22" t="s">
        <v>977</v>
      </c>
      <c r="AD107" s="84">
        <v>44546</v>
      </c>
      <c r="AE107" s="86">
        <v>44557</v>
      </c>
      <c r="AF107" s="33">
        <f t="shared" si="99"/>
        <v>11</v>
      </c>
      <c r="AG107" s="43" t="s">
        <v>2680</v>
      </c>
      <c r="AH107" s="287"/>
      <c r="AJ107" s="245"/>
      <c r="AK107" s="245"/>
      <c r="AL107" s="284"/>
      <c r="AR107" s="245" t="str">
        <f>INDEX(基本資料!N:N,MATCH($G107,基本資料!$A:$A,0))</f>
        <v>低</v>
      </c>
    </row>
    <row r="108" spans="1:44">
      <c r="A108" s="343">
        <f>IFERROR(VLOOKUP($G108,基本資料!$A:$J,3,0),"無")</f>
        <v>4</v>
      </c>
      <c r="B108" s="79">
        <f>IFERROR(VLOOKUP($G108,基本資料!$A:$J,4,0),"無")</f>
        <v>-44</v>
      </c>
      <c r="C108" s="79">
        <f>IFERROR(VLOOKUP($G108,基本資料!$A:$J,5,0),"無")</f>
        <v>-44</v>
      </c>
      <c r="D108" s="79">
        <f>IFERROR(VLOOKUP($G108,基本資料!$A:$J,6,0),"無")</f>
        <v>2</v>
      </c>
      <c r="E108" s="79">
        <f>IFERROR(VLOOKUP($G108,基本資料!$A:$J,7,0),"無")</f>
        <v>-20</v>
      </c>
      <c r="F108" s="6">
        <f>IFERROR(VLOOKUP($G108,基本資料!$A:$J,8,0),"無")</f>
        <v>19.62</v>
      </c>
      <c r="G108" s="80">
        <v>1777</v>
      </c>
      <c r="H108" s="183" t="s">
        <v>4723</v>
      </c>
      <c r="I108" s="16" t="s">
        <v>138</v>
      </c>
      <c r="J108" s="8" t="str">
        <f>IFERROR(VLOOKUP($G108,今日總結!$A:$AN,39,0),"")</f>
        <v/>
      </c>
      <c r="K108" s="5" t="str">
        <f>IFERROR(VLOOKUP($G108,今日總結!$A:$AN,40,0),"")</f>
        <v/>
      </c>
      <c r="L108" s="156" t="str">
        <f>IFERROR(VLOOKUP($G108,今日總結!$A:$AN,37,0),"")</f>
        <v/>
      </c>
      <c r="M108" s="337" t="str">
        <f>IFERROR(VLOOKUP($G108,今日總結!$A:$AN,38,0),"")</f>
        <v/>
      </c>
      <c r="N108" s="240" t="str">
        <f t="shared" si="78"/>
        <v/>
      </c>
      <c r="O108" s="359">
        <f>IFERROR(VLOOKUP($G108,融外自投!$A:$J,7,0),"無")</f>
        <v>1216</v>
      </c>
      <c r="P108" s="79" t="str">
        <f>IFERROR(VLOOKUP($G108,融外自投!$A:$J,9,0),"無")</f>
        <v>無</v>
      </c>
      <c r="Q108" s="342">
        <f>IFERROR(VLOOKUP($G108,融外自投!$A:$J,8,0),"無")</f>
        <v>1414</v>
      </c>
      <c r="R108" s="81" t="str">
        <f>IFERROR(VLOOKUP($G108,融外自投!$A:$J,10,0),"無")</f>
        <v>無</v>
      </c>
      <c r="S108" s="324" t="str">
        <f>IFERROR(VLOOKUP($G108,'321買'!$A:$E,4,0),"'沒有資料'")</f>
        <v>'沒有資料'</v>
      </c>
      <c r="T108" s="186">
        <f>IFERROR(VLOOKUP($G108,基本資料!$A:$J,9,0),"無")</f>
        <v>2.15</v>
      </c>
      <c r="U108" s="307">
        <f t="shared" si="79"/>
        <v>3.3333333333333333E-2</v>
      </c>
      <c r="V108" s="94">
        <f>IFERROR(VLOOKUP($G108,基本資料!$A:$J,10,0),"無")</f>
        <v>3.38</v>
      </c>
      <c r="W108" s="36">
        <v>64.5</v>
      </c>
      <c r="X108" s="66">
        <v>60</v>
      </c>
      <c r="Y108" s="15">
        <f t="shared" si="106"/>
        <v>4.5</v>
      </c>
      <c r="Z108" s="63">
        <f t="shared" si="107"/>
        <v>7.4999999999999997E-2</v>
      </c>
      <c r="AA108" s="99" t="s">
        <v>3552</v>
      </c>
      <c r="AB108" s="389">
        <f>IFERROR(VLOOKUP($G108,基本資料!$A:$M,12,0),"無")</f>
        <v>19.22</v>
      </c>
      <c r="AC108" s="16" t="s">
        <v>138</v>
      </c>
      <c r="AD108" s="84">
        <v>44543</v>
      </c>
      <c r="AE108" s="86">
        <v>44553</v>
      </c>
      <c r="AF108" s="33">
        <f t="shared" si="99"/>
        <v>10</v>
      </c>
      <c r="AG108" s="117" t="s">
        <v>2449</v>
      </c>
      <c r="AH108" s="287"/>
      <c r="AJ108" s="245"/>
      <c r="AK108" s="245"/>
      <c r="AL108" s="284"/>
      <c r="AR108" s="245" t="str">
        <f>INDEX(基本資料!N:N,MATCH($G108,基本資料!$A:$A,0))</f>
        <v>低</v>
      </c>
    </row>
    <row r="109" spans="1:44" ht="16.5" customHeight="1">
      <c r="A109" s="343">
        <f>IFERROR(VLOOKUP($G109,基本資料!$A:$J,3,0),"無")</f>
        <v>4.2699999999999996</v>
      </c>
      <c r="B109" s="79">
        <f>IFERROR(VLOOKUP($G109,基本資料!$A:$J,4,0),"無")</f>
        <v>-73</v>
      </c>
      <c r="C109" s="79">
        <f>IFERROR(VLOOKUP($G109,基本資料!$A:$J,5,0),"無")</f>
        <v>-140</v>
      </c>
      <c r="D109" s="79">
        <f>IFERROR(VLOOKUP($G109,基本資料!$A:$J,6,0),"無")</f>
        <v>-34</v>
      </c>
      <c r="E109" s="79">
        <f>IFERROR(VLOOKUP($G109,基本資料!$A:$J,7,0),"無")</f>
        <v>-29</v>
      </c>
      <c r="F109" s="6">
        <f>IFERROR(VLOOKUP($G109,基本資料!$A:$J,8,0),"無")</f>
        <v>-2.2599999999999998</v>
      </c>
      <c r="G109" s="80">
        <v>1268</v>
      </c>
      <c r="H109" s="5" t="s">
        <v>303</v>
      </c>
      <c r="I109" s="16" t="s">
        <v>959</v>
      </c>
      <c r="J109" s="8" t="str">
        <f>IFERROR(VLOOKUP($G109,今日總結!$A:$AN,39,0),"")</f>
        <v/>
      </c>
      <c r="K109" s="5" t="str">
        <f>IFERROR(VLOOKUP($G109,今日總結!$A:$AN,40,0),"")</f>
        <v/>
      </c>
      <c r="L109" s="156" t="str">
        <f>IFERROR(VLOOKUP($G109,今日總結!$A:$AN,37,0),"")</f>
        <v/>
      </c>
      <c r="M109" s="337" t="str">
        <f>IFERROR(VLOOKUP($G109,今日總結!$A:$AN,38,0),"")</f>
        <v/>
      </c>
      <c r="N109" s="240" t="str">
        <f t="shared" si="78"/>
        <v/>
      </c>
      <c r="O109" s="359">
        <f>IFERROR(VLOOKUP($G109,融外自投!$A:$J,7,0),"無")</f>
        <v>1381</v>
      </c>
      <c r="P109" s="79" t="str">
        <f>IFERROR(VLOOKUP($G109,融外自投!$A:$J,9,0),"無")</f>
        <v>無</v>
      </c>
      <c r="Q109" s="342">
        <f>IFERROR(VLOOKUP($G109,融外自投!$A:$J,8,0),"無")</f>
        <v>1445</v>
      </c>
      <c r="R109" s="81" t="str">
        <f>IFERROR(VLOOKUP($G109,融外自投!$A:$J,10,0),"無")</f>
        <v>無</v>
      </c>
      <c r="S109" s="324" t="str">
        <f>IFERROR(VLOOKUP($G109,'321買'!$A:$E,4,0),"'沒有資料'")</f>
        <v>'沒有資料'</v>
      </c>
      <c r="T109" s="186">
        <f>IFERROR(VLOOKUP($G109,基本資料!$A:$J,9,0),"無")</f>
        <v>3</v>
      </c>
      <c r="U109" s="307">
        <f t="shared" si="79"/>
        <v>2.7027027027027029E-2</v>
      </c>
      <c r="V109" s="94">
        <f>IFERROR(VLOOKUP($G109,基本資料!$A:$J,10,0),"無")</f>
        <v>2.0099999999999998</v>
      </c>
      <c r="W109" s="36">
        <v>111</v>
      </c>
      <c r="X109" s="66">
        <v>100</v>
      </c>
      <c r="Y109" s="15">
        <f t="shared" si="106"/>
        <v>11</v>
      </c>
      <c r="Z109" s="63">
        <f t="shared" si="107"/>
        <v>0.11</v>
      </c>
      <c r="AA109" s="99" t="s">
        <v>767</v>
      </c>
      <c r="AB109" s="389">
        <f>IFERROR(VLOOKUP($G109,基本資料!$A:$M,12,0),"無")</f>
        <v>11.41</v>
      </c>
      <c r="AC109" s="16" t="s">
        <v>959</v>
      </c>
      <c r="AD109" s="84">
        <v>44540</v>
      </c>
      <c r="AE109" s="86">
        <v>44550</v>
      </c>
      <c r="AF109" s="33">
        <f t="shared" si="99"/>
        <v>10</v>
      </c>
      <c r="AG109" s="43" t="s">
        <v>2671</v>
      </c>
      <c r="AH109" s="287"/>
      <c r="AJ109" s="245"/>
      <c r="AK109" s="245"/>
      <c r="AL109" s="284"/>
      <c r="AR109" s="245" t="str">
        <f>INDEX(基本資料!N:N,MATCH($G109,基本資料!$A:$A,0))</f>
        <v>低</v>
      </c>
    </row>
    <row r="110" spans="1:44">
      <c r="A110" s="343">
        <f>IFERROR(VLOOKUP($G110,基本資料!$A:$J,3,0),"無")</f>
        <v>4.78</v>
      </c>
      <c r="B110" s="79">
        <f>IFERROR(VLOOKUP($G110,基本資料!$A:$J,4,0),"無")</f>
        <v>67</v>
      </c>
      <c r="C110" s="79">
        <f>IFERROR(VLOOKUP($G110,基本資料!$A:$J,5,0),"無")</f>
        <v>92</v>
      </c>
      <c r="D110" s="79">
        <f>IFERROR(VLOOKUP($G110,基本資料!$A:$J,6,0),"無")</f>
        <v>-12</v>
      </c>
      <c r="E110" s="79">
        <f>IFERROR(VLOOKUP($G110,基本資料!$A:$J,7,0),"無")</f>
        <v>8</v>
      </c>
      <c r="F110" s="6">
        <f>IFERROR(VLOOKUP($G110,基本資料!$A:$J,8,0),"無")</f>
        <v>20.38</v>
      </c>
      <c r="G110" s="79">
        <v>6792</v>
      </c>
      <c r="H110" s="8" t="s">
        <v>311</v>
      </c>
      <c r="I110" s="22" t="s">
        <v>3527</v>
      </c>
      <c r="J110" s="8" t="str">
        <f>IFERROR(VLOOKUP($G110,今日總結!$A:$AN,39,0),"")</f>
        <v/>
      </c>
      <c r="K110" s="5" t="str">
        <f>IFERROR(VLOOKUP($G110,今日總結!$A:$AN,40,0),"")</f>
        <v/>
      </c>
      <c r="L110" s="156" t="str">
        <f>IFERROR(VLOOKUP($G110,今日總結!$A:$AN,37,0),"")</f>
        <v/>
      </c>
      <c r="M110" s="337" t="str">
        <f>IFERROR(VLOOKUP($G110,今日總結!$A:$AN,38,0),"")</f>
        <v/>
      </c>
      <c r="N110" s="240" t="str">
        <f t="shared" si="78"/>
        <v/>
      </c>
      <c r="O110" s="359" t="str">
        <f>IFERROR(VLOOKUP($G110,融外自投!$A:$J,7,0),"無")</f>
        <v>無</v>
      </c>
      <c r="P110" s="79" t="str">
        <f>IFERROR(VLOOKUP($G110,融外自投!$A:$J,9,0),"無")</f>
        <v>無</v>
      </c>
      <c r="Q110" s="342" t="str">
        <f>IFERROR(VLOOKUP($G110,融外自投!$A:$J,8,0),"無")</f>
        <v>無</v>
      </c>
      <c r="R110" s="81" t="str">
        <f>IFERROR(VLOOKUP($G110,融外自投!$A:$J,10,0),"無")</f>
        <v>無</v>
      </c>
      <c r="S110" s="324" t="str">
        <f>IFERROR(VLOOKUP($G110,'321買'!$A:$E,4,0),"'沒有資料'")</f>
        <v>'沒有資料'</v>
      </c>
      <c r="T110" s="186">
        <f>IFERROR(VLOOKUP($G110,基本資料!$A:$J,9,0),"無")</f>
        <v>5.5</v>
      </c>
      <c r="U110" s="307">
        <f t="shared" si="79"/>
        <v>2.576112412177986E-2</v>
      </c>
      <c r="V110" s="94">
        <f>IFERROR(VLOOKUP($G110,基本資料!$A:$J,10,0),"無")</f>
        <v>6.6</v>
      </c>
      <c r="W110" s="36">
        <v>213.5</v>
      </c>
      <c r="X110" s="66">
        <v>98</v>
      </c>
      <c r="Y110" s="15">
        <f t="shared" si="106"/>
        <v>115.5</v>
      </c>
      <c r="Z110" s="148">
        <f t="shared" si="107"/>
        <v>1.1785714285714286</v>
      </c>
      <c r="AA110" s="99" t="s">
        <v>3546</v>
      </c>
      <c r="AB110" s="389" t="str">
        <f>IFERROR(VLOOKUP($G110,基本資料!$A:$M,12,0),"無")</f>
        <v>無</v>
      </c>
      <c r="AC110" s="22" t="s">
        <v>3527</v>
      </c>
      <c r="AD110" s="84">
        <v>44538</v>
      </c>
      <c r="AE110" s="86">
        <v>44550</v>
      </c>
      <c r="AF110" s="33">
        <f t="shared" si="99"/>
        <v>12</v>
      </c>
      <c r="AG110" s="43" t="s">
        <v>3528</v>
      </c>
      <c r="AH110" s="287"/>
      <c r="AJ110" s="245"/>
      <c r="AK110" s="245"/>
      <c r="AL110" s="284"/>
      <c r="AR110" s="245" t="str">
        <f>INDEX(基本資料!N:N,MATCH($G110,基本資料!$A:$A,0))</f>
        <v>無</v>
      </c>
    </row>
    <row r="111" spans="1:44">
      <c r="A111" s="343">
        <f>IFERROR(VLOOKUP($G111,基本資料!$A:$J,3,0),"無")</f>
        <v>2.86</v>
      </c>
      <c r="B111" s="79">
        <f>IFERROR(VLOOKUP($G111,基本資料!$A:$J,4,0),"無")</f>
        <v>-163</v>
      </c>
      <c r="C111" s="79">
        <f>IFERROR(VLOOKUP($G111,基本資料!$A:$J,5,0),"無")</f>
        <v>-78</v>
      </c>
      <c r="D111" s="79">
        <f>IFERROR(VLOOKUP($G111,基本資料!$A:$J,6,0),"無")</f>
        <v>-8</v>
      </c>
      <c r="E111" s="79">
        <f>IFERROR(VLOOKUP($G111,基本資料!$A:$J,7,0),"無")</f>
        <v>36</v>
      </c>
      <c r="F111" s="6">
        <f>IFERROR(VLOOKUP($G111,基本資料!$A:$J,8,0),"無")</f>
        <v>2.38</v>
      </c>
      <c r="G111" s="80">
        <v>6616</v>
      </c>
      <c r="H111" s="5" t="s">
        <v>1959</v>
      </c>
      <c r="I111" s="16" t="s">
        <v>648</v>
      </c>
      <c r="J111" s="8" t="str">
        <f>IFERROR(VLOOKUP($G111,今日總結!$A:$AN,39,0),"")</f>
        <v/>
      </c>
      <c r="K111" s="5" t="str">
        <f>IFERROR(VLOOKUP($G111,今日總結!$A:$AN,40,0),"")</f>
        <v/>
      </c>
      <c r="L111" s="156" t="str">
        <f>IFERROR(VLOOKUP($G111,今日總結!$A:$AN,37,0),"")</f>
        <v/>
      </c>
      <c r="M111" s="337" t="str">
        <f>IFERROR(VLOOKUP($G111,今日總結!$A:$AN,38,0),"")</f>
        <v/>
      </c>
      <c r="N111" s="240" t="str">
        <f t="shared" si="78"/>
        <v/>
      </c>
      <c r="O111" s="359" t="str">
        <f>IFERROR(VLOOKUP($G111,融外自投!$A:$J,7,0),"無")</f>
        <v>無</v>
      </c>
      <c r="P111" s="79" t="str">
        <f>IFERROR(VLOOKUP($G111,融外自投!$A:$J,9,0),"無")</f>
        <v>無</v>
      </c>
      <c r="Q111" s="342" t="str">
        <f>IFERROR(VLOOKUP($G111,融外自投!$A:$J,8,0),"無")</f>
        <v>無</v>
      </c>
      <c r="R111" s="81" t="str">
        <f>IFERROR(VLOOKUP($G111,融外自投!$A:$J,10,0),"無")</f>
        <v>無</v>
      </c>
      <c r="S111" s="324" t="str">
        <f>IFERROR(VLOOKUP($G111,'321買'!$A:$E,4,0),"'沒有資料'")</f>
        <v>'沒有資料'</v>
      </c>
      <c r="T111" s="186">
        <f>IFERROR(VLOOKUP($G111,基本資料!$A:$J,9,0),"無")</f>
        <v>0</v>
      </c>
      <c r="U111" s="307">
        <f t="shared" si="79"/>
        <v>0</v>
      </c>
      <c r="V111" s="94">
        <f>IFERROR(VLOOKUP($G111,基本資料!$A:$J,10,0),"無")</f>
        <v>-1.08</v>
      </c>
      <c r="W111" s="13">
        <v>18.5</v>
      </c>
      <c r="X111" s="66">
        <v>16.25</v>
      </c>
      <c r="Y111" s="15">
        <f t="shared" si="106"/>
        <v>2.25</v>
      </c>
      <c r="Z111" s="63">
        <f t="shared" si="107"/>
        <v>0.13846153846153847</v>
      </c>
      <c r="AA111" s="99" t="s">
        <v>3547</v>
      </c>
      <c r="AB111" s="389">
        <f>IFERROR(VLOOKUP($G111,基本資料!$A:$M,12,0),"無")</f>
        <v>66.58</v>
      </c>
      <c r="AC111" s="16" t="s">
        <v>648</v>
      </c>
      <c r="AD111" s="84">
        <v>44538</v>
      </c>
      <c r="AE111" s="86">
        <v>44550</v>
      </c>
      <c r="AF111" s="33">
        <f t="shared" si="99"/>
        <v>12</v>
      </c>
      <c r="AG111" s="43" t="s">
        <v>2469</v>
      </c>
      <c r="AH111" s="287"/>
      <c r="AJ111" s="245"/>
      <c r="AK111" s="245"/>
      <c r="AL111" s="284"/>
      <c r="AR111" s="245" t="str">
        <f>INDEX(基本資料!N:N,MATCH($G111,基本資料!$A:$A,0))</f>
        <v>中</v>
      </c>
    </row>
    <row r="112" spans="1:44">
      <c r="A112" s="343">
        <f>IFERROR(VLOOKUP($G112,基本資料!$A:$J,3,0),"無")</f>
        <v>11.62</v>
      </c>
      <c r="B112" s="79">
        <f>IFERROR(VLOOKUP($G112,基本資料!$A:$J,4,0),"無")</f>
        <v>-20</v>
      </c>
      <c r="C112" s="79">
        <f>IFERROR(VLOOKUP($G112,基本資料!$A:$J,5,0),"無")</f>
        <v>-22</v>
      </c>
      <c r="D112" s="79">
        <f>IFERROR(VLOOKUP($G112,基本資料!$A:$J,6,0),"無")</f>
        <v>-66</v>
      </c>
      <c r="E112" s="79">
        <f>IFERROR(VLOOKUP($G112,基本資料!$A:$J,7,0),"無")</f>
        <v>-47</v>
      </c>
      <c r="F112" s="6">
        <f>IFERROR(VLOOKUP($G112,基本資料!$A:$J,8,0),"無")</f>
        <v>-755.76</v>
      </c>
      <c r="G112" s="80">
        <v>6461</v>
      </c>
      <c r="H112" s="5" t="s">
        <v>4723</v>
      </c>
      <c r="I112" s="16" t="s">
        <v>619</v>
      </c>
      <c r="J112" s="8">
        <f>IFERROR(VLOOKUP($G112,今日總結!$A:$AN,39,0),"")</f>
        <v>0</v>
      </c>
      <c r="K112" s="5">
        <f>IFERROR(VLOOKUP($G112,今日總結!$A:$AN,40,0),"")</f>
        <v>0</v>
      </c>
      <c r="L112" s="156">
        <f>IFERROR(VLOOKUP($G112,今日總結!$A:$AN,37,0),"")</f>
        <v>0</v>
      </c>
      <c r="M112" s="337">
        <f>IFERROR(VLOOKUP($G112,今日總結!$A:$AN,38,0),"")</f>
        <v>0</v>
      </c>
      <c r="N112" s="240">
        <f t="shared" si="78"/>
        <v>0</v>
      </c>
      <c r="O112" s="359">
        <f>IFERROR(VLOOKUP($G112,融外自投!$A:$J,7,0),"無")</f>
        <v>609</v>
      </c>
      <c r="P112" s="79" t="str">
        <f>IFERROR(VLOOKUP($G112,融外自投!$A:$J,9,0),"無")</f>
        <v>無</v>
      </c>
      <c r="Q112" s="342">
        <f>IFERROR(VLOOKUP($G112,融外自投!$A:$J,8,0),"無")</f>
        <v>1290</v>
      </c>
      <c r="R112" s="81" t="str">
        <f>IFERROR(VLOOKUP($G112,融外自投!$A:$J,10,0),"無")</f>
        <v>無</v>
      </c>
      <c r="S112" s="324">
        <f>IFERROR(VLOOKUP($G112,'321買'!$A:$E,4,0),"'沒有資料'")</f>
        <v>650</v>
      </c>
      <c r="T112" s="186">
        <f>IFERROR(VLOOKUP($G112,基本資料!$A:$J,9,0),"無")</f>
        <v>0</v>
      </c>
      <c r="U112" s="307">
        <f t="shared" si="79"/>
        <v>0</v>
      </c>
      <c r="V112" s="94">
        <f>IFERROR(VLOOKUP($G112,基本資料!$A:$J,10,0),"無")</f>
        <v>-2.97</v>
      </c>
      <c r="W112" s="36">
        <v>20.05</v>
      </c>
      <c r="X112" s="66">
        <v>20</v>
      </c>
      <c r="Y112" s="15">
        <f t="shared" si="106"/>
        <v>5.0000000000000711E-2</v>
      </c>
      <c r="Z112" s="63">
        <f t="shared" si="107"/>
        <v>2.5000000000000356E-3</v>
      </c>
      <c r="AA112" s="99" t="s">
        <v>3548</v>
      </c>
      <c r="AB112" s="389">
        <f>IFERROR(VLOOKUP($G112,基本資料!$A:$M,12,0),"無")</f>
        <v>38.94</v>
      </c>
      <c r="AC112" s="16" t="s">
        <v>619</v>
      </c>
      <c r="AD112" s="84">
        <v>44538</v>
      </c>
      <c r="AE112" s="86">
        <v>44550</v>
      </c>
      <c r="AF112" s="33">
        <f t="shared" si="99"/>
        <v>12</v>
      </c>
      <c r="AG112" s="43" t="s">
        <v>2451</v>
      </c>
      <c r="AH112" s="287"/>
      <c r="AJ112" s="245"/>
      <c r="AK112" s="245"/>
      <c r="AL112" s="284"/>
      <c r="AR112" s="245" t="str">
        <f>INDEX(基本資料!N:N,MATCH($G112,基本資料!$A:$A,0))</f>
        <v>低</v>
      </c>
    </row>
    <row r="113" spans="1:44">
      <c r="A113" s="343">
        <f>IFERROR(VLOOKUP($G113,基本資料!$A:$J,3,0),"無")</f>
        <v>359</v>
      </c>
      <c r="B113" s="79">
        <f>IFERROR(VLOOKUP($G113,基本資料!$A:$J,4,0),"無")</f>
        <v>322</v>
      </c>
      <c r="C113" s="79">
        <f>IFERROR(VLOOKUP($G113,基本資料!$A:$J,5,0),"無")</f>
        <v>249</v>
      </c>
      <c r="D113" s="79">
        <f>IFERROR(VLOOKUP($G113,基本資料!$A:$J,6,0),"無")</f>
        <v>1</v>
      </c>
      <c r="E113" s="79">
        <f>IFERROR(VLOOKUP($G113,基本資料!$A:$J,7,0),"無")</f>
        <v>48</v>
      </c>
      <c r="F113" s="6">
        <f>IFERROR(VLOOKUP($G113,基本資料!$A:$J,8,0),"無")</f>
        <v>30.62</v>
      </c>
      <c r="G113" s="79">
        <v>6770</v>
      </c>
      <c r="H113" s="8" t="s">
        <v>3038</v>
      </c>
      <c r="I113" s="22" t="s">
        <v>3524</v>
      </c>
      <c r="J113" s="8" t="str">
        <f>IFERROR(VLOOKUP($G113,今日總結!$A:$AN,39,0),"")</f>
        <v/>
      </c>
      <c r="K113" s="5" t="str">
        <f>IFERROR(VLOOKUP($G113,今日總結!$A:$AN,40,0),"")</f>
        <v/>
      </c>
      <c r="L113" s="156" t="str">
        <f>IFERROR(VLOOKUP($G113,今日總結!$A:$AN,37,0),"")</f>
        <v/>
      </c>
      <c r="M113" s="337" t="str">
        <f>IFERROR(VLOOKUP($G113,今日總結!$A:$AN,38,0),"")</f>
        <v/>
      </c>
      <c r="N113" s="240" t="str">
        <f t="shared" si="78"/>
        <v/>
      </c>
      <c r="O113" s="359" t="str">
        <f>IFERROR(VLOOKUP($G113,融外自投!$A:$J,7,0),"無")</f>
        <v>無</v>
      </c>
      <c r="P113" s="79" t="str">
        <f>IFERROR(VLOOKUP($G113,融外自投!$A:$J,9,0),"無")</f>
        <v>無</v>
      </c>
      <c r="Q113" s="342" t="str">
        <f>IFERROR(VLOOKUP($G113,融外自投!$A:$J,8,0),"無")</f>
        <v>無</v>
      </c>
      <c r="R113" s="81" t="str">
        <f>IFERROR(VLOOKUP($G113,融外自投!$A:$J,10,0),"無")</f>
        <v>無</v>
      </c>
      <c r="S113" s="324" t="str">
        <f>IFERROR(VLOOKUP($G113,'321買'!$A:$E,4,0),"'沒有資料'")</f>
        <v>'沒有資料'</v>
      </c>
      <c r="T113" s="186">
        <f>IFERROR(VLOOKUP($G113,基本資料!$A:$J,9,0),"無")</f>
        <v>1.83</v>
      </c>
      <c r="U113" s="307">
        <f t="shared" si="79"/>
        <v>2.5920679886685557E-2</v>
      </c>
      <c r="V113" s="94">
        <f>IFERROR(VLOOKUP($G113,基本資料!$A:$J,10,0),"無")</f>
        <v>4.92</v>
      </c>
      <c r="W113" s="36">
        <v>70.599999999999994</v>
      </c>
      <c r="X113" s="66">
        <v>49.88</v>
      </c>
      <c r="Y113" s="15">
        <f t="shared" si="106"/>
        <v>20.719999999999992</v>
      </c>
      <c r="Z113" s="63">
        <f t="shared" si="107"/>
        <v>0.41539695268644727</v>
      </c>
      <c r="AA113" s="99" t="s">
        <v>3545</v>
      </c>
      <c r="AB113" s="389" t="str">
        <f>IFERROR(VLOOKUP($G113,基本資料!$A:$M,12,0),"無")</f>
        <v>無</v>
      </c>
      <c r="AC113" s="22" t="s">
        <v>3524</v>
      </c>
      <c r="AD113" s="84">
        <v>44536</v>
      </c>
      <c r="AE113" s="86">
        <v>44546</v>
      </c>
      <c r="AF113" s="33">
        <f t="shared" si="99"/>
        <v>10</v>
      </c>
      <c r="AG113" s="43" t="s">
        <v>1796</v>
      </c>
      <c r="AH113" s="287"/>
      <c r="AJ113" s="245"/>
      <c r="AK113" s="245"/>
      <c r="AL113" s="284"/>
      <c r="AR113" s="245" t="str">
        <f>INDEX(基本資料!N:N,MATCH($G113,基本資料!$A:$A,0))</f>
        <v>無</v>
      </c>
    </row>
    <row r="114" spans="1:44">
      <c r="A114" s="343">
        <f>IFERROR(VLOOKUP($G114,基本資料!$A:$J,3,0),"無")</f>
        <v>6.75</v>
      </c>
      <c r="B114" s="79">
        <f>IFERROR(VLOOKUP($G114,基本資料!$A:$J,4,0),"無")</f>
        <v>6</v>
      </c>
      <c r="C114" s="79">
        <f>IFERROR(VLOOKUP($G114,基本資料!$A:$J,5,0),"無")</f>
        <v>-2</v>
      </c>
      <c r="D114" s="79">
        <f>IFERROR(VLOOKUP($G114,基本資料!$A:$J,6,0),"無")</f>
        <v>7</v>
      </c>
      <c r="E114" s="79">
        <f>IFERROR(VLOOKUP($G114,基本資料!$A:$J,7,0),"無")</f>
        <v>9</v>
      </c>
      <c r="F114" s="6">
        <f>IFERROR(VLOOKUP($G114,基本資料!$A:$J,8,0),"無")</f>
        <v>1.76</v>
      </c>
      <c r="G114" s="80">
        <v>2945</v>
      </c>
      <c r="H114" s="5" t="s">
        <v>6108</v>
      </c>
      <c r="I114" s="22" t="s">
        <v>3515</v>
      </c>
      <c r="J114" s="8" t="str">
        <f>IFERROR(VLOOKUP($G114,今日總結!$A:$AN,39,0),"")</f>
        <v/>
      </c>
      <c r="K114" s="5" t="str">
        <f>IFERROR(VLOOKUP($G114,今日總結!$A:$AN,40,0),"")</f>
        <v/>
      </c>
      <c r="L114" s="156" t="str">
        <f>IFERROR(VLOOKUP($G114,今日總結!$A:$AN,37,0),"")</f>
        <v/>
      </c>
      <c r="M114" s="337" t="str">
        <f>IFERROR(VLOOKUP($G114,今日總結!$A:$AN,38,0),"")</f>
        <v/>
      </c>
      <c r="N114" s="240" t="str">
        <f t="shared" si="78"/>
        <v/>
      </c>
      <c r="O114" s="359" t="str">
        <f>IFERROR(VLOOKUP($G114,融外自投!$A:$J,7,0),"無")</f>
        <v>無</v>
      </c>
      <c r="P114" s="79" t="str">
        <f>IFERROR(VLOOKUP($G114,融外自投!$A:$J,9,0),"無")</f>
        <v>無</v>
      </c>
      <c r="Q114" s="342" t="str">
        <f>IFERROR(VLOOKUP($G114,融外自投!$A:$J,8,0),"無")</f>
        <v>無</v>
      </c>
      <c r="R114" s="81" t="str">
        <f>IFERROR(VLOOKUP($G114,融外自投!$A:$J,10,0),"無")</f>
        <v>無</v>
      </c>
      <c r="S114" s="324" t="str">
        <f>IFERROR(VLOOKUP($G114,'321買'!$A:$E,4,0),"'沒有資料'")</f>
        <v>'沒有資料'</v>
      </c>
      <c r="T114" s="186">
        <f>IFERROR(VLOOKUP($G114,基本資料!$A:$J,9,0),"無")</f>
        <v>2.59</v>
      </c>
      <c r="U114" s="307">
        <f t="shared" si="79"/>
        <v>3.5142469470827678E-2</v>
      </c>
      <c r="V114" s="94">
        <f>IFERROR(VLOOKUP($G114,基本資料!$A:$J,10,0),"無")</f>
        <v>3.21</v>
      </c>
      <c r="W114" s="36">
        <v>73.7</v>
      </c>
      <c r="X114" s="66">
        <v>69</v>
      </c>
      <c r="Y114" s="15">
        <f t="shared" si="106"/>
        <v>4.7000000000000028</v>
      </c>
      <c r="Z114" s="63">
        <f t="shared" si="107"/>
        <v>6.8115942028985549E-2</v>
      </c>
      <c r="AA114" s="99" t="s">
        <v>3539</v>
      </c>
      <c r="AB114" s="389" t="str">
        <f>IFERROR(VLOOKUP($G114,基本資料!$A:$M,12,0),"無")</f>
        <v>無</v>
      </c>
      <c r="AC114" s="22" t="s">
        <v>3515</v>
      </c>
      <c r="AD114" s="84">
        <v>44530</v>
      </c>
      <c r="AE114" s="86">
        <v>44540</v>
      </c>
      <c r="AF114" s="33">
        <f t="shared" si="99"/>
        <v>10</v>
      </c>
      <c r="AG114" s="43" t="s">
        <v>3516</v>
      </c>
      <c r="AH114" s="287"/>
      <c r="AJ114" s="245"/>
      <c r="AK114" s="245"/>
      <c r="AL114" s="284"/>
      <c r="AR114" s="245" t="str">
        <f>INDEX(基本資料!N:N,MATCH($G114,基本資料!$A:$A,0))</f>
        <v>無</v>
      </c>
    </row>
    <row r="115" spans="1:44">
      <c r="A115" s="343">
        <f>IFERROR(VLOOKUP($G115,基本資料!$A:$J,3,0),"無")</f>
        <v>7.12</v>
      </c>
      <c r="B115" s="79">
        <f>IFERROR(VLOOKUP($G115,基本資料!$A:$J,4,0),"無")</f>
        <v>-34</v>
      </c>
      <c r="C115" s="79">
        <f>IFERROR(VLOOKUP($G115,基本資料!$A:$J,5,0),"無")</f>
        <v>-120</v>
      </c>
      <c r="D115" s="79">
        <f>IFERROR(VLOOKUP($G115,基本資料!$A:$J,6,0),"無")</f>
        <v>-100</v>
      </c>
      <c r="E115" s="79">
        <f>IFERROR(VLOOKUP($G115,基本資料!$A:$J,7,0),"無")</f>
        <v>-100</v>
      </c>
      <c r="F115" s="6">
        <f>IFERROR(VLOOKUP($G115,基本資料!$A:$J,8,0),"無")</f>
        <v>-77.83</v>
      </c>
      <c r="G115" s="80">
        <v>1438</v>
      </c>
      <c r="H115" s="8" t="s">
        <v>4002</v>
      </c>
      <c r="I115" s="22" t="s">
        <v>3011</v>
      </c>
      <c r="J115" s="8">
        <f>IFERROR(VLOOKUP($G115,今日總結!$A:$AN,39,0),"")</f>
        <v>0</v>
      </c>
      <c r="K115" s="5">
        <f>IFERROR(VLOOKUP($G115,今日總結!$A:$AN,40,0),"")</f>
        <v>0</v>
      </c>
      <c r="L115" s="156">
        <f>IFERROR(VLOOKUP($G115,今日總結!$A:$AN,37,0),"")</f>
        <v>0</v>
      </c>
      <c r="M115" s="337">
        <f>IFERROR(VLOOKUP($G115,今日總結!$A:$AN,38,0),"")</f>
        <v>0</v>
      </c>
      <c r="N115" s="240">
        <f t="shared" si="78"/>
        <v>0</v>
      </c>
      <c r="O115" s="359">
        <f>IFERROR(VLOOKUP($G115,融外自投!$A:$J,7,0),"無")</f>
        <v>789</v>
      </c>
      <c r="P115" s="79" t="str">
        <f>IFERROR(VLOOKUP($G115,融外自投!$A:$J,9,0),"無")</f>
        <v>無</v>
      </c>
      <c r="Q115" s="342">
        <f>IFERROR(VLOOKUP($G115,融外自投!$A:$J,8,0),"無")</f>
        <v>1297</v>
      </c>
      <c r="R115" s="81" t="str">
        <f>IFERROR(VLOOKUP($G115,融外自投!$A:$J,10,0),"無")</f>
        <v>無</v>
      </c>
      <c r="S115" s="324">
        <f>IFERROR(VLOOKUP($G115,'321買'!$A:$E,4,0),"'沒有資料'")</f>
        <v>1002</v>
      </c>
      <c r="T115" s="186">
        <f>IFERROR(VLOOKUP($G115,基本資料!$A:$J,9,0),"無")</f>
        <v>0</v>
      </c>
      <c r="U115" s="307">
        <f t="shared" si="79"/>
        <v>0</v>
      </c>
      <c r="V115" s="94">
        <f>IFERROR(VLOOKUP($G115,基本資料!$A:$J,10,0),"無")</f>
        <v>0.56999999999999995</v>
      </c>
      <c r="W115" s="36">
        <v>30.3</v>
      </c>
      <c r="X115" s="66">
        <v>26</v>
      </c>
      <c r="Y115" s="15">
        <f t="shared" si="106"/>
        <v>4.3000000000000007</v>
      </c>
      <c r="Z115" s="63">
        <f t="shared" si="107"/>
        <v>0.16538461538461541</v>
      </c>
      <c r="AA115" s="99" t="s">
        <v>3538</v>
      </c>
      <c r="AB115" s="389">
        <f>IFERROR(VLOOKUP($G115,基本資料!$A:$M,12,0),"無")</f>
        <v>64.27</v>
      </c>
      <c r="AC115" s="22" t="s">
        <v>3011</v>
      </c>
      <c r="AD115" s="84">
        <v>44530</v>
      </c>
      <c r="AE115" s="86">
        <v>44540</v>
      </c>
      <c r="AF115" s="33">
        <f t="shared" si="99"/>
        <v>10</v>
      </c>
      <c r="AG115" s="43" t="s">
        <v>4002</v>
      </c>
      <c r="AH115" s="287"/>
      <c r="AJ115" s="245"/>
      <c r="AK115" s="245"/>
      <c r="AL115" s="284"/>
      <c r="AR115" s="245" t="str">
        <f>INDEX(基本資料!N:N,MATCH($G115,基本資料!$A:$A,0))</f>
        <v>中</v>
      </c>
    </row>
    <row r="116" spans="1:44">
      <c r="A116" s="343">
        <f>IFERROR(VLOOKUP($G116,基本資料!$A:$J,3,0),"無")</f>
        <v>5.33</v>
      </c>
      <c r="B116" s="79">
        <f>IFERROR(VLOOKUP($G116,基本資料!$A:$J,4,0),"無")</f>
        <v>37</v>
      </c>
      <c r="C116" s="79">
        <f>IFERROR(VLOOKUP($G116,基本資料!$A:$J,5,0),"無")</f>
        <v>25</v>
      </c>
      <c r="D116" s="79">
        <f>IFERROR(VLOOKUP($G116,基本資料!$A:$J,6,0),"無")</f>
        <v>-37</v>
      </c>
      <c r="E116" s="79">
        <f>IFERROR(VLOOKUP($G116,基本資料!$A:$J,7,0),"無")</f>
        <v>-27</v>
      </c>
      <c r="F116" s="6">
        <f>IFERROR(VLOOKUP($G116,基本資料!$A:$J,8,0),"無")</f>
        <v>15.86</v>
      </c>
      <c r="G116" s="79">
        <v>4571</v>
      </c>
      <c r="H116" s="8" t="s">
        <v>295</v>
      </c>
      <c r="I116" s="22" t="s">
        <v>1690</v>
      </c>
      <c r="J116" s="8">
        <f>IFERROR(VLOOKUP($G116,今日總結!$A:$AN,39,0),"")</f>
        <v>0</v>
      </c>
      <c r="K116" s="5">
        <f>IFERROR(VLOOKUP($G116,今日總結!$A:$AN,40,0),"")</f>
        <v>0</v>
      </c>
      <c r="L116" s="156">
        <f>IFERROR(VLOOKUP($G116,今日總結!$A:$AN,37,0),"")</f>
        <v>0</v>
      </c>
      <c r="M116" s="337">
        <f>IFERROR(VLOOKUP($G116,今日總結!$A:$AN,38,0),"")</f>
        <v>0</v>
      </c>
      <c r="N116" s="240">
        <f t="shared" si="78"/>
        <v>0</v>
      </c>
      <c r="O116" s="359">
        <f>IFERROR(VLOOKUP($G116,融外自投!$A:$J,7,0),"無")</f>
        <v>812</v>
      </c>
      <c r="P116" s="79" t="str">
        <f>IFERROR(VLOOKUP($G116,融外自投!$A:$J,9,0),"無")</f>
        <v>無</v>
      </c>
      <c r="Q116" s="342">
        <f>IFERROR(VLOOKUP($G116,融外自投!$A:$J,8,0),"無")</f>
        <v>33</v>
      </c>
      <c r="R116" s="81" t="str">
        <f>IFERROR(VLOOKUP($G116,融外自投!$A:$J,10,0),"無")</f>
        <v>無</v>
      </c>
      <c r="S116" s="324">
        <f>IFERROR(VLOOKUP($G116,'321買'!$A:$E,4,0),"'沒有資料'")</f>
        <v>1002</v>
      </c>
      <c r="T116" s="186">
        <f>IFERROR(VLOOKUP($G116,基本資料!$A:$J,9,0),"無")</f>
        <v>4.5</v>
      </c>
      <c r="U116" s="307">
        <f t="shared" si="79"/>
        <v>4.3478260869565216E-2</v>
      </c>
      <c r="V116" s="94">
        <f>IFERROR(VLOOKUP($G116,基本資料!$A:$J,10,0),"無")</f>
        <v>8.18</v>
      </c>
      <c r="W116" s="13">
        <v>103.5</v>
      </c>
      <c r="X116" s="66">
        <v>77</v>
      </c>
      <c r="Y116" s="15">
        <f t="shared" si="106"/>
        <v>26.5</v>
      </c>
      <c r="Z116" s="63">
        <f t="shared" si="107"/>
        <v>0.34415584415584416</v>
      </c>
      <c r="AA116" s="99" t="s">
        <v>3537</v>
      </c>
      <c r="AB116" s="389">
        <f>IFERROR(VLOOKUP($G116,基本資料!$A:$M,12,0),"無")</f>
        <v>13</v>
      </c>
      <c r="AC116" s="22" t="s">
        <v>1690</v>
      </c>
      <c r="AD116" s="84">
        <v>44529</v>
      </c>
      <c r="AE116" s="86">
        <v>44539</v>
      </c>
      <c r="AF116" s="33">
        <f t="shared" si="99"/>
        <v>10</v>
      </c>
      <c r="AG116" s="43" t="s">
        <v>1986</v>
      </c>
      <c r="AH116" s="287"/>
      <c r="AJ116" s="245"/>
      <c r="AK116" s="245"/>
      <c r="AL116" s="284"/>
      <c r="AR116" s="245" t="str">
        <f>INDEX(基本資料!N:N,MATCH($G116,基本資料!$A:$A,0))</f>
        <v>低</v>
      </c>
    </row>
    <row r="117" spans="1:44">
      <c r="A117" s="343">
        <f>IFERROR(VLOOKUP($G117,基本資料!$A:$J,3,0),"無")</f>
        <v>7.5</v>
      </c>
      <c r="B117" s="79">
        <f>IFERROR(VLOOKUP($G117,基本資料!$A:$J,4,0),"無")</f>
        <v>204</v>
      </c>
      <c r="C117" s="79">
        <f>IFERROR(VLOOKUP($G117,基本資料!$A:$J,5,0),"無")</f>
        <v>342</v>
      </c>
      <c r="D117" s="79">
        <f>IFERROR(VLOOKUP($G117,基本資料!$A:$J,6,0),"無")</f>
        <v>-24</v>
      </c>
      <c r="E117" s="79">
        <f>IFERROR(VLOOKUP($G117,基本資料!$A:$J,7,0),"無")</f>
        <v>-2</v>
      </c>
      <c r="F117" s="6">
        <f>IFERROR(VLOOKUP($G117,基本資料!$A:$J,8,0),"無")</f>
        <v>3.57</v>
      </c>
      <c r="G117" s="80">
        <v>3652</v>
      </c>
      <c r="H117" s="183" t="s">
        <v>1145</v>
      </c>
      <c r="I117" s="16" t="s">
        <v>2214</v>
      </c>
      <c r="J117" s="8">
        <f>IFERROR(VLOOKUP($G117,今日總結!$A:$AN,39,0),"")</f>
        <v>0</v>
      </c>
      <c r="K117" s="5">
        <f>IFERROR(VLOOKUP($G117,今日總結!$A:$AN,40,0),"")</f>
        <v>0</v>
      </c>
      <c r="L117" s="156">
        <f>IFERROR(VLOOKUP($G117,今日總結!$A:$AN,37,0),"")</f>
        <v>0</v>
      </c>
      <c r="M117" s="337">
        <f>IFERROR(VLOOKUP($G117,今日總結!$A:$AN,38,0),"")</f>
        <v>0</v>
      </c>
      <c r="N117" s="240">
        <f t="shared" si="78"/>
        <v>0</v>
      </c>
      <c r="O117" s="359">
        <f>IFERROR(VLOOKUP($G117,融外自投!$A:$J,7,0),"無")</f>
        <v>1000</v>
      </c>
      <c r="P117" s="79" t="str">
        <f>IFERROR(VLOOKUP($G117,融外自投!$A:$J,9,0),"無")</f>
        <v>無</v>
      </c>
      <c r="Q117" s="342">
        <f>IFERROR(VLOOKUP($G117,融外自投!$A:$J,8,0),"無")</f>
        <v>1248</v>
      </c>
      <c r="R117" s="81" t="str">
        <f>IFERROR(VLOOKUP($G117,融外自投!$A:$J,10,0),"無")</f>
        <v>無</v>
      </c>
      <c r="S117" s="324">
        <f>IFERROR(VLOOKUP($G117,'321買'!$A:$E,4,0),"'沒有資料'")</f>
        <v>650</v>
      </c>
      <c r="T117" s="186">
        <f>IFERROR(VLOOKUP($G117,基本資料!$A:$J,9,0),"無")</f>
        <v>0.41</v>
      </c>
      <c r="U117" s="307">
        <f t="shared" si="79"/>
        <v>1.8061674008810574E-2</v>
      </c>
      <c r="V117" s="94">
        <f>IFERROR(VLOOKUP($G117,基本資料!$A:$J,10,0),"無")</f>
        <v>1.03</v>
      </c>
      <c r="W117" s="36">
        <v>22.7</v>
      </c>
      <c r="X117" s="66">
        <v>21</v>
      </c>
      <c r="Y117" s="15">
        <f t="shared" ref="Y117:Y148" si="108">W117-X117</f>
        <v>1.6999999999999993</v>
      </c>
      <c r="Z117" s="63">
        <f t="shared" ref="Z117:Z148" si="109">Y117/X117</f>
        <v>8.0952380952380915E-2</v>
      </c>
      <c r="AA117" s="99" t="s">
        <v>2269</v>
      </c>
      <c r="AB117" s="389">
        <f>IFERROR(VLOOKUP($G117,基本資料!$A:$M,12,0),"無")</f>
        <v>54.46</v>
      </c>
      <c r="AC117" s="16" t="s">
        <v>2214</v>
      </c>
      <c r="AD117" s="84">
        <v>44529</v>
      </c>
      <c r="AE117" s="86">
        <v>44539</v>
      </c>
      <c r="AF117" s="33">
        <f t="shared" si="99"/>
        <v>10</v>
      </c>
      <c r="AG117" s="43" t="s">
        <v>2439</v>
      </c>
      <c r="AH117" s="287"/>
      <c r="AJ117" s="245"/>
      <c r="AK117" s="245"/>
      <c r="AL117" s="284"/>
      <c r="AR117" s="245" t="str">
        <f>INDEX(基本資料!N:N,MATCH($G117,基本資料!$A:$A,0))</f>
        <v>低</v>
      </c>
    </row>
    <row r="118" spans="1:44">
      <c r="A118" s="343">
        <f>IFERROR(VLOOKUP($G118,基本資料!$A:$J,3,0),"無")</f>
        <v>7.46</v>
      </c>
      <c r="B118" s="79">
        <f>IFERROR(VLOOKUP($G118,基本資料!$A:$J,4,0),"無")</f>
        <v>101</v>
      </c>
      <c r="C118" s="79">
        <f>IFERROR(VLOOKUP($G118,基本資料!$A:$J,5,0),"無")</f>
        <v>97</v>
      </c>
      <c r="D118" s="79">
        <f>IFERROR(VLOOKUP($G118,基本資料!$A:$J,6,0),"無")</f>
        <v>-18</v>
      </c>
      <c r="E118" s="79">
        <f>IFERROR(VLOOKUP($G118,基本資料!$A:$J,7,0),"無")</f>
        <v>-38</v>
      </c>
      <c r="F118" s="6">
        <f>IFERROR(VLOOKUP($G118,基本資料!$A:$J,8,0),"無")</f>
        <v>-0.5</v>
      </c>
      <c r="G118" s="80">
        <v>3259</v>
      </c>
      <c r="H118" s="183" t="s">
        <v>3038</v>
      </c>
      <c r="I118" s="16" t="s">
        <v>360</v>
      </c>
      <c r="J118" s="8" t="str">
        <f>IFERROR(VLOOKUP($G118,今日總結!$A:$AN,39,0),"")</f>
        <v/>
      </c>
      <c r="K118" s="5" t="str">
        <f>IFERROR(VLOOKUP($G118,今日總結!$A:$AN,40,0),"")</f>
        <v/>
      </c>
      <c r="L118" s="156" t="str">
        <f>IFERROR(VLOOKUP($G118,今日總結!$A:$AN,37,0),"")</f>
        <v/>
      </c>
      <c r="M118" s="337" t="str">
        <f>IFERROR(VLOOKUP($G118,今日總結!$A:$AN,38,0),"")</f>
        <v/>
      </c>
      <c r="N118" s="240" t="str">
        <f t="shared" si="78"/>
        <v/>
      </c>
      <c r="O118" s="359" t="str">
        <f>IFERROR(VLOOKUP($G118,融外自投!$A:$J,7,0),"無")</f>
        <v>無</v>
      </c>
      <c r="P118" s="79" t="str">
        <f>IFERROR(VLOOKUP($G118,融外自投!$A:$J,9,0),"無")</f>
        <v>無</v>
      </c>
      <c r="Q118" s="342" t="str">
        <f>IFERROR(VLOOKUP($G118,融外自投!$A:$J,8,0),"無")</f>
        <v>無</v>
      </c>
      <c r="R118" s="81" t="str">
        <f>IFERROR(VLOOKUP($G118,融外自投!$A:$J,10,0),"無")</f>
        <v>無</v>
      </c>
      <c r="S118" s="324" t="str">
        <f>IFERROR(VLOOKUP($G118,'321買'!$A:$E,4,0),"'沒有資料'")</f>
        <v>'沒有資料'</v>
      </c>
      <c r="T118" s="186">
        <f>IFERROR(VLOOKUP($G118,基本資料!$A:$J,9,0),"無")</f>
        <v>0</v>
      </c>
      <c r="U118" s="307">
        <f t="shared" si="79"/>
        <v>0</v>
      </c>
      <c r="V118" s="94">
        <f>IFERROR(VLOOKUP($G118,基本資料!$A:$J,10,0),"無")</f>
        <v>0.02</v>
      </c>
      <c r="W118" s="36">
        <v>27.35</v>
      </c>
      <c r="X118" s="66">
        <v>27.2</v>
      </c>
      <c r="Y118" s="15">
        <f t="shared" si="108"/>
        <v>0.15000000000000213</v>
      </c>
      <c r="Z118" s="63">
        <f t="shared" si="109"/>
        <v>5.5147058823530196E-3</v>
      </c>
      <c r="AA118" s="99" t="s">
        <v>3535</v>
      </c>
      <c r="AB118" s="389">
        <f>IFERROR(VLOOKUP($G118,基本資料!$A:$M,12,0),"無")</f>
        <v>8.84</v>
      </c>
      <c r="AC118" s="16" t="s">
        <v>360</v>
      </c>
      <c r="AD118" s="84">
        <v>44526</v>
      </c>
      <c r="AE118" s="86">
        <v>44536</v>
      </c>
      <c r="AF118" s="33">
        <f t="shared" si="99"/>
        <v>10</v>
      </c>
      <c r="AG118" s="43" t="s">
        <v>2352</v>
      </c>
      <c r="AH118" s="287"/>
      <c r="AJ118" s="245"/>
      <c r="AK118" s="245"/>
      <c r="AL118" s="284"/>
      <c r="AR118" s="245" t="str">
        <f>INDEX(基本資料!N:N,MATCH($G118,基本資料!$A:$A,0))</f>
        <v>低</v>
      </c>
    </row>
    <row r="119" spans="1:44">
      <c r="A119" s="343">
        <f>IFERROR(VLOOKUP($G119,基本資料!$A:$J,3,0),"無")</f>
        <v>64.58</v>
      </c>
      <c r="B119" s="79">
        <f>IFERROR(VLOOKUP($G119,基本資料!$A:$J,4,0),"無")</f>
        <v>60</v>
      </c>
      <c r="C119" s="79">
        <f>IFERROR(VLOOKUP($G119,基本資料!$A:$J,5,0),"無")</f>
        <v>251</v>
      </c>
      <c r="D119" s="79">
        <f>IFERROR(VLOOKUP($G119,基本資料!$A:$J,6,0),"無")</f>
        <v>-9</v>
      </c>
      <c r="E119" s="79">
        <f>IFERROR(VLOOKUP($G119,基本資料!$A:$J,7,0),"無")</f>
        <v>14</v>
      </c>
      <c r="F119" s="6">
        <f>IFERROR(VLOOKUP($G119,基本資料!$A:$J,8,0),"無")</f>
        <v>5.49</v>
      </c>
      <c r="G119" s="80">
        <v>1609</v>
      </c>
      <c r="H119" s="5" t="s">
        <v>296</v>
      </c>
      <c r="I119" s="22" t="s">
        <v>947</v>
      </c>
      <c r="J119" s="8">
        <f>IFERROR(VLOOKUP($G119,今日總結!$A:$AN,39,0),"")</f>
        <v>0</v>
      </c>
      <c r="K119" s="5" t="str">
        <f>IFERROR(VLOOKUP($G119,今日總結!$A:$AN,40,0),"")</f>
        <v>融</v>
      </c>
      <c r="L119" s="156">
        <f>IFERROR(VLOOKUP($G119,今日總結!$A:$AN,37,0),"")</f>
        <v>0</v>
      </c>
      <c r="M119" s="337">
        <f>IFERROR(VLOOKUP($G119,今日總結!$A:$AN,38,0),"")</f>
        <v>1</v>
      </c>
      <c r="N119" s="240">
        <f t="shared" si="78"/>
        <v>-1</v>
      </c>
      <c r="O119" s="359">
        <f>IFERROR(VLOOKUP($G119,融外自投!$A:$J,7,0),"無")</f>
        <v>362</v>
      </c>
      <c r="P119" s="79">
        <f>IFERROR(VLOOKUP($G119,融外自投!$A:$J,9,0),"無")</f>
        <v>790</v>
      </c>
      <c r="Q119" s="342">
        <f>IFERROR(VLOOKUP($G119,融外自投!$A:$J,8,0),"無")</f>
        <v>546</v>
      </c>
      <c r="R119" s="81">
        <f>IFERROR(VLOOKUP($G119,融外自投!$A:$J,10,0),"無")</f>
        <v>358</v>
      </c>
      <c r="S119" s="324">
        <f>IFERROR(VLOOKUP($G119,'321買'!$A:$E,4,0),"'沒有資料'")</f>
        <v>300</v>
      </c>
      <c r="T119" s="186">
        <f>IFERROR(VLOOKUP($G119,基本資料!$A:$J,9,0),"無")</f>
        <v>0.95</v>
      </c>
      <c r="U119" s="307">
        <f t="shared" si="79"/>
        <v>3.9419087136929459E-2</v>
      </c>
      <c r="V119" s="94">
        <f>IFERROR(VLOOKUP($G119,基本資料!$A:$J,10,0),"無")</f>
        <v>2.2999999999999998</v>
      </c>
      <c r="W119" s="36">
        <v>24.1</v>
      </c>
      <c r="X119" s="66">
        <v>21</v>
      </c>
      <c r="Y119" s="15">
        <f t="shared" si="108"/>
        <v>3.1000000000000014</v>
      </c>
      <c r="Z119" s="63">
        <f t="shared" si="109"/>
        <v>0.14761904761904768</v>
      </c>
      <c r="AA119" s="99" t="s">
        <v>1661</v>
      </c>
      <c r="AB119" s="389">
        <f>IFERROR(VLOOKUP($G119,基本資料!$A:$M,12,0),"無")</f>
        <v>38.31</v>
      </c>
      <c r="AC119" s="22" t="s">
        <v>947</v>
      </c>
      <c r="AD119" s="84">
        <v>44523</v>
      </c>
      <c r="AE119" s="86">
        <v>44533</v>
      </c>
      <c r="AF119" s="33">
        <f t="shared" si="99"/>
        <v>10</v>
      </c>
      <c r="AG119" s="43" t="s">
        <v>2798</v>
      </c>
      <c r="AH119" s="287"/>
      <c r="AJ119" s="245"/>
      <c r="AK119" s="245"/>
      <c r="AL119" s="284"/>
      <c r="AR119" s="245" t="str">
        <f>INDEX(基本資料!N:N,MATCH($G119,基本資料!$A:$A,0))</f>
        <v>低</v>
      </c>
    </row>
    <row r="120" spans="1:44">
      <c r="A120" s="343">
        <f>IFERROR(VLOOKUP($G120,基本資料!$A:$J,3,0),"無")</f>
        <v>4.43</v>
      </c>
      <c r="B120" s="79">
        <f>IFERROR(VLOOKUP($G120,基本資料!$A:$J,4,0),"無")</f>
        <v>292</v>
      </c>
      <c r="C120" s="79">
        <f>IFERROR(VLOOKUP($G120,基本資料!$A:$J,5,0),"無")</f>
        <v>120</v>
      </c>
      <c r="D120" s="79">
        <f>IFERROR(VLOOKUP($G120,基本資料!$A:$J,6,0),"無")</f>
        <v>-32</v>
      </c>
      <c r="E120" s="79">
        <f>IFERROR(VLOOKUP($G120,基本資料!$A:$J,7,0),"無")</f>
        <v>-59</v>
      </c>
      <c r="F120" s="6">
        <f>IFERROR(VLOOKUP($G120,基本資料!$A:$J,8,0),"無")</f>
        <v>1.63</v>
      </c>
      <c r="G120" s="79">
        <v>6130</v>
      </c>
      <c r="H120" s="8" t="s">
        <v>4723</v>
      </c>
      <c r="I120" s="16" t="s">
        <v>1086</v>
      </c>
      <c r="J120" s="8" t="str">
        <f>IFERROR(VLOOKUP($G120,今日總結!$A:$AN,39,0),"")</f>
        <v/>
      </c>
      <c r="K120" s="5" t="str">
        <f>IFERROR(VLOOKUP($G120,今日總結!$A:$AN,40,0),"")</f>
        <v/>
      </c>
      <c r="L120" s="156" t="str">
        <f>IFERROR(VLOOKUP($G120,今日總結!$A:$AN,37,0),"")</f>
        <v/>
      </c>
      <c r="M120" s="337" t="str">
        <f>IFERROR(VLOOKUP($G120,今日總結!$A:$AN,38,0),"")</f>
        <v/>
      </c>
      <c r="N120" s="240" t="str">
        <f t="shared" si="78"/>
        <v/>
      </c>
      <c r="O120" s="359" t="str">
        <f>IFERROR(VLOOKUP($G120,融外自投!$A:$J,7,0),"無")</f>
        <v>無</v>
      </c>
      <c r="P120" s="79" t="str">
        <f>IFERROR(VLOOKUP($G120,融外自投!$A:$J,9,0),"無")</f>
        <v>無</v>
      </c>
      <c r="Q120" s="342" t="str">
        <f>IFERROR(VLOOKUP($G120,融外自投!$A:$J,8,0),"無")</f>
        <v>無</v>
      </c>
      <c r="R120" s="81" t="str">
        <f>IFERROR(VLOOKUP($G120,融外自投!$A:$J,10,0),"無")</f>
        <v>無</v>
      </c>
      <c r="S120" s="324" t="str">
        <f>IFERROR(VLOOKUP($G120,'321買'!$A:$E,4,0),"'沒有資料'")</f>
        <v>'沒有資料'</v>
      </c>
      <c r="T120" s="186">
        <f>IFERROR(VLOOKUP($G120,基本資料!$A:$J,9,0),"無")</f>
        <v>0</v>
      </c>
      <c r="U120" s="307">
        <f t="shared" si="79"/>
        <v>0</v>
      </c>
      <c r="V120" s="94">
        <f>IFERROR(VLOOKUP($G120,基本資料!$A:$J,10,0),"無")</f>
        <v>1.06</v>
      </c>
      <c r="W120" s="36">
        <v>32.5</v>
      </c>
      <c r="X120" s="66">
        <v>19</v>
      </c>
      <c r="Y120" s="15">
        <f t="shared" si="108"/>
        <v>13.5</v>
      </c>
      <c r="Z120" s="63">
        <f t="shared" si="109"/>
        <v>0.71052631578947367</v>
      </c>
      <c r="AA120" s="99" t="s">
        <v>3519</v>
      </c>
      <c r="AB120" s="389">
        <f>IFERROR(VLOOKUP($G120,基本資料!$A:$M,12,0),"無")</f>
        <v>16.04</v>
      </c>
      <c r="AC120" s="16" t="s">
        <v>1086</v>
      </c>
      <c r="AD120" s="84">
        <v>44519</v>
      </c>
      <c r="AE120" s="86">
        <v>44529</v>
      </c>
      <c r="AF120" s="33">
        <f t="shared" si="99"/>
        <v>10</v>
      </c>
      <c r="AG120" s="43" t="s">
        <v>3512</v>
      </c>
      <c r="AH120" s="287"/>
      <c r="AJ120" s="245"/>
      <c r="AK120" s="245"/>
      <c r="AL120" s="284"/>
      <c r="AR120" s="245" t="str">
        <f>INDEX(基本資料!N:N,MATCH($G120,基本資料!$A:$A,0))</f>
        <v>中</v>
      </c>
    </row>
    <row r="121" spans="1:44">
      <c r="A121" s="343">
        <f>IFERROR(VLOOKUP($G121,基本資料!$A:$J,3,0),"無")</f>
        <v>10.7</v>
      </c>
      <c r="B121" s="79">
        <f>IFERROR(VLOOKUP($G121,基本資料!$A:$J,4,0),"無")</f>
        <v>170</v>
      </c>
      <c r="C121" s="79">
        <f>IFERROR(VLOOKUP($G121,基本資料!$A:$J,5,0),"無")</f>
        <v>170</v>
      </c>
      <c r="D121" s="79">
        <f>IFERROR(VLOOKUP($G121,基本資料!$A:$J,6,0),"無")</f>
        <v>-16</v>
      </c>
      <c r="E121" s="79">
        <f>IFERROR(VLOOKUP($G121,基本資料!$A:$J,7,0),"無")</f>
        <v>33</v>
      </c>
      <c r="F121" s="6">
        <f>IFERROR(VLOOKUP($G121,基本資料!$A:$J,8,0),"無")</f>
        <v>7.96</v>
      </c>
      <c r="G121" s="79">
        <v>4739</v>
      </c>
      <c r="H121" s="8" t="s">
        <v>3577</v>
      </c>
      <c r="I121" s="22" t="s">
        <v>3631</v>
      </c>
      <c r="J121" s="8">
        <f>IFERROR(VLOOKUP($G121,今日總結!$A:$AN,39,0),"")</f>
        <v>0</v>
      </c>
      <c r="K121" s="5">
        <f>IFERROR(VLOOKUP($G121,今日總結!$A:$AN,40,0),"")</f>
        <v>0</v>
      </c>
      <c r="L121" s="156">
        <f>IFERROR(VLOOKUP($G121,今日總結!$A:$AN,37,0),"")</f>
        <v>0</v>
      </c>
      <c r="M121" s="337">
        <f>IFERROR(VLOOKUP($G121,今日總結!$A:$AN,38,0),"")</f>
        <v>0</v>
      </c>
      <c r="N121" s="240">
        <f t="shared" si="78"/>
        <v>0</v>
      </c>
      <c r="O121" s="359">
        <f>IFERROR(VLOOKUP($G121,融外自投!$A:$J,7,0),"無")</f>
        <v>104</v>
      </c>
      <c r="P121" s="79">
        <f>IFERROR(VLOOKUP($G121,融外自投!$A:$J,9,0),"無")</f>
        <v>825</v>
      </c>
      <c r="Q121" s="342">
        <f>IFERROR(VLOOKUP($G121,融外自投!$A:$J,8,0),"無")</f>
        <v>834</v>
      </c>
      <c r="R121" s="81">
        <f>IFERROR(VLOOKUP($G121,融外自投!$A:$J,10,0),"無")</f>
        <v>108</v>
      </c>
      <c r="S121" s="324">
        <f>IFERROR(VLOOKUP($G121,'321買'!$A:$E,4,0),"'沒有資料'")</f>
        <v>13</v>
      </c>
      <c r="T121" s="186">
        <f>IFERROR(VLOOKUP($G121,基本資料!$A:$J,9,0),"無")</f>
        <v>3</v>
      </c>
      <c r="U121" s="307">
        <f t="shared" si="79"/>
        <v>2.0618556701030927E-2</v>
      </c>
      <c r="V121" s="94">
        <f>IFERROR(VLOOKUP($G121,基本資料!$A:$J,10,0),"無")</f>
        <v>4.67</v>
      </c>
      <c r="W121" s="36">
        <v>145.5</v>
      </c>
      <c r="X121" s="45">
        <v>90</v>
      </c>
      <c r="Y121" s="15">
        <f t="shared" si="108"/>
        <v>55.5</v>
      </c>
      <c r="Z121" s="63">
        <f t="shared" si="109"/>
        <v>0.6166666666666667</v>
      </c>
      <c r="AA121" s="99" t="s">
        <v>3518</v>
      </c>
      <c r="AB121" s="389">
        <f>IFERROR(VLOOKUP($G121,基本資料!$A:$M,12,0),"無")</f>
        <v>20.81</v>
      </c>
      <c r="AC121" s="22" t="s">
        <v>171</v>
      </c>
      <c r="AD121" s="84">
        <v>44518</v>
      </c>
      <c r="AE121" s="86">
        <v>44529</v>
      </c>
      <c r="AF121" s="33">
        <f t="shared" si="99"/>
        <v>11</v>
      </c>
      <c r="AG121" s="117" t="s">
        <v>2289</v>
      </c>
      <c r="AH121" s="287"/>
      <c r="AJ121" s="245"/>
      <c r="AK121" s="245"/>
      <c r="AL121" s="254"/>
      <c r="AR121" s="245" t="str">
        <f>INDEX(基本資料!N:N,MATCH($G121,基本資料!$A:$A,0))</f>
        <v>中</v>
      </c>
    </row>
    <row r="122" spans="1:44">
      <c r="A122" s="343">
        <f>IFERROR(VLOOKUP($G122,基本資料!$A:$J,3,0),"無")</f>
        <v>19.649999999999999</v>
      </c>
      <c r="B122" s="79">
        <f>IFERROR(VLOOKUP($G122,基本資料!$A:$J,4,0),"無")</f>
        <v>86</v>
      </c>
      <c r="C122" s="79">
        <f>IFERROR(VLOOKUP($G122,基本資料!$A:$J,5,0),"無")</f>
        <v>5378</v>
      </c>
      <c r="D122" s="79">
        <f>IFERROR(VLOOKUP($G122,基本資料!$A:$J,6,0),"無")</f>
        <v>12</v>
      </c>
      <c r="E122" s="79">
        <f>IFERROR(VLOOKUP($G122,基本資料!$A:$J,7,0),"無")</f>
        <v>666</v>
      </c>
      <c r="F122" s="6">
        <f>IFERROR(VLOOKUP($G122,基本資料!$A:$J,8,0),"無")</f>
        <v>14.05</v>
      </c>
      <c r="G122" s="80">
        <v>6806</v>
      </c>
      <c r="H122" s="5" t="s">
        <v>1959</v>
      </c>
      <c r="I122" s="22" t="s">
        <v>3510</v>
      </c>
      <c r="J122" s="8" t="str">
        <f>IFERROR(VLOOKUP($G122,今日總結!$A:$AN,39,0),"")</f>
        <v/>
      </c>
      <c r="K122" s="5" t="str">
        <f>IFERROR(VLOOKUP($G122,今日總結!$A:$AN,40,0),"")</f>
        <v/>
      </c>
      <c r="L122" s="156" t="str">
        <f>IFERROR(VLOOKUP($G122,今日總結!$A:$AN,37,0),"")</f>
        <v/>
      </c>
      <c r="M122" s="337" t="str">
        <f>IFERROR(VLOOKUP($G122,今日總結!$A:$AN,38,0),"")</f>
        <v/>
      </c>
      <c r="N122" s="240" t="str">
        <f t="shared" si="78"/>
        <v/>
      </c>
      <c r="O122" s="359" t="str">
        <f>IFERROR(VLOOKUP($G122,融外自投!$A:$J,7,0),"無")</f>
        <v>無</v>
      </c>
      <c r="P122" s="79" t="str">
        <f>IFERROR(VLOOKUP($G122,融外自投!$A:$J,9,0),"無")</f>
        <v>無</v>
      </c>
      <c r="Q122" s="342" t="str">
        <f>IFERROR(VLOOKUP($G122,融外自投!$A:$J,8,0),"無")</f>
        <v>無</v>
      </c>
      <c r="R122" s="81" t="str">
        <f>IFERROR(VLOOKUP($G122,融外自投!$A:$J,10,0),"無")</f>
        <v>無</v>
      </c>
      <c r="S122" s="324" t="str">
        <f>IFERROR(VLOOKUP($G122,'321買'!$A:$E,4,0),"'沒有資料'")</f>
        <v>'沒有資料'</v>
      </c>
      <c r="T122" s="186">
        <f>IFERROR(VLOOKUP($G122,基本資料!$A:$J,9,0),"無")</f>
        <v>2</v>
      </c>
      <c r="U122" s="307">
        <f t="shared" si="79"/>
        <v>2.0283975659229209E-2</v>
      </c>
      <c r="V122" s="94">
        <f>IFERROR(VLOOKUP($G122,基本資料!$A:$J,10,0),"無")</f>
        <v>3.78</v>
      </c>
      <c r="W122" s="36">
        <v>98.6</v>
      </c>
      <c r="X122" s="66">
        <v>104.4</v>
      </c>
      <c r="Y122" s="15">
        <f t="shared" si="108"/>
        <v>-5.8000000000000114</v>
      </c>
      <c r="Z122" s="76">
        <f t="shared" si="109"/>
        <v>-5.5555555555555663E-2</v>
      </c>
      <c r="AA122" s="99" t="s">
        <v>3514</v>
      </c>
      <c r="AB122" s="389" t="str">
        <f>IFERROR(VLOOKUP($G122,基本資料!$A:$M,12,0),"無")</f>
        <v>無</v>
      </c>
      <c r="AC122" s="22" t="s">
        <v>3510</v>
      </c>
      <c r="AD122" s="84">
        <v>44515</v>
      </c>
      <c r="AE122" s="86">
        <v>44525</v>
      </c>
      <c r="AF122" s="33">
        <f t="shared" si="99"/>
        <v>10</v>
      </c>
      <c r="AG122" s="43" t="s">
        <v>3511</v>
      </c>
      <c r="AH122" s="287"/>
      <c r="AJ122" s="245"/>
      <c r="AK122" s="245"/>
      <c r="AL122" s="284"/>
      <c r="AR122" s="245" t="str">
        <f>INDEX(基本資料!N:N,MATCH($G122,基本資料!$A:$A,0))</f>
        <v>無</v>
      </c>
    </row>
    <row r="123" spans="1:44">
      <c r="A123" s="343">
        <f>IFERROR(VLOOKUP($G123,基本資料!$A:$J,3,0),"無")</f>
        <v>2.39</v>
      </c>
      <c r="B123" s="79">
        <f>IFERROR(VLOOKUP($G123,基本資料!$A:$J,4,0),"無")</f>
        <v>104</v>
      </c>
      <c r="C123" s="79">
        <f>IFERROR(VLOOKUP($G123,基本資料!$A:$J,5,0),"無")</f>
        <v>97</v>
      </c>
      <c r="D123" s="79">
        <f>IFERROR(VLOOKUP($G123,基本資料!$A:$J,6,0),"無")</f>
        <v>1</v>
      </c>
      <c r="E123" s="79">
        <f>IFERROR(VLOOKUP($G123,基本資料!$A:$J,7,0),"無")</f>
        <v>-1</v>
      </c>
      <c r="F123" s="6">
        <f>IFERROR(VLOOKUP($G123,基本資料!$A:$J,8,0),"無")</f>
        <v>12.86</v>
      </c>
      <c r="G123" s="79">
        <v>6761</v>
      </c>
      <c r="H123" s="8" t="s">
        <v>3388</v>
      </c>
      <c r="I123" s="16" t="s">
        <v>3505</v>
      </c>
      <c r="J123" s="8" t="str">
        <f>IFERROR(VLOOKUP($G123,今日總結!$A:$AN,39,0),"")</f>
        <v/>
      </c>
      <c r="K123" s="5" t="str">
        <f>IFERROR(VLOOKUP($G123,今日總結!$A:$AN,40,0),"")</f>
        <v/>
      </c>
      <c r="L123" s="156" t="str">
        <f>IFERROR(VLOOKUP($G123,今日總結!$A:$AN,37,0),"")</f>
        <v/>
      </c>
      <c r="M123" s="337" t="str">
        <f>IFERROR(VLOOKUP($G123,今日總結!$A:$AN,38,0),"")</f>
        <v/>
      </c>
      <c r="N123" s="240" t="str">
        <f t="shared" si="78"/>
        <v/>
      </c>
      <c r="O123" s="359" t="str">
        <f>IFERROR(VLOOKUP($G123,融外自投!$A:$J,7,0),"無")</f>
        <v>無</v>
      </c>
      <c r="P123" s="79" t="str">
        <f>IFERROR(VLOOKUP($G123,融外自投!$A:$J,9,0),"無")</f>
        <v>無</v>
      </c>
      <c r="Q123" s="342" t="str">
        <f>IFERROR(VLOOKUP($G123,融外自投!$A:$J,8,0),"無")</f>
        <v>無</v>
      </c>
      <c r="R123" s="81" t="str">
        <f>IFERROR(VLOOKUP($G123,融外自投!$A:$J,10,0),"無")</f>
        <v>無</v>
      </c>
      <c r="S123" s="324" t="str">
        <f>IFERROR(VLOOKUP($G123,'321買'!$A:$E,4,0),"'沒有資料'")</f>
        <v>'沒有資料'</v>
      </c>
      <c r="T123" s="186">
        <f>IFERROR(VLOOKUP($G123,基本資料!$A:$J,9,0),"無")</f>
        <v>5.8</v>
      </c>
      <c r="U123" s="307">
        <f t="shared" si="79"/>
        <v>2.8927680798004986E-2</v>
      </c>
      <c r="V123" s="94">
        <f>IFERROR(VLOOKUP($G123,基本資料!$A:$J,10,0),"無")</f>
        <v>8.5399999999999991</v>
      </c>
      <c r="W123" s="36">
        <v>200.5</v>
      </c>
      <c r="X123" s="66">
        <v>68</v>
      </c>
      <c r="Y123" s="15">
        <f t="shared" si="108"/>
        <v>132.5</v>
      </c>
      <c r="Z123" s="148">
        <f t="shared" si="109"/>
        <v>1.9485294117647058</v>
      </c>
      <c r="AA123" s="99" t="s">
        <v>3513</v>
      </c>
      <c r="AB123" s="389" t="str">
        <f>IFERROR(VLOOKUP($G123,基本資料!$A:$M,12,0),"無")</f>
        <v>無</v>
      </c>
      <c r="AC123" s="16" t="s">
        <v>3505</v>
      </c>
      <c r="AD123" s="84">
        <v>44508</v>
      </c>
      <c r="AE123" s="86">
        <v>44518</v>
      </c>
      <c r="AF123" s="33">
        <f t="shared" si="99"/>
        <v>10</v>
      </c>
      <c r="AG123" s="43" t="s">
        <v>3506</v>
      </c>
      <c r="AH123" s="287"/>
      <c r="AJ123" s="245"/>
      <c r="AK123" s="245"/>
      <c r="AL123" s="284"/>
      <c r="AR123" s="245" t="str">
        <f>INDEX(基本資料!N:N,MATCH($G123,基本資料!$A:$A,0))</f>
        <v>無</v>
      </c>
    </row>
    <row r="124" spans="1:44">
      <c r="A124" s="343">
        <f>IFERROR(VLOOKUP($G124,基本資料!$A:$J,3,0),"無")</f>
        <v>162</v>
      </c>
      <c r="B124" s="79">
        <f>IFERROR(VLOOKUP($G124,基本資料!$A:$J,4,0),"無")</f>
        <v>78</v>
      </c>
      <c r="C124" s="79">
        <f>IFERROR(VLOOKUP($G124,基本資料!$A:$J,5,0),"無")</f>
        <v>82</v>
      </c>
      <c r="D124" s="79">
        <f>IFERROR(VLOOKUP($G124,基本資料!$A:$J,6,0),"無")</f>
        <v>-35</v>
      </c>
      <c r="E124" s="79">
        <f>IFERROR(VLOOKUP($G124,基本資料!$A:$J,7,0),"無")</f>
        <v>5</v>
      </c>
      <c r="F124" s="6">
        <f>IFERROR(VLOOKUP($G124,基本資料!$A:$J,8,0),"無")</f>
        <v>-5.74</v>
      </c>
      <c r="G124" s="79">
        <v>3576</v>
      </c>
      <c r="H124" s="8" t="s">
        <v>306</v>
      </c>
      <c r="I124" s="22" t="s">
        <v>1068</v>
      </c>
      <c r="J124" s="8" t="str">
        <f>IFERROR(VLOOKUP($G124,今日總結!$A:$AN,39,0),"")</f>
        <v/>
      </c>
      <c r="K124" s="5" t="str">
        <f>IFERROR(VLOOKUP($G124,今日總結!$A:$AN,40,0),"")</f>
        <v/>
      </c>
      <c r="L124" s="156" t="str">
        <f>IFERROR(VLOOKUP($G124,今日總結!$A:$AN,37,0),"")</f>
        <v/>
      </c>
      <c r="M124" s="337" t="str">
        <f>IFERROR(VLOOKUP($G124,今日總結!$A:$AN,38,0),"")</f>
        <v/>
      </c>
      <c r="N124" s="240" t="str">
        <f t="shared" si="78"/>
        <v/>
      </c>
      <c r="O124" s="359" t="str">
        <f>IFERROR(VLOOKUP($G124,融外自投!$A:$J,7,0),"無")</f>
        <v>無</v>
      </c>
      <c r="P124" s="79" t="str">
        <f>IFERROR(VLOOKUP($G124,融外自投!$A:$J,9,0),"無")</f>
        <v>無</v>
      </c>
      <c r="Q124" s="342" t="str">
        <f>IFERROR(VLOOKUP($G124,融外自投!$A:$J,8,0),"無")</f>
        <v>無</v>
      </c>
      <c r="R124" s="81" t="str">
        <f>IFERROR(VLOOKUP($G124,融外自投!$A:$J,10,0),"無")</f>
        <v>無</v>
      </c>
      <c r="S124" s="324" t="str">
        <f>IFERROR(VLOOKUP($G124,'321買'!$A:$E,4,0),"'沒有資料'")</f>
        <v>'沒有資料'</v>
      </c>
      <c r="T124" s="186">
        <f>IFERROR(VLOOKUP($G124,基本資料!$A:$J,9,0),"無")</f>
        <v>0</v>
      </c>
      <c r="U124" s="307">
        <f t="shared" si="79"/>
        <v>0</v>
      </c>
      <c r="V124" s="94">
        <f>IFERROR(VLOOKUP($G124,基本資料!$A:$J,10,0),"無")</f>
        <v>-0.84</v>
      </c>
      <c r="W124" s="36">
        <v>22.55</v>
      </c>
      <c r="X124" s="66">
        <v>16.600000000000001</v>
      </c>
      <c r="Y124" s="15">
        <f t="shared" si="108"/>
        <v>5.9499999999999993</v>
      </c>
      <c r="Z124" s="63">
        <f t="shared" si="109"/>
        <v>0.35843373493975894</v>
      </c>
      <c r="AA124" s="99" t="s">
        <v>3509</v>
      </c>
      <c r="AB124" s="389">
        <f>IFERROR(VLOOKUP($G124,基本資料!$A:$M,12,0),"無")</f>
        <v>30.78</v>
      </c>
      <c r="AC124" s="22" t="s">
        <v>1068</v>
      </c>
      <c r="AD124" s="84">
        <v>44504</v>
      </c>
      <c r="AE124" s="86">
        <v>44515</v>
      </c>
      <c r="AF124" s="33">
        <f t="shared" si="99"/>
        <v>11</v>
      </c>
      <c r="AG124" s="117" t="s">
        <v>1952</v>
      </c>
      <c r="AH124" s="287"/>
      <c r="AJ124" s="245"/>
      <c r="AK124" s="245"/>
      <c r="AL124" s="284"/>
      <c r="AR124" s="245" t="str">
        <f>INDEX(基本資料!N:N,MATCH($G124,基本資料!$A:$A,0))</f>
        <v>中</v>
      </c>
    </row>
    <row r="125" spans="1:44">
      <c r="A125" s="343">
        <f>IFERROR(VLOOKUP($G125,基本資料!$A:$J,3,0),"無")</f>
        <v>3.18</v>
      </c>
      <c r="B125" s="79">
        <f>IFERROR(VLOOKUP($G125,基本資料!$A:$J,4,0),"無")</f>
        <v>84</v>
      </c>
      <c r="C125" s="79">
        <f>IFERROR(VLOOKUP($G125,基本資料!$A:$J,5,0),"無")</f>
        <v>65</v>
      </c>
      <c r="D125" s="79">
        <f>IFERROR(VLOOKUP($G125,基本資料!$A:$J,6,0),"無")</f>
        <v>9</v>
      </c>
      <c r="E125" s="79">
        <f>IFERROR(VLOOKUP($G125,基本資料!$A:$J,7,0),"無")</f>
        <v>-23</v>
      </c>
      <c r="F125" s="6">
        <f>IFERROR(VLOOKUP($G125,基本資料!$A:$J,8,0),"無")</f>
        <v>30.78</v>
      </c>
      <c r="G125" s="79">
        <v>6457</v>
      </c>
      <c r="H125" s="145" t="s">
        <v>3038</v>
      </c>
      <c r="I125" s="16" t="s">
        <v>379</v>
      </c>
      <c r="J125" s="8">
        <f>IFERROR(VLOOKUP($G125,今日總結!$A:$AN,39,0),"")</f>
        <v>0</v>
      </c>
      <c r="K125" s="5" t="str">
        <f>IFERROR(VLOOKUP($G125,今日總結!$A:$AN,40,0),"")</f>
        <v>融</v>
      </c>
      <c r="L125" s="156">
        <f>IFERROR(VLOOKUP($G125,今日總結!$A:$AN,37,0),"")</f>
        <v>0</v>
      </c>
      <c r="M125" s="337">
        <f>IFERROR(VLOOKUP($G125,今日總結!$A:$AN,38,0),"")</f>
        <v>1</v>
      </c>
      <c r="N125" s="240">
        <f t="shared" ref="N125:N188" si="110">IFERROR(L125-M125,"")</f>
        <v>-1</v>
      </c>
      <c r="O125" s="359">
        <f>IFERROR(VLOOKUP($G125,融外自投!$A:$J,7,0),"無")</f>
        <v>709</v>
      </c>
      <c r="P125" s="79">
        <f>IFERROR(VLOOKUP($G125,融外自投!$A:$J,9,0),"無")</f>
        <v>762</v>
      </c>
      <c r="Q125" s="342">
        <f>IFERROR(VLOOKUP($G125,融外自投!$A:$J,8,0),"無")</f>
        <v>799</v>
      </c>
      <c r="R125" s="81" t="str">
        <f>IFERROR(VLOOKUP($G125,融外自投!$A:$J,10,0),"無")</f>
        <v>無</v>
      </c>
      <c r="S125" s="324">
        <f>IFERROR(VLOOKUP($G125,'321買'!$A:$E,4,0),"'沒有資料'")</f>
        <v>59</v>
      </c>
      <c r="T125" s="186">
        <f>IFERROR(VLOOKUP($G125,基本資料!$A:$J,9,0),"無")</f>
        <v>10.89</v>
      </c>
      <c r="U125" s="307">
        <f t="shared" si="79"/>
        <v>6.100840336134454E-2</v>
      </c>
      <c r="V125" s="94">
        <f>IFERROR(VLOOKUP($G125,基本資料!$A:$J,10,0),"無")</f>
        <v>12.71</v>
      </c>
      <c r="W125" s="36">
        <v>178.5</v>
      </c>
      <c r="X125" s="66">
        <v>125</v>
      </c>
      <c r="Y125" s="15">
        <f t="shared" si="108"/>
        <v>53.5</v>
      </c>
      <c r="Z125" s="63">
        <f t="shared" si="109"/>
        <v>0.42799999999999999</v>
      </c>
      <c r="AA125" s="99" t="s">
        <v>3279</v>
      </c>
      <c r="AB125" s="389">
        <f>IFERROR(VLOOKUP($G125,基本資料!$A:$M,12,0),"無")</f>
        <v>10.76</v>
      </c>
      <c r="AC125" s="16" t="s">
        <v>379</v>
      </c>
      <c r="AD125" s="84">
        <v>44501</v>
      </c>
      <c r="AE125" s="86">
        <v>44511</v>
      </c>
      <c r="AF125" s="33">
        <f t="shared" si="99"/>
        <v>10</v>
      </c>
      <c r="AG125" s="43" t="s">
        <v>2363</v>
      </c>
      <c r="AH125" s="287"/>
      <c r="AJ125" s="245"/>
      <c r="AK125" s="245"/>
      <c r="AL125" s="284"/>
      <c r="AR125" s="245" t="str">
        <f>INDEX(基本資料!N:N,MATCH($G125,基本資料!$A:$A,0))</f>
        <v>低</v>
      </c>
    </row>
    <row r="126" spans="1:44">
      <c r="A126" s="343">
        <f>IFERROR(VLOOKUP($G126,基本資料!$A:$J,3,0),"無")</f>
        <v>16.63</v>
      </c>
      <c r="B126" s="79">
        <f>IFERROR(VLOOKUP($G126,基本資料!$A:$J,4,0),"無")</f>
        <v>1744</v>
      </c>
      <c r="C126" s="79">
        <f>IFERROR(VLOOKUP($G126,基本資料!$A:$J,5,0),"無")</f>
        <v>762</v>
      </c>
      <c r="D126" s="79">
        <f>IFERROR(VLOOKUP($G126,基本資料!$A:$J,6,0),"無")</f>
        <v>7</v>
      </c>
      <c r="E126" s="79">
        <f>IFERROR(VLOOKUP($G126,基本資料!$A:$J,7,0),"無")</f>
        <v>40</v>
      </c>
      <c r="F126" s="6">
        <f>IFERROR(VLOOKUP($G126,基本資料!$A:$J,8,0),"無")</f>
        <v>6.72</v>
      </c>
      <c r="G126" s="79">
        <v>2069</v>
      </c>
      <c r="H126" s="5" t="s">
        <v>299</v>
      </c>
      <c r="I126" s="22" t="s">
        <v>3962</v>
      </c>
      <c r="J126" s="8">
        <f>IFERROR(VLOOKUP($G126,今日總結!$A:$AN,39,0),"")</f>
        <v>0</v>
      </c>
      <c r="K126" s="5" t="str">
        <f>IFERROR(VLOOKUP($G126,今日總結!$A:$AN,40,0),"")</f>
        <v>融</v>
      </c>
      <c r="L126" s="156">
        <f>IFERROR(VLOOKUP($G126,今日總結!$A:$AN,37,0),"")</f>
        <v>0</v>
      </c>
      <c r="M126" s="337">
        <f>IFERROR(VLOOKUP($G126,今日總結!$A:$AN,38,0),"")</f>
        <v>3</v>
      </c>
      <c r="N126" s="240">
        <f t="shared" si="110"/>
        <v>-3</v>
      </c>
      <c r="O126" s="359">
        <f>IFERROR(VLOOKUP($G126,融外自投!$A:$J,7,0),"無")</f>
        <v>337</v>
      </c>
      <c r="P126" s="79">
        <f>IFERROR(VLOOKUP($G126,融外自投!$A:$J,9,0),"無")</f>
        <v>596</v>
      </c>
      <c r="Q126" s="342">
        <f>IFERROR(VLOOKUP($G126,融外自投!$A:$J,8,0),"無")</f>
        <v>1198</v>
      </c>
      <c r="R126" s="81" t="str">
        <f>IFERROR(VLOOKUP($G126,融外自投!$A:$J,10,0),"無")</f>
        <v>無</v>
      </c>
      <c r="S126" s="324">
        <f>IFERROR(VLOOKUP($G126,'321買'!$A:$E,4,0),"'沒有資料'")</f>
        <v>214</v>
      </c>
      <c r="T126" s="186">
        <f>IFERROR(VLOOKUP($G126,基本資料!$A:$J,9,0),"無")</f>
        <v>2.2000000000000002</v>
      </c>
      <c r="U126" s="307">
        <f t="shared" ref="U126:U189" si="111">$T126/$W126</f>
        <v>6.2857142857142861E-2</v>
      </c>
      <c r="V126" s="94">
        <f>IFERROR(VLOOKUP($G126,基本資料!$A:$J,10,0),"無")</f>
        <v>4.7300000000000004</v>
      </c>
      <c r="W126" s="36">
        <v>35</v>
      </c>
      <c r="X126" s="45">
        <v>28</v>
      </c>
      <c r="Y126" s="15">
        <f t="shared" si="108"/>
        <v>7</v>
      </c>
      <c r="Z126" s="63">
        <f t="shared" si="109"/>
        <v>0.25</v>
      </c>
      <c r="AA126" s="99" t="s">
        <v>3507</v>
      </c>
      <c r="AB126" s="389">
        <f>IFERROR(VLOOKUP($G126,基本資料!$A:$M,12,0),"無")</f>
        <v>15.89</v>
      </c>
      <c r="AC126" s="22" t="s">
        <v>850</v>
      </c>
      <c r="AD126" s="84">
        <v>44501</v>
      </c>
      <c r="AE126" s="86">
        <v>44511</v>
      </c>
      <c r="AF126" s="33">
        <f t="shared" si="99"/>
        <v>10</v>
      </c>
      <c r="AG126" s="43" t="s">
        <v>1999</v>
      </c>
      <c r="AH126" s="287"/>
      <c r="AJ126" s="245"/>
      <c r="AK126" s="245"/>
      <c r="AL126" s="284"/>
      <c r="AR126" s="245" t="str">
        <f>INDEX(基本資料!N:N,MATCH($G126,基本資料!$A:$A,0))</f>
        <v>低</v>
      </c>
    </row>
    <row r="127" spans="1:44">
      <c r="A127" s="343">
        <f>IFERROR(VLOOKUP($G127,基本資料!$A:$J,3,0),"無")</f>
        <v>1180</v>
      </c>
      <c r="B127" s="79">
        <f>IFERROR(VLOOKUP($G127,基本資料!$A:$J,4,0),"無")</f>
        <v>61</v>
      </c>
      <c r="C127" s="79">
        <f>IFERROR(VLOOKUP($G127,基本資料!$A:$J,5,0),"無")</f>
        <v>0</v>
      </c>
      <c r="D127" s="79">
        <f>IFERROR(VLOOKUP($G127,基本資料!$A:$J,6,0),"無")</f>
        <v>14</v>
      </c>
      <c r="E127" s="79">
        <f>IFERROR(VLOOKUP($G127,基本資料!$A:$J,7,0),"無")</f>
        <v>-16</v>
      </c>
      <c r="F127" s="6">
        <f>IFERROR(VLOOKUP($G127,基本資料!$A:$J,8,0),"無")</f>
        <v>0</v>
      </c>
      <c r="G127" s="80">
        <v>2881</v>
      </c>
      <c r="H127" s="18" t="s">
        <v>304</v>
      </c>
      <c r="I127" s="22" t="s">
        <v>6127</v>
      </c>
      <c r="J127" s="8">
        <f>IFERROR(VLOOKUP($G127,今日總結!$A:$AN,39,0),"")</f>
        <v>0</v>
      </c>
      <c r="K127" s="5" t="str">
        <f>IFERROR(VLOOKUP($G127,今日總結!$A:$AN,40,0),"")</f>
        <v>主外</v>
      </c>
      <c r="L127" s="156">
        <f>IFERROR(VLOOKUP($G127,今日總結!$A:$AN,37,0),"")</f>
        <v>0</v>
      </c>
      <c r="M127" s="337">
        <f>IFERROR(VLOOKUP($G127,今日總結!$A:$AN,38,0),"")</f>
        <v>8</v>
      </c>
      <c r="N127" s="240">
        <f t="shared" si="110"/>
        <v>-8</v>
      </c>
      <c r="O127" s="359">
        <f>IFERROR(VLOOKUP($G127,融外自投!$A:$J,7,0),"無")</f>
        <v>1288</v>
      </c>
      <c r="P127" s="79">
        <f>IFERROR(VLOOKUP($G127,融外自投!$A:$J,9,0),"無")</f>
        <v>467</v>
      </c>
      <c r="Q127" s="342">
        <f>IFERROR(VLOOKUP($G127,融外自投!$A:$J,8,0),"無")</f>
        <v>285</v>
      </c>
      <c r="R127" s="81">
        <f>IFERROR(VLOOKUP($G127,融外自投!$A:$J,10,0),"無")</f>
        <v>181</v>
      </c>
      <c r="S127" s="324">
        <f>IFERROR(VLOOKUP($G127,'321買'!$A:$E,4,0),"'沒有資料'")</f>
        <v>565</v>
      </c>
      <c r="T127" s="186">
        <f>IFERROR(VLOOKUP($G127,基本資料!$A:$J,9,0),"無")</f>
        <v>4</v>
      </c>
      <c r="U127" s="307">
        <f t="shared" si="111"/>
        <v>5.4347826086956527E-2</v>
      </c>
      <c r="V127" s="94">
        <f>IFERROR(VLOOKUP($G127,基本資料!$A:$J,10,0),"無")</f>
        <v>12.49</v>
      </c>
      <c r="W127" s="36">
        <v>73.599999999999994</v>
      </c>
      <c r="X127" s="65">
        <v>58.9</v>
      </c>
      <c r="Y127" s="15">
        <f t="shared" si="108"/>
        <v>14.699999999999996</v>
      </c>
      <c r="Z127" s="63">
        <f t="shared" si="109"/>
        <v>0.24957555178268245</v>
      </c>
      <c r="AA127" s="99" t="s">
        <v>3499</v>
      </c>
      <c r="AB127" s="389">
        <f>IFERROR(VLOOKUP($G127,基本資料!$A:$M,12,0),"無")</f>
        <v>24.41</v>
      </c>
      <c r="AC127" s="22" t="s">
        <v>68</v>
      </c>
      <c r="AD127" s="84">
        <v>44498</v>
      </c>
      <c r="AE127" s="86">
        <v>44508</v>
      </c>
      <c r="AF127" s="33">
        <f t="shared" si="99"/>
        <v>10</v>
      </c>
      <c r="AG127" s="43" t="s">
        <v>2598</v>
      </c>
      <c r="AH127" s="287"/>
      <c r="AJ127" s="245"/>
      <c r="AK127" s="245"/>
      <c r="AL127" s="284"/>
      <c r="AR127" s="245" t="str">
        <f>INDEX(基本資料!N:N,MATCH($G127,基本資料!$A:$A,0))</f>
        <v>低</v>
      </c>
    </row>
    <row r="128" spans="1:44">
      <c r="A128" s="343">
        <f>IFERROR(VLOOKUP($G128,基本資料!$A:$J,3,0),"無")</f>
        <v>16.11</v>
      </c>
      <c r="B128" s="79">
        <f>IFERROR(VLOOKUP($G128,基本資料!$A:$J,4,0),"無")</f>
        <v>52</v>
      </c>
      <c r="C128" s="79">
        <f>IFERROR(VLOOKUP($G128,基本資料!$A:$J,5,0),"無")</f>
        <v>46</v>
      </c>
      <c r="D128" s="79">
        <f>IFERROR(VLOOKUP($G128,基本資料!$A:$J,6,0),"無")</f>
        <v>7</v>
      </c>
      <c r="E128" s="79">
        <f>IFERROR(VLOOKUP($G128,基本資料!$A:$J,7,0),"無")</f>
        <v>49</v>
      </c>
      <c r="F128" s="6">
        <f>IFERROR(VLOOKUP($G128,基本資料!$A:$J,8,0),"無")</f>
        <v>4.7699999999999996</v>
      </c>
      <c r="G128" s="79">
        <v>6190</v>
      </c>
      <c r="H128" s="5" t="s">
        <v>311</v>
      </c>
      <c r="I128" s="16" t="s">
        <v>517</v>
      </c>
      <c r="J128" s="8">
        <f>IFERROR(VLOOKUP($G128,今日總結!$A:$AN,39,0),"")</f>
        <v>0</v>
      </c>
      <c r="K128" s="5">
        <f>IFERROR(VLOOKUP($G128,今日總結!$A:$AN,40,0),"")</f>
        <v>0</v>
      </c>
      <c r="L128" s="156">
        <f>IFERROR(VLOOKUP($G128,今日總結!$A:$AN,37,0),"")</f>
        <v>0</v>
      </c>
      <c r="M128" s="337">
        <f>IFERROR(VLOOKUP($G128,今日總結!$A:$AN,38,0),"")</f>
        <v>0</v>
      </c>
      <c r="N128" s="240">
        <f t="shared" si="110"/>
        <v>0</v>
      </c>
      <c r="O128" s="359">
        <f>IFERROR(VLOOKUP($G128,融外自投!$A:$J,7,0),"無")</f>
        <v>159</v>
      </c>
      <c r="P128" s="79">
        <f>IFERROR(VLOOKUP($G128,融外自投!$A:$J,9,0),"無")</f>
        <v>1051</v>
      </c>
      <c r="Q128" s="342">
        <f>IFERROR(VLOOKUP($G128,融外自投!$A:$J,8,0),"無")</f>
        <v>1204</v>
      </c>
      <c r="R128" s="81" t="str">
        <f>IFERROR(VLOOKUP($G128,融外自投!$A:$J,10,0),"無")</f>
        <v>無</v>
      </c>
      <c r="S128" s="324">
        <f>IFERROR(VLOOKUP($G128,'321買'!$A:$E,4,0),"'沒有資料'")</f>
        <v>156</v>
      </c>
      <c r="T128" s="186">
        <f>IFERROR(VLOOKUP($G128,基本資料!$A:$J,9,0),"無")</f>
        <v>1.4</v>
      </c>
      <c r="U128" s="307">
        <f t="shared" si="111"/>
        <v>5.1094890510948905E-2</v>
      </c>
      <c r="V128" s="94">
        <f>IFERROR(VLOOKUP($G128,基本資料!$A:$J,10,0),"無")</f>
        <v>1.68</v>
      </c>
      <c r="W128" s="36">
        <v>27.4</v>
      </c>
      <c r="X128" s="66">
        <v>20.8</v>
      </c>
      <c r="Y128" s="15">
        <f t="shared" si="108"/>
        <v>6.5999999999999979</v>
      </c>
      <c r="Z128" s="63">
        <f t="shared" si="109"/>
        <v>0.31730769230769218</v>
      </c>
      <c r="AA128" s="99" t="s">
        <v>3501</v>
      </c>
      <c r="AB128" s="389">
        <f>IFERROR(VLOOKUP($G128,基本資料!$A:$M,12,0),"無")</f>
        <v>47.61</v>
      </c>
      <c r="AC128" s="16" t="s">
        <v>517</v>
      </c>
      <c r="AD128" s="84">
        <v>44496</v>
      </c>
      <c r="AE128" s="86">
        <v>44508</v>
      </c>
      <c r="AF128" s="33">
        <f t="shared" si="99"/>
        <v>12</v>
      </c>
      <c r="AG128" s="43" t="s">
        <v>2938</v>
      </c>
      <c r="AH128" s="287"/>
      <c r="AJ128" s="245"/>
      <c r="AK128" s="245"/>
      <c r="AL128" s="284"/>
      <c r="AR128" s="245" t="str">
        <f>INDEX(基本資料!N:N,MATCH($G128,基本資料!$A:$A,0))</f>
        <v>中</v>
      </c>
    </row>
    <row r="129" spans="1:44">
      <c r="A129" s="343">
        <f>IFERROR(VLOOKUP($G129,基本資料!$A:$J,3,0),"無")</f>
        <v>21.64</v>
      </c>
      <c r="B129" s="79">
        <f>IFERROR(VLOOKUP($G129,基本資料!$A:$J,4,0),"無")</f>
        <v>-2</v>
      </c>
      <c r="C129" s="79">
        <f>IFERROR(VLOOKUP($G129,基本資料!$A:$J,5,0),"無")</f>
        <v>-3</v>
      </c>
      <c r="D129" s="79">
        <f>IFERROR(VLOOKUP($G129,基本資料!$A:$J,6,0),"無")</f>
        <v>-3</v>
      </c>
      <c r="E129" s="79">
        <f>IFERROR(VLOOKUP($G129,基本資料!$A:$J,7,0),"無")</f>
        <v>-25</v>
      </c>
      <c r="F129" s="6">
        <f>IFERROR(VLOOKUP($G129,基本資料!$A:$J,8,0),"無")</f>
        <v>3.04</v>
      </c>
      <c r="G129" s="79">
        <v>2439</v>
      </c>
      <c r="H129" s="195" t="s">
        <v>311</v>
      </c>
      <c r="I129" s="22" t="s">
        <v>4327</v>
      </c>
      <c r="J129" s="8">
        <f>IFERROR(VLOOKUP($G129,今日總結!$A:$AN,39,0),"")</f>
        <v>0</v>
      </c>
      <c r="K129" s="5" t="str">
        <f>IFERROR(VLOOKUP($G129,今日總結!$A:$AN,40,0),"")</f>
        <v>主外</v>
      </c>
      <c r="L129" s="156">
        <f>IFERROR(VLOOKUP($G129,今日總結!$A:$AN,37,0),"")</f>
        <v>0</v>
      </c>
      <c r="M129" s="337">
        <f>IFERROR(VLOOKUP($G129,今日總結!$A:$AN,38,0),"")</f>
        <v>4</v>
      </c>
      <c r="N129" s="240">
        <f t="shared" si="110"/>
        <v>-4</v>
      </c>
      <c r="O129" s="359">
        <f>IFERROR(VLOOKUP($G129,融外自投!$A:$J,7,0),"無")</f>
        <v>535</v>
      </c>
      <c r="P129" s="79">
        <f>IFERROR(VLOOKUP($G129,融外自投!$A:$J,9,0),"無")</f>
        <v>17</v>
      </c>
      <c r="Q129" s="342">
        <f>IFERROR(VLOOKUP($G129,融外自投!$A:$J,8,0),"無")</f>
        <v>499</v>
      </c>
      <c r="R129" s="81">
        <f>IFERROR(VLOOKUP($G129,融外自投!$A:$J,10,0),"無")</f>
        <v>495</v>
      </c>
      <c r="S129" s="324">
        <f>IFERROR(VLOOKUP($G129,'321買'!$A:$E,4,0),"'沒有資料'")</f>
        <v>606</v>
      </c>
      <c r="T129" s="186">
        <f>IFERROR(VLOOKUP($G129,基本資料!$A:$J,9,0),"無")</f>
        <v>4</v>
      </c>
      <c r="U129" s="307">
        <f t="shared" si="111"/>
        <v>4.3243243243243246E-2</v>
      </c>
      <c r="V129" s="94">
        <f>IFERROR(VLOOKUP($G129,基本資料!$A:$J,10,0),"無")</f>
        <v>5.4</v>
      </c>
      <c r="W129" s="36">
        <v>92.5</v>
      </c>
      <c r="X129" s="66">
        <v>72</v>
      </c>
      <c r="Y129" s="15">
        <f t="shared" si="108"/>
        <v>20.5</v>
      </c>
      <c r="Z129" s="63">
        <f t="shared" si="109"/>
        <v>0.28472222222222221</v>
      </c>
      <c r="AA129" s="99" t="s">
        <v>3502</v>
      </c>
      <c r="AB129" s="389">
        <f>IFERROR(VLOOKUP($G129,基本資料!$A:$M,12,0),"無")</f>
        <v>19.78</v>
      </c>
      <c r="AC129" s="22" t="s">
        <v>211</v>
      </c>
      <c r="AD129" s="84">
        <v>44496</v>
      </c>
      <c r="AE129" s="86">
        <v>44508</v>
      </c>
      <c r="AF129" s="33">
        <f t="shared" si="99"/>
        <v>12</v>
      </c>
      <c r="AG129" s="117" t="s">
        <v>2374</v>
      </c>
      <c r="AH129" s="287"/>
      <c r="AJ129" s="245"/>
      <c r="AK129" s="245"/>
      <c r="AL129" s="284"/>
      <c r="AR129" s="245" t="str">
        <f>INDEX(基本資料!N:N,MATCH($G129,基本資料!$A:$A,0))</f>
        <v>低</v>
      </c>
    </row>
    <row r="130" spans="1:44">
      <c r="A130" s="343">
        <f>IFERROR(VLOOKUP($G130,基本資料!$A:$J,3,0),"無")</f>
        <v>200</v>
      </c>
      <c r="B130" s="79">
        <f>IFERROR(VLOOKUP($G130,基本資料!$A:$J,4,0),"無")</f>
        <v>11496</v>
      </c>
      <c r="C130" s="79">
        <f>IFERROR(VLOOKUP($G130,基本資料!$A:$J,5,0),"無")</f>
        <v>938</v>
      </c>
      <c r="D130" s="79">
        <f>IFERROR(VLOOKUP($G130,基本資料!$A:$J,6,0),"無")</f>
        <v>-6</v>
      </c>
      <c r="E130" s="79">
        <f>IFERROR(VLOOKUP($G130,基本資料!$A:$J,7,0),"無")</f>
        <v>33</v>
      </c>
      <c r="F130" s="6">
        <f>IFERROR(VLOOKUP($G130,基本資料!$A:$J,8,0),"無")</f>
        <v>19.55</v>
      </c>
      <c r="G130" s="79">
        <v>2027</v>
      </c>
      <c r="H130" s="5" t="s">
        <v>299</v>
      </c>
      <c r="I130" s="22" t="s">
        <v>3941</v>
      </c>
      <c r="J130" s="8">
        <f>IFERROR(VLOOKUP($G130,今日總結!$A:$AN,39,0),"")</f>
        <v>0</v>
      </c>
      <c r="K130" s="5">
        <f>IFERROR(VLOOKUP($G130,今日總結!$A:$AN,40,0),"")</f>
        <v>0</v>
      </c>
      <c r="L130" s="156">
        <f>IFERROR(VLOOKUP($G130,今日總結!$A:$AN,37,0),"")</f>
        <v>0</v>
      </c>
      <c r="M130" s="337">
        <f>IFERROR(VLOOKUP($G130,今日總結!$A:$AN,38,0),"")</f>
        <v>0</v>
      </c>
      <c r="N130" s="240">
        <f t="shared" si="110"/>
        <v>0</v>
      </c>
      <c r="O130" s="359">
        <f>IFERROR(VLOOKUP($G130,融外自投!$A:$J,7,0),"無")</f>
        <v>430</v>
      </c>
      <c r="P130" s="79">
        <f>IFERROR(VLOOKUP($G130,融外自投!$A:$J,9,0),"無")</f>
        <v>54</v>
      </c>
      <c r="Q130" s="342">
        <f>IFERROR(VLOOKUP($G130,融外自投!$A:$J,8,0),"無")</f>
        <v>342</v>
      </c>
      <c r="R130" s="81">
        <f>IFERROR(VLOOKUP($G130,融外自投!$A:$J,10,0),"無")</f>
        <v>227</v>
      </c>
      <c r="S130" s="324">
        <f>IFERROR(VLOOKUP($G130,'321買'!$A:$E,4,0),"'沒有資料'")</f>
        <v>192</v>
      </c>
      <c r="T130" s="186">
        <f>IFERROR(VLOOKUP($G130,基本資料!$A:$J,9,0),"無")</f>
        <v>1.9</v>
      </c>
      <c r="U130" s="307">
        <f t="shared" si="111"/>
        <v>4.0992448759439047E-2</v>
      </c>
      <c r="V130" s="94">
        <f>IFERROR(VLOOKUP($G130,基本資料!$A:$J,10,0),"無")</f>
        <v>5.76</v>
      </c>
      <c r="W130" s="36">
        <v>46.35</v>
      </c>
      <c r="X130" s="66">
        <v>43</v>
      </c>
      <c r="Y130" s="15">
        <f t="shared" si="108"/>
        <v>3.3500000000000014</v>
      </c>
      <c r="Z130" s="63">
        <f t="shared" si="109"/>
        <v>7.7906976744186077E-2</v>
      </c>
      <c r="AA130" s="99" t="s">
        <v>2959</v>
      </c>
      <c r="AB130" s="389">
        <f>IFERROR(VLOOKUP($G130,基本資料!$A:$M,12,0),"無")</f>
        <v>19.739999999999998</v>
      </c>
      <c r="AC130" s="22" t="s">
        <v>280</v>
      </c>
      <c r="AD130" s="84">
        <v>44496</v>
      </c>
      <c r="AE130" s="86">
        <v>44508</v>
      </c>
      <c r="AF130" s="33">
        <f t="shared" si="99"/>
        <v>12</v>
      </c>
      <c r="AG130" s="117" t="s">
        <v>3260</v>
      </c>
      <c r="AH130" s="287"/>
      <c r="AJ130" s="245"/>
      <c r="AK130" s="245"/>
      <c r="AL130" s="284"/>
      <c r="AR130" s="245" t="str">
        <f>INDEX(基本資料!N:N,MATCH($G130,基本資料!$A:$A,0))</f>
        <v>低</v>
      </c>
    </row>
    <row r="131" spans="1:44">
      <c r="A131" s="343">
        <f>IFERROR(VLOOKUP($G131,基本資料!$A:$J,3,0),"無")</f>
        <v>6.78</v>
      </c>
      <c r="B131" s="79">
        <f>IFERROR(VLOOKUP($G131,基本資料!$A:$J,4,0),"無")</f>
        <v>50</v>
      </c>
      <c r="C131" s="79">
        <f>IFERROR(VLOOKUP($G131,基本資料!$A:$J,5,0),"無")</f>
        <v>51</v>
      </c>
      <c r="D131" s="79">
        <f>IFERROR(VLOOKUP($G131,基本資料!$A:$J,6,0),"無")</f>
        <v>36</v>
      </c>
      <c r="E131" s="79">
        <f>IFERROR(VLOOKUP($G131,基本資料!$A:$J,7,0),"無")</f>
        <v>4</v>
      </c>
      <c r="F131" s="6">
        <f>IFERROR(VLOOKUP($G131,基本資料!$A:$J,8,0),"無")</f>
        <v>34.07</v>
      </c>
      <c r="G131" s="79">
        <v>5222</v>
      </c>
      <c r="H131" s="8" t="s">
        <v>3038</v>
      </c>
      <c r="I131" s="22" t="s">
        <v>3488</v>
      </c>
      <c r="J131" s="8">
        <f>IFERROR(VLOOKUP($G131,今日總結!$A:$AN,39,0),"")</f>
        <v>0</v>
      </c>
      <c r="K131" s="5">
        <f>IFERROR(VLOOKUP($G131,今日總結!$A:$AN,40,0),"")</f>
        <v>0</v>
      </c>
      <c r="L131" s="156">
        <f>IFERROR(VLOOKUP($G131,今日總結!$A:$AN,37,0),"")</f>
        <v>0</v>
      </c>
      <c r="M131" s="337">
        <f>IFERROR(VLOOKUP($G131,今日總結!$A:$AN,38,0),"")</f>
        <v>0</v>
      </c>
      <c r="N131" s="240">
        <f t="shared" si="110"/>
        <v>0</v>
      </c>
      <c r="O131" s="359">
        <f>IFERROR(VLOOKUP($G131,融外自投!$A:$J,7,0),"無")</f>
        <v>1369</v>
      </c>
      <c r="P131" s="79">
        <f>IFERROR(VLOOKUP($G131,融外自投!$A:$J,9,0),"無")</f>
        <v>69</v>
      </c>
      <c r="Q131" s="342">
        <f>IFERROR(VLOOKUP($G131,融外自投!$A:$J,8,0),"無")</f>
        <v>896</v>
      </c>
      <c r="R131" s="81">
        <f>IFERROR(VLOOKUP($G131,融外自投!$A:$J,10,0),"無")</f>
        <v>439</v>
      </c>
      <c r="S131" s="324">
        <f>IFERROR(VLOOKUP($G131,'321買'!$A:$E,4,0),"'沒有資料'")</f>
        <v>411</v>
      </c>
      <c r="T131" s="186">
        <f>IFERROR(VLOOKUP($G131,基本資料!$A:$J,9,0),"無")</f>
        <v>3.5</v>
      </c>
      <c r="U131" s="307">
        <f t="shared" si="111"/>
        <v>1.7412935323383085E-2</v>
      </c>
      <c r="V131" s="94">
        <f>IFERROR(VLOOKUP($G131,基本資料!$A:$J,10,0),"無")</f>
        <v>4.04</v>
      </c>
      <c r="W131" s="36">
        <v>201</v>
      </c>
      <c r="X131" s="66">
        <v>104.49</v>
      </c>
      <c r="Y131" s="15">
        <f t="shared" si="108"/>
        <v>96.51</v>
      </c>
      <c r="Z131" s="63">
        <f t="shared" si="109"/>
        <v>0.92362905541200124</v>
      </c>
      <c r="AA131" s="99" t="s">
        <v>3503</v>
      </c>
      <c r="AB131" s="389" t="str">
        <f>IFERROR(VLOOKUP($G131,基本資料!$A:$M,12,0),"無")</f>
        <v>無</v>
      </c>
      <c r="AC131" s="22" t="s">
        <v>3488</v>
      </c>
      <c r="AD131" s="84">
        <v>44494</v>
      </c>
      <c r="AE131" s="86">
        <v>44504</v>
      </c>
      <c r="AF131" s="33">
        <f t="shared" si="99"/>
        <v>10</v>
      </c>
      <c r="AG131" s="43" t="s">
        <v>3490</v>
      </c>
      <c r="AH131" s="287"/>
      <c r="AJ131" s="245"/>
      <c r="AK131" s="245"/>
      <c r="AL131" s="284"/>
      <c r="AR131" s="245" t="str">
        <f>INDEX(基本資料!N:N,MATCH($G131,基本資料!$A:$A,0))</f>
        <v>無</v>
      </c>
    </row>
    <row r="132" spans="1:44">
      <c r="A132" s="343">
        <f>IFERROR(VLOOKUP($G132,基本資料!$A:$J,3,0),"無")</f>
        <v>6.75</v>
      </c>
      <c r="B132" s="79">
        <f>IFERROR(VLOOKUP($G132,基本資料!$A:$J,4,0),"無")</f>
        <v>152</v>
      </c>
      <c r="C132" s="79">
        <f>IFERROR(VLOOKUP($G132,基本資料!$A:$J,5,0),"無")</f>
        <v>133</v>
      </c>
      <c r="D132" s="79">
        <f>IFERROR(VLOOKUP($G132,基本資料!$A:$J,6,0),"無")</f>
        <v>-14</v>
      </c>
      <c r="E132" s="79">
        <f>IFERROR(VLOOKUP($G132,基本資料!$A:$J,7,0),"無")</f>
        <v>-14</v>
      </c>
      <c r="F132" s="6">
        <f>IFERROR(VLOOKUP($G132,基本資料!$A:$J,8,0),"無")</f>
        <v>20.079999999999998</v>
      </c>
      <c r="G132" s="80">
        <v>4440</v>
      </c>
      <c r="H132" s="5" t="s">
        <v>3171</v>
      </c>
      <c r="I132" s="22" t="s">
        <v>3489</v>
      </c>
      <c r="J132" s="8">
        <f>IFERROR(VLOOKUP($G132,今日總結!$A:$AN,39,0),"")</f>
        <v>0</v>
      </c>
      <c r="K132" s="5" t="str">
        <f>IFERROR(VLOOKUP($G132,今日總結!$A:$AN,40,0),"")</f>
        <v>主</v>
      </c>
      <c r="L132" s="156">
        <f>IFERROR(VLOOKUP($G132,今日總結!$A:$AN,37,0),"")</f>
        <v>0</v>
      </c>
      <c r="M132" s="337">
        <f>IFERROR(VLOOKUP($G132,今日總結!$A:$AN,38,0),"")</f>
        <v>4</v>
      </c>
      <c r="N132" s="240">
        <f t="shared" si="110"/>
        <v>-4</v>
      </c>
      <c r="O132" s="359">
        <f>IFERROR(VLOOKUP($G132,融外自投!$A:$J,7,0),"無")</f>
        <v>1458</v>
      </c>
      <c r="P132" s="79" t="str">
        <f>IFERROR(VLOOKUP($G132,融外自投!$A:$J,9,0),"無")</f>
        <v>無</v>
      </c>
      <c r="Q132" s="342">
        <f>IFERROR(VLOOKUP($G132,融外自投!$A:$J,8,0),"無")</f>
        <v>1220</v>
      </c>
      <c r="R132" s="81" t="str">
        <f>IFERROR(VLOOKUP($G132,融外自投!$A:$J,10,0),"無")</f>
        <v>無</v>
      </c>
      <c r="S132" s="324">
        <f>IFERROR(VLOOKUP($G132,'321買'!$A:$E,4,0),"'沒有資料'")</f>
        <v>1002</v>
      </c>
      <c r="T132" s="186">
        <f>IFERROR(VLOOKUP($G132,基本資料!$A:$J,9,0),"無")</f>
        <v>4</v>
      </c>
      <c r="U132" s="307">
        <f t="shared" si="111"/>
        <v>8.8888888888888892E-2</v>
      </c>
      <c r="V132" s="94">
        <f>IFERROR(VLOOKUP($G132,基本資料!$A:$J,10,0),"無")</f>
        <v>5.0599999999999996</v>
      </c>
      <c r="W132" s="36">
        <v>45</v>
      </c>
      <c r="X132" s="66">
        <v>38</v>
      </c>
      <c r="Y132" s="15">
        <f t="shared" si="108"/>
        <v>7</v>
      </c>
      <c r="Z132" s="63">
        <f t="shared" si="109"/>
        <v>0.18421052631578946</v>
      </c>
      <c r="AA132" s="99" t="s">
        <v>3504</v>
      </c>
      <c r="AB132" s="389" t="str">
        <f>IFERROR(VLOOKUP($G132,基本資料!$A:$M,12,0),"無")</f>
        <v>無</v>
      </c>
      <c r="AC132" s="22" t="s">
        <v>3489</v>
      </c>
      <c r="AD132" s="84">
        <v>44494</v>
      </c>
      <c r="AE132" s="86">
        <v>44504</v>
      </c>
      <c r="AF132" s="33">
        <f t="shared" si="99"/>
        <v>10</v>
      </c>
      <c r="AG132" s="43" t="s">
        <v>3491</v>
      </c>
      <c r="AH132" s="287"/>
      <c r="AJ132" s="245"/>
      <c r="AK132" s="245"/>
      <c r="AL132" s="284"/>
      <c r="AR132" s="245" t="str">
        <f>INDEX(基本資料!N:N,MATCH($G132,基本資料!$A:$A,0))</f>
        <v>無</v>
      </c>
    </row>
    <row r="133" spans="1:44">
      <c r="A133" s="343">
        <f>IFERROR(VLOOKUP($G133,基本資料!$A:$J,3,0),"無")</f>
        <v>3.72</v>
      </c>
      <c r="B133" s="79">
        <f>IFERROR(VLOOKUP($G133,基本資料!$A:$J,4,0),"無")</f>
        <v>1</v>
      </c>
      <c r="C133" s="79">
        <f>IFERROR(VLOOKUP($G133,基本資料!$A:$J,5,0),"無")</f>
        <v>15</v>
      </c>
      <c r="D133" s="79">
        <f>IFERROR(VLOOKUP($G133,基本資料!$A:$J,6,0),"無")</f>
        <v>119</v>
      </c>
      <c r="E133" s="79">
        <f>IFERROR(VLOOKUP($G133,基本資料!$A:$J,7,0),"無")</f>
        <v>27</v>
      </c>
      <c r="F133" s="6">
        <f>IFERROR(VLOOKUP($G133,基本資料!$A:$J,8,0),"無")</f>
        <v>-45.5</v>
      </c>
      <c r="G133" s="79">
        <v>2734</v>
      </c>
      <c r="H133" s="5" t="s">
        <v>303</v>
      </c>
      <c r="I133" s="16" t="s">
        <v>964</v>
      </c>
      <c r="J133" s="8" t="str">
        <f>IFERROR(VLOOKUP($G133,今日總結!$A:$AN,39,0),"")</f>
        <v/>
      </c>
      <c r="K133" s="5" t="str">
        <f>IFERROR(VLOOKUP($G133,今日總結!$A:$AN,40,0),"")</f>
        <v/>
      </c>
      <c r="L133" s="156" t="str">
        <f>IFERROR(VLOOKUP($G133,今日總結!$A:$AN,37,0),"")</f>
        <v/>
      </c>
      <c r="M133" s="337" t="str">
        <f>IFERROR(VLOOKUP($G133,今日總結!$A:$AN,38,0),"")</f>
        <v/>
      </c>
      <c r="N133" s="240" t="str">
        <f t="shared" si="110"/>
        <v/>
      </c>
      <c r="O133" s="359" t="str">
        <f>IFERROR(VLOOKUP($G133,融外自投!$A:$J,7,0),"無")</f>
        <v>無</v>
      </c>
      <c r="P133" s="79" t="str">
        <f>IFERROR(VLOOKUP($G133,融外自投!$A:$J,9,0),"無")</f>
        <v>無</v>
      </c>
      <c r="Q133" s="342" t="str">
        <f>IFERROR(VLOOKUP($G133,融外自投!$A:$J,8,0),"無")</f>
        <v>無</v>
      </c>
      <c r="R133" s="81" t="str">
        <f>IFERROR(VLOOKUP($G133,融外自投!$A:$J,10,0),"無")</f>
        <v>無</v>
      </c>
      <c r="S133" s="324" t="str">
        <f>IFERROR(VLOOKUP($G133,'321買'!$A:$E,4,0),"'沒有資料'")</f>
        <v>'沒有資料'</v>
      </c>
      <c r="T133" s="186">
        <f>IFERROR(VLOOKUP($G133,基本資料!$A:$J,9,0),"無")</f>
        <v>0</v>
      </c>
      <c r="U133" s="307">
        <f t="shared" si="111"/>
        <v>0</v>
      </c>
      <c r="V133" s="94">
        <f>IFERROR(VLOOKUP($G133,基本資料!$A:$J,10,0),"無")</f>
        <v>-2.29</v>
      </c>
      <c r="W133" s="36">
        <v>22.1</v>
      </c>
      <c r="X133" s="66">
        <v>15</v>
      </c>
      <c r="Y133" s="15">
        <f t="shared" si="108"/>
        <v>7.1000000000000014</v>
      </c>
      <c r="Z133" s="63">
        <f t="shared" si="109"/>
        <v>0.47333333333333344</v>
      </c>
      <c r="AA133" s="99" t="s">
        <v>3500</v>
      </c>
      <c r="AB133" s="389">
        <f>IFERROR(VLOOKUP($G133,基本資料!$A:$M,12,0),"無")</f>
        <v>40.68</v>
      </c>
      <c r="AC133" s="16" t="s">
        <v>964</v>
      </c>
      <c r="AD133" s="84">
        <v>44494</v>
      </c>
      <c r="AE133" s="86">
        <v>44504</v>
      </c>
      <c r="AF133" s="33">
        <f t="shared" si="99"/>
        <v>10</v>
      </c>
      <c r="AG133" s="43" t="s">
        <v>2675</v>
      </c>
      <c r="AH133" s="287"/>
      <c r="AJ133" s="245"/>
      <c r="AK133" s="245"/>
      <c r="AL133" s="284"/>
      <c r="AR133" s="245" t="str">
        <f>INDEX(基本資料!N:N,MATCH($G133,基本資料!$A:$A,0))</f>
        <v>中</v>
      </c>
    </row>
    <row r="134" spans="1:44">
      <c r="A134" s="343">
        <f>IFERROR(VLOOKUP($G134,基本資料!$A:$J,3,0),"無")</f>
        <v>5.89</v>
      </c>
      <c r="B134" s="79">
        <f>IFERROR(VLOOKUP($G134,基本資料!$A:$J,4,0),"無")</f>
        <v>-16</v>
      </c>
      <c r="C134" s="79">
        <f>IFERROR(VLOOKUP($G134,基本資料!$A:$J,5,0),"無")</f>
        <v>-31</v>
      </c>
      <c r="D134" s="79">
        <f>IFERROR(VLOOKUP($G134,基本資料!$A:$J,6,0),"無")</f>
        <v>1</v>
      </c>
      <c r="E134" s="79">
        <f>IFERROR(VLOOKUP($G134,基本資料!$A:$J,7,0),"無")</f>
        <v>-18</v>
      </c>
      <c r="F134" s="6">
        <f>IFERROR(VLOOKUP($G134,基本資料!$A:$J,8,0),"無")</f>
        <v>3.34</v>
      </c>
      <c r="G134" s="80">
        <v>3206</v>
      </c>
      <c r="H134" s="5" t="s">
        <v>3388</v>
      </c>
      <c r="I134" s="16" t="s">
        <v>140</v>
      </c>
      <c r="J134" s="8">
        <f>IFERROR(VLOOKUP($G134,今日總結!$A:$AN,39,0),"")</f>
        <v>0</v>
      </c>
      <c r="K134" s="5">
        <f>IFERROR(VLOOKUP($G134,今日總結!$A:$AN,40,0),"")</f>
        <v>0</v>
      </c>
      <c r="L134" s="156">
        <f>IFERROR(VLOOKUP($G134,今日總結!$A:$AN,37,0),"")</f>
        <v>0</v>
      </c>
      <c r="M134" s="337">
        <f>IFERROR(VLOOKUP($G134,今日總結!$A:$AN,38,0),"")</f>
        <v>0</v>
      </c>
      <c r="N134" s="240">
        <f t="shared" si="110"/>
        <v>0</v>
      </c>
      <c r="O134" s="359">
        <f>IFERROR(VLOOKUP($G134,融外自投!$A:$J,7,0),"無")</f>
        <v>796</v>
      </c>
      <c r="P134" s="79" t="str">
        <f>IFERROR(VLOOKUP($G134,融外自投!$A:$J,9,0),"無")</f>
        <v>無</v>
      </c>
      <c r="Q134" s="342">
        <f>IFERROR(VLOOKUP($G134,融外自投!$A:$J,8,0),"無")</f>
        <v>1364</v>
      </c>
      <c r="R134" s="81" t="str">
        <f>IFERROR(VLOOKUP($G134,融外自投!$A:$J,10,0),"無")</f>
        <v>無</v>
      </c>
      <c r="S134" s="324">
        <f>IFERROR(VLOOKUP($G134,'321買'!$A:$E,4,0),"'沒有資料'")</f>
        <v>891</v>
      </c>
      <c r="T134" s="186">
        <f>IFERROR(VLOOKUP($G134,基本資料!$A:$J,9,0),"無")</f>
        <v>1.8</v>
      </c>
      <c r="U134" s="307">
        <f t="shared" si="111"/>
        <v>6.2283737024221457E-2</v>
      </c>
      <c r="V134" s="94">
        <f>IFERROR(VLOOKUP($G134,基本資料!$A:$J,10,0),"無")</f>
        <v>2.39</v>
      </c>
      <c r="W134" s="36">
        <v>28.9</v>
      </c>
      <c r="X134" s="66">
        <v>21.5</v>
      </c>
      <c r="Y134" s="15">
        <f t="shared" si="108"/>
        <v>7.3999999999999986</v>
      </c>
      <c r="Z134" s="63">
        <f t="shared" si="109"/>
        <v>0.34418604651162782</v>
      </c>
      <c r="AA134" s="99" t="s">
        <v>3498</v>
      </c>
      <c r="AB134" s="389">
        <f>IFERROR(VLOOKUP($G134,基本資料!$A:$M,12,0),"無")</f>
        <v>11.39</v>
      </c>
      <c r="AC134" s="16" t="s">
        <v>140</v>
      </c>
      <c r="AD134" s="84">
        <v>44490</v>
      </c>
      <c r="AE134" s="86">
        <v>44501</v>
      </c>
      <c r="AF134" s="33">
        <f t="shared" ref="AF134:AF197" si="112">AE134-AD134</f>
        <v>11</v>
      </c>
      <c r="AG134" s="117" t="s">
        <v>2374</v>
      </c>
      <c r="AH134" s="287"/>
      <c r="AJ134" s="245"/>
      <c r="AK134" s="245"/>
      <c r="AL134" s="284"/>
      <c r="AR134" s="245" t="str">
        <f>INDEX(基本資料!N:N,MATCH($G134,基本資料!$A:$A,0))</f>
        <v>低</v>
      </c>
    </row>
    <row r="135" spans="1:44">
      <c r="A135" s="343">
        <f>IFERROR(VLOOKUP($G135,基本資料!$A:$J,3,0),"無")</f>
        <v>8.9700000000000006</v>
      </c>
      <c r="B135" s="79">
        <f>IFERROR(VLOOKUP($G135,基本資料!$A:$J,4,0),"無")</f>
        <v>1231</v>
      </c>
      <c r="C135" s="79">
        <f>IFERROR(VLOOKUP($G135,基本資料!$A:$J,5,0),"無")</f>
        <v>591</v>
      </c>
      <c r="D135" s="79">
        <f>IFERROR(VLOOKUP($G135,基本資料!$A:$J,6,0),"無")</f>
        <v>-11</v>
      </c>
      <c r="E135" s="79">
        <f>IFERROR(VLOOKUP($G135,基本資料!$A:$J,7,0),"無")</f>
        <v>-9</v>
      </c>
      <c r="F135" s="6">
        <f>IFERROR(VLOOKUP($G135,基本資料!$A:$J,8,0),"無")</f>
        <v>7.19</v>
      </c>
      <c r="G135" s="79">
        <v>8444</v>
      </c>
      <c r="H135" s="8" t="s">
        <v>1959</v>
      </c>
      <c r="I135" s="16" t="s">
        <v>223</v>
      </c>
      <c r="J135" s="8">
        <f>IFERROR(VLOOKUP($G135,今日總結!$A:$AN,39,0),"")</f>
        <v>0</v>
      </c>
      <c r="K135" s="5">
        <f>IFERROR(VLOOKUP($G135,今日總結!$A:$AN,40,0),"")</f>
        <v>0</v>
      </c>
      <c r="L135" s="156">
        <f>IFERROR(VLOOKUP($G135,今日總結!$A:$AN,37,0),"")</f>
        <v>0</v>
      </c>
      <c r="M135" s="337">
        <f>IFERROR(VLOOKUP($G135,今日總結!$A:$AN,38,0),"")</f>
        <v>0</v>
      </c>
      <c r="N135" s="240">
        <f t="shared" si="110"/>
        <v>0</v>
      </c>
      <c r="O135" s="359">
        <f>IFERROR(VLOOKUP($G135,融外自投!$A:$J,7,0),"無")</f>
        <v>585</v>
      </c>
      <c r="P135" s="79" t="str">
        <f>IFERROR(VLOOKUP($G135,融外自投!$A:$J,9,0),"無")</f>
        <v>無</v>
      </c>
      <c r="Q135" s="342">
        <f>IFERROR(VLOOKUP($G135,融外自投!$A:$J,8,0),"無")</f>
        <v>35</v>
      </c>
      <c r="R135" s="81" t="str">
        <f>IFERROR(VLOOKUP($G135,融外自投!$A:$J,10,0),"無")</f>
        <v>無</v>
      </c>
      <c r="S135" s="324">
        <f>IFERROR(VLOOKUP($G135,'321買'!$A:$E,4,0),"'沒有資料'")</f>
        <v>1002</v>
      </c>
      <c r="T135" s="186">
        <f>IFERROR(VLOOKUP($G135,基本資料!$A:$J,9,0),"無")</f>
        <v>0</v>
      </c>
      <c r="U135" s="307">
        <f t="shared" si="111"/>
        <v>0</v>
      </c>
      <c r="V135" s="94">
        <f>IFERROR(VLOOKUP($G135,基本資料!$A:$J,10,0),"無")</f>
        <v>4.62</v>
      </c>
      <c r="W135" s="13">
        <v>105</v>
      </c>
      <c r="X135" s="66">
        <v>78</v>
      </c>
      <c r="Y135" s="15">
        <f t="shared" si="108"/>
        <v>27</v>
      </c>
      <c r="Z135" s="63">
        <f t="shared" si="109"/>
        <v>0.34615384615384615</v>
      </c>
      <c r="AA135" s="99" t="s">
        <v>3496</v>
      </c>
      <c r="AB135" s="389">
        <f>IFERROR(VLOOKUP($G135,基本資料!$A:$M,12,0),"無")</f>
        <v>11.95</v>
      </c>
      <c r="AC135" s="16" t="s">
        <v>223</v>
      </c>
      <c r="AD135" s="84">
        <v>44489</v>
      </c>
      <c r="AE135" s="86">
        <v>44501</v>
      </c>
      <c r="AF135" s="33">
        <f t="shared" si="112"/>
        <v>12</v>
      </c>
      <c r="AG135" s="117" t="s">
        <v>2479</v>
      </c>
      <c r="AH135" s="287"/>
      <c r="AJ135" s="245"/>
      <c r="AK135" s="245"/>
      <c r="AL135" s="284"/>
      <c r="AR135" s="245" t="str">
        <f>INDEX(基本資料!N:N,MATCH($G135,基本資料!$A:$A,0))</f>
        <v>低</v>
      </c>
    </row>
    <row r="136" spans="1:44">
      <c r="A136" s="343">
        <f>IFERROR(VLOOKUP($G136,基本資料!$A:$J,3,0),"無")</f>
        <v>20</v>
      </c>
      <c r="B136" s="79">
        <f>IFERROR(VLOOKUP($G136,基本資料!$A:$J,4,0),"無")</f>
        <v>32</v>
      </c>
      <c r="C136" s="79">
        <f>IFERROR(VLOOKUP($G136,基本資料!$A:$J,5,0),"無")</f>
        <v>37</v>
      </c>
      <c r="D136" s="79">
        <f>IFERROR(VLOOKUP($G136,基本資料!$A:$J,6,0),"無")</f>
        <v>-20</v>
      </c>
      <c r="E136" s="79">
        <f>IFERROR(VLOOKUP($G136,基本資料!$A:$J,7,0),"無")</f>
        <v>-6</v>
      </c>
      <c r="F136" s="6">
        <f>IFERROR(VLOOKUP($G136,基本資料!$A:$J,8,0),"無")</f>
        <v>32.35</v>
      </c>
      <c r="G136" s="80">
        <v>1590</v>
      </c>
      <c r="H136" s="193" t="s">
        <v>295</v>
      </c>
      <c r="I136" s="22" t="s">
        <v>127</v>
      </c>
      <c r="J136" s="8">
        <f>IFERROR(VLOOKUP($G136,今日總結!$A:$AN,39,0),"")</f>
        <v>0</v>
      </c>
      <c r="K136" s="5" t="str">
        <f>IFERROR(VLOOKUP($G136,今日總結!$A:$AN,40,0),"")</f>
        <v>借</v>
      </c>
      <c r="L136" s="156">
        <f>IFERROR(VLOOKUP($G136,今日總結!$A:$AN,37,0),"")</f>
        <v>0</v>
      </c>
      <c r="M136" s="337">
        <f>IFERROR(VLOOKUP($G136,今日總結!$A:$AN,38,0),"")</f>
        <v>5</v>
      </c>
      <c r="N136" s="240">
        <f t="shared" si="110"/>
        <v>-5</v>
      </c>
      <c r="O136" s="359">
        <f>IFERROR(VLOOKUP($G136,融外自投!$A:$J,7,0),"無")</f>
        <v>1281</v>
      </c>
      <c r="P136" s="79">
        <f>IFERROR(VLOOKUP($G136,融外自投!$A:$J,9,0),"無")</f>
        <v>741</v>
      </c>
      <c r="Q136" s="342">
        <f>IFERROR(VLOOKUP($G136,融外自投!$A:$J,8,0),"無")</f>
        <v>7</v>
      </c>
      <c r="R136" s="81">
        <f>IFERROR(VLOOKUP($G136,融外自投!$A:$J,10,0),"無")</f>
        <v>213</v>
      </c>
      <c r="S136" s="324">
        <f>IFERROR(VLOOKUP($G136,'321買'!$A:$E,4,0),"'沒有資料'")</f>
        <v>801</v>
      </c>
      <c r="T136" s="186">
        <f>IFERROR(VLOOKUP($G136,基本資料!$A:$J,9,0),"無")</f>
        <v>13.31</v>
      </c>
      <c r="U136" s="307">
        <f t="shared" si="111"/>
        <v>1.5567251461988304E-2</v>
      </c>
      <c r="V136" s="94">
        <f>IFERROR(VLOOKUP($G136,基本資料!$A:$J,10,0),"無")</f>
        <v>33.67</v>
      </c>
      <c r="W136" s="150">
        <v>855</v>
      </c>
      <c r="X136" s="66">
        <v>718</v>
      </c>
      <c r="Y136" s="137">
        <f t="shared" si="108"/>
        <v>137</v>
      </c>
      <c r="Z136" s="63">
        <f t="shared" si="109"/>
        <v>0.19080779944289694</v>
      </c>
      <c r="AA136" s="99" t="s">
        <v>3497</v>
      </c>
      <c r="AB136" s="389">
        <f>IFERROR(VLOOKUP($G136,基本資料!$A:$M,12,0),"無")</f>
        <v>32.299999999999997</v>
      </c>
      <c r="AC136" s="22" t="s">
        <v>127</v>
      </c>
      <c r="AD136" s="84">
        <v>44489</v>
      </c>
      <c r="AE136" s="86">
        <v>44501</v>
      </c>
      <c r="AF136" s="33">
        <f t="shared" si="112"/>
        <v>12</v>
      </c>
      <c r="AG136" s="117" t="s">
        <v>2535</v>
      </c>
      <c r="AH136" s="287"/>
      <c r="AJ136" s="245"/>
      <c r="AK136" s="245"/>
      <c r="AL136" s="284"/>
      <c r="AR136" s="245" t="str">
        <f>INDEX(基本資料!N:N,MATCH($G136,基本資料!$A:$A,0))</f>
        <v>中</v>
      </c>
    </row>
    <row r="137" spans="1:44">
      <c r="A137" s="343">
        <f>IFERROR(VLOOKUP($G137,基本資料!$A:$J,3,0),"無")</f>
        <v>7.79</v>
      </c>
      <c r="B137" s="79">
        <f>IFERROR(VLOOKUP($G137,基本資料!$A:$J,4,0),"無")</f>
        <v>35</v>
      </c>
      <c r="C137" s="79">
        <f>IFERROR(VLOOKUP($G137,基本資料!$A:$J,5,0),"無")</f>
        <v>-16</v>
      </c>
      <c r="D137" s="79">
        <f>IFERROR(VLOOKUP($G137,基本資料!$A:$J,6,0),"無")</f>
        <v>-34</v>
      </c>
      <c r="E137" s="79">
        <f>IFERROR(VLOOKUP($G137,基本資料!$A:$J,7,0),"無")</f>
        <v>-5</v>
      </c>
      <c r="F137" s="6">
        <f>IFERROR(VLOOKUP($G137,基本資料!$A:$J,8,0),"無")</f>
        <v>5.23</v>
      </c>
      <c r="G137" s="80">
        <v>3483</v>
      </c>
      <c r="H137" s="183" t="s">
        <v>1145</v>
      </c>
      <c r="I137" s="16" t="s">
        <v>6110</v>
      </c>
      <c r="J137" s="8">
        <f>IFERROR(VLOOKUP($G137,今日總結!$A:$AN,39,0),"")</f>
        <v>0</v>
      </c>
      <c r="K137" s="5">
        <f>IFERROR(VLOOKUP($G137,今日總結!$A:$AN,40,0),"")</f>
        <v>0</v>
      </c>
      <c r="L137" s="156">
        <f>IFERROR(VLOOKUP($G137,今日總結!$A:$AN,37,0),"")</f>
        <v>0</v>
      </c>
      <c r="M137" s="337">
        <f>IFERROR(VLOOKUP($G137,今日總結!$A:$AN,38,0),"")</f>
        <v>0</v>
      </c>
      <c r="N137" s="240">
        <f t="shared" si="110"/>
        <v>0</v>
      </c>
      <c r="O137" s="359">
        <f>IFERROR(VLOOKUP($G137,融外自投!$A:$J,7,0),"無")</f>
        <v>9</v>
      </c>
      <c r="P137" s="79">
        <f>IFERROR(VLOOKUP($G137,融外自投!$A:$J,9,0),"無")</f>
        <v>790</v>
      </c>
      <c r="Q137" s="342">
        <f>IFERROR(VLOOKUP($G137,融外自投!$A:$J,8,0),"無")</f>
        <v>1153</v>
      </c>
      <c r="R137" s="81">
        <f>IFERROR(VLOOKUP($G137,融外自投!$A:$J,10,0),"無")</f>
        <v>269</v>
      </c>
      <c r="S137" s="324">
        <f>IFERROR(VLOOKUP($G137,'321買'!$A:$E,4,0),"'沒有資料'")</f>
        <v>214</v>
      </c>
      <c r="T137" s="186">
        <f>IFERROR(VLOOKUP($G137,基本資料!$A:$J,9,0),"無")</f>
        <v>3</v>
      </c>
      <c r="U137" s="307">
        <f t="shared" si="111"/>
        <v>4.1841004184100417E-2</v>
      </c>
      <c r="V137" s="94">
        <f>IFERROR(VLOOKUP($G137,基本資料!$A:$J,10,0),"無")</f>
        <v>5.34</v>
      </c>
      <c r="W137" s="36">
        <v>71.7</v>
      </c>
      <c r="X137" s="45">
        <v>54</v>
      </c>
      <c r="Y137" s="15">
        <f t="shared" si="108"/>
        <v>17.700000000000003</v>
      </c>
      <c r="Z137" s="63">
        <f t="shared" si="109"/>
        <v>0.32777777777777783</v>
      </c>
      <c r="AA137" s="99" t="s">
        <v>3494</v>
      </c>
      <c r="AB137" s="389">
        <f>IFERROR(VLOOKUP($G137,基本資料!$A:$M,12,0),"無")</f>
        <v>13.22</v>
      </c>
      <c r="AC137" s="16" t="s">
        <v>472</v>
      </c>
      <c r="AD137" s="84">
        <v>44488</v>
      </c>
      <c r="AE137" s="86">
        <v>44498</v>
      </c>
      <c r="AF137" s="33">
        <f t="shared" si="112"/>
        <v>10</v>
      </c>
      <c r="AG137" s="43" t="s">
        <v>2925</v>
      </c>
      <c r="AH137" s="287"/>
      <c r="AJ137" s="245"/>
      <c r="AK137" s="245"/>
      <c r="AL137" s="284"/>
      <c r="AR137" s="245" t="str">
        <f>INDEX(基本資料!N:N,MATCH($G137,基本資料!$A:$A,0))</f>
        <v>低</v>
      </c>
    </row>
    <row r="138" spans="1:44">
      <c r="A138" s="343">
        <f>IFERROR(VLOOKUP($G138,基本資料!$A:$J,3,0),"無")</f>
        <v>54.09</v>
      </c>
      <c r="B138" s="79">
        <f>IFERROR(VLOOKUP($G138,基本資料!$A:$J,4,0),"無")</f>
        <v>123</v>
      </c>
      <c r="C138" s="79">
        <f>IFERROR(VLOOKUP($G138,基本資料!$A:$J,5,0),"無")</f>
        <v>170</v>
      </c>
      <c r="D138" s="79">
        <f>IFERROR(VLOOKUP($G138,基本資料!$A:$J,6,0),"無")</f>
        <v>-4</v>
      </c>
      <c r="E138" s="79">
        <f>IFERROR(VLOOKUP($G138,基本資料!$A:$J,7,0),"無")</f>
        <v>20</v>
      </c>
      <c r="F138" s="6">
        <f>IFERROR(VLOOKUP($G138,基本資料!$A:$J,8,0),"無")</f>
        <v>19.239999999999998</v>
      </c>
      <c r="G138" s="80">
        <v>6182</v>
      </c>
      <c r="H138" s="236" t="s">
        <v>3038</v>
      </c>
      <c r="I138" s="16" t="s">
        <v>166</v>
      </c>
      <c r="J138" s="8">
        <f>IFERROR(VLOOKUP($G138,今日總結!$A:$AN,39,0),"")</f>
        <v>0</v>
      </c>
      <c r="K138" s="5">
        <f>IFERROR(VLOOKUP($G138,今日總結!$A:$AN,40,0),"")</f>
        <v>24</v>
      </c>
      <c r="L138" s="156">
        <f>IFERROR(VLOOKUP($G138,今日總結!$A:$AN,37,0),"")</f>
        <v>0</v>
      </c>
      <c r="M138" s="337">
        <f>IFERROR(VLOOKUP($G138,今日總結!$A:$AN,38,0),"")</f>
        <v>2</v>
      </c>
      <c r="N138" s="240">
        <f t="shared" si="110"/>
        <v>-2</v>
      </c>
      <c r="O138" s="359">
        <f>IFERROR(VLOOKUP($G138,融外自投!$A:$J,7,0),"無")</f>
        <v>100</v>
      </c>
      <c r="P138" s="79">
        <f>IFERROR(VLOOKUP($G138,融外自投!$A:$J,9,0),"無")</f>
        <v>696</v>
      </c>
      <c r="Q138" s="342">
        <f>IFERROR(VLOOKUP($G138,融外自投!$A:$J,8,0),"無")</f>
        <v>368</v>
      </c>
      <c r="R138" s="81">
        <f>IFERROR(VLOOKUP($G138,融外自投!$A:$J,10,0),"無")</f>
        <v>314</v>
      </c>
      <c r="S138" s="324">
        <f>IFERROR(VLOOKUP($G138,'321買'!$A:$E,4,0),"'沒有資料'")</f>
        <v>33</v>
      </c>
      <c r="T138" s="186">
        <f>IFERROR(VLOOKUP($G138,基本資料!$A:$J,9,0),"無")</f>
        <v>1.35</v>
      </c>
      <c r="U138" s="307">
        <f t="shared" si="111"/>
        <v>2.1915584415584416E-2</v>
      </c>
      <c r="V138" s="94">
        <f>IFERROR(VLOOKUP($G138,基本資料!$A:$J,10,0),"無")</f>
        <v>2.02</v>
      </c>
      <c r="W138" s="36">
        <v>61.6</v>
      </c>
      <c r="X138" s="45">
        <v>52</v>
      </c>
      <c r="Y138" s="15">
        <f t="shared" si="108"/>
        <v>9.6000000000000014</v>
      </c>
      <c r="Z138" s="63">
        <f t="shared" si="109"/>
        <v>0.18461538461538465</v>
      </c>
      <c r="AA138" s="99" t="s">
        <v>3493</v>
      </c>
      <c r="AB138" s="389">
        <f>IFERROR(VLOOKUP($G138,基本資料!$A:$M,12,0),"無")</f>
        <v>21.07</v>
      </c>
      <c r="AC138" s="16" t="s">
        <v>166</v>
      </c>
      <c r="AD138" s="84">
        <v>44487</v>
      </c>
      <c r="AE138" s="86">
        <v>44497</v>
      </c>
      <c r="AF138" s="33">
        <f t="shared" si="112"/>
        <v>10</v>
      </c>
      <c r="AG138" s="117" t="s">
        <v>2167</v>
      </c>
      <c r="AH138" s="287"/>
      <c r="AJ138" s="245"/>
      <c r="AK138" s="245"/>
      <c r="AL138" s="284"/>
      <c r="AR138" s="245" t="str">
        <f>INDEX(基本資料!N:N,MATCH($G138,基本資料!$A:$A,0))</f>
        <v>低</v>
      </c>
    </row>
    <row r="139" spans="1:44">
      <c r="A139" s="343">
        <f>IFERROR(VLOOKUP($G139,基本資料!$A:$J,3,0),"無")</f>
        <v>22.5</v>
      </c>
      <c r="B139" s="79">
        <f>IFERROR(VLOOKUP($G139,基本資料!$A:$J,4,0),"無")</f>
        <v>-17251</v>
      </c>
      <c r="C139" s="79">
        <f>IFERROR(VLOOKUP($G139,基本資料!$A:$J,5,0),"無")</f>
        <v>-10351</v>
      </c>
      <c r="D139" s="79">
        <f>IFERROR(VLOOKUP($G139,基本資料!$A:$J,6,0),"無")</f>
        <v>45</v>
      </c>
      <c r="E139" s="79">
        <f>IFERROR(VLOOKUP($G139,基本資料!$A:$J,7,0),"無")</f>
        <v>-21</v>
      </c>
      <c r="F139" s="6">
        <f>IFERROR(VLOOKUP($G139,基本資料!$A:$J,8,0),"無")</f>
        <v>-33.979999999999997</v>
      </c>
      <c r="G139" s="79">
        <v>4934</v>
      </c>
      <c r="H139" s="8" t="s">
        <v>306</v>
      </c>
      <c r="I139" s="22" t="s">
        <v>446</v>
      </c>
      <c r="J139" s="8" t="str">
        <f>IFERROR(VLOOKUP($G139,今日總結!$A:$AN,39,0),"")</f>
        <v/>
      </c>
      <c r="K139" s="5" t="str">
        <f>IFERROR(VLOOKUP($G139,今日總結!$A:$AN,40,0),"")</f>
        <v/>
      </c>
      <c r="L139" s="156" t="str">
        <f>IFERROR(VLOOKUP($G139,今日總結!$A:$AN,37,0),"")</f>
        <v/>
      </c>
      <c r="M139" s="337" t="str">
        <f>IFERROR(VLOOKUP($G139,今日總結!$A:$AN,38,0),"")</f>
        <v/>
      </c>
      <c r="N139" s="240" t="str">
        <f t="shared" si="110"/>
        <v/>
      </c>
      <c r="O139" s="359" t="str">
        <f>IFERROR(VLOOKUP($G139,融外自投!$A:$J,7,0),"無")</f>
        <v>無</v>
      </c>
      <c r="P139" s="79" t="str">
        <f>IFERROR(VLOOKUP($G139,融外自投!$A:$J,9,0),"無")</f>
        <v>無</v>
      </c>
      <c r="Q139" s="342" t="str">
        <f>IFERROR(VLOOKUP($G139,融外自投!$A:$J,8,0),"無")</f>
        <v>無</v>
      </c>
      <c r="R139" s="81" t="str">
        <f>IFERROR(VLOOKUP($G139,融外自投!$A:$J,10,0),"無")</f>
        <v>無</v>
      </c>
      <c r="S139" s="324" t="str">
        <f>IFERROR(VLOOKUP($G139,'321買'!$A:$E,4,0),"'沒有資料'")</f>
        <v>'沒有資料'</v>
      </c>
      <c r="T139" s="186">
        <f>IFERROR(VLOOKUP($G139,基本資料!$A:$J,9,0),"無")</f>
        <v>0</v>
      </c>
      <c r="U139" s="307">
        <f t="shared" si="111"/>
        <v>0</v>
      </c>
      <c r="V139" s="94">
        <f>IFERROR(VLOOKUP($G139,基本資料!$A:$J,10,0),"無")</f>
        <v>-4.1900000000000004</v>
      </c>
      <c r="W139" s="36">
        <v>35.25</v>
      </c>
      <c r="X139" s="66">
        <v>29.1</v>
      </c>
      <c r="Y139" s="15">
        <f t="shared" si="108"/>
        <v>6.1499999999999986</v>
      </c>
      <c r="Z139" s="63">
        <f t="shared" si="109"/>
        <v>0.21134020618556695</v>
      </c>
      <c r="AA139" s="99" t="s">
        <v>3487</v>
      </c>
      <c r="AB139" s="389">
        <f>IFERROR(VLOOKUP($G139,基本資料!$A:$M,12,0),"無")</f>
        <v>8.92</v>
      </c>
      <c r="AC139" s="22" t="s">
        <v>446</v>
      </c>
      <c r="AD139" s="84">
        <v>44481</v>
      </c>
      <c r="AE139" s="86">
        <v>44491</v>
      </c>
      <c r="AF139" s="33">
        <f t="shared" si="112"/>
        <v>10</v>
      </c>
      <c r="AG139" s="43" t="s">
        <v>2019</v>
      </c>
      <c r="AH139" s="287"/>
      <c r="AJ139" s="245"/>
      <c r="AK139" s="245"/>
      <c r="AL139" s="284"/>
      <c r="AR139" s="245" t="str">
        <f>INDEX(基本資料!N:N,MATCH($G139,基本資料!$A:$A,0))</f>
        <v>低</v>
      </c>
    </row>
    <row r="140" spans="1:44">
      <c r="A140" s="343">
        <f>IFERROR(VLOOKUP($G140,基本資料!$A:$J,3,0),"無")</f>
        <v>3.7</v>
      </c>
      <c r="B140" s="79">
        <f>IFERROR(VLOOKUP($G140,基本資料!$A:$J,4,0),"無")</f>
        <v>-1</v>
      </c>
      <c r="C140" s="79">
        <f>IFERROR(VLOOKUP($G140,基本資料!$A:$J,5,0),"無")</f>
        <v>-22</v>
      </c>
      <c r="D140" s="79">
        <f>IFERROR(VLOOKUP($G140,基本資料!$A:$J,6,0),"無")</f>
        <v>-8</v>
      </c>
      <c r="E140" s="79">
        <f>IFERROR(VLOOKUP($G140,基本資料!$A:$J,7,0),"無")</f>
        <v>-28</v>
      </c>
      <c r="F140" s="6">
        <f>IFERROR(VLOOKUP($G140,基本資料!$A:$J,8,0),"無")</f>
        <v>10.37</v>
      </c>
      <c r="G140" s="80">
        <v>6641</v>
      </c>
      <c r="H140" s="5" t="s">
        <v>1959</v>
      </c>
      <c r="I140" s="22" t="s">
        <v>1088</v>
      </c>
      <c r="J140" s="8" t="str">
        <f>IFERROR(VLOOKUP($G140,今日總結!$A:$AN,39,0),"")</f>
        <v/>
      </c>
      <c r="K140" s="5" t="str">
        <f>IFERROR(VLOOKUP($G140,今日總結!$A:$AN,40,0),"")</f>
        <v/>
      </c>
      <c r="L140" s="156" t="str">
        <f>IFERROR(VLOOKUP($G140,今日總結!$A:$AN,37,0),"")</f>
        <v/>
      </c>
      <c r="M140" s="337" t="str">
        <f>IFERROR(VLOOKUP($G140,今日總結!$A:$AN,38,0),"")</f>
        <v/>
      </c>
      <c r="N140" s="240" t="str">
        <f t="shared" si="110"/>
        <v/>
      </c>
      <c r="O140" s="359">
        <f>IFERROR(VLOOKUP($G140,融外自投!$A:$J,7,0),"無")</f>
        <v>1144</v>
      </c>
      <c r="P140" s="79" t="str">
        <f>IFERROR(VLOOKUP($G140,融外自投!$A:$J,9,0),"無")</f>
        <v>無</v>
      </c>
      <c r="Q140" s="342">
        <f>IFERROR(VLOOKUP($G140,融外自投!$A:$J,8,0),"無")</f>
        <v>176</v>
      </c>
      <c r="R140" s="81" t="str">
        <f>IFERROR(VLOOKUP($G140,融外自投!$A:$J,10,0),"無")</f>
        <v>無</v>
      </c>
      <c r="S140" s="324" t="str">
        <f>IFERROR(VLOOKUP($G140,'321買'!$A:$E,4,0),"'沒有資料'")</f>
        <v>'沒有資料'</v>
      </c>
      <c r="T140" s="186">
        <f>IFERROR(VLOOKUP($G140,基本資料!$A:$J,9,0),"無")</f>
        <v>4.5</v>
      </c>
      <c r="U140" s="307">
        <f t="shared" si="111"/>
        <v>8.0357142857142863E-2</v>
      </c>
      <c r="V140" s="94">
        <f>IFERROR(VLOOKUP($G140,基本資料!$A:$J,10,0),"無")</f>
        <v>6.3</v>
      </c>
      <c r="W140" s="36">
        <v>56</v>
      </c>
      <c r="X140" s="66">
        <v>50</v>
      </c>
      <c r="Y140" s="15">
        <f t="shared" si="108"/>
        <v>6</v>
      </c>
      <c r="Z140" s="63">
        <f t="shared" si="109"/>
        <v>0.12</v>
      </c>
      <c r="AA140" s="99" t="s">
        <v>1702</v>
      </c>
      <c r="AB140" s="389">
        <f>IFERROR(VLOOKUP($G140,基本資料!$A:$M,12,0),"無")</f>
        <v>21.17</v>
      </c>
      <c r="AC140" s="22" t="s">
        <v>1088</v>
      </c>
      <c r="AD140" s="84">
        <v>44477</v>
      </c>
      <c r="AE140" s="86">
        <v>44487</v>
      </c>
      <c r="AF140" s="33">
        <f t="shared" si="112"/>
        <v>10</v>
      </c>
      <c r="AG140" s="43" t="s">
        <v>2824</v>
      </c>
      <c r="AH140" s="287"/>
      <c r="AJ140" s="245"/>
      <c r="AK140" s="245"/>
      <c r="AL140" s="284"/>
      <c r="AR140" s="245" t="str">
        <f>INDEX(基本資料!N:N,MATCH($G140,基本資料!$A:$A,0))</f>
        <v>中</v>
      </c>
    </row>
    <row r="141" spans="1:44">
      <c r="A141" s="343">
        <f>IFERROR(VLOOKUP($G141,基本資料!$A:$J,3,0),"無")</f>
        <v>18.989999999999998</v>
      </c>
      <c r="B141" s="79">
        <f>IFERROR(VLOOKUP($G141,基本資料!$A:$J,4,0),"無")</f>
        <v>-57</v>
      </c>
      <c r="C141" s="79">
        <f>IFERROR(VLOOKUP($G141,基本資料!$A:$J,5,0),"無")</f>
        <v>-23</v>
      </c>
      <c r="D141" s="79">
        <f>IFERROR(VLOOKUP($G141,基本資料!$A:$J,6,0),"無")</f>
        <v>-28</v>
      </c>
      <c r="E141" s="79">
        <f>IFERROR(VLOOKUP($G141,基本資料!$A:$J,7,0),"無")</f>
        <v>-28</v>
      </c>
      <c r="F141" s="6">
        <f>IFERROR(VLOOKUP($G141,基本資料!$A:$J,8,0),"無")</f>
        <v>1.79</v>
      </c>
      <c r="G141" s="80">
        <v>5498</v>
      </c>
      <c r="H141" s="5" t="s">
        <v>3388</v>
      </c>
      <c r="I141" s="16" t="s">
        <v>422</v>
      </c>
      <c r="J141" s="8">
        <f>IFERROR(VLOOKUP($G141,今日總結!$A:$AN,39,0),"")</f>
        <v>0</v>
      </c>
      <c r="K141" s="5">
        <f>IFERROR(VLOOKUP($G141,今日總結!$A:$AN,40,0),"")</f>
        <v>0</v>
      </c>
      <c r="L141" s="156">
        <f>IFERROR(VLOOKUP($G141,今日總結!$A:$AN,37,0),"")</f>
        <v>0</v>
      </c>
      <c r="M141" s="337">
        <f>IFERROR(VLOOKUP($G141,今日總結!$A:$AN,38,0),"")</f>
        <v>0</v>
      </c>
      <c r="N141" s="240">
        <f t="shared" si="110"/>
        <v>0</v>
      </c>
      <c r="O141" s="359">
        <f>IFERROR(VLOOKUP($G141,融外自投!$A:$J,7,0),"無")</f>
        <v>621</v>
      </c>
      <c r="P141" s="79" t="str">
        <f>IFERROR(VLOOKUP($G141,融外自投!$A:$J,9,0),"無")</f>
        <v>無</v>
      </c>
      <c r="Q141" s="342">
        <f>IFERROR(VLOOKUP($G141,融外自投!$A:$J,8,0),"無")</f>
        <v>1200</v>
      </c>
      <c r="R141" s="81" t="str">
        <f>IFERROR(VLOOKUP($G141,融外自投!$A:$J,10,0),"無")</f>
        <v>無</v>
      </c>
      <c r="S141" s="324">
        <f>IFERROR(VLOOKUP($G141,'321買'!$A:$E,4,0),"'沒有資料'")</f>
        <v>743</v>
      </c>
      <c r="T141" s="186">
        <f>IFERROR(VLOOKUP($G141,基本資料!$A:$J,9,0),"無")</f>
        <v>0</v>
      </c>
      <c r="U141" s="307">
        <f t="shared" si="111"/>
        <v>0</v>
      </c>
      <c r="V141" s="94">
        <f>IFERROR(VLOOKUP($G141,基本資料!$A:$J,10,0),"無")</f>
        <v>0.18</v>
      </c>
      <c r="W141" s="36">
        <v>14</v>
      </c>
      <c r="X141" s="66">
        <v>14.6</v>
      </c>
      <c r="Y141" s="15">
        <f t="shared" si="108"/>
        <v>-0.59999999999999964</v>
      </c>
      <c r="Z141" s="76">
        <f t="shared" si="109"/>
        <v>-4.1095890410958881E-2</v>
      </c>
      <c r="AA141" s="99" t="s">
        <v>1739</v>
      </c>
      <c r="AB141" s="389">
        <f>IFERROR(VLOOKUP($G141,基本資料!$A:$M,12,0),"無")</f>
        <v>6.14</v>
      </c>
      <c r="AC141" s="16" t="s">
        <v>422</v>
      </c>
      <c r="AD141" s="84">
        <v>44477</v>
      </c>
      <c r="AE141" s="86">
        <v>44487</v>
      </c>
      <c r="AF141" s="33">
        <f t="shared" si="112"/>
        <v>10</v>
      </c>
      <c r="AG141" s="43" t="s">
        <v>423</v>
      </c>
      <c r="AH141" s="287"/>
      <c r="AJ141" s="245"/>
      <c r="AK141" s="245"/>
      <c r="AL141" s="284"/>
      <c r="AR141" s="245" t="str">
        <f>INDEX(基本資料!N:N,MATCH($G141,基本資料!$A:$A,0))</f>
        <v>低</v>
      </c>
    </row>
    <row r="142" spans="1:44">
      <c r="A142" s="343">
        <f>IFERROR(VLOOKUP($G142,基本資料!$A:$J,3,0),"無")</f>
        <v>1.92</v>
      </c>
      <c r="B142" s="79">
        <f>IFERROR(VLOOKUP($G142,基本資料!$A:$J,4,0),"無")</f>
        <v>9</v>
      </c>
      <c r="C142" s="79">
        <f>IFERROR(VLOOKUP($G142,基本資料!$A:$J,5,0),"無")</f>
        <v>5</v>
      </c>
      <c r="D142" s="79">
        <f>IFERROR(VLOOKUP($G142,基本資料!$A:$J,6,0),"無")</f>
        <v>0</v>
      </c>
      <c r="E142" s="79">
        <f>IFERROR(VLOOKUP($G142,基本資料!$A:$J,7,0),"無")</f>
        <v>9</v>
      </c>
      <c r="F142" s="6">
        <f>IFERROR(VLOOKUP($G142,基本資料!$A:$J,8,0),"無")</f>
        <v>8.56</v>
      </c>
      <c r="G142" s="80">
        <v>2947</v>
      </c>
      <c r="H142" s="8" t="s">
        <v>6108</v>
      </c>
      <c r="I142" s="16" t="s">
        <v>3455</v>
      </c>
      <c r="J142" s="8" t="str">
        <f>IFERROR(VLOOKUP($G142,今日總結!$A:$AN,39,0),"")</f>
        <v/>
      </c>
      <c r="K142" s="5" t="str">
        <f>IFERROR(VLOOKUP($G142,今日總結!$A:$AN,40,0),"")</f>
        <v/>
      </c>
      <c r="L142" s="156" t="str">
        <f>IFERROR(VLOOKUP($G142,今日總結!$A:$AN,37,0),"")</f>
        <v/>
      </c>
      <c r="M142" s="337" t="str">
        <f>IFERROR(VLOOKUP($G142,今日總結!$A:$AN,38,0),"")</f>
        <v/>
      </c>
      <c r="N142" s="240" t="str">
        <f t="shared" si="110"/>
        <v/>
      </c>
      <c r="O142" s="359" t="str">
        <f>IFERROR(VLOOKUP($G142,融外自投!$A:$J,7,0),"無")</f>
        <v>無</v>
      </c>
      <c r="P142" s="79" t="str">
        <f>IFERROR(VLOOKUP($G142,融外自投!$A:$J,9,0),"無")</f>
        <v>無</v>
      </c>
      <c r="Q142" s="342" t="str">
        <f>IFERROR(VLOOKUP($G142,融外自投!$A:$J,8,0),"無")</f>
        <v>無</v>
      </c>
      <c r="R142" s="81" t="str">
        <f>IFERROR(VLOOKUP($G142,融外自投!$A:$J,10,0),"無")</f>
        <v>無</v>
      </c>
      <c r="S142" s="324" t="str">
        <f>IFERROR(VLOOKUP($G142,'321買'!$A:$E,4,0),"'沒有資料'")</f>
        <v>'沒有資料'</v>
      </c>
      <c r="T142" s="186">
        <f>IFERROR(VLOOKUP($G142,基本資料!$A:$J,9,0),"無")</f>
        <v>3.8</v>
      </c>
      <c r="U142" s="307">
        <f t="shared" si="111"/>
        <v>3.619047619047619E-2</v>
      </c>
      <c r="V142" s="94">
        <f>IFERROR(VLOOKUP($G142,基本資料!$A:$J,10,0),"無")</f>
        <v>6.26</v>
      </c>
      <c r="W142" s="36">
        <v>105</v>
      </c>
      <c r="X142" s="66">
        <v>80</v>
      </c>
      <c r="Y142" s="15">
        <f t="shared" si="108"/>
        <v>25</v>
      </c>
      <c r="Z142" s="63">
        <f t="shared" si="109"/>
        <v>0.3125</v>
      </c>
      <c r="AA142" s="99" t="s">
        <v>3485</v>
      </c>
      <c r="AB142" s="389" t="str">
        <f>IFERROR(VLOOKUP($G142,基本資料!$A:$M,12,0),"無")</f>
        <v>無</v>
      </c>
      <c r="AC142" s="16" t="s">
        <v>3455</v>
      </c>
      <c r="AD142" s="84">
        <v>44475</v>
      </c>
      <c r="AE142" s="86">
        <v>44487</v>
      </c>
      <c r="AF142" s="33">
        <f t="shared" si="112"/>
        <v>12</v>
      </c>
      <c r="AG142" s="43" t="s">
        <v>3456</v>
      </c>
      <c r="AH142" s="287"/>
      <c r="AJ142" s="245"/>
      <c r="AK142" s="245"/>
      <c r="AL142" s="284"/>
      <c r="AR142" s="245" t="str">
        <f>INDEX(基本資料!N:N,MATCH($G142,基本資料!$A:$A,0))</f>
        <v>無</v>
      </c>
    </row>
    <row r="143" spans="1:44">
      <c r="A143" s="343">
        <f>IFERROR(VLOOKUP($G143,基本資料!$A:$J,3,0),"無")</f>
        <v>4.22</v>
      </c>
      <c r="B143" s="79">
        <f>IFERROR(VLOOKUP($G143,基本資料!$A:$J,4,0),"無")</f>
        <v>17</v>
      </c>
      <c r="C143" s="79">
        <f>IFERROR(VLOOKUP($G143,基本資料!$A:$J,5,0),"無")</f>
        <v>10</v>
      </c>
      <c r="D143" s="79">
        <f>IFERROR(VLOOKUP($G143,基本資料!$A:$J,6,0),"無")</f>
        <v>12</v>
      </c>
      <c r="E143" s="79">
        <f>IFERROR(VLOOKUP($G143,基本資料!$A:$J,7,0),"無")</f>
        <v>22</v>
      </c>
      <c r="F143" s="6">
        <f>IFERROR(VLOOKUP($G143,基本資料!$A:$J,8,0),"無")</f>
        <v>12.09</v>
      </c>
      <c r="G143" s="80">
        <v>6417</v>
      </c>
      <c r="H143" s="5" t="s">
        <v>311</v>
      </c>
      <c r="I143" s="16" t="s">
        <v>4427</v>
      </c>
      <c r="J143" s="8" t="str">
        <f>IFERROR(VLOOKUP($G143,今日總結!$A:$AN,39,0),"")</f>
        <v/>
      </c>
      <c r="K143" s="5" t="str">
        <f>IFERROR(VLOOKUP($G143,今日總結!$A:$AN,40,0),"")</f>
        <v/>
      </c>
      <c r="L143" s="156" t="str">
        <f>IFERROR(VLOOKUP($G143,今日總結!$A:$AN,37,0),"")</f>
        <v/>
      </c>
      <c r="M143" s="337" t="str">
        <f>IFERROR(VLOOKUP($G143,今日總結!$A:$AN,38,0),"")</f>
        <v/>
      </c>
      <c r="N143" s="240" t="str">
        <f t="shared" si="110"/>
        <v/>
      </c>
      <c r="O143" s="359">
        <f>IFERROR(VLOOKUP($G143,融外自投!$A:$J,7,0),"無")</f>
        <v>149</v>
      </c>
      <c r="P143" s="79" t="str">
        <f>IFERROR(VLOOKUP($G143,融外自投!$A:$J,9,0),"無")</f>
        <v>無</v>
      </c>
      <c r="Q143" s="342">
        <f>IFERROR(VLOOKUP($G143,融外自投!$A:$J,8,0),"無")</f>
        <v>444</v>
      </c>
      <c r="R143" s="81" t="str">
        <f>IFERROR(VLOOKUP($G143,融外自投!$A:$J,10,0),"無")</f>
        <v>無</v>
      </c>
      <c r="S143" s="324" t="str">
        <f>IFERROR(VLOOKUP($G143,'321買'!$A:$E,4,0),"'沒有資料'")</f>
        <v>'沒有資料'</v>
      </c>
      <c r="T143" s="186">
        <f>IFERROR(VLOOKUP($G143,基本資料!$A:$J,9,0),"無")</f>
        <v>1.5</v>
      </c>
      <c r="U143" s="307">
        <f t="shared" si="111"/>
        <v>2.5000000000000001E-2</v>
      </c>
      <c r="V143" s="94">
        <f>IFERROR(VLOOKUP($G143,基本資料!$A:$J,10,0),"無")</f>
        <v>3.02</v>
      </c>
      <c r="W143" s="36">
        <v>60</v>
      </c>
      <c r="X143" s="45">
        <v>60</v>
      </c>
      <c r="Y143" s="15">
        <f t="shared" si="108"/>
        <v>0</v>
      </c>
      <c r="Z143" s="63">
        <f t="shared" si="109"/>
        <v>0</v>
      </c>
      <c r="AA143" s="99" t="s">
        <v>3476</v>
      </c>
      <c r="AB143" s="389">
        <f>IFERROR(VLOOKUP($G143,基本資料!$A:$M,12,0),"無")</f>
        <v>26.11</v>
      </c>
      <c r="AC143" s="16" t="s">
        <v>519</v>
      </c>
      <c r="AD143" s="84">
        <v>44474</v>
      </c>
      <c r="AE143" s="86">
        <v>44484</v>
      </c>
      <c r="AF143" s="33">
        <f t="shared" si="112"/>
        <v>10</v>
      </c>
      <c r="AG143" s="43" t="s">
        <v>2623</v>
      </c>
      <c r="AH143" s="187"/>
      <c r="AJ143" s="245"/>
      <c r="AK143" s="245"/>
      <c r="AL143" s="284"/>
      <c r="AR143" s="245" t="str">
        <f>INDEX(基本資料!N:N,MATCH($G143,基本資料!$A:$A,0))</f>
        <v>高</v>
      </c>
    </row>
    <row r="144" spans="1:44">
      <c r="A144" s="343">
        <f>IFERROR(VLOOKUP($G144,基本資料!$A:$J,3,0),"無")</f>
        <v>17.420000000000002</v>
      </c>
      <c r="B144" s="79">
        <f>IFERROR(VLOOKUP($G144,基本資料!$A:$J,4,0),"無")</f>
        <v>30</v>
      </c>
      <c r="C144" s="79">
        <f>IFERROR(VLOOKUP($G144,基本資料!$A:$J,5,0),"無")</f>
        <v>-3</v>
      </c>
      <c r="D144" s="79">
        <f>IFERROR(VLOOKUP($G144,基本資料!$A:$J,6,0),"無")</f>
        <v>-19</v>
      </c>
      <c r="E144" s="79">
        <f>IFERROR(VLOOKUP($G144,基本資料!$A:$J,7,0),"無")</f>
        <v>10</v>
      </c>
      <c r="F144" s="6">
        <f>IFERROR(VLOOKUP($G144,基本資料!$A:$J,8,0),"無")</f>
        <v>-6.13</v>
      </c>
      <c r="G144" s="80">
        <v>6209</v>
      </c>
      <c r="H144" s="236" t="s">
        <v>306</v>
      </c>
      <c r="I144" s="22" t="s">
        <v>173</v>
      </c>
      <c r="J144" s="8">
        <f>IFERROR(VLOOKUP($G144,今日總結!$A:$AN,39,0),"")</f>
        <v>0</v>
      </c>
      <c r="K144" s="5">
        <f>IFERROR(VLOOKUP($G144,今日總結!$A:$AN,40,0),"")</f>
        <v>0</v>
      </c>
      <c r="L144" s="156">
        <f>IFERROR(VLOOKUP($G144,今日總結!$A:$AN,37,0),"")</f>
        <v>0</v>
      </c>
      <c r="M144" s="337">
        <f>IFERROR(VLOOKUP($G144,今日總結!$A:$AN,38,0),"")</f>
        <v>0</v>
      </c>
      <c r="N144" s="240">
        <f t="shared" si="110"/>
        <v>0</v>
      </c>
      <c r="O144" s="359">
        <f>IFERROR(VLOOKUP($G144,融外自投!$A:$J,7,0),"無")</f>
        <v>223</v>
      </c>
      <c r="P144" s="79">
        <f>IFERROR(VLOOKUP($G144,融外自投!$A:$J,9,0),"無")</f>
        <v>577</v>
      </c>
      <c r="Q144" s="342">
        <f>IFERROR(VLOOKUP($G144,融外自投!$A:$J,8,0),"無")</f>
        <v>1178</v>
      </c>
      <c r="R144" s="81" t="str">
        <f>IFERROR(VLOOKUP($G144,融外自投!$A:$J,10,0),"無")</f>
        <v>無</v>
      </c>
      <c r="S144" s="324">
        <f>IFERROR(VLOOKUP($G144,'321買'!$A:$E,4,0),"'沒有資料'")</f>
        <v>565</v>
      </c>
      <c r="T144" s="186">
        <f>IFERROR(VLOOKUP($G144,基本資料!$A:$J,9,0),"無")</f>
        <v>0.5</v>
      </c>
      <c r="U144" s="307">
        <f t="shared" si="111"/>
        <v>1.8018018018018018E-2</v>
      </c>
      <c r="V144" s="94">
        <f>IFERROR(VLOOKUP($G144,基本資料!$A:$J,10,0),"無")</f>
        <v>-0.91</v>
      </c>
      <c r="W144" s="36">
        <v>27.75</v>
      </c>
      <c r="X144" s="66">
        <v>24</v>
      </c>
      <c r="Y144" s="15">
        <f t="shared" si="108"/>
        <v>3.75</v>
      </c>
      <c r="Z144" s="63">
        <f t="shared" si="109"/>
        <v>0.15625</v>
      </c>
      <c r="AA144" s="99" t="s">
        <v>3477</v>
      </c>
      <c r="AB144" s="389">
        <f>IFERROR(VLOOKUP($G144,基本資料!$A:$M,12,0),"無")</f>
        <v>23.54</v>
      </c>
      <c r="AC144" s="22" t="s">
        <v>173</v>
      </c>
      <c r="AD144" s="84">
        <v>44474</v>
      </c>
      <c r="AE144" s="86">
        <v>44484</v>
      </c>
      <c r="AF144" s="33">
        <f t="shared" si="112"/>
        <v>10</v>
      </c>
      <c r="AG144" s="119" t="s">
        <v>2030</v>
      </c>
      <c r="AH144" s="289"/>
      <c r="AJ144" s="245"/>
      <c r="AK144" s="245"/>
      <c r="AL144" s="24"/>
      <c r="AR144" s="245" t="str">
        <f>INDEX(基本資料!N:N,MATCH($G144,基本資料!$A:$A,0))</f>
        <v>低</v>
      </c>
    </row>
    <row r="145" spans="1:44">
      <c r="A145" s="343">
        <f>IFERROR(VLOOKUP($G145,基本資料!$A:$J,3,0),"無")</f>
        <v>35.25</v>
      </c>
      <c r="B145" s="79">
        <f>IFERROR(VLOOKUP($G145,基本資料!$A:$J,4,0),"無")</f>
        <v>26</v>
      </c>
      <c r="C145" s="79">
        <f>IFERROR(VLOOKUP($G145,基本資料!$A:$J,5,0),"無")</f>
        <v>23</v>
      </c>
      <c r="D145" s="79">
        <f>IFERROR(VLOOKUP($G145,基本資料!$A:$J,6,0),"無")</f>
        <v>0</v>
      </c>
      <c r="E145" s="79">
        <f>IFERROR(VLOOKUP($G145,基本資料!$A:$J,7,0),"無")</f>
        <v>0</v>
      </c>
      <c r="F145" s="6">
        <f>IFERROR(VLOOKUP($G145,基本資料!$A:$J,8,0),"無")</f>
        <v>-29581.65</v>
      </c>
      <c r="G145" s="80">
        <v>6541</v>
      </c>
      <c r="H145" s="5" t="s">
        <v>4723</v>
      </c>
      <c r="I145" s="22" t="s">
        <v>636</v>
      </c>
      <c r="J145" s="8" t="str">
        <f>IFERROR(VLOOKUP($G145,今日總結!$A:$AN,39,0),"")</f>
        <v/>
      </c>
      <c r="K145" s="5" t="str">
        <f>IFERROR(VLOOKUP($G145,今日總結!$A:$AN,40,0),"")</f>
        <v/>
      </c>
      <c r="L145" s="156" t="str">
        <f>IFERROR(VLOOKUP($G145,今日總結!$A:$AN,37,0),"")</f>
        <v/>
      </c>
      <c r="M145" s="337" t="str">
        <f>IFERROR(VLOOKUP($G145,今日總結!$A:$AN,38,0),"")</f>
        <v/>
      </c>
      <c r="N145" s="240" t="str">
        <f t="shared" si="110"/>
        <v/>
      </c>
      <c r="O145" s="359" t="str">
        <f>IFERROR(VLOOKUP($G145,融外自投!$A:$J,7,0),"無")</f>
        <v>無</v>
      </c>
      <c r="P145" s="79" t="str">
        <f>IFERROR(VLOOKUP($G145,融外自投!$A:$J,9,0),"無")</f>
        <v>無</v>
      </c>
      <c r="Q145" s="342" t="str">
        <f>IFERROR(VLOOKUP($G145,融外自投!$A:$J,8,0),"無")</f>
        <v>無</v>
      </c>
      <c r="R145" s="81" t="str">
        <f>IFERROR(VLOOKUP($G145,融外自投!$A:$J,10,0),"無")</f>
        <v>無</v>
      </c>
      <c r="S145" s="324" t="str">
        <f>IFERROR(VLOOKUP($G145,'321買'!$A:$E,4,0),"'沒有資料'")</f>
        <v>'沒有資料'</v>
      </c>
      <c r="T145" s="186">
        <f>IFERROR(VLOOKUP($G145,基本資料!$A:$J,9,0),"無")</f>
        <v>0</v>
      </c>
      <c r="U145" s="307">
        <f t="shared" si="111"/>
        <v>0</v>
      </c>
      <c r="V145" s="94">
        <f>IFERROR(VLOOKUP($G145,基本資料!$A:$J,10,0),"無")</f>
        <v>-4.74</v>
      </c>
      <c r="W145" s="36">
        <v>42.15</v>
      </c>
      <c r="X145" s="66">
        <v>42</v>
      </c>
      <c r="Y145" s="15">
        <f t="shared" si="108"/>
        <v>0.14999999999999858</v>
      </c>
      <c r="Z145" s="63">
        <f t="shared" si="109"/>
        <v>3.5714285714285375E-3</v>
      </c>
      <c r="AA145" s="99" t="s">
        <v>3473</v>
      </c>
      <c r="AB145" s="389">
        <f>IFERROR(VLOOKUP($G145,基本資料!$A:$M,12,0),"無")</f>
        <v>28.35</v>
      </c>
      <c r="AC145" s="22" t="s">
        <v>636</v>
      </c>
      <c r="AD145" s="84">
        <v>44473</v>
      </c>
      <c r="AE145" s="86">
        <v>44483</v>
      </c>
      <c r="AF145" s="33">
        <f t="shared" si="112"/>
        <v>10</v>
      </c>
      <c r="AG145" s="43" t="s">
        <v>2124</v>
      </c>
      <c r="AH145" s="187"/>
      <c r="AJ145" s="245"/>
      <c r="AK145" s="245"/>
      <c r="AL145" s="284"/>
      <c r="AR145" s="245" t="str">
        <f>INDEX(基本資料!N:N,MATCH($G145,基本資料!$A:$A,0))</f>
        <v>低</v>
      </c>
    </row>
    <row r="146" spans="1:44">
      <c r="A146" s="343">
        <f>IFERROR(VLOOKUP($G146,基本資料!$A:$J,3,0),"無")</f>
        <v>10.95</v>
      </c>
      <c r="B146" s="79">
        <f>IFERROR(VLOOKUP($G146,基本資料!$A:$J,4,0),"無")</f>
        <v>734</v>
      </c>
      <c r="C146" s="79">
        <f>IFERROR(VLOOKUP($G146,基本資料!$A:$J,5,0),"無")</f>
        <v>429</v>
      </c>
      <c r="D146" s="79">
        <f>IFERROR(VLOOKUP($G146,基本資料!$A:$J,6,0),"無")</f>
        <v>5</v>
      </c>
      <c r="E146" s="79">
        <f>IFERROR(VLOOKUP($G146,基本資料!$A:$J,7,0),"無")</f>
        <v>31</v>
      </c>
      <c r="F146" s="6">
        <f>IFERROR(VLOOKUP($G146,基本資料!$A:$J,8,0),"無")</f>
        <v>5.7</v>
      </c>
      <c r="G146" s="80">
        <v>3162</v>
      </c>
      <c r="H146" s="8" t="s">
        <v>295</v>
      </c>
      <c r="I146" s="16" t="s">
        <v>6104</v>
      </c>
      <c r="J146" s="8">
        <f>IFERROR(VLOOKUP($G146,今日總結!$A:$AN,39,0),"")</f>
        <v>0</v>
      </c>
      <c r="K146" s="5">
        <f>IFERROR(VLOOKUP($G146,今日總結!$A:$AN,40,0),"")</f>
        <v>0</v>
      </c>
      <c r="L146" s="156">
        <f>IFERROR(VLOOKUP($G146,今日總結!$A:$AN,37,0),"")</f>
        <v>0</v>
      </c>
      <c r="M146" s="337">
        <f>IFERROR(VLOOKUP($G146,今日總結!$A:$AN,38,0),"")</f>
        <v>0</v>
      </c>
      <c r="N146" s="240">
        <f t="shared" si="110"/>
        <v>0</v>
      </c>
      <c r="O146" s="359">
        <f>IFERROR(VLOOKUP($G146,融外自投!$A:$J,7,0),"無")</f>
        <v>219</v>
      </c>
      <c r="P146" s="79" t="str">
        <f>IFERROR(VLOOKUP($G146,融外自投!$A:$J,9,0),"無")</f>
        <v>無</v>
      </c>
      <c r="Q146" s="342">
        <f>IFERROR(VLOOKUP($G146,融外自投!$A:$J,8,0),"無")</f>
        <v>73</v>
      </c>
      <c r="R146" s="81" t="str">
        <f>IFERROR(VLOOKUP($G146,融外自投!$A:$J,10,0),"無")</f>
        <v>無</v>
      </c>
      <c r="S146" s="324">
        <f>IFERROR(VLOOKUP($G146,'321買'!$A:$E,4,0),"'沒有資料'")</f>
        <v>1002</v>
      </c>
      <c r="T146" s="186">
        <f>IFERROR(VLOOKUP($G146,基本資料!$A:$J,9,0),"無")</f>
        <v>0</v>
      </c>
      <c r="U146" s="307">
        <f t="shared" si="111"/>
        <v>0</v>
      </c>
      <c r="V146" s="94">
        <f>IFERROR(VLOOKUP($G146,基本資料!$A:$J,10,0),"無")</f>
        <v>0.82</v>
      </c>
      <c r="W146" s="13">
        <v>45.5</v>
      </c>
      <c r="X146" s="66">
        <v>40</v>
      </c>
      <c r="Y146" s="15">
        <f t="shared" si="108"/>
        <v>5.5</v>
      </c>
      <c r="Z146" s="63">
        <f t="shared" si="109"/>
        <v>0.13750000000000001</v>
      </c>
      <c r="AA146" s="99" t="s">
        <v>3472</v>
      </c>
      <c r="AB146" s="389">
        <f>IFERROR(VLOOKUP($G146,基本資料!$A:$M,12,0),"無")</f>
        <v>19.21</v>
      </c>
      <c r="AC146" s="16" t="s">
        <v>531</v>
      </c>
      <c r="AD146" s="84">
        <v>44470</v>
      </c>
      <c r="AE146" s="86">
        <v>44481</v>
      </c>
      <c r="AF146" s="33">
        <f t="shared" si="112"/>
        <v>11</v>
      </c>
      <c r="AG146" s="43" t="s">
        <v>3453</v>
      </c>
      <c r="AH146" s="187"/>
      <c r="AJ146" s="245"/>
      <c r="AK146" s="245"/>
      <c r="AL146" s="284"/>
      <c r="AR146" s="245" t="str">
        <f>INDEX(基本資料!N:N,MATCH($G146,基本資料!$A:$A,0))</f>
        <v>低</v>
      </c>
    </row>
    <row r="147" spans="1:44">
      <c r="A147" s="343">
        <f>IFERROR(VLOOKUP($G147,基本資料!$A:$J,3,0),"無")</f>
        <v>3.73</v>
      </c>
      <c r="B147" s="79">
        <f>IFERROR(VLOOKUP($G147,基本資料!$A:$J,4,0),"無")</f>
        <v>89</v>
      </c>
      <c r="C147" s="79">
        <f>IFERROR(VLOOKUP($G147,基本資料!$A:$J,5,0),"無")</f>
        <v>87</v>
      </c>
      <c r="D147" s="79">
        <f>IFERROR(VLOOKUP($G147,基本資料!$A:$J,6,0),"無")</f>
        <v>-17</v>
      </c>
      <c r="E147" s="79">
        <f>IFERROR(VLOOKUP($G147,基本資料!$A:$J,7,0),"無")</f>
        <v>-8</v>
      </c>
      <c r="F147" s="6">
        <f>IFERROR(VLOOKUP($G147,基本資料!$A:$J,8,0),"無")</f>
        <v>32.17</v>
      </c>
      <c r="G147" s="80">
        <v>6642</v>
      </c>
      <c r="H147" s="5" t="s">
        <v>3388</v>
      </c>
      <c r="I147" s="16" t="s">
        <v>1681</v>
      </c>
      <c r="J147" s="8">
        <f>IFERROR(VLOOKUP($G147,今日總結!$A:$AN,39,0),"")</f>
        <v>0</v>
      </c>
      <c r="K147" s="5">
        <f>IFERROR(VLOOKUP($G147,今日總結!$A:$AN,40,0),"")</f>
        <v>0</v>
      </c>
      <c r="L147" s="156">
        <f>IFERROR(VLOOKUP($G147,今日總結!$A:$AN,37,0),"")</f>
        <v>0</v>
      </c>
      <c r="M147" s="337">
        <f>IFERROR(VLOOKUP($G147,今日總結!$A:$AN,38,0),"")</f>
        <v>0</v>
      </c>
      <c r="N147" s="240">
        <f t="shared" si="110"/>
        <v>0</v>
      </c>
      <c r="O147" s="359">
        <f>IFERROR(VLOOKUP($G147,融外自投!$A:$J,7,0),"無")</f>
        <v>147</v>
      </c>
      <c r="P147" s="79" t="str">
        <f>IFERROR(VLOOKUP($G147,融外自投!$A:$J,9,0),"無")</f>
        <v>無</v>
      </c>
      <c r="Q147" s="342">
        <f>IFERROR(VLOOKUP($G147,融外自投!$A:$J,8,0),"無")</f>
        <v>898</v>
      </c>
      <c r="R147" s="81" t="str">
        <f>IFERROR(VLOOKUP($G147,融外自投!$A:$J,10,0),"無")</f>
        <v>無</v>
      </c>
      <c r="S147" s="324">
        <f>IFERROR(VLOOKUP($G147,'321買'!$A:$E,4,0),"'沒有資料'")</f>
        <v>650</v>
      </c>
      <c r="T147" s="186">
        <f>IFERROR(VLOOKUP($G147,基本資料!$A:$J,9,0),"無")</f>
        <v>3.6</v>
      </c>
      <c r="U147" s="307">
        <f t="shared" si="111"/>
        <v>5.3333333333333337E-2</v>
      </c>
      <c r="V147" s="94">
        <f>IFERROR(VLOOKUP($G147,基本資料!$A:$J,10,0),"無")</f>
        <v>4.6500000000000004</v>
      </c>
      <c r="W147" s="36">
        <v>67.5</v>
      </c>
      <c r="X147" s="45">
        <v>62</v>
      </c>
      <c r="Y147" s="15">
        <f t="shared" si="108"/>
        <v>5.5</v>
      </c>
      <c r="Z147" s="63">
        <f t="shared" si="109"/>
        <v>8.8709677419354843E-2</v>
      </c>
      <c r="AA147" s="99" t="s">
        <v>3466</v>
      </c>
      <c r="AB147" s="389">
        <f>IFERROR(VLOOKUP($G147,基本資料!$A:$M,12,0),"無")</f>
        <v>19.100000000000001</v>
      </c>
      <c r="AC147" s="16" t="s">
        <v>1681</v>
      </c>
      <c r="AD147" s="84">
        <v>44469</v>
      </c>
      <c r="AE147" s="86">
        <v>44481</v>
      </c>
      <c r="AF147" s="33">
        <f t="shared" si="112"/>
        <v>12</v>
      </c>
      <c r="AG147" s="43" t="s">
        <v>3072</v>
      </c>
      <c r="AH147" s="187"/>
      <c r="AJ147" s="245"/>
      <c r="AK147" s="245"/>
      <c r="AL147" s="284"/>
      <c r="AR147" s="245" t="str">
        <f>INDEX(基本資料!N:N,MATCH($G147,基本資料!$A:$A,0))</f>
        <v>低</v>
      </c>
    </row>
    <row r="148" spans="1:44">
      <c r="A148" s="343">
        <f>IFERROR(VLOOKUP($G148,基本資料!$A:$J,3,0),"無")</f>
        <v>6.81</v>
      </c>
      <c r="B148" s="79">
        <f>IFERROR(VLOOKUP($G148,基本資料!$A:$J,4,0),"無")</f>
        <v>35</v>
      </c>
      <c r="C148" s="79">
        <f>IFERROR(VLOOKUP($G148,基本資料!$A:$J,5,0),"無")</f>
        <v>55</v>
      </c>
      <c r="D148" s="79">
        <f>IFERROR(VLOOKUP($G148,基本資料!$A:$J,6,0),"無")</f>
        <v>-24</v>
      </c>
      <c r="E148" s="79">
        <f>IFERROR(VLOOKUP($G148,基本資料!$A:$J,7,0),"無")</f>
        <v>36</v>
      </c>
      <c r="F148" s="6">
        <f>IFERROR(VLOOKUP($G148,基本資料!$A:$J,8,0),"無")</f>
        <v>-1.79</v>
      </c>
      <c r="G148" s="80">
        <v>3224</v>
      </c>
      <c r="H148" s="5" t="s">
        <v>329</v>
      </c>
      <c r="I148" s="16" t="s">
        <v>814</v>
      </c>
      <c r="J148" s="8">
        <f>IFERROR(VLOOKUP($G148,今日總結!$A:$AN,39,0),"")</f>
        <v>0</v>
      </c>
      <c r="K148" s="5" t="str">
        <f>IFERROR(VLOOKUP($G148,今日總結!$A:$AN,40,0),"")</f>
        <v>主</v>
      </c>
      <c r="L148" s="156">
        <f>IFERROR(VLOOKUP($G148,今日總結!$A:$AN,37,0),"")</f>
        <v>0</v>
      </c>
      <c r="M148" s="337">
        <f>IFERROR(VLOOKUP($G148,今日總結!$A:$AN,38,0),"")</f>
        <v>6</v>
      </c>
      <c r="N148" s="240">
        <f t="shared" si="110"/>
        <v>-6</v>
      </c>
      <c r="O148" s="359">
        <f>IFERROR(VLOOKUP($G148,融外自投!$A:$J,7,0),"無")</f>
        <v>71</v>
      </c>
      <c r="P148" s="79">
        <f>IFERROR(VLOOKUP($G148,融外自投!$A:$J,9,0),"無")</f>
        <v>762</v>
      </c>
      <c r="Q148" s="342">
        <f>IFERROR(VLOOKUP($G148,融外自投!$A:$J,8,0),"無")</f>
        <v>1164</v>
      </c>
      <c r="R148" s="81" t="str">
        <f>IFERROR(VLOOKUP($G148,融外自投!$A:$J,10,0),"無")</f>
        <v>無</v>
      </c>
      <c r="S148" s="324">
        <f>IFERROR(VLOOKUP($G148,'321買'!$A:$E,4,0),"'沒有資料'")</f>
        <v>606</v>
      </c>
      <c r="T148" s="186">
        <f>IFERROR(VLOOKUP($G148,基本資料!$A:$J,9,0),"無")</f>
        <v>0</v>
      </c>
      <c r="U148" s="307">
        <f t="shared" si="111"/>
        <v>0</v>
      </c>
      <c r="V148" s="94">
        <f>IFERROR(VLOOKUP($G148,基本資料!$A:$J,10,0),"無")</f>
        <v>-0.4</v>
      </c>
      <c r="W148" s="36">
        <v>40.049999999999997</v>
      </c>
      <c r="X148" s="66">
        <v>39.5</v>
      </c>
      <c r="Y148" s="15">
        <f t="shared" si="108"/>
        <v>0.54999999999999716</v>
      </c>
      <c r="Z148" s="63">
        <f t="shared" si="109"/>
        <v>1.3924050632911321E-2</v>
      </c>
      <c r="AA148" s="99" t="s">
        <v>1673</v>
      </c>
      <c r="AB148" s="389">
        <f>IFERROR(VLOOKUP($G148,基本資料!$A:$M,12,0),"無")</f>
        <v>38.01</v>
      </c>
      <c r="AC148" s="16" t="s">
        <v>814</v>
      </c>
      <c r="AD148" s="84">
        <v>44469</v>
      </c>
      <c r="AE148" s="86">
        <v>44481</v>
      </c>
      <c r="AF148" s="33">
        <f t="shared" si="112"/>
        <v>12</v>
      </c>
      <c r="AG148" s="43" t="s">
        <v>2650</v>
      </c>
      <c r="AH148" s="187"/>
      <c r="AJ148" s="245"/>
      <c r="AK148" s="245"/>
      <c r="AL148" s="284"/>
      <c r="AR148" s="245" t="str">
        <f>INDEX(基本資料!N:N,MATCH($G148,基本資料!$A:$A,0))</f>
        <v>中</v>
      </c>
    </row>
    <row r="149" spans="1:44">
      <c r="A149" s="343">
        <f>IFERROR(VLOOKUP($G149,基本資料!$A:$J,3,0),"無")</f>
        <v>26.71</v>
      </c>
      <c r="B149" s="79">
        <f>IFERROR(VLOOKUP($G149,基本資料!$A:$J,4,0),"無")</f>
        <v>-28</v>
      </c>
      <c r="C149" s="79">
        <f>IFERROR(VLOOKUP($G149,基本資料!$A:$J,5,0),"無")</f>
        <v>-19</v>
      </c>
      <c r="D149" s="79">
        <f>IFERROR(VLOOKUP($G149,基本資料!$A:$J,6,0),"無")</f>
        <v>-11</v>
      </c>
      <c r="E149" s="79">
        <f>IFERROR(VLOOKUP($G149,基本資料!$A:$J,7,0),"無")</f>
        <v>-13</v>
      </c>
      <c r="F149" s="6">
        <f>IFERROR(VLOOKUP($G149,基本資料!$A:$J,8,0),"無")</f>
        <v>12.51</v>
      </c>
      <c r="G149" s="80">
        <v>6790</v>
      </c>
      <c r="H149" s="5" t="s">
        <v>1959</v>
      </c>
      <c r="I149" s="22" t="s">
        <v>3437</v>
      </c>
      <c r="J149" s="8">
        <f>IFERROR(VLOOKUP($G149,今日總結!$A:$AN,39,0),"")</f>
        <v>0</v>
      </c>
      <c r="K149" s="5">
        <f>IFERROR(VLOOKUP($G149,今日總結!$A:$AN,40,0),"")</f>
        <v>0</v>
      </c>
      <c r="L149" s="156">
        <f>IFERROR(VLOOKUP($G149,今日總結!$A:$AN,37,0),"")</f>
        <v>0</v>
      </c>
      <c r="M149" s="337">
        <f>IFERROR(VLOOKUP($G149,今日總結!$A:$AN,38,0),"")</f>
        <v>0</v>
      </c>
      <c r="N149" s="240">
        <f t="shared" si="110"/>
        <v>0</v>
      </c>
      <c r="O149" s="359">
        <f>IFERROR(VLOOKUP($G149,融外自投!$A:$J,7,0),"無")</f>
        <v>1450</v>
      </c>
      <c r="P149" s="79">
        <f>IFERROR(VLOOKUP($G149,融外自投!$A:$J,9,0),"無")</f>
        <v>467</v>
      </c>
      <c r="Q149" s="342">
        <f>IFERROR(VLOOKUP($G149,融外自投!$A:$J,8,0),"無")</f>
        <v>987</v>
      </c>
      <c r="R149" s="81" t="str">
        <f>IFERROR(VLOOKUP($G149,融外自投!$A:$J,10,0),"無")</f>
        <v>無</v>
      </c>
      <c r="S149" s="324">
        <f>IFERROR(VLOOKUP($G149,'321買'!$A:$E,4,0),"'沒有資料'")</f>
        <v>1002</v>
      </c>
      <c r="T149" s="186">
        <f>IFERROR(VLOOKUP($G149,基本資料!$A:$J,9,0),"無")</f>
        <v>3</v>
      </c>
      <c r="U149" s="307">
        <f t="shared" si="111"/>
        <v>6.1538461538461542E-2</v>
      </c>
      <c r="V149" s="94">
        <f>IFERROR(VLOOKUP($G149,基本資料!$A:$J,10,0),"無")</f>
        <v>4.24</v>
      </c>
      <c r="W149" s="36">
        <v>48.75</v>
      </c>
      <c r="X149" s="66">
        <v>52</v>
      </c>
      <c r="Y149" s="15">
        <f t="shared" ref="Y149:Y157" si="113">W149-X149</f>
        <v>-3.25</v>
      </c>
      <c r="Z149" s="76">
        <f t="shared" ref="Z149:Z157" si="114">Y149/X149</f>
        <v>-6.25E-2</v>
      </c>
      <c r="AA149" s="99" t="s">
        <v>3470</v>
      </c>
      <c r="AB149" s="389" t="str">
        <f>IFERROR(VLOOKUP($G149,基本資料!$A:$M,12,0),"無")</f>
        <v>無</v>
      </c>
      <c r="AC149" s="22" t="s">
        <v>3437</v>
      </c>
      <c r="AD149" s="84">
        <v>44468</v>
      </c>
      <c r="AE149" s="86">
        <v>44481</v>
      </c>
      <c r="AF149" s="33">
        <f t="shared" si="112"/>
        <v>13</v>
      </c>
      <c r="AG149" s="43" t="s">
        <v>3438</v>
      </c>
      <c r="AH149" s="187"/>
      <c r="AJ149" s="245"/>
      <c r="AK149" s="245"/>
      <c r="AL149" s="284"/>
      <c r="AR149" s="245" t="str">
        <f>INDEX(基本資料!N:N,MATCH($G149,基本資料!$A:$A,0))</f>
        <v>無</v>
      </c>
    </row>
    <row r="150" spans="1:44">
      <c r="A150" s="343">
        <f>IFERROR(VLOOKUP($G150,基本資料!$A:$J,3,0),"無")</f>
        <v>3.47</v>
      </c>
      <c r="B150" s="79">
        <f>IFERROR(VLOOKUP($G150,基本資料!$A:$J,4,0),"無")</f>
        <v>43</v>
      </c>
      <c r="C150" s="79">
        <f>IFERROR(VLOOKUP($G150,基本資料!$A:$J,5,0),"無")</f>
        <v>46</v>
      </c>
      <c r="D150" s="79">
        <f>IFERROR(VLOOKUP($G150,基本資料!$A:$J,6,0),"無")</f>
        <v>-9</v>
      </c>
      <c r="E150" s="79">
        <f>IFERROR(VLOOKUP($G150,基本資料!$A:$J,7,0),"無")</f>
        <v>10</v>
      </c>
      <c r="F150" s="6">
        <f>IFERROR(VLOOKUP($G150,基本資料!$A:$J,8,0),"無")</f>
        <v>27</v>
      </c>
      <c r="G150" s="80">
        <v>6788</v>
      </c>
      <c r="H150" s="193" t="s">
        <v>3038</v>
      </c>
      <c r="I150" s="16" t="s">
        <v>3439</v>
      </c>
      <c r="J150" s="8">
        <f>IFERROR(VLOOKUP($G150,今日總結!$A:$AN,39,0),"")</f>
        <v>0</v>
      </c>
      <c r="K150" s="5">
        <f>IFERROR(VLOOKUP($G150,今日總結!$A:$AN,40,0),"")</f>
        <v>0</v>
      </c>
      <c r="L150" s="156">
        <f>IFERROR(VLOOKUP($G150,今日總結!$A:$AN,37,0),"")</f>
        <v>0</v>
      </c>
      <c r="M150" s="337">
        <f>IFERROR(VLOOKUP($G150,今日總結!$A:$AN,38,0),"")</f>
        <v>0</v>
      </c>
      <c r="N150" s="240">
        <f t="shared" si="110"/>
        <v>0</v>
      </c>
      <c r="O150" s="359">
        <f>IFERROR(VLOOKUP($G150,融外自投!$A:$J,7,0),"無")</f>
        <v>798</v>
      </c>
      <c r="P150" s="79">
        <f>IFERROR(VLOOKUP($G150,融外自投!$A:$J,9,0),"無")</f>
        <v>869</v>
      </c>
      <c r="Q150" s="342">
        <f>IFERROR(VLOOKUP($G150,融外自投!$A:$J,8,0),"無")</f>
        <v>1103</v>
      </c>
      <c r="R150" s="81" t="str">
        <f>IFERROR(VLOOKUP($G150,融外自投!$A:$J,10,0),"無")</f>
        <v>無</v>
      </c>
      <c r="S150" s="324">
        <f>IFERROR(VLOOKUP($G150,'321買'!$A:$E,4,0),"'沒有資料'")</f>
        <v>366</v>
      </c>
      <c r="T150" s="186">
        <f>IFERROR(VLOOKUP($G150,基本資料!$A:$J,9,0),"無")</f>
        <v>5</v>
      </c>
      <c r="U150" s="307">
        <f t="shared" si="111"/>
        <v>2.5252525252525252E-2</v>
      </c>
      <c r="V150" s="94">
        <f>IFERROR(VLOOKUP($G150,基本資料!$A:$J,10,0),"無")</f>
        <v>7.08</v>
      </c>
      <c r="W150" s="36">
        <v>198</v>
      </c>
      <c r="X150" s="66">
        <v>125</v>
      </c>
      <c r="Y150" s="15">
        <f t="shared" si="113"/>
        <v>73</v>
      </c>
      <c r="Z150" s="63">
        <f t="shared" si="114"/>
        <v>0.58399999999999996</v>
      </c>
      <c r="AA150" s="99" t="s">
        <v>3469</v>
      </c>
      <c r="AB150" s="389" t="str">
        <f>IFERROR(VLOOKUP($G150,基本資料!$A:$M,12,0),"無")</f>
        <v>無</v>
      </c>
      <c r="AC150" s="16" t="s">
        <v>3439</v>
      </c>
      <c r="AD150" s="84">
        <v>44468</v>
      </c>
      <c r="AE150" s="86">
        <v>44481</v>
      </c>
      <c r="AF150" s="33">
        <f t="shared" si="112"/>
        <v>13</v>
      </c>
      <c r="AG150" s="43" t="s">
        <v>3440</v>
      </c>
      <c r="AH150" s="187"/>
      <c r="AJ150" s="245"/>
      <c r="AK150" s="245"/>
      <c r="AL150" s="284"/>
      <c r="AR150" s="245" t="str">
        <f>INDEX(基本資料!N:N,MATCH($G150,基本資料!$A:$A,0))</f>
        <v>無</v>
      </c>
    </row>
    <row r="151" spans="1:44">
      <c r="A151" s="343">
        <f>IFERROR(VLOOKUP($G151,基本資料!$A:$J,3,0),"無")</f>
        <v>22.63</v>
      </c>
      <c r="B151" s="79">
        <f>IFERROR(VLOOKUP($G151,基本資料!$A:$J,4,0),"無")</f>
        <v>-146</v>
      </c>
      <c r="C151" s="79">
        <f>IFERROR(VLOOKUP($G151,基本資料!$A:$J,5,0),"無")</f>
        <v>38</v>
      </c>
      <c r="D151" s="79">
        <f>IFERROR(VLOOKUP($G151,基本資料!$A:$J,6,0),"無")</f>
        <v>13</v>
      </c>
      <c r="E151" s="79">
        <f>IFERROR(VLOOKUP($G151,基本資料!$A:$J,7,0),"無")</f>
        <v>-12</v>
      </c>
      <c r="F151" s="6">
        <f>IFERROR(VLOOKUP($G151,基本資料!$A:$J,8,0),"無")</f>
        <v>-24.6</v>
      </c>
      <c r="G151" s="80">
        <v>5324</v>
      </c>
      <c r="H151" s="5" t="s">
        <v>4002</v>
      </c>
      <c r="I151" s="16" t="s">
        <v>885</v>
      </c>
      <c r="J151" s="8" t="str">
        <f>IFERROR(VLOOKUP($G151,今日總結!$A:$AN,39,0),"")</f>
        <v/>
      </c>
      <c r="K151" s="5" t="str">
        <f>IFERROR(VLOOKUP($G151,今日總結!$A:$AN,40,0),"")</f>
        <v/>
      </c>
      <c r="L151" s="156" t="str">
        <f>IFERROR(VLOOKUP($G151,今日總結!$A:$AN,37,0),"")</f>
        <v/>
      </c>
      <c r="M151" s="337" t="str">
        <f>IFERROR(VLOOKUP($G151,今日總結!$A:$AN,38,0),"")</f>
        <v/>
      </c>
      <c r="N151" s="240" t="str">
        <f t="shared" si="110"/>
        <v/>
      </c>
      <c r="O151" s="359" t="str">
        <f>IFERROR(VLOOKUP($G151,融外自投!$A:$J,7,0),"無")</f>
        <v>無</v>
      </c>
      <c r="P151" s="79" t="str">
        <f>IFERROR(VLOOKUP($G151,融外自投!$A:$J,9,0),"無")</f>
        <v>無</v>
      </c>
      <c r="Q151" s="342" t="str">
        <f>IFERROR(VLOOKUP($G151,融外自投!$A:$J,8,0),"無")</f>
        <v>無</v>
      </c>
      <c r="R151" s="81" t="str">
        <f>IFERROR(VLOOKUP($G151,融外自投!$A:$J,10,0),"無")</f>
        <v>無</v>
      </c>
      <c r="S151" s="324" t="str">
        <f>IFERROR(VLOOKUP($G151,'321買'!$A:$E,4,0),"'沒有資料'")</f>
        <v>'沒有資料'</v>
      </c>
      <c r="T151" s="186">
        <f>IFERROR(VLOOKUP($G151,基本資料!$A:$J,9,0),"無")</f>
        <v>0</v>
      </c>
      <c r="U151" s="307">
        <f t="shared" si="111"/>
        <v>0</v>
      </c>
      <c r="V151" s="94">
        <f>IFERROR(VLOOKUP($G151,基本資料!$A:$J,10,0),"無")</f>
        <v>-0.64</v>
      </c>
      <c r="W151" s="36">
        <v>9.3000000000000007</v>
      </c>
      <c r="X151" s="66">
        <v>9.5</v>
      </c>
      <c r="Y151" s="15">
        <f t="shared" si="113"/>
        <v>-0.19999999999999929</v>
      </c>
      <c r="Z151" s="76">
        <f t="shared" si="114"/>
        <v>-2.1052631578947295E-2</v>
      </c>
      <c r="AA151" s="100" t="s">
        <v>3468</v>
      </c>
      <c r="AB151" s="389">
        <f>IFERROR(VLOOKUP($G151,基本資料!$A:$M,12,0),"無")</f>
        <v>72.77</v>
      </c>
      <c r="AC151" s="16" t="s">
        <v>885</v>
      </c>
      <c r="AD151" s="84">
        <v>44468</v>
      </c>
      <c r="AE151" s="86">
        <v>44481</v>
      </c>
      <c r="AF151" s="33">
        <f t="shared" si="112"/>
        <v>13</v>
      </c>
      <c r="AG151" s="43" t="s">
        <v>2667</v>
      </c>
      <c r="AH151" s="187"/>
      <c r="AJ151" s="245"/>
      <c r="AK151" s="245"/>
      <c r="AL151" s="284"/>
      <c r="AR151" s="245" t="str">
        <f>INDEX(基本資料!N:N,MATCH($G151,基本資料!$A:$A,0))</f>
        <v>中</v>
      </c>
    </row>
    <row r="152" spans="1:44">
      <c r="A152" s="343">
        <f>IFERROR(VLOOKUP($G152,基本資料!$A:$J,3,0),"無")</f>
        <v>8.57</v>
      </c>
      <c r="B152" s="79">
        <f>IFERROR(VLOOKUP($G152,基本資料!$A:$J,4,0),"無")</f>
        <v>274</v>
      </c>
      <c r="C152" s="79">
        <f>IFERROR(VLOOKUP($G152,基本資料!$A:$J,5,0),"無")</f>
        <v>58</v>
      </c>
      <c r="D152" s="79">
        <f>IFERROR(VLOOKUP($G152,基本資料!$A:$J,6,0),"無")</f>
        <v>30</v>
      </c>
      <c r="E152" s="79">
        <f>IFERROR(VLOOKUP($G152,基本資料!$A:$J,7,0),"無")</f>
        <v>84</v>
      </c>
      <c r="F152" s="6">
        <f>IFERROR(VLOOKUP($G152,基本資料!$A:$J,8,0),"無")</f>
        <v>8.6999999999999993</v>
      </c>
      <c r="G152" s="80">
        <v>1760</v>
      </c>
      <c r="H152" s="193" t="s">
        <v>4723</v>
      </c>
      <c r="I152" s="22" t="s">
        <v>6111</v>
      </c>
      <c r="J152" s="8">
        <f>IFERROR(VLOOKUP($G152,今日總結!$A:$AN,39,0),"")</f>
        <v>4</v>
      </c>
      <c r="K152" s="5" t="str">
        <f>IFERROR(VLOOKUP($G152,今日總結!$A:$AN,40,0),"")</f>
        <v>融</v>
      </c>
      <c r="L152" s="156">
        <f>IFERROR(VLOOKUP($G152,今日總結!$A:$AN,37,0),"")</f>
        <v>1</v>
      </c>
      <c r="M152" s="337">
        <f>IFERROR(VLOOKUP($G152,今日總結!$A:$AN,38,0),"")</f>
        <v>1</v>
      </c>
      <c r="N152" s="240">
        <f t="shared" si="110"/>
        <v>0</v>
      </c>
      <c r="O152" s="359">
        <f>IFERROR(VLOOKUP($G152,融外自投!$A:$J,7,0),"無")</f>
        <v>196</v>
      </c>
      <c r="P152" s="79">
        <f>IFERROR(VLOOKUP($G152,融外自投!$A:$J,9,0),"無")</f>
        <v>91</v>
      </c>
      <c r="Q152" s="342">
        <f>IFERROR(VLOOKUP($G152,融外自投!$A:$J,8,0),"無")</f>
        <v>453</v>
      </c>
      <c r="R152" s="81" t="str">
        <f>IFERROR(VLOOKUP($G152,融外自投!$A:$J,10,0),"無")</f>
        <v>無</v>
      </c>
      <c r="S152" s="324">
        <f>IFERROR(VLOOKUP($G152,'321買'!$A:$E,4,0),"'沒有資料'")</f>
        <v>117</v>
      </c>
      <c r="T152" s="186">
        <f>IFERROR(VLOOKUP($G152,基本資料!$A:$J,9,0),"無")</f>
        <v>1.5</v>
      </c>
      <c r="U152" s="307">
        <f t="shared" si="111"/>
        <v>2.2865853658536588E-2</v>
      </c>
      <c r="V152" s="94">
        <f>IFERROR(VLOOKUP($G152,基本資料!$A:$J,10,0),"無")</f>
        <v>1.32</v>
      </c>
      <c r="W152" s="36">
        <v>65.599999999999994</v>
      </c>
      <c r="X152" s="66">
        <v>70</v>
      </c>
      <c r="Y152" s="15">
        <f t="shared" si="113"/>
        <v>-4.4000000000000057</v>
      </c>
      <c r="Z152" s="76">
        <f t="shared" si="114"/>
        <v>-6.2857142857142945E-2</v>
      </c>
      <c r="AA152" s="99" t="s">
        <v>3467</v>
      </c>
      <c r="AB152" s="389">
        <f>IFERROR(VLOOKUP($G152,基本資料!$A:$M,12,0),"無")</f>
        <v>35.32</v>
      </c>
      <c r="AC152" s="22" t="s">
        <v>628</v>
      </c>
      <c r="AD152" s="84">
        <v>44468</v>
      </c>
      <c r="AE152" s="86">
        <v>44481</v>
      </c>
      <c r="AF152" s="33">
        <f t="shared" si="112"/>
        <v>13</v>
      </c>
      <c r="AG152" s="43" t="s">
        <v>2808</v>
      </c>
      <c r="AH152" s="187"/>
      <c r="AJ152" s="245"/>
      <c r="AK152" s="245"/>
      <c r="AL152" s="284"/>
      <c r="AR152" s="245" t="str">
        <f>INDEX(基本資料!N:N,MATCH($G152,基本資料!$A:$A,0))</f>
        <v>中</v>
      </c>
    </row>
    <row r="153" spans="1:44">
      <c r="A153" s="343">
        <f>IFERROR(VLOOKUP($G153,基本資料!$A:$J,3,0),"無")</f>
        <v>5.16</v>
      </c>
      <c r="B153" s="79">
        <f>IFERROR(VLOOKUP($G153,基本資料!$A:$J,4,0),"無")</f>
        <v>251</v>
      </c>
      <c r="C153" s="79">
        <f>IFERROR(VLOOKUP($G153,基本資料!$A:$J,5,0),"無")</f>
        <v>82</v>
      </c>
      <c r="D153" s="79">
        <f>IFERROR(VLOOKUP($G153,基本資料!$A:$J,6,0),"無")</f>
        <v>-12</v>
      </c>
      <c r="E153" s="79">
        <f>IFERROR(VLOOKUP($G153,基本資料!$A:$J,7,0),"無")</f>
        <v>-31</v>
      </c>
      <c r="F153" s="6">
        <f>IFERROR(VLOOKUP($G153,基本資料!$A:$J,8,0),"無")</f>
        <v>-1.1100000000000001</v>
      </c>
      <c r="G153" s="80">
        <v>3339</v>
      </c>
      <c r="H153" s="5" t="s">
        <v>306</v>
      </c>
      <c r="I153" s="16" t="s">
        <v>4171</v>
      </c>
      <c r="J153" s="8">
        <f>IFERROR(VLOOKUP($G153,今日總結!$A:$AN,39,0),"")</f>
        <v>0</v>
      </c>
      <c r="K153" s="5">
        <f>IFERROR(VLOOKUP($G153,今日總結!$A:$AN,40,0),"")</f>
        <v>0</v>
      </c>
      <c r="L153" s="156">
        <f>IFERROR(VLOOKUP($G153,今日總結!$A:$AN,37,0),"")</f>
        <v>0</v>
      </c>
      <c r="M153" s="337">
        <f>IFERROR(VLOOKUP($G153,今日總結!$A:$AN,38,0),"")</f>
        <v>0</v>
      </c>
      <c r="N153" s="240">
        <f t="shared" si="110"/>
        <v>0</v>
      </c>
      <c r="O153" s="359">
        <f>IFERROR(VLOOKUP($G153,融外自投!$A:$J,7,0),"無")</f>
        <v>208</v>
      </c>
      <c r="P153" s="79">
        <f>IFERROR(VLOOKUP($G153,融外自投!$A:$J,9,0),"無")</f>
        <v>365</v>
      </c>
      <c r="Q153" s="342">
        <f>IFERROR(VLOOKUP($G153,融外自投!$A:$J,8,0),"無")</f>
        <v>941</v>
      </c>
      <c r="R153" s="81" t="str">
        <f>IFERROR(VLOOKUP($G153,融外自投!$A:$J,10,0),"無")</f>
        <v>無</v>
      </c>
      <c r="S153" s="324">
        <f>IFERROR(VLOOKUP($G153,'321買'!$A:$E,4,0),"'沒有資料'")</f>
        <v>565</v>
      </c>
      <c r="T153" s="186">
        <f>IFERROR(VLOOKUP($G153,基本資料!$A:$J,9,0),"無")</f>
        <v>0</v>
      </c>
      <c r="U153" s="307">
        <f t="shared" si="111"/>
        <v>0</v>
      </c>
      <c r="V153" s="94">
        <f>IFERROR(VLOOKUP($G153,基本資料!$A:$J,10,0),"無")</f>
        <v>1.77</v>
      </c>
      <c r="W153" s="36">
        <v>18</v>
      </c>
      <c r="X153" s="66">
        <v>15</v>
      </c>
      <c r="Y153" s="15">
        <f t="shared" si="113"/>
        <v>3</v>
      </c>
      <c r="Z153" s="63">
        <f t="shared" si="114"/>
        <v>0.2</v>
      </c>
      <c r="AA153" s="99" t="s">
        <v>3035</v>
      </c>
      <c r="AB153" s="389">
        <f>IFERROR(VLOOKUP($G153,基本資料!$A:$M,12,0),"無")</f>
        <v>5.32</v>
      </c>
      <c r="AC153" s="16" t="s">
        <v>453</v>
      </c>
      <c r="AD153" s="84">
        <v>44466</v>
      </c>
      <c r="AE153" s="86">
        <v>44476</v>
      </c>
      <c r="AF153" s="33">
        <f t="shared" si="112"/>
        <v>10</v>
      </c>
      <c r="AG153" s="43" t="s">
        <v>2432</v>
      </c>
      <c r="AH153" s="187"/>
      <c r="AJ153" s="245"/>
      <c r="AK153" s="245"/>
      <c r="AL153" s="284"/>
      <c r="AR153" s="245" t="str">
        <f>INDEX(基本資料!N:N,MATCH($G153,基本資料!$A:$A,0))</f>
        <v>低</v>
      </c>
    </row>
    <row r="154" spans="1:44">
      <c r="A154" s="343">
        <f>IFERROR(VLOOKUP($G154,基本資料!$A:$J,3,0),"無")</f>
        <v>8.81</v>
      </c>
      <c r="B154" s="79">
        <f>IFERROR(VLOOKUP($G154,基本資料!$A:$J,4,0),"無")</f>
        <v>-17</v>
      </c>
      <c r="C154" s="79">
        <f>IFERROR(VLOOKUP($G154,基本資料!$A:$J,5,0),"無")</f>
        <v>-28</v>
      </c>
      <c r="D154" s="79">
        <f>IFERROR(VLOOKUP($G154,基本資料!$A:$J,6,0),"無")</f>
        <v>-10</v>
      </c>
      <c r="E154" s="79">
        <f>IFERROR(VLOOKUP($G154,基本資料!$A:$J,7,0),"無")</f>
        <v>6</v>
      </c>
      <c r="F154" s="6">
        <f>IFERROR(VLOOKUP($G154,基本資料!$A:$J,8,0),"無")</f>
        <v>6.45</v>
      </c>
      <c r="G154" s="79">
        <v>6179</v>
      </c>
      <c r="H154" s="8" t="s">
        <v>1959</v>
      </c>
      <c r="I154" s="16" t="s">
        <v>645</v>
      </c>
      <c r="J154" s="8">
        <f>IFERROR(VLOOKUP($G154,今日總結!$A:$AN,39,0),"")</f>
        <v>0</v>
      </c>
      <c r="K154" s="5">
        <f>IFERROR(VLOOKUP($G154,今日總結!$A:$AN,40,0),"")</f>
        <v>0</v>
      </c>
      <c r="L154" s="156">
        <f>IFERROR(VLOOKUP($G154,今日總結!$A:$AN,37,0),"")</f>
        <v>0</v>
      </c>
      <c r="M154" s="337">
        <f>IFERROR(VLOOKUP($G154,今日總結!$A:$AN,38,0),"")</f>
        <v>0</v>
      </c>
      <c r="N154" s="240">
        <f t="shared" si="110"/>
        <v>0</v>
      </c>
      <c r="O154" s="359">
        <f>IFERROR(VLOOKUP($G154,融外自投!$A:$J,7,0),"無")</f>
        <v>314</v>
      </c>
      <c r="P154" s="79" t="str">
        <f>IFERROR(VLOOKUP($G154,融外自投!$A:$J,9,0),"無")</f>
        <v>無</v>
      </c>
      <c r="Q154" s="342">
        <f>IFERROR(VLOOKUP($G154,融外自投!$A:$J,8,0),"無")</f>
        <v>1297</v>
      </c>
      <c r="R154" s="81" t="str">
        <f>IFERROR(VLOOKUP($G154,融外自投!$A:$J,10,0),"無")</f>
        <v>無</v>
      </c>
      <c r="S154" s="324">
        <f>IFERROR(VLOOKUP($G154,'321買'!$A:$E,4,0),"'沒有資料'")</f>
        <v>743</v>
      </c>
      <c r="T154" s="186">
        <f>IFERROR(VLOOKUP($G154,基本資料!$A:$J,9,0),"無")</f>
        <v>1.5</v>
      </c>
      <c r="U154" s="307">
        <f t="shared" si="111"/>
        <v>4.6875E-2</v>
      </c>
      <c r="V154" s="94">
        <f>IFERROR(VLOOKUP($G154,基本資料!$A:$J,10,0),"無")</f>
        <v>1.84</v>
      </c>
      <c r="W154" s="36">
        <v>32</v>
      </c>
      <c r="X154" s="66">
        <v>28.5</v>
      </c>
      <c r="Y154" s="15">
        <f t="shared" si="113"/>
        <v>3.5</v>
      </c>
      <c r="Z154" s="63">
        <f t="shared" si="114"/>
        <v>0.12280701754385964</v>
      </c>
      <c r="AA154" s="99" t="s">
        <v>3464</v>
      </c>
      <c r="AB154" s="389">
        <f>IFERROR(VLOOKUP($G154,基本資料!$A:$M,12,0),"無")</f>
        <v>55.56</v>
      </c>
      <c r="AC154" s="16" t="s">
        <v>645</v>
      </c>
      <c r="AD154" s="84">
        <v>44466</v>
      </c>
      <c r="AE154" s="86">
        <v>44476</v>
      </c>
      <c r="AF154" s="33">
        <f t="shared" si="112"/>
        <v>10</v>
      </c>
      <c r="AG154" s="43" t="s">
        <v>2467</v>
      </c>
      <c r="AH154" s="187"/>
      <c r="AJ154" s="245"/>
      <c r="AK154" s="245"/>
      <c r="AL154" s="284"/>
      <c r="AR154" s="245" t="str">
        <f>INDEX(基本資料!N:N,MATCH($G154,基本資料!$A:$A,0))</f>
        <v>中</v>
      </c>
    </row>
    <row r="155" spans="1:44">
      <c r="A155" s="343">
        <f>IFERROR(VLOOKUP($G155,基本資料!$A:$J,3,0),"無")</f>
        <v>10.61</v>
      </c>
      <c r="B155" s="79">
        <f>IFERROR(VLOOKUP($G155,基本資料!$A:$J,4,0),"無")</f>
        <v>24</v>
      </c>
      <c r="C155" s="79">
        <f>IFERROR(VLOOKUP($G155,基本資料!$A:$J,5,0),"無")</f>
        <v>17</v>
      </c>
      <c r="D155" s="79">
        <f>IFERROR(VLOOKUP($G155,基本資料!$A:$J,6,0),"無")</f>
        <v>-9</v>
      </c>
      <c r="E155" s="79">
        <f>IFERROR(VLOOKUP($G155,基本資料!$A:$J,7,0),"無")</f>
        <v>23</v>
      </c>
      <c r="F155" s="6">
        <f>IFERROR(VLOOKUP($G155,基本資料!$A:$J,8,0),"無")</f>
        <v>20.38</v>
      </c>
      <c r="G155" s="80">
        <v>3533</v>
      </c>
      <c r="H155" s="8" t="s">
        <v>3388</v>
      </c>
      <c r="I155" s="22" t="s">
        <v>4572</v>
      </c>
      <c r="J155" s="8">
        <f>IFERROR(VLOOKUP($G155,今日總結!$A:$AN,39,0),"")</f>
        <v>0</v>
      </c>
      <c r="K155" s="5" t="str">
        <f>IFERROR(VLOOKUP($G155,今日總結!$A:$AN,40,0),"")</f>
        <v>券</v>
      </c>
      <c r="L155" s="156">
        <f>IFERROR(VLOOKUP($G155,今日總結!$A:$AN,37,0),"")</f>
        <v>0</v>
      </c>
      <c r="M155" s="337">
        <f>IFERROR(VLOOKUP($G155,今日總結!$A:$AN,38,0),"")</f>
        <v>2</v>
      </c>
      <c r="N155" s="240">
        <f t="shared" si="110"/>
        <v>-2</v>
      </c>
      <c r="O155" s="359">
        <f>IFERROR(VLOOKUP($G155,融外自投!$A:$J,7,0),"無")</f>
        <v>1110</v>
      </c>
      <c r="P155" s="79">
        <f>IFERROR(VLOOKUP($G155,融外自投!$A:$J,9,0),"無")</f>
        <v>324</v>
      </c>
      <c r="Q155" s="342">
        <f>IFERROR(VLOOKUP($G155,融外自投!$A:$J,8,0),"無")</f>
        <v>142</v>
      </c>
      <c r="R155" s="81">
        <f>IFERROR(VLOOKUP($G155,融外自投!$A:$J,10,0),"無")</f>
        <v>15</v>
      </c>
      <c r="S155" s="324">
        <f>IFERROR(VLOOKUP($G155,'321買'!$A:$E,4,0),"'沒有資料'")</f>
        <v>231</v>
      </c>
      <c r="T155" s="186">
        <f>IFERROR(VLOOKUP($G155,基本資料!$A:$J,9,0),"無")</f>
        <v>16</v>
      </c>
      <c r="U155" s="307">
        <f t="shared" si="111"/>
        <v>3.0651340996168581E-2</v>
      </c>
      <c r="V155" s="94">
        <f>IFERROR(VLOOKUP($G155,基本資料!$A:$J,10,0),"無")</f>
        <v>33.32</v>
      </c>
      <c r="W155" s="36">
        <v>522</v>
      </c>
      <c r="X155" s="66">
        <v>432</v>
      </c>
      <c r="Y155" s="15">
        <f t="shared" si="113"/>
        <v>90</v>
      </c>
      <c r="Z155" s="63">
        <f t="shared" si="114"/>
        <v>0.20833333333333334</v>
      </c>
      <c r="AA155" s="99" t="s">
        <v>3454</v>
      </c>
      <c r="AB155" s="389">
        <f>IFERROR(VLOOKUP($G155,基本資料!$A:$M,12,0),"無")</f>
        <v>83.51</v>
      </c>
      <c r="AC155" s="22" t="s">
        <v>277</v>
      </c>
      <c r="AD155" s="84">
        <v>44463</v>
      </c>
      <c r="AE155" s="86">
        <v>44473</v>
      </c>
      <c r="AF155" s="33">
        <f t="shared" si="112"/>
        <v>10</v>
      </c>
      <c r="AG155" s="117" t="s">
        <v>2584</v>
      </c>
      <c r="AH155" s="187"/>
      <c r="AJ155" s="245"/>
      <c r="AK155" s="245"/>
      <c r="AL155" s="284"/>
      <c r="AR155" s="245" t="str">
        <f>INDEX(基本資料!N:N,MATCH($G155,基本資料!$A:$A,0))</f>
        <v>高</v>
      </c>
    </row>
    <row r="156" spans="1:44">
      <c r="A156" s="343">
        <f>IFERROR(VLOOKUP($G156,基本資料!$A:$J,3,0),"無")</f>
        <v>14.33</v>
      </c>
      <c r="B156" s="79">
        <f>IFERROR(VLOOKUP($G156,基本資料!$A:$J,4,0),"無")</f>
        <v>603</v>
      </c>
      <c r="C156" s="79">
        <f>IFERROR(VLOOKUP($G156,基本資料!$A:$J,5,0),"無")</f>
        <v>521</v>
      </c>
      <c r="D156" s="79">
        <f>IFERROR(VLOOKUP($G156,基本資料!$A:$J,6,0),"無")</f>
        <v>-18</v>
      </c>
      <c r="E156" s="79">
        <f>IFERROR(VLOOKUP($G156,基本資料!$A:$J,7,0),"無")</f>
        <v>30</v>
      </c>
      <c r="F156" s="6">
        <f>IFERROR(VLOOKUP($G156,基本資料!$A:$J,8,0),"無")</f>
        <v>12</v>
      </c>
      <c r="G156" s="80">
        <v>2636</v>
      </c>
      <c r="H156" s="5" t="s">
        <v>302</v>
      </c>
      <c r="I156" s="22" t="s">
        <v>1921</v>
      </c>
      <c r="J156" s="8">
        <f>IFERROR(VLOOKUP($G156,今日總結!$A:$AN,39,0),"")</f>
        <v>0</v>
      </c>
      <c r="K156" s="5">
        <f>IFERROR(VLOOKUP($G156,今日總結!$A:$AN,40,0),"")</f>
        <v>0</v>
      </c>
      <c r="L156" s="156">
        <f>IFERROR(VLOOKUP($G156,今日總結!$A:$AN,37,0),"")</f>
        <v>0</v>
      </c>
      <c r="M156" s="337">
        <f>IFERROR(VLOOKUP($G156,今日總結!$A:$AN,38,0),"")</f>
        <v>0</v>
      </c>
      <c r="N156" s="240">
        <f t="shared" si="110"/>
        <v>0</v>
      </c>
      <c r="O156" s="359">
        <f>IFERROR(VLOOKUP($G156,融外自投!$A:$J,7,0),"無")</f>
        <v>93</v>
      </c>
      <c r="P156" s="79">
        <f>IFERROR(VLOOKUP($G156,融外自投!$A:$J,9,0),"無")</f>
        <v>178</v>
      </c>
      <c r="Q156" s="342">
        <f>IFERROR(VLOOKUP($G156,融外自投!$A:$J,8,0),"無")</f>
        <v>420</v>
      </c>
      <c r="R156" s="81">
        <f>IFERROR(VLOOKUP($G156,融外自投!$A:$J,10,0),"無")</f>
        <v>495</v>
      </c>
      <c r="S156" s="324">
        <f>IFERROR(VLOOKUP($G156,'321買'!$A:$E,4,0),"'沒有資料'")</f>
        <v>41</v>
      </c>
      <c r="T156" s="186">
        <f>IFERROR(VLOOKUP($G156,基本資料!$A:$J,9,0),"無")</f>
        <v>13</v>
      </c>
      <c r="U156" s="307">
        <f t="shared" si="111"/>
        <v>0.10317460317460317</v>
      </c>
      <c r="V156" s="94">
        <f>IFERROR(VLOOKUP($G156,基本資料!$A:$J,10,0),"無")</f>
        <v>30.03</v>
      </c>
      <c r="W156" s="36">
        <v>126</v>
      </c>
      <c r="X156" s="45">
        <v>140</v>
      </c>
      <c r="Y156" s="15">
        <f t="shared" si="113"/>
        <v>-14</v>
      </c>
      <c r="Z156" s="76">
        <f t="shared" si="114"/>
        <v>-0.1</v>
      </c>
      <c r="AA156" s="99" t="s">
        <v>2126</v>
      </c>
      <c r="AB156" s="389">
        <f>IFERROR(VLOOKUP($G156,基本資料!$A:$M,12,0),"無")</f>
        <v>25.18</v>
      </c>
      <c r="AC156" s="22" t="s">
        <v>1921</v>
      </c>
      <c r="AD156" s="84">
        <v>44462</v>
      </c>
      <c r="AE156" s="86">
        <v>44473</v>
      </c>
      <c r="AF156" s="33">
        <f t="shared" si="112"/>
        <v>11</v>
      </c>
      <c r="AG156" s="43" t="s">
        <v>2013</v>
      </c>
      <c r="AH156" s="187"/>
      <c r="AJ156" s="245"/>
      <c r="AK156" s="245"/>
      <c r="AL156" s="284"/>
      <c r="AR156" s="245" t="str">
        <f>INDEX(基本資料!N:N,MATCH($G156,基本資料!$A:$A,0))</f>
        <v>低</v>
      </c>
    </row>
    <row r="157" spans="1:44">
      <c r="A157" s="343">
        <f>IFERROR(VLOOKUP($G157,基本資料!$A:$J,3,0),"無")</f>
        <v>69.459999999999994</v>
      </c>
      <c r="B157" s="79">
        <f>IFERROR(VLOOKUP($G157,基本資料!$A:$J,4,0),"無")</f>
        <v>119</v>
      </c>
      <c r="C157" s="79">
        <f>IFERROR(VLOOKUP($G157,基本資料!$A:$J,5,0),"無")</f>
        <v>142</v>
      </c>
      <c r="D157" s="79">
        <f>IFERROR(VLOOKUP($G157,基本資料!$A:$J,6,0),"無")</f>
        <v>-24</v>
      </c>
      <c r="E157" s="79">
        <f>IFERROR(VLOOKUP($G157,基本資料!$A:$J,7,0),"無")</f>
        <v>-2</v>
      </c>
      <c r="F157" s="6">
        <f>IFERROR(VLOOKUP($G157,基本資料!$A:$J,8,0),"無")</f>
        <v>3.64</v>
      </c>
      <c r="G157" s="80">
        <v>1460</v>
      </c>
      <c r="H157" s="5" t="s">
        <v>3171</v>
      </c>
      <c r="I157" s="22" t="s">
        <v>742</v>
      </c>
      <c r="J157" s="8">
        <f>IFERROR(VLOOKUP($G157,今日總結!$A:$AN,39,0),"")</f>
        <v>0</v>
      </c>
      <c r="K157" s="5" t="str">
        <f>IFERROR(VLOOKUP($G157,今日總結!$A:$AN,40,0),"")</f>
        <v>主</v>
      </c>
      <c r="L157" s="156">
        <f>IFERROR(VLOOKUP($G157,今日總結!$A:$AN,37,0),"")</f>
        <v>0</v>
      </c>
      <c r="M157" s="337">
        <f>IFERROR(VLOOKUP($G157,今日總結!$A:$AN,38,0),"")</f>
        <v>3</v>
      </c>
      <c r="N157" s="240">
        <f t="shared" si="110"/>
        <v>-3</v>
      </c>
      <c r="O157" s="359">
        <f>IFERROR(VLOOKUP($G157,融外自投!$A:$J,7,0),"無")</f>
        <v>1222</v>
      </c>
      <c r="P157" s="79" t="str">
        <f>IFERROR(VLOOKUP($G157,融外自投!$A:$J,9,0),"無")</f>
        <v>無</v>
      </c>
      <c r="Q157" s="342">
        <f>IFERROR(VLOOKUP($G157,融外自投!$A:$J,8,0),"無")</f>
        <v>1160</v>
      </c>
      <c r="R157" s="81" t="str">
        <f>IFERROR(VLOOKUP($G157,融外自投!$A:$J,10,0),"無")</f>
        <v>無</v>
      </c>
      <c r="S157" s="324">
        <f>IFERROR(VLOOKUP($G157,'321買'!$A:$E,4,0),"'沒有資料'")</f>
        <v>1002</v>
      </c>
      <c r="T157" s="186">
        <f>IFERROR(VLOOKUP($G157,基本資料!$A:$J,9,0),"無")</f>
        <v>0</v>
      </c>
      <c r="U157" s="307">
        <f t="shared" si="111"/>
        <v>0</v>
      </c>
      <c r="V157" s="94">
        <f>IFERROR(VLOOKUP($G157,基本資料!$A:$J,10,0),"無")</f>
        <v>0.39</v>
      </c>
      <c r="W157" s="36">
        <v>9.69</v>
      </c>
      <c r="X157" s="66">
        <v>10</v>
      </c>
      <c r="Y157" s="15">
        <f t="shared" si="113"/>
        <v>-0.3100000000000005</v>
      </c>
      <c r="Z157" s="76">
        <f t="shared" si="114"/>
        <v>-3.1000000000000048E-2</v>
      </c>
      <c r="AA157" s="99" t="s">
        <v>3452</v>
      </c>
      <c r="AB157" s="389">
        <f>IFERROR(VLOOKUP($G157,基本資料!$A:$M,12,0),"無")</f>
        <v>24.08</v>
      </c>
      <c r="AC157" s="22" t="s">
        <v>742</v>
      </c>
      <c r="AD157" s="84">
        <v>44461</v>
      </c>
      <c r="AE157" s="86">
        <v>44473</v>
      </c>
      <c r="AF157" s="33">
        <f t="shared" si="112"/>
        <v>12</v>
      </c>
      <c r="AG157" s="43" t="s">
        <v>3331</v>
      </c>
      <c r="AH157" s="187"/>
      <c r="AJ157" s="245"/>
      <c r="AK157" s="245"/>
      <c r="AL157" s="284"/>
      <c r="AR157" s="245" t="str">
        <f>INDEX(基本資料!N:N,MATCH($G157,基本資料!$A:$A,0))</f>
        <v>低</v>
      </c>
    </row>
    <row r="158" spans="1:44">
      <c r="A158" s="343">
        <f>IFERROR(VLOOKUP($G158,基本資料!$A:$J,3,0),"無")</f>
        <v>10.050000000000001</v>
      </c>
      <c r="B158" s="79">
        <f>IFERROR(VLOOKUP($G158,基本資料!$A:$J,4,0),"無")</f>
        <v>88</v>
      </c>
      <c r="C158" s="79">
        <f>IFERROR(VLOOKUP($G158,基本資料!$A:$J,5,0),"無")</f>
        <v>44</v>
      </c>
      <c r="D158" s="79">
        <f>IFERROR(VLOOKUP($G158,基本資料!$A:$J,6,0),"無")</f>
        <v>-24</v>
      </c>
      <c r="E158" s="79">
        <f>IFERROR(VLOOKUP($G158,基本資料!$A:$J,7,0),"無")</f>
        <v>-12</v>
      </c>
      <c r="F158" s="6">
        <f>IFERROR(VLOOKUP($G158,基本資料!$A:$J,8,0),"無")</f>
        <v>2.46</v>
      </c>
      <c r="G158" s="80">
        <v>3709</v>
      </c>
      <c r="H158" s="183" t="s">
        <v>1145</v>
      </c>
      <c r="I158" s="16" t="s">
        <v>2217</v>
      </c>
      <c r="J158" s="8">
        <f>IFERROR(VLOOKUP($G158,今日總結!$A:$AN,39,0),"")</f>
        <v>0</v>
      </c>
      <c r="K158" s="5" t="str">
        <f>IFERROR(VLOOKUP($G158,今日總結!$A:$AN,40,0),"")</f>
        <v>外</v>
      </c>
      <c r="L158" s="156">
        <f>IFERROR(VLOOKUP($G158,今日總結!$A:$AN,37,0),"")</f>
        <v>0</v>
      </c>
      <c r="M158" s="337">
        <f>IFERROR(VLOOKUP($G158,今日總結!$A:$AN,38,0),"")</f>
        <v>14</v>
      </c>
      <c r="N158" s="240">
        <f t="shared" si="110"/>
        <v>-14</v>
      </c>
      <c r="O158" s="359">
        <f>IFERROR(VLOOKUP($G158,融外自投!$A:$J,7,0),"無")</f>
        <v>1191</v>
      </c>
      <c r="P158" s="79" t="str">
        <f>IFERROR(VLOOKUP($G158,融外自投!$A:$J,9,0),"無")</f>
        <v>無</v>
      </c>
      <c r="Q158" s="342">
        <f>IFERROR(VLOOKUP($G158,融外自投!$A:$J,8,0),"無")</f>
        <v>1004</v>
      </c>
      <c r="R158" s="81" t="str">
        <f>IFERROR(VLOOKUP($G158,融外自投!$A:$J,10,0),"無")</f>
        <v>無</v>
      </c>
      <c r="S158" s="324">
        <f>IFERROR(VLOOKUP($G158,'321買'!$A:$E,4,0),"'沒有資料'")</f>
        <v>891</v>
      </c>
      <c r="T158" s="186">
        <f>IFERROR(VLOOKUP($G158,基本資料!$A:$J,9,0),"無")</f>
        <v>1.6</v>
      </c>
      <c r="U158" s="307">
        <f t="shared" si="111"/>
        <v>6.2015503875968991E-2</v>
      </c>
      <c r="V158" s="94">
        <f>IFERROR(VLOOKUP($G158,基本資料!$A:$J,10,0),"無")</f>
        <v>4.55</v>
      </c>
      <c r="W158" s="36">
        <v>25.8</v>
      </c>
      <c r="X158" s="66">
        <v>21</v>
      </c>
      <c r="Y158" s="15">
        <f t="shared" ref="Y158:Y163" si="115">W158-X158</f>
        <v>4.8000000000000007</v>
      </c>
      <c r="Z158" s="63">
        <f t="shared" ref="Z158:Z163" si="116">Y158/X158</f>
        <v>0.22857142857142859</v>
      </c>
      <c r="AA158" s="99" t="s">
        <v>1661</v>
      </c>
      <c r="AB158" s="389">
        <f>IFERROR(VLOOKUP($G158,基本資料!$A:$M,12,0),"無")</f>
        <v>19.21</v>
      </c>
      <c r="AC158" s="16" t="s">
        <v>2217</v>
      </c>
      <c r="AD158" s="84">
        <v>44453</v>
      </c>
      <c r="AE158" s="86">
        <v>44463</v>
      </c>
      <c r="AF158" s="33">
        <f t="shared" si="112"/>
        <v>10</v>
      </c>
      <c r="AG158" s="43" t="s">
        <v>2440</v>
      </c>
      <c r="AH158" s="187"/>
      <c r="AJ158" s="245"/>
      <c r="AK158" s="245"/>
      <c r="AL158" s="284"/>
      <c r="AR158" s="245" t="str">
        <f>INDEX(基本資料!N:N,MATCH($G158,基本資料!$A:$A,0))</f>
        <v>低</v>
      </c>
    </row>
    <row r="159" spans="1:44">
      <c r="A159" s="343">
        <f>IFERROR(VLOOKUP($G159,基本資料!$A:$J,3,0),"無")</f>
        <v>6.6</v>
      </c>
      <c r="B159" s="79">
        <f>IFERROR(VLOOKUP($G159,基本資料!$A:$J,4,0),"無")</f>
        <v>-17</v>
      </c>
      <c r="C159" s="79">
        <f>IFERROR(VLOOKUP($G159,基本資料!$A:$J,5,0),"無")</f>
        <v>-14</v>
      </c>
      <c r="D159" s="79">
        <f>IFERROR(VLOOKUP($G159,基本資料!$A:$J,6,0),"無")</f>
        <v>0</v>
      </c>
      <c r="E159" s="79">
        <f>IFERROR(VLOOKUP($G159,基本資料!$A:$J,7,0),"無")</f>
        <v>13</v>
      </c>
      <c r="F159" s="6">
        <f>IFERROR(VLOOKUP($G159,基本資料!$A:$J,8,0),"無")</f>
        <v>10.97</v>
      </c>
      <c r="G159" s="80">
        <v>2753</v>
      </c>
      <c r="H159" s="5" t="s">
        <v>303</v>
      </c>
      <c r="I159" s="22" t="s">
        <v>3420</v>
      </c>
      <c r="J159" s="8">
        <f>IFERROR(VLOOKUP($G159,今日總結!$A:$AN,39,0),"")</f>
        <v>0</v>
      </c>
      <c r="K159" s="5">
        <f>IFERROR(VLOOKUP($G159,今日總結!$A:$AN,40,0),"")</f>
        <v>0</v>
      </c>
      <c r="L159" s="156">
        <f>IFERROR(VLOOKUP($G159,今日總結!$A:$AN,37,0),"")</f>
        <v>0</v>
      </c>
      <c r="M159" s="337">
        <f>IFERROR(VLOOKUP($G159,今日總結!$A:$AN,38,0),"")</f>
        <v>0</v>
      </c>
      <c r="N159" s="240">
        <f t="shared" si="110"/>
        <v>0</v>
      </c>
      <c r="O159" s="359">
        <f>IFERROR(VLOOKUP($G159,融外自投!$A:$J,7,0),"無")</f>
        <v>533</v>
      </c>
      <c r="P159" s="79" t="str">
        <f>IFERROR(VLOOKUP($G159,融外自投!$A:$J,9,0),"無")</f>
        <v>無</v>
      </c>
      <c r="Q159" s="342">
        <f>IFERROR(VLOOKUP($G159,融外自投!$A:$J,8,0),"無")</f>
        <v>997</v>
      </c>
      <c r="R159" s="81" t="str">
        <f>IFERROR(VLOOKUP($G159,融外自投!$A:$J,10,0),"無")</f>
        <v>無</v>
      </c>
      <c r="S159" s="324">
        <f>IFERROR(VLOOKUP($G159,'321買'!$A:$E,4,0),"'沒有資料'")</f>
        <v>891</v>
      </c>
      <c r="T159" s="186">
        <f>IFERROR(VLOOKUP($G159,基本資料!$A:$J,9,0),"無")</f>
        <v>6.5</v>
      </c>
      <c r="U159" s="307">
        <f t="shared" si="111"/>
        <v>4.4067796610169491E-2</v>
      </c>
      <c r="V159" s="94">
        <f>IFERROR(VLOOKUP($G159,基本資料!$A:$J,10,0),"無")</f>
        <v>8.74</v>
      </c>
      <c r="W159" s="36">
        <v>147.5</v>
      </c>
      <c r="X159" s="66">
        <v>155</v>
      </c>
      <c r="Y159" s="15">
        <f t="shared" si="115"/>
        <v>-7.5</v>
      </c>
      <c r="Z159" s="76">
        <f t="shared" si="116"/>
        <v>-4.8387096774193547E-2</v>
      </c>
      <c r="AA159" s="99" t="s">
        <v>2984</v>
      </c>
      <c r="AB159" s="389" t="str">
        <f>IFERROR(VLOOKUP($G159,基本資料!$A:$M,12,0),"無")</f>
        <v>無</v>
      </c>
      <c r="AC159" s="22" t="s">
        <v>3420</v>
      </c>
      <c r="AD159" s="84">
        <v>44448</v>
      </c>
      <c r="AE159" s="86">
        <v>44461</v>
      </c>
      <c r="AF159" s="33">
        <f t="shared" si="112"/>
        <v>13</v>
      </c>
      <c r="AG159" s="43" t="s">
        <v>2998</v>
      </c>
      <c r="AH159" s="187"/>
      <c r="AJ159" s="245"/>
      <c r="AK159" s="245"/>
      <c r="AL159" s="284"/>
      <c r="AR159" s="245" t="str">
        <f>INDEX(基本資料!N:N,MATCH($G159,基本資料!$A:$A,0))</f>
        <v>無</v>
      </c>
    </row>
    <row r="160" spans="1:44">
      <c r="A160" s="343">
        <f>IFERROR(VLOOKUP($G160,基本資料!$A:$J,3,0),"無")</f>
        <v>3.73</v>
      </c>
      <c r="B160" s="79">
        <f>IFERROR(VLOOKUP($G160,基本資料!$A:$J,4,0),"無")</f>
        <v>459</v>
      </c>
      <c r="C160" s="79">
        <f>IFERROR(VLOOKUP($G160,基本資料!$A:$J,5,0),"無")</f>
        <v>482</v>
      </c>
      <c r="D160" s="79">
        <f>IFERROR(VLOOKUP($G160,基本資料!$A:$J,6,0),"無")</f>
        <v>-14</v>
      </c>
      <c r="E160" s="79">
        <f>IFERROR(VLOOKUP($G160,基本資料!$A:$J,7,0),"無")</f>
        <v>17</v>
      </c>
      <c r="F160" s="6">
        <f>IFERROR(VLOOKUP($G160,基本資料!$A:$J,8,0),"無")</f>
        <v>8.75</v>
      </c>
      <c r="G160" s="79">
        <v>5543</v>
      </c>
      <c r="H160" s="8" t="s">
        <v>4002</v>
      </c>
      <c r="I160" s="16" t="s">
        <v>2996</v>
      </c>
      <c r="J160" s="8">
        <f>IFERROR(VLOOKUP($G160,今日總結!$A:$AN,39,0),"")</f>
        <v>0</v>
      </c>
      <c r="K160" s="5">
        <f>IFERROR(VLOOKUP($G160,今日總結!$A:$AN,40,0),"")</f>
        <v>0</v>
      </c>
      <c r="L160" s="156">
        <f>IFERROR(VLOOKUP($G160,今日總結!$A:$AN,37,0),"")</f>
        <v>0</v>
      </c>
      <c r="M160" s="337">
        <f>IFERROR(VLOOKUP($G160,今日總結!$A:$AN,38,0),"")</f>
        <v>0</v>
      </c>
      <c r="N160" s="240">
        <f t="shared" si="110"/>
        <v>0</v>
      </c>
      <c r="O160" s="359">
        <f>IFERROR(VLOOKUP($G160,融外自投!$A:$J,7,0),"無")</f>
        <v>449</v>
      </c>
      <c r="P160" s="79" t="str">
        <f>IFERROR(VLOOKUP($G160,融外自投!$A:$J,9,0),"無")</f>
        <v>無</v>
      </c>
      <c r="Q160" s="342">
        <f>IFERROR(VLOOKUP($G160,融外自投!$A:$J,8,0),"無")</f>
        <v>1280</v>
      </c>
      <c r="R160" s="81" t="str">
        <f>IFERROR(VLOOKUP($G160,融外自投!$A:$J,10,0),"無")</f>
        <v>無</v>
      </c>
      <c r="S160" s="324">
        <f>IFERROR(VLOOKUP($G160,'321買'!$A:$E,4,0),"'沒有資料'")</f>
        <v>891</v>
      </c>
      <c r="T160" s="186">
        <f>IFERROR(VLOOKUP($G160,基本資料!$A:$J,9,0),"無")</f>
        <v>2</v>
      </c>
      <c r="U160" s="307">
        <f t="shared" si="111"/>
        <v>3.215434083601286E-2</v>
      </c>
      <c r="V160" s="94">
        <f>IFERROR(VLOOKUP($G160,基本資料!$A:$J,10,0),"無")</f>
        <v>3.26</v>
      </c>
      <c r="W160" s="36">
        <v>62.2</v>
      </c>
      <c r="X160" s="66">
        <v>58</v>
      </c>
      <c r="Y160" s="15">
        <f t="shared" si="115"/>
        <v>4.2000000000000028</v>
      </c>
      <c r="Z160" s="63">
        <f t="shared" si="116"/>
        <v>7.2413793103448323E-2</v>
      </c>
      <c r="AA160" s="99" t="s">
        <v>3429</v>
      </c>
      <c r="AB160" s="389">
        <f>IFERROR(VLOOKUP($G160,基本資料!$A:$M,12,0),"無")</f>
        <v>43.08</v>
      </c>
      <c r="AC160" s="16" t="s">
        <v>2996</v>
      </c>
      <c r="AD160" s="84">
        <v>44448</v>
      </c>
      <c r="AE160" s="86">
        <v>44461</v>
      </c>
      <c r="AF160" s="33">
        <f t="shared" si="112"/>
        <v>13</v>
      </c>
      <c r="AG160" s="43" t="s">
        <v>2997</v>
      </c>
      <c r="AH160" s="187"/>
      <c r="AJ160" s="245"/>
      <c r="AK160" s="245"/>
      <c r="AL160" s="284"/>
      <c r="AR160" s="245" t="str">
        <f>INDEX(基本資料!N:N,MATCH($G160,基本資料!$A:$A,0))</f>
        <v>低</v>
      </c>
    </row>
    <row r="161" spans="1:44">
      <c r="A161" s="343">
        <f>IFERROR(VLOOKUP($G161,基本資料!$A:$J,3,0),"無")</f>
        <v>38.29</v>
      </c>
      <c r="B161" s="79">
        <f>IFERROR(VLOOKUP($G161,基本資料!$A:$J,4,0),"無")</f>
        <v>17</v>
      </c>
      <c r="C161" s="79">
        <f>IFERROR(VLOOKUP($G161,基本資料!$A:$J,5,0),"無")</f>
        <v>18</v>
      </c>
      <c r="D161" s="79">
        <f>IFERROR(VLOOKUP($G161,基本資料!$A:$J,6,0),"無")</f>
        <v>-3</v>
      </c>
      <c r="E161" s="79">
        <f>IFERROR(VLOOKUP($G161,基本資料!$A:$J,7,0),"無")</f>
        <v>0</v>
      </c>
      <c r="F161" s="6">
        <f>IFERROR(VLOOKUP($G161,基本資料!$A:$J,8,0),"無")</f>
        <v>11.74</v>
      </c>
      <c r="G161" s="79">
        <v>6213</v>
      </c>
      <c r="H161" s="192" t="s">
        <v>3388</v>
      </c>
      <c r="I161" s="22" t="s">
        <v>58</v>
      </c>
      <c r="J161" s="8">
        <f>IFERROR(VLOOKUP($G161,今日總結!$A:$AN,39,0),"")</f>
        <v>0</v>
      </c>
      <c r="K161" s="5">
        <f>IFERROR(VLOOKUP($G161,今日總結!$A:$AN,40,0),"")</f>
        <v>0</v>
      </c>
      <c r="L161" s="156">
        <f>IFERROR(VLOOKUP($G161,今日總結!$A:$AN,37,0),"")</f>
        <v>0</v>
      </c>
      <c r="M161" s="337">
        <f>IFERROR(VLOOKUP($G161,今日總結!$A:$AN,38,0),"")</f>
        <v>0</v>
      </c>
      <c r="N161" s="240">
        <f t="shared" si="110"/>
        <v>0</v>
      </c>
      <c r="O161" s="359">
        <f>IFERROR(VLOOKUP($G161,融外自投!$A:$J,7,0),"無")</f>
        <v>808</v>
      </c>
      <c r="P161" s="79">
        <f>IFERROR(VLOOKUP($G161,融外自投!$A:$J,9,0),"無")</f>
        <v>825</v>
      </c>
      <c r="Q161" s="342">
        <f>IFERROR(VLOOKUP($G161,融外自投!$A:$J,8,0),"無")</f>
        <v>542</v>
      </c>
      <c r="R161" s="81">
        <f>IFERROR(VLOOKUP($G161,融外自投!$A:$J,10,0),"無")</f>
        <v>427</v>
      </c>
      <c r="S161" s="324">
        <f>IFERROR(VLOOKUP($G161,'321買'!$A:$E,4,0),"'沒有資料'")</f>
        <v>321</v>
      </c>
      <c r="T161" s="186">
        <f>IFERROR(VLOOKUP($G161,基本資料!$A:$J,9,0),"無")</f>
        <v>5</v>
      </c>
      <c r="U161" s="307">
        <f t="shared" si="111"/>
        <v>3.125E-2</v>
      </c>
      <c r="V161" s="94">
        <f>IFERROR(VLOOKUP($G161,基本資料!$A:$J,10,0),"無")</f>
        <v>9</v>
      </c>
      <c r="W161" s="36">
        <v>160</v>
      </c>
      <c r="X161" s="66">
        <v>130</v>
      </c>
      <c r="Y161" s="15">
        <f t="shared" si="115"/>
        <v>30</v>
      </c>
      <c r="Z161" s="63">
        <f t="shared" si="116"/>
        <v>0.23076923076923078</v>
      </c>
      <c r="AA161" s="99" t="s">
        <v>1939</v>
      </c>
      <c r="AB161" s="389">
        <f>IFERROR(VLOOKUP($G161,基本資料!$A:$M,12,0),"無")</f>
        <v>11.76</v>
      </c>
      <c r="AC161" s="22" t="s">
        <v>58</v>
      </c>
      <c r="AD161" s="84">
        <v>44446</v>
      </c>
      <c r="AE161" s="86">
        <v>44456</v>
      </c>
      <c r="AF161" s="33">
        <f t="shared" si="112"/>
        <v>10</v>
      </c>
      <c r="AG161" s="117" t="s">
        <v>3277</v>
      </c>
      <c r="AH161" s="285"/>
      <c r="AJ161" s="245"/>
      <c r="AK161" s="245"/>
      <c r="AL161" s="284"/>
      <c r="AR161" s="245" t="str">
        <f>INDEX(基本資料!N:N,MATCH($G161,基本資料!$A:$A,0))</f>
        <v>低</v>
      </c>
    </row>
    <row r="162" spans="1:44">
      <c r="A162" s="343">
        <f>IFERROR(VLOOKUP($G162,基本資料!$A:$J,3,0),"無")</f>
        <v>9.2899999999999991</v>
      </c>
      <c r="B162" s="79">
        <f>IFERROR(VLOOKUP($G162,基本資料!$A:$J,4,0),"無")</f>
        <v>38</v>
      </c>
      <c r="C162" s="79">
        <f>IFERROR(VLOOKUP($G162,基本資料!$A:$J,5,0),"無")</f>
        <v>29</v>
      </c>
      <c r="D162" s="79">
        <f>IFERROR(VLOOKUP($G162,基本資料!$A:$J,6,0),"無")</f>
        <v>-8</v>
      </c>
      <c r="E162" s="79">
        <f>IFERROR(VLOOKUP($G162,基本資料!$A:$J,7,0),"無")</f>
        <v>-8</v>
      </c>
      <c r="F162" s="6">
        <f>IFERROR(VLOOKUP($G162,基本資料!$A:$J,8,0),"無")</f>
        <v>14.93</v>
      </c>
      <c r="G162" s="79">
        <v>5439</v>
      </c>
      <c r="H162" s="5" t="s">
        <v>3388</v>
      </c>
      <c r="I162" s="166" t="s">
        <v>80</v>
      </c>
      <c r="J162" s="8">
        <f>IFERROR(VLOOKUP($G162,今日總結!$A:$AN,39,0),"")</f>
        <v>0</v>
      </c>
      <c r="K162" s="5" t="str">
        <f>IFERROR(VLOOKUP($G162,今日總結!$A:$AN,40,0),"")</f>
        <v>主投</v>
      </c>
      <c r="L162" s="156">
        <f>IFERROR(VLOOKUP($G162,今日總結!$A:$AN,37,0),"")</f>
        <v>0</v>
      </c>
      <c r="M162" s="337">
        <f>IFERROR(VLOOKUP($G162,今日總結!$A:$AN,38,0),"")</f>
        <v>26</v>
      </c>
      <c r="N162" s="240">
        <f t="shared" si="110"/>
        <v>-26</v>
      </c>
      <c r="O162" s="359">
        <f>IFERROR(VLOOKUP($G162,融外自投!$A:$J,7,0),"無")</f>
        <v>572</v>
      </c>
      <c r="P162" s="79" t="str">
        <f>IFERROR(VLOOKUP($G162,融外自投!$A:$J,9,0),"無")</f>
        <v>無</v>
      </c>
      <c r="Q162" s="342">
        <f>IFERROR(VLOOKUP($G162,融外自投!$A:$J,8,0),"無")</f>
        <v>1019</v>
      </c>
      <c r="R162" s="81">
        <f>IFERROR(VLOOKUP($G162,融外自投!$A:$J,10,0),"無")</f>
        <v>122</v>
      </c>
      <c r="S162" s="324">
        <f>IFERROR(VLOOKUP($G162,'321買'!$A:$E,4,0),"'沒有資料'")</f>
        <v>394</v>
      </c>
      <c r="T162" s="186">
        <f>IFERROR(VLOOKUP($G162,基本資料!$A:$J,9,0),"無")</f>
        <v>3.6</v>
      </c>
      <c r="U162" s="307">
        <f t="shared" si="111"/>
        <v>5.6872037914691947E-2</v>
      </c>
      <c r="V162" s="94">
        <f>IFERROR(VLOOKUP($G162,基本資料!$A:$J,10,0),"無")</f>
        <v>4.6100000000000003</v>
      </c>
      <c r="W162" s="36">
        <v>63.3</v>
      </c>
      <c r="X162" s="45">
        <v>55</v>
      </c>
      <c r="Y162" s="15">
        <f t="shared" si="115"/>
        <v>8.2999999999999972</v>
      </c>
      <c r="Z162" s="63">
        <f t="shared" si="116"/>
        <v>0.15090909090909085</v>
      </c>
      <c r="AA162" s="99" t="s">
        <v>3428</v>
      </c>
      <c r="AB162" s="389">
        <f>IFERROR(VLOOKUP($G162,基本資料!$A:$M,12,0),"無")</f>
        <v>8.74</v>
      </c>
      <c r="AC162" s="16" t="s">
        <v>80</v>
      </c>
      <c r="AD162" s="84">
        <v>44446</v>
      </c>
      <c r="AE162" s="86">
        <v>44456</v>
      </c>
      <c r="AF162" s="33">
        <f t="shared" si="112"/>
        <v>10</v>
      </c>
      <c r="AG162" s="117" t="s">
        <v>1043</v>
      </c>
      <c r="AH162" s="187"/>
      <c r="AJ162" s="245"/>
      <c r="AK162" s="245"/>
      <c r="AL162" s="284"/>
      <c r="AR162" s="245" t="str">
        <f>INDEX(基本資料!N:N,MATCH($G162,基本資料!$A:$A,0))</f>
        <v>低</v>
      </c>
    </row>
    <row r="163" spans="1:44">
      <c r="A163" s="343">
        <f>IFERROR(VLOOKUP($G163,基本資料!$A:$J,3,0),"無")</f>
        <v>5.04</v>
      </c>
      <c r="B163" s="79">
        <f>IFERROR(VLOOKUP($G163,基本資料!$A:$J,4,0),"無")</f>
        <v>-4</v>
      </c>
      <c r="C163" s="79">
        <f>IFERROR(VLOOKUP($G163,基本資料!$A:$J,5,0),"無")</f>
        <v>-9</v>
      </c>
      <c r="D163" s="79">
        <f>IFERROR(VLOOKUP($G163,基本資料!$A:$J,6,0),"無")</f>
        <v>-23</v>
      </c>
      <c r="E163" s="79">
        <f>IFERROR(VLOOKUP($G163,基本資料!$A:$J,7,0),"無")</f>
        <v>28</v>
      </c>
      <c r="F163" s="6">
        <f>IFERROR(VLOOKUP($G163,基本資料!$A:$J,8,0),"無")</f>
        <v>12.82</v>
      </c>
      <c r="G163" s="80">
        <v>1341</v>
      </c>
      <c r="H163" s="5" t="s">
        <v>293</v>
      </c>
      <c r="I163" s="22" t="s">
        <v>1771</v>
      </c>
      <c r="J163" s="8" t="str">
        <f>IFERROR(VLOOKUP($G163,今日總結!$A:$AN,39,0),"")</f>
        <v/>
      </c>
      <c r="K163" s="5" t="str">
        <f>IFERROR(VLOOKUP($G163,今日總結!$A:$AN,40,0),"")</f>
        <v/>
      </c>
      <c r="L163" s="156" t="str">
        <f>IFERROR(VLOOKUP($G163,今日總結!$A:$AN,37,0),"")</f>
        <v/>
      </c>
      <c r="M163" s="337" t="str">
        <f>IFERROR(VLOOKUP($G163,今日總結!$A:$AN,38,0),"")</f>
        <v/>
      </c>
      <c r="N163" s="240" t="str">
        <f t="shared" si="110"/>
        <v/>
      </c>
      <c r="O163" s="359" t="str">
        <f>IFERROR(VLOOKUP($G163,融外自投!$A:$J,7,0),"無")</f>
        <v>無</v>
      </c>
      <c r="P163" s="79" t="str">
        <f>IFERROR(VLOOKUP($G163,融外自投!$A:$J,9,0),"無")</f>
        <v>無</v>
      </c>
      <c r="Q163" s="342" t="str">
        <f>IFERROR(VLOOKUP($G163,融外自投!$A:$J,8,0),"無")</f>
        <v>無</v>
      </c>
      <c r="R163" s="81" t="str">
        <f>IFERROR(VLOOKUP($G163,融外自投!$A:$J,10,0),"無")</f>
        <v>無</v>
      </c>
      <c r="S163" s="324" t="str">
        <f>IFERROR(VLOOKUP($G163,'321買'!$A:$E,4,0),"'沒有資料'")</f>
        <v>'沒有資料'</v>
      </c>
      <c r="T163" s="186">
        <f>IFERROR(VLOOKUP($G163,基本資料!$A:$J,9,0),"無")</f>
        <v>6</v>
      </c>
      <c r="U163" s="307">
        <f t="shared" si="111"/>
        <v>9.4043887147335428E-2</v>
      </c>
      <c r="V163" s="94">
        <f>IFERROR(VLOOKUP($G163,基本資料!$A:$J,10,0),"無")</f>
        <v>5.99</v>
      </c>
      <c r="W163" s="13">
        <v>63.8</v>
      </c>
      <c r="X163" s="66">
        <v>60</v>
      </c>
      <c r="Y163" s="15">
        <f t="shared" si="115"/>
        <v>3.7999999999999972</v>
      </c>
      <c r="Z163" s="63">
        <f t="shared" si="116"/>
        <v>6.3333333333333283E-2</v>
      </c>
      <c r="AA163" s="99" t="s">
        <v>789</v>
      </c>
      <c r="AB163" s="389">
        <f>IFERROR(VLOOKUP($G163,基本資料!$A:$M,12,0),"無")</f>
        <v>72.239999999999995</v>
      </c>
      <c r="AC163" s="22" t="s">
        <v>1771</v>
      </c>
      <c r="AD163" s="84">
        <v>44446</v>
      </c>
      <c r="AE163" s="86">
        <v>44456</v>
      </c>
      <c r="AF163" s="33">
        <f t="shared" si="112"/>
        <v>10</v>
      </c>
      <c r="AG163" s="43" t="s">
        <v>2760</v>
      </c>
      <c r="AH163" s="187"/>
      <c r="AJ163" s="245"/>
      <c r="AK163" s="245"/>
      <c r="AL163" s="284"/>
      <c r="AR163" s="245" t="str">
        <f>INDEX(基本資料!N:N,MATCH($G163,基本資料!$A:$A,0))</f>
        <v>中</v>
      </c>
    </row>
    <row r="164" spans="1:44">
      <c r="A164" s="343">
        <f>IFERROR(VLOOKUP($G164,基本資料!$A:$J,3,0),"無")</f>
        <v>3.01</v>
      </c>
      <c r="B164" s="79">
        <f>IFERROR(VLOOKUP($G164,基本資料!$A:$J,4,0),"無")</f>
        <v>-24</v>
      </c>
      <c r="C164" s="79">
        <f>IFERROR(VLOOKUP($G164,基本資料!$A:$J,5,0),"無")</f>
        <v>-27</v>
      </c>
      <c r="D164" s="79">
        <f>IFERROR(VLOOKUP($G164,基本資料!$A:$J,6,0),"無")</f>
        <v>-4</v>
      </c>
      <c r="E164" s="79">
        <f>IFERROR(VLOOKUP($G164,基本資料!$A:$J,7,0),"無")</f>
        <v>32</v>
      </c>
      <c r="F164" s="6">
        <f>IFERROR(VLOOKUP($G164,基本資料!$A:$J,8,0),"無")</f>
        <v>5.79</v>
      </c>
      <c r="G164" s="80">
        <v>6594</v>
      </c>
      <c r="H164" s="193" t="s">
        <v>3038</v>
      </c>
      <c r="I164" s="16" t="s">
        <v>382</v>
      </c>
      <c r="J164" s="8">
        <f>IFERROR(VLOOKUP($G164,今日總結!$A:$AN,39,0),"")</f>
        <v>0</v>
      </c>
      <c r="K164" s="5">
        <f>IFERROR(VLOOKUP($G164,今日總結!$A:$AN,40,0),"")</f>
        <v>0</v>
      </c>
      <c r="L164" s="156">
        <f>IFERROR(VLOOKUP($G164,今日總結!$A:$AN,37,0),"")</f>
        <v>0</v>
      </c>
      <c r="M164" s="337">
        <f>IFERROR(VLOOKUP($G164,今日總結!$A:$AN,38,0),"")</f>
        <v>0</v>
      </c>
      <c r="N164" s="240">
        <f t="shared" si="110"/>
        <v>0</v>
      </c>
      <c r="O164" s="359">
        <f>IFERROR(VLOOKUP($G164,融外自投!$A:$J,7,0),"無")</f>
        <v>1246</v>
      </c>
      <c r="P164" s="79">
        <f>IFERROR(VLOOKUP($G164,融外自投!$A:$J,9,0),"無")</f>
        <v>1123</v>
      </c>
      <c r="Q164" s="342">
        <f>IFERROR(VLOOKUP($G164,融外自投!$A:$J,8,0),"無")</f>
        <v>1174</v>
      </c>
      <c r="R164" s="81" t="str">
        <f>IFERROR(VLOOKUP($G164,融外自投!$A:$J,10,0),"無")</f>
        <v>無</v>
      </c>
      <c r="S164" s="324">
        <f>IFERROR(VLOOKUP($G164,'321買'!$A:$E,4,0),"'沒有資料'")</f>
        <v>696</v>
      </c>
      <c r="T164" s="186">
        <f>IFERROR(VLOOKUP($G164,基本資料!$A:$J,9,0),"無")</f>
        <v>1</v>
      </c>
      <c r="U164" s="307">
        <f t="shared" si="111"/>
        <v>2.8490028490028491E-2</v>
      </c>
      <c r="V164" s="94">
        <f>IFERROR(VLOOKUP($G164,基本資料!$A:$J,10,0),"無")</f>
        <v>1.08</v>
      </c>
      <c r="W164" s="36">
        <v>35.1</v>
      </c>
      <c r="X164" s="66">
        <v>32.799999999999997</v>
      </c>
      <c r="Y164" s="15">
        <f t="shared" ref="Y164:Y170" si="117">W164-X164</f>
        <v>2.3000000000000043</v>
      </c>
      <c r="Z164" s="63">
        <f t="shared" ref="Z164:Z176" si="118">Y164/X164</f>
        <v>7.0121951219512327E-2</v>
      </c>
      <c r="AA164" s="99" t="s">
        <v>3427</v>
      </c>
      <c r="AB164" s="389">
        <f>IFERROR(VLOOKUP($G164,基本資料!$A:$M,12,0),"無")</f>
        <v>20.079999999999998</v>
      </c>
      <c r="AC164" s="16" t="s">
        <v>382</v>
      </c>
      <c r="AD164" s="84">
        <v>44445</v>
      </c>
      <c r="AE164" s="86">
        <v>44455</v>
      </c>
      <c r="AF164" s="33">
        <f t="shared" si="112"/>
        <v>10</v>
      </c>
      <c r="AG164" s="43" t="s">
        <v>2367</v>
      </c>
      <c r="AH164" s="187"/>
      <c r="AJ164" s="245"/>
      <c r="AK164" s="245"/>
      <c r="AL164" s="284"/>
      <c r="AR164" s="245" t="str">
        <f>INDEX(基本資料!N:N,MATCH($G164,基本資料!$A:$A,0))</f>
        <v>低</v>
      </c>
    </row>
    <row r="165" spans="1:44">
      <c r="A165" s="343">
        <f>IFERROR(VLOOKUP($G165,基本資料!$A:$J,3,0),"無")</f>
        <v>13.59</v>
      </c>
      <c r="B165" s="79">
        <f>IFERROR(VLOOKUP($G165,基本資料!$A:$J,4,0),"無")</f>
        <v>81</v>
      </c>
      <c r="C165" s="79">
        <f>IFERROR(VLOOKUP($G165,基本資料!$A:$J,5,0),"無")</f>
        <v>65</v>
      </c>
      <c r="D165" s="79">
        <f>IFERROR(VLOOKUP($G165,基本資料!$A:$J,6,0),"無")</f>
        <v>-51</v>
      </c>
      <c r="E165" s="79">
        <f>IFERROR(VLOOKUP($G165,基本資料!$A:$J,7,0),"無")</f>
        <v>38</v>
      </c>
      <c r="F165" s="6">
        <f>IFERROR(VLOOKUP($G165,基本資料!$A:$J,8,0),"無")</f>
        <v>32.799999999999997</v>
      </c>
      <c r="G165" s="80">
        <v>1529</v>
      </c>
      <c r="H165" s="5" t="s">
        <v>295</v>
      </c>
      <c r="I165" s="22" t="s">
        <v>563</v>
      </c>
      <c r="J165" s="8">
        <f>IFERROR(VLOOKUP($G165,今日總結!$A:$AN,39,0),"")</f>
        <v>0</v>
      </c>
      <c r="K165" s="5">
        <f>IFERROR(VLOOKUP($G165,今日總結!$A:$AN,40,0),"")</f>
        <v>27</v>
      </c>
      <c r="L165" s="156">
        <f>IFERROR(VLOOKUP($G165,今日總結!$A:$AN,37,0),"")</f>
        <v>0</v>
      </c>
      <c r="M165" s="337">
        <f>IFERROR(VLOOKUP($G165,今日總結!$A:$AN,38,0),"")</f>
        <v>2</v>
      </c>
      <c r="N165" s="240">
        <f t="shared" si="110"/>
        <v>-2</v>
      </c>
      <c r="O165" s="359">
        <f>IFERROR(VLOOKUP($G165,融外自投!$A:$J,7,0),"無")</f>
        <v>36</v>
      </c>
      <c r="P165" s="79">
        <f>IFERROR(VLOOKUP($G165,融外自投!$A:$J,9,0),"無")</f>
        <v>6</v>
      </c>
      <c r="Q165" s="342">
        <f>IFERROR(VLOOKUP($G165,融外自投!$A:$J,8,0),"無")</f>
        <v>1262</v>
      </c>
      <c r="R165" s="81" t="str">
        <f>IFERROR(VLOOKUP($G165,融外自投!$A:$J,10,0),"無")</f>
        <v>無</v>
      </c>
      <c r="S165" s="324">
        <f>IFERROR(VLOOKUP($G165,'321買'!$A:$E,4,0),"'沒有資料'")</f>
        <v>144</v>
      </c>
      <c r="T165" s="186">
        <f>IFERROR(VLOOKUP($G165,基本資料!$A:$J,9,0),"無")</f>
        <v>0.9</v>
      </c>
      <c r="U165" s="307">
        <f t="shared" si="111"/>
        <v>5.5555555555555559E-2</v>
      </c>
      <c r="V165" s="94">
        <f>IFERROR(VLOOKUP($G165,基本資料!$A:$J,10,0),"無")</f>
        <v>1.03</v>
      </c>
      <c r="W165" s="36">
        <v>16.2</v>
      </c>
      <c r="X165" s="45">
        <v>12.6</v>
      </c>
      <c r="Y165" s="15">
        <f t="shared" si="117"/>
        <v>3.5999999999999996</v>
      </c>
      <c r="Z165" s="63">
        <f t="shared" si="118"/>
        <v>0.2857142857142857</v>
      </c>
      <c r="AA165" s="99" t="s">
        <v>3004</v>
      </c>
      <c r="AB165" s="389">
        <f>IFERROR(VLOOKUP($G165,基本資料!$A:$M,12,0),"無")</f>
        <v>11.18</v>
      </c>
      <c r="AC165" s="22" t="s">
        <v>563</v>
      </c>
      <c r="AD165" s="84">
        <v>44445</v>
      </c>
      <c r="AE165" s="86">
        <v>44455</v>
      </c>
      <c r="AF165" s="33">
        <f t="shared" si="112"/>
        <v>10</v>
      </c>
      <c r="AG165" s="43" t="s">
        <v>2734</v>
      </c>
      <c r="AH165" s="187"/>
      <c r="AJ165" s="245"/>
      <c r="AK165" s="245"/>
      <c r="AL165" s="284"/>
      <c r="AR165" s="245" t="str">
        <f>INDEX(基本資料!N:N,MATCH($G165,基本資料!$A:$A,0))</f>
        <v>低</v>
      </c>
    </row>
    <row r="166" spans="1:44">
      <c r="A166" s="343">
        <f>IFERROR(VLOOKUP($G166,基本資料!$A:$J,3,0),"無")</f>
        <v>3.9</v>
      </c>
      <c r="B166" s="79">
        <f>IFERROR(VLOOKUP($G166,基本資料!$A:$J,4,0),"無")</f>
        <v>54</v>
      </c>
      <c r="C166" s="79">
        <f>IFERROR(VLOOKUP($G166,基本資料!$A:$J,5,0),"無")</f>
        <v>93</v>
      </c>
      <c r="D166" s="79">
        <f>IFERROR(VLOOKUP($G166,基本資料!$A:$J,6,0),"無")</f>
        <v>9</v>
      </c>
      <c r="E166" s="79">
        <f>IFERROR(VLOOKUP($G166,基本資料!$A:$J,7,0),"無")</f>
        <v>-18</v>
      </c>
      <c r="F166" s="6">
        <f>IFERROR(VLOOKUP($G166,基本資料!$A:$J,8,0),"無")</f>
        <v>5.26</v>
      </c>
      <c r="G166" s="79">
        <v>3147</v>
      </c>
      <c r="H166" s="5" t="s">
        <v>3435</v>
      </c>
      <c r="I166" s="16" t="s">
        <v>993</v>
      </c>
      <c r="J166" s="8">
        <f>IFERROR(VLOOKUP($G166,今日總結!$A:$AN,39,0),"")</f>
        <v>0</v>
      </c>
      <c r="K166" s="5">
        <f>IFERROR(VLOOKUP($G166,今日總結!$A:$AN,40,0),"")</f>
        <v>0</v>
      </c>
      <c r="L166" s="156">
        <f>IFERROR(VLOOKUP($G166,今日總結!$A:$AN,37,0),"")</f>
        <v>0</v>
      </c>
      <c r="M166" s="337">
        <f>IFERROR(VLOOKUP($G166,今日總結!$A:$AN,38,0),"")</f>
        <v>0</v>
      </c>
      <c r="N166" s="240">
        <f t="shared" si="110"/>
        <v>0</v>
      </c>
      <c r="O166" s="359">
        <f>IFERROR(VLOOKUP($G166,融外自投!$A:$J,7,0),"無")</f>
        <v>624</v>
      </c>
      <c r="P166" s="79" t="str">
        <f>IFERROR(VLOOKUP($G166,融外自投!$A:$J,9,0),"無")</f>
        <v>無</v>
      </c>
      <c r="Q166" s="342">
        <f>IFERROR(VLOOKUP($G166,融外自投!$A:$J,8,0),"無")</f>
        <v>1354</v>
      </c>
      <c r="R166" s="81" t="str">
        <f>IFERROR(VLOOKUP($G166,融外自投!$A:$J,10,0),"無")</f>
        <v>無</v>
      </c>
      <c r="S166" s="324">
        <f>IFERROR(VLOOKUP($G166,'321買'!$A:$E,4,0),"'沒有資料'")</f>
        <v>696</v>
      </c>
      <c r="T166" s="186">
        <f>IFERROR(VLOOKUP($G166,基本資料!$A:$J,9,0),"無")</f>
        <v>4</v>
      </c>
      <c r="U166" s="307">
        <f t="shared" si="111"/>
        <v>7.8431372549019607E-2</v>
      </c>
      <c r="V166" s="94">
        <f>IFERROR(VLOOKUP($G166,基本資料!$A:$J,10,0),"無")</f>
        <v>4.9400000000000004</v>
      </c>
      <c r="W166" s="36">
        <v>51</v>
      </c>
      <c r="X166" s="66">
        <v>47</v>
      </c>
      <c r="Y166" s="15">
        <f t="shared" si="117"/>
        <v>4</v>
      </c>
      <c r="Z166" s="63">
        <f t="shared" si="118"/>
        <v>8.5106382978723402E-2</v>
      </c>
      <c r="AA166" s="99" t="s">
        <v>3426</v>
      </c>
      <c r="AB166" s="389">
        <f>IFERROR(VLOOKUP($G166,基本資料!$A:$M,12,0),"無")</f>
        <v>34.08</v>
      </c>
      <c r="AC166" s="16" t="s">
        <v>993</v>
      </c>
      <c r="AD166" s="84">
        <v>44441</v>
      </c>
      <c r="AE166" s="86">
        <v>44452</v>
      </c>
      <c r="AF166" s="33">
        <f t="shared" si="112"/>
        <v>11</v>
      </c>
      <c r="AG166" s="43" t="s">
        <v>2683</v>
      </c>
      <c r="AH166" s="187"/>
      <c r="AJ166" s="245"/>
      <c r="AK166" s="245"/>
      <c r="AL166" s="284"/>
      <c r="AR166" s="245" t="str">
        <f>INDEX(基本資料!N:N,MATCH($G166,基本資料!$A:$A,0))</f>
        <v>低</v>
      </c>
    </row>
    <row r="167" spans="1:44">
      <c r="A167" s="343">
        <f>IFERROR(VLOOKUP($G167,基本資料!$A:$J,3,0),"無")</f>
        <v>3.91</v>
      </c>
      <c r="B167" s="79">
        <f>IFERROR(VLOOKUP($G167,基本資料!$A:$J,4,0),"無")</f>
        <v>76</v>
      </c>
      <c r="C167" s="79">
        <f>IFERROR(VLOOKUP($G167,基本資料!$A:$J,5,0),"無")</f>
        <v>47</v>
      </c>
      <c r="D167" s="79">
        <f>IFERROR(VLOOKUP($G167,基本資料!$A:$J,6,0),"無")</f>
        <v>-28</v>
      </c>
      <c r="E167" s="79">
        <f>IFERROR(VLOOKUP($G167,基本資料!$A:$J,7,0),"無")</f>
        <v>-28</v>
      </c>
      <c r="F167" s="6">
        <f>IFERROR(VLOOKUP($G167,基本資料!$A:$J,8,0),"無")</f>
        <v>10.4</v>
      </c>
      <c r="G167" s="79">
        <v>3597</v>
      </c>
      <c r="H167" s="5" t="s">
        <v>3388</v>
      </c>
      <c r="I167" s="16" t="s">
        <v>1806</v>
      </c>
      <c r="J167" s="8" t="str">
        <f>IFERROR(VLOOKUP($G167,今日總結!$A:$AN,39,0),"")</f>
        <v/>
      </c>
      <c r="K167" s="5" t="str">
        <f>IFERROR(VLOOKUP($G167,今日總結!$A:$AN,40,0),"")</f>
        <v/>
      </c>
      <c r="L167" s="156" t="str">
        <f>IFERROR(VLOOKUP($G167,今日總結!$A:$AN,37,0),"")</f>
        <v/>
      </c>
      <c r="M167" s="337" t="str">
        <f>IFERROR(VLOOKUP($G167,今日總結!$A:$AN,38,0),"")</f>
        <v/>
      </c>
      <c r="N167" s="240" t="str">
        <f t="shared" si="110"/>
        <v/>
      </c>
      <c r="O167" s="359">
        <f>IFERROR(VLOOKUP($G167,融外自投!$A:$J,7,0),"無")</f>
        <v>457</v>
      </c>
      <c r="P167" s="79" t="str">
        <f>IFERROR(VLOOKUP($G167,融外自投!$A:$J,9,0),"無")</f>
        <v>無</v>
      </c>
      <c r="Q167" s="342">
        <f>IFERROR(VLOOKUP($G167,融外自投!$A:$J,8,0),"無")</f>
        <v>1397</v>
      </c>
      <c r="R167" s="81" t="str">
        <f>IFERROR(VLOOKUP($G167,融外自投!$A:$J,10,0),"無")</f>
        <v>無</v>
      </c>
      <c r="S167" s="324" t="str">
        <f>IFERROR(VLOOKUP($G167,'321買'!$A:$E,4,0),"'沒有資料'")</f>
        <v>'沒有資料'</v>
      </c>
      <c r="T167" s="186">
        <f>IFERROR(VLOOKUP($G167,基本資料!$A:$J,9,0),"無")</f>
        <v>1.7</v>
      </c>
      <c r="U167" s="307">
        <f t="shared" si="111"/>
        <v>6.5384615384615388E-2</v>
      </c>
      <c r="V167" s="94">
        <f>IFERROR(VLOOKUP($G167,基本資料!$A:$J,10,0),"無")</f>
        <v>2.1</v>
      </c>
      <c r="W167" s="36">
        <v>26</v>
      </c>
      <c r="X167" s="45">
        <v>22</v>
      </c>
      <c r="Y167" s="15">
        <f t="shared" si="117"/>
        <v>4</v>
      </c>
      <c r="Z167" s="63">
        <f t="shared" si="118"/>
        <v>0.18181818181818182</v>
      </c>
      <c r="AA167" s="99" t="s">
        <v>940</v>
      </c>
      <c r="AB167" s="389">
        <f>IFERROR(VLOOKUP($G167,基本資料!$A:$M,12,0),"無")</f>
        <v>23.2</v>
      </c>
      <c r="AC167" s="16" t="s">
        <v>1806</v>
      </c>
      <c r="AD167" s="84">
        <v>44440</v>
      </c>
      <c r="AE167" s="86">
        <v>44452</v>
      </c>
      <c r="AF167" s="33">
        <f t="shared" si="112"/>
        <v>12</v>
      </c>
      <c r="AG167" s="43" t="s">
        <v>1882</v>
      </c>
      <c r="AH167" s="187"/>
      <c r="AJ167" s="245"/>
      <c r="AK167" s="245"/>
      <c r="AL167" s="284"/>
      <c r="AR167" s="245" t="str">
        <f>INDEX(基本資料!N:N,MATCH($G167,基本資料!$A:$A,0))</f>
        <v>低</v>
      </c>
    </row>
    <row r="168" spans="1:44">
      <c r="A168" s="343">
        <f>IFERROR(VLOOKUP($G168,基本資料!$A:$J,3,0),"無")</f>
        <v>4.57</v>
      </c>
      <c r="B168" s="79">
        <f>IFERROR(VLOOKUP($G168,基本資料!$A:$J,4,0),"無")</f>
        <v>8</v>
      </c>
      <c r="C168" s="79">
        <f>IFERROR(VLOOKUP($G168,基本資料!$A:$J,5,0),"無")</f>
        <v>4</v>
      </c>
      <c r="D168" s="79">
        <f>IFERROR(VLOOKUP($G168,基本資料!$A:$J,6,0),"無")</f>
        <v>-1</v>
      </c>
      <c r="E168" s="79">
        <f>IFERROR(VLOOKUP($G168,基本資料!$A:$J,7,0),"無")</f>
        <v>37</v>
      </c>
      <c r="F168" s="6">
        <f>IFERROR(VLOOKUP($G168,基本資料!$A:$J,8,0),"無")</f>
        <v>1.68</v>
      </c>
      <c r="G168" s="80">
        <v>6248</v>
      </c>
      <c r="H168" s="5" t="s">
        <v>299</v>
      </c>
      <c r="I168" s="16" t="s">
        <v>3980</v>
      </c>
      <c r="J168" s="8">
        <f>IFERROR(VLOOKUP($G168,今日總結!$A:$AN,39,0),"")</f>
        <v>0</v>
      </c>
      <c r="K168" s="5" t="str">
        <f>IFERROR(VLOOKUP($G168,今日總結!$A:$AN,40,0),"")</f>
        <v>融</v>
      </c>
      <c r="L168" s="156">
        <f>IFERROR(VLOOKUP($G168,今日總結!$A:$AN,37,0),"")</f>
        <v>0</v>
      </c>
      <c r="M168" s="337">
        <f>IFERROR(VLOOKUP($G168,今日總結!$A:$AN,38,0),"")</f>
        <v>7</v>
      </c>
      <c r="N168" s="240">
        <f t="shared" si="110"/>
        <v>-7</v>
      </c>
      <c r="O168" s="359">
        <f>IFERROR(VLOOKUP($G168,融外自投!$A:$J,7,0),"無")</f>
        <v>784</v>
      </c>
      <c r="P168" s="79">
        <f>IFERROR(VLOOKUP($G168,融外自投!$A:$J,9,0),"無")</f>
        <v>357</v>
      </c>
      <c r="Q168" s="342">
        <f>IFERROR(VLOOKUP($G168,融外自投!$A:$J,8,0),"無")</f>
        <v>1240</v>
      </c>
      <c r="R168" s="81" t="str">
        <f>IFERROR(VLOOKUP($G168,融外自投!$A:$J,10,0),"無")</f>
        <v>無</v>
      </c>
      <c r="S168" s="324">
        <f>IFERROR(VLOOKUP($G168,'321買'!$A:$E,4,0),"'沒有資料'")</f>
        <v>801</v>
      </c>
      <c r="T168" s="186">
        <f>IFERROR(VLOOKUP($G168,基本資料!$A:$J,9,0),"無")</f>
        <v>1.2</v>
      </c>
      <c r="U168" s="307">
        <f t="shared" si="111"/>
        <v>5.7971014492753624E-2</v>
      </c>
      <c r="V168" s="94">
        <f>IFERROR(VLOOKUP($G168,基本資料!$A:$J,10,0),"無")</f>
        <v>1.62</v>
      </c>
      <c r="W168" s="36">
        <v>20.7</v>
      </c>
      <c r="X168" s="66">
        <v>19</v>
      </c>
      <c r="Y168" s="15">
        <f t="shared" si="117"/>
        <v>1.6999999999999993</v>
      </c>
      <c r="Z168" s="63">
        <f t="shared" si="118"/>
        <v>8.9473684210526275E-2</v>
      </c>
      <c r="AA168" s="99" t="s">
        <v>2962</v>
      </c>
      <c r="AB168" s="389">
        <f>IFERROR(VLOOKUP($G168,基本資料!$A:$M,12,0),"無")</f>
        <v>21.72</v>
      </c>
      <c r="AC168" s="16" t="s">
        <v>840</v>
      </c>
      <c r="AD168" s="84">
        <v>44439</v>
      </c>
      <c r="AE168" s="86">
        <v>44449</v>
      </c>
      <c r="AF168" s="33">
        <f t="shared" si="112"/>
        <v>10</v>
      </c>
      <c r="AG168" s="43" t="s">
        <v>2659</v>
      </c>
      <c r="AH168" s="187"/>
      <c r="AJ168" s="245"/>
      <c r="AK168" s="245"/>
      <c r="AL168" s="284"/>
      <c r="AR168" s="245" t="str">
        <f>INDEX(基本資料!N:N,MATCH($G168,基本資料!$A:$A,0))</f>
        <v>低</v>
      </c>
    </row>
    <row r="169" spans="1:44">
      <c r="A169" s="343">
        <f>IFERROR(VLOOKUP($G169,基本資料!$A:$J,3,0),"無")</f>
        <v>3.37</v>
      </c>
      <c r="B169" s="79">
        <f>IFERROR(VLOOKUP($G169,基本資料!$A:$J,4,0),"無")</f>
        <v>-764</v>
      </c>
      <c r="C169" s="79">
        <f>IFERROR(VLOOKUP($G169,基本資料!$A:$J,5,0),"無")</f>
        <v>-2471</v>
      </c>
      <c r="D169" s="79">
        <f>IFERROR(VLOOKUP($G169,基本資料!$A:$J,6,0),"無")</f>
        <v>-1</v>
      </c>
      <c r="E169" s="79">
        <f>IFERROR(VLOOKUP($G169,基本資料!$A:$J,7,0),"無")</f>
        <v>762</v>
      </c>
      <c r="F169" s="6">
        <f>IFERROR(VLOOKUP($G169,基本資料!$A:$J,8,0),"無")</f>
        <v>-32.799999999999997</v>
      </c>
      <c r="G169" s="80">
        <v>6241</v>
      </c>
      <c r="H169" s="8" t="s">
        <v>311</v>
      </c>
      <c r="I169" s="16" t="s">
        <v>518</v>
      </c>
      <c r="J169" s="8" t="str">
        <f>IFERROR(VLOOKUP($G169,今日總結!$A:$AN,39,0),"")</f>
        <v/>
      </c>
      <c r="K169" s="5" t="str">
        <f>IFERROR(VLOOKUP($G169,今日總結!$A:$AN,40,0),"")</f>
        <v/>
      </c>
      <c r="L169" s="156" t="str">
        <f>IFERROR(VLOOKUP($G169,今日總結!$A:$AN,37,0),"")</f>
        <v/>
      </c>
      <c r="M169" s="337" t="str">
        <f>IFERROR(VLOOKUP($G169,今日總結!$A:$AN,38,0),"")</f>
        <v/>
      </c>
      <c r="N169" s="240" t="str">
        <f t="shared" si="110"/>
        <v/>
      </c>
      <c r="O169" s="359" t="str">
        <f>IFERROR(VLOOKUP($G169,融外自投!$A:$J,7,0),"無")</f>
        <v>無</v>
      </c>
      <c r="P169" s="79" t="str">
        <f>IFERROR(VLOOKUP($G169,融外自投!$A:$J,9,0),"無")</f>
        <v>無</v>
      </c>
      <c r="Q169" s="342" t="str">
        <f>IFERROR(VLOOKUP($G169,融外自投!$A:$J,8,0),"無")</f>
        <v>無</v>
      </c>
      <c r="R169" s="81" t="str">
        <f>IFERROR(VLOOKUP($G169,融外自投!$A:$J,10,0),"無")</f>
        <v>無</v>
      </c>
      <c r="S169" s="324" t="str">
        <f>IFERROR(VLOOKUP($G169,'321買'!$A:$E,4,0),"'沒有資料'")</f>
        <v>'沒有資料'</v>
      </c>
      <c r="T169" s="186">
        <f>IFERROR(VLOOKUP($G169,基本資料!$A:$J,9,0),"無")</f>
        <v>0</v>
      </c>
      <c r="U169" s="307">
        <f t="shared" si="111"/>
        <v>0</v>
      </c>
      <c r="V169" s="94">
        <f>IFERROR(VLOOKUP($G169,基本資料!$A:$J,10,0),"無")</f>
        <v>-3.15</v>
      </c>
      <c r="W169" s="36">
        <v>19.05</v>
      </c>
      <c r="X169" s="66">
        <v>16</v>
      </c>
      <c r="Y169" s="15">
        <f t="shared" si="117"/>
        <v>3.0500000000000007</v>
      </c>
      <c r="Z169" s="63">
        <f t="shared" si="118"/>
        <v>0.19062500000000004</v>
      </c>
      <c r="AA169" s="99" t="s">
        <v>1874</v>
      </c>
      <c r="AB169" s="389">
        <f>IFERROR(VLOOKUP($G169,基本資料!$A:$M,12,0),"無")</f>
        <v>51.61</v>
      </c>
      <c r="AC169" s="16" t="s">
        <v>518</v>
      </c>
      <c r="AD169" s="84">
        <v>44439</v>
      </c>
      <c r="AE169" s="86">
        <v>44449</v>
      </c>
      <c r="AF169" s="33">
        <f t="shared" si="112"/>
        <v>10</v>
      </c>
      <c r="AG169" s="43" t="s">
        <v>2622</v>
      </c>
      <c r="AH169" s="187"/>
      <c r="AJ169" s="245"/>
      <c r="AK169" s="245"/>
      <c r="AL169" s="284"/>
      <c r="AR169" s="245" t="str">
        <f>INDEX(基本資料!N:N,MATCH($G169,基本資料!$A:$A,0))</f>
        <v>中</v>
      </c>
    </row>
    <row r="170" spans="1:44">
      <c r="A170" s="343">
        <f>IFERROR(VLOOKUP($G170,基本資料!$A:$J,3,0),"無")</f>
        <v>7.82</v>
      </c>
      <c r="B170" s="79">
        <f>IFERROR(VLOOKUP($G170,基本資料!$A:$J,4,0),"無")</f>
        <v>-341</v>
      </c>
      <c r="C170" s="79">
        <f>IFERROR(VLOOKUP($G170,基本資料!$A:$J,5,0),"無")</f>
        <v>-214</v>
      </c>
      <c r="D170" s="79">
        <f>IFERROR(VLOOKUP($G170,基本資料!$A:$J,6,0),"無")</f>
        <v>1</v>
      </c>
      <c r="E170" s="79">
        <f>IFERROR(VLOOKUP($G170,基本資料!$A:$J,7,0),"無")</f>
        <v>6</v>
      </c>
      <c r="F170" s="6">
        <f>IFERROR(VLOOKUP($G170,基本資料!$A:$J,8,0),"無")</f>
        <v>-18.920000000000002</v>
      </c>
      <c r="G170" s="80">
        <v>6668</v>
      </c>
      <c r="H170" s="193" t="s">
        <v>306</v>
      </c>
      <c r="I170" s="22" t="s">
        <v>1081</v>
      </c>
      <c r="J170" s="8">
        <f>IFERROR(VLOOKUP($G170,今日總結!$A:$AN,39,0),"")</f>
        <v>0</v>
      </c>
      <c r="K170" s="5">
        <f>IFERROR(VLOOKUP($G170,今日總結!$A:$AN,40,0),"")</f>
        <v>0</v>
      </c>
      <c r="L170" s="156">
        <f>IFERROR(VLOOKUP($G170,今日總結!$A:$AN,37,0),"")</f>
        <v>0</v>
      </c>
      <c r="M170" s="337">
        <f>IFERROR(VLOOKUP($G170,今日總結!$A:$AN,38,0),"")</f>
        <v>0</v>
      </c>
      <c r="N170" s="240">
        <f t="shared" si="110"/>
        <v>0</v>
      </c>
      <c r="O170" s="359">
        <f>IFERROR(VLOOKUP($G170,融外自投!$A:$J,7,0),"無")</f>
        <v>486</v>
      </c>
      <c r="P170" s="79">
        <f>IFERROR(VLOOKUP($G170,融外自投!$A:$J,9,0),"無")</f>
        <v>240</v>
      </c>
      <c r="Q170" s="342">
        <f>IFERROR(VLOOKUP($G170,融外自投!$A:$J,8,0),"無")</f>
        <v>258</v>
      </c>
      <c r="R170" s="81" t="str">
        <f>IFERROR(VLOOKUP($G170,融外自投!$A:$J,10,0),"無")</f>
        <v>無</v>
      </c>
      <c r="S170" s="324">
        <f>IFERROR(VLOOKUP($G170,'321買'!$A:$E,4,0),"'沒有資料'")</f>
        <v>696</v>
      </c>
      <c r="T170" s="186">
        <f>IFERROR(VLOOKUP($G170,基本資料!$A:$J,9,0),"無")</f>
        <v>0</v>
      </c>
      <c r="U170" s="307">
        <f t="shared" si="111"/>
        <v>0</v>
      </c>
      <c r="V170" s="94">
        <f>IFERROR(VLOOKUP($G170,基本資料!$A:$J,10,0),"無")</f>
        <v>-4.0199999999999996</v>
      </c>
      <c r="W170" s="36">
        <v>52.6</v>
      </c>
      <c r="X170" s="66">
        <v>50</v>
      </c>
      <c r="Y170" s="15">
        <f t="shared" si="117"/>
        <v>2.6000000000000014</v>
      </c>
      <c r="Z170" s="63">
        <f t="shared" si="118"/>
        <v>5.2000000000000025E-2</v>
      </c>
      <c r="AA170" s="99" t="s">
        <v>3422</v>
      </c>
      <c r="AB170" s="389">
        <f>IFERROR(VLOOKUP($G170,基本資料!$A:$M,12,0),"無")</f>
        <v>9.06</v>
      </c>
      <c r="AC170" s="22" t="s">
        <v>1081</v>
      </c>
      <c r="AD170" s="84">
        <v>44438</v>
      </c>
      <c r="AE170" s="86">
        <v>44448</v>
      </c>
      <c r="AF170" s="33">
        <f t="shared" si="112"/>
        <v>10</v>
      </c>
      <c r="AG170" s="117" t="s">
        <v>2706</v>
      </c>
      <c r="AH170" s="285"/>
      <c r="AJ170" s="245"/>
      <c r="AK170" s="245"/>
      <c r="AL170" s="254"/>
      <c r="AR170" s="245" t="str">
        <f>INDEX(基本資料!N:N,MATCH($G170,基本資料!$A:$A,0))</f>
        <v>低</v>
      </c>
    </row>
    <row r="171" spans="1:44">
      <c r="A171" s="343">
        <f>IFERROR(VLOOKUP($G171,基本資料!$A:$J,3,0),"無")</f>
        <v>19.989999999999998</v>
      </c>
      <c r="B171" s="79">
        <f>IFERROR(VLOOKUP($G171,基本資料!$A:$J,4,0),"無")</f>
        <v>662</v>
      </c>
      <c r="C171" s="79">
        <f>IFERROR(VLOOKUP($G171,基本資料!$A:$J,5,0),"無")</f>
        <v>5365</v>
      </c>
      <c r="D171" s="79">
        <f>IFERROR(VLOOKUP($G171,基本資料!$A:$J,6,0),"無")</f>
        <v>-13</v>
      </c>
      <c r="E171" s="79">
        <f>IFERROR(VLOOKUP($G171,基本資料!$A:$J,7,0),"無")</f>
        <v>3</v>
      </c>
      <c r="F171" s="6">
        <f>IFERROR(VLOOKUP($G171,基本資料!$A:$J,8,0),"無")</f>
        <v>5.81</v>
      </c>
      <c r="G171" s="80">
        <v>2062</v>
      </c>
      <c r="H171" s="5" t="s">
        <v>1959</v>
      </c>
      <c r="I171" s="22" t="s">
        <v>673</v>
      </c>
      <c r="J171" s="8">
        <f>IFERROR(VLOOKUP($G171,今日總結!$A:$AN,39,0),"")</f>
        <v>0</v>
      </c>
      <c r="K171" s="5">
        <f>IFERROR(VLOOKUP($G171,今日總結!$A:$AN,40,0),"")</f>
        <v>0</v>
      </c>
      <c r="L171" s="156">
        <f>IFERROR(VLOOKUP($G171,今日總結!$A:$AN,37,0),"")</f>
        <v>0</v>
      </c>
      <c r="M171" s="337">
        <f>IFERROR(VLOOKUP($G171,今日總結!$A:$AN,38,0),"")</f>
        <v>0</v>
      </c>
      <c r="N171" s="240">
        <f t="shared" si="110"/>
        <v>0</v>
      </c>
      <c r="O171" s="359">
        <f>IFERROR(VLOOKUP($G171,融外自投!$A:$J,7,0),"無")</f>
        <v>751</v>
      </c>
      <c r="P171" s="79">
        <f>IFERROR(VLOOKUP($G171,融外自投!$A:$J,9,0),"無")</f>
        <v>501</v>
      </c>
      <c r="Q171" s="342">
        <f>IFERROR(VLOOKUP($G171,融外自投!$A:$J,8,0),"無")</f>
        <v>530</v>
      </c>
      <c r="R171" s="81">
        <f>IFERROR(VLOOKUP($G171,融外自投!$A:$J,10,0),"無")</f>
        <v>265</v>
      </c>
      <c r="S171" s="324">
        <f>IFERROR(VLOOKUP($G171,'321買'!$A:$E,4,0),"'沒有資料'")</f>
        <v>891</v>
      </c>
      <c r="T171" s="186">
        <f>IFERROR(VLOOKUP($G171,基本資料!$A:$J,9,0),"無")</f>
        <v>0.5</v>
      </c>
      <c r="U171" s="307">
        <f t="shared" si="111"/>
        <v>1.926782273603083E-2</v>
      </c>
      <c r="V171" s="94">
        <f>IFERROR(VLOOKUP($G171,基本資料!$A:$J,10,0),"無")</f>
        <v>2.48</v>
      </c>
      <c r="W171" s="36">
        <v>25.95</v>
      </c>
      <c r="X171" s="66">
        <v>25.5</v>
      </c>
      <c r="Y171" s="15">
        <f t="shared" ref="Y171:Y176" si="119">W171-X171</f>
        <v>0.44999999999999929</v>
      </c>
      <c r="Z171" s="63">
        <f t="shared" si="118"/>
        <v>1.7647058823529384E-2</v>
      </c>
      <c r="AA171" s="99" t="s">
        <v>3418</v>
      </c>
      <c r="AB171" s="389">
        <f>IFERROR(VLOOKUP($G171,基本資料!$A:$M,12,0),"無")</f>
        <v>19.260000000000002</v>
      </c>
      <c r="AC171" s="22" t="s">
        <v>673</v>
      </c>
      <c r="AD171" s="84">
        <v>44435</v>
      </c>
      <c r="AE171" s="86">
        <v>44445</v>
      </c>
      <c r="AF171" s="33">
        <f t="shared" si="112"/>
        <v>10</v>
      </c>
      <c r="AG171" s="43" t="s">
        <v>2813</v>
      </c>
      <c r="AH171" s="187"/>
      <c r="AJ171" s="245"/>
      <c r="AK171" s="245"/>
      <c r="AL171" s="284"/>
      <c r="AR171" s="245" t="str">
        <f>INDEX(基本資料!N:N,MATCH($G171,基本資料!$A:$A,0))</f>
        <v>低</v>
      </c>
    </row>
    <row r="172" spans="1:44">
      <c r="A172" s="343">
        <f>IFERROR(VLOOKUP($G172,基本資料!$A:$J,3,0),"無")</f>
        <v>20.12</v>
      </c>
      <c r="B172" s="79">
        <f>IFERROR(VLOOKUP($G172,基本資料!$A:$J,4,0),"無")</f>
        <v>192</v>
      </c>
      <c r="C172" s="79">
        <f>IFERROR(VLOOKUP($G172,基本資料!$A:$J,5,0),"無")</f>
        <v>183</v>
      </c>
      <c r="D172" s="79">
        <f>IFERROR(VLOOKUP($G172,基本資料!$A:$J,6,0),"無")</f>
        <v>-19</v>
      </c>
      <c r="E172" s="79">
        <f>IFERROR(VLOOKUP($G172,基本資料!$A:$J,7,0),"無")</f>
        <v>18</v>
      </c>
      <c r="F172" s="6">
        <f>IFERROR(VLOOKUP($G172,基本資料!$A:$J,8,0),"無")</f>
        <v>14.84</v>
      </c>
      <c r="G172" s="79">
        <v>5538</v>
      </c>
      <c r="H172" s="8" t="s">
        <v>299</v>
      </c>
      <c r="I172" s="22" t="s">
        <v>851</v>
      </c>
      <c r="J172" s="8">
        <f>IFERROR(VLOOKUP($G172,今日總結!$A:$AN,39,0),"")</f>
        <v>0</v>
      </c>
      <c r="K172" s="5">
        <f>IFERROR(VLOOKUP($G172,今日總結!$A:$AN,40,0),"")</f>
        <v>0</v>
      </c>
      <c r="L172" s="156">
        <f>IFERROR(VLOOKUP($G172,今日總結!$A:$AN,37,0),"")</f>
        <v>0</v>
      </c>
      <c r="M172" s="337">
        <f>IFERROR(VLOOKUP($G172,今日總結!$A:$AN,38,0),"")</f>
        <v>0</v>
      </c>
      <c r="N172" s="240">
        <f t="shared" si="110"/>
        <v>0</v>
      </c>
      <c r="O172" s="359">
        <f>IFERROR(VLOOKUP($G172,融外自投!$A:$J,7,0),"無")</f>
        <v>1327</v>
      </c>
      <c r="P172" s="79">
        <f>IFERROR(VLOOKUP($G172,融外自投!$A:$J,9,0),"無")</f>
        <v>1051</v>
      </c>
      <c r="Q172" s="342">
        <f>IFERROR(VLOOKUP($G172,融外自投!$A:$J,8,0),"無")</f>
        <v>37</v>
      </c>
      <c r="R172" s="81">
        <f>IFERROR(VLOOKUP($G172,融外自投!$A:$J,10,0),"無")</f>
        <v>495</v>
      </c>
      <c r="S172" s="324">
        <f>IFERROR(VLOOKUP($G172,'321買'!$A:$E,4,0),"'沒有資料'")</f>
        <v>1002</v>
      </c>
      <c r="T172" s="186">
        <f>IFERROR(VLOOKUP($G172,基本資料!$A:$J,9,0),"無")</f>
        <v>3.2</v>
      </c>
      <c r="U172" s="307">
        <f t="shared" si="111"/>
        <v>7.8144078144078144E-2</v>
      </c>
      <c r="V172" s="94">
        <f>IFERROR(VLOOKUP($G172,基本資料!$A:$J,10,0),"無")</f>
        <v>8</v>
      </c>
      <c r="W172" s="13">
        <v>40.950000000000003</v>
      </c>
      <c r="X172" s="66">
        <v>36</v>
      </c>
      <c r="Y172" s="15">
        <f t="shared" si="119"/>
        <v>4.9500000000000028</v>
      </c>
      <c r="Z172" s="63">
        <f t="shared" si="118"/>
        <v>0.13750000000000007</v>
      </c>
      <c r="AA172" s="99" t="s">
        <v>3418</v>
      </c>
      <c r="AB172" s="389">
        <f>IFERROR(VLOOKUP($G172,基本資料!$A:$M,12,0),"無")</f>
        <v>10.91</v>
      </c>
      <c r="AC172" s="22" t="s">
        <v>851</v>
      </c>
      <c r="AD172" s="84">
        <v>44433</v>
      </c>
      <c r="AE172" s="86">
        <v>44445</v>
      </c>
      <c r="AF172" s="33">
        <f t="shared" si="112"/>
        <v>12</v>
      </c>
      <c r="AG172" s="43" t="s">
        <v>3261</v>
      </c>
      <c r="AH172" s="187"/>
      <c r="AJ172" s="245"/>
      <c r="AK172" s="245"/>
      <c r="AL172" s="284"/>
      <c r="AR172" s="245" t="str">
        <f>INDEX(基本資料!N:N,MATCH($G172,基本資料!$A:$A,0))</f>
        <v>中</v>
      </c>
    </row>
    <row r="173" spans="1:44">
      <c r="A173" s="343">
        <f>IFERROR(VLOOKUP($G173,基本資料!$A:$J,3,0),"無")</f>
        <v>1548</v>
      </c>
      <c r="B173" s="79">
        <f>IFERROR(VLOOKUP($G173,基本資料!$A:$J,4,0),"無")</f>
        <v>57</v>
      </c>
      <c r="C173" s="79">
        <f>IFERROR(VLOOKUP($G173,基本資料!$A:$J,5,0),"無")</f>
        <v>0</v>
      </c>
      <c r="D173" s="79">
        <f>IFERROR(VLOOKUP($G173,基本資料!$A:$J,6,0),"無")</f>
        <v>-29</v>
      </c>
      <c r="E173" s="79">
        <f>IFERROR(VLOOKUP($G173,基本資料!$A:$J,7,0),"無")</f>
        <v>-34</v>
      </c>
      <c r="F173" s="6">
        <f>IFERROR(VLOOKUP($G173,基本資料!$A:$J,8,0),"無")</f>
        <v>0</v>
      </c>
      <c r="G173" s="79">
        <v>2888</v>
      </c>
      <c r="H173" s="17" t="s">
        <v>304</v>
      </c>
      <c r="I173" s="22" t="s">
        <v>18</v>
      </c>
      <c r="J173" s="8" t="str">
        <f>IFERROR(VLOOKUP($G173,今日總結!$A:$AN,39,0),"")</f>
        <v>借</v>
      </c>
      <c r="K173" s="5" t="str">
        <f>IFERROR(VLOOKUP($G173,今日總結!$A:$AN,40,0),"")</f>
        <v>主外</v>
      </c>
      <c r="L173" s="156">
        <f>IFERROR(VLOOKUP($G173,今日總結!$A:$AN,37,0),"")</f>
        <v>1</v>
      </c>
      <c r="M173" s="337">
        <f>IFERROR(VLOOKUP($G173,今日總結!$A:$AN,38,0),"")</f>
        <v>24</v>
      </c>
      <c r="N173" s="240">
        <f t="shared" si="110"/>
        <v>-23</v>
      </c>
      <c r="O173" s="359">
        <f>IFERROR(VLOOKUP($G173,融外自投!$A:$J,7,0),"無")</f>
        <v>918</v>
      </c>
      <c r="P173" s="79">
        <f>IFERROR(VLOOKUP($G173,融外自投!$A:$J,9,0),"無")</f>
        <v>1123</v>
      </c>
      <c r="Q173" s="342">
        <f>IFERROR(VLOOKUP($G173,融外自投!$A:$J,8,0),"無")</f>
        <v>270</v>
      </c>
      <c r="R173" s="81">
        <f>IFERROR(VLOOKUP($G173,融外自投!$A:$J,10,0),"無")</f>
        <v>294</v>
      </c>
      <c r="S173" s="324">
        <f>IFERROR(VLOOKUP($G173,'321買'!$A:$E,4,0),"'沒有資料'")</f>
        <v>300</v>
      </c>
      <c r="T173" s="186">
        <f>IFERROR(VLOOKUP($G173,基本資料!$A:$J,9,0),"無")</f>
        <v>0.43</v>
      </c>
      <c r="U173" s="307">
        <f t="shared" si="111"/>
        <v>4.5989304812834225E-2</v>
      </c>
      <c r="V173" s="94">
        <f>IFERROR(VLOOKUP($G173,基本資料!$A:$J,10,0),"無")</f>
        <v>1.67</v>
      </c>
      <c r="W173" s="36">
        <v>9.35</v>
      </c>
      <c r="X173" s="66">
        <v>8.1999999999999993</v>
      </c>
      <c r="Y173" s="15">
        <f t="shared" si="119"/>
        <v>1.1500000000000004</v>
      </c>
      <c r="Z173" s="63">
        <f t="shared" si="118"/>
        <v>0.14024390243902446</v>
      </c>
      <c r="AA173" s="99" t="s">
        <v>3419</v>
      </c>
      <c r="AB173" s="389">
        <f>IFERROR(VLOOKUP($G173,基本資料!$A:$M,12,0),"無")</f>
        <v>9.42</v>
      </c>
      <c r="AC173" s="22" t="s">
        <v>18</v>
      </c>
      <c r="AD173" s="84">
        <v>44433</v>
      </c>
      <c r="AE173" s="86">
        <v>44445</v>
      </c>
      <c r="AF173" s="33">
        <f t="shared" si="112"/>
        <v>12</v>
      </c>
      <c r="AG173" s="117" t="s">
        <v>2601</v>
      </c>
      <c r="AH173" s="187"/>
      <c r="AJ173" s="245"/>
      <c r="AK173" s="245"/>
      <c r="AL173" s="284"/>
      <c r="AR173" s="245" t="str">
        <f>INDEX(基本資料!N:N,MATCH($G173,基本資料!$A:$A,0))</f>
        <v>低</v>
      </c>
    </row>
    <row r="174" spans="1:44">
      <c r="A174" s="343">
        <f>IFERROR(VLOOKUP($G174,基本資料!$A:$J,3,0),"無")</f>
        <v>8.0299999999999994</v>
      </c>
      <c r="B174" s="79">
        <f>IFERROR(VLOOKUP($G174,基本資料!$A:$J,4,0),"無")</f>
        <v>-19</v>
      </c>
      <c r="C174" s="79">
        <f>IFERROR(VLOOKUP($G174,基本資料!$A:$J,5,0),"無")</f>
        <v>-19</v>
      </c>
      <c r="D174" s="79">
        <f>IFERROR(VLOOKUP($G174,基本資料!$A:$J,6,0),"無")</f>
        <v>-6</v>
      </c>
      <c r="E174" s="79">
        <f>IFERROR(VLOOKUP($G174,基本資料!$A:$J,7,0),"無")</f>
        <v>17</v>
      </c>
      <c r="F174" s="6">
        <f>IFERROR(VLOOKUP($G174,基本資料!$A:$J,8,0),"無")</f>
        <v>11.85</v>
      </c>
      <c r="G174" s="80">
        <v>3557</v>
      </c>
      <c r="H174" s="5" t="s">
        <v>1959</v>
      </c>
      <c r="I174" s="22" t="s">
        <v>445</v>
      </c>
      <c r="J174" s="8">
        <f>IFERROR(VLOOKUP($G174,今日總結!$A:$AN,39,0),"")</f>
        <v>0</v>
      </c>
      <c r="K174" s="5">
        <f>IFERROR(VLOOKUP($G174,今日總結!$A:$AN,40,0),"")</f>
        <v>0</v>
      </c>
      <c r="L174" s="156">
        <f>IFERROR(VLOOKUP($G174,今日總結!$A:$AN,37,0),"")</f>
        <v>0</v>
      </c>
      <c r="M174" s="337">
        <f>IFERROR(VLOOKUP($G174,今日總結!$A:$AN,38,0),"")</f>
        <v>0</v>
      </c>
      <c r="N174" s="240">
        <f t="shared" si="110"/>
        <v>0</v>
      </c>
      <c r="O174" s="359">
        <f>IFERROR(VLOOKUP($G174,融外自投!$A:$J,7,0),"無")</f>
        <v>293</v>
      </c>
      <c r="P174" s="79" t="str">
        <f>IFERROR(VLOOKUP($G174,融外自投!$A:$J,9,0),"無")</f>
        <v>無</v>
      </c>
      <c r="Q174" s="342">
        <f>IFERROR(VLOOKUP($G174,融外自投!$A:$J,8,0),"無")</f>
        <v>293</v>
      </c>
      <c r="R174" s="81" t="str">
        <f>IFERROR(VLOOKUP($G174,融外自投!$A:$J,10,0),"無")</f>
        <v>無</v>
      </c>
      <c r="S174" s="324">
        <f>IFERROR(VLOOKUP($G174,'321買'!$A:$E,4,0),"'沒有資料'")</f>
        <v>1002</v>
      </c>
      <c r="T174" s="186">
        <f>IFERROR(VLOOKUP($G174,基本資料!$A:$J,9,0),"無")</f>
        <v>6</v>
      </c>
      <c r="U174" s="307">
        <f t="shared" si="111"/>
        <v>7.4257425742574254E-2</v>
      </c>
      <c r="V174" s="94">
        <f>IFERROR(VLOOKUP($G174,基本資料!$A:$J,10,0),"無")</f>
        <v>7.74</v>
      </c>
      <c r="W174" s="36">
        <v>80.8</v>
      </c>
      <c r="X174" s="45">
        <v>76</v>
      </c>
      <c r="Y174" s="15">
        <f t="shared" si="119"/>
        <v>4.7999999999999972</v>
      </c>
      <c r="Z174" s="63">
        <f t="shared" si="118"/>
        <v>6.3157894736842066E-2</v>
      </c>
      <c r="AA174" s="99" t="s">
        <v>1594</v>
      </c>
      <c r="AB174" s="389">
        <f>IFERROR(VLOOKUP($G174,基本資料!$A:$M,12,0),"無")</f>
        <v>33.020000000000003</v>
      </c>
      <c r="AC174" s="22" t="s">
        <v>445</v>
      </c>
      <c r="AD174" s="84">
        <v>44432</v>
      </c>
      <c r="AE174" s="86">
        <v>44442</v>
      </c>
      <c r="AF174" s="33">
        <f t="shared" si="112"/>
        <v>10</v>
      </c>
      <c r="AG174" s="43" t="s">
        <v>3403</v>
      </c>
      <c r="AH174" s="187"/>
      <c r="AJ174" s="245"/>
      <c r="AK174" s="245"/>
      <c r="AL174" s="284"/>
      <c r="AR174" s="245" t="str">
        <f>INDEX(基本資料!N:N,MATCH($G174,基本資料!$A:$A,0))</f>
        <v>低</v>
      </c>
    </row>
    <row r="175" spans="1:44">
      <c r="A175" s="343">
        <f>IFERROR(VLOOKUP($G175,基本資料!$A:$J,3,0),"無")</f>
        <v>22.19</v>
      </c>
      <c r="B175" s="79">
        <f>IFERROR(VLOOKUP($G175,基本資料!$A:$J,4,0),"無")</f>
        <v>344</v>
      </c>
      <c r="C175" s="79">
        <f>IFERROR(VLOOKUP($G175,基本資料!$A:$J,5,0),"無")</f>
        <v>1235</v>
      </c>
      <c r="D175" s="79">
        <f>IFERROR(VLOOKUP($G175,基本資料!$A:$J,6,0),"無")</f>
        <v>-2</v>
      </c>
      <c r="E175" s="79">
        <f>IFERROR(VLOOKUP($G175,基本資料!$A:$J,7,0),"無")</f>
        <v>-1</v>
      </c>
      <c r="F175" s="6">
        <f>IFERROR(VLOOKUP($G175,基本資料!$A:$J,8,0),"無")</f>
        <v>8.92</v>
      </c>
      <c r="G175" s="79">
        <v>2486</v>
      </c>
      <c r="H175" s="8" t="s">
        <v>306</v>
      </c>
      <c r="I175" s="22" t="s">
        <v>331</v>
      </c>
      <c r="J175" s="8">
        <f>IFERROR(VLOOKUP($G175,今日總結!$A:$AN,39,0),"")</f>
        <v>0</v>
      </c>
      <c r="K175" s="5">
        <f>IFERROR(VLOOKUP($G175,今日總結!$A:$AN,40,0),"")</f>
        <v>0</v>
      </c>
      <c r="L175" s="156">
        <f>IFERROR(VLOOKUP($G175,今日總結!$A:$AN,37,0),"")</f>
        <v>0</v>
      </c>
      <c r="M175" s="337">
        <f>IFERROR(VLOOKUP($G175,今日總結!$A:$AN,38,0),"")</f>
        <v>0</v>
      </c>
      <c r="N175" s="240">
        <f t="shared" si="110"/>
        <v>0</v>
      </c>
      <c r="O175" s="359">
        <f>IFERROR(VLOOKUP($G175,融外自投!$A:$J,7,0),"無")</f>
        <v>129</v>
      </c>
      <c r="P175" s="79">
        <f>IFERROR(VLOOKUP($G175,融外自投!$A:$J,9,0),"無")</f>
        <v>1123</v>
      </c>
      <c r="Q175" s="342">
        <f>IFERROR(VLOOKUP($G175,融外自投!$A:$J,8,0),"無")</f>
        <v>1030</v>
      </c>
      <c r="R175" s="81" t="str">
        <f>IFERROR(VLOOKUP($G175,融外自投!$A:$J,10,0),"無")</f>
        <v>無</v>
      </c>
      <c r="S175" s="324">
        <f>IFERROR(VLOOKUP($G175,'321買'!$A:$E,4,0),"'沒有資料'")</f>
        <v>101</v>
      </c>
      <c r="T175" s="186">
        <f>IFERROR(VLOOKUP($G175,基本資料!$A:$J,9,0),"無")</f>
        <v>0.5</v>
      </c>
      <c r="U175" s="307">
        <f t="shared" si="111"/>
        <v>9.1743119266055051E-3</v>
      </c>
      <c r="V175" s="94">
        <f>IFERROR(VLOOKUP($G175,基本資料!$A:$J,10,0),"無")</f>
        <v>1.79</v>
      </c>
      <c r="W175" s="36">
        <v>54.5</v>
      </c>
      <c r="X175" s="45">
        <v>43</v>
      </c>
      <c r="Y175" s="15">
        <f t="shared" si="119"/>
        <v>11.5</v>
      </c>
      <c r="Z175" s="63">
        <f t="shared" si="118"/>
        <v>0.26744186046511625</v>
      </c>
      <c r="AA175" s="99" t="s">
        <v>3417</v>
      </c>
      <c r="AB175" s="389">
        <f>IFERROR(VLOOKUP($G175,基本資料!$A:$M,12,0),"無")</f>
        <v>15.57</v>
      </c>
      <c r="AC175" s="22" t="s">
        <v>331</v>
      </c>
      <c r="AD175" s="84">
        <v>44432</v>
      </c>
      <c r="AE175" s="86">
        <v>44442</v>
      </c>
      <c r="AF175" s="33">
        <f t="shared" si="112"/>
        <v>10</v>
      </c>
      <c r="AG175" s="43" t="s">
        <v>2582</v>
      </c>
      <c r="AH175" s="187"/>
      <c r="AJ175" s="245"/>
      <c r="AK175" s="245"/>
      <c r="AL175" s="284"/>
      <c r="AR175" s="245" t="str">
        <f>INDEX(基本資料!N:N,MATCH($G175,基本資料!$A:$A,0))</f>
        <v>低</v>
      </c>
    </row>
    <row r="176" spans="1:44">
      <c r="A176" s="343">
        <f>IFERROR(VLOOKUP($G176,基本資料!$A:$J,3,0),"無")</f>
        <v>7.1</v>
      </c>
      <c r="B176" s="79">
        <f>IFERROR(VLOOKUP($G176,基本資料!$A:$J,4,0),"無")</f>
        <v>-362</v>
      </c>
      <c r="C176" s="79">
        <f>IFERROR(VLOOKUP($G176,基本資料!$A:$J,5,0),"無")</f>
        <v>-80</v>
      </c>
      <c r="D176" s="79">
        <f>IFERROR(VLOOKUP($G176,基本資料!$A:$J,6,0),"無")</f>
        <v>-15</v>
      </c>
      <c r="E176" s="79">
        <f>IFERROR(VLOOKUP($G176,基本資料!$A:$J,7,0),"無")</f>
        <v>-41</v>
      </c>
      <c r="F176" s="6">
        <f>IFERROR(VLOOKUP($G176,基本資料!$A:$J,8,0),"無")</f>
        <v>0.74</v>
      </c>
      <c r="G176" s="79">
        <v>3230</v>
      </c>
      <c r="H176" s="8" t="s">
        <v>306</v>
      </c>
      <c r="I176" s="16" t="s">
        <v>4168</v>
      </c>
      <c r="J176" s="8" t="str">
        <f>IFERROR(VLOOKUP($G176,今日總結!$A:$AN,39,0),"")</f>
        <v>主</v>
      </c>
      <c r="K176" s="5">
        <f>IFERROR(VLOOKUP($G176,今日總結!$A:$AN,40,0),"")</f>
        <v>0</v>
      </c>
      <c r="L176" s="156">
        <f>IFERROR(VLOOKUP($G176,今日總結!$A:$AN,37,0),"")</f>
        <v>1</v>
      </c>
      <c r="M176" s="337">
        <f>IFERROR(VLOOKUP($G176,今日總結!$A:$AN,38,0),"")</f>
        <v>0</v>
      </c>
      <c r="N176" s="240">
        <f t="shared" si="110"/>
        <v>1</v>
      </c>
      <c r="O176" s="359">
        <f>IFERROR(VLOOKUP($G176,融外自投!$A:$J,7,0),"無")</f>
        <v>32</v>
      </c>
      <c r="P176" s="79" t="str">
        <f>IFERROR(VLOOKUP($G176,融外自投!$A:$J,9,0),"無")</f>
        <v>無</v>
      </c>
      <c r="Q176" s="342">
        <f>IFERROR(VLOOKUP($G176,融外自投!$A:$J,8,0),"無")</f>
        <v>1344</v>
      </c>
      <c r="R176" s="81" t="str">
        <f>IFERROR(VLOOKUP($G176,融外自投!$A:$J,10,0),"無")</f>
        <v>無</v>
      </c>
      <c r="S176" s="324">
        <f>IFERROR(VLOOKUP($G176,'321買'!$A:$E,4,0),"'沒有資料'")</f>
        <v>530</v>
      </c>
      <c r="T176" s="186">
        <f>IFERROR(VLOOKUP($G176,基本資料!$A:$J,9,0),"無")</f>
        <v>0</v>
      </c>
      <c r="U176" s="307">
        <f t="shared" si="111"/>
        <v>0</v>
      </c>
      <c r="V176" s="94">
        <f>IFERROR(VLOOKUP($G176,基本資料!$A:$J,10,0),"無")</f>
        <v>-0.51</v>
      </c>
      <c r="W176" s="36">
        <v>21.25</v>
      </c>
      <c r="X176" s="66">
        <v>15</v>
      </c>
      <c r="Y176" s="15">
        <f t="shared" si="119"/>
        <v>6.25</v>
      </c>
      <c r="Z176" s="63">
        <f t="shared" si="118"/>
        <v>0.41666666666666669</v>
      </c>
      <c r="AA176" s="99" t="s">
        <v>3035</v>
      </c>
      <c r="AB176" s="389">
        <f>IFERROR(VLOOKUP($G176,基本資料!$A:$M,12,0),"無")</f>
        <v>47.21</v>
      </c>
      <c r="AC176" s="16" t="s">
        <v>452</v>
      </c>
      <c r="AD176" s="84">
        <v>44431</v>
      </c>
      <c r="AE176" s="86">
        <v>44441</v>
      </c>
      <c r="AF176" s="33">
        <f t="shared" si="112"/>
        <v>10</v>
      </c>
      <c r="AG176" s="43" t="s">
        <v>2431</v>
      </c>
      <c r="AH176" s="187"/>
      <c r="AJ176" s="245"/>
      <c r="AK176" s="245"/>
      <c r="AL176" s="284"/>
      <c r="AR176" s="245" t="str">
        <f>INDEX(基本資料!N:N,MATCH($G176,基本資料!$A:$A,0))</f>
        <v>低</v>
      </c>
    </row>
    <row r="177" spans="1:44">
      <c r="A177" s="343">
        <f>IFERROR(VLOOKUP($G177,基本資料!$A:$J,3,0),"無")</f>
        <v>33.31</v>
      </c>
      <c r="B177" s="79">
        <f>IFERROR(VLOOKUP($G177,基本資料!$A:$J,4,0),"無")</f>
        <v>179</v>
      </c>
      <c r="C177" s="79">
        <f>IFERROR(VLOOKUP($G177,基本資料!$A:$J,5,0),"無")</f>
        <v>202</v>
      </c>
      <c r="D177" s="79">
        <f>IFERROR(VLOOKUP($G177,基本資料!$A:$J,6,0),"無")</f>
        <v>0</v>
      </c>
      <c r="E177" s="79">
        <f>IFERROR(VLOOKUP($G177,基本資料!$A:$J,7,0),"無")</f>
        <v>29</v>
      </c>
      <c r="F177" s="6">
        <f>IFERROR(VLOOKUP($G177,基本資料!$A:$J,8,0),"無")</f>
        <v>6.68</v>
      </c>
      <c r="G177" s="79">
        <v>3707</v>
      </c>
      <c r="H177" s="195" t="s">
        <v>3038</v>
      </c>
      <c r="I177" s="24" t="s">
        <v>4052</v>
      </c>
      <c r="J177" s="8">
        <f>IFERROR(VLOOKUP($G177,今日總結!$A:$AN,39,0),"")</f>
        <v>0</v>
      </c>
      <c r="K177" s="5">
        <f>IFERROR(VLOOKUP($G177,今日總結!$A:$AN,40,0),"")</f>
        <v>0</v>
      </c>
      <c r="L177" s="156">
        <f>IFERROR(VLOOKUP($G177,今日總結!$A:$AN,37,0),"")</f>
        <v>0</v>
      </c>
      <c r="M177" s="337">
        <f>IFERROR(VLOOKUP($G177,今日總結!$A:$AN,38,0),"")</f>
        <v>0</v>
      </c>
      <c r="N177" s="240">
        <f t="shared" si="110"/>
        <v>0</v>
      </c>
      <c r="O177" s="359">
        <f>IFERROR(VLOOKUP($G177,融外自投!$A:$J,7,0),"無")</f>
        <v>157</v>
      </c>
      <c r="P177" s="79">
        <f>IFERROR(VLOOKUP($G177,融外自投!$A:$J,9,0),"無")</f>
        <v>350</v>
      </c>
      <c r="Q177" s="342">
        <f>IFERROR(VLOOKUP($G177,融外自投!$A:$J,8,0),"無")</f>
        <v>493</v>
      </c>
      <c r="R177" s="81">
        <f>IFERROR(VLOOKUP($G177,融外自投!$A:$J,10,0),"無")</f>
        <v>54</v>
      </c>
      <c r="S177" s="324">
        <f>IFERROR(VLOOKUP($G177,'321買'!$A:$E,4,0),"'沒有資料'")</f>
        <v>14</v>
      </c>
      <c r="T177" s="186">
        <f>IFERROR(VLOOKUP($G177,基本資料!$A:$J,9,0),"無")</f>
        <v>0.35</v>
      </c>
      <c r="U177" s="307">
        <f t="shared" si="111"/>
        <v>3.3018867924528299E-3</v>
      </c>
      <c r="V177" s="94">
        <f>IFERROR(VLOOKUP($G177,基本資料!$A:$J,10,0),"無")</f>
        <v>0.73</v>
      </c>
      <c r="W177" s="36">
        <v>106</v>
      </c>
      <c r="X177" s="45">
        <v>63.9</v>
      </c>
      <c r="Y177" s="15">
        <f t="shared" ref="Y177:Y208" si="120">W177-X177</f>
        <v>42.1</v>
      </c>
      <c r="Z177" s="63">
        <f t="shared" ref="Z177:Z208" si="121">Y177/X177</f>
        <v>0.65884194053208145</v>
      </c>
      <c r="AA177" s="99" t="s">
        <v>3410</v>
      </c>
      <c r="AB177" s="389">
        <f>IFERROR(VLOOKUP($G177,基本資料!$A:$M,12,0),"無")</f>
        <v>34.340000000000003</v>
      </c>
      <c r="AC177" s="24" t="s">
        <v>247</v>
      </c>
      <c r="AD177" s="84">
        <v>44428</v>
      </c>
      <c r="AE177" s="86">
        <v>44438</v>
      </c>
      <c r="AF177" s="33">
        <f t="shared" si="112"/>
        <v>10</v>
      </c>
      <c r="AG177" s="119" t="s">
        <v>2554</v>
      </c>
      <c r="AH177" s="289"/>
      <c r="AJ177" s="245"/>
      <c r="AK177" s="245"/>
      <c r="AL177" s="24"/>
      <c r="AR177" s="245" t="str">
        <f>INDEX(基本資料!N:N,MATCH($G177,基本資料!$A:$A,0))</f>
        <v>中</v>
      </c>
    </row>
    <row r="178" spans="1:44">
      <c r="A178" s="343">
        <f>IFERROR(VLOOKUP($G178,基本資料!$A:$J,3,0),"無")</f>
        <v>2.46</v>
      </c>
      <c r="B178" s="79">
        <f>IFERROR(VLOOKUP($G178,基本資料!$A:$J,4,0),"無")</f>
        <v>260</v>
      </c>
      <c r="C178" s="79">
        <f>IFERROR(VLOOKUP($G178,基本資料!$A:$J,5,0),"無")</f>
        <v>274</v>
      </c>
      <c r="D178" s="79">
        <f>IFERROR(VLOOKUP($G178,基本資料!$A:$J,6,0),"無")</f>
        <v>-15</v>
      </c>
      <c r="E178" s="79">
        <f>IFERROR(VLOOKUP($G178,基本資料!$A:$J,7,0),"無")</f>
        <v>-3</v>
      </c>
      <c r="F178" s="6">
        <f>IFERROR(VLOOKUP($G178,基本資料!$A:$J,8,0),"無")</f>
        <v>29.39</v>
      </c>
      <c r="G178" s="79">
        <v>6684</v>
      </c>
      <c r="H178" s="193" t="s">
        <v>3038</v>
      </c>
      <c r="I178" s="16" t="s">
        <v>3393</v>
      </c>
      <c r="J178" s="8" t="str">
        <f>IFERROR(VLOOKUP($G178,今日總結!$A:$AN,39,0),"")</f>
        <v/>
      </c>
      <c r="K178" s="5" t="str">
        <f>IFERROR(VLOOKUP($G178,今日總結!$A:$AN,40,0),"")</f>
        <v/>
      </c>
      <c r="L178" s="156" t="str">
        <f>IFERROR(VLOOKUP($G178,今日總結!$A:$AN,37,0),"")</f>
        <v/>
      </c>
      <c r="M178" s="337" t="str">
        <f>IFERROR(VLOOKUP($G178,今日總結!$A:$AN,38,0),"")</f>
        <v/>
      </c>
      <c r="N178" s="240" t="str">
        <f t="shared" si="110"/>
        <v/>
      </c>
      <c r="O178" s="359" t="str">
        <f>IFERROR(VLOOKUP($G178,融外自投!$A:$J,7,0),"無")</f>
        <v>無</v>
      </c>
      <c r="P178" s="79" t="str">
        <f>IFERROR(VLOOKUP($G178,融外自投!$A:$J,9,0),"無")</f>
        <v>無</v>
      </c>
      <c r="Q178" s="342" t="str">
        <f>IFERROR(VLOOKUP($G178,融外自投!$A:$J,8,0),"無")</f>
        <v>無</v>
      </c>
      <c r="R178" s="81" t="str">
        <f>IFERROR(VLOOKUP($G178,融外自投!$A:$J,10,0),"無")</f>
        <v>無</v>
      </c>
      <c r="S178" s="324" t="str">
        <f>IFERROR(VLOOKUP($G178,'321買'!$A:$E,4,0),"'沒有資料'")</f>
        <v>'沒有資料'</v>
      </c>
      <c r="T178" s="186">
        <f>IFERROR(VLOOKUP($G178,基本資料!$A:$J,9,0),"無")</f>
        <v>5.5</v>
      </c>
      <c r="U178" s="307">
        <f t="shared" si="111"/>
        <v>3.8194444444444448E-2</v>
      </c>
      <c r="V178" s="94">
        <f>IFERROR(VLOOKUP($G178,基本資料!$A:$J,10,0),"無")</f>
        <v>6.59</v>
      </c>
      <c r="W178" s="36">
        <v>144</v>
      </c>
      <c r="X178" s="66">
        <v>88</v>
      </c>
      <c r="Y178" s="15">
        <f t="shared" si="120"/>
        <v>56</v>
      </c>
      <c r="Z178" s="148">
        <f t="shared" si="121"/>
        <v>0.63636363636363635</v>
      </c>
      <c r="AA178" s="99" t="s">
        <v>2086</v>
      </c>
      <c r="AB178" s="389" t="str">
        <f>IFERROR(VLOOKUP($G178,基本資料!$A:$M,12,0),"無")</f>
        <v>無</v>
      </c>
      <c r="AC178" s="16" t="s">
        <v>3393</v>
      </c>
      <c r="AD178" s="84">
        <v>44419</v>
      </c>
      <c r="AE178" s="86">
        <v>44431</v>
      </c>
      <c r="AF178" s="33">
        <f t="shared" si="112"/>
        <v>12</v>
      </c>
      <c r="AG178" s="43" t="s">
        <v>3394</v>
      </c>
      <c r="AH178" s="187"/>
      <c r="AJ178" s="245"/>
      <c r="AK178" s="245"/>
      <c r="AL178" s="284"/>
      <c r="AR178" s="245" t="str">
        <f>INDEX(基本資料!N:N,MATCH($G178,基本資料!$A:$A,0))</f>
        <v>無</v>
      </c>
    </row>
    <row r="179" spans="1:44">
      <c r="A179" s="343">
        <f>IFERROR(VLOOKUP($G179,基本資料!$A:$J,3,0),"無")</f>
        <v>4.17</v>
      </c>
      <c r="B179" s="79">
        <f>IFERROR(VLOOKUP($G179,基本資料!$A:$J,4,0),"無")</f>
        <v>40</v>
      </c>
      <c r="C179" s="79">
        <f>IFERROR(VLOOKUP($G179,基本資料!$A:$J,5,0),"無")</f>
        <v>35</v>
      </c>
      <c r="D179" s="79">
        <f>IFERROR(VLOOKUP($G179,基本資料!$A:$J,6,0),"無")</f>
        <v>17</v>
      </c>
      <c r="E179" s="79">
        <f>IFERROR(VLOOKUP($G179,基本資料!$A:$J,7,0),"無")</f>
        <v>39</v>
      </c>
      <c r="F179" s="6">
        <f>IFERROR(VLOOKUP($G179,基本資料!$A:$J,8,0),"無")</f>
        <v>47.66</v>
      </c>
      <c r="G179" s="80">
        <v>4171</v>
      </c>
      <c r="H179" s="5" t="s">
        <v>1037</v>
      </c>
      <c r="I179" s="16" t="s">
        <v>1038</v>
      </c>
      <c r="J179" s="8" t="str">
        <f>IFERROR(VLOOKUP($G179,今日總結!$A:$AN,39,0),"")</f>
        <v>主</v>
      </c>
      <c r="K179" s="5">
        <f>IFERROR(VLOOKUP($G179,今日總結!$A:$AN,40,0),"")</f>
        <v>0</v>
      </c>
      <c r="L179" s="156">
        <f>IFERROR(VLOOKUP($G179,今日總結!$A:$AN,37,0),"")</f>
        <v>3</v>
      </c>
      <c r="M179" s="337">
        <f>IFERROR(VLOOKUP($G179,今日總結!$A:$AN,38,0),"")</f>
        <v>0</v>
      </c>
      <c r="N179" s="240">
        <f t="shared" si="110"/>
        <v>3</v>
      </c>
      <c r="O179" s="359">
        <f>IFERROR(VLOOKUP($G179,融外自投!$A:$J,7,0),"無")</f>
        <v>45</v>
      </c>
      <c r="P179" s="79">
        <f>IFERROR(VLOOKUP($G179,融外自投!$A:$J,9,0),"無")</f>
        <v>136</v>
      </c>
      <c r="Q179" s="342">
        <f>IFERROR(VLOOKUP($G179,融外自投!$A:$J,8,0),"無")</f>
        <v>209</v>
      </c>
      <c r="R179" s="81" t="str">
        <f>IFERROR(VLOOKUP($G179,融外自投!$A:$J,10,0),"無")</f>
        <v>無</v>
      </c>
      <c r="S179" s="324">
        <f>IFERROR(VLOOKUP($G179,'321買'!$A:$E,4,0),"'沒有資料'")</f>
        <v>140</v>
      </c>
      <c r="T179" s="186">
        <f>IFERROR(VLOOKUP($G179,基本資料!$A:$J,9,0),"無")</f>
        <v>6</v>
      </c>
      <c r="U179" s="307">
        <f t="shared" si="111"/>
        <v>5.3571428571428568E-2</v>
      </c>
      <c r="V179" s="94">
        <f>IFERROR(VLOOKUP($G179,基本資料!$A:$J,10,0),"無")</f>
        <v>9.01</v>
      </c>
      <c r="W179" s="36">
        <v>112</v>
      </c>
      <c r="X179" s="45">
        <v>120</v>
      </c>
      <c r="Y179" s="15">
        <f t="shared" si="120"/>
        <v>-8</v>
      </c>
      <c r="Z179" s="76">
        <f t="shared" si="121"/>
        <v>-6.6666666666666666E-2</v>
      </c>
      <c r="AA179" s="100" t="s">
        <v>3404</v>
      </c>
      <c r="AB179" s="389">
        <f>IFERROR(VLOOKUP($G179,基本資料!$A:$M,12,0),"無")</f>
        <v>53.06</v>
      </c>
      <c r="AC179" s="16" t="s">
        <v>1038</v>
      </c>
      <c r="AD179" s="84">
        <v>44419</v>
      </c>
      <c r="AE179" s="86">
        <v>44431</v>
      </c>
      <c r="AF179" s="33">
        <f t="shared" si="112"/>
        <v>12</v>
      </c>
      <c r="AG179" s="43" t="s">
        <v>2702</v>
      </c>
      <c r="AH179" s="187"/>
      <c r="AJ179" s="245"/>
      <c r="AK179" s="245"/>
      <c r="AL179" s="284"/>
      <c r="AR179" s="245" t="str">
        <f>INDEX(基本資料!N:N,MATCH($G179,基本資料!$A:$A,0))</f>
        <v>中</v>
      </c>
    </row>
    <row r="180" spans="1:44">
      <c r="A180" s="343">
        <f>IFERROR(VLOOKUP($G180,基本資料!$A:$J,3,0),"無")</f>
        <v>18.649999999999999</v>
      </c>
      <c r="B180" s="79">
        <f>IFERROR(VLOOKUP($G180,基本資料!$A:$J,4,0),"無")</f>
        <v>773</v>
      </c>
      <c r="C180" s="79">
        <f>IFERROR(VLOOKUP($G180,基本資料!$A:$J,5,0),"無")</f>
        <v>872</v>
      </c>
      <c r="D180" s="79">
        <f>IFERROR(VLOOKUP($G180,基本資料!$A:$J,6,0),"無")</f>
        <v>-10</v>
      </c>
      <c r="E180" s="79">
        <f>IFERROR(VLOOKUP($G180,基本資料!$A:$J,7,0),"無")</f>
        <v>15</v>
      </c>
      <c r="F180" s="6">
        <f>IFERROR(VLOOKUP($G180,基本資料!$A:$J,8,0),"無")</f>
        <v>33.75</v>
      </c>
      <c r="G180" s="79">
        <v>4961</v>
      </c>
      <c r="H180" s="5" t="s">
        <v>3038</v>
      </c>
      <c r="I180" s="22" t="s">
        <v>1061</v>
      </c>
      <c r="J180" s="8">
        <f>IFERROR(VLOOKUP($G180,今日總結!$A:$AN,39,0),"")</f>
        <v>0</v>
      </c>
      <c r="K180" s="5">
        <f>IFERROR(VLOOKUP($G180,今日總結!$A:$AN,40,0),"")</f>
        <v>0</v>
      </c>
      <c r="L180" s="156">
        <f>IFERROR(VLOOKUP($G180,今日總結!$A:$AN,37,0),"")</f>
        <v>0</v>
      </c>
      <c r="M180" s="337">
        <f>IFERROR(VLOOKUP($G180,今日總結!$A:$AN,38,0),"")</f>
        <v>0</v>
      </c>
      <c r="N180" s="240">
        <f t="shared" si="110"/>
        <v>0</v>
      </c>
      <c r="O180" s="359">
        <f>IFERROR(VLOOKUP($G180,融外自投!$A:$J,7,0),"無")</f>
        <v>167</v>
      </c>
      <c r="P180" s="79">
        <f>IFERROR(VLOOKUP($G180,融外自投!$A:$J,9,0),"無")</f>
        <v>174</v>
      </c>
      <c r="Q180" s="342">
        <f>IFERROR(VLOOKUP($G180,融外自投!$A:$J,8,0),"無")</f>
        <v>596</v>
      </c>
      <c r="R180" s="81">
        <f>IFERROR(VLOOKUP($G180,融外自投!$A:$J,10,0),"無")</f>
        <v>324</v>
      </c>
      <c r="S180" s="324">
        <f>IFERROR(VLOOKUP($G180,'321買'!$A:$E,4,0),"'沒有資料'")</f>
        <v>71</v>
      </c>
      <c r="T180" s="186">
        <f>IFERROR(VLOOKUP($G180,基本資料!$A:$J,9,0),"無")</f>
        <v>17</v>
      </c>
      <c r="U180" s="307">
        <f t="shared" si="111"/>
        <v>7.4561403508771926E-2</v>
      </c>
      <c r="V180" s="94">
        <f>IFERROR(VLOOKUP($G180,基本資料!$A:$J,10,0),"無")</f>
        <v>33.83</v>
      </c>
      <c r="W180" s="36">
        <v>228</v>
      </c>
      <c r="X180" s="45">
        <v>255</v>
      </c>
      <c r="Y180" s="15">
        <f t="shared" si="120"/>
        <v>-27</v>
      </c>
      <c r="Z180" s="76">
        <f t="shared" si="121"/>
        <v>-0.10588235294117647</v>
      </c>
      <c r="AA180" s="99" t="s">
        <v>3401</v>
      </c>
      <c r="AB180" s="389">
        <f>IFERROR(VLOOKUP($G180,基本資料!$A:$M,12,0),"無")</f>
        <v>28.84</v>
      </c>
      <c r="AC180" s="22" t="s">
        <v>1061</v>
      </c>
      <c r="AD180" s="84">
        <v>44418</v>
      </c>
      <c r="AE180" s="86">
        <v>44428</v>
      </c>
      <c r="AF180" s="33">
        <f t="shared" si="112"/>
        <v>10</v>
      </c>
      <c r="AG180" s="43" t="s">
        <v>3411</v>
      </c>
      <c r="AH180" s="187"/>
      <c r="AJ180" s="245"/>
      <c r="AK180" s="245"/>
      <c r="AL180" s="284"/>
      <c r="AR180" s="245" t="str">
        <f>INDEX(基本資料!N:N,MATCH($G180,基本資料!$A:$A,0))</f>
        <v>低</v>
      </c>
    </row>
    <row r="181" spans="1:44">
      <c r="A181" s="343">
        <f>IFERROR(VLOOKUP($G181,基本資料!$A:$J,3,0),"無")</f>
        <v>7.76</v>
      </c>
      <c r="B181" s="79">
        <f>IFERROR(VLOOKUP($G181,基本資料!$A:$J,4,0),"無")</f>
        <v>22</v>
      </c>
      <c r="C181" s="79">
        <f>IFERROR(VLOOKUP($G181,基本資料!$A:$J,5,0),"無")</f>
        <v>22</v>
      </c>
      <c r="D181" s="79">
        <f>IFERROR(VLOOKUP($G181,基本資料!$A:$J,6,0),"無")</f>
        <v>-10</v>
      </c>
      <c r="E181" s="79">
        <f>IFERROR(VLOOKUP($G181,基本資料!$A:$J,7,0),"無")</f>
        <v>4</v>
      </c>
      <c r="F181" s="6">
        <f>IFERROR(VLOOKUP($G181,基本資料!$A:$J,8,0),"無")</f>
        <v>35.26</v>
      </c>
      <c r="G181" s="79">
        <v>8109</v>
      </c>
      <c r="H181" s="5" t="s">
        <v>3388</v>
      </c>
      <c r="I181" s="16" t="s">
        <v>441</v>
      </c>
      <c r="J181" s="8">
        <f>IFERROR(VLOOKUP($G181,今日總結!$A:$AN,39,0),"")</f>
        <v>0</v>
      </c>
      <c r="K181" s="5">
        <f>IFERROR(VLOOKUP($G181,今日總結!$A:$AN,40,0),"")</f>
        <v>0</v>
      </c>
      <c r="L181" s="156">
        <f>IFERROR(VLOOKUP($G181,今日總結!$A:$AN,37,0),"")</f>
        <v>0</v>
      </c>
      <c r="M181" s="337">
        <f>IFERROR(VLOOKUP($G181,今日總結!$A:$AN,38,0),"")</f>
        <v>0</v>
      </c>
      <c r="N181" s="240">
        <f t="shared" si="110"/>
        <v>0</v>
      </c>
      <c r="O181" s="359">
        <f>IFERROR(VLOOKUP($G181,融外自投!$A:$J,7,0),"無")</f>
        <v>1358</v>
      </c>
      <c r="P181" s="79" t="str">
        <f>IFERROR(VLOOKUP($G181,融外自投!$A:$J,9,0),"無")</f>
        <v>無</v>
      </c>
      <c r="Q181" s="342">
        <f>IFERROR(VLOOKUP($G181,融外自投!$A:$J,8,0),"無")</f>
        <v>1186</v>
      </c>
      <c r="R181" s="81">
        <f>IFERROR(VLOOKUP($G181,融外自投!$A:$J,10,0),"無")</f>
        <v>259</v>
      </c>
      <c r="S181" s="324">
        <f>IFERROR(VLOOKUP($G181,'321買'!$A:$E,4,0),"'沒有資料'")</f>
        <v>1002</v>
      </c>
      <c r="T181" s="186">
        <f>IFERROR(VLOOKUP($G181,基本資料!$A:$J,9,0),"無")</f>
        <v>4</v>
      </c>
      <c r="U181" s="307">
        <f t="shared" si="111"/>
        <v>5.4054054054054057E-2</v>
      </c>
      <c r="V181" s="94">
        <f>IFERROR(VLOOKUP($G181,基本資料!$A:$J,10,0),"無")</f>
        <v>5.28</v>
      </c>
      <c r="W181" s="36">
        <v>74</v>
      </c>
      <c r="X181" s="66">
        <v>58</v>
      </c>
      <c r="Y181" s="15">
        <f t="shared" si="120"/>
        <v>16</v>
      </c>
      <c r="Z181" s="63">
        <f t="shared" si="121"/>
        <v>0.27586206896551724</v>
      </c>
      <c r="AA181" s="99" t="s">
        <v>3402</v>
      </c>
      <c r="AB181" s="389">
        <f>IFERROR(VLOOKUP($G181,基本資料!$A:$M,12,0),"無")</f>
        <v>16.04</v>
      </c>
      <c r="AC181" s="16" t="s">
        <v>441</v>
      </c>
      <c r="AD181" s="84">
        <v>44418</v>
      </c>
      <c r="AE181" s="86">
        <v>44428</v>
      </c>
      <c r="AF181" s="33">
        <f t="shared" si="112"/>
        <v>10</v>
      </c>
      <c r="AG181" s="43" t="s">
        <v>2428</v>
      </c>
      <c r="AH181" s="187"/>
      <c r="AJ181" s="245"/>
      <c r="AK181" s="245"/>
      <c r="AL181" s="284"/>
      <c r="AR181" s="245" t="str">
        <f>INDEX(基本資料!N:N,MATCH($G181,基本資料!$A:$A,0))</f>
        <v>低</v>
      </c>
    </row>
    <row r="182" spans="1:44">
      <c r="A182" s="343">
        <f>IFERROR(VLOOKUP($G182,基本資料!$A:$J,3,0),"無")</f>
        <v>19.010000000000002</v>
      </c>
      <c r="B182" s="79">
        <f>IFERROR(VLOOKUP($G182,基本資料!$A:$J,4,0),"無")</f>
        <v>294</v>
      </c>
      <c r="C182" s="79">
        <f>IFERROR(VLOOKUP($G182,基本資料!$A:$J,5,0),"無")</f>
        <v>169</v>
      </c>
      <c r="D182" s="79">
        <f>IFERROR(VLOOKUP($G182,基本資料!$A:$J,6,0),"無")</f>
        <v>-8</v>
      </c>
      <c r="E182" s="79">
        <f>IFERROR(VLOOKUP($G182,基本資料!$A:$J,7,0),"無")</f>
        <v>58</v>
      </c>
      <c r="F182" s="6">
        <f>IFERROR(VLOOKUP($G182,基本資料!$A:$J,8,0),"無")</f>
        <v>30.87</v>
      </c>
      <c r="G182" s="79">
        <v>2641</v>
      </c>
      <c r="H182" s="5" t="s">
        <v>302</v>
      </c>
      <c r="I182" s="16" t="s">
        <v>6128</v>
      </c>
      <c r="J182" s="8">
        <f>IFERROR(VLOOKUP($G182,今日總結!$A:$AN,39,0),"")</f>
        <v>0</v>
      </c>
      <c r="K182" s="5" t="str">
        <f>IFERROR(VLOOKUP($G182,今日總結!$A:$AN,40,0),"")</f>
        <v>24借</v>
      </c>
      <c r="L182" s="156">
        <f>IFERROR(VLOOKUP($G182,今日總結!$A:$AN,37,0),"")</f>
        <v>0</v>
      </c>
      <c r="M182" s="337">
        <f>IFERROR(VLOOKUP($G182,今日總結!$A:$AN,38,0),"")</f>
        <v>4</v>
      </c>
      <c r="N182" s="240">
        <f t="shared" si="110"/>
        <v>-4</v>
      </c>
      <c r="O182" s="359">
        <f>IFERROR(VLOOKUP($G182,融外自投!$A:$J,7,0),"無")</f>
        <v>143</v>
      </c>
      <c r="P182" s="79">
        <f>IFERROR(VLOOKUP($G182,融外自投!$A:$J,9,0),"無")</f>
        <v>696</v>
      </c>
      <c r="Q182" s="342">
        <f>IFERROR(VLOOKUP($G182,融外自投!$A:$J,8,0),"無")</f>
        <v>962</v>
      </c>
      <c r="R182" s="81" t="str">
        <f>IFERROR(VLOOKUP($G182,融外自投!$A:$J,10,0),"無")</f>
        <v>無</v>
      </c>
      <c r="S182" s="324">
        <f>IFERROR(VLOOKUP($G182,'321買'!$A:$E,4,0),"'沒有資料'")</f>
        <v>101</v>
      </c>
      <c r="T182" s="186">
        <f>IFERROR(VLOOKUP($G182,基本資料!$A:$J,9,0),"無")</f>
        <v>0.8</v>
      </c>
      <c r="U182" s="307">
        <f t="shared" si="111"/>
        <v>3.1620553359683792E-2</v>
      </c>
      <c r="V182" s="94">
        <f>IFERROR(VLOOKUP($G182,基本資料!$A:$J,10,0),"無")</f>
        <v>2.2400000000000002</v>
      </c>
      <c r="W182" s="36">
        <v>25.3</v>
      </c>
      <c r="X182" s="66">
        <v>28</v>
      </c>
      <c r="Y182" s="15">
        <f t="shared" si="120"/>
        <v>-2.6999999999999993</v>
      </c>
      <c r="Z182" s="76">
        <f t="shared" si="121"/>
        <v>-9.6428571428571405E-2</v>
      </c>
      <c r="AA182" s="99" t="s">
        <v>1482</v>
      </c>
      <c r="AB182" s="389">
        <f>IFERROR(VLOOKUP($G182,基本資料!$A:$M,12,0),"無")</f>
        <v>66.17</v>
      </c>
      <c r="AC182" s="16" t="s">
        <v>859</v>
      </c>
      <c r="AD182" s="84">
        <v>44413</v>
      </c>
      <c r="AE182" s="86">
        <v>44424</v>
      </c>
      <c r="AF182" s="33">
        <f t="shared" si="112"/>
        <v>11</v>
      </c>
      <c r="AG182" s="43" t="s">
        <v>2105</v>
      </c>
      <c r="AH182" s="187"/>
      <c r="AJ182" s="245"/>
      <c r="AK182" s="245"/>
      <c r="AL182" s="284"/>
      <c r="AR182" s="245" t="str">
        <f>INDEX(基本資料!N:N,MATCH($G182,基本資料!$A:$A,0))</f>
        <v>中</v>
      </c>
    </row>
    <row r="183" spans="1:44">
      <c r="A183" s="343">
        <f>IFERROR(VLOOKUP($G183,基本資料!$A:$J,3,0),"無")</f>
        <v>309</v>
      </c>
      <c r="B183" s="79">
        <f>IFERROR(VLOOKUP($G183,基本資料!$A:$J,4,0),"無")</f>
        <v>-24</v>
      </c>
      <c r="C183" s="79">
        <f>IFERROR(VLOOKUP($G183,基本資料!$A:$J,5,0),"無")</f>
        <v>-175</v>
      </c>
      <c r="D183" s="79">
        <f>IFERROR(VLOOKUP($G183,基本資料!$A:$J,6,0),"無")</f>
        <v>-35</v>
      </c>
      <c r="E183" s="79">
        <f>IFERROR(VLOOKUP($G183,基本資料!$A:$J,7,0),"無")</f>
        <v>-35</v>
      </c>
      <c r="F183" s="6">
        <f>IFERROR(VLOOKUP($G183,基本資料!$A:$J,8,0),"無")</f>
        <v>-0.83</v>
      </c>
      <c r="G183" s="79">
        <v>2867</v>
      </c>
      <c r="H183" s="18" t="s">
        <v>304</v>
      </c>
      <c r="I183" s="22" t="s">
        <v>116</v>
      </c>
      <c r="J183" s="8">
        <f>IFERROR(VLOOKUP($G183,今日總結!$A:$AN,39,0),"")</f>
        <v>0</v>
      </c>
      <c r="K183" s="5">
        <f>IFERROR(VLOOKUP($G183,今日總結!$A:$AN,40,0),"")</f>
        <v>0</v>
      </c>
      <c r="L183" s="156">
        <f>IFERROR(VLOOKUP($G183,今日總結!$A:$AN,37,0),"")</f>
        <v>0</v>
      </c>
      <c r="M183" s="337">
        <f>IFERROR(VLOOKUP($G183,今日總結!$A:$AN,38,0),"")</f>
        <v>0</v>
      </c>
      <c r="N183" s="240">
        <f t="shared" si="110"/>
        <v>0</v>
      </c>
      <c r="O183" s="359">
        <f>IFERROR(VLOOKUP($G183,融外自投!$A:$J,7,0),"無")</f>
        <v>862</v>
      </c>
      <c r="P183" s="79">
        <f>IFERROR(VLOOKUP($G183,融外自投!$A:$J,9,0),"無")</f>
        <v>1123</v>
      </c>
      <c r="Q183" s="342">
        <f>IFERROR(VLOOKUP($G183,融外自投!$A:$J,8,0),"無")</f>
        <v>750</v>
      </c>
      <c r="R183" s="81" t="str">
        <f>IFERROR(VLOOKUP($G183,融外自投!$A:$J,10,0),"無")</f>
        <v>無</v>
      </c>
      <c r="S183" s="324">
        <f>IFERROR(VLOOKUP($G183,'321買'!$A:$E,4,0),"'沒有資料'")</f>
        <v>1002</v>
      </c>
      <c r="T183" s="186">
        <f>IFERROR(VLOOKUP($G183,基本資料!$A:$J,9,0),"無")</f>
        <v>0</v>
      </c>
      <c r="U183" s="307">
        <f t="shared" si="111"/>
        <v>0</v>
      </c>
      <c r="V183" s="94">
        <f>IFERROR(VLOOKUP($G183,基本資料!$A:$J,10,0),"無")</f>
        <v>0.42</v>
      </c>
      <c r="W183" s="36">
        <v>9.14</v>
      </c>
      <c r="X183" s="66">
        <v>8.3000000000000007</v>
      </c>
      <c r="Y183" s="15">
        <f t="shared" si="120"/>
        <v>0.83999999999999986</v>
      </c>
      <c r="Z183" s="63">
        <f t="shared" si="121"/>
        <v>0.10120481927710841</v>
      </c>
      <c r="AA183" s="99" t="s">
        <v>3392</v>
      </c>
      <c r="AB183" s="389">
        <f>IFERROR(VLOOKUP($G183,基本資料!$A:$M,12,0),"無")</f>
        <v>11.88</v>
      </c>
      <c r="AC183" s="22" t="s">
        <v>116</v>
      </c>
      <c r="AD183" s="84">
        <v>44407</v>
      </c>
      <c r="AE183" s="86">
        <v>44417</v>
      </c>
      <c r="AF183" s="33">
        <f t="shared" si="112"/>
        <v>10</v>
      </c>
      <c r="AG183" s="117" t="s">
        <v>2156</v>
      </c>
      <c r="AH183" s="187"/>
      <c r="AJ183" s="245"/>
      <c r="AK183" s="245"/>
      <c r="AL183" s="284"/>
      <c r="AR183" s="245" t="str">
        <f>INDEX(基本資料!N:N,MATCH($G183,基本資料!$A:$A,0))</f>
        <v>低</v>
      </c>
    </row>
    <row r="184" spans="1:44">
      <c r="A184" s="343">
        <f>IFERROR(VLOOKUP($G184,基本資料!$A:$J,3,0),"無")</f>
        <v>5.85</v>
      </c>
      <c r="B184" s="79">
        <f>IFERROR(VLOOKUP($G184,基本資料!$A:$J,4,0),"無")</f>
        <v>35</v>
      </c>
      <c r="C184" s="79">
        <f>IFERROR(VLOOKUP($G184,基本資料!$A:$J,5,0),"無")</f>
        <v>34</v>
      </c>
      <c r="D184" s="79">
        <f>IFERROR(VLOOKUP($G184,基本資料!$A:$J,6,0),"無")</f>
        <v>-8</v>
      </c>
      <c r="E184" s="79">
        <f>IFERROR(VLOOKUP($G184,基本資料!$A:$J,7,0),"無")</f>
        <v>-17</v>
      </c>
      <c r="F184" s="6">
        <f>IFERROR(VLOOKUP($G184,基本資料!$A:$J,8,0),"無")</f>
        <v>33.83</v>
      </c>
      <c r="G184" s="79">
        <v>5236</v>
      </c>
      <c r="H184" s="183" t="s">
        <v>3038</v>
      </c>
      <c r="I184" s="16" t="s">
        <v>3383</v>
      </c>
      <c r="J184" s="8" t="str">
        <f>IFERROR(VLOOKUP($G184,今日總結!$A:$AN,39,0),"")</f>
        <v>主</v>
      </c>
      <c r="K184" s="5">
        <f>IFERROR(VLOOKUP($G184,今日總結!$A:$AN,40,0),"")</f>
        <v>0</v>
      </c>
      <c r="L184" s="156">
        <f>IFERROR(VLOOKUP($G184,今日總結!$A:$AN,37,0),"")</f>
        <v>1</v>
      </c>
      <c r="M184" s="337">
        <f>IFERROR(VLOOKUP($G184,今日總結!$A:$AN,38,0),"")</f>
        <v>0</v>
      </c>
      <c r="N184" s="240">
        <f t="shared" si="110"/>
        <v>1</v>
      </c>
      <c r="O184" s="359">
        <f>IFERROR(VLOOKUP($G184,融外自投!$A:$J,7,0),"無")</f>
        <v>1062</v>
      </c>
      <c r="P184" s="79">
        <f>IFERROR(VLOOKUP($G184,融外自投!$A:$J,9,0),"無")</f>
        <v>825</v>
      </c>
      <c r="Q184" s="342">
        <f>IFERROR(VLOOKUP($G184,融外自投!$A:$J,8,0),"無")</f>
        <v>924</v>
      </c>
      <c r="R184" s="81" t="str">
        <f>IFERROR(VLOOKUP($G184,融外自投!$A:$J,10,0),"無")</f>
        <v>無</v>
      </c>
      <c r="S184" s="324">
        <f>IFERROR(VLOOKUP($G184,'321買'!$A:$E,4,0),"'沒有資料'")</f>
        <v>801</v>
      </c>
      <c r="T184" s="186">
        <f>IFERROR(VLOOKUP($G184,基本資料!$A:$J,9,0),"無")</f>
        <v>10</v>
      </c>
      <c r="U184" s="307">
        <f t="shared" si="111"/>
        <v>5.2356020942408377E-2</v>
      </c>
      <c r="V184" s="94">
        <f>IFERROR(VLOOKUP($G184,基本資料!$A:$J,10,0),"無")</f>
        <v>11.83</v>
      </c>
      <c r="W184" s="36">
        <v>191</v>
      </c>
      <c r="X184" s="66">
        <v>160</v>
      </c>
      <c r="Y184" s="15">
        <f t="shared" si="120"/>
        <v>31</v>
      </c>
      <c r="Z184" s="63">
        <f t="shared" si="121"/>
        <v>0.19375000000000001</v>
      </c>
      <c r="AA184" s="99" t="s">
        <v>3390</v>
      </c>
      <c r="AB184" s="389" t="str">
        <f>IFERROR(VLOOKUP($G184,基本資料!$A:$M,12,0),"無")</f>
        <v>無</v>
      </c>
      <c r="AC184" s="16" t="s">
        <v>3383</v>
      </c>
      <c r="AD184" s="84">
        <v>44406</v>
      </c>
      <c r="AE184" s="86">
        <v>44417</v>
      </c>
      <c r="AF184" s="33">
        <f t="shared" si="112"/>
        <v>11</v>
      </c>
      <c r="AG184" s="43" t="s">
        <v>3384</v>
      </c>
      <c r="AH184" s="187"/>
      <c r="AJ184" s="245"/>
      <c r="AK184" s="245"/>
      <c r="AL184" s="284"/>
      <c r="AR184" s="245" t="str">
        <f>INDEX(基本資料!N:N,MATCH($G184,基本資料!$A:$A,0))</f>
        <v>無</v>
      </c>
    </row>
    <row r="185" spans="1:44">
      <c r="A185" s="343">
        <f>IFERROR(VLOOKUP($G185,基本資料!$A:$J,3,0),"無")</f>
        <v>4.3099999999999996</v>
      </c>
      <c r="B185" s="79">
        <f>IFERROR(VLOOKUP($G185,基本資料!$A:$J,4,0),"無")</f>
        <v>-7</v>
      </c>
      <c r="C185" s="79">
        <f>IFERROR(VLOOKUP($G185,基本資料!$A:$J,5,0),"無")</f>
        <v>16</v>
      </c>
      <c r="D185" s="79">
        <f>IFERROR(VLOOKUP($G185,基本資料!$A:$J,6,0),"無")</f>
        <v>163</v>
      </c>
      <c r="E185" s="79">
        <f>IFERROR(VLOOKUP($G185,基本資料!$A:$J,7,0),"無")</f>
        <v>601</v>
      </c>
      <c r="F185" s="6">
        <f>IFERROR(VLOOKUP($G185,基本資料!$A:$J,8,0),"無")</f>
        <v>-3.24</v>
      </c>
      <c r="G185" s="79">
        <v>8097</v>
      </c>
      <c r="H185" s="8" t="s">
        <v>311</v>
      </c>
      <c r="I185" s="16" t="s">
        <v>4454</v>
      </c>
      <c r="J185" s="8">
        <f>IFERROR(VLOOKUP($G185,今日總結!$A:$AN,39,0),"")</f>
        <v>0</v>
      </c>
      <c r="K185" s="5" t="str">
        <f>IFERROR(VLOOKUP($G185,今日總結!$A:$AN,40,0),"")</f>
        <v>券</v>
      </c>
      <c r="L185" s="156">
        <f>IFERROR(VLOOKUP($G185,今日總結!$A:$AN,37,0),"")</f>
        <v>0</v>
      </c>
      <c r="M185" s="337">
        <f>IFERROR(VLOOKUP($G185,今日總結!$A:$AN,38,0),"")</f>
        <v>8</v>
      </c>
      <c r="N185" s="240">
        <f t="shared" si="110"/>
        <v>-8</v>
      </c>
      <c r="O185" s="359">
        <f>IFERROR(VLOOKUP($G185,融外自投!$A:$J,7,0),"無")</f>
        <v>2</v>
      </c>
      <c r="P185" s="79">
        <f>IFERROR(VLOOKUP($G185,融外自投!$A:$J,9,0),"無")</f>
        <v>825</v>
      </c>
      <c r="Q185" s="342">
        <f>IFERROR(VLOOKUP($G185,融外自投!$A:$J,8,0),"無")</f>
        <v>676</v>
      </c>
      <c r="R185" s="81" t="str">
        <f>IFERROR(VLOOKUP($G185,融外自投!$A:$J,10,0),"無")</f>
        <v>無</v>
      </c>
      <c r="S185" s="324">
        <f>IFERROR(VLOOKUP($G185,'321買'!$A:$E,4,0),"'沒有資料'")</f>
        <v>192</v>
      </c>
      <c r="T185" s="186">
        <f>IFERROR(VLOOKUP($G185,基本資料!$A:$J,9,0),"無")</f>
        <v>0</v>
      </c>
      <c r="U185" s="307">
        <f t="shared" si="111"/>
        <v>0</v>
      </c>
      <c r="V185" s="94">
        <f>IFERROR(VLOOKUP($G185,基本資料!$A:$J,10,0),"無")</f>
        <v>-0.31</v>
      </c>
      <c r="W185" s="36">
        <v>26.45</v>
      </c>
      <c r="X185" s="45">
        <v>17</v>
      </c>
      <c r="Y185" s="15">
        <f t="shared" si="120"/>
        <v>9.4499999999999993</v>
      </c>
      <c r="Z185" s="63">
        <f t="shared" si="121"/>
        <v>0.55588235294117638</v>
      </c>
      <c r="AA185" s="99" t="s">
        <v>3391</v>
      </c>
      <c r="AB185" s="389">
        <f>IFERROR(VLOOKUP($G185,基本資料!$A:$M,12,0),"無")</f>
        <v>88.18</v>
      </c>
      <c r="AC185" s="16" t="s">
        <v>520</v>
      </c>
      <c r="AD185" s="84">
        <v>44406</v>
      </c>
      <c r="AE185" s="86">
        <v>44417</v>
      </c>
      <c r="AF185" s="33">
        <f t="shared" si="112"/>
        <v>11</v>
      </c>
      <c r="AG185" s="43" t="s">
        <v>2624</v>
      </c>
      <c r="AH185" s="187"/>
      <c r="AJ185" s="245"/>
      <c r="AK185" s="245"/>
      <c r="AL185" s="284"/>
      <c r="AR185" s="245" t="str">
        <f>INDEX(基本資料!N:N,MATCH($G185,基本資料!$A:$A,0))</f>
        <v>高</v>
      </c>
    </row>
    <row r="186" spans="1:44">
      <c r="A186" s="343">
        <f>IFERROR(VLOOKUP($G186,基本資料!$A:$J,3,0),"無")</f>
        <v>3.2</v>
      </c>
      <c r="B186" s="79">
        <f>IFERROR(VLOOKUP($G186,基本資料!$A:$J,4,0),"無")</f>
        <v>29</v>
      </c>
      <c r="C186" s="79">
        <f>IFERROR(VLOOKUP($G186,基本資料!$A:$J,5,0),"無")</f>
        <v>6</v>
      </c>
      <c r="D186" s="79">
        <f>IFERROR(VLOOKUP($G186,基本資料!$A:$J,6,0),"無")</f>
        <v>-93</v>
      </c>
      <c r="E186" s="79">
        <f>IFERROR(VLOOKUP($G186,基本資料!$A:$J,7,0),"無")</f>
        <v>22</v>
      </c>
      <c r="F186" s="6">
        <f>IFERROR(VLOOKUP($G186,基本資料!$A:$J,8,0),"無")</f>
        <v>-18.16</v>
      </c>
      <c r="G186" s="80">
        <v>8409</v>
      </c>
      <c r="H186" s="5" t="s">
        <v>4723</v>
      </c>
      <c r="I186" s="16" t="s">
        <v>626</v>
      </c>
      <c r="J186" s="8" t="str">
        <f>IFERROR(VLOOKUP($G186,今日總結!$A:$AN,39,0),"")</f>
        <v/>
      </c>
      <c r="K186" s="5" t="str">
        <f>IFERROR(VLOOKUP($G186,今日總結!$A:$AN,40,0),"")</f>
        <v/>
      </c>
      <c r="L186" s="156" t="str">
        <f>IFERROR(VLOOKUP($G186,今日總結!$A:$AN,37,0),"")</f>
        <v/>
      </c>
      <c r="M186" s="337" t="str">
        <f>IFERROR(VLOOKUP($G186,今日總結!$A:$AN,38,0),"")</f>
        <v/>
      </c>
      <c r="N186" s="240" t="str">
        <f t="shared" si="110"/>
        <v/>
      </c>
      <c r="O186" s="359" t="str">
        <f>IFERROR(VLOOKUP($G186,融外自投!$A:$J,7,0),"無")</f>
        <v>無</v>
      </c>
      <c r="P186" s="79" t="str">
        <f>IFERROR(VLOOKUP($G186,融外自投!$A:$J,9,0),"無")</f>
        <v>無</v>
      </c>
      <c r="Q186" s="342" t="str">
        <f>IFERROR(VLOOKUP($G186,融外自投!$A:$J,8,0),"無")</f>
        <v>無</v>
      </c>
      <c r="R186" s="81" t="str">
        <f>IFERROR(VLOOKUP($G186,融外自投!$A:$J,10,0),"無")</f>
        <v>無</v>
      </c>
      <c r="S186" s="324" t="str">
        <f>IFERROR(VLOOKUP($G186,'321買'!$A:$E,4,0),"'沒有資料'")</f>
        <v>'沒有資料'</v>
      </c>
      <c r="T186" s="186">
        <f>IFERROR(VLOOKUP($G186,基本資料!$A:$J,9,0),"無")</f>
        <v>0</v>
      </c>
      <c r="U186" s="307">
        <f t="shared" si="111"/>
        <v>0</v>
      </c>
      <c r="V186" s="94">
        <f>IFERROR(VLOOKUP($G186,基本資料!$A:$J,10,0),"無")</f>
        <v>-0.73</v>
      </c>
      <c r="W186" s="36">
        <v>18.149999999999999</v>
      </c>
      <c r="X186" s="66">
        <v>14.5</v>
      </c>
      <c r="Y186" s="15">
        <f t="shared" si="120"/>
        <v>3.6499999999999986</v>
      </c>
      <c r="Z186" s="63">
        <f t="shared" si="121"/>
        <v>0.25172413793103438</v>
      </c>
      <c r="AA186" s="99" t="s">
        <v>3389</v>
      </c>
      <c r="AB186" s="389">
        <f>IFERROR(VLOOKUP($G186,基本資料!$A:$M,12,0),"無")</f>
        <v>50.99</v>
      </c>
      <c r="AC186" s="16" t="s">
        <v>626</v>
      </c>
      <c r="AD186" s="84">
        <v>44405</v>
      </c>
      <c r="AE186" s="86">
        <v>44417</v>
      </c>
      <c r="AF186" s="33">
        <f t="shared" si="112"/>
        <v>12</v>
      </c>
      <c r="AG186" s="43" t="s">
        <v>2454</v>
      </c>
      <c r="AH186" s="187"/>
      <c r="AJ186" s="245"/>
      <c r="AK186" s="245"/>
      <c r="AL186" s="284"/>
      <c r="AR186" s="245" t="str">
        <f>INDEX(基本資料!N:N,MATCH($G186,基本資料!$A:$A,0))</f>
        <v>中</v>
      </c>
    </row>
    <row r="187" spans="1:44">
      <c r="A187" s="343">
        <f>IFERROR(VLOOKUP($G187,基本資料!$A:$J,3,0),"無")</f>
        <v>13.87</v>
      </c>
      <c r="B187" s="79">
        <f>IFERROR(VLOOKUP($G187,基本資料!$A:$J,4,0),"無")</f>
        <v>110</v>
      </c>
      <c r="C187" s="79">
        <f>IFERROR(VLOOKUP($G187,基本資料!$A:$J,5,0),"無")</f>
        <v>119</v>
      </c>
      <c r="D187" s="79">
        <f>IFERROR(VLOOKUP($G187,基本資料!$A:$J,6,0),"無")</f>
        <v>16</v>
      </c>
      <c r="E187" s="79">
        <f>IFERROR(VLOOKUP($G187,基本資料!$A:$J,7,0),"無")</f>
        <v>-28</v>
      </c>
      <c r="F187" s="6">
        <f>IFERROR(VLOOKUP($G187,基本資料!$A:$J,8,0),"無")</f>
        <v>0.85</v>
      </c>
      <c r="G187" s="79">
        <v>4976</v>
      </c>
      <c r="H187" s="5" t="s">
        <v>306</v>
      </c>
      <c r="I187" s="22" t="s">
        <v>325</v>
      </c>
      <c r="J187" s="8" t="str">
        <f>IFERROR(VLOOKUP($G187,今日總結!$A:$AN,39,0),"")</f>
        <v>主外</v>
      </c>
      <c r="K187" s="5">
        <f>IFERROR(VLOOKUP($G187,今日總結!$A:$AN,40,0),"")</f>
        <v>0</v>
      </c>
      <c r="L187" s="156">
        <f>IFERROR(VLOOKUP($G187,今日總結!$A:$AN,37,0),"")</f>
        <v>2</v>
      </c>
      <c r="M187" s="337">
        <f>IFERROR(VLOOKUP($G187,今日總結!$A:$AN,38,0),"")</f>
        <v>0</v>
      </c>
      <c r="N187" s="240">
        <f t="shared" si="110"/>
        <v>2</v>
      </c>
      <c r="O187" s="359">
        <f>IFERROR(VLOOKUP($G187,融外自投!$A:$J,7,0),"無")</f>
        <v>178</v>
      </c>
      <c r="P187" s="79">
        <f>IFERROR(VLOOKUP($G187,融外自投!$A:$J,9,0),"無")</f>
        <v>550</v>
      </c>
      <c r="Q187" s="342">
        <f>IFERROR(VLOOKUP($G187,融外自投!$A:$J,8,0),"無")</f>
        <v>1216</v>
      </c>
      <c r="R187" s="81" t="str">
        <f>IFERROR(VLOOKUP($G187,融外自投!$A:$J,10,0),"無")</f>
        <v>無</v>
      </c>
      <c r="S187" s="324">
        <f>IFERROR(VLOOKUP($G187,'321買'!$A:$E,4,0),"'沒有資料'")</f>
        <v>286</v>
      </c>
      <c r="T187" s="186">
        <f>IFERROR(VLOOKUP($G187,基本資料!$A:$J,9,0),"無")</f>
        <v>0</v>
      </c>
      <c r="U187" s="307">
        <f t="shared" si="111"/>
        <v>0</v>
      </c>
      <c r="V187" s="94">
        <f>IFERROR(VLOOKUP($G187,基本資料!$A:$J,10,0),"無")</f>
        <v>0.05</v>
      </c>
      <c r="W187" s="36">
        <v>78.8</v>
      </c>
      <c r="X187" s="45">
        <v>61</v>
      </c>
      <c r="Y187" s="15">
        <f t="shared" si="120"/>
        <v>17.799999999999997</v>
      </c>
      <c r="Z187" s="63">
        <f t="shared" si="121"/>
        <v>0.29180327868852457</v>
      </c>
      <c r="AA187" s="99" t="s">
        <v>3387</v>
      </c>
      <c r="AB187" s="389">
        <f>IFERROR(VLOOKUP($G187,基本資料!$A:$M,12,0),"無")</f>
        <v>36.49</v>
      </c>
      <c r="AC187" s="22" t="s">
        <v>325</v>
      </c>
      <c r="AD187" s="84">
        <v>44399</v>
      </c>
      <c r="AE187" s="86">
        <v>44410</v>
      </c>
      <c r="AF187" s="33">
        <f t="shared" si="112"/>
        <v>11</v>
      </c>
      <c r="AG187" s="43" t="s">
        <v>2122</v>
      </c>
      <c r="AH187" s="289"/>
      <c r="AJ187" s="245"/>
      <c r="AK187" s="245"/>
      <c r="AL187" s="24"/>
      <c r="AR187" s="245" t="str">
        <f>INDEX(基本資料!N:N,MATCH($G187,基本資料!$A:$A,0))</f>
        <v>低</v>
      </c>
    </row>
    <row r="188" spans="1:44">
      <c r="A188" s="343">
        <f>IFERROR(VLOOKUP($G188,基本資料!$A:$J,3,0),"無")</f>
        <v>10.01</v>
      </c>
      <c r="B188" s="79">
        <f>IFERROR(VLOOKUP($G188,基本資料!$A:$J,4,0),"無")</f>
        <v>58</v>
      </c>
      <c r="C188" s="79">
        <f>IFERROR(VLOOKUP($G188,基本資料!$A:$J,5,0),"無")</f>
        <v>46</v>
      </c>
      <c r="D188" s="79">
        <f>IFERROR(VLOOKUP($G188,基本資料!$A:$J,6,0),"無")</f>
        <v>1</v>
      </c>
      <c r="E188" s="79">
        <f>IFERROR(VLOOKUP($G188,基本資料!$A:$J,7,0),"無")</f>
        <v>205</v>
      </c>
      <c r="F188" s="6">
        <f>IFERROR(VLOOKUP($G188,基本資料!$A:$J,8,0),"無")</f>
        <v>12.27</v>
      </c>
      <c r="G188" s="80">
        <v>8027</v>
      </c>
      <c r="H188" s="5" t="s">
        <v>295</v>
      </c>
      <c r="I188" s="16" t="s">
        <v>551</v>
      </c>
      <c r="J188" s="8">
        <f>IFERROR(VLOOKUP($G188,今日總結!$A:$AN,39,0),"")</f>
        <v>0</v>
      </c>
      <c r="K188" s="5">
        <f>IFERROR(VLOOKUP($G188,今日總結!$A:$AN,40,0),"")</f>
        <v>0</v>
      </c>
      <c r="L188" s="156">
        <f>IFERROR(VLOOKUP($G188,今日總結!$A:$AN,37,0),"")</f>
        <v>0</v>
      </c>
      <c r="M188" s="337">
        <f>IFERROR(VLOOKUP($G188,今日總結!$A:$AN,38,0),"")</f>
        <v>0</v>
      </c>
      <c r="N188" s="240">
        <f t="shared" si="110"/>
        <v>0</v>
      </c>
      <c r="O188" s="359">
        <f>IFERROR(VLOOKUP($G188,融外自投!$A:$J,7,0),"無")</f>
        <v>20</v>
      </c>
      <c r="P188" s="79">
        <f>IFERROR(VLOOKUP($G188,融外自投!$A:$J,9,0),"無")</f>
        <v>1123</v>
      </c>
      <c r="Q188" s="342">
        <f>IFERROR(VLOOKUP($G188,融外自投!$A:$J,8,0),"無")</f>
        <v>723</v>
      </c>
      <c r="R188" s="81">
        <f>IFERROR(VLOOKUP($G188,融外自投!$A:$J,10,0),"無")</f>
        <v>358</v>
      </c>
      <c r="S188" s="324">
        <f>IFERROR(VLOOKUP($G188,'321買'!$A:$E,4,0),"'沒有資料'")</f>
        <v>606</v>
      </c>
      <c r="T188" s="186">
        <f>IFERROR(VLOOKUP($G188,基本資料!$A:$J,9,0),"無")</f>
        <v>1.6</v>
      </c>
      <c r="U188" s="307">
        <f t="shared" si="111"/>
        <v>2.2068965517241381E-2</v>
      </c>
      <c r="V188" s="94">
        <f>IFERROR(VLOOKUP($G188,基本資料!$A:$J,10,0),"無")</f>
        <v>2.62</v>
      </c>
      <c r="W188" s="36">
        <v>72.5</v>
      </c>
      <c r="X188" s="45">
        <v>66</v>
      </c>
      <c r="Y188" s="15">
        <f t="shared" si="120"/>
        <v>6.5</v>
      </c>
      <c r="Z188" s="63">
        <f t="shared" si="121"/>
        <v>9.8484848484848481E-2</v>
      </c>
      <c r="AA188" s="99" t="s">
        <v>3385</v>
      </c>
      <c r="AB188" s="389">
        <f>IFERROR(VLOOKUP($G188,基本資料!$A:$M,12,0),"無")</f>
        <v>43.96</v>
      </c>
      <c r="AC188" s="16" t="s">
        <v>551</v>
      </c>
      <c r="AD188" s="84">
        <v>44393</v>
      </c>
      <c r="AE188" s="86">
        <v>44404</v>
      </c>
      <c r="AF188" s="33">
        <f t="shared" si="112"/>
        <v>11</v>
      </c>
      <c r="AG188" s="43" t="s">
        <v>2891</v>
      </c>
      <c r="AH188" s="187"/>
      <c r="AJ188" s="245"/>
      <c r="AK188" s="245"/>
      <c r="AL188" s="284"/>
      <c r="AR188" s="245" t="str">
        <f>INDEX(基本資料!N:N,MATCH($G188,基本資料!$A:$A,0))</f>
        <v>中</v>
      </c>
    </row>
    <row r="189" spans="1:44">
      <c r="A189" s="343">
        <f>IFERROR(VLOOKUP($G189,基本資料!$A:$J,3,0),"無")</f>
        <v>13.26</v>
      </c>
      <c r="B189" s="79">
        <f>IFERROR(VLOOKUP($G189,基本資料!$A:$J,4,0),"無")</f>
        <v>5</v>
      </c>
      <c r="C189" s="79">
        <f>IFERROR(VLOOKUP($G189,基本資料!$A:$J,5,0),"無")</f>
        <v>2686</v>
      </c>
      <c r="D189" s="79">
        <f>IFERROR(VLOOKUP($G189,基本資料!$A:$J,6,0),"無")</f>
        <v>-11</v>
      </c>
      <c r="E189" s="79">
        <f>IFERROR(VLOOKUP($G189,基本資料!$A:$J,7,0),"無")</f>
        <v>-22</v>
      </c>
      <c r="F189" s="6">
        <f>IFERROR(VLOOKUP($G189,基本資料!$A:$J,8,0),"無")</f>
        <v>6.19</v>
      </c>
      <c r="G189" s="79">
        <v>8033</v>
      </c>
      <c r="H189" s="5" t="s">
        <v>1959</v>
      </c>
      <c r="I189" s="22" t="s">
        <v>6112</v>
      </c>
      <c r="J189" s="8" t="str">
        <f>IFERROR(VLOOKUP($G189,今日總結!$A:$AN,39,0),"")</f>
        <v/>
      </c>
      <c r="K189" s="5" t="str">
        <f>IFERROR(VLOOKUP($G189,今日總結!$A:$AN,40,0),"")</f>
        <v/>
      </c>
      <c r="L189" s="156" t="str">
        <f>IFERROR(VLOOKUP($G189,今日總結!$A:$AN,37,0),"")</f>
        <v/>
      </c>
      <c r="M189" s="337" t="str">
        <f>IFERROR(VLOOKUP($G189,今日總結!$A:$AN,38,0),"")</f>
        <v/>
      </c>
      <c r="N189" s="240" t="str">
        <f t="shared" ref="N189:N252" si="122">IFERROR(L189-M189,"")</f>
        <v/>
      </c>
      <c r="O189" s="359" t="str">
        <f>IFERROR(VLOOKUP($G189,融外自投!$A:$J,7,0),"無")</f>
        <v>無</v>
      </c>
      <c r="P189" s="79" t="str">
        <f>IFERROR(VLOOKUP($G189,融外自投!$A:$J,9,0),"無")</f>
        <v>無</v>
      </c>
      <c r="Q189" s="342" t="str">
        <f>IFERROR(VLOOKUP($G189,融外自投!$A:$J,8,0),"無")</f>
        <v>無</v>
      </c>
      <c r="R189" s="81" t="str">
        <f>IFERROR(VLOOKUP($G189,融外自投!$A:$J,10,0),"無")</f>
        <v>無</v>
      </c>
      <c r="S189" s="324" t="str">
        <f>IFERROR(VLOOKUP($G189,'321買'!$A:$E,4,0),"'沒有資料'")</f>
        <v>'沒有資料'</v>
      </c>
      <c r="T189" s="186">
        <f>IFERROR(VLOOKUP($G189,基本資料!$A:$J,9,0),"無")</f>
        <v>0</v>
      </c>
      <c r="U189" s="307">
        <f t="shared" si="111"/>
        <v>0</v>
      </c>
      <c r="V189" s="94">
        <f>IFERROR(VLOOKUP($G189,基本資料!$A:$J,10,0),"無")</f>
        <v>0.18</v>
      </c>
      <c r="W189" s="36">
        <v>14.4</v>
      </c>
      <c r="X189" s="66">
        <v>12.2</v>
      </c>
      <c r="Y189" s="15">
        <f t="shared" si="120"/>
        <v>2.2000000000000011</v>
      </c>
      <c r="Z189" s="63">
        <f t="shared" si="121"/>
        <v>0.18032786885245911</v>
      </c>
      <c r="AA189" s="99" t="s">
        <v>3379</v>
      </c>
      <c r="AB189" s="389">
        <f>IFERROR(VLOOKUP($G189,基本資料!$A:$M,12,0),"無")</f>
        <v>68.959999999999994</v>
      </c>
      <c r="AC189" s="22" t="s">
        <v>685</v>
      </c>
      <c r="AD189" s="84">
        <v>44385</v>
      </c>
      <c r="AE189" s="86">
        <v>44396</v>
      </c>
      <c r="AF189" s="33">
        <f t="shared" si="112"/>
        <v>11</v>
      </c>
      <c r="AG189" s="43" t="s">
        <v>2192</v>
      </c>
      <c r="AH189" s="259"/>
      <c r="AJ189" s="245"/>
      <c r="AK189" s="245"/>
      <c r="AR189" s="245" t="str">
        <f>INDEX(基本資料!N:N,MATCH($G189,基本資料!$A:$A,0))</f>
        <v>中</v>
      </c>
    </row>
    <row r="190" spans="1:44">
      <c r="A190" s="343">
        <f>IFERROR(VLOOKUP($G190,基本資料!$A:$J,3,0),"無")</f>
        <v>30.01</v>
      </c>
      <c r="B190" s="79">
        <f>IFERROR(VLOOKUP($G190,基本資料!$A:$J,4,0),"無")</f>
        <v>441</v>
      </c>
      <c r="C190" s="79">
        <f>IFERROR(VLOOKUP($G190,基本資料!$A:$J,5,0),"無")</f>
        <v>453</v>
      </c>
      <c r="D190" s="79">
        <f>IFERROR(VLOOKUP($G190,基本資料!$A:$J,6,0),"無")</f>
        <v>-416</v>
      </c>
      <c r="E190" s="79">
        <f>IFERROR(VLOOKUP($G190,基本資料!$A:$J,7,0),"無")</f>
        <v>-175</v>
      </c>
      <c r="F190" s="6">
        <f>IFERROR(VLOOKUP($G190,基本資料!$A:$J,8,0),"無")</f>
        <v>70.92</v>
      </c>
      <c r="G190" s="79">
        <v>6026</v>
      </c>
      <c r="H190" s="17" t="s">
        <v>304</v>
      </c>
      <c r="I190" s="16" t="s">
        <v>6113</v>
      </c>
      <c r="J190" s="8">
        <f>IFERROR(VLOOKUP($G190,今日總結!$A:$AN,39,0),"")</f>
        <v>0</v>
      </c>
      <c r="K190" s="5" t="str">
        <f>IFERROR(VLOOKUP($G190,今日總結!$A:$AN,40,0),"")</f>
        <v>融借</v>
      </c>
      <c r="L190" s="156">
        <f>IFERROR(VLOOKUP($G190,今日總結!$A:$AN,37,0),"")</f>
        <v>0</v>
      </c>
      <c r="M190" s="337">
        <f>IFERROR(VLOOKUP($G190,今日總結!$A:$AN,38,0),"")</f>
        <v>19</v>
      </c>
      <c r="N190" s="240">
        <f t="shared" si="122"/>
        <v>-19</v>
      </c>
      <c r="O190" s="359">
        <f>IFERROR(VLOOKUP($G190,融外自投!$A:$J,7,0),"無")</f>
        <v>398</v>
      </c>
      <c r="P190" s="79" t="str">
        <f>IFERROR(VLOOKUP($G190,融外自投!$A:$J,9,0),"無")</f>
        <v>無</v>
      </c>
      <c r="Q190" s="342">
        <f>IFERROR(VLOOKUP($G190,融外自投!$A:$J,8,0),"無")</f>
        <v>1096</v>
      </c>
      <c r="R190" s="81" t="str">
        <f>IFERROR(VLOOKUP($G190,融外自投!$A:$J,10,0),"無")</f>
        <v>無</v>
      </c>
      <c r="S190" s="324">
        <f>IFERROR(VLOOKUP($G190,'321買'!$A:$E,4,0),"'沒有資料'")</f>
        <v>606</v>
      </c>
      <c r="T190" s="186">
        <f>IFERROR(VLOOKUP($G190,基本資料!$A:$J,9,0),"無")</f>
        <v>3.28</v>
      </c>
      <c r="U190" s="307">
        <f t="shared" ref="U190:U253" si="123">$T190/$W190</f>
        <v>0.1842696629213483</v>
      </c>
      <c r="V190" s="94">
        <f>IFERROR(VLOOKUP($G190,基本資料!$A:$J,10,0),"無")</f>
        <v>5</v>
      </c>
      <c r="W190" s="36">
        <v>17.8</v>
      </c>
      <c r="X190" s="45">
        <v>13.5</v>
      </c>
      <c r="Y190" s="15">
        <f t="shared" si="120"/>
        <v>4.3000000000000007</v>
      </c>
      <c r="Z190" s="63">
        <f t="shared" si="121"/>
        <v>0.31851851851851859</v>
      </c>
      <c r="AA190" s="99" t="s">
        <v>3359</v>
      </c>
      <c r="AB190" s="389">
        <f>IFERROR(VLOOKUP($G190,基本資料!$A:$M,12,0),"無")</f>
        <v>12.3</v>
      </c>
      <c r="AC190" s="16" t="s">
        <v>342</v>
      </c>
      <c r="AD190" s="84">
        <v>44371</v>
      </c>
      <c r="AE190" s="86">
        <v>44382</v>
      </c>
      <c r="AF190" s="33">
        <f t="shared" si="112"/>
        <v>11</v>
      </c>
      <c r="AG190" s="43" t="s">
        <v>2195</v>
      </c>
      <c r="AH190" s="259"/>
      <c r="AJ190" s="245"/>
      <c r="AK190" s="245"/>
      <c r="AR190" s="245" t="str">
        <f>INDEX(基本資料!N:N,MATCH($G190,基本資料!$A:$A,0))</f>
        <v>低</v>
      </c>
    </row>
    <row r="191" spans="1:44">
      <c r="A191" s="343">
        <f>IFERROR(VLOOKUP($G191,基本資料!$A:$J,3,0),"無")</f>
        <v>6.02</v>
      </c>
      <c r="B191" s="79">
        <f>IFERROR(VLOOKUP($G191,基本資料!$A:$J,4,0),"無")</f>
        <v>-37</v>
      </c>
      <c r="C191" s="79">
        <f>IFERROR(VLOOKUP($G191,基本資料!$A:$J,5,0),"無")</f>
        <v>7</v>
      </c>
      <c r="D191" s="79">
        <f>IFERROR(VLOOKUP($G191,基本資料!$A:$J,6,0),"無")</f>
        <v>-49</v>
      </c>
      <c r="E191" s="79">
        <f>IFERROR(VLOOKUP($G191,基本資料!$A:$J,7,0),"無")</f>
        <v>-44</v>
      </c>
      <c r="F191" s="6">
        <f>IFERROR(VLOOKUP($G191,基本資料!$A:$J,8,0),"無")</f>
        <v>-4.7699999999999996</v>
      </c>
      <c r="G191" s="79">
        <v>8932</v>
      </c>
      <c r="H191" s="8" t="s">
        <v>1959</v>
      </c>
      <c r="I191" s="16" t="s">
        <v>6114</v>
      </c>
      <c r="J191" s="8">
        <f>IFERROR(VLOOKUP($G191,今日總結!$A:$AN,39,0),"")</f>
        <v>0</v>
      </c>
      <c r="K191" s="5">
        <f>IFERROR(VLOOKUP($G191,今日總結!$A:$AN,40,0),"")</f>
        <v>0</v>
      </c>
      <c r="L191" s="156">
        <f>IFERROR(VLOOKUP($G191,今日總結!$A:$AN,37,0),"")</f>
        <v>0</v>
      </c>
      <c r="M191" s="337">
        <f>IFERROR(VLOOKUP($G191,今日總結!$A:$AN,38,0),"")</f>
        <v>0</v>
      </c>
      <c r="N191" s="240">
        <f t="shared" si="122"/>
        <v>0</v>
      </c>
      <c r="O191" s="359">
        <f>IFERROR(VLOOKUP($G191,融外自投!$A:$J,7,0),"無")</f>
        <v>634</v>
      </c>
      <c r="P191" s="79" t="str">
        <f>IFERROR(VLOOKUP($G191,融外自投!$A:$J,9,0),"無")</f>
        <v>無</v>
      </c>
      <c r="Q191" s="342">
        <f>IFERROR(VLOOKUP($G191,融外自投!$A:$J,8,0),"無")</f>
        <v>384</v>
      </c>
      <c r="R191" s="81" t="str">
        <f>IFERROR(VLOOKUP($G191,融外自投!$A:$J,10,0),"無")</f>
        <v>無</v>
      </c>
      <c r="S191" s="324">
        <f>IFERROR(VLOOKUP($G191,'321買'!$A:$E,4,0),"'沒有資料'")</f>
        <v>891</v>
      </c>
      <c r="T191" s="186">
        <f>IFERROR(VLOOKUP($G191,基本資料!$A:$J,9,0),"無")</f>
        <v>0</v>
      </c>
      <c r="U191" s="307">
        <f t="shared" si="123"/>
        <v>0</v>
      </c>
      <c r="V191" s="94">
        <f>IFERROR(VLOOKUP($G191,基本資料!$A:$J,10,0),"無")</f>
        <v>-1.21</v>
      </c>
      <c r="W191" s="36">
        <v>19.05</v>
      </c>
      <c r="X191" s="66">
        <v>18</v>
      </c>
      <c r="Y191" s="15">
        <f t="shared" si="120"/>
        <v>1.0500000000000007</v>
      </c>
      <c r="Z191" s="63">
        <f t="shared" si="121"/>
        <v>5.8333333333333376E-2</v>
      </c>
      <c r="AA191" s="99" t="s">
        <v>3347</v>
      </c>
      <c r="AB191" s="389">
        <f>IFERROR(VLOOKUP($G191,基本資料!$A:$M,12,0),"無")</f>
        <v>64.84</v>
      </c>
      <c r="AC191" s="16" t="s">
        <v>665</v>
      </c>
      <c r="AD191" s="84">
        <v>44356</v>
      </c>
      <c r="AE191" s="86">
        <v>44368</v>
      </c>
      <c r="AF191" s="33">
        <f t="shared" si="112"/>
        <v>12</v>
      </c>
      <c r="AG191" s="43" t="s">
        <v>2485</v>
      </c>
      <c r="AH191" s="259"/>
      <c r="AJ191" s="245"/>
      <c r="AK191" s="245"/>
      <c r="AR191" s="245" t="str">
        <f>INDEX(基本資料!N:N,MATCH($G191,基本資料!$A:$A,0))</f>
        <v>高</v>
      </c>
    </row>
    <row r="192" spans="1:44">
      <c r="A192" s="343">
        <f>IFERROR(VLOOKUP($G192,基本資料!$A:$J,3,0),"無")</f>
        <v>2.7</v>
      </c>
      <c r="B192" s="79">
        <f>IFERROR(VLOOKUP($G192,基本資料!$A:$J,4,0),"無")</f>
        <v>40</v>
      </c>
      <c r="C192" s="79">
        <f>IFERROR(VLOOKUP($G192,基本資料!$A:$J,5,0),"無")</f>
        <v>22</v>
      </c>
      <c r="D192" s="79">
        <f>IFERROR(VLOOKUP($G192,基本資料!$A:$J,6,0),"無")</f>
        <v>-22</v>
      </c>
      <c r="E192" s="79">
        <f>IFERROR(VLOOKUP($G192,基本資料!$A:$J,7,0),"無")</f>
        <v>-27</v>
      </c>
      <c r="F192" s="6">
        <f>IFERROR(VLOOKUP($G192,基本資料!$A:$J,8,0),"無")</f>
        <v>5.33</v>
      </c>
      <c r="G192" s="79">
        <v>2250</v>
      </c>
      <c r="H192" s="8" t="s">
        <v>301</v>
      </c>
      <c r="I192" s="22" t="s">
        <v>3348</v>
      </c>
      <c r="J192" s="8">
        <f>IFERROR(VLOOKUP($G192,今日總結!$A:$AN,39,0),"")</f>
        <v>0</v>
      </c>
      <c r="K192" s="5">
        <f>IFERROR(VLOOKUP($G192,今日總結!$A:$AN,40,0),"")</f>
        <v>0</v>
      </c>
      <c r="L192" s="156">
        <f>IFERROR(VLOOKUP($G192,今日總結!$A:$AN,37,0),"")</f>
        <v>0</v>
      </c>
      <c r="M192" s="337">
        <f>IFERROR(VLOOKUP($G192,今日總結!$A:$AN,38,0),"")</f>
        <v>0</v>
      </c>
      <c r="N192" s="240">
        <f t="shared" si="122"/>
        <v>0</v>
      </c>
      <c r="O192" s="359">
        <f>IFERROR(VLOOKUP($G192,融外自投!$A:$J,7,0),"無")</f>
        <v>782</v>
      </c>
      <c r="P192" s="79" t="str">
        <f>IFERROR(VLOOKUP($G192,融外自投!$A:$J,9,0),"無")</f>
        <v>無</v>
      </c>
      <c r="Q192" s="342">
        <f>IFERROR(VLOOKUP($G192,融外自投!$A:$J,8,0),"無")</f>
        <v>737</v>
      </c>
      <c r="R192" s="81">
        <f>IFERROR(VLOOKUP($G192,融外自投!$A:$J,10,0),"無")</f>
        <v>427</v>
      </c>
      <c r="S192" s="324">
        <f>IFERROR(VLOOKUP($G192,'321買'!$A:$E,4,0),"'沒有資料'")</f>
        <v>801</v>
      </c>
      <c r="T192" s="186">
        <f>IFERROR(VLOOKUP($G192,基本資料!$A:$J,9,0),"無")</f>
        <v>3.22</v>
      </c>
      <c r="U192" s="307">
        <f t="shared" si="123"/>
        <v>1.6947368421052631E-2</v>
      </c>
      <c r="V192" s="94">
        <f>IFERROR(VLOOKUP($G192,基本資料!$A:$J,10,0),"無")</f>
        <v>6.06</v>
      </c>
      <c r="W192" s="36">
        <v>190</v>
      </c>
      <c r="X192" s="66">
        <v>76</v>
      </c>
      <c r="Y192" s="15">
        <f t="shared" si="120"/>
        <v>114</v>
      </c>
      <c r="Z192" s="148">
        <f t="shared" si="121"/>
        <v>1.5</v>
      </c>
      <c r="AA192" s="99" t="s">
        <v>3344</v>
      </c>
      <c r="AB192" s="389">
        <f>IFERROR(VLOOKUP($G192,基本資料!$A:$M,12,0),"無")</f>
        <v>29.04</v>
      </c>
      <c r="AC192" s="22" t="s">
        <v>3348</v>
      </c>
      <c r="AD192" s="84">
        <v>44347</v>
      </c>
      <c r="AE192" s="86">
        <v>44357</v>
      </c>
      <c r="AF192" s="33">
        <f t="shared" si="112"/>
        <v>10</v>
      </c>
      <c r="AG192" s="43" t="s">
        <v>3345</v>
      </c>
      <c r="AH192" s="259"/>
      <c r="AJ192" s="245"/>
      <c r="AK192" s="245"/>
      <c r="AR192" s="245" t="str">
        <f>INDEX(基本資料!N:N,MATCH($G192,基本資料!$A:$A,0))</f>
        <v>低</v>
      </c>
    </row>
    <row r="193" spans="1:44">
      <c r="A193" s="343">
        <f>IFERROR(VLOOKUP($G193,基本資料!$A:$J,3,0),"無")</f>
        <v>6.02</v>
      </c>
      <c r="B193" s="79">
        <f>IFERROR(VLOOKUP($G193,基本資料!$A:$J,4,0),"無")</f>
        <v>44</v>
      </c>
      <c r="C193" s="79">
        <f>IFERROR(VLOOKUP($G193,基本資料!$A:$J,5,0),"無")</f>
        <v>51</v>
      </c>
      <c r="D193" s="79">
        <f>IFERROR(VLOOKUP($G193,基本資料!$A:$J,6,0),"無")</f>
        <v>-4</v>
      </c>
      <c r="E193" s="79">
        <f>IFERROR(VLOOKUP($G193,基本資料!$A:$J,7,0),"無")</f>
        <v>28</v>
      </c>
      <c r="F193" s="6">
        <f>IFERROR(VLOOKUP($G193,基本資料!$A:$J,8,0),"無")</f>
        <v>33.43</v>
      </c>
      <c r="G193" s="79">
        <v>6741</v>
      </c>
      <c r="H193" s="145" t="s">
        <v>330</v>
      </c>
      <c r="I193" s="16" t="s">
        <v>3329</v>
      </c>
      <c r="J193" s="8">
        <f>IFERROR(VLOOKUP($G193,今日總結!$A:$AN,39,0),"")</f>
        <v>0</v>
      </c>
      <c r="K193" s="5" t="str">
        <f>IFERROR(VLOOKUP($G193,今日總結!$A:$AN,40,0),"")</f>
        <v>外借</v>
      </c>
      <c r="L193" s="156">
        <f>IFERROR(VLOOKUP($G193,今日總結!$A:$AN,37,0),"")</f>
        <v>0</v>
      </c>
      <c r="M193" s="337">
        <f>IFERROR(VLOOKUP($G193,今日總結!$A:$AN,38,0),"")</f>
        <v>8</v>
      </c>
      <c r="N193" s="240">
        <f t="shared" si="122"/>
        <v>-8</v>
      </c>
      <c r="O193" s="359">
        <f>IFERROR(VLOOKUP($G193,融外自投!$A:$J,7,0),"無")</f>
        <v>1145</v>
      </c>
      <c r="P193" s="79">
        <f>IFERROR(VLOOKUP($G193,融外自投!$A:$J,9,0),"無")</f>
        <v>1051</v>
      </c>
      <c r="Q193" s="342">
        <f>IFERROR(VLOOKUP($G193,融外自投!$A:$J,8,0),"無")</f>
        <v>13</v>
      </c>
      <c r="R193" s="81">
        <f>IFERROR(VLOOKUP($G193,融外自投!$A:$J,10,0),"無")</f>
        <v>495</v>
      </c>
      <c r="S193" s="324">
        <f>IFERROR(VLOOKUP($G193,'321買'!$A:$E,4,0),"'沒有資料'")</f>
        <v>440</v>
      </c>
      <c r="T193" s="186">
        <f>IFERROR(VLOOKUP($G193,基本資料!$A:$J,9,0),"無")</f>
        <v>0.48</v>
      </c>
      <c r="U193" s="307">
        <f t="shared" si="123"/>
        <v>2.8656716417910445E-3</v>
      </c>
      <c r="V193" s="94">
        <f>IFERROR(VLOOKUP($G193,基本資料!$A:$J,10,0),"無")</f>
        <v>2.58</v>
      </c>
      <c r="W193" s="36">
        <v>167.5</v>
      </c>
      <c r="X193" s="66">
        <v>66</v>
      </c>
      <c r="Y193" s="15">
        <f t="shared" si="120"/>
        <v>101.5</v>
      </c>
      <c r="Z193" s="148">
        <f t="shared" si="121"/>
        <v>1.5378787878787878</v>
      </c>
      <c r="AA193" s="99" t="s">
        <v>3012</v>
      </c>
      <c r="AB193" s="389">
        <f>IFERROR(VLOOKUP($G193,基本資料!$A:$M,12,0),"無")</f>
        <v>26.06</v>
      </c>
      <c r="AC193" s="16" t="s">
        <v>3329</v>
      </c>
      <c r="AD193" s="84">
        <v>44341</v>
      </c>
      <c r="AE193" s="86">
        <v>44351</v>
      </c>
      <c r="AF193" s="33">
        <f t="shared" si="112"/>
        <v>10</v>
      </c>
      <c r="AG193" s="43" t="s">
        <v>3335</v>
      </c>
      <c r="AH193" s="259"/>
      <c r="AJ193" s="245"/>
      <c r="AK193" s="245"/>
      <c r="AR193" s="245" t="str">
        <f>INDEX(基本資料!N:N,MATCH($G193,基本資料!$A:$A,0))</f>
        <v>低</v>
      </c>
    </row>
    <row r="194" spans="1:44">
      <c r="A194" s="343">
        <f>IFERROR(VLOOKUP($G194,基本資料!$A:$J,3,0),"無")</f>
        <v>12.46</v>
      </c>
      <c r="B194" s="79">
        <f>IFERROR(VLOOKUP($G194,基本資料!$A:$J,4,0),"無")</f>
        <v>1282</v>
      </c>
      <c r="C194" s="79">
        <f>IFERROR(VLOOKUP($G194,基本資料!$A:$J,5,0),"無")</f>
        <v>255</v>
      </c>
      <c r="D194" s="79">
        <f>IFERROR(VLOOKUP($G194,基本資料!$A:$J,6,0),"無")</f>
        <v>0</v>
      </c>
      <c r="E194" s="79">
        <f>IFERROR(VLOOKUP($G194,基本資料!$A:$J,7,0),"無")</f>
        <v>32</v>
      </c>
      <c r="F194" s="6">
        <f>IFERROR(VLOOKUP($G194,基本資料!$A:$J,8,0),"無")</f>
        <v>8.4</v>
      </c>
      <c r="G194" s="80">
        <v>2358</v>
      </c>
      <c r="H194" s="8" t="s">
        <v>1959</v>
      </c>
      <c r="I194" s="22" t="s">
        <v>675</v>
      </c>
      <c r="J194" s="8">
        <f>IFERROR(VLOOKUP($G194,今日總結!$A:$AN,39,0),"")</f>
        <v>0</v>
      </c>
      <c r="K194" s="5" t="str">
        <f>IFERROR(VLOOKUP($G194,今日總結!$A:$AN,40,0),"")</f>
        <v>借</v>
      </c>
      <c r="L194" s="156">
        <f>IFERROR(VLOOKUP($G194,今日總結!$A:$AN,37,0),"")</f>
        <v>0</v>
      </c>
      <c r="M194" s="337">
        <f>IFERROR(VLOOKUP($G194,今日總結!$A:$AN,38,0),"")</f>
        <v>4</v>
      </c>
      <c r="N194" s="240">
        <f t="shared" si="122"/>
        <v>-4</v>
      </c>
      <c r="O194" s="359">
        <f>IFERROR(VLOOKUP($G194,融外自投!$A:$J,7,0),"無")</f>
        <v>62</v>
      </c>
      <c r="P194" s="79">
        <f>IFERROR(VLOOKUP($G194,融外自投!$A:$J,9,0),"無")</f>
        <v>1051</v>
      </c>
      <c r="Q194" s="342">
        <f>IFERROR(VLOOKUP($G194,融外自投!$A:$J,8,0),"無")</f>
        <v>1011</v>
      </c>
      <c r="R194" s="81" t="str">
        <f>IFERROR(VLOOKUP($G194,融外自投!$A:$J,10,0),"無")</f>
        <v>無</v>
      </c>
      <c r="S194" s="324">
        <f>IFERROR(VLOOKUP($G194,'321買'!$A:$E,4,0),"'沒有資料'")</f>
        <v>68</v>
      </c>
      <c r="T194" s="186">
        <f>IFERROR(VLOOKUP($G194,基本資料!$A:$J,9,0),"無")</f>
        <v>0.3</v>
      </c>
      <c r="U194" s="307">
        <f t="shared" si="123"/>
        <v>2.1126760563380281E-2</v>
      </c>
      <c r="V194" s="94">
        <f>IFERROR(VLOOKUP($G194,基本資料!$A:$J,10,0),"無")</f>
        <v>1.29</v>
      </c>
      <c r="W194" s="36">
        <v>14.2</v>
      </c>
      <c r="X194" s="45">
        <v>13.5</v>
      </c>
      <c r="Y194" s="15">
        <f t="shared" si="120"/>
        <v>0.69999999999999929</v>
      </c>
      <c r="Z194" s="63">
        <f t="shared" si="121"/>
        <v>5.1851851851851802E-2</v>
      </c>
      <c r="AA194" s="99" t="s">
        <v>1848</v>
      </c>
      <c r="AB194" s="389">
        <f>IFERROR(VLOOKUP($G194,基本資料!$A:$M,12,0),"無")</f>
        <v>9.34</v>
      </c>
      <c r="AC194" s="22" t="s">
        <v>675</v>
      </c>
      <c r="AD194" s="84">
        <v>44341</v>
      </c>
      <c r="AE194" s="86">
        <v>44351</v>
      </c>
      <c r="AF194" s="33">
        <f t="shared" si="112"/>
        <v>10</v>
      </c>
      <c r="AG194" s="43" t="s">
        <v>2814</v>
      </c>
      <c r="AH194" s="259"/>
      <c r="AJ194" s="245"/>
      <c r="AK194" s="245"/>
      <c r="AR194" s="245" t="str">
        <f>INDEX(基本資料!N:N,MATCH($G194,基本資料!$A:$A,0))</f>
        <v>低</v>
      </c>
    </row>
    <row r="195" spans="1:44">
      <c r="A195" s="343">
        <f>IFERROR(VLOOKUP($G195,基本資料!$A:$J,3,0),"無")</f>
        <v>5.87</v>
      </c>
      <c r="B195" s="79">
        <f>IFERROR(VLOOKUP($G195,基本資料!$A:$J,4,0),"無")</f>
        <v>2</v>
      </c>
      <c r="C195" s="79">
        <f>IFERROR(VLOOKUP($G195,基本資料!$A:$J,5,0),"無")</f>
        <v>0</v>
      </c>
      <c r="D195" s="79">
        <f>IFERROR(VLOOKUP($G195,基本資料!$A:$J,6,0),"無")</f>
        <v>-30</v>
      </c>
      <c r="E195" s="79">
        <f>IFERROR(VLOOKUP($G195,基本資料!$A:$J,7,0),"無")</f>
        <v>93</v>
      </c>
      <c r="F195" s="6">
        <f>IFERROR(VLOOKUP($G195,基本資料!$A:$J,8,0),"無")</f>
        <v>-6.81</v>
      </c>
      <c r="G195" s="79">
        <v>8171</v>
      </c>
      <c r="H195" s="8" t="s">
        <v>311</v>
      </c>
      <c r="I195" s="16" t="s">
        <v>521</v>
      </c>
      <c r="J195" s="8">
        <f>IFERROR(VLOOKUP($G195,今日總結!$A:$AN,39,0),"")</f>
        <v>0</v>
      </c>
      <c r="K195" s="5" t="str">
        <f>IFERROR(VLOOKUP($G195,今日總結!$A:$AN,40,0),"")</f>
        <v>主</v>
      </c>
      <c r="L195" s="156">
        <f>IFERROR(VLOOKUP($G195,今日總結!$A:$AN,37,0),"")</f>
        <v>0</v>
      </c>
      <c r="M195" s="337">
        <f>IFERROR(VLOOKUP($G195,今日總結!$A:$AN,38,0),"")</f>
        <v>5</v>
      </c>
      <c r="N195" s="240">
        <f t="shared" si="122"/>
        <v>-5</v>
      </c>
      <c r="O195" s="359">
        <f>IFERROR(VLOOKUP($G195,融外自投!$A:$J,7,0),"無")</f>
        <v>8</v>
      </c>
      <c r="P195" s="79" t="str">
        <f>IFERROR(VLOOKUP($G195,融外自投!$A:$J,9,0),"無")</f>
        <v>無</v>
      </c>
      <c r="Q195" s="342">
        <f>IFERROR(VLOOKUP($G195,融外自投!$A:$J,8,0),"無")</f>
        <v>1327</v>
      </c>
      <c r="R195" s="81">
        <f>IFERROR(VLOOKUP($G195,融外自投!$A:$J,10,0),"無")</f>
        <v>201</v>
      </c>
      <c r="S195" s="324">
        <f>IFERROR(VLOOKUP($G195,'321買'!$A:$E,4,0),"'沒有資料'")</f>
        <v>606</v>
      </c>
      <c r="T195" s="186">
        <f>IFERROR(VLOOKUP($G195,基本資料!$A:$J,9,0),"無")</f>
        <v>0</v>
      </c>
      <c r="U195" s="307">
        <f t="shared" si="123"/>
        <v>0</v>
      </c>
      <c r="V195" s="94">
        <f>IFERROR(VLOOKUP($G195,基本資料!$A:$J,10,0),"無")</f>
        <v>-1.22</v>
      </c>
      <c r="W195" s="36">
        <v>53.6</v>
      </c>
      <c r="X195" s="45">
        <v>45</v>
      </c>
      <c r="Y195" s="15">
        <f t="shared" si="120"/>
        <v>8.6000000000000014</v>
      </c>
      <c r="Z195" s="63">
        <f t="shared" si="121"/>
        <v>0.19111111111111115</v>
      </c>
      <c r="AA195" s="99" t="s">
        <v>2285</v>
      </c>
      <c r="AB195" s="389">
        <f>IFERROR(VLOOKUP($G195,基本資料!$A:$M,12,0),"無")</f>
        <v>30.31</v>
      </c>
      <c r="AC195" s="16" t="s">
        <v>521</v>
      </c>
      <c r="AD195" s="84">
        <v>44336</v>
      </c>
      <c r="AE195" s="86">
        <v>44347</v>
      </c>
      <c r="AF195" s="33">
        <f t="shared" si="112"/>
        <v>11</v>
      </c>
      <c r="AG195" s="43" t="s">
        <v>2551</v>
      </c>
      <c r="AH195" s="259"/>
      <c r="AJ195" s="245"/>
      <c r="AK195" s="245"/>
      <c r="AR195" s="245" t="str">
        <f>INDEX(基本資料!N:N,MATCH($G195,基本資料!$A:$A,0))</f>
        <v>低</v>
      </c>
    </row>
    <row r="196" spans="1:44">
      <c r="A196" s="343">
        <f>IFERROR(VLOOKUP($G196,基本資料!$A:$J,3,0),"無")</f>
        <v>8.18</v>
      </c>
      <c r="B196" s="79">
        <f>IFERROR(VLOOKUP($G196,基本資料!$A:$J,4,0),"無")</f>
        <v>-80</v>
      </c>
      <c r="C196" s="79">
        <f>IFERROR(VLOOKUP($G196,基本資料!$A:$J,5,0),"無")</f>
        <v>-50</v>
      </c>
      <c r="D196" s="79">
        <f>IFERROR(VLOOKUP($G196,基本資料!$A:$J,6,0),"無")</f>
        <v>56</v>
      </c>
      <c r="E196" s="79">
        <f>IFERROR(VLOOKUP($G196,基本資料!$A:$J,7,0),"無")</f>
        <v>21</v>
      </c>
      <c r="F196" s="6">
        <f>IFERROR(VLOOKUP($G196,基本資料!$A:$J,8,0),"無")</f>
        <v>-24.03</v>
      </c>
      <c r="G196" s="79">
        <v>3631</v>
      </c>
      <c r="H196" s="8" t="s">
        <v>3388</v>
      </c>
      <c r="I196" s="16" t="s">
        <v>408</v>
      </c>
      <c r="J196" s="8">
        <f>IFERROR(VLOOKUP($G196,今日總結!$A:$AN,39,0),"")</f>
        <v>0</v>
      </c>
      <c r="K196" s="5">
        <f>IFERROR(VLOOKUP($G196,今日總結!$A:$AN,40,0),"")</f>
        <v>0</v>
      </c>
      <c r="L196" s="156">
        <f>IFERROR(VLOOKUP($G196,今日總結!$A:$AN,37,0),"")</f>
        <v>0</v>
      </c>
      <c r="M196" s="337">
        <f>IFERROR(VLOOKUP($G196,今日總結!$A:$AN,38,0),"")</f>
        <v>0</v>
      </c>
      <c r="N196" s="240">
        <f t="shared" si="122"/>
        <v>0</v>
      </c>
      <c r="O196" s="359">
        <f>IFERROR(VLOOKUP($G196,融外自投!$A:$J,7,0),"無")</f>
        <v>68</v>
      </c>
      <c r="P196" s="79" t="str">
        <f>IFERROR(VLOOKUP($G196,融外自投!$A:$J,9,0),"無")</f>
        <v>無</v>
      </c>
      <c r="Q196" s="342">
        <f>IFERROR(VLOOKUP($G196,融外自投!$A:$J,8,0),"無")</f>
        <v>412</v>
      </c>
      <c r="R196" s="81" t="str">
        <f>IFERROR(VLOOKUP($G196,融外自投!$A:$J,10,0),"無")</f>
        <v>無</v>
      </c>
      <c r="S196" s="324">
        <f>IFERROR(VLOOKUP($G196,'321買'!$A:$E,4,0),"'沒有資料'")</f>
        <v>891</v>
      </c>
      <c r="T196" s="186">
        <f>IFERROR(VLOOKUP($G196,基本資料!$A:$J,9,0),"無")</f>
        <v>0.5</v>
      </c>
      <c r="U196" s="307">
        <f t="shared" si="123"/>
        <v>1.0090817356205853E-2</v>
      </c>
      <c r="V196" s="94">
        <f>IFERROR(VLOOKUP($G196,基本資料!$A:$J,10,0),"無")</f>
        <v>-0.16</v>
      </c>
      <c r="W196" s="36">
        <v>49.55</v>
      </c>
      <c r="X196" s="45">
        <v>50</v>
      </c>
      <c r="Y196" s="15">
        <f t="shared" si="120"/>
        <v>-0.45000000000000284</v>
      </c>
      <c r="Z196" s="76">
        <f t="shared" si="121"/>
        <v>-9.0000000000000566E-3</v>
      </c>
      <c r="AA196" s="100" t="s">
        <v>3321</v>
      </c>
      <c r="AB196" s="389">
        <f>IFERROR(VLOOKUP($G196,基本資料!$A:$M,12,0),"無")</f>
        <v>38.130000000000003</v>
      </c>
      <c r="AC196" s="16" t="s">
        <v>408</v>
      </c>
      <c r="AD196" s="84">
        <v>44335</v>
      </c>
      <c r="AE196" s="86">
        <v>44347</v>
      </c>
      <c r="AF196" s="33">
        <f t="shared" si="112"/>
        <v>12</v>
      </c>
      <c r="AG196" s="43" t="s">
        <v>2407</v>
      </c>
      <c r="AH196" s="259"/>
      <c r="AJ196" s="245"/>
      <c r="AK196" s="245"/>
      <c r="AR196" s="245" t="str">
        <f>INDEX(基本資料!N:N,MATCH($G196,基本資料!$A:$A,0))</f>
        <v>低</v>
      </c>
    </row>
    <row r="197" spans="1:44">
      <c r="A197" s="343">
        <f>IFERROR(VLOOKUP($G197,基本資料!$A:$J,3,0),"無")</f>
        <v>42.84</v>
      </c>
      <c r="B197" s="79">
        <f>IFERROR(VLOOKUP($G197,基本資料!$A:$J,4,0),"無")</f>
        <v>71</v>
      </c>
      <c r="C197" s="79">
        <f>IFERROR(VLOOKUP($G197,基本資料!$A:$J,5,0),"無")</f>
        <v>93</v>
      </c>
      <c r="D197" s="79">
        <f>IFERROR(VLOOKUP($G197,基本資料!$A:$J,6,0),"無")</f>
        <v>-19</v>
      </c>
      <c r="E197" s="79">
        <f>IFERROR(VLOOKUP($G197,基本資料!$A:$J,7,0),"無")</f>
        <v>-3</v>
      </c>
      <c r="F197" s="6">
        <f>IFERROR(VLOOKUP($G197,基本資料!$A:$J,8,0),"無")</f>
        <v>2.15</v>
      </c>
      <c r="G197" s="79">
        <v>8112</v>
      </c>
      <c r="H197" s="8" t="s">
        <v>329</v>
      </c>
      <c r="I197" s="22" t="s">
        <v>120</v>
      </c>
      <c r="J197" s="8">
        <f>IFERROR(VLOOKUP($G197,今日總結!$A:$AN,39,0),"")</f>
        <v>0</v>
      </c>
      <c r="K197" s="5">
        <f>IFERROR(VLOOKUP($G197,今日總結!$A:$AN,40,0),"")</f>
        <v>0</v>
      </c>
      <c r="L197" s="156">
        <f>IFERROR(VLOOKUP($G197,今日總結!$A:$AN,37,0),"")</f>
        <v>0</v>
      </c>
      <c r="M197" s="337">
        <f>IFERROR(VLOOKUP($G197,今日總結!$A:$AN,38,0),"")</f>
        <v>0</v>
      </c>
      <c r="N197" s="240">
        <f t="shared" si="122"/>
        <v>0</v>
      </c>
      <c r="O197" s="359">
        <f>IFERROR(VLOOKUP($G197,融外自投!$A:$J,7,0),"無")</f>
        <v>757</v>
      </c>
      <c r="P197" s="79">
        <f>IFERROR(VLOOKUP($G197,融外自投!$A:$J,9,0),"無")</f>
        <v>57</v>
      </c>
      <c r="Q197" s="342">
        <f>IFERROR(VLOOKUP($G197,融外自投!$A:$J,8,0),"無")</f>
        <v>338</v>
      </c>
      <c r="R197" s="81" t="str">
        <f>IFERROR(VLOOKUP($G197,融外自投!$A:$J,10,0),"無")</f>
        <v>無</v>
      </c>
      <c r="S197" s="324">
        <f>IFERROR(VLOOKUP($G197,'321買'!$A:$E,4,0),"'沒有資料'")</f>
        <v>202</v>
      </c>
      <c r="T197" s="186">
        <f>IFERROR(VLOOKUP($G197,基本資料!$A:$J,9,0),"無")</f>
        <v>4</v>
      </c>
      <c r="U197" s="307">
        <f t="shared" si="123"/>
        <v>0.10062893081761007</v>
      </c>
      <c r="V197" s="94">
        <f>IFERROR(VLOOKUP($G197,基本資料!$A:$J,10,0),"無")</f>
        <v>7.02</v>
      </c>
      <c r="W197" s="36">
        <v>39.75</v>
      </c>
      <c r="X197" s="66">
        <v>32</v>
      </c>
      <c r="Y197" s="15">
        <f t="shared" si="120"/>
        <v>7.75</v>
      </c>
      <c r="Z197" s="63">
        <f t="shared" si="121"/>
        <v>0.2421875</v>
      </c>
      <c r="AA197" s="99" t="s">
        <v>3313</v>
      </c>
      <c r="AB197" s="389">
        <f>IFERROR(VLOOKUP($G197,基本資料!$A:$M,12,0),"無")</f>
        <v>20.28</v>
      </c>
      <c r="AC197" s="22" t="s">
        <v>120</v>
      </c>
      <c r="AD197" s="84">
        <v>44334</v>
      </c>
      <c r="AE197" s="86">
        <v>44344</v>
      </c>
      <c r="AF197" s="33">
        <f t="shared" si="112"/>
        <v>10</v>
      </c>
      <c r="AG197" s="117" t="s">
        <v>1964</v>
      </c>
      <c r="AH197" s="259"/>
      <c r="AJ197" s="245"/>
      <c r="AK197" s="245"/>
      <c r="AR197" s="245" t="str">
        <f>INDEX(基本資料!N:N,MATCH($G197,基本資料!$A:$A,0))</f>
        <v>低</v>
      </c>
    </row>
    <row r="198" spans="1:44">
      <c r="A198" s="343">
        <f>IFERROR(VLOOKUP($G198,基本資料!$A:$J,3,0),"無")</f>
        <v>30.44</v>
      </c>
      <c r="B198" s="79">
        <f>IFERROR(VLOOKUP($G198,基本資料!$A:$J,4,0),"無")</f>
        <v>95</v>
      </c>
      <c r="C198" s="79">
        <f>IFERROR(VLOOKUP($G198,基本資料!$A:$J,5,0),"無")</f>
        <v>94</v>
      </c>
      <c r="D198" s="79">
        <f>IFERROR(VLOOKUP($G198,基本資料!$A:$J,6,0),"無")</f>
        <v>46</v>
      </c>
      <c r="E198" s="79">
        <f>IFERROR(VLOOKUP($G198,基本資料!$A:$J,7,0),"無")</f>
        <v>-5</v>
      </c>
      <c r="F198" s="6">
        <f>IFERROR(VLOOKUP($G198,基本資料!$A:$J,8,0),"無")</f>
        <v>-3.44</v>
      </c>
      <c r="G198" s="79">
        <v>6589</v>
      </c>
      <c r="H198" s="8" t="s">
        <v>4723</v>
      </c>
      <c r="I198" s="16" t="s">
        <v>1792</v>
      </c>
      <c r="J198" s="8" t="str">
        <f>IFERROR(VLOOKUP($G198,今日總結!$A:$AN,39,0),"")</f>
        <v/>
      </c>
      <c r="K198" s="5" t="str">
        <f>IFERROR(VLOOKUP($G198,今日總結!$A:$AN,40,0),"")</f>
        <v/>
      </c>
      <c r="L198" s="156" t="str">
        <f>IFERROR(VLOOKUP($G198,今日總結!$A:$AN,37,0),"")</f>
        <v/>
      </c>
      <c r="M198" s="337" t="str">
        <f>IFERROR(VLOOKUP($G198,今日總結!$A:$AN,38,0),"")</f>
        <v/>
      </c>
      <c r="N198" s="240" t="str">
        <f t="shared" si="122"/>
        <v/>
      </c>
      <c r="O198" s="359" t="str">
        <f>IFERROR(VLOOKUP($G198,融外自投!$A:$J,7,0),"無")</f>
        <v>無</v>
      </c>
      <c r="P198" s="79" t="str">
        <f>IFERROR(VLOOKUP($G198,融外自投!$A:$J,9,0),"無")</f>
        <v>無</v>
      </c>
      <c r="Q198" s="342" t="str">
        <f>IFERROR(VLOOKUP($G198,融外自投!$A:$J,8,0),"無")</f>
        <v>無</v>
      </c>
      <c r="R198" s="81" t="str">
        <f>IFERROR(VLOOKUP($G198,融外自投!$A:$J,10,0),"無")</f>
        <v>無</v>
      </c>
      <c r="S198" s="324" t="str">
        <f>IFERROR(VLOOKUP($G198,'321買'!$A:$E,4,0),"'沒有資料'")</f>
        <v>'沒有資料'</v>
      </c>
      <c r="T198" s="186">
        <f>IFERROR(VLOOKUP($G198,基本資料!$A:$J,9,0),"無")</f>
        <v>0</v>
      </c>
      <c r="U198" s="307">
        <f t="shared" si="123"/>
        <v>0</v>
      </c>
      <c r="V198" s="94">
        <f>IFERROR(VLOOKUP($G198,基本資料!$A:$J,10,0),"無")</f>
        <v>-0.18</v>
      </c>
      <c r="W198" s="36">
        <v>170</v>
      </c>
      <c r="X198" s="66">
        <v>91.5</v>
      </c>
      <c r="Y198" s="15">
        <f t="shared" si="120"/>
        <v>78.5</v>
      </c>
      <c r="Z198" s="63">
        <f t="shared" si="121"/>
        <v>0.85792349726775952</v>
      </c>
      <c r="AA198" s="99" t="s">
        <v>3300</v>
      </c>
      <c r="AB198" s="389">
        <f>IFERROR(VLOOKUP($G198,基本資料!$A:$M,12,0),"無")</f>
        <v>24.15</v>
      </c>
      <c r="AC198" s="16" t="s">
        <v>1792</v>
      </c>
      <c r="AD198" s="84">
        <v>44330</v>
      </c>
      <c r="AE198" s="86">
        <v>44340</v>
      </c>
      <c r="AF198" s="33">
        <f t="shared" ref="AF198:AF261" si="124">AE198-AD198</f>
        <v>10</v>
      </c>
      <c r="AG198" s="43" t="s">
        <v>2453</v>
      </c>
      <c r="AH198" s="259"/>
      <c r="AJ198" s="245"/>
      <c r="AK198" s="245"/>
      <c r="AR198" s="245" t="str">
        <f>INDEX(基本資料!N:N,MATCH($G198,基本資料!$A:$A,0))</f>
        <v>低</v>
      </c>
    </row>
    <row r="199" spans="1:44">
      <c r="A199" s="343">
        <f>IFERROR(VLOOKUP($G199,基本資料!$A:$J,3,0),"無")</f>
        <v>2.6</v>
      </c>
      <c r="B199" s="79">
        <f>IFERROR(VLOOKUP($G199,基本資料!$A:$J,4,0),"無")</f>
        <v>2005</v>
      </c>
      <c r="C199" s="79">
        <f>IFERROR(VLOOKUP($G199,基本資料!$A:$J,5,0),"無")</f>
        <v>469</v>
      </c>
      <c r="D199" s="79">
        <f>IFERROR(VLOOKUP($G199,基本資料!$A:$J,6,0),"無")</f>
        <v>-9</v>
      </c>
      <c r="E199" s="79">
        <f>IFERROR(VLOOKUP($G199,基本資料!$A:$J,7,0),"無")</f>
        <v>758</v>
      </c>
      <c r="F199" s="6">
        <f>IFERROR(VLOOKUP($G199,基本資料!$A:$J,8,0),"無")</f>
        <v>17.03</v>
      </c>
      <c r="G199" s="79">
        <v>1475</v>
      </c>
      <c r="H199" s="5" t="s">
        <v>3171</v>
      </c>
      <c r="I199" s="22" t="s">
        <v>3009</v>
      </c>
      <c r="J199" s="8">
        <f>IFERROR(VLOOKUP($G199,今日總結!$A:$AN,39,0),"")</f>
        <v>0</v>
      </c>
      <c r="K199" s="5">
        <f>IFERROR(VLOOKUP($G199,今日總結!$A:$AN,40,0),"")</f>
        <v>0</v>
      </c>
      <c r="L199" s="156">
        <f>IFERROR(VLOOKUP($G199,今日總結!$A:$AN,37,0),"")</f>
        <v>0</v>
      </c>
      <c r="M199" s="337">
        <f>IFERROR(VLOOKUP($G199,今日總結!$A:$AN,38,0),"")</f>
        <v>0</v>
      </c>
      <c r="N199" s="240">
        <f t="shared" si="122"/>
        <v>0</v>
      </c>
      <c r="O199" s="359">
        <f>IFERROR(VLOOKUP($G199,融外自投!$A:$J,7,0),"無")</f>
        <v>430</v>
      </c>
      <c r="P199" s="79">
        <f>IFERROR(VLOOKUP($G199,融外自投!$A:$J,9,0),"無")</f>
        <v>696</v>
      </c>
      <c r="Q199" s="342">
        <f>IFERROR(VLOOKUP($G199,融外自投!$A:$J,8,0),"無")</f>
        <v>1416</v>
      </c>
      <c r="R199" s="81" t="str">
        <f>IFERROR(VLOOKUP($G199,融外自投!$A:$J,10,0),"無")</f>
        <v>無</v>
      </c>
      <c r="S199" s="324">
        <f>IFERROR(VLOOKUP($G199,'321買'!$A:$E,4,0),"'沒有資料'")</f>
        <v>1002</v>
      </c>
      <c r="T199" s="186">
        <f>IFERROR(VLOOKUP($G199,基本資料!$A:$J,9,0),"無")</f>
        <v>0</v>
      </c>
      <c r="U199" s="307">
        <f t="shared" si="123"/>
        <v>0</v>
      </c>
      <c r="V199" s="94">
        <f>IFERROR(VLOOKUP($G199,基本資料!$A:$J,10,0),"無")</f>
        <v>3.66</v>
      </c>
      <c r="W199" s="36">
        <v>34</v>
      </c>
      <c r="X199" s="66">
        <v>26.8</v>
      </c>
      <c r="Y199" s="15">
        <f t="shared" si="120"/>
        <v>7.1999999999999993</v>
      </c>
      <c r="Z199" s="148">
        <f t="shared" si="121"/>
        <v>0.26865671641791039</v>
      </c>
      <c r="AA199" s="99" t="s">
        <v>1976</v>
      </c>
      <c r="AB199" s="389">
        <f>IFERROR(VLOOKUP($G199,基本資料!$A:$M,12,0),"無")</f>
        <v>39.46</v>
      </c>
      <c r="AC199" s="22" t="s">
        <v>3009</v>
      </c>
      <c r="AD199" s="84">
        <v>44329</v>
      </c>
      <c r="AE199" s="86">
        <v>44340</v>
      </c>
      <c r="AF199" s="33">
        <f t="shared" si="124"/>
        <v>11</v>
      </c>
      <c r="AG199" s="43" t="s">
        <v>2385</v>
      </c>
      <c r="AH199" s="259"/>
      <c r="AJ199" s="245"/>
      <c r="AK199" s="245"/>
      <c r="AR199" s="245" t="str">
        <f>INDEX(基本資料!N:N,MATCH($G199,基本資料!$A:$A,0))</f>
        <v>高</v>
      </c>
    </row>
    <row r="200" spans="1:44">
      <c r="A200" s="343">
        <f>IFERROR(VLOOKUP($G200,基本資料!$A:$J,3,0),"無")</f>
        <v>30.13</v>
      </c>
      <c r="B200" s="79">
        <f>IFERROR(VLOOKUP($G200,基本資料!$A:$J,4,0),"無")</f>
        <v>640</v>
      </c>
      <c r="C200" s="79">
        <f>IFERROR(VLOOKUP($G200,基本資料!$A:$J,5,0),"無")</f>
        <v>1602</v>
      </c>
      <c r="D200" s="79">
        <f>IFERROR(VLOOKUP($G200,基本資料!$A:$J,6,0),"無")</f>
        <v>-10</v>
      </c>
      <c r="E200" s="79">
        <f>IFERROR(VLOOKUP($G200,基本資料!$A:$J,7,0),"無")</f>
        <v>30</v>
      </c>
      <c r="F200" s="6">
        <f>IFERROR(VLOOKUP($G200,基本資料!$A:$J,8,0),"無")</f>
        <v>2.77</v>
      </c>
      <c r="G200" s="79">
        <v>8933</v>
      </c>
      <c r="H200" s="5" t="s">
        <v>1959</v>
      </c>
      <c r="I200" s="16" t="s">
        <v>6115</v>
      </c>
      <c r="J200" s="8">
        <f>IFERROR(VLOOKUP($G200,今日總結!$A:$AN,39,0),"")</f>
        <v>0</v>
      </c>
      <c r="K200" s="5">
        <f>IFERROR(VLOOKUP($G200,今日總結!$A:$AN,40,0),"")</f>
        <v>0</v>
      </c>
      <c r="L200" s="156">
        <f>IFERROR(VLOOKUP($G200,今日總結!$A:$AN,37,0),"")</f>
        <v>0</v>
      </c>
      <c r="M200" s="337">
        <f>IFERROR(VLOOKUP($G200,今日總結!$A:$AN,38,0),"")</f>
        <v>0</v>
      </c>
      <c r="N200" s="240">
        <f t="shared" si="122"/>
        <v>0</v>
      </c>
      <c r="O200" s="359" t="str">
        <f>IFERROR(VLOOKUP($G200,融外自投!$A:$J,7,0),"無")</f>
        <v>無</v>
      </c>
      <c r="P200" s="79" t="str">
        <f>IFERROR(VLOOKUP($G200,融外自投!$A:$J,9,0),"無")</f>
        <v>無</v>
      </c>
      <c r="Q200" s="342" t="str">
        <f>IFERROR(VLOOKUP($G200,融外自投!$A:$J,8,0),"無")</f>
        <v>無</v>
      </c>
      <c r="R200" s="81" t="str">
        <f>IFERROR(VLOOKUP($G200,融外自投!$A:$J,10,0),"無")</f>
        <v>無</v>
      </c>
      <c r="S200" s="324">
        <f>IFERROR(VLOOKUP($G200,'321買'!$A:$E,4,0),"'沒有資料'")</f>
        <v>1002</v>
      </c>
      <c r="T200" s="186">
        <f>IFERROR(VLOOKUP($G200,基本資料!$A:$J,9,0),"無")</f>
        <v>0</v>
      </c>
      <c r="U200" s="307">
        <f t="shared" si="123"/>
        <v>0</v>
      </c>
      <c r="V200" s="94">
        <f>IFERROR(VLOOKUP($G200,基本資料!$A:$J,10,0),"無")</f>
        <v>0.28999999999999998</v>
      </c>
      <c r="W200" s="36">
        <v>14.4</v>
      </c>
      <c r="X200" s="66">
        <v>10.199999999999999</v>
      </c>
      <c r="Y200" s="15">
        <f t="shared" si="120"/>
        <v>4.2000000000000011</v>
      </c>
      <c r="Z200" s="63">
        <f t="shared" si="121"/>
        <v>0.41176470588235309</v>
      </c>
      <c r="AA200" s="99" t="s">
        <v>3275</v>
      </c>
      <c r="AB200" s="389">
        <f>IFERROR(VLOOKUP($G200,基本資料!$A:$M,12,0),"無")</f>
        <v>12.42</v>
      </c>
      <c r="AC200" s="16" t="s">
        <v>666</v>
      </c>
      <c r="AD200" s="84">
        <v>44315</v>
      </c>
      <c r="AE200" s="86">
        <v>44326</v>
      </c>
      <c r="AF200" s="33">
        <f t="shared" si="124"/>
        <v>11</v>
      </c>
      <c r="AG200" s="43" t="s">
        <v>2371</v>
      </c>
      <c r="AH200" s="259"/>
      <c r="AJ200" s="245"/>
      <c r="AK200" s="245"/>
      <c r="AR200" s="245" t="str">
        <f>INDEX(基本資料!N:N,MATCH($G200,基本資料!$A:$A,0))</f>
        <v>中</v>
      </c>
    </row>
    <row r="201" spans="1:44">
      <c r="A201" s="343">
        <f>IFERROR(VLOOKUP($G201,基本資料!$A:$J,3,0),"無")</f>
        <v>10.31</v>
      </c>
      <c r="B201" s="79">
        <f>IFERROR(VLOOKUP($G201,基本資料!$A:$J,4,0),"無")</f>
        <v>62</v>
      </c>
      <c r="C201" s="79">
        <f>IFERROR(VLOOKUP($G201,基本資料!$A:$J,5,0),"無")</f>
        <v>49</v>
      </c>
      <c r="D201" s="79">
        <f>IFERROR(VLOOKUP($G201,基本資料!$A:$J,6,0),"無")</f>
        <v>-18</v>
      </c>
      <c r="E201" s="79">
        <f>IFERROR(VLOOKUP($G201,基本資料!$A:$J,7,0),"無")</f>
        <v>-13</v>
      </c>
      <c r="F201" s="6">
        <f>IFERROR(VLOOKUP($G201,基本資料!$A:$J,8,0),"無")</f>
        <v>21.58</v>
      </c>
      <c r="G201" s="80">
        <v>3357</v>
      </c>
      <c r="H201" s="5" t="s">
        <v>3388</v>
      </c>
      <c r="I201" s="16" t="s">
        <v>3235</v>
      </c>
      <c r="J201" s="8">
        <f>IFERROR(VLOOKUP($G201,今日總結!$A:$AN,39,0),"")</f>
        <v>0</v>
      </c>
      <c r="K201" s="5">
        <f>IFERROR(VLOOKUP($G201,今日總結!$A:$AN,40,0),"")</f>
        <v>0</v>
      </c>
      <c r="L201" s="156">
        <f>IFERROR(VLOOKUP($G201,今日總結!$A:$AN,37,0),"")</f>
        <v>0</v>
      </c>
      <c r="M201" s="337">
        <f>IFERROR(VLOOKUP($G201,今日總結!$A:$AN,38,0),"")</f>
        <v>0</v>
      </c>
      <c r="N201" s="240">
        <f t="shared" si="122"/>
        <v>0</v>
      </c>
      <c r="O201" s="359">
        <f>IFERROR(VLOOKUP($G201,融外自投!$A:$J,7,0),"無")</f>
        <v>1075</v>
      </c>
      <c r="P201" s="79" t="str">
        <f>IFERROR(VLOOKUP($G201,融外自投!$A:$J,9,0),"無")</f>
        <v>無</v>
      </c>
      <c r="Q201" s="342">
        <f>IFERROR(VLOOKUP($G201,融外自投!$A:$J,8,0),"無")</f>
        <v>472</v>
      </c>
      <c r="R201" s="81" t="str">
        <f>IFERROR(VLOOKUP($G201,融外自投!$A:$J,10,0),"無")</f>
        <v>無</v>
      </c>
      <c r="S201" s="324">
        <f>IFERROR(VLOOKUP($G201,'321買'!$A:$E,4,0),"'沒有資料'")</f>
        <v>1002</v>
      </c>
      <c r="T201" s="186">
        <f>IFERROR(VLOOKUP($G201,基本資料!$A:$J,9,0),"無")</f>
        <v>7</v>
      </c>
      <c r="U201" s="307">
        <f t="shared" si="123"/>
        <v>4.7945205479452052E-2</v>
      </c>
      <c r="V201" s="94">
        <f>IFERROR(VLOOKUP($G201,基本資料!$A:$J,10,0),"無")</f>
        <v>12.08</v>
      </c>
      <c r="W201" s="36">
        <v>146</v>
      </c>
      <c r="X201" s="66">
        <v>118.78</v>
      </c>
      <c r="Y201" s="15">
        <f t="shared" si="120"/>
        <v>27.22</v>
      </c>
      <c r="Z201" s="63">
        <f t="shared" si="121"/>
        <v>0.22916315878093954</v>
      </c>
      <c r="AA201" s="99" t="s">
        <v>3273</v>
      </c>
      <c r="AB201" s="389">
        <f>IFERROR(VLOOKUP($G201,基本資料!$A:$M,12,0),"無")</f>
        <v>22.65</v>
      </c>
      <c r="AC201" s="16" t="s">
        <v>3235</v>
      </c>
      <c r="AD201" s="84">
        <v>44313</v>
      </c>
      <c r="AE201" s="86">
        <v>44323</v>
      </c>
      <c r="AF201" s="33">
        <f t="shared" si="124"/>
        <v>10</v>
      </c>
      <c r="AG201" s="43" t="s">
        <v>3236</v>
      </c>
      <c r="AH201" s="259"/>
      <c r="AJ201" s="245"/>
      <c r="AK201" s="245"/>
      <c r="AM201" s="48"/>
      <c r="AR201" s="245" t="str">
        <f>INDEX(基本資料!N:N,MATCH($G201,基本資料!$A:$A,0))</f>
        <v>低</v>
      </c>
    </row>
    <row r="202" spans="1:44">
      <c r="A202" s="343">
        <f>IFERROR(VLOOKUP($G202,基本資料!$A:$J,3,0),"無")</f>
        <v>19.600000000000001</v>
      </c>
      <c r="B202" s="79">
        <f>IFERROR(VLOOKUP($G202,基本資料!$A:$J,4,0),"無")</f>
        <v>57</v>
      </c>
      <c r="C202" s="79">
        <f>IFERROR(VLOOKUP($G202,基本資料!$A:$J,5,0),"無")</f>
        <v>0</v>
      </c>
      <c r="D202" s="79">
        <f>IFERROR(VLOOKUP($G202,基本資料!$A:$J,6,0),"無")</f>
        <v>2</v>
      </c>
      <c r="E202" s="79">
        <f>IFERROR(VLOOKUP($G202,基本資料!$A:$J,7,0),"無")</f>
        <v>0</v>
      </c>
      <c r="F202" s="6">
        <f>IFERROR(VLOOKUP($G202,基本資料!$A:$J,8,0),"無")</f>
        <v>6.45</v>
      </c>
      <c r="G202" s="79">
        <v>6768</v>
      </c>
      <c r="H202" s="5" t="s">
        <v>1959</v>
      </c>
      <c r="I202" s="22" t="s">
        <v>3211</v>
      </c>
      <c r="J202" s="8">
        <f>IFERROR(VLOOKUP($G202,今日總結!$A:$AN,39,0),"")</f>
        <v>0</v>
      </c>
      <c r="K202" s="5">
        <f>IFERROR(VLOOKUP($G202,今日總結!$A:$AN,40,0),"")</f>
        <v>0</v>
      </c>
      <c r="L202" s="156">
        <f>IFERROR(VLOOKUP($G202,今日總結!$A:$AN,37,0),"")</f>
        <v>0</v>
      </c>
      <c r="M202" s="337">
        <f>IFERROR(VLOOKUP($G202,今日總結!$A:$AN,38,0),"")</f>
        <v>0</v>
      </c>
      <c r="N202" s="240">
        <f t="shared" si="122"/>
        <v>0</v>
      </c>
      <c r="O202" s="359">
        <f>IFERROR(VLOOKUP($G202,融外自投!$A:$J,7,0),"無")</f>
        <v>1058</v>
      </c>
      <c r="P202" s="79">
        <f>IFERROR(VLOOKUP($G202,融外自投!$A:$J,9,0),"無")</f>
        <v>1123</v>
      </c>
      <c r="Q202" s="342">
        <f>IFERROR(VLOOKUP($G202,融外自投!$A:$J,8,0),"無")</f>
        <v>11</v>
      </c>
      <c r="R202" s="81" t="str">
        <f>IFERROR(VLOOKUP($G202,融外自投!$A:$J,10,0),"無")</f>
        <v>無</v>
      </c>
      <c r="S202" s="324">
        <f>IFERROR(VLOOKUP($G202,'321買'!$A:$E,4,0),"'沒有資料'")</f>
        <v>1002</v>
      </c>
      <c r="T202" s="186">
        <f>IFERROR(VLOOKUP($G202,基本資料!$A:$J,9,0),"無")</f>
        <v>3.5</v>
      </c>
      <c r="U202" s="307">
        <f t="shared" si="123"/>
        <v>0.05</v>
      </c>
      <c r="V202" s="94">
        <f>IFERROR(VLOOKUP($G202,基本資料!$A:$J,10,0),"無")</f>
        <v>3.42</v>
      </c>
      <c r="W202" s="36">
        <v>70</v>
      </c>
      <c r="X202" s="66">
        <v>49</v>
      </c>
      <c r="Y202" s="15">
        <f t="shared" si="120"/>
        <v>21</v>
      </c>
      <c r="Z202" s="63">
        <f t="shared" si="121"/>
        <v>0.42857142857142855</v>
      </c>
      <c r="AA202" s="99" t="s">
        <v>3255</v>
      </c>
      <c r="AB202" s="389">
        <f>IFERROR(VLOOKUP($G202,基本資料!$A:$M,12,0),"無")</f>
        <v>59.88</v>
      </c>
      <c r="AC202" s="22" t="s">
        <v>3211</v>
      </c>
      <c r="AD202" s="84">
        <v>44308</v>
      </c>
      <c r="AE202" s="86">
        <v>44319</v>
      </c>
      <c r="AF202" s="33">
        <f t="shared" si="124"/>
        <v>11</v>
      </c>
      <c r="AG202" s="43" t="s">
        <v>3212</v>
      </c>
      <c r="AH202" s="259"/>
      <c r="AJ202" s="245"/>
      <c r="AK202" s="245"/>
      <c r="AM202" s="48"/>
      <c r="AR202" s="245" t="str">
        <f>INDEX(基本資料!N:N,MATCH($G202,基本資料!$A:$A,0))</f>
        <v>高</v>
      </c>
    </row>
    <row r="203" spans="1:44">
      <c r="A203" s="343">
        <f>IFERROR(VLOOKUP($G203,基本資料!$A:$J,3,0),"無")</f>
        <v>41.99</v>
      </c>
      <c r="B203" s="79">
        <f>IFERROR(VLOOKUP($G203,基本資料!$A:$J,4,0),"無")</f>
        <v>14</v>
      </c>
      <c r="C203" s="79">
        <f>IFERROR(VLOOKUP($G203,基本資料!$A:$J,5,0),"無")</f>
        <v>14</v>
      </c>
      <c r="D203" s="79">
        <f>IFERROR(VLOOKUP($G203,基本資料!$A:$J,6,0),"無")</f>
        <v>2</v>
      </c>
      <c r="E203" s="79">
        <f>IFERROR(VLOOKUP($G203,基本資料!$A:$J,7,0),"無")</f>
        <v>46</v>
      </c>
      <c r="F203" s="6">
        <f>IFERROR(VLOOKUP($G203,基本資料!$A:$J,8,0),"無")</f>
        <v>12.89</v>
      </c>
      <c r="G203" s="79">
        <v>2211</v>
      </c>
      <c r="H203" s="5" t="s">
        <v>299</v>
      </c>
      <c r="I203" s="22" t="s">
        <v>3105</v>
      </c>
      <c r="J203" s="8" t="str">
        <f>IFERROR(VLOOKUP($G203,今日總結!$A:$AN,39,0),"")</f>
        <v>主</v>
      </c>
      <c r="K203" s="5">
        <f>IFERROR(VLOOKUP($G203,今日總結!$A:$AN,40,0),"")</f>
        <v>0</v>
      </c>
      <c r="L203" s="156">
        <f>IFERROR(VLOOKUP($G203,今日總結!$A:$AN,37,0),"")</f>
        <v>4</v>
      </c>
      <c r="M203" s="337">
        <f>IFERROR(VLOOKUP($G203,今日總結!$A:$AN,38,0),"")</f>
        <v>0</v>
      </c>
      <c r="N203" s="240">
        <f t="shared" si="122"/>
        <v>4</v>
      </c>
      <c r="O203" s="359">
        <f>IFERROR(VLOOKUP($G203,融外自投!$A:$J,7,0),"無")</f>
        <v>1259</v>
      </c>
      <c r="P203" s="79">
        <f>IFERROR(VLOOKUP($G203,融外自投!$A:$J,9,0),"無")</f>
        <v>1123</v>
      </c>
      <c r="Q203" s="342">
        <f>IFERROR(VLOOKUP($G203,融外自投!$A:$J,8,0),"無")</f>
        <v>1026</v>
      </c>
      <c r="R203" s="81" t="str">
        <f>IFERROR(VLOOKUP($G203,融外自投!$A:$J,10,0),"無")</f>
        <v>無</v>
      </c>
      <c r="S203" s="324">
        <f>IFERROR(VLOOKUP($G203,'321買'!$A:$E,4,0),"'沒有資料'")</f>
        <v>1002</v>
      </c>
      <c r="T203" s="186">
        <f>IFERROR(VLOOKUP($G203,基本資料!$A:$J,9,0),"無")</f>
        <v>3</v>
      </c>
      <c r="U203" s="307">
        <f t="shared" si="123"/>
        <v>4.5454545454545456E-2</v>
      </c>
      <c r="V203" s="94">
        <f>IFERROR(VLOOKUP($G203,基本資料!$A:$J,10,0),"無")</f>
        <v>3.11</v>
      </c>
      <c r="W203" s="36">
        <v>66</v>
      </c>
      <c r="X203" s="66">
        <v>41</v>
      </c>
      <c r="Y203" s="15">
        <f t="shared" si="120"/>
        <v>25</v>
      </c>
      <c r="Z203" s="63">
        <f t="shared" si="121"/>
        <v>0.6097560975609756</v>
      </c>
      <c r="AA203" s="99" t="s">
        <v>3219</v>
      </c>
      <c r="AB203" s="389">
        <f>IFERROR(VLOOKUP($G203,基本資料!$A:$M,12,0),"無")</f>
        <v>50.82</v>
      </c>
      <c r="AC203" s="22" t="s">
        <v>3105</v>
      </c>
      <c r="AD203" s="84">
        <v>44298</v>
      </c>
      <c r="AE203" s="86">
        <v>44308</v>
      </c>
      <c r="AF203" s="33">
        <f t="shared" si="124"/>
        <v>10</v>
      </c>
      <c r="AG203" s="43" t="s">
        <v>3106</v>
      </c>
      <c r="AH203" s="259"/>
      <c r="AJ203" s="245"/>
      <c r="AK203" s="245"/>
      <c r="AR203" s="245" t="str">
        <f>INDEX(基本資料!N:N,MATCH($G203,基本資料!$A:$A,0))</f>
        <v>高</v>
      </c>
    </row>
    <row r="204" spans="1:44">
      <c r="A204" s="343">
        <f>IFERROR(VLOOKUP($G204,基本資料!$A:$J,3,0),"無")</f>
        <v>8.15</v>
      </c>
      <c r="B204" s="79">
        <f>IFERROR(VLOOKUP($G204,基本資料!$A:$J,4,0),"無")</f>
        <v>85</v>
      </c>
      <c r="C204" s="79">
        <f>IFERROR(VLOOKUP($G204,基本資料!$A:$J,5,0),"無")</f>
        <v>79</v>
      </c>
      <c r="D204" s="79">
        <f>IFERROR(VLOOKUP($G204,基本資料!$A:$J,6,0),"無")</f>
        <v>-15</v>
      </c>
      <c r="E204" s="79">
        <f>IFERROR(VLOOKUP($G204,基本資料!$A:$J,7,0),"無")</f>
        <v>41</v>
      </c>
      <c r="F204" s="6">
        <f>IFERROR(VLOOKUP($G204,基本資料!$A:$J,8,0),"無")</f>
        <v>1.49</v>
      </c>
      <c r="G204" s="79">
        <v>6776</v>
      </c>
      <c r="H204" s="5" t="s">
        <v>329</v>
      </c>
      <c r="I204" s="22" t="s">
        <v>3091</v>
      </c>
      <c r="J204" s="8">
        <f>IFERROR(VLOOKUP($G204,今日總結!$A:$AN,39,0),"")</f>
        <v>0</v>
      </c>
      <c r="K204" s="5">
        <f>IFERROR(VLOOKUP($G204,今日總結!$A:$AN,40,0),"")</f>
        <v>0</v>
      </c>
      <c r="L204" s="156">
        <f>IFERROR(VLOOKUP($G204,今日總結!$A:$AN,37,0),"")</f>
        <v>0</v>
      </c>
      <c r="M204" s="337">
        <f>IFERROR(VLOOKUP($G204,今日總結!$A:$AN,38,0),"")</f>
        <v>0</v>
      </c>
      <c r="N204" s="240">
        <f t="shared" si="122"/>
        <v>0</v>
      </c>
      <c r="O204" s="359">
        <f>IFERROR(VLOOKUP($G204,融外自投!$A:$J,7,0),"無")</f>
        <v>1379</v>
      </c>
      <c r="P204" s="79">
        <f>IFERROR(VLOOKUP($G204,融外自投!$A:$J,9,0),"無")</f>
        <v>1123</v>
      </c>
      <c r="Q204" s="342">
        <f>IFERROR(VLOOKUP($G204,融外自投!$A:$J,8,0),"無")</f>
        <v>1327</v>
      </c>
      <c r="R204" s="81" t="str">
        <f>IFERROR(VLOOKUP($G204,融外自投!$A:$J,10,0),"無")</f>
        <v>無</v>
      </c>
      <c r="S204" s="324">
        <f>IFERROR(VLOOKUP($G204,'321買'!$A:$E,4,0),"'沒有資料'")</f>
        <v>1002</v>
      </c>
      <c r="T204" s="186">
        <f>IFERROR(VLOOKUP($G204,基本資料!$A:$J,9,0),"無")</f>
        <v>3.2</v>
      </c>
      <c r="U204" s="307">
        <f t="shared" si="123"/>
        <v>6.2992125984251982E-2</v>
      </c>
      <c r="V204" s="94">
        <f>IFERROR(VLOOKUP($G204,基本資料!$A:$J,10,0),"無")</f>
        <v>4.28</v>
      </c>
      <c r="W204" s="36">
        <v>50.8</v>
      </c>
      <c r="X204" s="66">
        <v>25</v>
      </c>
      <c r="Y204" s="15">
        <f t="shared" si="120"/>
        <v>25.799999999999997</v>
      </c>
      <c r="Z204" s="148">
        <f t="shared" si="121"/>
        <v>1.0319999999999998</v>
      </c>
      <c r="AA204" s="99" t="s">
        <v>3155</v>
      </c>
      <c r="AB204" s="389">
        <f>IFERROR(VLOOKUP($G204,基本資料!$A:$M,12,0),"無")</f>
        <v>55.25</v>
      </c>
      <c r="AC204" s="22" t="s">
        <v>3091</v>
      </c>
      <c r="AD204" s="84">
        <v>44286</v>
      </c>
      <c r="AE204" s="86">
        <v>44298</v>
      </c>
      <c r="AF204" s="33">
        <f t="shared" si="124"/>
        <v>12</v>
      </c>
      <c r="AG204" s="43" t="s">
        <v>1042</v>
      </c>
      <c r="AH204" s="259"/>
      <c r="AJ204" s="245"/>
      <c r="AK204" s="245"/>
      <c r="AR204" s="245" t="str">
        <f>INDEX(基本資料!N:N,MATCH($G204,基本資料!$A:$A,0))</f>
        <v>中</v>
      </c>
    </row>
    <row r="205" spans="1:44">
      <c r="A205" s="343">
        <f>IFERROR(VLOOKUP($G205,基本資料!$A:$J,3,0),"無")</f>
        <v>93.17</v>
      </c>
      <c r="B205" s="79">
        <f>IFERROR(VLOOKUP($G205,基本資料!$A:$J,4,0),"無")</f>
        <v>100</v>
      </c>
      <c r="C205" s="79">
        <f>IFERROR(VLOOKUP($G205,基本資料!$A:$J,5,0),"無")</f>
        <v>99</v>
      </c>
      <c r="D205" s="79">
        <f>IFERROR(VLOOKUP($G205,基本資料!$A:$J,6,0),"無")</f>
        <v>-42</v>
      </c>
      <c r="E205" s="79">
        <f>IFERROR(VLOOKUP($G205,基本資料!$A:$J,7,0),"無")</f>
        <v>-24</v>
      </c>
      <c r="F205" s="6">
        <f>IFERROR(VLOOKUP($G205,基本資料!$A:$J,8,0),"無")</f>
        <v>-0.02</v>
      </c>
      <c r="G205" s="80">
        <v>2208</v>
      </c>
      <c r="H205" s="5" t="s">
        <v>302</v>
      </c>
      <c r="I205" s="22" t="s">
        <v>88</v>
      </c>
      <c r="J205" s="8">
        <f>IFERROR(VLOOKUP($G205,今日總結!$A:$AN,39,0),"")</f>
        <v>0</v>
      </c>
      <c r="K205" s="5" t="str">
        <f>IFERROR(VLOOKUP($G205,今日總結!$A:$AN,40,0),"")</f>
        <v>主外</v>
      </c>
      <c r="L205" s="156">
        <f>IFERROR(VLOOKUP($G205,今日總結!$A:$AN,37,0),"")</f>
        <v>0</v>
      </c>
      <c r="M205" s="337">
        <f>IFERROR(VLOOKUP($G205,今日總結!$A:$AN,38,0),"")</f>
        <v>9</v>
      </c>
      <c r="N205" s="240">
        <f t="shared" si="122"/>
        <v>-9</v>
      </c>
      <c r="O205" s="359">
        <f>IFERROR(VLOOKUP($G205,融外自投!$A:$J,7,0),"無")</f>
        <v>681</v>
      </c>
      <c r="P205" s="79">
        <f>IFERROR(VLOOKUP($G205,融外自投!$A:$J,9,0),"無")</f>
        <v>1123</v>
      </c>
      <c r="Q205" s="342">
        <f>IFERROR(VLOOKUP($G205,融外自投!$A:$J,8,0),"無")</f>
        <v>769</v>
      </c>
      <c r="R205" s="81">
        <f>IFERROR(VLOOKUP($G205,融外自投!$A:$J,10,0),"無")</f>
        <v>459</v>
      </c>
      <c r="S205" s="324">
        <f>IFERROR(VLOOKUP($G205,'321買'!$A:$E,4,0),"'沒有資料'")</f>
        <v>650</v>
      </c>
      <c r="T205" s="186">
        <f>IFERROR(VLOOKUP($G205,基本資料!$A:$J,9,0),"無")</f>
        <v>0</v>
      </c>
      <c r="U205" s="307">
        <f t="shared" si="123"/>
        <v>0</v>
      </c>
      <c r="V205" s="94">
        <f>IFERROR(VLOOKUP($G205,基本資料!$A:$J,10,0),"無")</f>
        <v>0.02</v>
      </c>
      <c r="W205" s="36">
        <v>22.3</v>
      </c>
      <c r="X205" s="66">
        <v>17.5</v>
      </c>
      <c r="Y205" s="15">
        <f t="shared" si="120"/>
        <v>4.8000000000000007</v>
      </c>
      <c r="Z205" s="63">
        <f t="shared" si="121"/>
        <v>0.2742857142857143</v>
      </c>
      <c r="AA205" s="99" t="s">
        <v>2273</v>
      </c>
      <c r="AB205" s="389">
        <f>IFERROR(VLOOKUP($G205,基本資料!$A:$M,12,0),"無")</f>
        <v>16.39</v>
      </c>
      <c r="AC205" s="22" t="s">
        <v>88</v>
      </c>
      <c r="AD205" s="84">
        <v>44286</v>
      </c>
      <c r="AE205" s="86">
        <v>44298</v>
      </c>
      <c r="AF205" s="33">
        <f t="shared" si="124"/>
        <v>12</v>
      </c>
      <c r="AG205" s="117" t="s">
        <v>3217</v>
      </c>
      <c r="AH205" s="259"/>
      <c r="AJ205" s="245"/>
      <c r="AK205" s="245"/>
      <c r="AR205" s="245" t="str">
        <f>INDEX(基本資料!N:N,MATCH($G205,基本資料!$A:$A,0))</f>
        <v>低</v>
      </c>
    </row>
    <row r="206" spans="1:44">
      <c r="A206" s="343">
        <f>IFERROR(VLOOKUP($G206,基本資料!$A:$J,3,0),"無")</f>
        <v>6.43</v>
      </c>
      <c r="B206" s="79">
        <f>IFERROR(VLOOKUP($G206,基本資料!$A:$J,4,0),"無")</f>
        <v>-26</v>
      </c>
      <c r="C206" s="79">
        <f>IFERROR(VLOOKUP($G206,基本資料!$A:$J,5,0),"無")</f>
        <v>-29</v>
      </c>
      <c r="D206" s="79">
        <f>IFERROR(VLOOKUP($G206,基本資料!$A:$J,6,0),"無")</f>
        <v>10</v>
      </c>
      <c r="E206" s="79">
        <f>IFERROR(VLOOKUP($G206,基本資料!$A:$J,7,0),"無")</f>
        <v>-18</v>
      </c>
      <c r="F206" s="6">
        <f>IFERROR(VLOOKUP($G206,基本資料!$A:$J,8,0),"無")</f>
        <v>20.62</v>
      </c>
      <c r="G206" s="79">
        <v>5215</v>
      </c>
      <c r="H206" s="192" t="s">
        <v>1145</v>
      </c>
      <c r="I206" s="22" t="s">
        <v>468</v>
      </c>
      <c r="J206" s="8">
        <f>IFERROR(VLOOKUP($G206,今日總結!$A:$AN,39,0),"")</f>
        <v>0</v>
      </c>
      <c r="K206" s="5">
        <f>IFERROR(VLOOKUP($G206,今日總結!$A:$AN,40,0),"")</f>
        <v>0</v>
      </c>
      <c r="L206" s="156">
        <f>IFERROR(VLOOKUP($G206,今日總結!$A:$AN,37,0),"")</f>
        <v>0</v>
      </c>
      <c r="M206" s="337">
        <f>IFERROR(VLOOKUP($G206,今日總結!$A:$AN,38,0),"")</f>
        <v>0</v>
      </c>
      <c r="N206" s="240">
        <f t="shared" si="122"/>
        <v>0</v>
      </c>
      <c r="O206" s="359">
        <f>IFERROR(VLOOKUP($G206,融外自投!$A:$J,7,0),"無")</f>
        <v>492</v>
      </c>
      <c r="P206" s="79">
        <f>IFERROR(VLOOKUP($G206,融外自投!$A:$J,9,0),"無")</f>
        <v>1123</v>
      </c>
      <c r="Q206" s="342">
        <f>IFERROR(VLOOKUP($G206,融外自投!$A:$J,8,0),"無")</f>
        <v>216</v>
      </c>
      <c r="R206" s="81" t="str">
        <f>IFERROR(VLOOKUP($G206,融外自投!$A:$J,10,0),"無")</f>
        <v>無</v>
      </c>
      <c r="S206" s="324">
        <f>IFERROR(VLOOKUP($G206,'321買'!$A:$E,4,0),"'沒有資料'")</f>
        <v>1002</v>
      </c>
      <c r="T206" s="186">
        <f>IFERROR(VLOOKUP($G206,基本資料!$A:$J,9,0),"無")</f>
        <v>5</v>
      </c>
      <c r="U206" s="307">
        <f t="shared" si="123"/>
        <v>3.4364261168384883E-2</v>
      </c>
      <c r="V206" s="94">
        <f>IFERROR(VLOOKUP($G206,基本資料!$A:$J,10,0),"無")</f>
        <v>8.76</v>
      </c>
      <c r="W206" s="36">
        <v>145.5</v>
      </c>
      <c r="X206" s="45">
        <v>105</v>
      </c>
      <c r="Y206" s="15">
        <f t="shared" si="120"/>
        <v>40.5</v>
      </c>
      <c r="Z206" s="63">
        <f t="shared" si="121"/>
        <v>0.38571428571428573</v>
      </c>
      <c r="AA206" s="99" t="s">
        <v>3107</v>
      </c>
      <c r="AB206" s="389">
        <f>IFERROR(VLOOKUP($G206,基本資料!$A:$M,12,0),"無")</f>
        <v>19.46</v>
      </c>
      <c r="AC206" s="22" t="s">
        <v>468</v>
      </c>
      <c r="AD206" s="84">
        <v>44285</v>
      </c>
      <c r="AE206" s="86">
        <v>44295</v>
      </c>
      <c r="AF206" s="33">
        <f t="shared" si="124"/>
        <v>10</v>
      </c>
      <c r="AG206" s="43" t="s">
        <v>2282</v>
      </c>
      <c r="AH206" s="259"/>
      <c r="AJ206" s="245"/>
      <c r="AK206" s="245"/>
      <c r="AR206" s="245" t="str">
        <f>INDEX(基本資料!N:N,MATCH($G206,基本資料!$A:$A,0))</f>
        <v>低</v>
      </c>
    </row>
    <row r="207" spans="1:44">
      <c r="A207" s="343">
        <f>IFERROR(VLOOKUP($G207,基本資料!$A:$J,3,0),"無")</f>
        <v>24.18</v>
      </c>
      <c r="B207" s="79">
        <f>IFERROR(VLOOKUP($G207,基本資料!$A:$J,4,0),"無")</f>
        <v>28</v>
      </c>
      <c r="C207" s="79">
        <f>IFERROR(VLOOKUP($G207,基本資料!$A:$J,5,0),"無")</f>
        <v>26</v>
      </c>
      <c r="D207" s="79">
        <f>IFERROR(VLOOKUP($G207,基本資料!$A:$J,6,0),"無")</f>
        <v>-9</v>
      </c>
      <c r="E207" s="79">
        <f>IFERROR(VLOOKUP($G207,基本資料!$A:$J,7,0),"無")</f>
        <v>-1</v>
      </c>
      <c r="F207" s="6">
        <f>IFERROR(VLOOKUP($G207,基本資料!$A:$J,8,0),"無")</f>
        <v>11.69</v>
      </c>
      <c r="G207" s="79">
        <v>1477</v>
      </c>
      <c r="H207" s="8" t="s">
        <v>3171</v>
      </c>
      <c r="I207" s="22" t="s">
        <v>3589</v>
      </c>
      <c r="J207" s="8" t="str">
        <f>IFERROR(VLOOKUP($G207,今日總結!$A:$AN,39,0),"")</f>
        <v>同外</v>
      </c>
      <c r="K207" s="5">
        <f>IFERROR(VLOOKUP($G207,今日總結!$A:$AN,40,0),"")</f>
        <v>0</v>
      </c>
      <c r="L207" s="156">
        <f>IFERROR(VLOOKUP($G207,今日總結!$A:$AN,37,0),"")</f>
        <v>3</v>
      </c>
      <c r="M207" s="337">
        <f>IFERROR(VLOOKUP($G207,今日總結!$A:$AN,38,0),"")</f>
        <v>0</v>
      </c>
      <c r="N207" s="240">
        <f t="shared" si="122"/>
        <v>3</v>
      </c>
      <c r="O207" s="359">
        <f>IFERROR(VLOOKUP($G207,融外自投!$A:$J,7,0),"無")</f>
        <v>1106</v>
      </c>
      <c r="P207" s="79">
        <f>IFERROR(VLOOKUP($G207,融外自投!$A:$J,9,0),"無")</f>
        <v>178</v>
      </c>
      <c r="Q207" s="342">
        <f>IFERROR(VLOOKUP($G207,融外自投!$A:$J,8,0),"無")</f>
        <v>226</v>
      </c>
      <c r="R207" s="81">
        <f>IFERROR(VLOOKUP($G207,融外自投!$A:$J,10,0),"無")</f>
        <v>126</v>
      </c>
      <c r="S207" s="324">
        <f>IFERROR(VLOOKUP($G207,'321買'!$A:$E,4,0),"'沒有資料'")</f>
        <v>411</v>
      </c>
      <c r="T207" s="186">
        <f>IFERROR(VLOOKUP($G207,基本資料!$A:$J,9,0),"無")</f>
        <v>9.5</v>
      </c>
      <c r="U207" s="307">
        <f t="shared" si="123"/>
        <v>3.9094650205761319E-2</v>
      </c>
      <c r="V207" s="94">
        <f>IFERROR(VLOOKUP($G207,基本資料!$A:$J,10,0),"無")</f>
        <v>11.2</v>
      </c>
      <c r="W207" s="36">
        <v>243</v>
      </c>
      <c r="X207" s="66">
        <v>136</v>
      </c>
      <c r="Y207" s="15">
        <f t="shared" si="120"/>
        <v>107</v>
      </c>
      <c r="Z207" s="63">
        <f t="shared" si="121"/>
        <v>0.78676470588235292</v>
      </c>
      <c r="AA207" s="99" t="s">
        <v>3169</v>
      </c>
      <c r="AB207" s="389">
        <f>IFERROR(VLOOKUP($G207,基本資料!$A:$M,12,0),"無")</f>
        <v>17.010000000000002</v>
      </c>
      <c r="AC207" s="22" t="s">
        <v>125</v>
      </c>
      <c r="AD207" s="84">
        <v>44279</v>
      </c>
      <c r="AE207" s="86">
        <v>44292</v>
      </c>
      <c r="AF207" s="33">
        <f t="shared" si="124"/>
        <v>13</v>
      </c>
      <c r="AG207" s="117" t="s">
        <v>2381</v>
      </c>
      <c r="AH207" s="259"/>
      <c r="AJ207" s="245"/>
      <c r="AK207" s="245"/>
      <c r="AR207" s="245" t="str">
        <f>INDEX(基本資料!N:N,MATCH($G207,基本資料!$A:$A,0))</f>
        <v>低</v>
      </c>
    </row>
    <row r="208" spans="1:44">
      <c r="A208" s="343">
        <f>IFERROR(VLOOKUP($G208,基本資料!$A:$J,3,0),"無")</f>
        <v>10.66</v>
      </c>
      <c r="B208" s="79">
        <f>IFERROR(VLOOKUP($G208,基本資料!$A:$J,4,0),"無")</f>
        <v>680</v>
      </c>
      <c r="C208" s="79">
        <f>IFERROR(VLOOKUP($G208,基本資料!$A:$J,5,0),"無")</f>
        <v>1465</v>
      </c>
      <c r="D208" s="79">
        <f>IFERROR(VLOOKUP($G208,基本資料!$A:$J,6,0),"無")</f>
        <v>-35</v>
      </c>
      <c r="E208" s="79">
        <f>IFERROR(VLOOKUP($G208,基本資料!$A:$J,7,0),"無")</f>
        <v>-13</v>
      </c>
      <c r="F208" s="6">
        <f>IFERROR(VLOOKUP($G208,基本資料!$A:$J,8,0),"無")</f>
        <v>1.62</v>
      </c>
      <c r="G208" s="79">
        <v>3346</v>
      </c>
      <c r="H208" s="8" t="s">
        <v>301</v>
      </c>
      <c r="I208" s="22" t="s">
        <v>577</v>
      </c>
      <c r="J208" s="8">
        <f>IFERROR(VLOOKUP($G208,今日總結!$A:$AN,39,0),"")</f>
        <v>0</v>
      </c>
      <c r="K208" s="5" t="str">
        <f>IFERROR(VLOOKUP($G208,今日總結!$A:$AN,40,0),"")</f>
        <v>融</v>
      </c>
      <c r="L208" s="156">
        <f>IFERROR(VLOOKUP($G208,今日總結!$A:$AN,37,0),"")</f>
        <v>0</v>
      </c>
      <c r="M208" s="337">
        <f>IFERROR(VLOOKUP($G208,今日總結!$A:$AN,38,0),"")</f>
        <v>2</v>
      </c>
      <c r="N208" s="240">
        <f t="shared" si="122"/>
        <v>-2</v>
      </c>
      <c r="O208" s="359">
        <f>IFERROR(VLOOKUP($G208,融外自投!$A:$J,7,0),"無")</f>
        <v>232</v>
      </c>
      <c r="P208" s="79" t="str">
        <f>IFERROR(VLOOKUP($G208,融外自投!$A:$J,9,0),"無")</f>
        <v>無</v>
      </c>
      <c r="Q208" s="342">
        <f>IFERROR(VLOOKUP($G208,融外自投!$A:$J,8,0),"無")</f>
        <v>901</v>
      </c>
      <c r="R208" s="81" t="str">
        <f>IFERROR(VLOOKUP($G208,融外自投!$A:$J,10,0),"無")</f>
        <v>無</v>
      </c>
      <c r="S208" s="324">
        <f>IFERROR(VLOOKUP($G208,'321買'!$A:$E,4,0),"'沒有資料'")</f>
        <v>696</v>
      </c>
      <c r="T208" s="186">
        <f>IFERROR(VLOOKUP($G208,基本資料!$A:$J,9,0),"無")</f>
        <v>0.62</v>
      </c>
      <c r="U208" s="307">
        <f t="shared" si="123"/>
        <v>9.6723868954758201E-3</v>
      </c>
      <c r="V208" s="94">
        <f>IFERROR(VLOOKUP($G208,基本資料!$A:$J,10,0),"無")</f>
        <v>1.03</v>
      </c>
      <c r="W208" s="36">
        <v>64.099999999999994</v>
      </c>
      <c r="X208" s="45">
        <v>39</v>
      </c>
      <c r="Y208" s="15">
        <f t="shared" si="120"/>
        <v>25.099999999999994</v>
      </c>
      <c r="Z208" s="63">
        <f t="shared" si="121"/>
        <v>0.64358974358974341</v>
      </c>
      <c r="AA208" s="99" t="s">
        <v>3170</v>
      </c>
      <c r="AB208" s="389">
        <f>IFERROR(VLOOKUP($G208,基本資料!$A:$M,12,0),"無")</f>
        <v>11.82</v>
      </c>
      <c r="AC208" s="22" t="s">
        <v>577</v>
      </c>
      <c r="AD208" s="84">
        <v>44278</v>
      </c>
      <c r="AE208" s="86">
        <v>44292</v>
      </c>
      <c r="AF208" s="33">
        <f t="shared" si="124"/>
        <v>14</v>
      </c>
      <c r="AG208" s="43" t="s">
        <v>2088</v>
      </c>
      <c r="AH208" s="259"/>
      <c r="AJ208" s="245"/>
      <c r="AK208" s="245"/>
      <c r="AM208" s="48"/>
      <c r="AR208" s="245" t="str">
        <f>INDEX(基本資料!N:N,MATCH($G208,基本資料!$A:$A,0))</f>
        <v>低</v>
      </c>
    </row>
    <row r="209" spans="1:44">
      <c r="A209" s="343">
        <f>IFERROR(VLOOKUP($G209,基本資料!$A:$J,3,0),"無")</f>
        <v>8.5399999999999991</v>
      </c>
      <c r="B209" s="79">
        <f>IFERROR(VLOOKUP($G209,基本資料!$A:$J,4,0),"無")</f>
        <v>168</v>
      </c>
      <c r="C209" s="79">
        <f>IFERROR(VLOOKUP($G209,基本資料!$A:$J,5,0),"無")</f>
        <v>146</v>
      </c>
      <c r="D209" s="79">
        <f>IFERROR(VLOOKUP($G209,基本資料!$A:$J,6,0),"無")</f>
        <v>0</v>
      </c>
      <c r="E209" s="79">
        <f>IFERROR(VLOOKUP($G209,基本資料!$A:$J,7,0),"無")</f>
        <v>40</v>
      </c>
      <c r="F209" s="6">
        <f>IFERROR(VLOOKUP($G209,基本資料!$A:$J,8,0),"無")</f>
        <v>26.21</v>
      </c>
      <c r="G209" s="79">
        <v>6781</v>
      </c>
      <c r="H209" s="8" t="s">
        <v>3388</v>
      </c>
      <c r="I209" s="22" t="s">
        <v>3092</v>
      </c>
      <c r="J209" s="8" t="str">
        <f>IFERROR(VLOOKUP($G209,今日總結!$A:$AN,39,0),"")</f>
        <v>投</v>
      </c>
      <c r="K209" s="5" t="str">
        <f>IFERROR(VLOOKUP($G209,今日總結!$A:$AN,40,0),"")</f>
        <v>外</v>
      </c>
      <c r="L209" s="156">
        <f>IFERROR(VLOOKUP($G209,今日總結!$A:$AN,37,0),"")</f>
        <v>1</v>
      </c>
      <c r="M209" s="337">
        <f>IFERROR(VLOOKUP($G209,今日總結!$A:$AN,38,0),"")</f>
        <v>1</v>
      </c>
      <c r="N209" s="240">
        <f t="shared" si="122"/>
        <v>0</v>
      </c>
      <c r="O209" s="359">
        <f>IFERROR(VLOOKUP($G209,融外自投!$A:$J,7,0),"無")</f>
        <v>894</v>
      </c>
      <c r="P209" s="79">
        <f>IFERROR(VLOOKUP($G209,融外自投!$A:$J,9,0),"無")</f>
        <v>717</v>
      </c>
      <c r="Q209" s="342">
        <f>IFERROR(VLOOKUP($G209,融外自投!$A:$J,8,0),"無")</f>
        <v>10</v>
      </c>
      <c r="R209" s="81">
        <f>IFERROR(VLOOKUP($G209,融外自投!$A:$J,10,0),"無")</f>
        <v>72</v>
      </c>
      <c r="S209" s="324">
        <f>IFERROR(VLOOKUP($G209,'321買'!$A:$E,4,0),"'沒有資料'")</f>
        <v>366</v>
      </c>
      <c r="T209" s="186">
        <f>IFERROR(VLOOKUP($G209,基本資料!$A:$J,9,0),"無")</f>
        <v>15</v>
      </c>
      <c r="U209" s="307">
        <f t="shared" si="123"/>
        <v>2.3510971786833857E-2</v>
      </c>
      <c r="V209" s="94">
        <f>IFERROR(VLOOKUP($G209,基本資料!$A:$J,10,0),"無")</f>
        <v>30.18</v>
      </c>
      <c r="W209" s="13">
        <v>638</v>
      </c>
      <c r="X209" s="66">
        <v>168</v>
      </c>
      <c r="Y209" s="15">
        <f t="shared" ref="Y209:Y240" si="125">W209-X209</f>
        <v>470</v>
      </c>
      <c r="Z209" s="148">
        <f t="shared" ref="Z209:Z240" si="126">Y209/X209</f>
        <v>2.7976190476190474</v>
      </c>
      <c r="AA209" s="99" t="s">
        <v>3096</v>
      </c>
      <c r="AB209" s="389">
        <f>IFERROR(VLOOKUP($G209,基本資料!$A:$M,12,0),"無")</f>
        <v>30.55</v>
      </c>
      <c r="AC209" s="22" t="s">
        <v>3092</v>
      </c>
      <c r="AD209" s="84">
        <v>44277</v>
      </c>
      <c r="AE209" s="86">
        <v>44287</v>
      </c>
      <c r="AF209" s="33">
        <f t="shared" si="124"/>
        <v>10</v>
      </c>
      <c r="AG209" s="43" t="s">
        <v>3097</v>
      </c>
      <c r="AH209" s="259"/>
      <c r="AJ209" s="245"/>
      <c r="AK209" s="245"/>
      <c r="AR209" s="245" t="str">
        <f>INDEX(基本資料!N:N,MATCH($G209,基本資料!$A:$A,0))</f>
        <v>低</v>
      </c>
    </row>
    <row r="210" spans="1:44">
      <c r="A210" s="343">
        <f>IFERROR(VLOOKUP($G210,基本資料!$A:$J,3,0),"無")</f>
        <v>2.78</v>
      </c>
      <c r="B210" s="79">
        <f>IFERROR(VLOOKUP($G210,基本資料!$A:$J,4,0),"無")</f>
        <v>138</v>
      </c>
      <c r="C210" s="79">
        <f>IFERROR(VLOOKUP($G210,基本資料!$A:$J,5,0),"無")</f>
        <v>187</v>
      </c>
      <c r="D210" s="79">
        <f>IFERROR(VLOOKUP($G210,基本資料!$A:$J,6,0),"無")</f>
        <v>0</v>
      </c>
      <c r="E210" s="79">
        <f>IFERROR(VLOOKUP($G210,基本資料!$A:$J,7,0),"無")</f>
        <v>67</v>
      </c>
      <c r="F210" s="6">
        <f>IFERROR(VLOOKUP($G210,基本資料!$A:$J,8,0),"無")</f>
        <v>5.03</v>
      </c>
      <c r="G210" s="79">
        <v>5468</v>
      </c>
      <c r="H210" s="145" t="s">
        <v>3038</v>
      </c>
      <c r="I210" s="16" t="s">
        <v>369</v>
      </c>
      <c r="J210" s="8" t="str">
        <f>IFERROR(VLOOKUP($G210,今日總結!$A:$AN,39,0),"")</f>
        <v/>
      </c>
      <c r="K210" s="5" t="str">
        <f>IFERROR(VLOOKUP($G210,今日總結!$A:$AN,40,0),"")</f>
        <v/>
      </c>
      <c r="L210" s="156" t="str">
        <f>IFERROR(VLOOKUP($G210,今日總結!$A:$AN,37,0),"")</f>
        <v/>
      </c>
      <c r="M210" s="337" t="str">
        <f>IFERROR(VLOOKUP($G210,今日總結!$A:$AN,38,0),"")</f>
        <v/>
      </c>
      <c r="N210" s="240" t="str">
        <f t="shared" si="122"/>
        <v/>
      </c>
      <c r="O210" s="359" t="str">
        <f>IFERROR(VLOOKUP($G210,融外自投!$A:$J,7,0),"無")</f>
        <v>無</v>
      </c>
      <c r="P210" s="79" t="str">
        <f>IFERROR(VLOOKUP($G210,融外自投!$A:$J,9,0),"無")</f>
        <v>無</v>
      </c>
      <c r="Q210" s="342" t="str">
        <f>IFERROR(VLOOKUP($G210,融外自投!$A:$J,8,0),"無")</f>
        <v>無</v>
      </c>
      <c r="R210" s="81" t="str">
        <f>IFERROR(VLOOKUP($G210,融外自投!$A:$J,10,0),"無")</f>
        <v>無</v>
      </c>
      <c r="S210" s="324" t="str">
        <f>IFERROR(VLOOKUP($G210,'321買'!$A:$E,4,0),"'沒有資料'")</f>
        <v>'沒有資料'</v>
      </c>
      <c r="T210" s="186">
        <f>IFERROR(VLOOKUP($G210,基本資料!$A:$J,9,0),"無")</f>
        <v>0</v>
      </c>
      <c r="U210" s="307">
        <f t="shared" si="123"/>
        <v>0</v>
      </c>
      <c r="V210" s="94">
        <f>IFERROR(VLOOKUP($G210,基本資料!$A:$J,10,0),"無")</f>
        <v>0.19</v>
      </c>
      <c r="W210" s="36">
        <v>21.5</v>
      </c>
      <c r="X210" s="66">
        <v>10</v>
      </c>
      <c r="Y210" s="15">
        <f t="shared" si="125"/>
        <v>11.5</v>
      </c>
      <c r="Z210" s="148">
        <f t="shared" si="126"/>
        <v>1.1499999999999999</v>
      </c>
      <c r="AA210" s="99" t="s">
        <v>1650</v>
      </c>
      <c r="AB210" s="389">
        <f>IFERROR(VLOOKUP($G210,基本資料!$A:$M,12,0),"無")</f>
        <v>81.66</v>
      </c>
      <c r="AC210" s="16" t="s">
        <v>369</v>
      </c>
      <c r="AD210" s="84">
        <v>44272</v>
      </c>
      <c r="AE210" s="86">
        <v>44284</v>
      </c>
      <c r="AF210" s="33">
        <f t="shared" si="124"/>
        <v>12</v>
      </c>
      <c r="AG210" s="43" t="s">
        <v>2360</v>
      </c>
      <c r="AH210" s="259"/>
      <c r="AJ210" s="245"/>
      <c r="AK210" s="245"/>
      <c r="AR210" s="245" t="str">
        <f>INDEX(基本資料!N:N,MATCH($G210,基本資料!$A:$A,0))</f>
        <v>高</v>
      </c>
    </row>
    <row r="211" spans="1:44">
      <c r="A211" s="343">
        <f>IFERROR(VLOOKUP($G211,基本資料!$A:$J,3,0),"無")</f>
        <v>15.41</v>
      </c>
      <c r="B211" s="79">
        <f>IFERROR(VLOOKUP($G211,基本資料!$A:$J,4,0),"無")</f>
        <v>-390</v>
      </c>
      <c r="C211" s="79">
        <f>IFERROR(VLOOKUP($G211,基本資料!$A:$J,5,0),"無")</f>
        <v>-341</v>
      </c>
      <c r="D211" s="79">
        <f>IFERROR(VLOOKUP($G211,基本資料!$A:$J,6,0),"無")</f>
        <v>-64</v>
      </c>
      <c r="E211" s="79">
        <f>IFERROR(VLOOKUP($G211,基本資料!$A:$J,7,0),"無")</f>
        <v>61</v>
      </c>
      <c r="F211" s="6">
        <f>IFERROR(VLOOKUP($G211,基本資料!$A:$J,8,0),"無")</f>
        <v>-11.02</v>
      </c>
      <c r="G211" s="79">
        <v>4726</v>
      </c>
      <c r="H211" s="8" t="s">
        <v>4723</v>
      </c>
      <c r="I211" s="16" t="s">
        <v>3799</v>
      </c>
      <c r="J211" s="8" t="str">
        <f>IFERROR(VLOOKUP($G211,今日總結!$A:$AN,39,0),"")</f>
        <v/>
      </c>
      <c r="K211" s="5" t="str">
        <f>IFERROR(VLOOKUP($G211,今日總結!$A:$AN,40,0),"")</f>
        <v/>
      </c>
      <c r="L211" s="156" t="str">
        <f>IFERROR(VLOOKUP($G211,今日總結!$A:$AN,37,0),"")</f>
        <v/>
      </c>
      <c r="M211" s="337" t="str">
        <f>IFERROR(VLOOKUP($G211,今日總結!$A:$AN,38,0),"")</f>
        <v/>
      </c>
      <c r="N211" s="240" t="str">
        <f t="shared" si="122"/>
        <v/>
      </c>
      <c r="O211" s="359" t="str">
        <f>IFERROR(VLOOKUP($G211,融外自投!$A:$J,7,0),"無")</f>
        <v>無</v>
      </c>
      <c r="P211" s="79" t="str">
        <f>IFERROR(VLOOKUP($G211,融外自投!$A:$J,9,0),"無")</f>
        <v>無</v>
      </c>
      <c r="Q211" s="342" t="str">
        <f>IFERROR(VLOOKUP($G211,融外自投!$A:$J,8,0),"無")</f>
        <v>無</v>
      </c>
      <c r="R211" s="81" t="str">
        <f>IFERROR(VLOOKUP($G211,融外自投!$A:$J,10,0),"無")</f>
        <v>無</v>
      </c>
      <c r="S211" s="324" t="str">
        <f>IFERROR(VLOOKUP($G211,'321買'!$A:$E,4,0),"'沒有資料'")</f>
        <v>'沒有資料'</v>
      </c>
      <c r="T211" s="186">
        <f>IFERROR(VLOOKUP($G211,基本資料!$A:$J,9,0),"無")</f>
        <v>0</v>
      </c>
      <c r="U211" s="307">
        <f t="shared" si="123"/>
        <v>0</v>
      </c>
      <c r="V211" s="94">
        <f>IFERROR(VLOOKUP($G211,基本資料!$A:$J,10,0),"無")</f>
        <v>-0.61</v>
      </c>
      <c r="W211" s="36">
        <v>34.65</v>
      </c>
      <c r="X211" s="66">
        <v>30.5</v>
      </c>
      <c r="Y211" s="15">
        <f t="shared" si="125"/>
        <v>4.1499999999999986</v>
      </c>
      <c r="Z211" s="63">
        <f t="shared" si="126"/>
        <v>0.13606557377049175</v>
      </c>
      <c r="AA211" s="99" t="s">
        <v>3070</v>
      </c>
      <c r="AB211" s="389">
        <f>IFERROR(VLOOKUP($G211,基本資料!$A:$M,12,0),"無")</f>
        <v>13.97</v>
      </c>
      <c r="AC211" s="16" t="s">
        <v>616</v>
      </c>
      <c r="AD211" s="84">
        <v>44271</v>
      </c>
      <c r="AE211" s="86">
        <v>44281</v>
      </c>
      <c r="AF211" s="33">
        <f t="shared" si="124"/>
        <v>10</v>
      </c>
      <c r="AG211" s="43" t="s">
        <v>2981</v>
      </c>
      <c r="AH211" s="259"/>
      <c r="AJ211" s="245"/>
      <c r="AK211" s="245"/>
      <c r="AR211" s="245" t="str">
        <f>INDEX(基本資料!N:N,MATCH($G211,基本資料!$A:$A,0))</f>
        <v>低</v>
      </c>
    </row>
    <row r="212" spans="1:44">
      <c r="A212" s="343">
        <f>IFERROR(VLOOKUP($G212,基本資料!$A:$J,3,0),"無")</f>
        <v>7.35</v>
      </c>
      <c r="B212" s="79">
        <f>IFERROR(VLOOKUP($G212,基本資料!$A:$J,4,0),"無")</f>
        <v>191</v>
      </c>
      <c r="C212" s="79">
        <f>IFERROR(VLOOKUP($G212,基本資料!$A:$J,5,0),"無")</f>
        <v>178</v>
      </c>
      <c r="D212" s="79">
        <f>IFERROR(VLOOKUP($G212,基本資料!$A:$J,6,0),"無")</f>
        <v>-9</v>
      </c>
      <c r="E212" s="79">
        <f>IFERROR(VLOOKUP($G212,基本資料!$A:$J,7,0),"無")</f>
        <v>27</v>
      </c>
      <c r="F212" s="6">
        <f>IFERROR(VLOOKUP($G212,基本資料!$A:$J,8,0),"無")</f>
        <v>21.45</v>
      </c>
      <c r="G212" s="79">
        <v>6706</v>
      </c>
      <c r="H212" s="8" t="s">
        <v>306</v>
      </c>
      <c r="I212" s="22" t="s">
        <v>1741</v>
      </c>
      <c r="J212" s="8">
        <f>IFERROR(VLOOKUP($G212,今日總結!$A:$AN,39,0),"")</f>
        <v>0</v>
      </c>
      <c r="K212" s="5" t="str">
        <f>IFERROR(VLOOKUP($G212,今日總結!$A:$AN,40,0),"")</f>
        <v>24主借</v>
      </c>
      <c r="L212" s="156">
        <f>IFERROR(VLOOKUP($G212,今日總結!$A:$AN,37,0),"")</f>
        <v>0</v>
      </c>
      <c r="M212" s="337">
        <f>IFERROR(VLOOKUP($G212,今日總結!$A:$AN,38,0),"")</f>
        <v>10</v>
      </c>
      <c r="N212" s="240">
        <f t="shared" si="122"/>
        <v>-10</v>
      </c>
      <c r="O212" s="359">
        <f>IFERROR(VLOOKUP($G212,融外自投!$A:$J,7,0),"無")</f>
        <v>95</v>
      </c>
      <c r="P212" s="79">
        <f>IFERROR(VLOOKUP($G212,融外自投!$A:$J,9,0),"無")</f>
        <v>478</v>
      </c>
      <c r="Q212" s="342">
        <f>IFERROR(VLOOKUP($G212,融外自投!$A:$J,8,0),"無")</f>
        <v>494</v>
      </c>
      <c r="R212" s="81" t="str">
        <f>IFERROR(VLOOKUP($G212,融外自投!$A:$J,10,0),"無")</f>
        <v>無</v>
      </c>
      <c r="S212" s="324">
        <f>IFERROR(VLOOKUP($G212,'321買'!$A:$E,4,0),"'沒有資料'")</f>
        <v>33</v>
      </c>
      <c r="T212" s="186">
        <f>IFERROR(VLOOKUP($G212,基本資料!$A:$J,9,0),"無")</f>
        <v>10</v>
      </c>
      <c r="U212" s="307">
        <f t="shared" si="123"/>
        <v>5.9171597633136092E-2</v>
      </c>
      <c r="V212" s="94">
        <f>IFERROR(VLOOKUP($G212,基本資料!$A:$J,10,0),"無")</f>
        <v>13.98</v>
      </c>
      <c r="W212" s="36">
        <v>169</v>
      </c>
      <c r="X212" s="45">
        <v>126</v>
      </c>
      <c r="Y212" s="15">
        <f t="shared" si="125"/>
        <v>43</v>
      </c>
      <c r="Z212" s="63">
        <f t="shared" si="126"/>
        <v>0.34126984126984128</v>
      </c>
      <c r="AA212" s="99" t="s">
        <v>3069</v>
      </c>
      <c r="AB212" s="389">
        <f>IFERROR(VLOOKUP($G212,基本資料!$A:$M,12,0),"無")</f>
        <v>7.89</v>
      </c>
      <c r="AC212" s="22" t="s">
        <v>1741</v>
      </c>
      <c r="AD212" s="84">
        <v>44265</v>
      </c>
      <c r="AE212" s="86">
        <v>44277</v>
      </c>
      <c r="AF212" s="33">
        <f t="shared" si="124"/>
        <v>12</v>
      </c>
      <c r="AG212" s="119" t="s">
        <v>1864</v>
      </c>
      <c r="AH212" s="259"/>
      <c r="AJ212" s="245"/>
      <c r="AK212" s="245"/>
      <c r="AM212" s="23"/>
      <c r="AR212" s="245" t="str">
        <f>INDEX(基本資料!N:N,MATCH($G212,基本資料!$A:$A,0))</f>
        <v>低</v>
      </c>
    </row>
    <row r="213" spans="1:44">
      <c r="A213" s="343">
        <f>IFERROR(VLOOKUP($G213,基本資料!$A:$J,3,0),"無")</f>
        <v>8.56</v>
      </c>
      <c r="B213" s="79">
        <f>IFERROR(VLOOKUP($G213,基本資料!$A:$J,4,0),"無")</f>
        <v>12</v>
      </c>
      <c r="C213" s="79">
        <f>IFERROR(VLOOKUP($G213,基本資料!$A:$J,5,0),"無")</f>
        <v>19</v>
      </c>
      <c r="D213" s="79">
        <f>IFERROR(VLOOKUP($G213,基本資料!$A:$J,6,0),"無")</f>
        <v>-19</v>
      </c>
      <c r="E213" s="79">
        <f>IFERROR(VLOOKUP($G213,基本資料!$A:$J,7,0),"無")</f>
        <v>8</v>
      </c>
      <c r="F213" s="6">
        <f>IFERROR(VLOOKUP($G213,基本資料!$A:$J,8,0),"無")</f>
        <v>16.41</v>
      </c>
      <c r="G213" s="79">
        <v>6224</v>
      </c>
      <c r="H213" s="195" t="s">
        <v>3388</v>
      </c>
      <c r="I213" s="22" t="s">
        <v>230</v>
      </c>
      <c r="J213" s="8">
        <f>IFERROR(VLOOKUP($G213,今日總結!$A:$AN,39,0),"")</f>
        <v>0</v>
      </c>
      <c r="K213" s="5">
        <f>IFERROR(VLOOKUP($G213,今日總結!$A:$AN,40,0),"")</f>
        <v>0</v>
      </c>
      <c r="L213" s="156">
        <f>IFERROR(VLOOKUP($G213,今日總結!$A:$AN,37,0),"")</f>
        <v>0</v>
      </c>
      <c r="M213" s="337">
        <f>IFERROR(VLOOKUP($G213,今日總結!$A:$AN,38,0),"")</f>
        <v>0</v>
      </c>
      <c r="N213" s="240">
        <f t="shared" si="122"/>
        <v>0</v>
      </c>
      <c r="O213" s="359">
        <f>IFERROR(VLOOKUP($G213,融外自投!$A:$J,7,0),"無")</f>
        <v>489</v>
      </c>
      <c r="P213" s="79">
        <f>IFERROR(VLOOKUP($G213,融外自投!$A:$J,9,0),"無")</f>
        <v>946</v>
      </c>
      <c r="Q213" s="342">
        <f>IFERROR(VLOOKUP($G213,融外自投!$A:$J,8,0),"無")</f>
        <v>572</v>
      </c>
      <c r="R213" s="81" t="str">
        <f>IFERROR(VLOOKUP($G213,融外自投!$A:$J,10,0),"無")</f>
        <v>無</v>
      </c>
      <c r="S213" s="324">
        <f>IFERROR(VLOOKUP($G213,'321買'!$A:$E,4,0),"'沒有資料'")</f>
        <v>440</v>
      </c>
      <c r="T213" s="186">
        <f>IFERROR(VLOOKUP($G213,基本資料!$A:$J,9,0),"無")</f>
        <v>4.25</v>
      </c>
      <c r="U213" s="307">
        <f t="shared" si="123"/>
        <v>3.6016949152542374E-2</v>
      </c>
      <c r="V213" s="94">
        <f>IFERROR(VLOOKUP($G213,基本資料!$A:$J,10,0),"無")</f>
        <v>6.02</v>
      </c>
      <c r="W213" s="36">
        <v>118</v>
      </c>
      <c r="X213" s="45">
        <v>68</v>
      </c>
      <c r="Y213" s="15">
        <f t="shared" si="125"/>
        <v>50</v>
      </c>
      <c r="Z213" s="63">
        <f t="shared" si="126"/>
        <v>0.73529411764705888</v>
      </c>
      <c r="AA213" s="99" t="s">
        <v>2944</v>
      </c>
      <c r="AB213" s="389">
        <f>IFERROR(VLOOKUP($G213,基本資料!$A:$M,12,0),"無")</f>
        <v>17.05</v>
      </c>
      <c r="AC213" s="22" t="s">
        <v>230</v>
      </c>
      <c r="AD213" s="84">
        <v>44232</v>
      </c>
      <c r="AE213" s="86">
        <v>44244</v>
      </c>
      <c r="AF213" s="33">
        <f t="shared" si="124"/>
        <v>12</v>
      </c>
      <c r="AG213" s="119" t="s">
        <v>2544</v>
      </c>
      <c r="AH213" s="259"/>
      <c r="AJ213" s="245"/>
      <c r="AK213" s="245"/>
      <c r="AM213" s="23"/>
      <c r="AR213" s="245" t="str">
        <f>INDEX(基本資料!N:N,MATCH($G213,基本資料!$A:$A,0))</f>
        <v>低</v>
      </c>
    </row>
    <row r="214" spans="1:44" ht="16.5" customHeight="1">
      <c r="A214" s="343">
        <f>IFERROR(VLOOKUP($G214,基本資料!$A:$J,3,0),"無")</f>
        <v>8.4499999999999993</v>
      </c>
      <c r="B214" s="79">
        <f>IFERROR(VLOOKUP($G214,基本資料!$A:$J,4,0),"無")</f>
        <v>68</v>
      </c>
      <c r="C214" s="79">
        <f>IFERROR(VLOOKUP($G214,基本資料!$A:$J,5,0),"無")</f>
        <v>-3</v>
      </c>
      <c r="D214" s="79">
        <f>IFERROR(VLOOKUP($G214,基本資料!$A:$J,6,0),"無")</f>
        <v>110</v>
      </c>
      <c r="E214" s="79">
        <f>IFERROR(VLOOKUP($G214,基本資料!$A:$J,7,0),"無")</f>
        <v>92</v>
      </c>
      <c r="F214" s="6">
        <f>IFERROR(VLOOKUP($G214,基本資料!$A:$J,8,0),"無")</f>
        <v>-55.66</v>
      </c>
      <c r="G214" s="80">
        <v>2718</v>
      </c>
      <c r="H214" s="5" t="s">
        <v>303</v>
      </c>
      <c r="I214" s="16" t="s">
        <v>960</v>
      </c>
      <c r="J214" s="8" t="str">
        <f>IFERROR(VLOOKUP($G214,今日總結!$A:$AN,39,0),"")</f>
        <v/>
      </c>
      <c r="K214" s="5" t="str">
        <f>IFERROR(VLOOKUP($G214,今日總結!$A:$AN,40,0),"")</f>
        <v/>
      </c>
      <c r="L214" s="156" t="str">
        <f>IFERROR(VLOOKUP($G214,今日總結!$A:$AN,37,0),"")</f>
        <v/>
      </c>
      <c r="M214" s="337" t="str">
        <f>IFERROR(VLOOKUP($G214,今日總結!$A:$AN,38,0),"")</f>
        <v/>
      </c>
      <c r="N214" s="240" t="str">
        <f t="shared" si="122"/>
        <v/>
      </c>
      <c r="O214" s="359" t="str">
        <f>IFERROR(VLOOKUP($G214,融外自投!$A:$J,7,0),"無")</f>
        <v>無</v>
      </c>
      <c r="P214" s="79" t="str">
        <f>IFERROR(VLOOKUP($G214,融外自投!$A:$J,9,0),"無")</f>
        <v>無</v>
      </c>
      <c r="Q214" s="342" t="str">
        <f>IFERROR(VLOOKUP($G214,融外自投!$A:$J,8,0),"無")</f>
        <v>無</v>
      </c>
      <c r="R214" s="81" t="str">
        <f>IFERROR(VLOOKUP($G214,融外自投!$A:$J,10,0),"無")</f>
        <v>無</v>
      </c>
      <c r="S214" s="324" t="str">
        <f>IFERROR(VLOOKUP($G214,'321買'!$A:$E,4,0),"'沒有資料'")</f>
        <v>'沒有資料'</v>
      </c>
      <c r="T214" s="186">
        <f>IFERROR(VLOOKUP($G214,基本資料!$A:$J,9,0),"無")</f>
        <v>0</v>
      </c>
      <c r="U214" s="307">
        <f t="shared" si="123"/>
        <v>0</v>
      </c>
      <c r="V214" s="94">
        <f>IFERROR(VLOOKUP($G214,基本資料!$A:$J,10,0),"無")</f>
        <v>-0.55000000000000004</v>
      </c>
      <c r="W214" s="36">
        <v>17.850000000000001</v>
      </c>
      <c r="X214" s="66">
        <v>17</v>
      </c>
      <c r="Y214" s="15">
        <f t="shared" si="125"/>
        <v>0.85000000000000142</v>
      </c>
      <c r="Z214" s="63">
        <f t="shared" si="126"/>
        <v>5.0000000000000086E-2</v>
      </c>
      <c r="AA214" s="99" t="s">
        <v>2943</v>
      </c>
      <c r="AB214" s="389">
        <f>IFERROR(VLOOKUP($G214,基本資料!$A:$M,12,0),"無")</f>
        <v>55.48</v>
      </c>
      <c r="AC214" s="16" t="s">
        <v>960</v>
      </c>
      <c r="AD214" s="84">
        <v>44232</v>
      </c>
      <c r="AE214" s="86">
        <v>44244</v>
      </c>
      <c r="AF214" s="33">
        <f t="shared" si="124"/>
        <v>12</v>
      </c>
      <c r="AG214" s="43" t="s">
        <v>2543</v>
      </c>
      <c r="AH214" s="259"/>
      <c r="AJ214" s="245"/>
      <c r="AK214" s="245"/>
      <c r="AR214" s="245" t="str">
        <f>INDEX(基本資料!N:N,MATCH($G214,基本資料!$A:$A,0))</f>
        <v>高</v>
      </c>
    </row>
    <row r="215" spans="1:44">
      <c r="A215" s="343">
        <f>IFERROR(VLOOKUP($G215,基本資料!$A:$J,3,0),"無")</f>
        <v>27.95</v>
      </c>
      <c r="B215" s="79">
        <f>IFERROR(VLOOKUP($G215,基本資料!$A:$J,4,0),"無")</f>
        <v>19</v>
      </c>
      <c r="C215" s="79">
        <f>IFERROR(VLOOKUP($G215,基本資料!$A:$J,5,0),"無")</f>
        <v>13</v>
      </c>
      <c r="D215" s="79">
        <f>IFERROR(VLOOKUP($G215,基本資料!$A:$J,6,0),"無")</f>
        <v>1</v>
      </c>
      <c r="E215" s="79">
        <f>IFERROR(VLOOKUP($G215,基本資料!$A:$J,7,0),"無")</f>
        <v>13</v>
      </c>
      <c r="F215" s="6">
        <f>IFERROR(VLOOKUP($G215,基本資料!$A:$J,8,0),"無")</f>
        <v>6.75</v>
      </c>
      <c r="G215" s="79">
        <v>1536</v>
      </c>
      <c r="H215" s="5" t="s">
        <v>301</v>
      </c>
      <c r="I215" s="22" t="s">
        <v>126</v>
      </c>
      <c r="J215" s="8">
        <f>IFERROR(VLOOKUP($G215,今日總結!$A:$AN,39,0),"")</f>
        <v>0</v>
      </c>
      <c r="K215" s="5">
        <f>IFERROR(VLOOKUP($G215,今日總結!$A:$AN,40,0),"")</f>
        <v>0</v>
      </c>
      <c r="L215" s="156">
        <f>IFERROR(VLOOKUP($G215,今日總結!$A:$AN,37,0),"")</f>
        <v>0</v>
      </c>
      <c r="M215" s="337">
        <f>IFERROR(VLOOKUP($G215,今日總結!$A:$AN,38,0),"")</f>
        <v>0</v>
      </c>
      <c r="N215" s="240">
        <f t="shared" si="122"/>
        <v>0</v>
      </c>
      <c r="O215" s="359">
        <f>IFERROR(VLOOKUP($G215,融外自投!$A:$J,7,0),"無")</f>
        <v>735</v>
      </c>
      <c r="P215" s="79">
        <f>IFERROR(VLOOKUP($G215,融外自投!$A:$J,9,0),"無")</f>
        <v>331</v>
      </c>
      <c r="Q215" s="342">
        <f>IFERROR(VLOOKUP($G215,融外自投!$A:$J,8,0),"無")</f>
        <v>447</v>
      </c>
      <c r="R215" s="81">
        <f>IFERROR(VLOOKUP($G215,融外自投!$A:$J,10,0),"無")</f>
        <v>495</v>
      </c>
      <c r="S215" s="324">
        <f>IFERROR(VLOOKUP($G215,'321買'!$A:$E,4,0),"'沒有資料'")</f>
        <v>1002</v>
      </c>
      <c r="T215" s="186">
        <f>IFERROR(VLOOKUP($G215,基本資料!$A:$J,9,0),"無")</f>
        <v>1.36</v>
      </c>
      <c r="U215" s="307">
        <f t="shared" si="123"/>
        <v>1.1333333333333334E-2</v>
      </c>
      <c r="V215" s="94">
        <f>IFERROR(VLOOKUP($G215,基本資料!$A:$J,10,0),"無")</f>
        <v>1.23</v>
      </c>
      <c r="W215" s="36">
        <v>120</v>
      </c>
      <c r="X215" s="66">
        <v>90</v>
      </c>
      <c r="Y215" s="15">
        <f t="shared" si="125"/>
        <v>30</v>
      </c>
      <c r="Z215" s="63">
        <f t="shared" si="126"/>
        <v>0.33333333333333331</v>
      </c>
      <c r="AA215" s="99" t="s">
        <v>2940</v>
      </c>
      <c r="AB215" s="389">
        <f>IFERROR(VLOOKUP($G215,基本資料!$A:$M,12,0),"無")</f>
        <v>22.8</v>
      </c>
      <c r="AC215" s="22" t="s">
        <v>126</v>
      </c>
      <c r="AD215" s="84">
        <v>44231</v>
      </c>
      <c r="AE215" s="86">
        <v>44244</v>
      </c>
      <c r="AF215" s="33">
        <f t="shared" si="124"/>
        <v>13</v>
      </c>
      <c r="AG215" s="117" t="s">
        <v>2320</v>
      </c>
      <c r="AH215" s="259"/>
      <c r="AJ215" s="245"/>
      <c r="AK215" s="245"/>
      <c r="AR215" s="245" t="str">
        <f>INDEX(基本資料!N:N,MATCH($G215,基本資料!$A:$A,0))</f>
        <v>低</v>
      </c>
    </row>
    <row r="216" spans="1:44">
      <c r="A216" s="343">
        <f>IFERROR(VLOOKUP($G216,基本資料!$A:$J,3,0),"無")</f>
        <v>19.86</v>
      </c>
      <c r="B216" s="79">
        <f>IFERROR(VLOOKUP($G216,基本資料!$A:$J,4,0),"無")</f>
        <v>19</v>
      </c>
      <c r="C216" s="79">
        <f>IFERROR(VLOOKUP($G216,基本資料!$A:$J,5,0),"無")</f>
        <v>22</v>
      </c>
      <c r="D216" s="79">
        <f>IFERROR(VLOOKUP($G216,基本資料!$A:$J,6,0),"無")</f>
        <v>-24</v>
      </c>
      <c r="E216" s="79">
        <f>IFERROR(VLOOKUP($G216,基本資料!$A:$J,7,0),"無")</f>
        <v>-43</v>
      </c>
      <c r="F216" s="6">
        <f>IFERROR(VLOOKUP($G216,基本資料!$A:$J,8,0),"無")</f>
        <v>-78.2</v>
      </c>
      <c r="G216" s="80">
        <v>4108</v>
      </c>
      <c r="H216" s="193" t="s">
        <v>4723</v>
      </c>
      <c r="I216" s="22" t="s">
        <v>3726</v>
      </c>
      <c r="J216" s="8">
        <f>IFERROR(VLOOKUP($G216,今日總結!$A:$AN,39,0),"")</f>
        <v>0</v>
      </c>
      <c r="K216" s="5">
        <f>IFERROR(VLOOKUP($G216,今日總結!$A:$AN,40,0),"")</f>
        <v>0</v>
      </c>
      <c r="L216" s="156">
        <f>IFERROR(VLOOKUP($G216,今日總結!$A:$AN,37,0),"")</f>
        <v>0</v>
      </c>
      <c r="M216" s="337">
        <f>IFERROR(VLOOKUP($G216,今日總結!$A:$AN,38,0),"")</f>
        <v>0</v>
      </c>
      <c r="N216" s="240">
        <f t="shared" si="122"/>
        <v>0</v>
      </c>
      <c r="O216" s="359" t="str">
        <f>IFERROR(VLOOKUP($G216,融外自投!$A:$J,7,0),"無")</f>
        <v>無</v>
      </c>
      <c r="P216" s="79" t="str">
        <f>IFERROR(VLOOKUP($G216,融外自投!$A:$J,9,0),"無")</f>
        <v>無</v>
      </c>
      <c r="Q216" s="342" t="str">
        <f>IFERROR(VLOOKUP($G216,融外自投!$A:$J,8,0),"無")</f>
        <v>無</v>
      </c>
      <c r="R216" s="81" t="str">
        <f>IFERROR(VLOOKUP($G216,融外自投!$A:$J,10,0),"無")</f>
        <v>無</v>
      </c>
      <c r="S216" s="324">
        <f>IFERROR(VLOOKUP($G216,'321買'!$A:$E,4,0),"'沒有資料'")</f>
        <v>1002</v>
      </c>
      <c r="T216" s="186">
        <f>IFERROR(VLOOKUP($G216,基本資料!$A:$J,9,0),"無")</f>
        <v>0</v>
      </c>
      <c r="U216" s="307">
        <f t="shared" si="123"/>
        <v>0</v>
      </c>
      <c r="V216" s="94">
        <f>IFERROR(VLOOKUP($G216,基本資料!$A:$J,10,0),"無")</f>
        <v>-0.4</v>
      </c>
      <c r="W216" s="36">
        <v>24.75</v>
      </c>
      <c r="X216" s="66">
        <v>20</v>
      </c>
      <c r="Y216" s="15">
        <f t="shared" si="125"/>
        <v>4.75</v>
      </c>
      <c r="Z216" s="63">
        <f t="shared" si="126"/>
        <v>0.23749999999999999</v>
      </c>
      <c r="AA216" s="99" t="s">
        <v>858</v>
      </c>
      <c r="AB216" s="389">
        <f>IFERROR(VLOOKUP($G216,基本資料!$A:$M,12,0),"無")</f>
        <v>20.76</v>
      </c>
      <c r="AC216" s="22" t="s">
        <v>631</v>
      </c>
      <c r="AD216" s="84">
        <v>44230</v>
      </c>
      <c r="AE216" s="86">
        <v>44244</v>
      </c>
      <c r="AF216" s="33">
        <f t="shared" si="124"/>
        <v>14</v>
      </c>
      <c r="AG216" s="43" t="s">
        <v>2337</v>
      </c>
      <c r="AH216" s="259"/>
      <c r="AJ216" s="245"/>
      <c r="AK216" s="245"/>
      <c r="AR216" s="245" t="str">
        <f>INDEX(基本資料!N:N,MATCH($G216,基本資料!$A:$A,0))</f>
        <v>低</v>
      </c>
    </row>
    <row r="217" spans="1:44">
      <c r="A217" s="343">
        <f>IFERROR(VLOOKUP($G217,基本資料!$A:$J,3,0),"無")</f>
        <v>59.36</v>
      </c>
      <c r="B217" s="79">
        <f>IFERROR(VLOOKUP($G217,基本資料!$A:$J,4,0),"無")</f>
        <v>48</v>
      </c>
      <c r="C217" s="79">
        <f>IFERROR(VLOOKUP($G217,基本資料!$A:$J,5,0),"無")</f>
        <v>1</v>
      </c>
      <c r="D217" s="79">
        <f>IFERROR(VLOOKUP($G217,基本資料!$A:$J,6,0),"無")</f>
        <v>-45</v>
      </c>
      <c r="E217" s="79">
        <f>IFERROR(VLOOKUP($G217,基本資料!$A:$J,7,0),"無")</f>
        <v>-32</v>
      </c>
      <c r="F217" s="6">
        <f>IFERROR(VLOOKUP($G217,基本資料!$A:$J,8,0),"無")</f>
        <v>5.16</v>
      </c>
      <c r="G217" s="80">
        <v>1785</v>
      </c>
      <c r="H217" s="8" t="s">
        <v>314</v>
      </c>
      <c r="I217" s="16" t="s">
        <v>305</v>
      </c>
      <c r="J217" s="8">
        <f>IFERROR(VLOOKUP($G217,今日總結!$A:$AN,39,0),"")</f>
        <v>0</v>
      </c>
      <c r="K217" s="5" t="str">
        <f>IFERROR(VLOOKUP($G217,今日總結!$A:$AN,40,0),"")</f>
        <v>融券</v>
      </c>
      <c r="L217" s="156">
        <f>IFERROR(VLOOKUP($G217,今日總結!$A:$AN,37,0),"")</f>
        <v>0</v>
      </c>
      <c r="M217" s="337">
        <f>IFERROR(VLOOKUP($G217,今日總結!$A:$AN,38,0),"")</f>
        <v>3</v>
      </c>
      <c r="N217" s="240">
        <f t="shared" si="122"/>
        <v>-3</v>
      </c>
      <c r="O217" s="359">
        <f>IFERROR(VLOOKUP($G217,融外自投!$A:$J,7,0),"無")</f>
        <v>334</v>
      </c>
      <c r="P217" s="79">
        <f>IFERROR(VLOOKUP($G217,融外自投!$A:$J,9,0),"無")</f>
        <v>990</v>
      </c>
      <c r="Q217" s="342">
        <f>IFERROR(VLOOKUP($G217,融外自投!$A:$J,8,0),"無")</f>
        <v>652</v>
      </c>
      <c r="R217" s="81">
        <f>IFERROR(VLOOKUP($G217,融外自投!$A:$J,10,0),"無")</f>
        <v>413</v>
      </c>
      <c r="S217" s="324">
        <f>IFERROR(VLOOKUP($G217,'321買'!$A:$E,4,0),"'沒有資料'")</f>
        <v>343</v>
      </c>
      <c r="T217" s="186">
        <f>IFERROR(VLOOKUP($G217,基本資料!$A:$J,9,0),"無")</f>
        <v>1.5</v>
      </c>
      <c r="U217" s="307">
        <f t="shared" si="123"/>
        <v>3.3112582781456956E-2</v>
      </c>
      <c r="V217" s="94">
        <f>IFERROR(VLOOKUP($G217,基本資料!$A:$J,10,0),"無")</f>
        <v>2.15</v>
      </c>
      <c r="W217" s="36">
        <v>45.3</v>
      </c>
      <c r="X217" s="66">
        <v>36</v>
      </c>
      <c r="Y217" s="15">
        <f t="shared" si="125"/>
        <v>9.2999999999999972</v>
      </c>
      <c r="Z217" s="63">
        <f t="shared" si="126"/>
        <v>0.25833333333333325</v>
      </c>
      <c r="AA217" s="99" t="s">
        <v>940</v>
      </c>
      <c r="AB217" s="389">
        <f>IFERROR(VLOOKUP($G217,基本資料!$A:$M,12,0),"無")</f>
        <v>21.76</v>
      </c>
      <c r="AC217" s="16" t="s">
        <v>305</v>
      </c>
      <c r="AD217" s="84">
        <v>44229</v>
      </c>
      <c r="AE217" s="86">
        <v>44244</v>
      </c>
      <c r="AF217" s="33">
        <f t="shared" si="124"/>
        <v>15</v>
      </c>
      <c r="AG217" s="43" t="s">
        <v>2266</v>
      </c>
      <c r="AH217" s="259"/>
      <c r="AJ217" s="245"/>
      <c r="AK217" s="245"/>
      <c r="AR217" s="245" t="str">
        <f>INDEX(基本資料!N:N,MATCH($G217,基本資料!$A:$A,0))</f>
        <v>低</v>
      </c>
    </row>
    <row r="218" spans="1:44">
      <c r="A218" s="343">
        <f>IFERROR(VLOOKUP($G218,基本資料!$A:$J,3,0),"無")</f>
        <v>3.29</v>
      </c>
      <c r="B218" s="79">
        <f>IFERROR(VLOOKUP($G218,基本資料!$A:$J,4,0),"無")</f>
        <v>112</v>
      </c>
      <c r="C218" s="79">
        <f>IFERROR(VLOOKUP($G218,基本資料!$A:$J,5,0),"無")</f>
        <v>94</v>
      </c>
      <c r="D218" s="79">
        <f>IFERROR(VLOOKUP($G218,基本資料!$A:$J,6,0),"無")</f>
        <v>-14</v>
      </c>
      <c r="E218" s="79">
        <f>IFERROR(VLOOKUP($G218,基本資料!$A:$J,7,0),"無")</f>
        <v>0</v>
      </c>
      <c r="F218" s="6">
        <f>IFERROR(VLOOKUP($G218,基本資料!$A:$J,8,0),"無")</f>
        <v>19.71</v>
      </c>
      <c r="G218" s="79">
        <v>6651</v>
      </c>
      <c r="H218" s="192" t="s">
        <v>3038</v>
      </c>
      <c r="I218" s="16" t="s">
        <v>2336</v>
      </c>
      <c r="J218" s="8">
        <f>IFERROR(VLOOKUP($G218,今日總結!$A:$AN,39,0),"")</f>
        <v>0</v>
      </c>
      <c r="K218" s="5">
        <f>IFERROR(VLOOKUP($G218,今日總結!$A:$AN,40,0),"")</f>
        <v>0</v>
      </c>
      <c r="L218" s="156">
        <f>IFERROR(VLOOKUP($G218,今日總結!$A:$AN,37,0),"")</f>
        <v>0</v>
      </c>
      <c r="M218" s="337">
        <f>IFERROR(VLOOKUP($G218,今日總結!$A:$AN,38,0),"")</f>
        <v>0</v>
      </c>
      <c r="N218" s="240">
        <f t="shared" si="122"/>
        <v>0</v>
      </c>
      <c r="O218" s="359">
        <f>IFERROR(VLOOKUP($G218,融外自投!$A:$J,7,0),"無")</f>
        <v>765</v>
      </c>
      <c r="P218" s="79">
        <f>IFERROR(VLOOKUP($G218,融外自投!$A:$J,9,0),"無")</f>
        <v>908</v>
      </c>
      <c r="Q218" s="342">
        <f>IFERROR(VLOOKUP($G218,融外自投!$A:$J,8,0),"無")</f>
        <v>1312</v>
      </c>
      <c r="R218" s="81" t="str">
        <f>IFERROR(VLOOKUP($G218,融外自投!$A:$J,10,0),"無")</f>
        <v>無</v>
      </c>
      <c r="S218" s="324">
        <f>IFERROR(VLOOKUP($G218,'321買'!$A:$E,4,0),"'沒有資料'")</f>
        <v>497</v>
      </c>
      <c r="T218" s="186">
        <f>IFERROR(VLOOKUP($G218,基本資料!$A:$J,9,0),"無")</f>
        <v>4.5</v>
      </c>
      <c r="U218" s="307">
        <f t="shared" si="123"/>
        <v>4.7021943573667707E-2</v>
      </c>
      <c r="V218" s="94">
        <f>IFERROR(VLOOKUP($G218,基本資料!$A:$J,10,0),"無")</f>
        <v>7.77</v>
      </c>
      <c r="W218" s="36">
        <v>95.7</v>
      </c>
      <c r="X218" s="66">
        <v>50.6</v>
      </c>
      <c r="Y218" s="15">
        <f t="shared" si="125"/>
        <v>45.1</v>
      </c>
      <c r="Z218" s="63">
        <f t="shared" si="126"/>
        <v>0.89130434782608692</v>
      </c>
      <c r="AA218" s="99" t="s">
        <v>2936</v>
      </c>
      <c r="AB218" s="389">
        <f>IFERROR(VLOOKUP($G218,基本資料!$A:$M,12,0),"無")</f>
        <v>31.05</v>
      </c>
      <c r="AC218" s="16" t="s">
        <v>2336</v>
      </c>
      <c r="AD218" s="84">
        <v>44228</v>
      </c>
      <c r="AE218" s="86">
        <v>44244</v>
      </c>
      <c r="AF218" s="33">
        <f t="shared" si="124"/>
        <v>16</v>
      </c>
      <c r="AG218" s="43" t="s">
        <v>2175</v>
      </c>
      <c r="AH218" s="259"/>
      <c r="AJ218" s="245"/>
      <c r="AK218" s="245"/>
      <c r="AR218" s="245" t="str">
        <f>INDEX(基本資料!N:N,MATCH($G218,基本資料!$A:$A,0))</f>
        <v>低</v>
      </c>
    </row>
    <row r="219" spans="1:44">
      <c r="A219" s="343">
        <f>IFERROR(VLOOKUP($G219,基本資料!$A:$J,3,0),"無")</f>
        <v>10.3</v>
      </c>
      <c r="B219" s="79">
        <f>IFERROR(VLOOKUP($G219,基本資料!$A:$J,4,0),"無")</f>
        <v>0</v>
      </c>
      <c r="C219" s="79">
        <f>IFERROR(VLOOKUP($G219,基本資料!$A:$J,5,0),"無")</f>
        <v>-22</v>
      </c>
      <c r="D219" s="79">
        <f>IFERROR(VLOOKUP($G219,基本資料!$A:$J,6,0),"無")</f>
        <v>23</v>
      </c>
      <c r="E219" s="79">
        <f>IFERROR(VLOOKUP($G219,基本資料!$A:$J,7,0),"無")</f>
        <v>153</v>
      </c>
      <c r="F219" s="6">
        <f>IFERROR(VLOOKUP($G219,基本資料!$A:$J,8,0),"無")</f>
        <v>-1772.67</v>
      </c>
      <c r="G219" s="80">
        <v>6733</v>
      </c>
      <c r="H219" s="5" t="s">
        <v>4723</v>
      </c>
      <c r="I219" s="16" t="s">
        <v>2292</v>
      </c>
      <c r="J219" s="8" t="str">
        <f>IFERROR(VLOOKUP($G219,今日總結!$A:$AN,39,0),"")</f>
        <v/>
      </c>
      <c r="K219" s="5" t="str">
        <f>IFERROR(VLOOKUP($G219,今日總結!$A:$AN,40,0),"")</f>
        <v/>
      </c>
      <c r="L219" s="156" t="str">
        <f>IFERROR(VLOOKUP($G219,今日總結!$A:$AN,37,0),"")</f>
        <v/>
      </c>
      <c r="M219" s="337" t="str">
        <f>IFERROR(VLOOKUP($G219,今日總結!$A:$AN,38,0),"")</f>
        <v/>
      </c>
      <c r="N219" s="240" t="str">
        <f t="shared" si="122"/>
        <v/>
      </c>
      <c r="O219" s="359" t="str">
        <f>IFERROR(VLOOKUP($G219,融外自投!$A:$J,7,0),"無")</f>
        <v>無</v>
      </c>
      <c r="P219" s="79" t="str">
        <f>IFERROR(VLOOKUP($G219,融外自投!$A:$J,9,0),"無")</f>
        <v>無</v>
      </c>
      <c r="Q219" s="342" t="str">
        <f>IFERROR(VLOOKUP($G219,融外自投!$A:$J,8,0),"無")</f>
        <v>無</v>
      </c>
      <c r="R219" s="81" t="str">
        <f>IFERROR(VLOOKUP($G219,融外自投!$A:$J,10,0),"無")</f>
        <v>無</v>
      </c>
      <c r="S219" s="324" t="str">
        <f>IFERROR(VLOOKUP($G219,'321買'!$A:$E,4,0),"'沒有資料'")</f>
        <v>'沒有資料'</v>
      </c>
      <c r="T219" s="186">
        <f>IFERROR(VLOOKUP($G219,基本資料!$A:$J,9,0),"無")</f>
        <v>0</v>
      </c>
      <c r="U219" s="307">
        <f t="shared" si="123"/>
        <v>0</v>
      </c>
      <c r="V219" s="94">
        <f>IFERROR(VLOOKUP($G219,基本資料!$A:$J,10,0),"無")</f>
        <v>-1.37</v>
      </c>
      <c r="W219" s="36">
        <v>27.75</v>
      </c>
      <c r="X219" s="66">
        <v>28</v>
      </c>
      <c r="Y219" s="15">
        <f t="shared" si="125"/>
        <v>-0.25</v>
      </c>
      <c r="Z219" s="76">
        <f t="shared" si="126"/>
        <v>-8.9285714285714281E-3</v>
      </c>
      <c r="AA219" s="99" t="s">
        <v>2928</v>
      </c>
      <c r="AB219" s="389">
        <f>IFERROR(VLOOKUP($G219,基本資料!$A:$M,12,0),"無")</f>
        <v>14.89</v>
      </c>
      <c r="AC219" s="16" t="s">
        <v>2292</v>
      </c>
      <c r="AD219" s="84">
        <v>44224</v>
      </c>
      <c r="AE219" s="86">
        <v>44244</v>
      </c>
      <c r="AF219" s="33">
        <f t="shared" si="124"/>
        <v>20</v>
      </c>
      <c r="AG219" s="43" t="s">
        <v>2293</v>
      </c>
      <c r="AH219" s="259"/>
      <c r="AJ219" s="245"/>
      <c r="AK219" s="245"/>
      <c r="AR219" s="245" t="str">
        <f>INDEX(基本資料!N:N,MATCH($G219,基本資料!$A:$A,0))</f>
        <v>低</v>
      </c>
    </row>
    <row r="220" spans="1:44">
      <c r="A220" s="343">
        <f>IFERROR(VLOOKUP($G220,基本資料!$A:$J,3,0),"無")</f>
        <v>10.7</v>
      </c>
      <c r="B220" s="79">
        <f>IFERROR(VLOOKUP($G220,基本資料!$A:$J,4,0),"無")</f>
        <v>170</v>
      </c>
      <c r="C220" s="79">
        <f>IFERROR(VLOOKUP($G220,基本資料!$A:$J,5,0),"無")</f>
        <v>170</v>
      </c>
      <c r="D220" s="79">
        <f>IFERROR(VLOOKUP($G220,基本資料!$A:$J,6,0),"無")</f>
        <v>-16</v>
      </c>
      <c r="E220" s="79">
        <f>IFERROR(VLOOKUP($G220,基本資料!$A:$J,7,0),"無")</f>
        <v>33</v>
      </c>
      <c r="F220" s="6">
        <f>IFERROR(VLOOKUP($G220,基本資料!$A:$J,8,0),"無")</f>
        <v>7.96</v>
      </c>
      <c r="G220" s="79">
        <v>4739</v>
      </c>
      <c r="H220" s="8" t="s">
        <v>3577</v>
      </c>
      <c r="I220" s="22" t="s">
        <v>3631</v>
      </c>
      <c r="J220" s="8">
        <f>IFERROR(VLOOKUP($G220,今日總結!$A:$AN,39,0),"")</f>
        <v>0</v>
      </c>
      <c r="K220" s="5">
        <f>IFERROR(VLOOKUP($G220,今日總結!$A:$AN,40,0),"")</f>
        <v>0</v>
      </c>
      <c r="L220" s="156">
        <f>IFERROR(VLOOKUP($G220,今日總結!$A:$AN,37,0),"")</f>
        <v>0</v>
      </c>
      <c r="M220" s="337">
        <f>IFERROR(VLOOKUP($G220,今日總結!$A:$AN,38,0),"")</f>
        <v>0</v>
      </c>
      <c r="N220" s="240">
        <f t="shared" si="122"/>
        <v>0</v>
      </c>
      <c r="O220" s="359">
        <f>IFERROR(VLOOKUP($G220,融外自投!$A:$J,7,0),"無")</f>
        <v>104</v>
      </c>
      <c r="P220" s="79">
        <f>IFERROR(VLOOKUP($G220,融外自投!$A:$J,9,0),"無")</f>
        <v>825</v>
      </c>
      <c r="Q220" s="342">
        <f>IFERROR(VLOOKUP($G220,融外自投!$A:$J,8,0),"無")</f>
        <v>834</v>
      </c>
      <c r="R220" s="81">
        <f>IFERROR(VLOOKUP($G220,融外自投!$A:$J,10,0),"無")</f>
        <v>108</v>
      </c>
      <c r="S220" s="324">
        <f>IFERROR(VLOOKUP($G220,'321買'!$A:$E,4,0),"'沒有資料'")</f>
        <v>13</v>
      </c>
      <c r="T220" s="186">
        <f>IFERROR(VLOOKUP($G220,基本資料!$A:$J,9,0),"無")</f>
        <v>3</v>
      </c>
      <c r="U220" s="307">
        <f t="shared" si="123"/>
        <v>4.6511627906976744E-2</v>
      </c>
      <c r="V220" s="94">
        <f>IFERROR(VLOOKUP($G220,基本資料!$A:$J,10,0),"無")</f>
        <v>4.67</v>
      </c>
      <c r="W220" s="36">
        <v>64.5</v>
      </c>
      <c r="X220" s="66">
        <v>50</v>
      </c>
      <c r="Y220" s="15">
        <f t="shared" si="125"/>
        <v>14.5</v>
      </c>
      <c r="Z220" s="63">
        <f t="shared" si="126"/>
        <v>0.28999999999999998</v>
      </c>
      <c r="AA220" s="99" t="s">
        <v>2929</v>
      </c>
      <c r="AB220" s="389">
        <f>IFERROR(VLOOKUP($G220,基本資料!$A:$M,12,0),"無")</f>
        <v>20.81</v>
      </c>
      <c r="AC220" s="22" t="s">
        <v>171</v>
      </c>
      <c r="AD220" s="84">
        <v>44224</v>
      </c>
      <c r="AE220" s="86">
        <v>44244</v>
      </c>
      <c r="AF220" s="33">
        <f t="shared" si="124"/>
        <v>20</v>
      </c>
      <c r="AG220" s="117" t="s">
        <v>2289</v>
      </c>
      <c r="AH220" s="259"/>
      <c r="AJ220" s="245"/>
      <c r="AK220" s="245"/>
      <c r="AL220" s="254"/>
      <c r="AR220" s="245" t="str">
        <f>INDEX(基本資料!N:N,MATCH($G220,基本資料!$A:$A,0))</f>
        <v>中</v>
      </c>
    </row>
    <row r="221" spans="1:44">
      <c r="A221" s="343">
        <f>IFERROR(VLOOKUP($G221,基本資料!$A:$J,3,0),"無")</f>
        <v>2.33</v>
      </c>
      <c r="B221" s="79">
        <f>IFERROR(VLOOKUP($G221,基本資料!$A:$J,4,0),"無")</f>
        <v>-53</v>
      </c>
      <c r="C221" s="79">
        <f>IFERROR(VLOOKUP($G221,基本資料!$A:$J,5,0),"無")</f>
        <v>-59</v>
      </c>
      <c r="D221" s="79">
        <f>IFERROR(VLOOKUP($G221,基本資料!$A:$J,6,0),"無")</f>
        <v>26</v>
      </c>
      <c r="E221" s="79">
        <f>IFERROR(VLOOKUP($G221,基本資料!$A:$J,7,0),"無")</f>
        <v>60</v>
      </c>
      <c r="F221" s="6">
        <f>IFERROR(VLOOKUP($G221,基本資料!$A:$J,8,0),"無")</f>
        <v>4.6399999999999997</v>
      </c>
      <c r="G221" s="80">
        <v>6661</v>
      </c>
      <c r="H221" s="5" t="s">
        <v>4723</v>
      </c>
      <c r="I221" s="16" t="s">
        <v>2287</v>
      </c>
      <c r="J221" s="8" t="str">
        <f>IFERROR(VLOOKUP($G221,今日總結!$A:$AN,39,0),"")</f>
        <v/>
      </c>
      <c r="K221" s="5" t="str">
        <f>IFERROR(VLOOKUP($G221,今日總結!$A:$AN,40,0),"")</f>
        <v/>
      </c>
      <c r="L221" s="156" t="str">
        <f>IFERROR(VLOOKUP($G221,今日總結!$A:$AN,37,0),"")</f>
        <v/>
      </c>
      <c r="M221" s="337" t="str">
        <f>IFERROR(VLOOKUP($G221,今日總結!$A:$AN,38,0),"")</f>
        <v/>
      </c>
      <c r="N221" s="240" t="str">
        <f t="shared" si="122"/>
        <v/>
      </c>
      <c r="O221" s="359" t="str">
        <f>IFERROR(VLOOKUP($G221,融外自投!$A:$J,7,0),"無")</f>
        <v>無</v>
      </c>
      <c r="P221" s="79" t="str">
        <f>IFERROR(VLOOKUP($G221,融外自投!$A:$J,9,0),"無")</f>
        <v>無</v>
      </c>
      <c r="Q221" s="342" t="str">
        <f>IFERROR(VLOOKUP($G221,融外自投!$A:$J,8,0),"無")</f>
        <v>無</v>
      </c>
      <c r="R221" s="81" t="str">
        <f>IFERROR(VLOOKUP($G221,融外自投!$A:$J,10,0),"無")</f>
        <v>無</v>
      </c>
      <c r="S221" s="324" t="str">
        <f>IFERROR(VLOOKUP($G221,'321買'!$A:$E,4,0),"'沒有資料'")</f>
        <v>'沒有資料'</v>
      </c>
      <c r="T221" s="186">
        <f>IFERROR(VLOOKUP($G221,基本資料!$A:$J,9,0),"無")</f>
        <v>0.48</v>
      </c>
      <c r="U221" s="307">
        <f t="shared" si="123"/>
        <v>1.8823529411764704E-2</v>
      </c>
      <c r="V221" s="94">
        <f>IFERROR(VLOOKUP($G221,基本資料!$A:$J,10,0),"無")</f>
        <v>0.59</v>
      </c>
      <c r="W221" s="36">
        <v>25.5</v>
      </c>
      <c r="X221" s="66">
        <v>26</v>
      </c>
      <c r="Y221" s="15">
        <f t="shared" si="125"/>
        <v>-0.5</v>
      </c>
      <c r="Z221" s="76">
        <f t="shared" si="126"/>
        <v>-1.9230769230769232E-2</v>
      </c>
      <c r="AA221" s="99" t="s">
        <v>2884</v>
      </c>
      <c r="AB221" s="389">
        <f>IFERROR(VLOOKUP($G221,基本資料!$A:$M,12,0),"無")</f>
        <v>36.75</v>
      </c>
      <c r="AC221" s="16" t="s">
        <v>2287</v>
      </c>
      <c r="AD221" s="84">
        <v>44223</v>
      </c>
      <c r="AE221" s="86">
        <v>44244</v>
      </c>
      <c r="AF221" s="33">
        <f t="shared" si="124"/>
        <v>21</v>
      </c>
      <c r="AG221" s="43" t="s">
        <v>2288</v>
      </c>
      <c r="AH221" s="259"/>
      <c r="AJ221" s="245"/>
      <c r="AK221" s="245"/>
      <c r="AR221" s="245" t="str">
        <f>INDEX(基本資料!N:N,MATCH($G221,基本資料!$A:$A,0))</f>
        <v>低</v>
      </c>
    </row>
    <row r="222" spans="1:44">
      <c r="A222" s="343">
        <f>IFERROR(VLOOKUP($G222,基本資料!$A:$J,3,0),"無")</f>
        <v>8.4</v>
      </c>
      <c r="B222" s="79">
        <f>IFERROR(VLOOKUP($G222,基本資料!$A:$J,4,0),"無")</f>
        <v>-24</v>
      </c>
      <c r="C222" s="79">
        <f>IFERROR(VLOOKUP($G222,基本資料!$A:$J,5,0),"無")</f>
        <v>369</v>
      </c>
      <c r="D222" s="79">
        <f>IFERROR(VLOOKUP($G222,基本資料!$A:$J,6,0),"無")</f>
        <v>-10</v>
      </c>
      <c r="E222" s="79">
        <f>IFERROR(VLOOKUP($G222,基本資料!$A:$J,7,0),"無")</f>
        <v>120</v>
      </c>
      <c r="F222" s="6">
        <f>IFERROR(VLOOKUP($G222,基本資料!$A:$J,8,0),"無")</f>
        <v>14.74</v>
      </c>
      <c r="G222" s="79">
        <v>3680</v>
      </c>
      <c r="H222" s="183" t="s">
        <v>3038</v>
      </c>
      <c r="I222" s="16" t="s">
        <v>366</v>
      </c>
      <c r="J222" s="8">
        <f>IFERROR(VLOOKUP($G222,今日總結!$A:$AN,39,0),"")</f>
        <v>0</v>
      </c>
      <c r="K222" s="5">
        <f>IFERROR(VLOOKUP($G222,今日總結!$A:$AN,40,0),"")</f>
        <v>0</v>
      </c>
      <c r="L222" s="156">
        <f>IFERROR(VLOOKUP($G222,今日總結!$A:$AN,37,0),"")</f>
        <v>0</v>
      </c>
      <c r="M222" s="337">
        <f>IFERROR(VLOOKUP($G222,今日總結!$A:$AN,38,0),"")</f>
        <v>0</v>
      </c>
      <c r="N222" s="240">
        <f t="shared" si="122"/>
        <v>0</v>
      </c>
      <c r="O222" s="359">
        <f>IFERROR(VLOOKUP($G222,融外自投!$A:$J,7,0),"無")</f>
        <v>472</v>
      </c>
      <c r="P222" s="79">
        <f>IFERROR(VLOOKUP($G222,融外自投!$A:$J,9,0),"無")</f>
        <v>116</v>
      </c>
      <c r="Q222" s="342">
        <f>IFERROR(VLOOKUP($G222,融外自投!$A:$J,8,0),"無")</f>
        <v>555</v>
      </c>
      <c r="R222" s="81">
        <f>IFERROR(VLOOKUP($G222,融外自投!$A:$J,10,0),"無")</f>
        <v>69</v>
      </c>
      <c r="S222" s="324">
        <f>IFERROR(VLOOKUP($G222,'321買'!$A:$E,4,0),"'沒有資料'")</f>
        <v>465</v>
      </c>
      <c r="T222" s="186">
        <f>IFERROR(VLOOKUP($G222,基本資料!$A:$J,9,0),"無")</f>
        <v>2.8</v>
      </c>
      <c r="U222" s="307">
        <f t="shared" si="123"/>
        <v>7.8762306610407878E-3</v>
      </c>
      <c r="V222" s="94">
        <f>IFERROR(VLOOKUP($G222,基本資料!$A:$J,10,0),"無")</f>
        <v>4.03</v>
      </c>
      <c r="W222" s="36">
        <v>355.5</v>
      </c>
      <c r="X222" s="45">
        <v>236</v>
      </c>
      <c r="Y222" s="15">
        <f t="shared" si="125"/>
        <v>119.5</v>
      </c>
      <c r="Z222" s="63">
        <f t="shared" si="126"/>
        <v>0.50635593220338981</v>
      </c>
      <c r="AA222" s="99" t="s">
        <v>2885</v>
      </c>
      <c r="AB222" s="389">
        <f>IFERROR(VLOOKUP($G222,基本資料!$A:$M,12,0),"無")</f>
        <v>23.09</v>
      </c>
      <c r="AC222" s="16" t="s">
        <v>366</v>
      </c>
      <c r="AD222" s="84">
        <v>44223</v>
      </c>
      <c r="AE222" s="86">
        <v>44244</v>
      </c>
      <c r="AF222" s="33">
        <f t="shared" si="124"/>
        <v>21</v>
      </c>
      <c r="AG222" s="43" t="s">
        <v>1954</v>
      </c>
      <c r="AH222" s="259"/>
      <c r="AJ222" s="245"/>
      <c r="AK222" s="245"/>
      <c r="AR222" s="245" t="str">
        <f>INDEX(基本資料!N:N,MATCH($G222,基本資料!$A:$A,0))</f>
        <v>低</v>
      </c>
    </row>
    <row r="223" spans="1:44">
      <c r="A223" s="343">
        <f>IFERROR(VLOOKUP($G223,基本資料!$A:$J,3,0),"無")</f>
        <v>2.91</v>
      </c>
      <c r="B223" s="79">
        <f>IFERROR(VLOOKUP($G223,基本資料!$A:$J,4,0),"無")</f>
        <v>-255</v>
      </c>
      <c r="C223" s="79">
        <f>IFERROR(VLOOKUP($G223,基本資料!$A:$J,5,0),"無")</f>
        <v>23</v>
      </c>
      <c r="D223" s="79">
        <f>IFERROR(VLOOKUP($G223,基本資料!$A:$J,6,0),"無")</f>
        <v>-19</v>
      </c>
      <c r="E223" s="79">
        <f>IFERROR(VLOOKUP($G223,基本資料!$A:$J,7,0),"無")</f>
        <v>13</v>
      </c>
      <c r="F223" s="6">
        <f>IFERROR(VLOOKUP($G223,基本資料!$A:$J,8,0),"無")</f>
        <v>-24.15</v>
      </c>
      <c r="G223" s="80">
        <v>6767</v>
      </c>
      <c r="H223" s="4" t="s">
        <v>4723</v>
      </c>
      <c r="I223" s="16" t="s">
        <v>2279</v>
      </c>
      <c r="J223" s="8" t="str">
        <f>IFERROR(VLOOKUP($G223,今日總結!$A:$AN,39,0),"")</f>
        <v/>
      </c>
      <c r="K223" s="5" t="str">
        <f>IFERROR(VLOOKUP($G223,今日總結!$A:$AN,40,0),"")</f>
        <v/>
      </c>
      <c r="L223" s="156" t="str">
        <f>IFERROR(VLOOKUP($G223,今日總結!$A:$AN,37,0),"")</f>
        <v/>
      </c>
      <c r="M223" s="337" t="str">
        <f>IFERROR(VLOOKUP($G223,今日總結!$A:$AN,38,0),"")</f>
        <v/>
      </c>
      <c r="N223" s="240" t="str">
        <f t="shared" si="122"/>
        <v/>
      </c>
      <c r="O223" s="359" t="str">
        <f>IFERROR(VLOOKUP($G223,融外自投!$A:$J,7,0),"無")</f>
        <v>無</v>
      </c>
      <c r="P223" s="79" t="str">
        <f>IFERROR(VLOOKUP($G223,融外自投!$A:$J,9,0),"無")</f>
        <v>無</v>
      </c>
      <c r="Q223" s="342" t="str">
        <f>IFERROR(VLOOKUP($G223,融外自投!$A:$J,8,0),"無")</f>
        <v>無</v>
      </c>
      <c r="R223" s="81" t="str">
        <f>IFERROR(VLOOKUP($G223,融外自投!$A:$J,10,0),"無")</f>
        <v>無</v>
      </c>
      <c r="S223" s="324" t="str">
        <f>IFERROR(VLOOKUP($G223,'321買'!$A:$E,4,0),"'沒有資料'")</f>
        <v>'沒有資料'</v>
      </c>
      <c r="T223" s="186">
        <f>IFERROR(VLOOKUP($G223,基本資料!$A:$J,9,0),"無")</f>
        <v>0</v>
      </c>
      <c r="U223" s="307">
        <f t="shared" si="123"/>
        <v>0</v>
      </c>
      <c r="V223" s="94">
        <f>IFERROR(VLOOKUP($G223,基本資料!$A:$J,10,0),"無")</f>
        <v>-1.64</v>
      </c>
      <c r="W223" s="36">
        <v>32.450000000000003</v>
      </c>
      <c r="X223" s="66">
        <v>30</v>
      </c>
      <c r="Y223" s="15">
        <f t="shared" si="125"/>
        <v>2.4500000000000028</v>
      </c>
      <c r="Z223" s="63">
        <f t="shared" si="126"/>
        <v>8.1666666666666762E-2</v>
      </c>
      <c r="AA223" s="99" t="s">
        <v>957</v>
      </c>
      <c r="AB223" s="389">
        <f>IFERROR(VLOOKUP($G223,基本資料!$A:$M,12,0),"無")</f>
        <v>20.3</v>
      </c>
      <c r="AC223" s="16" t="s">
        <v>2279</v>
      </c>
      <c r="AD223" s="84">
        <v>44221</v>
      </c>
      <c r="AE223" s="86">
        <v>44231</v>
      </c>
      <c r="AF223" s="33">
        <f t="shared" si="124"/>
        <v>10</v>
      </c>
      <c r="AG223" s="43" t="s">
        <v>2281</v>
      </c>
      <c r="AH223" s="259"/>
      <c r="AJ223" s="245"/>
      <c r="AK223" s="245"/>
      <c r="AR223" s="245" t="str">
        <f>INDEX(基本資料!N:N,MATCH($G223,基本資料!$A:$A,0))</f>
        <v>低</v>
      </c>
    </row>
    <row r="224" spans="1:44">
      <c r="A224" s="343">
        <f>IFERROR(VLOOKUP($G224,基本資料!$A:$J,3,0),"無")</f>
        <v>8.94</v>
      </c>
      <c r="B224" s="79">
        <f>IFERROR(VLOOKUP($G224,基本資料!$A:$J,4,0),"無")</f>
        <v>303</v>
      </c>
      <c r="C224" s="79">
        <f>IFERROR(VLOOKUP($G224,基本資料!$A:$J,5,0),"無")</f>
        <v>340</v>
      </c>
      <c r="D224" s="79">
        <f>IFERROR(VLOOKUP($G224,基本資料!$A:$J,6,0),"無")</f>
        <v>-25</v>
      </c>
      <c r="E224" s="79">
        <f>IFERROR(VLOOKUP($G224,基本資料!$A:$J,7,0),"無")</f>
        <v>37</v>
      </c>
      <c r="F224" s="6">
        <f>IFERROR(VLOOKUP($G224,基本資料!$A:$J,8,0),"無")</f>
        <v>3.78</v>
      </c>
      <c r="G224" s="80">
        <v>5011</v>
      </c>
      <c r="H224" s="4" t="s">
        <v>299</v>
      </c>
      <c r="I224" s="16" t="s">
        <v>839</v>
      </c>
      <c r="J224" s="8">
        <f>IFERROR(VLOOKUP($G224,今日總結!$A:$AN,39,0),"")</f>
        <v>0</v>
      </c>
      <c r="K224" s="5" t="str">
        <f>IFERROR(VLOOKUP($G224,今日總結!$A:$AN,40,0),"")</f>
        <v>自</v>
      </c>
      <c r="L224" s="156">
        <f>IFERROR(VLOOKUP($G224,今日總結!$A:$AN,37,0),"")</f>
        <v>0</v>
      </c>
      <c r="M224" s="337">
        <f>IFERROR(VLOOKUP($G224,今日總結!$A:$AN,38,0),"")</f>
        <v>3</v>
      </c>
      <c r="N224" s="240">
        <f t="shared" si="122"/>
        <v>-3</v>
      </c>
      <c r="O224" s="359">
        <f>IFERROR(VLOOKUP($G224,融外自投!$A:$J,7,0),"無")</f>
        <v>33</v>
      </c>
      <c r="P224" s="79">
        <f>IFERROR(VLOOKUP($G224,融外自投!$A:$J,9,0),"無")</f>
        <v>280</v>
      </c>
      <c r="Q224" s="342">
        <f>IFERROR(VLOOKUP($G224,融外自投!$A:$J,8,0),"無")</f>
        <v>1043</v>
      </c>
      <c r="R224" s="81" t="str">
        <f>IFERROR(VLOOKUP($G224,融外自投!$A:$J,10,0),"無")</f>
        <v>無</v>
      </c>
      <c r="S224" s="324">
        <f>IFERROR(VLOOKUP($G224,'321買'!$A:$E,4,0),"'沒有資料'")</f>
        <v>108</v>
      </c>
      <c r="T224" s="186">
        <f>IFERROR(VLOOKUP($G224,基本資料!$A:$J,9,0),"無")</f>
        <v>0.95</v>
      </c>
      <c r="U224" s="307">
        <f t="shared" si="123"/>
        <v>3.0944625407166124E-2</v>
      </c>
      <c r="V224" s="94">
        <f>IFERROR(VLOOKUP($G224,基本資料!$A:$J,10,0),"無")</f>
        <v>1.74</v>
      </c>
      <c r="W224" s="36">
        <v>30.7</v>
      </c>
      <c r="X224" s="45">
        <v>32.5</v>
      </c>
      <c r="Y224" s="15">
        <f t="shared" si="125"/>
        <v>-1.8000000000000007</v>
      </c>
      <c r="Z224" s="76">
        <f t="shared" si="126"/>
        <v>-5.5384615384615407E-2</v>
      </c>
      <c r="AA224" s="99" t="s">
        <v>2775</v>
      </c>
      <c r="AB224" s="389">
        <f>IFERROR(VLOOKUP($G224,基本資料!$A:$M,12,0),"無")</f>
        <v>16.8</v>
      </c>
      <c r="AC224" s="16" t="s">
        <v>839</v>
      </c>
      <c r="AD224" s="84">
        <v>44221</v>
      </c>
      <c r="AE224" s="86">
        <v>44231</v>
      </c>
      <c r="AF224" s="33">
        <f t="shared" si="124"/>
        <v>10</v>
      </c>
      <c r="AG224" s="43" t="s">
        <v>2264</v>
      </c>
      <c r="AH224" s="259"/>
      <c r="AJ224" s="245"/>
      <c r="AK224" s="245"/>
      <c r="AR224" s="245" t="str">
        <f>INDEX(基本資料!N:N,MATCH($G224,基本資料!$A:$A,0))</f>
        <v>中</v>
      </c>
    </row>
    <row r="225" spans="1:44">
      <c r="A225" s="343">
        <f>IFERROR(VLOOKUP($G225,基本資料!$A:$J,3,0),"無")</f>
        <v>3.42</v>
      </c>
      <c r="B225" s="79">
        <f>IFERROR(VLOOKUP($G225,基本資料!$A:$J,4,0),"無")</f>
        <v>-8</v>
      </c>
      <c r="C225" s="79">
        <f>IFERROR(VLOOKUP($G225,基本資料!$A:$J,5,0),"無")</f>
        <v>-11</v>
      </c>
      <c r="D225" s="79">
        <f>IFERROR(VLOOKUP($G225,基本資料!$A:$J,6,0),"無")</f>
        <v>-12</v>
      </c>
      <c r="E225" s="79">
        <f>IFERROR(VLOOKUP($G225,基本資料!$A:$J,7,0),"無")</f>
        <v>21</v>
      </c>
      <c r="F225" s="6">
        <f>IFERROR(VLOOKUP($G225,基本資料!$A:$J,8,0),"無")</f>
        <v>20.5</v>
      </c>
      <c r="G225" s="80">
        <v>6515</v>
      </c>
      <c r="H225" s="4" t="s">
        <v>3038</v>
      </c>
      <c r="I225" s="22" t="s">
        <v>2263</v>
      </c>
      <c r="J225" s="8" t="str">
        <f>IFERROR(VLOOKUP($G225,今日總結!$A:$AN,39,0),"")</f>
        <v>6借</v>
      </c>
      <c r="K225" s="5">
        <f>IFERROR(VLOOKUP($G225,今日總結!$A:$AN,40,0),"")</f>
        <v>0</v>
      </c>
      <c r="L225" s="156">
        <f>IFERROR(VLOOKUP($G225,今日總結!$A:$AN,37,0),"")</f>
        <v>8</v>
      </c>
      <c r="M225" s="337">
        <f>IFERROR(VLOOKUP($G225,今日總結!$A:$AN,38,0),"")</f>
        <v>0</v>
      </c>
      <c r="N225" s="240">
        <f t="shared" si="122"/>
        <v>8</v>
      </c>
      <c r="O225" s="359">
        <f>IFERROR(VLOOKUP($G225,融外自投!$A:$J,7,0),"無")</f>
        <v>837</v>
      </c>
      <c r="P225" s="79">
        <f>IFERROR(VLOOKUP($G225,融外自投!$A:$J,9,0),"無")</f>
        <v>946</v>
      </c>
      <c r="Q225" s="342">
        <f>IFERROR(VLOOKUP($G225,融外自投!$A:$J,8,0),"無")</f>
        <v>587</v>
      </c>
      <c r="R225" s="81">
        <f>IFERROR(VLOOKUP($G225,融外自投!$A:$J,10,0),"無")</f>
        <v>19</v>
      </c>
      <c r="S225" s="324">
        <f>IFERROR(VLOOKUP($G225,'321買'!$A:$E,4,0),"'沒有資料'")</f>
        <v>108</v>
      </c>
      <c r="T225" s="186">
        <f>IFERROR(VLOOKUP($G225,基本資料!$A:$J,9,0),"無")</f>
        <v>11</v>
      </c>
      <c r="U225" s="307">
        <f t="shared" si="123"/>
        <v>2.679658952496955E-2</v>
      </c>
      <c r="V225" s="94">
        <f>IFERROR(VLOOKUP($G225,基本資料!$A:$J,10,0),"無")</f>
        <v>14.46</v>
      </c>
      <c r="W225" s="36">
        <v>410.5</v>
      </c>
      <c r="X225" s="66">
        <v>348</v>
      </c>
      <c r="Y225" s="15">
        <f t="shared" si="125"/>
        <v>62.5</v>
      </c>
      <c r="Z225" s="63">
        <f t="shared" si="126"/>
        <v>0.17959770114942528</v>
      </c>
      <c r="AA225" s="99" t="s">
        <v>2548</v>
      </c>
      <c r="AB225" s="389">
        <f>IFERROR(VLOOKUP($G225,基本資料!$A:$M,12,0),"無")</f>
        <v>24.66</v>
      </c>
      <c r="AC225" s="22" t="s">
        <v>2263</v>
      </c>
      <c r="AD225" s="84">
        <v>44216</v>
      </c>
      <c r="AE225" s="86">
        <v>44228</v>
      </c>
      <c r="AF225" s="33">
        <f t="shared" si="124"/>
        <v>12</v>
      </c>
      <c r="AG225" s="117" t="s">
        <v>2265</v>
      </c>
      <c r="AH225" s="259"/>
      <c r="AJ225" s="245"/>
      <c r="AK225" s="245"/>
      <c r="AR225" s="245" t="str">
        <f>INDEX(基本資料!N:N,MATCH($G225,基本資料!$A:$A,0))</f>
        <v>中</v>
      </c>
    </row>
    <row r="226" spans="1:44">
      <c r="A226" s="343">
        <f>IFERROR(VLOOKUP($G226,基本資料!$A:$J,3,0),"無")</f>
        <v>2.41</v>
      </c>
      <c r="B226" s="79">
        <f>IFERROR(VLOOKUP($G226,基本資料!$A:$J,4,0),"無")</f>
        <v>93</v>
      </c>
      <c r="C226" s="79">
        <f>IFERROR(VLOOKUP($G226,基本資料!$A:$J,5,0),"無")</f>
        <v>49</v>
      </c>
      <c r="D226" s="79">
        <f>IFERROR(VLOOKUP($G226,基本資料!$A:$J,6,0),"無")</f>
        <v>-43</v>
      </c>
      <c r="E226" s="79">
        <f>IFERROR(VLOOKUP($G226,基本資料!$A:$J,7,0),"無")</f>
        <v>-9</v>
      </c>
      <c r="F226" s="6">
        <f>IFERROR(VLOOKUP($G226,基本資料!$A:$J,8,0),"無")</f>
        <v>34.840000000000003</v>
      </c>
      <c r="G226" s="79">
        <v>6747</v>
      </c>
      <c r="H226" s="4" t="s">
        <v>4723</v>
      </c>
      <c r="I226" s="16" t="s">
        <v>2237</v>
      </c>
      <c r="J226" s="8" t="str">
        <f>IFERROR(VLOOKUP($G226,今日總結!$A:$AN,39,0),"")</f>
        <v/>
      </c>
      <c r="K226" s="5" t="str">
        <f>IFERROR(VLOOKUP($G226,今日總結!$A:$AN,40,0),"")</f>
        <v/>
      </c>
      <c r="L226" s="156" t="str">
        <f>IFERROR(VLOOKUP($G226,今日總結!$A:$AN,37,0),"")</f>
        <v/>
      </c>
      <c r="M226" s="337" t="str">
        <f>IFERROR(VLOOKUP($G226,今日總結!$A:$AN,38,0),"")</f>
        <v/>
      </c>
      <c r="N226" s="240" t="str">
        <f t="shared" si="122"/>
        <v/>
      </c>
      <c r="O226" s="359" t="str">
        <f>IFERROR(VLOOKUP($G226,融外自投!$A:$J,7,0),"無")</f>
        <v>無</v>
      </c>
      <c r="P226" s="79" t="str">
        <f>IFERROR(VLOOKUP($G226,融外自投!$A:$J,9,0),"無")</f>
        <v>無</v>
      </c>
      <c r="Q226" s="342" t="str">
        <f>IFERROR(VLOOKUP($G226,融外自投!$A:$J,8,0),"無")</f>
        <v>無</v>
      </c>
      <c r="R226" s="81" t="str">
        <f>IFERROR(VLOOKUP($G226,融外自投!$A:$J,10,0),"無")</f>
        <v>無</v>
      </c>
      <c r="S226" s="324" t="str">
        <f>IFERROR(VLOOKUP($G226,'321買'!$A:$E,4,0),"'沒有資料'")</f>
        <v>'沒有資料'</v>
      </c>
      <c r="T226" s="186">
        <f>IFERROR(VLOOKUP($G226,基本資料!$A:$J,9,0),"無")</f>
        <v>8.68</v>
      </c>
      <c r="U226" s="307">
        <f t="shared" si="123"/>
        <v>4.5445026178010467E-2</v>
      </c>
      <c r="V226" s="94">
        <f>IFERROR(VLOOKUP($G226,基本資料!$A:$J,10,0),"無")</f>
        <v>10.01</v>
      </c>
      <c r="W226" s="36">
        <v>191</v>
      </c>
      <c r="X226" s="66">
        <v>100</v>
      </c>
      <c r="Y226" s="15">
        <f t="shared" si="125"/>
        <v>91</v>
      </c>
      <c r="Z226" s="148">
        <f t="shared" si="126"/>
        <v>0.91</v>
      </c>
      <c r="AA226" s="99" t="s">
        <v>2338</v>
      </c>
      <c r="AB226" s="389">
        <f>IFERROR(VLOOKUP($G226,基本資料!$A:$M,12,0),"無")</f>
        <v>45.22</v>
      </c>
      <c r="AC226" s="16" t="s">
        <v>2237</v>
      </c>
      <c r="AD226" s="84">
        <v>44215</v>
      </c>
      <c r="AE226" s="86">
        <v>44225</v>
      </c>
      <c r="AF226" s="33">
        <f t="shared" si="124"/>
        <v>10</v>
      </c>
      <c r="AG226" s="43" t="s">
        <v>2280</v>
      </c>
      <c r="AH226" s="259"/>
      <c r="AJ226" s="245"/>
      <c r="AK226" s="245"/>
      <c r="AR226" s="245" t="str">
        <f>INDEX(基本資料!N:N,MATCH($G226,基本資料!$A:$A,0))</f>
        <v>低</v>
      </c>
    </row>
    <row r="227" spans="1:44">
      <c r="A227" s="343">
        <f>IFERROR(VLOOKUP($G227,基本資料!$A:$J,3,0),"無")</f>
        <v>14.33</v>
      </c>
      <c r="B227" s="79">
        <f>IFERROR(VLOOKUP($G227,基本資料!$A:$J,4,0),"無")</f>
        <v>603</v>
      </c>
      <c r="C227" s="79">
        <f>IFERROR(VLOOKUP($G227,基本資料!$A:$J,5,0),"無")</f>
        <v>521</v>
      </c>
      <c r="D227" s="79">
        <f>IFERROR(VLOOKUP($G227,基本資料!$A:$J,6,0),"無")</f>
        <v>-18</v>
      </c>
      <c r="E227" s="79">
        <f>IFERROR(VLOOKUP($G227,基本資料!$A:$J,7,0),"無")</f>
        <v>30</v>
      </c>
      <c r="F227" s="6">
        <f>IFERROR(VLOOKUP($G227,基本資料!$A:$J,8,0),"無")</f>
        <v>12</v>
      </c>
      <c r="G227" s="80">
        <v>2636</v>
      </c>
      <c r="H227" s="4" t="s">
        <v>302</v>
      </c>
      <c r="I227" s="22" t="s">
        <v>1921</v>
      </c>
      <c r="J227" s="8">
        <f>IFERROR(VLOOKUP($G227,今日總結!$A:$AN,39,0),"")</f>
        <v>0</v>
      </c>
      <c r="K227" s="5">
        <f>IFERROR(VLOOKUP($G227,今日總結!$A:$AN,40,0),"")</f>
        <v>0</v>
      </c>
      <c r="L227" s="156">
        <f>IFERROR(VLOOKUP($G227,今日總結!$A:$AN,37,0),"")</f>
        <v>0</v>
      </c>
      <c r="M227" s="337">
        <f>IFERROR(VLOOKUP($G227,今日總結!$A:$AN,38,0),"")</f>
        <v>0</v>
      </c>
      <c r="N227" s="240">
        <f t="shared" si="122"/>
        <v>0</v>
      </c>
      <c r="O227" s="359">
        <f>IFERROR(VLOOKUP($G227,融外自投!$A:$J,7,0),"無")</f>
        <v>93</v>
      </c>
      <c r="P227" s="79">
        <f>IFERROR(VLOOKUP($G227,融外自投!$A:$J,9,0),"無")</f>
        <v>178</v>
      </c>
      <c r="Q227" s="342">
        <f>IFERROR(VLOOKUP($G227,融外自投!$A:$J,8,0),"無")</f>
        <v>420</v>
      </c>
      <c r="R227" s="81">
        <f>IFERROR(VLOOKUP($G227,融外自投!$A:$J,10,0),"無")</f>
        <v>495</v>
      </c>
      <c r="S227" s="324">
        <f>IFERROR(VLOOKUP($G227,'321買'!$A:$E,4,0),"'沒有資料'")</f>
        <v>41</v>
      </c>
      <c r="T227" s="186">
        <f>IFERROR(VLOOKUP($G227,基本資料!$A:$J,9,0),"無")</f>
        <v>13</v>
      </c>
      <c r="U227" s="307">
        <f t="shared" si="123"/>
        <v>0.34165571616294355</v>
      </c>
      <c r="V227" s="94">
        <f>IFERROR(VLOOKUP($G227,基本資料!$A:$J,10,0),"無")</f>
        <v>30.03</v>
      </c>
      <c r="W227" s="36">
        <v>38.049999999999997</v>
      </c>
      <c r="X227" s="66">
        <v>30</v>
      </c>
      <c r="Y227" s="15">
        <f t="shared" si="125"/>
        <v>8.0499999999999972</v>
      </c>
      <c r="Z227" s="63">
        <f t="shared" si="126"/>
        <v>0.26833333333333326</v>
      </c>
      <c r="AA227" s="99" t="s">
        <v>2339</v>
      </c>
      <c r="AB227" s="389">
        <f>IFERROR(VLOOKUP($G227,基本資料!$A:$M,12,0),"無")</f>
        <v>25.18</v>
      </c>
      <c r="AC227" s="22" t="s">
        <v>1921</v>
      </c>
      <c r="AD227" s="84">
        <v>44215</v>
      </c>
      <c r="AE227" s="86">
        <v>44225</v>
      </c>
      <c r="AF227" s="33">
        <f t="shared" si="124"/>
        <v>10</v>
      </c>
      <c r="AG227" s="43" t="s">
        <v>2013</v>
      </c>
      <c r="AH227" s="259"/>
      <c r="AJ227" s="245"/>
      <c r="AK227" s="245"/>
      <c r="AR227" s="245" t="str">
        <f>INDEX(基本資料!N:N,MATCH($G227,基本資料!$A:$A,0))</f>
        <v>低</v>
      </c>
    </row>
    <row r="228" spans="1:44">
      <c r="A228" s="343">
        <f>IFERROR(VLOOKUP($G228,基本資料!$A:$J,3,0),"無")</f>
        <v>5.72</v>
      </c>
      <c r="B228" s="79">
        <f>IFERROR(VLOOKUP($G228,基本資料!$A:$J,4,0),"無")</f>
        <v>157</v>
      </c>
      <c r="C228" s="79">
        <f>IFERROR(VLOOKUP($G228,基本資料!$A:$J,5,0),"無")</f>
        <v>84</v>
      </c>
      <c r="D228" s="79">
        <f>IFERROR(VLOOKUP($G228,基本資料!$A:$J,6,0),"無")</f>
        <v>-82</v>
      </c>
      <c r="E228" s="79">
        <f>IFERROR(VLOOKUP($G228,基本資料!$A:$J,7,0),"無")</f>
        <v>-31</v>
      </c>
      <c r="F228" s="6">
        <f>IFERROR(VLOOKUP($G228,基本資料!$A:$J,8,0),"無")</f>
        <v>-2.82</v>
      </c>
      <c r="G228" s="79">
        <v>6431</v>
      </c>
      <c r="H228" s="4" t="s">
        <v>306</v>
      </c>
      <c r="I228" s="22" t="s">
        <v>449</v>
      </c>
      <c r="J228" s="8" t="str">
        <f>IFERROR(VLOOKUP($G228,今日總結!$A:$AN,39,0),"")</f>
        <v/>
      </c>
      <c r="K228" s="5" t="str">
        <f>IFERROR(VLOOKUP($G228,今日總結!$A:$AN,40,0),"")</f>
        <v/>
      </c>
      <c r="L228" s="156" t="str">
        <f>IFERROR(VLOOKUP($G228,今日總結!$A:$AN,37,0),"")</f>
        <v/>
      </c>
      <c r="M228" s="337" t="str">
        <f>IFERROR(VLOOKUP($G228,今日總結!$A:$AN,38,0),"")</f>
        <v/>
      </c>
      <c r="N228" s="240" t="str">
        <f t="shared" si="122"/>
        <v/>
      </c>
      <c r="O228" s="359" t="str">
        <f>IFERROR(VLOOKUP($G228,融外自投!$A:$J,7,0),"無")</f>
        <v>無</v>
      </c>
      <c r="P228" s="79" t="str">
        <f>IFERROR(VLOOKUP($G228,融外自投!$A:$J,9,0),"無")</f>
        <v>無</v>
      </c>
      <c r="Q228" s="342" t="str">
        <f>IFERROR(VLOOKUP($G228,融外自投!$A:$J,8,0),"無")</f>
        <v>無</v>
      </c>
      <c r="R228" s="81" t="str">
        <f>IFERROR(VLOOKUP($G228,融外自投!$A:$J,10,0),"無")</f>
        <v>無</v>
      </c>
      <c r="S228" s="324" t="str">
        <f>IFERROR(VLOOKUP($G228,'321買'!$A:$E,4,0),"'沒有資料'")</f>
        <v>'沒有資料'</v>
      </c>
      <c r="T228" s="186">
        <f>IFERROR(VLOOKUP($G228,基本資料!$A:$J,9,0),"無")</f>
        <v>0</v>
      </c>
      <c r="U228" s="307">
        <f t="shared" si="123"/>
        <v>0</v>
      </c>
      <c r="V228" s="94">
        <f>IFERROR(VLOOKUP($G228,基本資料!$A:$J,10,0),"無")</f>
        <v>0.51</v>
      </c>
      <c r="W228" s="36">
        <v>29.85</v>
      </c>
      <c r="X228" s="66">
        <v>29.8</v>
      </c>
      <c r="Y228" s="15">
        <f t="shared" si="125"/>
        <v>5.0000000000000711E-2</v>
      </c>
      <c r="Z228" s="63">
        <f t="shared" si="126"/>
        <v>1.6778523489933124E-3</v>
      </c>
      <c r="AA228" s="100" t="s">
        <v>2283</v>
      </c>
      <c r="AB228" s="389">
        <f>IFERROR(VLOOKUP($G228,基本資料!$A:$M,12,0),"無")</f>
        <v>30.09</v>
      </c>
      <c r="AC228" s="22" t="s">
        <v>449</v>
      </c>
      <c r="AD228" s="84">
        <v>44209</v>
      </c>
      <c r="AE228" s="86">
        <v>44221</v>
      </c>
      <c r="AF228" s="33">
        <f t="shared" si="124"/>
        <v>12</v>
      </c>
      <c r="AG228" s="43" t="s">
        <v>2188</v>
      </c>
      <c r="AH228" s="259"/>
      <c r="AJ228" s="245"/>
      <c r="AK228" s="245"/>
      <c r="AR228" s="245" t="str">
        <f>INDEX(基本資料!N:N,MATCH($G228,基本資料!$A:$A,0))</f>
        <v>低</v>
      </c>
    </row>
    <row r="229" spans="1:44">
      <c r="A229" s="343">
        <f>IFERROR(VLOOKUP($G229,基本資料!$A:$J,3,0),"無")</f>
        <v>6.18</v>
      </c>
      <c r="B229" s="79">
        <f>IFERROR(VLOOKUP($G229,基本資料!$A:$J,4,0),"無")</f>
        <v>445</v>
      </c>
      <c r="C229" s="79">
        <f>IFERROR(VLOOKUP($G229,基本資料!$A:$J,5,0),"無")</f>
        <v>173</v>
      </c>
      <c r="D229" s="79">
        <f>IFERROR(VLOOKUP($G229,基本資料!$A:$J,6,0),"無")</f>
        <v>14</v>
      </c>
      <c r="E229" s="79">
        <f>IFERROR(VLOOKUP($G229,基本資料!$A:$J,7,0),"無")</f>
        <v>83</v>
      </c>
      <c r="F229" s="6">
        <f>IFERROR(VLOOKUP($G229,基本資料!$A:$J,8,0),"無")</f>
        <v>26.48</v>
      </c>
      <c r="G229" s="79">
        <v>6712</v>
      </c>
      <c r="H229" s="4" t="s">
        <v>4723</v>
      </c>
      <c r="I229" s="16" t="s">
        <v>2179</v>
      </c>
      <c r="J229" s="8" t="str">
        <f>IFERROR(VLOOKUP($G229,今日總結!$A:$AN,39,0),"")</f>
        <v>融</v>
      </c>
      <c r="K229" s="5" t="str">
        <f>IFERROR(VLOOKUP($G229,今日總結!$A:$AN,40,0),"")</f>
        <v>自</v>
      </c>
      <c r="L229" s="156">
        <f>IFERROR(VLOOKUP($G229,今日總結!$A:$AN,37,0),"")</f>
        <v>3</v>
      </c>
      <c r="M229" s="337">
        <f>IFERROR(VLOOKUP($G229,今日總結!$A:$AN,38,0),"")</f>
        <v>1</v>
      </c>
      <c r="N229" s="240">
        <f t="shared" si="122"/>
        <v>2</v>
      </c>
      <c r="O229" s="359">
        <f>IFERROR(VLOOKUP($G229,融外自投!$A:$J,7,0),"無")</f>
        <v>1093</v>
      </c>
      <c r="P229" s="79">
        <f>IFERROR(VLOOKUP($G229,融外自投!$A:$J,9,0),"無")</f>
        <v>266</v>
      </c>
      <c r="Q229" s="342">
        <f>IFERROR(VLOOKUP($G229,融外自投!$A:$J,8,0),"無")</f>
        <v>960</v>
      </c>
      <c r="R229" s="81">
        <f>IFERROR(VLOOKUP($G229,融外自投!$A:$J,10,0),"無")</f>
        <v>238</v>
      </c>
      <c r="S229" s="324">
        <f>IFERROR(VLOOKUP($G229,'321買'!$A:$E,4,0),"'沒有資料'")</f>
        <v>497</v>
      </c>
      <c r="T229" s="186">
        <f>IFERROR(VLOOKUP($G229,基本資料!$A:$J,9,0),"無")</f>
        <v>6</v>
      </c>
      <c r="U229" s="307">
        <f t="shared" si="123"/>
        <v>2.7210884353741496E-2</v>
      </c>
      <c r="V229" s="94">
        <f>IFERROR(VLOOKUP($G229,基本資料!$A:$J,10,0),"無")</f>
        <v>6</v>
      </c>
      <c r="W229" s="36">
        <v>220.5</v>
      </c>
      <c r="X229" s="66">
        <v>138</v>
      </c>
      <c r="Y229" s="15">
        <f t="shared" si="125"/>
        <v>82.5</v>
      </c>
      <c r="Z229" s="63">
        <f t="shared" si="126"/>
        <v>0.59782608695652173</v>
      </c>
      <c r="AA229" s="99" t="s">
        <v>2267</v>
      </c>
      <c r="AB229" s="389">
        <f>IFERROR(VLOOKUP($G229,基本資料!$A:$M,12,0),"無")</f>
        <v>26.23</v>
      </c>
      <c r="AC229" s="16" t="s">
        <v>2179</v>
      </c>
      <c r="AD229" s="84">
        <v>44204</v>
      </c>
      <c r="AE229" s="86">
        <v>44214</v>
      </c>
      <c r="AF229" s="33">
        <f t="shared" si="124"/>
        <v>10</v>
      </c>
      <c r="AG229" s="43" t="s">
        <v>2180</v>
      </c>
      <c r="AH229" s="259"/>
      <c r="AJ229" s="245"/>
      <c r="AK229" s="245"/>
      <c r="AR229" s="245" t="str">
        <f>INDEX(基本資料!N:N,MATCH($G229,基本資料!$A:$A,0))</f>
        <v>低</v>
      </c>
    </row>
    <row r="230" spans="1:44">
      <c r="A230" s="343">
        <f>IFERROR(VLOOKUP($G230,基本資料!$A:$J,3,0),"無")</f>
        <v>5.72</v>
      </c>
      <c r="B230" s="79">
        <f>IFERROR(VLOOKUP($G230,基本資料!$A:$J,4,0),"無")</f>
        <v>29</v>
      </c>
      <c r="C230" s="79">
        <f>IFERROR(VLOOKUP($G230,基本資料!$A:$J,5,0),"無")</f>
        <v>25</v>
      </c>
      <c r="D230" s="79">
        <f>IFERROR(VLOOKUP($G230,基本資料!$A:$J,6,0),"無")</f>
        <v>-22</v>
      </c>
      <c r="E230" s="79">
        <f>IFERROR(VLOOKUP($G230,基本資料!$A:$J,7,0),"無")</f>
        <v>-3</v>
      </c>
      <c r="F230" s="6">
        <f>IFERROR(VLOOKUP($G230,基本資料!$A:$J,8,0),"無")</f>
        <v>10.58</v>
      </c>
      <c r="G230" s="80">
        <v>5536</v>
      </c>
      <c r="H230" s="4" t="s">
        <v>314</v>
      </c>
      <c r="I230" s="16" t="s">
        <v>6116</v>
      </c>
      <c r="J230" s="8">
        <f>IFERROR(VLOOKUP($G230,今日總結!$A:$AN,39,0),"")</f>
        <v>0</v>
      </c>
      <c r="K230" s="5" t="str">
        <f>IFERROR(VLOOKUP($G230,今日總結!$A:$AN,40,0),"")</f>
        <v>主自</v>
      </c>
      <c r="L230" s="156">
        <f>IFERROR(VLOOKUP($G230,今日總結!$A:$AN,37,0),"")</f>
        <v>0</v>
      </c>
      <c r="M230" s="337">
        <f>IFERROR(VLOOKUP($G230,今日總結!$A:$AN,38,0),"")</f>
        <v>6</v>
      </c>
      <c r="N230" s="240">
        <f t="shared" si="122"/>
        <v>-6</v>
      </c>
      <c r="O230" s="359">
        <f>IFERROR(VLOOKUP($G230,融外自投!$A:$J,7,0),"無")</f>
        <v>955</v>
      </c>
      <c r="P230" s="79">
        <f>IFERROR(VLOOKUP($G230,融外自投!$A:$J,9,0),"無")</f>
        <v>97</v>
      </c>
      <c r="Q230" s="342">
        <f>IFERROR(VLOOKUP($G230,融外自投!$A:$J,8,0),"無")</f>
        <v>301</v>
      </c>
      <c r="R230" s="81" t="str">
        <f>IFERROR(VLOOKUP($G230,融外自投!$A:$J,10,0),"無")</f>
        <v>無</v>
      </c>
      <c r="S230" s="324">
        <f>IFERROR(VLOOKUP($G230,'321買'!$A:$E,4,0),"'沒有資料'")</f>
        <v>565</v>
      </c>
      <c r="T230" s="186">
        <f>IFERROR(VLOOKUP($G230,基本資料!$A:$J,9,0),"無")</f>
        <v>15</v>
      </c>
      <c r="U230" s="307">
        <f t="shared" si="123"/>
        <v>7.9365079365079361E-2</v>
      </c>
      <c r="V230" s="94">
        <f>IFERROR(VLOOKUP($G230,基本資料!$A:$J,10,0),"無")</f>
        <v>21.08</v>
      </c>
      <c r="W230" s="36">
        <v>189</v>
      </c>
      <c r="X230" s="66">
        <v>166</v>
      </c>
      <c r="Y230" s="15">
        <f t="shared" si="125"/>
        <v>23</v>
      </c>
      <c r="Z230" s="63">
        <f t="shared" si="126"/>
        <v>0.13855421686746988</v>
      </c>
      <c r="AA230" s="99" t="s">
        <v>2240</v>
      </c>
      <c r="AB230" s="389">
        <f>IFERROR(VLOOKUP($G230,基本資料!$A:$M,12,0),"無")</f>
        <v>16.52</v>
      </c>
      <c r="AC230" s="16" t="s">
        <v>148</v>
      </c>
      <c r="AD230" s="84">
        <v>44203</v>
      </c>
      <c r="AE230" s="86">
        <v>44214</v>
      </c>
      <c r="AF230" s="33">
        <f t="shared" si="124"/>
        <v>11</v>
      </c>
      <c r="AG230" s="117" t="s">
        <v>1444</v>
      </c>
      <c r="AH230" s="259"/>
      <c r="AJ230" s="245"/>
      <c r="AK230" s="245"/>
      <c r="AR230" s="245" t="str">
        <f>INDEX(基本資料!N:N,MATCH($G230,基本資料!$A:$A,0))</f>
        <v>低</v>
      </c>
    </row>
    <row r="231" spans="1:44">
      <c r="A231" s="343">
        <f>IFERROR(VLOOKUP($G231,基本資料!$A:$J,3,0),"無")</f>
        <v>5.86</v>
      </c>
      <c r="B231" s="79">
        <f>IFERROR(VLOOKUP($G231,基本資料!$A:$J,4,0),"無")</f>
        <v>-124</v>
      </c>
      <c r="C231" s="79">
        <f>IFERROR(VLOOKUP($G231,基本資料!$A:$J,5,0),"無")</f>
        <v>-148</v>
      </c>
      <c r="D231" s="79">
        <f>IFERROR(VLOOKUP($G231,基本資料!$A:$J,6,0),"無")</f>
        <v>-27</v>
      </c>
      <c r="E231" s="79">
        <f>IFERROR(VLOOKUP($G231,基本資料!$A:$J,7,0),"無")</f>
        <v>-46</v>
      </c>
      <c r="F231" s="6">
        <f>IFERROR(VLOOKUP($G231,基本資料!$A:$J,8,0),"無")</f>
        <v>-3.38</v>
      </c>
      <c r="G231" s="79">
        <v>3666</v>
      </c>
      <c r="H231" s="4" t="s">
        <v>306</v>
      </c>
      <c r="I231" s="16" t="s">
        <v>454</v>
      </c>
      <c r="J231" s="8" t="str">
        <f>IFERROR(VLOOKUP($G231,今日總結!$A:$AN,39,0),"")</f>
        <v>主</v>
      </c>
      <c r="K231" s="5">
        <f>IFERROR(VLOOKUP($G231,今日總結!$A:$AN,40,0),"")</f>
        <v>0</v>
      </c>
      <c r="L231" s="156">
        <f>IFERROR(VLOOKUP($G231,今日總結!$A:$AN,37,0),"")</f>
        <v>2</v>
      </c>
      <c r="M231" s="337">
        <f>IFERROR(VLOOKUP($G231,今日總結!$A:$AN,38,0),"")</f>
        <v>0</v>
      </c>
      <c r="N231" s="240">
        <f t="shared" si="122"/>
        <v>2</v>
      </c>
      <c r="O231" s="359">
        <f>IFERROR(VLOOKUP($G231,融外自投!$A:$J,7,0),"無")</f>
        <v>521</v>
      </c>
      <c r="P231" s="79">
        <f>IFERROR(VLOOKUP($G231,融外自投!$A:$J,9,0),"無")</f>
        <v>442</v>
      </c>
      <c r="Q231" s="342">
        <f>IFERROR(VLOOKUP($G231,融外自投!$A:$J,8,0),"無")</f>
        <v>793</v>
      </c>
      <c r="R231" s="81" t="str">
        <f>IFERROR(VLOOKUP($G231,融外自投!$A:$J,10,0),"無")</f>
        <v>無</v>
      </c>
      <c r="S231" s="324">
        <f>IFERROR(VLOOKUP($G231,'321買'!$A:$E,4,0),"'沒有資料'")</f>
        <v>650</v>
      </c>
      <c r="T231" s="186">
        <f>IFERROR(VLOOKUP($G231,基本資料!$A:$J,9,0),"無")</f>
        <v>0</v>
      </c>
      <c r="U231" s="307">
        <f t="shared" si="123"/>
        <v>0</v>
      </c>
      <c r="V231" s="94">
        <f>IFERROR(VLOOKUP($G231,基本資料!$A:$J,10,0),"無")</f>
        <v>-0.55000000000000004</v>
      </c>
      <c r="W231" s="36">
        <v>68</v>
      </c>
      <c r="X231" s="45">
        <v>70</v>
      </c>
      <c r="Y231" s="15">
        <f t="shared" si="125"/>
        <v>-2</v>
      </c>
      <c r="Z231" s="76">
        <f t="shared" si="126"/>
        <v>-2.8571428571428571E-2</v>
      </c>
      <c r="AA231" s="100" t="s">
        <v>2235</v>
      </c>
      <c r="AB231" s="389">
        <f>IFERROR(VLOOKUP($G231,基本資料!$A:$M,12,0),"無")</f>
        <v>30.22</v>
      </c>
      <c r="AC231" s="16" t="s">
        <v>454</v>
      </c>
      <c r="AD231" s="84">
        <v>44202</v>
      </c>
      <c r="AE231" s="86">
        <v>44214</v>
      </c>
      <c r="AF231" s="33">
        <f t="shared" si="124"/>
        <v>12</v>
      </c>
      <c r="AG231" s="43" t="s">
        <v>1992</v>
      </c>
      <c r="AH231" s="259"/>
      <c r="AJ231" s="245"/>
      <c r="AK231" s="245"/>
      <c r="AR231" s="245" t="str">
        <f>INDEX(基本資料!N:N,MATCH($G231,基本資料!$A:$A,0))</f>
        <v>低</v>
      </c>
    </row>
    <row r="232" spans="1:44">
      <c r="A232" s="343">
        <f>IFERROR(VLOOKUP($G232,基本資料!$A:$J,3,0),"無")</f>
        <v>8.23</v>
      </c>
      <c r="B232" s="79">
        <f>IFERROR(VLOOKUP($G232,基本資料!$A:$J,4,0),"無")</f>
        <v>-67</v>
      </c>
      <c r="C232" s="79">
        <f>IFERROR(VLOOKUP($G232,基本資料!$A:$J,5,0),"無")</f>
        <v>-63</v>
      </c>
      <c r="D232" s="79">
        <f>IFERROR(VLOOKUP($G232,基本資料!$A:$J,6,0),"無")</f>
        <v>-1</v>
      </c>
      <c r="E232" s="79">
        <f>IFERROR(VLOOKUP($G232,基本資料!$A:$J,7,0),"無")</f>
        <v>-9</v>
      </c>
      <c r="F232" s="6">
        <f>IFERROR(VLOOKUP($G232,基本資料!$A:$J,8,0),"無")</f>
        <v>5.49</v>
      </c>
      <c r="G232" s="79">
        <v>5546</v>
      </c>
      <c r="H232" s="4" t="s">
        <v>4002</v>
      </c>
      <c r="I232" s="22" t="s">
        <v>1901</v>
      </c>
      <c r="J232" s="8">
        <f>IFERROR(VLOOKUP($G232,今日總結!$A:$AN,39,0),"")</f>
        <v>0</v>
      </c>
      <c r="K232" s="5">
        <f>IFERROR(VLOOKUP($G232,今日總結!$A:$AN,40,0),"")</f>
        <v>0</v>
      </c>
      <c r="L232" s="156">
        <f>IFERROR(VLOOKUP($G232,今日總結!$A:$AN,37,0),"")</f>
        <v>0</v>
      </c>
      <c r="M232" s="337">
        <f>IFERROR(VLOOKUP($G232,今日總結!$A:$AN,38,0),"")</f>
        <v>0</v>
      </c>
      <c r="N232" s="240">
        <f t="shared" si="122"/>
        <v>0</v>
      </c>
      <c r="O232" s="359">
        <f>IFERROR(VLOOKUP($G232,融外自投!$A:$J,7,0),"無")</f>
        <v>596</v>
      </c>
      <c r="P232" s="79" t="str">
        <f>IFERROR(VLOOKUP($G232,融外自投!$A:$J,9,0),"無")</f>
        <v>無</v>
      </c>
      <c r="Q232" s="342">
        <f>IFERROR(VLOOKUP($G232,融外自投!$A:$J,8,0),"無")</f>
        <v>61</v>
      </c>
      <c r="R232" s="81" t="str">
        <f>IFERROR(VLOOKUP($G232,融外自投!$A:$J,10,0),"無")</f>
        <v>無</v>
      </c>
      <c r="S232" s="324">
        <f>IFERROR(VLOOKUP($G232,'321買'!$A:$E,4,0),"'沒有資料'")</f>
        <v>1002</v>
      </c>
      <c r="T232" s="186">
        <f>IFERROR(VLOOKUP($G232,基本資料!$A:$J,9,0),"無")</f>
        <v>5</v>
      </c>
      <c r="U232" s="307">
        <f t="shared" si="123"/>
        <v>6.4599483204134361E-2</v>
      </c>
      <c r="V232" s="94">
        <f>IFERROR(VLOOKUP($G232,基本資料!$A:$J,10,0),"無")</f>
        <v>3.18</v>
      </c>
      <c r="W232" s="13">
        <v>77.400000000000006</v>
      </c>
      <c r="X232" s="66">
        <v>66</v>
      </c>
      <c r="Y232" s="15">
        <f t="shared" si="125"/>
        <v>11.400000000000006</v>
      </c>
      <c r="Z232" s="63">
        <f t="shared" si="126"/>
        <v>0.17272727272727281</v>
      </c>
      <c r="AA232" s="99" t="s">
        <v>2196</v>
      </c>
      <c r="AB232" s="389">
        <f>IFERROR(VLOOKUP($G232,基本資料!$A:$M,12,0),"無")</f>
        <v>16.48</v>
      </c>
      <c r="AC232" s="22" t="s">
        <v>1901</v>
      </c>
      <c r="AD232" s="84">
        <v>44196</v>
      </c>
      <c r="AE232" s="86">
        <v>44207</v>
      </c>
      <c r="AF232" s="33">
        <f t="shared" si="124"/>
        <v>11</v>
      </c>
      <c r="AG232" s="117" t="s">
        <v>1911</v>
      </c>
      <c r="AH232" s="259"/>
      <c r="AJ232" s="245"/>
      <c r="AK232" s="245"/>
      <c r="AR232" s="245" t="str">
        <f>INDEX(基本資料!N:N,MATCH($G232,基本資料!$A:$A,0))</f>
        <v>低</v>
      </c>
    </row>
    <row r="233" spans="1:44">
      <c r="A233" s="343">
        <f>IFERROR(VLOOKUP($G233,基本資料!$A:$J,3,0),"無")</f>
        <v>44.53</v>
      </c>
      <c r="B233" s="79">
        <f>IFERROR(VLOOKUP($G233,基本資料!$A:$J,4,0),"無")</f>
        <v>197</v>
      </c>
      <c r="C233" s="79">
        <f>IFERROR(VLOOKUP($G233,基本資料!$A:$J,5,0),"無")</f>
        <v>199</v>
      </c>
      <c r="D233" s="79">
        <f>IFERROR(VLOOKUP($G233,基本資料!$A:$J,6,0),"無")</f>
        <v>19</v>
      </c>
      <c r="E233" s="79">
        <f>IFERROR(VLOOKUP($G233,基本資料!$A:$J,7,0),"無")</f>
        <v>33</v>
      </c>
      <c r="F233" s="6">
        <f>IFERROR(VLOOKUP($G233,基本資料!$A:$J,8,0),"無")</f>
        <v>7.81</v>
      </c>
      <c r="G233" s="79">
        <v>2034</v>
      </c>
      <c r="H233" s="4" t="s">
        <v>299</v>
      </c>
      <c r="I233" s="22" t="s">
        <v>281</v>
      </c>
      <c r="J233" s="8">
        <f>IFERROR(VLOOKUP($G233,今日總結!$A:$AN,39,0),"")</f>
        <v>0</v>
      </c>
      <c r="K233" s="5" t="str">
        <f>IFERROR(VLOOKUP($G233,今日總結!$A:$AN,40,0),"")</f>
        <v>融</v>
      </c>
      <c r="L233" s="156">
        <f>IFERROR(VLOOKUP($G233,今日總結!$A:$AN,37,0),"")</f>
        <v>0</v>
      </c>
      <c r="M233" s="337">
        <f>IFERROR(VLOOKUP($G233,今日總結!$A:$AN,38,0),"")</f>
        <v>3</v>
      </c>
      <c r="N233" s="240">
        <f t="shared" si="122"/>
        <v>-3</v>
      </c>
      <c r="O233" s="359">
        <f>IFERROR(VLOOKUP($G233,融外自投!$A:$J,7,0),"無")</f>
        <v>575</v>
      </c>
      <c r="P233" s="79">
        <f>IFERROR(VLOOKUP($G233,融外自投!$A:$J,9,0),"無")</f>
        <v>946</v>
      </c>
      <c r="Q233" s="342">
        <f>IFERROR(VLOOKUP($G233,融外自投!$A:$J,8,0),"無")</f>
        <v>552</v>
      </c>
      <c r="R233" s="81">
        <f>IFERROR(VLOOKUP($G233,融外自投!$A:$J,10,0),"無")</f>
        <v>248</v>
      </c>
      <c r="S233" s="324">
        <f>IFERROR(VLOOKUP($G233,'321買'!$A:$E,4,0),"'沒有資料'")</f>
        <v>366</v>
      </c>
      <c r="T233" s="186">
        <f>IFERROR(VLOOKUP($G233,基本資料!$A:$J,9,0),"無")</f>
        <v>1.5</v>
      </c>
      <c r="U233" s="307">
        <f t="shared" si="123"/>
        <v>5.4945054945054944E-2</v>
      </c>
      <c r="V233" s="94">
        <f>IFERROR(VLOOKUP($G233,基本資料!$A:$J,10,0),"無")</f>
        <v>2.86</v>
      </c>
      <c r="W233" s="36">
        <v>27.3</v>
      </c>
      <c r="X233" s="66">
        <v>20</v>
      </c>
      <c r="Y233" s="15">
        <f t="shared" si="125"/>
        <v>7.3000000000000007</v>
      </c>
      <c r="Z233" s="63">
        <f t="shared" si="126"/>
        <v>0.36500000000000005</v>
      </c>
      <c r="AA233" s="99" t="s">
        <v>2197</v>
      </c>
      <c r="AB233" s="389">
        <f>IFERROR(VLOOKUP($G233,基本資料!$A:$M,12,0),"無")</f>
        <v>20.81</v>
      </c>
      <c r="AC233" s="22" t="s">
        <v>281</v>
      </c>
      <c r="AD233" s="84">
        <v>44196</v>
      </c>
      <c r="AE233" s="86">
        <v>44207</v>
      </c>
      <c r="AF233" s="33">
        <f t="shared" si="124"/>
        <v>11</v>
      </c>
      <c r="AG233" s="117" t="s">
        <v>2148</v>
      </c>
      <c r="AH233" s="259"/>
      <c r="AJ233" s="245"/>
      <c r="AK233" s="245"/>
      <c r="AR233" s="245" t="str">
        <f>INDEX(基本資料!N:N,MATCH($G233,基本資料!$A:$A,0))</f>
        <v>低</v>
      </c>
    </row>
    <row r="234" spans="1:44" s="7" customFormat="1" ht="17.100000000000001" customHeight="1">
      <c r="A234" s="343">
        <f>IFERROR(VLOOKUP($G234,基本資料!$A:$J,3,0),"無")</f>
        <v>16.34</v>
      </c>
      <c r="B234" s="79">
        <f>IFERROR(VLOOKUP($G234,基本資料!$A:$J,4,0),"無")</f>
        <v>51</v>
      </c>
      <c r="C234" s="79">
        <f>IFERROR(VLOOKUP($G234,基本資料!$A:$J,5,0),"無")</f>
        <v>39</v>
      </c>
      <c r="D234" s="79">
        <f>IFERROR(VLOOKUP($G234,基本資料!$A:$J,6,0),"無")</f>
        <v>0</v>
      </c>
      <c r="E234" s="79">
        <f>IFERROR(VLOOKUP($G234,基本資料!$A:$J,7,0),"無")</f>
        <v>17</v>
      </c>
      <c r="F234" s="6">
        <f>IFERROR(VLOOKUP($G234,基本資料!$A:$J,8,0),"無")</f>
        <v>18.03</v>
      </c>
      <c r="G234" s="79">
        <v>2472</v>
      </c>
      <c r="H234" s="53" t="s">
        <v>3388</v>
      </c>
      <c r="I234" s="22" t="s">
        <v>4511</v>
      </c>
      <c r="J234" s="8">
        <f>IFERROR(VLOOKUP($G234,今日總結!$A:$AN,39,0),"")</f>
        <v>0</v>
      </c>
      <c r="K234" s="5">
        <f>IFERROR(VLOOKUP($G234,今日總結!$A:$AN,40,0),"")</f>
        <v>0</v>
      </c>
      <c r="L234" s="156">
        <f>IFERROR(VLOOKUP($G234,今日總結!$A:$AN,37,0),"")</f>
        <v>0</v>
      </c>
      <c r="M234" s="337">
        <f>IFERROR(VLOOKUP($G234,今日總結!$A:$AN,38,0),"")</f>
        <v>0</v>
      </c>
      <c r="N234" s="240">
        <f t="shared" si="122"/>
        <v>0</v>
      </c>
      <c r="O234" s="359">
        <f>IFERROR(VLOOKUP($G234,融外自投!$A:$J,7,0),"無")</f>
        <v>296</v>
      </c>
      <c r="P234" s="79">
        <f>IFERROR(VLOOKUP($G234,融外自投!$A:$J,9,0),"無")</f>
        <v>537</v>
      </c>
      <c r="Q234" s="342">
        <f>IFERROR(VLOOKUP($G234,融外自投!$A:$J,8,0),"無")</f>
        <v>1169</v>
      </c>
      <c r="R234" s="81">
        <f>IFERROR(VLOOKUP($G234,融外自投!$A:$J,10,0),"無")</f>
        <v>495</v>
      </c>
      <c r="S234" s="324">
        <f>IFERROR(VLOOKUP($G234,'321買'!$A:$E,4,0),"'沒有資料'")</f>
        <v>743</v>
      </c>
      <c r="T234" s="186">
        <f>IFERROR(VLOOKUP($G234,基本資料!$A:$J,9,0),"無")</f>
        <v>3.2</v>
      </c>
      <c r="U234" s="307">
        <f t="shared" si="123"/>
        <v>4.3715846994535519E-2</v>
      </c>
      <c r="V234" s="94">
        <f>IFERROR(VLOOKUP($G234,基本資料!$A:$J,10,0),"無")</f>
        <v>6.12</v>
      </c>
      <c r="W234" s="36">
        <v>73.2</v>
      </c>
      <c r="X234" s="45">
        <v>46</v>
      </c>
      <c r="Y234" s="15">
        <f t="shared" si="125"/>
        <v>27.200000000000003</v>
      </c>
      <c r="Z234" s="63">
        <f t="shared" si="126"/>
        <v>0.59130434782608698</v>
      </c>
      <c r="AA234" s="99" t="s">
        <v>2189</v>
      </c>
      <c r="AB234" s="389">
        <f>IFERROR(VLOOKUP($G234,基本資料!$A:$M,12,0),"無")</f>
        <v>29.02</v>
      </c>
      <c r="AC234" s="22" t="s">
        <v>180</v>
      </c>
      <c r="AD234" s="84">
        <v>44195</v>
      </c>
      <c r="AE234" s="86">
        <v>44207</v>
      </c>
      <c r="AF234" s="33">
        <f t="shared" si="124"/>
        <v>12</v>
      </c>
      <c r="AG234" s="119" t="s">
        <v>1968</v>
      </c>
      <c r="AH234" s="259"/>
      <c r="AL234" s="250"/>
      <c r="AM234" s="22"/>
      <c r="AN234" s="127"/>
      <c r="AO234" s="250"/>
      <c r="AP234" s="44"/>
      <c r="AR234" s="245" t="str">
        <f>INDEX(基本資料!N:N,MATCH($G234,基本資料!$A:$A,0))</f>
        <v>低</v>
      </c>
    </row>
    <row r="235" spans="1:44" ht="17.25" customHeight="1">
      <c r="A235" s="343">
        <f>IFERROR(VLOOKUP($G235,基本資料!$A:$J,3,0),"無")</f>
        <v>2.76</v>
      </c>
      <c r="B235" s="79">
        <f>IFERROR(VLOOKUP($G235,基本資料!$A:$J,4,0),"無")</f>
        <v>101</v>
      </c>
      <c r="C235" s="79">
        <f>IFERROR(VLOOKUP($G235,基本資料!$A:$J,5,0),"無")</f>
        <v>-1</v>
      </c>
      <c r="D235" s="79">
        <f>IFERROR(VLOOKUP($G235,基本資料!$A:$J,6,0),"無")</f>
        <v>-4</v>
      </c>
      <c r="E235" s="79">
        <f>IFERROR(VLOOKUP($G235,基本資料!$A:$J,7,0),"無")</f>
        <v>-40</v>
      </c>
      <c r="F235" s="6">
        <f>IFERROR(VLOOKUP($G235,基本資料!$A:$J,8,0),"無")</f>
        <v>3.92</v>
      </c>
      <c r="G235" s="79">
        <v>5209</v>
      </c>
      <c r="H235" s="4" t="s">
        <v>3435</v>
      </c>
      <c r="I235" s="16" t="s">
        <v>998</v>
      </c>
      <c r="J235" s="8" t="str">
        <f>IFERROR(VLOOKUP($G235,今日總結!$A:$AN,39,0),"")</f>
        <v/>
      </c>
      <c r="K235" s="5" t="str">
        <f>IFERROR(VLOOKUP($G235,今日總結!$A:$AN,40,0),"")</f>
        <v/>
      </c>
      <c r="L235" s="156" t="str">
        <f>IFERROR(VLOOKUP($G235,今日總結!$A:$AN,37,0),"")</f>
        <v/>
      </c>
      <c r="M235" s="337" t="str">
        <f>IFERROR(VLOOKUP($G235,今日總結!$A:$AN,38,0),"")</f>
        <v/>
      </c>
      <c r="N235" s="240" t="str">
        <f t="shared" si="122"/>
        <v/>
      </c>
      <c r="O235" s="359" t="str">
        <f>IFERROR(VLOOKUP($G235,融外自投!$A:$J,7,0),"無")</f>
        <v>無</v>
      </c>
      <c r="P235" s="79" t="str">
        <f>IFERROR(VLOOKUP($G235,融外自投!$A:$J,9,0),"無")</f>
        <v>無</v>
      </c>
      <c r="Q235" s="342" t="str">
        <f>IFERROR(VLOOKUP($G235,融外自投!$A:$J,8,0),"無")</f>
        <v>無</v>
      </c>
      <c r="R235" s="81" t="str">
        <f>IFERROR(VLOOKUP($G235,融外自投!$A:$J,10,0),"無")</f>
        <v>無</v>
      </c>
      <c r="S235" s="324" t="str">
        <f>IFERROR(VLOOKUP($G235,'321買'!$A:$E,4,0),"'沒有資料'")</f>
        <v>'沒有資料'</v>
      </c>
      <c r="T235" s="186">
        <f>IFERROR(VLOOKUP($G235,基本資料!$A:$J,9,0),"無")</f>
        <v>8.89</v>
      </c>
      <c r="U235" s="307">
        <f t="shared" si="123"/>
        <v>0.13348348348348352</v>
      </c>
      <c r="V235" s="94">
        <f>IFERROR(VLOOKUP($G235,基本資料!$A:$J,10,0),"無")</f>
        <v>10.02</v>
      </c>
      <c r="W235" s="36">
        <v>66.599999999999994</v>
      </c>
      <c r="X235" s="66">
        <v>62.46</v>
      </c>
      <c r="Y235" s="15">
        <f t="shared" si="125"/>
        <v>4.1399999999999935</v>
      </c>
      <c r="Z235" s="63">
        <f t="shared" si="126"/>
        <v>6.6282420749279439E-2</v>
      </c>
      <c r="AA235" s="99" t="s">
        <v>2190</v>
      </c>
      <c r="AB235" s="389">
        <f>IFERROR(VLOOKUP($G235,基本資料!$A:$M,12,0),"無")</f>
        <v>26.88</v>
      </c>
      <c r="AC235" s="16" t="s">
        <v>998</v>
      </c>
      <c r="AD235" s="84">
        <v>44195</v>
      </c>
      <c r="AE235" s="86">
        <v>44207</v>
      </c>
      <c r="AF235" s="33">
        <f t="shared" si="124"/>
        <v>12</v>
      </c>
      <c r="AG235" s="43" t="s">
        <v>2142</v>
      </c>
      <c r="AH235" s="259"/>
      <c r="AJ235" s="245"/>
      <c r="AK235" s="245"/>
      <c r="AR235" s="245" t="str">
        <f>INDEX(基本資料!N:N,MATCH($G235,基本資料!$A:$A,0))</f>
        <v>中</v>
      </c>
    </row>
    <row r="236" spans="1:44">
      <c r="A236" s="343">
        <f>IFERROR(VLOOKUP($G236,基本資料!$A:$J,3,0),"無")</f>
        <v>5.67</v>
      </c>
      <c r="B236" s="79">
        <f>IFERROR(VLOOKUP($G236,基本資料!$A:$J,4,0),"無")</f>
        <v>57</v>
      </c>
      <c r="C236" s="79">
        <f>IFERROR(VLOOKUP($G236,基本資料!$A:$J,5,0),"無")</f>
        <v>35</v>
      </c>
      <c r="D236" s="79">
        <f>IFERROR(VLOOKUP($G236,基本資料!$A:$J,6,0),"無")</f>
        <v>-9</v>
      </c>
      <c r="E236" s="79">
        <f>IFERROR(VLOOKUP($G236,基本資料!$A:$J,7,0),"無")</f>
        <v>36</v>
      </c>
      <c r="F236" s="6">
        <f>IFERROR(VLOOKUP($G236,基本資料!$A:$J,8,0),"無")</f>
        <v>14.96</v>
      </c>
      <c r="G236" s="80">
        <v>3541</v>
      </c>
      <c r="H236" s="4" t="s">
        <v>314</v>
      </c>
      <c r="I236" s="16" t="s">
        <v>6117</v>
      </c>
      <c r="J236" s="8" t="str">
        <f>IFERROR(VLOOKUP($G236,今日總結!$A:$AN,39,0),"")</f>
        <v>主</v>
      </c>
      <c r="K236" s="5">
        <f>IFERROR(VLOOKUP($G236,今日總結!$A:$AN,40,0),"")</f>
        <v>0</v>
      </c>
      <c r="L236" s="156">
        <f>IFERROR(VLOOKUP($G236,今日總結!$A:$AN,37,0),"")</f>
        <v>3</v>
      </c>
      <c r="M236" s="337">
        <f>IFERROR(VLOOKUP($G236,今日總結!$A:$AN,38,0),"")</f>
        <v>0</v>
      </c>
      <c r="N236" s="240">
        <f t="shared" si="122"/>
        <v>3</v>
      </c>
      <c r="O236" s="359">
        <f>IFERROR(VLOOKUP($G236,融外自投!$A:$J,7,0),"無")</f>
        <v>594</v>
      </c>
      <c r="P236" s="79">
        <f>IFERROR(VLOOKUP($G236,融外自投!$A:$J,9,0),"無")</f>
        <v>253</v>
      </c>
      <c r="Q236" s="342">
        <f>IFERROR(VLOOKUP($G236,融外自投!$A:$J,8,0),"無")</f>
        <v>731</v>
      </c>
      <c r="R236" s="81">
        <f>IFERROR(VLOOKUP($G236,融外自投!$A:$J,10,0),"無")</f>
        <v>439</v>
      </c>
      <c r="S236" s="324">
        <f>IFERROR(VLOOKUP($G236,'321買'!$A:$E,4,0),"'沒有資料'")</f>
        <v>606</v>
      </c>
      <c r="T236" s="186">
        <f>IFERROR(VLOOKUP($G236,基本資料!$A:$J,9,0),"無")</f>
        <v>3</v>
      </c>
      <c r="U236" s="307">
        <f t="shared" si="123"/>
        <v>5.3285968028419187E-2</v>
      </c>
      <c r="V236" s="94">
        <f>IFERROR(VLOOKUP($G236,基本資料!$A:$J,10,0),"無")</f>
        <v>3.38</v>
      </c>
      <c r="W236" s="36">
        <v>56.3</v>
      </c>
      <c r="X236" s="66">
        <v>45</v>
      </c>
      <c r="Y236" s="15">
        <f t="shared" si="125"/>
        <v>11.299999999999997</v>
      </c>
      <c r="Z236" s="63">
        <f t="shared" si="126"/>
        <v>0.25111111111111106</v>
      </c>
      <c r="AA236" s="99" t="s">
        <v>2185</v>
      </c>
      <c r="AB236" s="389">
        <f>IFERROR(VLOOKUP($G236,基本資料!$A:$M,12,0),"無")</f>
        <v>78.72</v>
      </c>
      <c r="AC236" s="16" t="s">
        <v>157</v>
      </c>
      <c r="AD236" s="84">
        <v>44193</v>
      </c>
      <c r="AE236" s="86">
        <v>44203</v>
      </c>
      <c r="AF236" s="33">
        <f t="shared" si="124"/>
        <v>10</v>
      </c>
      <c r="AG236" s="117" t="s">
        <v>2134</v>
      </c>
      <c r="AH236" s="259"/>
      <c r="AJ236" s="245"/>
      <c r="AK236" s="245"/>
      <c r="AR236" s="245" t="str">
        <f>INDEX(基本資料!N:N,MATCH($G236,基本資料!$A:$A,0))</f>
        <v>高</v>
      </c>
    </row>
    <row r="237" spans="1:44">
      <c r="A237" s="343">
        <f>IFERROR(VLOOKUP($G237,基本資料!$A:$J,3,0),"無")</f>
        <v>127</v>
      </c>
      <c r="B237" s="79">
        <f>IFERROR(VLOOKUP($G237,基本資料!$A:$J,4,0),"無")</f>
        <v>153</v>
      </c>
      <c r="C237" s="79">
        <f>IFERROR(VLOOKUP($G237,基本資料!$A:$J,5,0),"無")</f>
        <v>80</v>
      </c>
      <c r="D237" s="79">
        <f>IFERROR(VLOOKUP($G237,基本資料!$A:$J,6,0),"無")</f>
        <v>-19</v>
      </c>
      <c r="E237" s="79">
        <f>IFERROR(VLOOKUP($G237,基本資料!$A:$J,7,0),"無")</f>
        <v>14</v>
      </c>
      <c r="F237" s="6">
        <f>IFERROR(VLOOKUP($G237,基本資料!$A:$J,8,0),"無")</f>
        <v>7.34</v>
      </c>
      <c r="G237" s="79">
        <v>1909</v>
      </c>
      <c r="H237" s="52" t="s">
        <v>3412</v>
      </c>
      <c r="I237" s="22" t="s">
        <v>131</v>
      </c>
      <c r="J237" s="8">
        <f>IFERROR(VLOOKUP($G237,今日總結!$A:$AN,39,0),"")</f>
        <v>0</v>
      </c>
      <c r="K237" s="5" t="str">
        <f>IFERROR(VLOOKUP($G237,今日總結!$A:$AN,40,0),"")</f>
        <v>融借</v>
      </c>
      <c r="L237" s="156">
        <f>IFERROR(VLOOKUP($G237,今日總結!$A:$AN,37,0),"")</f>
        <v>0</v>
      </c>
      <c r="M237" s="337">
        <f>IFERROR(VLOOKUP($G237,今日總結!$A:$AN,38,0),"")</f>
        <v>4</v>
      </c>
      <c r="N237" s="240">
        <f t="shared" si="122"/>
        <v>-4</v>
      </c>
      <c r="O237" s="359">
        <f>IFERROR(VLOOKUP($G237,融外自投!$A:$J,7,0),"無")</f>
        <v>728</v>
      </c>
      <c r="P237" s="79">
        <f>IFERROR(VLOOKUP($G237,融外自投!$A:$J,9,0),"無")</f>
        <v>1051</v>
      </c>
      <c r="Q237" s="342">
        <f>IFERROR(VLOOKUP($G237,融外自投!$A:$J,8,0),"無")</f>
        <v>488</v>
      </c>
      <c r="R237" s="81" t="str">
        <f>IFERROR(VLOOKUP($G237,融外自投!$A:$J,10,0),"無")</f>
        <v>無</v>
      </c>
      <c r="S237" s="324">
        <f>IFERROR(VLOOKUP($G237,'321買'!$A:$E,4,0),"'沒有資料'")</f>
        <v>497</v>
      </c>
      <c r="T237" s="186">
        <f>IFERROR(VLOOKUP($G237,基本資料!$A:$J,9,0),"無")</f>
        <v>1.2</v>
      </c>
      <c r="U237" s="307">
        <f t="shared" si="123"/>
        <v>5.3691275167785227E-2</v>
      </c>
      <c r="V237" s="94">
        <f>IFERROR(VLOOKUP($G237,基本資料!$A:$J,10,0),"無")</f>
        <v>1.84</v>
      </c>
      <c r="W237" s="36">
        <v>22.35</v>
      </c>
      <c r="X237" s="66">
        <v>14.8</v>
      </c>
      <c r="Y237" s="15">
        <f t="shared" si="125"/>
        <v>7.5500000000000007</v>
      </c>
      <c r="Z237" s="63">
        <f t="shared" si="126"/>
        <v>0.5101351351351352</v>
      </c>
      <c r="AA237" s="99" t="s">
        <v>2186</v>
      </c>
      <c r="AB237" s="389">
        <f>IFERROR(VLOOKUP($G237,基本資料!$A:$M,12,0),"無")</f>
        <v>20.92</v>
      </c>
      <c r="AC237" s="22" t="s">
        <v>131</v>
      </c>
      <c r="AD237" s="84">
        <v>44193</v>
      </c>
      <c r="AE237" s="86">
        <v>44203</v>
      </c>
      <c r="AF237" s="33">
        <f t="shared" si="124"/>
        <v>10</v>
      </c>
      <c r="AG237" s="117" t="s">
        <v>2135</v>
      </c>
      <c r="AH237" s="259"/>
      <c r="AJ237" s="245"/>
      <c r="AK237" s="245"/>
      <c r="AR237" s="245" t="str">
        <f>INDEX(基本資料!N:N,MATCH($G237,基本資料!$A:$A,0))</f>
        <v>低</v>
      </c>
    </row>
    <row r="238" spans="1:44" ht="17.25" customHeight="1">
      <c r="A238" s="343">
        <f>IFERROR(VLOOKUP($G238,基本資料!$A:$J,3,0),"無")</f>
        <v>2</v>
      </c>
      <c r="B238" s="79">
        <f>IFERROR(VLOOKUP($G238,基本資料!$A:$J,4,0),"無")</f>
        <v>3</v>
      </c>
      <c r="C238" s="79">
        <f>IFERROR(VLOOKUP($G238,基本資料!$A:$J,5,0),"無")</f>
        <v>-4</v>
      </c>
      <c r="D238" s="79">
        <f>IFERROR(VLOOKUP($G238,基本資料!$A:$J,6,0),"無")</f>
        <v>0</v>
      </c>
      <c r="E238" s="79">
        <f>IFERROR(VLOOKUP($G238,基本資料!$A:$J,7,0),"無")</f>
        <v>39</v>
      </c>
      <c r="F238" s="6">
        <f>IFERROR(VLOOKUP($G238,基本資料!$A:$J,8,0),"無")</f>
        <v>3.12</v>
      </c>
      <c r="G238" s="80">
        <v>6751</v>
      </c>
      <c r="H238" s="4" t="s">
        <v>3435</v>
      </c>
      <c r="I238" s="16" t="s">
        <v>2138</v>
      </c>
      <c r="J238" s="8" t="str">
        <f>IFERROR(VLOOKUP($G238,今日總結!$A:$AN,39,0),"")</f>
        <v/>
      </c>
      <c r="K238" s="5" t="str">
        <f>IFERROR(VLOOKUP($G238,今日總結!$A:$AN,40,0),"")</f>
        <v/>
      </c>
      <c r="L238" s="156" t="str">
        <f>IFERROR(VLOOKUP($G238,今日總結!$A:$AN,37,0),"")</f>
        <v/>
      </c>
      <c r="M238" s="337" t="str">
        <f>IFERROR(VLOOKUP($G238,今日總結!$A:$AN,38,0),"")</f>
        <v/>
      </c>
      <c r="N238" s="240" t="str">
        <f t="shared" si="122"/>
        <v/>
      </c>
      <c r="O238" s="359" t="str">
        <f>IFERROR(VLOOKUP($G238,融外自投!$A:$J,7,0),"無")</f>
        <v>無</v>
      </c>
      <c r="P238" s="79" t="str">
        <f>IFERROR(VLOOKUP($G238,融外自投!$A:$J,9,0),"無")</f>
        <v>無</v>
      </c>
      <c r="Q238" s="342" t="str">
        <f>IFERROR(VLOOKUP($G238,融外自投!$A:$J,8,0),"無")</f>
        <v>無</v>
      </c>
      <c r="R238" s="81" t="str">
        <f>IFERROR(VLOOKUP($G238,融外自投!$A:$J,10,0),"無")</f>
        <v>無</v>
      </c>
      <c r="S238" s="324" t="str">
        <f>IFERROR(VLOOKUP($G238,'321買'!$A:$E,4,0),"'沒有資料'")</f>
        <v>'沒有資料'</v>
      </c>
      <c r="T238" s="186">
        <f>IFERROR(VLOOKUP($G238,基本資料!$A:$J,9,0),"無")</f>
        <v>2.1</v>
      </c>
      <c r="U238" s="307">
        <f t="shared" si="123"/>
        <v>2.6683608640406607E-2</v>
      </c>
      <c r="V238" s="94">
        <f>IFERROR(VLOOKUP($G238,基本資料!$A:$J,10,0),"無")</f>
        <v>2.44</v>
      </c>
      <c r="W238" s="36">
        <v>78.7</v>
      </c>
      <c r="X238" s="66">
        <v>60</v>
      </c>
      <c r="Y238" s="15">
        <f t="shared" si="125"/>
        <v>18.700000000000003</v>
      </c>
      <c r="Z238" s="63">
        <f t="shared" si="126"/>
        <v>0.3116666666666667</v>
      </c>
      <c r="AA238" s="99" t="s">
        <v>2170</v>
      </c>
      <c r="AB238" s="389">
        <f>IFERROR(VLOOKUP($G238,基本資料!$A:$M,12,0),"無")</f>
        <v>11.73</v>
      </c>
      <c r="AC238" s="16" t="s">
        <v>2138</v>
      </c>
      <c r="AD238" s="84">
        <v>44190</v>
      </c>
      <c r="AE238" s="86">
        <v>44200</v>
      </c>
      <c r="AF238" s="33">
        <f t="shared" si="124"/>
        <v>10</v>
      </c>
      <c r="AG238" s="43" t="s">
        <v>2139</v>
      </c>
      <c r="AH238" s="259"/>
      <c r="AJ238" s="245"/>
      <c r="AK238" s="245"/>
      <c r="AR238" s="245" t="str">
        <f>INDEX(基本資料!N:N,MATCH($G238,基本資料!$A:$A,0))</f>
        <v>低</v>
      </c>
    </row>
    <row r="239" spans="1:44">
      <c r="A239" s="343">
        <f>IFERROR(VLOOKUP($G239,基本資料!$A:$J,3,0),"無")</f>
        <v>2.2999999999999998</v>
      </c>
      <c r="B239" s="79">
        <f>IFERROR(VLOOKUP($G239,基本資料!$A:$J,4,0),"無")</f>
        <v>167</v>
      </c>
      <c r="C239" s="79">
        <f>IFERROR(VLOOKUP($G239,基本資料!$A:$J,5,0),"無")</f>
        <v>168</v>
      </c>
      <c r="D239" s="79">
        <f>IFERROR(VLOOKUP($G239,基本資料!$A:$J,6,0),"無")</f>
        <v>56</v>
      </c>
      <c r="E239" s="79">
        <f>IFERROR(VLOOKUP($G239,基本資料!$A:$J,7,0),"無")</f>
        <v>58</v>
      </c>
      <c r="F239" s="6">
        <f>IFERROR(VLOOKUP($G239,基本資料!$A:$J,8,0),"無")</f>
        <v>17.600000000000001</v>
      </c>
      <c r="G239" s="80">
        <v>6728</v>
      </c>
      <c r="H239" s="4" t="s">
        <v>1959</v>
      </c>
      <c r="I239" s="16" t="s">
        <v>2140</v>
      </c>
      <c r="J239" s="8" t="str">
        <f>IFERROR(VLOOKUP($G239,今日總結!$A:$AN,39,0),"")</f>
        <v/>
      </c>
      <c r="K239" s="5" t="str">
        <f>IFERROR(VLOOKUP($G239,今日總結!$A:$AN,40,0),"")</f>
        <v/>
      </c>
      <c r="L239" s="156" t="str">
        <f>IFERROR(VLOOKUP($G239,今日總結!$A:$AN,37,0),"")</f>
        <v/>
      </c>
      <c r="M239" s="337" t="str">
        <f>IFERROR(VLOOKUP($G239,今日總結!$A:$AN,38,0),"")</f>
        <v/>
      </c>
      <c r="N239" s="240" t="str">
        <f t="shared" si="122"/>
        <v/>
      </c>
      <c r="O239" s="359" t="str">
        <f>IFERROR(VLOOKUP($G239,融外自投!$A:$J,7,0),"無")</f>
        <v>無</v>
      </c>
      <c r="P239" s="79" t="str">
        <f>IFERROR(VLOOKUP($G239,融外自投!$A:$J,9,0),"無")</f>
        <v>無</v>
      </c>
      <c r="Q239" s="342" t="str">
        <f>IFERROR(VLOOKUP($G239,融外自投!$A:$J,8,0),"無")</f>
        <v>無</v>
      </c>
      <c r="R239" s="81" t="str">
        <f>IFERROR(VLOOKUP($G239,融外自投!$A:$J,10,0),"無")</f>
        <v>無</v>
      </c>
      <c r="S239" s="324" t="str">
        <f>IFERROR(VLOOKUP($G239,'321買'!$A:$E,4,0),"'沒有資料'")</f>
        <v>'沒有資料'</v>
      </c>
      <c r="T239" s="186">
        <f>IFERROR(VLOOKUP($G239,基本資料!$A:$J,9,0),"無")</f>
        <v>9</v>
      </c>
      <c r="U239" s="307">
        <f t="shared" si="123"/>
        <v>0.15789473684210525</v>
      </c>
      <c r="V239" s="94">
        <f>IFERROR(VLOOKUP($G239,基本資料!$A:$J,10,0),"無")</f>
        <v>11.74</v>
      </c>
      <c r="W239" s="36">
        <v>57</v>
      </c>
      <c r="X239" s="66">
        <v>43</v>
      </c>
      <c r="Y239" s="15">
        <f t="shared" si="125"/>
        <v>14</v>
      </c>
      <c r="Z239" s="63">
        <f t="shared" si="126"/>
        <v>0.32558139534883723</v>
      </c>
      <c r="AA239" s="99" t="s">
        <v>2171</v>
      </c>
      <c r="AB239" s="389">
        <f>IFERROR(VLOOKUP($G239,基本資料!$A:$M,12,0),"無")</f>
        <v>58.47</v>
      </c>
      <c r="AC239" s="16" t="s">
        <v>2140</v>
      </c>
      <c r="AD239" s="84">
        <v>44190</v>
      </c>
      <c r="AE239" s="86">
        <v>44200</v>
      </c>
      <c r="AF239" s="33">
        <f t="shared" si="124"/>
        <v>10</v>
      </c>
      <c r="AG239" s="43" t="s">
        <v>2141</v>
      </c>
      <c r="AH239" s="259"/>
      <c r="AJ239" s="245"/>
      <c r="AK239" s="245"/>
      <c r="AR239" s="245" t="str">
        <f>INDEX(基本資料!N:N,MATCH($G239,基本資料!$A:$A,0))</f>
        <v>高</v>
      </c>
    </row>
    <row r="240" spans="1:44">
      <c r="A240" s="343">
        <f>IFERROR(VLOOKUP($G240,基本資料!$A:$J,3,0),"無")</f>
        <v>11.8</v>
      </c>
      <c r="B240" s="79">
        <f>IFERROR(VLOOKUP($G240,基本資料!$A:$J,4,0),"無")</f>
        <v>-11</v>
      </c>
      <c r="C240" s="79">
        <f>IFERROR(VLOOKUP($G240,基本資料!$A:$J,5,0),"無")</f>
        <v>-11</v>
      </c>
      <c r="D240" s="79">
        <f>IFERROR(VLOOKUP($G240,基本資料!$A:$J,6,0),"無")</f>
        <v>143</v>
      </c>
      <c r="E240" s="79">
        <f>IFERROR(VLOOKUP($G240,基本資料!$A:$J,7,0),"無")</f>
        <v>176333</v>
      </c>
      <c r="F240" s="6">
        <f>IFERROR(VLOOKUP($G240,基本資料!$A:$J,8,0),"無")</f>
        <v>-238.3</v>
      </c>
      <c r="G240" s="79">
        <v>6576</v>
      </c>
      <c r="H240" s="4" t="s">
        <v>4723</v>
      </c>
      <c r="I240" s="16" t="s">
        <v>625</v>
      </c>
      <c r="J240" s="8" t="str">
        <f>IFERROR(VLOOKUP($G240,今日總結!$A:$AN,39,0),"")</f>
        <v/>
      </c>
      <c r="K240" s="5" t="str">
        <f>IFERROR(VLOOKUP($G240,今日總結!$A:$AN,40,0),"")</f>
        <v/>
      </c>
      <c r="L240" s="156" t="str">
        <f>IFERROR(VLOOKUP($G240,今日總結!$A:$AN,37,0),"")</f>
        <v/>
      </c>
      <c r="M240" s="337" t="str">
        <f>IFERROR(VLOOKUP($G240,今日總結!$A:$AN,38,0),"")</f>
        <v/>
      </c>
      <c r="N240" s="240" t="str">
        <f t="shared" si="122"/>
        <v/>
      </c>
      <c r="O240" s="359" t="str">
        <f>IFERROR(VLOOKUP($G240,融外自投!$A:$J,7,0),"無")</f>
        <v>無</v>
      </c>
      <c r="P240" s="79" t="str">
        <f>IFERROR(VLOOKUP($G240,融外自投!$A:$J,9,0),"無")</f>
        <v>無</v>
      </c>
      <c r="Q240" s="342" t="str">
        <f>IFERROR(VLOOKUP($G240,融外自投!$A:$J,8,0),"無")</f>
        <v>無</v>
      </c>
      <c r="R240" s="81" t="str">
        <f>IFERROR(VLOOKUP($G240,融外自投!$A:$J,10,0),"無")</f>
        <v>無</v>
      </c>
      <c r="S240" s="324" t="str">
        <f>IFERROR(VLOOKUP($G240,'321買'!$A:$E,4,0),"'沒有資料'")</f>
        <v>'沒有資料'</v>
      </c>
      <c r="T240" s="186">
        <f>IFERROR(VLOOKUP($G240,基本資料!$A:$J,9,0),"無")</f>
        <v>0</v>
      </c>
      <c r="U240" s="307">
        <f t="shared" si="123"/>
        <v>0</v>
      </c>
      <c r="V240" s="94">
        <f>IFERROR(VLOOKUP($G240,基本資料!$A:$J,10,0),"無")</f>
        <v>-4.8499999999999996</v>
      </c>
      <c r="W240" s="36">
        <v>88.8</v>
      </c>
      <c r="X240" s="66">
        <v>88</v>
      </c>
      <c r="Y240" s="15">
        <f t="shared" si="125"/>
        <v>0.79999999999999716</v>
      </c>
      <c r="Z240" s="63">
        <f t="shared" si="126"/>
        <v>9.0909090909090592E-3</v>
      </c>
      <c r="AA240" s="99" t="s">
        <v>2172</v>
      </c>
      <c r="AB240" s="389">
        <f>IFERROR(VLOOKUP($G240,基本資料!$A:$M,12,0),"無")</f>
        <v>18.37</v>
      </c>
      <c r="AC240" s="16" t="s">
        <v>625</v>
      </c>
      <c r="AD240" s="84">
        <v>44190</v>
      </c>
      <c r="AE240" s="86">
        <v>44200</v>
      </c>
      <c r="AF240" s="33">
        <f t="shared" si="124"/>
        <v>10</v>
      </c>
      <c r="AG240" s="43" t="s">
        <v>2081</v>
      </c>
      <c r="AH240" s="259"/>
      <c r="AJ240" s="245"/>
      <c r="AK240" s="245"/>
      <c r="AR240" s="245" t="str">
        <f>INDEX(基本資料!N:N,MATCH($G240,基本資料!$A:$A,0))</f>
        <v>中</v>
      </c>
    </row>
    <row r="241" spans="1:44">
      <c r="A241" s="343">
        <f>IFERROR(VLOOKUP($G241,基本資料!$A:$J,3,0),"無")</f>
        <v>34.07</v>
      </c>
      <c r="B241" s="79">
        <f>IFERROR(VLOOKUP($G241,基本資料!$A:$J,4,0),"無")</f>
        <v>85</v>
      </c>
      <c r="C241" s="79">
        <f>IFERROR(VLOOKUP($G241,基本資料!$A:$J,5,0),"無")</f>
        <v>195</v>
      </c>
      <c r="D241" s="79">
        <f>IFERROR(VLOOKUP($G241,基本資料!$A:$J,6,0),"無")</f>
        <v>1</v>
      </c>
      <c r="E241" s="79">
        <f>IFERROR(VLOOKUP($G241,基本資料!$A:$J,7,0),"無")</f>
        <v>22</v>
      </c>
      <c r="F241" s="6">
        <f>IFERROR(VLOOKUP($G241,基本資料!$A:$J,8,0),"無")</f>
        <v>18.760000000000002</v>
      </c>
      <c r="G241" s="79">
        <v>2049</v>
      </c>
      <c r="H241" s="4" t="s">
        <v>295</v>
      </c>
      <c r="I241" s="22" t="s">
        <v>6118</v>
      </c>
      <c r="J241" s="8">
        <f>IFERROR(VLOOKUP($G241,今日總結!$A:$AN,39,0),"")</f>
        <v>0</v>
      </c>
      <c r="K241" s="5">
        <f>IFERROR(VLOOKUP($G241,今日總結!$A:$AN,40,0),"")</f>
        <v>0</v>
      </c>
      <c r="L241" s="156">
        <f>IFERROR(VLOOKUP($G241,今日總結!$A:$AN,37,0),"")</f>
        <v>0</v>
      </c>
      <c r="M241" s="337">
        <f>IFERROR(VLOOKUP($G241,今日總結!$A:$AN,38,0),"")</f>
        <v>0</v>
      </c>
      <c r="N241" s="240">
        <f t="shared" si="122"/>
        <v>0</v>
      </c>
      <c r="O241" s="359">
        <f>IFERROR(VLOOKUP($G241,融外自投!$A:$J,7,0),"無")</f>
        <v>873</v>
      </c>
      <c r="P241" s="79">
        <f>IFERROR(VLOOKUP($G241,融外自投!$A:$J,9,0),"無")</f>
        <v>67</v>
      </c>
      <c r="Q241" s="342">
        <f>IFERROR(VLOOKUP($G241,融外自投!$A:$J,8,0),"無")</f>
        <v>122</v>
      </c>
      <c r="R241" s="81">
        <f>IFERROR(VLOOKUP($G241,融外自投!$A:$J,10,0),"無")</f>
        <v>308</v>
      </c>
      <c r="S241" s="324">
        <f>IFERROR(VLOOKUP($G241,'321買'!$A:$E,4,0),"'沒有資料'")</f>
        <v>743</v>
      </c>
      <c r="T241" s="186">
        <f>IFERROR(VLOOKUP($G241,基本資料!$A:$J,9,0),"無")</f>
        <v>4.5</v>
      </c>
      <c r="U241" s="307">
        <f t="shared" si="123"/>
        <v>1.171875E-2</v>
      </c>
      <c r="V241" s="94">
        <f>IFERROR(VLOOKUP($G241,基本資料!$A:$J,10,0),"無")</f>
        <v>10.36</v>
      </c>
      <c r="W241" s="13">
        <v>384</v>
      </c>
      <c r="X241" s="66">
        <v>195</v>
      </c>
      <c r="Y241" s="15">
        <f t="shared" ref="Y241:Y272" si="127">W241-X241</f>
        <v>189</v>
      </c>
      <c r="Z241" s="63">
        <f t="shared" ref="Z241:Z272" si="128">Y241/X241</f>
        <v>0.96923076923076923</v>
      </c>
      <c r="AA241" s="99" t="s">
        <v>2173</v>
      </c>
      <c r="AB241" s="389">
        <f>IFERROR(VLOOKUP($G241,基本資料!$A:$M,12,0),"無")</f>
        <v>22.85</v>
      </c>
      <c r="AC241" s="22" t="s">
        <v>21</v>
      </c>
      <c r="AD241" s="84">
        <v>44190</v>
      </c>
      <c r="AE241" s="86">
        <v>44200</v>
      </c>
      <c r="AF241" s="33">
        <f t="shared" si="124"/>
        <v>10</v>
      </c>
      <c r="AG241" s="117" t="s">
        <v>1996</v>
      </c>
      <c r="AH241" s="259"/>
      <c r="AJ241" s="245"/>
      <c r="AK241" s="245"/>
      <c r="AR241" s="245" t="str">
        <f>INDEX(基本資料!N:N,MATCH($G241,基本資料!$A:$A,0))</f>
        <v>低</v>
      </c>
    </row>
    <row r="242" spans="1:44">
      <c r="A242" s="343">
        <f>IFERROR(VLOOKUP($G242,基本資料!$A:$J,3,0),"無")</f>
        <v>3.52</v>
      </c>
      <c r="B242" s="79">
        <f>IFERROR(VLOOKUP($G242,基本資料!$A:$J,4,0),"無")</f>
        <v>19</v>
      </c>
      <c r="C242" s="79">
        <f>IFERROR(VLOOKUP($G242,基本資料!$A:$J,5,0),"無")</f>
        <v>48</v>
      </c>
      <c r="D242" s="79">
        <f>IFERROR(VLOOKUP($G242,基本資料!$A:$J,6,0),"無")</f>
        <v>7</v>
      </c>
      <c r="E242" s="79">
        <f>IFERROR(VLOOKUP($G242,基本資料!$A:$J,7,0),"無")</f>
        <v>-56</v>
      </c>
      <c r="F242" s="6">
        <f>IFERROR(VLOOKUP($G242,基本資料!$A:$J,8,0),"無")</f>
        <v>14.77</v>
      </c>
      <c r="G242" s="79">
        <v>1593</v>
      </c>
      <c r="H242" s="4" t="s">
        <v>4723</v>
      </c>
      <c r="I242" s="16" t="s">
        <v>606</v>
      </c>
      <c r="J242" s="8">
        <f>IFERROR(VLOOKUP($G242,今日總結!$A:$AN,39,0),"")</f>
        <v>0</v>
      </c>
      <c r="K242" s="5">
        <f>IFERROR(VLOOKUP($G242,今日總結!$A:$AN,40,0),"")</f>
        <v>0</v>
      </c>
      <c r="L242" s="156">
        <f>IFERROR(VLOOKUP($G242,今日總結!$A:$AN,37,0),"")</f>
        <v>0</v>
      </c>
      <c r="M242" s="337">
        <f>IFERROR(VLOOKUP($G242,今日總結!$A:$AN,38,0),"")</f>
        <v>0</v>
      </c>
      <c r="N242" s="240">
        <f t="shared" si="122"/>
        <v>0</v>
      </c>
      <c r="O242" s="359">
        <f>IFERROR(VLOOKUP($G242,融外自投!$A:$J,7,0),"無")</f>
        <v>496</v>
      </c>
      <c r="P242" s="79">
        <f>IFERROR(VLOOKUP($G242,融外自投!$A:$J,9,0),"無")</f>
        <v>515</v>
      </c>
      <c r="Q242" s="342">
        <f>IFERROR(VLOOKUP($G242,融外自投!$A:$J,8,0),"無")</f>
        <v>1078</v>
      </c>
      <c r="R242" s="81" t="str">
        <f>IFERROR(VLOOKUP($G242,融外自投!$A:$J,10,0),"無")</f>
        <v>無</v>
      </c>
      <c r="S242" s="324">
        <f>IFERROR(VLOOKUP($G242,'321買'!$A:$E,4,0),"'沒有資料'")</f>
        <v>891</v>
      </c>
      <c r="T242" s="186">
        <f>IFERROR(VLOOKUP($G242,基本資料!$A:$J,9,0),"無")</f>
        <v>3.8</v>
      </c>
      <c r="U242" s="307">
        <f t="shared" si="123"/>
        <v>4.6341463414634146E-2</v>
      </c>
      <c r="V242" s="94">
        <f>IFERROR(VLOOKUP($G242,基本資料!$A:$J,10,0),"無")</f>
        <v>4.9000000000000004</v>
      </c>
      <c r="W242" s="36">
        <v>82</v>
      </c>
      <c r="X242" s="45">
        <v>50</v>
      </c>
      <c r="Y242" s="15">
        <f t="shared" si="127"/>
        <v>32</v>
      </c>
      <c r="Z242" s="63">
        <f t="shared" si="128"/>
        <v>0.64</v>
      </c>
      <c r="AA242" s="99" t="s">
        <v>941</v>
      </c>
      <c r="AB242" s="389">
        <f>IFERROR(VLOOKUP($G242,基本資料!$A:$M,12,0),"無")</f>
        <v>16.39</v>
      </c>
      <c r="AC242" s="16" t="s">
        <v>606</v>
      </c>
      <c r="AD242" s="84">
        <v>44190</v>
      </c>
      <c r="AE242" s="86">
        <v>44200</v>
      </c>
      <c r="AF242" s="33">
        <f t="shared" si="124"/>
        <v>10</v>
      </c>
      <c r="AG242" s="43" t="s">
        <v>1965</v>
      </c>
      <c r="AH242" s="259"/>
      <c r="AJ242" s="245"/>
      <c r="AK242" s="245"/>
      <c r="AR242" s="245" t="str">
        <f>INDEX(基本資料!N:N,MATCH($G242,基本資料!$A:$A,0))</f>
        <v>低</v>
      </c>
    </row>
    <row r="243" spans="1:44">
      <c r="A243" s="343">
        <f>IFERROR(VLOOKUP($G243,基本資料!$A:$J,3,0),"無")</f>
        <v>6.84</v>
      </c>
      <c r="B243" s="79">
        <f>IFERROR(VLOOKUP($G243,基本資料!$A:$J,4,0),"無")</f>
        <v>176</v>
      </c>
      <c r="C243" s="79">
        <f>IFERROR(VLOOKUP($G243,基本資料!$A:$J,5,0),"無")</f>
        <v>166</v>
      </c>
      <c r="D243" s="79">
        <f>IFERROR(VLOOKUP($G243,基本資料!$A:$J,6,0),"無")</f>
        <v>-3</v>
      </c>
      <c r="E243" s="79">
        <f>IFERROR(VLOOKUP($G243,基本資料!$A:$J,7,0),"無")</f>
        <v>26</v>
      </c>
      <c r="F243" s="6">
        <f>IFERROR(VLOOKUP($G243,基本資料!$A:$J,8,0),"無")</f>
        <v>30.58</v>
      </c>
      <c r="G243" s="79">
        <v>6756</v>
      </c>
      <c r="H243" s="4" t="s">
        <v>3038</v>
      </c>
      <c r="I243" s="22" t="s">
        <v>2132</v>
      </c>
      <c r="J243" s="8">
        <f>IFERROR(VLOOKUP($G243,今日總結!$A:$AN,39,0),"")</f>
        <v>0</v>
      </c>
      <c r="K243" s="5">
        <f>IFERROR(VLOOKUP($G243,今日總結!$A:$AN,40,0),"")</f>
        <v>0</v>
      </c>
      <c r="L243" s="156">
        <f>IFERROR(VLOOKUP($G243,今日總結!$A:$AN,37,0),"")</f>
        <v>0</v>
      </c>
      <c r="M243" s="337">
        <f>IFERROR(VLOOKUP($G243,今日總結!$A:$AN,38,0),"")</f>
        <v>0</v>
      </c>
      <c r="N243" s="240">
        <f t="shared" si="122"/>
        <v>0</v>
      </c>
      <c r="O243" s="359">
        <f>IFERROR(VLOOKUP($G243,融外自投!$A:$J,7,0),"無")</f>
        <v>512</v>
      </c>
      <c r="P243" s="79">
        <f>IFERROR(VLOOKUP($G243,融外自投!$A:$J,9,0),"無")</f>
        <v>790</v>
      </c>
      <c r="Q243" s="342">
        <f>IFERROR(VLOOKUP($G243,融外自投!$A:$J,8,0),"無")</f>
        <v>701</v>
      </c>
      <c r="R243" s="81" t="str">
        <f>IFERROR(VLOOKUP($G243,融外自投!$A:$J,10,0),"無")</f>
        <v>無</v>
      </c>
      <c r="S243" s="324">
        <f>IFERROR(VLOOKUP($G243,'321買'!$A:$E,4,0),"'沒有資料'")</f>
        <v>150</v>
      </c>
      <c r="T243" s="186">
        <f>IFERROR(VLOOKUP($G243,基本資料!$A:$J,9,0),"無")</f>
        <v>10.99</v>
      </c>
      <c r="U243" s="307">
        <f t="shared" si="123"/>
        <v>4.2026768642447421E-2</v>
      </c>
      <c r="V243" s="94">
        <f>IFERROR(VLOOKUP($G243,基本資料!$A:$J,10,0),"無")</f>
        <v>13.04</v>
      </c>
      <c r="W243" s="36">
        <v>261.5</v>
      </c>
      <c r="X243" s="66">
        <v>168</v>
      </c>
      <c r="Y243" s="15">
        <f t="shared" si="127"/>
        <v>93.5</v>
      </c>
      <c r="Z243" s="63">
        <f t="shared" si="128"/>
        <v>0.55654761904761907</v>
      </c>
      <c r="AA243" s="99" t="s">
        <v>2168</v>
      </c>
      <c r="AB243" s="389">
        <f>IFERROR(VLOOKUP($G243,基本資料!$A:$M,12,0),"無")</f>
        <v>9.3800000000000008</v>
      </c>
      <c r="AC243" s="22" t="s">
        <v>2132</v>
      </c>
      <c r="AD243" s="84">
        <v>44189</v>
      </c>
      <c r="AE243" s="86">
        <v>44200</v>
      </c>
      <c r="AF243" s="33">
        <f t="shared" si="124"/>
        <v>11</v>
      </c>
      <c r="AG243" s="43" t="s">
        <v>2133</v>
      </c>
      <c r="AH243" s="259"/>
      <c r="AJ243" s="245"/>
      <c r="AK243" s="245"/>
      <c r="AR243" s="245" t="str">
        <f>INDEX(基本資料!N:N,MATCH($G243,基本資料!$A:$A,0))</f>
        <v>低</v>
      </c>
    </row>
    <row r="244" spans="1:44">
      <c r="A244" s="343">
        <f>IFERROR(VLOOKUP($G244,基本資料!$A:$J,3,0),"無")</f>
        <v>35.25</v>
      </c>
      <c r="B244" s="79">
        <f>IFERROR(VLOOKUP($G244,基本資料!$A:$J,4,0),"無")</f>
        <v>26</v>
      </c>
      <c r="C244" s="79">
        <f>IFERROR(VLOOKUP($G244,基本資料!$A:$J,5,0),"無")</f>
        <v>23</v>
      </c>
      <c r="D244" s="79">
        <f>IFERROR(VLOOKUP($G244,基本資料!$A:$J,6,0),"無")</f>
        <v>0</v>
      </c>
      <c r="E244" s="79">
        <f>IFERROR(VLOOKUP($G244,基本資料!$A:$J,7,0),"無")</f>
        <v>0</v>
      </c>
      <c r="F244" s="6">
        <f>IFERROR(VLOOKUP($G244,基本資料!$A:$J,8,0),"無")</f>
        <v>-29581.65</v>
      </c>
      <c r="G244" s="80">
        <v>6541</v>
      </c>
      <c r="H244" s="4" t="s">
        <v>4723</v>
      </c>
      <c r="I244" s="22" t="s">
        <v>636</v>
      </c>
      <c r="J244" s="8" t="str">
        <f>IFERROR(VLOOKUP($G244,今日總結!$A:$AN,39,0),"")</f>
        <v/>
      </c>
      <c r="K244" s="5" t="str">
        <f>IFERROR(VLOOKUP($G244,今日總結!$A:$AN,40,0),"")</f>
        <v/>
      </c>
      <c r="L244" s="156" t="str">
        <f>IFERROR(VLOOKUP($G244,今日總結!$A:$AN,37,0),"")</f>
        <v/>
      </c>
      <c r="M244" s="337" t="str">
        <f>IFERROR(VLOOKUP($G244,今日總結!$A:$AN,38,0),"")</f>
        <v/>
      </c>
      <c r="N244" s="240" t="str">
        <f t="shared" si="122"/>
        <v/>
      </c>
      <c r="O244" s="359" t="str">
        <f>IFERROR(VLOOKUP($G244,融外自投!$A:$J,7,0),"無")</f>
        <v>無</v>
      </c>
      <c r="P244" s="79" t="str">
        <f>IFERROR(VLOOKUP($G244,融外自投!$A:$J,9,0),"無")</f>
        <v>無</v>
      </c>
      <c r="Q244" s="342" t="str">
        <f>IFERROR(VLOOKUP($G244,融外自投!$A:$J,8,0),"無")</f>
        <v>無</v>
      </c>
      <c r="R244" s="81" t="str">
        <f>IFERROR(VLOOKUP($G244,融外自投!$A:$J,10,0),"無")</f>
        <v>無</v>
      </c>
      <c r="S244" s="324" t="str">
        <f>IFERROR(VLOOKUP($G244,'321買'!$A:$E,4,0),"'沒有資料'")</f>
        <v>'沒有資料'</v>
      </c>
      <c r="T244" s="186">
        <f>IFERROR(VLOOKUP($G244,基本資料!$A:$J,9,0),"無")</f>
        <v>0</v>
      </c>
      <c r="U244" s="307">
        <f t="shared" si="123"/>
        <v>0</v>
      </c>
      <c r="V244" s="94">
        <f>IFERROR(VLOOKUP($G244,基本資料!$A:$J,10,0),"無")</f>
        <v>-4.74</v>
      </c>
      <c r="W244" s="36">
        <v>37.299999999999997</v>
      </c>
      <c r="X244" s="66">
        <v>36</v>
      </c>
      <c r="Y244" s="15">
        <f t="shared" si="127"/>
        <v>1.2999999999999972</v>
      </c>
      <c r="Z244" s="63">
        <f t="shared" si="128"/>
        <v>3.6111111111111031E-2</v>
      </c>
      <c r="AA244" s="99" t="s">
        <v>1698</v>
      </c>
      <c r="AB244" s="389">
        <f>IFERROR(VLOOKUP($G244,基本資料!$A:$M,12,0),"無")</f>
        <v>28.35</v>
      </c>
      <c r="AC244" s="22" t="s">
        <v>636</v>
      </c>
      <c r="AD244" s="84">
        <v>44189</v>
      </c>
      <c r="AE244" s="86">
        <v>44200</v>
      </c>
      <c r="AF244" s="33">
        <f t="shared" si="124"/>
        <v>11</v>
      </c>
      <c r="AG244" s="43" t="s">
        <v>2124</v>
      </c>
      <c r="AH244" s="259"/>
      <c r="AJ244" s="245"/>
      <c r="AK244" s="245"/>
      <c r="AR244" s="245" t="str">
        <f>INDEX(基本資料!N:N,MATCH($G244,基本資料!$A:$A,0))</f>
        <v>低</v>
      </c>
    </row>
    <row r="245" spans="1:44">
      <c r="A245" s="343">
        <f>IFERROR(VLOOKUP($G245,基本資料!$A:$J,3,0),"無")</f>
        <v>8.4600000000000009</v>
      </c>
      <c r="B245" s="79">
        <f>IFERROR(VLOOKUP($G245,基本資料!$A:$J,4,0),"無")</f>
        <v>-138</v>
      </c>
      <c r="C245" s="79">
        <f>IFERROR(VLOOKUP($G245,基本資料!$A:$J,5,0),"無")</f>
        <v>-123</v>
      </c>
      <c r="D245" s="79">
        <f>IFERROR(VLOOKUP($G245,基本資料!$A:$J,6,0),"無")</f>
        <v>28</v>
      </c>
      <c r="E245" s="79">
        <f>IFERROR(VLOOKUP($G245,基本資料!$A:$J,7,0),"無")</f>
        <v>-41</v>
      </c>
      <c r="F245" s="6">
        <f>IFERROR(VLOOKUP($G245,基本資料!$A:$J,8,0),"無")</f>
        <v>-4.2</v>
      </c>
      <c r="G245" s="79">
        <v>3325</v>
      </c>
      <c r="H245" s="54" t="s">
        <v>1145</v>
      </c>
      <c r="I245" s="16" t="s">
        <v>6119</v>
      </c>
      <c r="J245" s="8">
        <f>IFERROR(VLOOKUP($G245,今日總結!$A:$AN,39,0),"")</f>
        <v>0</v>
      </c>
      <c r="K245" s="5">
        <f>IFERROR(VLOOKUP($G245,今日總結!$A:$AN,40,0),"")</f>
        <v>0</v>
      </c>
      <c r="L245" s="156">
        <f>IFERROR(VLOOKUP($G245,今日總結!$A:$AN,37,0),"")</f>
        <v>0</v>
      </c>
      <c r="M245" s="337">
        <f>IFERROR(VLOOKUP($G245,今日總結!$A:$AN,38,0),"")</f>
        <v>0</v>
      </c>
      <c r="N245" s="240">
        <f t="shared" si="122"/>
        <v>0</v>
      </c>
      <c r="O245" s="359">
        <f>IFERROR(VLOOKUP($G245,融外自投!$A:$J,7,0),"無")</f>
        <v>391</v>
      </c>
      <c r="P245" s="79" t="str">
        <f>IFERROR(VLOOKUP($G245,融外自投!$A:$J,9,0),"無")</f>
        <v>無</v>
      </c>
      <c r="Q245" s="342">
        <f>IFERROR(VLOOKUP($G245,融外自投!$A:$J,8,0),"無")</f>
        <v>1254</v>
      </c>
      <c r="R245" s="81" t="str">
        <f>IFERROR(VLOOKUP($G245,融外自投!$A:$J,10,0),"無")</f>
        <v>無</v>
      </c>
      <c r="S245" s="324">
        <f>IFERROR(VLOOKUP($G245,'321買'!$A:$E,4,0),"'沒有資料'")</f>
        <v>801</v>
      </c>
      <c r="T245" s="186">
        <f>IFERROR(VLOOKUP($G245,基本資料!$A:$J,9,0),"無")</f>
        <v>0</v>
      </c>
      <c r="U245" s="307">
        <f t="shared" si="123"/>
        <v>0</v>
      </c>
      <c r="V245" s="94">
        <f>IFERROR(VLOOKUP($G245,基本資料!$A:$J,10,0),"無")</f>
        <v>-0.7</v>
      </c>
      <c r="W245" s="36">
        <v>27.65</v>
      </c>
      <c r="X245" s="45">
        <v>25</v>
      </c>
      <c r="Y245" s="15">
        <f t="shared" si="127"/>
        <v>2.6499999999999986</v>
      </c>
      <c r="Z245" s="63">
        <f t="shared" si="128"/>
        <v>0.10599999999999994</v>
      </c>
      <c r="AA245" s="99" t="s">
        <v>1693</v>
      </c>
      <c r="AB245" s="389">
        <f>IFERROR(VLOOKUP($G245,基本資料!$A:$M,12,0),"無")</f>
        <v>6.96</v>
      </c>
      <c r="AC245" s="16" t="s">
        <v>471</v>
      </c>
      <c r="AD245" s="84">
        <v>44189</v>
      </c>
      <c r="AE245" s="86">
        <v>44200</v>
      </c>
      <c r="AF245" s="33">
        <f t="shared" si="124"/>
        <v>11</v>
      </c>
      <c r="AG245" s="43" t="s">
        <v>2123</v>
      </c>
      <c r="AH245" s="259"/>
      <c r="AJ245" s="245"/>
      <c r="AK245" s="245"/>
      <c r="AR245" s="245" t="str">
        <f>INDEX(基本資料!N:N,MATCH($G245,基本資料!$A:$A,0))</f>
        <v>低</v>
      </c>
    </row>
    <row r="246" spans="1:44">
      <c r="A246" s="343">
        <f>IFERROR(VLOOKUP($G246,基本資料!$A:$J,3,0),"無")</f>
        <v>15.61</v>
      </c>
      <c r="B246" s="79">
        <f>IFERROR(VLOOKUP($G246,基本資料!$A:$J,4,0),"無")</f>
        <v>68</v>
      </c>
      <c r="C246" s="79">
        <f>IFERROR(VLOOKUP($G246,基本資料!$A:$J,5,0),"無")</f>
        <v>75</v>
      </c>
      <c r="D246" s="79">
        <f>IFERROR(VLOOKUP($G246,基本資料!$A:$J,6,0),"無")</f>
        <v>-3</v>
      </c>
      <c r="E246" s="79">
        <f>IFERROR(VLOOKUP($G246,基本資料!$A:$J,7,0),"無")</f>
        <v>-5</v>
      </c>
      <c r="F246" s="6">
        <f>IFERROR(VLOOKUP($G246,基本資料!$A:$J,8,0),"無")</f>
        <v>-2.4300000000000002</v>
      </c>
      <c r="G246" s="79">
        <v>3321</v>
      </c>
      <c r="H246" s="4" t="s">
        <v>3388</v>
      </c>
      <c r="I246" s="22" t="s">
        <v>6120</v>
      </c>
      <c r="J246" s="8" t="str">
        <f>IFERROR(VLOOKUP($G246,今日總結!$A:$AN,39,0),"")</f>
        <v/>
      </c>
      <c r="K246" s="5" t="str">
        <f>IFERROR(VLOOKUP($G246,今日總結!$A:$AN,40,0),"")</f>
        <v/>
      </c>
      <c r="L246" s="156" t="str">
        <f>IFERROR(VLOOKUP($G246,今日總結!$A:$AN,37,0),"")</f>
        <v/>
      </c>
      <c r="M246" s="337" t="str">
        <f>IFERROR(VLOOKUP($G246,今日總結!$A:$AN,38,0),"")</f>
        <v/>
      </c>
      <c r="N246" s="240" t="str">
        <f t="shared" si="122"/>
        <v/>
      </c>
      <c r="O246" s="359" t="str">
        <f>IFERROR(VLOOKUP($G246,融外自投!$A:$J,7,0),"無")</f>
        <v>無</v>
      </c>
      <c r="P246" s="79" t="str">
        <f>IFERROR(VLOOKUP($G246,融外自投!$A:$J,9,0),"無")</f>
        <v>無</v>
      </c>
      <c r="Q246" s="342" t="str">
        <f>IFERROR(VLOOKUP($G246,融外自投!$A:$J,8,0),"無")</f>
        <v>無</v>
      </c>
      <c r="R246" s="81" t="str">
        <f>IFERROR(VLOOKUP($G246,融外自投!$A:$J,10,0),"無")</f>
        <v>無</v>
      </c>
      <c r="S246" s="324" t="str">
        <f>IFERROR(VLOOKUP($G246,'321買'!$A:$E,4,0),"'沒有資料'")</f>
        <v>'沒有資料'</v>
      </c>
      <c r="T246" s="186">
        <f>IFERROR(VLOOKUP($G246,基本資料!$A:$J,9,0),"無")</f>
        <v>0</v>
      </c>
      <c r="U246" s="307">
        <f t="shared" si="123"/>
        <v>0</v>
      </c>
      <c r="V246" s="94">
        <f>IFERROR(VLOOKUP($G246,基本資料!$A:$J,10,0),"無")</f>
        <v>-0.54</v>
      </c>
      <c r="W246" s="36">
        <v>15.3</v>
      </c>
      <c r="X246" s="66">
        <v>11.5</v>
      </c>
      <c r="Y246" s="15">
        <f t="shared" si="127"/>
        <v>3.8000000000000007</v>
      </c>
      <c r="Z246" s="63">
        <f t="shared" si="128"/>
        <v>0.33043478260869569</v>
      </c>
      <c r="AA246" s="99" t="s">
        <v>2169</v>
      </c>
      <c r="AB246" s="389">
        <f>IFERROR(VLOOKUP($G246,基本資料!$A:$M,12,0),"無")</f>
        <v>8.6300000000000008</v>
      </c>
      <c r="AC246" s="22" t="s">
        <v>389</v>
      </c>
      <c r="AD246" s="84">
        <v>44189</v>
      </c>
      <c r="AE246" s="86">
        <v>44200</v>
      </c>
      <c r="AF246" s="33">
        <f t="shared" si="124"/>
        <v>11</v>
      </c>
      <c r="AG246" s="43" t="s">
        <v>1049</v>
      </c>
      <c r="AH246" s="259"/>
      <c r="AJ246" s="245"/>
      <c r="AK246" s="245"/>
      <c r="AR246" s="245" t="str">
        <f>INDEX(基本資料!N:N,MATCH($G246,基本資料!$A:$A,0))</f>
        <v>低</v>
      </c>
    </row>
    <row r="247" spans="1:44">
      <c r="A247" s="343">
        <f>IFERROR(VLOOKUP($G247,基本資料!$A:$J,3,0),"無")</f>
        <v>453</v>
      </c>
      <c r="B247" s="79">
        <f>IFERROR(VLOOKUP($G247,基本資料!$A:$J,4,0),"無")</f>
        <v>19</v>
      </c>
      <c r="C247" s="79">
        <f>IFERROR(VLOOKUP($G247,基本資料!$A:$J,5,0),"無")</f>
        <v>0</v>
      </c>
      <c r="D247" s="79">
        <f>IFERROR(VLOOKUP($G247,基本資料!$A:$J,6,0),"無")</f>
        <v>-14</v>
      </c>
      <c r="E247" s="79">
        <f>IFERROR(VLOOKUP($G247,基本資料!$A:$J,7,0),"無")</f>
        <v>-7</v>
      </c>
      <c r="F247" s="6">
        <f>IFERROR(VLOOKUP($G247,基本資料!$A:$J,8,0),"無")</f>
        <v>0</v>
      </c>
      <c r="G247" s="80">
        <v>2812</v>
      </c>
      <c r="H247" s="10" t="s">
        <v>304</v>
      </c>
      <c r="I247" s="22" t="s">
        <v>4644</v>
      </c>
      <c r="J247" s="8">
        <f>IFERROR(VLOOKUP($G247,今日總結!$A:$AN,39,0),"")</f>
        <v>0</v>
      </c>
      <c r="K247" s="5">
        <f>IFERROR(VLOOKUP($G247,今日總結!$A:$AN,40,0),"")</f>
        <v>0</v>
      </c>
      <c r="L247" s="156">
        <f>IFERROR(VLOOKUP($G247,今日總結!$A:$AN,37,0),"")</f>
        <v>0</v>
      </c>
      <c r="M247" s="337">
        <f>IFERROR(VLOOKUP($G247,今日總結!$A:$AN,38,0),"")</f>
        <v>0</v>
      </c>
      <c r="N247" s="240">
        <f t="shared" si="122"/>
        <v>0</v>
      </c>
      <c r="O247" s="359">
        <f>IFERROR(VLOOKUP($G247,融外自投!$A:$J,7,0),"無")</f>
        <v>1358</v>
      </c>
      <c r="P247" s="79">
        <f>IFERROR(VLOOKUP($G247,融外自投!$A:$J,9,0),"無")</f>
        <v>1123</v>
      </c>
      <c r="Q247" s="342">
        <f>IFERROR(VLOOKUP($G247,融外自投!$A:$J,8,0),"無")</f>
        <v>456</v>
      </c>
      <c r="R247" s="81">
        <f>IFERROR(VLOOKUP($G247,融外自投!$A:$J,10,0),"無")</f>
        <v>294</v>
      </c>
      <c r="S247" s="324">
        <f>IFERROR(VLOOKUP($G247,'321買'!$A:$E,4,0),"'沒有資料'")</f>
        <v>411</v>
      </c>
      <c r="T247" s="186">
        <f>IFERROR(VLOOKUP($G247,基本資料!$A:$J,9,0),"無")</f>
        <v>0.75</v>
      </c>
      <c r="U247" s="307">
        <f t="shared" si="123"/>
        <v>6.9124423963133647E-2</v>
      </c>
      <c r="V247" s="94">
        <f>IFERROR(VLOOKUP($G247,基本資料!$A:$J,10,0),"無")</f>
        <v>1.1000000000000001</v>
      </c>
      <c r="W247" s="36">
        <v>10.85</v>
      </c>
      <c r="X247" s="66">
        <v>10.199999999999999</v>
      </c>
      <c r="Y247" s="15">
        <f t="shared" si="127"/>
        <v>0.65000000000000036</v>
      </c>
      <c r="Z247" s="63">
        <f t="shared" si="128"/>
        <v>6.3725490196078469E-2</v>
      </c>
      <c r="AA247" s="99" t="s">
        <v>2160</v>
      </c>
      <c r="AB247" s="389">
        <f>IFERROR(VLOOKUP($G247,基本資料!$A:$M,12,0),"無")</f>
        <v>30.38</v>
      </c>
      <c r="AC247" s="22" t="s">
        <v>133</v>
      </c>
      <c r="AD247" s="84">
        <v>44187</v>
      </c>
      <c r="AE247" s="86">
        <v>44200</v>
      </c>
      <c r="AF247" s="33">
        <f t="shared" si="124"/>
        <v>13</v>
      </c>
      <c r="AG247" s="117" t="s">
        <v>1428</v>
      </c>
      <c r="AH247" s="259"/>
      <c r="AJ247" s="245"/>
      <c r="AK247" s="245"/>
      <c r="AR247" s="245" t="str">
        <f>INDEX(基本資料!N:N,MATCH($G247,基本資料!$A:$A,0))</f>
        <v>中</v>
      </c>
    </row>
    <row r="248" spans="1:44">
      <c r="A248" s="343">
        <f>IFERROR(VLOOKUP($G248,基本資料!$A:$J,3,0),"無")</f>
        <v>2.15</v>
      </c>
      <c r="B248" s="79">
        <f>IFERROR(VLOOKUP($G248,基本資料!$A:$J,4,0),"無")</f>
        <v>-34</v>
      </c>
      <c r="C248" s="79">
        <f>IFERROR(VLOOKUP($G248,基本資料!$A:$J,5,0),"無")</f>
        <v>-31</v>
      </c>
      <c r="D248" s="79">
        <f>IFERROR(VLOOKUP($G248,基本資料!$A:$J,6,0),"無")</f>
        <v>19</v>
      </c>
      <c r="E248" s="79">
        <f>IFERROR(VLOOKUP($G248,基本資料!$A:$J,7,0),"無")</f>
        <v>-21</v>
      </c>
      <c r="F248" s="6">
        <f>IFERROR(VLOOKUP($G248,基本資料!$A:$J,8,0),"無")</f>
        <v>34.020000000000003</v>
      </c>
      <c r="G248" s="79">
        <v>6762</v>
      </c>
      <c r="H248" s="4" t="s">
        <v>4723</v>
      </c>
      <c r="I248" s="16" t="s">
        <v>2118</v>
      </c>
      <c r="J248" s="8" t="str">
        <f>IFERROR(VLOOKUP($G248,今日總結!$A:$AN,39,0),"")</f>
        <v/>
      </c>
      <c r="K248" s="5" t="str">
        <f>IFERROR(VLOOKUP($G248,今日總結!$A:$AN,40,0),"")</f>
        <v/>
      </c>
      <c r="L248" s="156" t="str">
        <f>IFERROR(VLOOKUP($G248,今日總結!$A:$AN,37,0),"")</f>
        <v/>
      </c>
      <c r="M248" s="337" t="str">
        <f>IFERROR(VLOOKUP($G248,今日總結!$A:$AN,38,0),"")</f>
        <v/>
      </c>
      <c r="N248" s="240" t="str">
        <f t="shared" si="122"/>
        <v/>
      </c>
      <c r="O248" s="359" t="str">
        <f>IFERROR(VLOOKUP($G248,融外自投!$A:$J,7,0),"無")</f>
        <v>無</v>
      </c>
      <c r="P248" s="79" t="str">
        <f>IFERROR(VLOOKUP($G248,融外自投!$A:$J,9,0),"無")</f>
        <v>無</v>
      </c>
      <c r="Q248" s="342" t="str">
        <f>IFERROR(VLOOKUP($G248,融外自投!$A:$J,8,0),"無")</f>
        <v>無</v>
      </c>
      <c r="R248" s="81" t="str">
        <f>IFERROR(VLOOKUP($G248,融外自投!$A:$J,10,0),"無")</f>
        <v>無</v>
      </c>
      <c r="S248" s="324" t="str">
        <f>IFERROR(VLOOKUP($G248,'321買'!$A:$E,4,0),"'沒有資料'")</f>
        <v>'沒有資料'</v>
      </c>
      <c r="T248" s="186">
        <f>IFERROR(VLOOKUP($G248,基本資料!$A:$J,9,0),"無")</f>
        <v>5</v>
      </c>
      <c r="U248" s="307">
        <f t="shared" si="123"/>
        <v>1.984126984126984E-2</v>
      </c>
      <c r="V248" s="94">
        <f>IFERROR(VLOOKUP($G248,基本資料!$A:$J,10,0),"無")</f>
        <v>6.04</v>
      </c>
      <c r="W248" s="36">
        <v>252</v>
      </c>
      <c r="X248" s="66">
        <v>267.98</v>
      </c>
      <c r="Y248" s="15">
        <f t="shared" si="127"/>
        <v>-15.980000000000018</v>
      </c>
      <c r="Z248" s="76">
        <f t="shared" si="128"/>
        <v>-5.9631315769833632E-2</v>
      </c>
      <c r="AA248" s="100" t="s">
        <v>2154</v>
      </c>
      <c r="AB248" s="389">
        <f>IFERROR(VLOOKUP($G248,基本資料!$A:$M,12,0),"無")</f>
        <v>15.24</v>
      </c>
      <c r="AC248" s="16" t="s">
        <v>2118</v>
      </c>
      <c r="AD248" s="84">
        <v>44183</v>
      </c>
      <c r="AE248" s="86">
        <v>44193</v>
      </c>
      <c r="AF248" s="33">
        <f t="shared" si="124"/>
        <v>10</v>
      </c>
      <c r="AG248" s="43" t="s">
        <v>2121</v>
      </c>
      <c r="AH248" s="259"/>
      <c r="AJ248" s="245"/>
      <c r="AK248" s="245"/>
      <c r="AR248" s="245" t="str">
        <f>INDEX(基本資料!N:N,MATCH($G248,基本資料!$A:$A,0))</f>
        <v>低</v>
      </c>
    </row>
    <row r="249" spans="1:44" ht="17.25" customHeight="1">
      <c r="A249" s="343">
        <f>IFERROR(VLOOKUP($G249,基本資料!$A:$J,3,0),"無")</f>
        <v>83.99</v>
      </c>
      <c r="B249" s="79">
        <f>IFERROR(VLOOKUP($G249,基本資料!$A:$J,4,0),"無")</f>
        <v>-26</v>
      </c>
      <c r="C249" s="79">
        <f>IFERROR(VLOOKUP($G249,基本資料!$A:$J,5,0),"無")</f>
        <v>-36</v>
      </c>
      <c r="D249" s="79">
        <f>IFERROR(VLOOKUP($G249,基本資料!$A:$J,6,0),"無")</f>
        <v>-38</v>
      </c>
      <c r="E249" s="79">
        <f>IFERROR(VLOOKUP($G249,基本資料!$A:$J,7,0),"無")</f>
        <v>18740</v>
      </c>
      <c r="F249" s="6">
        <f>IFERROR(VLOOKUP($G249,基本資料!$A:$J,8,0),"無")</f>
        <v>-997.9</v>
      </c>
      <c r="G249" s="79">
        <v>2530</v>
      </c>
      <c r="H249" s="4" t="s">
        <v>4002</v>
      </c>
      <c r="I249" s="22" t="s">
        <v>6129</v>
      </c>
      <c r="J249" s="8">
        <f>IFERROR(VLOOKUP($G249,今日總結!$A:$AN,39,0),"")</f>
        <v>0</v>
      </c>
      <c r="K249" s="5">
        <f>IFERROR(VLOOKUP($G249,今日總結!$A:$AN,40,0),"")</f>
        <v>0</v>
      </c>
      <c r="L249" s="156">
        <f>IFERROR(VLOOKUP($G249,今日總結!$A:$AN,37,0),"")</f>
        <v>0</v>
      </c>
      <c r="M249" s="337">
        <f>IFERROR(VLOOKUP($G249,今日總結!$A:$AN,38,0),"")</f>
        <v>0</v>
      </c>
      <c r="N249" s="240">
        <f t="shared" si="122"/>
        <v>0</v>
      </c>
      <c r="O249" s="359">
        <f>IFERROR(VLOOKUP($G249,融外自投!$A:$J,7,0),"無")</f>
        <v>881</v>
      </c>
      <c r="P249" s="79" t="str">
        <f>IFERROR(VLOOKUP($G249,融外自投!$A:$J,9,0),"無")</f>
        <v>無</v>
      </c>
      <c r="Q249" s="342">
        <f>IFERROR(VLOOKUP($G249,融外自投!$A:$J,8,0),"無")</f>
        <v>1314</v>
      </c>
      <c r="R249" s="81" t="str">
        <f>IFERROR(VLOOKUP($G249,融外自投!$A:$J,10,0),"無")</f>
        <v>無</v>
      </c>
      <c r="S249" s="324">
        <f>IFERROR(VLOOKUP($G249,'321買'!$A:$E,4,0),"'沒有資料'")</f>
        <v>1002</v>
      </c>
      <c r="T249" s="186">
        <f>IFERROR(VLOOKUP($G249,基本資料!$A:$J,9,0),"無")</f>
        <v>0</v>
      </c>
      <c r="U249" s="307">
        <f t="shared" si="123"/>
        <v>0</v>
      </c>
      <c r="V249" s="94">
        <f>IFERROR(VLOOKUP($G249,基本資料!$A:$J,10,0),"無")</f>
        <v>-0.2</v>
      </c>
      <c r="W249" s="36">
        <v>14.05</v>
      </c>
      <c r="X249" s="66">
        <v>12.56</v>
      </c>
      <c r="Y249" s="15">
        <f t="shared" si="127"/>
        <v>1.4900000000000002</v>
      </c>
      <c r="Z249" s="63">
        <f t="shared" si="128"/>
        <v>0.11863057324840766</v>
      </c>
      <c r="AA249" s="99" t="s">
        <v>2153</v>
      </c>
      <c r="AB249" s="389">
        <f>IFERROR(VLOOKUP($G249,基本資料!$A:$M,12,0),"無")</f>
        <v>24.38</v>
      </c>
      <c r="AC249" s="22" t="s">
        <v>912</v>
      </c>
      <c r="AD249" s="84">
        <v>44182</v>
      </c>
      <c r="AE249" s="86">
        <v>44193</v>
      </c>
      <c r="AF249" s="33">
        <f t="shared" si="124"/>
        <v>11</v>
      </c>
      <c r="AG249" s="43" t="s">
        <v>2011</v>
      </c>
      <c r="AH249" s="259"/>
      <c r="AJ249" s="245"/>
      <c r="AK249" s="245"/>
      <c r="AM249" s="48"/>
      <c r="AR249" s="245" t="str">
        <f>INDEX(基本資料!N:N,MATCH($G249,基本資料!$A:$A,0))</f>
        <v>中</v>
      </c>
    </row>
    <row r="250" spans="1:44" ht="17.25" customHeight="1">
      <c r="A250" s="343">
        <f>IFERROR(VLOOKUP($G250,基本資料!$A:$J,3,0),"無")</f>
        <v>2</v>
      </c>
      <c r="B250" s="79">
        <f>IFERROR(VLOOKUP($G250,基本資料!$A:$J,4,0),"無")</f>
        <v>3</v>
      </c>
      <c r="C250" s="79">
        <f>IFERROR(VLOOKUP($G250,基本資料!$A:$J,5,0),"無")</f>
        <v>8</v>
      </c>
      <c r="D250" s="79">
        <f>IFERROR(VLOOKUP($G250,基本資料!$A:$J,6,0),"無")</f>
        <v>-3</v>
      </c>
      <c r="E250" s="79">
        <f>IFERROR(VLOOKUP($G250,基本資料!$A:$J,7,0),"無")</f>
        <v>10</v>
      </c>
      <c r="F250" s="6">
        <f>IFERROR(VLOOKUP($G250,基本資料!$A:$J,8,0),"無")</f>
        <v>6.31</v>
      </c>
      <c r="G250" s="79">
        <v>2755</v>
      </c>
      <c r="H250" s="4" t="s">
        <v>303</v>
      </c>
      <c r="I250" s="16" t="s">
        <v>2114</v>
      </c>
      <c r="J250" s="8" t="str">
        <f>IFERROR(VLOOKUP($G250,今日總結!$A:$AN,39,0),"")</f>
        <v/>
      </c>
      <c r="K250" s="5" t="str">
        <f>IFERROR(VLOOKUP($G250,今日總結!$A:$AN,40,0),"")</f>
        <v/>
      </c>
      <c r="L250" s="156" t="str">
        <f>IFERROR(VLOOKUP($G250,今日總結!$A:$AN,37,0),"")</f>
        <v/>
      </c>
      <c r="M250" s="337" t="str">
        <f>IFERROR(VLOOKUP($G250,今日總結!$A:$AN,38,0),"")</f>
        <v/>
      </c>
      <c r="N250" s="240" t="str">
        <f t="shared" si="122"/>
        <v/>
      </c>
      <c r="O250" s="359" t="str">
        <f>IFERROR(VLOOKUP($G250,融外自投!$A:$J,7,0),"無")</f>
        <v>無</v>
      </c>
      <c r="P250" s="79" t="str">
        <f>IFERROR(VLOOKUP($G250,融外自投!$A:$J,9,0),"無")</f>
        <v>無</v>
      </c>
      <c r="Q250" s="342" t="str">
        <f>IFERROR(VLOOKUP($G250,融外自投!$A:$J,8,0),"無")</f>
        <v>無</v>
      </c>
      <c r="R250" s="81" t="str">
        <f>IFERROR(VLOOKUP($G250,融外自投!$A:$J,10,0),"無")</f>
        <v>無</v>
      </c>
      <c r="S250" s="324" t="str">
        <f>IFERROR(VLOOKUP($G250,'321買'!$A:$E,4,0),"'沒有資料'")</f>
        <v>'沒有資料'</v>
      </c>
      <c r="T250" s="186">
        <f>IFERROR(VLOOKUP($G250,基本資料!$A:$J,9,0),"無")</f>
        <v>3</v>
      </c>
      <c r="U250" s="307">
        <f t="shared" si="123"/>
        <v>4.9180327868852458E-2</v>
      </c>
      <c r="V250" s="94">
        <f>IFERROR(VLOOKUP($G250,基本資料!$A:$J,10,0),"無")</f>
        <v>3.65</v>
      </c>
      <c r="W250" s="36">
        <v>61</v>
      </c>
      <c r="X250" s="66">
        <v>60</v>
      </c>
      <c r="Y250" s="15">
        <f t="shared" si="127"/>
        <v>1</v>
      </c>
      <c r="Z250" s="63">
        <f t="shared" si="128"/>
        <v>1.6666666666666666E-2</v>
      </c>
      <c r="AA250" s="99" t="s">
        <v>2146</v>
      </c>
      <c r="AB250" s="389">
        <f>IFERROR(VLOOKUP($G250,基本資料!$A:$M,12,0),"無")</f>
        <v>86.08</v>
      </c>
      <c r="AC250" s="16" t="s">
        <v>2114</v>
      </c>
      <c r="AD250" s="84">
        <v>44181</v>
      </c>
      <c r="AE250" s="86">
        <v>44193</v>
      </c>
      <c r="AF250" s="33">
        <f t="shared" si="124"/>
        <v>12</v>
      </c>
      <c r="AG250" s="43" t="s">
        <v>2115</v>
      </c>
      <c r="AH250" s="259"/>
      <c r="AJ250" s="245"/>
      <c r="AK250" s="245"/>
      <c r="AM250" s="48"/>
      <c r="AR250" s="245" t="str">
        <f>INDEX(基本資料!N:N,MATCH($G250,基本資料!$A:$A,0))</f>
        <v>高</v>
      </c>
    </row>
    <row r="251" spans="1:44">
      <c r="A251" s="343">
        <f>IFERROR(VLOOKUP($G251,基本資料!$A:$J,3,0),"無")</f>
        <v>41.97</v>
      </c>
      <c r="B251" s="79">
        <f>IFERROR(VLOOKUP($G251,基本資料!$A:$J,4,0),"無")</f>
        <v>451</v>
      </c>
      <c r="C251" s="79">
        <f>IFERROR(VLOOKUP($G251,基本資料!$A:$J,5,0),"無")</f>
        <v>932</v>
      </c>
      <c r="D251" s="79">
        <f>IFERROR(VLOOKUP($G251,基本資料!$A:$J,6,0),"無")</f>
        <v>-2</v>
      </c>
      <c r="E251" s="79">
        <f>IFERROR(VLOOKUP($G251,基本資料!$A:$J,7,0),"無")</f>
        <v>6</v>
      </c>
      <c r="F251" s="6">
        <f>IFERROR(VLOOKUP($G251,基本資料!$A:$J,8,0),"無")</f>
        <v>8.0299999999999994</v>
      </c>
      <c r="G251" s="79">
        <v>4919</v>
      </c>
      <c r="H251" s="4" t="s">
        <v>3038</v>
      </c>
      <c r="I251" s="22" t="s">
        <v>118</v>
      </c>
      <c r="J251" s="8" t="str">
        <f>IFERROR(VLOOKUP($G251,今日總結!$A:$AN,39,0),"")</f>
        <v>投</v>
      </c>
      <c r="K251" s="5" t="str">
        <f>IFERROR(VLOOKUP($G251,今日總結!$A:$AN,40,0),"")</f>
        <v>外</v>
      </c>
      <c r="L251" s="156">
        <f>IFERROR(VLOOKUP($G251,今日總結!$A:$AN,37,0),"")</f>
        <v>1</v>
      </c>
      <c r="M251" s="337">
        <f>IFERROR(VLOOKUP($G251,今日總結!$A:$AN,38,0),"")</f>
        <v>2</v>
      </c>
      <c r="N251" s="240">
        <f t="shared" si="122"/>
        <v>-1</v>
      </c>
      <c r="O251" s="359">
        <f>IFERROR(VLOOKUP($G251,融外自投!$A:$J,7,0),"無")</f>
        <v>293</v>
      </c>
      <c r="P251" s="79">
        <f>IFERROR(VLOOKUP($G251,融外自投!$A:$J,9,0),"無")</f>
        <v>225</v>
      </c>
      <c r="Q251" s="342">
        <f>IFERROR(VLOOKUP($G251,融外自投!$A:$J,8,0),"無")</f>
        <v>670</v>
      </c>
      <c r="R251" s="81">
        <f>IFERROR(VLOOKUP($G251,融外自投!$A:$J,10,0),"無")</f>
        <v>16</v>
      </c>
      <c r="S251" s="324">
        <f>IFERROR(VLOOKUP($G251,'321買'!$A:$E,4,0),"'沒有資料'")</f>
        <v>19</v>
      </c>
      <c r="T251" s="186">
        <f>IFERROR(VLOOKUP($G251,基本資料!$A:$J,9,0),"無")</f>
        <v>5</v>
      </c>
      <c r="U251" s="307">
        <f t="shared" si="123"/>
        <v>0.10775862068965518</v>
      </c>
      <c r="V251" s="94">
        <f>IFERROR(VLOOKUP($G251,基本資料!$A:$J,10,0),"無")</f>
        <v>7.27</v>
      </c>
      <c r="W251" s="36">
        <v>46.4</v>
      </c>
      <c r="X251" s="66">
        <v>38</v>
      </c>
      <c r="Y251" s="15">
        <f t="shared" si="127"/>
        <v>8.3999999999999986</v>
      </c>
      <c r="Z251" s="63">
        <f t="shared" si="128"/>
        <v>0.22105263157894733</v>
      </c>
      <c r="AA251" s="99" t="s">
        <v>2144</v>
      </c>
      <c r="AB251" s="389">
        <f>IFERROR(VLOOKUP($G251,基本資料!$A:$M,12,0),"無")</f>
        <v>44.58</v>
      </c>
      <c r="AC251" s="22" t="s">
        <v>118</v>
      </c>
      <c r="AD251" s="84">
        <v>44180</v>
      </c>
      <c r="AE251" s="86">
        <v>44190</v>
      </c>
      <c r="AF251" s="33">
        <f t="shared" si="124"/>
        <v>10</v>
      </c>
      <c r="AG251" s="117" t="s">
        <v>1453</v>
      </c>
      <c r="AH251" s="259"/>
      <c r="AJ251" s="245"/>
      <c r="AK251" s="245"/>
      <c r="AR251" s="245" t="str">
        <f>INDEX(基本資料!N:N,MATCH($G251,基本資料!$A:$A,0))</f>
        <v>中</v>
      </c>
    </row>
    <row r="252" spans="1:44">
      <c r="A252" s="343">
        <f>IFERROR(VLOOKUP($G252,基本資料!$A:$J,3,0),"無")</f>
        <v>15</v>
      </c>
      <c r="B252" s="79">
        <f>IFERROR(VLOOKUP($G252,基本資料!$A:$J,4,0),"無")</f>
        <v>-109</v>
      </c>
      <c r="C252" s="79">
        <f>IFERROR(VLOOKUP($G252,基本資料!$A:$J,5,0),"無")</f>
        <v>-102</v>
      </c>
      <c r="D252" s="79">
        <f>IFERROR(VLOOKUP($G252,基本資料!$A:$J,6,0),"無")</f>
        <v>-8</v>
      </c>
      <c r="E252" s="79">
        <f>IFERROR(VLOOKUP($G252,基本資料!$A:$J,7,0),"無")</f>
        <v>-31</v>
      </c>
      <c r="F252" s="6">
        <f>IFERROR(VLOOKUP($G252,基本資料!$A:$J,8,0),"無")</f>
        <v>-0.33</v>
      </c>
      <c r="G252" s="79">
        <v>6743</v>
      </c>
      <c r="H252" s="4" t="s">
        <v>314</v>
      </c>
      <c r="I252" s="22" t="s">
        <v>2109</v>
      </c>
      <c r="J252" s="8">
        <f>IFERROR(VLOOKUP($G252,今日總結!$A:$AN,39,0),"")</f>
        <v>0</v>
      </c>
      <c r="K252" s="5">
        <f>IFERROR(VLOOKUP($G252,今日總結!$A:$AN,40,0),"")</f>
        <v>0</v>
      </c>
      <c r="L252" s="156">
        <f>IFERROR(VLOOKUP($G252,今日總結!$A:$AN,37,0),"")</f>
        <v>0</v>
      </c>
      <c r="M252" s="337">
        <f>IFERROR(VLOOKUP($G252,今日總結!$A:$AN,38,0),"")</f>
        <v>0</v>
      </c>
      <c r="N252" s="240">
        <f t="shared" si="122"/>
        <v>0</v>
      </c>
      <c r="O252" s="359">
        <f>IFERROR(VLOOKUP($G252,融外自投!$A:$J,7,0),"無")</f>
        <v>742</v>
      </c>
      <c r="P252" s="79" t="str">
        <f>IFERROR(VLOOKUP($G252,融外自投!$A:$J,9,0),"無")</f>
        <v>無</v>
      </c>
      <c r="Q252" s="342">
        <f>IFERROR(VLOOKUP($G252,融外自投!$A:$J,8,0),"無")</f>
        <v>856</v>
      </c>
      <c r="R252" s="81" t="str">
        <f>IFERROR(VLOOKUP($G252,融外自投!$A:$J,10,0),"無")</f>
        <v>無</v>
      </c>
      <c r="S252" s="324">
        <f>IFERROR(VLOOKUP($G252,'321買'!$A:$E,4,0),"'沒有資料'")</f>
        <v>1002</v>
      </c>
      <c r="T252" s="186">
        <f>IFERROR(VLOOKUP($G252,基本資料!$A:$J,9,0),"無")</f>
        <v>0.5</v>
      </c>
      <c r="U252" s="307">
        <f t="shared" si="123"/>
        <v>3.7174721189591076E-3</v>
      </c>
      <c r="V252" s="94">
        <f>IFERROR(VLOOKUP($G252,基本資料!$A:$J,10,0),"無")</f>
        <v>-0.33</v>
      </c>
      <c r="W252" s="36">
        <v>134.5</v>
      </c>
      <c r="X252" s="66">
        <v>100</v>
      </c>
      <c r="Y252" s="15">
        <f t="shared" si="127"/>
        <v>34.5</v>
      </c>
      <c r="Z252" s="63">
        <f t="shared" si="128"/>
        <v>0.34499999999999997</v>
      </c>
      <c r="AA252" s="99" t="s">
        <v>940</v>
      </c>
      <c r="AB252" s="389">
        <f>IFERROR(VLOOKUP($G252,基本資料!$A:$M,12,0),"無")</f>
        <v>11.11</v>
      </c>
      <c r="AC252" s="22" t="s">
        <v>2109</v>
      </c>
      <c r="AD252" s="84">
        <v>44179</v>
      </c>
      <c r="AE252" s="86">
        <v>44189</v>
      </c>
      <c r="AF252" s="33">
        <f t="shared" si="124"/>
        <v>10</v>
      </c>
      <c r="AG252" s="43" t="s">
        <v>2119</v>
      </c>
      <c r="AH252" s="259"/>
      <c r="AJ252" s="245"/>
      <c r="AK252" s="245"/>
      <c r="AR252" s="245" t="str">
        <f>INDEX(基本資料!N:N,MATCH($G252,基本資料!$A:$A,0))</f>
        <v>低</v>
      </c>
    </row>
    <row r="253" spans="1:44">
      <c r="A253" s="343">
        <f>IFERROR(VLOOKUP($G253,基本資料!$A:$J,3,0),"無")</f>
        <v>8.44</v>
      </c>
      <c r="B253" s="79">
        <f>IFERROR(VLOOKUP($G253,基本資料!$A:$J,4,0),"無")</f>
        <v>-17</v>
      </c>
      <c r="C253" s="79">
        <f>IFERROR(VLOOKUP($G253,基本資料!$A:$J,5,0),"無")</f>
        <v>-9</v>
      </c>
      <c r="D253" s="79">
        <f>IFERROR(VLOOKUP($G253,基本資料!$A:$J,6,0),"無")</f>
        <v>51</v>
      </c>
      <c r="E253" s="79">
        <f>IFERROR(VLOOKUP($G253,基本資料!$A:$J,7,0),"無")</f>
        <v>51</v>
      </c>
      <c r="F253" s="6">
        <f>IFERROR(VLOOKUP($G253,基本資料!$A:$J,8,0),"無")</f>
        <v>3.4</v>
      </c>
      <c r="G253" s="79">
        <v>4121</v>
      </c>
      <c r="H253" s="4" t="s">
        <v>4723</v>
      </c>
      <c r="I253" s="16" t="s">
        <v>610</v>
      </c>
      <c r="J253" s="8">
        <f>IFERROR(VLOOKUP($G253,今日總結!$A:$AN,39,0),"")</f>
        <v>24</v>
      </c>
      <c r="K253" s="5">
        <f>IFERROR(VLOOKUP($G253,今日總結!$A:$AN,40,0),"")</f>
        <v>0</v>
      </c>
      <c r="L253" s="156">
        <f>IFERROR(VLOOKUP($G253,今日總結!$A:$AN,37,0),"")</f>
        <v>2</v>
      </c>
      <c r="M253" s="337">
        <f>IFERROR(VLOOKUP($G253,今日總結!$A:$AN,38,0),"")</f>
        <v>0</v>
      </c>
      <c r="N253" s="240">
        <f t="shared" ref="N253:N316" si="129">IFERROR(L253-M253,"")</f>
        <v>2</v>
      </c>
      <c r="O253" s="359">
        <f>IFERROR(VLOOKUP($G253,融外自投!$A:$J,7,0),"無")</f>
        <v>154</v>
      </c>
      <c r="P253" s="79">
        <f>IFERROR(VLOOKUP($G253,融外自投!$A:$J,9,0),"無")</f>
        <v>111</v>
      </c>
      <c r="Q253" s="342">
        <f>IFERROR(VLOOKUP($G253,融外自投!$A:$J,8,0),"無")</f>
        <v>829</v>
      </c>
      <c r="R253" s="81" t="str">
        <f>IFERROR(VLOOKUP($G253,融外自投!$A:$J,10,0),"無")</f>
        <v>無</v>
      </c>
      <c r="S253" s="324">
        <f>IFERROR(VLOOKUP($G253,'321買'!$A:$E,4,0),"'沒有資料'")</f>
        <v>231</v>
      </c>
      <c r="T253" s="186">
        <f>IFERROR(VLOOKUP($G253,基本資料!$A:$J,9,0),"無")</f>
        <v>1.1000000000000001</v>
      </c>
      <c r="U253" s="307">
        <f t="shared" si="123"/>
        <v>4.9773755656108601E-2</v>
      </c>
      <c r="V253" s="94">
        <f>IFERROR(VLOOKUP($G253,基本資料!$A:$J,10,0),"無")</f>
        <v>1.35</v>
      </c>
      <c r="W253" s="36">
        <v>22.1</v>
      </c>
      <c r="X253" s="45">
        <v>15.6</v>
      </c>
      <c r="Y253" s="15">
        <f t="shared" si="127"/>
        <v>6.5000000000000018</v>
      </c>
      <c r="Z253" s="63">
        <f t="shared" si="128"/>
        <v>0.4166666666666668</v>
      </c>
      <c r="AA253" s="99" t="s">
        <v>2137</v>
      </c>
      <c r="AB253" s="389">
        <f>IFERROR(VLOOKUP($G253,基本資料!$A:$M,12,0),"無")</f>
        <v>39.85</v>
      </c>
      <c r="AC253" s="16" t="s">
        <v>610</v>
      </c>
      <c r="AD253" s="84">
        <v>44179</v>
      </c>
      <c r="AE253" s="86">
        <v>44189</v>
      </c>
      <c r="AF253" s="33">
        <f t="shared" si="124"/>
        <v>10</v>
      </c>
      <c r="AG253" s="43" t="s">
        <v>2101</v>
      </c>
      <c r="AH253" s="259"/>
      <c r="AJ253" s="245"/>
      <c r="AK253" s="245"/>
      <c r="AR253" s="245" t="str">
        <f>INDEX(基本資料!N:N,MATCH($G253,基本資料!$A:$A,0))</f>
        <v>低</v>
      </c>
    </row>
    <row r="254" spans="1:44">
      <c r="A254" s="343">
        <f>IFERROR(VLOOKUP($G254,基本資料!$A:$J,3,0),"無")</f>
        <v>4.87</v>
      </c>
      <c r="B254" s="79">
        <f>IFERROR(VLOOKUP($G254,基本資料!$A:$J,4,0),"無")</f>
        <v>155</v>
      </c>
      <c r="C254" s="79">
        <f>IFERROR(VLOOKUP($G254,基本資料!$A:$J,5,0),"無")</f>
        <v>55</v>
      </c>
      <c r="D254" s="79">
        <f>IFERROR(VLOOKUP($G254,基本資料!$A:$J,6,0),"無")</f>
        <v>-25</v>
      </c>
      <c r="E254" s="79">
        <f>IFERROR(VLOOKUP($G254,基本資料!$A:$J,7,0),"無")</f>
        <v>-20</v>
      </c>
      <c r="F254" s="6">
        <f>IFERROR(VLOOKUP($G254,基本資料!$A:$J,8,0),"無")</f>
        <v>10.83</v>
      </c>
      <c r="G254" s="79">
        <v>3138</v>
      </c>
      <c r="H254" s="4" t="s">
        <v>311</v>
      </c>
      <c r="I254" s="22" t="s">
        <v>2110</v>
      </c>
      <c r="J254" s="8">
        <f>IFERROR(VLOOKUP($G254,今日總結!$A:$AN,39,0),"")</f>
        <v>0</v>
      </c>
      <c r="K254" s="5">
        <f>IFERROR(VLOOKUP($G254,今日總結!$A:$AN,40,0),"")</f>
        <v>0</v>
      </c>
      <c r="L254" s="156">
        <f>IFERROR(VLOOKUP($G254,今日總結!$A:$AN,37,0),"")</f>
        <v>0</v>
      </c>
      <c r="M254" s="337">
        <f>IFERROR(VLOOKUP($G254,今日總結!$A:$AN,38,0),"")</f>
        <v>0</v>
      </c>
      <c r="N254" s="240">
        <f t="shared" si="129"/>
        <v>0</v>
      </c>
      <c r="O254" s="359">
        <f>IFERROR(VLOOKUP($G254,融外自投!$A:$J,7,0),"無")</f>
        <v>430</v>
      </c>
      <c r="P254" s="79">
        <f>IFERROR(VLOOKUP($G254,融外自投!$A:$J,9,0),"無")</f>
        <v>635</v>
      </c>
      <c r="Q254" s="342">
        <f>IFERROR(VLOOKUP($G254,融外自投!$A:$J,8,0),"無")</f>
        <v>1300</v>
      </c>
      <c r="R254" s="81" t="str">
        <f>IFERROR(VLOOKUP($G254,融外自投!$A:$J,10,0),"無")</f>
        <v>無</v>
      </c>
      <c r="S254" s="324">
        <f>IFERROR(VLOOKUP($G254,'321買'!$A:$E,4,0),"'沒有資料'")</f>
        <v>394</v>
      </c>
      <c r="T254" s="186">
        <f>IFERROR(VLOOKUP($G254,基本資料!$A:$J,9,0),"無")</f>
        <v>3</v>
      </c>
      <c r="U254" s="307">
        <f t="shared" ref="U254:U317" si="130">$T254/$W254</f>
        <v>2.5423728813559324E-2</v>
      </c>
      <c r="V254" s="94">
        <f>IFERROR(VLOOKUP($G254,基本資料!$A:$J,10,0),"無")</f>
        <v>5.96</v>
      </c>
      <c r="W254" s="36">
        <v>118</v>
      </c>
      <c r="X254" s="66">
        <v>46</v>
      </c>
      <c r="Y254" s="15">
        <f t="shared" si="127"/>
        <v>72</v>
      </c>
      <c r="Z254" s="169">
        <f t="shared" si="128"/>
        <v>1.5652173913043479</v>
      </c>
      <c r="AA254" s="99" t="s">
        <v>2130</v>
      </c>
      <c r="AB254" s="389">
        <f>IFERROR(VLOOKUP($G254,基本資料!$A:$M,12,0),"無")</f>
        <v>14.86</v>
      </c>
      <c r="AC254" s="22" t="s">
        <v>2110</v>
      </c>
      <c r="AD254" s="84">
        <v>44176</v>
      </c>
      <c r="AE254" s="86">
        <v>44186</v>
      </c>
      <c r="AF254" s="33">
        <f t="shared" si="124"/>
        <v>10</v>
      </c>
      <c r="AG254" s="117" t="s">
        <v>2111</v>
      </c>
      <c r="AH254" s="259"/>
      <c r="AJ254" s="245"/>
      <c r="AK254" s="245"/>
      <c r="AR254" s="245" t="str">
        <f>INDEX(基本資料!N:N,MATCH($G254,基本資料!$A:$A,0))</f>
        <v>低</v>
      </c>
    </row>
    <row r="255" spans="1:44">
      <c r="A255" s="343">
        <f>IFERROR(VLOOKUP($G255,基本資料!$A:$J,3,0),"無")</f>
        <v>3.57</v>
      </c>
      <c r="B255" s="79">
        <f>IFERROR(VLOOKUP($G255,基本資料!$A:$J,4,0),"無")</f>
        <v>3</v>
      </c>
      <c r="C255" s="79">
        <f>IFERROR(VLOOKUP($G255,基本資料!$A:$J,5,0),"無")</f>
        <v>17</v>
      </c>
      <c r="D255" s="79">
        <f>IFERROR(VLOOKUP($G255,基本資料!$A:$J,6,0),"無")</f>
        <v>-2</v>
      </c>
      <c r="E255" s="79">
        <f>IFERROR(VLOOKUP($G255,基本資料!$A:$J,7,0),"無")</f>
        <v>0</v>
      </c>
      <c r="F255" s="6">
        <f>IFERROR(VLOOKUP($G255,基本資料!$A:$J,8,0),"無")</f>
        <v>20.94</v>
      </c>
      <c r="G255" s="79">
        <v>6629</v>
      </c>
      <c r="H255" s="4" t="s">
        <v>1959</v>
      </c>
      <c r="I255" s="16" t="s">
        <v>2096</v>
      </c>
      <c r="J255" s="8" t="str">
        <f>IFERROR(VLOOKUP($G255,今日總結!$A:$AN,39,0),"")</f>
        <v/>
      </c>
      <c r="K255" s="5" t="str">
        <f>IFERROR(VLOOKUP($G255,今日總結!$A:$AN,40,0),"")</f>
        <v/>
      </c>
      <c r="L255" s="156" t="str">
        <f>IFERROR(VLOOKUP($G255,今日總結!$A:$AN,37,0),"")</f>
        <v/>
      </c>
      <c r="M255" s="337" t="str">
        <f>IFERROR(VLOOKUP($G255,今日總結!$A:$AN,38,0),"")</f>
        <v/>
      </c>
      <c r="N255" s="240" t="str">
        <f t="shared" si="129"/>
        <v/>
      </c>
      <c r="O255" s="359" t="str">
        <f>IFERROR(VLOOKUP($G255,融外自投!$A:$J,7,0),"無")</f>
        <v>無</v>
      </c>
      <c r="P255" s="79" t="str">
        <f>IFERROR(VLOOKUP($G255,融外自投!$A:$J,9,0),"無")</f>
        <v>無</v>
      </c>
      <c r="Q255" s="342" t="str">
        <f>IFERROR(VLOOKUP($G255,融外自投!$A:$J,8,0),"無")</f>
        <v>無</v>
      </c>
      <c r="R255" s="81" t="str">
        <f>IFERROR(VLOOKUP($G255,融外自投!$A:$J,10,0),"無")</f>
        <v>無</v>
      </c>
      <c r="S255" s="324" t="str">
        <f>IFERROR(VLOOKUP($G255,'321買'!$A:$E,4,0),"'沒有資料'")</f>
        <v>'沒有資料'</v>
      </c>
      <c r="T255" s="186">
        <f>IFERROR(VLOOKUP($G255,基本資料!$A:$J,9,0),"無")</f>
        <v>3.2</v>
      </c>
      <c r="U255" s="307">
        <f t="shared" si="130"/>
        <v>4.9844236760124609E-2</v>
      </c>
      <c r="V255" s="94">
        <f>IFERROR(VLOOKUP($G255,基本資料!$A:$J,10,0),"無")</f>
        <v>6.51</v>
      </c>
      <c r="W255" s="13">
        <v>64.2</v>
      </c>
      <c r="X255" s="66">
        <v>52</v>
      </c>
      <c r="Y255" s="15">
        <f t="shared" si="127"/>
        <v>12.200000000000003</v>
      </c>
      <c r="Z255" s="63">
        <f t="shared" si="128"/>
        <v>0.23461538461538467</v>
      </c>
      <c r="AA255" s="99" t="s">
        <v>2131</v>
      </c>
      <c r="AB255" s="389">
        <f>IFERROR(VLOOKUP($G255,基本資料!$A:$M,12,0),"無")</f>
        <v>50.49</v>
      </c>
      <c r="AC255" s="16" t="s">
        <v>2096</v>
      </c>
      <c r="AD255" s="84">
        <v>44176</v>
      </c>
      <c r="AE255" s="86">
        <v>44186</v>
      </c>
      <c r="AF255" s="33">
        <f t="shared" si="124"/>
        <v>10</v>
      </c>
      <c r="AG255" s="43" t="s">
        <v>2097</v>
      </c>
      <c r="AH255" s="259"/>
      <c r="AJ255" s="245"/>
      <c r="AK255" s="245"/>
      <c r="AR255" s="245" t="str">
        <f>INDEX(基本資料!N:N,MATCH($G255,基本資料!$A:$A,0))</f>
        <v>中</v>
      </c>
    </row>
    <row r="256" spans="1:44" ht="17.25" customHeight="1">
      <c r="A256" s="343">
        <f>IFERROR(VLOOKUP($G256,基本資料!$A:$J,3,0),"無")</f>
        <v>2.83</v>
      </c>
      <c r="B256" s="79">
        <f>IFERROR(VLOOKUP($G256,基本資料!$A:$J,4,0),"無")</f>
        <v>10</v>
      </c>
      <c r="C256" s="79">
        <f>IFERROR(VLOOKUP($G256,基本資料!$A:$J,5,0),"無")</f>
        <v>7</v>
      </c>
      <c r="D256" s="79">
        <f>IFERROR(VLOOKUP($G256,基本資料!$A:$J,6,0),"無")</f>
        <v>-7</v>
      </c>
      <c r="E256" s="79">
        <f>IFERROR(VLOOKUP($G256,基本資料!$A:$J,7,0),"無")</f>
        <v>9</v>
      </c>
      <c r="F256" s="6">
        <f>IFERROR(VLOOKUP($G256,基本資料!$A:$J,8,0),"無")</f>
        <v>12.07</v>
      </c>
      <c r="G256" s="79">
        <v>6752</v>
      </c>
      <c r="H256" s="4" t="s">
        <v>3435</v>
      </c>
      <c r="I256" s="16" t="s">
        <v>2100</v>
      </c>
      <c r="J256" s="8" t="str">
        <f>IFERROR(VLOOKUP($G256,今日總結!$A:$AN,39,0),"")</f>
        <v/>
      </c>
      <c r="K256" s="5" t="str">
        <f>IFERROR(VLOOKUP($G256,今日總結!$A:$AN,40,0),"")</f>
        <v/>
      </c>
      <c r="L256" s="156" t="str">
        <f>IFERROR(VLOOKUP($G256,今日總結!$A:$AN,37,0),"")</f>
        <v/>
      </c>
      <c r="M256" s="337" t="str">
        <f>IFERROR(VLOOKUP($G256,今日總結!$A:$AN,38,0),"")</f>
        <v/>
      </c>
      <c r="N256" s="240" t="str">
        <f t="shared" si="129"/>
        <v/>
      </c>
      <c r="O256" s="359" t="str">
        <f>IFERROR(VLOOKUP($G256,融外自投!$A:$J,7,0),"無")</f>
        <v>無</v>
      </c>
      <c r="P256" s="79" t="str">
        <f>IFERROR(VLOOKUP($G256,融外自投!$A:$J,9,0),"無")</f>
        <v>無</v>
      </c>
      <c r="Q256" s="342" t="str">
        <f>IFERROR(VLOOKUP($G256,融外自投!$A:$J,8,0),"無")</f>
        <v>無</v>
      </c>
      <c r="R256" s="81" t="str">
        <f>IFERROR(VLOOKUP($G256,融外自投!$A:$J,10,0),"無")</f>
        <v>無</v>
      </c>
      <c r="S256" s="324" t="str">
        <f>IFERROR(VLOOKUP($G256,'321買'!$A:$E,4,0),"'沒有資料'")</f>
        <v>'沒有資料'</v>
      </c>
      <c r="T256" s="186">
        <f>IFERROR(VLOOKUP($G256,基本資料!$A:$J,9,0),"無")</f>
        <v>2.8</v>
      </c>
      <c r="U256" s="307">
        <f t="shared" si="130"/>
        <v>4.7377326565143818E-2</v>
      </c>
      <c r="V256" s="94">
        <f>IFERROR(VLOOKUP($G256,基本資料!$A:$J,10,0),"無")</f>
        <v>4.7</v>
      </c>
      <c r="W256" s="36">
        <v>59.1</v>
      </c>
      <c r="X256" s="66">
        <v>56</v>
      </c>
      <c r="Y256" s="15">
        <f t="shared" si="127"/>
        <v>3.1000000000000014</v>
      </c>
      <c r="Z256" s="63">
        <f t="shared" si="128"/>
        <v>5.5357142857142883E-2</v>
      </c>
      <c r="AA256" s="99" t="s">
        <v>2125</v>
      </c>
      <c r="AB256" s="389">
        <f>IFERROR(VLOOKUP($G256,基本資料!$A:$M,12,0),"無")</f>
        <v>38.89</v>
      </c>
      <c r="AC256" s="16" t="s">
        <v>2100</v>
      </c>
      <c r="AD256" s="84">
        <v>44175</v>
      </c>
      <c r="AE256" s="86">
        <v>44186</v>
      </c>
      <c r="AF256" s="33">
        <f t="shared" si="124"/>
        <v>11</v>
      </c>
      <c r="AG256" s="43" t="s">
        <v>2120</v>
      </c>
      <c r="AH256" s="259"/>
      <c r="AJ256" s="245"/>
      <c r="AK256" s="245"/>
      <c r="AR256" s="245" t="str">
        <f>INDEX(基本資料!N:N,MATCH($G256,基本資料!$A:$A,0))</f>
        <v>低</v>
      </c>
    </row>
    <row r="257" spans="1:44">
      <c r="A257" s="343">
        <f>IFERROR(VLOOKUP($G257,基本資料!$A:$J,3,0),"無")</f>
        <v>309</v>
      </c>
      <c r="B257" s="79">
        <f>IFERROR(VLOOKUP($G257,基本資料!$A:$J,4,0),"無")</f>
        <v>-24</v>
      </c>
      <c r="C257" s="79">
        <f>IFERROR(VLOOKUP($G257,基本資料!$A:$J,5,0),"無")</f>
        <v>-175</v>
      </c>
      <c r="D257" s="79">
        <f>IFERROR(VLOOKUP($G257,基本資料!$A:$J,6,0),"無")</f>
        <v>-35</v>
      </c>
      <c r="E257" s="79">
        <f>IFERROR(VLOOKUP($G257,基本資料!$A:$J,7,0),"無")</f>
        <v>-35</v>
      </c>
      <c r="F257" s="6">
        <f>IFERROR(VLOOKUP($G257,基本資料!$A:$J,8,0),"無")</f>
        <v>-0.83</v>
      </c>
      <c r="G257" s="80">
        <v>2867</v>
      </c>
      <c r="H257" s="10" t="s">
        <v>304</v>
      </c>
      <c r="I257" s="22" t="s">
        <v>116</v>
      </c>
      <c r="J257" s="8">
        <f>IFERROR(VLOOKUP($G257,今日總結!$A:$AN,39,0),"")</f>
        <v>0</v>
      </c>
      <c r="K257" s="5">
        <f>IFERROR(VLOOKUP($G257,今日總結!$A:$AN,40,0),"")</f>
        <v>0</v>
      </c>
      <c r="L257" s="156">
        <f>IFERROR(VLOOKUP($G257,今日總結!$A:$AN,37,0),"")</f>
        <v>0</v>
      </c>
      <c r="M257" s="337">
        <f>IFERROR(VLOOKUP($G257,今日總結!$A:$AN,38,0),"")</f>
        <v>0</v>
      </c>
      <c r="N257" s="240">
        <f t="shared" si="129"/>
        <v>0</v>
      </c>
      <c r="O257" s="359">
        <f>IFERROR(VLOOKUP($G257,融外自投!$A:$J,7,0),"無")</f>
        <v>862</v>
      </c>
      <c r="P257" s="79">
        <f>IFERROR(VLOOKUP($G257,融外自投!$A:$J,9,0),"無")</f>
        <v>1123</v>
      </c>
      <c r="Q257" s="342">
        <f>IFERROR(VLOOKUP($G257,融外自投!$A:$J,8,0),"無")</f>
        <v>750</v>
      </c>
      <c r="R257" s="81" t="str">
        <f>IFERROR(VLOOKUP($G257,融外自投!$A:$J,10,0),"無")</f>
        <v>無</v>
      </c>
      <c r="S257" s="324">
        <f>IFERROR(VLOOKUP($G257,'321買'!$A:$E,4,0),"'沒有資料'")</f>
        <v>1002</v>
      </c>
      <c r="T257" s="186">
        <f>IFERROR(VLOOKUP($G257,基本資料!$A:$J,9,0),"無")</f>
        <v>0</v>
      </c>
      <c r="U257" s="307">
        <f t="shared" si="130"/>
        <v>0</v>
      </c>
      <c r="V257" s="94">
        <f>IFERROR(VLOOKUP($G257,基本資料!$A:$J,10,0),"無")</f>
        <v>0.42</v>
      </c>
      <c r="W257" s="36">
        <v>8.3000000000000007</v>
      </c>
      <c r="X257" s="66">
        <v>7.55</v>
      </c>
      <c r="Y257" s="15">
        <f t="shared" si="127"/>
        <v>0.75000000000000089</v>
      </c>
      <c r="Z257" s="63">
        <f t="shared" si="128"/>
        <v>9.933774834437098E-2</v>
      </c>
      <c r="AA257" s="99" t="s">
        <v>2126</v>
      </c>
      <c r="AB257" s="389">
        <f>IFERROR(VLOOKUP($G257,基本資料!$A:$M,12,0),"無")</f>
        <v>11.88</v>
      </c>
      <c r="AC257" s="22" t="s">
        <v>116</v>
      </c>
      <c r="AD257" s="84">
        <v>44175</v>
      </c>
      <c r="AE257" s="86">
        <v>44186</v>
      </c>
      <c r="AF257" s="33">
        <f t="shared" si="124"/>
        <v>11</v>
      </c>
      <c r="AG257" s="117" t="s">
        <v>2156</v>
      </c>
      <c r="AH257" s="259"/>
      <c r="AJ257" s="245"/>
      <c r="AK257" s="245"/>
      <c r="AR257" s="245" t="str">
        <f>INDEX(基本資料!N:N,MATCH($G257,基本資料!$A:$A,0))</f>
        <v>低</v>
      </c>
    </row>
    <row r="258" spans="1:44">
      <c r="A258" s="343">
        <f>IFERROR(VLOOKUP($G258,基本資料!$A:$J,3,0),"無")</f>
        <v>44.57</v>
      </c>
      <c r="B258" s="79">
        <f>IFERROR(VLOOKUP($G258,基本資料!$A:$J,4,0),"無")</f>
        <v>116</v>
      </c>
      <c r="C258" s="79">
        <f>IFERROR(VLOOKUP($G258,基本資料!$A:$J,5,0),"無")</f>
        <v>119</v>
      </c>
      <c r="D258" s="79">
        <f>IFERROR(VLOOKUP($G258,基本資料!$A:$J,6,0),"無")</f>
        <v>1</v>
      </c>
      <c r="E258" s="79">
        <f>IFERROR(VLOOKUP($G258,基本資料!$A:$J,7,0),"無")</f>
        <v>54</v>
      </c>
      <c r="F258" s="6">
        <f>IFERROR(VLOOKUP($G258,基本資料!$A:$J,8,0),"無")</f>
        <v>0.92</v>
      </c>
      <c r="G258" s="79">
        <v>6443</v>
      </c>
      <c r="H258" s="4" t="s">
        <v>306</v>
      </c>
      <c r="I258" s="22" t="s">
        <v>4287</v>
      </c>
      <c r="J258" s="8">
        <f>IFERROR(VLOOKUP($G258,今日總結!$A:$AN,39,0),"")</f>
        <v>0</v>
      </c>
      <c r="K258" s="5" t="str">
        <f>IFERROR(VLOOKUP($G258,今日總結!$A:$AN,40,0),"")</f>
        <v>246同主投</v>
      </c>
      <c r="L258" s="156">
        <f>IFERROR(VLOOKUP($G258,今日總結!$A:$AN,37,0),"")</f>
        <v>0</v>
      </c>
      <c r="M258" s="337">
        <f>IFERROR(VLOOKUP($G258,今日總結!$A:$AN,38,0),"")</f>
        <v>9</v>
      </c>
      <c r="N258" s="240">
        <f t="shared" si="129"/>
        <v>-9</v>
      </c>
      <c r="O258" s="359">
        <f>IFERROR(VLOOKUP($G258,融外自投!$A:$J,7,0),"無")</f>
        <v>116</v>
      </c>
      <c r="P258" s="79">
        <f>IFERROR(VLOOKUP($G258,融外自投!$A:$J,9,0),"無")</f>
        <v>331</v>
      </c>
      <c r="Q258" s="342">
        <f>IFERROR(VLOOKUP($G258,融外自投!$A:$J,8,0),"無")</f>
        <v>312</v>
      </c>
      <c r="R258" s="81">
        <f>IFERROR(VLOOKUP($G258,融外自投!$A:$J,10,0),"無")</f>
        <v>36</v>
      </c>
      <c r="S258" s="324">
        <f>IFERROR(VLOOKUP($G258,'321買'!$A:$E,4,0),"'沒有資料'")</f>
        <v>57</v>
      </c>
      <c r="T258" s="186">
        <f>IFERROR(VLOOKUP($G258,基本資料!$A:$J,9,0),"無")</f>
        <v>0</v>
      </c>
      <c r="U258" s="307">
        <f t="shared" si="130"/>
        <v>0</v>
      </c>
      <c r="V258" s="94">
        <f>IFERROR(VLOOKUP($G258,基本資料!$A:$J,10,0),"無")</f>
        <v>0.1</v>
      </c>
      <c r="W258" s="36">
        <v>39.450000000000003</v>
      </c>
      <c r="X258" s="66">
        <v>25.8</v>
      </c>
      <c r="Y258" s="15">
        <f t="shared" si="127"/>
        <v>13.650000000000002</v>
      </c>
      <c r="Z258" s="63">
        <f t="shared" si="128"/>
        <v>0.52906976744186052</v>
      </c>
      <c r="AA258" s="99" t="s">
        <v>2117</v>
      </c>
      <c r="AB258" s="389">
        <f>IFERROR(VLOOKUP($G258,基本資料!$A:$M,12,0),"無")</f>
        <v>26.98</v>
      </c>
      <c r="AC258" s="22" t="s">
        <v>450</v>
      </c>
      <c r="AD258" s="84">
        <v>44172</v>
      </c>
      <c r="AE258" s="86">
        <v>44182</v>
      </c>
      <c r="AF258" s="33">
        <f t="shared" si="124"/>
        <v>10</v>
      </c>
      <c r="AG258" s="43" t="s">
        <v>1989</v>
      </c>
      <c r="AH258" s="259"/>
      <c r="AJ258" s="245"/>
      <c r="AK258" s="245"/>
      <c r="AR258" s="245" t="str">
        <f>INDEX(基本資料!N:N,MATCH($G258,基本資料!$A:$A,0))</f>
        <v>中</v>
      </c>
    </row>
    <row r="259" spans="1:44">
      <c r="A259" s="343">
        <f>IFERROR(VLOOKUP($G259,基本資料!$A:$J,3,0),"無")</f>
        <v>10.07</v>
      </c>
      <c r="B259" s="79">
        <f>IFERROR(VLOOKUP($G259,基本資料!$A:$J,4,0),"無")</f>
        <v>68</v>
      </c>
      <c r="C259" s="79">
        <f>IFERROR(VLOOKUP($G259,基本資料!$A:$J,5,0),"無")</f>
        <v>53</v>
      </c>
      <c r="D259" s="79">
        <f>IFERROR(VLOOKUP($G259,基本資料!$A:$J,6,0),"無")</f>
        <v>-8</v>
      </c>
      <c r="E259" s="79">
        <f>IFERROR(VLOOKUP($G259,基本資料!$A:$J,7,0),"無")</f>
        <v>73</v>
      </c>
      <c r="F259" s="6">
        <f>IFERROR(VLOOKUP($G259,基本資料!$A:$J,8,0),"無")</f>
        <v>15.09</v>
      </c>
      <c r="G259" s="79">
        <v>4755</v>
      </c>
      <c r="H259" s="4" t="s">
        <v>3577</v>
      </c>
      <c r="I259" s="22" t="s">
        <v>766</v>
      </c>
      <c r="J259" s="8">
        <f>IFERROR(VLOOKUP($G259,今日總結!$A:$AN,39,0),"")</f>
        <v>234</v>
      </c>
      <c r="K259" s="5">
        <f>IFERROR(VLOOKUP($G259,今日總結!$A:$AN,40,0),"")</f>
        <v>7</v>
      </c>
      <c r="L259" s="156">
        <f>IFERROR(VLOOKUP($G259,今日總結!$A:$AN,37,0),"")</f>
        <v>3</v>
      </c>
      <c r="M259" s="337">
        <f>IFERROR(VLOOKUP($G259,今日總結!$A:$AN,38,0),"")</f>
        <v>1</v>
      </c>
      <c r="N259" s="240">
        <f t="shared" si="129"/>
        <v>2</v>
      </c>
      <c r="O259" s="359">
        <f>IFERROR(VLOOKUP($G259,融外自投!$A:$J,7,0),"無")</f>
        <v>455</v>
      </c>
      <c r="P259" s="79">
        <f>IFERROR(VLOOKUP($G259,融外自投!$A:$J,9,0),"無")</f>
        <v>577</v>
      </c>
      <c r="Q259" s="342">
        <f>IFERROR(VLOOKUP($G259,融外自投!$A:$J,8,0),"無")</f>
        <v>170</v>
      </c>
      <c r="R259" s="81">
        <f>IFERROR(VLOOKUP($G259,融外自投!$A:$J,10,0),"無")</f>
        <v>213</v>
      </c>
      <c r="S259" s="324">
        <f>IFERROR(VLOOKUP($G259,'321買'!$A:$E,4,0),"'沒有資料'")</f>
        <v>186</v>
      </c>
      <c r="T259" s="186">
        <f>IFERROR(VLOOKUP($G259,基本資料!$A:$J,9,0),"無")</f>
        <v>5</v>
      </c>
      <c r="U259" s="307">
        <f t="shared" si="130"/>
        <v>7.564296520423601E-2</v>
      </c>
      <c r="V259" s="94">
        <f>IFERROR(VLOOKUP($G259,基本資料!$A:$J,10,0),"無")</f>
        <v>6.69</v>
      </c>
      <c r="W259" s="36">
        <v>66.099999999999994</v>
      </c>
      <c r="X259" s="66">
        <v>48.7</v>
      </c>
      <c r="Y259" s="15">
        <f t="shared" si="127"/>
        <v>17.399999999999991</v>
      </c>
      <c r="Z259" s="63">
        <f t="shared" si="128"/>
        <v>0.35728952772073902</v>
      </c>
      <c r="AA259" s="99" t="s">
        <v>2113</v>
      </c>
      <c r="AB259" s="389">
        <f>IFERROR(VLOOKUP($G259,基本資料!$A:$M,12,0),"無")</f>
        <v>49.02</v>
      </c>
      <c r="AC259" s="22" t="s">
        <v>766</v>
      </c>
      <c r="AD259" s="84">
        <v>44169</v>
      </c>
      <c r="AE259" s="86">
        <v>44179</v>
      </c>
      <c r="AF259" s="33">
        <f t="shared" si="124"/>
        <v>10</v>
      </c>
      <c r="AG259" s="43" t="s">
        <v>2084</v>
      </c>
      <c r="AH259" s="259"/>
      <c r="AJ259" s="245"/>
      <c r="AK259" s="245"/>
      <c r="AR259" s="245" t="str">
        <f>INDEX(基本資料!N:N,MATCH($G259,基本資料!$A:$A,0))</f>
        <v>高</v>
      </c>
    </row>
    <row r="260" spans="1:44">
      <c r="A260" s="343">
        <f>IFERROR(VLOOKUP($G260,基本資料!$A:$J,3,0),"無")</f>
        <v>2.2599999999999998</v>
      </c>
      <c r="B260" s="79">
        <f>IFERROR(VLOOKUP($G260,基本資料!$A:$J,4,0),"無")</f>
        <v>64</v>
      </c>
      <c r="C260" s="79">
        <f>IFERROR(VLOOKUP($G260,基本資料!$A:$J,5,0),"無")</f>
        <v>27</v>
      </c>
      <c r="D260" s="79">
        <f>IFERROR(VLOOKUP($G260,基本資料!$A:$J,6,0),"無")</f>
        <v>-1</v>
      </c>
      <c r="E260" s="79">
        <f>IFERROR(VLOOKUP($G260,基本資料!$A:$J,7,0),"無")</f>
        <v>89</v>
      </c>
      <c r="F260" s="6">
        <f>IFERROR(VLOOKUP($G260,基本資料!$A:$J,8,0),"無")</f>
        <v>13.45</v>
      </c>
      <c r="G260" s="80">
        <v>6727</v>
      </c>
      <c r="H260" s="4" t="s">
        <v>3388</v>
      </c>
      <c r="I260" s="16" t="s">
        <v>2082</v>
      </c>
      <c r="J260" s="8" t="str">
        <f>IFERROR(VLOOKUP($G260,今日總結!$A:$AN,39,0),"")</f>
        <v/>
      </c>
      <c r="K260" s="5" t="str">
        <f>IFERROR(VLOOKUP($G260,今日總結!$A:$AN,40,0),"")</f>
        <v/>
      </c>
      <c r="L260" s="156" t="str">
        <f>IFERROR(VLOOKUP($G260,今日總結!$A:$AN,37,0),"")</f>
        <v/>
      </c>
      <c r="M260" s="337" t="str">
        <f>IFERROR(VLOOKUP($G260,今日總結!$A:$AN,38,0),"")</f>
        <v/>
      </c>
      <c r="N260" s="240" t="str">
        <f t="shared" si="129"/>
        <v/>
      </c>
      <c r="O260" s="359" t="str">
        <f>IFERROR(VLOOKUP($G260,融外自投!$A:$J,7,0),"無")</f>
        <v>無</v>
      </c>
      <c r="P260" s="79" t="str">
        <f>IFERROR(VLOOKUP($G260,融外自投!$A:$J,9,0),"無")</f>
        <v>無</v>
      </c>
      <c r="Q260" s="342" t="str">
        <f>IFERROR(VLOOKUP($G260,融外自投!$A:$J,8,0),"無")</f>
        <v>無</v>
      </c>
      <c r="R260" s="81" t="str">
        <f>IFERROR(VLOOKUP($G260,融外自投!$A:$J,10,0),"無")</f>
        <v>無</v>
      </c>
      <c r="S260" s="324" t="str">
        <f>IFERROR(VLOOKUP($G260,'321買'!$A:$E,4,0),"'沒有資料'")</f>
        <v>'沒有資料'</v>
      </c>
      <c r="T260" s="186">
        <f>IFERROR(VLOOKUP($G260,基本資料!$A:$J,9,0),"無")</f>
        <v>3</v>
      </c>
      <c r="U260" s="307">
        <f t="shared" si="130"/>
        <v>5.0505050505050504E-2</v>
      </c>
      <c r="V260" s="94">
        <f>IFERROR(VLOOKUP($G260,基本資料!$A:$J,10,0),"無")</f>
        <v>5.75</v>
      </c>
      <c r="W260" s="36">
        <v>59.4</v>
      </c>
      <c r="X260" s="66">
        <v>52.8</v>
      </c>
      <c r="Y260" s="15">
        <f t="shared" si="127"/>
        <v>6.6000000000000014</v>
      </c>
      <c r="Z260" s="63">
        <f t="shared" si="128"/>
        <v>0.12500000000000003</v>
      </c>
      <c r="AA260" s="99" t="s">
        <v>2106</v>
      </c>
      <c r="AB260" s="389">
        <f>IFERROR(VLOOKUP($G260,基本資料!$A:$M,12,0),"無")</f>
        <v>47.53</v>
      </c>
      <c r="AC260" s="16" t="s">
        <v>2082</v>
      </c>
      <c r="AD260" s="84">
        <v>44166</v>
      </c>
      <c r="AE260" s="86">
        <v>44176</v>
      </c>
      <c r="AF260" s="33">
        <f t="shared" si="124"/>
        <v>10</v>
      </c>
      <c r="AG260" s="43" t="s">
        <v>2083</v>
      </c>
      <c r="AH260" s="259"/>
      <c r="AJ260" s="245"/>
      <c r="AK260" s="245"/>
      <c r="AR260" s="245" t="str">
        <f>INDEX(基本資料!N:N,MATCH($G260,基本資料!$A:$A,0))</f>
        <v>低</v>
      </c>
    </row>
    <row r="261" spans="1:44">
      <c r="A261" s="343">
        <f>IFERROR(VLOOKUP($G261,基本資料!$A:$J,3,0),"無")</f>
        <v>6.78</v>
      </c>
      <c r="B261" s="79">
        <f>IFERROR(VLOOKUP($G261,基本資料!$A:$J,4,0),"無")</f>
        <v>35</v>
      </c>
      <c r="C261" s="79">
        <f>IFERROR(VLOOKUP($G261,基本資料!$A:$J,5,0),"無")</f>
        <v>26</v>
      </c>
      <c r="D261" s="79">
        <f>IFERROR(VLOOKUP($G261,基本資料!$A:$J,6,0),"無")</f>
        <v>0</v>
      </c>
      <c r="E261" s="79">
        <f>IFERROR(VLOOKUP($G261,基本資料!$A:$J,7,0),"無")</f>
        <v>58</v>
      </c>
      <c r="F261" s="6">
        <f>IFERROR(VLOOKUP($G261,基本資料!$A:$J,8,0),"無")</f>
        <v>15.28</v>
      </c>
      <c r="G261" s="80">
        <v>1342</v>
      </c>
      <c r="H261" s="4" t="s">
        <v>293</v>
      </c>
      <c r="I261" s="22" t="s">
        <v>2076</v>
      </c>
      <c r="J261" s="8">
        <f>IFERROR(VLOOKUP($G261,今日總結!$A:$AN,39,0),"")</f>
        <v>0</v>
      </c>
      <c r="K261" s="5">
        <f>IFERROR(VLOOKUP($G261,今日總結!$A:$AN,40,0),"")</f>
        <v>0</v>
      </c>
      <c r="L261" s="156">
        <f>IFERROR(VLOOKUP($G261,今日總結!$A:$AN,37,0),"")</f>
        <v>0</v>
      </c>
      <c r="M261" s="337">
        <f>IFERROR(VLOOKUP($G261,今日總結!$A:$AN,38,0),"")</f>
        <v>0</v>
      </c>
      <c r="N261" s="240">
        <f t="shared" si="129"/>
        <v>0</v>
      </c>
      <c r="O261" s="359">
        <f>IFERROR(VLOOKUP($G261,融外自投!$A:$J,7,0),"無")</f>
        <v>906</v>
      </c>
      <c r="P261" s="79">
        <f>IFERROR(VLOOKUP($G261,融外自投!$A:$J,9,0),"無")</f>
        <v>537</v>
      </c>
      <c r="Q261" s="342">
        <f>IFERROR(VLOOKUP($G261,融外自投!$A:$J,8,0),"無")</f>
        <v>58</v>
      </c>
      <c r="R261" s="81" t="str">
        <f>IFERROR(VLOOKUP($G261,融外自投!$A:$J,10,0),"無")</f>
        <v>無</v>
      </c>
      <c r="S261" s="324">
        <f>IFERROR(VLOOKUP($G261,'321買'!$A:$E,4,0),"'沒有資料'")</f>
        <v>1002</v>
      </c>
      <c r="T261" s="186">
        <f>IFERROR(VLOOKUP($G261,基本資料!$A:$J,9,0),"無")</f>
        <v>3</v>
      </c>
      <c r="U261" s="307">
        <f t="shared" si="130"/>
        <v>4.95049504950495E-2</v>
      </c>
      <c r="V261" s="94">
        <f>IFERROR(VLOOKUP($G261,基本資料!$A:$J,10,0),"無")</f>
        <v>3.92</v>
      </c>
      <c r="W261" s="13">
        <v>60.6</v>
      </c>
      <c r="X261" s="66">
        <v>55</v>
      </c>
      <c r="Y261" s="15">
        <f t="shared" si="127"/>
        <v>5.6000000000000014</v>
      </c>
      <c r="Z261" s="63">
        <f t="shared" si="128"/>
        <v>0.10181818181818185</v>
      </c>
      <c r="AA261" s="99" t="s">
        <v>2090</v>
      </c>
      <c r="AB261" s="389">
        <f>IFERROR(VLOOKUP($G261,基本資料!$A:$M,12,0),"無")</f>
        <v>84.78</v>
      </c>
      <c r="AC261" s="22" t="s">
        <v>2076</v>
      </c>
      <c r="AD261" s="84">
        <v>44159</v>
      </c>
      <c r="AE261" s="86">
        <v>44169</v>
      </c>
      <c r="AF261" s="33">
        <f t="shared" si="124"/>
        <v>10</v>
      </c>
      <c r="AG261" s="43" t="s">
        <v>2077</v>
      </c>
      <c r="AH261" s="259"/>
      <c r="AJ261" s="245"/>
      <c r="AK261" s="245"/>
      <c r="AR261" s="245" t="str">
        <f>INDEX(基本資料!N:N,MATCH($G261,基本資料!$A:$A,0))</f>
        <v>高</v>
      </c>
    </row>
    <row r="262" spans="1:44">
      <c r="A262" s="343">
        <f>IFERROR(VLOOKUP($G262,基本資料!$A:$J,3,0),"無")</f>
        <v>4.43</v>
      </c>
      <c r="B262" s="79">
        <f>IFERROR(VLOOKUP($G262,基本資料!$A:$J,4,0),"無")</f>
        <v>29</v>
      </c>
      <c r="C262" s="79">
        <f>IFERROR(VLOOKUP($G262,基本資料!$A:$J,5,0),"無")</f>
        <v>44</v>
      </c>
      <c r="D262" s="79">
        <f>IFERROR(VLOOKUP($G262,基本資料!$A:$J,6,0),"無")</f>
        <v>-27</v>
      </c>
      <c r="E262" s="79">
        <f>IFERROR(VLOOKUP($G262,基本資料!$A:$J,7,0),"無")</f>
        <v>-52</v>
      </c>
      <c r="F262" s="6">
        <f>IFERROR(VLOOKUP($G262,基本資料!$A:$J,8,0),"無")</f>
        <v>-9.7899999999999991</v>
      </c>
      <c r="G262" s="80">
        <v>6625</v>
      </c>
      <c r="H262" s="4" t="s">
        <v>1959</v>
      </c>
      <c r="I262" s="22" t="s">
        <v>6121</v>
      </c>
      <c r="J262" s="8">
        <f>IFERROR(VLOOKUP($G262,今日總結!$A:$AN,39,0),"")</f>
        <v>0</v>
      </c>
      <c r="K262" s="5">
        <f>IFERROR(VLOOKUP($G262,今日總結!$A:$AN,40,0),"")</f>
        <v>0</v>
      </c>
      <c r="L262" s="156">
        <f>IFERROR(VLOOKUP($G262,今日總結!$A:$AN,37,0),"")</f>
        <v>0</v>
      </c>
      <c r="M262" s="337">
        <f>IFERROR(VLOOKUP($G262,今日總結!$A:$AN,38,0),"")</f>
        <v>0</v>
      </c>
      <c r="N262" s="240">
        <f t="shared" si="129"/>
        <v>0</v>
      </c>
      <c r="O262" s="359">
        <f>IFERROR(VLOOKUP($G262,融外自投!$A:$J,7,0),"無")</f>
        <v>1045</v>
      </c>
      <c r="P262" s="79">
        <f>IFERROR(VLOOKUP($G262,融外自投!$A:$J,9,0),"無")</f>
        <v>1051</v>
      </c>
      <c r="Q262" s="342">
        <f>IFERROR(VLOOKUP($G262,融外自投!$A:$J,8,0),"無")</f>
        <v>1082</v>
      </c>
      <c r="R262" s="81" t="str">
        <f>IFERROR(VLOOKUP($G262,融外自投!$A:$J,10,0),"無")</f>
        <v>無</v>
      </c>
      <c r="S262" s="324">
        <f>IFERROR(VLOOKUP($G262,'321買'!$A:$E,4,0),"'沒有資料'")</f>
        <v>1002</v>
      </c>
      <c r="T262" s="186">
        <f>IFERROR(VLOOKUP($G262,基本資料!$A:$J,9,0),"無")</f>
        <v>0</v>
      </c>
      <c r="U262" s="307">
        <f t="shared" si="130"/>
        <v>0</v>
      </c>
      <c r="V262" s="94">
        <f>IFERROR(VLOOKUP($G262,基本資料!$A:$J,10,0),"無")</f>
        <v>-2</v>
      </c>
      <c r="W262" s="36">
        <v>33.6</v>
      </c>
      <c r="X262" s="66">
        <v>30</v>
      </c>
      <c r="Y262" s="15">
        <f t="shared" si="127"/>
        <v>3.6000000000000014</v>
      </c>
      <c r="Z262" s="63">
        <f t="shared" si="128"/>
        <v>0.12000000000000005</v>
      </c>
      <c r="AA262" s="99" t="s">
        <v>2091</v>
      </c>
      <c r="AB262" s="389">
        <f>IFERROR(VLOOKUP($G262,基本資料!$A:$M,12,0),"無")</f>
        <v>16.14</v>
      </c>
      <c r="AC262" s="22" t="s">
        <v>684</v>
      </c>
      <c r="AD262" s="84">
        <v>44159</v>
      </c>
      <c r="AE262" s="86">
        <v>44169</v>
      </c>
      <c r="AF262" s="33">
        <f t="shared" ref="AF262:AF325" si="131">AE262-AD262</f>
        <v>10</v>
      </c>
      <c r="AG262" s="43" t="s">
        <v>2074</v>
      </c>
      <c r="AH262" s="259"/>
      <c r="AJ262" s="245"/>
      <c r="AK262" s="245"/>
      <c r="AR262" s="245" t="str">
        <f>INDEX(基本資料!N:N,MATCH($G262,基本資料!$A:$A,0))</f>
        <v>低</v>
      </c>
    </row>
    <row r="263" spans="1:44" ht="17.25" customHeight="1">
      <c r="A263" s="343">
        <f>IFERROR(VLOOKUP($G263,基本資料!$A:$J,3,0),"無")</f>
        <v>38.79</v>
      </c>
      <c r="B263" s="79">
        <f>IFERROR(VLOOKUP($G263,基本資料!$A:$J,4,0),"無")</f>
        <v>943</v>
      </c>
      <c r="C263" s="79">
        <f>IFERROR(VLOOKUP($G263,基本資料!$A:$J,5,0),"無")</f>
        <v>936</v>
      </c>
      <c r="D263" s="79">
        <f>IFERROR(VLOOKUP($G263,基本資料!$A:$J,6,0),"無")</f>
        <v>-83</v>
      </c>
      <c r="E263" s="79">
        <f>IFERROR(VLOOKUP($G263,基本資料!$A:$J,7,0),"無")</f>
        <v>4878</v>
      </c>
      <c r="F263" s="6">
        <f>IFERROR(VLOOKUP($G263,基本資料!$A:$J,8,0),"無")</f>
        <v>17.239999999999998</v>
      </c>
      <c r="G263" s="79">
        <v>6177</v>
      </c>
      <c r="H263" s="4" t="s">
        <v>4002</v>
      </c>
      <c r="I263" s="22" t="s">
        <v>6130</v>
      </c>
      <c r="J263" s="8">
        <f>IFERROR(VLOOKUP($G263,今日總結!$A:$AN,39,0),"")</f>
        <v>0</v>
      </c>
      <c r="K263" s="5">
        <f>IFERROR(VLOOKUP($G263,今日總結!$A:$AN,40,0),"")</f>
        <v>0</v>
      </c>
      <c r="L263" s="156">
        <f>IFERROR(VLOOKUP($G263,今日總結!$A:$AN,37,0),"")</f>
        <v>0</v>
      </c>
      <c r="M263" s="337">
        <f>IFERROR(VLOOKUP($G263,今日總結!$A:$AN,38,0),"")</f>
        <v>0</v>
      </c>
      <c r="N263" s="240">
        <f t="shared" si="129"/>
        <v>0</v>
      </c>
      <c r="O263" s="359">
        <f>IFERROR(VLOOKUP($G263,融外自投!$A:$J,7,0),"無")</f>
        <v>867</v>
      </c>
      <c r="P263" s="79" t="str">
        <f>IFERROR(VLOOKUP($G263,融外自投!$A:$J,9,0),"無")</f>
        <v>無</v>
      </c>
      <c r="Q263" s="342">
        <f>IFERROR(VLOOKUP($G263,融外自投!$A:$J,8,0),"無")</f>
        <v>881</v>
      </c>
      <c r="R263" s="81" t="str">
        <f>IFERROR(VLOOKUP($G263,融外自投!$A:$J,10,0),"無")</f>
        <v>無</v>
      </c>
      <c r="S263" s="324">
        <f>IFERROR(VLOOKUP($G263,'321買'!$A:$E,4,0),"'沒有資料'")</f>
        <v>1002</v>
      </c>
      <c r="T263" s="186">
        <f>IFERROR(VLOOKUP($G263,基本資料!$A:$J,9,0),"無")</f>
        <v>3</v>
      </c>
      <c r="U263" s="307">
        <f t="shared" si="130"/>
        <v>9.5846645367412137E-2</v>
      </c>
      <c r="V263" s="94">
        <f>IFERROR(VLOOKUP($G263,基本資料!$A:$J,10,0),"無")</f>
        <v>4.03</v>
      </c>
      <c r="W263" s="36">
        <v>31.3</v>
      </c>
      <c r="X263" s="66">
        <v>25</v>
      </c>
      <c r="Y263" s="15">
        <f t="shared" si="127"/>
        <v>6.3000000000000007</v>
      </c>
      <c r="Z263" s="63">
        <f t="shared" si="128"/>
        <v>0.252</v>
      </c>
      <c r="AA263" s="99" t="s">
        <v>1790</v>
      </c>
      <c r="AB263" s="389">
        <f>IFERROR(VLOOKUP($G263,基本資料!$A:$M,12,0),"無")</f>
        <v>34.81</v>
      </c>
      <c r="AC263" s="22" t="s">
        <v>937</v>
      </c>
      <c r="AD263" s="84">
        <v>44159</v>
      </c>
      <c r="AE263" s="86">
        <v>44169</v>
      </c>
      <c r="AF263" s="33">
        <f t="shared" si="131"/>
        <v>10</v>
      </c>
      <c r="AG263" s="43" t="s">
        <v>2011</v>
      </c>
      <c r="AH263" s="259"/>
      <c r="AJ263" s="245"/>
      <c r="AK263" s="245"/>
      <c r="AR263" s="245" t="str">
        <f>INDEX(基本資料!N:N,MATCH($G263,基本資料!$A:$A,0))</f>
        <v>低</v>
      </c>
    </row>
    <row r="264" spans="1:44">
      <c r="A264" s="343">
        <f>IFERROR(VLOOKUP($G264,基本資料!$A:$J,3,0),"無")</f>
        <v>27.03</v>
      </c>
      <c r="B264" s="79">
        <f>IFERROR(VLOOKUP($G264,基本資料!$A:$J,4,0),"無")</f>
        <v>478</v>
      </c>
      <c r="C264" s="79">
        <f>IFERROR(VLOOKUP($G264,基本資料!$A:$J,5,0),"無")</f>
        <v>607</v>
      </c>
      <c r="D264" s="79">
        <f>IFERROR(VLOOKUP($G264,基本資料!$A:$J,6,0),"無")</f>
        <v>-12</v>
      </c>
      <c r="E264" s="79">
        <f>IFERROR(VLOOKUP($G264,基本資料!$A:$J,7,0),"無")</f>
        <v>21</v>
      </c>
      <c r="F264" s="6">
        <f>IFERROR(VLOOKUP($G264,基本資料!$A:$J,8,0),"無")</f>
        <v>18.37</v>
      </c>
      <c r="G264" s="79">
        <v>5351</v>
      </c>
      <c r="H264" s="54" t="s">
        <v>3038</v>
      </c>
      <c r="I264" s="24" t="s">
        <v>250</v>
      </c>
      <c r="J264" s="8">
        <f>IFERROR(VLOOKUP($G264,今日總結!$A:$AN,39,0),"")</f>
        <v>0</v>
      </c>
      <c r="K264" s="5">
        <f>IFERROR(VLOOKUP($G264,今日總結!$A:$AN,40,0),"")</f>
        <v>0</v>
      </c>
      <c r="L264" s="156">
        <f>IFERROR(VLOOKUP($G264,今日總結!$A:$AN,37,0),"")</f>
        <v>0</v>
      </c>
      <c r="M264" s="337">
        <f>IFERROR(VLOOKUP($G264,今日總結!$A:$AN,38,0),"")</f>
        <v>0</v>
      </c>
      <c r="N264" s="240">
        <f t="shared" si="129"/>
        <v>0</v>
      </c>
      <c r="O264" s="359">
        <f>IFERROR(VLOOKUP($G264,融外自投!$A:$J,7,0),"無")</f>
        <v>78</v>
      </c>
      <c r="P264" s="79">
        <f>IFERROR(VLOOKUP($G264,融外自投!$A:$J,9,0),"無")</f>
        <v>159</v>
      </c>
      <c r="Q264" s="342">
        <f>IFERROR(VLOOKUP($G264,融外自投!$A:$J,8,0),"無")</f>
        <v>628</v>
      </c>
      <c r="R264" s="81">
        <f>IFERROR(VLOOKUP($G264,融外自投!$A:$J,10,0),"無")</f>
        <v>403</v>
      </c>
      <c r="S264" s="324">
        <f>IFERROR(VLOOKUP($G264,'321買'!$A:$E,4,0),"'沒有資料'")</f>
        <v>18</v>
      </c>
      <c r="T264" s="186">
        <f>IFERROR(VLOOKUP($G264,基本資料!$A:$J,9,0),"無")</f>
        <v>1.3</v>
      </c>
      <c r="U264" s="307">
        <f t="shared" si="130"/>
        <v>5.829596412556054E-2</v>
      </c>
      <c r="V264" s="94">
        <f>IFERROR(VLOOKUP($G264,基本資料!$A:$J,10,0),"無")</f>
        <v>3.91</v>
      </c>
      <c r="W264" s="36">
        <v>22.3</v>
      </c>
      <c r="X264" s="45">
        <v>14.6</v>
      </c>
      <c r="Y264" s="15">
        <f t="shared" si="127"/>
        <v>7.7000000000000011</v>
      </c>
      <c r="Z264" s="63">
        <f t="shared" si="128"/>
        <v>0.52739726027397271</v>
      </c>
      <c r="AA264" s="99" t="s">
        <v>2092</v>
      </c>
      <c r="AB264" s="389">
        <f>IFERROR(VLOOKUP($G264,基本資料!$A:$M,12,0),"無")</f>
        <v>19.84</v>
      </c>
      <c r="AC264" s="24" t="s">
        <v>250</v>
      </c>
      <c r="AD264" s="84">
        <v>44159</v>
      </c>
      <c r="AE264" s="86">
        <v>44169</v>
      </c>
      <c r="AF264" s="33">
        <f t="shared" si="131"/>
        <v>10</v>
      </c>
      <c r="AG264" s="119" t="s">
        <v>1924</v>
      </c>
      <c r="AH264" s="289"/>
      <c r="AJ264" s="245"/>
      <c r="AK264" s="245"/>
      <c r="AR264" s="245" t="str">
        <f>INDEX(基本資料!N:N,MATCH($G264,基本資料!$A:$A,0))</f>
        <v>中</v>
      </c>
    </row>
    <row r="265" spans="1:44" s="7" customFormat="1" ht="17.100000000000001" customHeight="1">
      <c r="A265" s="343">
        <f>IFERROR(VLOOKUP($G265,基本資料!$A:$J,3,0),"無")</f>
        <v>3</v>
      </c>
      <c r="B265" s="79">
        <f>IFERROR(VLOOKUP($G265,基本資料!$A:$J,4,0),"無")</f>
        <v>93</v>
      </c>
      <c r="C265" s="79">
        <f>IFERROR(VLOOKUP($G265,基本資料!$A:$J,5,0),"無")</f>
        <v>73</v>
      </c>
      <c r="D265" s="79">
        <f>IFERROR(VLOOKUP($G265,基本資料!$A:$J,6,0),"無")</f>
        <v>-16</v>
      </c>
      <c r="E265" s="79">
        <f>IFERROR(VLOOKUP($G265,基本資料!$A:$J,7,0),"無")</f>
        <v>23</v>
      </c>
      <c r="F265" s="6">
        <f>IFERROR(VLOOKUP($G265,基本資料!$A:$J,8,0),"無")</f>
        <v>22.97</v>
      </c>
      <c r="G265" s="79">
        <v>4945</v>
      </c>
      <c r="H265" s="53" t="s">
        <v>3038</v>
      </c>
      <c r="I265" s="24" t="s">
        <v>2072</v>
      </c>
      <c r="J265" s="8">
        <f>IFERROR(VLOOKUP($G265,今日總結!$A:$AN,39,0),"")</f>
        <v>5</v>
      </c>
      <c r="K265" s="5">
        <f>IFERROR(VLOOKUP($G265,今日總結!$A:$AN,40,0),"")</f>
        <v>0</v>
      </c>
      <c r="L265" s="156">
        <f>IFERROR(VLOOKUP($G265,今日總結!$A:$AN,37,0),"")</f>
        <v>1</v>
      </c>
      <c r="M265" s="337">
        <f>IFERROR(VLOOKUP($G265,今日總結!$A:$AN,38,0),"")</f>
        <v>0</v>
      </c>
      <c r="N265" s="240">
        <f t="shared" si="129"/>
        <v>1</v>
      </c>
      <c r="O265" s="359">
        <f>IFERROR(VLOOKUP($G265,融外自投!$A:$J,7,0),"無")</f>
        <v>615</v>
      </c>
      <c r="P265" s="79">
        <f>IFERROR(VLOOKUP($G265,融外自投!$A:$J,9,0),"無")</f>
        <v>451</v>
      </c>
      <c r="Q265" s="342">
        <f>IFERROR(VLOOKUP($G265,融外自投!$A:$J,8,0),"無")</f>
        <v>799</v>
      </c>
      <c r="R265" s="81">
        <f>IFERROR(VLOOKUP($G265,融外自投!$A:$J,10,0),"無")</f>
        <v>213</v>
      </c>
      <c r="S265" s="324">
        <f>IFERROR(VLOOKUP($G265,'321買'!$A:$E,4,0),"'沒有資料'")</f>
        <v>366</v>
      </c>
      <c r="T265" s="186">
        <f>IFERROR(VLOOKUP($G265,基本資料!$A:$J,9,0),"無")</f>
        <v>3.2</v>
      </c>
      <c r="U265" s="307">
        <f t="shared" si="130"/>
        <v>6.3872255489021965E-2</v>
      </c>
      <c r="V265" s="94">
        <f>IFERROR(VLOOKUP($G265,基本資料!$A:$J,10,0),"無")</f>
        <v>3.51</v>
      </c>
      <c r="W265" s="36">
        <v>50.1</v>
      </c>
      <c r="X265" s="66">
        <v>38</v>
      </c>
      <c r="Y265" s="15">
        <f t="shared" si="127"/>
        <v>12.100000000000001</v>
      </c>
      <c r="Z265" s="63">
        <f t="shared" si="128"/>
        <v>0.31842105263157899</v>
      </c>
      <c r="AA265" s="99" t="s">
        <v>2064</v>
      </c>
      <c r="AB265" s="389">
        <f>IFERROR(VLOOKUP($G265,基本資料!$A:$M,12,0),"無")</f>
        <v>25.66</v>
      </c>
      <c r="AC265" s="24" t="s">
        <v>2072</v>
      </c>
      <c r="AD265" s="84">
        <v>44155</v>
      </c>
      <c r="AE265" s="86">
        <v>44165</v>
      </c>
      <c r="AF265" s="33">
        <f t="shared" si="131"/>
        <v>10</v>
      </c>
      <c r="AG265" s="119" t="s">
        <v>2075</v>
      </c>
      <c r="AH265" s="289"/>
      <c r="AL265" s="250"/>
      <c r="AM265" s="22"/>
      <c r="AN265" s="127"/>
      <c r="AO265" s="250"/>
      <c r="AP265" s="44"/>
      <c r="AR265" s="245" t="str">
        <f>INDEX(基本資料!N:N,MATCH($G265,基本資料!$A:$A,0))</f>
        <v>中</v>
      </c>
    </row>
    <row r="266" spans="1:44">
      <c r="A266" s="343">
        <f>IFERROR(VLOOKUP($G266,基本資料!$A:$J,3,0),"無")</f>
        <v>22.04</v>
      </c>
      <c r="B266" s="79">
        <f>IFERROR(VLOOKUP($G266,基本資料!$A:$J,4,0),"無")</f>
        <v>309</v>
      </c>
      <c r="C266" s="79">
        <f>IFERROR(VLOOKUP($G266,基本資料!$A:$J,5,0),"無")</f>
        <v>226</v>
      </c>
      <c r="D266" s="79">
        <f>IFERROR(VLOOKUP($G266,基本資料!$A:$J,6,0),"無")</f>
        <v>-90</v>
      </c>
      <c r="E266" s="79">
        <f>IFERROR(VLOOKUP($G266,基本資料!$A:$J,7,0),"無")</f>
        <v>0</v>
      </c>
      <c r="F266" s="6">
        <f>IFERROR(VLOOKUP($G266,基本資料!$A:$J,8,0),"無")</f>
        <v>29.37</v>
      </c>
      <c r="G266" s="79">
        <v>6547</v>
      </c>
      <c r="H266" s="4" t="s">
        <v>4723</v>
      </c>
      <c r="I266" s="16" t="s">
        <v>1087</v>
      </c>
      <c r="J266" s="8" t="str">
        <f>IFERROR(VLOOKUP($G266,今日總結!$A:$AN,39,0),"")</f>
        <v/>
      </c>
      <c r="K266" s="5" t="str">
        <f>IFERROR(VLOOKUP($G266,今日總結!$A:$AN,40,0),"")</f>
        <v/>
      </c>
      <c r="L266" s="156" t="str">
        <f>IFERROR(VLOOKUP($G266,今日總結!$A:$AN,37,0),"")</f>
        <v/>
      </c>
      <c r="M266" s="337" t="str">
        <f>IFERROR(VLOOKUP($G266,今日總結!$A:$AN,38,0),"")</f>
        <v/>
      </c>
      <c r="N266" s="240" t="str">
        <f t="shared" si="129"/>
        <v/>
      </c>
      <c r="O266" s="359" t="str">
        <f>IFERROR(VLOOKUP($G266,融外自投!$A:$J,7,0),"無")</f>
        <v>無</v>
      </c>
      <c r="P266" s="79" t="str">
        <f>IFERROR(VLOOKUP($G266,融外自投!$A:$J,9,0),"無")</f>
        <v>無</v>
      </c>
      <c r="Q266" s="342" t="str">
        <f>IFERROR(VLOOKUP($G266,融外自投!$A:$J,8,0),"無")</f>
        <v>無</v>
      </c>
      <c r="R266" s="81" t="str">
        <f>IFERROR(VLOOKUP($G266,融外自投!$A:$J,10,0),"無")</f>
        <v>無</v>
      </c>
      <c r="S266" s="324" t="str">
        <f>IFERROR(VLOOKUP($G266,'321買'!$A:$E,4,0),"'沒有資料'")</f>
        <v>'沒有資料'</v>
      </c>
      <c r="T266" s="186">
        <f>IFERROR(VLOOKUP($G266,基本資料!$A:$J,9,0),"無")</f>
        <v>5</v>
      </c>
      <c r="U266" s="307">
        <f t="shared" si="130"/>
        <v>4.6728971962616821E-2</v>
      </c>
      <c r="V266" s="94">
        <f>IFERROR(VLOOKUP($G266,基本資料!$A:$J,10,0),"無")</f>
        <v>6.65</v>
      </c>
      <c r="W266" s="36">
        <v>107</v>
      </c>
      <c r="X266" s="66">
        <v>80</v>
      </c>
      <c r="Y266" s="15">
        <f t="shared" si="127"/>
        <v>27</v>
      </c>
      <c r="Z266" s="63">
        <f t="shared" si="128"/>
        <v>0.33750000000000002</v>
      </c>
      <c r="AA266" s="99" t="s">
        <v>2087</v>
      </c>
      <c r="AB266" s="389">
        <f>IFERROR(VLOOKUP($G266,基本資料!$A:$M,12,0),"無")</f>
        <v>35.04</v>
      </c>
      <c r="AC266" s="16" t="s">
        <v>1087</v>
      </c>
      <c r="AD266" s="84">
        <v>44155</v>
      </c>
      <c r="AE266" s="86">
        <v>44165</v>
      </c>
      <c r="AF266" s="33">
        <f t="shared" si="131"/>
        <v>10</v>
      </c>
      <c r="AG266" s="43" t="s">
        <v>1900</v>
      </c>
      <c r="AH266" s="259"/>
      <c r="AJ266" s="245"/>
      <c r="AK266" s="245"/>
      <c r="AR266" s="245" t="str">
        <f>INDEX(基本資料!N:N,MATCH($G266,基本資料!$A:$A,0))</f>
        <v>低</v>
      </c>
    </row>
    <row r="267" spans="1:44">
      <c r="A267" s="343">
        <f>IFERROR(VLOOKUP($G267,基本資料!$A:$J,3,0),"無")</f>
        <v>14.94</v>
      </c>
      <c r="B267" s="79">
        <f>IFERROR(VLOOKUP($G267,基本資料!$A:$J,4,0),"無")</f>
        <v>-283</v>
      </c>
      <c r="C267" s="79">
        <f>IFERROR(VLOOKUP($G267,基本資料!$A:$J,5,0),"無")</f>
        <v>-474</v>
      </c>
      <c r="D267" s="79">
        <f>IFERROR(VLOOKUP($G267,基本資料!$A:$J,6,0),"無")</f>
        <v>-14</v>
      </c>
      <c r="E267" s="79">
        <f>IFERROR(VLOOKUP($G267,基本資料!$A:$J,7,0),"無")</f>
        <v>13</v>
      </c>
      <c r="F267" s="6">
        <f>IFERROR(VLOOKUP($G267,基本資料!$A:$J,8,0),"無")</f>
        <v>-10.59</v>
      </c>
      <c r="G267" s="79">
        <v>8011</v>
      </c>
      <c r="H267" s="4" t="s">
        <v>311</v>
      </c>
      <c r="I267" s="22" t="s">
        <v>236</v>
      </c>
      <c r="J267" s="8">
        <f>IFERROR(VLOOKUP($G267,今日總結!$A:$AN,39,0),"")</f>
        <v>0</v>
      </c>
      <c r="K267" s="5">
        <f>IFERROR(VLOOKUP($G267,今日總結!$A:$AN,40,0),"")</f>
        <v>0</v>
      </c>
      <c r="L267" s="156">
        <f>IFERROR(VLOOKUP($G267,今日總結!$A:$AN,37,0),"")</f>
        <v>0</v>
      </c>
      <c r="M267" s="337">
        <f>IFERROR(VLOOKUP($G267,今日總結!$A:$AN,38,0),"")</f>
        <v>0</v>
      </c>
      <c r="N267" s="240">
        <f t="shared" si="129"/>
        <v>0</v>
      </c>
      <c r="O267" s="359">
        <f>IFERROR(VLOOKUP($G267,融外自投!$A:$J,7,0),"無")</f>
        <v>418</v>
      </c>
      <c r="P267" s="79" t="str">
        <f>IFERROR(VLOOKUP($G267,融外自投!$A:$J,9,0),"無")</f>
        <v>無</v>
      </c>
      <c r="Q267" s="342">
        <f>IFERROR(VLOOKUP($G267,融外自投!$A:$J,8,0),"無")</f>
        <v>993</v>
      </c>
      <c r="R267" s="81" t="str">
        <f>IFERROR(VLOOKUP($G267,融外自投!$A:$J,10,0),"無")</f>
        <v>無</v>
      </c>
      <c r="S267" s="324">
        <f>IFERROR(VLOOKUP($G267,'321買'!$A:$E,4,0),"'沒有資料'")</f>
        <v>606</v>
      </c>
      <c r="T267" s="186">
        <f>IFERROR(VLOOKUP($G267,基本資料!$A:$J,9,0),"無")</f>
        <v>0</v>
      </c>
      <c r="U267" s="307">
        <f t="shared" si="130"/>
        <v>0</v>
      </c>
      <c r="V267" s="94">
        <f>IFERROR(VLOOKUP($G267,基本資料!$A:$J,10,0),"無")</f>
        <v>-1.36</v>
      </c>
      <c r="W267" s="36">
        <v>18.75</v>
      </c>
      <c r="X267" s="66">
        <v>14.2</v>
      </c>
      <c r="Y267" s="15">
        <f t="shared" si="127"/>
        <v>4.5500000000000007</v>
      </c>
      <c r="Z267" s="63">
        <f t="shared" si="128"/>
        <v>0.32042253521126768</v>
      </c>
      <c r="AA267" s="99" t="s">
        <v>2080</v>
      </c>
      <c r="AB267" s="389">
        <f>IFERROR(VLOOKUP($G267,基本資料!$A:$M,12,0),"無")</f>
        <v>15.81</v>
      </c>
      <c r="AC267" s="22" t="s">
        <v>236</v>
      </c>
      <c r="AD267" s="84">
        <v>44152</v>
      </c>
      <c r="AE267" s="86">
        <v>44162</v>
      </c>
      <c r="AF267" s="33">
        <f t="shared" si="131"/>
        <v>10</v>
      </c>
      <c r="AG267" s="117" t="s">
        <v>2069</v>
      </c>
      <c r="AH267" s="259"/>
      <c r="AJ267" s="245"/>
      <c r="AK267" s="245"/>
      <c r="AR267" s="245" t="str">
        <f>INDEX(基本資料!N:N,MATCH($G267,基本資料!$A:$A,0))</f>
        <v>低</v>
      </c>
    </row>
    <row r="268" spans="1:44" ht="17.25" customHeight="1">
      <c r="A268" s="343">
        <f>IFERROR(VLOOKUP($G268,基本資料!$A:$J,3,0),"無")</f>
        <v>6.67</v>
      </c>
      <c r="B268" s="79">
        <f>IFERROR(VLOOKUP($G268,基本資料!$A:$J,4,0),"無")</f>
        <v>-16</v>
      </c>
      <c r="C268" s="79">
        <f>IFERROR(VLOOKUP($G268,基本資料!$A:$J,5,0),"無")</f>
        <v>-21</v>
      </c>
      <c r="D268" s="79">
        <f>IFERROR(VLOOKUP($G268,基本資料!$A:$J,6,0),"無")</f>
        <v>0</v>
      </c>
      <c r="E268" s="79">
        <f>IFERROR(VLOOKUP($G268,基本資料!$A:$J,7,0),"無")</f>
        <v>-4</v>
      </c>
      <c r="F268" s="6">
        <f>IFERROR(VLOOKUP($G268,基本資料!$A:$J,8,0),"無")</f>
        <v>5.64</v>
      </c>
      <c r="G268" s="79">
        <v>3171</v>
      </c>
      <c r="H268" s="4" t="s">
        <v>6108</v>
      </c>
      <c r="I268" s="16" t="s">
        <v>6131</v>
      </c>
      <c r="J268" s="8">
        <f>IFERROR(VLOOKUP($G268,今日總結!$A:$AN,39,0),"")</f>
        <v>0</v>
      </c>
      <c r="K268" s="5">
        <f>IFERROR(VLOOKUP($G268,今日總結!$A:$AN,40,0),"")</f>
        <v>0</v>
      </c>
      <c r="L268" s="156">
        <f>IFERROR(VLOOKUP($G268,今日總結!$A:$AN,37,0),"")</f>
        <v>0</v>
      </c>
      <c r="M268" s="337">
        <f>IFERROR(VLOOKUP($G268,今日總結!$A:$AN,38,0),"")</f>
        <v>0</v>
      </c>
      <c r="N268" s="240">
        <f t="shared" si="129"/>
        <v>0</v>
      </c>
      <c r="O268" s="359">
        <f>IFERROR(VLOOKUP($G268,融外自投!$A:$J,7,0),"無")</f>
        <v>1066</v>
      </c>
      <c r="P268" s="79">
        <f>IFERROR(VLOOKUP($G268,融外自投!$A:$J,9,0),"無")</f>
        <v>1123</v>
      </c>
      <c r="Q268" s="342">
        <f>IFERROR(VLOOKUP($G268,融外自投!$A:$J,8,0),"無")</f>
        <v>1348</v>
      </c>
      <c r="R268" s="81" t="str">
        <f>IFERROR(VLOOKUP($G268,融外自投!$A:$J,10,0),"無")</f>
        <v>無</v>
      </c>
      <c r="S268" s="324">
        <f>IFERROR(VLOOKUP($G268,'321買'!$A:$E,4,0),"'沒有資料'")</f>
        <v>1002</v>
      </c>
      <c r="T268" s="186">
        <f>IFERROR(VLOOKUP($G268,基本資料!$A:$J,9,0),"無")</f>
        <v>1.57</v>
      </c>
      <c r="U268" s="307">
        <f t="shared" si="130"/>
        <v>7.2853828306264495E-2</v>
      </c>
      <c r="V268" s="94">
        <f>IFERROR(VLOOKUP($G268,基本資料!$A:$J,10,0),"無")</f>
        <v>1.64</v>
      </c>
      <c r="W268" s="36">
        <v>21.55</v>
      </c>
      <c r="X268" s="66">
        <v>20</v>
      </c>
      <c r="Y268" s="15">
        <f t="shared" si="127"/>
        <v>1.5500000000000007</v>
      </c>
      <c r="Z268" s="63">
        <f t="shared" si="128"/>
        <v>7.7500000000000041E-2</v>
      </c>
      <c r="AA268" s="99" t="s">
        <v>2079</v>
      </c>
      <c r="AB268" s="389">
        <f>IFERROR(VLOOKUP($G268,基本資料!$A:$M,12,0),"無")</f>
        <v>26.25</v>
      </c>
      <c r="AC268" s="16" t="s">
        <v>793</v>
      </c>
      <c r="AD268" s="84">
        <v>44147</v>
      </c>
      <c r="AE268" s="86">
        <v>44158</v>
      </c>
      <c r="AF268" s="33">
        <f t="shared" si="131"/>
        <v>11</v>
      </c>
      <c r="AG268" s="43" t="s">
        <v>2063</v>
      </c>
      <c r="AH268" s="259"/>
      <c r="AJ268" s="245"/>
      <c r="AK268" s="245"/>
      <c r="AR268" s="245" t="str">
        <f>INDEX(基本資料!N:N,MATCH($G268,基本資料!$A:$A,0))</f>
        <v>低</v>
      </c>
    </row>
    <row r="269" spans="1:44">
      <c r="A269" s="343">
        <f>IFERROR(VLOOKUP($G269,基本資料!$A:$J,3,0),"無")</f>
        <v>28.99</v>
      </c>
      <c r="B269" s="79">
        <f>IFERROR(VLOOKUP($G269,基本資料!$A:$J,4,0),"無")</f>
        <v>-19</v>
      </c>
      <c r="C269" s="79">
        <f>IFERROR(VLOOKUP($G269,基本資料!$A:$J,5,0),"無")</f>
        <v>-2</v>
      </c>
      <c r="D269" s="79">
        <f>IFERROR(VLOOKUP($G269,基本資料!$A:$J,6,0),"無")</f>
        <v>-23</v>
      </c>
      <c r="E269" s="79">
        <f>IFERROR(VLOOKUP($G269,基本資料!$A:$J,7,0),"無")</f>
        <v>5</v>
      </c>
      <c r="F269" s="6">
        <f>IFERROR(VLOOKUP($G269,基本資料!$A:$J,8,0),"無")</f>
        <v>11.88</v>
      </c>
      <c r="G269" s="80">
        <v>6023</v>
      </c>
      <c r="H269" s="10" t="s">
        <v>304</v>
      </c>
      <c r="I269" s="16" t="s">
        <v>149</v>
      </c>
      <c r="J269" s="8">
        <f>IFERROR(VLOOKUP($G269,今日總結!$A:$AN,39,0),"")</f>
        <v>0</v>
      </c>
      <c r="K269" s="5">
        <f>IFERROR(VLOOKUP($G269,今日總結!$A:$AN,40,0),"")</f>
        <v>0</v>
      </c>
      <c r="L269" s="156">
        <f>IFERROR(VLOOKUP($G269,今日總結!$A:$AN,37,0),"")</f>
        <v>0</v>
      </c>
      <c r="M269" s="337">
        <f>IFERROR(VLOOKUP($G269,今日總結!$A:$AN,38,0),"")</f>
        <v>0</v>
      </c>
      <c r="N269" s="240">
        <f t="shared" si="129"/>
        <v>0</v>
      </c>
      <c r="O269" s="359">
        <f>IFERROR(VLOOKUP($G269,融外自投!$A:$J,7,0),"無")</f>
        <v>1385</v>
      </c>
      <c r="P269" s="79" t="str">
        <f>IFERROR(VLOOKUP($G269,融外自投!$A:$J,9,0),"無")</f>
        <v>無</v>
      </c>
      <c r="Q269" s="342">
        <f>IFERROR(VLOOKUP($G269,融外自投!$A:$J,8,0),"無")</f>
        <v>1309</v>
      </c>
      <c r="R269" s="81" t="str">
        <f>IFERROR(VLOOKUP($G269,融外自投!$A:$J,10,0),"無")</f>
        <v>無</v>
      </c>
      <c r="S269" s="324">
        <f>IFERROR(VLOOKUP($G269,'321買'!$A:$E,4,0),"'沒有資料'")</f>
        <v>1002</v>
      </c>
      <c r="T269" s="186">
        <f>IFERROR(VLOOKUP($G269,基本資料!$A:$J,9,0),"無")</f>
        <v>2.2999999999999998</v>
      </c>
      <c r="U269" s="307">
        <f t="shared" si="130"/>
        <v>4.4834307992202727E-2</v>
      </c>
      <c r="V269" s="94">
        <f>IFERROR(VLOOKUP($G269,基本資料!$A:$J,10,0),"無")</f>
        <v>2.97</v>
      </c>
      <c r="W269" s="36">
        <v>51.3</v>
      </c>
      <c r="X269" s="66">
        <v>45.5</v>
      </c>
      <c r="Y269" s="15">
        <f t="shared" si="127"/>
        <v>5.7999999999999972</v>
      </c>
      <c r="Z269" s="63">
        <f t="shared" si="128"/>
        <v>0.12747252747252741</v>
      </c>
      <c r="AA269" s="99" t="s">
        <v>2071</v>
      </c>
      <c r="AB269" s="389">
        <f>IFERROR(VLOOKUP($G269,基本資料!$A:$M,12,0),"無")</f>
        <v>18.809999999999999</v>
      </c>
      <c r="AC269" s="16" t="s">
        <v>149</v>
      </c>
      <c r="AD269" s="84">
        <v>44139</v>
      </c>
      <c r="AE269" s="86">
        <v>44151</v>
      </c>
      <c r="AF269" s="33">
        <f t="shared" si="131"/>
        <v>12</v>
      </c>
      <c r="AG269" s="117" t="s">
        <v>1438</v>
      </c>
      <c r="AH269" s="259"/>
      <c r="AJ269" s="245"/>
      <c r="AK269" s="245"/>
      <c r="AR269" s="245" t="str">
        <f>INDEX(基本資料!N:N,MATCH($G269,基本資料!$A:$A,0))</f>
        <v>低</v>
      </c>
    </row>
    <row r="270" spans="1:44">
      <c r="A270" s="343">
        <f>IFERROR(VLOOKUP($G270,基本資料!$A:$J,3,0),"無")</f>
        <v>3.97</v>
      </c>
      <c r="B270" s="79">
        <f>IFERROR(VLOOKUP($G270,基本資料!$A:$J,4,0),"無")</f>
        <v>76</v>
      </c>
      <c r="C270" s="79">
        <f>IFERROR(VLOOKUP($G270,基本資料!$A:$J,5,0),"無")</f>
        <v>197</v>
      </c>
      <c r="D270" s="79">
        <f>IFERROR(VLOOKUP($G270,基本資料!$A:$J,6,0),"無")</f>
        <v>-18</v>
      </c>
      <c r="E270" s="79">
        <f>IFERROR(VLOOKUP($G270,基本資料!$A:$J,7,0),"無")</f>
        <v>47</v>
      </c>
      <c r="F270" s="6">
        <f>IFERROR(VLOOKUP($G270,基本資料!$A:$J,8,0),"無")</f>
        <v>8.65</v>
      </c>
      <c r="G270" s="79">
        <v>6667</v>
      </c>
      <c r="H270" s="4" t="s">
        <v>314</v>
      </c>
      <c r="I270" s="16" t="s">
        <v>1073</v>
      </c>
      <c r="J270" s="8">
        <f>IFERROR(VLOOKUP($G270,今日總結!$A:$AN,39,0),"")</f>
        <v>0</v>
      </c>
      <c r="K270" s="5">
        <f>IFERROR(VLOOKUP($G270,今日總結!$A:$AN,40,0),"")</f>
        <v>0</v>
      </c>
      <c r="L270" s="156">
        <f>IFERROR(VLOOKUP($G270,今日總結!$A:$AN,37,0),"")</f>
        <v>0</v>
      </c>
      <c r="M270" s="337">
        <f>IFERROR(VLOOKUP($G270,今日總結!$A:$AN,38,0),"")</f>
        <v>0</v>
      </c>
      <c r="N270" s="240">
        <f t="shared" si="129"/>
        <v>0</v>
      </c>
      <c r="O270" s="359">
        <f>IFERROR(VLOOKUP($G270,融外自投!$A:$J,7,0),"無")</f>
        <v>107</v>
      </c>
      <c r="P270" s="79">
        <f>IFERROR(VLOOKUP($G270,融外自投!$A:$J,9,0),"無")</f>
        <v>487</v>
      </c>
      <c r="Q270" s="342">
        <f>IFERROR(VLOOKUP($G270,融外自投!$A:$J,8,0),"無")</f>
        <v>887</v>
      </c>
      <c r="R270" s="81">
        <f>IFERROR(VLOOKUP($G270,融外自投!$A:$J,10,0),"無")</f>
        <v>262</v>
      </c>
      <c r="S270" s="324">
        <f>IFERROR(VLOOKUP($G270,'321買'!$A:$E,4,0),"'沒有資料'")</f>
        <v>300</v>
      </c>
      <c r="T270" s="186">
        <f>IFERROR(VLOOKUP($G270,基本資料!$A:$J,9,0),"無")</f>
        <v>2.94</v>
      </c>
      <c r="U270" s="307">
        <f t="shared" si="130"/>
        <v>4.4210526315789471E-2</v>
      </c>
      <c r="V270" s="94">
        <f>IFERROR(VLOOKUP($G270,基本資料!$A:$J,10,0),"無")</f>
        <v>3.27</v>
      </c>
      <c r="W270" s="36">
        <v>66.5</v>
      </c>
      <c r="X270" s="66">
        <v>47</v>
      </c>
      <c r="Y270" s="15">
        <f t="shared" si="127"/>
        <v>19.5</v>
      </c>
      <c r="Z270" s="63">
        <f t="shared" si="128"/>
        <v>0.41489361702127658</v>
      </c>
      <c r="AA270" s="99" t="s">
        <v>2070</v>
      </c>
      <c r="AB270" s="389">
        <f>IFERROR(VLOOKUP($G270,基本資料!$A:$M,12,0),"無")</f>
        <v>18.22</v>
      </c>
      <c r="AC270" s="16" t="s">
        <v>1073</v>
      </c>
      <c r="AD270" s="84">
        <v>44138</v>
      </c>
      <c r="AE270" s="86">
        <v>44148</v>
      </c>
      <c r="AF270" s="33">
        <f t="shared" si="131"/>
        <v>10</v>
      </c>
      <c r="AG270" s="43" t="s">
        <v>2052</v>
      </c>
      <c r="AH270" s="259"/>
      <c r="AJ270" s="245"/>
      <c r="AK270" s="245"/>
      <c r="AR270" s="245" t="str">
        <f>INDEX(基本資料!N:N,MATCH($G270,基本資料!$A:$A,0))</f>
        <v>中</v>
      </c>
    </row>
    <row r="271" spans="1:44">
      <c r="A271" s="343">
        <f>IFERROR(VLOOKUP($G271,基本資料!$A:$J,3,0),"無")</f>
        <v>2.2000000000000002</v>
      </c>
      <c r="B271" s="79">
        <f>IFERROR(VLOOKUP($G271,基本資料!$A:$J,4,0),"無")</f>
        <v>33</v>
      </c>
      <c r="C271" s="79">
        <f>IFERROR(VLOOKUP($G271,基本資料!$A:$J,5,0),"無")</f>
        <v>12</v>
      </c>
      <c r="D271" s="79">
        <f>IFERROR(VLOOKUP($G271,基本資料!$A:$J,6,0),"無")</f>
        <v>8</v>
      </c>
      <c r="E271" s="79">
        <f>IFERROR(VLOOKUP($G271,基本資料!$A:$J,7,0),"無")</f>
        <v>31</v>
      </c>
      <c r="F271" s="6">
        <f>IFERROR(VLOOKUP($G271,基本資料!$A:$J,8,0),"無")</f>
        <v>24.64</v>
      </c>
      <c r="G271" s="79">
        <v>7556</v>
      </c>
      <c r="H271" s="52" t="s">
        <v>3038</v>
      </c>
      <c r="I271" s="16" t="s">
        <v>2051</v>
      </c>
      <c r="J271" s="8" t="str">
        <f>IFERROR(VLOOKUP($G271,今日總結!$A:$AN,39,0),"")</f>
        <v/>
      </c>
      <c r="K271" s="5" t="str">
        <f>IFERROR(VLOOKUP($G271,今日總結!$A:$AN,40,0),"")</f>
        <v/>
      </c>
      <c r="L271" s="156" t="str">
        <f>IFERROR(VLOOKUP($G271,今日總結!$A:$AN,37,0),"")</f>
        <v/>
      </c>
      <c r="M271" s="337" t="str">
        <f>IFERROR(VLOOKUP($G271,今日總結!$A:$AN,38,0),"")</f>
        <v/>
      </c>
      <c r="N271" s="240" t="str">
        <f t="shared" si="129"/>
        <v/>
      </c>
      <c r="O271" s="359" t="str">
        <f>IFERROR(VLOOKUP($G271,融外自投!$A:$J,7,0),"無")</f>
        <v>無</v>
      </c>
      <c r="P271" s="79" t="str">
        <f>IFERROR(VLOOKUP($G271,融外自投!$A:$J,9,0),"無")</f>
        <v>無</v>
      </c>
      <c r="Q271" s="342" t="str">
        <f>IFERROR(VLOOKUP($G271,融外自投!$A:$J,8,0),"無")</f>
        <v>無</v>
      </c>
      <c r="R271" s="81" t="str">
        <f>IFERROR(VLOOKUP($G271,融外自投!$A:$J,10,0),"無")</f>
        <v>無</v>
      </c>
      <c r="S271" s="324" t="str">
        <f>IFERROR(VLOOKUP($G271,'321買'!$A:$E,4,0),"'沒有資料'")</f>
        <v>'沒有資料'</v>
      </c>
      <c r="T271" s="186">
        <f>IFERROR(VLOOKUP($G271,基本資料!$A:$J,9,0),"無")</f>
        <v>2.8</v>
      </c>
      <c r="U271" s="307">
        <f t="shared" si="130"/>
        <v>2.9075804776739354E-2</v>
      </c>
      <c r="V271" s="94">
        <f>IFERROR(VLOOKUP($G271,基本資料!$A:$J,10,0),"無")</f>
        <v>4.62</v>
      </c>
      <c r="W271" s="36">
        <v>96.3</v>
      </c>
      <c r="X271" s="66">
        <v>88</v>
      </c>
      <c r="Y271" s="15">
        <f t="shared" si="127"/>
        <v>8.2999999999999972</v>
      </c>
      <c r="Z271" s="63">
        <f t="shared" si="128"/>
        <v>9.4318181818181787E-2</v>
      </c>
      <c r="AA271" s="99" t="s">
        <v>2066</v>
      </c>
      <c r="AB271" s="389">
        <f>IFERROR(VLOOKUP($G271,基本資料!$A:$M,12,0),"無")</f>
        <v>55.47</v>
      </c>
      <c r="AC271" s="16" t="s">
        <v>2051</v>
      </c>
      <c r="AD271" s="84">
        <v>44134</v>
      </c>
      <c r="AE271" s="86">
        <v>44144</v>
      </c>
      <c r="AF271" s="33">
        <f t="shared" si="131"/>
        <v>10</v>
      </c>
      <c r="AG271" s="43" t="s">
        <v>2053</v>
      </c>
      <c r="AH271" s="259"/>
      <c r="AJ271" s="245"/>
      <c r="AK271" s="245"/>
      <c r="AR271" s="245" t="str">
        <f>INDEX(基本資料!N:N,MATCH($G271,基本資料!$A:$A,0))</f>
        <v>中</v>
      </c>
    </row>
    <row r="272" spans="1:44">
      <c r="A272" s="343">
        <f>IFERROR(VLOOKUP($G272,基本資料!$A:$J,3,0),"無")</f>
        <v>200</v>
      </c>
      <c r="B272" s="79">
        <f>IFERROR(VLOOKUP($G272,基本資料!$A:$J,4,0),"無")</f>
        <v>11496</v>
      </c>
      <c r="C272" s="79">
        <f>IFERROR(VLOOKUP($G272,基本資料!$A:$J,5,0),"無")</f>
        <v>938</v>
      </c>
      <c r="D272" s="79">
        <f>IFERROR(VLOOKUP($G272,基本資料!$A:$J,6,0),"無")</f>
        <v>-6</v>
      </c>
      <c r="E272" s="79">
        <f>IFERROR(VLOOKUP($G272,基本資料!$A:$J,7,0),"無")</f>
        <v>33</v>
      </c>
      <c r="F272" s="6">
        <f>IFERROR(VLOOKUP($G272,基本資料!$A:$J,8,0),"無")</f>
        <v>19.55</v>
      </c>
      <c r="G272" s="80">
        <v>2027</v>
      </c>
      <c r="H272" s="4" t="s">
        <v>299</v>
      </c>
      <c r="I272" s="22" t="s">
        <v>3941</v>
      </c>
      <c r="J272" s="8">
        <f>IFERROR(VLOOKUP($G272,今日總結!$A:$AN,39,0),"")</f>
        <v>0</v>
      </c>
      <c r="K272" s="5">
        <f>IFERROR(VLOOKUP($G272,今日總結!$A:$AN,40,0),"")</f>
        <v>0</v>
      </c>
      <c r="L272" s="156">
        <f>IFERROR(VLOOKUP($G272,今日總結!$A:$AN,37,0),"")</f>
        <v>0</v>
      </c>
      <c r="M272" s="337">
        <f>IFERROR(VLOOKUP($G272,今日總結!$A:$AN,38,0),"")</f>
        <v>0</v>
      </c>
      <c r="N272" s="240">
        <f t="shared" si="129"/>
        <v>0</v>
      </c>
      <c r="O272" s="359">
        <f>IFERROR(VLOOKUP($G272,融外自投!$A:$J,7,0),"無")</f>
        <v>430</v>
      </c>
      <c r="P272" s="79">
        <f>IFERROR(VLOOKUP($G272,融外自投!$A:$J,9,0),"無")</f>
        <v>54</v>
      </c>
      <c r="Q272" s="342">
        <f>IFERROR(VLOOKUP($G272,融外自投!$A:$J,8,0),"無")</f>
        <v>342</v>
      </c>
      <c r="R272" s="81">
        <f>IFERROR(VLOOKUP($G272,融外自投!$A:$J,10,0),"無")</f>
        <v>227</v>
      </c>
      <c r="S272" s="324">
        <f>IFERROR(VLOOKUP($G272,'321買'!$A:$E,4,0),"'沒有資料'")</f>
        <v>192</v>
      </c>
      <c r="T272" s="186">
        <f>IFERROR(VLOOKUP($G272,基本資料!$A:$J,9,0),"無")</f>
        <v>1.9</v>
      </c>
      <c r="U272" s="307">
        <f t="shared" si="130"/>
        <v>7.6458752515090531E-2</v>
      </c>
      <c r="V272" s="94">
        <f>IFERROR(VLOOKUP($G272,基本資料!$A:$J,10,0),"無")</f>
        <v>5.76</v>
      </c>
      <c r="W272" s="36">
        <v>24.85</v>
      </c>
      <c r="X272" s="66">
        <v>18</v>
      </c>
      <c r="Y272" s="15">
        <f t="shared" si="127"/>
        <v>6.8500000000000014</v>
      </c>
      <c r="Z272" s="63">
        <f t="shared" si="128"/>
        <v>0.38055555555555565</v>
      </c>
      <c r="AA272" s="99" t="s">
        <v>2067</v>
      </c>
      <c r="AB272" s="389">
        <f>IFERROR(VLOOKUP($G272,基本資料!$A:$M,12,0),"無")</f>
        <v>19.739999999999998</v>
      </c>
      <c r="AC272" s="22" t="s">
        <v>280</v>
      </c>
      <c r="AD272" s="84">
        <v>44134</v>
      </c>
      <c r="AE272" s="86">
        <v>44144</v>
      </c>
      <c r="AF272" s="33">
        <f t="shared" si="131"/>
        <v>10</v>
      </c>
      <c r="AG272" s="117" t="s">
        <v>1425</v>
      </c>
      <c r="AH272" s="259"/>
      <c r="AJ272" s="245"/>
      <c r="AK272" s="245"/>
      <c r="AR272" s="245" t="str">
        <f>INDEX(基本資料!N:N,MATCH($G272,基本資料!$A:$A,0))</f>
        <v>低</v>
      </c>
    </row>
    <row r="273" spans="1:44">
      <c r="A273" s="343">
        <f>IFERROR(VLOOKUP($G273,基本資料!$A:$J,3,0),"無")</f>
        <v>273</v>
      </c>
      <c r="B273" s="79">
        <f>IFERROR(VLOOKUP($G273,基本資料!$A:$J,4,0),"無")</f>
        <v>39</v>
      </c>
      <c r="C273" s="79">
        <f>IFERROR(VLOOKUP($G273,基本資料!$A:$J,5,0),"無")</f>
        <v>0</v>
      </c>
      <c r="D273" s="79">
        <f>IFERROR(VLOOKUP($G273,基本資料!$A:$J,6,0),"無")</f>
        <v>-16</v>
      </c>
      <c r="E273" s="79">
        <f>IFERROR(VLOOKUP($G273,基本資料!$A:$J,7,0),"無")</f>
        <v>-37</v>
      </c>
      <c r="F273" s="6">
        <f>IFERROR(VLOOKUP($G273,基本資料!$A:$J,8,0),"無")</f>
        <v>0</v>
      </c>
      <c r="G273" s="80">
        <v>2897</v>
      </c>
      <c r="H273" s="10" t="s">
        <v>304</v>
      </c>
      <c r="I273" s="22" t="s">
        <v>336</v>
      </c>
      <c r="J273" s="8">
        <f>IFERROR(VLOOKUP($G273,今日總結!$A:$AN,39,0),"")</f>
        <v>0</v>
      </c>
      <c r="K273" s="5">
        <f>IFERROR(VLOOKUP($G273,今日總結!$A:$AN,40,0),"")</f>
        <v>0</v>
      </c>
      <c r="L273" s="156">
        <f>IFERROR(VLOOKUP($G273,今日總結!$A:$AN,37,0),"")</f>
        <v>0</v>
      </c>
      <c r="M273" s="337">
        <f>IFERROR(VLOOKUP($G273,今日總結!$A:$AN,38,0),"")</f>
        <v>0</v>
      </c>
      <c r="N273" s="240">
        <f t="shared" si="129"/>
        <v>0</v>
      </c>
      <c r="O273" s="359">
        <f>IFERROR(VLOOKUP($G273,融外自投!$A:$J,7,0),"無")</f>
        <v>1091</v>
      </c>
      <c r="P273" s="79">
        <f>IFERROR(VLOOKUP($G273,融外自投!$A:$J,9,0),"無")</f>
        <v>790</v>
      </c>
      <c r="Q273" s="342">
        <f>IFERROR(VLOOKUP($G273,融外自投!$A:$J,8,0),"無")</f>
        <v>753</v>
      </c>
      <c r="R273" s="81">
        <f>IFERROR(VLOOKUP($G273,融外自投!$A:$J,10,0),"無")</f>
        <v>389</v>
      </c>
      <c r="S273" s="324">
        <f>IFERROR(VLOOKUP($G273,'321買'!$A:$E,4,0),"'沒有資料'")</f>
        <v>891</v>
      </c>
      <c r="T273" s="186">
        <f>IFERROR(VLOOKUP($G273,基本資料!$A:$J,9,0),"無")</f>
        <v>0.3</v>
      </c>
      <c r="U273" s="307">
        <f t="shared" si="130"/>
        <v>4.6728971962616821E-2</v>
      </c>
      <c r="V273" s="94">
        <f>IFERROR(VLOOKUP($G273,基本資料!$A:$J,10,0),"無")</f>
        <v>0.63</v>
      </c>
      <c r="W273" s="36">
        <v>6.42</v>
      </c>
      <c r="X273" s="66">
        <v>6.35</v>
      </c>
      <c r="Y273" s="15">
        <f t="shared" ref="Y273:Y304" si="132">W273-X273</f>
        <v>7.0000000000000284E-2</v>
      </c>
      <c r="Z273" s="63">
        <f t="shared" ref="Z273:Z304" si="133">Y273/X273</f>
        <v>1.1023622047244139E-2</v>
      </c>
      <c r="AA273" s="99" t="s">
        <v>2009</v>
      </c>
      <c r="AB273" s="389">
        <f>IFERROR(VLOOKUP($G273,基本資料!$A:$M,12,0),"無")</f>
        <v>22.45</v>
      </c>
      <c r="AC273" s="22" t="s">
        <v>336</v>
      </c>
      <c r="AD273" s="84">
        <v>44130</v>
      </c>
      <c r="AE273" s="86">
        <v>44140</v>
      </c>
      <c r="AF273" s="33">
        <f t="shared" si="131"/>
        <v>10</v>
      </c>
      <c r="AG273" s="43" t="s">
        <v>2025</v>
      </c>
      <c r="AH273" s="259"/>
      <c r="AJ273" s="245"/>
      <c r="AK273" s="245"/>
      <c r="AR273" s="245" t="str">
        <f>INDEX(基本資料!N:N,MATCH($G273,基本資料!$A:$A,0))</f>
        <v>中</v>
      </c>
    </row>
    <row r="274" spans="1:44">
      <c r="A274" s="343">
        <f>IFERROR(VLOOKUP($G274,基本資料!$A:$J,3,0),"無")</f>
        <v>2.08</v>
      </c>
      <c r="B274" s="79">
        <f>IFERROR(VLOOKUP($G274,基本資料!$A:$J,4,0),"無")</f>
        <v>17</v>
      </c>
      <c r="C274" s="79">
        <f>IFERROR(VLOOKUP($G274,基本資料!$A:$J,5,0),"無")</f>
        <v>18</v>
      </c>
      <c r="D274" s="79">
        <f>IFERROR(VLOOKUP($G274,基本資料!$A:$J,6,0),"無")</f>
        <v>2</v>
      </c>
      <c r="E274" s="79">
        <f>IFERROR(VLOOKUP($G274,基本資料!$A:$J,7,0),"無")</f>
        <v>26</v>
      </c>
      <c r="F274" s="6">
        <f>IFERROR(VLOOKUP($G274,基本資料!$A:$J,8,0),"無")</f>
        <v>13.83</v>
      </c>
      <c r="G274" s="79">
        <v>6703</v>
      </c>
      <c r="H274" s="4" t="s">
        <v>4723</v>
      </c>
      <c r="I274" s="16" t="s">
        <v>2039</v>
      </c>
      <c r="J274" s="8" t="str">
        <f>IFERROR(VLOOKUP($G274,今日總結!$A:$AN,39,0),"")</f>
        <v/>
      </c>
      <c r="K274" s="5" t="str">
        <f>IFERROR(VLOOKUP($G274,今日總結!$A:$AN,40,0),"")</f>
        <v/>
      </c>
      <c r="L274" s="156" t="str">
        <f>IFERROR(VLOOKUP($G274,今日總結!$A:$AN,37,0),"")</f>
        <v/>
      </c>
      <c r="M274" s="337" t="str">
        <f>IFERROR(VLOOKUP($G274,今日總結!$A:$AN,38,0),"")</f>
        <v/>
      </c>
      <c r="N274" s="240" t="str">
        <f t="shared" si="129"/>
        <v/>
      </c>
      <c r="O274" s="359" t="str">
        <f>IFERROR(VLOOKUP($G274,融外自投!$A:$J,7,0),"無")</f>
        <v>無</v>
      </c>
      <c r="P274" s="79" t="str">
        <f>IFERROR(VLOOKUP($G274,融外自投!$A:$J,9,0),"無")</f>
        <v>無</v>
      </c>
      <c r="Q274" s="342" t="str">
        <f>IFERROR(VLOOKUP($G274,融外自投!$A:$J,8,0),"無")</f>
        <v>無</v>
      </c>
      <c r="R274" s="81" t="str">
        <f>IFERROR(VLOOKUP($G274,融外自投!$A:$J,10,0),"無")</f>
        <v>無</v>
      </c>
      <c r="S274" s="324" t="str">
        <f>IFERROR(VLOOKUP($G274,'321買'!$A:$E,4,0),"'沒有資料'")</f>
        <v>'沒有資料'</v>
      </c>
      <c r="T274" s="186">
        <f>IFERROR(VLOOKUP($G274,基本資料!$A:$J,9,0),"無")</f>
        <v>8.5</v>
      </c>
      <c r="U274" s="307">
        <f t="shared" si="130"/>
        <v>7.9069767441860464E-2</v>
      </c>
      <c r="V274" s="94">
        <f>IFERROR(VLOOKUP($G274,基本資料!$A:$J,10,0),"無")</f>
        <v>6.84</v>
      </c>
      <c r="W274" s="36">
        <v>107.5</v>
      </c>
      <c r="X274" s="66">
        <v>96.9</v>
      </c>
      <c r="Y274" s="15">
        <f t="shared" si="132"/>
        <v>10.599999999999994</v>
      </c>
      <c r="Z274" s="63">
        <f t="shared" si="133"/>
        <v>0.10939112487100097</v>
      </c>
      <c r="AA274" s="99" t="s">
        <v>2055</v>
      </c>
      <c r="AB274" s="389">
        <f>IFERROR(VLOOKUP($G274,基本資料!$A:$M,12,0),"無")</f>
        <v>56.01</v>
      </c>
      <c r="AC274" s="16" t="s">
        <v>2039</v>
      </c>
      <c r="AD274" s="84">
        <v>44124</v>
      </c>
      <c r="AE274" s="86">
        <v>44134</v>
      </c>
      <c r="AF274" s="33">
        <f t="shared" si="131"/>
        <v>10</v>
      </c>
      <c r="AG274" s="43" t="s">
        <v>2038</v>
      </c>
      <c r="AH274" s="259"/>
      <c r="AJ274" s="245"/>
      <c r="AK274" s="245"/>
      <c r="AR274" s="245" t="str">
        <f>INDEX(基本資料!N:N,MATCH($G274,基本資料!$A:$A,0))</f>
        <v>中</v>
      </c>
    </row>
    <row r="275" spans="1:44">
      <c r="A275" s="343">
        <f>IFERROR(VLOOKUP($G275,基本資料!$A:$J,3,0),"無")</f>
        <v>11.06</v>
      </c>
      <c r="B275" s="79">
        <f>IFERROR(VLOOKUP($G275,基本資料!$A:$J,4,0),"無")</f>
        <v>-58</v>
      </c>
      <c r="C275" s="79">
        <f>IFERROR(VLOOKUP($G275,基本資料!$A:$J,5,0),"無")</f>
        <v>-41</v>
      </c>
      <c r="D275" s="79">
        <f>IFERROR(VLOOKUP($G275,基本資料!$A:$J,6,0),"無")</f>
        <v>1</v>
      </c>
      <c r="E275" s="79">
        <f>IFERROR(VLOOKUP($G275,基本資料!$A:$J,7,0),"無")</f>
        <v>-11</v>
      </c>
      <c r="F275" s="6">
        <f>IFERROR(VLOOKUP($G275,基本資料!$A:$J,8,0),"無")</f>
        <v>3.53</v>
      </c>
      <c r="G275" s="79">
        <v>1589</v>
      </c>
      <c r="H275" s="4" t="s">
        <v>295</v>
      </c>
      <c r="I275" s="22" t="s">
        <v>574</v>
      </c>
      <c r="J275" s="8">
        <f>IFERROR(VLOOKUP($G275,今日總結!$A:$AN,39,0),"")</f>
        <v>0</v>
      </c>
      <c r="K275" s="5" t="str">
        <f>IFERROR(VLOOKUP($G275,今日總結!$A:$AN,40,0),"")</f>
        <v>融借券</v>
      </c>
      <c r="L275" s="156">
        <f>IFERROR(VLOOKUP($G275,今日總結!$A:$AN,37,0),"")</f>
        <v>0</v>
      </c>
      <c r="M275" s="337">
        <f>IFERROR(VLOOKUP($G275,今日總結!$A:$AN,38,0),"")</f>
        <v>5</v>
      </c>
      <c r="N275" s="240">
        <f t="shared" si="129"/>
        <v>-5</v>
      </c>
      <c r="O275" s="359">
        <f>IFERROR(VLOOKUP($G275,融外自投!$A:$J,7,0),"無")</f>
        <v>276</v>
      </c>
      <c r="P275" s="79">
        <f>IFERROR(VLOOKUP($G275,融外自投!$A:$J,9,0),"無")</f>
        <v>324</v>
      </c>
      <c r="Q275" s="342">
        <f>IFERROR(VLOOKUP($G275,融外自投!$A:$J,8,0),"無")</f>
        <v>823</v>
      </c>
      <c r="R275" s="81" t="str">
        <f>IFERROR(VLOOKUP($G275,融外自投!$A:$J,10,0),"無")</f>
        <v>無</v>
      </c>
      <c r="S275" s="324">
        <f>IFERROR(VLOOKUP($G275,'321買'!$A:$E,4,0),"'沒有資料'")</f>
        <v>891</v>
      </c>
      <c r="T275" s="186">
        <f>IFERROR(VLOOKUP($G275,基本資料!$A:$J,9,0),"無")</f>
        <v>0.6</v>
      </c>
      <c r="U275" s="307">
        <f t="shared" si="130"/>
        <v>6.5573770491803279E-3</v>
      </c>
      <c r="V275" s="94">
        <f>IFERROR(VLOOKUP($G275,基本資料!$A:$J,10,0),"無")</f>
        <v>1.95</v>
      </c>
      <c r="W275" s="36">
        <v>91.5</v>
      </c>
      <c r="X275" s="45">
        <v>80</v>
      </c>
      <c r="Y275" s="15">
        <f t="shared" si="132"/>
        <v>11.5</v>
      </c>
      <c r="Z275" s="63">
        <f t="shared" si="133"/>
        <v>0.14374999999999999</v>
      </c>
      <c r="AA275" s="99" t="s">
        <v>2054</v>
      </c>
      <c r="AB275" s="389">
        <f>IFERROR(VLOOKUP($G275,基本資料!$A:$M,12,0),"無")</f>
        <v>18.440000000000001</v>
      </c>
      <c r="AC275" s="22" t="s">
        <v>574</v>
      </c>
      <c r="AD275" s="84">
        <v>44124</v>
      </c>
      <c r="AE275" s="86">
        <v>44134</v>
      </c>
      <c r="AF275" s="33">
        <f t="shared" si="131"/>
        <v>10</v>
      </c>
      <c r="AG275" s="43" t="s">
        <v>1966</v>
      </c>
      <c r="AH275" s="259"/>
      <c r="AJ275" s="245"/>
      <c r="AK275" s="245"/>
      <c r="AR275" s="245" t="str">
        <f>INDEX(基本資料!N:N,MATCH($G275,基本資料!$A:$A,0))</f>
        <v>低</v>
      </c>
    </row>
    <row r="276" spans="1:44">
      <c r="A276" s="343">
        <f>IFERROR(VLOOKUP($G276,基本資料!$A:$J,3,0),"無")</f>
        <v>9.2200000000000006</v>
      </c>
      <c r="B276" s="79">
        <f>IFERROR(VLOOKUP($G276,基本資料!$A:$J,4,0),"無")</f>
        <v>81</v>
      </c>
      <c r="C276" s="79">
        <f>IFERROR(VLOOKUP($G276,基本資料!$A:$J,5,0),"無")</f>
        <v>87</v>
      </c>
      <c r="D276" s="79">
        <f>IFERROR(VLOOKUP($G276,基本資料!$A:$J,6,0),"無")</f>
        <v>27</v>
      </c>
      <c r="E276" s="79">
        <f>IFERROR(VLOOKUP($G276,基本資料!$A:$J,7,0),"無")</f>
        <v>25</v>
      </c>
      <c r="F276" s="6">
        <f>IFERROR(VLOOKUP($G276,基本資料!$A:$J,8,0),"無")</f>
        <v>27.55</v>
      </c>
      <c r="G276" s="80">
        <v>6411</v>
      </c>
      <c r="H276" s="54" t="s">
        <v>3038</v>
      </c>
      <c r="I276" s="16" t="s">
        <v>251</v>
      </c>
      <c r="J276" s="8">
        <f>IFERROR(VLOOKUP($G276,今日總結!$A:$AN,39,0),"")</f>
        <v>0</v>
      </c>
      <c r="K276" s="5" t="str">
        <f>IFERROR(VLOOKUP($G276,今日總結!$A:$AN,40,0),"")</f>
        <v>融</v>
      </c>
      <c r="L276" s="156">
        <f>IFERROR(VLOOKUP($G276,今日總結!$A:$AN,37,0),"")</f>
        <v>0</v>
      </c>
      <c r="M276" s="337">
        <f>IFERROR(VLOOKUP($G276,今日總結!$A:$AN,38,0),"")</f>
        <v>1</v>
      </c>
      <c r="N276" s="240">
        <f t="shared" si="129"/>
        <v>-1</v>
      </c>
      <c r="O276" s="359">
        <f>IFERROR(VLOOKUP($G276,融外自投!$A:$J,7,0),"無")</f>
        <v>82</v>
      </c>
      <c r="P276" s="79">
        <f>IFERROR(VLOOKUP($G276,融外自投!$A:$J,9,0),"無")</f>
        <v>525</v>
      </c>
      <c r="Q276" s="342">
        <f>IFERROR(VLOOKUP($G276,融外自投!$A:$J,8,0),"無")</f>
        <v>363</v>
      </c>
      <c r="R276" s="81">
        <f>IFERROR(VLOOKUP($G276,融外自投!$A:$J,10,0),"無")</f>
        <v>341</v>
      </c>
      <c r="S276" s="324">
        <f>IFERROR(VLOOKUP($G276,'321買'!$A:$E,4,0),"'沒有資料'")</f>
        <v>5</v>
      </c>
      <c r="T276" s="186">
        <f>IFERROR(VLOOKUP($G276,基本資料!$A:$J,9,0),"無")</f>
        <v>7.22</v>
      </c>
      <c r="U276" s="307">
        <f t="shared" si="130"/>
        <v>8.6987951807228917E-2</v>
      </c>
      <c r="V276" s="94">
        <f>IFERROR(VLOOKUP($G276,基本資料!$A:$J,10,0),"無")</f>
        <v>10.32</v>
      </c>
      <c r="W276" s="36">
        <v>83</v>
      </c>
      <c r="X276" s="66">
        <v>72</v>
      </c>
      <c r="Y276" s="15">
        <f t="shared" si="132"/>
        <v>11</v>
      </c>
      <c r="Z276" s="63">
        <f t="shared" si="133"/>
        <v>0.15277777777777779</v>
      </c>
      <c r="AA276" s="99" t="s">
        <v>1664</v>
      </c>
      <c r="AB276" s="389">
        <f>IFERROR(VLOOKUP($G276,基本資料!$A:$M,12,0),"無")</f>
        <v>23.35</v>
      </c>
      <c r="AC276" s="16" t="s">
        <v>251</v>
      </c>
      <c r="AD276" s="84">
        <v>44120</v>
      </c>
      <c r="AE276" s="86">
        <v>44130</v>
      </c>
      <c r="AF276" s="33">
        <f t="shared" si="131"/>
        <v>10</v>
      </c>
      <c r="AG276" s="119" t="s">
        <v>1701</v>
      </c>
      <c r="AH276" s="259"/>
      <c r="AJ276" s="245"/>
      <c r="AK276" s="245"/>
      <c r="AR276" s="245" t="str">
        <f>INDEX(基本資料!N:N,MATCH($G276,基本資料!$A:$A,0))</f>
        <v>低</v>
      </c>
    </row>
    <row r="277" spans="1:44">
      <c r="A277" s="343">
        <f>IFERROR(VLOOKUP($G277,基本資料!$A:$J,3,0),"無")</f>
        <v>3.2</v>
      </c>
      <c r="B277" s="79">
        <f>IFERROR(VLOOKUP($G277,基本資料!$A:$J,4,0),"無")</f>
        <v>33</v>
      </c>
      <c r="C277" s="79">
        <f>IFERROR(VLOOKUP($G277,基本資料!$A:$J,5,0),"無")</f>
        <v>11</v>
      </c>
      <c r="D277" s="79">
        <f>IFERROR(VLOOKUP($G277,基本資料!$A:$J,6,0),"無")</f>
        <v>-54</v>
      </c>
      <c r="E277" s="79">
        <f>IFERROR(VLOOKUP($G277,基本資料!$A:$J,7,0),"無")</f>
        <v>-31</v>
      </c>
      <c r="F277" s="6">
        <f>IFERROR(VLOOKUP($G277,基本資料!$A:$J,8,0),"無")</f>
        <v>18.12</v>
      </c>
      <c r="G277" s="79">
        <v>6591</v>
      </c>
      <c r="H277" s="49" t="s">
        <v>1145</v>
      </c>
      <c r="I277" s="22" t="s">
        <v>470</v>
      </c>
      <c r="J277" s="8">
        <f>IFERROR(VLOOKUP($G277,今日總結!$A:$AN,39,0),"")</f>
        <v>5</v>
      </c>
      <c r="K277" s="5">
        <f>IFERROR(VLOOKUP($G277,今日總結!$A:$AN,40,0),"")</f>
        <v>0</v>
      </c>
      <c r="L277" s="156">
        <f>IFERROR(VLOOKUP($G277,今日總結!$A:$AN,37,0),"")</f>
        <v>1</v>
      </c>
      <c r="M277" s="337">
        <f>IFERROR(VLOOKUP($G277,今日總結!$A:$AN,38,0),"")</f>
        <v>0</v>
      </c>
      <c r="N277" s="240">
        <f t="shared" si="129"/>
        <v>1</v>
      </c>
      <c r="O277" s="359">
        <f>IFERROR(VLOOKUP($G277,融外自投!$A:$J,7,0),"無")</f>
        <v>111</v>
      </c>
      <c r="P277" s="79">
        <f>IFERROR(VLOOKUP($G277,融外自投!$A:$J,9,0),"無")</f>
        <v>114</v>
      </c>
      <c r="Q277" s="342">
        <f>IFERROR(VLOOKUP($G277,融外自投!$A:$J,8,0),"無")</f>
        <v>255</v>
      </c>
      <c r="R277" s="81">
        <f>IFERROR(VLOOKUP($G277,融外自投!$A:$J,10,0),"無")</f>
        <v>179</v>
      </c>
      <c r="S277" s="324">
        <f>IFERROR(VLOOKUP($G277,'321買'!$A:$E,4,0),"'沒有資料'")</f>
        <v>366</v>
      </c>
      <c r="T277" s="186">
        <f>IFERROR(VLOOKUP($G277,基本資料!$A:$J,9,0),"無")</f>
        <v>4</v>
      </c>
      <c r="U277" s="307">
        <f t="shared" si="130"/>
        <v>7.0796460176991149E-2</v>
      </c>
      <c r="V277" s="94">
        <f>IFERROR(VLOOKUP($G277,基本資料!$A:$J,10,0),"無")</f>
        <v>6.83</v>
      </c>
      <c r="W277" s="36">
        <v>56.5</v>
      </c>
      <c r="X277" s="45">
        <v>47</v>
      </c>
      <c r="Y277" s="15">
        <f t="shared" si="132"/>
        <v>9.5</v>
      </c>
      <c r="Z277" s="63">
        <f t="shared" si="133"/>
        <v>0.20212765957446807</v>
      </c>
      <c r="AA277" s="99" t="s">
        <v>2044</v>
      </c>
      <c r="AB277" s="389">
        <f>IFERROR(VLOOKUP($G277,基本資料!$A:$M,12,0),"無")</f>
        <v>52.27</v>
      </c>
      <c r="AC277" s="22" t="s">
        <v>470</v>
      </c>
      <c r="AD277" s="84">
        <v>44117</v>
      </c>
      <c r="AE277" s="86">
        <v>44127</v>
      </c>
      <c r="AF277" s="33">
        <f t="shared" si="131"/>
        <v>10</v>
      </c>
      <c r="AG277" s="43" t="s">
        <v>1993</v>
      </c>
      <c r="AH277" s="259"/>
      <c r="AJ277" s="245"/>
      <c r="AK277" s="245"/>
      <c r="AR277" s="245" t="str">
        <f>INDEX(基本資料!N:N,MATCH($G277,基本資料!$A:$A,0))</f>
        <v>高</v>
      </c>
    </row>
    <row r="278" spans="1:44">
      <c r="A278" s="343">
        <f>IFERROR(VLOOKUP($G278,基本資料!$A:$J,3,0),"無")</f>
        <v>8.07</v>
      </c>
      <c r="B278" s="79">
        <f>IFERROR(VLOOKUP($G278,基本資料!$A:$J,4,0),"無")</f>
        <v>15</v>
      </c>
      <c r="C278" s="79">
        <f>IFERROR(VLOOKUP($G278,基本資料!$A:$J,5,0),"無")</f>
        <v>20</v>
      </c>
      <c r="D278" s="79">
        <f>IFERROR(VLOOKUP($G278,基本資料!$A:$J,6,0),"無")</f>
        <v>35</v>
      </c>
      <c r="E278" s="79">
        <f>IFERROR(VLOOKUP($G278,基本資料!$A:$J,7,0),"無")</f>
        <v>13</v>
      </c>
      <c r="F278" s="6">
        <f>IFERROR(VLOOKUP($G278,基本資料!$A:$J,8,0),"無")</f>
        <v>3.69</v>
      </c>
      <c r="G278" s="79">
        <v>2247</v>
      </c>
      <c r="H278" s="4" t="s">
        <v>295</v>
      </c>
      <c r="I278" s="22" t="s">
        <v>2031</v>
      </c>
      <c r="J278" s="8">
        <f>IFERROR(VLOOKUP($G278,今日總結!$A:$AN,39,0),"")</f>
        <v>0</v>
      </c>
      <c r="K278" s="5">
        <f>IFERROR(VLOOKUP($G278,今日總結!$A:$AN,40,0),"")</f>
        <v>0</v>
      </c>
      <c r="L278" s="156">
        <f>IFERROR(VLOOKUP($G278,今日總結!$A:$AN,37,0),"")</f>
        <v>0</v>
      </c>
      <c r="M278" s="337">
        <f>IFERROR(VLOOKUP($G278,今日總結!$A:$AN,38,0),"")</f>
        <v>0</v>
      </c>
      <c r="N278" s="240">
        <f t="shared" si="129"/>
        <v>0</v>
      </c>
      <c r="O278" s="359">
        <f>IFERROR(VLOOKUP($G278,融外自投!$A:$J,7,0),"無")</f>
        <v>1400</v>
      </c>
      <c r="P278" s="79" t="str">
        <f>IFERROR(VLOOKUP($G278,融外自投!$A:$J,9,0),"無")</f>
        <v>無</v>
      </c>
      <c r="Q278" s="342">
        <f>IFERROR(VLOOKUP($G278,融外自投!$A:$J,8,0),"無")</f>
        <v>1294</v>
      </c>
      <c r="R278" s="81" t="str">
        <f>IFERROR(VLOOKUP($G278,融外自投!$A:$J,10,0),"無")</f>
        <v>無</v>
      </c>
      <c r="S278" s="324">
        <f>IFERROR(VLOOKUP($G278,'321買'!$A:$E,4,0),"'沒有資料'")</f>
        <v>1002</v>
      </c>
      <c r="T278" s="186">
        <f>IFERROR(VLOOKUP($G278,基本資料!$A:$J,9,0),"無")</f>
        <v>12</v>
      </c>
      <c r="U278" s="307">
        <f t="shared" si="130"/>
        <v>4.4776119402985072E-2</v>
      </c>
      <c r="V278" s="94">
        <f>IFERROR(VLOOKUP($G278,基本資料!$A:$J,10,0),"無")</f>
        <v>15.36</v>
      </c>
      <c r="W278" s="36">
        <v>268</v>
      </c>
      <c r="X278" s="66">
        <v>180</v>
      </c>
      <c r="Y278" s="15">
        <f t="shared" si="132"/>
        <v>88</v>
      </c>
      <c r="Z278" s="63">
        <f t="shared" si="133"/>
        <v>0.48888888888888887</v>
      </c>
      <c r="AA278" s="99" t="s">
        <v>2043</v>
      </c>
      <c r="AB278" s="389">
        <f>IFERROR(VLOOKUP($G278,基本資料!$A:$M,12,0),"無")</f>
        <v>29.04</v>
      </c>
      <c r="AC278" s="22" t="s">
        <v>2031</v>
      </c>
      <c r="AD278" s="84">
        <v>44116</v>
      </c>
      <c r="AE278" s="86">
        <v>44126</v>
      </c>
      <c r="AF278" s="33">
        <f t="shared" si="131"/>
        <v>10</v>
      </c>
      <c r="AG278" s="43" t="s">
        <v>2032</v>
      </c>
      <c r="AH278" s="259"/>
      <c r="AJ278" s="245"/>
      <c r="AK278" s="245"/>
      <c r="AR278" s="245" t="str">
        <f>INDEX(基本資料!N:N,MATCH($G278,基本資料!$A:$A,0))</f>
        <v>低</v>
      </c>
    </row>
    <row r="279" spans="1:44">
      <c r="A279" s="343">
        <f>IFERROR(VLOOKUP($G279,基本資料!$A:$J,3,0),"無")</f>
        <v>18.61</v>
      </c>
      <c r="B279" s="79">
        <f>IFERROR(VLOOKUP($G279,基本資料!$A:$J,4,0),"無")</f>
        <v>32</v>
      </c>
      <c r="C279" s="79">
        <f>IFERROR(VLOOKUP($G279,基本資料!$A:$J,5,0),"無")</f>
        <v>15</v>
      </c>
      <c r="D279" s="79">
        <f>IFERROR(VLOOKUP($G279,基本資料!$A:$J,6,0),"無")</f>
        <v>-9</v>
      </c>
      <c r="E279" s="79">
        <f>IFERROR(VLOOKUP($G279,基本資料!$A:$J,7,0),"無")</f>
        <v>57</v>
      </c>
      <c r="F279" s="6">
        <f>IFERROR(VLOOKUP($G279,基本資料!$A:$J,8,0),"無")</f>
        <v>9.4600000000000009</v>
      </c>
      <c r="G279" s="79">
        <v>9802</v>
      </c>
      <c r="H279" s="4" t="s">
        <v>1959</v>
      </c>
      <c r="I279" s="22" t="s">
        <v>1095</v>
      </c>
      <c r="J279" s="8">
        <f>IFERROR(VLOOKUP($G279,今日總結!$A:$AN,39,0),"")</f>
        <v>0</v>
      </c>
      <c r="K279" s="5">
        <f>IFERROR(VLOOKUP($G279,今日總結!$A:$AN,40,0),"")</f>
        <v>0</v>
      </c>
      <c r="L279" s="156">
        <f>IFERROR(VLOOKUP($G279,今日總結!$A:$AN,37,0),"")</f>
        <v>0</v>
      </c>
      <c r="M279" s="337">
        <f>IFERROR(VLOOKUP($G279,今日總結!$A:$AN,38,0),"")</f>
        <v>0</v>
      </c>
      <c r="N279" s="240">
        <f t="shared" si="129"/>
        <v>0</v>
      </c>
      <c r="O279" s="359">
        <f>IFERROR(VLOOKUP($G279,融外自投!$A:$J,7,0),"無")</f>
        <v>138</v>
      </c>
      <c r="P279" s="79">
        <f>IFERROR(VLOOKUP($G279,融外自投!$A:$J,9,0),"無")</f>
        <v>302</v>
      </c>
      <c r="Q279" s="342">
        <f>IFERROR(VLOOKUP($G279,融外自投!$A:$J,8,0),"無")</f>
        <v>89</v>
      </c>
      <c r="R279" s="81">
        <f>IFERROR(VLOOKUP($G279,融外自投!$A:$J,10,0),"無")</f>
        <v>57</v>
      </c>
      <c r="S279" s="324">
        <f>IFERROR(VLOOKUP($G279,'321買'!$A:$E,4,0),"'沒有資料'")</f>
        <v>343</v>
      </c>
      <c r="T279" s="186">
        <f>IFERROR(VLOOKUP($G279,基本資料!$A:$J,9,0),"無")</f>
        <v>4.2300000000000004</v>
      </c>
      <c r="U279" s="307">
        <f t="shared" si="130"/>
        <v>3.6153846153846154E-2</v>
      </c>
      <c r="V279" s="94">
        <f>IFERROR(VLOOKUP($G279,基本資料!$A:$J,10,0),"無")</f>
        <v>6.39</v>
      </c>
      <c r="W279" s="13">
        <v>117</v>
      </c>
      <c r="X279" s="66">
        <v>75</v>
      </c>
      <c r="Y279" s="15">
        <f t="shared" si="132"/>
        <v>42</v>
      </c>
      <c r="Z279" s="63">
        <f t="shared" si="133"/>
        <v>0.56000000000000005</v>
      </c>
      <c r="AA279" s="99" t="s">
        <v>2040</v>
      </c>
      <c r="AB279" s="389">
        <f>IFERROR(VLOOKUP($G279,基本資料!$A:$M,12,0),"無")</f>
        <v>89.29</v>
      </c>
      <c r="AC279" s="22" t="s">
        <v>1095</v>
      </c>
      <c r="AD279" s="84">
        <v>44112</v>
      </c>
      <c r="AE279" s="86">
        <v>44123</v>
      </c>
      <c r="AF279" s="33">
        <f t="shared" si="131"/>
        <v>11</v>
      </c>
      <c r="AG279" s="43" t="s">
        <v>1949</v>
      </c>
      <c r="AH279" s="259"/>
      <c r="AJ279" s="245"/>
      <c r="AK279" s="245"/>
      <c r="AR279" s="245" t="str">
        <f>INDEX(基本資料!N:N,MATCH($G279,基本資料!$A:$A,0))</f>
        <v>高</v>
      </c>
    </row>
    <row r="280" spans="1:44">
      <c r="A280" s="343">
        <f>IFERROR(VLOOKUP($G280,基本資料!$A:$J,3,0),"無")</f>
        <v>5.79</v>
      </c>
      <c r="B280" s="79">
        <f>IFERROR(VLOOKUP($G280,基本資料!$A:$J,4,0),"無")</f>
        <v>-112</v>
      </c>
      <c r="C280" s="79">
        <f>IFERROR(VLOOKUP($G280,基本資料!$A:$J,5,0),"無")</f>
        <v>-107</v>
      </c>
      <c r="D280" s="79">
        <f>IFERROR(VLOOKUP($G280,基本資料!$A:$J,6,0),"無")</f>
        <v>-14</v>
      </c>
      <c r="E280" s="79">
        <f>IFERROR(VLOOKUP($G280,基本資料!$A:$J,7,0),"無")</f>
        <v>-3</v>
      </c>
      <c r="F280" s="6">
        <f>IFERROR(VLOOKUP($G280,基本資料!$A:$J,8,0),"無")</f>
        <v>-1.22</v>
      </c>
      <c r="G280" s="79">
        <v>8089</v>
      </c>
      <c r="H280" s="4" t="s">
        <v>311</v>
      </c>
      <c r="I280" s="16" t="s">
        <v>2005</v>
      </c>
      <c r="J280" s="8">
        <f>IFERROR(VLOOKUP($G280,今日總結!$A:$AN,39,0),"")</f>
        <v>0</v>
      </c>
      <c r="K280" s="5">
        <f>IFERROR(VLOOKUP($G280,今日總結!$A:$AN,40,0),"")</f>
        <v>0</v>
      </c>
      <c r="L280" s="156">
        <f>IFERROR(VLOOKUP($G280,今日總結!$A:$AN,37,0),"")</f>
        <v>0</v>
      </c>
      <c r="M280" s="337">
        <f>IFERROR(VLOOKUP($G280,今日總結!$A:$AN,38,0),"")</f>
        <v>0</v>
      </c>
      <c r="N280" s="240">
        <f t="shared" si="129"/>
        <v>0</v>
      </c>
      <c r="O280" s="359">
        <f>IFERROR(VLOOKUP($G280,融外自投!$A:$J,7,0),"無")</f>
        <v>924</v>
      </c>
      <c r="P280" s="79" t="str">
        <f>IFERROR(VLOOKUP($G280,融外自投!$A:$J,9,0),"無")</f>
        <v>無</v>
      </c>
      <c r="Q280" s="342">
        <f>IFERROR(VLOOKUP($G280,融外自投!$A:$J,8,0),"無")</f>
        <v>798</v>
      </c>
      <c r="R280" s="81" t="str">
        <f>IFERROR(VLOOKUP($G280,融外自投!$A:$J,10,0),"無")</f>
        <v>無</v>
      </c>
      <c r="S280" s="324">
        <f>IFERROR(VLOOKUP($G280,'321買'!$A:$E,4,0),"'沒有資料'")</f>
        <v>743</v>
      </c>
      <c r="T280" s="186">
        <f>IFERROR(VLOOKUP($G280,基本資料!$A:$J,9,0),"無")</f>
        <v>1</v>
      </c>
      <c r="U280" s="307">
        <f t="shared" si="130"/>
        <v>1.6025641025641028E-2</v>
      </c>
      <c r="V280" s="94">
        <f>IFERROR(VLOOKUP($G280,基本資料!$A:$J,10,0),"無")</f>
        <v>-0.46</v>
      </c>
      <c r="W280" s="36">
        <v>62.4</v>
      </c>
      <c r="X280" s="66">
        <v>45.24</v>
      </c>
      <c r="Y280" s="15">
        <f t="shared" si="132"/>
        <v>17.159999999999997</v>
      </c>
      <c r="Z280" s="148">
        <f t="shared" si="133"/>
        <v>0.37931034482758613</v>
      </c>
      <c r="AA280" s="99" t="s">
        <v>2026</v>
      </c>
      <c r="AB280" s="389">
        <f>IFERROR(VLOOKUP($G280,基本資料!$A:$M,12,0),"無")</f>
        <v>18.37</v>
      </c>
      <c r="AC280" s="16" t="s">
        <v>2005</v>
      </c>
      <c r="AD280" s="84">
        <v>44097</v>
      </c>
      <c r="AE280" s="86">
        <v>44109</v>
      </c>
      <c r="AF280" s="33">
        <f t="shared" si="131"/>
        <v>12</v>
      </c>
      <c r="AG280" s="43" t="s">
        <v>2006</v>
      </c>
      <c r="AH280" s="259"/>
      <c r="AJ280" s="245"/>
      <c r="AK280" s="245"/>
      <c r="AR280" s="245" t="str">
        <f>INDEX(基本資料!N:N,MATCH($G280,基本資料!$A:$A,0))</f>
        <v>低</v>
      </c>
    </row>
    <row r="281" spans="1:44">
      <c r="A281" s="343">
        <f>IFERROR(VLOOKUP($G281,基本資料!$A:$J,3,0),"無")</f>
        <v>4.62</v>
      </c>
      <c r="B281" s="79">
        <f>IFERROR(VLOOKUP($G281,基本資料!$A:$J,4,0),"無")</f>
        <v>-29</v>
      </c>
      <c r="C281" s="79">
        <f>IFERROR(VLOOKUP($G281,基本資料!$A:$J,5,0),"無")</f>
        <v>-35</v>
      </c>
      <c r="D281" s="79">
        <f>IFERROR(VLOOKUP($G281,基本資料!$A:$J,6,0),"無")</f>
        <v>-9</v>
      </c>
      <c r="E281" s="79">
        <f>IFERROR(VLOOKUP($G281,基本資料!$A:$J,7,0),"無")</f>
        <v>14</v>
      </c>
      <c r="F281" s="6">
        <f>IFERROR(VLOOKUP($G281,基本資料!$A:$J,8,0),"無")</f>
        <v>1.29</v>
      </c>
      <c r="G281" s="80">
        <v>2754</v>
      </c>
      <c r="H281" s="4" t="s">
        <v>303</v>
      </c>
      <c r="I281" s="16" t="s">
        <v>2001</v>
      </c>
      <c r="J281" s="8" t="str">
        <f>IFERROR(VLOOKUP($G281,今日總結!$A:$AN,39,0),"")</f>
        <v/>
      </c>
      <c r="K281" s="5" t="str">
        <f>IFERROR(VLOOKUP($G281,今日總結!$A:$AN,40,0),"")</f>
        <v/>
      </c>
      <c r="L281" s="156" t="str">
        <f>IFERROR(VLOOKUP($G281,今日總結!$A:$AN,37,0),"")</f>
        <v/>
      </c>
      <c r="M281" s="337" t="str">
        <f>IFERROR(VLOOKUP($G281,今日總結!$A:$AN,38,0),"")</f>
        <v/>
      </c>
      <c r="N281" s="240" t="str">
        <f t="shared" si="129"/>
        <v/>
      </c>
      <c r="O281" s="359">
        <f>IFERROR(VLOOKUP($G281,融外自投!$A:$J,7,0),"無")</f>
        <v>890</v>
      </c>
      <c r="P281" s="79" t="str">
        <f>IFERROR(VLOOKUP($G281,融外自投!$A:$J,9,0),"無")</f>
        <v>無</v>
      </c>
      <c r="Q281" s="342">
        <f>IFERROR(VLOOKUP($G281,融外自投!$A:$J,8,0),"無")</f>
        <v>22</v>
      </c>
      <c r="R281" s="81" t="str">
        <f>IFERROR(VLOOKUP($G281,融外自投!$A:$J,10,0),"無")</f>
        <v>無</v>
      </c>
      <c r="S281" s="324" t="str">
        <f>IFERROR(VLOOKUP($G281,'321買'!$A:$E,4,0),"'沒有資料'")</f>
        <v>'沒有資料'</v>
      </c>
      <c r="T281" s="186">
        <f>IFERROR(VLOOKUP($G281,基本資料!$A:$J,9,0),"無")</f>
        <v>0.45</v>
      </c>
      <c r="U281" s="307">
        <f t="shared" si="130"/>
        <v>5.8823529411764705E-3</v>
      </c>
      <c r="V281" s="94">
        <f>IFERROR(VLOOKUP($G281,基本資料!$A:$J,10,0),"無")</f>
        <v>0.49</v>
      </c>
      <c r="W281" s="36">
        <v>76.5</v>
      </c>
      <c r="X281" s="66">
        <v>55</v>
      </c>
      <c r="Y281" s="15">
        <f t="shared" si="132"/>
        <v>21.5</v>
      </c>
      <c r="Z281" s="148">
        <f t="shared" si="133"/>
        <v>0.39090909090909093</v>
      </c>
      <c r="AA281" s="99" t="s">
        <v>2017</v>
      </c>
      <c r="AB281" s="389">
        <f>IFERROR(VLOOKUP($G281,基本資料!$A:$M,12,0),"無")</f>
        <v>17.79</v>
      </c>
      <c r="AC281" s="16" t="s">
        <v>2001</v>
      </c>
      <c r="AD281" s="84">
        <v>44091</v>
      </c>
      <c r="AE281" s="86">
        <v>44102</v>
      </c>
      <c r="AF281" s="33">
        <f t="shared" si="131"/>
        <v>11</v>
      </c>
      <c r="AG281" s="43" t="s">
        <v>2002</v>
      </c>
      <c r="AH281" s="259"/>
      <c r="AJ281" s="245"/>
      <c r="AK281" s="245"/>
      <c r="AR281" s="245" t="str">
        <f>INDEX(基本資料!N:N,MATCH($G281,基本資料!$A:$A,0))</f>
        <v>低</v>
      </c>
    </row>
    <row r="282" spans="1:44">
      <c r="A282" s="343">
        <f>IFERROR(VLOOKUP($G282,基本資料!$A:$J,3,0),"無")</f>
        <v>8.9700000000000006</v>
      </c>
      <c r="B282" s="79">
        <f>IFERROR(VLOOKUP($G282,基本資料!$A:$J,4,0),"無")</f>
        <v>7</v>
      </c>
      <c r="C282" s="79">
        <f>IFERROR(VLOOKUP($G282,基本資料!$A:$J,5,0),"無")</f>
        <v>3</v>
      </c>
      <c r="D282" s="79">
        <f>IFERROR(VLOOKUP($G282,基本資料!$A:$J,6,0),"無")</f>
        <v>0</v>
      </c>
      <c r="E282" s="79">
        <f>IFERROR(VLOOKUP($G282,基本資料!$A:$J,7,0),"無")</f>
        <v>66</v>
      </c>
      <c r="F282" s="6">
        <f>IFERROR(VLOOKUP($G282,基本資料!$A:$J,8,0),"無")</f>
        <v>-62966.55</v>
      </c>
      <c r="G282" s="79">
        <v>6492</v>
      </c>
      <c r="H282" s="4" t="s">
        <v>4723</v>
      </c>
      <c r="I282" s="16" t="s">
        <v>621</v>
      </c>
      <c r="J282" s="8" t="str">
        <f>IFERROR(VLOOKUP($G282,今日總結!$A:$AN,39,0),"")</f>
        <v/>
      </c>
      <c r="K282" s="5" t="str">
        <f>IFERROR(VLOOKUP($G282,今日總結!$A:$AN,40,0),"")</f>
        <v/>
      </c>
      <c r="L282" s="156" t="str">
        <f>IFERROR(VLOOKUP($G282,今日總結!$A:$AN,37,0),"")</f>
        <v/>
      </c>
      <c r="M282" s="337" t="str">
        <f>IFERROR(VLOOKUP($G282,今日總結!$A:$AN,38,0),"")</f>
        <v/>
      </c>
      <c r="N282" s="240" t="str">
        <f t="shared" si="129"/>
        <v/>
      </c>
      <c r="O282" s="359" t="str">
        <f>IFERROR(VLOOKUP($G282,融外自投!$A:$J,7,0),"無")</f>
        <v>無</v>
      </c>
      <c r="P282" s="79" t="str">
        <f>IFERROR(VLOOKUP($G282,融外自投!$A:$J,9,0),"無")</f>
        <v>無</v>
      </c>
      <c r="Q282" s="342" t="str">
        <f>IFERROR(VLOOKUP($G282,融外自投!$A:$J,8,0),"無")</f>
        <v>無</v>
      </c>
      <c r="R282" s="81" t="str">
        <f>IFERROR(VLOOKUP($G282,融外自投!$A:$J,10,0),"無")</f>
        <v>無</v>
      </c>
      <c r="S282" s="324" t="str">
        <f>IFERROR(VLOOKUP($G282,'321買'!$A:$E,4,0),"'沒有資料'")</f>
        <v>'沒有資料'</v>
      </c>
      <c r="T282" s="186">
        <f>IFERROR(VLOOKUP($G282,基本資料!$A:$J,9,0),"無")</f>
        <v>0</v>
      </c>
      <c r="U282" s="307">
        <f t="shared" si="130"/>
        <v>0</v>
      </c>
      <c r="V282" s="94">
        <f>IFERROR(VLOOKUP($G282,基本資料!$A:$J,10,0),"無")</f>
        <v>-3.67</v>
      </c>
      <c r="W282" s="36">
        <v>276.5</v>
      </c>
      <c r="X282" s="66">
        <v>120</v>
      </c>
      <c r="Y282" s="15">
        <f t="shared" si="132"/>
        <v>156.5</v>
      </c>
      <c r="Z282" s="169">
        <f t="shared" si="133"/>
        <v>1.3041666666666667</v>
      </c>
      <c r="AA282" s="99" t="s">
        <v>2018</v>
      </c>
      <c r="AB282" s="389">
        <f>IFERROR(VLOOKUP($G282,基本資料!$A:$M,12,0),"無")</f>
        <v>27.86</v>
      </c>
      <c r="AC282" s="16" t="s">
        <v>621</v>
      </c>
      <c r="AD282" s="84">
        <v>44091</v>
      </c>
      <c r="AE282" s="86">
        <v>44102</v>
      </c>
      <c r="AF282" s="33">
        <f t="shared" si="131"/>
        <v>11</v>
      </c>
      <c r="AG282" s="43" t="s">
        <v>1516</v>
      </c>
      <c r="AH282" s="259"/>
      <c r="AJ282" s="245"/>
      <c r="AK282" s="245"/>
      <c r="AR282" s="245" t="str">
        <f>INDEX(基本資料!N:N,MATCH($G282,基本資料!$A:$A,0))</f>
        <v>低</v>
      </c>
    </row>
    <row r="283" spans="1:44" ht="17.25" customHeight="1">
      <c r="A283" s="343">
        <f>IFERROR(VLOOKUP($G283,基本資料!$A:$J,3,0),"無")</f>
        <v>3</v>
      </c>
      <c r="B283" s="79">
        <f>IFERROR(VLOOKUP($G283,基本資料!$A:$J,4,0),"無")</f>
        <v>-198</v>
      </c>
      <c r="C283" s="79">
        <f>IFERROR(VLOOKUP($G283,基本資料!$A:$J,5,0),"無")</f>
        <v>-165</v>
      </c>
      <c r="D283" s="79">
        <f>IFERROR(VLOOKUP($G283,基本資料!$A:$J,6,0),"無")</f>
        <v>-84</v>
      </c>
      <c r="E283" s="79">
        <f>IFERROR(VLOOKUP($G283,基本資料!$A:$J,7,0),"無")</f>
        <v>-66</v>
      </c>
      <c r="F283" s="6">
        <f>IFERROR(VLOOKUP($G283,基本資料!$A:$J,8,0),"無")</f>
        <v>-36.14</v>
      </c>
      <c r="G283" s="79">
        <v>6596</v>
      </c>
      <c r="H283" s="4" t="s">
        <v>1024</v>
      </c>
      <c r="I283" s="16" t="s">
        <v>1029</v>
      </c>
      <c r="J283" s="8" t="str">
        <f>IFERROR(VLOOKUP($G283,今日總結!$A:$AN,39,0),"")</f>
        <v/>
      </c>
      <c r="K283" s="5" t="str">
        <f>IFERROR(VLOOKUP($G283,今日總結!$A:$AN,40,0),"")</f>
        <v/>
      </c>
      <c r="L283" s="156" t="str">
        <f>IFERROR(VLOOKUP($G283,今日總結!$A:$AN,37,0),"")</f>
        <v/>
      </c>
      <c r="M283" s="337" t="str">
        <f>IFERROR(VLOOKUP($G283,今日總結!$A:$AN,38,0),"")</f>
        <v/>
      </c>
      <c r="N283" s="240" t="str">
        <f t="shared" si="129"/>
        <v/>
      </c>
      <c r="O283" s="359">
        <f>IFERROR(VLOOKUP($G283,融外自投!$A:$J,7,0),"無")</f>
        <v>1295</v>
      </c>
      <c r="P283" s="79" t="str">
        <f>IFERROR(VLOOKUP($G283,融外自投!$A:$J,9,0),"無")</f>
        <v>無</v>
      </c>
      <c r="Q283" s="342">
        <f>IFERROR(VLOOKUP($G283,融外自投!$A:$J,8,0),"無")</f>
        <v>1425</v>
      </c>
      <c r="R283" s="81" t="str">
        <f>IFERROR(VLOOKUP($G283,融外自投!$A:$J,10,0),"無")</f>
        <v>無</v>
      </c>
      <c r="S283" s="324" t="str">
        <f>IFERROR(VLOOKUP($G283,'321買'!$A:$E,4,0),"'沒有資料'")</f>
        <v>'沒有資料'</v>
      </c>
      <c r="T283" s="186">
        <f>IFERROR(VLOOKUP($G283,基本資料!$A:$J,9,0),"無")</f>
        <v>0</v>
      </c>
      <c r="U283" s="307">
        <f t="shared" si="130"/>
        <v>0</v>
      </c>
      <c r="V283" s="94">
        <f>IFERROR(VLOOKUP($G283,基本資料!$A:$J,10,0),"無")</f>
        <v>-2.86</v>
      </c>
      <c r="W283" s="36">
        <v>46.1</v>
      </c>
      <c r="X283" s="66">
        <v>45</v>
      </c>
      <c r="Y283" s="15">
        <f t="shared" si="132"/>
        <v>1.1000000000000014</v>
      </c>
      <c r="Z283" s="63">
        <f t="shared" si="133"/>
        <v>2.4444444444444477E-2</v>
      </c>
      <c r="AA283" s="99" t="s">
        <v>2000</v>
      </c>
      <c r="AB283" s="389">
        <f>IFERROR(VLOOKUP($G283,基本資料!$A:$M,12,0),"無")</f>
        <v>15.79</v>
      </c>
      <c r="AC283" s="16" t="s">
        <v>1029</v>
      </c>
      <c r="AD283" s="84">
        <v>44081</v>
      </c>
      <c r="AE283" s="86">
        <v>44091</v>
      </c>
      <c r="AF283" s="33">
        <f t="shared" si="131"/>
        <v>10</v>
      </c>
      <c r="AG283" s="43" t="s">
        <v>1983</v>
      </c>
      <c r="AH283" s="259"/>
      <c r="AJ283" s="245"/>
      <c r="AK283" s="245"/>
      <c r="AR283" s="245" t="str">
        <f>INDEX(基本資料!N:N,MATCH($G283,基本資料!$A:$A,0))</f>
        <v>低</v>
      </c>
    </row>
    <row r="284" spans="1:44">
      <c r="A284" s="343">
        <f>IFERROR(VLOOKUP($G284,基本資料!$A:$J,3,0),"無")</f>
        <v>19.239999999999998</v>
      </c>
      <c r="B284" s="79">
        <f>IFERROR(VLOOKUP($G284,基本資料!$A:$J,4,0),"無")</f>
        <v>-30</v>
      </c>
      <c r="C284" s="79">
        <f>IFERROR(VLOOKUP($G284,基本資料!$A:$J,5,0),"無")</f>
        <v>-41</v>
      </c>
      <c r="D284" s="79">
        <f>IFERROR(VLOOKUP($G284,基本資料!$A:$J,6,0),"無")</f>
        <v>-17</v>
      </c>
      <c r="E284" s="79">
        <f>IFERROR(VLOOKUP($G284,基本資料!$A:$J,7,0),"無")</f>
        <v>-20</v>
      </c>
      <c r="F284" s="6">
        <f>IFERROR(VLOOKUP($G284,基本資料!$A:$J,8,0),"無")</f>
        <v>12.99</v>
      </c>
      <c r="G284" s="79">
        <v>3376</v>
      </c>
      <c r="H284" s="4" t="s">
        <v>3388</v>
      </c>
      <c r="I284" s="22" t="s">
        <v>60</v>
      </c>
      <c r="J284" s="8">
        <f>IFERROR(VLOOKUP($G284,今日總結!$A:$AN,39,0),"")</f>
        <v>0</v>
      </c>
      <c r="K284" s="5">
        <f>IFERROR(VLOOKUP($G284,今日總結!$A:$AN,40,0),"")</f>
        <v>0</v>
      </c>
      <c r="L284" s="156">
        <f>IFERROR(VLOOKUP($G284,今日總結!$A:$AN,37,0),"")</f>
        <v>0</v>
      </c>
      <c r="M284" s="337">
        <f>IFERROR(VLOOKUP($G284,今日總結!$A:$AN,38,0),"")</f>
        <v>0</v>
      </c>
      <c r="N284" s="240">
        <f t="shared" si="129"/>
        <v>0</v>
      </c>
      <c r="O284" s="359">
        <f>IFERROR(VLOOKUP($G284,融外自投!$A:$J,7,0),"無")</f>
        <v>712</v>
      </c>
      <c r="P284" s="79">
        <f>IFERROR(VLOOKUP($G284,融外自投!$A:$J,9,0),"無")</f>
        <v>649</v>
      </c>
      <c r="Q284" s="342">
        <f>IFERROR(VLOOKUP($G284,融外自投!$A:$J,8,0),"無")</f>
        <v>274</v>
      </c>
      <c r="R284" s="81">
        <f>IFERROR(VLOOKUP($G284,融外自投!$A:$J,10,0),"無")</f>
        <v>287</v>
      </c>
      <c r="S284" s="324">
        <f>IFERROR(VLOOKUP($G284,'321買'!$A:$E,4,0),"'沒有資料'")</f>
        <v>696</v>
      </c>
      <c r="T284" s="186">
        <f>IFERROR(VLOOKUP($G284,基本資料!$A:$J,9,0),"無")</f>
        <v>5</v>
      </c>
      <c r="U284" s="307">
        <f t="shared" si="130"/>
        <v>3.5087719298245612E-2</v>
      </c>
      <c r="V284" s="94">
        <f>IFERROR(VLOOKUP($G284,基本資料!$A:$J,10,0),"無")</f>
        <v>6.08</v>
      </c>
      <c r="W284" s="36">
        <v>142.5</v>
      </c>
      <c r="X284" s="66">
        <v>110</v>
      </c>
      <c r="Y284" s="15">
        <f t="shared" si="132"/>
        <v>32.5</v>
      </c>
      <c r="Z284" s="63">
        <f t="shared" si="133"/>
        <v>0.29545454545454547</v>
      </c>
      <c r="AA284" s="99" t="s">
        <v>1995</v>
      </c>
      <c r="AB284" s="389">
        <f>IFERROR(VLOOKUP($G284,基本資料!$A:$M,12,0),"無")</f>
        <v>55.14</v>
      </c>
      <c r="AC284" s="22" t="s">
        <v>60</v>
      </c>
      <c r="AD284" s="84">
        <v>44076</v>
      </c>
      <c r="AE284" s="86">
        <v>44088</v>
      </c>
      <c r="AF284" s="33">
        <f t="shared" si="131"/>
        <v>12</v>
      </c>
      <c r="AG284" s="117" t="s">
        <v>1951</v>
      </c>
      <c r="AH284" s="259"/>
      <c r="AJ284" s="245"/>
      <c r="AK284" s="245"/>
      <c r="AR284" s="245" t="str">
        <f>INDEX(基本資料!N:N,MATCH($G284,基本資料!$A:$A,0))</f>
        <v>低</v>
      </c>
    </row>
    <row r="285" spans="1:44">
      <c r="A285" s="343">
        <f>IFERROR(VLOOKUP($G285,基本資料!$A:$J,3,0),"無")</f>
        <v>9.01</v>
      </c>
      <c r="B285" s="79">
        <f>IFERROR(VLOOKUP($G285,基本資料!$A:$J,4,0),"無")</f>
        <v>4</v>
      </c>
      <c r="C285" s="79">
        <f>IFERROR(VLOOKUP($G285,基本資料!$A:$J,5,0),"無")</f>
        <v>0</v>
      </c>
      <c r="D285" s="79">
        <f>IFERROR(VLOOKUP($G285,基本資料!$A:$J,6,0),"無")</f>
        <v>-37</v>
      </c>
      <c r="E285" s="79">
        <f>IFERROR(VLOOKUP($G285,基本資料!$A:$J,7,0),"無")</f>
        <v>-29</v>
      </c>
      <c r="F285" s="6">
        <f>IFERROR(VLOOKUP($G285,基本資料!$A:$J,8,0),"無")</f>
        <v>26.02</v>
      </c>
      <c r="G285" s="79">
        <v>3217</v>
      </c>
      <c r="H285" s="4" t="s">
        <v>3388</v>
      </c>
      <c r="I285" s="16" t="s">
        <v>402</v>
      </c>
      <c r="J285" s="8" t="str">
        <f>IFERROR(VLOOKUP($G285,今日總結!$A:$AN,39,0),"")</f>
        <v>外</v>
      </c>
      <c r="K285" s="5" t="str">
        <f>IFERROR(VLOOKUP($G285,今日總結!$A:$AN,40,0),"")</f>
        <v>融</v>
      </c>
      <c r="L285" s="156">
        <f>IFERROR(VLOOKUP($G285,今日總結!$A:$AN,37,0),"")</f>
        <v>1</v>
      </c>
      <c r="M285" s="337">
        <f>IFERROR(VLOOKUP($G285,今日總結!$A:$AN,38,0),"")</f>
        <v>1</v>
      </c>
      <c r="N285" s="240">
        <f t="shared" si="129"/>
        <v>0</v>
      </c>
      <c r="O285" s="359">
        <f>IFERROR(VLOOKUP($G285,融外自投!$A:$J,7,0),"無")</f>
        <v>452</v>
      </c>
      <c r="P285" s="79">
        <f>IFERROR(VLOOKUP($G285,融外自投!$A:$J,9,0),"無")</f>
        <v>790</v>
      </c>
      <c r="Q285" s="342">
        <f>IFERROR(VLOOKUP($G285,融外自投!$A:$J,8,0),"無")</f>
        <v>809</v>
      </c>
      <c r="R285" s="81">
        <f>IFERROR(VLOOKUP($G285,融外自投!$A:$J,10,0),"無")</f>
        <v>80</v>
      </c>
      <c r="S285" s="324">
        <f>IFERROR(VLOOKUP($G285,'321買'!$A:$E,4,0),"'沒有資料'")</f>
        <v>144</v>
      </c>
      <c r="T285" s="186">
        <f>IFERROR(VLOOKUP($G285,基本資料!$A:$J,9,0),"無")</f>
        <v>5.6</v>
      </c>
      <c r="U285" s="307">
        <f t="shared" si="130"/>
        <v>4.7659574468085102E-2</v>
      </c>
      <c r="V285" s="94">
        <f>IFERROR(VLOOKUP($G285,基本資料!$A:$J,10,0),"無")</f>
        <v>7.11</v>
      </c>
      <c r="W285" s="36">
        <v>117.5</v>
      </c>
      <c r="X285" s="45">
        <v>92</v>
      </c>
      <c r="Y285" s="15">
        <f t="shared" si="132"/>
        <v>25.5</v>
      </c>
      <c r="Z285" s="63">
        <f t="shared" si="133"/>
        <v>0.27717391304347827</v>
      </c>
      <c r="AA285" s="99" t="s">
        <v>1984</v>
      </c>
      <c r="AB285" s="389">
        <f>IFERROR(VLOOKUP($G285,基本資料!$A:$M,12,0),"無")</f>
        <v>12.62</v>
      </c>
      <c r="AC285" s="16" t="s">
        <v>402</v>
      </c>
      <c r="AD285" s="84">
        <v>44071</v>
      </c>
      <c r="AE285" s="86">
        <v>44081</v>
      </c>
      <c r="AF285" s="33">
        <f t="shared" si="131"/>
        <v>10</v>
      </c>
      <c r="AG285" s="43" t="s">
        <v>1902</v>
      </c>
      <c r="AH285" s="259"/>
      <c r="AJ285" s="245"/>
      <c r="AK285" s="245"/>
      <c r="AR285" s="245" t="str">
        <f>INDEX(基本資料!N:N,MATCH($G285,基本資料!$A:$A,0))</f>
        <v>低</v>
      </c>
    </row>
    <row r="286" spans="1:44" ht="17.25" customHeight="1">
      <c r="A286" s="343">
        <f>IFERROR(VLOOKUP($G286,基本資料!$A:$J,3,0),"無")</f>
        <v>14.99</v>
      </c>
      <c r="B286" s="79">
        <f>IFERROR(VLOOKUP($G286,基本資料!$A:$J,4,0),"無")</f>
        <v>10</v>
      </c>
      <c r="C286" s="79">
        <f>IFERROR(VLOOKUP($G286,基本資料!$A:$J,5,0),"無")</f>
        <v>15</v>
      </c>
      <c r="D286" s="79">
        <f>IFERROR(VLOOKUP($G286,基本資料!$A:$J,6,0),"無")</f>
        <v>0</v>
      </c>
      <c r="E286" s="79">
        <f>IFERROR(VLOOKUP($G286,基本資料!$A:$J,7,0),"無")</f>
        <v>-99</v>
      </c>
      <c r="F286" s="6">
        <f>IFERROR(VLOOKUP($G286,基本資料!$A:$J,8,0),"無")</f>
        <v>14.02</v>
      </c>
      <c r="G286" s="80">
        <v>6186</v>
      </c>
      <c r="H286" s="4" t="s">
        <v>4002</v>
      </c>
      <c r="I286" s="16" t="s">
        <v>892</v>
      </c>
      <c r="J286" s="8">
        <f>IFERROR(VLOOKUP($G286,今日總結!$A:$AN,39,0),"")</f>
        <v>0</v>
      </c>
      <c r="K286" s="5" t="str">
        <f>IFERROR(VLOOKUP($G286,今日總結!$A:$AN,40,0),"")</f>
        <v>借</v>
      </c>
      <c r="L286" s="156">
        <f>IFERROR(VLOOKUP($G286,今日總結!$A:$AN,37,0),"")</f>
        <v>0</v>
      </c>
      <c r="M286" s="337">
        <f>IFERROR(VLOOKUP($G286,今日總結!$A:$AN,38,0),"")</f>
        <v>5</v>
      </c>
      <c r="N286" s="240">
        <f t="shared" si="129"/>
        <v>-5</v>
      </c>
      <c r="O286" s="359">
        <f>IFERROR(VLOOKUP($G286,融外自投!$A:$J,7,0),"無")</f>
        <v>661</v>
      </c>
      <c r="P286" s="79" t="str">
        <f>IFERROR(VLOOKUP($G286,融外自投!$A:$J,9,0),"無")</f>
        <v>無</v>
      </c>
      <c r="Q286" s="342">
        <f>IFERROR(VLOOKUP($G286,融外自投!$A:$J,8,0),"無")</f>
        <v>1309</v>
      </c>
      <c r="R286" s="81" t="str">
        <f>IFERROR(VLOOKUP($G286,融外自投!$A:$J,10,0),"無")</f>
        <v>無</v>
      </c>
      <c r="S286" s="324">
        <f>IFERROR(VLOOKUP($G286,'321買'!$A:$E,4,0),"'沒有資料'")</f>
        <v>801</v>
      </c>
      <c r="T286" s="186">
        <f>IFERROR(VLOOKUP($G286,基本資料!$A:$J,9,0),"無")</f>
        <v>3</v>
      </c>
      <c r="U286" s="307">
        <f t="shared" si="130"/>
        <v>0.10695187165775401</v>
      </c>
      <c r="V286" s="94">
        <f>IFERROR(VLOOKUP($G286,基本資料!$A:$J,10,0),"無")</f>
        <v>3.08</v>
      </c>
      <c r="W286" s="36">
        <v>28.05</v>
      </c>
      <c r="X286" s="66">
        <v>24.5</v>
      </c>
      <c r="Y286" s="15">
        <f t="shared" si="132"/>
        <v>3.5500000000000007</v>
      </c>
      <c r="Z286" s="63">
        <f t="shared" si="133"/>
        <v>0.14489795918367349</v>
      </c>
      <c r="AA286" s="99" t="s">
        <v>1985</v>
      </c>
      <c r="AB286" s="389">
        <f>IFERROR(VLOOKUP($G286,基本資料!$A:$M,12,0),"無")</f>
        <v>59.54</v>
      </c>
      <c r="AC286" s="16" t="s">
        <v>892</v>
      </c>
      <c r="AD286" s="84">
        <v>44071</v>
      </c>
      <c r="AE286" s="86">
        <v>44081</v>
      </c>
      <c r="AF286" s="33">
        <f t="shared" si="131"/>
        <v>10</v>
      </c>
      <c r="AG286" s="43" t="s">
        <v>1961</v>
      </c>
      <c r="AH286" s="259"/>
      <c r="AJ286" s="245"/>
      <c r="AK286" s="245"/>
      <c r="AR286" s="245" t="str">
        <f>INDEX(基本資料!N:N,MATCH($G286,基本資料!$A:$A,0))</f>
        <v>低</v>
      </c>
    </row>
    <row r="287" spans="1:44">
      <c r="A287" s="343">
        <f>IFERROR(VLOOKUP($G287,基本資料!$A:$J,3,0),"無")</f>
        <v>8.9600000000000009</v>
      </c>
      <c r="B287" s="79">
        <f>IFERROR(VLOOKUP($G287,基本資料!$A:$J,4,0),"無")</f>
        <v>-1776</v>
      </c>
      <c r="C287" s="79">
        <f>IFERROR(VLOOKUP($G287,基本資料!$A:$J,5,0),"無")</f>
        <v>-265</v>
      </c>
      <c r="D287" s="79">
        <f>IFERROR(VLOOKUP($G287,基本資料!$A:$J,6,0),"無")</f>
        <v>-14</v>
      </c>
      <c r="E287" s="79">
        <f>IFERROR(VLOOKUP($G287,基本資料!$A:$J,7,0),"無")</f>
        <v>-17</v>
      </c>
      <c r="F287" s="6">
        <f>IFERROR(VLOOKUP($G287,基本資料!$A:$J,8,0),"無")</f>
        <v>-6.3</v>
      </c>
      <c r="G287" s="79">
        <v>2241</v>
      </c>
      <c r="H287" s="4" t="s">
        <v>1959</v>
      </c>
      <c r="I287" s="22" t="s">
        <v>1963</v>
      </c>
      <c r="J287" s="8" t="str">
        <f>IFERROR(VLOOKUP($G287,今日總結!$A:$AN,39,0),"")</f>
        <v>外</v>
      </c>
      <c r="K287" s="5">
        <f>IFERROR(VLOOKUP($G287,今日總結!$A:$AN,40,0),"")</f>
        <v>0</v>
      </c>
      <c r="L287" s="156">
        <f>IFERROR(VLOOKUP($G287,今日總結!$A:$AN,37,0),"")</f>
        <v>1</v>
      </c>
      <c r="M287" s="337">
        <f>IFERROR(VLOOKUP($G287,今日總結!$A:$AN,38,0),"")</f>
        <v>0</v>
      </c>
      <c r="N287" s="240">
        <f t="shared" si="129"/>
        <v>1</v>
      </c>
      <c r="O287" s="359">
        <f>IFERROR(VLOOKUP($G287,融外自投!$A:$J,7,0),"無")</f>
        <v>785</v>
      </c>
      <c r="P287" s="79">
        <f>IFERROR(VLOOKUP($G287,融外自投!$A:$J,9,0),"無")</f>
        <v>946</v>
      </c>
      <c r="Q287" s="342">
        <f>IFERROR(VLOOKUP($G287,融外自投!$A:$J,8,0),"無")</f>
        <v>234</v>
      </c>
      <c r="R287" s="81">
        <f>IFERROR(VLOOKUP($G287,融外自投!$A:$J,10,0),"無")</f>
        <v>459</v>
      </c>
      <c r="S287" s="324">
        <f>IFERROR(VLOOKUP($G287,'321買'!$A:$E,4,0),"'沒有資料'")</f>
        <v>801</v>
      </c>
      <c r="T287" s="186">
        <f>IFERROR(VLOOKUP($G287,基本資料!$A:$J,9,0),"無")</f>
        <v>0</v>
      </c>
      <c r="U287" s="307">
        <f t="shared" si="130"/>
        <v>0</v>
      </c>
      <c r="V287" s="94">
        <f>IFERROR(VLOOKUP($G287,基本資料!$A:$J,10,0),"無")</f>
        <v>-1.23</v>
      </c>
      <c r="W287" s="36">
        <v>57.5</v>
      </c>
      <c r="X287" s="66">
        <v>50</v>
      </c>
      <c r="Y287" s="15">
        <f t="shared" si="132"/>
        <v>7.5</v>
      </c>
      <c r="Z287" s="63">
        <f t="shared" si="133"/>
        <v>0.15</v>
      </c>
      <c r="AA287" s="99" t="s">
        <v>1980</v>
      </c>
      <c r="AB287" s="389">
        <f>IFERROR(VLOOKUP($G287,基本資料!$A:$M,12,0),"無")</f>
        <v>12.62</v>
      </c>
      <c r="AC287" s="22" t="s">
        <v>1963</v>
      </c>
      <c r="AD287" s="84">
        <v>44069</v>
      </c>
      <c r="AE287" s="86">
        <v>44081</v>
      </c>
      <c r="AF287" s="33">
        <f t="shared" si="131"/>
        <v>12</v>
      </c>
      <c r="AG287" s="152" t="s">
        <v>1970</v>
      </c>
      <c r="AH287" s="259"/>
      <c r="AJ287" s="245"/>
      <c r="AK287" s="245"/>
      <c r="AR287" s="245" t="str">
        <f>INDEX(基本資料!N:N,MATCH($G287,基本資料!$A:$A,0))</f>
        <v>低</v>
      </c>
    </row>
    <row r="288" spans="1:44">
      <c r="A288" s="343">
        <f>IFERROR(VLOOKUP($G288,基本資料!$A:$J,3,0),"無")</f>
        <v>6.6</v>
      </c>
      <c r="B288" s="79">
        <f>IFERROR(VLOOKUP($G288,基本資料!$A:$J,4,0),"無")</f>
        <v>8</v>
      </c>
      <c r="C288" s="79">
        <f>IFERROR(VLOOKUP($G288,基本資料!$A:$J,5,0),"無")</f>
        <v>-2</v>
      </c>
      <c r="D288" s="79">
        <f>IFERROR(VLOOKUP($G288,基本資料!$A:$J,6,0),"無")</f>
        <v>-3</v>
      </c>
      <c r="E288" s="79">
        <f>IFERROR(VLOOKUP($G288,基本資料!$A:$J,7,0),"無")</f>
        <v>0</v>
      </c>
      <c r="F288" s="6">
        <f>IFERROR(VLOOKUP($G288,基本資料!$A:$J,8,0),"無")</f>
        <v>8.36</v>
      </c>
      <c r="G288" s="79">
        <v>6754</v>
      </c>
      <c r="H288" s="4" t="s">
        <v>1959</v>
      </c>
      <c r="I288" s="22" t="s">
        <v>1958</v>
      </c>
      <c r="J288" s="8">
        <f>IFERROR(VLOOKUP($G288,今日總結!$A:$AN,39,0),"")</f>
        <v>0</v>
      </c>
      <c r="K288" s="5" t="str">
        <f>IFERROR(VLOOKUP($G288,今日總結!$A:$AN,40,0),"")</f>
        <v>外</v>
      </c>
      <c r="L288" s="156">
        <f>IFERROR(VLOOKUP($G288,今日總結!$A:$AN,37,0),"")</f>
        <v>0</v>
      </c>
      <c r="M288" s="337">
        <f>IFERROR(VLOOKUP($G288,今日總結!$A:$AN,38,0),"")</f>
        <v>3</v>
      </c>
      <c r="N288" s="240">
        <f t="shared" si="129"/>
        <v>-3</v>
      </c>
      <c r="O288" s="359">
        <f>IFERROR(VLOOKUP($G288,融外自投!$A:$J,7,0),"無")</f>
        <v>1204</v>
      </c>
      <c r="P288" s="79" t="str">
        <f>IFERROR(VLOOKUP($G288,融外自投!$A:$J,9,0),"無")</f>
        <v>無</v>
      </c>
      <c r="Q288" s="342">
        <f>IFERROR(VLOOKUP($G288,融外自投!$A:$J,8,0),"無")</f>
        <v>257</v>
      </c>
      <c r="R288" s="81" t="str">
        <f>IFERROR(VLOOKUP($G288,融外自投!$A:$J,10,0),"無")</f>
        <v>無</v>
      </c>
      <c r="S288" s="324">
        <f>IFERROR(VLOOKUP($G288,'321買'!$A:$E,4,0),"'沒有資料'")</f>
        <v>1002</v>
      </c>
      <c r="T288" s="186">
        <f>IFERROR(VLOOKUP($G288,基本資料!$A:$J,9,0),"無")</f>
        <v>3.5</v>
      </c>
      <c r="U288" s="307">
        <f t="shared" si="130"/>
        <v>6.9306930693069313E-2</v>
      </c>
      <c r="V288" s="94">
        <f>IFERROR(VLOOKUP($G288,基本資料!$A:$J,10,0),"無")</f>
        <v>3.52</v>
      </c>
      <c r="W288" s="36">
        <v>50.5</v>
      </c>
      <c r="X288" s="66">
        <v>45</v>
      </c>
      <c r="Y288" s="15">
        <f t="shared" si="132"/>
        <v>5.5</v>
      </c>
      <c r="Z288" s="63">
        <f t="shared" si="133"/>
        <v>0.12222222222222222</v>
      </c>
      <c r="AA288" s="99" t="s">
        <v>1977</v>
      </c>
      <c r="AB288" s="389">
        <f>IFERROR(VLOOKUP($G288,基本資料!$A:$M,12,0),"無")</f>
        <v>83.43</v>
      </c>
      <c r="AC288" s="22" t="s">
        <v>1958</v>
      </c>
      <c r="AD288" s="84">
        <v>44068</v>
      </c>
      <c r="AE288" s="86">
        <v>44078</v>
      </c>
      <c r="AF288" s="33">
        <f t="shared" si="131"/>
        <v>10</v>
      </c>
      <c r="AG288" s="152" t="s">
        <v>1960</v>
      </c>
      <c r="AH288" s="259"/>
      <c r="AJ288" s="245"/>
      <c r="AK288" s="245"/>
      <c r="AR288" s="245" t="str">
        <f>INDEX(基本資料!N:N,MATCH($G288,基本資料!$A:$A,0))</f>
        <v>高</v>
      </c>
    </row>
    <row r="289" spans="1:44">
      <c r="A289" s="343">
        <f>IFERROR(VLOOKUP($G289,基本資料!$A:$J,3,0),"無")</f>
        <v>28.49</v>
      </c>
      <c r="B289" s="79">
        <f>IFERROR(VLOOKUP($G289,基本資料!$A:$J,4,0),"無")</f>
        <v>-44</v>
      </c>
      <c r="C289" s="79">
        <f>IFERROR(VLOOKUP($G289,基本資料!$A:$J,5,0),"無")</f>
        <v>-64</v>
      </c>
      <c r="D289" s="79">
        <f>IFERROR(VLOOKUP($G289,基本資料!$A:$J,6,0),"無")</f>
        <v>167</v>
      </c>
      <c r="E289" s="79">
        <f>IFERROR(VLOOKUP($G289,基本資料!$A:$J,7,0),"無")</f>
        <v>1078</v>
      </c>
      <c r="F289" s="6">
        <f>IFERROR(VLOOKUP($G289,基本資料!$A:$J,8,0),"無")</f>
        <v>-429.91</v>
      </c>
      <c r="G289" s="79">
        <v>6446</v>
      </c>
      <c r="H289" s="4" t="s">
        <v>4723</v>
      </c>
      <c r="I289" s="16" t="s">
        <v>618</v>
      </c>
      <c r="J289" s="8" t="str">
        <f>IFERROR(VLOOKUP($G289,今日總結!$A:$AN,39,0),"")</f>
        <v/>
      </c>
      <c r="K289" s="5" t="str">
        <f>IFERROR(VLOOKUP($G289,今日總結!$A:$AN,40,0),"")</f>
        <v/>
      </c>
      <c r="L289" s="156" t="str">
        <f>IFERROR(VLOOKUP($G289,今日總結!$A:$AN,37,0),"")</f>
        <v/>
      </c>
      <c r="M289" s="337" t="str">
        <f>IFERROR(VLOOKUP($G289,今日總結!$A:$AN,38,0),"")</f>
        <v/>
      </c>
      <c r="N289" s="240" t="str">
        <f t="shared" si="129"/>
        <v/>
      </c>
      <c r="O289" s="359" t="str">
        <f>IFERROR(VLOOKUP($G289,融外自投!$A:$J,7,0),"無")</f>
        <v>無</v>
      </c>
      <c r="P289" s="79" t="str">
        <f>IFERROR(VLOOKUP($G289,融外自投!$A:$J,9,0),"無")</f>
        <v>無</v>
      </c>
      <c r="Q289" s="342" t="str">
        <f>IFERROR(VLOOKUP($G289,融外自投!$A:$J,8,0),"無")</f>
        <v>無</v>
      </c>
      <c r="R289" s="81" t="str">
        <f>IFERROR(VLOOKUP($G289,融外自投!$A:$J,10,0),"無")</f>
        <v>無</v>
      </c>
      <c r="S289" s="324" t="str">
        <f>IFERROR(VLOOKUP($G289,'321買'!$A:$E,4,0),"'沒有資料'")</f>
        <v>'沒有資料'</v>
      </c>
      <c r="T289" s="186">
        <f>IFERROR(VLOOKUP($G289,基本資料!$A:$J,9,0),"無")</f>
        <v>0</v>
      </c>
      <c r="U289" s="307">
        <f t="shared" si="130"/>
        <v>0</v>
      </c>
      <c r="V289" s="94">
        <f>IFERROR(VLOOKUP($G289,基本資料!$A:$J,10,0),"無")</f>
        <v>-10.8</v>
      </c>
      <c r="W289" s="36">
        <v>107.5</v>
      </c>
      <c r="X289" s="66">
        <v>102</v>
      </c>
      <c r="Y289" s="15">
        <f t="shared" si="132"/>
        <v>5.5</v>
      </c>
      <c r="Z289" s="63">
        <f t="shared" si="133"/>
        <v>5.3921568627450983E-2</v>
      </c>
      <c r="AA289" s="99" t="s">
        <v>1490</v>
      </c>
      <c r="AB289" s="389">
        <f>IFERROR(VLOOKUP($G289,基本資料!$A:$M,12,0),"無")</f>
        <v>83.46</v>
      </c>
      <c r="AC289" s="16" t="s">
        <v>618</v>
      </c>
      <c r="AD289" s="84">
        <v>44055</v>
      </c>
      <c r="AE289" s="86">
        <v>44067</v>
      </c>
      <c r="AF289" s="33">
        <f t="shared" si="131"/>
        <v>12</v>
      </c>
      <c r="AG289" s="43" t="s">
        <v>1514</v>
      </c>
      <c r="AH289" s="259"/>
      <c r="AJ289" s="245"/>
      <c r="AK289" s="245"/>
      <c r="AR289" s="245" t="str">
        <f>INDEX(基本資料!N:N,MATCH($G289,基本資料!$A:$A,0))</f>
        <v>高</v>
      </c>
    </row>
    <row r="290" spans="1:44">
      <c r="A290" s="343">
        <f>IFERROR(VLOOKUP($G290,基本資料!$A:$J,3,0),"無")</f>
        <v>9.49</v>
      </c>
      <c r="B290" s="79">
        <f>IFERROR(VLOOKUP($G290,基本資料!$A:$J,4,0),"無")</f>
        <v>-74</v>
      </c>
      <c r="C290" s="79">
        <f>IFERROR(VLOOKUP($G290,基本資料!$A:$J,5,0),"無")</f>
        <v>-93</v>
      </c>
      <c r="D290" s="79">
        <f>IFERROR(VLOOKUP($G290,基本資料!$A:$J,6,0),"無")</f>
        <v>-32</v>
      </c>
      <c r="E290" s="79">
        <f>IFERROR(VLOOKUP($G290,基本資料!$A:$J,7,0),"無")</f>
        <v>36</v>
      </c>
      <c r="F290" s="6">
        <f>IFERROR(VLOOKUP($G290,基本資料!$A:$J,8,0),"無")</f>
        <v>0.64</v>
      </c>
      <c r="G290" s="80">
        <v>4155</v>
      </c>
      <c r="H290" s="4" t="s">
        <v>4723</v>
      </c>
      <c r="I290" s="22" t="s">
        <v>633</v>
      </c>
      <c r="J290" s="8">
        <f>IFERROR(VLOOKUP($G290,今日總結!$A:$AN,39,0),"")</f>
        <v>0</v>
      </c>
      <c r="K290" s="5" t="str">
        <f>IFERROR(VLOOKUP($G290,今日總結!$A:$AN,40,0),"")</f>
        <v>融</v>
      </c>
      <c r="L290" s="156">
        <f>IFERROR(VLOOKUP($G290,今日總結!$A:$AN,37,0),"")</f>
        <v>0</v>
      </c>
      <c r="M290" s="337">
        <f>IFERROR(VLOOKUP($G290,今日總結!$A:$AN,38,0),"")</f>
        <v>8</v>
      </c>
      <c r="N290" s="240">
        <f t="shared" si="129"/>
        <v>-8</v>
      </c>
      <c r="O290" s="359">
        <f>IFERROR(VLOOKUP($G290,融外自投!$A:$J,7,0),"無")</f>
        <v>924</v>
      </c>
      <c r="P290" s="79">
        <f>IFERROR(VLOOKUP($G290,融外自投!$A:$J,9,0),"無")</f>
        <v>671</v>
      </c>
      <c r="Q290" s="342">
        <f>IFERROR(VLOOKUP($G290,融外自投!$A:$J,8,0),"無")</f>
        <v>1108</v>
      </c>
      <c r="R290" s="81" t="str">
        <f>IFERROR(VLOOKUP($G290,融外自投!$A:$J,10,0),"無")</f>
        <v>無</v>
      </c>
      <c r="S290" s="324">
        <f>IFERROR(VLOOKUP($G290,'321買'!$A:$E,4,0),"'沒有資料'")</f>
        <v>891</v>
      </c>
      <c r="T290" s="186">
        <f>IFERROR(VLOOKUP($G290,基本資料!$A:$J,9,0),"無")</f>
        <v>1</v>
      </c>
      <c r="U290" s="307">
        <f t="shared" si="130"/>
        <v>3.8240917782026769E-2</v>
      </c>
      <c r="V290" s="94">
        <f>IFERROR(VLOOKUP($G290,基本資料!$A:$J,10,0),"無")</f>
        <v>0.46</v>
      </c>
      <c r="W290" s="36">
        <v>26.15</v>
      </c>
      <c r="X290" s="66">
        <v>26</v>
      </c>
      <c r="Y290" s="15">
        <f t="shared" si="132"/>
        <v>0.14999999999999858</v>
      </c>
      <c r="Z290" s="63">
        <f t="shared" si="133"/>
        <v>5.7692307692307149E-3</v>
      </c>
      <c r="AA290" s="99" t="s">
        <v>1955</v>
      </c>
      <c r="AB290" s="389">
        <f>IFERROR(VLOOKUP($G290,基本資料!$A:$M,12,0),"無")</f>
        <v>26.66</v>
      </c>
      <c r="AC290" s="22" t="s">
        <v>633</v>
      </c>
      <c r="AD290" s="84">
        <v>44054</v>
      </c>
      <c r="AE290" s="86">
        <v>44064</v>
      </c>
      <c r="AF290" s="33">
        <f t="shared" si="131"/>
        <v>10</v>
      </c>
      <c r="AG290" s="43" t="s">
        <v>1512</v>
      </c>
      <c r="AH290" s="259"/>
      <c r="AJ290" s="245"/>
      <c r="AK290" s="245"/>
      <c r="AR290" s="245" t="str">
        <f>INDEX(基本資料!N:N,MATCH($G290,基本資料!$A:$A,0))</f>
        <v>低</v>
      </c>
    </row>
    <row r="291" spans="1:44">
      <c r="A291" s="343">
        <f>IFERROR(VLOOKUP($G291,基本資料!$A:$J,3,0),"無")</f>
        <v>7</v>
      </c>
      <c r="B291" s="79">
        <f>IFERROR(VLOOKUP($G291,基本資料!$A:$J,4,0),"無")</f>
        <v>17</v>
      </c>
      <c r="C291" s="79">
        <f>IFERROR(VLOOKUP($G291,基本資料!$A:$J,5,0),"無")</f>
        <v>27</v>
      </c>
      <c r="D291" s="79">
        <f>IFERROR(VLOOKUP($G291,基本資料!$A:$J,6,0),"無")</f>
        <v>-20</v>
      </c>
      <c r="E291" s="79">
        <f>IFERROR(VLOOKUP($G291,基本資料!$A:$J,7,0),"無")</f>
        <v>257</v>
      </c>
      <c r="F291" s="6">
        <f>IFERROR(VLOOKUP($G291,基本資料!$A:$J,8,0),"無")</f>
        <v>-87.06</v>
      </c>
      <c r="G291" s="80">
        <v>5227</v>
      </c>
      <c r="H291" s="4" t="s">
        <v>3388</v>
      </c>
      <c r="I291" s="16" t="s">
        <v>411</v>
      </c>
      <c r="J291" s="8" t="str">
        <f>IFERROR(VLOOKUP($G291,今日總結!$A:$AN,39,0),"")</f>
        <v/>
      </c>
      <c r="K291" s="5" t="str">
        <f>IFERROR(VLOOKUP($G291,今日總結!$A:$AN,40,0),"")</f>
        <v/>
      </c>
      <c r="L291" s="156" t="str">
        <f>IFERROR(VLOOKUP($G291,今日總結!$A:$AN,37,0),"")</f>
        <v/>
      </c>
      <c r="M291" s="337" t="str">
        <f>IFERROR(VLOOKUP($G291,今日總結!$A:$AN,38,0),"")</f>
        <v/>
      </c>
      <c r="N291" s="240" t="str">
        <f t="shared" si="129"/>
        <v/>
      </c>
      <c r="O291" s="359" t="str">
        <f>IFERROR(VLOOKUP($G291,融外自投!$A:$J,7,0),"無")</f>
        <v>無</v>
      </c>
      <c r="P291" s="79" t="str">
        <f>IFERROR(VLOOKUP($G291,融外自投!$A:$J,9,0),"無")</f>
        <v>無</v>
      </c>
      <c r="Q291" s="342" t="str">
        <f>IFERROR(VLOOKUP($G291,融外自投!$A:$J,8,0),"無")</f>
        <v>無</v>
      </c>
      <c r="R291" s="81" t="str">
        <f>IFERROR(VLOOKUP($G291,融外自投!$A:$J,10,0),"無")</f>
        <v>無</v>
      </c>
      <c r="S291" s="324" t="str">
        <f>IFERROR(VLOOKUP($G291,'321買'!$A:$E,4,0),"'沒有資料'")</f>
        <v>'沒有資料'</v>
      </c>
      <c r="T291" s="186">
        <f>IFERROR(VLOOKUP($G291,基本資料!$A:$J,9,0),"無")</f>
        <v>0</v>
      </c>
      <c r="U291" s="307">
        <f t="shared" si="130"/>
        <v>0</v>
      </c>
      <c r="V291" s="94">
        <f>IFERROR(VLOOKUP($G291,基本資料!$A:$J,10,0),"無")</f>
        <v>-9.31</v>
      </c>
      <c r="W291" s="36">
        <v>12.4</v>
      </c>
      <c r="X291" s="66">
        <v>11.6</v>
      </c>
      <c r="Y291" s="15">
        <f t="shared" si="132"/>
        <v>0.80000000000000071</v>
      </c>
      <c r="Z291" s="63">
        <f t="shared" si="133"/>
        <v>6.8965517241379379E-2</v>
      </c>
      <c r="AA291" s="99" t="s">
        <v>1947</v>
      </c>
      <c r="AB291" s="389">
        <f>IFERROR(VLOOKUP($G291,基本資料!$A:$M,12,0),"無")</f>
        <v>7.02</v>
      </c>
      <c r="AC291" s="16" t="s">
        <v>411</v>
      </c>
      <c r="AD291" s="84">
        <v>44050</v>
      </c>
      <c r="AE291" s="86">
        <v>44060</v>
      </c>
      <c r="AF291" s="33">
        <f t="shared" si="131"/>
        <v>10</v>
      </c>
      <c r="AG291" s="43" t="s">
        <v>1045</v>
      </c>
      <c r="AH291" s="259"/>
      <c r="AJ291" s="245"/>
      <c r="AK291" s="245"/>
      <c r="AR291" s="245" t="str">
        <f>INDEX(基本資料!N:N,MATCH($G291,基本資料!$A:$A,0))</f>
        <v>中</v>
      </c>
    </row>
    <row r="292" spans="1:44">
      <c r="A292" s="343">
        <f>IFERROR(VLOOKUP($G292,基本資料!$A:$J,3,0),"無")</f>
        <v>4.05</v>
      </c>
      <c r="B292" s="79">
        <f>IFERROR(VLOOKUP($G292,基本資料!$A:$J,4,0),"無")</f>
        <v>-326</v>
      </c>
      <c r="C292" s="79">
        <f>IFERROR(VLOOKUP($G292,基本資料!$A:$J,5,0),"無")</f>
        <v>-146</v>
      </c>
      <c r="D292" s="79">
        <f>IFERROR(VLOOKUP($G292,基本資料!$A:$J,6,0),"無")</f>
        <v>-43</v>
      </c>
      <c r="E292" s="79">
        <f>IFERROR(VLOOKUP($G292,基本資料!$A:$J,7,0),"無")</f>
        <v>-97</v>
      </c>
      <c r="F292" s="6">
        <f>IFERROR(VLOOKUP($G292,基本資料!$A:$J,8,0),"無")</f>
        <v>-2.16</v>
      </c>
      <c r="G292" s="79">
        <v>6222</v>
      </c>
      <c r="H292" s="54" t="s">
        <v>1145</v>
      </c>
      <c r="I292" s="16" t="s">
        <v>4273</v>
      </c>
      <c r="J292" s="8" t="str">
        <f>IFERROR(VLOOKUP($G292,今日總結!$A:$AN,39,0),"")</f>
        <v/>
      </c>
      <c r="K292" s="5" t="str">
        <f>IFERROR(VLOOKUP($G292,今日總結!$A:$AN,40,0),"")</f>
        <v/>
      </c>
      <c r="L292" s="156" t="str">
        <f>IFERROR(VLOOKUP($G292,今日總結!$A:$AN,37,0),"")</f>
        <v/>
      </c>
      <c r="M292" s="337" t="str">
        <f>IFERROR(VLOOKUP($G292,今日總結!$A:$AN,38,0),"")</f>
        <v/>
      </c>
      <c r="N292" s="240" t="str">
        <f t="shared" si="129"/>
        <v/>
      </c>
      <c r="O292" s="359" t="str">
        <f>IFERROR(VLOOKUP($G292,融外自投!$A:$J,7,0),"無")</f>
        <v>無</v>
      </c>
      <c r="P292" s="79" t="str">
        <f>IFERROR(VLOOKUP($G292,融外自投!$A:$J,9,0),"無")</f>
        <v>無</v>
      </c>
      <c r="Q292" s="342" t="str">
        <f>IFERROR(VLOOKUP($G292,融外自投!$A:$J,8,0),"無")</f>
        <v>無</v>
      </c>
      <c r="R292" s="81" t="str">
        <f>IFERROR(VLOOKUP($G292,融外自投!$A:$J,10,0),"無")</f>
        <v>無</v>
      </c>
      <c r="S292" s="324" t="str">
        <f>IFERROR(VLOOKUP($G292,'321買'!$A:$E,4,0),"'沒有資料'")</f>
        <v>'沒有資料'</v>
      </c>
      <c r="T292" s="186">
        <f>IFERROR(VLOOKUP($G292,基本資料!$A:$J,9,0),"無")</f>
        <v>0</v>
      </c>
      <c r="U292" s="307">
        <f t="shared" si="130"/>
        <v>0</v>
      </c>
      <c r="V292" s="94">
        <f>IFERROR(VLOOKUP($G292,基本資料!$A:$J,10,0),"無")</f>
        <v>-0.38</v>
      </c>
      <c r="W292" s="36">
        <v>13.45</v>
      </c>
      <c r="X292" s="66">
        <v>10</v>
      </c>
      <c r="Y292" s="15">
        <f t="shared" si="132"/>
        <v>3.4499999999999993</v>
      </c>
      <c r="Z292" s="63">
        <f t="shared" si="133"/>
        <v>0.34499999999999992</v>
      </c>
      <c r="AA292" s="99" t="s">
        <v>1671</v>
      </c>
      <c r="AB292" s="389">
        <f>IFERROR(VLOOKUP($G292,基本資料!$A:$M,12,0),"無")</f>
        <v>63.85</v>
      </c>
      <c r="AC292" s="16" t="s">
        <v>473</v>
      </c>
      <c r="AD292" s="84">
        <v>44048</v>
      </c>
      <c r="AE292" s="86">
        <v>44060</v>
      </c>
      <c r="AF292" s="33">
        <f t="shared" si="131"/>
        <v>12</v>
      </c>
      <c r="AG292" s="43" t="s">
        <v>1507</v>
      </c>
      <c r="AH292" s="259"/>
      <c r="AJ292" s="245"/>
      <c r="AK292" s="245"/>
      <c r="AR292" s="245" t="str">
        <f>INDEX(基本資料!N:N,MATCH($G292,基本資料!$A:$A,0))</f>
        <v>中</v>
      </c>
    </row>
    <row r="293" spans="1:44">
      <c r="A293" s="343">
        <f>IFERROR(VLOOKUP($G293,基本資料!$A:$J,3,0),"無")</f>
        <v>8.0399999999999991</v>
      </c>
      <c r="B293" s="79">
        <f>IFERROR(VLOOKUP($G293,基本資料!$A:$J,4,0),"無")</f>
        <v>23</v>
      </c>
      <c r="C293" s="79">
        <f>IFERROR(VLOOKUP($G293,基本資料!$A:$J,5,0),"無")</f>
        <v>37</v>
      </c>
      <c r="D293" s="79">
        <f>IFERROR(VLOOKUP($G293,基本資料!$A:$J,6,0),"無")</f>
        <v>-9</v>
      </c>
      <c r="E293" s="79">
        <f>IFERROR(VLOOKUP($G293,基本資料!$A:$J,7,0),"無")</f>
        <v>-46</v>
      </c>
      <c r="F293" s="6">
        <f>IFERROR(VLOOKUP($G293,基本資料!$A:$J,8,0),"無")</f>
        <v>-5.52</v>
      </c>
      <c r="G293" s="80">
        <v>6573</v>
      </c>
      <c r="H293" s="4" t="s">
        <v>3038</v>
      </c>
      <c r="I293" s="22" t="s">
        <v>356</v>
      </c>
      <c r="J293" s="8">
        <f>IFERROR(VLOOKUP($G293,今日總結!$A:$AN,39,0),"")</f>
        <v>0</v>
      </c>
      <c r="K293" s="5">
        <f>IFERROR(VLOOKUP($G293,今日總結!$A:$AN,40,0),"")</f>
        <v>0</v>
      </c>
      <c r="L293" s="156">
        <f>IFERROR(VLOOKUP($G293,今日總結!$A:$AN,37,0),"")</f>
        <v>0</v>
      </c>
      <c r="M293" s="337">
        <f>IFERROR(VLOOKUP($G293,今日總結!$A:$AN,38,0),"")</f>
        <v>0</v>
      </c>
      <c r="N293" s="240">
        <f t="shared" si="129"/>
        <v>0</v>
      </c>
      <c r="O293" s="359">
        <f>IFERROR(VLOOKUP($G293,融外自投!$A:$J,7,0),"無")</f>
        <v>627</v>
      </c>
      <c r="P293" s="79">
        <f>IFERROR(VLOOKUP($G293,融外自投!$A:$J,9,0),"無")</f>
        <v>717</v>
      </c>
      <c r="Q293" s="342">
        <f>IFERROR(VLOOKUP($G293,融外自投!$A:$J,8,0),"無")</f>
        <v>50</v>
      </c>
      <c r="R293" s="81" t="str">
        <f>IFERROR(VLOOKUP($G293,融外自投!$A:$J,10,0),"無")</f>
        <v>無</v>
      </c>
      <c r="S293" s="324">
        <f>IFERROR(VLOOKUP($G293,'321買'!$A:$E,4,0),"'沒有資料'")</f>
        <v>801</v>
      </c>
      <c r="T293" s="186">
        <f>IFERROR(VLOOKUP($G293,基本資料!$A:$J,9,0),"無")</f>
        <v>0</v>
      </c>
      <c r="U293" s="307">
        <f t="shared" si="130"/>
        <v>0</v>
      </c>
      <c r="V293" s="94">
        <f>IFERROR(VLOOKUP($G293,基本資料!$A:$J,10,0),"無")</f>
        <v>-1.93</v>
      </c>
      <c r="W293" s="13">
        <v>16.5</v>
      </c>
      <c r="X293" s="66">
        <v>16.5</v>
      </c>
      <c r="Y293" s="15">
        <f t="shared" si="132"/>
        <v>0</v>
      </c>
      <c r="Z293" s="76">
        <f t="shared" si="133"/>
        <v>0</v>
      </c>
      <c r="AA293" s="99" t="s">
        <v>1692</v>
      </c>
      <c r="AB293" s="389">
        <f>IFERROR(VLOOKUP($G293,基本資料!$A:$M,12,0),"無")</f>
        <v>11.85</v>
      </c>
      <c r="AC293" s="22" t="s">
        <v>356</v>
      </c>
      <c r="AD293" s="84">
        <v>44033</v>
      </c>
      <c r="AE293" s="86">
        <v>44043</v>
      </c>
      <c r="AF293" s="33">
        <f t="shared" si="131"/>
        <v>10</v>
      </c>
      <c r="AG293" s="43" t="s">
        <v>1404</v>
      </c>
      <c r="AH293" s="259"/>
      <c r="AJ293" s="245"/>
      <c r="AK293" s="245"/>
      <c r="AR293" s="245" t="str">
        <f>INDEX(基本資料!N:N,MATCH($G293,基本資料!$A:$A,0))</f>
        <v>低</v>
      </c>
    </row>
    <row r="294" spans="1:44">
      <c r="A294" s="343">
        <f>IFERROR(VLOOKUP($G294,基本資料!$A:$J,3,0),"無")</f>
        <v>8.4</v>
      </c>
      <c r="B294" s="79">
        <f>IFERROR(VLOOKUP($G294,基本資料!$A:$J,4,0),"無")</f>
        <v>56</v>
      </c>
      <c r="C294" s="79">
        <f>IFERROR(VLOOKUP($G294,基本資料!$A:$J,5,0),"無")</f>
        <v>76</v>
      </c>
      <c r="D294" s="79">
        <f>IFERROR(VLOOKUP($G294,基本資料!$A:$J,6,0),"無")</f>
        <v>-26</v>
      </c>
      <c r="E294" s="79">
        <f>IFERROR(VLOOKUP($G294,基本資料!$A:$J,7,0),"無")</f>
        <v>46</v>
      </c>
      <c r="F294" s="6">
        <f>IFERROR(VLOOKUP($G294,基本資料!$A:$J,8,0),"無")</f>
        <v>16.18</v>
      </c>
      <c r="G294" s="80">
        <v>3512</v>
      </c>
      <c r="H294" s="4" t="s">
        <v>3388</v>
      </c>
      <c r="I294" s="16" t="s">
        <v>1065</v>
      </c>
      <c r="J294" s="8">
        <f>IFERROR(VLOOKUP($G294,今日總結!$A:$AN,39,0),"")</f>
        <v>0</v>
      </c>
      <c r="K294" s="5">
        <f>IFERROR(VLOOKUP($G294,今日總結!$A:$AN,40,0),"")</f>
        <v>0</v>
      </c>
      <c r="L294" s="156">
        <f>IFERROR(VLOOKUP($G294,今日總結!$A:$AN,37,0),"")</f>
        <v>0</v>
      </c>
      <c r="M294" s="337">
        <f>IFERROR(VLOOKUP($G294,今日總結!$A:$AN,38,0),"")</f>
        <v>0</v>
      </c>
      <c r="N294" s="240">
        <f t="shared" si="129"/>
        <v>0</v>
      </c>
      <c r="O294" s="359">
        <f>IFERROR(VLOOKUP($G294,融外自投!$A:$J,7,0),"無")</f>
        <v>492</v>
      </c>
      <c r="P294" s="79" t="str">
        <f>IFERROR(VLOOKUP($G294,融外自投!$A:$J,9,0),"無")</f>
        <v>無</v>
      </c>
      <c r="Q294" s="342">
        <f>IFERROR(VLOOKUP($G294,融外自投!$A:$J,8,0),"無")</f>
        <v>1439</v>
      </c>
      <c r="R294" s="81" t="str">
        <f>IFERROR(VLOOKUP($G294,融外自投!$A:$J,10,0),"無")</f>
        <v>無</v>
      </c>
      <c r="S294" s="324">
        <f>IFERROR(VLOOKUP($G294,'321買'!$A:$E,4,0),"'沒有資料'")</f>
        <v>1002</v>
      </c>
      <c r="T294" s="186">
        <f>IFERROR(VLOOKUP($G294,基本資料!$A:$J,9,0),"無")</f>
        <v>3</v>
      </c>
      <c r="U294" s="307">
        <f t="shared" si="130"/>
        <v>0.11320754716981132</v>
      </c>
      <c r="V294" s="94">
        <f>IFERROR(VLOOKUP($G294,基本資料!$A:$J,10,0),"無")</f>
        <v>3.79</v>
      </c>
      <c r="W294" s="36">
        <v>26.5</v>
      </c>
      <c r="X294" s="66">
        <v>24</v>
      </c>
      <c r="Y294" s="15">
        <f t="shared" si="132"/>
        <v>2.5</v>
      </c>
      <c r="Z294" s="63">
        <f t="shared" si="133"/>
        <v>0.10416666666666667</v>
      </c>
      <c r="AA294" s="99" t="s">
        <v>1940</v>
      </c>
      <c r="AB294" s="389">
        <f>IFERROR(VLOOKUP($G294,基本資料!$A:$M,12,0),"無")</f>
        <v>23.43</v>
      </c>
      <c r="AC294" s="16" t="s">
        <v>1065</v>
      </c>
      <c r="AD294" s="84">
        <v>44026</v>
      </c>
      <c r="AE294" s="86">
        <v>44036</v>
      </c>
      <c r="AF294" s="33">
        <f t="shared" si="131"/>
        <v>10</v>
      </c>
      <c r="AG294" s="43" t="s">
        <v>4734</v>
      </c>
      <c r="AH294" s="259"/>
      <c r="AJ294" s="245"/>
      <c r="AK294" s="245"/>
      <c r="AR294" s="245" t="str">
        <f>INDEX(基本資料!N:N,MATCH($G294,基本資料!$A:$A,0))</f>
        <v>中</v>
      </c>
    </row>
    <row r="295" spans="1:44">
      <c r="A295" s="343" t="str">
        <f>IFERROR(VLOOKUP($G295,基本資料!$A:$J,3,0),"無")</f>
        <v>無</v>
      </c>
      <c r="B295" s="79" t="str">
        <f>IFERROR(VLOOKUP($G295,基本資料!$A:$J,4,0),"無")</f>
        <v>無</v>
      </c>
      <c r="C295" s="79" t="str">
        <f>IFERROR(VLOOKUP($G295,基本資料!$A:$J,5,0),"無")</f>
        <v>無</v>
      </c>
      <c r="D295" s="79" t="str">
        <f>IFERROR(VLOOKUP($G295,基本資料!$A:$J,6,0),"無")</f>
        <v>無</v>
      </c>
      <c r="E295" s="79" t="str">
        <f>IFERROR(VLOOKUP($G295,基本資料!$A:$J,7,0),"無")</f>
        <v>無</v>
      </c>
      <c r="F295" s="6" t="str">
        <f>IFERROR(VLOOKUP($G295,基本資料!$A:$J,8,0),"無")</f>
        <v>無</v>
      </c>
      <c r="G295" s="79">
        <v>4152</v>
      </c>
      <c r="H295" s="4" t="s">
        <v>4723</v>
      </c>
      <c r="I295" s="16" t="s">
        <v>6122</v>
      </c>
      <c r="J295" s="8" t="str">
        <f>IFERROR(VLOOKUP($G295,今日總結!$A:$AN,39,0),"")</f>
        <v/>
      </c>
      <c r="K295" s="5" t="str">
        <f>IFERROR(VLOOKUP($G295,今日總結!$A:$AN,40,0),"")</f>
        <v/>
      </c>
      <c r="L295" s="156" t="str">
        <f>IFERROR(VLOOKUP($G295,今日總結!$A:$AN,37,0),"")</f>
        <v/>
      </c>
      <c r="M295" s="337" t="str">
        <f>IFERROR(VLOOKUP($G295,今日總結!$A:$AN,38,0),"")</f>
        <v/>
      </c>
      <c r="N295" s="240" t="str">
        <f t="shared" si="129"/>
        <v/>
      </c>
      <c r="O295" s="359" t="str">
        <f>IFERROR(VLOOKUP($G295,融外自投!$A:$J,7,0),"無")</f>
        <v>無</v>
      </c>
      <c r="P295" s="79" t="str">
        <f>IFERROR(VLOOKUP($G295,融外自投!$A:$J,9,0),"無")</f>
        <v>無</v>
      </c>
      <c r="Q295" s="342" t="str">
        <f>IFERROR(VLOOKUP($G295,融外自投!$A:$J,8,0),"無")</f>
        <v>無</v>
      </c>
      <c r="R295" s="81" t="str">
        <f>IFERROR(VLOOKUP($G295,融外自投!$A:$J,10,0),"無")</f>
        <v>無</v>
      </c>
      <c r="S295" s="324" t="str">
        <f>IFERROR(VLOOKUP($G295,'321買'!$A:$E,4,0),"'沒有資料'")</f>
        <v>'沒有資料'</v>
      </c>
      <c r="T295" s="186" t="str">
        <f>IFERROR(VLOOKUP($G295,基本資料!$A:$J,9,0),"無")</f>
        <v>無</v>
      </c>
      <c r="U295" s="307" t="e">
        <f t="shared" si="130"/>
        <v>#VALUE!</v>
      </c>
      <c r="V295" s="94" t="str">
        <f>IFERROR(VLOOKUP($G295,基本資料!$A:$J,10,0),"無")</f>
        <v>無</v>
      </c>
      <c r="W295" s="36">
        <v>97.7</v>
      </c>
      <c r="X295" s="66">
        <v>68</v>
      </c>
      <c r="Y295" s="15">
        <f t="shared" si="132"/>
        <v>29.700000000000003</v>
      </c>
      <c r="Z295" s="63">
        <f t="shared" si="133"/>
        <v>0.436764705882353</v>
      </c>
      <c r="AA295" s="99" t="s">
        <v>1938</v>
      </c>
      <c r="AB295" s="389" t="str">
        <f>IFERROR(VLOOKUP($G295,基本資料!$A:$M,12,0),"無")</f>
        <v>無</v>
      </c>
      <c r="AC295" s="16" t="s">
        <v>613</v>
      </c>
      <c r="AD295" s="84">
        <v>44015</v>
      </c>
      <c r="AE295" s="86">
        <v>44028</v>
      </c>
      <c r="AF295" s="33">
        <f t="shared" si="131"/>
        <v>13</v>
      </c>
      <c r="AG295" s="43" t="s">
        <v>1513</v>
      </c>
      <c r="AH295" s="259"/>
      <c r="AJ295" s="245"/>
      <c r="AK295" s="245"/>
      <c r="AR295" s="245" t="e">
        <f>INDEX(基本資料!N:N,MATCH($G295,基本資料!$A:$A,0))</f>
        <v>#N/A</v>
      </c>
    </row>
    <row r="296" spans="1:44">
      <c r="A296" s="343">
        <f>IFERROR(VLOOKUP($G296,基本資料!$A:$J,3,0),"無")</f>
        <v>35.090000000000003</v>
      </c>
      <c r="B296" s="79">
        <f>IFERROR(VLOOKUP($G296,基本資料!$A:$J,4,0),"無")</f>
        <v>51</v>
      </c>
      <c r="C296" s="79">
        <f>IFERROR(VLOOKUP($G296,基本資料!$A:$J,5,0),"無")</f>
        <v>57</v>
      </c>
      <c r="D296" s="79">
        <f>IFERROR(VLOOKUP($G296,基本資料!$A:$J,6,0),"無")</f>
        <v>3</v>
      </c>
      <c r="E296" s="79">
        <f>IFERROR(VLOOKUP($G296,基本資料!$A:$J,7,0),"無")</f>
        <v>-16</v>
      </c>
      <c r="F296" s="6">
        <f>IFERROR(VLOOKUP($G296,基本資料!$A:$J,8,0),"無")</f>
        <v>-1.23</v>
      </c>
      <c r="G296" s="80">
        <v>2406</v>
      </c>
      <c r="H296" s="4" t="s">
        <v>306</v>
      </c>
      <c r="I296" s="22" t="s">
        <v>444</v>
      </c>
      <c r="J296" s="8">
        <f>IFERROR(VLOOKUP($G296,今日總結!$A:$AN,39,0),"")</f>
        <v>0</v>
      </c>
      <c r="K296" s="5">
        <f>IFERROR(VLOOKUP($G296,今日總結!$A:$AN,40,0),"")</f>
        <v>0</v>
      </c>
      <c r="L296" s="156">
        <f>IFERROR(VLOOKUP($G296,今日總結!$A:$AN,37,0),"")</f>
        <v>0</v>
      </c>
      <c r="M296" s="337">
        <f>IFERROR(VLOOKUP($G296,今日總結!$A:$AN,38,0),"")</f>
        <v>0</v>
      </c>
      <c r="N296" s="240">
        <f t="shared" si="129"/>
        <v>0</v>
      </c>
      <c r="O296" s="359">
        <f>IFERROR(VLOOKUP($G296,融外自投!$A:$J,7,0),"無")</f>
        <v>174</v>
      </c>
      <c r="P296" s="79">
        <f>IFERROR(VLOOKUP($G296,融外自投!$A:$J,9,0),"無")</f>
        <v>365</v>
      </c>
      <c r="Q296" s="342">
        <f>IFERROR(VLOOKUP($G296,融外自投!$A:$J,8,0),"無")</f>
        <v>768</v>
      </c>
      <c r="R296" s="81" t="str">
        <f>IFERROR(VLOOKUP($G296,融外自投!$A:$J,10,0),"無")</f>
        <v>無</v>
      </c>
      <c r="S296" s="324">
        <f>IFERROR(VLOOKUP($G296,'321買'!$A:$E,4,0),"'沒有資料'")</f>
        <v>164</v>
      </c>
      <c r="T296" s="186">
        <f>IFERROR(VLOOKUP($G296,基本資料!$A:$J,9,0),"無")</f>
        <v>0</v>
      </c>
      <c r="U296" s="307">
        <f t="shared" si="130"/>
        <v>0</v>
      </c>
      <c r="V296" s="94">
        <f>IFERROR(VLOOKUP($G296,基本資料!$A:$J,10,0),"無")</f>
        <v>0.09</v>
      </c>
      <c r="W296" s="36">
        <v>9.08</v>
      </c>
      <c r="X296" s="66">
        <v>8.5</v>
      </c>
      <c r="Y296" s="15">
        <f t="shared" si="132"/>
        <v>0.58000000000000007</v>
      </c>
      <c r="Z296" s="63">
        <f t="shared" si="133"/>
        <v>6.8235294117647061E-2</v>
      </c>
      <c r="AA296" s="99" t="s">
        <v>1491</v>
      </c>
      <c r="AB296" s="389">
        <f>IFERROR(VLOOKUP($G296,基本資料!$A:$M,12,0),"無")</f>
        <v>14.68</v>
      </c>
      <c r="AC296" s="22" t="s">
        <v>444</v>
      </c>
      <c r="AD296" s="84">
        <v>44014</v>
      </c>
      <c r="AE296" s="86">
        <v>44028</v>
      </c>
      <c r="AF296" s="33">
        <f t="shared" si="131"/>
        <v>14</v>
      </c>
      <c r="AG296" s="43" t="s">
        <v>1931</v>
      </c>
      <c r="AH296" s="259"/>
      <c r="AJ296" s="245"/>
      <c r="AK296" s="245"/>
      <c r="AR296" s="245" t="str">
        <f>INDEX(基本資料!N:N,MATCH($G296,基本資料!$A:$A,0))</f>
        <v>低</v>
      </c>
    </row>
    <row r="297" spans="1:44">
      <c r="A297" s="343">
        <f>IFERROR(VLOOKUP($G297,基本資料!$A:$J,3,0),"無")</f>
        <v>2.67</v>
      </c>
      <c r="B297" s="79">
        <f>IFERROR(VLOOKUP($G297,基本資料!$A:$J,4,0),"無")</f>
        <v>-76</v>
      </c>
      <c r="C297" s="79">
        <f>IFERROR(VLOOKUP($G297,基本資料!$A:$J,5,0),"無")</f>
        <v>-79</v>
      </c>
      <c r="D297" s="79">
        <f>IFERROR(VLOOKUP($G297,基本資料!$A:$J,6,0),"無")</f>
        <v>-8</v>
      </c>
      <c r="E297" s="79">
        <f>IFERROR(VLOOKUP($G297,基本資料!$A:$J,7,0),"無")</f>
        <v>28</v>
      </c>
      <c r="F297" s="6">
        <f>IFERROR(VLOOKUP($G297,基本資料!$A:$J,8,0),"無")</f>
        <v>8.11</v>
      </c>
      <c r="G297" s="79">
        <v>6588</v>
      </c>
      <c r="H297" s="4" t="s">
        <v>311</v>
      </c>
      <c r="I297" s="16" t="s">
        <v>1934</v>
      </c>
      <c r="J297" s="8" t="str">
        <f>IFERROR(VLOOKUP($G297,今日總結!$A:$AN,39,0),"")</f>
        <v/>
      </c>
      <c r="K297" s="5" t="str">
        <f>IFERROR(VLOOKUP($G297,今日總結!$A:$AN,40,0),"")</f>
        <v/>
      </c>
      <c r="L297" s="156" t="str">
        <f>IFERROR(VLOOKUP($G297,今日總結!$A:$AN,37,0),"")</f>
        <v/>
      </c>
      <c r="M297" s="337" t="str">
        <f>IFERROR(VLOOKUP($G297,今日總結!$A:$AN,38,0),"")</f>
        <v/>
      </c>
      <c r="N297" s="240" t="str">
        <f t="shared" si="129"/>
        <v/>
      </c>
      <c r="O297" s="359" t="str">
        <f>IFERROR(VLOOKUP($G297,融外自投!$A:$J,7,0),"無")</f>
        <v>無</v>
      </c>
      <c r="P297" s="79" t="str">
        <f>IFERROR(VLOOKUP($G297,融外自投!$A:$J,9,0),"無")</f>
        <v>無</v>
      </c>
      <c r="Q297" s="342" t="str">
        <f>IFERROR(VLOOKUP($G297,融外自投!$A:$J,8,0),"無")</f>
        <v>無</v>
      </c>
      <c r="R297" s="81" t="str">
        <f>IFERROR(VLOOKUP($G297,融外自投!$A:$J,10,0),"無")</f>
        <v>無</v>
      </c>
      <c r="S297" s="324" t="str">
        <f>IFERROR(VLOOKUP($G297,'321買'!$A:$E,4,0),"'沒有資料'")</f>
        <v>'沒有資料'</v>
      </c>
      <c r="T297" s="186">
        <f>IFERROR(VLOOKUP($G297,基本資料!$A:$J,9,0),"無")</f>
        <v>0.75</v>
      </c>
      <c r="U297" s="307">
        <f t="shared" si="130"/>
        <v>5.8365758754863814E-3</v>
      </c>
      <c r="V297" s="94">
        <f>IFERROR(VLOOKUP($G297,基本資料!$A:$J,10,0),"無")</f>
        <v>0.48</v>
      </c>
      <c r="W297" s="36">
        <v>128.5</v>
      </c>
      <c r="X297" s="66">
        <v>68</v>
      </c>
      <c r="Y297" s="15">
        <f t="shared" si="132"/>
        <v>60.5</v>
      </c>
      <c r="Z297" s="169">
        <f t="shared" si="133"/>
        <v>0.88970588235294112</v>
      </c>
      <c r="AA297" s="99" t="s">
        <v>1937</v>
      </c>
      <c r="AB297" s="389">
        <f>IFERROR(VLOOKUP($G297,基本資料!$A:$M,12,0),"無")</f>
        <v>31.25</v>
      </c>
      <c r="AC297" s="16" t="s">
        <v>1933</v>
      </c>
      <c r="AD297" s="84">
        <v>44013</v>
      </c>
      <c r="AE297" s="86">
        <v>44028</v>
      </c>
      <c r="AF297" s="33">
        <f t="shared" si="131"/>
        <v>15</v>
      </c>
      <c r="AG297" s="43" t="s">
        <v>1935</v>
      </c>
      <c r="AH297" s="259"/>
      <c r="AJ297" s="245"/>
      <c r="AK297" s="245"/>
      <c r="AR297" s="245" t="str">
        <f>INDEX(基本資料!N:N,MATCH($G297,基本資料!$A:$A,0))</f>
        <v>低</v>
      </c>
    </row>
    <row r="298" spans="1:44">
      <c r="A298" s="343">
        <f>IFERROR(VLOOKUP($G298,基本資料!$A:$J,3,0),"無")</f>
        <v>27.75</v>
      </c>
      <c r="B298" s="79">
        <f>IFERROR(VLOOKUP($G298,基本資料!$A:$J,4,0),"無")</f>
        <v>-30</v>
      </c>
      <c r="C298" s="79">
        <f>IFERROR(VLOOKUP($G298,基本資料!$A:$J,5,0),"無")</f>
        <v>18</v>
      </c>
      <c r="D298" s="79">
        <f>IFERROR(VLOOKUP($G298,基本資料!$A:$J,6,0),"無")</f>
        <v>-25</v>
      </c>
      <c r="E298" s="79">
        <f>IFERROR(VLOOKUP($G298,基本資料!$A:$J,7,0),"無")</f>
        <v>-6</v>
      </c>
      <c r="F298" s="6">
        <f>IFERROR(VLOOKUP($G298,基本資料!$A:$J,8,0),"無")</f>
        <v>4.12</v>
      </c>
      <c r="G298" s="79">
        <v>6251</v>
      </c>
      <c r="H298" s="53" t="s">
        <v>3388</v>
      </c>
      <c r="I298" s="22" t="s">
        <v>6123</v>
      </c>
      <c r="J298" s="8">
        <f>IFERROR(VLOOKUP($G298,今日總結!$A:$AN,39,0),"")</f>
        <v>0</v>
      </c>
      <c r="K298" s="5">
        <f>IFERROR(VLOOKUP($G298,今日總結!$A:$AN,40,0),"")</f>
        <v>0</v>
      </c>
      <c r="L298" s="156">
        <f>IFERROR(VLOOKUP($G298,今日總結!$A:$AN,37,0),"")</f>
        <v>0</v>
      </c>
      <c r="M298" s="337">
        <f>IFERROR(VLOOKUP($G298,今日總結!$A:$AN,38,0),"")</f>
        <v>0</v>
      </c>
      <c r="N298" s="240">
        <f t="shared" si="129"/>
        <v>0</v>
      </c>
      <c r="O298" s="359">
        <f>IFERROR(VLOOKUP($G298,融外自投!$A:$J,7,0),"無")</f>
        <v>155</v>
      </c>
      <c r="P298" s="79">
        <f>IFERROR(VLOOKUP($G298,融外自投!$A:$J,9,0),"無")</f>
        <v>186</v>
      </c>
      <c r="Q298" s="342">
        <f>IFERROR(VLOOKUP($G298,融外自投!$A:$J,8,0),"無")</f>
        <v>340</v>
      </c>
      <c r="R298" s="81" t="str">
        <f>IFERROR(VLOOKUP($G298,融外自投!$A:$J,10,0),"無")</f>
        <v>無</v>
      </c>
      <c r="S298" s="324">
        <f>IFERROR(VLOOKUP($G298,'321買'!$A:$E,4,0),"'沒有資料'")</f>
        <v>65</v>
      </c>
      <c r="T298" s="186">
        <f>IFERROR(VLOOKUP($G298,基本資料!$A:$J,9,0),"無")</f>
        <v>0.7</v>
      </c>
      <c r="U298" s="307">
        <f t="shared" si="130"/>
        <v>3.9660056657223795E-2</v>
      </c>
      <c r="V298" s="94">
        <f>IFERROR(VLOOKUP($G298,基本資料!$A:$J,10,0),"無")</f>
        <v>1.7</v>
      </c>
      <c r="W298" s="36">
        <v>17.649999999999999</v>
      </c>
      <c r="X298" s="45">
        <v>16</v>
      </c>
      <c r="Y298" s="15">
        <f t="shared" si="132"/>
        <v>1.6499999999999986</v>
      </c>
      <c r="Z298" s="63">
        <f t="shared" si="133"/>
        <v>0.10312499999999991</v>
      </c>
      <c r="AA298" s="99" t="s">
        <v>1936</v>
      </c>
      <c r="AB298" s="389">
        <f>IFERROR(VLOOKUP($G298,基本資料!$A:$M,12,0),"無")</f>
        <v>27.48</v>
      </c>
      <c r="AC298" s="22" t="s">
        <v>399</v>
      </c>
      <c r="AD298" s="84">
        <v>44005</v>
      </c>
      <c r="AE298" s="86">
        <v>44015</v>
      </c>
      <c r="AF298" s="33">
        <f t="shared" si="131"/>
        <v>10</v>
      </c>
      <c r="AG298" s="43" t="s">
        <v>1043</v>
      </c>
      <c r="AH298" s="259"/>
      <c r="AJ298" s="245"/>
      <c r="AK298" s="245"/>
      <c r="AR298" s="245" t="str">
        <f>INDEX(基本資料!N:N,MATCH($G298,基本資料!$A:$A,0))</f>
        <v>中</v>
      </c>
    </row>
    <row r="299" spans="1:44">
      <c r="A299" s="343">
        <f>IFERROR(VLOOKUP($G299,基本資料!$A:$J,3,0),"無")</f>
        <v>6.43</v>
      </c>
      <c r="B299" s="79">
        <f>IFERROR(VLOOKUP($G299,基本資料!$A:$J,4,0),"無")</f>
        <v>-26</v>
      </c>
      <c r="C299" s="79">
        <f>IFERROR(VLOOKUP($G299,基本資料!$A:$J,5,0),"無")</f>
        <v>-29</v>
      </c>
      <c r="D299" s="79">
        <f>IFERROR(VLOOKUP($G299,基本資料!$A:$J,6,0),"無")</f>
        <v>10</v>
      </c>
      <c r="E299" s="79">
        <f>IFERROR(VLOOKUP($G299,基本資料!$A:$J,7,0),"無")</f>
        <v>-18</v>
      </c>
      <c r="F299" s="6">
        <f>IFERROR(VLOOKUP($G299,基本資料!$A:$J,8,0),"無")</f>
        <v>20.62</v>
      </c>
      <c r="G299" s="79">
        <v>5215</v>
      </c>
      <c r="H299" s="52" t="s">
        <v>1145</v>
      </c>
      <c r="I299" s="22" t="s">
        <v>468</v>
      </c>
      <c r="J299" s="8">
        <f>IFERROR(VLOOKUP($G299,今日總結!$A:$AN,39,0),"")</f>
        <v>0</v>
      </c>
      <c r="K299" s="5">
        <f>IFERROR(VLOOKUP($G299,今日總結!$A:$AN,40,0),"")</f>
        <v>0</v>
      </c>
      <c r="L299" s="156">
        <f>IFERROR(VLOOKUP($G299,今日總結!$A:$AN,37,0),"")</f>
        <v>0</v>
      </c>
      <c r="M299" s="337">
        <f>IFERROR(VLOOKUP($G299,今日總結!$A:$AN,38,0),"")</f>
        <v>0</v>
      </c>
      <c r="N299" s="240">
        <f t="shared" si="129"/>
        <v>0</v>
      </c>
      <c r="O299" s="359">
        <f>IFERROR(VLOOKUP($G299,融外自投!$A:$J,7,0),"無")</f>
        <v>492</v>
      </c>
      <c r="P299" s="79">
        <f>IFERROR(VLOOKUP($G299,融外自投!$A:$J,9,0),"無")</f>
        <v>1123</v>
      </c>
      <c r="Q299" s="342">
        <f>IFERROR(VLOOKUP($G299,融外自投!$A:$J,8,0),"無")</f>
        <v>216</v>
      </c>
      <c r="R299" s="81" t="str">
        <f>IFERROR(VLOOKUP($G299,融外自投!$A:$J,10,0),"無")</f>
        <v>無</v>
      </c>
      <c r="S299" s="324">
        <f>IFERROR(VLOOKUP($G299,'321買'!$A:$E,4,0),"'沒有資料'")</f>
        <v>1002</v>
      </c>
      <c r="T299" s="186">
        <f>IFERROR(VLOOKUP($G299,基本資料!$A:$J,9,0),"無")</f>
        <v>5</v>
      </c>
      <c r="U299" s="307">
        <f t="shared" si="130"/>
        <v>4.0160642570281124E-2</v>
      </c>
      <c r="V299" s="94">
        <f>IFERROR(VLOOKUP($G299,基本資料!$A:$J,10,0),"無")</f>
        <v>8.76</v>
      </c>
      <c r="W299" s="36">
        <v>124.5</v>
      </c>
      <c r="X299" s="45">
        <v>50</v>
      </c>
      <c r="Y299" s="15">
        <f t="shared" si="132"/>
        <v>74.5</v>
      </c>
      <c r="Z299" s="169">
        <f t="shared" si="133"/>
        <v>1.49</v>
      </c>
      <c r="AA299" s="99" t="s">
        <v>1930</v>
      </c>
      <c r="AB299" s="389">
        <f>IFERROR(VLOOKUP($G299,基本資料!$A:$M,12,0),"無")</f>
        <v>19.46</v>
      </c>
      <c r="AC299" s="22" t="s">
        <v>468</v>
      </c>
      <c r="AD299" s="84">
        <v>43997</v>
      </c>
      <c r="AE299" s="86">
        <v>44011</v>
      </c>
      <c r="AF299" s="33">
        <f t="shared" si="131"/>
        <v>14</v>
      </c>
      <c r="AG299" s="43" t="s">
        <v>1633</v>
      </c>
      <c r="AH299" s="259"/>
      <c r="AJ299" s="245"/>
      <c r="AK299" s="245"/>
      <c r="AR299" s="245" t="str">
        <f>INDEX(基本資料!N:N,MATCH($G299,基本資料!$A:$A,0))</f>
        <v>低</v>
      </c>
    </row>
    <row r="300" spans="1:44">
      <c r="A300" s="343">
        <f>IFERROR(VLOOKUP($G300,基本資料!$A:$J,3,0),"無")</f>
        <v>4.8899999999999997</v>
      </c>
      <c r="B300" s="79">
        <f>IFERROR(VLOOKUP($G300,基本資料!$A:$J,4,0),"無")</f>
        <v>21</v>
      </c>
      <c r="C300" s="79">
        <f>IFERROR(VLOOKUP($G300,基本資料!$A:$J,5,0),"無")</f>
        <v>23</v>
      </c>
      <c r="D300" s="79">
        <f>IFERROR(VLOOKUP($G300,基本資料!$A:$J,6,0),"無")</f>
        <v>-11</v>
      </c>
      <c r="E300" s="79">
        <f>IFERROR(VLOOKUP($G300,基本資料!$A:$J,7,0),"無")</f>
        <v>-20</v>
      </c>
      <c r="F300" s="6">
        <f>IFERROR(VLOOKUP($G300,基本資料!$A:$J,8,0),"無")</f>
        <v>32.35</v>
      </c>
      <c r="G300" s="79">
        <v>6732</v>
      </c>
      <c r="H300" s="52" t="s">
        <v>3038</v>
      </c>
      <c r="I300" s="16" t="s">
        <v>1917</v>
      </c>
      <c r="J300" s="8">
        <f>IFERROR(VLOOKUP($G300,今日總結!$A:$AN,39,0),"")</f>
        <v>0</v>
      </c>
      <c r="K300" s="5">
        <f>IFERROR(VLOOKUP($G300,今日總結!$A:$AN,40,0),"")</f>
        <v>0</v>
      </c>
      <c r="L300" s="156">
        <f>IFERROR(VLOOKUP($G300,今日總結!$A:$AN,37,0),"")</f>
        <v>0</v>
      </c>
      <c r="M300" s="337">
        <f>IFERROR(VLOOKUP($G300,今日總結!$A:$AN,38,0),"")</f>
        <v>0</v>
      </c>
      <c r="N300" s="240">
        <f t="shared" si="129"/>
        <v>0</v>
      </c>
      <c r="O300" s="359">
        <f>IFERROR(VLOOKUP($G300,融外自投!$A:$J,7,0),"無")</f>
        <v>648</v>
      </c>
      <c r="P300" s="79">
        <f>IFERROR(VLOOKUP($G300,融外自投!$A:$J,9,0),"無")</f>
        <v>1123</v>
      </c>
      <c r="Q300" s="342">
        <f>IFERROR(VLOOKUP($G300,融外自投!$A:$J,8,0),"無")</f>
        <v>652</v>
      </c>
      <c r="R300" s="81">
        <f>IFERROR(VLOOKUP($G300,融外自投!$A:$J,10,0),"無")</f>
        <v>116</v>
      </c>
      <c r="S300" s="324">
        <f>IFERROR(VLOOKUP($G300,'321買'!$A:$E,4,0),"'沒有資料'")</f>
        <v>286</v>
      </c>
      <c r="T300" s="186">
        <f>IFERROR(VLOOKUP($G300,基本資料!$A:$J,9,0),"無")</f>
        <v>30</v>
      </c>
      <c r="U300" s="307">
        <f t="shared" si="130"/>
        <v>3.1645569620253167E-2</v>
      </c>
      <c r="V300" s="94">
        <f>IFERROR(VLOOKUP($G300,基本資料!$A:$J,10,0),"無")</f>
        <v>33.97</v>
      </c>
      <c r="W300" s="36">
        <v>948</v>
      </c>
      <c r="X300" s="66">
        <v>498</v>
      </c>
      <c r="Y300" s="15">
        <f t="shared" si="132"/>
        <v>450</v>
      </c>
      <c r="Z300" s="170">
        <f t="shared" si="133"/>
        <v>0.90361445783132532</v>
      </c>
      <c r="AA300" s="99" t="s">
        <v>1927</v>
      </c>
      <c r="AB300" s="389">
        <f>IFERROR(VLOOKUP($G300,基本資料!$A:$M,12,0),"無")</f>
        <v>12.34</v>
      </c>
      <c r="AC300" s="16" t="s">
        <v>1917</v>
      </c>
      <c r="AD300" s="84">
        <v>43990</v>
      </c>
      <c r="AE300" s="86">
        <v>44000</v>
      </c>
      <c r="AF300" s="33">
        <f t="shared" si="131"/>
        <v>10</v>
      </c>
      <c r="AG300" s="43" t="s">
        <v>1926</v>
      </c>
      <c r="AH300" s="259"/>
      <c r="AJ300" s="245"/>
      <c r="AK300" s="245"/>
      <c r="AR300" s="245" t="str">
        <f>INDEX(基本資料!N:N,MATCH($G300,基本資料!$A:$A,0))</f>
        <v>低</v>
      </c>
    </row>
    <row r="301" spans="1:44">
      <c r="A301" s="343">
        <f>IFERROR(VLOOKUP($G301,基本資料!$A:$J,3,0),"無")</f>
        <v>8.17</v>
      </c>
      <c r="B301" s="79">
        <f>IFERROR(VLOOKUP($G301,基本資料!$A:$J,4,0),"無")</f>
        <v>-59</v>
      </c>
      <c r="C301" s="79">
        <f>IFERROR(VLOOKUP($G301,基本資料!$A:$J,5,0),"無")</f>
        <v>-23</v>
      </c>
      <c r="D301" s="79">
        <f>IFERROR(VLOOKUP($G301,基本資料!$A:$J,6,0),"無")</f>
        <v>54</v>
      </c>
      <c r="E301" s="79">
        <f>IFERROR(VLOOKUP($G301,基本資料!$A:$J,7,0),"無")</f>
        <v>232</v>
      </c>
      <c r="F301" s="6">
        <f>IFERROR(VLOOKUP($G301,基本資料!$A:$J,8,0),"無")</f>
        <v>-51.55</v>
      </c>
      <c r="G301" s="79">
        <v>6598</v>
      </c>
      <c r="H301" s="4" t="s">
        <v>4723</v>
      </c>
      <c r="I301" s="22" t="s">
        <v>1919</v>
      </c>
      <c r="J301" s="8" t="str">
        <f>IFERROR(VLOOKUP($G301,今日總結!$A:$AN,39,0),"")</f>
        <v>券</v>
      </c>
      <c r="K301" s="5">
        <f>IFERROR(VLOOKUP($G301,今日總結!$A:$AN,40,0),"")</f>
        <v>0</v>
      </c>
      <c r="L301" s="156">
        <f>IFERROR(VLOOKUP($G301,今日總結!$A:$AN,37,0),"")</f>
        <v>1</v>
      </c>
      <c r="M301" s="337">
        <f>IFERROR(VLOOKUP($G301,今日總結!$A:$AN,38,0),"")</f>
        <v>0</v>
      </c>
      <c r="N301" s="240">
        <f t="shared" si="129"/>
        <v>1</v>
      </c>
      <c r="O301" s="359">
        <f>IFERROR(VLOOKUP($G301,融外自投!$A:$J,7,0),"無")</f>
        <v>585</v>
      </c>
      <c r="P301" s="79">
        <f>IFERROR(VLOOKUP($G301,融外自投!$A:$J,9,0),"無")</f>
        <v>383</v>
      </c>
      <c r="Q301" s="342">
        <f>IFERROR(VLOOKUP($G301,融外自投!$A:$J,8,0),"無")</f>
        <v>144</v>
      </c>
      <c r="R301" s="81" t="str">
        <f>IFERROR(VLOOKUP($G301,融外自投!$A:$J,10,0),"無")</f>
        <v>無</v>
      </c>
      <c r="S301" s="324">
        <f>IFERROR(VLOOKUP($G301,'321買'!$A:$E,4,0),"'沒有資料'")</f>
        <v>465</v>
      </c>
      <c r="T301" s="186">
        <f>IFERROR(VLOOKUP($G301,基本資料!$A:$J,9,0),"無")</f>
        <v>0</v>
      </c>
      <c r="U301" s="307">
        <f t="shared" si="130"/>
        <v>0</v>
      </c>
      <c r="V301" s="94">
        <f>IFERROR(VLOOKUP($G301,基本資料!$A:$J,10,0),"無")</f>
        <v>-2.02</v>
      </c>
      <c r="W301" s="13">
        <v>166.5</v>
      </c>
      <c r="X301" s="66">
        <v>48</v>
      </c>
      <c r="Y301" s="15">
        <f t="shared" si="132"/>
        <v>118.5</v>
      </c>
      <c r="Z301" s="169">
        <f t="shared" si="133"/>
        <v>2.46875</v>
      </c>
      <c r="AA301" s="99" t="s">
        <v>1928</v>
      </c>
      <c r="AB301" s="389">
        <f>IFERROR(VLOOKUP($G301,基本資料!$A:$M,12,0),"無")</f>
        <v>28.01</v>
      </c>
      <c r="AC301" s="22" t="s">
        <v>1919</v>
      </c>
      <c r="AD301" s="84">
        <v>43991</v>
      </c>
      <c r="AE301" s="86">
        <v>44001</v>
      </c>
      <c r="AF301" s="33">
        <f t="shared" si="131"/>
        <v>10</v>
      </c>
      <c r="AG301" s="43" t="s">
        <v>1920</v>
      </c>
      <c r="AH301" s="259"/>
      <c r="AJ301" s="245"/>
      <c r="AK301" s="245"/>
      <c r="AR301" s="245" t="str">
        <f>INDEX(基本資料!N:N,MATCH($G301,基本資料!$A:$A,0))</f>
        <v>低</v>
      </c>
    </row>
    <row r="302" spans="1:44" s="7" customFormat="1" ht="17.100000000000001" customHeight="1">
      <c r="A302" s="343">
        <f>IFERROR(VLOOKUP($G302,基本資料!$A:$J,3,0),"無")</f>
        <v>52.84</v>
      </c>
      <c r="B302" s="79">
        <f>IFERROR(VLOOKUP($G302,基本資料!$A:$J,4,0),"無")</f>
        <v>43</v>
      </c>
      <c r="C302" s="79">
        <f>IFERROR(VLOOKUP($G302,基本資料!$A:$J,5,0),"無")</f>
        <v>23</v>
      </c>
      <c r="D302" s="79">
        <f>IFERROR(VLOOKUP($G302,基本資料!$A:$J,6,0),"無")</f>
        <v>-21</v>
      </c>
      <c r="E302" s="79">
        <f>IFERROR(VLOOKUP($G302,基本資料!$A:$J,7,0),"無")</f>
        <v>-23</v>
      </c>
      <c r="F302" s="6">
        <f>IFERROR(VLOOKUP($G302,基本資料!$A:$J,8,0),"無")</f>
        <v>11.59</v>
      </c>
      <c r="G302" s="80">
        <v>5469</v>
      </c>
      <c r="H302" s="53" t="s">
        <v>3388</v>
      </c>
      <c r="I302" s="22" t="s">
        <v>237</v>
      </c>
      <c r="J302" s="8">
        <f>IFERROR(VLOOKUP($G302,今日總結!$A:$AN,39,0),"")</f>
        <v>0</v>
      </c>
      <c r="K302" s="5">
        <f>IFERROR(VLOOKUP($G302,今日總結!$A:$AN,40,0),"")</f>
        <v>0</v>
      </c>
      <c r="L302" s="156">
        <f>IFERROR(VLOOKUP($G302,今日總結!$A:$AN,37,0),"")</f>
        <v>0</v>
      </c>
      <c r="M302" s="337">
        <f>IFERROR(VLOOKUP($G302,今日總結!$A:$AN,38,0),"")</f>
        <v>0</v>
      </c>
      <c r="N302" s="240">
        <f t="shared" si="129"/>
        <v>0</v>
      </c>
      <c r="O302" s="359">
        <f>IFERROR(VLOOKUP($G302,融外自投!$A:$J,7,0),"無")</f>
        <v>581</v>
      </c>
      <c r="P302" s="79">
        <f>IFERROR(VLOOKUP($G302,融外自投!$A:$J,9,0),"無")</f>
        <v>596</v>
      </c>
      <c r="Q302" s="342">
        <f>IFERROR(VLOOKUP($G302,融外自投!$A:$J,8,0),"無")</f>
        <v>451</v>
      </c>
      <c r="R302" s="81">
        <f>IFERROR(VLOOKUP($G302,融外自投!$A:$J,10,0),"無")</f>
        <v>276</v>
      </c>
      <c r="S302" s="324">
        <f>IFERROR(VLOOKUP($G302,'321買'!$A:$E,4,0),"'沒有資料'")</f>
        <v>696</v>
      </c>
      <c r="T302" s="186">
        <f>IFERROR(VLOOKUP($G302,基本資料!$A:$J,9,0),"無")</f>
        <v>2.2000000000000002</v>
      </c>
      <c r="U302" s="307">
        <f t="shared" si="130"/>
        <v>5.6555269922879181E-2</v>
      </c>
      <c r="V302" s="94">
        <f>IFERROR(VLOOKUP($G302,基本資料!$A:$J,10,0),"無")</f>
        <v>7.05</v>
      </c>
      <c r="W302" s="36">
        <v>38.9</v>
      </c>
      <c r="X302" s="66">
        <v>36</v>
      </c>
      <c r="Y302" s="15">
        <f t="shared" si="132"/>
        <v>2.8999999999999986</v>
      </c>
      <c r="Z302" s="63">
        <f t="shared" si="133"/>
        <v>8.0555555555555519E-2</v>
      </c>
      <c r="AA302" s="99" t="s">
        <v>1918</v>
      </c>
      <c r="AB302" s="389">
        <f>IFERROR(VLOOKUP($G302,基本資料!$A:$M,12,0),"無")</f>
        <v>12.61</v>
      </c>
      <c r="AC302" s="22" t="s">
        <v>237</v>
      </c>
      <c r="AD302" s="84">
        <v>43978</v>
      </c>
      <c r="AE302" s="86">
        <v>43990</v>
      </c>
      <c r="AF302" s="33">
        <f t="shared" si="131"/>
        <v>12</v>
      </c>
      <c r="AG302" s="117" t="s">
        <v>1905</v>
      </c>
      <c r="AH302" s="259"/>
      <c r="AL302" s="250"/>
      <c r="AM302" s="22"/>
      <c r="AN302" s="127"/>
      <c r="AO302" s="250"/>
      <c r="AP302" s="44"/>
      <c r="AR302" s="245" t="str">
        <f>INDEX(基本資料!N:N,MATCH($G302,基本資料!$A:$A,0))</f>
        <v>低</v>
      </c>
    </row>
    <row r="303" spans="1:44">
      <c r="A303" s="343">
        <f>IFERROR(VLOOKUP($G303,基本資料!$A:$J,3,0),"無")</f>
        <v>8.23</v>
      </c>
      <c r="B303" s="79">
        <f>IFERROR(VLOOKUP($G303,基本資料!$A:$J,4,0),"無")</f>
        <v>-67</v>
      </c>
      <c r="C303" s="79">
        <f>IFERROR(VLOOKUP($G303,基本資料!$A:$J,5,0),"無")</f>
        <v>-63</v>
      </c>
      <c r="D303" s="79">
        <f>IFERROR(VLOOKUP($G303,基本資料!$A:$J,6,0),"無")</f>
        <v>-1</v>
      </c>
      <c r="E303" s="79">
        <f>IFERROR(VLOOKUP($G303,基本資料!$A:$J,7,0),"無")</f>
        <v>-9</v>
      </c>
      <c r="F303" s="6">
        <f>IFERROR(VLOOKUP($G303,基本資料!$A:$J,8,0),"無")</f>
        <v>5.49</v>
      </c>
      <c r="G303" s="80">
        <v>5546</v>
      </c>
      <c r="H303" s="4" t="s">
        <v>4002</v>
      </c>
      <c r="I303" s="22" t="s">
        <v>1901</v>
      </c>
      <c r="J303" s="8">
        <f>IFERROR(VLOOKUP($G303,今日總結!$A:$AN,39,0),"")</f>
        <v>0</v>
      </c>
      <c r="K303" s="5">
        <f>IFERROR(VLOOKUP($G303,今日總結!$A:$AN,40,0),"")</f>
        <v>0</v>
      </c>
      <c r="L303" s="156">
        <f>IFERROR(VLOOKUP($G303,今日總結!$A:$AN,37,0),"")</f>
        <v>0</v>
      </c>
      <c r="M303" s="337">
        <f>IFERROR(VLOOKUP($G303,今日總結!$A:$AN,38,0),"")</f>
        <v>0</v>
      </c>
      <c r="N303" s="240">
        <f t="shared" si="129"/>
        <v>0</v>
      </c>
      <c r="O303" s="359">
        <f>IFERROR(VLOOKUP($G303,融外自投!$A:$J,7,0),"無")</f>
        <v>596</v>
      </c>
      <c r="P303" s="79" t="str">
        <f>IFERROR(VLOOKUP($G303,融外自投!$A:$J,9,0),"無")</f>
        <v>無</v>
      </c>
      <c r="Q303" s="342">
        <f>IFERROR(VLOOKUP($G303,融外自投!$A:$J,8,0),"無")</f>
        <v>61</v>
      </c>
      <c r="R303" s="81" t="str">
        <f>IFERROR(VLOOKUP($G303,融外自投!$A:$J,10,0),"無")</f>
        <v>無</v>
      </c>
      <c r="S303" s="324">
        <f>IFERROR(VLOOKUP($G303,'321買'!$A:$E,4,0),"'沒有資料'")</f>
        <v>1002</v>
      </c>
      <c r="T303" s="186">
        <f>IFERROR(VLOOKUP($G303,基本資料!$A:$J,9,0),"無")</f>
        <v>5</v>
      </c>
      <c r="U303" s="307">
        <f t="shared" si="130"/>
        <v>8.0645161290322578E-2</v>
      </c>
      <c r="V303" s="94">
        <f>IFERROR(VLOOKUP($G303,基本資料!$A:$J,10,0),"無")</f>
        <v>3.18</v>
      </c>
      <c r="W303" s="36">
        <v>62</v>
      </c>
      <c r="X303" s="66">
        <v>58.5</v>
      </c>
      <c r="Y303" s="15">
        <f t="shared" si="132"/>
        <v>3.5</v>
      </c>
      <c r="Z303" s="63">
        <f t="shared" si="133"/>
        <v>5.9829059829059832E-2</v>
      </c>
      <c r="AA303" s="99" t="s">
        <v>1659</v>
      </c>
      <c r="AB303" s="389">
        <f>IFERROR(VLOOKUP($G303,基本資料!$A:$M,12,0),"無")</f>
        <v>16.48</v>
      </c>
      <c r="AC303" s="22" t="s">
        <v>1901</v>
      </c>
      <c r="AD303" s="84">
        <v>43971</v>
      </c>
      <c r="AE303" s="86">
        <v>43983</v>
      </c>
      <c r="AF303" s="33">
        <f t="shared" si="131"/>
        <v>12</v>
      </c>
      <c r="AG303" s="117" t="s">
        <v>1911</v>
      </c>
      <c r="AH303" s="259"/>
      <c r="AJ303" s="245"/>
      <c r="AK303" s="245"/>
      <c r="AR303" s="245" t="str">
        <f>INDEX(基本資料!N:N,MATCH($G303,基本資料!$A:$A,0))</f>
        <v>低</v>
      </c>
    </row>
    <row r="304" spans="1:44">
      <c r="A304" s="343">
        <f>IFERROR(VLOOKUP($G304,基本資料!$A:$J,3,0),"無")</f>
        <v>4.47</v>
      </c>
      <c r="B304" s="79">
        <f>IFERROR(VLOOKUP($G304,基本資料!$A:$J,4,0),"無")</f>
        <v>26</v>
      </c>
      <c r="C304" s="79">
        <f>IFERROR(VLOOKUP($G304,基本資料!$A:$J,5,0),"無")</f>
        <v>22</v>
      </c>
      <c r="D304" s="79">
        <f>IFERROR(VLOOKUP($G304,基本資料!$A:$J,6,0),"無")</f>
        <v>-6</v>
      </c>
      <c r="E304" s="79">
        <f>IFERROR(VLOOKUP($G304,基本資料!$A:$J,7,0),"無")</f>
        <v>-17</v>
      </c>
      <c r="F304" s="6">
        <f>IFERROR(VLOOKUP($G304,基本資料!$A:$J,8,0),"無")</f>
        <v>38.86</v>
      </c>
      <c r="G304" s="80">
        <v>3563</v>
      </c>
      <c r="H304" s="4" t="s">
        <v>306</v>
      </c>
      <c r="I304" s="22" t="s">
        <v>4198</v>
      </c>
      <c r="J304" s="8" t="str">
        <f>IFERROR(VLOOKUP($G304,今日總結!$A:$AN,39,0),"")</f>
        <v>外</v>
      </c>
      <c r="K304" s="5">
        <f>IFERROR(VLOOKUP($G304,今日總結!$A:$AN,40,0),"")</f>
        <v>0</v>
      </c>
      <c r="L304" s="156">
        <f>IFERROR(VLOOKUP($G304,今日總結!$A:$AN,37,0),"")</f>
        <v>1</v>
      </c>
      <c r="M304" s="337">
        <f>IFERROR(VLOOKUP($G304,今日總結!$A:$AN,38,0),"")</f>
        <v>0</v>
      </c>
      <c r="N304" s="240">
        <f t="shared" si="129"/>
        <v>1</v>
      </c>
      <c r="O304" s="359">
        <f>IFERROR(VLOOKUP($G304,融外自投!$A:$J,7,0),"無")</f>
        <v>444</v>
      </c>
      <c r="P304" s="79">
        <f>IFERROR(VLOOKUP($G304,融外自投!$A:$J,9,0),"無")</f>
        <v>85</v>
      </c>
      <c r="Q304" s="342">
        <f>IFERROR(VLOOKUP($G304,融外自投!$A:$J,8,0),"無")</f>
        <v>558</v>
      </c>
      <c r="R304" s="81" t="str">
        <f>IFERROR(VLOOKUP($G304,融外自投!$A:$J,10,0),"無")</f>
        <v>無</v>
      </c>
      <c r="S304" s="324">
        <f>IFERROR(VLOOKUP($G304,'321買'!$A:$E,4,0),"'沒有資料'")</f>
        <v>411</v>
      </c>
      <c r="T304" s="186">
        <f>IFERROR(VLOOKUP($G304,基本資料!$A:$J,9,0),"無")</f>
        <v>12</v>
      </c>
      <c r="U304" s="307">
        <f t="shared" si="130"/>
        <v>3.669724770642202E-2</v>
      </c>
      <c r="V304" s="94">
        <f>IFERROR(VLOOKUP($G304,基本資料!$A:$J,10,0),"無")</f>
        <v>18.510000000000002</v>
      </c>
      <c r="W304" s="36">
        <v>327</v>
      </c>
      <c r="X304" s="45">
        <v>250</v>
      </c>
      <c r="Y304" s="15">
        <f t="shared" si="132"/>
        <v>77</v>
      </c>
      <c r="Z304" s="63">
        <f t="shared" si="133"/>
        <v>0.308</v>
      </c>
      <c r="AA304" s="99" t="s">
        <v>1891</v>
      </c>
      <c r="AB304" s="389">
        <f>IFERROR(VLOOKUP($G304,基本資料!$A:$M,12,0),"無")</f>
        <v>11.51</v>
      </c>
      <c r="AC304" s="22" t="s">
        <v>179</v>
      </c>
      <c r="AD304" s="84">
        <v>43970</v>
      </c>
      <c r="AE304" s="86">
        <v>43980</v>
      </c>
      <c r="AF304" s="33">
        <f t="shared" si="131"/>
        <v>10</v>
      </c>
      <c r="AG304" s="119" t="s">
        <v>1719</v>
      </c>
      <c r="AH304" s="259"/>
      <c r="AJ304" s="245"/>
      <c r="AK304" s="245"/>
      <c r="AR304" s="245" t="str">
        <f>INDEX(基本資料!N:N,MATCH($G304,基本資料!$A:$A,0))</f>
        <v>低</v>
      </c>
    </row>
    <row r="305" spans="1:44" ht="17.25" customHeight="1">
      <c r="A305" s="343">
        <f>IFERROR(VLOOKUP($G305,基本資料!$A:$J,3,0),"無")</f>
        <v>4.63</v>
      </c>
      <c r="B305" s="79">
        <f>IFERROR(VLOOKUP($G305,基本資料!$A:$J,4,0),"無")</f>
        <v>54</v>
      </c>
      <c r="C305" s="79">
        <f>IFERROR(VLOOKUP($G305,基本資料!$A:$J,5,0),"無")</f>
        <v>41</v>
      </c>
      <c r="D305" s="79">
        <f>IFERROR(VLOOKUP($G305,基本資料!$A:$J,6,0),"無")</f>
        <v>-8</v>
      </c>
      <c r="E305" s="79">
        <f>IFERROR(VLOOKUP($G305,基本資料!$A:$J,7,0),"無")</f>
        <v>13</v>
      </c>
      <c r="F305" s="6">
        <f>IFERROR(VLOOKUP($G305,基本資料!$A:$J,8,0),"無")</f>
        <v>10.43</v>
      </c>
      <c r="G305" s="79">
        <v>8284</v>
      </c>
      <c r="H305" s="4" t="s">
        <v>3435</v>
      </c>
      <c r="I305" s="16" t="s">
        <v>1898</v>
      </c>
      <c r="J305" s="8">
        <f>IFERROR(VLOOKUP($G305,今日總結!$A:$AN,39,0),"")</f>
        <v>0</v>
      </c>
      <c r="K305" s="5">
        <f>IFERROR(VLOOKUP($G305,今日總結!$A:$AN,40,0),"")</f>
        <v>0</v>
      </c>
      <c r="L305" s="156">
        <f>IFERROR(VLOOKUP($G305,今日總結!$A:$AN,37,0),"")</f>
        <v>0</v>
      </c>
      <c r="M305" s="337">
        <f>IFERROR(VLOOKUP($G305,今日總結!$A:$AN,38,0),"")</f>
        <v>0</v>
      </c>
      <c r="N305" s="240">
        <f t="shared" si="129"/>
        <v>0</v>
      </c>
      <c r="O305" s="359">
        <f>IFERROR(VLOOKUP($G305,融外自投!$A:$J,7,0),"無")</f>
        <v>942</v>
      </c>
      <c r="P305" s="79">
        <f>IFERROR(VLOOKUP($G305,融外自投!$A:$J,9,0),"無")</f>
        <v>1051</v>
      </c>
      <c r="Q305" s="342">
        <f>IFERROR(VLOOKUP($G305,融外自投!$A:$J,8,0),"無")</f>
        <v>1155</v>
      </c>
      <c r="R305" s="81" t="str">
        <f>IFERROR(VLOOKUP($G305,融外自投!$A:$J,10,0),"無")</f>
        <v>無</v>
      </c>
      <c r="S305" s="324">
        <f>IFERROR(VLOOKUP($G305,'321買'!$A:$E,4,0),"'沒有資料'")</f>
        <v>801</v>
      </c>
      <c r="T305" s="186">
        <f>IFERROR(VLOOKUP($G305,基本資料!$A:$J,9,0),"無")</f>
        <v>3</v>
      </c>
      <c r="U305" s="307">
        <f t="shared" si="130"/>
        <v>4.7619047619047616E-2</v>
      </c>
      <c r="V305" s="94">
        <f>IFERROR(VLOOKUP($G305,基本資料!$A:$J,10,0),"無")</f>
        <v>4.0599999999999996</v>
      </c>
      <c r="W305" s="36">
        <v>63</v>
      </c>
      <c r="X305" s="66">
        <v>45</v>
      </c>
      <c r="Y305" s="15">
        <f t="shared" ref="Y305:Y334" si="134">W305-X305</f>
        <v>18</v>
      </c>
      <c r="Z305" s="63">
        <f t="shared" ref="Z305:Z334" si="135">Y305/X305</f>
        <v>0.4</v>
      </c>
      <c r="AA305" s="99" t="s">
        <v>1909</v>
      </c>
      <c r="AB305" s="389">
        <f>IFERROR(VLOOKUP($G305,基本資料!$A:$M,12,0),"無")</f>
        <v>47.54</v>
      </c>
      <c r="AC305" s="16" t="s">
        <v>1898</v>
      </c>
      <c r="AD305" s="84">
        <v>43969</v>
      </c>
      <c r="AE305" s="86">
        <v>43980</v>
      </c>
      <c r="AF305" s="33">
        <f t="shared" si="131"/>
        <v>11</v>
      </c>
      <c r="AG305" s="43" t="s">
        <v>1899</v>
      </c>
      <c r="AH305" s="259"/>
      <c r="AJ305" s="245"/>
      <c r="AK305" s="245"/>
      <c r="AR305" s="245" t="str">
        <f>INDEX(基本資料!N:N,MATCH($G305,基本資料!$A:$A,0))</f>
        <v>中</v>
      </c>
    </row>
    <row r="306" spans="1:44">
      <c r="A306" s="343">
        <f>IFERROR(VLOOKUP($G306,基本資料!$A:$J,3,0),"無")</f>
        <v>1548</v>
      </c>
      <c r="B306" s="79">
        <f>IFERROR(VLOOKUP($G306,基本資料!$A:$J,4,0),"無")</f>
        <v>57</v>
      </c>
      <c r="C306" s="79">
        <f>IFERROR(VLOOKUP($G306,基本資料!$A:$J,5,0),"無")</f>
        <v>0</v>
      </c>
      <c r="D306" s="79">
        <f>IFERROR(VLOOKUP($G306,基本資料!$A:$J,6,0),"無")</f>
        <v>-29</v>
      </c>
      <c r="E306" s="79">
        <f>IFERROR(VLOOKUP($G306,基本資料!$A:$J,7,0),"無")</f>
        <v>-34</v>
      </c>
      <c r="F306" s="6">
        <f>IFERROR(VLOOKUP($G306,基本資料!$A:$J,8,0),"無")</f>
        <v>0</v>
      </c>
      <c r="G306" s="80">
        <v>2888</v>
      </c>
      <c r="H306" s="10" t="s">
        <v>304</v>
      </c>
      <c r="I306" s="22" t="s">
        <v>18</v>
      </c>
      <c r="J306" s="8" t="str">
        <f>IFERROR(VLOOKUP($G306,今日總結!$A:$AN,39,0),"")</f>
        <v>借</v>
      </c>
      <c r="K306" s="5" t="str">
        <f>IFERROR(VLOOKUP($G306,今日總結!$A:$AN,40,0),"")</f>
        <v>主外</v>
      </c>
      <c r="L306" s="156">
        <f>IFERROR(VLOOKUP($G306,今日總結!$A:$AN,37,0),"")</f>
        <v>1</v>
      </c>
      <c r="M306" s="337">
        <f>IFERROR(VLOOKUP($G306,今日總結!$A:$AN,38,0),"")</f>
        <v>24</v>
      </c>
      <c r="N306" s="240">
        <f t="shared" si="129"/>
        <v>-23</v>
      </c>
      <c r="O306" s="359">
        <f>IFERROR(VLOOKUP($G306,融外自投!$A:$J,7,0),"無")</f>
        <v>918</v>
      </c>
      <c r="P306" s="79">
        <f>IFERROR(VLOOKUP($G306,融外自投!$A:$J,9,0),"無")</f>
        <v>1123</v>
      </c>
      <c r="Q306" s="342">
        <f>IFERROR(VLOOKUP($G306,融外自投!$A:$J,8,0),"無")</f>
        <v>270</v>
      </c>
      <c r="R306" s="81">
        <f>IFERROR(VLOOKUP($G306,融外自投!$A:$J,10,0),"無")</f>
        <v>294</v>
      </c>
      <c r="S306" s="324">
        <f>IFERROR(VLOOKUP($G306,'321買'!$A:$E,4,0),"'沒有資料'")</f>
        <v>300</v>
      </c>
      <c r="T306" s="186">
        <f>IFERROR(VLOOKUP($G306,基本資料!$A:$J,9,0),"無")</f>
        <v>0.43</v>
      </c>
      <c r="U306" s="307">
        <f t="shared" si="130"/>
        <v>5.1558752997601917E-2</v>
      </c>
      <c r="V306" s="94">
        <f>IFERROR(VLOOKUP($G306,基本資料!$A:$J,10,0),"無")</f>
        <v>1.67</v>
      </c>
      <c r="W306" s="36">
        <v>8.34</v>
      </c>
      <c r="X306" s="66">
        <v>7.8</v>
      </c>
      <c r="Y306" s="15">
        <f t="shared" si="134"/>
        <v>0.54</v>
      </c>
      <c r="Z306" s="63">
        <f t="shared" si="135"/>
        <v>6.9230769230769235E-2</v>
      </c>
      <c r="AA306" s="99" t="s">
        <v>1910</v>
      </c>
      <c r="AB306" s="389">
        <f>IFERROR(VLOOKUP($G306,基本資料!$A:$M,12,0),"無")</f>
        <v>9.42</v>
      </c>
      <c r="AC306" s="22" t="s">
        <v>18</v>
      </c>
      <c r="AD306" s="84">
        <v>43969</v>
      </c>
      <c r="AE306" s="86">
        <v>43980</v>
      </c>
      <c r="AF306" s="33">
        <f t="shared" si="131"/>
        <v>11</v>
      </c>
      <c r="AG306" s="117" t="s">
        <v>1450</v>
      </c>
      <c r="AH306" s="259"/>
      <c r="AJ306" s="245"/>
      <c r="AK306" s="245"/>
      <c r="AR306" s="245" t="str">
        <f>INDEX(基本資料!N:N,MATCH($G306,基本資料!$A:$A,0))</f>
        <v>低</v>
      </c>
    </row>
    <row r="307" spans="1:44">
      <c r="A307" s="343">
        <f>IFERROR(VLOOKUP($G307,基本資料!$A:$J,3,0),"無")</f>
        <v>11.82</v>
      </c>
      <c r="B307" s="79">
        <f>IFERROR(VLOOKUP($G307,基本資料!$A:$J,4,0),"無")</f>
        <v>23</v>
      </c>
      <c r="C307" s="79">
        <f>IFERROR(VLOOKUP($G307,基本資料!$A:$J,5,0),"無")</f>
        <v>69</v>
      </c>
      <c r="D307" s="79">
        <f>IFERROR(VLOOKUP($G307,基本資料!$A:$J,6,0),"無")</f>
        <v>-7</v>
      </c>
      <c r="E307" s="79">
        <f>IFERROR(VLOOKUP($G307,基本資料!$A:$J,7,0),"無")</f>
        <v>15</v>
      </c>
      <c r="F307" s="6">
        <f>IFERROR(VLOOKUP($G307,基本資料!$A:$J,8,0),"無")</f>
        <v>14.24</v>
      </c>
      <c r="G307" s="80">
        <v>6208</v>
      </c>
      <c r="H307" s="4" t="s">
        <v>3388</v>
      </c>
      <c r="I307" s="16" t="s">
        <v>434</v>
      </c>
      <c r="J307" s="8">
        <f>IFERROR(VLOOKUP($G307,今日總結!$A:$AN,39,0),"")</f>
        <v>0</v>
      </c>
      <c r="K307" s="5">
        <f>IFERROR(VLOOKUP($G307,今日總結!$A:$AN,40,0),"")</f>
        <v>0</v>
      </c>
      <c r="L307" s="156">
        <f>IFERROR(VLOOKUP($G307,今日總結!$A:$AN,37,0),"")</f>
        <v>0</v>
      </c>
      <c r="M307" s="337">
        <f>IFERROR(VLOOKUP($G307,今日總結!$A:$AN,38,0),"")</f>
        <v>0</v>
      </c>
      <c r="N307" s="240">
        <f t="shared" si="129"/>
        <v>0</v>
      </c>
      <c r="O307" s="359">
        <f>IFERROR(VLOOKUP($G307,融外自投!$A:$J,7,0),"無")</f>
        <v>624</v>
      </c>
      <c r="P307" s="79" t="str">
        <f>IFERROR(VLOOKUP($G307,融外自投!$A:$J,9,0),"無")</f>
        <v>無</v>
      </c>
      <c r="Q307" s="342">
        <f>IFERROR(VLOOKUP($G307,融外自投!$A:$J,8,0),"無")</f>
        <v>1133</v>
      </c>
      <c r="R307" s="81" t="str">
        <f>IFERROR(VLOOKUP($G307,融外自投!$A:$J,10,0),"無")</f>
        <v>無</v>
      </c>
      <c r="S307" s="324">
        <f>IFERROR(VLOOKUP($G307,'321買'!$A:$E,4,0),"'沒有資料'")</f>
        <v>497</v>
      </c>
      <c r="T307" s="186">
        <f>IFERROR(VLOOKUP($G307,基本資料!$A:$J,9,0),"無")</f>
        <v>2.2000000000000002</v>
      </c>
      <c r="U307" s="307">
        <f t="shared" si="130"/>
        <v>8.5436893203883507E-2</v>
      </c>
      <c r="V307" s="94">
        <f>IFERROR(VLOOKUP($G307,基本資料!$A:$J,10,0),"無")</f>
        <v>3.32</v>
      </c>
      <c r="W307" s="36">
        <v>25.75</v>
      </c>
      <c r="X307" s="66">
        <v>20</v>
      </c>
      <c r="Y307" s="15">
        <f t="shared" si="134"/>
        <v>5.75</v>
      </c>
      <c r="Z307" s="63">
        <f t="shared" si="135"/>
        <v>0.28749999999999998</v>
      </c>
      <c r="AA307" s="99" t="s">
        <v>1907</v>
      </c>
      <c r="AB307" s="389">
        <f>IFERROR(VLOOKUP($G307,基本資料!$A:$M,12,0),"無")</f>
        <v>15.63</v>
      </c>
      <c r="AC307" s="16" t="s">
        <v>434</v>
      </c>
      <c r="AD307" s="84">
        <v>43966</v>
      </c>
      <c r="AE307" s="86">
        <v>43980</v>
      </c>
      <c r="AF307" s="33">
        <f t="shared" si="131"/>
        <v>14</v>
      </c>
      <c r="AG307" s="43" t="s">
        <v>1896</v>
      </c>
      <c r="AH307" s="259"/>
      <c r="AJ307" s="245"/>
      <c r="AK307" s="245"/>
      <c r="AR307" s="245" t="str">
        <f>INDEX(基本資料!N:N,MATCH($G307,基本資料!$A:$A,0))</f>
        <v>中</v>
      </c>
    </row>
    <row r="308" spans="1:44">
      <c r="A308" s="343">
        <f>IFERROR(VLOOKUP($G308,基本資料!$A:$J,3,0),"無")</f>
        <v>30.44</v>
      </c>
      <c r="B308" s="79">
        <f>IFERROR(VLOOKUP($G308,基本資料!$A:$J,4,0),"無")</f>
        <v>95</v>
      </c>
      <c r="C308" s="79">
        <f>IFERROR(VLOOKUP($G308,基本資料!$A:$J,5,0),"無")</f>
        <v>94</v>
      </c>
      <c r="D308" s="79">
        <f>IFERROR(VLOOKUP($G308,基本資料!$A:$J,6,0),"無")</f>
        <v>46</v>
      </c>
      <c r="E308" s="79">
        <f>IFERROR(VLOOKUP($G308,基本資料!$A:$J,7,0),"無")</f>
        <v>-5</v>
      </c>
      <c r="F308" s="6">
        <f>IFERROR(VLOOKUP($G308,基本資料!$A:$J,8,0),"無")</f>
        <v>-3.44</v>
      </c>
      <c r="G308" s="79">
        <v>6589</v>
      </c>
      <c r="H308" s="4" t="s">
        <v>4723</v>
      </c>
      <c r="I308" s="16" t="s">
        <v>1792</v>
      </c>
      <c r="J308" s="8" t="str">
        <f>IFERROR(VLOOKUP($G308,今日總結!$A:$AN,39,0),"")</f>
        <v/>
      </c>
      <c r="K308" s="5" t="str">
        <f>IFERROR(VLOOKUP($G308,今日總結!$A:$AN,40,0),"")</f>
        <v/>
      </c>
      <c r="L308" s="156" t="str">
        <f>IFERROR(VLOOKUP($G308,今日總結!$A:$AN,37,0),"")</f>
        <v/>
      </c>
      <c r="M308" s="337" t="str">
        <f>IFERROR(VLOOKUP($G308,今日總結!$A:$AN,38,0),"")</f>
        <v/>
      </c>
      <c r="N308" s="240" t="str">
        <f t="shared" si="129"/>
        <v/>
      </c>
      <c r="O308" s="359" t="str">
        <f>IFERROR(VLOOKUP($G308,融外自投!$A:$J,7,0),"無")</f>
        <v>無</v>
      </c>
      <c r="P308" s="79" t="str">
        <f>IFERROR(VLOOKUP($G308,融外自投!$A:$J,9,0),"無")</f>
        <v>無</v>
      </c>
      <c r="Q308" s="342" t="str">
        <f>IFERROR(VLOOKUP($G308,融外自投!$A:$J,8,0),"無")</f>
        <v>無</v>
      </c>
      <c r="R308" s="81" t="str">
        <f>IFERROR(VLOOKUP($G308,融外自投!$A:$J,10,0),"無")</f>
        <v>無</v>
      </c>
      <c r="S308" s="324" t="str">
        <f>IFERROR(VLOOKUP($G308,'321買'!$A:$E,4,0),"'沒有資料'")</f>
        <v>'沒有資料'</v>
      </c>
      <c r="T308" s="186">
        <f>IFERROR(VLOOKUP($G308,基本資料!$A:$J,9,0),"無")</f>
        <v>0</v>
      </c>
      <c r="U308" s="307">
        <f t="shared" si="130"/>
        <v>0</v>
      </c>
      <c r="V308" s="94">
        <f>IFERROR(VLOOKUP($G308,基本資料!$A:$J,10,0),"無")</f>
        <v>-0.18</v>
      </c>
      <c r="W308" s="36">
        <v>61.5</v>
      </c>
      <c r="X308" s="66">
        <v>29</v>
      </c>
      <c r="Y308" s="15">
        <f t="shared" si="134"/>
        <v>32.5</v>
      </c>
      <c r="Z308" s="169">
        <f t="shared" si="135"/>
        <v>1.1206896551724137</v>
      </c>
      <c r="AA308" s="99" t="s">
        <v>1908</v>
      </c>
      <c r="AB308" s="389">
        <f>IFERROR(VLOOKUP($G308,基本資料!$A:$M,12,0),"無")</f>
        <v>24.15</v>
      </c>
      <c r="AC308" s="16" t="s">
        <v>1792</v>
      </c>
      <c r="AD308" s="84">
        <v>43966</v>
      </c>
      <c r="AE308" s="86">
        <v>43980</v>
      </c>
      <c r="AF308" s="33">
        <f t="shared" si="131"/>
        <v>14</v>
      </c>
      <c r="AG308" s="43" t="s">
        <v>1793</v>
      </c>
      <c r="AH308" s="259"/>
      <c r="AJ308" s="245"/>
      <c r="AK308" s="245"/>
      <c r="AR308" s="245" t="str">
        <f>INDEX(基本資料!N:N,MATCH($G308,基本資料!$A:$A,0))</f>
        <v>低</v>
      </c>
    </row>
    <row r="309" spans="1:44">
      <c r="A309" s="343">
        <f>IFERROR(VLOOKUP($G309,基本資料!$A:$J,3,0),"無")</f>
        <v>7.45</v>
      </c>
      <c r="B309" s="79">
        <f>IFERROR(VLOOKUP($G309,基本資料!$A:$J,4,0),"無")</f>
        <v>17</v>
      </c>
      <c r="C309" s="79">
        <f>IFERROR(VLOOKUP($G309,基本資料!$A:$J,5,0),"無")</f>
        <v>12</v>
      </c>
      <c r="D309" s="79">
        <f>IFERROR(VLOOKUP($G309,基本資料!$A:$J,6,0),"無")</f>
        <v>-18</v>
      </c>
      <c r="E309" s="79">
        <f>IFERROR(VLOOKUP($G309,基本資料!$A:$J,7,0),"無")</f>
        <v>4</v>
      </c>
      <c r="F309" s="6">
        <f>IFERROR(VLOOKUP($G309,基本資料!$A:$J,8,0),"無")</f>
        <v>5.76</v>
      </c>
      <c r="G309" s="79">
        <v>4173</v>
      </c>
      <c r="H309" s="4" t="s">
        <v>4723</v>
      </c>
      <c r="I309" s="16" t="s">
        <v>615</v>
      </c>
      <c r="J309" s="8" t="str">
        <f>IFERROR(VLOOKUP($G309,今日總結!$A:$AN,39,0),"")</f>
        <v>外</v>
      </c>
      <c r="K309" s="5">
        <f>IFERROR(VLOOKUP($G309,今日總結!$A:$AN,40,0),"")</f>
        <v>0</v>
      </c>
      <c r="L309" s="156">
        <f>IFERROR(VLOOKUP($G309,今日總結!$A:$AN,37,0),"")</f>
        <v>1</v>
      </c>
      <c r="M309" s="337">
        <f>IFERROR(VLOOKUP($G309,今日總結!$A:$AN,38,0),"")</f>
        <v>0</v>
      </c>
      <c r="N309" s="240">
        <f t="shared" si="129"/>
        <v>1</v>
      </c>
      <c r="O309" s="359">
        <f>IFERROR(VLOOKUP($G309,融外自投!$A:$J,7,0),"無")</f>
        <v>523</v>
      </c>
      <c r="P309" s="79" t="str">
        <f>IFERROR(VLOOKUP($G309,融外自投!$A:$J,9,0),"無")</f>
        <v>無</v>
      </c>
      <c r="Q309" s="342">
        <f>IFERROR(VLOOKUP($G309,融外自投!$A:$J,8,0),"無")</f>
        <v>1314</v>
      </c>
      <c r="R309" s="81" t="str">
        <f>IFERROR(VLOOKUP($G309,融外自投!$A:$J,10,0),"無")</f>
        <v>無</v>
      </c>
      <c r="S309" s="324">
        <f>IFERROR(VLOOKUP($G309,'321買'!$A:$E,4,0),"'沒有資料'")</f>
        <v>891</v>
      </c>
      <c r="T309" s="186">
        <f>IFERROR(VLOOKUP($G309,基本資料!$A:$J,9,0),"無")</f>
        <v>0.5</v>
      </c>
      <c r="U309" s="307">
        <f t="shared" si="130"/>
        <v>2.4509803921568631E-2</v>
      </c>
      <c r="V309" s="94">
        <f>IFERROR(VLOOKUP($G309,基本資料!$A:$J,10,0),"無")</f>
        <v>0.74</v>
      </c>
      <c r="W309" s="36">
        <v>20.399999999999999</v>
      </c>
      <c r="X309" s="66">
        <v>15</v>
      </c>
      <c r="Y309" s="15">
        <f t="shared" si="134"/>
        <v>5.3999999999999986</v>
      </c>
      <c r="Z309" s="63">
        <f t="shared" si="135"/>
        <v>0.35999999999999993</v>
      </c>
      <c r="AA309" s="99" t="s">
        <v>1906</v>
      </c>
      <c r="AB309" s="389">
        <f>IFERROR(VLOOKUP($G309,基本資料!$A:$M,12,0),"無")</f>
        <v>25.46</v>
      </c>
      <c r="AC309" s="16" t="s">
        <v>615</v>
      </c>
      <c r="AD309" s="84">
        <v>43964</v>
      </c>
      <c r="AE309" s="86">
        <v>43980</v>
      </c>
      <c r="AF309" s="33">
        <f t="shared" si="131"/>
        <v>16</v>
      </c>
      <c r="AG309" s="43" t="s">
        <v>1897</v>
      </c>
      <c r="AH309" s="259"/>
      <c r="AJ309" s="245"/>
      <c r="AK309" s="245"/>
      <c r="AR309" s="245" t="str">
        <f>INDEX(基本資料!N:N,MATCH($G309,基本資料!$A:$A,0))</f>
        <v>低</v>
      </c>
    </row>
    <row r="310" spans="1:44">
      <c r="A310" s="343">
        <f>IFERROR(VLOOKUP($G310,基本資料!$A:$J,3,0),"無")</f>
        <v>26.36</v>
      </c>
      <c r="B310" s="79">
        <f>IFERROR(VLOOKUP($G310,基本資料!$A:$J,4,0),"無")</f>
        <v>113</v>
      </c>
      <c r="C310" s="79">
        <f>IFERROR(VLOOKUP($G310,基本資料!$A:$J,5,0),"無")</f>
        <v>85</v>
      </c>
      <c r="D310" s="79">
        <f>IFERROR(VLOOKUP($G310,基本資料!$A:$J,6,0),"無")</f>
        <v>5</v>
      </c>
      <c r="E310" s="79">
        <f>IFERROR(VLOOKUP($G310,基本資料!$A:$J,7,0),"無")</f>
        <v>51</v>
      </c>
      <c r="F310" s="6">
        <f>IFERROR(VLOOKUP($G310,基本資料!$A:$J,8,0),"無")</f>
        <v>-2.88</v>
      </c>
      <c r="G310" s="80">
        <v>1506</v>
      </c>
      <c r="H310" s="4" t="s">
        <v>295</v>
      </c>
      <c r="I310" s="22" t="s">
        <v>554</v>
      </c>
      <c r="J310" s="8" t="str">
        <f>IFERROR(VLOOKUP($G310,今日總結!$A:$AN,39,0),"")</f>
        <v/>
      </c>
      <c r="K310" s="5" t="str">
        <f>IFERROR(VLOOKUP($G310,今日總結!$A:$AN,40,0),"")</f>
        <v/>
      </c>
      <c r="L310" s="156" t="str">
        <f>IFERROR(VLOOKUP($G310,今日總結!$A:$AN,37,0),"")</f>
        <v/>
      </c>
      <c r="M310" s="337" t="str">
        <f>IFERROR(VLOOKUP($G310,今日總結!$A:$AN,38,0),"")</f>
        <v/>
      </c>
      <c r="N310" s="240" t="str">
        <f t="shared" si="129"/>
        <v/>
      </c>
      <c r="O310" s="359" t="str">
        <f>IFERROR(VLOOKUP($G310,融外自投!$A:$J,7,0),"無")</f>
        <v>無</v>
      </c>
      <c r="P310" s="79" t="str">
        <f>IFERROR(VLOOKUP($G310,融外自投!$A:$J,9,0),"無")</f>
        <v>無</v>
      </c>
      <c r="Q310" s="342" t="str">
        <f>IFERROR(VLOOKUP($G310,融外自投!$A:$J,8,0),"無")</f>
        <v>無</v>
      </c>
      <c r="R310" s="81" t="str">
        <f>IFERROR(VLOOKUP($G310,融外自投!$A:$J,10,0),"無")</f>
        <v>無</v>
      </c>
      <c r="S310" s="324" t="str">
        <f>IFERROR(VLOOKUP($G310,'321買'!$A:$E,4,0),"'沒有資料'")</f>
        <v>'沒有資料'</v>
      </c>
      <c r="T310" s="186">
        <f>IFERROR(VLOOKUP($G310,基本資料!$A:$J,9,0),"無")</f>
        <v>0</v>
      </c>
      <c r="U310" s="307">
        <f t="shared" si="130"/>
        <v>0</v>
      </c>
      <c r="V310" s="94">
        <f>IFERROR(VLOOKUP($G310,基本資料!$A:$J,10,0),"無")</f>
        <v>0.26</v>
      </c>
      <c r="W310" s="36">
        <v>12.35</v>
      </c>
      <c r="X310" s="66">
        <v>10</v>
      </c>
      <c r="Y310" s="15">
        <f t="shared" si="134"/>
        <v>2.3499999999999996</v>
      </c>
      <c r="Z310" s="63">
        <f t="shared" si="135"/>
        <v>0.23499999999999996</v>
      </c>
      <c r="AA310" s="99" t="s">
        <v>1892</v>
      </c>
      <c r="AB310" s="389">
        <f>IFERROR(VLOOKUP($G310,基本資料!$A:$M,12,0),"無")</f>
        <v>56.04</v>
      </c>
      <c r="AC310" s="22" t="s">
        <v>554</v>
      </c>
      <c r="AD310" s="84">
        <v>43950</v>
      </c>
      <c r="AE310" s="86">
        <v>43980</v>
      </c>
      <c r="AF310" s="33">
        <f t="shared" si="131"/>
        <v>30</v>
      </c>
      <c r="AG310" s="43" t="s">
        <v>1885</v>
      </c>
      <c r="AH310" s="259"/>
      <c r="AJ310" s="245"/>
      <c r="AK310" s="245"/>
      <c r="AR310" s="245" t="str">
        <f>INDEX(基本資料!N:N,MATCH($G310,基本資料!$A:$A,0))</f>
        <v>高</v>
      </c>
    </row>
    <row r="311" spans="1:44">
      <c r="A311" s="343">
        <f>IFERROR(VLOOKUP($G311,基本資料!$A:$J,3,0),"無")</f>
        <v>8.92</v>
      </c>
      <c r="B311" s="79">
        <f>IFERROR(VLOOKUP($G311,基本資料!$A:$J,4,0),"無")</f>
        <v>145</v>
      </c>
      <c r="C311" s="79">
        <f>IFERROR(VLOOKUP($G311,基本資料!$A:$J,5,0),"無")</f>
        <v>-92</v>
      </c>
      <c r="D311" s="79">
        <f>IFERROR(VLOOKUP($G311,基本資料!$A:$J,6,0),"無")</f>
        <v>-20</v>
      </c>
      <c r="E311" s="79">
        <f>IFERROR(VLOOKUP($G311,基本資料!$A:$J,7,0),"無")</f>
        <v>-12</v>
      </c>
      <c r="F311" s="6">
        <f>IFERROR(VLOOKUP($G311,基本資料!$A:$J,8,0),"無")</f>
        <v>7.0000000000000007E-2</v>
      </c>
      <c r="G311" s="80">
        <v>3543</v>
      </c>
      <c r="H311" s="4" t="s">
        <v>306</v>
      </c>
      <c r="I311" s="22" t="s">
        <v>1879</v>
      </c>
      <c r="J311" s="8">
        <f>IFERROR(VLOOKUP($G311,今日總結!$A:$AN,39,0),"")</f>
        <v>0</v>
      </c>
      <c r="K311" s="5">
        <f>IFERROR(VLOOKUP($G311,今日總結!$A:$AN,40,0),"")</f>
        <v>0</v>
      </c>
      <c r="L311" s="156">
        <f>IFERROR(VLOOKUP($G311,今日總結!$A:$AN,37,0),"")</f>
        <v>0</v>
      </c>
      <c r="M311" s="337">
        <f>IFERROR(VLOOKUP($G311,今日總結!$A:$AN,38,0),"")</f>
        <v>0</v>
      </c>
      <c r="N311" s="240">
        <f t="shared" si="129"/>
        <v>0</v>
      </c>
      <c r="O311" s="359">
        <f>IFERROR(VLOOKUP($G311,融外自投!$A:$J,7,0),"無")</f>
        <v>818</v>
      </c>
      <c r="P311" s="79">
        <f>IFERROR(VLOOKUP($G311,融外自投!$A:$J,9,0),"無")</f>
        <v>946</v>
      </c>
      <c r="Q311" s="342">
        <f>IFERROR(VLOOKUP($G311,融外自投!$A:$J,8,0),"無")</f>
        <v>1382</v>
      </c>
      <c r="R311" s="81" t="str">
        <f>IFERROR(VLOOKUP($G311,融外自投!$A:$J,10,0),"無")</f>
        <v>無</v>
      </c>
      <c r="S311" s="324">
        <f>IFERROR(VLOOKUP($G311,'321買'!$A:$E,4,0),"'沒有資料'")</f>
        <v>1002</v>
      </c>
      <c r="T311" s="186">
        <f>IFERROR(VLOOKUP($G311,基本資料!$A:$J,9,0),"無")</f>
        <v>1.2</v>
      </c>
      <c r="U311" s="307">
        <f t="shared" si="130"/>
        <v>6.9565217391304349E-2</v>
      </c>
      <c r="V311" s="94">
        <f>IFERROR(VLOOKUP($G311,基本資料!$A:$J,10,0),"無")</f>
        <v>1.99</v>
      </c>
      <c r="W311" s="36">
        <v>17.25</v>
      </c>
      <c r="X311" s="66">
        <v>15</v>
      </c>
      <c r="Y311" s="15">
        <f t="shared" si="134"/>
        <v>2.25</v>
      </c>
      <c r="Z311" s="63">
        <f t="shared" si="135"/>
        <v>0.15</v>
      </c>
      <c r="AA311" s="99" t="s">
        <v>990</v>
      </c>
      <c r="AB311" s="389">
        <f>IFERROR(VLOOKUP($G311,基本資料!$A:$M,12,0),"無")</f>
        <v>21.17</v>
      </c>
      <c r="AC311" s="22" t="s">
        <v>1879</v>
      </c>
      <c r="AD311" s="84">
        <v>43936</v>
      </c>
      <c r="AE311" s="86">
        <v>43966</v>
      </c>
      <c r="AF311" s="33">
        <f t="shared" si="131"/>
        <v>30</v>
      </c>
      <c r="AG311" s="43" t="s">
        <v>1878</v>
      </c>
      <c r="AH311" s="259"/>
      <c r="AJ311" s="245"/>
      <c r="AK311" s="245"/>
      <c r="AR311" s="245" t="str">
        <f>INDEX(基本資料!N:N,MATCH($G311,基本資料!$A:$A,0))</f>
        <v>低</v>
      </c>
    </row>
    <row r="312" spans="1:44" s="7" customFormat="1" ht="17.100000000000001" customHeight="1">
      <c r="A312" s="343">
        <f>IFERROR(VLOOKUP($G312,基本資料!$A:$J,3,0),"無")</f>
        <v>38.29</v>
      </c>
      <c r="B312" s="79">
        <f>IFERROR(VLOOKUP($G312,基本資料!$A:$J,4,0),"無")</f>
        <v>17</v>
      </c>
      <c r="C312" s="79">
        <f>IFERROR(VLOOKUP($G312,基本資料!$A:$J,5,0),"無")</f>
        <v>18</v>
      </c>
      <c r="D312" s="79">
        <f>IFERROR(VLOOKUP($G312,基本資料!$A:$J,6,0),"無")</f>
        <v>-3</v>
      </c>
      <c r="E312" s="79">
        <f>IFERROR(VLOOKUP($G312,基本資料!$A:$J,7,0),"無")</f>
        <v>0</v>
      </c>
      <c r="F312" s="6">
        <f>IFERROR(VLOOKUP($G312,基本資料!$A:$J,8,0),"無")</f>
        <v>11.74</v>
      </c>
      <c r="G312" s="79">
        <v>6213</v>
      </c>
      <c r="H312" s="52" t="s">
        <v>3388</v>
      </c>
      <c r="I312" s="22" t="s">
        <v>58</v>
      </c>
      <c r="J312" s="8">
        <f>IFERROR(VLOOKUP($G312,今日總結!$A:$AN,39,0),"")</f>
        <v>0</v>
      </c>
      <c r="K312" s="5">
        <f>IFERROR(VLOOKUP($G312,今日總結!$A:$AN,40,0),"")</f>
        <v>0</v>
      </c>
      <c r="L312" s="156">
        <f>IFERROR(VLOOKUP($G312,今日總結!$A:$AN,37,0),"")</f>
        <v>0</v>
      </c>
      <c r="M312" s="337">
        <f>IFERROR(VLOOKUP($G312,今日總結!$A:$AN,38,0),"")</f>
        <v>0</v>
      </c>
      <c r="N312" s="240">
        <f t="shared" si="129"/>
        <v>0</v>
      </c>
      <c r="O312" s="359">
        <f>IFERROR(VLOOKUP($G312,融外自投!$A:$J,7,0),"無")</f>
        <v>808</v>
      </c>
      <c r="P312" s="79">
        <f>IFERROR(VLOOKUP($G312,融外自投!$A:$J,9,0),"無")</f>
        <v>825</v>
      </c>
      <c r="Q312" s="342">
        <f>IFERROR(VLOOKUP($G312,融外自投!$A:$J,8,0),"無")</f>
        <v>542</v>
      </c>
      <c r="R312" s="81">
        <f>IFERROR(VLOOKUP($G312,融外自投!$A:$J,10,0),"無")</f>
        <v>427</v>
      </c>
      <c r="S312" s="324">
        <f>IFERROR(VLOOKUP($G312,'321買'!$A:$E,4,0),"'沒有資料'")</f>
        <v>321</v>
      </c>
      <c r="T312" s="186">
        <f>IFERROR(VLOOKUP($G312,基本資料!$A:$J,9,0),"無")</f>
        <v>5</v>
      </c>
      <c r="U312" s="307">
        <f t="shared" si="130"/>
        <v>3.5460992907801421E-2</v>
      </c>
      <c r="V312" s="94">
        <f>IFERROR(VLOOKUP($G312,基本資料!$A:$J,10,0),"無")</f>
        <v>9</v>
      </c>
      <c r="W312" s="36">
        <v>141</v>
      </c>
      <c r="X312" s="66">
        <v>110</v>
      </c>
      <c r="Y312" s="15">
        <f t="shared" si="134"/>
        <v>31</v>
      </c>
      <c r="Z312" s="63">
        <f t="shared" si="135"/>
        <v>0.2818181818181818</v>
      </c>
      <c r="AA312" s="99" t="s">
        <v>1033</v>
      </c>
      <c r="AB312" s="389">
        <f>IFERROR(VLOOKUP($G312,基本資料!$A:$M,12,0),"無")</f>
        <v>11.76</v>
      </c>
      <c r="AC312" s="22" t="s">
        <v>58</v>
      </c>
      <c r="AD312" s="84">
        <v>43928</v>
      </c>
      <c r="AE312" s="86">
        <v>43958</v>
      </c>
      <c r="AF312" s="33">
        <f t="shared" si="131"/>
        <v>30</v>
      </c>
      <c r="AG312" s="117" t="s">
        <v>1459</v>
      </c>
      <c r="AH312" s="259"/>
      <c r="AL312" s="250"/>
      <c r="AM312" s="22"/>
      <c r="AN312" s="127"/>
      <c r="AO312" s="250"/>
      <c r="AP312" s="44"/>
      <c r="AR312" s="245" t="str">
        <f>INDEX(基本資料!N:N,MATCH($G312,基本資料!$A:$A,0))</f>
        <v>低</v>
      </c>
    </row>
    <row r="313" spans="1:44">
      <c r="A313" s="343">
        <f>IFERROR(VLOOKUP($G313,基本資料!$A:$J,3,0),"無")</f>
        <v>12.02</v>
      </c>
      <c r="B313" s="79">
        <f>IFERROR(VLOOKUP($G313,基本資料!$A:$J,4,0),"無")</f>
        <v>217</v>
      </c>
      <c r="C313" s="79">
        <f>IFERROR(VLOOKUP($G313,基本資料!$A:$J,5,0),"無")</f>
        <v>-699</v>
      </c>
      <c r="D313" s="79">
        <f>IFERROR(VLOOKUP($G313,基本資料!$A:$J,6,0),"無")</f>
        <v>-15</v>
      </c>
      <c r="E313" s="79">
        <f>IFERROR(VLOOKUP($G313,基本資料!$A:$J,7,0),"無")</f>
        <v>-2</v>
      </c>
      <c r="F313" s="6">
        <f>IFERROR(VLOOKUP($G313,基本資料!$A:$J,8,0),"無")</f>
        <v>-5.35</v>
      </c>
      <c r="G313" s="79">
        <v>4746</v>
      </c>
      <c r="H313" s="4" t="s">
        <v>4723</v>
      </c>
      <c r="I313" s="22" t="s">
        <v>3811</v>
      </c>
      <c r="J313" s="8">
        <f>IFERROR(VLOOKUP($G313,今日總結!$A:$AN,39,0),"")</f>
        <v>0</v>
      </c>
      <c r="K313" s="5">
        <f>IFERROR(VLOOKUP($G313,今日總結!$A:$AN,40,0),"")</f>
        <v>0</v>
      </c>
      <c r="L313" s="156">
        <f>IFERROR(VLOOKUP($G313,今日總結!$A:$AN,37,0),"")</f>
        <v>0</v>
      </c>
      <c r="M313" s="337">
        <f>IFERROR(VLOOKUP($G313,今日總結!$A:$AN,38,0),"")</f>
        <v>0</v>
      </c>
      <c r="N313" s="240">
        <f t="shared" si="129"/>
        <v>0</v>
      </c>
      <c r="O313" s="359">
        <f>IFERROR(VLOOKUP($G313,融外自投!$A:$J,7,0),"無")</f>
        <v>137</v>
      </c>
      <c r="P313" s="79">
        <f>IFERROR(VLOOKUP($G313,融外自投!$A:$J,9,0),"無")</f>
        <v>154</v>
      </c>
      <c r="Q313" s="342">
        <f>IFERROR(VLOOKUP($G313,融外自投!$A:$J,8,0),"無")</f>
        <v>950</v>
      </c>
      <c r="R313" s="81" t="str">
        <f>IFERROR(VLOOKUP($G313,融外自投!$A:$J,10,0),"無")</f>
        <v>無</v>
      </c>
      <c r="S313" s="324">
        <f>IFERROR(VLOOKUP($G313,'321買'!$A:$E,4,0),"'沒有資料'")</f>
        <v>465</v>
      </c>
      <c r="T313" s="186">
        <f>IFERROR(VLOOKUP($G313,基本資料!$A:$J,9,0),"無")</f>
        <v>2</v>
      </c>
      <c r="U313" s="307">
        <f t="shared" si="130"/>
        <v>3.6166365280289332E-2</v>
      </c>
      <c r="V313" s="94">
        <f>IFERROR(VLOOKUP($G313,基本資料!$A:$J,10,0),"無")</f>
        <v>10.92</v>
      </c>
      <c r="W313" s="36">
        <v>55.3</v>
      </c>
      <c r="X313" s="45">
        <v>37</v>
      </c>
      <c r="Y313" s="15">
        <f t="shared" si="134"/>
        <v>18.299999999999997</v>
      </c>
      <c r="Z313" s="63">
        <f t="shared" si="135"/>
        <v>0.49459459459459454</v>
      </c>
      <c r="AA313" s="99" t="s">
        <v>1875</v>
      </c>
      <c r="AB313" s="389">
        <f>IFERROR(VLOOKUP($G313,基本資料!$A:$M,12,0),"無")</f>
        <v>25.9</v>
      </c>
      <c r="AC313" s="22" t="s">
        <v>635</v>
      </c>
      <c r="AD313" s="84">
        <v>43922</v>
      </c>
      <c r="AE313" s="86">
        <v>43955</v>
      </c>
      <c r="AF313" s="33">
        <f t="shared" si="131"/>
        <v>33</v>
      </c>
      <c r="AG313" s="43" t="s">
        <v>1868</v>
      </c>
      <c r="AH313" s="259"/>
      <c r="AJ313" s="245"/>
      <c r="AK313" s="245"/>
      <c r="AR313" s="245" t="str">
        <f>INDEX(基本資料!N:N,MATCH($G313,基本資料!$A:$A,0))</f>
        <v>低</v>
      </c>
    </row>
    <row r="314" spans="1:44">
      <c r="A314" s="343">
        <f>IFERROR(VLOOKUP($G314,基本資料!$A:$J,3,0),"無")</f>
        <v>21.04</v>
      </c>
      <c r="B314" s="79">
        <f>IFERROR(VLOOKUP($G314,基本資料!$A:$J,4,0),"無")</f>
        <v>-21</v>
      </c>
      <c r="C314" s="79">
        <f>IFERROR(VLOOKUP($G314,基本資料!$A:$J,5,0),"無")</f>
        <v>13</v>
      </c>
      <c r="D314" s="79">
        <f>IFERROR(VLOOKUP($G314,基本資料!$A:$J,6,0),"無")</f>
        <v>-24</v>
      </c>
      <c r="E314" s="79">
        <f>IFERROR(VLOOKUP($G314,基本資料!$A:$J,7,0),"無")</f>
        <v>-2</v>
      </c>
      <c r="F314" s="6">
        <f>IFERROR(VLOOKUP($G314,基本資料!$A:$J,8,0),"無")</f>
        <v>17.23</v>
      </c>
      <c r="G314" s="80">
        <v>6024</v>
      </c>
      <c r="H314" s="10" t="s">
        <v>304</v>
      </c>
      <c r="I314" s="22" t="s">
        <v>6124</v>
      </c>
      <c r="J314" s="8">
        <f>IFERROR(VLOOKUP($G314,今日總結!$A:$AN,39,0),"")</f>
        <v>0</v>
      </c>
      <c r="K314" s="5">
        <f>IFERROR(VLOOKUP($G314,今日總結!$A:$AN,40,0),"")</f>
        <v>0</v>
      </c>
      <c r="L314" s="156">
        <f>IFERROR(VLOOKUP($G314,今日總結!$A:$AN,37,0),"")</f>
        <v>0</v>
      </c>
      <c r="M314" s="337">
        <f>IFERROR(VLOOKUP($G314,今日總結!$A:$AN,38,0),"")</f>
        <v>0</v>
      </c>
      <c r="N314" s="240">
        <f t="shared" si="129"/>
        <v>0</v>
      </c>
      <c r="O314" s="359">
        <f>IFERROR(VLOOKUP($G314,融外自投!$A:$J,7,0),"無")</f>
        <v>1392</v>
      </c>
      <c r="P314" s="79" t="str">
        <f>IFERROR(VLOOKUP($G314,融外自投!$A:$J,9,0),"無")</f>
        <v>無</v>
      </c>
      <c r="Q314" s="342">
        <f>IFERROR(VLOOKUP($G314,融外自投!$A:$J,8,0),"無")</f>
        <v>1097</v>
      </c>
      <c r="R314" s="81" t="str">
        <f>IFERROR(VLOOKUP($G314,融外自投!$A:$J,10,0),"無")</f>
        <v>無</v>
      </c>
      <c r="S314" s="324">
        <f>IFERROR(VLOOKUP($G314,'321買'!$A:$E,4,0),"'沒有資料'")</f>
        <v>1002</v>
      </c>
      <c r="T314" s="186">
        <f>IFERROR(VLOOKUP($G314,基本資料!$A:$J,9,0),"無")</f>
        <v>1.6</v>
      </c>
      <c r="U314" s="307">
        <f t="shared" si="130"/>
        <v>4.0609137055837567E-2</v>
      </c>
      <c r="V314" s="94">
        <f>IFERROR(VLOOKUP($G314,基本資料!$A:$J,10,0),"無")</f>
        <v>2.33</v>
      </c>
      <c r="W314" s="36">
        <v>39.4</v>
      </c>
      <c r="X314" s="66">
        <v>34.4</v>
      </c>
      <c r="Y314" s="15">
        <f t="shared" si="134"/>
        <v>5</v>
      </c>
      <c r="Z314" s="63">
        <f t="shared" si="135"/>
        <v>0.14534883720930233</v>
      </c>
      <c r="AA314" s="100" t="s">
        <v>1873</v>
      </c>
      <c r="AB314" s="389">
        <f>IFERROR(VLOOKUP($G314,基本資料!$A:$M,12,0),"無")</f>
        <v>20.57</v>
      </c>
      <c r="AC314" s="22" t="s">
        <v>337</v>
      </c>
      <c r="AD314" s="84">
        <v>43921</v>
      </c>
      <c r="AE314" s="86">
        <v>43951</v>
      </c>
      <c r="AF314" s="33">
        <f t="shared" si="131"/>
        <v>30</v>
      </c>
      <c r="AG314" s="43" t="s">
        <v>1439</v>
      </c>
      <c r="AH314" s="259"/>
      <c r="AJ314" s="245"/>
      <c r="AK314" s="245"/>
      <c r="AR314" s="245" t="str">
        <f>INDEX(基本資料!N:N,MATCH($G314,基本資料!$A:$A,0))</f>
        <v>低</v>
      </c>
    </row>
    <row r="315" spans="1:44">
      <c r="A315" s="343">
        <f>IFERROR(VLOOKUP($G315,基本資料!$A:$J,3,0),"無")</f>
        <v>5.49</v>
      </c>
      <c r="B315" s="79">
        <f>IFERROR(VLOOKUP($G315,基本資料!$A:$J,4,0),"無")</f>
        <v>47</v>
      </c>
      <c r="C315" s="79">
        <f>IFERROR(VLOOKUP($G315,基本資料!$A:$J,5,0),"無")</f>
        <v>54</v>
      </c>
      <c r="D315" s="79">
        <f>IFERROR(VLOOKUP($G315,基本資料!$A:$J,6,0),"無")</f>
        <v>-38</v>
      </c>
      <c r="E315" s="79">
        <f>IFERROR(VLOOKUP($G315,基本資料!$A:$J,7,0),"無")</f>
        <v>22</v>
      </c>
      <c r="F315" s="6">
        <f>IFERROR(VLOOKUP($G315,基本資料!$A:$J,8,0),"無")</f>
        <v>-5.22</v>
      </c>
      <c r="G315" s="80">
        <v>4563</v>
      </c>
      <c r="H315" s="4" t="s">
        <v>295</v>
      </c>
      <c r="I315" s="16" t="s">
        <v>6125</v>
      </c>
      <c r="J315" s="8">
        <f>IFERROR(VLOOKUP($G315,今日總結!$A:$AN,39,0),"")</f>
        <v>0</v>
      </c>
      <c r="K315" s="5">
        <f>IFERROR(VLOOKUP($G315,今日總結!$A:$AN,40,0),"")</f>
        <v>0</v>
      </c>
      <c r="L315" s="156">
        <f>IFERROR(VLOOKUP($G315,今日總結!$A:$AN,37,0),"")</f>
        <v>0</v>
      </c>
      <c r="M315" s="337">
        <f>IFERROR(VLOOKUP($G315,今日總結!$A:$AN,38,0),"")</f>
        <v>0</v>
      </c>
      <c r="N315" s="240">
        <f t="shared" si="129"/>
        <v>0</v>
      </c>
      <c r="O315" s="359">
        <f>IFERROR(VLOOKUP($G315,融外自投!$A:$J,7,0),"無")</f>
        <v>1143</v>
      </c>
      <c r="P315" s="79" t="str">
        <f>IFERROR(VLOOKUP($G315,融外自投!$A:$J,9,0),"無")</f>
        <v>無</v>
      </c>
      <c r="Q315" s="342" t="str">
        <f>IFERROR(VLOOKUP($G315,融外自投!$A:$J,8,0),"無")</f>
        <v>無</v>
      </c>
      <c r="R315" s="81" t="str">
        <f>IFERROR(VLOOKUP($G315,融外自投!$A:$J,10,0),"無")</f>
        <v>無</v>
      </c>
      <c r="S315" s="324">
        <f>IFERROR(VLOOKUP($G315,'321買'!$A:$E,4,0),"'沒有資料'")</f>
        <v>1002</v>
      </c>
      <c r="T315" s="186">
        <f>IFERROR(VLOOKUP($G315,基本資料!$A:$J,9,0),"無")</f>
        <v>0</v>
      </c>
      <c r="U315" s="307">
        <f t="shared" si="130"/>
        <v>0</v>
      </c>
      <c r="V315" s="94">
        <f>IFERROR(VLOOKUP($G315,基本資料!$A:$J,10,0),"無")</f>
        <v>-3.36</v>
      </c>
      <c r="W315" s="36">
        <v>36.200000000000003</v>
      </c>
      <c r="X315" s="66">
        <v>40</v>
      </c>
      <c r="Y315" s="15">
        <f t="shared" si="134"/>
        <v>-3.7999999999999972</v>
      </c>
      <c r="Z315" s="76">
        <f t="shared" si="135"/>
        <v>-9.4999999999999932E-2</v>
      </c>
      <c r="AA315" s="100" t="s">
        <v>1894</v>
      </c>
      <c r="AB315" s="389">
        <f>IFERROR(VLOOKUP($G315,基本資料!$A:$M,12,0),"無")</f>
        <v>48.3</v>
      </c>
      <c r="AC315" s="16" t="s">
        <v>547</v>
      </c>
      <c r="AD315" s="84">
        <v>43921</v>
      </c>
      <c r="AE315" s="86">
        <v>43951</v>
      </c>
      <c r="AF315" s="33">
        <f t="shared" si="131"/>
        <v>30</v>
      </c>
      <c r="AG315" s="43" t="s">
        <v>1869</v>
      </c>
      <c r="AH315" s="259"/>
      <c r="AJ315" s="245"/>
      <c r="AK315" s="245"/>
      <c r="AR315" s="245" t="str">
        <f>INDEX(基本資料!N:N,MATCH($G315,基本資料!$A:$A,0))</f>
        <v>中</v>
      </c>
    </row>
    <row r="316" spans="1:44">
      <c r="A316" s="343">
        <f>IFERROR(VLOOKUP($G316,基本資料!$A:$J,3,0),"無")</f>
        <v>28.99</v>
      </c>
      <c r="B316" s="79">
        <f>IFERROR(VLOOKUP($G316,基本資料!$A:$J,4,0),"無")</f>
        <v>-19</v>
      </c>
      <c r="C316" s="79">
        <f>IFERROR(VLOOKUP($G316,基本資料!$A:$J,5,0),"無")</f>
        <v>-2</v>
      </c>
      <c r="D316" s="79">
        <f>IFERROR(VLOOKUP($G316,基本資料!$A:$J,6,0),"無")</f>
        <v>-23</v>
      </c>
      <c r="E316" s="79">
        <f>IFERROR(VLOOKUP($G316,基本資料!$A:$J,7,0),"無")</f>
        <v>5</v>
      </c>
      <c r="F316" s="6">
        <f>IFERROR(VLOOKUP($G316,基本資料!$A:$J,8,0),"無")</f>
        <v>11.88</v>
      </c>
      <c r="G316" s="79">
        <v>6023</v>
      </c>
      <c r="H316" s="10" t="s">
        <v>304</v>
      </c>
      <c r="I316" s="16" t="s">
        <v>149</v>
      </c>
      <c r="J316" s="8">
        <f>IFERROR(VLOOKUP($G316,今日總結!$A:$AN,39,0),"")</f>
        <v>0</v>
      </c>
      <c r="K316" s="5">
        <f>IFERROR(VLOOKUP($G316,今日總結!$A:$AN,40,0),"")</f>
        <v>0</v>
      </c>
      <c r="L316" s="156">
        <f>IFERROR(VLOOKUP($G316,今日總結!$A:$AN,37,0),"")</f>
        <v>0</v>
      </c>
      <c r="M316" s="337">
        <f>IFERROR(VLOOKUP($G316,今日總結!$A:$AN,38,0),"")</f>
        <v>0</v>
      </c>
      <c r="N316" s="240">
        <f t="shared" si="129"/>
        <v>0</v>
      </c>
      <c r="O316" s="359">
        <f>IFERROR(VLOOKUP($G316,融外自投!$A:$J,7,0),"無")</f>
        <v>1385</v>
      </c>
      <c r="P316" s="79" t="str">
        <f>IFERROR(VLOOKUP($G316,融外自投!$A:$J,9,0),"無")</f>
        <v>無</v>
      </c>
      <c r="Q316" s="342">
        <f>IFERROR(VLOOKUP($G316,融外自投!$A:$J,8,0),"無")</f>
        <v>1309</v>
      </c>
      <c r="R316" s="81" t="str">
        <f>IFERROR(VLOOKUP($G316,融外自投!$A:$J,10,0),"無")</f>
        <v>無</v>
      </c>
      <c r="S316" s="324">
        <f>IFERROR(VLOOKUP($G316,'321買'!$A:$E,4,0),"'沒有資料'")</f>
        <v>1002</v>
      </c>
      <c r="T316" s="186">
        <f>IFERROR(VLOOKUP($G316,基本資料!$A:$J,9,0),"無")</f>
        <v>2.2999999999999998</v>
      </c>
      <c r="U316" s="307">
        <f t="shared" si="130"/>
        <v>4.2671614100185523E-2</v>
      </c>
      <c r="V316" s="94">
        <f>IFERROR(VLOOKUP($G316,基本資料!$A:$J,10,0),"無")</f>
        <v>2.97</v>
      </c>
      <c r="W316" s="36">
        <v>53.9</v>
      </c>
      <c r="X316" s="66">
        <v>48</v>
      </c>
      <c r="Y316" s="15">
        <f t="shared" si="134"/>
        <v>5.8999999999999986</v>
      </c>
      <c r="Z316" s="63">
        <f t="shared" si="135"/>
        <v>0.12291666666666663</v>
      </c>
      <c r="AA316" s="99" t="s">
        <v>1871</v>
      </c>
      <c r="AB316" s="389">
        <f>IFERROR(VLOOKUP($G316,基本資料!$A:$M,12,0),"無")</f>
        <v>18.809999999999999</v>
      </c>
      <c r="AC316" s="16" t="s">
        <v>149</v>
      </c>
      <c r="AD316" s="84">
        <v>43920</v>
      </c>
      <c r="AE316" s="86">
        <v>43951</v>
      </c>
      <c r="AF316" s="33">
        <f t="shared" si="131"/>
        <v>31</v>
      </c>
      <c r="AG316" s="117" t="s">
        <v>1438</v>
      </c>
      <c r="AH316" s="259"/>
      <c r="AJ316" s="245"/>
      <c r="AK316" s="245"/>
      <c r="AR316" s="245" t="str">
        <f>INDEX(基本資料!N:N,MATCH($G316,基本資料!$A:$A,0))</f>
        <v>低</v>
      </c>
    </row>
    <row r="317" spans="1:44">
      <c r="A317" s="343">
        <f>IFERROR(VLOOKUP($G317,基本資料!$A:$J,3,0),"無")</f>
        <v>2.4500000000000002</v>
      </c>
      <c r="B317" s="79">
        <f>IFERROR(VLOOKUP($G317,基本資料!$A:$J,4,0),"無")</f>
        <v>140</v>
      </c>
      <c r="C317" s="79">
        <f>IFERROR(VLOOKUP($G317,基本資料!$A:$J,5,0),"無")</f>
        <v>149</v>
      </c>
      <c r="D317" s="79">
        <f>IFERROR(VLOOKUP($G317,基本資料!$A:$J,6,0),"無")</f>
        <v>-8</v>
      </c>
      <c r="E317" s="79">
        <f>IFERROR(VLOOKUP($G317,基本資料!$A:$J,7,0),"無")</f>
        <v>61</v>
      </c>
      <c r="F317" s="6">
        <f>IFERROR(VLOOKUP($G317,基本資料!$A:$J,8,0),"無")</f>
        <v>35.39</v>
      </c>
      <c r="G317" s="79">
        <v>6716</v>
      </c>
      <c r="H317" s="52" t="s">
        <v>3038</v>
      </c>
      <c r="I317" s="16" t="s">
        <v>1865</v>
      </c>
      <c r="J317" s="8" t="str">
        <f>IFERROR(VLOOKUP($G317,今日總結!$A:$AN,39,0),"")</f>
        <v/>
      </c>
      <c r="K317" s="5" t="str">
        <f>IFERROR(VLOOKUP($G317,今日總結!$A:$AN,40,0),"")</f>
        <v/>
      </c>
      <c r="L317" s="156" t="str">
        <f>IFERROR(VLOOKUP($G317,今日總結!$A:$AN,37,0),"")</f>
        <v/>
      </c>
      <c r="M317" s="337" t="str">
        <f>IFERROR(VLOOKUP($G317,今日總結!$A:$AN,38,0),"")</f>
        <v/>
      </c>
      <c r="N317" s="240" t="str">
        <f t="shared" ref="N317:N334" si="136">IFERROR(L317-M317,"")</f>
        <v/>
      </c>
      <c r="O317" s="359" t="str">
        <f>IFERROR(VLOOKUP($G317,融外自投!$A:$J,7,0),"無")</f>
        <v>無</v>
      </c>
      <c r="P317" s="79" t="str">
        <f>IFERROR(VLOOKUP($G317,融外自投!$A:$J,9,0),"無")</f>
        <v>無</v>
      </c>
      <c r="Q317" s="342" t="str">
        <f>IFERROR(VLOOKUP($G317,融外自投!$A:$J,8,0),"無")</f>
        <v>無</v>
      </c>
      <c r="R317" s="81" t="str">
        <f>IFERROR(VLOOKUP($G317,融外自投!$A:$J,10,0),"無")</f>
        <v>無</v>
      </c>
      <c r="S317" s="324" t="str">
        <f>IFERROR(VLOOKUP($G317,'321買'!$A:$E,4,0),"'沒有資料'")</f>
        <v>'沒有資料'</v>
      </c>
      <c r="T317" s="186">
        <f>IFERROR(VLOOKUP($G317,基本資料!$A:$J,9,0),"無")</f>
        <v>8.5</v>
      </c>
      <c r="U317" s="307">
        <f t="shared" si="130"/>
        <v>0.11888111888111888</v>
      </c>
      <c r="V317" s="94">
        <f>IFERROR(VLOOKUP($G317,基本資料!$A:$J,10,0),"無")</f>
        <v>11.52</v>
      </c>
      <c r="W317" s="36">
        <v>71.5</v>
      </c>
      <c r="X317" s="66">
        <v>42</v>
      </c>
      <c r="Y317" s="15">
        <f t="shared" si="134"/>
        <v>29.5</v>
      </c>
      <c r="Z317" s="63">
        <f t="shared" si="135"/>
        <v>0.70238095238095233</v>
      </c>
      <c r="AA317" s="99" t="s">
        <v>1870</v>
      </c>
      <c r="AB317" s="389">
        <f>IFERROR(VLOOKUP($G317,基本資料!$A:$M,12,0),"無")</f>
        <v>26.71</v>
      </c>
      <c r="AC317" s="16" t="s">
        <v>1865</v>
      </c>
      <c r="AD317" s="84">
        <v>43917</v>
      </c>
      <c r="AE317" s="86">
        <v>43948</v>
      </c>
      <c r="AF317" s="33">
        <f t="shared" si="131"/>
        <v>31</v>
      </c>
      <c r="AG317" s="43" t="s">
        <v>1866</v>
      </c>
      <c r="AH317" s="259"/>
      <c r="AJ317" s="245"/>
      <c r="AK317" s="245"/>
      <c r="AR317" s="245" t="str">
        <f>INDEX(基本資料!N:N,MATCH($G317,基本資料!$A:$A,0))</f>
        <v>低</v>
      </c>
    </row>
    <row r="318" spans="1:44">
      <c r="A318" s="343">
        <f>IFERROR(VLOOKUP($G318,基本資料!$A:$J,3,0),"無")</f>
        <v>11.34</v>
      </c>
      <c r="B318" s="79">
        <f>IFERROR(VLOOKUP($G318,基本資料!$A:$J,4,0),"無")</f>
        <v>158</v>
      </c>
      <c r="C318" s="79">
        <f>IFERROR(VLOOKUP($G318,基本資料!$A:$J,5,0),"無")</f>
        <v>35</v>
      </c>
      <c r="D318" s="79">
        <f>IFERROR(VLOOKUP($G318,基本資料!$A:$J,6,0),"無")</f>
        <v>-12</v>
      </c>
      <c r="E318" s="79">
        <f>IFERROR(VLOOKUP($G318,基本資料!$A:$J,7,0),"無")</f>
        <v>-8</v>
      </c>
      <c r="F318" s="6">
        <f>IFERROR(VLOOKUP($G318,基本資料!$A:$J,8,0),"無")</f>
        <v>-6.18</v>
      </c>
      <c r="G318" s="79">
        <v>1449</v>
      </c>
      <c r="H318" s="4" t="s">
        <v>3171</v>
      </c>
      <c r="I318" s="22" t="s">
        <v>6126</v>
      </c>
      <c r="J318" s="8">
        <f>IFERROR(VLOOKUP($G318,今日總結!$A:$AN,39,0),"")</f>
        <v>0</v>
      </c>
      <c r="K318" s="5">
        <f>IFERROR(VLOOKUP($G318,今日總結!$A:$AN,40,0),"")</f>
        <v>0</v>
      </c>
      <c r="L318" s="156">
        <f>IFERROR(VLOOKUP($G318,今日總結!$A:$AN,37,0),"")</f>
        <v>0</v>
      </c>
      <c r="M318" s="337">
        <f>IFERROR(VLOOKUP($G318,今日總結!$A:$AN,38,0),"")</f>
        <v>0</v>
      </c>
      <c r="N318" s="240">
        <f t="shared" si="136"/>
        <v>0</v>
      </c>
      <c r="O318" s="359">
        <f>IFERROR(VLOOKUP($G318,融外自投!$A:$J,7,0),"無")</f>
        <v>821</v>
      </c>
      <c r="P318" s="79">
        <f>IFERROR(VLOOKUP($G318,融外自投!$A:$J,9,0),"無")</f>
        <v>1</v>
      </c>
      <c r="Q318" s="342">
        <f>IFERROR(VLOOKUP($G318,融外自投!$A:$J,8,0),"無")</f>
        <v>1384</v>
      </c>
      <c r="R318" s="81" t="str">
        <f>IFERROR(VLOOKUP($G318,融外自投!$A:$J,10,0),"無")</f>
        <v>無</v>
      </c>
      <c r="S318" s="324">
        <f>IFERROR(VLOOKUP($G318,'321買'!$A:$E,4,0),"'沒有資料'")</f>
        <v>1002</v>
      </c>
      <c r="T318" s="186">
        <f>IFERROR(VLOOKUP($G318,基本資料!$A:$J,9,0),"無")</f>
        <v>0</v>
      </c>
      <c r="U318" s="307">
        <f t="shared" ref="U318:U334" si="137">$T318/$W318</f>
        <v>0</v>
      </c>
      <c r="V318" s="94">
        <f>IFERROR(VLOOKUP($G318,基本資料!$A:$J,10,0),"無")</f>
        <v>0.83</v>
      </c>
      <c r="W318" s="36">
        <v>12.2</v>
      </c>
      <c r="X318" s="66">
        <v>10</v>
      </c>
      <c r="Y318" s="15">
        <f t="shared" si="134"/>
        <v>2.1999999999999993</v>
      </c>
      <c r="Z318" s="63">
        <f t="shared" si="135"/>
        <v>0.21999999999999992</v>
      </c>
      <c r="AA318" s="99" t="s">
        <v>1121</v>
      </c>
      <c r="AB318" s="389">
        <f>IFERROR(VLOOKUP($G318,基本資料!$A:$M,12,0),"無")</f>
        <v>30.89</v>
      </c>
      <c r="AC318" s="22" t="s">
        <v>734</v>
      </c>
      <c r="AD318" s="84">
        <v>43917</v>
      </c>
      <c r="AE318" s="86">
        <v>43948</v>
      </c>
      <c r="AF318" s="33">
        <f t="shared" si="131"/>
        <v>31</v>
      </c>
      <c r="AG318" s="43" t="s">
        <v>1862</v>
      </c>
      <c r="AH318" s="259"/>
      <c r="AJ318" s="245"/>
      <c r="AK318" s="245"/>
      <c r="AR318" s="245" t="str">
        <f>INDEX(基本資料!N:N,MATCH($G318,基本資料!$A:$A,0))</f>
        <v>低</v>
      </c>
    </row>
    <row r="319" spans="1:44">
      <c r="A319" s="343">
        <f>IFERROR(VLOOKUP($G319,基本資料!$A:$J,3,0),"無")</f>
        <v>19.649999999999999</v>
      </c>
      <c r="B319" s="79">
        <f>IFERROR(VLOOKUP($G319,基本資料!$A:$J,4,0),"無")</f>
        <v>35</v>
      </c>
      <c r="C319" s="79">
        <f>IFERROR(VLOOKUP($G319,基本資料!$A:$J,5,0),"無")</f>
        <v>25</v>
      </c>
      <c r="D319" s="79">
        <f>IFERROR(VLOOKUP($G319,基本資料!$A:$J,6,0),"無")</f>
        <v>2</v>
      </c>
      <c r="E319" s="79">
        <f>IFERROR(VLOOKUP($G319,基本資料!$A:$J,7,0),"無")</f>
        <v>-50</v>
      </c>
      <c r="F319" s="6">
        <f>IFERROR(VLOOKUP($G319,基本資料!$A:$J,8,0),"無")</f>
        <v>20.71</v>
      </c>
      <c r="G319" s="80">
        <v>8086</v>
      </c>
      <c r="H319" s="52" t="s">
        <v>3038</v>
      </c>
      <c r="I319" s="16" t="s">
        <v>262</v>
      </c>
      <c r="J319" s="8">
        <f>IFERROR(VLOOKUP($G319,今日總結!$A:$AN,39,0),"")</f>
        <v>0</v>
      </c>
      <c r="K319" s="5" t="str">
        <f>IFERROR(VLOOKUP($G319,今日總結!$A:$AN,40,0),"")</f>
        <v>融</v>
      </c>
      <c r="L319" s="156">
        <f>IFERROR(VLOOKUP($G319,今日總結!$A:$AN,37,0),"")</f>
        <v>0</v>
      </c>
      <c r="M319" s="337">
        <f>IFERROR(VLOOKUP($G319,今日總結!$A:$AN,38,0),"")</f>
        <v>3</v>
      </c>
      <c r="N319" s="240">
        <f t="shared" si="136"/>
        <v>-3</v>
      </c>
      <c r="O319" s="359">
        <f>IFERROR(VLOOKUP($G319,融外自投!$A:$J,7,0),"無")</f>
        <v>197</v>
      </c>
      <c r="P319" s="79">
        <f>IFERROR(VLOOKUP($G319,融外自投!$A:$J,9,0),"無")</f>
        <v>298</v>
      </c>
      <c r="Q319" s="342">
        <f>IFERROR(VLOOKUP($G319,融外自投!$A:$J,8,0),"無")</f>
        <v>519</v>
      </c>
      <c r="R319" s="81">
        <f>IFERROR(VLOOKUP($G319,融外自投!$A:$J,10,0),"無")</f>
        <v>318</v>
      </c>
      <c r="S319" s="324">
        <f>IFERROR(VLOOKUP($G319,'321買'!$A:$E,4,0),"'沒有資料'")</f>
        <v>411</v>
      </c>
      <c r="T319" s="186">
        <f>IFERROR(VLOOKUP($G319,基本資料!$A:$J,9,0),"無")</f>
        <v>2.8</v>
      </c>
      <c r="U319" s="307">
        <f t="shared" si="137"/>
        <v>3.1782065834279227E-2</v>
      </c>
      <c r="V319" s="94">
        <f>IFERROR(VLOOKUP($G319,基本資料!$A:$J,10,0),"無")</f>
        <v>4.29</v>
      </c>
      <c r="W319" s="36">
        <v>88.1</v>
      </c>
      <c r="X319" s="45">
        <v>75</v>
      </c>
      <c r="Y319" s="15">
        <f t="shared" si="134"/>
        <v>13.099999999999994</v>
      </c>
      <c r="Z319" s="63">
        <f t="shared" si="135"/>
        <v>0.17466666666666658</v>
      </c>
      <c r="AA319" s="100" t="s">
        <v>1861</v>
      </c>
      <c r="AB319" s="389">
        <f>IFERROR(VLOOKUP($G319,基本資料!$A:$M,12,0),"無")</f>
        <v>13.49</v>
      </c>
      <c r="AC319" s="16" t="s">
        <v>262</v>
      </c>
      <c r="AD319" s="84">
        <v>43907</v>
      </c>
      <c r="AE319" s="86">
        <v>43938</v>
      </c>
      <c r="AF319" s="33">
        <f t="shared" si="131"/>
        <v>31</v>
      </c>
      <c r="AG319" s="117" t="s">
        <v>1443</v>
      </c>
      <c r="AH319" s="259"/>
      <c r="AJ319" s="245"/>
      <c r="AK319" s="245"/>
      <c r="AR319" s="245" t="str">
        <f>INDEX(基本資料!N:N,MATCH($G319,基本資料!$A:$A,0))</f>
        <v>低</v>
      </c>
    </row>
    <row r="320" spans="1:44">
      <c r="A320" s="343">
        <f>IFERROR(VLOOKUP($G320,基本資料!$A:$J,3,0),"無")</f>
        <v>3.38</v>
      </c>
      <c r="B320" s="79">
        <f>IFERROR(VLOOKUP($G320,基本資料!$A:$J,4,0),"無")</f>
        <v>17</v>
      </c>
      <c r="C320" s="79">
        <f>IFERROR(VLOOKUP($G320,基本資料!$A:$J,5,0),"無")</f>
        <v>24</v>
      </c>
      <c r="D320" s="79">
        <f>IFERROR(VLOOKUP($G320,基本資料!$A:$J,6,0),"無")</f>
        <v>-3</v>
      </c>
      <c r="E320" s="79">
        <f>IFERROR(VLOOKUP($G320,基本資料!$A:$J,7,0),"無")</f>
        <v>-9</v>
      </c>
      <c r="F320" s="6">
        <f>IFERROR(VLOOKUP($G320,基本資料!$A:$J,8,0),"無")</f>
        <v>9.76</v>
      </c>
      <c r="G320" s="80">
        <v>4581</v>
      </c>
      <c r="H320" s="4" t="s">
        <v>301</v>
      </c>
      <c r="I320" s="22" t="s">
        <v>1807</v>
      </c>
      <c r="J320" s="8">
        <f>IFERROR(VLOOKUP($G320,今日總結!$A:$AN,39,0),"")</f>
        <v>0</v>
      </c>
      <c r="K320" s="5">
        <f>IFERROR(VLOOKUP($G320,今日總結!$A:$AN,40,0),"")</f>
        <v>0</v>
      </c>
      <c r="L320" s="156">
        <f>IFERROR(VLOOKUP($G320,今日總結!$A:$AN,37,0),"")</f>
        <v>0</v>
      </c>
      <c r="M320" s="337">
        <f>IFERROR(VLOOKUP($G320,今日總結!$A:$AN,38,0),"")</f>
        <v>0</v>
      </c>
      <c r="N320" s="240">
        <f t="shared" si="136"/>
        <v>0</v>
      </c>
      <c r="O320" s="359">
        <f>IFERROR(VLOOKUP($G320,融外自投!$A:$J,7,0),"無")</f>
        <v>1271</v>
      </c>
      <c r="P320" s="79">
        <f>IFERROR(VLOOKUP($G320,融外自投!$A:$J,9,0),"無")</f>
        <v>1051</v>
      </c>
      <c r="Q320" s="342">
        <f>IFERROR(VLOOKUP($G320,融外自投!$A:$J,8,0),"無")</f>
        <v>208</v>
      </c>
      <c r="R320" s="81" t="str">
        <f>IFERROR(VLOOKUP($G320,融外自投!$A:$J,10,0),"無")</f>
        <v>無</v>
      </c>
      <c r="S320" s="324">
        <f>IFERROR(VLOOKUP($G320,'321買'!$A:$E,4,0),"'沒有資料'")</f>
        <v>1002</v>
      </c>
      <c r="T320" s="186">
        <f>IFERROR(VLOOKUP($G320,基本資料!$A:$J,9,0),"無")</f>
        <v>1.5</v>
      </c>
      <c r="U320" s="307">
        <f t="shared" si="137"/>
        <v>3.9267015706806283E-2</v>
      </c>
      <c r="V320" s="94">
        <f>IFERROR(VLOOKUP($G320,基本資料!$A:$J,10,0),"無")</f>
        <v>2.38</v>
      </c>
      <c r="W320" s="36">
        <v>38.200000000000003</v>
      </c>
      <c r="X320" s="66">
        <v>35</v>
      </c>
      <c r="Y320" s="15">
        <f t="shared" si="134"/>
        <v>3.2000000000000028</v>
      </c>
      <c r="Z320" s="63">
        <f t="shared" si="135"/>
        <v>9.1428571428571512E-2</v>
      </c>
      <c r="AA320" s="99" t="s">
        <v>1849</v>
      </c>
      <c r="AB320" s="389">
        <f>IFERROR(VLOOKUP($G320,基本資料!$A:$M,12,0),"無")</f>
        <v>16.059999999999999</v>
      </c>
      <c r="AC320" s="22" t="s">
        <v>1807</v>
      </c>
      <c r="AD320" s="84">
        <v>43899</v>
      </c>
      <c r="AE320" s="86">
        <v>43930</v>
      </c>
      <c r="AF320" s="33">
        <f t="shared" si="131"/>
        <v>31</v>
      </c>
      <c r="AG320" s="119" t="s">
        <v>1850</v>
      </c>
      <c r="AH320" s="259"/>
      <c r="AJ320" s="245"/>
      <c r="AK320" s="245"/>
      <c r="AR320" s="245" t="str">
        <f>INDEX(基本資料!N:N,MATCH($G320,基本資料!$A:$A,0))</f>
        <v>低</v>
      </c>
    </row>
    <row r="321" spans="1:44">
      <c r="A321" s="343">
        <f>IFERROR(VLOOKUP($G321,基本資料!$A:$J,3,0),"無")</f>
        <v>3.2</v>
      </c>
      <c r="B321" s="79">
        <f>IFERROR(VLOOKUP($G321,基本資料!$A:$J,4,0),"無")</f>
        <v>-34</v>
      </c>
      <c r="C321" s="79">
        <f>IFERROR(VLOOKUP($G321,基本資料!$A:$J,5,0),"無")</f>
        <v>0</v>
      </c>
      <c r="D321" s="79">
        <f>IFERROR(VLOOKUP($G321,基本資料!$A:$J,6,0),"無")</f>
        <v>4</v>
      </c>
      <c r="E321" s="79">
        <f>IFERROR(VLOOKUP($G321,基本資料!$A:$J,7,0),"無")</f>
        <v>-47</v>
      </c>
      <c r="F321" s="6">
        <f>IFERROR(VLOOKUP($G321,基本資料!$A:$J,8,0),"無")</f>
        <v>-44.6</v>
      </c>
      <c r="G321" s="80">
        <v>2743</v>
      </c>
      <c r="H321" s="54" t="s">
        <v>303</v>
      </c>
      <c r="I321" s="16" t="s">
        <v>1805</v>
      </c>
      <c r="J321" s="8">
        <f>IFERROR(VLOOKUP($G321,今日總結!$A:$AN,39,0),"")</f>
        <v>0</v>
      </c>
      <c r="K321" s="5">
        <f>IFERROR(VLOOKUP($G321,今日總結!$A:$AN,40,0),"")</f>
        <v>27</v>
      </c>
      <c r="L321" s="156">
        <f>IFERROR(VLOOKUP($G321,今日總結!$A:$AN,37,0),"")</f>
        <v>0</v>
      </c>
      <c r="M321" s="337">
        <f>IFERROR(VLOOKUP($G321,今日總結!$A:$AN,38,0),"")</f>
        <v>2</v>
      </c>
      <c r="N321" s="240">
        <f t="shared" si="136"/>
        <v>-2</v>
      </c>
      <c r="O321" s="359">
        <f>IFERROR(VLOOKUP($G321,融外自投!$A:$J,7,0),"無")</f>
        <v>61</v>
      </c>
      <c r="P321" s="79" t="str">
        <f>IFERROR(VLOOKUP($G321,融外自投!$A:$J,9,0),"無")</f>
        <v>無</v>
      </c>
      <c r="Q321" s="342">
        <f>IFERROR(VLOOKUP($G321,融外自投!$A:$J,8,0),"無")</f>
        <v>1153</v>
      </c>
      <c r="R321" s="81" t="str">
        <f>IFERROR(VLOOKUP($G321,融外自投!$A:$J,10,0),"無")</f>
        <v>無</v>
      </c>
      <c r="S321" s="324">
        <f>IFERROR(VLOOKUP($G321,'321買'!$A:$E,4,0),"'沒有資料'")</f>
        <v>150</v>
      </c>
      <c r="T321" s="186">
        <f>IFERROR(VLOOKUP($G321,基本資料!$A:$J,9,0),"無")</f>
        <v>0</v>
      </c>
      <c r="U321" s="307">
        <f t="shared" si="137"/>
        <v>0</v>
      </c>
      <c r="V321" s="94">
        <f>IFERROR(VLOOKUP($G321,基本資料!$A:$J,10,0),"無")</f>
        <v>-1.64</v>
      </c>
      <c r="W321" s="36">
        <v>12.25</v>
      </c>
      <c r="X321" s="66">
        <v>12.5</v>
      </c>
      <c r="Y321" s="15">
        <f t="shared" si="134"/>
        <v>-0.25</v>
      </c>
      <c r="Z321" s="76">
        <f t="shared" si="135"/>
        <v>-0.02</v>
      </c>
      <c r="AA321" s="99" t="s">
        <v>1665</v>
      </c>
      <c r="AB321" s="389">
        <f>IFERROR(VLOOKUP($G321,基本資料!$A:$M,12,0),"無")</f>
        <v>82.47</v>
      </c>
      <c r="AC321" s="16" t="s">
        <v>1805</v>
      </c>
      <c r="AD321" s="84">
        <v>43899</v>
      </c>
      <c r="AE321" s="86">
        <v>43930</v>
      </c>
      <c r="AF321" s="33">
        <f t="shared" si="131"/>
        <v>31</v>
      </c>
      <c r="AG321" s="43" t="s">
        <v>1542</v>
      </c>
      <c r="AH321" s="259"/>
      <c r="AJ321" s="245"/>
      <c r="AK321" s="245"/>
      <c r="AR321" s="245" t="str">
        <f>INDEX(基本資料!N:N,MATCH($G321,基本資料!$A:$A,0))</f>
        <v>高</v>
      </c>
    </row>
    <row r="322" spans="1:44">
      <c r="A322" s="343">
        <f>IFERROR(VLOOKUP($G322,基本資料!$A:$J,3,0),"無")</f>
        <v>3.91</v>
      </c>
      <c r="B322" s="79">
        <f>IFERROR(VLOOKUP($G322,基本資料!$A:$J,4,0),"無")</f>
        <v>76</v>
      </c>
      <c r="C322" s="79">
        <f>IFERROR(VLOOKUP($G322,基本資料!$A:$J,5,0),"無")</f>
        <v>47</v>
      </c>
      <c r="D322" s="79">
        <f>IFERROR(VLOOKUP($G322,基本資料!$A:$J,6,0),"無")</f>
        <v>-28</v>
      </c>
      <c r="E322" s="79">
        <f>IFERROR(VLOOKUP($G322,基本資料!$A:$J,7,0),"無")</f>
        <v>-28</v>
      </c>
      <c r="F322" s="6">
        <f>IFERROR(VLOOKUP($G322,基本資料!$A:$J,8,0),"無")</f>
        <v>10.4</v>
      </c>
      <c r="G322" s="80">
        <v>3597</v>
      </c>
      <c r="H322" s="54" t="s">
        <v>329</v>
      </c>
      <c r="I322" s="16" t="s">
        <v>1806</v>
      </c>
      <c r="J322" s="8" t="str">
        <f>IFERROR(VLOOKUP($G322,今日總結!$A:$AN,39,0),"")</f>
        <v/>
      </c>
      <c r="K322" s="5" t="str">
        <f>IFERROR(VLOOKUP($G322,今日總結!$A:$AN,40,0),"")</f>
        <v/>
      </c>
      <c r="L322" s="156" t="str">
        <f>IFERROR(VLOOKUP($G322,今日總結!$A:$AN,37,0),"")</f>
        <v/>
      </c>
      <c r="M322" s="337" t="str">
        <f>IFERROR(VLOOKUP($G322,今日總結!$A:$AN,38,0),"")</f>
        <v/>
      </c>
      <c r="N322" s="240" t="str">
        <f t="shared" si="136"/>
        <v/>
      </c>
      <c r="O322" s="359">
        <f>IFERROR(VLOOKUP($G322,融外自投!$A:$J,7,0),"無")</f>
        <v>457</v>
      </c>
      <c r="P322" s="79" t="str">
        <f>IFERROR(VLOOKUP($G322,融外自投!$A:$J,9,0),"無")</f>
        <v>無</v>
      </c>
      <c r="Q322" s="342">
        <f>IFERROR(VLOOKUP($G322,融外自投!$A:$J,8,0),"無")</f>
        <v>1397</v>
      </c>
      <c r="R322" s="81" t="str">
        <f>IFERROR(VLOOKUP($G322,融外自投!$A:$J,10,0),"無")</f>
        <v>無</v>
      </c>
      <c r="S322" s="324" t="str">
        <f>IFERROR(VLOOKUP($G322,'321買'!$A:$E,4,0),"'沒有資料'")</f>
        <v>'沒有資料'</v>
      </c>
      <c r="T322" s="186">
        <f>IFERROR(VLOOKUP($G322,基本資料!$A:$J,9,0),"無")</f>
        <v>1.7</v>
      </c>
      <c r="U322" s="307">
        <f t="shared" si="137"/>
        <v>0.10967741935483871</v>
      </c>
      <c r="V322" s="94">
        <f>IFERROR(VLOOKUP($G322,基本資料!$A:$J,10,0),"無")</f>
        <v>2.1</v>
      </c>
      <c r="W322" s="36">
        <v>15.5</v>
      </c>
      <c r="X322" s="66">
        <v>15.5</v>
      </c>
      <c r="Y322" s="15">
        <f t="shared" si="134"/>
        <v>0</v>
      </c>
      <c r="Z322" s="63">
        <f t="shared" si="135"/>
        <v>0</v>
      </c>
      <c r="AA322" s="99" t="s">
        <v>1733</v>
      </c>
      <c r="AB322" s="389">
        <f>IFERROR(VLOOKUP($G322,基本資料!$A:$M,12,0),"無")</f>
        <v>23.2</v>
      </c>
      <c r="AC322" s="16" t="s">
        <v>1806</v>
      </c>
      <c r="AD322" s="84">
        <v>43899</v>
      </c>
      <c r="AE322" s="86">
        <v>43930</v>
      </c>
      <c r="AF322" s="33">
        <f t="shared" si="131"/>
        <v>31</v>
      </c>
      <c r="AG322" s="43" t="s">
        <v>1882</v>
      </c>
      <c r="AH322" s="259"/>
      <c r="AJ322" s="245"/>
      <c r="AK322" s="245"/>
      <c r="AR322" s="245" t="str">
        <f>INDEX(基本資料!N:N,MATCH($G322,基本資料!$A:$A,0))</f>
        <v>低</v>
      </c>
    </row>
    <row r="323" spans="1:44">
      <c r="A323" s="343">
        <f>IFERROR(VLOOKUP($G323,基本資料!$A:$J,3,0),"無")</f>
        <v>7.79</v>
      </c>
      <c r="B323" s="79">
        <f>IFERROR(VLOOKUP($G323,基本資料!$A:$J,4,0),"無")</f>
        <v>35</v>
      </c>
      <c r="C323" s="79">
        <f>IFERROR(VLOOKUP($G323,基本資料!$A:$J,5,0),"無")</f>
        <v>-16</v>
      </c>
      <c r="D323" s="79">
        <f>IFERROR(VLOOKUP($G323,基本資料!$A:$J,6,0),"無")</f>
        <v>-34</v>
      </c>
      <c r="E323" s="79">
        <f>IFERROR(VLOOKUP($G323,基本資料!$A:$J,7,0),"無")</f>
        <v>-5</v>
      </c>
      <c r="F323" s="6">
        <f>IFERROR(VLOOKUP($G323,基本資料!$A:$J,8,0),"無")</f>
        <v>5.23</v>
      </c>
      <c r="G323" s="80">
        <v>3483</v>
      </c>
      <c r="H323" s="54" t="s">
        <v>1145</v>
      </c>
      <c r="I323" s="16" t="s">
        <v>6110</v>
      </c>
      <c r="J323" s="8">
        <f>IFERROR(VLOOKUP($G323,今日總結!$A:$AN,39,0),"")</f>
        <v>0</v>
      </c>
      <c r="K323" s="5">
        <f>IFERROR(VLOOKUP($G323,今日總結!$A:$AN,40,0),"")</f>
        <v>0</v>
      </c>
      <c r="L323" s="156">
        <f>IFERROR(VLOOKUP($G323,今日總結!$A:$AN,37,0),"")</f>
        <v>0</v>
      </c>
      <c r="M323" s="337">
        <f>IFERROR(VLOOKUP($G323,今日總結!$A:$AN,38,0),"")</f>
        <v>0</v>
      </c>
      <c r="N323" s="240">
        <f t="shared" si="136"/>
        <v>0</v>
      </c>
      <c r="O323" s="359">
        <f>IFERROR(VLOOKUP($G323,融外自投!$A:$J,7,0),"無")</f>
        <v>9</v>
      </c>
      <c r="P323" s="79">
        <f>IFERROR(VLOOKUP($G323,融外自投!$A:$J,9,0),"無")</f>
        <v>790</v>
      </c>
      <c r="Q323" s="342">
        <f>IFERROR(VLOOKUP($G323,融外自投!$A:$J,8,0),"無")</f>
        <v>1153</v>
      </c>
      <c r="R323" s="81">
        <f>IFERROR(VLOOKUP($G323,融外自投!$A:$J,10,0),"無")</f>
        <v>269</v>
      </c>
      <c r="S323" s="324">
        <f>IFERROR(VLOOKUP($G323,'321買'!$A:$E,4,0),"'沒有資料'")</f>
        <v>214</v>
      </c>
      <c r="T323" s="186">
        <f>IFERROR(VLOOKUP($G323,基本資料!$A:$J,9,0),"無")</f>
        <v>3</v>
      </c>
      <c r="U323" s="307">
        <f t="shared" si="137"/>
        <v>6.3829787234042548E-2</v>
      </c>
      <c r="V323" s="94">
        <f>IFERROR(VLOOKUP($G323,基本資料!$A:$J,10,0),"無")</f>
        <v>5.34</v>
      </c>
      <c r="W323" s="36">
        <v>47</v>
      </c>
      <c r="X323" s="45">
        <v>40</v>
      </c>
      <c r="Y323" s="15">
        <f t="shared" si="134"/>
        <v>7</v>
      </c>
      <c r="Z323" s="63">
        <f t="shared" si="135"/>
        <v>0.17499999999999999</v>
      </c>
      <c r="AA323" s="99" t="s">
        <v>1123</v>
      </c>
      <c r="AB323" s="389">
        <f>IFERROR(VLOOKUP($G323,基本資料!$A:$M,12,0),"無")</f>
        <v>13.22</v>
      </c>
      <c r="AC323" s="16" t="s">
        <v>472</v>
      </c>
      <c r="AD323" s="84">
        <v>43895</v>
      </c>
      <c r="AE323" s="86">
        <v>43927</v>
      </c>
      <c r="AF323" s="33">
        <f t="shared" si="131"/>
        <v>32</v>
      </c>
      <c r="AG323" s="43" t="s">
        <v>1506</v>
      </c>
      <c r="AH323" s="259"/>
      <c r="AJ323" s="245"/>
      <c r="AK323" s="245"/>
      <c r="AR323" s="245" t="str">
        <f>INDEX(基本資料!N:N,MATCH($G323,基本資料!$A:$A,0))</f>
        <v>低</v>
      </c>
    </row>
    <row r="324" spans="1:44">
      <c r="A324" s="343">
        <f>IFERROR(VLOOKUP($G324,基本資料!$A:$J,3,0),"無")</f>
        <v>6.85</v>
      </c>
      <c r="B324" s="79">
        <f>IFERROR(VLOOKUP($G324,基本資料!$A:$J,4,0),"無")</f>
        <v>29</v>
      </c>
      <c r="C324" s="79">
        <f>IFERROR(VLOOKUP($G324,基本資料!$A:$J,5,0),"無")</f>
        <v>362</v>
      </c>
      <c r="D324" s="79">
        <f>IFERROR(VLOOKUP($G324,基本資料!$A:$J,6,0),"無")</f>
        <v>9</v>
      </c>
      <c r="E324" s="79">
        <f>IFERROR(VLOOKUP($G324,基本資料!$A:$J,7,0),"無")</f>
        <v>8</v>
      </c>
      <c r="F324" s="6">
        <f>IFERROR(VLOOKUP($G324,基本資料!$A:$J,8,0),"無")</f>
        <v>21.35</v>
      </c>
      <c r="G324" s="80">
        <v>6472</v>
      </c>
      <c r="H324" s="4" t="s">
        <v>4723</v>
      </c>
      <c r="I324" s="16" t="s">
        <v>620</v>
      </c>
      <c r="J324" s="8">
        <f>IFERROR(VLOOKUP($G324,今日總結!$A:$AN,39,0),"")</f>
        <v>0</v>
      </c>
      <c r="K324" s="5">
        <f>IFERROR(VLOOKUP($G324,今日總結!$A:$AN,40,0),"")</f>
        <v>0</v>
      </c>
      <c r="L324" s="156">
        <f>IFERROR(VLOOKUP($G324,今日總結!$A:$AN,37,0),"")</f>
        <v>0</v>
      </c>
      <c r="M324" s="337">
        <f>IFERROR(VLOOKUP($G324,今日總結!$A:$AN,38,0),"")</f>
        <v>0</v>
      </c>
      <c r="N324" s="240">
        <f t="shared" si="136"/>
        <v>0</v>
      </c>
      <c r="O324" s="359">
        <f>IFERROR(VLOOKUP($G324,融外自投!$A:$J,7,0),"無")</f>
        <v>762</v>
      </c>
      <c r="P324" s="79">
        <f>IFERROR(VLOOKUP($G324,融外自投!$A:$J,9,0),"無")</f>
        <v>397</v>
      </c>
      <c r="Q324" s="342">
        <f>IFERROR(VLOOKUP($G324,融外自投!$A:$J,8,0),"無")</f>
        <v>696</v>
      </c>
      <c r="R324" s="81">
        <f>IFERROR(VLOOKUP($G324,融外自投!$A:$J,10,0),"無")</f>
        <v>203</v>
      </c>
      <c r="S324" s="324">
        <f>IFERROR(VLOOKUP($G324,'321買'!$A:$E,4,0),"'沒有資料'")</f>
        <v>743</v>
      </c>
      <c r="T324" s="186">
        <f>IFERROR(VLOOKUP($G324,基本資料!$A:$J,9,0),"無")</f>
        <v>4.5</v>
      </c>
      <c r="U324" s="307">
        <f t="shared" si="137"/>
        <v>4.1666666666666664E-2</v>
      </c>
      <c r="V324" s="94">
        <f>IFERROR(VLOOKUP($G324,基本資料!$A:$J,10,0),"無")</f>
        <v>11.04</v>
      </c>
      <c r="W324" s="36">
        <v>108</v>
      </c>
      <c r="X324" s="66">
        <v>120</v>
      </c>
      <c r="Y324" s="15">
        <f t="shared" si="134"/>
        <v>-12</v>
      </c>
      <c r="Z324" s="76">
        <f t="shared" si="135"/>
        <v>-0.1</v>
      </c>
      <c r="AA324" s="99" t="s">
        <v>1804</v>
      </c>
      <c r="AB324" s="389">
        <f>IFERROR(VLOOKUP($G324,基本資料!$A:$M,12,0),"無")</f>
        <v>30.64</v>
      </c>
      <c r="AC324" s="16" t="s">
        <v>620</v>
      </c>
      <c r="AD324" s="84">
        <v>43880</v>
      </c>
      <c r="AE324" s="86">
        <v>43909</v>
      </c>
      <c r="AF324" s="33">
        <f t="shared" si="131"/>
        <v>29</v>
      </c>
      <c r="AG324" s="43" t="s">
        <v>1515</v>
      </c>
      <c r="AH324" s="259"/>
      <c r="AJ324" s="245"/>
      <c r="AK324" s="245"/>
      <c r="AR324" s="245" t="str">
        <f>INDEX(基本資料!N:N,MATCH($G324,基本資料!$A:$A,0))</f>
        <v>低</v>
      </c>
    </row>
    <row r="325" spans="1:44" ht="17.25" customHeight="1">
      <c r="A325" s="343">
        <f>IFERROR(VLOOKUP($G325,基本資料!$A:$J,3,0),"無")</f>
        <v>22.63</v>
      </c>
      <c r="B325" s="79">
        <f>IFERROR(VLOOKUP($G325,基本資料!$A:$J,4,0),"無")</f>
        <v>-146</v>
      </c>
      <c r="C325" s="79">
        <f>IFERROR(VLOOKUP($G325,基本資料!$A:$J,5,0),"無")</f>
        <v>38</v>
      </c>
      <c r="D325" s="79">
        <f>IFERROR(VLOOKUP($G325,基本資料!$A:$J,6,0),"無")</f>
        <v>13</v>
      </c>
      <c r="E325" s="79">
        <f>IFERROR(VLOOKUP($G325,基本資料!$A:$J,7,0),"無")</f>
        <v>-12</v>
      </c>
      <c r="F325" s="6">
        <f>IFERROR(VLOOKUP($G325,基本資料!$A:$J,8,0),"無")</f>
        <v>-24.6</v>
      </c>
      <c r="G325" s="80">
        <v>5324</v>
      </c>
      <c r="H325" s="4" t="s">
        <v>4002</v>
      </c>
      <c r="I325" s="16" t="s">
        <v>885</v>
      </c>
      <c r="J325" s="8" t="str">
        <f>IFERROR(VLOOKUP($G325,今日總結!$A:$AN,39,0),"")</f>
        <v/>
      </c>
      <c r="K325" s="5" t="str">
        <f>IFERROR(VLOOKUP($G325,今日總結!$A:$AN,40,0),"")</f>
        <v/>
      </c>
      <c r="L325" s="156" t="str">
        <f>IFERROR(VLOOKUP($G325,今日總結!$A:$AN,37,0),"")</f>
        <v/>
      </c>
      <c r="M325" s="337" t="str">
        <f>IFERROR(VLOOKUP($G325,今日總結!$A:$AN,38,0),"")</f>
        <v/>
      </c>
      <c r="N325" s="240" t="str">
        <f t="shared" si="136"/>
        <v/>
      </c>
      <c r="O325" s="359" t="str">
        <f>IFERROR(VLOOKUP($G325,融外自投!$A:$J,7,0),"無")</f>
        <v>無</v>
      </c>
      <c r="P325" s="79" t="str">
        <f>IFERROR(VLOOKUP($G325,融外自投!$A:$J,9,0),"無")</f>
        <v>無</v>
      </c>
      <c r="Q325" s="342" t="str">
        <f>IFERROR(VLOOKUP($G325,融外自投!$A:$J,8,0),"無")</f>
        <v>無</v>
      </c>
      <c r="R325" s="81" t="str">
        <f>IFERROR(VLOOKUP($G325,融外自投!$A:$J,10,0),"無")</f>
        <v>無</v>
      </c>
      <c r="S325" s="324" t="str">
        <f>IFERROR(VLOOKUP($G325,'321買'!$A:$E,4,0),"'沒有資料'")</f>
        <v>'沒有資料'</v>
      </c>
      <c r="T325" s="186">
        <f>IFERROR(VLOOKUP($G325,基本資料!$A:$J,9,0),"無")</f>
        <v>0</v>
      </c>
      <c r="U325" s="307">
        <f t="shared" si="137"/>
        <v>0</v>
      </c>
      <c r="V325" s="94">
        <f>IFERROR(VLOOKUP($G325,基本資料!$A:$J,10,0),"無")</f>
        <v>-0.64</v>
      </c>
      <c r="W325" s="36">
        <v>7.35</v>
      </c>
      <c r="X325" s="66">
        <v>9.5</v>
      </c>
      <c r="Y325" s="15">
        <f t="shared" si="134"/>
        <v>-2.1500000000000004</v>
      </c>
      <c r="Z325" s="76">
        <f t="shared" si="135"/>
        <v>-0.22631578947368425</v>
      </c>
      <c r="AA325" s="100" t="s">
        <v>1893</v>
      </c>
      <c r="AB325" s="389">
        <f>IFERROR(VLOOKUP($G325,基本資料!$A:$M,12,0),"無")</f>
        <v>72.77</v>
      </c>
      <c r="AC325" s="16" t="s">
        <v>885</v>
      </c>
      <c r="AD325" s="84">
        <v>43875</v>
      </c>
      <c r="AE325" s="86">
        <v>43906</v>
      </c>
      <c r="AF325" s="33">
        <f t="shared" si="131"/>
        <v>31</v>
      </c>
      <c r="AG325" s="43" t="s">
        <v>1541</v>
      </c>
      <c r="AH325" s="259"/>
      <c r="AJ325" s="245"/>
      <c r="AK325" s="245"/>
      <c r="AR325" s="245" t="str">
        <f>INDEX(基本資料!N:N,MATCH($G325,基本資料!$A:$A,0))</f>
        <v>中</v>
      </c>
    </row>
    <row r="326" spans="1:44">
      <c r="A326" s="343">
        <f>IFERROR(VLOOKUP($G326,基本資料!$A:$J,3,0),"無")</f>
        <v>7.14</v>
      </c>
      <c r="B326" s="79">
        <f>IFERROR(VLOOKUP($G326,基本資料!$A:$J,4,0),"無")</f>
        <v>71</v>
      </c>
      <c r="C326" s="79">
        <f>IFERROR(VLOOKUP($G326,基本資料!$A:$J,5,0),"無")</f>
        <v>65</v>
      </c>
      <c r="D326" s="79">
        <f>IFERROR(VLOOKUP($G326,基本資料!$A:$J,6,0),"無")</f>
        <v>-9</v>
      </c>
      <c r="E326" s="79">
        <f>IFERROR(VLOOKUP($G326,基本資料!$A:$J,7,0),"無")</f>
        <v>19</v>
      </c>
      <c r="F326" s="6">
        <f>IFERROR(VLOOKUP($G326,基本資料!$A:$J,8,0),"無")</f>
        <v>16.79</v>
      </c>
      <c r="G326" s="80">
        <v>6438</v>
      </c>
      <c r="H326" s="4" t="s">
        <v>314</v>
      </c>
      <c r="I326" s="16" t="s">
        <v>4687</v>
      </c>
      <c r="J326" s="8" t="str">
        <f>IFERROR(VLOOKUP($G326,今日總結!$A:$AN,39,0),"")</f>
        <v>外</v>
      </c>
      <c r="K326" s="5" t="str">
        <f>IFERROR(VLOOKUP($G326,今日總結!$A:$AN,40,0),"")</f>
        <v>融</v>
      </c>
      <c r="L326" s="156">
        <f>IFERROR(VLOOKUP($G326,今日總結!$A:$AN,37,0),"")</f>
        <v>1</v>
      </c>
      <c r="M326" s="337">
        <f>IFERROR(VLOOKUP($G326,今日總結!$A:$AN,38,0),"")</f>
        <v>1</v>
      </c>
      <c r="N326" s="240">
        <f t="shared" si="136"/>
        <v>0</v>
      </c>
      <c r="O326" s="359">
        <f>IFERROR(VLOOKUP($G326,融外自投!$A:$J,7,0),"無")</f>
        <v>124</v>
      </c>
      <c r="P326" s="79">
        <f>IFERROR(VLOOKUP($G326,融外自投!$A:$J,9,0),"無")</f>
        <v>487</v>
      </c>
      <c r="Q326" s="342">
        <f>IFERROR(VLOOKUP($G326,融外自投!$A:$J,8,0),"無")</f>
        <v>386</v>
      </c>
      <c r="R326" s="81">
        <f>IFERROR(VLOOKUP($G326,融外自投!$A:$J,10,0),"無")</f>
        <v>42</v>
      </c>
      <c r="S326" s="324">
        <f>IFERROR(VLOOKUP($G326,'321買'!$A:$E,4,0),"'沒有資料'")</f>
        <v>91</v>
      </c>
      <c r="T326" s="186">
        <f>IFERROR(VLOOKUP($G326,基本資料!$A:$J,9,0),"無")</f>
        <v>6.3</v>
      </c>
      <c r="U326" s="307">
        <f t="shared" si="137"/>
        <v>0.13636363636363635</v>
      </c>
      <c r="V326" s="94">
        <f>IFERROR(VLOOKUP($G326,基本資料!$A:$J,10,0),"無")</f>
        <v>10.15</v>
      </c>
      <c r="W326" s="36">
        <v>46.2</v>
      </c>
      <c r="X326" s="45">
        <v>68</v>
      </c>
      <c r="Y326" s="15">
        <f t="shared" si="134"/>
        <v>-21.799999999999997</v>
      </c>
      <c r="Z326" s="76">
        <f t="shared" si="135"/>
        <v>-0.32058823529411762</v>
      </c>
      <c r="AA326" s="99" t="s">
        <v>1803</v>
      </c>
      <c r="AB326" s="389">
        <f>IFERROR(VLOOKUP($G326,基本資料!$A:$M,12,0),"無")</f>
        <v>17.309999999999999</v>
      </c>
      <c r="AC326" s="16" t="s">
        <v>484</v>
      </c>
      <c r="AD326" s="84">
        <v>43874</v>
      </c>
      <c r="AE326" s="86">
        <v>43903</v>
      </c>
      <c r="AF326" s="33">
        <f t="shared" ref="AF326:AF334" si="138">AE326-AD326</f>
        <v>29</v>
      </c>
      <c r="AG326" s="43" t="s">
        <v>1508</v>
      </c>
      <c r="AH326" s="259"/>
      <c r="AJ326" s="245"/>
      <c r="AK326" s="245"/>
      <c r="AR326" s="245" t="str">
        <f>INDEX(基本資料!N:N,MATCH($G326,基本資料!$A:$A,0))</f>
        <v>中</v>
      </c>
    </row>
    <row r="327" spans="1:44">
      <c r="A327" s="343">
        <f>IFERROR(VLOOKUP($G327,基本資料!$A:$J,3,0),"無")</f>
        <v>22.04</v>
      </c>
      <c r="B327" s="79">
        <f>IFERROR(VLOOKUP($G327,基本資料!$A:$J,4,0),"無")</f>
        <v>309</v>
      </c>
      <c r="C327" s="79">
        <f>IFERROR(VLOOKUP($G327,基本資料!$A:$J,5,0),"無")</f>
        <v>226</v>
      </c>
      <c r="D327" s="79">
        <f>IFERROR(VLOOKUP($G327,基本資料!$A:$J,6,0),"無")</f>
        <v>-90</v>
      </c>
      <c r="E327" s="79">
        <f>IFERROR(VLOOKUP($G327,基本資料!$A:$J,7,0),"無")</f>
        <v>0</v>
      </c>
      <c r="F327" s="6">
        <f>IFERROR(VLOOKUP($G327,基本資料!$A:$J,8,0),"無")</f>
        <v>29.37</v>
      </c>
      <c r="G327" s="81">
        <v>6547</v>
      </c>
      <c r="H327" s="4" t="s">
        <v>4723</v>
      </c>
      <c r="I327" s="16" t="s">
        <v>1087</v>
      </c>
      <c r="J327" s="8" t="str">
        <f>IFERROR(VLOOKUP($G327,今日總結!$A:$AN,39,0),"")</f>
        <v/>
      </c>
      <c r="K327" s="5" t="str">
        <f>IFERROR(VLOOKUP($G327,今日總結!$A:$AN,40,0),"")</f>
        <v/>
      </c>
      <c r="L327" s="156" t="str">
        <f>IFERROR(VLOOKUP($G327,今日總結!$A:$AN,37,0),"")</f>
        <v/>
      </c>
      <c r="M327" s="337" t="str">
        <f>IFERROR(VLOOKUP($G327,今日總結!$A:$AN,38,0),"")</f>
        <v/>
      </c>
      <c r="N327" s="240" t="str">
        <f t="shared" si="136"/>
        <v/>
      </c>
      <c r="O327" s="359" t="str">
        <f>IFERROR(VLOOKUP($G327,融外自投!$A:$J,7,0),"無")</f>
        <v>無</v>
      </c>
      <c r="P327" s="79" t="str">
        <f>IFERROR(VLOOKUP($G327,融外自投!$A:$J,9,0),"無")</f>
        <v>無</v>
      </c>
      <c r="Q327" s="342" t="str">
        <f>IFERROR(VLOOKUP($G327,融外自投!$A:$J,8,0),"無")</f>
        <v>無</v>
      </c>
      <c r="R327" s="81" t="str">
        <f>IFERROR(VLOOKUP($G327,融外自投!$A:$J,10,0),"無")</f>
        <v>無</v>
      </c>
      <c r="S327" s="324" t="str">
        <f>IFERROR(VLOOKUP($G327,'321買'!$A:$E,4,0),"'沒有資料'")</f>
        <v>'沒有資料'</v>
      </c>
      <c r="T327" s="186">
        <f>IFERROR(VLOOKUP($G327,基本資料!$A:$J,9,0),"無")</f>
        <v>5</v>
      </c>
      <c r="U327" s="307">
        <f t="shared" si="137"/>
        <v>9.4876660341555966E-2</v>
      </c>
      <c r="V327" s="94">
        <f>IFERROR(VLOOKUP($G327,基本資料!$A:$J,10,0),"無")</f>
        <v>6.65</v>
      </c>
      <c r="W327" s="36">
        <v>52.7</v>
      </c>
      <c r="X327" s="66">
        <v>26</v>
      </c>
      <c r="Y327" s="15">
        <f t="shared" si="134"/>
        <v>26.700000000000003</v>
      </c>
      <c r="Z327" s="169">
        <f t="shared" si="135"/>
        <v>1.026923076923077</v>
      </c>
      <c r="AA327" s="99" t="s">
        <v>1846</v>
      </c>
      <c r="AB327" s="389">
        <f>IFERROR(VLOOKUP($G327,基本資料!$A:$M,12,0),"無")</f>
        <v>35.04</v>
      </c>
      <c r="AC327" s="16" t="s">
        <v>1087</v>
      </c>
      <c r="AD327" s="84">
        <v>43865</v>
      </c>
      <c r="AE327" s="86">
        <v>43894</v>
      </c>
      <c r="AF327" s="33">
        <f t="shared" si="138"/>
        <v>29</v>
      </c>
      <c r="AG327" s="43" t="s">
        <v>1900</v>
      </c>
      <c r="AH327" s="259"/>
      <c r="AJ327" s="245"/>
      <c r="AK327" s="245"/>
      <c r="AR327" s="245" t="str">
        <f>INDEX(基本資料!N:N,MATCH($G327,基本資料!$A:$A,0))</f>
        <v>低</v>
      </c>
    </row>
    <row r="328" spans="1:44">
      <c r="A328" s="343">
        <f>IFERROR(VLOOKUP($G328,基本資料!$A:$J,3,0),"無")</f>
        <v>14.11</v>
      </c>
      <c r="B328" s="79">
        <f>IFERROR(VLOOKUP($G328,基本資料!$A:$J,4,0),"無")</f>
        <v>7</v>
      </c>
      <c r="C328" s="79">
        <f>IFERROR(VLOOKUP($G328,基本資料!$A:$J,5,0),"無")</f>
        <v>12</v>
      </c>
      <c r="D328" s="79">
        <f>IFERROR(VLOOKUP($G328,基本資料!$A:$J,6,0),"無")</f>
        <v>3</v>
      </c>
      <c r="E328" s="79">
        <f>IFERROR(VLOOKUP($G328,基本資料!$A:$J,7,0),"無")</f>
        <v>9</v>
      </c>
      <c r="F328" s="6">
        <f>IFERROR(VLOOKUP($G328,基本資料!$A:$J,8,0),"無")</f>
        <v>9.0500000000000007</v>
      </c>
      <c r="G328" s="81">
        <v>4104</v>
      </c>
      <c r="H328" s="52" t="s">
        <v>4723</v>
      </c>
      <c r="I328" s="22" t="s">
        <v>629</v>
      </c>
      <c r="J328" s="8">
        <f>IFERROR(VLOOKUP($G328,今日總結!$A:$AN,39,0),"")</f>
        <v>0</v>
      </c>
      <c r="K328" s="5">
        <f>IFERROR(VLOOKUP($G328,今日總結!$A:$AN,40,0),"")</f>
        <v>0</v>
      </c>
      <c r="L328" s="156">
        <f>IFERROR(VLOOKUP($G328,今日總結!$A:$AN,37,0),"")</f>
        <v>0</v>
      </c>
      <c r="M328" s="337">
        <f>IFERROR(VLOOKUP($G328,今日總結!$A:$AN,38,0),"")</f>
        <v>0</v>
      </c>
      <c r="N328" s="240">
        <f t="shared" si="136"/>
        <v>0</v>
      </c>
      <c r="O328" s="359">
        <f>IFERROR(VLOOKUP($G328,融外自投!$A:$J,7,0),"無")</f>
        <v>1297</v>
      </c>
      <c r="P328" s="79">
        <f>IFERROR(VLOOKUP($G328,融外自投!$A:$J,9,0),"無")</f>
        <v>565</v>
      </c>
      <c r="Q328" s="342">
        <f>IFERROR(VLOOKUP($G328,融外自投!$A:$J,8,0),"無")</f>
        <v>557</v>
      </c>
      <c r="R328" s="81" t="str">
        <f>IFERROR(VLOOKUP($G328,融外自投!$A:$J,10,0),"無")</f>
        <v>無</v>
      </c>
      <c r="S328" s="324">
        <f>IFERROR(VLOOKUP($G328,'321買'!$A:$E,4,0),"'沒有資料'")</f>
        <v>1002</v>
      </c>
      <c r="T328" s="186">
        <f>IFERROR(VLOOKUP($G328,基本資料!$A:$J,9,0),"無")</f>
        <v>4</v>
      </c>
      <c r="U328" s="307">
        <f t="shared" si="137"/>
        <v>7.4906367041198504E-2</v>
      </c>
      <c r="V328" s="94">
        <f>IFERROR(VLOOKUP($G328,基本資料!$A:$J,10,0),"無")</f>
        <v>4.3</v>
      </c>
      <c r="W328" s="36">
        <v>53.4</v>
      </c>
      <c r="X328" s="66">
        <v>45</v>
      </c>
      <c r="Y328" s="15">
        <f t="shared" si="134"/>
        <v>8.3999999999999986</v>
      </c>
      <c r="Z328" s="63">
        <f t="shared" si="135"/>
        <v>0.18666666666666665</v>
      </c>
      <c r="AA328" s="99" t="s">
        <v>1802</v>
      </c>
      <c r="AB328" s="389">
        <f>IFERROR(VLOOKUP($G328,基本資料!$A:$M,12,0),"無")</f>
        <v>58.35</v>
      </c>
      <c r="AC328" s="22" t="s">
        <v>629</v>
      </c>
      <c r="AD328" s="84">
        <v>43850</v>
      </c>
      <c r="AE328" s="86">
        <v>43881</v>
      </c>
      <c r="AF328" s="33">
        <f t="shared" si="138"/>
        <v>31</v>
      </c>
      <c r="AG328" s="43" t="s">
        <v>1511</v>
      </c>
      <c r="AH328" s="259"/>
      <c r="AJ328" s="245"/>
      <c r="AK328" s="245"/>
      <c r="AR328" s="245" t="str">
        <f>INDEX(基本資料!N:N,MATCH($G328,基本資料!$A:$A,0))</f>
        <v>高</v>
      </c>
    </row>
    <row r="329" spans="1:44" ht="17.25" customHeight="1">
      <c r="A329" s="343">
        <f>IFERROR(VLOOKUP($G329,基本資料!$A:$J,3,0),"無")</f>
        <v>1.52</v>
      </c>
      <c r="B329" s="79">
        <f>IFERROR(VLOOKUP($G329,基本資料!$A:$J,4,0),"無")</f>
        <v>33</v>
      </c>
      <c r="C329" s="79">
        <f>IFERROR(VLOOKUP($G329,基本資料!$A:$J,5,0),"無")</f>
        <v>28</v>
      </c>
      <c r="D329" s="79">
        <f>IFERROR(VLOOKUP($G329,基本資料!$A:$J,6,0),"無")</f>
        <v>0</v>
      </c>
      <c r="E329" s="79">
        <f>IFERROR(VLOOKUP($G329,基本資料!$A:$J,7,0),"無")</f>
        <v>21</v>
      </c>
      <c r="F329" s="6">
        <f>IFERROR(VLOOKUP($G329,基本資料!$A:$J,8,0),"無")</f>
        <v>19.079999999999998</v>
      </c>
      <c r="G329" s="79">
        <v>5278</v>
      </c>
      <c r="H329" s="4" t="s">
        <v>330</v>
      </c>
      <c r="I329" s="16" t="s">
        <v>1034</v>
      </c>
      <c r="J329" s="8" t="str">
        <f>IFERROR(VLOOKUP($G329,今日總結!$A:$AN,39,0),"")</f>
        <v/>
      </c>
      <c r="K329" s="5" t="str">
        <f>IFERROR(VLOOKUP($G329,今日總結!$A:$AN,40,0),"")</f>
        <v/>
      </c>
      <c r="L329" s="156" t="str">
        <f>IFERROR(VLOOKUP($G329,今日總結!$A:$AN,37,0),"")</f>
        <v/>
      </c>
      <c r="M329" s="337" t="str">
        <f>IFERROR(VLOOKUP($G329,今日總結!$A:$AN,38,0),"")</f>
        <v/>
      </c>
      <c r="N329" s="240" t="str">
        <f t="shared" si="136"/>
        <v/>
      </c>
      <c r="O329" s="359" t="str">
        <f>IFERROR(VLOOKUP($G329,融外自投!$A:$J,7,0),"無")</f>
        <v>無</v>
      </c>
      <c r="P329" s="79" t="str">
        <f>IFERROR(VLOOKUP($G329,融外自投!$A:$J,9,0),"無")</f>
        <v>無</v>
      </c>
      <c r="Q329" s="342" t="str">
        <f>IFERROR(VLOOKUP($G329,融外自投!$A:$J,8,0),"無")</f>
        <v>無</v>
      </c>
      <c r="R329" s="81" t="str">
        <f>IFERROR(VLOOKUP($G329,融外自投!$A:$J,10,0),"無")</f>
        <v>無</v>
      </c>
      <c r="S329" s="324" t="str">
        <f>IFERROR(VLOOKUP($G329,'321買'!$A:$E,4,0),"'沒有資料'")</f>
        <v>'沒有資料'</v>
      </c>
      <c r="T329" s="186">
        <f>IFERROR(VLOOKUP($G329,基本資料!$A:$J,9,0),"無")</f>
        <v>20.18</v>
      </c>
      <c r="U329" s="307">
        <f t="shared" si="137"/>
        <v>0.13019354838709676</v>
      </c>
      <c r="V329" s="94">
        <f>IFERROR(VLOOKUP($G329,基本資料!$A:$J,10,0),"無")</f>
        <v>16.52</v>
      </c>
      <c r="W329" s="13">
        <v>155</v>
      </c>
      <c r="X329" s="66">
        <v>106</v>
      </c>
      <c r="Y329" s="15">
        <f t="shared" si="134"/>
        <v>49</v>
      </c>
      <c r="Z329" s="63">
        <f t="shared" si="135"/>
        <v>0.46226415094339623</v>
      </c>
      <c r="AA329" s="99" t="s">
        <v>1801</v>
      </c>
      <c r="AB329" s="389">
        <f>IFERROR(VLOOKUP($G329,基本資料!$A:$M,12,0),"無")</f>
        <v>27.42</v>
      </c>
      <c r="AC329" s="16" t="s">
        <v>1034</v>
      </c>
      <c r="AD329" s="84">
        <v>43850</v>
      </c>
      <c r="AE329" s="86">
        <v>43881</v>
      </c>
      <c r="AF329" s="33">
        <f t="shared" si="138"/>
        <v>31</v>
      </c>
      <c r="AG329" s="43" t="s">
        <v>1545</v>
      </c>
      <c r="AH329" s="259"/>
      <c r="AJ329" s="245"/>
      <c r="AK329" s="245"/>
      <c r="AR329" s="245" t="str">
        <f>INDEX(基本資料!N:N,MATCH($G329,基本資料!$A:$A,0))</f>
        <v>中</v>
      </c>
    </row>
    <row r="330" spans="1:44">
      <c r="A330" s="343">
        <f>IFERROR(VLOOKUP($G330,基本資料!$A:$J,3,0),"無")</f>
        <v>13.41</v>
      </c>
      <c r="B330" s="79">
        <f>IFERROR(VLOOKUP($G330,基本資料!$A:$J,4,0),"無")</f>
        <v>-66</v>
      </c>
      <c r="C330" s="79">
        <f>IFERROR(VLOOKUP($G330,基本資料!$A:$J,5,0),"無")</f>
        <v>-57</v>
      </c>
      <c r="D330" s="79">
        <f>IFERROR(VLOOKUP($G330,基本資料!$A:$J,6,0),"無")</f>
        <v>-43</v>
      </c>
      <c r="E330" s="79">
        <f>IFERROR(VLOOKUP($G330,基本資料!$A:$J,7,0),"無")</f>
        <v>-53</v>
      </c>
      <c r="F330" s="6">
        <f>IFERROR(VLOOKUP($G330,基本資料!$A:$J,8,0),"無")</f>
        <v>6.69</v>
      </c>
      <c r="G330" s="79">
        <v>1598</v>
      </c>
      <c r="H330" s="52" t="s">
        <v>4723</v>
      </c>
      <c r="I330" s="22" t="s">
        <v>3668</v>
      </c>
      <c r="J330" s="8">
        <f>IFERROR(VLOOKUP($G330,今日總結!$A:$AN,39,0),"")</f>
        <v>0</v>
      </c>
      <c r="K330" s="5">
        <f>IFERROR(VLOOKUP($G330,今日總結!$A:$AN,40,0),"")</f>
        <v>0</v>
      </c>
      <c r="L330" s="156">
        <f>IFERROR(VLOOKUP($G330,今日總結!$A:$AN,37,0),"")</f>
        <v>0</v>
      </c>
      <c r="M330" s="337">
        <f>IFERROR(VLOOKUP($G330,今日總結!$A:$AN,38,0),"")</f>
        <v>0</v>
      </c>
      <c r="N330" s="240">
        <f t="shared" si="136"/>
        <v>0</v>
      </c>
      <c r="O330" s="359">
        <f>IFERROR(VLOOKUP($G330,融外自投!$A:$J,7,0),"無")</f>
        <v>514</v>
      </c>
      <c r="P330" s="79">
        <f>IFERROR(VLOOKUP($G330,融外自投!$A:$J,9,0),"無")</f>
        <v>442</v>
      </c>
      <c r="Q330" s="342">
        <f>IFERROR(VLOOKUP($G330,融外自投!$A:$J,8,0),"無")</f>
        <v>822</v>
      </c>
      <c r="R330" s="81">
        <f>IFERROR(VLOOKUP($G330,融外自投!$A:$J,10,0),"無")</f>
        <v>495</v>
      </c>
      <c r="S330" s="324">
        <f>IFERROR(VLOOKUP($G330,'321買'!$A:$E,4,0),"'沒有資料'")</f>
        <v>891</v>
      </c>
      <c r="T330" s="186">
        <f>IFERROR(VLOOKUP($G330,基本資料!$A:$J,9,0),"無")</f>
        <v>2.5</v>
      </c>
      <c r="U330" s="307">
        <f t="shared" si="137"/>
        <v>6.6050198150594444E-2</v>
      </c>
      <c r="V330" s="94">
        <f>IFERROR(VLOOKUP($G330,基本資料!$A:$J,10,0),"無")</f>
        <v>3.48</v>
      </c>
      <c r="W330" s="13">
        <v>37.85</v>
      </c>
      <c r="X330" s="45">
        <v>39</v>
      </c>
      <c r="Y330" s="15">
        <f t="shared" si="134"/>
        <v>-1.1499999999999986</v>
      </c>
      <c r="Z330" s="76">
        <f t="shared" si="135"/>
        <v>-2.9487179487179452E-2</v>
      </c>
      <c r="AA330" s="100" t="s">
        <v>1859</v>
      </c>
      <c r="AB330" s="389">
        <f>IFERROR(VLOOKUP($G330,基本資料!$A:$M,12,0),"無")</f>
        <v>24.28</v>
      </c>
      <c r="AC330" s="22" t="s">
        <v>627</v>
      </c>
      <c r="AD330" s="84">
        <v>43846</v>
      </c>
      <c r="AE330" s="86">
        <v>43878</v>
      </c>
      <c r="AF330" s="33">
        <f t="shared" si="138"/>
        <v>32</v>
      </c>
      <c r="AG330" s="43" t="s">
        <v>1784</v>
      </c>
      <c r="AH330" s="259"/>
      <c r="AJ330" s="245"/>
      <c r="AK330" s="245"/>
      <c r="AR330" s="245" t="str">
        <f>INDEX(基本資料!N:N,MATCH($G330,基本資料!$A:$A,0))</f>
        <v>低</v>
      </c>
    </row>
    <row r="331" spans="1:44" ht="17.25" customHeight="1">
      <c r="A331" s="343">
        <f>IFERROR(VLOOKUP($G331,基本資料!$A:$J,3,0),"無")</f>
        <v>3</v>
      </c>
      <c r="B331" s="79">
        <f>IFERROR(VLOOKUP($G331,基本資料!$A:$J,4,0),"無")</f>
        <v>36</v>
      </c>
      <c r="C331" s="79">
        <f>IFERROR(VLOOKUP($G331,基本資料!$A:$J,5,0),"無")</f>
        <v>56</v>
      </c>
      <c r="D331" s="79">
        <f>IFERROR(VLOOKUP($G331,基本資料!$A:$J,6,0),"無")</f>
        <v>17</v>
      </c>
      <c r="E331" s="79">
        <f>IFERROR(VLOOKUP($G331,基本資料!$A:$J,7,0),"無")</f>
        <v>38</v>
      </c>
      <c r="F331" s="6">
        <f>IFERROR(VLOOKUP($G331,基本資料!$A:$J,8,0),"無")</f>
        <v>7.23</v>
      </c>
      <c r="G331" s="81">
        <v>2643</v>
      </c>
      <c r="H331" s="4" t="s">
        <v>302</v>
      </c>
      <c r="I331" s="16" t="s">
        <v>6132</v>
      </c>
      <c r="J331" s="8">
        <f>IFERROR(VLOOKUP($G331,今日總結!$A:$AN,39,0),"")</f>
        <v>0</v>
      </c>
      <c r="K331" s="5">
        <f>IFERROR(VLOOKUP($G331,今日總結!$A:$AN,40,0),"")</f>
        <v>5</v>
      </c>
      <c r="L331" s="156">
        <f>IFERROR(VLOOKUP($G331,今日總結!$A:$AN,37,0),"")</f>
        <v>0</v>
      </c>
      <c r="M331" s="337">
        <f>IFERROR(VLOOKUP($G331,今日總結!$A:$AN,38,0),"")</f>
        <v>1</v>
      </c>
      <c r="N331" s="240">
        <f t="shared" si="136"/>
        <v>-1</v>
      </c>
      <c r="O331" s="359">
        <f>IFERROR(VLOOKUP($G331,融外自投!$A:$J,7,0),"無")</f>
        <v>531</v>
      </c>
      <c r="P331" s="79">
        <f>IFERROR(VLOOKUP($G331,融外自投!$A:$J,9,0),"無")</f>
        <v>717</v>
      </c>
      <c r="Q331" s="342">
        <f>IFERROR(VLOOKUP($G331,融外自投!$A:$J,8,0),"無")</f>
        <v>1211</v>
      </c>
      <c r="R331" s="81" t="str">
        <f>IFERROR(VLOOKUP($G331,融外自投!$A:$J,10,0),"無")</f>
        <v>無</v>
      </c>
      <c r="S331" s="324">
        <f>IFERROR(VLOOKUP($G331,'321買'!$A:$E,4,0),"'沒有資料'")</f>
        <v>565</v>
      </c>
      <c r="T331" s="186">
        <f>IFERROR(VLOOKUP($G331,基本資料!$A:$J,9,0),"無")</f>
        <v>5</v>
      </c>
      <c r="U331" s="307">
        <f t="shared" si="137"/>
        <v>0.13368983957219252</v>
      </c>
      <c r="V331" s="94">
        <f>IFERROR(VLOOKUP($G331,基本資料!$A:$J,10,0),"無")</f>
        <v>9.7200000000000006</v>
      </c>
      <c r="W331" s="36">
        <v>37.4</v>
      </c>
      <c r="X331" s="66">
        <v>35</v>
      </c>
      <c r="Y331" s="15">
        <f t="shared" si="134"/>
        <v>2.3999999999999986</v>
      </c>
      <c r="Z331" s="63">
        <f t="shared" si="135"/>
        <v>6.8571428571428533E-2</v>
      </c>
      <c r="AA331" s="99" t="s">
        <v>1800</v>
      </c>
      <c r="AB331" s="389">
        <f>IFERROR(VLOOKUP($G331,基本資料!$A:$M,12,0),"無")</f>
        <v>23.28</v>
      </c>
      <c r="AC331" s="16" t="s">
        <v>860</v>
      </c>
      <c r="AD331" s="84">
        <v>43846</v>
      </c>
      <c r="AE331" s="86">
        <v>43878</v>
      </c>
      <c r="AF331" s="33">
        <f t="shared" si="138"/>
        <v>32</v>
      </c>
      <c r="AG331" s="43" t="s">
        <v>1531</v>
      </c>
      <c r="AH331" s="259"/>
      <c r="AJ331" s="245"/>
      <c r="AK331" s="245"/>
      <c r="AR331" s="245" t="str">
        <f>INDEX(基本資料!N:N,MATCH($G331,基本資料!$A:$A,0))</f>
        <v>低</v>
      </c>
    </row>
    <row r="332" spans="1:44">
      <c r="A332" s="343">
        <f>IFERROR(VLOOKUP($G332,基本資料!$A:$J,3,0),"無")</f>
        <v>9.74</v>
      </c>
      <c r="B332" s="79">
        <f>IFERROR(VLOOKUP($G332,基本資料!$A:$J,4,0),"無")</f>
        <v>-6</v>
      </c>
      <c r="C332" s="79">
        <f>IFERROR(VLOOKUP($G332,基本資料!$A:$J,5,0),"無")</f>
        <v>8</v>
      </c>
      <c r="D332" s="79">
        <f>IFERROR(VLOOKUP($G332,基本資料!$A:$J,6,0),"無")</f>
        <v>-26</v>
      </c>
      <c r="E332" s="79">
        <f>IFERROR(VLOOKUP($G332,基本資料!$A:$J,7,0),"無")</f>
        <v>0</v>
      </c>
      <c r="F332" s="6">
        <f>IFERROR(VLOOKUP($G332,基本資料!$A:$J,8,0),"無")</f>
        <v>-3560.33</v>
      </c>
      <c r="G332" s="79">
        <v>4168</v>
      </c>
      <c r="H332" s="52" t="s">
        <v>4723</v>
      </c>
      <c r="I332" s="16" t="s">
        <v>614</v>
      </c>
      <c r="J332" s="8" t="str">
        <f>IFERROR(VLOOKUP($G332,今日總結!$A:$AN,39,0),"")</f>
        <v>融</v>
      </c>
      <c r="K332" s="5" t="str">
        <f>IFERROR(VLOOKUP($G332,今日總結!$A:$AN,40,0),"")</f>
        <v>主</v>
      </c>
      <c r="L332" s="156">
        <f>IFERROR(VLOOKUP($G332,今日總結!$A:$AN,37,0),"")</f>
        <v>4</v>
      </c>
      <c r="M332" s="337">
        <f>IFERROR(VLOOKUP($G332,今日總結!$A:$AN,38,0),"")</f>
        <v>6</v>
      </c>
      <c r="N332" s="240">
        <f t="shared" si="136"/>
        <v>-2</v>
      </c>
      <c r="O332" s="359">
        <f>IFERROR(VLOOKUP($G332,融外自投!$A:$J,7,0),"無")</f>
        <v>59</v>
      </c>
      <c r="P332" s="79" t="str">
        <f>IFERROR(VLOOKUP($G332,融外自投!$A:$J,9,0),"無")</f>
        <v>無</v>
      </c>
      <c r="Q332" s="342">
        <f>IFERROR(VLOOKUP($G332,融外自投!$A:$J,8,0),"無")</f>
        <v>742</v>
      </c>
      <c r="R332" s="81" t="str">
        <f>IFERROR(VLOOKUP($G332,融外自投!$A:$J,10,0),"無")</f>
        <v>無</v>
      </c>
      <c r="S332" s="324">
        <f>IFERROR(VLOOKUP($G332,'321買'!$A:$E,4,0),"'沒有資料'")</f>
        <v>891</v>
      </c>
      <c r="T332" s="186">
        <f>IFERROR(VLOOKUP($G332,基本資料!$A:$J,9,0),"無")</f>
        <v>0</v>
      </c>
      <c r="U332" s="307">
        <f t="shared" si="137"/>
        <v>0</v>
      </c>
      <c r="V332" s="94">
        <f>IFERROR(VLOOKUP($G332,基本資料!$A:$J,10,0),"無")</f>
        <v>-1.78</v>
      </c>
      <c r="W332" s="36">
        <v>19.600000000000001</v>
      </c>
      <c r="X332" s="66">
        <v>20</v>
      </c>
      <c r="Y332" s="15">
        <f t="shared" si="134"/>
        <v>-0.39999999999999858</v>
      </c>
      <c r="Z332" s="76">
        <f t="shared" si="135"/>
        <v>-1.9999999999999928E-2</v>
      </c>
      <c r="AA332" s="100" t="s">
        <v>1799</v>
      </c>
      <c r="AB332" s="389">
        <f>IFERROR(VLOOKUP($G332,基本資料!$A:$M,12,0),"無")</f>
        <v>19.53</v>
      </c>
      <c r="AC332" s="16" t="s">
        <v>614</v>
      </c>
      <c r="AD332" s="84">
        <v>43846</v>
      </c>
      <c r="AE332" s="86">
        <v>43878</v>
      </c>
      <c r="AF332" s="33">
        <f t="shared" si="138"/>
        <v>32</v>
      </c>
      <c r="AG332" s="43" t="s">
        <v>1446</v>
      </c>
      <c r="AH332" s="259"/>
      <c r="AJ332" s="245"/>
      <c r="AK332" s="245"/>
      <c r="AR332" s="245" t="str">
        <f>INDEX(基本資料!N:N,MATCH($G332,基本資料!$A:$A,0))</f>
        <v>低</v>
      </c>
    </row>
    <row r="333" spans="1:44">
      <c r="A333" s="343">
        <f>IFERROR(VLOOKUP($G333,基本資料!$A:$J,3,0),"無")</f>
        <v>8.4</v>
      </c>
      <c r="B333" s="79">
        <f>IFERROR(VLOOKUP($G333,基本資料!$A:$J,4,0),"無")</f>
        <v>-24</v>
      </c>
      <c r="C333" s="79">
        <f>IFERROR(VLOOKUP($G333,基本資料!$A:$J,5,0),"無")</f>
        <v>369</v>
      </c>
      <c r="D333" s="79">
        <f>IFERROR(VLOOKUP($G333,基本資料!$A:$J,6,0),"無")</f>
        <v>-10</v>
      </c>
      <c r="E333" s="79">
        <f>IFERROR(VLOOKUP($G333,基本資料!$A:$J,7,0),"無")</f>
        <v>120</v>
      </c>
      <c r="F333" s="6">
        <f>IFERROR(VLOOKUP($G333,基本資料!$A:$J,8,0),"無")</f>
        <v>14.74</v>
      </c>
      <c r="G333" s="81">
        <v>3680</v>
      </c>
      <c r="H333" s="54" t="s">
        <v>3038</v>
      </c>
      <c r="I333" s="16" t="s">
        <v>366</v>
      </c>
      <c r="J333" s="8">
        <f>IFERROR(VLOOKUP($G333,今日總結!$A:$AN,39,0),"")</f>
        <v>0</v>
      </c>
      <c r="K333" s="5">
        <f>IFERROR(VLOOKUP($G333,今日總結!$A:$AN,40,0),"")</f>
        <v>0</v>
      </c>
      <c r="L333" s="156">
        <f>IFERROR(VLOOKUP($G333,今日總結!$A:$AN,37,0),"")</f>
        <v>0</v>
      </c>
      <c r="M333" s="337">
        <f>IFERROR(VLOOKUP($G333,今日總結!$A:$AN,38,0),"")</f>
        <v>0</v>
      </c>
      <c r="N333" s="240">
        <f t="shared" si="136"/>
        <v>0</v>
      </c>
      <c r="O333" s="359">
        <f>IFERROR(VLOOKUP($G333,融外自投!$A:$J,7,0),"無")</f>
        <v>472</v>
      </c>
      <c r="P333" s="79">
        <f>IFERROR(VLOOKUP($G333,融外自投!$A:$J,9,0),"無")</f>
        <v>116</v>
      </c>
      <c r="Q333" s="342">
        <f>IFERROR(VLOOKUP($G333,融外自投!$A:$J,8,0),"無")</f>
        <v>555</v>
      </c>
      <c r="R333" s="81">
        <f>IFERROR(VLOOKUP($G333,融外自投!$A:$J,10,0),"無")</f>
        <v>69</v>
      </c>
      <c r="S333" s="324">
        <f>IFERROR(VLOOKUP($G333,'321買'!$A:$E,4,0),"'沒有資料'")</f>
        <v>465</v>
      </c>
      <c r="T333" s="186">
        <f>IFERROR(VLOOKUP($G333,基本資料!$A:$J,9,0),"無")</f>
        <v>2.8</v>
      </c>
      <c r="U333" s="307">
        <f t="shared" si="137"/>
        <v>1.6568047337278107E-2</v>
      </c>
      <c r="V333" s="94">
        <f>IFERROR(VLOOKUP($G333,基本資料!$A:$J,10,0),"無")</f>
        <v>4.03</v>
      </c>
      <c r="W333" s="36">
        <v>169</v>
      </c>
      <c r="X333" s="66">
        <v>110</v>
      </c>
      <c r="Y333" s="15">
        <f t="shared" si="134"/>
        <v>59</v>
      </c>
      <c r="Z333" s="63">
        <f t="shared" si="135"/>
        <v>0.53636363636363638</v>
      </c>
      <c r="AA333" s="99" t="s">
        <v>1798</v>
      </c>
      <c r="AB333" s="389">
        <f>IFERROR(VLOOKUP($G333,基本資料!$A:$M,12,0),"無")</f>
        <v>23.09</v>
      </c>
      <c r="AC333" s="16" t="s">
        <v>366</v>
      </c>
      <c r="AD333" s="84">
        <v>43838</v>
      </c>
      <c r="AE333" s="86">
        <v>43871</v>
      </c>
      <c r="AF333" s="33">
        <f t="shared" si="138"/>
        <v>33</v>
      </c>
      <c r="AG333" s="43" t="s">
        <v>1724</v>
      </c>
      <c r="AH333" s="259"/>
      <c r="AJ333" s="245"/>
      <c r="AK333" s="245"/>
      <c r="AR333" s="245" t="str">
        <f>INDEX(基本資料!N:N,MATCH($G333,基本資料!$A:$A,0))</f>
        <v>低</v>
      </c>
    </row>
    <row r="334" spans="1:44">
      <c r="A334" s="343">
        <f>IFERROR(VLOOKUP($G334,基本資料!$A:$J,3,0),"無")</f>
        <v>4.3099999999999996</v>
      </c>
      <c r="B334" s="79">
        <f>IFERROR(VLOOKUP($G334,基本資料!$A:$J,4,0),"無")</f>
        <v>6</v>
      </c>
      <c r="C334" s="79">
        <f>IFERROR(VLOOKUP($G334,基本資料!$A:$J,5,0),"無")</f>
        <v>2</v>
      </c>
      <c r="D334" s="79">
        <f>IFERROR(VLOOKUP($G334,基本資料!$A:$J,6,0),"無")</f>
        <v>5</v>
      </c>
      <c r="E334" s="79">
        <f>IFERROR(VLOOKUP($G334,基本資料!$A:$J,7,0),"無")</f>
        <v>13</v>
      </c>
      <c r="F334" s="6">
        <f>IFERROR(VLOOKUP($G334,基本資料!$A:$J,8,0),"無")</f>
        <v>18.38</v>
      </c>
      <c r="G334" s="79">
        <v>4580</v>
      </c>
      <c r="H334" s="4" t="s">
        <v>295</v>
      </c>
      <c r="I334" s="16" t="s">
        <v>1779</v>
      </c>
      <c r="J334" s="8">
        <f>IFERROR(VLOOKUP($G334,今日總結!$A:$AN,39,0),"")</f>
        <v>0</v>
      </c>
      <c r="K334" s="5">
        <f>IFERROR(VLOOKUP($G334,今日總結!$A:$AN,40,0),"")</f>
        <v>0</v>
      </c>
      <c r="L334" s="156">
        <f>IFERROR(VLOOKUP($G334,今日總結!$A:$AN,37,0),"")</f>
        <v>0</v>
      </c>
      <c r="M334" s="337">
        <f>IFERROR(VLOOKUP($G334,今日總結!$A:$AN,38,0),"")</f>
        <v>0</v>
      </c>
      <c r="N334" s="240">
        <f t="shared" si="136"/>
        <v>0</v>
      </c>
      <c r="O334" s="359">
        <f>IFERROR(VLOOKUP($G334,融外自投!$A:$J,7,0),"無")</f>
        <v>1106</v>
      </c>
      <c r="P334" s="79" t="str">
        <f>IFERROR(VLOOKUP($G334,融外自投!$A:$J,9,0),"無")</f>
        <v>無</v>
      </c>
      <c r="Q334" s="342">
        <f>IFERROR(VLOOKUP($G334,融外自投!$A:$J,8,0),"無")</f>
        <v>1330</v>
      </c>
      <c r="R334" s="81" t="str">
        <f>IFERROR(VLOOKUP($G334,融外自投!$A:$J,10,0),"無")</f>
        <v>無</v>
      </c>
      <c r="S334" s="324">
        <f>IFERROR(VLOOKUP($G334,'321買'!$A:$E,4,0),"'沒有資料'")</f>
        <v>891</v>
      </c>
      <c r="T334" s="186">
        <f>IFERROR(VLOOKUP($G334,基本資料!$A:$J,9,0),"無")</f>
        <v>5.75</v>
      </c>
      <c r="U334" s="307">
        <f t="shared" si="137"/>
        <v>5.773092369477912E-2</v>
      </c>
      <c r="V334" s="94">
        <f>IFERROR(VLOOKUP($G334,基本資料!$A:$J,10,0),"無")</f>
        <v>8.0399999999999991</v>
      </c>
      <c r="W334" s="36">
        <v>99.6</v>
      </c>
      <c r="X334" s="66">
        <v>78</v>
      </c>
      <c r="Y334" s="15">
        <f t="shared" si="134"/>
        <v>21.599999999999994</v>
      </c>
      <c r="Z334" s="63">
        <f t="shared" si="135"/>
        <v>0.27692307692307683</v>
      </c>
      <c r="AA334" s="99" t="s">
        <v>1797</v>
      </c>
      <c r="AB334" s="389">
        <f>IFERROR(VLOOKUP($G334,基本資料!$A:$M,12,0),"無")</f>
        <v>22.32</v>
      </c>
      <c r="AC334" s="16" t="s">
        <v>1779</v>
      </c>
      <c r="AD334" s="84">
        <v>43836</v>
      </c>
      <c r="AE334" s="86">
        <v>43867</v>
      </c>
      <c r="AF334" s="33">
        <f t="shared" si="138"/>
        <v>31</v>
      </c>
      <c r="AG334" s="119" t="s">
        <v>1780</v>
      </c>
      <c r="AH334" s="259"/>
      <c r="AJ334" s="245"/>
      <c r="AK334" s="245"/>
      <c r="AR334" s="245" t="str">
        <f>INDEX(基本資料!N:N,MATCH($G334,基本資料!$A:$A,0))</f>
        <v>低</v>
      </c>
    </row>
    <row r="335" spans="1:44">
      <c r="A335" s="142"/>
      <c r="B335" s="79"/>
      <c r="C335" s="92"/>
      <c r="D335" s="79"/>
      <c r="E335" s="92"/>
      <c r="F335" s="6"/>
      <c r="H335" s="53"/>
      <c r="I335" s="16"/>
      <c r="L335" s="123"/>
      <c r="T335" s="34"/>
      <c r="V335" s="57"/>
      <c r="W335" s="36"/>
      <c r="X335" s="45"/>
      <c r="Y335" s="15"/>
      <c r="Z335" s="76"/>
      <c r="AA335" s="100"/>
      <c r="AC335" s="16"/>
      <c r="AG335" s="33"/>
      <c r="AH335" s="247"/>
      <c r="AI335" s="313"/>
      <c r="AJ335" s="16"/>
    </row>
    <row r="336" spans="1:44">
      <c r="A336" s="142"/>
      <c r="B336" s="79"/>
      <c r="C336" s="79"/>
      <c r="D336" s="79"/>
      <c r="E336" s="79"/>
      <c r="F336" s="6"/>
      <c r="H336" s="4"/>
      <c r="I336" s="22"/>
      <c r="L336" s="123"/>
      <c r="T336" s="34"/>
      <c r="V336" s="94"/>
      <c r="W336" s="36"/>
      <c r="X336" s="45"/>
      <c r="Y336" s="15"/>
      <c r="Z336" s="63"/>
      <c r="AA336" s="99"/>
      <c r="AC336" s="22"/>
      <c r="AG336" s="33"/>
      <c r="AH336" s="247"/>
      <c r="AI336" s="313"/>
      <c r="AJ336" s="22"/>
    </row>
    <row r="337" spans="1:36" ht="17.25" customHeight="1">
      <c r="B337" s="79"/>
      <c r="C337" s="79"/>
      <c r="D337" s="79"/>
      <c r="E337" s="80"/>
      <c r="F337" s="57"/>
      <c r="H337" s="4"/>
      <c r="I337" s="22"/>
      <c r="L337" s="123"/>
      <c r="T337" s="34"/>
      <c r="V337" s="94"/>
      <c r="W337" s="36"/>
      <c r="X337" s="66"/>
      <c r="Y337" s="15"/>
      <c r="Z337" s="76"/>
      <c r="AA337" s="100"/>
      <c r="AC337" s="22"/>
      <c r="AG337" s="33"/>
      <c r="AH337" s="247"/>
      <c r="AI337" s="313"/>
      <c r="AJ337" s="22"/>
    </row>
    <row r="338" spans="1:36" ht="17.25" customHeight="1">
      <c r="B338" s="79"/>
      <c r="C338" s="79"/>
      <c r="D338" s="79"/>
      <c r="E338" s="80"/>
      <c r="F338" s="57"/>
      <c r="H338" s="4"/>
      <c r="I338" s="22"/>
      <c r="L338" s="123"/>
      <c r="T338" s="34"/>
      <c r="V338" s="94"/>
      <c r="W338" s="36"/>
      <c r="X338" s="66"/>
      <c r="Y338" s="15"/>
      <c r="Z338" s="76"/>
      <c r="AA338" s="100"/>
      <c r="AC338" s="22"/>
      <c r="AG338" s="33"/>
      <c r="AH338" s="247"/>
      <c r="AJ338" s="22"/>
    </row>
    <row r="339" spans="1:36">
      <c r="A339" s="142"/>
      <c r="B339" s="80"/>
      <c r="C339" s="80"/>
      <c r="D339" s="80"/>
      <c r="E339" s="79"/>
      <c r="F339" s="6"/>
      <c r="H339" s="4"/>
      <c r="I339" s="16"/>
      <c r="L339" s="123"/>
      <c r="T339" s="34"/>
      <c r="V339" s="57"/>
      <c r="W339" s="13"/>
      <c r="X339" s="66"/>
      <c r="Y339" s="15"/>
      <c r="Z339" s="63"/>
      <c r="AA339" s="99"/>
      <c r="AC339" s="16"/>
      <c r="AG339" s="33"/>
      <c r="AH339" s="247"/>
      <c r="AJ339" s="16"/>
    </row>
    <row r="340" spans="1:36">
      <c r="A340" s="142"/>
      <c r="B340" s="79"/>
      <c r="C340" s="79"/>
      <c r="D340" s="80"/>
      <c r="E340" s="79"/>
      <c r="F340" s="6"/>
      <c r="H340" s="54"/>
      <c r="I340" s="16"/>
      <c r="L340" s="123"/>
      <c r="T340" s="34"/>
      <c r="V340" s="94"/>
      <c r="W340" s="36"/>
      <c r="X340" s="66"/>
      <c r="Y340" s="15"/>
      <c r="Z340" s="63"/>
      <c r="AA340" s="99"/>
      <c r="AC340" s="16"/>
      <c r="AG340" s="33"/>
      <c r="AH340" s="247"/>
      <c r="AJ340" s="16"/>
    </row>
    <row r="341" spans="1:36">
      <c r="B341" s="80"/>
      <c r="C341" s="80"/>
      <c r="D341" s="79"/>
      <c r="E341" s="80"/>
      <c r="F341" s="57"/>
      <c r="H341" s="4"/>
      <c r="I341" s="22"/>
      <c r="L341" s="123"/>
      <c r="T341" s="34"/>
      <c r="V341" s="94"/>
      <c r="W341" s="36"/>
      <c r="X341" s="66"/>
      <c r="Y341" s="15"/>
      <c r="Z341" s="63"/>
      <c r="AA341" s="99"/>
      <c r="AC341" s="22"/>
      <c r="AG341" s="33"/>
      <c r="AH341" s="247"/>
      <c r="AJ341" s="22"/>
    </row>
    <row r="342" spans="1:36">
      <c r="A342" s="142"/>
      <c r="B342" s="79"/>
      <c r="C342" s="79"/>
      <c r="D342" s="80"/>
      <c r="E342" s="79"/>
      <c r="F342" s="6"/>
      <c r="H342" s="4"/>
      <c r="I342" s="22"/>
      <c r="L342" s="123"/>
      <c r="T342" s="34"/>
      <c r="V342" s="94"/>
      <c r="W342" s="36"/>
      <c r="X342" s="66"/>
      <c r="Y342" s="15"/>
      <c r="Z342" s="76"/>
      <c r="AA342" s="100"/>
      <c r="AC342" s="22"/>
      <c r="AG342" s="33"/>
      <c r="AH342" s="247"/>
      <c r="AJ342" s="22"/>
    </row>
    <row r="343" spans="1:36">
      <c r="A343" s="142"/>
      <c r="B343" s="80"/>
      <c r="C343" s="79"/>
      <c r="D343" s="80"/>
      <c r="E343" s="80"/>
      <c r="F343" s="6"/>
      <c r="H343" s="49"/>
      <c r="I343" s="22"/>
      <c r="L343" s="123"/>
      <c r="T343" s="34"/>
      <c r="V343" s="94"/>
      <c r="W343" s="36"/>
      <c r="X343" s="66"/>
      <c r="Y343" s="15"/>
      <c r="Z343" s="76"/>
      <c r="AA343" s="100"/>
      <c r="AC343" s="22"/>
      <c r="AG343" s="33"/>
      <c r="AJ343" s="22"/>
    </row>
    <row r="344" spans="1:36">
      <c r="A344" s="142"/>
      <c r="B344" s="80"/>
      <c r="C344" s="80"/>
      <c r="D344" s="80"/>
      <c r="E344" s="79"/>
      <c r="F344" s="6"/>
      <c r="H344" s="4"/>
      <c r="I344" s="22"/>
      <c r="L344" s="123"/>
      <c r="T344" s="34"/>
      <c r="V344" s="57"/>
      <c r="W344" s="36"/>
      <c r="X344" s="66"/>
      <c r="Y344" s="15"/>
      <c r="Z344" s="3"/>
      <c r="AA344" s="99"/>
      <c r="AC344" s="22"/>
      <c r="AG344" s="33"/>
      <c r="AJ344" s="22"/>
    </row>
    <row r="345" spans="1:36">
      <c r="L345" s="123"/>
    </row>
    <row r="346" spans="1:36">
      <c r="L346" s="123"/>
    </row>
    <row r="347" spans="1:36">
      <c r="L347" s="123"/>
    </row>
    <row r="348" spans="1:36">
      <c r="L348" s="123"/>
    </row>
    <row r="349" spans="1:36">
      <c r="L349" s="123"/>
    </row>
    <row r="350" spans="1:36">
      <c r="L350" s="123"/>
    </row>
    <row r="351" spans="1:36">
      <c r="L351" s="123"/>
    </row>
    <row r="352" spans="1:36">
      <c r="L352" s="245"/>
    </row>
    <row r="353" spans="12:12">
      <c r="L353" s="123"/>
    </row>
    <row r="354" spans="12:12">
      <c r="L354" s="123"/>
    </row>
    <row r="355" spans="12:12">
      <c r="L355" s="123"/>
    </row>
    <row r="356" spans="12:12">
      <c r="L356" s="123"/>
    </row>
    <row r="357" spans="12:12">
      <c r="L357" s="123"/>
    </row>
    <row r="358" spans="12:12">
      <c r="L358" s="123"/>
    </row>
    <row r="359" spans="12:12">
      <c r="L359" s="123"/>
    </row>
    <row r="360" spans="12:12">
      <c r="L360" s="51"/>
    </row>
    <row r="361" spans="12:12">
      <c r="L361" s="123"/>
    </row>
    <row r="362" spans="12:12">
      <c r="L362" s="123"/>
    </row>
    <row r="363" spans="12:12">
      <c r="L363" s="123"/>
    </row>
    <row r="364" spans="12:12">
      <c r="L364" s="123"/>
    </row>
    <row r="365" spans="12:12">
      <c r="L365" s="123"/>
    </row>
    <row r="366" spans="12:12">
      <c r="L366" s="123"/>
    </row>
    <row r="367" spans="12:12">
      <c r="L367" s="123"/>
    </row>
    <row r="368" spans="12:12">
      <c r="L368" s="123"/>
    </row>
    <row r="369" spans="12:12">
      <c r="L369" s="123"/>
    </row>
    <row r="370" spans="12:12">
      <c r="L370" s="123"/>
    </row>
    <row r="371" spans="12:12">
      <c r="L371" s="123"/>
    </row>
    <row r="372" spans="12:12">
      <c r="L372" s="123"/>
    </row>
    <row r="373" spans="12:12">
      <c r="L373" s="123"/>
    </row>
    <row r="374" spans="12:12">
      <c r="L374" s="123"/>
    </row>
    <row r="375" spans="12:12">
      <c r="L375" s="123"/>
    </row>
    <row r="376" spans="12:12">
      <c r="L376" s="123"/>
    </row>
    <row r="377" spans="12:12">
      <c r="L377" s="123"/>
    </row>
    <row r="378" spans="12:12">
      <c r="L378" s="123"/>
    </row>
    <row r="379" spans="12:12">
      <c r="L379" s="123"/>
    </row>
    <row r="380" spans="12:12">
      <c r="L380" s="123"/>
    </row>
    <row r="381" spans="12:12">
      <c r="L381" s="123"/>
    </row>
    <row r="382" spans="12:12">
      <c r="L382" s="123"/>
    </row>
    <row r="383" spans="12:12">
      <c r="L383" s="123"/>
    </row>
    <row r="384" spans="12:12">
      <c r="L384" s="123"/>
    </row>
    <row r="385" spans="12:12">
      <c r="L385" s="123"/>
    </row>
    <row r="386" spans="12:12">
      <c r="L386" s="123"/>
    </row>
    <row r="387" spans="12:12">
      <c r="L387" s="123"/>
    </row>
    <row r="388" spans="12:12">
      <c r="L388" s="123"/>
    </row>
    <row r="389" spans="12:12">
      <c r="L389" s="123"/>
    </row>
    <row r="390" spans="12:12">
      <c r="L390" s="245"/>
    </row>
    <row r="391" spans="12:12">
      <c r="L391" s="123"/>
    </row>
    <row r="393" spans="12:12">
      <c r="L393" s="123"/>
    </row>
    <row r="394" spans="12:12">
      <c r="L394" s="123"/>
    </row>
    <row r="395" spans="12:12">
      <c r="L395" s="123"/>
    </row>
    <row r="396" spans="12:12">
      <c r="L396" s="123"/>
    </row>
    <row r="397" spans="12:12">
      <c r="L397" s="123"/>
    </row>
    <row r="398" spans="12:12">
      <c r="L398" s="123"/>
    </row>
    <row r="399" spans="12:12">
      <c r="L399" s="123"/>
    </row>
    <row r="400" spans="12:12">
      <c r="L400" s="123"/>
    </row>
    <row r="401" spans="12:12">
      <c r="L401" s="123"/>
    </row>
    <row r="402" spans="12:12">
      <c r="L402" s="123"/>
    </row>
    <row r="403" spans="12:12">
      <c r="L403" s="123"/>
    </row>
    <row r="404" spans="12:12">
      <c r="L404" s="123"/>
    </row>
    <row r="405" spans="12:12">
      <c r="L405" s="123"/>
    </row>
    <row r="406" spans="12:12">
      <c r="L406" s="123"/>
    </row>
    <row r="407" spans="12:12">
      <c r="L407" s="123"/>
    </row>
    <row r="408" spans="12:12">
      <c r="L408" s="245"/>
    </row>
    <row r="409" spans="12:12">
      <c r="L409" s="123"/>
    </row>
    <row r="410" spans="12:12">
      <c r="L410" s="123"/>
    </row>
    <row r="411" spans="12:12">
      <c r="L411" s="123"/>
    </row>
    <row r="412" spans="12:12">
      <c r="L412" s="123"/>
    </row>
    <row r="413" spans="12:12">
      <c r="L413" s="123"/>
    </row>
    <row r="414" spans="12:12">
      <c r="L414" s="123"/>
    </row>
    <row r="415" spans="12:12">
      <c r="L415" s="123"/>
    </row>
    <row r="416" spans="12:12">
      <c r="L416" s="123"/>
    </row>
    <row r="417" spans="12:12">
      <c r="L417" s="123"/>
    </row>
    <row r="418" spans="12:12">
      <c r="L418" s="123"/>
    </row>
    <row r="419" spans="12:12">
      <c r="L419" s="123"/>
    </row>
    <row r="420" spans="12:12">
      <c r="L420" s="123"/>
    </row>
    <row r="421" spans="12:12">
      <c r="L421" s="123"/>
    </row>
    <row r="422" spans="12:12">
      <c r="L422" s="123"/>
    </row>
    <row r="423" spans="12:12">
      <c r="L423" s="123"/>
    </row>
    <row r="424" spans="12:12">
      <c r="L424" s="123"/>
    </row>
    <row r="425" spans="12:12">
      <c r="L425" s="123"/>
    </row>
    <row r="426" spans="12:12">
      <c r="L426" s="123"/>
    </row>
    <row r="427" spans="12:12">
      <c r="L427" s="123"/>
    </row>
    <row r="428" spans="12:12">
      <c r="L428" s="123"/>
    </row>
    <row r="429" spans="12:12">
      <c r="L429" s="123"/>
    </row>
    <row r="430" spans="12:12">
      <c r="L430" s="123"/>
    </row>
    <row r="431" spans="12:12">
      <c r="L431" s="123"/>
    </row>
    <row r="432" spans="12:12">
      <c r="L432" s="123"/>
    </row>
    <row r="433" spans="12:12">
      <c r="L433" s="123"/>
    </row>
    <row r="434" spans="12:12">
      <c r="L434" s="123"/>
    </row>
    <row r="435" spans="12:12">
      <c r="L435" s="123"/>
    </row>
    <row r="436" spans="12:12">
      <c r="L436" s="245"/>
    </row>
    <row r="437" spans="12:12">
      <c r="L437" s="123"/>
    </row>
    <row r="438" spans="12:12">
      <c r="L438" s="123"/>
    </row>
    <row r="439" spans="12:12">
      <c r="L439" s="123"/>
    </row>
    <row r="440" spans="12:12">
      <c r="L440" s="123"/>
    </row>
    <row r="441" spans="12:12">
      <c r="L441" s="123"/>
    </row>
    <row r="442" spans="12:12">
      <c r="L442" s="123"/>
    </row>
    <row r="443" spans="12:12">
      <c r="L443" s="123"/>
    </row>
    <row r="444" spans="12:12">
      <c r="L444" s="123"/>
    </row>
    <row r="445" spans="12:12">
      <c r="L445" s="123"/>
    </row>
    <row r="446" spans="12:12">
      <c r="L446" s="123"/>
    </row>
    <row r="447" spans="12:12">
      <c r="L447" s="123"/>
    </row>
    <row r="448" spans="12:12">
      <c r="L448" s="123"/>
    </row>
    <row r="449" spans="12:12">
      <c r="L449" s="123"/>
    </row>
    <row r="450" spans="12:12">
      <c r="L450" s="123"/>
    </row>
    <row r="451" spans="12:12">
      <c r="L451" s="123"/>
    </row>
    <row r="452" spans="12:12">
      <c r="L452" s="123"/>
    </row>
    <row r="453" spans="12:12">
      <c r="L453" s="123"/>
    </row>
    <row r="454" spans="12:12">
      <c r="L454" s="245"/>
    </row>
    <row r="455" spans="12:12">
      <c r="L455" s="123"/>
    </row>
    <row r="456" spans="12:12">
      <c r="L456" s="245"/>
    </row>
    <row r="457" spans="12:12">
      <c r="L457" s="123"/>
    </row>
    <row r="458" spans="12:12">
      <c r="L458" s="123"/>
    </row>
    <row r="459" spans="12:12">
      <c r="L459" s="123"/>
    </row>
    <row r="460" spans="12:12">
      <c r="L460" s="123"/>
    </row>
    <row r="461" spans="12:12">
      <c r="L461" s="123"/>
    </row>
    <row r="462" spans="12:12">
      <c r="L462" s="123"/>
    </row>
    <row r="463" spans="12:12">
      <c r="L463" s="123"/>
    </row>
    <row r="464" spans="12:12">
      <c r="L464" s="123"/>
    </row>
    <row r="465" spans="12:12">
      <c r="L465" s="123"/>
    </row>
    <row r="466" spans="12:12">
      <c r="L466" s="123"/>
    </row>
    <row r="467" spans="12:12">
      <c r="L467" s="123"/>
    </row>
    <row r="468" spans="12:12">
      <c r="L468" s="123"/>
    </row>
    <row r="469" spans="12:12">
      <c r="L469" s="123"/>
    </row>
    <row r="470" spans="12:12">
      <c r="L470" s="123"/>
    </row>
    <row r="471" spans="12:12">
      <c r="L471" s="123"/>
    </row>
    <row r="472" spans="12:12">
      <c r="L472" s="123"/>
    </row>
    <row r="473" spans="12:12">
      <c r="L473" s="123"/>
    </row>
    <row r="474" spans="12:12">
      <c r="L474" s="123"/>
    </row>
    <row r="475" spans="12:12">
      <c r="L475" s="123"/>
    </row>
    <row r="476" spans="12:12">
      <c r="L476" s="123"/>
    </row>
    <row r="477" spans="12:12">
      <c r="L477" s="123"/>
    </row>
    <row r="478" spans="12:12">
      <c r="L478" s="123"/>
    </row>
    <row r="479" spans="12:12">
      <c r="L479" s="123"/>
    </row>
    <row r="480" spans="12:12">
      <c r="L480" s="123"/>
    </row>
    <row r="481" spans="12:12">
      <c r="L481" s="123"/>
    </row>
    <row r="482" spans="12:12">
      <c r="L482" s="123"/>
    </row>
    <row r="483" spans="12:12">
      <c r="L483" s="123"/>
    </row>
    <row r="484" spans="12:12">
      <c r="L484" s="123"/>
    </row>
    <row r="485" spans="12:12">
      <c r="L485" s="123"/>
    </row>
    <row r="486" spans="12:12">
      <c r="L486" s="123"/>
    </row>
    <row r="487" spans="12:12">
      <c r="L487" s="123"/>
    </row>
    <row r="488" spans="12:12">
      <c r="L488" s="123"/>
    </row>
    <row r="489" spans="12:12">
      <c r="L489" s="123"/>
    </row>
    <row r="490" spans="12:12">
      <c r="L490" s="123"/>
    </row>
    <row r="491" spans="12:12">
      <c r="L491" s="245"/>
    </row>
    <row r="492" spans="12:12">
      <c r="L492" s="123"/>
    </row>
    <row r="493" spans="12:12">
      <c r="L493" s="123"/>
    </row>
    <row r="494" spans="12:12">
      <c r="L494" s="123"/>
    </row>
    <row r="495" spans="12:12">
      <c r="L495" s="123"/>
    </row>
    <row r="496" spans="12:12">
      <c r="L496" s="123"/>
    </row>
    <row r="497" spans="12:12">
      <c r="L497" s="123"/>
    </row>
    <row r="498" spans="12:12">
      <c r="L498" s="123"/>
    </row>
    <row r="499" spans="12:12">
      <c r="L499" s="123"/>
    </row>
    <row r="500" spans="12:12">
      <c r="L500" s="123"/>
    </row>
    <row r="501" spans="12:12">
      <c r="L501" s="123"/>
    </row>
    <row r="502" spans="12:12">
      <c r="L502" s="123"/>
    </row>
    <row r="503" spans="12:12">
      <c r="L503" s="123"/>
    </row>
    <row r="504" spans="12:12">
      <c r="L504" s="123"/>
    </row>
    <row r="505" spans="12:12">
      <c r="L505" s="123"/>
    </row>
    <row r="506" spans="12:12">
      <c r="L506" s="123"/>
    </row>
    <row r="507" spans="12:12">
      <c r="L507" s="123"/>
    </row>
    <row r="508" spans="12:12">
      <c r="L508" s="123"/>
    </row>
    <row r="509" spans="12:12">
      <c r="L509" s="123"/>
    </row>
    <row r="510" spans="12:12">
      <c r="L510" s="123"/>
    </row>
    <row r="511" spans="12:12">
      <c r="L511" s="123"/>
    </row>
    <row r="512" spans="12:12">
      <c r="L512" s="123"/>
    </row>
    <row r="513" spans="12:12">
      <c r="L513" s="123"/>
    </row>
    <row r="514" spans="12:12">
      <c r="L514" s="123"/>
    </row>
    <row r="515" spans="12:12">
      <c r="L515" s="123"/>
    </row>
    <row r="516" spans="12:12">
      <c r="L516" s="123"/>
    </row>
    <row r="517" spans="12:12">
      <c r="L517" s="123"/>
    </row>
    <row r="518" spans="12:12">
      <c r="L518" s="123"/>
    </row>
    <row r="519" spans="12:12">
      <c r="L519" s="123"/>
    </row>
    <row r="520" spans="12:12">
      <c r="L520" s="123"/>
    </row>
    <row r="521" spans="12:12">
      <c r="L521" s="123"/>
    </row>
    <row r="522" spans="12:12">
      <c r="L522" s="123"/>
    </row>
    <row r="523" spans="12:12">
      <c r="L523" s="123"/>
    </row>
    <row r="524" spans="12:12">
      <c r="L524" s="123"/>
    </row>
    <row r="525" spans="12:12">
      <c r="L525" s="123"/>
    </row>
    <row r="526" spans="12:12">
      <c r="L526" s="123"/>
    </row>
    <row r="527" spans="12:12">
      <c r="L527" s="123"/>
    </row>
    <row r="528" spans="12:12">
      <c r="L528" s="123"/>
    </row>
    <row r="529" spans="12:12">
      <c r="L529" s="123"/>
    </row>
    <row r="530" spans="12:12">
      <c r="L530" s="123"/>
    </row>
    <row r="531" spans="12:12">
      <c r="L531" s="123"/>
    </row>
    <row r="532" spans="12:12">
      <c r="L532" s="123"/>
    </row>
    <row r="533" spans="12:12">
      <c r="L533" s="123"/>
    </row>
    <row r="534" spans="12:12">
      <c r="L534" s="123"/>
    </row>
    <row r="535" spans="12:12">
      <c r="L535" s="123"/>
    </row>
    <row r="536" spans="12:12">
      <c r="L536" s="247"/>
    </row>
    <row r="537" spans="12:12">
      <c r="L537" s="123"/>
    </row>
    <row r="538" spans="12:12">
      <c r="L538" s="123"/>
    </row>
    <row r="539" spans="12:12">
      <c r="L539" s="123"/>
    </row>
    <row r="540" spans="12:12">
      <c r="L540" s="123"/>
    </row>
    <row r="541" spans="12:12">
      <c r="L541" s="123"/>
    </row>
    <row r="542" spans="12:12">
      <c r="L542" s="123"/>
    </row>
    <row r="543" spans="12:12">
      <c r="L543" s="123"/>
    </row>
    <row r="544" spans="12:12">
      <c r="L544" s="123"/>
    </row>
    <row r="545" spans="12:12">
      <c r="L545" s="123"/>
    </row>
    <row r="546" spans="12:12">
      <c r="L546" s="123"/>
    </row>
    <row r="547" spans="12:12">
      <c r="L547" s="123"/>
    </row>
    <row r="548" spans="12:12">
      <c r="L548" s="123"/>
    </row>
    <row r="549" spans="12:12">
      <c r="L549" s="123"/>
    </row>
    <row r="550" spans="12:12">
      <c r="L550" s="123"/>
    </row>
    <row r="551" spans="12:12">
      <c r="L551" s="123"/>
    </row>
    <row r="552" spans="12:12">
      <c r="L552" s="123"/>
    </row>
    <row r="553" spans="12:12">
      <c r="L553" s="123"/>
    </row>
    <row r="554" spans="12:12">
      <c r="L554" s="123"/>
    </row>
    <row r="555" spans="12:12">
      <c r="L555" s="123"/>
    </row>
    <row r="556" spans="12:12">
      <c r="L556" s="123"/>
    </row>
    <row r="557" spans="12:12">
      <c r="L557" s="123"/>
    </row>
    <row r="558" spans="12:12">
      <c r="L558" s="123"/>
    </row>
    <row r="559" spans="12:12">
      <c r="L559" s="123"/>
    </row>
    <row r="560" spans="12:12">
      <c r="L560" s="123"/>
    </row>
    <row r="561" spans="12:12">
      <c r="L561" s="123"/>
    </row>
    <row r="562" spans="12:12">
      <c r="L562" s="123"/>
    </row>
    <row r="563" spans="12:12">
      <c r="L563" s="123"/>
    </row>
    <row r="564" spans="12:12">
      <c r="L564" s="123"/>
    </row>
    <row r="565" spans="12:12">
      <c r="L565" s="123"/>
    </row>
    <row r="566" spans="12:12">
      <c r="L566" s="123"/>
    </row>
    <row r="567" spans="12:12">
      <c r="L567" s="123"/>
    </row>
    <row r="568" spans="12:12">
      <c r="L568" s="123"/>
    </row>
    <row r="569" spans="12:12">
      <c r="L569" s="123"/>
    </row>
    <row r="570" spans="12:12">
      <c r="L570" s="123"/>
    </row>
    <row r="571" spans="12:12">
      <c r="L571" s="123"/>
    </row>
    <row r="572" spans="12:12">
      <c r="L572" s="123"/>
    </row>
    <row r="573" spans="12:12">
      <c r="L573" s="123"/>
    </row>
    <row r="574" spans="12:12">
      <c r="L574" s="123"/>
    </row>
    <row r="575" spans="12:12">
      <c r="L575" s="123"/>
    </row>
    <row r="576" spans="12:12">
      <c r="L576" s="123"/>
    </row>
    <row r="577" spans="12:12">
      <c r="L577" s="33"/>
    </row>
    <row r="578" spans="12:12">
      <c r="L578" s="123"/>
    </row>
    <row r="579" spans="12:12">
      <c r="L579" s="123"/>
    </row>
    <row r="580" spans="12:12">
      <c r="L580" s="245"/>
    </row>
    <row r="581" spans="12:12">
      <c r="L581" s="123"/>
    </row>
    <row r="582" spans="12:12">
      <c r="L582" s="123"/>
    </row>
    <row r="583" spans="12:12">
      <c r="L583" s="123"/>
    </row>
    <row r="584" spans="12:12">
      <c r="L584" s="123"/>
    </row>
    <row r="585" spans="12:12">
      <c r="L585" s="123"/>
    </row>
    <row r="586" spans="12:12">
      <c r="L586" s="245"/>
    </row>
    <row r="587" spans="12:12">
      <c r="L587" s="123"/>
    </row>
    <row r="588" spans="12:12">
      <c r="L588" s="123"/>
    </row>
    <row r="589" spans="12:12">
      <c r="L589" s="123"/>
    </row>
    <row r="590" spans="12:12">
      <c r="L590" s="123"/>
    </row>
    <row r="591" spans="12:12">
      <c r="L591" s="123"/>
    </row>
    <row r="592" spans="12:12">
      <c r="L592" s="123"/>
    </row>
    <row r="593" spans="12:12">
      <c r="L593" s="123"/>
    </row>
    <row r="594" spans="12:12">
      <c r="L594" s="123"/>
    </row>
    <row r="595" spans="12:12">
      <c r="L595" s="123"/>
    </row>
    <row r="596" spans="12:12">
      <c r="L596" s="123"/>
    </row>
    <row r="597" spans="12:12">
      <c r="L597" s="245"/>
    </row>
    <row r="598" spans="12:12">
      <c r="L598" s="123"/>
    </row>
    <row r="599" spans="12:12">
      <c r="L599" s="123"/>
    </row>
    <row r="600" spans="12:12">
      <c r="L600" s="123"/>
    </row>
    <row r="601" spans="12:12">
      <c r="L601" s="123"/>
    </row>
    <row r="602" spans="12:12">
      <c r="L602" s="123"/>
    </row>
    <row r="603" spans="12:12">
      <c r="L603" s="123"/>
    </row>
    <row r="604" spans="12:12">
      <c r="L604" s="123"/>
    </row>
    <row r="605" spans="12:12">
      <c r="L605" s="123"/>
    </row>
    <row r="606" spans="12:12">
      <c r="L606" s="123"/>
    </row>
    <row r="607" spans="12:12">
      <c r="L607" s="245"/>
    </row>
    <row r="608" spans="12:12">
      <c r="L608" s="123"/>
    </row>
    <row r="609" spans="12:12">
      <c r="L609" s="123"/>
    </row>
    <row r="610" spans="12:12">
      <c r="L610" s="123"/>
    </row>
    <row r="611" spans="12:12">
      <c r="L611" s="123"/>
    </row>
    <row r="612" spans="12:12">
      <c r="L612" s="123"/>
    </row>
    <row r="613" spans="12:12">
      <c r="L613" s="123"/>
    </row>
    <row r="614" spans="12:12">
      <c r="L614" s="123"/>
    </row>
    <row r="615" spans="12:12">
      <c r="L615" s="245"/>
    </row>
    <row r="616" spans="12:12">
      <c r="L616" s="123"/>
    </row>
    <row r="617" spans="12:12">
      <c r="L617" s="123"/>
    </row>
    <row r="618" spans="12:12">
      <c r="L618" s="123"/>
    </row>
    <row r="619" spans="12:12">
      <c r="L619" s="123"/>
    </row>
    <row r="620" spans="12:12">
      <c r="L620" s="123"/>
    </row>
    <row r="621" spans="12:12">
      <c r="L621" s="123"/>
    </row>
    <row r="622" spans="12:12">
      <c r="L622" s="123"/>
    </row>
    <row r="623" spans="12:12">
      <c r="L623" s="123"/>
    </row>
    <row r="624" spans="12:12">
      <c r="L624" s="123"/>
    </row>
    <row r="625" spans="12:12">
      <c r="L625" s="245"/>
    </row>
    <row r="626" spans="12:12">
      <c r="L626" s="123"/>
    </row>
    <row r="627" spans="12:12">
      <c r="L627" s="123"/>
    </row>
    <row r="628" spans="12:12">
      <c r="L628" s="123"/>
    </row>
    <row r="629" spans="12:12">
      <c r="L629" s="123"/>
    </row>
    <row r="630" spans="12:12">
      <c r="L630" s="123"/>
    </row>
    <row r="631" spans="12:12">
      <c r="L631" s="123"/>
    </row>
    <row r="632" spans="12:12">
      <c r="L632" s="123"/>
    </row>
    <row r="633" spans="12:12">
      <c r="L633" s="123"/>
    </row>
    <row r="634" spans="12:12">
      <c r="L634" s="123"/>
    </row>
    <row r="635" spans="12:12">
      <c r="L635" s="123"/>
    </row>
    <row r="636" spans="12:12">
      <c r="L636" s="123"/>
    </row>
    <row r="637" spans="12:12">
      <c r="L637" s="123"/>
    </row>
    <row r="638" spans="12:12">
      <c r="L638" s="123"/>
    </row>
    <row r="639" spans="12:12">
      <c r="L639" s="123"/>
    </row>
    <row r="640" spans="12:12">
      <c r="L640" s="123"/>
    </row>
    <row r="641" spans="12:12">
      <c r="L641" s="123"/>
    </row>
    <row r="642" spans="12:12">
      <c r="L642" s="123"/>
    </row>
    <row r="643" spans="12:12">
      <c r="L643" s="123"/>
    </row>
    <row r="644" spans="12:12">
      <c r="L644" s="123"/>
    </row>
    <row r="645" spans="12:12">
      <c r="L645" s="123"/>
    </row>
    <row r="646" spans="12:12">
      <c r="L646" s="245"/>
    </row>
    <row r="647" spans="12:12">
      <c r="L647" s="123"/>
    </row>
    <row r="648" spans="12:12">
      <c r="L648" s="123"/>
    </row>
    <row r="649" spans="12:12">
      <c r="L649" s="123"/>
    </row>
    <row r="651" spans="12:12">
      <c r="L651" s="123"/>
    </row>
    <row r="652" spans="12:12">
      <c r="L652" s="123"/>
    </row>
    <row r="653" spans="12:12">
      <c r="L653" s="123"/>
    </row>
    <row r="654" spans="12:12">
      <c r="L654" s="123"/>
    </row>
    <row r="655" spans="12:12">
      <c r="L655" s="123"/>
    </row>
    <row r="656" spans="12:12">
      <c r="L656" s="123"/>
    </row>
    <row r="657" spans="12:12">
      <c r="L657" s="123"/>
    </row>
    <row r="658" spans="12:12">
      <c r="L658" s="123"/>
    </row>
    <row r="659" spans="12:12">
      <c r="L659" s="245"/>
    </row>
    <row r="660" spans="12:12">
      <c r="L660" s="123"/>
    </row>
    <row r="661" spans="12:12">
      <c r="L661" s="123"/>
    </row>
    <row r="662" spans="12:12">
      <c r="L662" s="123"/>
    </row>
    <row r="663" spans="12:12">
      <c r="L663" s="245"/>
    </row>
    <row r="664" spans="12:12">
      <c r="L664" s="123"/>
    </row>
    <row r="665" spans="12:12">
      <c r="L665" s="123"/>
    </row>
    <row r="666" spans="12:12">
      <c r="L666" s="123"/>
    </row>
    <row r="667" spans="12:12">
      <c r="L667" s="123"/>
    </row>
    <row r="668" spans="12:12">
      <c r="L668" s="123"/>
    </row>
    <row r="669" spans="12:12">
      <c r="L669" s="123"/>
    </row>
    <row r="670" spans="12:12">
      <c r="L670" s="123"/>
    </row>
    <row r="671" spans="12:12">
      <c r="L671" s="123"/>
    </row>
    <row r="672" spans="12:12">
      <c r="L672" s="123"/>
    </row>
    <row r="673" spans="12:12">
      <c r="L673" s="123"/>
    </row>
    <row r="674" spans="12:12">
      <c r="L674" s="123"/>
    </row>
    <row r="675" spans="12:12">
      <c r="L675" s="123"/>
    </row>
    <row r="676" spans="12:12">
      <c r="L676" s="123"/>
    </row>
    <row r="677" spans="12:12">
      <c r="L677" s="123"/>
    </row>
    <row r="678" spans="12:12">
      <c r="L678" s="123"/>
    </row>
    <row r="679" spans="12:12">
      <c r="L679" s="123"/>
    </row>
    <row r="680" spans="12:12">
      <c r="L680" s="123"/>
    </row>
    <row r="681" spans="12:12">
      <c r="L681" s="123"/>
    </row>
    <row r="682" spans="12:12">
      <c r="L682" s="123"/>
    </row>
    <row r="683" spans="12:12">
      <c r="L683" s="123"/>
    </row>
    <row r="684" spans="12:12">
      <c r="L684" s="123"/>
    </row>
    <row r="685" spans="12:12">
      <c r="L685" s="123"/>
    </row>
    <row r="686" spans="12:12">
      <c r="L686" s="123"/>
    </row>
    <row r="687" spans="12:12">
      <c r="L687" s="123"/>
    </row>
    <row r="688" spans="12:12">
      <c r="L688" s="123"/>
    </row>
    <row r="689" spans="12:12">
      <c r="L689" s="123"/>
    </row>
    <row r="690" spans="12:12">
      <c r="L690" s="123"/>
    </row>
    <row r="691" spans="12:12">
      <c r="L691" s="123"/>
    </row>
    <row r="692" spans="12:12">
      <c r="L692" s="123"/>
    </row>
    <row r="693" spans="12:12">
      <c r="L693" s="123"/>
    </row>
    <row r="694" spans="12:12">
      <c r="L694" s="123"/>
    </row>
    <row r="695" spans="12:12">
      <c r="L695" s="123"/>
    </row>
    <row r="696" spans="12:12">
      <c r="L696" s="123"/>
    </row>
    <row r="697" spans="12:12">
      <c r="L697" s="123"/>
    </row>
    <row r="698" spans="12:12">
      <c r="L698" s="123"/>
    </row>
    <row r="699" spans="12:12">
      <c r="L699" s="123"/>
    </row>
    <row r="700" spans="12:12">
      <c r="L700" s="123"/>
    </row>
    <row r="701" spans="12:12">
      <c r="L701" s="123"/>
    </row>
    <row r="702" spans="12:12">
      <c r="L702" s="123"/>
    </row>
    <row r="703" spans="12:12">
      <c r="L703" s="123"/>
    </row>
    <row r="704" spans="12:12">
      <c r="L704" s="123"/>
    </row>
    <row r="705" spans="12:28">
      <c r="L705" s="123"/>
    </row>
    <row r="706" spans="12:28">
      <c r="L706" s="123"/>
    </row>
    <row r="707" spans="12:28">
      <c r="L707" s="123"/>
    </row>
    <row r="708" spans="12:28">
      <c r="L708" s="27"/>
    </row>
    <row r="709" spans="12:28">
      <c r="L709" s="123"/>
    </row>
    <row r="710" spans="12:28">
      <c r="L710" s="123"/>
    </row>
    <row r="711" spans="12:28">
      <c r="L711" s="123"/>
    </row>
    <row r="712" spans="12:28">
      <c r="L712" s="123"/>
      <c r="AB712" s="377"/>
    </row>
    <row r="713" spans="12:28">
      <c r="L713" s="123"/>
    </row>
    <row r="714" spans="12:28">
      <c r="L714" s="123"/>
    </row>
    <row r="715" spans="12:28">
      <c r="L715" s="123"/>
    </row>
    <row r="716" spans="12:28">
      <c r="L716" s="123"/>
    </row>
    <row r="717" spans="12:28">
      <c r="L717" s="123"/>
    </row>
    <row r="718" spans="12:28">
      <c r="L718" s="123"/>
    </row>
    <row r="719" spans="12:28">
      <c r="L719" s="123"/>
    </row>
    <row r="720" spans="12:28">
      <c r="L720" s="123"/>
    </row>
    <row r="721" spans="12:12">
      <c r="L721" s="123"/>
    </row>
    <row r="722" spans="12:12">
      <c r="L722" s="123"/>
    </row>
    <row r="723" spans="12:12">
      <c r="L723" s="123"/>
    </row>
    <row r="724" spans="12:12">
      <c r="L724" s="123"/>
    </row>
    <row r="725" spans="12:12">
      <c r="L725" s="123"/>
    </row>
    <row r="726" spans="12:12">
      <c r="L726" s="123"/>
    </row>
    <row r="727" spans="12:12">
      <c r="L727" s="123"/>
    </row>
    <row r="728" spans="12:12">
      <c r="L728" s="123"/>
    </row>
    <row r="729" spans="12:12">
      <c r="L729" s="123"/>
    </row>
    <row r="730" spans="12:12">
      <c r="L730" s="123"/>
    </row>
    <row r="731" spans="12:12">
      <c r="L731" s="123"/>
    </row>
    <row r="732" spans="12:12">
      <c r="L732" s="123"/>
    </row>
    <row r="733" spans="12:12">
      <c r="L733" s="123"/>
    </row>
    <row r="734" spans="12:12">
      <c r="L734" s="123"/>
    </row>
    <row r="735" spans="12:12">
      <c r="L735" s="123"/>
    </row>
    <row r="736" spans="12:12">
      <c r="L736" s="123"/>
    </row>
    <row r="737" spans="12:28">
      <c r="L737" s="123"/>
    </row>
    <row r="738" spans="12:28">
      <c r="L738" s="123"/>
    </row>
    <row r="739" spans="12:28">
      <c r="L739" s="123"/>
    </row>
    <row r="740" spans="12:28">
      <c r="L740" s="123"/>
    </row>
    <row r="741" spans="12:28">
      <c r="L741" s="245"/>
    </row>
    <row r="742" spans="12:28">
      <c r="L742" s="245"/>
      <c r="AB742" s="377"/>
    </row>
    <row r="743" spans="12:28">
      <c r="L743" s="123"/>
    </row>
    <row r="744" spans="12:28">
      <c r="L744" s="123"/>
    </row>
    <row r="745" spans="12:28">
      <c r="L745" s="123"/>
    </row>
    <row r="746" spans="12:28">
      <c r="L746" s="123"/>
    </row>
    <row r="747" spans="12:28">
      <c r="L747" s="123"/>
    </row>
    <row r="748" spans="12:28">
      <c r="L748" s="123"/>
    </row>
    <row r="749" spans="12:28">
      <c r="L749" s="123"/>
    </row>
    <row r="750" spans="12:28">
      <c r="L750" s="123"/>
    </row>
    <row r="751" spans="12:28">
      <c r="L751" s="123"/>
    </row>
    <row r="752" spans="12:28">
      <c r="L752" s="123"/>
    </row>
    <row r="753" spans="12:12">
      <c r="L753" s="123"/>
    </row>
    <row r="754" spans="12:12">
      <c r="L754" s="123"/>
    </row>
    <row r="755" spans="12:12">
      <c r="L755" s="123"/>
    </row>
    <row r="756" spans="12:12">
      <c r="L756" s="123"/>
    </row>
    <row r="757" spans="12:12">
      <c r="L757" s="123"/>
    </row>
    <row r="758" spans="12:12">
      <c r="L758" s="123"/>
    </row>
    <row r="759" spans="12:12">
      <c r="L759" s="123"/>
    </row>
    <row r="760" spans="12:12">
      <c r="L760" s="123"/>
    </row>
    <row r="761" spans="12:12">
      <c r="L761" s="123"/>
    </row>
    <row r="762" spans="12:12">
      <c r="L762" s="123"/>
    </row>
    <row r="763" spans="12:12">
      <c r="L763" s="123"/>
    </row>
    <row r="764" spans="12:12">
      <c r="L764" s="123"/>
    </row>
    <row r="765" spans="12:12">
      <c r="L765" s="123"/>
    </row>
    <row r="766" spans="12:12">
      <c r="L766" s="123"/>
    </row>
    <row r="767" spans="12:12">
      <c r="L767" s="123"/>
    </row>
    <row r="768" spans="12:12">
      <c r="L768" s="123"/>
    </row>
    <row r="769" spans="12:12">
      <c r="L769" s="123"/>
    </row>
    <row r="770" spans="12:12">
      <c r="L770" s="123"/>
    </row>
    <row r="771" spans="12:12">
      <c r="L771" s="123"/>
    </row>
    <row r="772" spans="12:12">
      <c r="L772" s="123"/>
    </row>
    <row r="773" spans="12:12">
      <c r="L773" s="123"/>
    </row>
    <row r="774" spans="12:12">
      <c r="L774" s="123"/>
    </row>
    <row r="775" spans="12:12">
      <c r="L775" s="123"/>
    </row>
    <row r="776" spans="12:12">
      <c r="L776" s="123"/>
    </row>
    <row r="777" spans="12:12">
      <c r="L777" s="123"/>
    </row>
    <row r="778" spans="12:12">
      <c r="L778" s="123"/>
    </row>
    <row r="779" spans="12:12">
      <c r="L779" s="123"/>
    </row>
    <row r="780" spans="12:12">
      <c r="L780" s="123"/>
    </row>
    <row r="781" spans="12:12">
      <c r="L781" s="245"/>
    </row>
    <row r="782" spans="12:12">
      <c r="L782" s="123"/>
    </row>
    <row r="783" spans="12:12">
      <c r="L783" s="123"/>
    </row>
    <row r="784" spans="12:12">
      <c r="L784" s="123"/>
    </row>
    <row r="785" spans="12:12">
      <c r="L785" s="123"/>
    </row>
    <row r="786" spans="12:12">
      <c r="L786" s="123"/>
    </row>
    <row r="787" spans="12:12">
      <c r="L787" s="123"/>
    </row>
    <row r="788" spans="12:12">
      <c r="L788" s="123"/>
    </row>
    <row r="789" spans="12:12">
      <c r="L789" s="123"/>
    </row>
    <row r="790" spans="12:12">
      <c r="L790" s="123"/>
    </row>
    <row r="791" spans="12:12">
      <c r="L791" s="123"/>
    </row>
    <row r="792" spans="12:12">
      <c r="L792" s="123"/>
    </row>
    <row r="793" spans="12:12">
      <c r="L793" s="123"/>
    </row>
    <row r="794" spans="12:12">
      <c r="L794" s="123"/>
    </row>
    <row r="795" spans="12:12">
      <c r="L795" s="123"/>
    </row>
    <row r="796" spans="12:12">
      <c r="L796" s="123"/>
    </row>
    <row r="797" spans="12:12">
      <c r="L797" s="123"/>
    </row>
    <row r="798" spans="12:12">
      <c r="L798" s="123"/>
    </row>
    <row r="799" spans="12:12">
      <c r="L799" s="123"/>
    </row>
    <row r="800" spans="12:12">
      <c r="L800" s="123"/>
    </row>
    <row r="801" spans="12:12">
      <c r="L801" s="123"/>
    </row>
    <row r="802" spans="12:12">
      <c r="L802" s="123"/>
    </row>
    <row r="803" spans="12:12">
      <c r="L803" s="123"/>
    </row>
    <row r="804" spans="12:12">
      <c r="L804" s="123"/>
    </row>
    <row r="805" spans="12:12">
      <c r="L805" s="123"/>
    </row>
    <row r="806" spans="12:12">
      <c r="L806" s="123"/>
    </row>
    <row r="807" spans="12:12">
      <c r="L807" s="123"/>
    </row>
    <row r="808" spans="12:12">
      <c r="L808" s="123"/>
    </row>
    <row r="809" spans="12:12">
      <c r="L809" s="123"/>
    </row>
    <row r="810" spans="12:12">
      <c r="L810" s="123"/>
    </row>
    <row r="811" spans="12:12">
      <c r="L811" s="123"/>
    </row>
    <row r="812" spans="12:12">
      <c r="L812" s="123"/>
    </row>
    <row r="813" spans="12:12">
      <c r="L813" s="123"/>
    </row>
    <row r="814" spans="12:12">
      <c r="L814" s="123"/>
    </row>
    <row r="815" spans="12:12">
      <c r="L815" s="123"/>
    </row>
    <row r="816" spans="12:12">
      <c r="L816" s="123"/>
    </row>
    <row r="817" spans="12:12">
      <c r="L817" s="123"/>
    </row>
    <row r="818" spans="12:12">
      <c r="L818" s="123"/>
    </row>
    <row r="819" spans="12:12">
      <c r="L819" s="123"/>
    </row>
    <row r="820" spans="12:12">
      <c r="L820" s="123"/>
    </row>
    <row r="821" spans="12:12">
      <c r="L821" s="123"/>
    </row>
    <row r="822" spans="12:12">
      <c r="L822" s="123"/>
    </row>
    <row r="823" spans="12:12">
      <c r="L823" s="123"/>
    </row>
    <row r="824" spans="12:12">
      <c r="L824" s="123"/>
    </row>
    <row r="825" spans="12:12">
      <c r="L825" s="123"/>
    </row>
    <row r="826" spans="12:12">
      <c r="L826" s="123"/>
    </row>
    <row r="827" spans="12:12">
      <c r="L827" s="123"/>
    </row>
    <row r="828" spans="12:12">
      <c r="L828" s="123"/>
    </row>
    <row r="829" spans="12:12">
      <c r="L829" s="123"/>
    </row>
    <row r="830" spans="12:12">
      <c r="L830" s="123"/>
    </row>
    <row r="831" spans="12:12">
      <c r="L831" s="123"/>
    </row>
    <row r="832" spans="12:12">
      <c r="L832" s="123"/>
    </row>
    <row r="833" spans="12:12">
      <c r="L833" s="123"/>
    </row>
    <row r="834" spans="12:12">
      <c r="L834" s="123"/>
    </row>
    <row r="835" spans="12:12">
      <c r="L835" s="123"/>
    </row>
    <row r="836" spans="12:12">
      <c r="L836" s="123"/>
    </row>
    <row r="837" spans="12:12">
      <c r="L837" s="123"/>
    </row>
    <row r="838" spans="12:12">
      <c r="L838" s="123"/>
    </row>
    <row r="839" spans="12:12">
      <c r="L839" s="245"/>
    </row>
    <row r="840" spans="12:12">
      <c r="L840" s="123"/>
    </row>
    <row r="841" spans="12:12">
      <c r="L841" s="123"/>
    </row>
    <row r="842" spans="12:12">
      <c r="L842" s="123"/>
    </row>
    <row r="843" spans="12:12">
      <c r="L843" s="123"/>
    </row>
    <row r="844" spans="12:12">
      <c r="L844" s="123"/>
    </row>
    <row r="845" spans="12:12">
      <c r="L845" s="123"/>
    </row>
    <row r="846" spans="12:12">
      <c r="L846" s="123"/>
    </row>
    <row r="847" spans="12:12">
      <c r="L847" s="123"/>
    </row>
    <row r="848" spans="12:12">
      <c r="L848" s="123"/>
    </row>
    <row r="849" spans="12:12">
      <c r="L849" s="123"/>
    </row>
    <row r="850" spans="12:12">
      <c r="L850" s="123"/>
    </row>
    <row r="851" spans="12:12">
      <c r="L851" s="123"/>
    </row>
    <row r="852" spans="12:12">
      <c r="L852" s="123"/>
    </row>
    <row r="853" spans="12:12">
      <c r="L853" s="123"/>
    </row>
    <row r="854" spans="12:12">
      <c r="L854" s="123"/>
    </row>
    <row r="855" spans="12:12">
      <c r="L855" s="123"/>
    </row>
    <row r="856" spans="12:12">
      <c r="L856" s="123"/>
    </row>
    <row r="857" spans="12:12">
      <c r="L857" s="123"/>
    </row>
    <row r="858" spans="12:12">
      <c r="L858" s="123"/>
    </row>
    <row r="859" spans="12:12">
      <c r="L859" s="123"/>
    </row>
    <row r="860" spans="12:12">
      <c r="L860" s="123"/>
    </row>
    <row r="861" spans="12:12">
      <c r="L861" s="123"/>
    </row>
    <row r="862" spans="12:12">
      <c r="L862" s="123"/>
    </row>
    <row r="863" spans="12:12">
      <c r="L863" s="123"/>
    </row>
    <row r="864" spans="12:12">
      <c r="L864" s="123"/>
    </row>
    <row r="865" spans="12:12">
      <c r="L865" s="123"/>
    </row>
    <row r="866" spans="12:12">
      <c r="L866" s="123"/>
    </row>
    <row r="867" spans="12:12">
      <c r="L867" s="123"/>
    </row>
    <row r="868" spans="12:12">
      <c r="L868" s="123"/>
    </row>
    <row r="869" spans="12:12">
      <c r="L869" s="123"/>
    </row>
    <row r="870" spans="12:12">
      <c r="L870" s="123"/>
    </row>
    <row r="871" spans="12:12">
      <c r="L871" s="123"/>
    </row>
    <row r="872" spans="12:12">
      <c r="L872" s="123"/>
    </row>
    <row r="873" spans="12:12">
      <c r="L873" s="123"/>
    </row>
    <row r="874" spans="12:12">
      <c r="L874" s="123"/>
    </row>
    <row r="875" spans="12:12">
      <c r="L875" s="123"/>
    </row>
    <row r="876" spans="12:12">
      <c r="L876" s="123"/>
    </row>
    <row r="877" spans="12:12">
      <c r="L877" s="123"/>
    </row>
    <row r="878" spans="12:12">
      <c r="L878" s="123"/>
    </row>
    <row r="879" spans="12:12">
      <c r="L879" s="123"/>
    </row>
    <row r="880" spans="12:12">
      <c r="L880" s="123"/>
    </row>
    <row r="881" spans="12:12">
      <c r="L881" s="123"/>
    </row>
    <row r="882" spans="12:12">
      <c r="L882" s="123"/>
    </row>
    <row r="883" spans="12:12">
      <c r="L883" s="123"/>
    </row>
    <row r="884" spans="12:12">
      <c r="L884" s="123"/>
    </row>
    <row r="885" spans="12:12">
      <c r="L885" s="123"/>
    </row>
    <row r="886" spans="12:12">
      <c r="L886" s="123"/>
    </row>
    <row r="887" spans="12:12">
      <c r="L887" s="123"/>
    </row>
    <row r="888" spans="12:12">
      <c r="L888" s="123"/>
    </row>
    <row r="889" spans="12:12">
      <c r="L889" s="123"/>
    </row>
    <row r="890" spans="12:12">
      <c r="L890" s="123"/>
    </row>
    <row r="891" spans="12:12">
      <c r="L891" s="123"/>
    </row>
    <row r="892" spans="12:12">
      <c r="L892" s="123"/>
    </row>
    <row r="893" spans="12:12">
      <c r="L893" s="123"/>
    </row>
    <row r="894" spans="12:12">
      <c r="L894" s="123"/>
    </row>
    <row r="895" spans="12:12">
      <c r="L895" s="123"/>
    </row>
    <row r="896" spans="12:12">
      <c r="L896" s="245"/>
    </row>
    <row r="897" spans="12:12">
      <c r="L897" s="123"/>
    </row>
    <row r="898" spans="12:12">
      <c r="L898" s="123"/>
    </row>
    <row r="899" spans="12:12">
      <c r="L899" s="123"/>
    </row>
    <row r="900" spans="12:12">
      <c r="L900" s="123"/>
    </row>
    <row r="901" spans="12:12">
      <c r="L901" s="123"/>
    </row>
    <row r="902" spans="12:12">
      <c r="L902" s="123"/>
    </row>
    <row r="903" spans="12:12">
      <c r="L903" s="123"/>
    </row>
    <row r="904" spans="12:12">
      <c r="L904" s="123"/>
    </row>
    <row r="905" spans="12:12">
      <c r="L905" s="123"/>
    </row>
    <row r="906" spans="12:12">
      <c r="L906" s="123"/>
    </row>
    <row r="907" spans="12:12">
      <c r="L907" s="123"/>
    </row>
    <row r="908" spans="12:12">
      <c r="L908" s="123"/>
    </row>
    <row r="909" spans="12:12">
      <c r="L909" s="123"/>
    </row>
    <row r="910" spans="12:12">
      <c r="L910" s="123"/>
    </row>
    <row r="911" spans="12:12">
      <c r="L911" s="123"/>
    </row>
    <row r="912" spans="12:12">
      <c r="L912" s="123"/>
    </row>
    <row r="913" spans="12:12">
      <c r="L913" s="123"/>
    </row>
    <row r="914" spans="12:12">
      <c r="L914" s="123"/>
    </row>
    <row r="915" spans="12:12">
      <c r="L915" s="123"/>
    </row>
    <row r="916" spans="12:12">
      <c r="L916" s="123"/>
    </row>
    <row r="917" spans="12:12">
      <c r="L917" s="123"/>
    </row>
    <row r="918" spans="12:12">
      <c r="L918" s="123"/>
    </row>
    <row r="919" spans="12:12">
      <c r="L919" s="123"/>
    </row>
    <row r="920" spans="12:12">
      <c r="L920" s="123"/>
    </row>
    <row r="921" spans="12:12">
      <c r="L921" s="123"/>
    </row>
    <row r="922" spans="12:12">
      <c r="L922" s="123"/>
    </row>
    <row r="923" spans="12:12">
      <c r="L923" s="123"/>
    </row>
    <row r="924" spans="12:12">
      <c r="L924" s="225"/>
    </row>
    <row r="925" spans="12:12">
      <c r="L925" s="123"/>
    </row>
    <row r="926" spans="12:12">
      <c r="L926" s="123"/>
    </row>
    <row r="927" spans="12:12">
      <c r="L927" s="123"/>
    </row>
    <row r="928" spans="12:12">
      <c r="L928" s="123"/>
    </row>
    <row r="929" spans="12:12">
      <c r="L929" s="123"/>
    </row>
    <row r="930" spans="12:12">
      <c r="L930" s="123"/>
    </row>
    <row r="931" spans="12:12">
      <c r="L931" s="123"/>
    </row>
    <row r="932" spans="12:12">
      <c r="L932" s="123"/>
    </row>
    <row r="933" spans="12:12">
      <c r="L933" s="123"/>
    </row>
    <row r="934" spans="12:12">
      <c r="L934" s="123"/>
    </row>
    <row r="935" spans="12:12">
      <c r="L935" s="123"/>
    </row>
    <row r="936" spans="12:12">
      <c r="L936" s="123"/>
    </row>
    <row r="937" spans="12:12">
      <c r="L937" s="123"/>
    </row>
    <row r="938" spans="12:12">
      <c r="L938" s="245"/>
    </row>
    <row r="939" spans="12:12">
      <c r="L939" s="123"/>
    </row>
    <row r="940" spans="12:12">
      <c r="L940" s="123"/>
    </row>
    <row r="941" spans="12:12">
      <c r="L941" s="123"/>
    </row>
    <row r="942" spans="12:12">
      <c r="L942" s="123"/>
    </row>
    <row r="943" spans="12:12">
      <c r="L943" s="123"/>
    </row>
    <row r="944" spans="12:12">
      <c r="L944" s="123"/>
    </row>
    <row r="945" spans="12:12">
      <c r="L945" s="123"/>
    </row>
    <row r="946" spans="12:12">
      <c r="L946" s="123"/>
    </row>
    <row r="948" spans="12:12">
      <c r="L948" s="123"/>
    </row>
    <row r="949" spans="12:12">
      <c r="L949" s="123"/>
    </row>
    <row r="950" spans="12:12">
      <c r="L950" s="245"/>
    </row>
    <row r="951" spans="12:12">
      <c r="L951" s="123"/>
    </row>
    <row r="952" spans="12:12">
      <c r="L952" s="245"/>
    </row>
    <row r="953" spans="12:12">
      <c r="L953" s="123"/>
    </row>
    <row r="954" spans="12:12">
      <c r="L954" s="123"/>
    </row>
    <row r="955" spans="12:12">
      <c r="L955" s="123"/>
    </row>
    <row r="956" spans="12:12">
      <c r="L956" s="245"/>
    </row>
    <row r="957" spans="12:12">
      <c r="L957" s="120"/>
    </row>
    <row r="959" spans="12:12">
      <c r="L959" s="123"/>
    </row>
    <row r="960" spans="12:12">
      <c r="L960" s="245"/>
    </row>
    <row r="961" spans="12:12">
      <c r="L961" s="123"/>
    </row>
    <row r="962" spans="12:12">
      <c r="L962" s="123"/>
    </row>
    <row r="963" spans="12:12">
      <c r="L963" s="245"/>
    </row>
    <row r="964" spans="12:12">
      <c r="L964" s="123"/>
    </row>
    <row r="965" spans="12:12">
      <c r="L965" s="123"/>
    </row>
    <row r="966" spans="12:12">
      <c r="L966" s="123"/>
    </row>
    <row r="967" spans="12:12">
      <c r="L967" s="123"/>
    </row>
    <row r="968" spans="12:12">
      <c r="L968" s="123"/>
    </row>
    <row r="969" spans="12:12">
      <c r="L969" s="245"/>
    </row>
    <row r="970" spans="12:12">
      <c r="L970" s="123"/>
    </row>
    <row r="971" spans="12:12">
      <c r="L971" s="123"/>
    </row>
    <row r="972" spans="12:12">
      <c r="L972" s="123"/>
    </row>
    <row r="973" spans="12:12">
      <c r="L973" s="123"/>
    </row>
    <row r="975" spans="12:12">
      <c r="L975" s="245"/>
    </row>
    <row r="976" spans="12:12">
      <c r="L976" s="123"/>
    </row>
    <row r="977" spans="12:12">
      <c r="L977" s="123"/>
    </row>
    <row r="978" spans="12:12">
      <c r="L978" s="123"/>
    </row>
    <row r="979" spans="12:12">
      <c r="L979" s="123"/>
    </row>
    <row r="980" spans="12:12">
      <c r="L980" s="123"/>
    </row>
    <row r="981" spans="12:12">
      <c r="L981" s="123"/>
    </row>
    <row r="982" spans="12:12">
      <c r="L982" s="123"/>
    </row>
    <row r="983" spans="12:12">
      <c r="L983" s="123"/>
    </row>
    <row r="984" spans="12:12">
      <c r="L984" s="26"/>
    </row>
    <row r="985" spans="12:12">
      <c r="L985" s="123"/>
    </row>
    <row r="986" spans="12:12">
      <c r="L986" s="123"/>
    </row>
    <row r="987" spans="12:12">
      <c r="L987" s="123"/>
    </row>
    <row r="988" spans="12:12">
      <c r="L988" s="123"/>
    </row>
    <row r="989" spans="12:12">
      <c r="L989" s="123"/>
    </row>
    <row r="990" spans="12:12">
      <c r="L990" s="123"/>
    </row>
    <row r="991" spans="12:12">
      <c r="L991" s="123"/>
    </row>
    <row r="992" spans="12:12">
      <c r="L992" s="245"/>
    </row>
    <row r="993" spans="12:12">
      <c r="L993" s="123"/>
    </row>
    <row r="994" spans="12:12">
      <c r="L994" s="123"/>
    </row>
    <row r="995" spans="12:12">
      <c r="L995" s="123"/>
    </row>
    <row r="996" spans="12:12">
      <c r="L996" s="123"/>
    </row>
    <row r="997" spans="12:12">
      <c r="L997" s="123"/>
    </row>
    <row r="998" spans="12:12">
      <c r="L998" s="123"/>
    </row>
    <row r="999" spans="12:12">
      <c r="L999" s="245"/>
    </row>
    <row r="1000" spans="12:12">
      <c r="L1000" s="123"/>
    </row>
    <row r="1001" spans="12:12">
      <c r="L1001" s="123"/>
    </row>
    <row r="1002" spans="12:12">
      <c r="L1002" s="123"/>
    </row>
    <row r="1003" spans="12:12">
      <c r="L1003" s="123"/>
    </row>
    <row r="1004" spans="12:12">
      <c r="L1004" s="123"/>
    </row>
    <row r="1005" spans="12:12">
      <c r="L1005" s="123"/>
    </row>
    <row r="1006" spans="12:12">
      <c r="L1006" s="123"/>
    </row>
    <row r="1007" spans="12:12">
      <c r="L1007" s="245"/>
    </row>
    <row r="1008" spans="12:12">
      <c r="L1008" s="123"/>
    </row>
    <row r="1009" spans="12:12">
      <c r="L1009" s="123"/>
    </row>
    <row r="1010" spans="12:12">
      <c r="L1010" s="123"/>
    </row>
    <row r="1011" spans="12:12">
      <c r="L1011" s="123"/>
    </row>
    <row r="1012" spans="12:12">
      <c r="L1012" s="123"/>
    </row>
    <row r="1013" spans="12:12">
      <c r="L1013" s="123"/>
    </row>
    <row r="1014" spans="12:12">
      <c r="L1014" s="123"/>
    </row>
    <row r="1015" spans="12:12">
      <c r="L1015" s="123"/>
    </row>
    <row r="1016" spans="12:12">
      <c r="L1016" s="123"/>
    </row>
    <row r="1017" spans="12:12">
      <c r="L1017" s="120"/>
    </row>
    <row r="1018" spans="12:12">
      <c r="L1018" s="120"/>
    </row>
    <row r="1019" spans="12:12">
      <c r="L1019" s="123"/>
    </row>
    <row r="1020" spans="12:12">
      <c r="L1020" s="123"/>
    </row>
    <row r="1021" spans="12:12">
      <c r="L1021" s="123"/>
    </row>
    <row r="1022" spans="12:12">
      <c r="L1022" s="123"/>
    </row>
    <row r="1023" spans="12:12">
      <c r="L1023" s="123"/>
    </row>
    <row r="1024" spans="12:12">
      <c r="L1024" s="123"/>
    </row>
    <row r="1025" spans="12:12">
      <c r="L1025" s="123"/>
    </row>
    <row r="1026" spans="12:12">
      <c r="L1026" s="123"/>
    </row>
    <row r="1027" spans="12:12">
      <c r="L1027" s="123"/>
    </row>
    <row r="1028" spans="12:12">
      <c r="L1028" s="123"/>
    </row>
    <row r="1029" spans="12:12">
      <c r="L1029" s="123"/>
    </row>
    <row r="1030" spans="12:12">
      <c r="L1030" s="245"/>
    </row>
    <row r="1031" spans="12:12">
      <c r="L1031" s="123"/>
    </row>
    <row r="1032" spans="12:12">
      <c r="L1032" s="123"/>
    </row>
    <row r="1033" spans="12:12">
      <c r="L1033" s="245"/>
    </row>
    <row r="1034" spans="12:12">
      <c r="L1034" s="123"/>
    </row>
    <row r="1035" spans="12:12">
      <c r="L1035" s="123"/>
    </row>
    <row r="1036" spans="12:12">
      <c r="L1036" s="123"/>
    </row>
    <row r="1037" spans="12:12">
      <c r="L1037" s="43"/>
    </row>
    <row r="1039" spans="12:12">
      <c r="L1039" s="123"/>
    </row>
    <row r="1040" spans="12:12">
      <c r="L1040" s="123"/>
    </row>
    <row r="1041" spans="12:12">
      <c r="L1041" s="123"/>
    </row>
    <row r="1042" spans="12:12">
      <c r="L1042" s="123"/>
    </row>
    <row r="1043" spans="12:12">
      <c r="L1043" s="123"/>
    </row>
    <row r="1044" spans="12:12">
      <c r="L1044" s="123"/>
    </row>
    <row r="1045" spans="12:12">
      <c r="L1045" s="123"/>
    </row>
    <row r="1046" spans="12:12">
      <c r="L1046" s="123"/>
    </row>
    <row r="1047" spans="12:12">
      <c r="L1047" s="120"/>
    </row>
    <row r="1048" spans="12:12">
      <c r="L1048" s="123"/>
    </row>
    <row r="1049" spans="12:12">
      <c r="L1049" s="123"/>
    </row>
    <row r="1050" spans="12:12">
      <c r="L1050" s="123"/>
    </row>
    <row r="1051" spans="12:12">
      <c r="L1051" s="123"/>
    </row>
    <row r="1052" spans="12:12">
      <c r="L1052" s="123"/>
    </row>
    <row r="1053" spans="12:12">
      <c r="L1053" s="123"/>
    </row>
    <row r="1054" spans="12:12">
      <c r="L1054" s="123"/>
    </row>
    <row r="1055" spans="12:12">
      <c r="L1055" s="123"/>
    </row>
    <row r="1057" spans="12:12">
      <c r="L1057" s="123"/>
    </row>
    <row r="1058" spans="12:12">
      <c r="L1058" s="123"/>
    </row>
    <row r="1059" spans="12:12">
      <c r="L1059" s="123"/>
    </row>
    <row r="1060" spans="12:12">
      <c r="L1060" s="123"/>
    </row>
    <row r="1061" spans="12:12">
      <c r="L1061" s="245"/>
    </row>
    <row r="1062" spans="12:12">
      <c r="L1062" s="123"/>
    </row>
    <row r="1063" spans="12:12">
      <c r="L1063" s="123"/>
    </row>
    <row r="1064" spans="12:12">
      <c r="L1064" s="123"/>
    </row>
    <row r="1065" spans="12:12">
      <c r="L1065" s="123"/>
    </row>
    <row r="1066" spans="12:12">
      <c r="L1066" s="123"/>
    </row>
    <row r="1067" spans="12:12">
      <c r="L1067" s="123"/>
    </row>
    <row r="1068" spans="12:12">
      <c r="L1068" s="120"/>
    </row>
    <row r="1069" spans="12:12">
      <c r="L1069" s="123"/>
    </row>
    <row r="1070" spans="12:12">
      <c r="L1070" s="245"/>
    </row>
    <row r="1071" spans="12:12">
      <c r="L1071" s="123"/>
    </row>
    <row r="1072" spans="12:12">
      <c r="L1072" s="123"/>
    </row>
    <row r="1073" spans="12:12">
      <c r="L1073" s="123"/>
    </row>
    <row r="1074" spans="12:12">
      <c r="L1074" s="123"/>
    </row>
    <row r="1075" spans="12:12">
      <c r="L1075" s="123"/>
    </row>
    <row r="1076" spans="12:12">
      <c r="L1076" s="123"/>
    </row>
    <row r="1077" spans="12:12">
      <c r="L1077" s="123"/>
    </row>
    <row r="1078" spans="12:12">
      <c r="L1078" s="123"/>
    </row>
    <row r="1079" spans="12:12">
      <c r="L1079" s="123"/>
    </row>
    <row r="1080" spans="12:12">
      <c r="L1080" s="123"/>
    </row>
    <row r="1081" spans="12:12">
      <c r="L1081" s="123"/>
    </row>
    <row r="1082" spans="12:12">
      <c r="L1082" s="123"/>
    </row>
    <row r="1083" spans="12:12">
      <c r="L1083" s="123"/>
    </row>
    <row r="1084" spans="12:12">
      <c r="L1084" s="123"/>
    </row>
    <row r="1085" spans="12:12">
      <c r="L1085" s="123"/>
    </row>
    <row r="1086" spans="12:12">
      <c r="L1086" s="123"/>
    </row>
    <row r="1087" spans="12:12">
      <c r="L1087" s="123"/>
    </row>
    <row r="1088" spans="12:12">
      <c r="L1088" s="123"/>
    </row>
    <row r="1089" spans="12:12">
      <c r="L1089" s="120"/>
    </row>
    <row r="1090" spans="12:12">
      <c r="L1090" s="123"/>
    </row>
    <row r="1091" spans="12:12">
      <c r="L1091" s="123"/>
    </row>
    <row r="1092" spans="12:12">
      <c r="L1092" s="123"/>
    </row>
    <row r="1093" spans="12:12">
      <c r="L1093" s="123"/>
    </row>
    <row r="1094" spans="12:12">
      <c r="L1094" s="123"/>
    </row>
    <row r="1095" spans="12:12">
      <c r="L1095" s="27"/>
    </row>
    <row r="1096" spans="12:12">
      <c r="L1096" s="120"/>
    </row>
    <row r="1097" spans="12:12">
      <c r="L1097" s="245"/>
    </row>
    <row r="1098" spans="12:12">
      <c r="L1098" s="245"/>
    </row>
    <row r="1099" spans="12:12">
      <c r="L1099" s="123"/>
    </row>
    <row r="1100" spans="12:12">
      <c r="L1100" s="120"/>
    </row>
    <row r="1101" spans="12:12">
      <c r="L1101" s="123"/>
    </row>
    <row r="1102" spans="12:12">
      <c r="L1102" s="123"/>
    </row>
    <row r="1103" spans="12:12">
      <c r="L1103" s="123"/>
    </row>
    <row r="1104" spans="12:12">
      <c r="L1104" s="43"/>
    </row>
    <row r="1105" spans="12:12">
      <c r="L1105" s="123"/>
    </row>
    <row r="1107" spans="12:12">
      <c r="L1107" s="123"/>
    </row>
    <row r="1108" spans="12:12">
      <c r="L1108" s="120"/>
    </row>
    <row r="1109" spans="12:12">
      <c r="L1109" s="123"/>
    </row>
    <row r="1110" spans="12:12">
      <c r="L1110" s="123"/>
    </row>
    <row r="1111" spans="12:12">
      <c r="L1111" s="120"/>
    </row>
    <row r="1112" spans="12:12">
      <c r="L1112" s="123"/>
    </row>
    <row r="1113" spans="12:12">
      <c r="L1113" s="123"/>
    </row>
    <row r="1114" spans="12:12">
      <c r="L1114" s="123"/>
    </row>
    <row r="1115" spans="12:12">
      <c r="L1115" s="123"/>
    </row>
    <row r="1116" spans="12:12">
      <c r="L1116" s="123"/>
    </row>
    <row r="1117" spans="12:12">
      <c r="L1117" s="123"/>
    </row>
    <row r="1118" spans="12:12">
      <c r="L1118" s="123"/>
    </row>
    <row r="1119" spans="12:12">
      <c r="L1119" s="123"/>
    </row>
    <row r="1120" spans="12:12">
      <c r="L1120" s="123"/>
    </row>
    <row r="1121" spans="12:28">
      <c r="L1121" s="123"/>
    </row>
    <row r="1122" spans="12:28">
      <c r="L1122" s="245"/>
      <c r="AB1122" s="377"/>
    </row>
    <row r="1123" spans="12:28">
      <c r="L1123" s="123"/>
    </row>
    <row r="1124" spans="12:28">
      <c r="L1124" s="123"/>
    </row>
    <row r="1125" spans="12:28">
      <c r="L1125" s="123"/>
    </row>
    <row r="1126" spans="12:28">
      <c r="L1126" s="123"/>
    </row>
    <row r="1127" spans="12:28">
      <c r="L1127" s="123"/>
      <c r="M1127" s="234" t="s">
        <v>3322</v>
      </c>
      <c r="N1127" s="338" t="s">
        <v>3322</v>
      </c>
    </row>
    <row r="1128" spans="12:28">
      <c r="L1128" s="123"/>
    </row>
    <row r="1129" spans="12:28">
      <c r="L1129" s="120"/>
    </row>
    <row r="1130" spans="12:28">
      <c r="L1130" s="123"/>
    </row>
    <row r="1131" spans="12:28">
      <c r="L1131" s="123"/>
    </row>
    <row r="1132" spans="12:28">
      <c r="L1132" s="123"/>
    </row>
    <row r="1133" spans="12:28">
      <c r="L1133" s="123"/>
    </row>
    <row r="1134" spans="12:28">
      <c r="L1134" s="245"/>
    </row>
    <row r="1136" spans="12:28">
      <c r="L1136" s="123"/>
    </row>
    <row r="1137" spans="12:12">
      <c r="L1137" s="123"/>
    </row>
    <row r="1138" spans="12:12">
      <c r="L1138" s="123"/>
    </row>
    <row r="1139" spans="12:12">
      <c r="L1139" s="27"/>
    </row>
    <row r="1140" spans="12:12">
      <c r="L1140" s="123"/>
    </row>
    <row r="1141" spans="12:12">
      <c r="L1141" s="245"/>
    </row>
    <row r="1142" spans="12:12">
      <c r="L1142" s="120"/>
    </row>
    <row r="1143" spans="12:12">
      <c r="L1143" s="123"/>
    </row>
    <row r="1144" spans="12:12">
      <c r="L1144" s="123"/>
    </row>
    <row r="1145" spans="12:12">
      <c r="L1145" s="123"/>
    </row>
    <row r="1146" spans="12:12">
      <c r="L1146" s="123"/>
    </row>
    <row r="1147" spans="12:12">
      <c r="L1147" s="123"/>
    </row>
    <row r="1148" spans="12:12">
      <c r="L1148" s="123"/>
    </row>
    <row r="1149" spans="12:12">
      <c r="L1149" s="123"/>
    </row>
    <row r="1150" spans="12:12">
      <c r="L1150" s="123"/>
    </row>
    <row r="1151" spans="12:12">
      <c r="L1151" s="123"/>
    </row>
    <row r="1152" spans="12:12">
      <c r="L1152" s="123"/>
    </row>
    <row r="1153" spans="12:12">
      <c r="L1153" s="123"/>
    </row>
    <row r="1154" spans="12:12">
      <c r="L1154" s="123"/>
    </row>
    <row r="1155" spans="12:12">
      <c r="L1155" s="123"/>
    </row>
    <row r="1156" spans="12:12">
      <c r="L1156" s="245"/>
    </row>
    <row r="1158" spans="12:12">
      <c r="L1158" s="123"/>
    </row>
    <row r="1159" spans="12:12">
      <c r="L1159" s="123"/>
    </row>
    <row r="1160" spans="12:12">
      <c r="L1160" s="123"/>
    </row>
    <row r="1161" spans="12:12">
      <c r="L1161" s="123"/>
    </row>
    <row r="1162" spans="12:12">
      <c r="L1162" s="123"/>
    </row>
    <row r="1163" spans="12:12">
      <c r="L1163" s="123"/>
    </row>
    <row r="1164" spans="12:12">
      <c r="L1164" s="123"/>
    </row>
    <row r="1165" spans="12:12">
      <c r="L1165" s="123"/>
    </row>
    <row r="1166" spans="12:12">
      <c r="L1166" s="123"/>
    </row>
    <row r="1167" spans="12:12">
      <c r="L1167" s="123"/>
    </row>
    <row r="1168" spans="12:12">
      <c r="L1168" s="123"/>
    </row>
    <row r="1169" spans="12:12">
      <c r="L1169" s="123"/>
    </row>
    <row r="1170" spans="12:12">
      <c r="L1170" s="123"/>
    </row>
    <row r="1171" spans="12:12">
      <c r="L1171" s="123"/>
    </row>
    <row r="1173" spans="12:12">
      <c r="L1173" s="123"/>
    </row>
    <row r="1174" spans="12:12">
      <c r="L1174" s="120"/>
    </row>
    <row r="1175" spans="12:12">
      <c r="L1175" s="123"/>
    </row>
    <row r="1176" spans="12:12">
      <c r="L1176" s="123"/>
    </row>
    <row r="1177" spans="12:12">
      <c r="L1177" s="123"/>
    </row>
    <row r="1178" spans="12:12">
      <c r="L1178" s="123"/>
    </row>
    <row r="1179" spans="12:12">
      <c r="L1179" s="123"/>
    </row>
    <row r="1180" spans="12:12">
      <c r="L1180" s="123"/>
    </row>
    <row r="1182" spans="12:12">
      <c r="L1182" s="123"/>
    </row>
    <row r="1183" spans="12:12">
      <c r="L1183" s="123"/>
    </row>
    <row r="1184" spans="12:12">
      <c r="L1184" s="123"/>
    </row>
    <row r="1185" spans="12:12">
      <c r="L1185" s="123"/>
    </row>
    <row r="1186" spans="12:12">
      <c r="L1186" s="123"/>
    </row>
    <row r="1187" spans="12:12">
      <c r="L1187" s="123"/>
    </row>
    <row r="1188" spans="12:12">
      <c r="L1188" s="123"/>
    </row>
    <row r="1189" spans="12:12">
      <c r="L1189" s="123"/>
    </row>
    <row r="1190" spans="12:12">
      <c r="L1190" s="123"/>
    </row>
    <row r="1191" spans="12:12">
      <c r="L1191" s="120"/>
    </row>
    <row r="1192" spans="12:12">
      <c r="L1192" s="123"/>
    </row>
    <row r="1193" spans="12:12">
      <c r="L1193" s="123"/>
    </row>
    <row r="1194" spans="12:12">
      <c r="L1194" s="123"/>
    </row>
    <row r="1196" spans="12:12">
      <c r="L1196" s="123"/>
    </row>
    <row r="1197" spans="12:12">
      <c r="L1197" s="123"/>
    </row>
    <row r="1198" spans="12:12">
      <c r="L1198" s="245"/>
    </row>
    <row r="1199" spans="12:12">
      <c r="L1199" s="123"/>
    </row>
    <row r="1200" spans="12:12">
      <c r="L1200" s="245"/>
    </row>
    <row r="1201" spans="12:12">
      <c r="L1201" s="123"/>
    </row>
    <row r="1202" spans="12:12">
      <c r="L1202" s="123"/>
    </row>
    <row r="1203" spans="12:12">
      <c r="L1203" s="123"/>
    </row>
    <row r="1204" spans="12:12">
      <c r="L1204" s="245"/>
    </row>
    <row r="1205" spans="12:12">
      <c r="L1205" s="245"/>
    </row>
    <row r="1206" spans="12:12">
      <c r="L1206" s="123"/>
    </row>
    <row r="1207" spans="12:12">
      <c r="L1207" s="123"/>
    </row>
    <row r="1208" spans="12:12">
      <c r="L1208" s="123"/>
    </row>
    <row r="1209" spans="12:12">
      <c r="L1209" s="123"/>
    </row>
    <row r="1210" spans="12:12">
      <c r="L1210" s="245"/>
    </row>
    <row r="1211" spans="12:12">
      <c r="L1211" s="123"/>
    </row>
    <row r="1212" spans="12:12">
      <c r="L1212" s="245"/>
    </row>
    <row r="1213" spans="12:12">
      <c r="L1213" s="123"/>
    </row>
    <row r="1214" spans="12:12">
      <c r="L1214" s="245"/>
    </row>
    <row r="1215" spans="12:12">
      <c r="L1215" s="123"/>
    </row>
    <row r="1216" spans="12:12">
      <c r="L1216" s="123"/>
    </row>
    <row r="1217" spans="12:12">
      <c r="L1217" s="123"/>
    </row>
    <row r="1218" spans="12:12">
      <c r="L1218" s="123"/>
    </row>
    <row r="1219" spans="12:12">
      <c r="L1219" s="123"/>
    </row>
    <row r="1220" spans="12:12">
      <c r="L1220" s="123"/>
    </row>
    <row r="1221" spans="12:12">
      <c r="L1221" s="123"/>
    </row>
    <row r="1222" spans="12:12">
      <c r="L1222" s="123"/>
    </row>
    <row r="1223" spans="12:12">
      <c r="L1223" s="123"/>
    </row>
    <row r="1224" spans="12:12">
      <c r="L1224" s="123"/>
    </row>
    <row r="1225" spans="12:12">
      <c r="L1225" s="123"/>
    </row>
    <row r="1226" spans="12:12">
      <c r="L1226" s="123"/>
    </row>
    <row r="1227" spans="12:12">
      <c r="L1227" s="123"/>
    </row>
    <row r="1228" spans="12:12">
      <c r="L1228" s="123"/>
    </row>
    <row r="1229" spans="12:12">
      <c r="L1229" s="123"/>
    </row>
    <row r="1230" spans="12:12">
      <c r="L1230" s="123"/>
    </row>
    <row r="1231" spans="12:12">
      <c r="L1231" s="245"/>
    </row>
    <row r="1232" spans="12:12">
      <c r="L1232" s="123"/>
    </row>
    <row r="1233" spans="12:12">
      <c r="L1233" s="123"/>
    </row>
    <row r="1234" spans="12:12">
      <c r="L1234" s="123"/>
    </row>
    <row r="1235" spans="12:12">
      <c r="L1235" s="123"/>
    </row>
    <row r="1236" spans="12:12">
      <c r="L1236" s="123"/>
    </row>
    <row r="1237" spans="12:12">
      <c r="L1237" s="123"/>
    </row>
    <row r="1238" spans="12:12">
      <c r="L1238" s="123"/>
    </row>
    <row r="1239" spans="12:12">
      <c r="L1239" s="245"/>
    </row>
    <row r="1240" spans="12:12">
      <c r="L1240" s="123"/>
    </row>
    <row r="1241" spans="12:12">
      <c r="L1241" s="123"/>
    </row>
    <row r="1242" spans="12:12">
      <c r="L1242" s="123"/>
    </row>
    <row r="1243" spans="12:12">
      <c r="L1243" s="123"/>
    </row>
    <row r="1244" spans="12:12">
      <c r="L1244" s="123"/>
    </row>
    <row r="1245" spans="12:12">
      <c r="L1245" s="123"/>
    </row>
    <row r="1246" spans="12:12">
      <c r="L1246" s="123"/>
    </row>
    <row r="1247" spans="12:12">
      <c r="L1247" s="123"/>
    </row>
    <row r="1248" spans="12:12">
      <c r="L1248" s="123"/>
    </row>
    <row r="1249" spans="12:12">
      <c r="L1249" s="123"/>
    </row>
    <row r="1250" spans="12:12">
      <c r="L1250" s="120"/>
    </row>
    <row r="1251" spans="12:12">
      <c r="L1251" s="123"/>
    </row>
    <row r="1252" spans="12:12">
      <c r="L1252" s="123"/>
    </row>
    <row r="1253" spans="12:12">
      <c r="L1253" s="245"/>
    </row>
    <row r="1254" spans="12:12">
      <c r="L1254" s="123"/>
    </row>
    <row r="1255" spans="12:12">
      <c r="L1255" s="123"/>
    </row>
    <row r="1256" spans="12:12">
      <c r="L1256" s="123"/>
    </row>
    <row r="1257" spans="12:12">
      <c r="L1257" s="123"/>
    </row>
    <row r="1258" spans="12:12">
      <c r="L1258" s="123"/>
    </row>
    <row r="1259" spans="12:12">
      <c r="L1259" s="123"/>
    </row>
    <row r="1260" spans="12:12">
      <c r="L1260" s="123"/>
    </row>
    <row r="1261" spans="12:12">
      <c r="L1261" s="245"/>
    </row>
    <row r="1262" spans="12:12">
      <c r="L1262" s="245"/>
    </row>
    <row r="1263" spans="12:12">
      <c r="L1263" s="123"/>
    </row>
    <row r="1264" spans="12:12">
      <c r="L1264" s="245"/>
    </row>
    <row r="1265" spans="12:12">
      <c r="L1265" s="123"/>
    </row>
    <row r="1266" spans="12:12">
      <c r="L1266" s="123"/>
    </row>
    <row r="1267" spans="12:12">
      <c r="L1267" s="123"/>
    </row>
    <row r="1268" spans="12:12">
      <c r="L1268" s="123"/>
    </row>
    <row r="1269" spans="12:12">
      <c r="L1269" s="123"/>
    </row>
    <row r="1270" spans="12:12">
      <c r="L1270" s="123"/>
    </row>
    <row r="1271" spans="12:12">
      <c r="L1271" s="123"/>
    </row>
    <row r="1272" spans="12:12">
      <c r="L1272" s="245"/>
    </row>
    <row r="1273" spans="12:12">
      <c r="L1273" s="123"/>
    </row>
    <row r="1274" spans="12:12">
      <c r="L1274" s="123"/>
    </row>
    <row r="1275" spans="12:12">
      <c r="L1275" s="123"/>
    </row>
    <row r="1276" spans="12:12">
      <c r="L1276" s="123"/>
    </row>
    <row r="1277" spans="12:12">
      <c r="L1277" s="123"/>
    </row>
    <row r="1278" spans="12:12">
      <c r="L1278" s="123"/>
    </row>
    <row r="1279" spans="12:12">
      <c r="L1279" s="123"/>
    </row>
    <row r="1280" spans="12:12">
      <c r="L1280" s="123"/>
    </row>
    <row r="1281" spans="12:12">
      <c r="L1281" s="123"/>
    </row>
    <row r="1282" spans="12:12">
      <c r="L1282" s="123"/>
    </row>
    <row r="1283" spans="12:12">
      <c r="L1283" s="123"/>
    </row>
    <row r="1284" spans="12:12">
      <c r="L1284" s="124"/>
    </row>
    <row r="1285" spans="12:12">
      <c r="L1285" s="123"/>
    </row>
    <row r="1286" spans="12:12">
      <c r="L1286" s="123"/>
    </row>
    <row r="1287" spans="12:12">
      <c r="L1287" s="123"/>
    </row>
    <row r="1288" spans="12:12">
      <c r="L1288" s="123"/>
    </row>
    <row r="1289" spans="12:12">
      <c r="L1289" s="123"/>
    </row>
    <row r="1290" spans="12:12">
      <c r="L1290" s="123"/>
    </row>
    <row r="1291" spans="12:12">
      <c r="L1291" s="123"/>
    </row>
    <row r="1292" spans="12:12">
      <c r="L1292" s="245"/>
    </row>
    <row r="1293" spans="12:12">
      <c r="L1293" s="123"/>
    </row>
    <row r="1294" spans="12:12">
      <c r="L1294" s="123"/>
    </row>
    <row r="1295" spans="12:12">
      <c r="L1295" s="123"/>
    </row>
    <row r="1296" spans="12:12">
      <c r="L1296" s="123"/>
    </row>
    <row r="1297" spans="12:18">
      <c r="L1297" s="123"/>
    </row>
    <row r="1298" spans="12:18">
      <c r="L1298" s="123"/>
    </row>
    <row r="1299" spans="12:18">
      <c r="L1299" s="123"/>
    </row>
    <row r="1300" spans="12:18">
      <c r="L1300" s="123"/>
      <c r="O1300" s="360"/>
      <c r="Q1300" s="351"/>
      <c r="R1300" s="242"/>
    </row>
    <row r="1301" spans="12:18">
      <c r="L1301" s="123"/>
    </row>
    <row r="1302" spans="12:18">
      <c r="L1302" s="123"/>
    </row>
    <row r="1303" spans="12:18">
      <c r="L1303" s="123"/>
    </row>
    <row r="1304" spans="12:18">
      <c r="L1304" s="123"/>
    </row>
    <row r="1305" spans="12:18">
      <c r="L1305" s="123"/>
    </row>
    <row r="1306" spans="12:18">
      <c r="L1306" s="123"/>
    </row>
    <row r="1307" spans="12:18">
      <c r="L1307" s="245"/>
    </row>
    <row r="1308" spans="12:18">
      <c r="L1308" s="245"/>
    </row>
    <row r="1309" spans="12:18">
      <c r="L1309" s="123"/>
    </row>
    <row r="1310" spans="12:18">
      <c r="L1310" s="123"/>
      <c r="O1310" s="360"/>
      <c r="Q1310" s="351"/>
      <c r="R1310" s="242"/>
    </row>
    <row r="1311" spans="12:18">
      <c r="L1311" s="123"/>
    </row>
    <row r="1312" spans="12:18">
      <c r="L1312" s="123"/>
    </row>
    <row r="1313" spans="12:18">
      <c r="L1313" s="123"/>
    </row>
    <row r="1314" spans="12:18">
      <c r="L1314" s="123"/>
      <c r="O1314" s="360"/>
      <c r="Q1314" s="351"/>
      <c r="R1314" s="242"/>
    </row>
    <row r="1315" spans="12:18">
      <c r="L1315" s="123"/>
    </row>
    <row r="1316" spans="12:18">
      <c r="L1316" s="123"/>
    </row>
    <row r="1317" spans="12:18">
      <c r="L1317" s="123"/>
    </row>
    <row r="1318" spans="12:18">
      <c r="L1318" s="245"/>
    </row>
    <row r="1319" spans="12:18">
      <c r="L1319" s="123"/>
      <c r="O1319" s="360"/>
      <c r="Q1319" s="351"/>
      <c r="R1319" s="242"/>
    </row>
    <row r="1320" spans="12:18">
      <c r="L1320" s="123"/>
      <c r="O1320" s="360"/>
      <c r="Q1320" s="351"/>
      <c r="R1320" s="242"/>
    </row>
    <row r="1321" spans="12:18">
      <c r="L1321" s="123"/>
      <c r="O1321" s="360"/>
      <c r="Q1321" s="351"/>
      <c r="R1321" s="242"/>
    </row>
    <row r="1322" spans="12:18">
      <c r="L1322" s="123"/>
    </row>
    <row r="1323" spans="12:18">
      <c r="L1323" s="123"/>
      <c r="O1323" s="360"/>
      <c r="Q1323" s="351"/>
      <c r="R1323" s="242"/>
    </row>
    <row r="1324" spans="12:18">
      <c r="L1324" s="123"/>
      <c r="O1324" s="360"/>
      <c r="Q1324" s="351"/>
      <c r="R1324" s="242"/>
    </row>
    <row r="1325" spans="12:18">
      <c r="L1325" s="120"/>
    </row>
    <row r="1326" spans="12:18">
      <c r="L1326" s="123"/>
      <c r="O1326" s="360"/>
      <c r="Q1326" s="351"/>
      <c r="R1326" s="242"/>
    </row>
    <row r="1328" spans="12:18">
      <c r="L1328" s="123"/>
      <c r="O1328" s="360"/>
      <c r="Q1328" s="351"/>
      <c r="R1328" s="242"/>
    </row>
    <row r="1329" spans="12:18">
      <c r="L1329" s="245"/>
      <c r="O1329" s="360"/>
      <c r="Q1329" s="351"/>
      <c r="R1329" s="242"/>
    </row>
    <row r="1330" spans="12:18">
      <c r="L1330" s="123"/>
      <c r="O1330" s="360"/>
      <c r="Q1330" s="351"/>
      <c r="R1330" s="242"/>
    </row>
    <row r="1331" spans="12:18">
      <c r="L1331" s="123"/>
      <c r="O1331" s="360"/>
      <c r="Q1331" s="351"/>
      <c r="R1331" s="242"/>
    </row>
    <row r="1332" spans="12:18">
      <c r="L1332" s="123"/>
      <c r="O1332" s="360"/>
      <c r="Q1332" s="351"/>
      <c r="R1332" s="242"/>
    </row>
    <row r="1333" spans="12:18">
      <c r="L1333" s="123"/>
      <c r="O1333" s="360"/>
      <c r="Q1333" s="351"/>
      <c r="R1333" s="242"/>
    </row>
    <row r="1334" spans="12:18">
      <c r="L1334" s="123"/>
      <c r="O1334" s="360"/>
      <c r="Q1334" s="351"/>
      <c r="R1334" s="242"/>
    </row>
    <row r="1335" spans="12:18">
      <c r="L1335" s="123"/>
      <c r="O1335" s="360"/>
      <c r="Q1335" s="351"/>
      <c r="R1335" s="242"/>
    </row>
    <row r="1336" spans="12:18">
      <c r="L1336" s="123"/>
    </row>
    <row r="1337" spans="12:18">
      <c r="L1337" s="123"/>
    </row>
    <row r="1338" spans="12:18">
      <c r="L1338" s="123"/>
    </row>
    <row r="1339" spans="12:18">
      <c r="L1339" s="123"/>
    </row>
    <row r="1340" spans="12:18">
      <c r="L1340" s="123"/>
    </row>
    <row r="1341" spans="12:18">
      <c r="L1341" s="123"/>
    </row>
    <row r="1342" spans="12:18">
      <c r="L1342" s="123"/>
    </row>
    <row r="1343" spans="12:18">
      <c r="L1343" s="123"/>
    </row>
    <row r="1344" spans="12:18">
      <c r="L1344" s="123"/>
      <c r="O1344" s="360"/>
      <c r="Q1344" s="351"/>
      <c r="R1344" s="242"/>
    </row>
    <row r="1345" spans="12:28">
      <c r="L1345" s="123"/>
      <c r="O1345" s="360"/>
      <c r="Q1345" s="351"/>
      <c r="R1345" s="242"/>
    </row>
    <row r="1346" spans="12:28">
      <c r="L1346" s="123"/>
      <c r="O1346" s="360"/>
      <c r="Q1346" s="351"/>
      <c r="R1346" s="242"/>
    </row>
    <row r="1347" spans="12:28">
      <c r="L1347" s="123"/>
    </row>
    <row r="1348" spans="12:28">
      <c r="L1348" s="123"/>
      <c r="O1348" s="360"/>
      <c r="Q1348" s="351"/>
      <c r="R1348" s="242"/>
    </row>
    <row r="1349" spans="12:28">
      <c r="L1349" s="123"/>
      <c r="O1349" s="360"/>
      <c r="Q1349" s="351"/>
      <c r="R1349" s="242"/>
    </row>
    <row r="1350" spans="12:28">
      <c r="L1350" s="123"/>
      <c r="O1350" s="360"/>
      <c r="Q1350" s="351"/>
      <c r="R1350" s="242"/>
    </row>
    <row r="1351" spans="12:28">
      <c r="L1351" s="123"/>
      <c r="O1351" s="360"/>
      <c r="Q1351" s="351"/>
      <c r="R1351" s="242"/>
    </row>
    <row r="1352" spans="12:28">
      <c r="L1352" s="123"/>
    </row>
    <row r="1354" spans="12:28">
      <c r="L1354" s="123"/>
    </row>
    <row r="1355" spans="12:28">
      <c r="L1355" s="123"/>
    </row>
    <row r="1356" spans="12:28">
      <c r="L1356" s="123"/>
    </row>
    <row r="1357" spans="12:28">
      <c r="L1357" s="123"/>
    </row>
    <row r="1358" spans="12:28">
      <c r="L1358" s="123"/>
    </row>
    <row r="1359" spans="12:28">
      <c r="L1359" s="123"/>
      <c r="AB1359" s="377"/>
    </row>
    <row r="1360" spans="12:28">
      <c r="L1360" s="123"/>
    </row>
    <row r="1361" spans="12:12">
      <c r="L1361" s="123"/>
    </row>
    <row r="1362" spans="12:12">
      <c r="L1362" s="51"/>
    </row>
    <row r="1363" spans="12:12">
      <c r="L1363" s="123"/>
    </row>
    <row r="1364" spans="12:12">
      <c r="L1364" s="123"/>
    </row>
    <row r="1365" spans="12:12">
      <c r="L1365" s="123"/>
    </row>
    <row r="1366" spans="12:12">
      <c r="L1366" s="123"/>
    </row>
    <row r="1367" spans="12:12">
      <c r="L1367" s="123"/>
    </row>
    <row r="1368" spans="12:12">
      <c r="L1368" s="123"/>
    </row>
    <row r="1369" spans="12:12">
      <c r="L1369" s="123"/>
    </row>
    <row r="1370" spans="12:12">
      <c r="L1370" s="123"/>
    </row>
    <row r="1371" spans="12:12">
      <c r="L1371" s="123"/>
    </row>
    <row r="1372" spans="12:12">
      <c r="L1372" s="123"/>
    </row>
    <row r="1373" spans="12:12">
      <c r="L1373" s="245"/>
    </row>
    <row r="1374" spans="12:12">
      <c r="L1374" s="26"/>
    </row>
    <row r="1375" spans="12:12">
      <c r="L1375" s="245"/>
    </row>
    <row r="1376" spans="12:12">
      <c r="L1376" s="123"/>
    </row>
    <row r="1377" spans="12:12">
      <c r="L1377" s="123"/>
    </row>
    <row r="1378" spans="12:12">
      <c r="L1378" s="123"/>
    </row>
    <row r="1379" spans="12:12">
      <c r="L1379" s="123"/>
    </row>
    <row r="1380" spans="12:12">
      <c r="L1380" s="123"/>
    </row>
    <row r="1381" spans="12:12">
      <c r="L1381" s="123"/>
    </row>
    <row r="1382" spans="12:12">
      <c r="L1382" s="123"/>
    </row>
    <row r="1383" spans="12:12">
      <c r="L1383" s="123"/>
    </row>
    <row r="1384" spans="12:12">
      <c r="L1384" s="123"/>
    </row>
    <row r="1385" spans="12:12">
      <c r="L1385" s="123"/>
    </row>
    <row r="1386" spans="12:12">
      <c r="L1386" s="123"/>
    </row>
    <row r="1387" spans="12:12">
      <c r="L1387" s="123"/>
    </row>
    <row r="1388" spans="12:12">
      <c r="L1388" s="123"/>
    </row>
    <row r="1389" spans="12:12">
      <c r="L1389" s="123"/>
    </row>
    <row r="1390" spans="12:12">
      <c r="L1390" s="123"/>
    </row>
    <row r="1391" spans="12:12">
      <c r="L1391" s="123"/>
    </row>
    <row r="1392" spans="12:12">
      <c r="L1392" s="123"/>
    </row>
    <row r="1393" spans="12:12">
      <c r="L1393" s="123"/>
    </row>
    <row r="1394" spans="12:12">
      <c r="L1394" s="123"/>
    </row>
    <row r="1395" spans="12:12">
      <c r="L1395" s="123"/>
    </row>
    <row r="1396" spans="12:12">
      <c r="L1396" s="123"/>
    </row>
    <row r="1397" spans="12:12">
      <c r="L1397" s="245"/>
    </row>
    <row r="1398" spans="12:12">
      <c r="L1398" s="245"/>
    </row>
    <row r="1399" spans="12:12">
      <c r="L1399" s="27"/>
    </row>
    <row r="1400" spans="12:12">
      <c r="L1400" s="123"/>
    </row>
    <row r="1401" spans="12:12">
      <c r="L1401" s="123"/>
    </row>
    <row r="1402" spans="12:12">
      <c r="L1402" s="123"/>
    </row>
    <row r="1403" spans="12:12">
      <c r="L1403" s="123"/>
    </row>
    <row r="1404" spans="12:12">
      <c r="L1404" s="123"/>
    </row>
    <row r="1405" spans="12:12">
      <c r="L1405" s="123"/>
    </row>
    <row r="1406" spans="12:12">
      <c r="L1406" s="123"/>
    </row>
    <row r="1407" spans="12:12">
      <c r="L1407" s="123"/>
    </row>
    <row r="1408" spans="12:12">
      <c r="L1408" s="123"/>
    </row>
    <row r="1409" spans="12:12">
      <c r="L1409" s="123"/>
    </row>
    <row r="1410" spans="12:12">
      <c r="L1410" s="123"/>
    </row>
    <row r="1411" spans="12:12">
      <c r="L1411" s="123"/>
    </row>
    <row r="1412" spans="12:12">
      <c r="L1412" s="123"/>
    </row>
    <row r="1413" spans="12:12">
      <c r="L1413" s="245"/>
    </row>
    <row r="1414" spans="12:12">
      <c r="L1414" s="123"/>
    </row>
    <row r="1415" spans="12:12">
      <c r="L1415" s="123"/>
    </row>
    <row r="1416" spans="12:12">
      <c r="L1416" s="123"/>
    </row>
    <row r="1417" spans="12:12">
      <c r="L1417" s="123"/>
    </row>
    <row r="1418" spans="12:12">
      <c r="L1418" s="123"/>
    </row>
    <row r="1419" spans="12:12">
      <c r="L1419" s="123"/>
    </row>
    <row r="1420" spans="12:12">
      <c r="L1420" s="123"/>
    </row>
    <row r="1421" spans="12:12">
      <c r="L1421" s="123"/>
    </row>
    <row r="1422" spans="12:12">
      <c r="L1422" s="123"/>
    </row>
    <row r="1423" spans="12:12">
      <c r="L1423" s="123"/>
    </row>
    <row r="1424" spans="12:12">
      <c r="L1424" s="123"/>
    </row>
    <row r="1425" spans="12:12">
      <c r="L1425" s="27"/>
    </row>
    <row r="1426" spans="12:12">
      <c r="L1426" s="123"/>
    </row>
    <row r="1427" spans="12:12">
      <c r="L1427" s="123"/>
    </row>
    <row r="1428" spans="12:12">
      <c r="L1428" s="123"/>
    </row>
    <row r="1429" spans="12:12">
      <c r="L1429" s="123"/>
    </row>
    <row r="1430" spans="12:12">
      <c r="L1430" s="123"/>
    </row>
    <row r="1431" spans="12:12">
      <c r="L1431" s="123"/>
    </row>
    <row r="1432" spans="12:12">
      <c r="L1432" s="120"/>
    </row>
    <row r="1433" spans="12:12">
      <c r="L1433" s="123"/>
    </row>
    <row r="1434" spans="12:12">
      <c r="L1434" s="123"/>
    </row>
    <row r="1435" spans="12:12">
      <c r="L1435" s="123"/>
    </row>
    <row r="1436" spans="12:12">
      <c r="L1436" s="123"/>
    </row>
    <row r="1437" spans="12:12">
      <c r="L1437" s="123"/>
    </row>
    <row r="1438" spans="12:12">
      <c r="L1438" s="123"/>
    </row>
    <row r="1439" spans="12:12">
      <c r="L1439" s="123"/>
    </row>
    <row r="1440" spans="12:12">
      <c r="L1440" s="123"/>
    </row>
    <row r="1441" spans="12:12">
      <c r="L1441" s="123"/>
    </row>
    <row r="1442" spans="12:12">
      <c r="L1442" s="123"/>
    </row>
    <row r="1443" spans="12:12">
      <c r="L1443" s="123"/>
    </row>
    <row r="1444" spans="12:12">
      <c r="L1444" s="123"/>
    </row>
    <row r="1445" spans="12:12">
      <c r="L1445" s="123"/>
    </row>
    <row r="1446" spans="12:12">
      <c r="L1446" s="123"/>
    </row>
    <row r="1447" spans="12:12">
      <c r="L1447" s="123"/>
    </row>
    <row r="1448" spans="12:12">
      <c r="L1448" s="123"/>
    </row>
    <row r="1449" spans="12:12">
      <c r="L1449" s="123"/>
    </row>
    <row r="1450" spans="12:12">
      <c r="L1450" s="123"/>
    </row>
    <row r="1451" spans="12:12">
      <c r="L1451" s="123"/>
    </row>
    <row r="1452" spans="12:12">
      <c r="L1452" s="123"/>
    </row>
    <row r="1453" spans="12:12">
      <c r="L1453" s="123"/>
    </row>
    <row r="1454" spans="12:12">
      <c r="L1454" s="123"/>
    </row>
    <row r="1455" spans="12:12">
      <c r="L1455" s="123"/>
    </row>
    <row r="1456" spans="12:12">
      <c r="L1456" s="123"/>
    </row>
    <row r="1457" spans="12:12">
      <c r="L1457" s="123"/>
    </row>
    <row r="1458" spans="12:12">
      <c r="L1458" s="123"/>
    </row>
    <row r="1459" spans="12:12">
      <c r="L1459" s="123"/>
    </row>
    <row r="1460" spans="12:12">
      <c r="L1460" s="123"/>
    </row>
    <row r="1461" spans="12:12">
      <c r="L1461" s="123"/>
    </row>
    <row r="1462" spans="12:12">
      <c r="L1462" s="123"/>
    </row>
    <row r="1463" spans="12:12">
      <c r="L1463" s="123"/>
    </row>
    <row r="1464" spans="12:12">
      <c r="L1464" s="123"/>
    </row>
    <row r="1465" spans="12:12">
      <c r="L1465" s="123"/>
    </row>
    <row r="1466" spans="12:12">
      <c r="L1466" s="123"/>
    </row>
    <row r="1467" spans="12:12">
      <c r="L1467" s="123"/>
    </row>
    <row r="1468" spans="12:12">
      <c r="L1468" s="123"/>
    </row>
    <row r="1469" spans="12:12">
      <c r="L1469" s="123"/>
    </row>
    <row r="1470" spans="12:12">
      <c r="L1470" s="123"/>
    </row>
    <row r="1471" spans="12:12">
      <c r="L1471" s="123"/>
    </row>
    <row r="1472" spans="12:12">
      <c r="L1472" s="245"/>
    </row>
    <row r="1473" spans="12:18">
      <c r="L1473" s="123"/>
    </row>
    <row r="1474" spans="12:18">
      <c r="L1474" s="123"/>
    </row>
    <row r="1475" spans="12:18">
      <c r="L1475" s="123"/>
    </row>
    <row r="1476" spans="12:18">
      <c r="L1476" s="123"/>
    </row>
    <row r="1477" spans="12:18">
      <c r="L1477" s="247"/>
      <c r="O1477" s="360"/>
      <c r="Q1477" s="351"/>
      <c r="R1477" s="242"/>
    </row>
    <row r="1478" spans="12:18">
      <c r="L1478" s="123"/>
    </row>
    <row r="1479" spans="12:18">
      <c r="L1479" s="123"/>
    </row>
    <row r="1480" spans="12:18">
      <c r="L1480" s="123"/>
    </row>
    <row r="1481" spans="12:18">
      <c r="L1481" s="123"/>
    </row>
    <row r="1482" spans="12:18">
      <c r="L1482" s="123"/>
    </row>
    <row r="1483" spans="12:18">
      <c r="L1483" s="123"/>
    </row>
    <row r="1484" spans="12:18">
      <c r="L1484" s="211"/>
    </row>
    <row r="1485" spans="12:18">
      <c r="L1485" s="123"/>
    </row>
    <row r="1486" spans="12:18">
      <c r="L1486" s="123"/>
    </row>
    <row r="1487" spans="12:18">
      <c r="L1487" s="123"/>
      <c r="O1487" s="360"/>
      <c r="Q1487" s="351"/>
      <c r="R1487" s="242"/>
    </row>
    <row r="1488" spans="12:18">
      <c r="L1488" s="123"/>
    </row>
    <row r="1489" spans="12:18">
      <c r="L1489" s="123"/>
    </row>
    <row r="1490" spans="12:18">
      <c r="L1490" s="123"/>
    </row>
    <row r="1491" spans="12:18">
      <c r="L1491" s="123"/>
      <c r="O1491" s="360"/>
      <c r="Q1491" s="351"/>
      <c r="R1491" s="242"/>
    </row>
    <row r="1492" spans="12:18">
      <c r="L1492" s="123"/>
    </row>
    <row r="1493" spans="12:18">
      <c r="L1493" s="123"/>
    </row>
    <row r="1494" spans="12:18">
      <c r="L1494" s="123"/>
    </row>
    <row r="1495" spans="12:18">
      <c r="L1495" s="245"/>
    </row>
    <row r="1496" spans="12:18">
      <c r="L1496" s="123"/>
      <c r="O1496" s="360"/>
      <c r="Q1496" s="351"/>
      <c r="R1496" s="242"/>
    </row>
    <row r="1497" spans="12:18">
      <c r="L1497" s="123"/>
      <c r="O1497" s="360"/>
      <c r="Q1497" s="351"/>
      <c r="R1497" s="242"/>
    </row>
    <row r="1498" spans="12:18">
      <c r="L1498" s="123"/>
      <c r="O1498" s="360"/>
      <c r="Q1498" s="351"/>
      <c r="R1498" s="242"/>
    </row>
    <row r="1499" spans="12:18">
      <c r="L1499" s="123"/>
    </row>
    <row r="1500" spans="12:18">
      <c r="L1500" s="123"/>
      <c r="O1500" s="360"/>
      <c r="Q1500" s="351"/>
      <c r="R1500" s="242"/>
    </row>
    <row r="1501" spans="12:18">
      <c r="L1501" s="123"/>
      <c r="O1501" s="360"/>
      <c r="Q1501" s="351"/>
      <c r="R1501" s="242"/>
    </row>
    <row r="1502" spans="12:18">
      <c r="L1502" s="123"/>
    </row>
    <row r="1503" spans="12:18">
      <c r="L1503" s="123"/>
      <c r="O1503" s="360"/>
      <c r="Q1503" s="351"/>
      <c r="R1503" s="242"/>
    </row>
    <row r="1504" spans="12:18">
      <c r="L1504" s="123"/>
    </row>
    <row r="1505" spans="12:18">
      <c r="L1505" s="123"/>
      <c r="O1505" s="360"/>
      <c r="Q1505" s="351"/>
      <c r="R1505" s="242"/>
    </row>
    <row r="1506" spans="12:18">
      <c r="L1506" s="123"/>
      <c r="O1506" s="360"/>
      <c r="Q1506" s="351"/>
      <c r="R1506" s="242"/>
    </row>
    <row r="1507" spans="12:18">
      <c r="L1507" s="245"/>
      <c r="O1507" s="360"/>
      <c r="Q1507" s="351"/>
      <c r="R1507" s="242"/>
    </row>
    <row r="1508" spans="12:18">
      <c r="L1508" s="123"/>
      <c r="O1508" s="360"/>
      <c r="Q1508" s="351"/>
      <c r="R1508" s="242"/>
    </row>
    <row r="1509" spans="12:18">
      <c r="L1509" s="27"/>
      <c r="O1509" s="360"/>
      <c r="Q1509" s="351"/>
      <c r="R1509" s="242"/>
    </row>
    <row r="1510" spans="12:18">
      <c r="L1510" s="245"/>
      <c r="O1510" s="360"/>
      <c r="Q1510" s="351"/>
      <c r="R1510" s="242"/>
    </row>
    <row r="1511" spans="12:18">
      <c r="L1511" s="123"/>
      <c r="O1511" s="360"/>
      <c r="Q1511" s="351"/>
      <c r="R1511" s="242"/>
    </row>
    <row r="1512" spans="12:18">
      <c r="L1512" s="123"/>
      <c r="O1512" s="360"/>
      <c r="Q1512" s="351"/>
      <c r="R1512" s="242"/>
    </row>
    <row r="1513" spans="12:18">
      <c r="L1513" s="123"/>
      <c r="O1513" s="360"/>
      <c r="Q1513" s="351"/>
      <c r="R1513" s="242"/>
    </row>
    <row r="1514" spans="12:18">
      <c r="L1514" s="123"/>
      <c r="O1514" s="360"/>
      <c r="Q1514" s="351"/>
      <c r="R1514" s="242"/>
    </row>
    <row r="1515" spans="12:18">
      <c r="L1515" s="245"/>
    </row>
    <row r="1516" spans="12:18">
      <c r="L1516" s="123"/>
      <c r="O1516" s="360"/>
      <c r="Q1516" s="351"/>
      <c r="R1516" s="242"/>
    </row>
    <row r="1517" spans="12:18">
      <c r="L1517" s="123"/>
      <c r="O1517" s="360"/>
      <c r="Q1517" s="351"/>
      <c r="R1517" s="242"/>
    </row>
    <row r="1518" spans="12:18">
      <c r="L1518" s="123"/>
      <c r="O1518" s="360"/>
      <c r="Q1518" s="351"/>
      <c r="R1518" s="242"/>
    </row>
    <row r="1519" spans="12:18">
      <c r="L1519" s="123"/>
      <c r="O1519" s="360"/>
      <c r="Q1519" s="351"/>
      <c r="R1519" s="242"/>
    </row>
    <row r="1520" spans="12:18">
      <c r="L1520" s="123"/>
      <c r="O1520" s="360"/>
      <c r="Q1520" s="351"/>
      <c r="R1520" s="242"/>
    </row>
    <row r="1521" spans="12:18">
      <c r="L1521" s="123"/>
      <c r="O1521" s="360"/>
      <c r="Q1521" s="351"/>
      <c r="R1521" s="242"/>
    </row>
    <row r="1522" spans="12:18">
      <c r="L1522" s="123"/>
      <c r="O1522" s="360"/>
      <c r="Q1522" s="351"/>
      <c r="R1522" s="242"/>
    </row>
    <row r="1523" spans="12:18">
      <c r="L1523" s="123"/>
      <c r="O1523" s="360"/>
      <c r="Q1523" s="351"/>
      <c r="R1523" s="242"/>
    </row>
    <row r="1524" spans="12:18">
      <c r="L1524" s="123"/>
    </row>
    <row r="1525" spans="12:18">
      <c r="L1525" s="123"/>
      <c r="O1525" s="360"/>
      <c r="Q1525" s="351"/>
      <c r="R1525" s="242"/>
    </row>
    <row r="1526" spans="12:18">
      <c r="L1526" s="123"/>
      <c r="O1526" s="360"/>
      <c r="Q1526" s="351"/>
      <c r="R1526" s="242"/>
    </row>
    <row r="1527" spans="12:18">
      <c r="L1527" s="123"/>
      <c r="O1527" s="360"/>
      <c r="Q1527" s="351"/>
      <c r="R1527" s="242"/>
    </row>
    <row r="1528" spans="12:18">
      <c r="L1528" s="123"/>
      <c r="O1528" s="360"/>
      <c r="Q1528" s="351"/>
      <c r="R1528" s="242"/>
    </row>
    <row r="1529" spans="12:18">
      <c r="L1529" s="123"/>
      <c r="O1529" s="360"/>
      <c r="Q1529" s="351"/>
      <c r="R1529" s="242"/>
    </row>
    <row r="1530" spans="12:18">
      <c r="L1530" s="123"/>
      <c r="O1530" s="360"/>
      <c r="Q1530" s="351"/>
      <c r="R1530" s="242"/>
    </row>
    <row r="1531" spans="12:18">
      <c r="L1531" s="123"/>
      <c r="O1531" s="360"/>
      <c r="Q1531" s="351"/>
      <c r="R1531" s="242"/>
    </row>
    <row r="1532" spans="12:18">
      <c r="L1532" s="123"/>
      <c r="O1532" s="360"/>
      <c r="Q1532" s="351"/>
      <c r="R1532" s="242"/>
    </row>
    <row r="1533" spans="12:18">
      <c r="L1533" s="123"/>
      <c r="O1533" s="360"/>
      <c r="Q1533" s="351"/>
      <c r="R1533" s="242"/>
    </row>
    <row r="1534" spans="12:18">
      <c r="L1534" s="123"/>
      <c r="O1534" s="360"/>
      <c r="Q1534" s="351"/>
      <c r="R1534" s="242"/>
    </row>
    <row r="1535" spans="12:18">
      <c r="L1535" s="245"/>
      <c r="O1535" s="360"/>
      <c r="Q1535" s="351"/>
      <c r="R1535" s="242"/>
    </row>
    <row r="1536" spans="12:18">
      <c r="L1536" s="123"/>
    </row>
    <row r="1537" spans="12:18">
      <c r="L1537" s="123"/>
      <c r="O1537" s="360"/>
      <c r="Q1537" s="351"/>
      <c r="R1537" s="242"/>
    </row>
    <row r="1538" spans="12:18">
      <c r="L1538" s="123"/>
      <c r="O1538" s="360"/>
      <c r="Q1538" s="351"/>
      <c r="R1538" s="242"/>
    </row>
    <row r="1539" spans="12:18">
      <c r="L1539" s="123"/>
      <c r="O1539" s="360"/>
      <c r="Q1539" s="351"/>
      <c r="R1539" s="242"/>
    </row>
    <row r="1540" spans="12:18">
      <c r="L1540" s="123"/>
      <c r="O1540" s="360"/>
      <c r="Q1540" s="351"/>
      <c r="R1540" s="242"/>
    </row>
    <row r="1541" spans="12:18">
      <c r="L1541" s="123"/>
      <c r="O1541" s="360"/>
      <c r="Q1541" s="351"/>
      <c r="R1541" s="242"/>
    </row>
    <row r="1542" spans="12:18">
      <c r="L1542" s="123"/>
      <c r="O1542" s="360"/>
      <c r="Q1542" s="351"/>
      <c r="R1542" s="242"/>
    </row>
    <row r="1543" spans="12:18">
      <c r="L1543" s="123"/>
      <c r="O1543" s="360"/>
      <c r="Q1543" s="351"/>
      <c r="R1543" s="242"/>
    </row>
    <row r="1544" spans="12:18">
      <c r="L1544" s="123"/>
      <c r="O1544" s="360"/>
      <c r="Q1544" s="351"/>
      <c r="R1544" s="242"/>
    </row>
    <row r="1545" spans="12:18">
      <c r="L1545" s="123"/>
    </row>
    <row r="1546" spans="12:18">
      <c r="L1546" s="123"/>
      <c r="O1546" s="360"/>
      <c r="Q1546" s="351"/>
      <c r="R1546" s="242"/>
    </row>
    <row r="1547" spans="12:18">
      <c r="L1547" s="123"/>
      <c r="O1547" s="360"/>
      <c r="Q1547" s="351"/>
      <c r="R1547" s="242"/>
    </row>
    <row r="1548" spans="12:18">
      <c r="L1548" s="123"/>
      <c r="O1548" s="360"/>
      <c r="Q1548" s="351"/>
      <c r="R1548" s="242"/>
    </row>
    <row r="1549" spans="12:18">
      <c r="L1549" s="123"/>
      <c r="O1549" s="360"/>
      <c r="Q1549" s="351"/>
      <c r="R1549" s="242"/>
    </row>
    <row r="1550" spans="12:18">
      <c r="L1550" s="123"/>
      <c r="O1550" s="360"/>
      <c r="Q1550" s="351"/>
      <c r="R1550" s="242"/>
    </row>
    <row r="1551" spans="12:18">
      <c r="L1551" s="123"/>
      <c r="O1551" s="360"/>
      <c r="Q1551" s="351"/>
      <c r="R1551" s="242"/>
    </row>
    <row r="1552" spans="12:18">
      <c r="L1552" s="123"/>
      <c r="O1552" s="360"/>
      <c r="Q1552" s="351"/>
      <c r="R1552" s="242"/>
    </row>
    <row r="1553" spans="12:18">
      <c r="L1553" s="123"/>
      <c r="O1553" s="360"/>
      <c r="Q1553" s="351"/>
      <c r="R1553" s="242"/>
    </row>
    <row r="1554" spans="12:18">
      <c r="L1554" s="123"/>
      <c r="O1554" s="360"/>
      <c r="Q1554" s="351"/>
      <c r="R1554" s="242"/>
    </row>
    <row r="1555" spans="12:18">
      <c r="L1555" s="123"/>
      <c r="O1555" s="360"/>
      <c r="Q1555" s="351"/>
      <c r="R1555" s="242"/>
    </row>
    <row r="1556" spans="12:18">
      <c r="L1556" s="123"/>
      <c r="O1556" s="360"/>
      <c r="Q1556" s="351"/>
      <c r="R1556" s="242"/>
    </row>
    <row r="1557" spans="12:18">
      <c r="L1557" s="123"/>
      <c r="O1557" s="360"/>
      <c r="Q1557" s="351"/>
      <c r="R1557" s="242"/>
    </row>
    <row r="1558" spans="12:18">
      <c r="L1558" s="123"/>
      <c r="O1558" s="360"/>
      <c r="Q1558" s="351"/>
      <c r="R1558" s="242"/>
    </row>
    <row r="1559" spans="12:18">
      <c r="L1559" s="123"/>
      <c r="O1559" s="360"/>
      <c r="Q1559" s="351"/>
      <c r="R1559" s="242"/>
    </row>
    <row r="1560" spans="12:18">
      <c r="L1560" s="123"/>
      <c r="O1560" s="360"/>
      <c r="Q1560" s="351"/>
      <c r="R1560" s="242"/>
    </row>
    <row r="1561" spans="12:18">
      <c r="L1561" s="123"/>
      <c r="O1561" s="360"/>
      <c r="Q1561" s="351"/>
      <c r="R1561" s="242"/>
    </row>
    <row r="1562" spans="12:18">
      <c r="L1562" s="123"/>
      <c r="O1562" s="360"/>
      <c r="Q1562" s="351"/>
      <c r="R1562" s="242"/>
    </row>
    <row r="1563" spans="12:18">
      <c r="L1563" s="123"/>
      <c r="O1563" s="360"/>
      <c r="Q1563" s="351"/>
      <c r="R1563" s="242"/>
    </row>
    <row r="1564" spans="12:18">
      <c r="L1564" s="123"/>
      <c r="O1564" s="360"/>
      <c r="Q1564" s="351"/>
      <c r="R1564" s="242"/>
    </row>
    <row r="1565" spans="12:18">
      <c r="L1565" s="123"/>
      <c r="O1565" s="360"/>
      <c r="Q1565" s="351"/>
      <c r="R1565" s="242"/>
    </row>
    <row r="1566" spans="12:18">
      <c r="L1566" s="123"/>
      <c r="O1566" s="360"/>
      <c r="Q1566" s="351"/>
      <c r="R1566" s="242"/>
    </row>
    <row r="1567" spans="12:18">
      <c r="L1567" s="123"/>
      <c r="O1567" s="360"/>
      <c r="Q1567" s="351"/>
      <c r="R1567" s="242"/>
    </row>
    <row r="1568" spans="12:18">
      <c r="L1568" s="123"/>
      <c r="O1568" s="360"/>
      <c r="Q1568" s="351"/>
      <c r="R1568" s="242"/>
    </row>
    <row r="1569" spans="12:18">
      <c r="L1569" s="123"/>
      <c r="O1569" s="360"/>
      <c r="Q1569" s="351"/>
      <c r="R1569" s="242"/>
    </row>
    <row r="1570" spans="12:18">
      <c r="L1570" s="123"/>
      <c r="O1570" s="360"/>
      <c r="Q1570" s="351"/>
      <c r="R1570" s="242"/>
    </row>
    <row r="1571" spans="12:18">
      <c r="L1571" s="123"/>
      <c r="O1571" s="360"/>
      <c r="Q1571" s="351"/>
      <c r="R1571" s="242"/>
    </row>
    <row r="1572" spans="12:18">
      <c r="L1572" s="123"/>
      <c r="O1572" s="360"/>
      <c r="Q1572" s="351"/>
      <c r="R1572" s="242"/>
    </row>
    <row r="1573" spans="12:18">
      <c r="L1573" s="123"/>
      <c r="O1573" s="360"/>
      <c r="Q1573" s="351"/>
      <c r="R1573" s="242"/>
    </row>
    <row r="1574" spans="12:18">
      <c r="L1574" s="245"/>
      <c r="O1574" s="360"/>
      <c r="Q1574" s="351"/>
      <c r="R1574" s="242"/>
    </row>
    <row r="1575" spans="12:18">
      <c r="L1575" s="123"/>
      <c r="O1575" s="360"/>
      <c r="Q1575" s="351"/>
      <c r="R1575" s="242"/>
    </row>
    <row r="1576" spans="12:18">
      <c r="L1576" s="123"/>
      <c r="O1576" s="360"/>
      <c r="Q1576" s="351"/>
      <c r="R1576" s="242"/>
    </row>
    <row r="1577" spans="12:18">
      <c r="L1577" s="123"/>
      <c r="O1577" s="360"/>
      <c r="Q1577" s="351"/>
      <c r="R1577" s="242"/>
    </row>
    <row r="1578" spans="12:18">
      <c r="L1578" s="123"/>
      <c r="O1578" s="360"/>
      <c r="Q1578" s="351"/>
      <c r="R1578" s="242"/>
    </row>
    <row r="1579" spans="12:18">
      <c r="L1579" s="123"/>
      <c r="O1579" s="360"/>
      <c r="Q1579" s="351"/>
      <c r="R1579" s="242"/>
    </row>
    <row r="1580" spans="12:18">
      <c r="L1580" s="123"/>
      <c r="O1580" s="360"/>
      <c r="Q1580" s="351"/>
      <c r="R1580" s="242"/>
    </row>
    <row r="1581" spans="12:18">
      <c r="L1581" s="123"/>
      <c r="O1581" s="360"/>
      <c r="Q1581" s="351"/>
      <c r="R1581" s="242"/>
    </row>
    <row r="1582" spans="12:18">
      <c r="L1582" s="123"/>
      <c r="O1582" s="360"/>
      <c r="Q1582" s="351"/>
      <c r="R1582" s="242"/>
    </row>
    <row r="1583" spans="12:18">
      <c r="L1583" s="123"/>
      <c r="O1583" s="360"/>
      <c r="Q1583" s="351"/>
      <c r="R1583" s="242"/>
    </row>
    <row r="1584" spans="12:18">
      <c r="L1584" s="123"/>
      <c r="O1584" s="360"/>
      <c r="Q1584" s="351"/>
      <c r="R1584" s="242"/>
    </row>
    <row r="1585" spans="12:18">
      <c r="L1585" s="123"/>
      <c r="O1585" s="360"/>
      <c r="Q1585" s="351"/>
      <c r="R1585" s="242"/>
    </row>
    <row r="1586" spans="12:18">
      <c r="L1586" s="123"/>
      <c r="O1586" s="360"/>
      <c r="Q1586" s="351"/>
      <c r="R1586" s="242"/>
    </row>
    <row r="1587" spans="12:18">
      <c r="L1587" s="123"/>
      <c r="O1587" s="360"/>
      <c r="Q1587" s="351"/>
      <c r="R1587" s="242"/>
    </row>
    <row r="1588" spans="12:18">
      <c r="L1588" s="123"/>
      <c r="O1588" s="360"/>
      <c r="Q1588" s="351"/>
      <c r="R1588" s="242"/>
    </row>
    <row r="1589" spans="12:18">
      <c r="L1589" s="123"/>
      <c r="O1589" s="360"/>
      <c r="Q1589" s="351"/>
      <c r="R1589" s="242"/>
    </row>
    <row r="1590" spans="12:18">
      <c r="L1590" s="123"/>
      <c r="O1590" s="360"/>
      <c r="Q1590" s="351"/>
      <c r="R1590" s="242"/>
    </row>
    <row r="1591" spans="12:18">
      <c r="L1591" s="123"/>
      <c r="O1591" s="360"/>
      <c r="Q1591" s="351"/>
      <c r="R1591" s="242"/>
    </row>
    <row r="1592" spans="12:18">
      <c r="L1592" s="123"/>
      <c r="O1592" s="360"/>
      <c r="Q1592" s="351"/>
      <c r="R1592" s="242"/>
    </row>
    <row r="1593" spans="12:18">
      <c r="L1593" s="123"/>
      <c r="O1593" s="360"/>
      <c r="Q1593" s="351"/>
      <c r="R1593" s="242"/>
    </row>
    <row r="1594" spans="12:18">
      <c r="L1594" s="123"/>
      <c r="O1594" s="360"/>
      <c r="Q1594" s="351"/>
      <c r="R1594" s="242"/>
    </row>
    <row r="1595" spans="12:18">
      <c r="L1595" s="123"/>
      <c r="O1595" s="360"/>
      <c r="Q1595" s="351"/>
      <c r="R1595" s="242"/>
    </row>
    <row r="1596" spans="12:18">
      <c r="L1596" s="123"/>
      <c r="O1596" s="360"/>
      <c r="Q1596" s="351"/>
      <c r="R1596" s="242"/>
    </row>
    <row r="1597" spans="12:18">
      <c r="L1597" s="123"/>
      <c r="O1597" s="360"/>
      <c r="Q1597" s="351"/>
      <c r="R1597" s="242"/>
    </row>
    <row r="1598" spans="12:18">
      <c r="L1598" s="123"/>
      <c r="O1598" s="360"/>
      <c r="Q1598" s="351"/>
      <c r="R1598" s="242"/>
    </row>
    <row r="1599" spans="12:18">
      <c r="L1599" s="123"/>
      <c r="O1599" s="360"/>
      <c r="Q1599" s="351"/>
      <c r="R1599" s="242"/>
    </row>
    <row r="1600" spans="12:18">
      <c r="L1600" s="123"/>
      <c r="O1600" s="360"/>
      <c r="Q1600" s="351"/>
      <c r="R1600" s="242"/>
    </row>
    <row r="1601" spans="12:18">
      <c r="L1601" s="123"/>
      <c r="O1601" s="360"/>
      <c r="Q1601" s="351"/>
      <c r="R1601" s="242"/>
    </row>
    <row r="1602" spans="12:18">
      <c r="L1602" s="123"/>
      <c r="O1602" s="360"/>
      <c r="Q1602" s="351"/>
      <c r="R1602" s="242"/>
    </row>
    <row r="1603" spans="12:18">
      <c r="L1603" s="123"/>
      <c r="O1603" s="360"/>
      <c r="Q1603" s="351"/>
      <c r="R1603" s="242"/>
    </row>
    <row r="1604" spans="12:18">
      <c r="L1604" s="123"/>
      <c r="O1604" s="360"/>
      <c r="Q1604" s="351"/>
      <c r="R1604" s="242"/>
    </row>
    <row r="1605" spans="12:18">
      <c r="L1605" s="123"/>
      <c r="O1605" s="360"/>
      <c r="Q1605" s="351"/>
      <c r="R1605" s="242"/>
    </row>
    <row r="1606" spans="12:18">
      <c r="L1606" s="123"/>
      <c r="O1606" s="360"/>
      <c r="Q1606" s="351"/>
      <c r="R1606" s="242"/>
    </row>
    <row r="1607" spans="12:18">
      <c r="L1607" s="120"/>
      <c r="O1607" s="360"/>
      <c r="Q1607" s="351"/>
      <c r="R1607" s="242"/>
    </row>
    <row r="1608" spans="12:18">
      <c r="L1608" s="123"/>
      <c r="O1608" s="360"/>
      <c r="Q1608" s="351"/>
      <c r="R1608" s="242"/>
    </row>
    <row r="1609" spans="12:18">
      <c r="L1609" s="123"/>
      <c r="O1609" s="360"/>
      <c r="Q1609" s="351"/>
      <c r="R1609" s="242"/>
    </row>
    <row r="1610" spans="12:18">
      <c r="L1610" s="123"/>
      <c r="O1610" s="360"/>
      <c r="Q1610" s="351"/>
      <c r="R1610" s="242"/>
    </row>
    <row r="1611" spans="12:18">
      <c r="L1611" s="123"/>
      <c r="O1611" s="360"/>
      <c r="Q1611" s="351"/>
      <c r="R1611" s="242"/>
    </row>
    <row r="1612" spans="12:18">
      <c r="L1612" s="123"/>
      <c r="O1612" s="360"/>
      <c r="Q1612" s="351"/>
      <c r="R1612" s="242"/>
    </row>
    <row r="1613" spans="12:18">
      <c r="L1613" s="123"/>
      <c r="O1613" s="360"/>
      <c r="Q1613" s="351"/>
      <c r="R1613" s="242"/>
    </row>
    <row r="1614" spans="12:18">
      <c r="L1614" s="123"/>
      <c r="O1614" s="360"/>
      <c r="Q1614" s="351"/>
      <c r="R1614" s="242"/>
    </row>
    <row r="1615" spans="12:18">
      <c r="L1615" s="123"/>
      <c r="O1615" s="360"/>
      <c r="Q1615" s="351"/>
      <c r="R1615" s="242"/>
    </row>
    <row r="1616" spans="12:18">
      <c r="L1616" s="123"/>
      <c r="O1616" s="360"/>
      <c r="Q1616" s="351"/>
      <c r="R1616" s="242"/>
    </row>
    <row r="1617" spans="12:18">
      <c r="L1617" s="123"/>
      <c r="O1617" s="360"/>
      <c r="Q1617" s="351"/>
      <c r="R1617" s="242"/>
    </row>
    <row r="1618" spans="12:18">
      <c r="L1618" s="123"/>
      <c r="O1618" s="360"/>
      <c r="Q1618" s="351"/>
      <c r="R1618" s="242"/>
    </row>
    <row r="1619" spans="12:18">
      <c r="L1619" s="123"/>
      <c r="O1619" s="360"/>
      <c r="Q1619" s="351"/>
      <c r="R1619" s="242"/>
    </row>
    <row r="1620" spans="12:18">
      <c r="L1620" s="123"/>
      <c r="O1620" s="360"/>
      <c r="Q1620" s="351"/>
      <c r="R1620" s="242"/>
    </row>
    <row r="1621" spans="12:18">
      <c r="L1621" s="245"/>
      <c r="O1621" s="360"/>
      <c r="Q1621" s="351"/>
      <c r="R1621" s="242"/>
    </row>
    <row r="1622" spans="12:18">
      <c r="L1622" s="123"/>
      <c r="O1622" s="360"/>
      <c r="Q1622" s="351"/>
      <c r="R1622" s="242"/>
    </row>
    <row r="1623" spans="12:18">
      <c r="L1623" s="123"/>
      <c r="O1623" s="360"/>
      <c r="Q1623" s="351"/>
      <c r="R1623" s="242"/>
    </row>
    <row r="1624" spans="12:18">
      <c r="L1624" s="123"/>
      <c r="O1624" s="360"/>
      <c r="Q1624" s="351"/>
      <c r="R1624" s="242"/>
    </row>
    <row r="1625" spans="12:18">
      <c r="L1625" s="123"/>
      <c r="O1625" s="360"/>
      <c r="Q1625" s="351"/>
      <c r="R1625" s="242"/>
    </row>
    <row r="1626" spans="12:18">
      <c r="L1626" s="123"/>
      <c r="O1626" s="360"/>
      <c r="Q1626" s="351"/>
      <c r="R1626" s="242"/>
    </row>
    <row r="1627" spans="12:18">
      <c r="L1627" s="123"/>
      <c r="O1627" s="360"/>
      <c r="Q1627" s="351"/>
      <c r="R1627" s="242"/>
    </row>
    <row r="1628" spans="12:18">
      <c r="L1628" s="123"/>
      <c r="O1628" s="360"/>
      <c r="Q1628" s="351"/>
      <c r="R1628" s="242"/>
    </row>
    <row r="1629" spans="12:18">
      <c r="L1629" s="123"/>
      <c r="O1629" s="360"/>
      <c r="Q1629" s="351"/>
      <c r="R1629" s="242"/>
    </row>
    <row r="1630" spans="12:18">
      <c r="L1630" s="123"/>
      <c r="O1630" s="360"/>
      <c r="Q1630" s="351"/>
      <c r="R1630" s="242"/>
    </row>
    <row r="1631" spans="12:18">
      <c r="L1631" s="123"/>
      <c r="O1631" s="360"/>
      <c r="Q1631" s="351"/>
      <c r="R1631" s="242"/>
    </row>
    <row r="1632" spans="12:18">
      <c r="L1632" s="123"/>
      <c r="O1632" s="360"/>
      <c r="Q1632" s="351"/>
      <c r="R1632" s="242"/>
    </row>
    <row r="1633" spans="12:18">
      <c r="L1633" s="123"/>
      <c r="O1633" s="360"/>
      <c r="Q1633" s="351"/>
      <c r="R1633" s="242"/>
    </row>
    <row r="1634" spans="12:18">
      <c r="L1634" s="123"/>
      <c r="O1634" s="360"/>
      <c r="Q1634" s="351"/>
      <c r="R1634" s="242"/>
    </row>
    <row r="1635" spans="12:18">
      <c r="L1635" s="123"/>
      <c r="O1635" s="360"/>
      <c r="Q1635" s="351"/>
      <c r="R1635" s="242"/>
    </row>
    <row r="1636" spans="12:18">
      <c r="L1636" s="27"/>
      <c r="O1636" s="360"/>
      <c r="Q1636" s="351"/>
      <c r="R1636" s="242"/>
    </row>
    <row r="1637" spans="12:18">
      <c r="L1637" s="123"/>
      <c r="O1637" s="360"/>
      <c r="Q1637" s="351"/>
      <c r="R1637" s="242"/>
    </row>
    <row r="1638" spans="12:18">
      <c r="L1638" s="123"/>
      <c r="O1638" s="360"/>
      <c r="Q1638" s="351"/>
      <c r="R1638" s="242"/>
    </row>
    <row r="1639" spans="12:18">
      <c r="L1639" s="123"/>
      <c r="O1639" s="360"/>
      <c r="Q1639" s="351"/>
      <c r="R1639" s="242"/>
    </row>
    <row r="1640" spans="12:18">
      <c r="L1640" s="123"/>
      <c r="O1640" s="360"/>
      <c r="Q1640" s="351"/>
      <c r="R1640" s="242"/>
    </row>
    <row r="1641" spans="12:18">
      <c r="L1641" s="123"/>
      <c r="O1641" s="360"/>
      <c r="Q1641" s="351"/>
      <c r="R1641" s="242"/>
    </row>
    <row r="1642" spans="12:18">
      <c r="L1642" s="123"/>
      <c r="O1642" s="360"/>
      <c r="Q1642" s="351"/>
      <c r="R1642" s="242"/>
    </row>
    <row r="1643" spans="12:18">
      <c r="L1643" s="123"/>
      <c r="O1643" s="360"/>
      <c r="Q1643" s="351"/>
      <c r="R1643" s="242"/>
    </row>
    <row r="1644" spans="12:18">
      <c r="L1644" s="123"/>
      <c r="O1644" s="360"/>
      <c r="Q1644" s="351"/>
      <c r="R1644" s="242"/>
    </row>
    <row r="1645" spans="12:18">
      <c r="L1645" s="123"/>
      <c r="O1645" s="360"/>
      <c r="Q1645" s="351"/>
      <c r="R1645" s="242"/>
    </row>
    <row r="1646" spans="12:18">
      <c r="L1646" s="123"/>
      <c r="O1646" s="360"/>
      <c r="Q1646" s="351"/>
      <c r="R1646" s="242"/>
    </row>
    <row r="1647" spans="12:18">
      <c r="L1647" s="123"/>
      <c r="O1647" s="360"/>
      <c r="Q1647" s="351"/>
      <c r="R1647" s="242"/>
    </row>
    <row r="1648" spans="12:18">
      <c r="L1648" s="123"/>
      <c r="O1648" s="360"/>
      <c r="Q1648" s="351"/>
      <c r="R1648" s="242"/>
    </row>
    <row r="1649" spans="12:18">
      <c r="L1649" s="123"/>
      <c r="O1649" s="360"/>
      <c r="Q1649" s="351"/>
      <c r="R1649" s="242"/>
    </row>
    <row r="1650" spans="12:18">
      <c r="L1650" s="245"/>
      <c r="O1650" s="360"/>
      <c r="Q1650" s="351"/>
      <c r="R1650" s="242"/>
    </row>
    <row r="1651" spans="12:18">
      <c r="L1651" s="123"/>
      <c r="O1651" s="360"/>
      <c r="Q1651" s="351"/>
      <c r="R1651" s="242"/>
    </row>
    <row r="1652" spans="12:18">
      <c r="L1652" s="123"/>
      <c r="O1652" s="360"/>
      <c r="Q1652" s="351"/>
      <c r="R1652" s="242"/>
    </row>
    <row r="1653" spans="12:18">
      <c r="L1653" s="123"/>
      <c r="O1653" s="360"/>
      <c r="Q1653" s="351"/>
      <c r="R1653" s="242"/>
    </row>
    <row r="1654" spans="12:18">
      <c r="L1654" s="123"/>
      <c r="O1654" s="360"/>
      <c r="Q1654" s="351"/>
      <c r="R1654" s="242"/>
    </row>
    <row r="1655" spans="12:18">
      <c r="L1655" s="123"/>
      <c r="O1655" s="360"/>
      <c r="Q1655" s="351"/>
      <c r="R1655" s="242"/>
    </row>
    <row r="1656" spans="12:18">
      <c r="L1656" s="123"/>
      <c r="O1656" s="360"/>
      <c r="Q1656" s="351"/>
      <c r="R1656" s="242"/>
    </row>
    <row r="1657" spans="12:18">
      <c r="L1657" s="123"/>
      <c r="O1657" s="360"/>
      <c r="Q1657" s="351"/>
      <c r="R1657" s="242"/>
    </row>
    <row r="1658" spans="12:18">
      <c r="L1658" s="123"/>
      <c r="O1658" s="360"/>
      <c r="Q1658" s="351"/>
      <c r="R1658" s="242"/>
    </row>
    <row r="1659" spans="12:18">
      <c r="L1659" s="123"/>
      <c r="O1659" s="360"/>
      <c r="Q1659" s="351"/>
      <c r="R1659" s="242"/>
    </row>
    <row r="1660" spans="12:18">
      <c r="L1660" s="123"/>
      <c r="O1660" s="360"/>
      <c r="Q1660" s="351"/>
      <c r="R1660" s="242"/>
    </row>
    <row r="1661" spans="12:18">
      <c r="L1661" s="245"/>
      <c r="O1661" s="360"/>
      <c r="Q1661" s="351"/>
      <c r="R1661" s="242"/>
    </row>
    <row r="1662" spans="12:18">
      <c r="L1662" s="123"/>
      <c r="O1662" s="360"/>
      <c r="Q1662" s="351"/>
      <c r="R1662" s="242"/>
    </row>
    <row r="1663" spans="12:18">
      <c r="L1663" s="123"/>
      <c r="O1663" s="360"/>
      <c r="Q1663" s="351"/>
      <c r="R1663" s="242"/>
    </row>
    <row r="1664" spans="12:18">
      <c r="L1664" s="245"/>
      <c r="O1664" s="360"/>
      <c r="Q1664" s="351"/>
      <c r="R1664" s="242"/>
    </row>
    <row r="1665" spans="12:18">
      <c r="L1665" s="123"/>
      <c r="O1665" s="360"/>
      <c r="Q1665" s="351"/>
      <c r="R1665" s="242"/>
    </row>
    <row r="1666" spans="12:18">
      <c r="L1666" s="123"/>
      <c r="O1666" s="360"/>
      <c r="Q1666" s="351"/>
      <c r="R1666" s="242"/>
    </row>
    <row r="1667" spans="12:18">
      <c r="L1667" s="123"/>
      <c r="O1667" s="360"/>
      <c r="Q1667" s="351"/>
      <c r="R1667" s="242"/>
    </row>
    <row r="1668" spans="12:18">
      <c r="L1668" s="123"/>
      <c r="O1668" s="360"/>
      <c r="Q1668" s="351"/>
      <c r="R1668" s="242"/>
    </row>
    <row r="1669" spans="12:18">
      <c r="L1669" s="123"/>
      <c r="O1669" s="360"/>
      <c r="Q1669" s="351"/>
      <c r="R1669" s="242"/>
    </row>
    <row r="1670" spans="12:18">
      <c r="L1670" s="123"/>
      <c r="O1670" s="360"/>
      <c r="Q1670" s="351"/>
      <c r="R1670" s="242"/>
    </row>
    <row r="1671" spans="12:18">
      <c r="L1671" s="123"/>
      <c r="O1671" s="360"/>
      <c r="Q1671" s="351"/>
      <c r="R1671" s="242"/>
    </row>
    <row r="1672" spans="12:18">
      <c r="L1672" s="123"/>
      <c r="O1672" s="360"/>
      <c r="Q1672" s="351"/>
      <c r="R1672" s="242"/>
    </row>
    <row r="1673" spans="12:18">
      <c r="L1673" s="123"/>
      <c r="O1673" s="360"/>
      <c r="Q1673" s="351"/>
      <c r="R1673" s="242"/>
    </row>
    <row r="1674" spans="12:18">
      <c r="L1674" s="123"/>
      <c r="O1674" s="360"/>
      <c r="Q1674" s="351"/>
      <c r="R1674" s="242"/>
    </row>
    <row r="1675" spans="12:18">
      <c r="L1675" s="123"/>
      <c r="O1675" s="360"/>
      <c r="Q1675" s="351"/>
      <c r="R1675" s="242"/>
    </row>
    <row r="1676" spans="12:18">
      <c r="L1676" s="123"/>
      <c r="O1676" s="360"/>
      <c r="Q1676" s="351"/>
      <c r="R1676" s="242"/>
    </row>
    <row r="1677" spans="12:18">
      <c r="L1677" s="123"/>
      <c r="O1677" s="360"/>
      <c r="Q1677" s="351"/>
      <c r="R1677" s="242"/>
    </row>
    <row r="1678" spans="12:18">
      <c r="L1678" s="123"/>
      <c r="O1678" s="360"/>
      <c r="Q1678" s="351"/>
      <c r="R1678" s="242"/>
    </row>
    <row r="1679" spans="12:18">
      <c r="L1679" s="123"/>
      <c r="O1679" s="360"/>
      <c r="Q1679" s="351"/>
      <c r="R1679" s="242"/>
    </row>
    <row r="1680" spans="12:18">
      <c r="L1680" s="123"/>
      <c r="O1680" s="360"/>
      <c r="Q1680" s="351"/>
      <c r="R1680" s="242"/>
    </row>
    <row r="1681" spans="12:18">
      <c r="L1681" s="123"/>
      <c r="O1681" s="360"/>
      <c r="Q1681" s="351"/>
      <c r="R1681" s="242"/>
    </row>
    <row r="1682" spans="12:18">
      <c r="L1682" s="123"/>
      <c r="O1682" s="360"/>
      <c r="Q1682" s="351"/>
      <c r="R1682" s="242"/>
    </row>
    <row r="1683" spans="12:18">
      <c r="L1683" s="123"/>
      <c r="O1683" s="360"/>
      <c r="Q1683" s="351"/>
      <c r="R1683" s="242"/>
    </row>
    <row r="1684" spans="12:18">
      <c r="L1684" s="123"/>
      <c r="O1684" s="360"/>
      <c r="Q1684" s="351"/>
      <c r="R1684" s="242"/>
    </row>
    <row r="1685" spans="12:18">
      <c r="L1685" s="123"/>
      <c r="O1685" s="360"/>
      <c r="Q1685" s="351"/>
      <c r="R1685" s="242"/>
    </row>
    <row r="1686" spans="12:18">
      <c r="L1686" s="123"/>
      <c r="O1686" s="360"/>
      <c r="Q1686" s="351"/>
      <c r="R1686" s="242"/>
    </row>
    <row r="1687" spans="12:18">
      <c r="L1687" s="245"/>
      <c r="O1687" s="360"/>
      <c r="Q1687" s="351"/>
      <c r="R1687" s="242"/>
    </row>
    <row r="1688" spans="12:18">
      <c r="L1688" s="123"/>
      <c r="O1688" s="360"/>
      <c r="Q1688" s="351"/>
      <c r="R1688" s="242"/>
    </row>
    <row r="1689" spans="12:18">
      <c r="L1689" s="123"/>
      <c r="O1689" s="360"/>
      <c r="Q1689" s="351"/>
      <c r="R1689" s="242"/>
    </row>
    <row r="1690" spans="12:18">
      <c r="L1690" s="123"/>
      <c r="O1690" s="360"/>
      <c r="Q1690" s="351"/>
      <c r="R1690" s="242"/>
    </row>
    <row r="1691" spans="12:18">
      <c r="L1691" s="123"/>
      <c r="O1691" s="360"/>
      <c r="Q1691" s="351"/>
      <c r="R1691" s="242"/>
    </row>
    <row r="1692" spans="12:18">
      <c r="L1692" s="123"/>
      <c r="O1692" s="360"/>
      <c r="Q1692" s="351"/>
      <c r="R1692" s="242"/>
    </row>
    <row r="1693" spans="12:18">
      <c r="L1693" s="123"/>
      <c r="O1693" s="360"/>
      <c r="Q1693" s="351"/>
      <c r="R1693" s="242"/>
    </row>
    <row r="1694" spans="12:18">
      <c r="L1694" s="123"/>
      <c r="O1694" s="360"/>
      <c r="Q1694" s="351"/>
      <c r="R1694" s="242"/>
    </row>
    <row r="1695" spans="12:18">
      <c r="L1695" s="123"/>
      <c r="O1695" s="360"/>
      <c r="Q1695" s="351"/>
      <c r="R1695" s="242"/>
    </row>
    <row r="1696" spans="12:18">
      <c r="L1696" s="123"/>
      <c r="O1696" s="360"/>
      <c r="Q1696" s="351"/>
      <c r="R1696" s="242"/>
    </row>
    <row r="1697" spans="12:18">
      <c r="L1697" s="123"/>
      <c r="O1697" s="360"/>
      <c r="Q1697" s="351"/>
      <c r="R1697" s="242"/>
    </row>
    <row r="1698" spans="12:18">
      <c r="L1698" s="123"/>
      <c r="O1698" s="360"/>
      <c r="Q1698" s="351"/>
      <c r="R1698" s="242"/>
    </row>
    <row r="1699" spans="12:18">
      <c r="L1699" s="123"/>
      <c r="O1699" s="360"/>
      <c r="Q1699" s="351"/>
      <c r="R1699" s="242"/>
    </row>
    <row r="1700" spans="12:18">
      <c r="L1700" s="123"/>
      <c r="O1700" s="360"/>
      <c r="Q1700" s="351"/>
      <c r="R1700" s="242"/>
    </row>
    <row r="1701" spans="12:18">
      <c r="L1701" s="123"/>
      <c r="O1701" s="360"/>
      <c r="Q1701" s="351"/>
      <c r="R1701" s="242"/>
    </row>
    <row r="1702" spans="12:18">
      <c r="L1702" s="123"/>
      <c r="O1702" s="360"/>
      <c r="Q1702" s="351"/>
      <c r="R1702" s="242"/>
    </row>
    <row r="1703" spans="12:18">
      <c r="L1703" s="123"/>
      <c r="O1703" s="360"/>
      <c r="Q1703" s="351"/>
      <c r="R1703" s="242"/>
    </row>
    <row r="1704" spans="12:18">
      <c r="L1704" s="123"/>
      <c r="O1704" s="360"/>
      <c r="Q1704" s="351"/>
      <c r="R1704" s="242"/>
    </row>
    <row r="1705" spans="12:18">
      <c r="L1705" s="123"/>
      <c r="O1705" s="360"/>
      <c r="Q1705" s="351"/>
      <c r="R1705" s="242"/>
    </row>
    <row r="1706" spans="12:18">
      <c r="L1706" s="123"/>
      <c r="O1706" s="360"/>
      <c r="Q1706" s="351"/>
      <c r="R1706" s="242"/>
    </row>
    <row r="1707" spans="12:18">
      <c r="L1707" s="123"/>
      <c r="O1707" s="360"/>
      <c r="Q1707" s="351"/>
      <c r="R1707" s="242"/>
    </row>
    <row r="1708" spans="12:18">
      <c r="L1708" s="123"/>
      <c r="O1708" s="360"/>
      <c r="Q1708" s="351"/>
      <c r="R1708" s="242"/>
    </row>
    <row r="1709" spans="12:18">
      <c r="L1709" s="123"/>
      <c r="O1709" s="360"/>
      <c r="Q1709" s="351"/>
      <c r="R1709" s="242"/>
    </row>
    <row r="1710" spans="12:18">
      <c r="L1710" s="123"/>
      <c r="O1710" s="360"/>
      <c r="Q1710" s="351"/>
      <c r="R1710" s="242"/>
    </row>
    <row r="1711" spans="12:18">
      <c r="L1711" s="123"/>
      <c r="O1711" s="360"/>
      <c r="Q1711" s="351"/>
      <c r="R1711" s="242"/>
    </row>
    <row r="1712" spans="12:18">
      <c r="L1712" s="123"/>
      <c r="O1712" s="360"/>
      <c r="Q1712" s="351"/>
      <c r="R1712" s="242"/>
    </row>
    <row r="1713" spans="12:18">
      <c r="L1713" s="123"/>
      <c r="O1713" s="360"/>
      <c r="Q1713" s="351"/>
      <c r="R1713" s="242"/>
    </row>
    <row r="1714" spans="12:18">
      <c r="L1714" s="123"/>
      <c r="O1714" s="360"/>
      <c r="Q1714" s="351"/>
      <c r="R1714" s="242"/>
    </row>
    <row r="1715" spans="12:18">
      <c r="L1715" s="123"/>
      <c r="O1715" s="360"/>
      <c r="Q1715" s="351"/>
      <c r="R1715" s="242"/>
    </row>
    <row r="1716" spans="12:18">
      <c r="L1716" s="123"/>
      <c r="O1716" s="360"/>
      <c r="Q1716" s="351"/>
      <c r="R1716" s="242"/>
    </row>
    <row r="1717" spans="12:18">
      <c r="L1717" s="123"/>
      <c r="O1717" s="360"/>
      <c r="Q1717" s="351"/>
      <c r="R1717" s="242"/>
    </row>
    <row r="1718" spans="12:18">
      <c r="L1718" s="123"/>
      <c r="O1718" s="360"/>
      <c r="Q1718" s="351"/>
      <c r="R1718" s="242"/>
    </row>
    <row r="1719" spans="12:18">
      <c r="L1719" s="123"/>
      <c r="O1719" s="360"/>
      <c r="Q1719" s="351"/>
      <c r="R1719" s="242"/>
    </row>
    <row r="1720" spans="12:18">
      <c r="L1720" s="245"/>
      <c r="O1720" s="360"/>
      <c r="Q1720" s="351"/>
      <c r="R1720" s="242"/>
    </row>
    <row r="1721" spans="12:18">
      <c r="L1721" s="245"/>
      <c r="O1721" s="360"/>
      <c r="Q1721" s="351"/>
      <c r="R1721" s="242"/>
    </row>
    <row r="1722" spans="12:18">
      <c r="L1722" s="123"/>
      <c r="O1722" s="360"/>
      <c r="Q1722" s="351"/>
      <c r="R1722" s="242"/>
    </row>
    <row r="1723" spans="12:18">
      <c r="L1723" s="123"/>
      <c r="O1723" s="360"/>
      <c r="Q1723" s="351"/>
      <c r="R1723" s="242"/>
    </row>
    <row r="1724" spans="12:18">
      <c r="L1724" s="123"/>
      <c r="O1724" s="360"/>
      <c r="Q1724" s="351"/>
      <c r="R1724" s="242"/>
    </row>
    <row r="1725" spans="12:18">
      <c r="L1725" s="123"/>
      <c r="O1725" s="360"/>
      <c r="Q1725" s="351"/>
      <c r="R1725" s="242"/>
    </row>
    <row r="1726" spans="12:18">
      <c r="L1726" s="123"/>
      <c r="O1726" s="360"/>
      <c r="Q1726" s="351"/>
      <c r="R1726" s="242"/>
    </row>
    <row r="1727" spans="12:18">
      <c r="L1727" s="123"/>
      <c r="O1727" s="360"/>
      <c r="Q1727" s="351"/>
      <c r="R1727" s="242"/>
    </row>
    <row r="1728" spans="12:18">
      <c r="L1728" s="123"/>
      <c r="O1728" s="360"/>
      <c r="Q1728" s="351"/>
      <c r="R1728" s="242"/>
    </row>
    <row r="1729" spans="12:20">
      <c r="L1729" s="123"/>
      <c r="O1729" s="360"/>
      <c r="Q1729" s="351"/>
      <c r="R1729" s="242"/>
    </row>
    <row r="1730" spans="12:20">
      <c r="L1730" s="245"/>
      <c r="O1730" s="360"/>
      <c r="Q1730" s="351"/>
      <c r="R1730" s="242"/>
    </row>
    <row r="1731" spans="12:20">
      <c r="L1731" s="123"/>
      <c r="O1731" s="360"/>
      <c r="Q1731" s="351"/>
      <c r="R1731" s="242"/>
    </row>
    <row r="1732" spans="12:20">
      <c r="L1732" s="123"/>
      <c r="O1732" s="360"/>
      <c r="Q1732" s="351"/>
      <c r="R1732" s="242"/>
    </row>
    <row r="1733" spans="12:20">
      <c r="L1733" s="123"/>
      <c r="O1733" s="360"/>
      <c r="Q1733" s="351"/>
      <c r="R1733" s="242"/>
    </row>
    <row r="1734" spans="12:20">
      <c r="L1734" s="123"/>
      <c r="O1734" s="360"/>
      <c r="Q1734" s="351"/>
      <c r="R1734" s="242"/>
    </row>
    <row r="1735" spans="12:20">
      <c r="L1735" s="123"/>
      <c r="O1735" s="360"/>
      <c r="Q1735" s="351"/>
      <c r="R1735" s="242"/>
    </row>
    <row r="1736" spans="12:20">
      <c r="L1736" s="123"/>
      <c r="O1736" s="360"/>
      <c r="Q1736" s="351"/>
      <c r="R1736" s="242"/>
    </row>
    <row r="1737" spans="12:20">
      <c r="L1737" s="123"/>
      <c r="O1737" s="360"/>
      <c r="Q1737" s="351"/>
      <c r="R1737" s="242"/>
    </row>
    <row r="1738" spans="12:20">
      <c r="L1738" s="123"/>
      <c r="O1738" s="360"/>
      <c r="Q1738" s="351"/>
      <c r="R1738" s="242"/>
    </row>
    <row r="1739" spans="12:20">
      <c r="L1739" s="123"/>
      <c r="O1739" s="360"/>
      <c r="Q1739" s="351"/>
      <c r="R1739" s="242"/>
    </row>
    <row r="1740" spans="12:20" ht="26.25">
      <c r="L1740" s="245"/>
      <c r="O1740" s="360"/>
      <c r="Q1740" s="351"/>
      <c r="R1740" s="242"/>
      <c r="T1740" s="61" ph="1"/>
    </row>
    <row r="1741" spans="12:20">
      <c r="L1741" s="123"/>
      <c r="O1741" s="360"/>
      <c r="Q1741" s="351"/>
      <c r="R1741" s="242"/>
    </row>
    <row r="1742" spans="12:20">
      <c r="L1742" s="123"/>
      <c r="O1742" s="360"/>
      <c r="Q1742" s="351"/>
      <c r="R1742" s="242"/>
    </row>
    <row r="1743" spans="12:20">
      <c r="L1743" s="123"/>
      <c r="O1743" s="360"/>
      <c r="Q1743" s="351"/>
      <c r="R1743" s="242"/>
    </row>
    <row r="1744" spans="12:20">
      <c r="L1744" s="245"/>
      <c r="O1744" s="360"/>
      <c r="Q1744" s="351"/>
      <c r="R1744" s="242"/>
    </row>
    <row r="1745" spans="12:20">
      <c r="L1745" s="123"/>
      <c r="O1745" s="360"/>
      <c r="Q1745" s="351"/>
      <c r="R1745" s="242"/>
    </row>
    <row r="1746" spans="12:20">
      <c r="L1746" s="123"/>
      <c r="O1746" s="360"/>
      <c r="Q1746" s="351"/>
      <c r="R1746" s="242"/>
    </row>
    <row r="1747" spans="12:20">
      <c r="L1747" s="123"/>
      <c r="O1747" s="360"/>
      <c r="Q1747" s="351"/>
      <c r="R1747" s="242"/>
    </row>
    <row r="1748" spans="12:20">
      <c r="L1748" s="123"/>
      <c r="O1748" s="360"/>
      <c r="Q1748" s="351"/>
      <c r="R1748" s="242"/>
    </row>
    <row r="1749" spans="12:20">
      <c r="L1749" s="123"/>
      <c r="O1749" s="360"/>
      <c r="Q1749" s="351"/>
      <c r="R1749" s="242"/>
    </row>
    <row r="1750" spans="12:20" ht="26.25">
      <c r="L1750" s="123"/>
      <c r="O1750" s="360"/>
      <c r="Q1750" s="351"/>
      <c r="R1750" s="242"/>
      <c r="T1750" s="61" ph="1"/>
    </row>
    <row r="1751" spans="12:20">
      <c r="L1751" s="123"/>
      <c r="O1751" s="360"/>
      <c r="Q1751" s="351"/>
      <c r="R1751" s="242"/>
    </row>
    <row r="1752" spans="12:20">
      <c r="L1752" s="123"/>
      <c r="O1752" s="360"/>
      <c r="Q1752" s="351"/>
      <c r="R1752" s="242"/>
    </row>
    <row r="1753" spans="12:20">
      <c r="L1753" s="123"/>
      <c r="O1753" s="360"/>
      <c r="Q1753" s="351"/>
      <c r="R1753" s="242"/>
    </row>
    <row r="1754" spans="12:20" ht="26.25">
      <c r="L1754" s="123"/>
      <c r="O1754" s="360"/>
      <c r="Q1754" s="351"/>
      <c r="R1754" s="242"/>
      <c r="T1754" s="61" ph="1"/>
    </row>
    <row r="1755" spans="12:20">
      <c r="L1755" s="123"/>
      <c r="O1755" s="360"/>
      <c r="Q1755" s="351"/>
      <c r="R1755" s="242"/>
    </row>
    <row r="1756" spans="12:20">
      <c r="L1756" s="123"/>
      <c r="O1756" s="360"/>
      <c r="Q1756" s="351"/>
      <c r="R1756" s="242"/>
    </row>
    <row r="1757" spans="12:20">
      <c r="L1757" s="123"/>
      <c r="O1757" s="360"/>
      <c r="Q1757" s="351"/>
      <c r="R1757" s="242"/>
    </row>
    <row r="1758" spans="12:20">
      <c r="L1758" s="123"/>
      <c r="O1758" s="360"/>
      <c r="Q1758" s="351"/>
      <c r="R1758" s="242"/>
    </row>
    <row r="1759" spans="12:20" ht="26.25">
      <c r="L1759" s="123"/>
      <c r="O1759" s="360"/>
      <c r="Q1759" s="351"/>
      <c r="R1759" s="242"/>
      <c r="T1759" s="61" ph="1"/>
    </row>
    <row r="1760" spans="12:20" ht="26.25">
      <c r="L1760" s="123"/>
      <c r="O1760" s="360"/>
      <c r="Q1760" s="351"/>
      <c r="R1760" s="242"/>
      <c r="T1760" s="61" ph="1"/>
    </row>
    <row r="1761" spans="12:20" ht="26.25">
      <c r="L1761" s="123"/>
      <c r="O1761" s="360"/>
      <c r="Q1761" s="351"/>
      <c r="R1761" s="242"/>
      <c r="T1761" s="61" ph="1"/>
    </row>
    <row r="1762" spans="12:20">
      <c r="L1762" s="123"/>
      <c r="O1762" s="360"/>
      <c r="Q1762" s="351"/>
      <c r="R1762" s="242"/>
    </row>
    <row r="1763" spans="12:20" ht="26.25">
      <c r="L1763" s="123"/>
      <c r="O1763" s="360"/>
      <c r="Q1763" s="351"/>
      <c r="R1763" s="242"/>
      <c r="T1763" s="61" ph="1"/>
    </row>
    <row r="1764" spans="12:20" ht="26.25">
      <c r="L1764" s="123"/>
      <c r="O1764" s="360"/>
      <c r="Q1764" s="351"/>
      <c r="R1764" s="242"/>
      <c r="T1764" s="61" ph="1"/>
    </row>
    <row r="1765" spans="12:20">
      <c r="L1765" s="123"/>
      <c r="O1765" s="360"/>
      <c r="Q1765" s="351"/>
      <c r="R1765" s="242"/>
    </row>
    <row r="1766" spans="12:20" ht="26.25">
      <c r="O1766" s="360"/>
      <c r="Q1766" s="351"/>
      <c r="R1766" s="242"/>
      <c r="T1766" s="61" ph="1"/>
    </row>
    <row r="1767" spans="12:20">
      <c r="L1767" s="123"/>
      <c r="O1767" s="360"/>
      <c r="Q1767" s="351"/>
      <c r="R1767" s="242"/>
    </row>
    <row r="1768" spans="12:20" ht="26.25">
      <c r="L1768" s="123"/>
      <c r="O1768" s="360"/>
      <c r="Q1768" s="351"/>
      <c r="R1768" s="242"/>
      <c r="T1768" s="61" ph="1"/>
    </row>
    <row r="1769" spans="12:20" ht="26.25">
      <c r="L1769" s="123"/>
      <c r="O1769" s="360"/>
      <c r="Q1769" s="351"/>
      <c r="R1769" s="242"/>
      <c r="T1769" s="61" ph="1"/>
    </row>
    <row r="1770" spans="12:20" ht="26.25">
      <c r="L1770" s="123"/>
      <c r="O1770" s="360"/>
      <c r="Q1770" s="351"/>
      <c r="R1770" s="242"/>
      <c r="T1770" s="61" ph="1"/>
    </row>
    <row r="1771" spans="12:20" ht="26.25">
      <c r="L1771" s="123"/>
      <c r="O1771" s="360"/>
      <c r="Q1771" s="351"/>
      <c r="R1771" s="242"/>
      <c r="T1771" s="61" ph="1"/>
    </row>
    <row r="1772" spans="12:20" ht="26.25">
      <c r="L1772" s="123"/>
      <c r="O1772" s="360"/>
      <c r="Q1772" s="351"/>
      <c r="R1772" s="242"/>
      <c r="T1772" s="61" ph="1"/>
    </row>
    <row r="1773" spans="12:20" ht="26.25">
      <c r="L1773" s="123"/>
      <c r="O1773" s="360"/>
      <c r="Q1773" s="351"/>
      <c r="R1773" s="242"/>
      <c r="T1773" s="61" ph="1"/>
    </row>
    <row r="1774" spans="12:20" ht="26.25">
      <c r="L1774" s="123"/>
      <c r="O1774" s="360"/>
      <c r="Q1774" s="351"/>
      <c r="R1774" s="242"/>
      <c r="T1774" s="61" ph="1"/>
    </row>
    <row r="1775" spans="12:20" ht="26.25">
      <c r="L1775" s="123"/>
      <c r="O1775" s="360"/>
      <c r="Q1775" s="351"/>
      <c r="R1775" s="242"/>
      <c r="T1775" s="61" ph="1"/>
    </row>
    <row r="1776" spans="12:20" ht="26.25">
      <c r="L1776" s="123"/>
      <c r="O1776" s="360"/>
      <c r="Q1776" s="351"/>
      <c r="R1776" s="242"/>
      <c r="T1776" s="61" ph="1"/>
    </row>
    <row r="1777" spans="12:20" ht="26.25">
      <c r="L1777" s="123"/>
      <c r="O1777" s="360"/>
      <c r="Q1777" s="351"/>
      <c r="R1777" s="242"/>
      <c r="T1777" s="61" ph="1"/>
    </row>
    <row r="1778" spans="12:20">
      <c r="L1778" s="123"/>
      <c r="O1778" s="360"/>
      <c r="Q1778" s="351"/>
      <c r="R1778" s="242"/>
    </row>
    <row r="1779" spans="12:20" ht="26.25">
      <c r="L1779" s="123"/>
      <c r="O1779" s="360"/>
      <c r="Q1779" s="351"/>
      <c r="R1779" s="242"/>
      <c r="T1779" s="61" ph="1"/>
    </row>
    <row r="1780" spans="12:20" ht="26.25">
      <c r="L1780" s="123"/>
      <c r="O1780" s="360"/>
      <c r="Q1780" s="351"/>
      <c r="R1780" s="242"/>
      <c r="T1780" s="61" ph="1"/>
    </row>
    <row r="1781" spans="12:20" ht="26.25">
      <c r="L1781" s="123"/>
      <c r="O1781" s="360"/>
      <c r="Q1781" s="351"/>
      <c r="R1781" s="242"/>
      <c r="T1781" s="61" ph="1"/>
    </row>
    <row r="1782" spans="12:20" ht="26.25">
      <c r="L1782" s="123"/>
      <c r="O1782" s="360"/>
      <c r="Q1782" s="351"/>
      <c r="R1782" s="242"/>
      <c r="T1782" s="61" ph="1"/>
    </row>
    <row r="1783" spans="12:20" ht="26.25">
      <c r="L1783" s="123"/>
      <c r="O1783" s="360"/>
      <c r="Q1783" s="351"/>
      <c r="R1783" s="242"/>
      <c r="T1783" s="61" ph="1"/>
    </row>
    <row r="1784" spans="12:20" ht="26.25">
      <c r="L1784" s="123"/>
      <c r="O1784" s="360"/>
      <c r="Q1784" s="351"/>
      <c r="R1784" s="242"/>
      <c r="T1784" s="61" ph="1"/>
    </row>
    <row r="1785" spans="12:20" ht="26.25">
      <c r="L1785" s="123"/>
      <c r="O1785" s="360"/>
      <c r="Q1785" s="351"/>
      <c r="R1785" s="242"/>
      <c r="T1785" s="61" ph="1"/>
    </row>
    <row r="1786" spans="12:20" ht="26.25">
      <c r="L1786" s="123"/>
      <c r="O1786" s="360"/>
      <c r="Q1786" s="351"/>
      <c r="R1786" s="242"/>
      <c r="T1786" s="61" ph="1"/>
    </row>
    <row r="1787" spans="12:20">
      <c r="L1787" s="123"/>
      <c r="O1787" s="360"/>
      <c r="Q1787" s="351"/>
      <c r="R1787" s="242"/>
    </row>
    <row r="1788" spans="12:20" ht="26.25">
      <c r="L1788" s="123"/>
      <c r="O1788" s="360"/>
      <c r="Q1788" s="351"/>
      <c r="R1788" s="242"/>
      <c r="T1788" s="61" ph="1"/>
    </row>
    <row r="1789" spans="12:20" ht="26.25">
      <c r="L1789" s="123"/>
      <c r="O1789" s="360"/>
      <c r="Q1789" s="351"/>
      <c r="R1789" s="242"/>
      <c r="T1789" s="61" ph="1"/>
    </row>
    <row r="1790" spans="12:20" ht="26.25">
      <c r="L1790" s="123"/>
      <c r="O1790" s="360"/>
      <c r="Q1790" s="351"/>
      <c r="R1790" s="242"/>
      <c r="T1790" s="61" ph="1"/>
    </row>
    <row r="1791" spans="12:20" ht="26.25">
      <c r="L1791" s="123"/>
      <c r="O1791" s="360"/>
      <c r="Q1791" s="351"/>
      <c r="R1791" s="242"/>
      <c r="T1791" s="61" ph="1"/>
    </row>
    <row r="1792" spans="12:20">
      <c r="L1792" s="123"/>
      <c r="O1792" s="360"/>
      <c r="Q1792" s="351"/>
      <c r="R1792" s="242"/>
    </row>
    <row r="1793" spans="12:18">
      <c r="L1793" s="123"/>
      <c r="O1793" s="360"/>
      <c r="Q1793" s="351"/>
      <c r="R1793" s="242"/>
    </row>
    <row r="1794" spans="12:18">
      <c r="L1794" s="123"/>
      <c r="O1794" s="360"/>
      <c r="Q1794" s="351"/>
      <c r="R1794" s="242"/>
    </row>
    <row r="1795" spans="12:18">
      <c r="L1795" s="123"/>
      <c r="O1795" s="360"/>
      <c r="Q1795" s="351"/>
      <c r="R1795" s="242"/>
    </row>
    <row r="1796" spans="12:18">
      <c r="L1796" s="123"/>
      <c r="O1796" s="360"/>
      <c r="Q1796" s="351"/>
      <c r="R1796" s="242"/>
    </row>
    <row r="1797" spans="12:18">
      <c r="L1797" s="123"/>
      <c r="O1797" s="360"/>
      <c r="Q1797" s="351"/>
      <c r="R1797" s="242"/>
    </row>
    <row r="1798" spans="12:18">
      <c r="L1798" s="123"/>
      <c r="O1798" s="360"/>
      <c r="Q1798" s="351"/>
      <c r="R1798" s="242"/>
    </row>
    <row r="1799" spans="12:18">
      <c r="L1799" s="123"/>
      <c r="O1799" s="360"/>
      <c r="Q1799" s="351"/>
      <c r="R1799" s="242"/>
    </row>
    <row r="1800" spans="12:18">
      <c r="L1800" s="123"/>
      <c r="O1800" s="360"/>
      <c r="Q1800" s="351"/>
      <c r="R1800" s="242"/>
    </row>
    <row r="1801" spans="12:18">
      <c r="L1801" s="123"/>
      <c r="O1801" s="360"/>
      <c r="Q1801" s="351"/>
      <c r="R1801" s="242"/>
    </row>
    <row r="1802" spans="12:18">
      <c r="L1802" s="123"/>
      <c r="O1802" s="360"/>
      <c r="Q1802" s="351"/>
      <c r="R1802" s="242"/>
    </row>
    <row r="1803" spans="12:18">
      <c r="L1803" s="123"/>
      <c r="O1803" s="360"/>
      <c r="Q1803" s="351"/>
      <c r="R1803" s="242"/>
    </row>
    <row r="1804" spans="12:18">
      <c r="L1804" s="123"/>
      <c r="O1804" s="360"/>
      <c r="Q1804" s="351"/>
      <c r="R1804" s="242"/>
    </row>
    <row r="1805" spans="12:18">
      <c r="L1805" s="123"/>
      <c r="O1805" s="360"/>
      <c r="Q1805" s="351"/>
      <c r="R1805" s="242"/>
    </row>
    <row r="1806" spans="12:18">
      <c r="L1806" s="123"/>
      <c r="O1806" s="360"/>
      <c r="Q1806" s="351"/>
      <c r="R1806" s="242"/>
    </row>
    <row r="1807" spans="12:18">
      <c r="L1807" s="123"/>
      <c r="O1807" s="360"/>
      <c r="Q1807" s="351"/>
      <c r="R1807" s="242"/>
    </row>
    <row r="1808" spans="12:18">
      <c r="L1808" s="123"/>
      <c r="O1808" s="360"/>
      <c r="Q1808" s="351"/>
      <c r="R1808" s="242"/>
    </row>
    <row r="1809" spans="12:18">
      <c r="L1809" s="123"/>
      <c r="O1809" s="360"/>
      <c r="Q1809" s="351"/>
      <c r="R1809" s="242"/>
    </row>
    <row r="1810" spans="12:18">
      <c r="L1810" s="123"/>
      <c r="O1810" s="360"/>
      <c r="Q1810" s="351"/>
      <c r="R1810" s="242"/>
    </row>
    <row r="1811" spans="12:18">
      <c r="L1811" s="245"/>
      <c r="O1811" s="360"/>
      <c r="Q1811" s="351"/>
      <c r="R1811" s="242"/>
    </row>
    <row r="1812" spans="12:18">
      <c r="L1812" s="123"/>
      <c r="O1812" s="360"/>
      <c r="Q1812" s="351"/>
      <c r="R1812" s="242"/>
    </row>
    <row r="1813" spans="12:18">
      <c r="L1813" s="123"/>
      <c r="O1813" s="360"/>
      <c r="Q1813" s="351"/>
      <c r="R1813" s="242"/>
    </row>
    <row r="1814" spans="12:18">
      <c r="L1814" s="123"/>
      <c r="O1814" s="360"/>
      <c r="Q1814" s="351"/>
      <c r="R1814" s="242"/>
    </row>
    <row r="1815" spans="12:18">
      <c r="L1815" s="123"/>
      <c r="O1815" s="360"/>
      <c r="Q1815" s="351"/>
      <c r="R1815" s="242"/>
    </row>
    <row r="1816" spans="12:18">
      <c r="L1816" s="123"/>
      <c r="O1816" s="360"/>
      <c r="Q1816" s="351"/>
      <c r="R1816" s="242"/>
    </row>
    <row r="1817" spans="12:18">
      <c r="L1817" s="123"/>
      <c r="O1817" s="360"/>
      <c r="Q1817" s="351"/>
      <c r="R1817" s="242"/>
    </row>
    <row r="1818" spans="12:18">
      <c r="L1818" s="123"/>
      <c r="O1818" s="360"/>
      <c r="Q1818" s="351"/>
      <c r="R1818" s="242"/>
    </row>
    <row r="1819" spans="12:18">
      <c r="L1819" s="123"/>
      <c r="O1819" s="360"/>
      <c r="Q1819" s="351"/>
      <c r="R1819" s="242"/>
    </row>
    <row r="1820" spans="12:18">
      <c r="L1820" s="123"/>
      <c r="O1820" s="360"/>
      <c r="Q1820" s="351"/>
      <c r="R1820" s="242"/>
    </row>
    <row r="1821" spans="12:18">
      <c r="L1821" s="123"/>
      <c r="O1821" s="360"/>
      <c r="Q1821" s="351"/>
      <c r="R1821" s="242"/>
    </row>
    <row r="1822" spans="12:18">
      <c r="L1822" s="123"/>
      <c r="O1822" s="360"/>
      <c r="Q1822" s="351"/>
      <c r="R1822" s="242"/>
    </row>
    <row r="1823" spans="12:18">
      <c r="L1823" s="123"/>
      <c r="O1823" s="360"/>
      <c r="Q1823" s="351"/>
      <c r="R1823" s="242"/>
    </row>
    <row r="1824" spans="12:18">
      <c r="L1824" s="123"/>
      <c r="O1824" s="360"/>
      <c r="Q1824" s="351"/>
      <c r="R1824" s="242"/>
    </row>
    <row r="1825" spans="12:18">
      <c r="L1825" s="123"/>
      <c r="O1825" s="360"/>
      <c r="Q1825" s="351"/>
      <c r="R1825" s="242"/>
    </row>
    <row r="1826" spans="12:18">
      <c r="L1826" s="123"/>
      <c r="O1826" s="360"/>
      <c r="Q1826" s="351"/>
      <c r="R1826" s="242"/>
    </row>
    <row r="1827" spans="12:18">
      <c r="L1827" s="123"/>
      <c r="O1827" s="360"/>
      <c r="Q1827" s="351"/>
      <c r="R1827" s="242"/>
    </row>
    <row r="1828" spans="12:18">
      <c r="L1828" s="123"/>
      <c r="O1828" s="360"/>
      <c r="Q1828" s="351"/>
      <c r="R1828" s="242"/>
    </row>
    <row r="1829" spans="12:18">
      <c r="L1829" s="123"/>
      <c r="O1829" s="360"/>
      <c r="Q1829" s="351"/>
      <c r="R1829" s="242"/>
    </row>
    <row r="1830" spans="12:18">
      <c r="L1830" s="123"/>
      <c r="O1830" s="360"/>
      <c r="Q1830" s="351"/>
      <c r="R1830" s="242"/>
    </row>
    <row r="1831" spans="12:18">
      <c r="L1831" s="123"/>
      <c r="O1831" s="360"/>
      <c r="Q1831" s="351"/>
      <c r="R1831" s="242"/>
    </row>
    <row r="1832" spans="12:18">
      <c r="L1832" s="123"/>
      <c r="O1832" s="360"/>
      <c r="Q1832" s="351"/>
      <c r="R1832" s="242"/>
    </row>
    <row r="1833" spans="12:18">
      <c r="L1833" s="123"/>
      <c r="O1833" s="360"/>
      <c r="Q1833" s="351"/>
      <c r="R1833" s="242"/>
    </row>
    <row r="1834" spans="12:18">
      <c r="L1834" s="123"/>
      <c r="O1834" s="360"/>
      <c r="Q1834" s="351"/>
      <c r="R1834" s="242"/>
    </row>
    <row r="1835" spans="12:18">
      <c r="L1835" s="123"/>
      <c r="O1835" s="360"/>
      <c r="Q1835" s="351"/>
      <c r="R1835" s="242"/>
    </row>
    <row r="1836" spans="12:18">
      <c r="L1836" s="123"/>
      <c r="O1836" s="360"/>
      <c r="Q1836" s="351"/>
      <c r="R1836" s="242"/>
    </row>
    <row r="1837" spans="12:18">
      <c r="L1837" s="123"/>
      <c r="O1837" s="360"/>
      <c r="Q1837" s="351"/>
      <c r="R1837" s="242"/>
    </row>
    <row r="1838" spans="12:18">
      <c r="L1838" s="123"/>
      <c r="O1838" s="360"/>
      <c r="Q1838" s="351"/>
      <c r="R1838" s="242"/>
    </row>
    <row r="1839" spans="12:18">
      <c r="L1839" s="123"/>
      <c r="O1839" s="360"/>
      <c r="Q1839" s="351"/>
      <c r="R1839" s="242"/>
    </row>
    <row r="1840" spans="12:18">
      <c r="L1840" s="123"/>
      <c r="O1840" s="360"/>
      <c r="Q1840" s="351"/>
      <c r="R1840" s="242"/>
    </row>
    <row r="1841" spans="12:18">
      <c r="L1841" s="123"/>
      <c r="O1841" s="360"/>
      <c r="Q1841" s="351"/>
      <c r="R1841" s="242"/>
    </row>
    <row r="1842" spans="12:18">
      <c r="L1842" s="123"/>
      <c r="O1842" s="360"/>
      <c r="Q1842" s="351"/>
      <c r="R1842" s="242"/>
    </row>
    <row r="1843" spans="12:18">
      <c r="L1843" s="123"/>
      <c r="O1843" s="360"/>
      <c r="Q1843" s="351"/>
      <c r="R1843" s="242"/>
    </row>
    <row r="1844" spans="12:18">
      <c r="L1844" s="123"/>
      <c r="O1844" s="360"/>
      <c r="Q1844" s="351"/>
      <c r="R1844" s="242"/>
    </row>
    <row r="1845" spans="12:18">
      <c r="L1845" s="123"/>
      <c r="O1845" s="360"/>
      <c r="Q1845" s="351"/>
      <c r="R1845" s="242"/>
    </row>
    <row r="1846" spans="12:18">
      <c r="L1846" s="123"/>
      <c r="O1846" s="360"/>
      <c r="Q1846" s="351"/>
      <c r="R1846" s="242"/>
    </row>
    <row r="1847" spans="12:18">
      <c r="L1847" s="123"/>
      <c r="O1847" s="360"/>
      <c r="Q1847" s="351"/>
      <c r="R1847" s="242"/>
    </row>
    <row r="1848" spans="12:18">
      <c r="L1848" s="123"/>
      <c r="O1848" s="360"/>
      <c r="Q1848" s="351"/>
      <c r="R1848" s="242"/>
    </row>
    <row r="1849" spans="12:18">
      <c r="L1849" s="123"/>
      <c r="O1849" s="360"/>
      <c r="Q1849" s="351"/>
      <c r="R1849" s="242"/>
    </row>
    <row r="1850" spans="12:18">
      <c r="L1850" s="123"/>
      <c r="O1850" s="360"/>
      <c r="Q1850" s="351"/>
      <c r="R1850" s="242"/>
    </row>
    <row r="1851" spans="12:18">
      <c r="L1851" s="123"/>
      <c r="O1851" s="360"/>
      <c r="Q1851" s="351"/>
      <c r="R1851" s="242"/>
    </row>
    <row r="1852" spans="12:18">
      <c r="L1852" s="123"/>
      <c r="O1852" s="360"/>
      <c r="Q1852" s="351"/>
      <c r="R1852" s="242"/>
    </row>
    <row r="1853" spans="12:18">
      <c r="L1853" s="123"/>
      <c r="O1853" s="360"/>
      <c r="Q1853" s="351"/>
      <c r="R1853" s="242"/>
    </row>
    <row r="1854" spans="12:18">
      <c r="L1854" s="245"/>
      <c r="O1854" s="360"/>
      <c r="Q1854" s="351"/>
      <c r="R1854" s="242"/>
    </row>
    <row r="1855" spans="12:18">
      <c r="L1855" s="245"/>
      <c r="O1855" s="360"/>
      <c r="Q1855" s="351"/>
      <c r="R1855" s="242"/>
    </row>
    <row r="1856" spans="12:18">
      <c r="L1856" s="123"/>
      <c r="O1856" s="360"/>
      <c r="Q1856" s="351"/>
      <c r="R1856" s="242"/>
    </row>
    <row r="1857" spans="12:18">
      <c r="L1857" s="123"/>
      <c r="O1857" s="360"/>
      <c r="Q1857" s="351"/>
      <c r="R1857" s="242"/>
    </row>
    <row r="1858" spans="12:18">
      <c r="L1858" s="123"/>
      <c r="O1858" s="360"/>
      <c r="Q1858" s="351"/>
      <c r="R1858" s="242"/>
    </row>
    <row r="1859" spans="12:18">
      <c r="L1859" s="123"/>
      <c r="O1859" s="360"/>
      <c r="Q1859" s="351"/>
      <c r="R1859" s="242"/>
    </row>
    <row r="1860" spans="12:18">
      <c r="L1860" s="123"/>
      <c r="O1860" s="360"/>
      <c r="Q1860" s="351"/>
      <c r="R1860" s="242"/>
    </row>
    <row r="1861" spans="12:18">
      <c r="L1861" s="123"/>
      <c r="O1861" s="360"/>
      <c r="Q1861" s="351"/>
      <c r="R1861" s="242"/>
    </row>
    <row r="1862" spans="12:18">
      <c r="L1862" s="123"/>
      <c r="O1862" s="360"/>
      <c r="Q1862" s="351"/>
      <c r="R1862" s="242"/>
    </row>
    <row r="1863" spans="12:18">
      <c r="L1863" s="123"/>
      <c r="O1863" s="360"/>
      <c r="Q1863" s="351"/>
      <c r="R1863" s="242"/>
    </row>
    <row r="1864" spans="12:18">
      <c r="L1864" s="123"/>
      <c r="O1864" s="360"/>
      <c r="Q1864" s="351"/>
      <c r="R1864" s="242"/>
    </row>
    <row r="1865" spans="12:18">
      <c r="L1865" s="123"/>
      <c r="O1865" s="360"/>
      <c r="Q1865" s="351"/>
      <c r="R1865" s="242"/>
    </row>
    <row r="1866" spans="12:18">
      <c r="L1866" s="123"/>
      <c r="O1866" s="360"/>
      <c r="Q1866" s="351"/>
      <c r="R1866" s="242"/>
    </row>
    <row r="1867" spans="12:18">
      <c r="L1867" s="123"/>
      <c r="O1867" s="360"/>
      <c r="Q1867" s="351"/>
      <c r="R1867" s="242"/>
    </row>
    <row r="1868" spans="12:18">
      <c r="L1868" s="245"/>
      <c r="O1868" s="360"/>
      <c r="Q1868" s="351"/>
      <c r="R1868" s="242"/>
    </row>
    <row r="1869" spans="12:18">
      <c r="L1869" s="123"/>
      <c r="O1869" s="360"/>
      <c r="Q1869" s="351"/>
      <c r="R1869" s="242"/>
    </row>
    <row r="1870" spans="12:18">
      <c r="L1870" s="123"/>
      <c r="O1870" s="360"/>
      <c r="Q1870" s="351"/>
      <c r="R1870" s="242"/>
    </row>
    <row r="1871" spans="12:18">
      <c r="L1871" s="123"/>
      <c r="O1871" s="360"/>
      <c r="Q1871" s="351"/>
      <c r="R1871" s="242"/>
    </row>
    <row r="1872" spans="12:18">
      <c r="L1872" s="123"/>
      <c r="O1872" s="360"/>
      <c r="Q1872" s="351"/>
      <c r="R1872" s="242"/>
    </row>
    <row r="1873" spans="12:18">
      <c r="L1873" s="123"/>
      <c r="O1873" s="360"/>
      <c r="Q1873" s="351"/>
      <c r="R1873" s="242"/>
    </row>
    <row r="1874" spans="12:18">
      <c r="L1874" s="123"/>
      <c r="O1874" s="360"/>
      <c r="Q1874" s="351"/>
      <c r="R1874" s="242"/>
    </row>
    <row r="1875" spans="12:18">
      <c r="L1875" s="51"/>
      <c r="O1875" s="360"/>
      <c r="Q1875" s="351"/>
      <c r="R1875" s="242"/>
    </row>
    <row r="1876" spans="12:18">
      <c r="L1876" s="123"/>
      <c r="O1876" s="360"/>
      <c r="Q1876" s="351"/>
      <c r="R1876" s="242"/>
    </row>
    <row r="1877" spans="12:18">
      <c r="L1877" s="123"/>
      <c r="O1877" s="360"/>
      <c r="Q1877" s="351"/>
      <c r="R1877" s="242"/>
    </row>
    <row r="1878" spans="12:18">
      <c r="L1878" s="123"/>
      <c r="O1878" s="360"/>
      <c r="Q1878" s="351"/>
      <c r="R1878" s="242"/>
    </row>
    <row r="1879" spans="12:18">
      <c r="L1879" s="123"/>
      <c r="O1879" s="360"/>
      <c r="Q1879" s="351"/>
      <c r="R1879" s="242"/>
    </row>
    <row r="1880" spans="12:18">
      <c r="L1880" s="123"/>
      <c r="O1880" s="360"/>
      <c r="Q1880" s="351"/>
      <c r="R1880" s="242"/>
    </row>
    <row r="1881" spans="12:18">
      <c r="L1881" s="123"/>
      <c r="O1881" s="360"/>
      <c r="Q1881" s="351"/>
      <c r="R1881" s="242"/>
    </row>
    <row r="1882" spans="12:18">
      <c r="L1882" s="123"/>
      <c r="O1882" s="360"/>
      <c r="Q1882" s="351"/>
      <c r="R1882" s="242"/>
    </row>
    <row r="1883" spans="12:18">
      <c r="L1883" s="123"/>
      <c r="O1883" s="360"/>
      <c r="Q1883" s="351"/>
      <c r="R1883" s="242"/>
    </row>
    <row r="1884" spans="12:18">
      <c r="L1884" s="123"/>
      <c r="O1884" s="360"/>
      <c r="Q1884" s="351"/>
      <c r="R1884" s="242"/>
    </row>
    <row r="1885" spans="12:18">
      <c r="L1885" s="123"/>
      <c r="O1885" s="360"/>
      <c r="Q1885" s="351"/>
      <c r="R1885" s="242"/>
    </row>
    <row r="1886" spans="12:18">
      <c r="L1886" s="123"/>
      <c r="O1886" s="360"/>
      <c r="Q1886" s="351"/>
      <c r="R1886" s="242"/>
    </row>
    <row r="1887" spans="12:18">
      <c r="L1887" s="123"/>
      <c r="O1887" s="360"/>
      <c r="Q1887" s="351"/>
      <c r="R1887" s="242"/>
    </row>
    <row r="1888" spans="12:18">
      <c r="L1888" s="123"/>
      <c r="O1888" s="360"/>
      <c r="Q1888" s="351"/>
      <c r="R1888" s="242"/>
    </row>
    <row r="1889" spans="12:18">
      <c r="L1889" s="123"/>
      <c r="O1889" s="360"/>
      <c r="Q1889" s="351"/>
      <c r="R1889" s="242"/>
    </row>
    <row r="1890" spans="12:18">
      <c r="L1890" s="123"/>
      <c r="O1890" s="360"/>
      <c r="Q1890" s="351"/>
      <c r="R1890" s="242"/>
    </row>
    <row r="1891" spans="12:18">
      <c r="L1891" s="123"/>
      <c r="O1891" s="360"/>
      <c r="Q1891" s="351"/>
      <c r="R1891" s="242"/>
    </row>
    <row r="1892" spans="12:18">
      <c r="L1892" s="123"/>
      <c r="O1892" s="360"/>
      <c r="Q1892" s="351"/>
      <c r="R1892" s="242"/>
    </row>
    <row r="1893" spans="12:18">
      <c r="L1893" s="123"/>
      <c r="O1893" s="360"/>
      <c r="Q1893" s="351"/>
      <c r="R1893" s="242"/>
    </row>
    <row r="1894" spans="12:18">
      <c r="L1894" s="123"/>
      <c r="O1894" s="360"/>
      <c r="Q1894" s="351"/>
      <c r="R1894" s="242"/>
    </row>
    <row r="1895" spans="12:18">
      <c r="L1895" s="123"/>
      <c r="O1895" s="360"/>
      <c r="Q1895" s="351"/>
      <c r="R1895" s="242"/>
    </row>
    <row r="1896" spans="12:18">
      <c r="L1896" s="123"/>
      <c r="O1896" s="360"/>
      <c r="Q1896" s="351"/>
      <c r="R1896" s="242"/>
    </row>
    <row r="1897" spans="12:18">
      <c r="L1897" s="123"/>
      <c r="O1897" s="360"/>
      <c r="Q1897" s="351"/>
      <c r="R1897" s="242"/>
    </row>
    <row r="1898" spans="12:18">
      <c r="L1898" s="123"/>
      <c r="O1898" s="360"/>
      <c r="Q1898" s="351"/>
      <c r="R1898" s="242"/>
    </row>
    <row r="1899" spans="12:18">
      <c r="L1899" s="123"/>
      <c r="O1899" s="360"/>
      <c r="Q1899" s="351"/>
      <c r="R1899" s="242"/>
    </row>
    <row r="1900" spans="12:18">
      <c r="L1900" s="123"/>
      <c r="O1900" s="360"/>
      <c r="Q1900" s="351"/>
      <c r="R1900" s="242"/>
    </row>
    <row r="1901" spans="12:18">
      <c r="L1901" s="123"/>
      <c r="O1901" s="360"/>
      <c r="Q1901" s="351"/>
      <c r="R1901" s="242"/>
    </row>
    <row r="1902" spans="12:18">
      <c r="L1902" s="123"/>
      <c r="O1902" s="360"/>
      <c r="Q1902" s="351"/>
      <c r="R1902" s="242"/>
    </row>
    <row r="1903" spans="12:18">
      <c r="L1903" s="123"/>
      <c r="O1903" s="360"/>
      <c r="Q1903" s="351"/>
      <c r="R1903" s="242"/>
    </row>
    <row r="1904" spans="12:18">
      <c r="L1904" s="123"/>
      <c r="O1904" s="360"/>
      <c r="Q1904" s="351"/>
      <c r="R1904" s="242"/>
    </row>
    <row r="1905" spans="12:20">
      <c r="L1905" s="123"/>
      <c r="O1905" s="360"/>
      <c r="Q1905" s="351"/>
      <c r="R1905" s="242"/>
    </row>
    <row r="1906" spans="12:20">
      <c r="L1906" s="123"/>
      <c r="O1906" s="360"/>
      <c r="Q1906" s="351"/>
      <c r="R1906" s="242"/>
    </row>
    <row r="1907" spans="12:20">
      <c r="L1907" s="123"/>
      <c r="O1907" s="360"/>
      <c r="Q1907" s="351"/>
      <c r="R1907" s="242"/>
    </row>
    <row r="1908" spans="12:20">
      <c r="L1908" s="120"/>
      <c r="O1908" s="360"/>
      <c r="Q1908" s="351"/>
      <c r="R1908" s="242"/>
    </row>
    <row r="1909" spans="12:20">
      <c r="L1909" s="123"/>
      <c r="O1909" s="360"/>
      <c r="Q1909" s="351"/>
      <c r="R1909" s="242"/>
    </row>
    <row r="1910" spans="12:20">
      <c r="L1910" s="123"/>
      <c r="O1910" s="360"/>
      <c r="Q1910" s="351"/>
      <c r="R1910" s="242"/>
    </row>
    <row r="1911" spans="12:20">
      <c r="L1911" s="123"/>
      <c r="O1911" s="360"/>
      <c r="Q1911" s="351"/>
      <c r="R1911" s="242"/>
    </row>
    <row r="1912" spans="12:20">
      <c r="L1912" s="123"/>
      <c r="O1912" s="360"/>
      <c r="Q1912" s="351"/>
      <c r="R1912" s="242"/>
    </row>
    <row r="1913" spans="12:20">
      <c r="L1913" s="123"/>
      <c r="O1913" s="360"/>
      <c r="Q1913" s="351"/>
      <c r="R1913" s="242"/>
    </row>
    <row r="1914" spans="12:20">
      <c r="L1914" s="123"/>
      <c r="O1914" s="360"/>
      <c r="Q1914" s="351"/>
      <c r="R1914" s="242"/>
    </row>
    <row r="1915" spans="12:20">
      <c r="L1915" s="123"/>
      <c r="O1915" s="360"/>
      <c r="Q1915" s="351"/>
      <c r="R1915" s="242"/>
    </row>
    <row r="1916" spans="12:20">
      <c r="L1916" s="123"/>
      <c r="O1916" s="360"/>
      <c r="Q1916" s="351"/>
      <c r="R1916" s="242"/>
    </row>
    <row r="1917" spans="12:20" ht="26.25">
      <c r="L1917" s="123"/>
      <c r="O1917" s="360"/>
      <c r="Q1917" s="351"/>
      <c r="R1917" s="242"/>
      <c r="T1917" s="61" ph="1"/>
    </row>
    <row r="1918" spans="12:20">
      <c r="L1918" s="123"/>
      <c r="O1918" s="360"/>
      <c r="Q1918" s="351"/>
      <c r="R1918" s="242"/>
    </row>
    <row r="1919" spans="12:20">
      <c r="L1919" s="123"/>
      <c r="O1919" s="360"/>
      <c r="Q1919" s="351"/>
      <c r="R1919" s="242"/>
    </row>
    <row r="1920" spans="12:20">
      <c r="L1920" s="123"/>
      <c r="O1920" s="360"/>
      <c r="Q1920" s="351"/>
      <c r="R1920" s="242"/>
    </row>
    <row r="1921" spans="12:20">
      <c r="L1921" s="123"/>
      <c r="O1921" s="360"/>
      <c r="Q1921" s="351"/>
      <c r="R1921" s="242"/>
    </row>
    <row r="1922" spans="12:20">
      <c r="L1922" s="123"/>
      <c r="O1922" s="360"/>
      <c r="Q1922" s="351"/>
      <c r="R1922" s="242"/>
    </row>
    <row r="1923" spans="12:20">
      <c r="L1923" s="123"/>
      <c r="O1923" s="360"/>
      <c r="Q1923" s="351"/>
      <c r="R1923" s="242"/>
    </row>
    <row r="1924" spans="12:20">
      <c r="L1924" s="123"/>
      <c r="O1924" s="360"/>
      <c r="Q1924" s="351"/>
      <c r="R1924" s="242"/>
    </row>
    <row r="1925" spans="12:20">
      <c r="L1925" s="123"/>
      <c r="O1925" s="360"/>
      <c r="Q1925" s="351"/>
      <c r="R1925" s="242"/>
    </row>
    <row r="1926" spans="12:20">
      <c r="L1926" s="123"/>
      <c r="O1926" s="360"/>
      <c r="Q1926" s="351"/>
      <c r="R1926" s="242"/>
    </row>
    <row r="1927" spans="12:20" ht="26.25">
      <c r="L1927" s="123"/>
      <c r="O1927" s="360"/>
      <c r="Q1927" s="351"/>
      <c r="R1927" s="242"/>
      <c r="T1927" s="61" ph="1"/>
    </row>
    <row r="1928" spans="12:20">
      <c r="L1928" s="123"/>
      <c r="O1928" s="360"/>
      <c r="Q1928" s="351"/>
      <c r="R1928" s="242"/>
    </row>
    <row r="1929" spans="12:20">
      <c r="L1929" s="123"/>
      <c r="O1929" s="360"/>
      <c r="Q1929" s="351"/>
      <c r="R1929" s="242"/>
    </row>
    <row r="1930" spans="12:20">
      <c r="L1930" s="123"/>
      <c r="O1930" s="360"/>
      <c r="Q1930" s="351"/>
      <c r="R1930" s="242"/>
    </row>
    <row r="1931" spans="12:20" ht="26.25">
      <c r="L1931" s="123"/>
      <c r="O1931" s="360"/>
      <c r="Q1931" s="351"/>
      <c r="R1931" s="242"/>
      <c r="T1931" s="61" ph="1"/>
    </row>
    <row r="1932" spans="12:20">
      <c r="L1932" s="245"/>
      <c r="O1932" s="360"/>
      <c r="Q1932" s="351"/>
      <c r="R1932" s="242"/>
    </row>
    <row r="1933" spans="12:20">
      <c r="L1933" s="123"/>
      <c r="O1933" s="360"/>
      <c r="Q1933" s="351"/>
      <c r="R1933" s="242"/>
    </row>
    <row r="1934" spans="12:20">
      <c r="L1934" s="123"/>
      <c r="O1934" s="360"/>
      <c r="Q1934" s="351"/>
      <c r="R1934" s="242"/>
    </row>
    <row r="1935" spans="12:20">
      <c r="L1935" s="123"/>
      <c r="O1935" s="360"/>
      <c r="Q1935" s="351"/>
      <c r="R1935" s="242"/>
    </row>
    <row r="1936" spans="12:20" ht="26.25">
      <c r="L1936" s="123"/>
      <c r="O1936" s="360"/>
      <c r="Q1936" s="351"/>
      <c r="R1936" s="242"/>
      <c r="T1936" s="61" ph="1"/>
    </row>
    <row r="1937" spans="12:20" ht="26.25">
      <c r="L1937" s="245"/>
      <c r="O1937" s="360"/>
      <c r="Q1937" s="351"/>
      <c r="R1937" s="242"/>
      <c r="T1937" s="61" ph="1"/>
    </row>
    <row r="1938" spans="12:20" ht="26.25">
      <c r="L1938" s="123"/>
      <c r="O1938" s="360"/>
      <c r="Q1938" s="351"/>
      <c r="R1938" s="242"/>
      <c r="T1938" s="61" ph="1"/>
    </row>
    <row r="1939" spans="12:20">
      <c r="L1939" s="123"/>
      <c r="O1939" s="360"/>
      <c r="Q1939" s="351"/>
      <c r="R1939" s="242"/>
    </row>
    <row r="1940" spans="12:20" ht="26.25">
      <c r="L1940" s="123"/>
      <c r="O1940" s="360"/>
      <c r="Q1940" s="351"/>
      <c r="R1940" s="242"/>
      <c r="T1940" s="61" ph="1"/>
    </row>
    <row r="1941" spans="12:20" ht="26.25">
      <c r="L1941" s="123"/>
      <c r="O1941" s="360"/>
      <c r="Q1941" s="351"/>
      <c r="R1941" s="242"/>
      <c r="T1941" s="61" ph="1"/>
    </row>
    <row r="1942" spans="12:20">
      <c r="L1942" s="123"/>
      <c r="O1942" s="360"/>
      <c r="Q1942" s="351"/>
      <c r="R1942" s="242"/>
    </row>
    <row r="1943" spans="12:20" ht="26.25">
      <c r="L1943" s="123"/>
      <c r="O1943" s="360"/>
      <c r="Q1943" s="351"/>
      <c r="R1943" s="242"/>
      <c r="T1943" s="61" ph="1"/>
    </row>
    <row r="1944" spans="12:20">
      <c r="L1944" s="123"/>
      <c r="O1944" s="360"/>
      <c r="Q1944" s="351"/>
      <c r="R1944" s="242"/>
    </row>
    <row r="1945" spans="12:20" ht="26.25">
      <c r="L1945" s="123"/>
      <c r="O1945" s="360"/>
      <c r="Q1945" s="351"/>
      <c r="R1945" s="242"/>
      <c r="T1945" s="61" ph="1"/>
    </row>
    <row r="1946" spans="12:20" ht="26.25">
      <c r="L1946" s="123"/>
      <c r="O1946" s="360"/>
      <c r="Q1946" s="351"/>
      <c r="R1946" s="242"/>
      <c r="T1946" s="61" ph="1"/>
    </row>
    <row r="1947" spans="12:20" ht="26.25">
      <c r="L1947" s="123"/>
      <c r="O1947" s="360"/>
      <c r="Q1947" s="351"/>
      <c r="R1947" s="242"/>
      <c r="T1947" s="61" ph="1"/>
    </row>
    <row r="1948" spans="12:20" ht="26.25">
      <c r="L1948" s="123"/>
      <c r="O1948" s="360"/>
      <c r="Q1948" s="351"/>
      <c r="R1948" s="242"/>
      <c r="T1948" s="61" ph="1"/>
    </row>
    <row r="1949" spans="12:20" ht="26.25">
      <c r="L1949" s="245"/>
      <c r="O1949" s="360"/>
      <c r="Q1949" s="351"/>
      <c r="R1949" s="242"/>
      <c r="T1949" s="61" ph="1"/>
    </row>
    <row r="1950" spans="12:20" ht="26.25">
      <c r="L1950" s="245"/>
      <c r="O1950" s="360"/>
      <c r="Q1950" s="351"/>
      <c r="R1950" s="242"/>
      <c r="T1950" s="61" ph="1"/>
    </row>
    <row r="1951" spans="12:20" ht="26.25">
      <c r="L1951" s="245"/>
      <c r="O1951" s="360"/>
      <c r="Q1951" s="351"/>
      <c r="R1951" s="242"/>
      <c r="T1951" s="61" ph="1"/>
    </row>
    <row r="1952" spans="12:20" ht="26.25">
      <c r="L1952" s="245"/>
      <c r="O1952" s="360"/>
      <c r="Q1952" s="351"/>
      <c r="R1952" s="242"/>
      <c r="T1952" s="61" ph="1"/>
    </row>
    <row r="1953" spans="12:20" ht="26.25">
      <c r="L1953" s="245"/>
      <c r="O1953" s="360"/>
      <c r="Q1953" s="351"/>
      <c r="R1953" s="242"/>
      <c r="T1953" s="61" ph="1"/>
    </row>
    <row r="1954" spans="12:20" ht="26.25">
      <c r="L1954" s="245"/>
      <c r="O1954" s="360"/>
      <c r="Q1954" s="351"/>
      <c r="R1954" s="242"/>
      <c r="T1954" s="61" ph="1"/>
    </row>
    <row r="1955" spans="12:20">
      <c r="L1955" s="245"/>
      <c r="O1955" s="360"/>
      <c r="Q1955" s="351"/>
      <c r="R1955" s="242"/>
    </row>
    <row r="1956" spans="12:20" ht="26.25">
      <c r="L1956" s="245"/>
      <c r="O1956" s="360"/>
      <c r="Q1956" s="351"/>
      <c r="R1956" s="242"/>
      <c r="T1956" s="61" ph="1"/>
    </row>
    <row r="1957" spans="12:20" ht="26.25">
      <c r="L1957" s="245"/>
      <c r="O1957" s="360"/>
      <c r="Q1957" s="351"/>
      <c r="R1957" s="242"/>
      <c r="T1957" s="61" ph="1"/>
    </row>
    <row r="1958" spans="12:20" ht="26.25">
      <c r="L1958" s="123"/>
      <c r="O1958" s="360"/>
      <c r="Q1958" s="351"/>
      <c r="R1958" s="242"/>
      <c r="T1958" s="61" ph="1"/>
    </row>
    <row r="1959" spans="12:20" ht="26.25">
      <c r="L1959" s="245"/>
      <c r="O1959" s="360"/>
      <c r="Q1959" s="351"/>
      <c r="R1959" s="242"/>
      <c r="T1959" s="61" ph="1"/>
    </row>
    <row r="1960" spans="12:20" ht="26.25">
      <c r="L1960" s="245"/>
      <c r="O1960" s="360"/>
      <c r="Q1960" s="351"/>
      <c r="R1960" s="242"/>
      <c r="T1960" s="61" ph="1"/>
    </row>
    <row r="1961" spans="12:20" ht="26.25">
      <c r="L1961" s="245"/>
      <c r="O1961" s="360"/>
      <c r="Q1961" s="351"/>
      <c r="R1961" s="242"/>
      <c r="T1961" s="61" ph="1"/>
    </row>
    <row r="1962" spans="12:20" ht="26.25">
      <c r="L1962" s="123"/>
      <c r="O1962" s="360"/>
      <c r="Q1962" s="351"/>
      <c r="R1962" s="242"/>
      <c r="T1962" s="61" ph="1"/>
    </row>
    <row r="1963" spans="12:20" ht="26.25">
      <c r="L1963" s="245"/>
      <c r="O1963" s="360"/>
      <c r="Q1963" s="351"/>
      <c r="R1963" s="242"/>
      <c r="T1963" s="61" ph="1"/>
    </row>
    <row r="1964" spans="12:20">
      <c r="L1964" s="245"/>
      <c r="O1964" s="360"/>
      <c r="Q1964" s="351"/>
      <c r="R1964" s="242"/>
    </row>
    <row r="1965" spans="12:20" ht="26.25">
      <c r="L1965" s="123"/>
      <c r="O1965" s="360"/>
      <c r="Q1965" s="351"/>
      <c r="R1965" s="242"/>
      <c r="T1965" s="61" ph="1"/>
    </row>
    <row r="1966" spans="12:20" ht="26.25">
      <c r="L1966" s="123"/>
      <c r="O1966" s="360"/>
      <c r="Q1966" s="351"/>
      <c r="R1966" s="242"/>
      <c r="T1966" s="61" ph="1"/>
    </row>
    <row r="1967" spans="12:20" ht="26.25">
      <c r="O1967" s="360"/>
      <c r="Q1967" s="351"/>
      <c r="R1967" s="242"/>
      <c r="T1967" s="61" ph="1"/>
    </row>
    <row r="1968" spans="12:20" ht="26.25">
      <c r="O1968" s="360"/>
      <c r="Q1968" s="351"/>
      <c r="R1968" s="242"/>
      <c r="T1968" s="61" ph="1"/>
    </row>
    <row r="1969" spans="15:20" ht="26.25">
      <c r="O1969" s="360"/>
      <c r="Q1969" s="351"/>
      <c r="R1969" s="242"/>
      <c r="T1969" s="61" ph="1"/>
    </row>
    <row r="1970" spans="15:20" ht="26.25">
      <c r="O1970" s="360"/>
      <c r="Q1970" s="351"/>
      <c r="R1970" s="242"/>
      <c r="T1970" s="61" ph="1"/>
    </row>
    <row r="1971" spans="15:20" ht="26.25">
      <c r="O1971" s="360"/>
      <c r="Q1971" s="351"/>
      <c r="R1971" s="242"/>
      <c r="T1971" s="61" ph="1"/>
    </row>
    <row r="1972" spans="15:20" ht="26.25">
      <c r="O1972" s="360"/>
      <c r="Q1972" s="351"/>
      <c r="R1972" s="242"/>
      <c r="T1972" s="61" ph="1"/>
    </row>
    <row r="1973" spans="15:20" ht="26.25">
      <c r="O1973" s="360"/>
      <c r="Q1973" s="351"/>
      <c r="R1973" s="242"/>
      <c r="T1973" s="61" ph="1"/>
    </row>
    <row r="1974" spans="15:20" ht="26.25">
      <c r="O1974" s="360"/>
      <c r="Q1974" s="351"/>
      <c r="R1974" s="242"/>
      <c r="T1974" s="61" ph="1"/>
    </row>
    <row r="1975" spans="15:20" ht="26.25">
      <c r="O1975" s="360"/>
      <c r="Q1975" s="351"/>
      <c r="R1975" s="242"/>
      <c r="T1975" s="61" ph="1"/>
    </row>
    <row r="1976" spans="15:20">
      <c r="O1976" s="360"/>
      <c r="Q1976" s="351"/>
      <c r="R1976" s="242"/>
    </row>
    <row r="1977" spans="15:20" ht="26.25">
      <c r="O1977" s="360"/>
      <c r="Q1977" s="351"/>
      <c r="R1977" s="242"/>
      <c r="T1977" s="61" ph="1"/>
    </row>
    <row r="1978" spans="15:20" ht="26.25">
      <c r="O1978" s="360"/>
      <c r="Q1978" s="351"/>
      <c r="R1978" s="242"/>
      <c r="T1978" s="61" ph="1"/>
    </row>
    <row r="1979" spans="15:20" ht="26.25">
      <c r="O1979" s="360"/>
      <c r="Q1979" s="351"/>
      <c r="R1979" s="242"/>
      <c r="T1979" s="61" ph="1"/>
    </row>
    <row r="1980" spans="15:20" ht="26.25">
      <c r="O1980" s="360"/>
      <c r="Q1980" s="351"/>
      <c r="R1980" s="242"/>
      <c r="T1980" s="61" ph="1"/>
    </row>
    <row r="1981" spans="15:20" ht="26.25">
      <c r="O1981" s="360"/>
      <c r="Q1981" s="351"/>
      <c r="R1981" s="242"/>
      <c r="T1981" s="61" ph="1"/>
    </row>
    <row r="1982" spans="15:20" ht="26.25">
      <c r="O1982" s="360"/>
      <c r="Q1982" s="351"/>
      <c r="R1982" s="242"/>
      <c r="T1982" s="61" ph="1"/>
    </row>
    <row r="1983" spans="15:20" ht="26.25">
      <c r="O1983" s="360"/>
      <c r="Q1983" s="351"/>
      <c r="R1983" s="242"/>
      <c r="T1983" s="61" ph="1"/>
    </row>
    <row r="1984" spans="15:20" ht="26.25">
      <c r="O1984" s="360"/>
      <c r="Q1984" s="351"/>
      <c r="R1984" s="242"/>
      <c r="T1984" s="61" ph="1"/>
    </row>
    <row r="1985" spans="15:20">
      <c r="O1985" s="360"/>
      <c r="Q1985" s="351"/>
      <c r="R1985" s="242"/>
    </row>
    <row r="1986" spans="15:20" ht="26.25">
      <c r="O1986" s="360"/>
      <c r="Q1986" s="351"/>
      <c r="R1986" s="242"/>
      <c r="T1986" s="61" ph="1"/>
    </row>
    <row r="1987" spans="15:20" ht="26.25">
      <c r="O1987" s="360"/>
      <c r="Q1987" s="351"/>
      <c r="R1987" s="242"/>
      <c r="T1987" s="61" ph="1"/>
    </row>
    <row r="1988" spans="15:20" ht="26.25">
      <c r="O1988" s="360"/>
      <c r="Q1988" s="351"/>
      <c r="R1988" s="242"/>
      <c r="T1988" s="61" ph="1"/>
    </row>
    <row r="1989" spans="15:20" ht="26.25">
      <c r="O1989" s="360"/>
      <c r="Q1989" s="351"/>
      <c r="R1989" s="242"/>
      <c r="T1989" s="61" ph="1"/>
    </row>
    <row r="1990" spans="15:20" ht="26.25">
      <c r="O1990" s="360"/>
      <c r="Q1990" s="351"/>
      <c r="R1990" s="242"/>
      <c r="T1990" s="61" ph="1"/>
    </row>
    <row r="1991" spans="15:20" ht="26.25">
      <c r="O1991" s="360"/>
      <c r="Q1991" s="351"/>
      <c r="R1991" s="242"/>
      <c r="T1991" s="61" ph="1"/>
    </row>
    <row r="1992" spans="15:20" ht="26.25">
      <c r="O1992" s="360"/>
      <c r="Q1992" s="351"/>
      <c r="R1992" s="242"/>
      <c r="T1992" s="61" ph="1"/>
    </row>
    <row r="1993" spans="15:20" ht="26.25">
      <c r="O1993" s="360"/>
      <c r="Q1993" s="351"/>
      <c r="R1993" s="242"/>
      <c r="T1993" s="61" ph="1"/>
    </row>
    <row r="1994" spans="15:20" ht="26.25">
      <c r="O1994" s="360"/>
      <c r="Q1994" s="351"/>
      <c r="R1994" s="242"/>
      <c r="T1994" s="61" ph="1"/>
    </row>
    <row r="1995" spans="15:20" ht="26.25">
      <c r="O1995" s="360"/>
      <c r="Q1995" s="351"/>
      <c r="R1995" s="242"/>
      <c r="T1995" s="61" ph="1"/>
    </row>
    <row r="1996" spans="15:20" ht="26.25">
      <c r="O1996" s="360"/>
      <c r="Q1996" s="351"/>
      <c r="R1996" s="242"/>
      <c r="T1996" s="61" ph="1"/>
    </row>
    <row r="1997" spans="15:20" ht="26.25">
      <c r="O1997" s="360"/>
      <c r="Q1997" s="351"/>
      <c r="R1997" s="242"/>
      <c r="T1997" s="61" ph="1"/>
    </row>
    <row r="1998" spans="15:20" ht="26.25">
      <c r="O1998" s="360"/>
      <c r="Q1998" s="351"/>
      <c r="R1998" s="242"/>
      <c r="T1998" s="61" ph="1"/>
    </row>
    <row r="1999" spans="15:20" ht="26.25">
      <c r="O1999" s="360"/>
      <c r="Q1999" s="351"/>
      <c r="R1999" s="242"/>
      <c r="T1999" s="61" ph="1"/>
    </row>
    <row r="2000" spans="15:20" ht="26.25">
      <c r="O2000" s="360"/>
      <c r="Q2000" s="351"/>
      <c r="R2000" s="242"/>
      <c r="T2000" s="61" ph="1"/>
    </row>
    <row r="2001" spans="15:20" ht="26.25">
      <c r="O2001" s="360"/>
      <c r="Q2001" s="351"/>
      <c r="R2001" s="242"/>
      <c r="T2001" s="61" ph="1"/>
    </row>
    <row r="2002" spans="15:20" ht="26.25">
      <c r="O2002" s="360"/>
      <c r="Q2002" s="351"/>
      <c r="R2002" s="242"/>
      <c r="T2002" s="61" ph="1"/>
    </row>
    <row r="2003" spans="15:20" ht="26.25">
      <c r="O2003" s="360"/>
      <c r="Q2003" s="351"/>
      <c r="R2003" s="242"/>
      <c r="T2003" s="61" ph="1"/>
    </row>
    <row r="2004" spans="15:20" ht="26.25">
      <c r="O2004" s="360"/>
      <c r="Q2004" s="351"/>
      <c r="R2004" s="242"/>
      <c r="T2004" s="61" ph="1"/>
    </row>
    <row r="2005" spans="15:20" ht="26.25">
      <c r="O2005" s="360"/>
      <c r="Q2005" s="351"/>
      <c r="R2005" s="242"/>
      <c r="T2005" s="61" ph="1"/>
    </row>
    <row r="2006" spans="15:20" ht="26.25">
      <c r="O2006" s="360"/>
      <c r="Q2006" s="351"/>
      <c r="R2006" s="242"/>
      <c r="T2006" s="61" ph="1"/>
    </row>
    <row r="2007" spans="15:20" ht="26.25">
      <c r="O2007" s="360"/>
      <c r="Q2007" s="351"/>
      <c r="R2007" s="242"/>
      <c r="T2007" s="61" ph="1"/>
    </row>
    <row r="2008" spans="15:20" ht="26.25">
      <c r="O2008" s="360"/>
      <c r="Q2008" s="351"/>
      <c r="R2008" s="242"/>
      <c r="T2008" s="61" ph="1"/>
    </row>
    <row r="2009" spans="15:20" ht="26.25">
      <c r="O2009" s="360"/>
      <c r="Q2009" s="351"/>
      <c r="R2009" s="242"/>
      <c r="T2009" s="61" ph="1"/>
    </row>
    <row r="2010" spans="15:20" ht="26.25">
      <c r="O2010" s="360"/>
      <c r="Q2010" s="351"/>
      <c r="R2010" s="242"/>
      <c r="T2010" s="61" ph="1"/>
    </row>
    <row r="2011" spans="15:20" ht="26.25">
      <c r="O2011" s="360"/>
      <c r="Q2011" s="351"/>
      <c r="R2011" s="242"/>
      <c r="T2011" s="61" ph="1"/>
    </row>
    <row r="2012" spans="15:20" ht="26.25">
      <c r="O2012" s="360"/>
      <c r="Q2012" s="351"/>
      <c r="R2012" s="242"/>
      <c r="T2012" s="61" ph="1"/>
    </row>
    <row r="2013" spans="15:20" ht="26.25">
      <c r="O2013" s="360"/>
      <c r="Q2013" s="351"/>
      <c r="R2013" s="242"/>
      <c r="T2013" s="61" ph="1"/>
    </row>
    <row r="2014" spans="15:20" ht="26.25">
      <c r="O2014" s="360"/>
      <c r="Q2014" s="351"/>
      <c r="R2014" s="242"/>
      <c r="T2014" s="61" ph="1"/>
    </row>
    <row r="2015" spans="15:20" ht="26.25">
      <c r="O2015" s="360"/>
      <c r="Q2015" s="351"/>
      <c r="R2015" s="242"/>
      <c r="T2015" s="61" ph="1"/>
    </row>
    <row r="2016" spans="15:20" ht="26.25">
      <c r="O2016" s="360"/>
      <c r="Q2016" s="351"/>
      <c r="R2016" s="242"/>
      <c r="T2016" s="61" ph="1"/>
    </row>
    <row r="2017" spans="15:20" ht="26.25">
      <c r="O2017" s="360"/>
      <c r="Q2017" s="351"/>
      <c r="R2017" s="242"/>
      <c r="T2017" s="61" ph="1"/>
    </row>
    <row r="2018" spans="15:20" ht="26.25">
      <c r="O2018" s="360"/>
      <c r="Q2018" s="351"/>
      <c r="R2018" s="242"/>
      <c r="T2018" s="61" ph="1"/>
    </row>
    <row r="2019" spans="15:20" ht="26.25">
      <c r="O2019" s="360"/>
      <c r="Q2019" s="351"/>
      <c r="R2019" s="242"/>
      <c r="T2019" s="61" ph="1"/>
    </row>
    <row r="2020" spans="15:20" ht="26.25">
      <c r="O2020" s="360"/>
      <c r="Q2020" s="351"/>
      <c r="R2020" s="242"/>
      <c r="T2020" s="61" ph="1"/>
    </row>
    <row r="2021" spans="15:20" ht="26.25">
      <c r="O2021" s="360"/>
      <c r="Q2021" s="351"/>
      <c r="R2021" s="242"/>
      <c r="T2021" s="61" ph="1"/>
    </row>
    <row r="2022" spans="15:20" ht="26.25">
      <c r="O2022" s="360"/>
      <c r="Q2022" s="351"/>
      <c r="R2022" s="242"/>
      <c r="T2022" s="61" ph="1"/>
    </row>
    <row r="2023" spans="15:20" ht="26.25">
      <c r="O2023" s="360"/>
      <c r="Q2023" s="351"/>
      <c r="R2023" s="242"/>
      <c r="T2023" s="61" ph="1"/>
    </row>
    <row r="2024" spans="15:20" ht="26.25">
      <c r="O2024" s="360"/>
      <c r="Q2024" s="351"/>
      <c r="R2024" s="242"/>
      <c r="T2024" s="61" ph="1"/>
    </row>
    <row r="2025" spans="15:20" ht="26.25">
      <c r="O2025" s="360"/>
      <c r="Q2025" s="351"/>
      <c r="R2025" s="242"/>
      <c r="T2025" s="61" ph="1"/>
    </row>
    <row r="2026" spans="15:20" ht="26.25">
      <c r="O2026" s="360"/>
      <c r="Q2026" s="351"/>
      <c r="R2026" s="242"/>
      <c r="T2026" s="61" ph="1"/>
    </row>
    <row r="2027" spans="15:20" ht="26.25">
      <c r="O2027" s="360"/>
      <c r="Q2027" s="351"/>
      <c r="R2027" s="242"/>
      <c r="T2027" s="61" ph="1"/>
    </row>
    <row r="2028" spans="15:20" ht="26.25">
      <c r="O2028" s="360"/>
      <c r="Q2028" s="351"/>
      <c r="R2028" s="242"/>
      <c r="T2028" s="61" ph="1"/>
    </row>
    <row r="2029" spans="15:20" ht="26.25">
      <c r="O2029" s="360"/>
      <c r="Q2029" s="351"/>
      <c r="R2029" s="242"/>
      <c r="T2029" s="61" ph="1"/>
    </row>
    <row r="2030" spans="15:20" ht="26.25">
      <c r="O2030" s="360"/>
      <c r="Q2030" s="351"/>
      <c r="R2030" s="242"/>
      <c r="T2030" s="61" ph="1"/>
    </row>
    <row r="2031" spans="15:20" ht="26.25">
      <c r="O2031" s="360"/>
      <c r="Q2031" s="351"/>
      <c r="R2031" s="242"/>
      <c r="T2031" s="61" ph="1"/>
    </row>
    <row r="2032" spans="15:20" ht="26.25">
      <c r="O2032" s="360"/>
      <c r="Q2032" s="351"/>
      <c r="R2032" s="242"/>
      <c r="T2032" s="61" ph="1"/>
    </row>
    <row r="2033" spans="15:20" ht="26.25">
      <c r="O2033" s="360"/>
      <c r="Q2033" s="351"/>
      <c r="R2033" s="242"/>
      <c r="T2033" s="61" ph="1"/>
    </row>
    <row r="2034" spans="15:20" ht="26.25">
      <c r="O2034" s="360"/>
      <c r="Q2034" s="351"/>
      <c r="R2034" s="242"/>
      <c r="T2034" s="61" ph="1"/>
    </row>
    <row r="2035" spans="15:20" ht="26.25">
      <c r="O2035" s="360"/>
      <c r="Q2035" s="351"/>
      <c r="R2035" s="242"/>
      <c r="T2035" s="61" ph="1"/>
    </row>
    <row r="2036" spans="15:20" ht="26.25">
      <c r="O2036" s="360"/>
      <c r="Q2036" s="351"/>
      <c r="R2036" s="242"/>
      <c r="T2036" s="61" ph="1"/>
    </row>
    <row r="2037" spans="15:20" ht="26.25">
      <c r="O2037" s="360"/>
      <c r="Q2037" s="351"/>
      <c r="R2037" s="242"/>
      <c r="T2037" s="61" ph="1"/>
    </row>
    <row r="2038" spans="15:20" ht="26.25">
      <c r="O2038" s="360"/>
      <c r="Q2038" s="351"/>
      <c r="R2038" s="242"/>
      <c r="T2038" s="61" ph="1"/>
    </row>
    <row r="2039" spans="15:20" ht="26.25">
      <c r="O2039" s="360"/>
      <c r="Q2039" s="351"/>
      <c r="R2039" s="242"/>
      <c r="T2039" s="61" ph="1"/>
    </row>
    <row r="2040" spans="15:20" ht="26.25">
      <c r="O2040" s="360"/>
      <c r="Q2040" s="351"/>
      <c r="R2040" s="242"/>
      <c r="T2040" s="61" ph="1"/>
    </row>
    <row r="2041" spans="15:20" ht="26.25">
      <c r="O2041" s="360"/>
      <c r="Q2041" s="351"/>
      <c r="R2041" s="242"/>
      <c r="T2041" s="61" ph="1"/>
    </row>
    <row r="2042" spans="15:20" ht="26.25">
      <c r="O2042" s="360"/>
      <c r="Q2042" s="351"/>
      <c r="R2042" s="242"/>
      <c r="T2042" s="61" ph="1"/>
    </row>
    <row r="2043" spans="15:20" ht="26.25">
      <c r="O2043" s="360"/>
      <c r="Q2043" s="351"/>
      <c r="R2043" s="242"/>
      <c r="T2043" s="61" ph="1"/>
    </row>
    <row r="2044" spans="15:20" ht="26.25">
      <c r="O2044" s="360"/>
      <c r="Q2044" s="351"/>
      <c r="R2044" s="242"/>
      <c r="T2044" s="61" ph="1"/>
    </row>
    <row r="2045" spans="15:20" ht="26.25">
      <c r="O2045" s="360"/>
      <c r="Q2045" s="351"/>
      <c r="R2045" s="242"/>
      <c r="T2045" s="61" ph="1"/>
    </row>
    <row r="2046" spans="15:20" ht="26.25">
      <c r="O2046" s="360"/>
      <c r="Q2046" s="351"/>
      <c r="R2046" s="242"/>
      <c r="T2046" s="61" ph="1"/>
    </row>
    <row r="2047" spans="15:20" ht="26.25">
      <c r="O2047" s="360"/>
      <c r="Q2047" s="351"/>
      <c r="R2047" s="242"/>
      <c r="T2047" s="61" ph="1"/>
    </row>
    <row r="2048" spans="15:20" ht="26.25">
      <c r="O2048" s="360"/>
      <c r="Q2048" s="351"/>
      <c r="R2048" s="242"/>
      <c r="T2048" s="61" ph="1"/>
    </row>
    <row r="2049" spans="15:20" ht="26.25">
      <c r="O2049" s="360"/>
      <c r="Q2049" s="351"/>
      <c r="R2049" s="242"/>
      <c r="T2049" s="61" ph="1"/>
    </row>
    <row r="2050" spans="15:20" ht="26.25">
      <c r="O2050" s="360"/>
      <c r="Q2050" s="351"/>
      <c r="R2050" s="242"/>
      <c r="T2050" s="61" ph="1"/>
    </row>
    <row r="2051" spans="15:20" ht="26.25">
      <c r="O2051" s="360"/>
      <c r="Q2051" s="351"/>
      <c r="R2051" s="242"/>
      <c r="T2051" s="61" ph="1"/>
    </row>
    <row r="2052" spans="15:20" ht="26.25">
      <c r="O2052" s="360"/>
      <c r="Q2052" s="351"/>
      <c r="R2052" s="242"/>
      <c r="T2052" s="61" ph="1"/>
    </row>
    <row r="2053" spans="15:20" ht="26.25">
      <c r="O2053" s="360"/>
      <c r="Q2053" s="351"/>
      <c r="R2053" s="242"/>
      <c r="T2053" s="61" ph="1"/>
    </row>
    <row r="2054" spans="15:20" ht="26.25">
      <c r="O2054" s="360"/>
      <c r="Q2054" s="351"/>
      <c r="R2054" s="242"/>
      <c r="T2054" s="61" ph="1"/>
    </row>
    <row r="2055" spans="15:20" ht="26.25">
      <c r="O2055" s="360"/>
      <c r="Q2055" s="351"/>
      <c r="R2055" s="242"/>
      <c r="T2055" s="61" ph="1"/>
    </row>
    <row r="2056" spans="15:20" ht="26.25">
      <c r="O2056" s="360"/>
      <c r="Q2056" s="351"/>
      <c r="R2056" s="242"/>
      <c r="T2056" s="61" ph="1"/>
    </row>
    <row r="2057" spans="15:20" ht="26.25">
      <c r="O2057" s="360"/>
      <c r="Q2057" s="351"/>
      <c r="R2057" s="242"/>
      <c r="T2057" s="61" ph="1"/>
    </row>
    <row r="2058" spans="15:20" ht="26.25">
      <c r="O2058" s="360"/>
      <c r="Q2058" s="351"/>
      <c r="R2058" s="242"/>
      <c r="T2058" s="61" ph="1"/>
    </row>
    <row r="2059" spans="15:20" ht="26.25">
      <c r="O2059" s="360"/>
      <c r="Q2059" s="351"/>
      <c r="R2059" s="242"/>
      <c r="T2059" s="61" ph="1"/>
    </row>
    <row r="2060" spans="15:20" ht="26.25">
      <c r="O2060" s="360"/>
      <c r="Q2060" s="351"/>
      <c r="R2060" s="242"/>
      <c r="T2060" s="61" ph="1"/>
    </row>
    <row r="2061" spans="15:20" ht="26.25">
      <c r="O2061" s="360"/>
      <c r="Q2061" s="351"/>
      <c r="R2061" s="242"/>
      <c r="T2061" s="61" ph="1"/>
    </row>
    <row r="2062" spans="15:20" ht="26.25">
      <c r="O2062" s="360"/>
      <c r="Q2062" s="351"/>
      <c r="R2062" s="242"/>
      <c r="T2062" s="61" ph="1"/>
    </row>
    <row r="2063" spans="15:20" ht="26.25">
      <c r="O2063" s="360"/>
      <c r="Q2063" s="351"/>
      <c r="R2063" s="242"/>
      <c r="T2063" s="61" ph="1"/>
    </row>
    <row r="2064" spans="15:20" ht="26.25">
      <c r="O2064" s="360"/>
      <c r="Q2064" s="351"/>
      <c r="R2064" s="242"/>
      <c r="T2064" s="61" ph="1"/>
    </row>
    <row r="2065" spans="15:20" ht="26.25">
      <c r="O2065" s="360"/>
      <c r="Q2065" s="351"/>
      <c r="R2065" s="242"/>
      <c r="T2065" s="61" ph="1"/>
    </row>
    <row r="2066" spans="15:20" ht="26.25">
      <c r="O2066" s="360"/>
      <c r="Q2066" s="351"/>
      <c r="R2066" s="242"/>
      <c r="T2066" s="61" ph="1"/>
    </row>
    <row r="2067" spans="15:20" ht="26.25">
      <c r="O2067" s="360"/>
      <c r="Q2067" s="351"/>
      <c r="R2067" s="242"/>
      <c r="T2067" s="61" ph="1"/>
    </row>
    <row r="2068" spans="15:20" ht="26.25">
      <c r="O2068" s="360"/>
      <c r="Q2068" s="351"/>
      <c r="R2068" s="242"/>
      <c r="T2068" s="61" ph="1"/>
    </row>
    <row r="2069" spans="15:20" ht="26.25">
      <c r="O2069" s="360"/>
      <c r="Q2069" s="351"/>
      <c r="R2069" s="242"/>
      <c r="T2069" s="61" ph="1"/>
    </row>
    <row r="2070" spans="15:20" ht="26.25">
      <c r="O2070" s="360"/>
      <c r="Q2070" s="351"/>
      <c r="R2070" s="242"/>
      <c r="T2070" s="61" ph="1"/>
    </row>
    <row r="2071" spans="15:20" ht="26.25">
      <c r="O2071" s="360"/>
      <c r="Q2071" s="351"/>
      <c r="R2071" s="242"/>
      <c r="T2071" s="61" ph="1"/>
    </row>
    <row r="2072" spans="15:20" ht="26.25">
      <c r="O2072" s="360"/>
      <c r="Q2072" s="351"/>
      <c r="R2072" s="242"/>
      <c r="T2072" s="61" ph="1"/>
    </row>
    <row r="2073" spans="15:20" ht="26.25">
      <c r="O2073" s="360"/>
      <c r="Q2073" s="351"/>
      <c r="R2073" s="242"/>
      <c r="T2073" s="61" ph="1"/>
    </row>
    <row r="2074" spans="15:20" ht="26.25">
      <c r="O2074" s="360"/>
      <c r="Q2074" s="351"/>
      <c r="R2074" s="242"/>
      <c r="T2074" s="61" ph="1"/>
    </row>
    <row r="2075" spans="15:20" ht="26.25">
      <c r="O2075" s="360"/>
      <c r="Q2075" s="351"/>
      <c r="R2075" s="242"/>
      <c r="T2075" s="61" ph="1"/>
    </row>
    <row r="2076" spans="15:20" ht="26.25">
      <c r="O2076" s="360"/>
      <c r="Q2076" s="351"/>
      <c r="R2076" s="242"/>
      <c r="T2076" s="61" ph="1"/>
    </row>
    <row r="2077" spans="15:20" ht="26.25">
      <c r="O2077" s="360"/>
      <c r="Q2077" s="351"/>
      <c r="R2077" s="242"/>
      <c r="T2077" s="61" ph="1"/>
    </row>
    <row r="2078" spans="15:20" ht="26.25">
      <c r="O2078" s="360"/>
      <c r="Q2078" s="351"/>
      <c r="R2078" s="242"/>
      <c r="T2078" s="61" ph="1"/>
    </row>
    <row r="2079" spans="15:20" ht="26.25">
      <c r="O2079" s="360"/>
      <c r="Q2079" s="351"/>
      <c r="R2079" s="242"/>
      <c r="T2079" s="61" ph="1"/>
    </row>
    <row r="2080" spans="15:20" ht="26.25">
      <c r="O2080" s="360"/>
      <c r="Q2080" s="351"/>
      <c r="R2080" s="242"/>
      <c r="T2080" s="61" ph="1"/>
    </row>
    <row r="2081" spans="15:20" ht="26.25">
      <c r="O2081" s="360"/>
      <c r="Q2081" s="351"/>
      <c r="R2081" s="242"/>
      <c r="T2081" s="61" ph="1"/>
    </row>
    <row r="2082" spans="15:20" ht="26.25">
      <c r="O2082" s="360"/>
      <c r="Q2082" s="351"/>
      <c r="R2082" s="242"/>
      <c r="T2082" s="61" ph="1"/>
    </row>
    <row r="2083" spans="15:20" ht="26.25">
      <c r="O2083" s="360"/>
      <c r="Q2083" s="351"/>
      <c r="R2083" s="242"/>
      <c r="T2083" s="61" ph="1"/>
    </row>
    <row r="2084" spans="15:20" ht="26.25">
      <c r="O2084" s="360"/>
      <c r="Q2084" s="351"/>
      <c r="R2084" s="242"/>
      <c r="T2084" s="61" ph="1"/>
    </row>
    <row r="2085" spans="15:20" ht="26.25">
      <c r="O2085" s="360"/>
      <c r="Q2085" s="351"/>
      <c r="R2085" s="242"/>
      <c r="T2085" s="61" ph="1"/>
    </row>
    <row r="2086" spans="15:20" ht="26.25">
      <c r="O2086" s="360"/>
      <c r="Q2086" s="351"/>
      <c r="R2086" s="242"/>
      <c r="T2086" s="61" ph="1"/>
    </row>
    <row r="2087" spans="15:20" ht="26.25">
      <c r="O2087" s="360"/>
      <c r="Q2087" s="351"/>
      <c r="R2087" s="242"/>
      <c r="T2087" s="61" ph="1"/>
    </row>
    <row r="2088" spans="15:20" ht="26.25">
      <c r="O2088" s="360"/>
      <c r="Q2088" s="351"/>
      <c r="R2088" s="242"/>
      <c r="T2088" s="61" ph="1"/>
    </row>
    <row r="2089" spans="15:20" ht="26.25">
      <c r="O2089" s="360"/>
      <c r="Q2089" s="351"/>
      <c r="R2089" s="242"/>
      <c r="T2089" s="61" ph="1"/>
    </row>
    <row r="2090" spans="15:20" ht="26.25">
      <c r="O2090" s="360"/>
      <c r="Q2090" s="351"/>
      <c r="R2090" s="242"/>
      <c r="T2090" s="61" ph="1"/>
    </row>
    <row r="2091" spans="15:20" ht="26.25">
      <c r="O2091" s="360"/>
      <c r="Q2091" s="351"/>
      <c r="R2091" s="242"/>
      <c r="T2091" s="61" ph="1"/>
    </row>
    <row r="2092" spans="15:20" ht="26.25">
      <c r="O2092" s="360"/>
      <c r="Q2092" s="351"/>
      <c r="R2092" s="242"/>
      <c r="T2092" s="61" ph="1"/>
    </row>
    <row r="2093" spans="15:20" ht="26.25">
      <c r="O2093" s="360"/>
      <c r="Q2093" s="351"/>
      <c r="R2093" s="242"/>
      <c r="T2093" s="61" ph="1"/>
    </row>
    <row r="2094" spans="15:20" ht="26.25">
      <c r="O2094" s="360"/>
      <c r="Q2094" s="351"/>
      <c r="R2094" s="242"/>
      <c r="T2094" s="61" ph="1"/>
    </row>
    <row r="2095" spans="15:20" ht="26.25">
      <c r="O2095" s="360"/>
      <c r="Q2095" s="351"/>
      <c r="R2095" s="242"/>
      <c r="T2095" s="61" ph="1"/>
    </row>
    <row r="2096" spans="15:20" ht="26.25">
      <c r="O2096" s="360"/>
      <c r="Q2096" s="351"/>
      <c r="R2096" s="242"/>
      <c r="T2096" s="61" ph="1"/>
    </row>
    <row r="2097" spans="15:20" ht="26.25">
      <c r="O2097" s="360"/>
      <c r="Q2097" s="351"/>
      <c r="R2097" s="242"/>
      <c r="T2097" s="61" ph="1"/>
    </row>
    <row r="2098" spans="15:20" ht="26.25">
      <c r="O2098" s="360"/>
      <c r="Q2098" s="351"/>
      <c r="R2098" s="242"/>
      <c r="T2098" s="61" ph="1"/>
    </row>
    <row r="2099" spans="15:20" ht="26.25">
      <c r="O2099" s="360"/>
      <c r="Q2099" s="351"/>
      <c r="R2099" s="242"/>
      <c r="T2099" s="61" ph="1"/>
    </row>
    <row r="2100" spans="15:20" ht="26.25">
      <c r="O2100" s="360"/>
      <c r="Q2100" s="351"/>
      <c r="R2100" s="242"/>
      <c r="T2100" s="61" ph="1"/>
    </row>
    <row r="2101" spans="15:20" ht="26.25">
      <c r="O2101" s="360"/>
      <c r="Q2101" s="351"/>
      <c r="R2101" s="242"/>
      <c r="T2101" s="61" ph="1"/>
    </row>
    <row r="2102" spans="15:20" ht="26.25">
      <c r="O2102" s="360"/>
      <c r="Q2102" s="351"/>
      <c r="R2102" s="242"/>
      <c r="T2102" s="61" ph="1"/>
    </row>
    <row r="2103" spans="15:20" ht="26.25">
      <c r="O2103" s="360"/>
      <c r="Q2103" s="351"/>
      <c r="R2103" s="242"/>
      <c r="T2103" s="61" ph="1"/>
    </row>
    <row r="2104" spans="15:20" ht="26.25">
      <c r="O2104" s="360"/>
      <c r="Q2104" s="351"/>
      <c r="R2104" s="242"/>
      <c r="T2104" s="61" ph="1"/>
    </row>
    <row r="2105" spans="15:20" ht="26.25">
      <c r="O2105" s="360"/>
      <c r="Q2105" s="351"/>
      <c r="R2105" s="242"/>
      <c r="T2105" s="61" ph="1"/>
    </row>
    <row r="2106" spans="15:20" ht="26.25">
      <c r="O2106" s="360"/>
      <c r="Q2106" s="351"/>
      <c r="R2106" s="242"/>
      <c r="T2106" s="61" ph="1"/>
    </row>
    <row r="2107" spans="15:20" ht="26.25">
      <c r="O2107" s="360"/>
      <c r="Q2107" s="351"/>
      <c r="R2107" s="242"/>
      <c r="T2107" s="61" ph="1"/>
    </row>
    <row r="2108" spans="15:20" ht="26.25">
      <c r="O2108" s="360"/>
      <c r="Q2108" s="351"/>
      <c r="R2108" s="242"/>
      <c r="T2108" s="61" ph="1"/>
    </row>
    <row r="2109" spans="15:20" ht="26.25">
      <c r="O2109" s="360"/>
      <c r="Q2109" s="351"/>
      <c r="R2109" s="242"/>
      <c r="T2109" s="61" ph="1"/>
    </row>
    <row r="2110" spans="15:20" ht="26.25">
      <c r="O2110" s="360"/>
      <c r="Q2110" s="351"/>
      <c r="R2110" s="242"/>
      <c r="T2110" s="61" ph="1"/>
    </row>
    <row r="2111" spans="15:20" ht="26.25">
      <c r="O2111" s="360"/>
      <c r="Q2111" s="351"/>
      <c r="R2111" s="242"/>
      <c r="T2111" s="61" ph="1"/>
    </row>
    <row r="2112" spans="15:20" ht="26.25">
      <c r="O2112" s="360"/>
      <c r="Q2112" s="351"/>
      <c r="R2112" s="242"/>
      <c r="T2112" s="61" ph="1"/>
    </row>
    <row r="2113" spans="15:20" ht="26.25">
      <c r="O2113" s="360"/>
      <c r="Q2113" s="351"/>
      <c r="R2113" s="242"/>
      <c r="T2113" s="61" ph="1"/>
    </row>
    <row r="2114" spans="15:20" ht="26.25">
      <c r="O2114" s="360"/>
      <c r="Q2114" s="351"/>
      <c r="R2114" s="242"/>
      <c r="T2114" s="61" ph="1"/>
    </row>
    <row r="2115" spans="15:20" ht="26.25">
      <c r="O2115" s="360"/>
      <c r="Q2115" s="351"/>
      <c r="R2115" s="242"/>
      <c r="T2115" s="61" ph="1"/>
    </row>
    <row r="2116" spans="15:20" ht="26.25">
      <c r="O2116" s="360"/>
      <c r="Q2116" s="351"/>
      <c r="R2116" s="242"/>
      <c r="T2116" s="61" ph="1"/>
    </row>
    <row r="2117" spans="15:20" ht="26.25">
      <c r="O2117" s="360"/>
      <c r="Q2117" s="351"/>
      <c r="R2117" s="242"/>
      <c r="T2117" s="61" ph="1"/>
    </row>
    <row r="2118" spans="15:20" ht="26.25">
      <c r="O2118" s="360"/>
      <c r="Q2118" s="351"/>
      <c r="R2118" s="242"/>
      <c r="T2118" s="61" ph="1"/>
    </row>
    <row r="2119" spans="15:20" ht="26.25">
      <c r="O2119" s="360"/>
      <c r="Q2119" s="351"/>
      <c r="R2119" s="242"/>
      <c r="T2119" s="61" ph="1"/>
    </row>
    <row r="2120" spans="15:20" ht="26.25">
      <c r="O2120" s="360"/>
      <c r="Q2120" s="351"/>
      <c r="R2120" s="242"/>
      <c r="T2120" s="61" ph="1"/>
    </row>
    <row r="2121" spans="15:20" ht="26.25">
      <c r="O2121" s="360"/>
      <c r="Q2121" s="351"/>
      <c r="R2121" s="242"/>
      <c r="T2121" s="61" ph="1"/>
    </row>
    <row r="2122" spans="15:20" ht="26.25">
      <c r="O2122" s="360"/>
      <c r="Q2122" s="351"/>
      <c r="R2122" s="242"/>
      <c r="T2122" s="61" ph="1"/>
    </row>
    <row r="2123" spans="15:20" ht="26.25">
      <c r="O2123" s="360"/>
      <c r="Q2123" s="351"/>
      <c r="R2123" s="242"/>
      <c r="T2123" s="61" ph="1"/>
    </row>
    <row r="2124" spans="15:20" ht="26.25">
      <c r="O2124" s="360"/>
      <c r="Q2124" s="351"/>
      <c r="R2124" s="242"/>
      <c r="T2124" s="61" ph="1"/>
    </row>
    <row r="2125" spans="15:20" ht="26.25">
      <c r="O2125" s="360"/>
      <c r="Q2125" s="351"/>
      <c r="R2125" s="242"/>
      <c r="T2125" s="61" ph="1"/>
    </row>
    <row r="2126" spans="15:20" ht="26.25">
      <c r="O2126" s="360"/>
      <c r="Q2126" s="351"/>
      <c r="R2126" s="242"/>
      <c r="T2126" s="61" ph="1"/>
    </row>
    <row r="2127" spans="15:20" ht="26.25">
      <c r="O2127" s="360"/>
      <c r="Q2127" s="351"/>
      <c r="R2127" s="242"/>
      <c r="T2127" s="61" ph="1"/>
    </row>
    <row r="2128" spans="15:20" ht="26.25">
      <c r="O2128" s="360"/>
      <c r="Q2128" s="351"/>
      <c r="R2128" s="242"/>
      <c r="T2128" s="61" ph="1"/>
    </row>
    <row r="2129" spans="15:20" ht="26.25">
      <c r="O2129" s="360"/>
      <c r="Q2129" s="351"/>
      <c r="R2129" s="242"/>
      <c r="T2129" s="61" ph="1"/>
    </row>
    <row r="2130" spans="15:20" ht="26.25">
      <c r="O2130" s="360"/>
      <c r="Q2130" s="351"/>
      <c r="R2130" s="242"/>
      <c r="T2130" s="61" ph="1"/>
    </row>
    <row r="2131" spans="15:20" ht="26.25">
      <c r="O2131" s="360"/>
      <c r="Q2131" s="351"/>
      <c r="R2131" s="242"/>
      <c r="T2131" s="61" ph="1"/>
    </row>
    <row r="2132" spans="15:20" ht="26.25">
      <c r="O2132" s="360"/>
      <c r="Q2132" s="351"/>
      <c r="R2132" s="242"/>
      <c r="T2132" s="61" ph="1"/>
    </row>
    <row r="2133" spans="15:20" ht="26.25">
      <c r="O2133" s="360"/>
      <c r="Q2133" s="351"/>
      <c r="R2133" s="242"/>
      <c r="T2133" s="61" ph="1"/>
    </row>
    <row r="2134" spans="15:20" ht="26.25">
      <c r="O2134" s="360"/>
      <c r="Q2134" s="351"/>
      <c r="R2134" s="242"/>
      <c r="T2134" s="61" ph="1"/>
    </row>
    <row r="2135" spans="15:20" ht="26.25">
      <c r="O2135" s="360"/>
      <c r="Q2135" s="351"/>
      <c r="R2135" s="242"/>
      <c r="T2135" s="61" ph="1"/>
    </row>
    <row r="2136" spans="15:20" ht="26.25">
      <c r="O2136" s="360"/>
      <c r="Q2136" s="351"/>
      <c r="R2136" s="242"/>
      <c r="T2136" s="61" ph="1"/>
    </row>
    <row r="2137" spans="15:20" ht="26.25">
      <c r="O2137" s="360"/>
      <c r="Q2137" s="351"/>
      <c r="R2137" s="242"/>
      <c r="T2137" s="61" ph="1"/>
    </row>
    <row r="2138" spans="15:20" ht="26.25">
      <c r="O2138" s="360"/>
      <c r="Q2138" s="351"/>
      <c r="R2138" s="242"/>
      <c r="T2138" s="61" ph="1"/>
    </row>
    <row r="2139" spans="15:20" ht="26.25">
      <c r="O2139" s="360"/>
      <c r="Q2139" s="351"/>
      <c r="R2139" s="242"/>
      <c r="T2139" s="61" ph="1"/>
    </row>
    <row r="2140" spans="15:20" ht="26.25">
      <c r="O2140" s="360"/>
      <c r="Q2140" s="351"/>
      <c r="R2140" s="242"/>
      <c r="T2140" s="61" ph="1"/>
    </row>
    <row r="2141" spans="15:20" ht="26.25">
      <c r="O2141" s="360"/>
      <c r="Q2141" s="351"/>
      <c r="R2141" s="242"/>
      <c r="T2141" s="61" ph="1"/>
    </row>
    <row r="2142" spans="15:20" ht="26.25">
      <c r="O2142" s="360"/>
      <c r="Q2142" s="351"/>
      <c r="R2142" s="242"/>
      <c r="T2142" s="61" ph="1"/>
    </row>
    <row r="2143" spans="15:20" ht="26.25">
      <c r="O2143" s="360"/>
      <c r="Q2143" s="351"/>
      <c r="R2143" s="242"/>
      <c r="T2143" s="61" ph="1"/>
    </row>
    <row r="2144" spans="15:20" ht="26.25">
      <c r="O2144" s="360"/>
      <c r="Q2144" s="351"/>
      <c r="R2144" s="242"/>
      <c r="T2144" s="61" ph="1"/>
    </row>
    <row r="2145" spans="15:20" ht="26.25">
      <c r="O2145" s="360"/>
      <c r="Q2145" s="351"/>
      <c r="R2145" s="242"/>
      <c r="T2145" s="61" ph="1"/>
    </row>
    <row r="2146" spans="15:20" ht="26.25">
      <c r="O2146" s="360"/>
      <c r="Q2146" s="351"/>
      <c r="R2146" s="242"/>
      <c r="T2146" s="61" ph="1"/>
    </row>
    <row r="2147" spans="15:20" ht="26.25">
      <c r="O2147" s="360"/>
      <c r="Q2147" s="351"/>
      <c r="R2147" s="242"/>
      <c r="T2147" s="61" ph="1"/>
    </row>
    <row r="2148" spans="15:20" ht="26.25">
      <c r="O2148" s="360"/>
      <c r="Q2148" s="351"/>
      <c r="R2148" s="242"/>
      <c r="T2148" s="61" ph="1"/>
    </row>
    <row r="2149" spans="15:20" ht="26.25">
      <c r="O2149" s="360"/>
      <c r="Q2149" s="351"/>
      <c r="R2149" s="242"/>
      <c r="T2149" s="61" ph="1"/>
    </row>
    <row r="2150" spans="15:20" ht="26.25">
      <c r="O2150" s="360"/>
      <c r="Q2150" s="351"/>
      <c r="R2150" s="242"/>
      <c r="T2150" s="61" ph="1"/>
    </row>
    <row r="2151" spans="15:20" ht="26.25">
      <c r="O2151" s="360"/>
      <c r="Q2151" s="351"/>
      <c r="R2151" s="242"/>
      <c r="T2151" s="61" ph="1"/>
    </row>
    <row r="2152" spans="15:20" ht="26.25">
      <c r="O2152" s="360"/>
      <c r="Q2152" s="351"/>
      <c r="R2152" s="242"/>
      <c r="T2152" s="61" ph="1"/>
    </row>
    <row r="2153" spans="15:20" ht="26.25">
      <c r="O2153" s="360"/>
      <c r="Q2153" s="351"/>
      <c r="R2153" s="242"/>
      <c r="T2153" s="61" ph="1"/>
    </row>
    <row r="2154" spans="15:20" ht="26.25">
      <c r="O2154" s="360"/>
      <c r="Q2154" s="351"/>
      <c r="R2154" s="242"/>
      <c r="T2154" s="61" ph="1"/>
    </row>
    <row r="2155" spans="15:20" ht="26.25">
      <c r="O2155" s="360"/>
      <c r="Q2155" s="351"/>
      <c r="R2155" s="242"/>
      <c r="T2155" s="61" ph="1"/>
    </row>
    <row r="2156" spans="15:20" ht="26.25">
      <c r="O2156" s="360"/>
      <c r="Q2156" s="351"/>
      <c r="R2156" s="242"/>
      <c r="T2156" s="61" ph="1"/>
    </row>
    <row r="2157" spans="15:20" ht="26.25">
      <c r="O2157" s="360"/>
      <c r="Q2157" s="351"/>
      <c r="R2157" s="242"/>
      <c r="T2157" s="61" ph="1"/>
    </row>
    <row r="2158" spans="15:20" ht="26.25">
      <c r="O2158" s="360"/>
      <c r="Q2158" s="351"/>
      <c r="R2158" s="242"/>
      <c r="T2158" s="61" ph="1"/>
    </row>
    <row r="2159" spans="15:20" ht="26.25">
      <c r="O2159" s="360"/>
      <c r="Q2159" s="351"/>
      <c r="R2159" s="242"/>
      <c r="T2159" s="61" ph="1"/>
    </row>
    <row r="2160" spans="15:20" ht="26.25">
      <c r="O2160" s="360"/>
      <c r="Q2160" s="351"/>
      <c r="R2160" s="242"/>
      <c r="T2160" s="61" ph="1"/>
    </row>
    <row r="2161" spans="15:20" ht="26.25">
      <c r="O2161" s="360"/>
      <c r="Q2161" s="351"/>
      <c r="R2161" s="242"/>
      <c r="T2161" s="61" ph="1"/>
    </row>
    <row r="2162" spans="15:20" ht="26.25">
      <c r="O2162" s="360"/>
      <c r="Q2162" s="351"/>
      <c r="R2162" s="242"/>
      <c r="T2162" s="61" ph="1"/>
    </row>
    <row r="2163" spans="15:20" ht="26.25">
      <c r="O2163" s="360"/>
      <c r="Q2163" s="351"/>
      <c r="R2163" s="242"/>
      <c r="T2163" s="61" ph="1"/>
    </row>
    <row r="2164" spans="15:20" ht="26.25">
      <c r="O2164" s="360"/>
      <c r="Q2164" s="351"/>
      <c r="R2164" s="242"/>
      <c r="T2164" s="61" ph="1"/>
    </row>
    <row r="2165" spans="15:20" ht="26.25">
      <c r="O2165" s="360"/>
      <c r="Q2165" s="351"/>
      <c r="R2165" s="242"/>
      <c r="T2165" s="61" ph="1"/>
    </row>
    <row r="2166" spans="15:20" ht="26.25">
      <c r="O2166" s="360"/>
      <c r="Q2166" s="351"/>
      <c r="R2166" s="242"/>
      <c r="T2166" s="61" ph="1"/>
    </row>
    <row r="2167" spans="15:20" ht="26.25">
      <c r="O2167" s="360"/>
      <c r="Q2167" s="351"/>
      <c r="R2167" s="242"/>
      <c r="T2167" s="61" ph="1"/>
    </row>
    <row r="2168" spans="15:20" ht="26.25">
      <c r="O2168" s="360"/>
      <c r="Q2168" s="351"/>
      <c r="R2168" s="242"/>
      <c r="T2168" s="61" ph="1"/>
    </row>
    <row r="2169" spans="15:20" ht="26.25">
      <c r="O2169" s="360"/>
      <c r="Q2169" s="351"/>
      <c r="R2169" s="242"/>
      <c r="T2169" s="61" ph="1"/>
    </row>
    <row r="2170" spans="15:20" ht="26.25">
      <c r="O2170" s="360"/>
      <c r="Q2170" s="351"/>
      <c r="R2170" s="242"/>
      <c r="T2170" s="61" ph="1"/>
    </row>
    <row r="2171" spans="15:20" ht="26.25">
      <c r="O2171" s="360"/>
      <c r="Q2171" s="351"/>
      <c r="R2171" s="242"/>
      <c r="T2171" s="61" ph="1"/>
    </row>
    <row r="2172" spans="15:20" ht="26.25">
      <c r="O2172" s="360"/>
      <c r="Q2172" s="351"/>
      <c r="R2172" s="242"/>
      <c r="T2172" s="61" ph="1"/>
    </row>
    <row r="2173" spans="15:20" ht="26.25">
      <c r="O2173" s="360"/>
      <c r="Q2173" s="351"/>
      <c r="R2173" s="242"/>
      <c r="T2173" s="61" ph="1"/>
    </row>
    <row r="2174" spans="15:20" ht="26.25">
      <c r="O2174" s="360"/>
      <c r="Q2174" s="351"/>
      <c r="R2174" s="242"/>
      <c r="T2174" s="61" ph="1"/>
    </row>
    <row r="2175" spans="15:20" ht="26.25">
      <c r="O2175" s="360"/>
      <c r="Q2175" s="351"/>
      <c r="R2175" s="242"/>
      <c r="T2175" s="61" ph="1"/>
    </row>
    <row r="2176" spans="15:20" ht="26.25">
      <c r="O2176" s="360"/>
      <c r="Q2176" s="351"/>
      <c r="R2176" s="242"/>
      <c r="T2176" s="61" ph="1"/>
    </row>
    <row r="2177" spans="15:20" ht="26.25">
      <c r="O2177" s="360"/>
      <c r="Q2177" s="351"/>
      <c r="R2177" s="242"/>
      <c r="T2177" s="61" ph="1"/>
    </row>
    <row r="2178" spans="15:20" ht="26.25">
      <c r="O2178" s="360"/>
      <c r="Q2178" s="351"/>
      <c r="R2178" s="242"/>
      <c r="T2178" s="61" ph="1"/>
    </row>
    <row r="2179" spans="15:20" ht="26.25">
      <c r="O2179" s="360"/>
      <c r="Q2179" s="351"/>
      <c r="R2179" s="242"/>
      <c r="T2179" s="61" ph="1"/>
    </row>
    <row r="2180" spans="15:20" ht="26.25">
      <c r="O2180" s="360"/>
      <c r="Q2180" s="351"/>
      <c r="R2180" s="242"/>
      <c r="T2180" s="61" ph="1"/>
    </row>
    <row r="2181" spans="15:20" ht="26.25">
      <c r="O2181" s="360"/>
      <c r="Q2181" s="351"/>
      <c r="R2181" s="242"/>
      <c r="T2181" s="61" ph="1"/>
    </row>
    <row r="2182" spans="15:20" ht="26.25">
      <c r="O2182" s="360"/>
      <c r="Q2182" s="351"/>
      <c r="R2182" s="242"/>
      <c r="T2182" s="61" ph="1"/>
    </row>
    <row r="2183" spans="15:20" ht="26.25">
      <c r="O2183" s="360"/>
      <c r="Q2183" s="351"/>
      <c r="R2183" s="242"/>
      <c r="T2183" s="61" ph="1"/>
    </row>
    <row r="2184" spans="15:20" ht="26.25">
      <c r="O2184" s="360"/>
      <c r="Q2184" s="351"/>
      <c r="R2184" s="242"/>
      <c r="T2184" s="61" ph="1"/>
    </row>
    <row r="2185" spans="15:20" ht="26.25">
      <c r="O2185" s="360"/>
      <c r="Q2185" s="351"/>
      <c r="R2185" s="242"/>
      <c r="T2185" s="61" ph="1"/>
    </row>
    <row r="2186" spans="15:20" ht="26.25">
      <c r="O2186" s="360"/>
      <c r="Q2186" s="351"/>
      <c r="R2186" s="242"/>
      <c r="T2186" s="61" ph="1"/>
    </row>
    <row r="2187" spans="15:20" ht="26.25">
      <c r="O2187" s="360"/>
      <c r="Q2187" s="351"/>
      <c r="R2187" s="242"/>
      <c r="T2187" s="61" ph="1"/>
    </row>
    <row r="2188" spans="15:20" ht="26.25">
      <c r="O2188" s="360"/>
      <c r="Q2188" s="351"/>
      <c r="R2188" s="242"/>
      <c r="T2188" s="61" ph="1"/>
    </row>
    <row r="2189" spans="15:20" ht="26.25">
      <c r="O2189" s="360"/>
      <c r="Q2189" s="351"/>
      <c r="R2189" s="242"/>
      <c r="T2189" s="61" ph="1"/>
    </row>
    <row r="2190" spans="15:20" ht="26.25">
      <c r="O2190" s="360"/>
      <c r="Q2190" s="351"/>
      <c r="R2190" s="242"/>
      <c r="T2190" s="61" ph="1"/>
    </row>
    <row r="2191" spans="15:20" ht="26.25">
      <c r="O2191" s="360"/>
      <c r="Q2191" s="351"/>
      <c r="R2191" s="242"/>
      <c r="T2191" s="61" ph="1"/>
    </row>
    <row r="2192" spans="15:20" ht="26.25">
      <c r="O2192" s="360"/>
      <c r="Q2192" s="351"/>
      <c r="R2192" s="242"/>
      <c r="T2192" s="61" ph="1"/>
    </row>
    <row r="2193" spans="15:20" ht="26.25">
      <c r="O2193" s="360"/>
      <c r="Q2193" s="351"/>
      <c r="R2193" s="242"/>
      <c r="T2193" s="61" ph="1"/>
    </row>
    <row r="2194" spans="15:20" ht="26.25">
      <c r="O2194" s="360"/>
      <c r="Q2194" s="351"/>
      <c r="R2194" s="242"/>
      <c r="T2194" s="61" ph="1"/>
    </row>
    <row r="2195" spans="15:20" ht="26.25">
      <c r="O2195" s="360"/>
      <c r="Q2195" s="351"/>
      <c r="R2195" s="242"/>
      <c r="T2195" s="61" ph="1"/>
    </row>
    <row r="2196" spans="15:20" ht="26.25">
      <c r="O2196" s="360"/>
      <c r="Q2196" s="351"/>
      <c r="R2196" s="242"/>
      <c r="T2196" s="61" ph="1"/>
    </row>
    <row r="2197" spans="15:20" ht="26.25">
      <c r="O2197" s="360"/>
      <c r="Q2197" s="351"/>
      <c r="R2197" s="242"/>
      <c r="T2197" s="61" ph="1"/>
    </row>
    <row r="2198" spans="15:20" ht="26.25">
      <c r="O2198" s="360"/>
      <c r="Q2198" s="351"/>
      <c r="R2198" s="242"/>
      <c r="T2198" s="61" ph="1"/>
    </row>
    <row r="2199" spans="15:20" ht="26.25">
      <c r="O2199" s="360"/>
      <c r="Q2199" s="351"/>
      <c r="R2199" s="242"/>
      <c r="T2199" s="61" ph="1"/>
    </row>
    <row r="2200" spans="15:20" ht="26.25">
      <c r="O2200" s="360"/>
      <c r="Q2200" s="351"/>
      <c r="R2200" s="242"/>
      <c r="T2200" s="61" ph="1"/>
    </row>
    <row r="2201" spans="15:20" ht="26.25">
      <c r="O2201" s="360"/>
      <c r="Q2201" s="351"/>
      <c r="R2201" s="242"/>
      <c r="T2201" s="61" ph="1"/>
    </row>
    <row r="2202" spans="15:20" ht="26.25">
      <c r="O2202" s="360"/>
      <c r="Q2202" s="351"/>
      <c r="R2202" s="242"/>
      <c r="T2202" s="61" ph="1"/>
    </row>
    <row r="2203" spans="15:20" ht="26.25">
      <c r="O2203" s="360"/>
      <c r="Q2203" s="351"/>
      <c r="R2203" s="242"/>
      <c r="T2203" s="61" ph="1"/>
    </row>
    <row r="2204" spans="15:20" ht="26.25">
      <c r="O2204" s="360"/>
      <c r="Q2204" s="351"/>
      <c r="R2204" s="242"/>
      <c r="T2204" s="61" ph="1"/>
    </row>
    <row r="2205" spans="15:20" ht="26.25">
      <c r="O2205" s="360"/>
      <c r="Q2205" s="351"/>
      <c r="R2205" s="242"/>
      <c r="T2205" s="61" ph="1"/>
    </row>
    <row r="2206" spans="15:20" ht="26.25">
      <c r="O2206" s="360"/>
      <c r="Q2206" s="351"/>
      <c r="R2206" s="242"/>
      <c r="T2206" s="61" ph="1"/>
    </row>
    <row r="2207" spans="15:20" ht="26.25">
      <c r="O2207" s="360"/>
      <c r="Q2207" s="351"/>
      <c r="R2207" s="242"/>
      <c r="T2207" s="61" ph="1"/>
    </row>
    <row r="2208" spans="15:20" ht="26.25">
      <c r="O2208" s="360"/>
      <c r="Q2208" s="351"/>
      <c r="R2208" s="242"/>
      <c r="T2208" s="61" ph="1"/>
    </row>
    <row r="2209" spans="15:20" ht="26.25">
      <c r="O2209" s="360"/>
      <c r="Q2209" s="351"/>
      <c r="R2209" s="242"/>
      <c r="T2209" s="61" ph="1"/>
    </row>
    <row r="2210" spans="15:20" ht="26.25">
      <c r="O2210" s="360"/>
      <c r="Q2210" s="351"/>
      <c r="R2210" s="242"/>
      <c r="T2210" s="61" ph="1"/>
    </row>
    <row r="2211" spans="15:20" ht="26.25">
      <c r="O2211" s="360"/>
      <c r="Q2211" s="351"/>
      <c r="R2211" s="242"/>
      <c r="T2211" s="61" ph="1"/>
    </row>
    <row r="2212" spans="15:20" ht="26.25">
      <c r="O2212" s="360"/>
      <c r="Q2212" s="351"/>
      <c r="R2212" s="242"/>
      <c r="T2212" s="61" ph="1"/>
    </row>
    <row r="2213" spans="15:20" ht="26.25">
      <c r="O2213" s="360"/>
      <c r="Q2213" s="351"/>
      <c r="R2213" s="242"/>
      <c r="T2213" s="61" ph="1"/>
    </row>
    <row r="2214" spans="15:20" ht="26.25">
      <c r="O2214" s="360"/>
      <c r="Q2214" s="351"/>
      <c r="R2214" s="242"/>
      <c r="T2214" s="61" ph="1"/>
    </row>
    <row r="2215" spans="15:20" ht="26.25">
      <c r="O2215" s="360"/>
      <c r="Q2215" s="351"/>
      <c r="R2215" s="242"/>
      <c r="T2215" s="61" ph="1"/>
    </row>
    <row r="2216" spans="15:20" ht="26.25">
      <c r="O2216" s="360"/>
      <c r="Q2216" s="351"/>
      <c r="R2216" s="242"/>
      <c r="T2216" s="61" ph="1"/>
    </row>
    <row r="2217" spans="15:20" ht="26.25">
      <c r="O2217" s="360"/>
      <c r="Q2217" s="351"/>
      <c r="R2217" s="242"/>
      <c r="T2217" s="61" ph="1"/>
    </row>
    <row r="2218" spans="15:20" ht="26.25">
      <c r="O2218" s="360"/>
      <c r="Q2218" s="351"/>
      <c r="R2218" s="242"/>
      <c r="T2218" s="61" ph="1"/>
    </row>
    <row r="2219" spans="15:20" ht="26.25">
      <c r="O2219" s="360"/>
      <c r="Q2219" s="351"/>
      <c r="R2219" s="242"/>
      <c r="T2219" s="61" ph="1"/>
    </row>
    <row r="2220" spans="15:20" ht="26.25">
      <c r="O2220" s="360"/>
      <c r="Q2220" s="351"/>
      <c r="R2220" s="242"/>
      <c r="T2220" s="61" ph="1"/>
    </row>
    <row r="2221" spans="15:20" ht="26.25">
      <c r="O2221" s="360"/>
      <c r="Q2221" s="351"/>
      <c r="R2221" s="242"/>
      <c r="T2221" s="61" ph="1"/>
    </row>
    <row r="2222" spans="15:20" ht="26.25">
      <c r="O2222" s="360"/>
      <c r="Q2222" s="351"/>
      <c r="R2222" s="242"/>
      <c r="T2222" s="61" ph="1"/>
    </row>
    <row r="2223" spans="15:20" ht="26.25">
      <c r="O2223" s="360"/>
      <c r="Q2223" s="351"/>
      <c r="R2223" s="242"/>
      <c r="T2223" s="61" ph="1"/>
    </row>
    <row r="2224" spans="15:20" ht="26.25">
      <c r="O2224" s="360"/>
      <c r="Q2224" s="351"/>
      <c r="R2224" s="242"/>
      <c r="T2224" s="61" ph="1"/>
    </row>
    <row r="2225" spans="15:20" ht="26.25">
      <c r="O2225" s="360"/>
      <c r="Q2225" s="351"/>
      <c r="R2225" s="242"/>
      <c r="T2225" s="61" ph="1"/>
    </row>
    <row r="2226" spans="15:20" ht="26.25">
      <c r="O2226" s="360"/>
      <c r="Q2226" s="351"/>
      <c r="R2226" s="242"/>
      <c r="T2226" s="61" ph="1"/>
    </row>
    <row r="2227" spans="15:20" ht="26.25">
      <c r="O2227" s="360"/>
      <c r="Q2227" s="351"/>
      <c r="R2227" s="242"/>
      <c r="T2227" s="61" ph="1"/>
    </row>
    <row r="2228" spans="15:20" ht="26.25">
      <c r="O2228" s="360"/>
      <c r="Q2228" s="351"/>
      <c r="R2228" s="242"/>
      <c r="T2228" s="61" ph="1"/>
    </row>
    <row r="2229" spans="15:20" ht="26.25">
      <c r="O2229" s="360"/>
      <c r="Q2229" s="351"/>
      <c r="R2229" s="242"/>
      <c r="T2229" s="61" ph="1"/>
    </row>
    <row r="2230" spans="15:20" ht="26.25">
      <c r="O2230" s="360"/>
      <c r="Q2230" s="351"/>
      <c r="R2230" s="242"/>
      <c r="T2230" s="61" ph="1"/>
    </row>
    <row r="2231" spans="15:20" ht="26.25">
      <c r="O2231" s="360"/>
      <c r="Q2231" s="351"/>
      <c r="R2231" s="242"/>
      <c r="T2231" s="61" ph="1"/>
    </row>
    <row r="2232" spans="15:20" ht="26.25">
      <c r="O2232" s="360"/>
      <c r="Q2232" s="351"/>
      <c r="R2232" s="242"/>
      <c r="T2232" s="61" ph="1"/>
    </row>
    <row r="2233" spans="15:20" ht="26.25">
      <c r="O2233" s="360"/>
      <c r="Q2233" s="351"/>
      <c r="R2233" s="242"/>
      <c r="T2233" s="61" ph="1"/>
    </row>
    <row r="2234" spans="15:20" ht="26.25">
      <c r="O2234" s="360"/>
      <c r="Q2234" s="351"/>
      <c r="R2234" s="242"/>
      <c r="T2234" s="61" ph="1"/>
    </row>
    <row r="2235" spans="15:20" ht="26.25">
      <c r="O2235" s="360"/>
      <c r="Q2235" s="351"/>
      <c r="R2235" s="242"/>
      <c r="T2235" s="61" ph="1"/>
    </row>
    <row r="2236" spans="15:20" ht="26.25">
      <c r="O2236" s="360"/>
      <c r="Q2236" s="351"/>
      <c r="R2236" s="242"/>
      <c r="T2236" s="61" ph="1"/>
    </row>
    <row r="2237" spans="15:20" ht="26.25">
      <c r="O2237" s="360"/>
      <c r="Q2237" s="351"/>
      <c r="R2237" s="242"/>
      <c r="T2237" s="61" ph="1"/>
    </row>
    <row r="2238" spans="15:20" ht="26.25">
      <c r="O2238" s="360"/>
      <c r="Q2238" s="351"/>
      <c r="R2238" s="242"/>
      <c r="T2238" s="61" ph="1"/>
    </row>
    <row r="2239" spans="15:20" ht="26.25">
      <c r="O2239" s="360"/>
      <c r="Q2239" s="351"/>
      <c r="R2239" s="242"/>
      <c r="T2239" s="61" ph="1"/>
    </row>
    <row r="2240" spans="15:20" ht="26.25">
      <c r="O2240" s="360"/>
      <c r="Q2240" s="351"/>
      <c r="R2240" s="242"/>
      <c r="T2240" s="61" ph="1"/>
    </row>
    <row r="2241" spans="15:20" ht="26.25">
      <c r="O2241" s="360"/>
      <c r="Q2241" s="351"/>
      <c r="R2241" s="242"/>
      <c r="T2241" s="61" ph="1"/>
    </row>
    <row r="2242" spans="15:20" ht="26.25">
      <c r="O2242" s="360"/>
      <c r="Q2242" s="351"/>
      <c r="R2242" s="242"/>
      <c r="T2242" s="61" ph="1"/>
    </row>
    <row r="2243" spans="15:20" ht="26.25">
      <c r="O2243" s="360"/>
      <c r="Q2243" s="351"/>
      <c r="R2243" s="242"/>
      <c r="T2243" s="61" ph="1"/>
    </row>
    <row r="2244" spans="15:20" ht="26.25">
      <c r="O2244" s="360"/>
      <c r="Q2244" s="351"/>
      <c r="R2244" s="242"/>
      <c r="T2244" s="61" ph="1"/>
    </row>
    <row r="2245" spans="15:20" ht="26.25">
      <c r="O2245" s="360"/>
      <c r="Q2245" s="351"/>
      <c r="R2245" s="242"/>
      <c r="T2245" s="61" ph="1"/>
    </row>
    <row r="2246" spans="15:20" ht="26.25">
      <c r="O2246" s="360"/>
      <c r="Q2246" s="351"/>
      <c r="R2246" s="242"/>
      <c r="T2246" s="61" ph="1"/>
    </row>
    <row r="2247" spans="15:20" ht="26.25">
      <c r="O2247" s="360"/>
      <c r="Q2247" s="351"/>
      <c r="R2247" s="242"/>
      <c r="T2247" s="61" ph="1"/>
    </row>
    <row r="2248" spans="15:20" ht="26.25">
      <c r="O2248" s="360"/>
      <c r="Q2248" s="351"/>
      <c r="R2248" s="242"/>
      <c r="T2248" s="61" ph="1"/>
    </row>
    <row r="2249" spans="15:20" ht="26.25">
      <c r="O2249" s="360"/>
      <c r="Q2249" s="351"/>
      <c r="R2249" s="242"/>
      <c r="T2249" s="61" ph="1"/>
    </row>
    <row r="2250" spans="15:20" ht="26.25">
      <c r="O2250" s="360"/>
      <c r="Q2250" s="351"/>
      <c r="R2250" s="242"/>
      <c r="T2250" s="61" ph="1"/>
    </row>
    <row r="2251" spans="15:20" ht="26.25">
      <c r="O2251" s="360"/>
      <c r="Q2251" s="351"/>
      <c r="R2251" s="242"/>
      <c r="T2251" s="61" ph="1"/>
    </row>
    <row r="2252" spans="15:20" ht="26.25">
      <c r="O2252" s="360"/>
      <c r="Q2252" s="351"/>
      <c r="R2252" s="242"/>
      <c r="T2252" s="61" ph="1"/>
    </row>
    <row r="2253" spans="15:20" ht="26.25">
      <c r="O2253" s="360"/>
      <c r="Q2253" s="351"/>
      <c r="R2253" s="242"/>
      <c r="T2253" s="61" ph="1"/>
    </row>
    <row r="2254" spans="15:20" ht="26.25">
      <c r="O2254" s="360"/>
      <c r="Q2254" s="351"/>
      <c r="R2254" s="242"/>
      <c r="T2254" s="61" ph="1"/>
    </row>
    <row r="2255" spans="15:20" ht="26.25">
      <c r="O2255" s="360"/>
      <c r="Q2255" s="351"/>
      <c r="R2255" s="242"/>
      <c r="T2255" s="61" ph="1"/>
    </row>
    <row r="2256" spans="15:20" ht="26.25">
      <c r="O2256" s="360"/>
      <c r="Q2256" s="351"/>
      <c r="R2256" s="242"/>
      <c r="T2256" s="61" ph="1"/>
    </row>
    <row r="2257" spans="15:20" ht="26.25">
      <c r="O2257" s="360"/>
      <c r="Q2257" s="351"/>
      <c r="R2257" s="242"/>
      <c r="T2257" s="61" ph="1"/>
    </row>
    <row r="2258" spans="15:20" ht="26.25">
      <c r="O2258" s="360"/>
      <c r="Q2258" s="351"/>
      <c r="R2258" s="242"/>
      <c r="T2258" s="61" ph="1"/>
    </row>
    <row r="2259" spans="15:20" ht="26.25">
      <c r="O2259" s="360"/>
      <c r="Q2259" s="351"/>
      <c r="R2259" s="242"/>
      <c r="T2259" s="61" ph="1"/>
    </row>
    <row r="2260" spans="15:20" ht="26.25">
      <c r="O2260" s="360"/>
      <c r="Q2260" s="351"/>
      <c r="R2260" s="242"/>
      <c r="T2260" s="61" ph="1"/>
    </row>
    <row r="2261" spans="15:20" ht="26.25">
      <c r="O2261" s="360"/>
      <c r="Q2261" s="351"/>
      <c r="R2261" s="242"/>
      <c r="T2261" s="61" ph="1"/>
    </row>
    <row r="2262" spans="15:20" ht="26.25">
      <c r="O2262" s="360"/>
      <c r="Q2262" s="351"/>
      <c r="R2262" s="242"/>
      <c r="T2262" s="61" ph="1"/>
    </row>
    <row r="2263" spans="15:20" ht="26.25">
      <c r="O2263" s="360"/>
      <c r="Q2263" s="351"/>
      <c r="R2263" s="242"/>
      <c r="T2263" s="61" ph="1"/>
    </row>
    <row r="2264" spans="15:20" ht="26.25">
      <c r="O2264" s="360"/>
      <c r="Q2264" s="351"/>
      <c r="R2264" s="242"/>
      <c r="T2264" s="61" ph="1"/>
    </row>
    <row r="2265" spans="15:20" ht="26.25">
      <c r="O2265" s="360"/>
      <c r="Q2265" s="351"/>
      <c r="R2265" s="242"/>
      <c r="T2265" s="61" ph="1"/>
    </row>
    <row r="2266" spans="15:20" ht="26.25">
      <c r="O2266" s="360"/>
      <c r="Q2266" s="351"/>
      <c r="R2266" s="242"/>
      <c r="T2266" s="61" ph="1"/>
    </row>
    <row r="2267" spans="15:20" ht="26.25">
      <c r="O2267" s="360"/>
      <c r="Q2267" s="351"/>
      <c r="R2267" s="242"/>
      <c r="T2267" s="61" ph="1"/>
    </row>
    <row r="2268" spans="15:20" ht="26.25">
      <c r="O2268" s="360"/>
      <c r="Q2268" s="351"/>
      <c r="R2268" s="242"/>
      <c r="T2268" s="61" ph="1"/>
    </row>
    <row r="2269" spans="15:20" ht="26.25">
      <c r="O2269" s="360"/>
      <c r="Q2269" s="351"/>
      <c r="R2269" s="242"/>
      <c r="T2269" s="61" ph="1"/>
    </row>
    <row r="2270" spans="15:20" ht="26.25">
      <c r="O2270" s="360"/>
      <c r="Q2270" s="351"/>
      <c r="R2270" s="242"/>
      <c r="T2270" s="61" ph="1"/>
    </row>
    <row r="2271" spans="15:20" ht="26.25">
      <c r="O2271" s="360"/>
      <c r="Q2271" s="351"/>
      <c r="R2271" s="242"/>
      <c r="T2271" s="61" ph="1"/>
    </row>
    <row r="2272" spans="15:20" ht="26.25">
      <c r="O2272" s="360"/>
      <c r="Q2272" s="351"/>
      <c r="R2272" s="242"/>
      <c r="T2272" s="61" ph="1"/>
    </row>
    <row r="2273" spans="15:20" ht="26.25">
      <c r="O2273" s="360"/>
      <c r="Q2273" s="351"/>
      <c r="R2273" s="242"/>
      <c r="T2273" s="61" ph="1"/>
    </row>
    <row r="2274" spans="15:20" ht="26.25">
      <c r="O2274" s="360"/>
      <c r="Q2274" s="351"/>
      <c r="R2274" s="242"/>
      <c r="T2274" s="61" ph="1"/>
    </row>
    <row r="2275" spans="15:20" ht="26.25">
      <c r="O2275" s="360"/>
      <c r="Q2275" s="351"/>
      <c r="R2275" s="242"/>
      <c r="T2275" s="61" ph="1"/>
    </row>
    <row r="2276" spans="15:20" ht="26.25">
      <c r="O2276" s="360"/>
      <c r="Q2276" s="351"/>
      <c r="R2276" s="242"/>
      <c r="T2276" s="61" ph="1"/>
    </row>
    <row r="2277" spans="15:20" ht="26.25">
      <c r="O2277" s="360"/>
      <c r="Q2277" s="351"/>
      <c r="R2277" s="242"/>
      <c r="T2277" s="61" ph="1"/>
    </row>
    <row r="2278" spans="15:20" ht="26.25">
      <c r="O2278" s="360"/>
      <c r="Q2278" s="351"/>
      <c r="R2278" s="242"/>
      <c r="T2278" s="61" ph="1"/>
    </row>
    <row r="2279" spans="15:20" ht="26.25">
      <c r="O2279" s="360"/>
      <c r="Q2279" s="351"/>
      <c r="R2279" s="242"/>
      <c r="T2279" s="61" ph="1"/>
    </row>
    <row r="2280" spans="15:20" ht="26.25">
      <c r="O2280" s="360"/>
      <c r="Q2280" s="351"/>
      <c r="R2280" s="242"/>
      <c r="T2280" s="61" ph="1"/>
    </row>
    <row r="2281" spans="15:20" ht="26.25">
      <c r="O2281" s="360"/>
      <c r="Q2281" s="351"/>
      <c r="R2281" s="242"/>
      <c r="T2281" s="61" ph="1"/>
    </row>
    <row r="2282" spans="15:20" ht="26.25">
      <c r="O2282" s="360"/>
      <c r="Q2282" s="351"/>
      <c r="R2282" s="242"/>
      <c r="T2282" s="61" ph="1"/>
    </row>
    <row r="2283" spans="15:20" ht="26.25">
      <c r="O2283" s="360"/>
      <c r="Q2283" s="351"/>
      <c r="R2283" s="242"/>
      <c r="T2283" s="61" ph="1"/>
    </row>
    <row r="2284" spans="15:20" ht="26.25">
      <c r="O2284" s="360"/>
      <c r="Q2284" s="351"/>
      <c r="R2284" s="242"/>
      <c r="T2284" s="61" ph="1"/>
    </row>
    <row r="2285" spans="15:20" ht="26.25">
      <c r="O2285" s="360"/>
      <c r="Q2285" s="351"/>
      <c r="R2285" s="242"/>
      <c r="T2285" s="61" ph="1"/>
    </row>
    <row r="2286" spans="15:20" ht="26.25">
      <c r="O2286" s="360"/>
      <c r="Q2286" s="351"/>
      <c r="R2286" s="242"/>
      <c r="T2286" s="61" ph="1"/>
    </row>
    <row r="2287" spans="15:20" ht="26.25">
      <c r="O2287" s="360"/>
      <c r="Q2287" s="351"/>
      <c r="R2287" s="242"/>
      <c r="T2287" s="61" ph="1"/>
    </row>
    <row r="2288" spans="15:20" ht="26.25">
      <c r="O2288" s="360"/>
      <c r="Q2288" s="351"/>
      <c r="R2288" s="242"/>
      <c r="T2288" s="61" ph="1"/>
    </row>
    <row r="2289" spans="15:20" ht="26.25">
      <c r="O2289" s="360"/>
      <c r="Q2289" s="351"/>
      <c r="R2289" s="242"/>
      <c r="T2289" s="61" ph="1"/>
    </row>
    <row r="2290" spans="15:20" ht="26.25">
      <c r="O2290" s="360"/>
      <c r="Q2290" s="351"/>
      <c r="R2290" s="242"/>
      <c r="T2290" s="61" ph="1"/>
    </row>
    <row r="2291" spans="15:20" ht="26.25">
      <c r="O2291" s="360"/>
      <c r="Q2291" s="351"/>
      <c r="R2291" s="242"/>
      <c r="T2291" s="61" ph="1"/>
    </row>
    <row r="2292" spans="15:20" ht="26.25">
      <c r="O2292" s="360"/>
      <c r="Q2292" s="351"/>
      <c r="R2292" s="242"/>
      <c r="T2292" s="61" ph="1"/>
    </row>
    <row r="2293" spans="15:20" ht="26.25">
      <c r="O2293" s="360"/>
      <c r="Q2293" s="351"/>
      <c r="R2293" s="242"/>
      <c r="T2293" s="61" ph="1"/>
    </row>
    <row r="2294" spans="15:20" ht="26.25">
      <c r="O2294" s="360"/>
      <c r="Q2294" s="351"/>
      <c r="R2294" s="242"/>
      <c r="T2294" s="61" ph="1"/>
    </row>
    <row r="2295" spans="15:20" ht="26.25">
      <c r="O2295" s="360"/>
      <c r="Q2295" s="351"/>
      <c r="R2295" s="242"/>
      <c r="T2295" s="61" ph="1"/>
    </row>
    <row r="2296" spans="15:20" ht="26.25">
      <c r="O2296" s="360"/>
      <c r="Q2296" s="351"/>
      <c r="R2296" s="242"/>
      <c r="T2296" s="61" ph="1"/>
    </row>
    <row r="2297" spans="15:20" ht="26.25">
      <c r="O2297" s="360"/>
      <c r="Q2297" s="351"/>
      <c r="R2297" s="242"/>
      <c r="T2297" s="61" ph="1"/>
    </row>
    <row r="2298" spans="15:20" ht="26.25">
      <c r="O2298" s="360"/>
      <c r="Q2298" s="351"/>
      <c r="R2298" s="242"/>
      <c r="T2298" s="61" ph="1"/>
    </row>
    <row r="2299" spans="15:20" ht="26.25">
      <c r="O2299" s="360"/>
      <c r="Q2299" s="351"/>
      <c r="R2299" s="242"/>
      <c r="T2299" s="61" ph="1"/>
    </row>
    <row r="2300" spans="15:20" ht="26.25">
      <c r="O2300" s="360"/>
      <c r="Q2300" s="351"/>
      <c r="R2300" s="242"/>
      <c r="T2300" s="61" ph="1"/>
    </row>
    <row r="2301" spans="15:20" ht="26.25">
      <c r="O2301" s="360"/>
      <c r="Q2301" s="351"/>
      <c r="R2301" s="242"/>
      <c r="T2301" s="61" ph="1"/>
    </row>
    <row r="2302" spans="15:20" ht="26.25">
      <c r="O2302" s="360"/>
      <c r="Q2302" s="351"/>
      <c r="R2302" s="242"/>
      <c r="T2302" s="61" ph="1"/>
    </row>
    <row r="2303" spans="15:20" ht="26.25">
      <c r="O2303" s="360"/>
      <c r="Q2303" s="351"/>
      <c r="R2303" s="242"/>
      <c r="T2303" s="61" ph="1"/>
    </row>
    <row r="2304" spans="15:20" ht="26.25">
      <c r="O2304" s="360"/>
      <c r="Q2304" s="351"/>
      <c r="R2304" s="242"/>
      <c r="T2304" s="61" ph="1"/>
    </row>
    <row r="2305" spans="15:20" ht="26.25">
      <c r="O2305" s="360"/>
      <c r="Q2305" s="351"/>
      <c r="R2305" s="242"/>
      <c r="T2305" s="61" ph="1"/>
    </row>
    <row r="2306" spans="15:20" ht="26.25">
      <c r="O2306" s="360"/>
      <c r="Q2306" s="351"/>
      <c r="R2306" s="242"/>
      <c r="T2306" s="61" ph="1"/>
    </row>
    <row r="2307" spans="15:20" ht="26.25">
      <c r="O2307" s="360"/>
      <c r="Q2307" s="351"/>
      <c r="R2307" s="242"/>
      <c r="T2307" s="61" ph="1"/>
    </row>
    <row r="2308" spans="15:20" ht="26.25">
      <c r="O2308" s="360"/>
      <c r="Q2308" s="351"/>
      <c r="R2308" s="242"/>
      <c r="T2308" s="61" ph="1"/>
    </row>
    <row r="2309" spans="15:20" ht="26.25">
      <c r="O2309" s="360"/>
      <c r="Q2309" s="351"/>
      <c r="R2309" s="242"/>
      <c r="T2309" s="61" ph="1"/>
    </row>
    <row r="2310" spans="15:20" ht="26.25">
      <c r="O2310" s="360"/>
      <c r="Q2310" s="351"/>
      <c r="R2310" s="242"/>
      <c r="T2310" s="61" ph="1"/>
    </row>
    <row r="2311" spans="15:20" ht="26.25">
      <c r="O2311" s="360"/>
      <c r="Q2311" s="351"/>
      <c r="R2311" s="242"/>
      <c r="T2311" s="61" ph="1"/>
    </row>
    <row r="2312" spans="15:20" ht="26.25">
      <c r="O2312" s="360"/>
      <c r="Q2312" s="351"/>
      <c r="R2312" s="242"/>
      <c r="T2312" s="61" ph="1"/>
    </row>
    <row r="2313" spans="15:20" ht="26.25">
      <c r="T2313" s="61" ph="1"/>
    </row>
    <row r="2314" spans="15:20" ht="26.25">
      <c r="T2314" s="61" ph="1"/>
    </row>
    <row r="2315" spans="15:20" ht="26.25">
      <c r="T2315" s="61" ph="1"/>
    </row>
    <row r="2316" spans="15:20" ht="26.25">
      <c r="T2316" s="61" ph="1"/>
    </row>
    <row r="2317" spans="15:20" ht="26.25">
      <c r="T2317" s="61" ph="1"/>
    </row>
    <row r="2318" spans="15:20" ht="26.25">
      <c r="T2318" s="61" ph="1"/>
    </row>
    <row r="2319" spans="15:20" ht="26.25">
      <c r="T2319" s="61" ph="1"/>
    </row>
    <row r="2320" spans="15:20" ht="26.25">
      <c r="T2320" s="61" ph="1"/>
    </row>
    <row r="2321" spans="20:20" ht="26.25">
      <c r="T2321" s="61" ph="1"/>
    </row>
    <row r="2322" spans="20:20" ht="26.25">
      <c r="T2322" s="61" ph="1"/>
    </row>
    <row r="2323" spans="20:20" ht="26.25">
      <c r="T2323" s="61" ph="1"/>
    </row>
    <row r="2324" spans="20:20" ht="26.25">
      <c r="T2324" s="61" ph="1"/>
    </row>
    <row r="2325" spans="20:20" ht="26.25">
      <c r="T2325" s="61" ph="1"/>
    </row>
    <row r="2326" spans="20:20" ht="26.25">
      <c r="T2326" s="61" ph="1"/>
    </row>
    <row r="2327" spans="20:20" ht="26.25">
      <c r="T2327" s="61" ph="1"/>
    </row>
    <row r="2328" spans="20:20" ht="26.25">
      <c r="T2328" s="61" ph="1"/>
    </row>
    <row r="2329" spans="20:20" ht="26.25">
      <c r="T2329" s="61" ph="1"/>
    </row>
    <row r="2330" spans="20:20" ht="26.25">
      <c r="T2330" s="61" ph="1"/>
    </row>
    <row r="2331" spans="20:20" ht="26.25">
      <c r="T2331" s="61" ph="1"/>
    </row>
    <row r="2332" spans="20:20" ht="26.25">
      <c r="T2332" s="61" ph="1"/>
    </row>
    <row r="2333" spans="20:20" ht="26.25">
      <c r="T2333" s="61" ph="1"/>
    </row>
    <row r="2334" spans="20:20" ht="26.25">
      <c r="T2334" s="61" ph="1"/>
    </row>
    <row r="2335" spans="20:20" ht="26.25">
      <c r="T2335" s="61" ph="1"/>
    </row>
    <row r="2336" spans="20:20" ht="26.25">
      <c r="T2336" s="61" ph="1"/>
    </row>
    <row r="2337" spans="20:20" ht="26.25">
      <c r="T2337" s="61" ph="1"/>
    </row>
    <row r="2338" spans="20:20" ht="26.25">
      <c r="T2338" s="61" ph="1"/>
    </row>
    <row r="2339" spans="20:20" ht="26.25">
      <c r="T2339" s="61" ph="1"/>
    </row>
    <row r="2340" spans="20:20" ht="26.25">
      <c r="T2340" s="61" ph="1"/>
    </row>
    <row r="2341" spans="20:20" ht="26.25">
      <c r="T2341" s="61" ph="1"/>
    </row>
    <row r="2342" spans="20:20" ht="26.25">
      <c r="T2342" s="61" ph="1"/>
    </row>
    <row r="2343" spans="20:20" ht="26.25">
      <c r="T2343" s="61" ph="1"/>
    </row>
    <row r="2344" spans="20:20" ht="26.25">
      <c r="T2344" s="61" ph="1"/>
    </row>
    <row r="2345" spans="20:20" ht="26.25">
      <c r="T2345" s="61" ph="1"/>
    </row>
    <row r="2346" spans="20:20" ht="26.25">
      <c r="T2346" s="61" ph="1"/>
    </row>
    <row r="2347" spans="20:20" ht="26.25">
      <c r="T2347" s="61" ph="1"/>
    </row>
    <row r="2348" spans="20:20" ht="26.25">
      <c r="T2348" s="61" ph="1"/>
    </row>
    <row r="2349" spans="20:20" ht="26.25">
      <c r="T2349" s="61" ph="1"/>
    </row>
    <row r="2350" spans="20:20" ht="26.25">
      <c r="T2350" s="61" ph="1"/>
    </row>
    <row r="2351" spans="20:20" ht="26.25">
      <c r="T2351" s="61" ph="1"/>
    </row>
    <row r="2352" spans="20:20" ht="26.25">
      <c r="T2352" s="61" ph="1"/>
    </row>
    <row r="2353" spans="20:20" ht="26.25">
      <c r="T2353" s="61" ph="1"/>
    </row>
    <row r="2354" spans="20:20" ht="26.25">
      <c r="T2354" s="61" ph="1"/>
    </row>
    <row r="2355" spans="20:20" ht="26.25">
      <c r="T2355" s="61" ph="1"/>
    </row>
    <row r="2356" spans="20:20" ht="26.25">
      <c r="T2356" s="61" ph="1"/>
    </row>
    <row r="2357" spans="20:20" ht="26.25">
      <c r="T2357" s="61" ph="1"/>
    </row>
    <row r="2358" spans="20:20" ht="26.25">
      <c r="T2358" s="61" ph="1"/>
    </row>
    <row r="2359" spans="20:20" ht="26.25">
      <c r="T2359" s="61" ph="1"/>
    </row>
    <row r="2360" spans="20:20" ht="26.25">
      <c r="T2360" s="61" ph="1"/>
    </row>
    <row r="2361" spans="20:20" ht="26.25">
      <c r="T2361" s="61" ph="1"/>
    </row>
    <row r="2362" spans="20:20" ht="26.25">
      <c r="T2362" s="61" ph="1"/>
    </row>
    <row r="2363" spans="20:20" ht="26.25">
      <c r="T2363" s="61" ph="1"/>
    </row>
    <row r="2364" spans="20:20" ht="26.25">
      <c r="T2364" s="61" ph="1"/>
    </row>
    <row r="2365" spans="20:20" ht="26.25">
      <c r="T2365" s="61" ph="1"/>
    </row>
    <row r="2366" spans="20:20" ht="26.25">
      <c r="T2366" s="61" ph="1"/>
    </row>
    <row r="2367" spans="20:20" ht="26.25">
      <c r="T2367" s="61" ph="1"/>
    </row>
    <row r="2368" spans="20:20" ht="26.25">
      <c r="T2368" s="61" ph="1"/>
    </row>
    <row r="2369" spans="20:20" ht="26.25">
      <c r="T2369" s="61" ph="1"/>
    </row>
    <row r="2370" spans="20:20" ht="26.25">
      <c r="T2370" s="61" ph="1"/>
    </row>
    <row r="2371" spans="20:20" ht="26.25">
      <c r="T2371" s="61" ph="1"/>
    </row>
    <row r="2372" spans="20:20" ht="26.25">
      <c r="T2372" s="61" ph="1"/>
    </row>
    <row r="2373" spans="20:20" ht="26.25">
      <c r="T2373" s="61" ph="1"/>
    </row>
    <row r="2374" spans="20:20" ht="26.25">
      <c r="T2374" s="61" ph="1"/>
    </row>
    <row r="2375" spans="20:20" ht="26.25">
      <c r="T2375" s="61" ph="1"/>
    </row>
    <row r="2376" spans="20:20" ht="26.25">
      <c r="T2376" s="61" ph="1"/>
    </row>
    <row r="2377" spans="20:20" ht="26.25">
      <c r="T2377" s="61" ph="1"/>
    </row>
    <row r="2378" spans="20:20" ht="26.25">
      <c r="T2378" s="61" ph="1"/>
    </row>
    <row r="2379" spans="20:20" ht="26.25">
      <c r="T2379" s="61" ph="1"/>
    </row>
    <row r="2380" spans="20:20" ht="26.25">
      <c r="T2380" s="61" ph="1"/>
    </row>
    <row r="2381" spans="20:20" ht="26.25">
      <c r="T2381" s="61" ph="1"/>
    </row>
    <row r="2382" spans="20:20" ht="26.25">
      <c r="T2382" s="61" ph="1"/>
    </row>
    <row r="2383" spans="20:20" ht="26.25">
      <c r="T2383" s="61" ph="1"/>
    </row>
    <row r="2384" spans="20:20" ht="26.25">
      <c r="T2384" s="61" ph="1"/>
    </row>
    <row r="2385" spans="20:20" ht="26.25">
      <c r="T2385" s="61" ph="1"/>
    </row>
    <row r="2386" spans="20:20" ht="26.25">
      <c r="T2386" s="61" ph="1"/>
    </row>
    <row r="2387" spans="20:20" ht="26.25">
      <c r="T2387" s="61" ph="1"/>
    </row>
    <row r="2388" spans="20:20" ht="26.25">
      <c r="T2388" s="61" ph="1"/>
    </row>
    <row r="2389" spans="20:20" ht="26.25">
      <c r="T2389" s="61" ph="1"/>
    </row>
    <row r="2390" spans="20:20" ht="26.25">
      <c r="T2390" s="61" ph="1"/>
    </row>
    <row r="2391" spans="20:20" ht="26.25">
      <c r="T2391" s="61" ph="1"/>
    </row>
    <row r="2392" spans="20:20" ht="26.25">
      <c r="T2392" s="61" ph="1"/>
    </row>
    <row r="2393" spans="20:20" ht="26.25">
      <c r="T2393" s="61" ph="1"/>
    </row>
    <row r="2394" spans="20:20" ht="26.25">
      <c r="T2394" s="61" ph="1"/>
    </row>
    <row r="2395" spans="20:20" ht="26.25">
      <c r="T2395" s="61" ph="1"/>
    </row>
    <row r="2396" spans="20:20" ht="26.25">
      <c r="T2396" s="61" ph="1"/>
    </row>
    <row r="2397" spans="20:20" ht="26.25">
      <c r="T2397" s="61" ph="1"/>
    </row>
    <row r="2398" spans="20:20" ht="26.25">
      <c r="T2398" s="61" ph="1"/>
    </row>
    <row r="2399" spans="20:20" ht="26.25">
      <c r="T2399" s="61" ph="1"/>
    </row>
    <row r="2400" spans="20:20" ht="26.25">
      <c r="T2400" s="61" ph="1"/>
    </row>
    <row r="2401" spans="20:20" ht="26.25">
      <c r="T2401" s="61" ph="1"/>
    </row>
    <row r="2402" spans="20:20" ht="26.25">
      <c r="T2402" s="61" ph="1"/>
    </row>
    <row r="2403" spans="20:20" ht="26.25">
      <c r="T2403" s="61" ph="1"/>
    </row>
    <row r="2404" spans="20:20" ht="26.25">
      <c r="T2404" s="61" ph="1"/>
    </row>
    <row r="2405" spans="20:20" ht="26.25">
      <c r="T2405" s="61" ph="1"/>
    </row>
    <row r="2406" spans="20:20" ht="26.25">
      <c r="T2406" s="61" ph="1"/>
    </row>
    <row r="2407" spans="20:20" ht="26.25">
      <c r="T2407" s="61" ph="1"/>
    </row>
    <row r="2408" spans="20:20" ht="26.25">
      <c r="T2408" s="61" ph="1"/>
    </row>
    <row r="2409" spans="20:20" ht="26.25">
      <c r="T2409" s="61" ph="1"/>
    </row>
    <row r="2410" spans="20:20" ht="26.25">
      <c r="T2410" s="61" ph="1"/>
    </row>
    <row r="2411" spans="20:20" ht="26.25">
      <c r="T2411" s="61" ph="1"/>
    </row>
    <row r="2412" spans="20:20" ht="26.25">
      <c r="T2412" s="61" ph="1"/>
    </row>
    <row r="2413" spans="20:20" ht="26.25">
      <c r="T2413" s="61" ph="1"/>
    </row>
    <row r="2414" spans="20:20" ht="26.25">
      <c r="T2414" s="61" ph="1"/>
    </row>
    <row r="2415" spans="20:20" ht="26.25">
      <c r="T2415" s="61" ph="1"/>
    </row>
    <row r="2416" spans="20:20" ht="26.25">
      <c r="T2416" s="61" ph="1"/>
    </row>
    <row r="2417" spans="20:20" ht="26.25">
      <c r="T2417" s="61" ph="1"/>
    </row>
    <row r="2418" spans="20:20" ht="26.25">
      <c r="T2418" s="61" ph="1"/>
    </row>
    <row r="2419" spans="20:20" ht="26.25">
      <c r="T2419" s="61" ph="1"/>
    </row>
    <row r="2420" spans="20:20" ht="26.25">
      <c r="T2420" s="61" ph="1"/>
    </row>
    <row r="2421" spans="20:20" ht="26.25">
      <c r="T2421" s="61" ph="1"/>
    </row>
    <row r="2422" spans="20:20" ht="26.25">
      <c r="T2422" s="61" ph="1"/>
    </row>
    <row r="2423" spans="20:20" ht="26.25">
      <c r="T2423" s="61" ph="1"/>
    </row>
    <row r="2424" spans="20:20" ht="26.25">
      <c r="T2424" s="61" ph="1"/>
    </row>
    <row r="2425" spans="20:20" ht="26.25">
      <c r="T2425" s="61" ph="1"/>
    </row>
    <row r="2426" spans="20:20" ht="26.25">
      <c r="T2426" s="61" ph="1"/>
    </row>
    <row r="2427" spans="20:20" ht="26.25">
      <c r="T2427" s="61" ph="1"/>
    </row>
    <row r="2428" spans="20:20" ht="26.25">
      <c r="T2428" s="61" ph="1"/>
    </row>
    <row r="2429" spans="20:20" ht="26.25">
      <c r="T2429" s="61" ph="1"/>
    </row>
    <row r="2430" spans="20:20" ht="26.25">
      <c r="T2430" s="61" ph="1"/>
    </row>
    <row r="2431" spans="20:20" ht="26.25">
      <c r="T2431" s="61" ph="1"/>
    </row>
    <row r="2432" spans="20:20" ht="26.25">
      <c r="T2432" s="61" ph="1"/>
    </row>
    <row r="2433" spans="20:20" ht="26.25">
      <c r="T2433" s="61" ph="1"/>
    </row>
    <row r="2434" spans="20:20" ht="26.25">
      <c r="T2434" s="61" ph="1"/>
    </row>
    <row r="2435" spans="20:20" ht="26.25">
      <c r="T2435" s="61" ph="1"/>
    </row>
    <row r="2436" spans="20:20" ht="26.25">
      <c r="T2436" s="61" ph="1"/>
    </row>
    <row r="2437" spans="20:20" ht="26.25">
      <c r="T2437" s="61" ph="1"/>
    </row>
    <row r="2438" spans="20:20" ht="26.25">
      <c r="T2438" s="61" ph="1"/>
    </row>
    <row r="2439" spans="20:20" ht="26.25">
      <c r="T2439" s="61" ph="1"/>
    </row>
    <row r="2440" spans="20:20" ht="26.25">
      <c r="T2440" s="61" ph="1"/>
    </row>
    <row r="2441" spans="20:20" ht="26.25">
      <c r="T2441" s="61" ph="1"/>
    </row>
    <row r="2442" spans="20:20" ht="26.25">
      <c r="T2442" s="61" ph="1"/>
    </row>
    <row r="2443" spans="20:20" ht="26.25">
      <c r="T2443" s="61" ph="1"/>
    </row>
    <row r="2444" spans="20:20" ht="26.25">
      <c r="T2444" s="61" ph="1"/>
    </row>
    <row r="2445" spans="20:20" ht="26.25">
      <c r="T2445" s="61" ph="1"/>
    </row>
    <row r="2446" spans="20:20" ht="26.25">
      <c r="T2446" s="61" ph="1"/>
    </row>
    <row r="2447" spans="20:20" ht="26.25">
      <c r="T2447" s="61" ph="1"/>
    </row>
    <row r="2448" spans="20:20" ht="26.25">
      <c r="T2448" s="61" ph="1"/>
    </row>
    <row r="2449" spans="20:20" ht="26.25">
      <c r="T2449" s="61" ph="1"/>
    </row>
    <row r="2450" spans="20:20" ht="26.25">
      <c r="T2450" s="61" ph="1"/>
    </row>
    <row r="2451" spans="20:20" ht="26.25">
      <c r="T2451" s="61" ph="1"/>
    </row>
    <row r="2452" spans="20:20" ht="26.25">
      <c r="T2452" s="61" ph="1"/>
    </row>
    <row r="2453" spans="20:20" ht="26.25">
      <c r="T2453" s="61" ph="1"/>
    </row>
    <row r="2454" spans="20:20" ht="26.25">
      <c r="T2454" s="61" ph="1"/>
    </row>
    <row r="2455" spans="20:20" ht="26.25">
      <c r="T2455" s="61" ph="1"/>
    </row>
    <row r="2456" spans="20:20" ht="26.25">
      <c r="T2456" s="61" ph="1"/>
    </row>
    <row r="2457" spans="20:20" ht="26.25">
      <c r="T2457" s="61" ph="1"/>
    </row>
    <row r="2458" spans="20:20" ht="26.25">
      <c r="T2458" s="61" ph="1"/>
    </row>
    <row r="2459" spans="20:20" ht="26.25">
      <c r="T2459" s="61" ph="1"/>
    </row>
    <row r="2460" spans="20:20" ht="26.25">
      <c r="T2460" s="61" ph="1"/>
    </row>
    <row r="2461" spans="20:20" ht="26.25">
      <c r="T2461" s="61" ph="1"/>
    </row>
    <row r="2462" spans="20:20" ht="26.25">
      <c r="T2462" s="61" ph="1"/>
    </row>
    <row r="2463" spans="20:20" ht="26.25">
      <c r="T2463" s="61" ph="1"/>
    </row>
    <row r="2464" spans="20:20" ht="26.25">
      <c r="T2464" s="61" ph="1"/>
    </row>
    <row r="2465" spans="20:20" ht="26.25">
      <c r="T2465" s="61" ph="1"/>
    </row>
    <row r="2466" spans="20:20" ht="26.25">
      <c r="T2466" s="61" ph="1"/>
    </row>
    <row r="2467" spans="20:20" ht="26.25">
      <c r="T2467" s="61" ph="1"/>
    </row>
    <row r="2468" spans="20:20" ht="26.25">
      <c r="T2468" s="61" ph="1"/>
    </row>
    <row r="2469" spans="20:20" ht="26.25">
      <c r="T2469" s="61" ph="1"/>
    </row>
    <row r="2470" spans="20:20" ht="26.25">
      <c r="T2470" s="61" ph="1"/>
    </row>
    <row r="2471" spans="20:20" ht="26.25">
      <c r="T2471" s="61" ph="1"/>
    </row>
    <row r="2472" spans="20:20" ht="26.25">
      <c r="T2472" s="61" ph="1"/>
    </row>
    <row r="2473" spans="20:20" ht="26.25">
      <c r="T2473" s="61" ph="1"/>
    </row>
    <row r="2474" spans="20:20" ht="26.25">
      <c r="T2474" s="61" ph="1"/>
    </row>
    <row r="2475" spans="20:20" ht="26.25">
      <c r="T2475" s="61" ph="1"/>
    </row>
    <row r="2476" spans="20:20" ht="26.25">
      <c r="T2476" s="61" ph="1"/>
    </row>
    <row r="2477" spans="20:20" ht="26.25">
      <c r="T2477" s="61" ph="1"/>
    </row>
    <row r="2478" spans="20:20" ht="26.25">
      <c r="T2478" s="61" ph="1"/>
    </row>
    <row r="2479" spans="20:20" ht="26.25">
      <c r="T2479" s="61" ph="1"/>
    </row>
    <row r="2480" spans="20:20" ht="26.25">
      <c r="T2480" s="61" ph="1"/>
    </row>
    <row r="2481" spans="20:20" ht="26.25">
      <c r="T2481" s="61" ph="1"/>
    </row>
    <row r="2482" spans="20:20" ht="26.25">
      <c r="T2482" s="61" ph="1"/>
    </row>
    <row r="2483" spans="20:20" ht="26.25">
      <c r="T2483" s="61" ph="1"/>
    </row>
    <row r="2484" spans="20:20" ht="26.25">
      <c r="T2484" s="61" ph="1"/>
    </row>
    <row r="2485" spans="20:20" ht="26.25">
      <c r="T2485" s="61" ph="1"/>
    </row>
    <row r="2486" spans="20:20" ht="26.25">
      <c r="T2486" s="61" ph="1"/>
    </row>
    <row r="2487" spans="20:20" ht="26.25">
      <c r="T2487" s="61" ph="1"/>
    </row>
    <row r="2488" spans="20:20" ht="26.25">
      <c r="T2488" s="61" ph="1"/>
    </row>
    <row r="2489" spans="20:20" ht="26.25">
      <c r="T2489" s="61" ph="1"/>
    </row>
    <row r="2490" spans="20:20" ht="26.25">
      <c r="T2490" s="61" ph="1"/>
    </row>
    <row r="2491" spans="20:20" ht="26.25">
      <c r="T2491" s="61" ph="1"/>
    </row>
    <row r="2492" spans="20:20" ht="26.25">
      <c r="T2492" s="61" ph="1"/>
    </row>
    <row r="2493" spans="20:20" ht="26.25">
      <c r="T2493" s="61" ph="1"/>
    </row>
    <row r="2494" spans="20:20" ht="26.25">
      <c r="T2494" s="61" ph="1"/>
    </row>
    <row r="2495" spans="20:20" ht="26.25">
      <c r="T2495" s="61" ph="1"/>
    </row>
    <row r="2496" spans="20:20" ht="26.25">
      <c r="T2496" s="61" ph="1"/>
    </row>
    <row r="2497" spans="20:20" ht="26.25">
      <c r="T2497" s="61" ph="1"/>
    </row>
    <row r="2498" spans="20:20" ht="26.25">
      <c r="T2498" s="61" ph="1"/>
    </row>
    <row r="2499" spans="20:20" ht="26.25">
      <c r="T2499" s="61" ph="1"/>
    </row>
    <row r="2500" spans="20:20" ht="26.25">
      <c r="T2500" s="61" ph="1"/>
    </row>
    <row r="2501" spans="20:20" ht="26.25">
      <c r="T2501" s="61" ph="1"/>
    </row>
    <row r="2502" spans="20:20" ht="26.25">
      <c r="T2502" s="61" ph="1"/>
    </row>
    <row r="2503" spans="20:20" ht="26.25">
      <c r="T2503" s="61" ph="1"/>
    </row>
    <row r="2504" spans="20:20" ht="26.25">
      <c r="T2504" s="61" ph="1"/>
    </row>
    <row r="2505" spans="20:20" ht="26.25">
      <c r="T2505" s="61" ph="1"/>
    </row>
    <row r="2506" spans="20:20" ht="26.25">
      <c r="T2506" s="61" ph="1"/>
    </row>
    <row r="2507" spans="20:20" ht="26.25">
      <c r="T2507" s="61" ph="1"/>
    </row>
    <row r="2508" spans="20:20" ht="26.25">
      <c r="T2508" s="61" ph="1"/>
    </row>
    <row r="2509" spans="20:20" ht="26.25">
      <c r="T2509" s="61" ph="1"/>
    </row>
    <row r="2510" spans="20:20" ht="26.25">
      <c r="T2510" s="61" ph="1"/>
    </row>
    <row r="2511" spans="20:20" ht="26.25">
      <c r="T2511" s="61" ph="1"/>
    </row>
    <row r="2512" spans="20:20" ht="26.25">
      <c r="T2512" s="61" ph="1"/>
    </row>
    <row r="2513" spans="20:20" ht="26.25">
      <c r="T2513" s="61" ph="1"/>
    </row>
    <row r="2514" spans="20:20" ht="26.25">
      <c r="T2514" s="61" ph="1"/>
    </row>
    <row r="2515" spans="20:20" ht="26.25">
      <c r="T2515" s="61" ph="1"/>
    </row>
    <row r="2516" spans="20:20" ht="26.25">
      <c r="T2516" s="61" ph="1"/>
    </row>
    <row r="2517" spans="20:20" ht="26.25">
      <c r="T2517" s="61" ph="1"/>
    </row>
    <row r="2518" spans="20:20" ht="26.25">
      <c r="T2518" s="61" ph="1"/>
    </row>
    <row r="2519" spans="20:20" ht="26.25">
      <c r="T2519" s="61" ph="1"/>
    </row>
    <row r="2520" spans="20:20" ht="26.25">
      <c r="T2520" s="61" ph="1"/>
    </row>
    <row r="2521" spans="20:20" ht="26.25">
      <c r="T2521" s="61" ph="1"/>
    </row>
    <row r="2522" spans="20:20" ht="26.25">
      <c r="T2522" s="61" ph="1"/>
    </row>
    <row r="2523" spans="20:20" ht="26.25">
      <c r="T2523" s="61" ph="1"/>
    </row>
    <row r="2524" spans="20:20" ht="26.25">
      <c r="T2524" s="61" ph="1"/>
    </row>
    <row r="2525" spans="20:20" ht="26.25">
      <c r="T2525" s="61" ph="1"/>
    </row>
    <row r="2526" spans="20:20" ht="26.25">
      <c r="T2526" s="61" ph="1"/>
    </row>
    <row r="2527" spans="20:20" ht="26.25">
      <c r="T2527" s="61" ph="1"/>
    </row>
    <row r="2528" spans="20:20" ht="26.25">
      <c r="T2528" s="61" ph="1"/>
    </row>
    <row r="2529" spans="20:20" ht="26.25">
      <c r="T2529" s="61" ph="1"/>
    </row>
    <row r="2530" spans="20:20" ht="26.25">
      <c r="T2530" s="61" ph="1"/>
    </row>
    <row r="2531" spans="20:20" ht="26.25">
      <c r="T2531" s="61" ph="1"/>
    </row>
    <row r="2532" spans="20:20" ht="26.25">
      <c r="T2532" s="61" ph="1"/>
    </row>
    <row r="2533" spans="20:20" ht="26.25">
      <c r="T2533" s="61" ph="1"/>
    </row>
    <row r="2534" spans="20:20" ht="26.25">
      <c r="T2534" s="61" ph="1"/>
    </row>
    <row r="2535" spans="20:20" ht="26.25">
      <c r="T2535" s="61" ph="1"/>
    </row>
    <row r="2536" spans="20:20" ht="26.25">
      <c r="T2536" s="61" ph="1"/>
    </row>
    <row r="2537" spans="20:20" ht="26.25">
      <c r="T2537" s="61" ph="1"/>
    </row>
    <row r="2538" spans="20:20" ht="26.25">
      <c r="T2538" s="61" ph="1"/>
    </row>
    <row r="2539" spans="20:20" ht="26.25">
      <c r="T2539" s="61" ph="1"/>
    </row>
    <row r="2540" spans="20:20" ht="26.25">
      <c r="T2540" s="61" ph="1"/>
    </row>
    <row r="2541" spans="20:20" ht="26.25">
      <c r="T2541" s="61" ph="1"/>
    </row>
    <row r="2542" spans="20:20" ht="26.25">
      <c r="T2542" s="61" ph="1"/>
    </row>
    <row r="2543" spans="20:20" ht="26.25">
      <c r="T2543" s="61" ph="1"/>
    </row>
    <row r="2544" spans="20:20" ht="26.25">
      <c r="T2544" s="61" ph="1"/>
    </row>
    <row r="2545" spans="20:20" ht="26.25">
      <c r="T2545" s="61" ph="1"/>
    </row>
    <row r="2546" spans="20:20" ht="26.25">
      <c r="T2546" s="61" ph="1"/>
    </row>
    <row r="2547" spans="20:20" ht="26.25">
      <c r="T2547" s="61" ph="1"/>
    </row>
    <row r="2548" spans="20:20" ht="26.25">
      <c r="T2548" s="61" ph="1"/>
    </row>
    <row r="2549" spans="20:20" ht="26.25">
      <c r="T2549" s="61" ph="1"/>
    </row>
    <row r="2550" spans="20:20" ht="26.25">
      <c r="T2550" s="61" ph="1"/>
    </row>
    <row r="2551" spans="20:20" ht="26.25">
      <c r="T2551" s="61" ph="1"/>
    </row>
    <row r="2552" spans="20:20" ht="26.25">
      <c r="T2552" s="61" ph="1"/>
    </row>
    <row r="2553" spans="20:20" ht="26.25">
      <c r="T2553" s="61" ph="1"/>
    </row>
    <row r="2554" spans="20:20" ht="26.25">
      <c r="T2554" s="61" ph="1"/>
    </row>
    <row r="2555" spans="20:20" ht="26.25">
      <c r="T2555" s="61" ph="1"/>
    </row>
    <row r="2556" spans="20:20" ht="26.25">
      <c r="T2556" s="61" ph="1"/>
    </row>
    <row r="2557" spans="20:20" ht="26.25">
      <c r="T2557" s="61" ph="1"/>
    </row>
    <row r="2558" spans="20:20" ht="26.25">
      <c r="T2558" s="61" ph="1"/>
    </row>
    <row r="2559" spans="20:20" ht="26.25">
      <c r="T2559" s="61" ph="1"/>
    </row>
    <row r="2560" spans="20:20" ht="26.25">
      <c r="T2560" s="61" ph="1"/>
    </row>
    <row r="2561" spans="20:20" ht="26.25">
      <c r="T2561" s="61" ph="1"/>
    </row>
    <row r="2562" spans="20:20" ht="26.25">
      <c r="T2562" s="61" ph="1"/>
    </row>
    <row r="2563" spans="20:20" ht="26.25">
      <c r="T2563" s="61" ph="1"/>
    </row>
    <row r="2564" spans="20:20" ht="26.25">
      <c r="T2564" s="61" ph="1"/>
    </row>
    <row r="2565" spans="20:20" ht="26.25">
      <c r="T2565" s="61" ph="1"/>
    </row>
    <row r="2566" spans="20:20" ht="26.25">
      <c r="T2566" s="61" ph="1"/>
    </row>
    <row r="2567" spans="20:20" ht="26.25">
      <c r="T2567" s="61" ph="1"/>
    </row>
    <row r="2568" spans="20:20" ht="26.25">
      <c r="T2568" s="61" ph="1"/>
    </row>
    <row r="2569" spans="20:20" ht="26.25">
      <c r="T2569" s="61" ph="1"/>
    </row>
    <row r="2570" spans="20:20" ht="26.25">
      <c r="T2570" s="61" ph="1"/>
    </row>
    <row r="2571" spans="20:20" ht="26.25">
      <c r="T2571" s="61" ph="1"/>
    </row>
    <row r="2572" spans="20:20" ht="26.25">
      <c r="T2572" s="61" ph="1"/>
    </row>
    <row r="2573" spans="20:20" ht="26.25">
      <c r="T2573" s="61" ph="1"/>
    </row>
    <row r="2574" spans="20:20" ht="26.25">
      <c r="T2574" s="61" ph="1"/>
    </row>
    <row r="2575" spans="20:20" ht="26.25">
      <c r="T2575" s="61" ph="1"/>
    </row>
    <row r="2576" spans="20:20" ht="26.25">
      <c r="T2576" s="61" ph="1"/>
    </row>
    <row r="2577" spans="20:20" ht="26.25">
      <c r="T2577" s="61" ph="1"/>
    </row>
    <row r="2578" spans="20:20" ht="26.25">
      <c r="T2578" s="61" ph="1"/>
    </row>
    <row r="2579" spans="20:20" ht="26.25">
      <c r="T2579" s="61" ph="1"/>
    </row>
    <row r="2580" spans="20:20" ht="26.25">
      <c r="T2580" s="61" ph="1"/>
    </row>
    <row r="2581" spans="20:20" ht="26.25">
      <c r="T2581" s="61" ph="1"/>
    </row>
    <row r="2582" spans="20:20" ht="26.25">
      <c r="T2582" s="61" ph="1"/>
    </row>
    <row r="2583" spans="20:20" ht="26.25">
      <c r="T2583" s="61" ph="1"/>
    </row>
    <row r="2584" spans="20:20" ht="26.25">
      <c r="T2584" s="61" ph="1"/>
    </row>
    <row r="2585" spans="20:20" ht="26.25">
      <c r="T2585" s="61" ph="1"/>
    </row>
    <row r="2586" spans="20:20" ht="26.25">
      <c r="T2586" s="61" ph="1"/>
    </row>
    <row r="2587" spans="20:20" ht="26.25">
      <c r="T2587" s="61" ph="1"/>
    </row>
    <row r="2588" spans="20:20" ht="26.25">
      <c r="T2588" s="61" ph="1"/>
    </row>
    <row r="2589" spans="20:20" ht="26.25">
      <c r="T2589" s="61" ph="1"/>
    </row>
    <row r="2590" spans="20:20" ht="26.25">
      <c r="T2590" s="61" ph="1"/>
    </row>
    <row r="2591" spans="20:20" ht="26.25">
      <c r="T2591" s="61" ph="1"/>
    </row>
    <row r="2592" spans="20:20" ht="26.25">
      <c r="T2592" s="61" ph="1"/>
    </row>
    <row r="2593" spans="20:20" ht="26.25">
      <c r="T2593" s="61" ph="1"/>
    </row>
    <row r="2594" spans="20:20" ht="26.25">
      <c r="T2594" s="61" ph="1"/>
    </row>
    <row r="2595" spans="20:20" ht="26.25">
      <c r="T2595" s="61" ph="1"/>
    </row>
    <row r="2596" spans="20:20" ht="26.25">
      <c r="T2596" s="61" ph="1"/>
    </row>
    <row r="2597" spans="20:20" ht="26.25">
      <c r="T2597" s="61" ph="1"/>
    </row>
    <row r="2598" spans="20:20" ht="26.25">
      <c r="T2598" s="61" ph="1"/>
    </row>
    <row r="2599" spans="20:20" ht="26.25">
      <c r="T2599" s="61" ph="1"/>
    </row>
    <row r="2600" spans="20:20" ht="26.25">
      <c r="T2600" s="61" ph="1"/>
    </row>
    <row r="2601" spans="20:20" ht="26.25">
      <c r="T2601" s="61" ph="1"/>
    </row>
    <row r="2602" spans="20:20" ht="26.25">
      <c r="T2602" s="61" ph="1"/>
    </row>
    <row r="2603" spans="20:20" ht="26.25">
      <c r="T2603" s="61" ph="1"/>
    </row>
    <row r="2604" spans="20:20" ht="26.25">
      <c r="T2604" s="61" ph="1"/>
    </row>
    <row r="2605" spans="20:20" ht="26.25">
      <c r="T2605" s="61" ph="1"/>
    </row>
    <row r="2606" spans="20:20" ht="26.25">
      <c r="T2606" s="61" ph="1"/>
    </row>
    <row r="2607" spans="20:20" ht="26.25">
      <c r="T2607" s="61" ph="1"/>
    </row>
    <row r="2608" spans="20:20" ht="26.25">
      <c r="T2608" s="61" ph="1"/>
    </row>
    <row r="2609" spans="20:20" ht="26.25">
      <c r="T2609" s="61" ph="1"/>
    </row>
    <row r="2610" spans="20:20" ht="26.25">
      <c r="T2610" s="61" ph="1"/>
    </row>
    <row r="2611" spans="20:20" ht="26.25">
      <c r="T2611" s="61" ph="1"/>
    </row>
    <row r="2612" spans="20:20" ht="26.25">
      <c r="T2612" s="61" ph="1"/>
    </row>
    <row r="2613" spans="20:20" ht="26.25">
      <c r="T2613" s="61" ph="1"/>
    </row>
    <row r="2614" spans="20:20" ht="26.25">
      <c r="T2614" s="61" ph="1"/>
    </row>
    <row r="2615" spans="20:20" ht="26.25">
      <c r="T2615" s="61" ph="1"/>
    </row>
    <row r="2616" spans="20:20" ht="26.25">
      <c r="T2616" s="61" ph="1"/>
    </row>
    <row r="2617" spans="20:20" ht="26.25">
      <c r="T2617" s="61" ph="1"/>
    </row>
    <row r="2618" spans="20:20" ht="26.25">
      <c r="T2618" s="61" ph="1"/>
    </row>
    <row r="2619" spans="20:20" ht="26.25">
      <c r="T2619" s="61" ph="1"/>
    </row>
    <row r="2620" spans="20:20" ht="26.25">
      <c r="T2620" s="61" ph="1"/>
    </row>
    <row r="2621" spans="20:20" ht="26.25">
      <c r="T2621" s="61" ph="1"/>
    </row>
    <row r="2622" spans="20:20" ht="26.25">
      <c r="T2622" s="61" ph="1"/>
    </row>
    <row r="2623" spans="20:20" ht="26.25">
      <c r="T2623" s="61" ph="1"/>
    </row>
    <row r="2624" spans="20:20" ht="26.25">
      <c r="T2624" s="61" ph="1"/>
    </row>
    <row r="2625" spans="20:20" ht="26.25">
      <c r="T2625" s="61" ph="1"/>
    </row>
    <row r="2626" spans="20:20" ht="26.25">
      <c r="T2626" s="61" ph="1"/>
    </row>
    <row r="2627" spans="20:20" ht="26.25">
      <c r="T2627" s="61" ph="1"/>
    </row>
    <row r="2628" spans="20:20" ht="26.25">
      <c r="T2628" s="61" ph="1"/>
    </row>
    <row r="2629" spans="20:20" ht="26.25">
      <c r="T2629" s="61" ph="1"/>
    </row>
    <row r="2630" spans="20:20" ht="26.25">
      <c r="T2630" s="61" ph="1"/>
    </row>
    <row r="2631" spans="20:20" ht="26.25">
      <c r="T2631" s="61" ph="1"/>
    </row>
    <row r="2632" spans="20:20" ht="26.25">
      <c r="T2632" s="61" ph="1"/>
    </row>
    <row r="2633" spans="20:20" ht="26.25">
      <c r="T2633" s="61" ph="1"/>
    </row>
    <row r="2634" spans="20:20" ht="26.25">
      <c r="T2634" s="61" ph="1"/>
    </row>
    <row r="2635" spans="20:20" ht="26.25">
      <c r="T2635" s="61" ph="1"/>
    </row>
    <row r="2636" spans="20:20" ht="26.25">
      <c r="T2636" s="61" ph="1"/>
    </row>
    <row r="2637" spans="20:20" ht="26.25">
      <c r="T2637" s="61" ph="1"/>
    </row>
    <row r="2638" spans="20:20" ht="26.25">
      <c r="T2638" s="61" ph="1"/>
    </row>
    <row r="2639" spans="20:20" ht="26.25">
      <c r="T2639" s="61" ph="1"/>
    </row>
    <row r="2640" spans="20:20" ht="26.25">
      <c r="T2640" s="61" ph="1"/>
    </row>
    <row r="2641" spans="20:20" ht="26.25">
      <c r="T2641" s="61" ph="1"/>
    </row>
    <row r="2642" spans="20:20" ht="26.25">
      <c r="T2642" s="61" ph="1"/>
    </row>
    <row r="2643" spans="20:20" ht="26.25">
      <c r="T2643" s="61" ph="1"/>
    </row>
    <row r="2644" spans="20:20" ht="26.25">
      <c r="T2644" s="61" ph="1"/>
    </row>
    <row r="2645" spans="20:20" ht="26.25">
      <c r="T2645" s="61" ph="1"/>
    </row>
    <row r="2646" spans="20:20" ht="26.25">
      <c r="T2646" s="61" ph="1"/>
    </row>
    <row r="2647" spans="20:20" ht="26.25">
      <c r="T2647" s="61" ph="1"/>
    </row>
    <row r="2648" spans="20:20" ht="26.25">
      <c r="T2648" s="61" ph="1"/>
    </row>
    <row r="2649" spans="20:20" ht="26.25">
      <c r="T2649" s="61" ph="1"/>
    </row>
    <row r="2650" spans="20:20" ht="26.25">
      <c r="T2650" s="61" ph="1"/>
    </row>
    <row r="2651" spans="20:20" ht="26.25">
      <c r="T2651" s="61" ph="1"/>
    </row>
    <row r="2652" spans="20:20" ht="26.25">
      <c r="T2652" s="61" ph="1"/>
    </row>
    <row r="2653" spans="20:20" ht="26.25">
      <c r="T2653" s="61" ph="1"/>
    </row>
    <row r="2654" spans="20:20" ht="26.25">
      <c r="T2654" s="61" ph="1"/>
    </row>
    <row r="2655" spans="20:20" ht="26.25">
      <c r="T2655" s="61" ph="1"/>
    </row>
    <row r="2656" spans="20:20" ht="26.25">
      <c r="T2656" s="61" ph="1"/>
    </row>
    <row r="2657" spans="20:20" ht="26.25">
      <c r="T2657" s="61" ph="1"/>
    </row>
    <row r="2658" spans="20:20" ht="26.25">
      <c r="T2658" s="61" ph="1"/>
    </row>
    <row r="2659" spans="20:20" ht="26.25">
      <c r="T2659" s="61" ph="1"/>
    </row>
    <row r="2660" spans="20:20" ht="26.25">
      <c r="T2660" s="61" ph="1"/>
    </row>
    <row r="2661" spans="20:20" ht="26.25">
      <c r="T2661" s="61" ph="1"/>
    </row>
    <row r="2662" spans="20:20" ht="26.25">
      <c r="T2662" s="61" ph="1"/>
    </row>
    <row r="2663" spans="20:20" ht="26.25">
      <c r="T2663" s="61" ph="1"/>
    </row>
    <row r="2664" spans="20:20" ht="26.25">
      <c r="T2664" s="61" ph="1"/>
    </row>
    <row r="2665" spans="20:20" ht="26.25">
      <c r="T2665" s="61" ph="1"/>
    </row>
    <row r="2666" spans="20:20" ht="26.25">
      <c r="T2666" s="61" ph="1"/>
    </row>
    <row r="2667" spans="20:20" ht="26.25">
      <c r="T2667" s="61" ph="1"/>
    </row>
    <row r="2668" spans="20:20" ht="26.25">
      <c r="T2668" s="61" ph="1"/>
    </row>
    <row r="2669" spans="20:20" ht="26.25">
      <c r="T2669" s="61" ph="1"/>
    </row>
    <row r="2670" spans="20:20" ht="26.25">
      <c r="T2670" s="61" ph="1"/>
    </row>
    <row r="2671" spans="20:20" ht="26.25">
      <c r="T2671" s="61" ph="1"/>
    </row>
    <row r="2672" spans="20:20" ht="26.25">
      <c r="T2672" s="61" ph="1"/>
    </row>
    <row r="2673" spans="20:20" ht="26.25">
      <c r="T2673" s="61" ph="1"/>
    </row>
    <row r="2674" spans="20:20" ht="26.25">
      <c r="T2674" s="61" ph="1"/>
    </row>
    <row r="2675" spans="20:20" ht="26.25">
      <c r="T2675" s="61" ph="1"/>
    </row>
    <row r="2676" spans="20:20" ht="26.25">
      <c r="T2676" s="61" ph="1"/>
    </row>
    <row r="2677" spans="20:20" ht="26.25">
      <c r="T2677" s="61" ph="1"/>
    </row>
    <row r="2678" spans="20:20" ht="26.25">
      <c r="T2678" s="61" ph="1"/>
    </row>
    <row r="2679" spans="20:20" ht="26.25">
      <c r="T2679" s="61" ph="1"/>
    </row>
    <row r="2680" spans="20:20" ht="26.25">
      <c r="T2680" s="61" ph="1"/>
    </row>
    <row r="2681" spans="20:20" ht="26.25">
      <c r="T2681" s="61" ph="1"/>
    </row>
    <row r="2682" spans="20:20" ht="26.25">
      <c r="T2682" s="61" ph="1"/>
    </row>
    <row r="2683" spans="20:20" ht="26.25">
      <c r="T2683" s="61" ph="1"/>
    </row>
    <row r="2684" spans="20:20" ht="26.25">
      <c r="T2684" s="61" ph="1"/>
    </row>
    <row r="2685" spans="20:20" ht="26.25">
      <c r="T2685" s="61" ph="1"/>
    </row>
    <row r="2686" spans="20:20" ht="26.25">
      <c r="T2686" s="61" ph="1"/>
    </row>
    <row r="2687" spans="20:20" ht="26.25">
      <c r="T2687" s="61" ph="1"/>
    </row>
    <row r="2688" spans="20:20" ht="26.25">
      <c r="T2688" s="61" ph="1"/>
    </row>
    <row r="2689" spans="20:20" ht="26.25">
      <c r="T2689" s="61" ph="1"/>
    </row>
    <row r="2690" spans="20:20" ht="26.25">
      <c r="T2690" s="61" ph="1"/>
    </row>
    <row r="2691" spans="20:20" ht="26.25">
      <c r="T2691" s="61" ph="1"/>
    </row>
    <row r="2692" spans="20:20" ht="26.25">
      <c r="T2692" s="61" ph="1"/>
    </row>
    <row r="2693" spans="20:20" ht="26.25">
      <c r="T2693" s="61" ph="1"/>
    </row>
    <row r="2694" spans="20:20" ht="26.25">
      <c r="T2694" s="61" ph="1"/>
    </row>
    <row r="2695" spans="20:20" ht="26.25">
      <c r="T2695" s="61" ph="1"/>
    </row>
    <row r="2696" spans="20:20" ht="26.25">
      <c r="T2696" s="61" ph="1"/>
    </row>
    <row r="2697" spans="20:20" ht="26.25">
      <c r="T2697" s="61" ph="1"/>
    </row>
    <row r="2698" spans="20:20" ht="26.25">
      <c r="T2698" s="61" ph="1"/>
    </row>
    <row r="2699" spans="20:20" ht="26.25">
      <c r="T2699" s="61" ph="1"/>
    </row>
    <row r="2700" spans="20:20" ht="26.25">
      <c r="T2700" s="61" ph="1"/>
    </row>
    <row r="2701" spans="20:20" ht="26.25">
      <c r="T2701" s="61" ph="1"/>
    </row>
    <row r="2702" spans="20:20" ht="26.25">
      <c r="T2702" s="61" ph="1"/>
    </row>
    <row r="2703" spans="20:20" ht="26.25">
      <c r="T2703" s="61" ph="1"/>
    </row>
    <row r="2704" spans="20:20" ht="26.25">
      <c r="T2704" s="61" ph="1"/>
    </row>
    <row r="2705" spans="20:20" ht="26.25">
      <c r="T2705" s="61" ph="1"/>
    </row>
    <row r="2706" spans="20:20" ht="26.25">
      <c r="T2706" s="61" ph="1"/>
    </row>
    <row r="2707" spans="20:20" ht="26.25">
      <c r="T2707" s="61" ph="1"/>
    </row>
    <row r="2708" spans="20:20" ht="26.25">
      <c r="T2708" s="61" ph="1"/>
    </row>
    <row r="2709" spans="20:20" ht="26.25">
      <c r="T2709" s="61" ph="1"/>
    </row>
    <row r="2710" spans="20:20" ht="26.25">
      <c r="T2710" s="61" ph="1"/>
    </row>
    <row r="2711" spans="20:20" ht="26.25">
      <c r="T2711" s="61" ph="1"/>
    </row>
    <row r="2712" spans="20:20" ht="26.25">
      <c r="T2712" s="61" ph="1"/>
    </row>
    <row r="2713" spans="20:20" ht="26.25">
      <c r="T2713" s="61" ph="1"/>
    </row>
    <row r="2714" spans="20:20" ht="26.25">
      <c r="T2714" s="61" ph="1"/>
    </row>
    <row r="2715" spans="20:20" ht="26.25">
      <c r="T2715" s="61" ph="1"/>
    </row>
    <row r="2716" spans="20:20" ht="26.25">
      <c r="T2716" s="61" ph="1"/>
    </row>
    <row r="2717" spans="20:20" ht="26.25">
      <c r="T2717" s="61" ph="1"/>
    </row>
    <row r="2718" spans="20:20" ht="26.25">
      <c r="T2718" s="61" ph="1"/>
    </row>
    <row r="2719" spans="20:20" ht="26.25">
      <c r="T2719" s="61" ph="1"/>
    </row>
    <row r="2720" spans="20:20" ht="26.25">
      <c r="T2720" s="61" ph="1"/>
    </row>
    <row r="2721" spans="20:20" ht="26.25">
      <c r="T2721" s="61" ph="1"/>
    </row>
    <row r="2722" spans="20:20" ht="26.25">
      <c r="T2722" s="61" ph="1"/>
    </row>
    <row r="2723" spans="20:20" ht="26.25">
      <c r="T2723" s="61" ph="1"/>
    </row>
    <row r="2724" spans="20:20" ht="26.25">
      <c r="T2724" s="61" ph="1"/>
    </row>
    <row r="2725" spans="20:20" ht="26.25">
      <c r="T2725" s="61" ph="1"/>
    </row>
    <row r="2726" spans="20:20" ht="26.25">
      <c r="T2726" s="61" ph="1"/>
    </row>
    <row r="2727" spans="20:20" ht="26.25">
      <c r="T2727" s="61" ph="1"/>
    </row>
    <row r="2728" spans="20:20" ht="26.25">
      <c r="T2728" s="61" ph="1"/>
    </row>
    <row r="2729" spans="20:20" ht="26.25">
      <c r="T2729" s="61" ph="1"/>
    </row>
    <row r="2730" spans="20:20" ht="26.25">
      <c r="T2730" s="61" ph="1"/>
    </row>
    <row r="2731" spans="20:20" ht="26.25">
      <c r="T2731" s="61" ph="1"/>
    </row>
    <row r="2732" spans="20:20" ht="26.25">
      <c r="T2732" s="61" ph="1"/>
    </row>
    <row r="2733" spans="20:20" ht="26.25">
      <c r="T2733" s="61" ph="1"/>
    </row>
    <row r="2734" spans="20:20" ht="26.25">
      <c r="T2734" s="61" ph="1"/>
    </row>
    <row r="2735" spans="20:20" ht="26.25">
      <c r="T2735" s="61" ph="1"/>
    </row>
    <row r="2736" spans="20:20" ht="26.25">
      <c r="T2736" s="61" ph="1"/>
    </row>
    <row r="2737" spans="20:20" ht="26.25">
      <c r="T2737" s="61" ph="1"/>
    </row>
    <row r="2738" spans="20:20" ht="26.25">
      <c r="T2738" s="61" ph="1"/>
    </row>
    <row r="2739" spans="20:20" ht="26.25">
      <c r="T2739" s="61" ph="1"/>
    </row>
    <row r="2740" spans="20:20" ht="26.25">
      <c r="T2740" s="61" ph="1"/>
    </row>
    <row r="2741" spans="20:20" ht="26.25">
      <c r="T2741" s="61" ph="1"/>
    </row>
    <row r="2742" spans="20:20" ht="26.25">
      <c r="T2742" s="61" ph="1"/>
    </row>
    <row r="2743" spans="20:20" ht="26.25">
      <c r="T2743" s="61" ph="1"/>
    </row>
    <row r="2744" spans="20:20" ht="26.25">
      <c r="T2744" s="61" ph="1"/>
    </row>
    <row r="2745" spans="20:20" ht="26.25">
      <c r="T2745" s="61" ph="1"/>
    </row>
    <row r="2746" spans="20:20" ht="26.25">
      <c r="T2746" s="61" ph="1"/>
    </row>
    <row r="2747" spans="20:20" ht="26.25">
      <c r="T2747" s="61" ph="1"/>
    </row>
    <row r="2748" spans="20:20" ht="26.25">
      <c r="T2748" s="61" ph="1"/>
    </row>
    <row r="2749" spans="20:20" ht="26.25">
      <c r="T2749" s="61" ph="1"/>
    </row>
    <row r="2750" spans="20:20" ht="26.25">
      <c r="T2750" s="61" ph="1"/>
    </row>
    <row r="2751" spans="20:20" ht="26.25">
      <c r="T2751" s="61" ph="1"/>
    </row>
    <row r="2752" spans="20:20" ht="26.25">
      <c r="T2752" s="61" ph="1"/>
    </row>
    <row r="2753" spans="20:20" ht="26.25">
      <c r="T2753" s="61" ph="1"/>
    </row>
    <row r="2754" spans="20:20" ht="26.25">
      <c r="T2754" s="61" ph="1"/>
    </row>
    <row r="2755" spans="20:20" ht="26.25">
      <c r="T2755" s="61" ph="1"/>
    </row>
    <row r="2756" spans="20:20" ht="26.25">
      <c r="T2756" s="61" ph="1"/>
    </row>
    <row r="2757" spans="20:20" ht="26.25">
      <c r="T2757" s="61" ph="1"/>
    </row>
    <row r="2758" spans="20:20" ht="26.25">
      <c r="T2758" s="61" ph="1"/>
    </row>
    <row r="2759" spans="20:20" ht="26.25">
      <c r="T2759" s="61" ph="1"/>
    </row>
    <row r="2760" spans="20:20" ht="26.25">
      <c r="T2760" s="61" ph="1"/>
    </row>
    <row r="2761" spans="20:20" ht="26.25">
      <c r="T2761" s="61" ph="1"/>
    </row>
    <row r="2762" spans="20:20" ht="26.25">
      <c r="T2762" s="61" ph="1"/>
    </row>
    <row r="2763" spans="20:20" ht="26.25">
      <c r="T2763" s="61" ph="1"/>
    </row>
    <row r="2764" spans="20:20" ht="26.25">
      <c r="T2764" s="61" ph="1"/>
    </row>
    <row r="2765" spans="20:20" ht="26.25">
      <c r="T2765" s="61" ph="1"/>
    </row>
    <row r="2766" spans="20:20" ht="26.25">
      <c r="T2766" s="61" ph="1"/>
    </row>
    <row r="2767" spans="20:20" ht="26.25">
      <c r="T2767" s="61" ph="1"/>
    </row>
    <row r="2768" spans="20:20" ht="26.25">
      <c r="T2768" s="61" ph="1"/>
    </row>
    <row r="2769" spans="20:20" ht="26.25">
      <c r="T2769" s="61" ph="1"/>
    </row>
    <row r="2770" spans="20:20" ht="26.25">
      <c r="T2770" s="61" ph="1"/>
    </row>
    <row r="2771" spans="20:20" ht="26.25">
      <c r="T2771" s="61" ph="1"/>
    </row>
    <row r="2772" spans="20:20" ht="26.25">
      <c r="T2772" s="61" ph="1"/>
    </row>
    <row r="2773" spans="20:20" ht="26.25">
      <c r="T2773" s="61" ph="1"/>
    </row>
    <row r="2774" spans="20:20" ht="26.25">
      <c r="T2774" s="61" ph="1"/>
    </row>
    <row r="2775" spans="20:20" ht="26.25">
      <c r="T2775" s="61" ph="1"/>
    </row>
    <row r="2776" spans="20:20" ht="26.25">
      <c r="T2776" s="61" ph="1"/>
    </row>
    <row r="2777" spans="20:20" ht="26.25">
      <c r="T2777" s="61" ph="1"/>
    </row>
    <row r="2778" spans="20:20" ht="26.25">
      <c r="T2778" s="61" ph="1"/>
    </row>
    <row r="2779" spans="20:20" ht="26.25">
      <c r="T2779" s="61" ph="1"/>
    </row>
    <row r="2780" spans="20:20" ht="26.25">
      <c r="T2780" s="61" ph="1"/>
    </row>
    <row r="2781" spans="20:20" ht="26.25">
      <c r="T2781" s="61" ph="1"/>
    </row>
    <row r="2782" spans="20:20" ht="26.25">
      <c r="T2782" s="61" ph="1"/>
    </row>
    <row r="2783" spans="20:20" ht="26.25">
      <c r="T2783" s="61" ph="1"/>
    </row>
    <row r="2784" spans="20:20" ht="26.25">
      <c r="T2784" s="61" ph="1"/>
    </row>
    <row r="2785" spans="20:20" ht="26.25">
      <c r="T2785" s="61" ph="1"/>
    </row>
    <row r="2786" spans="20:20" ht="26.25">
      <c r="T2786" s="61" ph="1"/>
    </row>
    <row r="2787" spans="20:20" ht="26.25">
      <c r="T2787" s="61" ph="1"/>
    </row>
    <row r="2788" spans="20:20" ht="26.25">
      <c r="T2788" s="61" ph="1"/>
    </row>
    <row r="2789" spans="20:20" ht="26.25">
      <c r="T2789" s="61" ph="1"/>
    </row>
    <row r="2790" spans="20:20" ht="26.25">
      <c r="T2790" s="61" ph="1"/>
    </row>
    <row r="2791" spans="20:20" ht="26.25">
      <c r="T2791" s="61" ph="1"/>
    </row>
    <row r="2792" spans="20:20" ht="26.25">
      <c r="T2792" s="61" ph="1"/>
    </row>
    <row r="2793" spans="20:20" ht="26.25">
      <c r="T2793" s="61" ph="1"/>
    </row>
    <row r="2794" spans="20:20" ht="26.25">
      <c r="T2794" s="61" ph="1"/>
    </row>
    <row r="2795" spans="20:20" ht="26.25">
      <c r="T2795" s="61" ph="1"/>
    </row>
    <row r="2796" spans="20:20" ht="26.25">
      <c r="T2796" s="61" ph="1"/>
    </row>
    <row r="2797" spans="20:20" ht="26.25">
      <c r="T2797" s="61" ph="1"/>
    </row>
    <row r="2798" spans="20:20" ht="26.25">
      <c r="T2798" s="61" ph="1"/>
    </row>
    <row r="2799" spans="20:20" ht="26.25">
      <c r="T2799" s="61" ph="1"/>
    </row>
    <row r="2800" spans="20:20" ht="26.25">
      <c r="T2800" s="61" ph="1"/>
    </row>
    <row r="2801" spans="20:20" ht="26.25">
      <c r="T2801" s="61" ph="1"/>
    </row>
    <row r="2802" spans="20:20" ht="26.25">
      <c r="T2802" s="61" ph="1"/>
    </row>
    <row r="2803" spans="20:20" ht="26.25">
      <c r="T2803" s="61" ph="1"/>
    </row>
    <row r="2804" spans="20:20" ht="26.25">
      <c r="T2804" s="61" ph="1"/>
    </row>
    <row r="2805" spans="20:20" ht="26.25">
      <c r="T2805" s="61" ph="1"/>
    </row>
    <row r="2806" spans="20:20" ht="26.25">
      <c r="T2806" s="61" ph="1"/>
    </row>
    <row r="2807" spans="20:20" ht="26.25">
      <c r="T2807" s="61" ph="1"/>
    </row>
    <row r="2808" spans="20:20" ht="26.25">
      <c r="T2808" s="61" ph="1"/>
    </row>
    <row r="2809" spans="20:20" ht="26.25">
      <c r="T2809" s="61" ph="1"/>
    </row>
    <row r="2810" spans="20:20" ht="26.25">
      <c r="T2810" s="61" ph="1"/>
    </row>
    <row r="2811" spans="20:20" ht="26.25">
      <c r="T2811" s="61" ph="1"/>
    </row>
    <row r="2812" spans="20:20" ht="26.25">
      <c r="T2812" s="61" ph="1"/>
    </row>
    <row r="2813" spans="20:20" ht="26.25">
      <c r="T2813" s="61" ph="1"/>
    </row>
    <row r="2814" spans="20:20" ht="26.25">
      <c r="T2814" s="61" ph="1"/>
    </row>
    <row r="2815" spans="20:20" ht="26.25">
      <c r="T2815" s="61" ph="1"/>
    </row>
    <row r="2816" spans="20:20" ht="26.25">
      <c r="T2816" s="61" ph="1"/>
    </row>
    <row r="2817" spans="20:20" ht="26.25">
      <c r="T2817" s="61" ph="1"/>
    </row>
    <row r="2818" spans="20:20" ht="26.25">
      <c r="T2818" s="61" ph="1"/>
    </row>
    <row r="2819" spans="20:20" ht="26.25">
      <c r="T2819" s="61" ph="1"/>
    </row>
    <row r="2820" spans="20:20" ht="26.25">
      <c r="T2820" s="61" ph="1"/>
    </row>
    <row r="2821" spans="20:20" ht="26.25">
      <c r="T2821" s="61" ph="1"/>
    </row>
    <row r="2822" spans="20:20" ht="26.25">
      <c r="T2822" s="61" ph="1"/>
    </row>
    <row r="2823" spans="20:20" ht="26.25">
      <c r="T2823" s="61" ph="1"/>
    </row>
    <row r="2824" spans="20:20" ht="26.25">
      <c r="T2824" s="61" ph="1"/>
    </row>
    <row r="2825" spans="20:20" ht="26.25">
      <c r="T2825" s="61" ph="1"/>
    </row>
    <row r="2826" spans="20:20" ht="26.25">
      <c r="T2826" s="61" ph="1"/>
    </row>
    <row r="2827" spans="20:20" ht="26.25">
      <c r="T2827" s="61" ph="1"/>
    </row>
    <row r="2828" spans="20:20" ht="26.25">
      <c r="T2828" s="61" ph="1"/>
    </row>
    <row r="2829" spans="20:20" ht="26.25">
      <c r="T2829" s="61" ph="1"/>
    </row>
    <row r="2830" spans="20:20" ht="26.25">
      <c r="T2830" s="61" ph="1"/>
    </row>
    <row r="2831" spans="20:20" ht="26.25">
      <c r="T2831" s="61" ph="1"/>
    </row>
    <row r="2832" spans="20:20" ht="26.25">
      <c r="T2832" s="61" ph="1"/>
    </row>
    <row r="2833" spans="20:20" ht="26.25">
      <c r="T2833" s="61" ph="1"/>
    </row>
    <row r="2834" spans="20:20" ht="26.25">
      <c r="T2834" s="61" ph="1"/>
    </row>
    <row r="2835" spans="20:20" ht="26.25">
      <c r="T2835" s="61" ph="1"/>
    </row>
    <row r="2836" spans="20:20" ht="26.25">
      <c r="T2836" s="61" ph="1"/>
    </row>
    <row r="2837" spans="20:20" ht="26.25">
      <c r="T2837" s="61" ph="1"/>
    </row>
    <row r="2838" spans="20:20" ht="26.25">
      <c r="T2838" s="61" ph="1"/>
    </row>
    <row r="2839" spans="20:20" ht="26.25">
      <c r="T2839" s="61" ph="1"/>
    </row>
    <row r="2840" spans="20:20" ht="26.25">
      <c r="T2840" s="61" ph="1"/>
    </row>
    <row r="2841" spans="20:20" ht="26.25">
      <c r="T2841" s="61" ph="1"/>
    </row>
    <row r="2842" spans="20:20" ht="26.25">
      <c r="T2842" s="61" ph="1"/>
    </row>
    <row r="2843" spans="20:20" ht="26.25">
      <c r="T2843" s="61" ph="1"/>
    </row>
    <row r="2844" spans="20:20" ht="26.25">
      <c r="T2844" s="61" ph="1"/>
    </row>
    <row r="2845" spans="20:20" ht="26.25">
      <c r="T2845" s="61" ph="1"/>
    </row>
    <row r="2846" spans="20:20" ht="26.25">
      <c r="T2846" s="61" ph="1"/>
    </row>
    <row r="2847" spans="20:20" ht="26.25">
      <c r="T2847" s="61" ph="1"/>
    </row>
    <row r="2848" spans="20:20" ht="26.25">
      <c r="T2848" s="61" ph="1"/>
    </row>
    <row r="2849" spans="20:20" ht="26.25">
      <c r="T2849" s="61" ph="1"/>
    </row>
    <row r="2850" spans="20:20" ht="26.25">
      <c r="T2850" s="61" ph="1"/>
    </row>
    <row r="2851" spans="20:20" ht="26.25">
      <c r="T2851" s="61" ph="1"/>
    </row>
    <row r="2852" spans="20:20" ht="26.25">
      <c r="T2852" s="61" ph="1"/>
    </row>
    <row r="2853" spans="20:20" ht="26.25">
      <c r="T2853" s="61" ph="1"/>
    </row>
    <row r="2854" spans="20:20" ht="26.25">
      <c r="T2854" s="61" ph="1"/>
    </row>
    <row r="2855" spans="20:20" ht="26.25">
      <c r="T2855" s="61" ph="1"/>
    </row>
    <row r="2856" spans="20:20" ht="26.25">
      <c r="T2856" s="61" ph="1"/>
    </row>
    <row r="2857" spans="20:20" ht="26.25">
      <c r="T2857" s="61" ph="1"/>
    </row>
    <row r="2858" spans="20:20" ht="26.25">
      <c r="T2858" s="61" ph="1"/>
    </row>
    <row r="2859" spans="20:20" ht="26.25">
      <c r="T2859" s="61" ph="1"/>
    </row>
    <row r="2860" spans="20:20" ht="26.25">
      <c r="T2860" s="61" ph="1"/>
    </row>
    <row r="2861" spans="20:20" ht="26.25">
      <c r="T2861" s="61" ph="1"/>
    </row>
    <row r="2862" spans="20:20" ht="26.25">
      <c r="T2862" s="61" ph="1"/>
    </row>
    <row r="2863" spans="20:20" ht="26.25">
      <c r="T2863" s="61" ph="1"/>
    </row>
    <row r="2864" spans="20:20" ht="26.25">
      <c r="T2864" s="61" ph="1"/>
    </row>
    <row r="2865" spans="20:20" ht="26.25">
      <c r="T2865" s="61" ph="1"/>
    </row>
    <row r="2866" spans="20:20" ht="26.25">
      <c r="T2866" s="61" ph="1"/>
    </row>
    <row r="2867" spans="20:20" ht="26.25">
      <c r="T2867" s="61" ph="1"/>
    </row>
    <row r="2868" spans="20:20" ht="26.25">
      <c r="T2868" s="61" ph="1"/>
    </row>
    <row r="2869" spans="20:20" ht="26.25">
      <c r="T2869" s="61" ph="1"/>
    </row>
    <row r="2870" spans="20:20" ht="26.25">
      <c r="T2870" s="61" ph="1"/>
    </row>
    <row r="2871" spans="20:20" ht="26.25">
      <c r="T2871" s="61" ph="1"/>
    </row>
    <row r="2872" spans="20:20" ht="26.25">
      <c r="T2872" s="61" ph="1"/>
    </row>
    <row r="2873" spans="20:20" ht="26.25">
      <c r="T2873" s="61" ph="1"/>
    </row>
    <row r="2874" spans="20:20" ht="26.25">
      <c r="T2874" s="61" ph="1"/>
    </row>
    <row r="2875" spans="20:20" ht="26.25">
      <c r="T2875" s="61" ph="1"/>
    </row>
    <row r="2876" spans="20:20" ht="26.25">
      <c r="T2876" s="61" ph="1"/>
    </row>
    <row r="2877" spans="20:20" ht="26.25">
      <c r="T2877" s="61" ph="1"/>
    </row>
    <row r="2878" spans="20:20" ht="26.25">
      <c r="T2878" s="61" ph="1"/>
    </row>
    <row r="2879" spans="20:20" ht="26.25">
      <c r="T2879" s="61" ph="1"/>
    </row>
    <row r="2880" spans="20:20" ht="26.25">
      <c r="T2880" s="61" ph="1"/>
    </row>
    <row r="2881" spans="20:20" ht="26.25">
      <c r="T2881" s="61" ph="1"/>
    </row>
    <row r="2882" spans="20:20" ht="26.25">
      <c r="T2882" s="61" ph="1"/>
    </row>
    <row r="2883" spans="20:20" ht="26.25">
      <c r="T2883" s="61" ph="1"/>
    </row>
    <row r="2884" spans="20:20" ht="26.25">
      <c r="T2884" s="61" ph="1"/>
    </row>
    <row r="2885" spans="20:20" ht="26.25">
      <c r="T2885" s="61" ph="1"/>
    </row>
    <row r="2886" spans="20:20" ht="26.25">
      <c r="T2886" s="61" ph="1"/>
    </row>
    <row r="2887" spans="20:20" ht="26.25">
      <c r="T2887" s="61" ph="1"/>
    </row>
    <row r="2888" spans="20:20" ht="26.25">
      <c r="T2888" s="61" ph="1"/>
    </row>
    <row r="2889" spans="20:20" ht="26.25">
      <c r="T2889" s="61" ph="1"/>
    </row>
    <row r="2890" spans="20:20" ht="26.25">
      <c r="T2890" s="61" ph="1"/>
    </row>
    <row r="2891" spans="20:20" ht="26.25">
      <c r="T2891" s="61" ph="1"/>
    </row>
    <row r="2892" spans="20:20" ht="26.25">
      <c r="T2892" s="61" ph="1"/>
    </row>
    <row r="2893" spans="20:20" ht="26.25">
      <c r="T2893" s="61" ph="1"/>
    </row>
    <row r="2894" spans="20:20" ht="26.25">
      <c r="T2894" s="61" ph="1"/>
    </row>
    <row r="2895" spans="20:20" ht="26.25">
      <c r="T2895" s="61" ph="1"/>
    </row>
    <row r="2896" spans="20:20" ht="26.25">
      <c r="T2896" s="61" ph="1"/>
    </row>
    <row r="2897" spans="20:20" ht="26.25">
      <c r="T2897" s="61" ph="1"/>
    </row>
    <row r="2898" spans="20:20" ht="26.25">
      <c r="T2898" s="61" ph="1"/>
    </row>
    <row r="2899" spans="20:20" ht="26.25">
      <c r="T2899" s="61" ph="1"/>
    </row>
    <row r="2900" spans="20:20" ht="26.25">
      <c r="T2900" s="61" ph="1"/>
    </row>
    <row r="2901" spans="20:20" ht="26.25">
      <c r="T2901" s="61" ph="1"/>
    </row>
    <row r="2902" spans="20:20" ht="26.25">
      <c r="T2902" s="61" ph="1"/>
    </row>
    <row r="2903" spans="20:20" ht="26.25">
      <c r="T2903" s="61" ph="1"/>
    </row>
    <row r="2904" spans="20:20" ht="26.25">
      <c r="T2904" s="61" ph="1"/>
    </row>
    <row r="2905" spans="20:20" ht="26.25">
      <c r="T2905" s="61" ph="1"/>
    </row>
    <row r="2906" spans="20:20" ht="26.25">
      <c r="T2906" s="61" ph="1"/>
    </row>
    <row r="2907" spans="20:20" ht="26.25">
      <c r="T2907" s="61" ph="1"/>
    </row>
    <row r="2908" spans="20:20" ht="26.25">
      <c r="T2908" s="61" ph="1"/>
    </row>
    <row r="2909" spans="20:20" ht="26.25">
      <c r="T2909" s="61" ph="1"/>
    </row>
    <row r="2910" spans="20:20" ht="26.25">
      <c r="T2910" s="61" ph="1"/>
    </row>
    <row r="2911" spans="20:20" ht="26.25">
      <c r="T2911" s="61" ph="1"/>
    </row>
    <row r="2912" spans="20:20" ht="26.25">
      <c r="T2912" s="61" ph="1"/>
    </row>
    <row r="2913" spans="20:20" ht="26.25">
      <c r="T2913" s="61" ph="1"/>
    </row>
    <row r="2914" spans="20:20" ht="26.25">
      <c r="T2914" s="61" ph="1"/>
    </row>
    <row r="2915" spans="20:20" ht="26.25">
      <c r="T2915" s="61" ph="1"/>
    </row>
    <row r="2916" spans="20:20" ht="26.25">
      <c r="T2916" s="61" ph="1"/>
    </row>
    <row r="2917" spans="20:20" ht="26.25">
      <c r="T2917" s="61" ph="1"/>
    </row>
    <row r="2918" spans="20:20" ht="26.25">
      <c r="T2918" s="61" ph="1"/>
    </row>
    <row r="2919" spans="20:20" ht="26.25">
      <c r="T2919" s="61" ph="1"/>
    </row>
    <row r="2920" spans="20:20" ht="26.25">
      <c r="T2920" s="61" ph="1"/>
    </row>
    <row r="2921" spans="20:20" ht="26.25">
      <c r="T2921" s="61" ph="1"/>
    </row>
    <row r="2922" spans="20:20" ht="26.25">
      <c r="T2922" s="61" ph="1"/>
    </row>
    <row r="2923" spans="20:20" ht="26.25">
      <c r="T2923" s="61" ph="1"/>
    </row>
    <row r="2924" spans="20:20" ht="26.25">
      <c r="T2924" s="61" ph="1"/>
    </row>
    <row r="2925" spans="20:20" ht="26.25">
      <c r="T2925" s="61" ph="1"/>
    </row>
    <row r="2926" spans="20:20" ht="26.25">
      <c r="T2926" s="61" ph="1"/>
    </row>
    <row r="2927" spans="20:20" ht="26.25">
      <c r="T2927" s="61" ph="1"/>
    </row>
    <row r="2928" spans="20:20" ht="26.25">
      <c r="T2928" s="61" ph="1"/>
    </row>
    <row r="2929" spans="20:20" ht="26.25">
      <c r="T2929" s="61" ph="1"/>
    </row>
    <row r="2930" spans="20:20" ht="26.25">
      <c r="T2930" s="61" ph="1"/>
    </row>
    <row r="2931" spans="20:20" ht="26.25">
      <c r="T2931" s="61" ph="1"/>
    </row>
    <row r="2932" spans="20:20" ht="26.25">
      <c r="T2932" s="61" ph="1"/>
    </row>
    <row r="2933" spans="20:20" ht="26.25">
      <c r="T2933" s="61" ph="1"/>
    </row>
    <row r="2934" spans="20:20" ht="26.25">
      <c r="T2934" s="61" ph="1"/>
    </row>
    <row r="2935" spans="20:20" ht="26.25">
      <c r="T2935" s="61" ph="1"/>
    </row>
    <row r="2936" spans="20:20" ht="26.25">
      <c r="T2936" s="61" ph="1"/>
    </row>
    <row r="2937" spans="20:20" ht="26.25">
      <c r="T2937" s="61" ph="1"/>
    </row>
    <row r="2938" spans="20:20" ht="26.25">
      <c r="T2938" s="61" ph="1"/>
    </row>
    <row r="2939" spans="20:20" ht="26.25">
      <c r="T2939" s="61" ph="1"/>
    </row>
    <row r="2940" spans="20:20" ht="26.25">
      <c r="T2940" s="61" ph="1"/>
    </row>
    <row r="2941" spans="20:20" ht="26.25">
      <c r="T2941" s="61" ph="1"/>
    </row>
    <row r="2942" spans="20:20" ht="26.25">
      <c r="T2942" s="61" ph="1"/>
    </row>
    <row r="2943" spans="20:20" ht="26.25">
      <c r="T2943" s="61" ph="1"/>
    </row>
    <row r="2944" spans="20:20" ht="26.25">
      <c r="T2944" s="61" ph="1"/>
    </row>
    <row r="2945" spans="20:20" ht="26.25">
      <c r="T2945" s="61" ph="1"/>
    </row>
    <row r="2946" spans="20:20" ht="26.25">
      <c r="T2946" s="61" ph="1"/>
    </row>
    <row r="2947" spans="20:20" ht="26.25">
      <c r="T2947" s="61" ph="1"/>
    </row>
    <row r="2948" spans="20:20" ht="26.25">
      <c r="T2948" s="61" ph="1"/>
    </row>
    <row r="2949" spans="20:20" ht="26.25">
      <c r="T2949" s="61" ph="1"/>
    </row>
    <row r="2950" spans="20:20" ht="26.25">
      <c r="T2950" s="61" ph="1"/>
    </row>
    <row r="2951" spans="20:20" ht="26.25">
      <c r="T2951" s="61" ph="1"/>
    </row>
    <row r="2952" spans="20:20" ht="26.25">
      <c r="T2952" s="61" ph="1"/>
    </row>
    <row r="2953" spans="20:20" ht="26.25">
      <c r="T2953" s="61" ph="1"/>
    </row>
    <row r="2954" spans="20:20" ht="26.25">
      <c r="T2954" s="61" ph="1"/>
    </row>
    <row r="2955" spans="20:20" ht="26.25">
      <c r="T2955" s="61" ph="1"/>
    </row>
    <row r="2956" spans="20:20" ht="26.25">
      <c r="T2956" s="61" ph="1"/>
    </row>
    <row r="2957" spans="20:20" ht="26.25">
      <c r="T2957" s="61" ph="1"/>
    </row>
    <row r="2958" spans="20:20" ht="26.25">
      <c r="T2958" s="61" ph="1"/>
    </row>
    <row r="2959" spans="20:20" ht="26.25">
      <c r="T2959" s="61" ph="1"/>
    </row>
    <row r="2960" spans="20:20" ht="26.25">
      <c r="T2960" s="61" ph="1"/>
    </row>
    <row r="2961" spans="20:20" ht="26.25">
      <c r="T2961" s="61" ph="1"/>
    </row>
    <row r="2962" spans="20:20" ht="26.25">
      <c r="T2962" s="61" ph="1"/>
    </row>
    <row r="2963" spans="20:20" ht="26.25">
      <c r="T2963" s="61" ph="1"/>
    </row>
    <row r="2964" spans="20:20" ht="26.25">
      <c r="T2964" s="61" ph="1"/>
    </row>
    <row r="2965" spans="20:20" ht="26.25">
      <c r="T2965" s="61" ph="1"/>
    </row>
    <row r="2966" spans="20:20" ht="26.25">
      <c r="T2966" s="61" ph="1"/>
    </row>
    <row r="2967" spans="20:20" ht="26.25">
      <c r="T2967" s="61" ph="1"/>
    </row>
    <row r="2968" spans="20:20" ht="26.25">
      <c r="T2968" s="61" ph="1"/>
    </row>
    <row r="2969" spans="20:20" ht="26.25">
      <c r="T2969" s="61" ph="1"/>
    </row>
    <row r="2970" spans="20:20" ht="26.25">
      <c r="T2970" s="61" ph="1"/>
    </row>
    <row r="2971" spans="20:20" ht="26.25">
      <c r="T2971" s="61" ph="1"/>
    </row>
    <row r="2972" spans="20:20" ht="26.25">
      <c r="T2972" s="61" ph="1"/>
    </row>
    <row r="2973" spans="20:20" ht="26.25">
      <c r="T2973" s="61" ph="1"/>
    </row>
    <row r="2974" spans="20:20" ht="26.25">
      <c r="T2974" s="61" ph="1"/>
    </row>
    <row r="2975" spans="20:20" ht="26.25">
      <c r="T2975" s="61" ph="1"/>
    </row>
    <row r="2976" spans="20:20" ht="26.25">
      <c r="T2976" s="61" ph="1"/>
    </row>
    <row r="2977" spans="20:20" ht="26.25">
      <c r="T2977" s="61" ph="1"/>
    </row>
    <row r="2978" spans="20:20" ht="26.25">
      <c r="T2978" s="61" ph="1"/>
    </row>
    <row r="2979" spans="20:20" ht="26.25">
      <c r="T2979" s="61" ph="1"/>
    </row>
    <row r="2980" spans="20:20" ht="26.25">
      <c r="T2980" s="61" ph="1"/>
    </row>
    <row r="2981" spans="20:20" ht="26.25">
      <c r="T2981" s="61" ph="1"/>
    </row>
    <row r="2982" spans="20:20" ht="26.25">
      <c r="T2982" s="61" ph="1"/>
    </row>
    <row r="2983" spans="20:20" ht="26.25">
      <c r="T2983" s="61" ph="1"/>
    </row>
    <row r="2984" spans="20:20" ht="26.25">
      <c r="T2984" s="61" ph="1"/>
    </row>
    <row r="2985" spans="20:20" ht="26.25">
      <c r="T2985" s="61" ph="1"/>
    </row>
    <row r="2986" spans="20:20" ht="26.25">
      <c r="T2986" s="61" ph="1"/>
    </row>
    <row r="2987" spans="20:20" ht="26.25">
      <c r="T2987" s="61" ph="1"/>
    </row>
    <row r="2988" spans="20:20" ht="26.25">
      <c r="T2988" s="61" ph="1"/>
    </row>
    <row r="2989" spans="20:20" ht="26.25">
      <c r="T2989" s="61" ph="1"/>
    </row>
    <row r="2990" spans="20:20" ht="26.25">
      <c r="T2990" s="61" ph="1"/>
    </row>
    <row r="2991" spans="20:20" ht="26.25">
      <c r="T2991" s="61" ph="1"/>
    </row>
    <row r="2992" spans="20:20" ht="26.25">
      <c r="T2992" s="61" ph="1"/>
    </row>
    <row r="2993" spans="20:20" ht="26.25">
      <c r="T2993" s="61" ph="1"/>
    </row>
    <row r="2994" spans="20:20" ht="26.25">
      <c r="T2994" s="61" ph="1"/>
    </row>
    <row r="2995" spans="20:20" ht="26.25">
      <c r="T2995" s="61" ph="1"/>
    </row>
    <row r="2996" spans="20:20" ht="26.25">
      <c r="T2996" s="61" ph="1"/>
    </row>
    <row r="2997" spans="20:20" ht="26.25">
      <c r="T2997" s="61" ph="1"/>
    </row>
    <row r="2998" spans="20:20" ht="26.25">
      <c r="T2998" s="61" ph="1"/>
    </row>
    <row r="2999" spans="20:20" ht="26.25">
      <c r="T2999" s="61" ph="1"/>
    </row>
    <row r="3000" spans="20:20" ht="26.25">
      <c r="T3000" s="61" ph="1"/>
    </row>
    <row r="3001" spans="20:20" ht="26.25">
      <c r="T3001" s="61" ph="1"/>
    </row>
    <row r="3002" spans="20:20" ht="26.25">
      <c r="T3002" s="61" ph="1"/>
    </row>
    <row r="3003" spans="20:20" ht="26.25">
      <c r="T3003" s="61" ph="1"/>
    </row>
    <row r="3004" spans="20:20" ht="26.25">
      <c r="T3004" s="61" ph="1"/>
    </row>
    <row r="3005" spans="20:20" ht="26.25">
      <c r="T3005" s="61" ph="1"/>
    </row>
    <row r="3006" spans="20:20" ht="26.25">
      <c r="T3006" s="61" ph="1"/>
    </row>
    <row r="3007" spans="20:20" ht="26.25">
      <c r="T3007" s="61" ph="1"/>
    </row>
    <row r="3008" spans="20:20" ht="26.25">
      <c r="T3008" s="61" ph="1"/>
    </row>
    <row r="3009" spans="20:20" ht="26.25">
      <c r="T3009" s="61" ph="1"/>
    </row>
    <row r="3010" spans="20:20" ht="26.25">
      <c r="T3010" s="61" ph="1"/>
    </row>
    <row r="3011" spans="20:20" ht="26.25">
      <c r="T3011" s="61" ph="1"/>
    </row>
    <row r="3012" spans="20:20" ht="26.25">
      <c r="T3012" s="61" ph="1"/>
    </row>
    <row r="3013" spans="20:20" ht="26.25">
      <c r="T3013" s="61" ph="1"/>
    </row>
    <row r="3014" spans="20:20" ht="26.25">
      <c r="T3014" s="61" ph="1"/>
    </row>
    <row r="3015" spans="20:20" ht="26.25">
      <c r="T3015" s="61" ph="1"/>
    </row>
    <row r="3016" spans="20:20" ht="26.25">
      <c r="T3016" s="61" ph="1"/>
    </row>
    <row r="3017" spans="20:20" ht="26.25">
      <c r="T3017" s="61" ph="1"/>
    </row>
    <row r="3018" spans="20:20" ht="26.25">
      <c r="T3018" s="61" ph="1"/>
    </row>
    <row r="3019" spans="20:20" ht="26.25">
      <c r="T3019" s="61" ph="1"/>
    </row>
    <row r="3020" spans="20:20" ht="26.25">
      <c r="T3020" s="61" ph="1"/>
    </row>
    <row r="3021" spans="20:20" ht="26.25">
      <c r="T3021" s="61" ph="1"/>
    </row>
    <row r="3022" spans="20:20" ht="26.25">
      <c r="T3022" s="61" ph="1"/>
    </row>
    <row r="3023" spans="20:20" ht="26.25">
      <c r="T3023" s="61" ph="1"/>
    </row>
    <row r="3024" spans="20:20" ht="26.25">
      <c r="T3024" s="61" ph="1"/>
    </row>
    <row r="3025" spans="20:20" ht="26.25">
      <c r="T3025" s="61" ph="1"/>
    </row>
    <row r="3026" spans="20:20" ht="26.25">
      <c r="T3026" s="61" ph="1"/>
    </row>
    <row r="3027" spans="20:20" ht="26.25">
      <c r="T3027" s="61" ph="1"/>
    </row>
    <row r="3028" spans="20:20" ht="26.25">
      <c r="T3028" s="61" ph="1"/>
    </row>
    <row r="3029" spans="20:20" ht="26.25">
      <c r="T3029" s="61" ph="1"/>
    </row>
    <row r="3030" spans="20:20" ht="26.25">
      <c r="T3030" s="61" ph="1"/>
    </row>
    <row r="3031" spans="20:20" ht="26.25">
      <c r="T3031" s="61" ph="1"/>
    </row>
    <row r="3032" spans="20:20" ht="26.25">
      <c r="T3032" s="61" ph="1"/>
    </row>
    <row r="3033" spans="20:20" ht="26.25">
      <c r="T3033" s="61" ph="1"/>
    </row>
    <row r="3034" spans="20:20" ht="26.25">
      <c r="T3034" s="61" ph="1"/>
    </row>
    <row r="3035" spans="20:20" ht="26.25">
      <c r="T3035" s="61" ph="1"/>
    </row>
    <row r="3036" spans="20:20" ht="26.25">
      <c r="T3036" s="61" ph="1"/>
    </row>
    <row r="3037" spans="20:20" ht="26.25">
      <c r="T3037" s="61" ph="1"/>
    </row>
    <row r="3038" spans="20:20" ht="26.25">
      <c r="T3038" s="61" ph="1"/>
    </row>
    <row r="3039" spans="20:20" ht="26.25">
      <c r="T3039" s="61" ph="1"/>
    </row>
    <row r="3040" spans="20:20" ht="26.25">
      <c r="T3040" s="61" ph="1"/>
    </row>
    <row r="3041" spans="20:20" ht="26.25">
      <c r="T3041" s="61" ph="1"/>
    </row>
    <row r="3042" spans="20:20" ht="26.25">
      <c r="T3042" s="61" ph="1"/>
    </row>
    <row r="3043" spans="20:20" ht="26.25">
      <c r="T3043" s="61" ph="1"/>
    </row>
    <row r="3044" spans="20:20" ht="26.25">
      <c r="T3044" s="61" ph="1"/>
    </row>
    <row r="3045" spans="20:20" ht="26.25">
      <c r="T3045" s="61" ph="1"/>
    </row>
    <row r="3046" spans="20:20" ht="26.25">
      <c r="T3046" s="61" ph="1"/>
    </row>
    <row r="3047" spans="20:20" ht="26.25">
      <c r="T3047" s="61" ph="1"/>
    </row>
    <row r="3048" spans="20:20" ht="26.25">
      <c r="T3048" s="61" ph="1"/>
    </row>
    <row r="3049" spans="20:20" ht="26.25">
      <c r="T3049" s="61" ph="1"/>
    </row>
    <row r="3050" spans="20:20" ht="26.25">
      <c r="T3050" s="61" ph="1"/>
    </row>
    <row r="3051" spans="20:20" ht="26.25">
      <c r="T3051" s="61" ph="1"/>
    </row>
    <row r="3052" spans="20:20" ht="26.25">
      <c r="T3052" s="61" ph="1"/>
    </row>
    <row r="3053" spans="20:20" ht="26.25">
      <c r="T3053" s="61" ph="1"/>
    </row>
    <row r="3054" spans="20:20" ht="26.25">
      <c r="T3054" s="61" ph="1"/>
    </row>
    <row r="3055" spans="20:20" ht="26.25">
      <c r="T3055" s="61" ph="1"/>
    </row>
    <row r="3056" spans="20:20" ht="26.25">
      <c r="T3056" s="61" ph="1"/>
    </row>
    <row r="3057" spans="20:20" ht="26.25">
      <c r="T3057" s="61" ph="1"/>
    </row>
    <row r="3058" spans="20:20" ht="26.25">
      <c r="T3058" s="61" ph="1"/>
    </row>
    <row r="3059" spans="20:20" ht="26.25">
      <c r="T3059" s="61" ph="1"/>
    </row>
    <row r="3060" spans="20:20" ht="26.25">
      <c r="T3060" s="61" ph="1"/>
    </row>
    <row r="3061" spans="20:20" ht="26.25">
      <c r="T3061" s="61" ph="1"/>
    </row>
    <row r="3062" spans="20:20" ht="26.25">
      <c r="T3062" s="61" ph="1"/>
    </row>
    <row r="3063" spans="20:20" ht="26.25">
      <c r="T3063" s="61" ph="1"/>
    </row>
    <row r="3064" spans="20:20" ht="26.25">
      <c r="T3064" s="61" ph="1"/>
    </row>
    <row r="3065" spans="20:20" ht="26.25">
      <c r="T3065" s="61" ph="1"/>
    </row>
    <row r="3066" spans="20:20" ht="26.25">
      <c r="T3066" s="61" ph="1"/>
    </row>
    <row r="3067" spans="20:20" ht="26.25">
      <c r="T3067" s="61" ph="1"/>
    </row>
    <row r="3068" spans="20:20" ht="26.25">
      <c r="T3068" s="61" ph="1"/>
    </row>
    <row r="3069" spans="20:20" ht="26.25">
      <c r="T3069" s="61" ph="1"/>
    </row>
    <row r="3070" spans="20:20" ht="26.25">
      <c r="T3070" s="61" ph="1"/>
    </row>
    <row r="3071" spans="20:20" ht="26.25">
      <c r="T3071" s="61" ph="1"/>
    </row>
    <row r="3072" spans="20:20" ht="26.25">
      <c r="T3072" s="61" ph="1"/>
    </row>
    <row r="3073" spans="20:20" ht="26.25">
      <c r="T3073" s="61" ph="1"/>
    </row>
    <row r="3074" spans="20:20" ht="26.25">
      <c r="T3074" s="61" ph="1"/>
    </row>
    <row r="3075" spans="20:20" ht="26.25">
      <c r="T3075" s="61" ph="1"/>
    </row>
    <row r="3076" spans="20:20" ht="26.25">
      <c r="T3076" s="61" ph="1"/>
    </row>
    <row r="3077" spans="20:20" ht="26.25">
      <c r="T3077" s="61" ph="1"/>
    </row>
    <row r="3078" spans="20:20" ht="26.25">
      <c r="T3078" s="61" ph="1"/>
    </row>
    <row r="3079" spans="20:20" ht="26.25">
      <c r="T3079" s="61" ph="1"/>
    </row>
    <row r="3080" spans="20:20" ht="26.25">
      <c r="T3080" s="61" ph="1"/>
    </row>
    <row r="3081" spans="20:20" ht="26.25">
      <c r="T3081" s="61" ph="1"/>
    </row>
    <row r="3082" spans="20:20" ht="26.25">
      <c r="T3082" s="61" ph="1"/>
    </row>
    <row r="3083" spans="20:20" ht="26.25">
      <c r="T3083" s="61" ph="1"/>
    </row>
    <row r="3084" spans="20:20" ht="26.25">
      <c r="T3084" s="61" ph="1"/>
    </row>
    <row r="3085" spans="20:20" ht="26.25">
      <c r="T3085" s="61" ph="1"/>
    </row>
    <row r="3086" spans="20:20" ht="26.25">
      <c r="T3086" s="61" ph="1"/>
    </row>
    <row r="3087" spans="20:20" ht="26.25">
      <c r="T3087" s="61" ph="1"/>
    </row>
    <row r="3088" spans="20:20" ht="26.25">
      <c r="T3088" s="61" ph="1"/>
    </row>
    <row r="3089" spans="20:20" ht="26.25">
      <c r="T3089" s="61" ph="1"/>
    </row>
    <row r="3090" spans="20:20" ht="26.25">
      <c r="T3090" s="61" ph="1"/>
    </row>
    <row r="3091" spans="20:20" ht="26.25">
      <c r="T3091" s="61" ph="1"/>
    </row>
    <row r="3092" spans="20:20" ht="26.25">
      <c r="T3092" s="61" ph="1"/>
    </row>
    <row r="3093" spans="20:20" ht="26.25">
      <c r="T3093" s="61" ph="1"/>
    </row>
    <row r="3094" spans="20:20" ht="26.25">
      <c r="T3094" s="61" ph="1"/>
    </row>
    <row r="3095" spans="20:20" ht="26.25">
      <c r="T3095" s="61" ph="1"/>
    </row>
    <row r="3096" spans="20:20" ht="26.25">
      <c r="T3096" s="61" ph="1"/>
    </row>
    <row r="3097" spans="20:20" ht="26.25">
      <c r="T3097" s="61" ph="1"/>
    </row>
    <row r="3098" spans="20:20" ht="26.25">
      <c r="T3098" s="61" ph="1"/>
    </row>
    <row r="3099" spans="20:20" ht="26.25">
      <c r="T3099" s="61" ph="1"/>
    </row>
    <row r="3100" spans="20:20" ht="26.25">
      <c r="T3100" s="61" ph="1"/>
    </row>
    <row r="3101" spans="20:20" ht="26.25">
      <c r="T3101" s="61" ph="1"/>
    </row>
    <row r="3102" spans="20:20" ht="26.25">
      <c r="T3102" s="61" ph="1"/>
    </row>
    <row r="3103" spans="20:20" ht="26.25">
      <c r="T3103" s="61" ph="1"/>
    </row>
    <row r="3104" spans="20:20" ht="26.25">
      <c r="T3104" s="61" ph="1"/>
    </row>
    <row r="3105" spans="20:20" ht="26.25">
      <c r="T3105" s="61" ph="1"/>
    </row>
    <row r="3106" spans="20:20" ht="26.25">
      <c r="T3106" s="61" ph="1"/>
    </row>
    <row r="3107" spans="20:20" ht="26.25">
      <c r="T3107" s="61" ph="1"/>
    </row>
    <row r="3108" spans="20:20" ht="26.25">
      <c r="T3108" s="61" ph="1"/>
    </row>
    <row r="3109" spans="20:20" ht="26.25">
      <c r="T3109" s="61" ph="1"/>
    </row>
    <row r="3110" spans="20:20" ht="26.25">
      <c r="T3110" s="61" ph="1"/>
    </row>
    <row r="3111" spans="20:20" ht="26.25">
      <c r="T3111" s="61" ph="1"/>
    </row>
    <row r="3112" spans="20:20" ht="26.25">
      <c r="T3112" s="61" ph="1"/>
    </row>
    <row r="3113" spans="20:20" ht="26.25">
      <c r="T3113" s="61" ph="1"/>
    </row>
    <row r="3114" spans="20:20" ht="26.25">
      <c r="T3114" s="61" ph="1"/>
    </row>
    <row r="3115" spans="20:20" ht="26.25">
      <c r="T3115" s="61" ph="1"/>
    </row>
    <row r="3116" spans="20:20" ht="26.25">
      <c r="T3116" s="61" ph="1"/>
    </row>
    <row r="3117" spans="20:20" ht="26.25">
      <c r="T3117" s="61" ph="1"/>
    </row>
    <row r="3118" spans="20:20" ht="26.25">
      <c r="T3118" s="61" ph="1"/>
    </row>
    <row r="3119" spans="20:20" ht="26.25">
      <c r="T3119" s="61" ph="1"/>
    </row>
    <row r="3120" spans="20:20" ht="26.25">
      <c r="T3120" s="61" ph="1"/>
    </row>
    <row r="3121" spans="20:20" ht="26.25">
      <c r="T3121" s="61" ph="1"/>
    </row>
    <row r="3122" spans="20:20" ht="26.25">
      <c r="T3122" s="61" ph="1"/>
    </row>
    <row r="3123" spans="20:20" ht="26.25">
      <c r="T3123" s="61" ph="1"/>
    </row>
    <row r="3124" spans="20:20" ht="26.25">
      <c r="T3124" s="61" ph="1"/>
    </row>
    <row r="3125" spans="20:20" ht="26.25">
      <c r="T3125" s="61" ph="1"/>
    </row>
    <row r="3126" spans="20:20" ht="26.25">
      <c r="T3126" s="61" ph="1"/>
    </row>
    <row r="3127" spans="20:20" ht="26.25">
      <c r="T3127" s="61" ph="1"/>
    </row>
    <row r="3128" spans="20:20" ht="26.25">
      <c r="T3128" s="61" ph="1"/>
    </row>
    <row r="3129" spans="20:20" ht="26.25">
      <c r="T3129" s="61" ph="1"/>
    </row>
    <row r="3130" spans="20:20" ht="26.25">
      <c r="T3130" s="61" ph="1"/>
    </row>
    <row r="3131" spans="20:20" ht="26.25">
      <c r="T3131" s="61" ph="1"/>
    </row>
    <row r="3132" spans="20:20" ht="26.25">
      <c r="T3132" s="61" ph="1"/>
    </row>
    <row r="3133" spans="20:20" ht="26.25">
      <c r="T3133" s="61" ph="1"/>
    </row>
    <row r="3134" spans="20:20" ht="26.25">
      <c r="T3134" s="61" ph="1"/>
    </row>
    <row r="3135" spans="20:20" ht="26.25">
      <c r="T3135" s="61" ph="1"/>
    </row>
    <row r="3136" spans="20:20" ht="26.25">
      <c r="T3136" s="61" ph="1"/>
    </row>
    <row r="3137" spans="20:20" ht="26.25">
      <c r="T3137" s="61" ph="1"/>
    </row>
    <row r="3138" spans="20:20" ht="26.25">
      <c r="T3138" s="61" ph="1"/>
    </row>
    <row r="3139" spans="20:20" ht="26.25">
      <c r="T3139" s="61" ph="1"/>
    </row>
    <row r="3140" spans="20:20" ht="26.25">
      <c r="T3140" s="61" ph="1"/>
    </row>
    <row r="3141" spans="20:20" ht="26.25">
      <c r="T3141" s="61" ph="1"/>
    </row>
    <row r="3142" spans="20:20" ht="26.25">
      <c r="T3142" s="61" ph="1"/>
    </row>
    <row r="3143" spans="20:20" ht="26.25">
      <c r="T3143" s="61" ph="1"/>
    </row>
    <row r="3144" spans="20:20" ht="26.25">
      <c r="T3144" s="61" ph="1"/>
    </row>
    <row r="3145" spans="20:20" ht="26.25">
      <c r="T3145" s="61" ph="1"/>
    </row>
    <row r="3146" spans="20:20" ht="26.25">
      <c r="T3146" s="61" ph="1"/>
    </row>
    <row r="3147" spans="20:20" ht="26.25">
      <c r="T3147" s="61" ph="1"/>
    </row>
    <row r="3148" spans="20:20" ht="26.25">
      <c r="T3148" s="61" ph="1"/>
    </row>
    <row r="3149" spans="20:20" ht="26.25">
      <c r="T3149" s="61" ph="1"/>
    </row>
    <row r="3150" spans="20:20" ht="26.25">
      <c r="T3150" s="61" ph="1"/>
    </row>
    <row r="3151" spans="20:20" ht="26.25">
      <c r="T3151" s="61" ph="1"/>
    </row>
    <row r="3152" spans="20:20" ht="26.25">
      <c r="T3152" s="61" ph="1"/>
    </row>
    <row r="3153" spans="20:20" ht="26.25">
      <c r="T3153" s="61" ph="1"/>
    </row>
    <row r="3154" spans="20:20" ht="26.25">
      <c r="T3154" s="61" ph="1"/>
    </row>
    <row r="3155" spans="20:20" ht="26.25">
      <c r="T3155" s="61" ph="1"/>
    </row>
    <row r="3156" spans="20:20" ht="26.25">
      <c r="T3156" s="61" ph="1"/>
    </row>
    <row r="3157" spans="20:20" ht="26.25">
      <c r="T3157" s="61" ph="1"/>
    </row>
    <row r="3158" spans="20:20" ht="26.25">
      <c r="T3158" s="61" ph="1"/>
    </row>
    <row r="3159" spans="20:20" ht="26.25">
      <c r="T3159" s="61" ph="1"/>
    </row>
    <row r="3160" spans="20:20" ht="26.25">
      <c r="T3160" s="61" ph="1"/>
    </row>
    <row r="3161" spans="20:20" ht="26.25">
      <c r="T3161" s="61" ph="1"/>
    </row>
    <row r="3162" spans="20:20" ht="26.25">
      <c r="T3162" s="61" ph="1"/>
    </row>
    <row r="3163" spans="20:20" ht="26.25">
      <c r="T3163" s="61" ph="1"/>
    </row>
    <row r="3164" spans="20:20" ht="26.25">
      <c r="T3164" s="61" ph="1"/>
    </row>
    <row r="3165" spans="20:20" ht="26.25">
      <c r="T3165" s="61" ph="1"/>
    </row>
    <row r="3166" spans="20:20" ht="26.25">
      <c r="T3166" s="61" ph="1"/>
    </row>
    <row r="3167" spans="20:20" ht="26.25">
      <c r="T3167" s="61" ph="1"/>
    </row>
    <row r="3168" spans="20:20" ht="26.25">
      <c r="T3168" s="61" ph="1"/>
    </row>
    <row r="3169" spans="20:20" ht="26.25">
      <c r="T3169" s="61" ph="1"/>
    </row>
    <row r="3170" spans="20:20" ht="26.25">
      <c r="T3170" s="61" ph="1"/>
    </row>
    <row r="3171" spans="20:20" ht="26.25">
      <c r="T3171" s="61" ph="1"/>
    </row>
    <row r="3172" spans="20:20" ht="26.25">
      <c r="T3172" s="61" ph="1"/>
    </row>
    <row r="3173" spans="20:20" ht="26.25">
      <c r="T3173" s="61" ph="1"/>
    </row>
    <row r="3174" spans="20:20" ht="26.25">
      <c r="T3174" s="61" ph="1"/>
    </row>
    <row r="3175" spans="20:20" ht="26.25">
      <c r="T3175" s="61" ph="1"/>
    </row>
    <row r="3176" spans="20:20" ht="26.25">
      <c r="T3176" s="61" ph="1"/>
    </row>
    <row r="3177" spans="20:20" ht="26.25">
      <c r="T3177" s="61" ph="1"/>
    </row>
    <row r="3178" spans="20:20" ht="26.25">
      <c r="T3178" s="61" ph="1"/>
    </row>
    <row r="3179" spans="20:20" ht="26.25">
      <c r="T3179" s="61" ph="1"/>
    </row>
    <row r="3180" spans="20:20" ht="26.25">
      <c r="T3180" s="61" ph="1"/>
    </row>
    <row r="3181" spans="20:20" ht="26.25">
      <c r="T3181" s="61" ph="1"/>
    </row>
    <row r="3182" spans="20:20" ht="26.25">
      <c r="T3182" s="61" ph="1"/>
    </row>
    <row r="3183" spans="20:20" ht="26.25">
      <c r="T3183" s="61" ph="1"/>
    </row>
    <row r="3184" spans="20:20" ht="26.25">
      <c r="T3184" s="61" ph="1"/>
    </row>
    <row r="3185" spans="20:20" ht="26.25">
      <c r="T3185" s="61" ph="1"/>
    </row>
    <row r="3186" spans="20:20" ht="26.25">
      <c r="T3186" s="61" ph="1"/>
    </row>
    <row r="3187" spans="20:20" ht="26.25">
      <c r="T3187" s="61" ph="1"/>
    </row>
    <row r="3188" spans="20:20" ht="26.25">
      <c r="T3188" s="61" ph="1"/>
    </row>
    <row r="3189" spans="20:20" ht="26.25">
      <c r="T3189" s="61" ph="1"/>
    </row>
    <row r="3190" spans="20:20" ht="26.25">
      <c r="T3190" s="61" ph="1"/>
    </row>
    <row r="3191" spans="20:20" ht="26.25">
      <c r="T3191" s="61" ph="1"/>
    </row>
    <row r="3192" spans="20:20" ht="26.25">
      <c r="T3192" s="61" ph="1"/>
    </row>
    <row r="3193" spans="20:20" ht="26.25">
      <c r="T3193" s="61" ph="1"/>
    </row>
    <row r="3194" spans="20:20" ht="26.25">
      <c r="T3194" s="61" ph="1"/>
    </row>
    <row r="3195" spans="20:20" ht="26.25">
      <c r="T3195" s="61" ph="1"/>
    </row>
    <row r="3196" spans="20:20" ht="26.25">
      <c r="T3196" s="61" ph="1"/>
    </row>
    <row r="3197" spans="20:20" ht="26.25">
      <c r="T3197" s="61" ph="1"/>
    </row>
    <row r="3198" spans="20:20" ht="26.25">
      <c r="T3198" s="61" ph="1"/>
    </row>
    <row r="3199" spans="20:20" ht="26.25">
      <c r="T3199" s="61" ph="1"/>
    </row>
    <row r="3200" spans="20:20" ht="26.25">
      <c r="T3200" s="61" ph="1"/>
    </row>
    <row r="3201" spans="20:20" ht="26.25">
      <c r="T3201" s="61" ph="1"/>
    </row>
    <row r="3202" spans="20:20" ht="26.25">
      <c r="T3202" s="61" ph="1"/>
    </row>
    <row r="3203" spans="20:20" ht="26.25">
      <c r="T3203" s="61" ph="1"/>
    </row>
    <row r="3204" spans="20:20" ht="26.25">
      <c r="T3204" s="61" ph="1"/>
    </row>
    <row r="3205" spans="20:20" ht="26.25">
      <c r="T3205" s="61" ph="1"/>
    </row>
    <row r="3206" spans="20:20" ht="26.25">
      <c r="T3206" s="61" ph="1"/>
    </row>
    <row r="3207" spans="20:20" ht="26.25">
      <c r="T3207" s="61" ph="1"/>
    </row>
    <row r="3208" spans="20:20" ht="26.25">
      <c r="T3208" s="61" ph="1"/>
    </row>
    <row r="3209" spans="20:20" ht="26.25">
      <c r="T3209" s="61" ph="1"/>
    </row>
    <row r="3210" spans="20:20" ht="26.25">
      <c r="T3210" s="61" ph="1"/>
    </row>
    <row r="3211" spans="20:20" ht="26.25">
      <c r="T3211" s="61" ph="1"/>
    </row>
    <row r="3212" spans="20:20" ht="26.25">
      <c r="T3212" s="61" ph="1"/>
    </row>
    <row r="3213" spans="20:20" ht="26.25">
      <c r="T3213" s="61" ph="1"/>
    </row>
    <row r="3214" spans="20:20" ht="26.25">
      <c r="T3214" s="61" ph="1"/>
    </row>
    <row r="3215" spans="20:20" ht="26.25">
      <c r="T3215" s="61" ph="1"/>
    </row>
    <row r="3216" spans="20:20" ht="26.25">
      <c r="T3216" s="61" ph="1"/>
    </row>
    <row r="3217" spans="20:20" ht="26.25">
      <c r="T3217" s="61" ph="1"/>
    </row>
    <row r="3218" spans="20:20" ht="26.25">
      <c r="T3218" s="61" ph="1"/>
    </row>
    <row r="3219" spans="20:20" ht="26.25">
      <c r="T3219" s="61" ph="1"/>
    </row>
    <row r="3220" spans="20:20" ht="26.25">
      <c r="T3220" s="61" ph="1"/>
    </row>
    <row r="3221" spans="20:20" ht="26.25">
      <c r="T3221" s="61" ph="1"/>
    </row>
    <row r="3222" spans="20:20" ht="26.25">
      <c r="T3222" s="61" ph="1"/>
    </row>
    <row r="3223" spans="20:20" ht="26.25">
      <c r="T3223" s="61" ph="1"/>
    </row>
    <row r="3224" spans="20:20" ht="26.25">
      <c r="T3224" s="61" ph="1"/>
    </row>
    <row r="3225" spans="20:20" ht="26.25">
      <c r="T3225" s="61" ph="1"/>
    </row>
    <row r="3226" spans="20:20" ht="26.25">
      <c r="T3226" s="61" ph="1"/>
    </row>
    <row r="3227" spans="20:20" ht="26.25">
      <c r="T3227" s="61" ph="1"/>
    </row>
    <row r="3228" spans="20:20" ht="26.25">
      <c r="T3228" s="61" ph="1"/>
    </row>
    <row r="3229" spans="20:20" ht="26.25">
      <c r="T3229" s="61" ph="1"/>
    </row>
    <row r="3230" spans="20:20" ht="26.25">
      <c r="T3230" s="61" ph="1"/>
    </row>
    <row r="3231" spans="20:20" ht="26.25">
      <c r="T3231" s="61" ph="1"/>
    </row>
    <row r="3232" spans="20:20" ht="26.25">
      <c r="T3232" s="61" ph="1"/>
    </row>
    <row r="3233" spans="20:20" ht="26.25">
      <c r="T3233" s="61" ph="1"/>
    </row>
    <row r="3234" spans="20:20" ht="26.25">
      <c r="T3234" s="61" ph="1"/>
    </row>
    <row r="3235" spans="20:20" ht="26.25">
      <c r="T3235" s="61" ph="1"/>
    </row>
    <row r="3236" spans="20:20" ht="26.25">
      <c r="T3236" s="61" ph="1"/>
    </row>
    <row r="3237" spans="20:20" ht="26.25">
      <c r="T3237" s="61" ph="1"/>
    </row>
    <row r="3238" spans="20:20" ht="26.25">
      <c r="T3238" s="61" ph="1"/>
    </row>
    <row r="3239" spans="20:20" ht="26.25">
      <c r="T3239" s="61" ph="1"/>
    </row>
    <row r="3240" spans="20:20" ht="26.25">
      <c r="T3240" s="61" ph="1"/>
    </row>
    <row r="3241" spans="20:20" ht="26.25">
      <c r="T3241" s="61" ph="1"/>
    </row>
    <row r="3242" spans="20:20" ht="26.25">
      <c r="T3242" s="61" ph="1"/>
    </row>
    <row r="3243" spans="20:20" ht="26.25">
      <c r="T3243" s="61" ph="1"/>
    </row>
    <row r="3244" spans="20:20" ht="26.25">
      <c r="T3244" s="61" ph="1"/>
    </row>
    <row r="3245" spans="20:20" ht="26.25">
      <c r="T3245" s="61" ph="1"/>
    </row>
    <row r="3246" spans="20:20" ht="26.25">
      <c r="T3246" s="61" ph="1"/>
    </row>
    <row r="3247" spans="20:20" ht="26.25">
      <c r="T3247" s="61" ph="1"/>
    </row>
    <row r="3248" spans="20:20" ht="26.25">
      <c r="T3248" s="61" ph="1"/>
    </row>
    <row r="3249" spans="20:20" ht="26.25">
      <c r="T3249" s="61" ph="1"/>
    </row>
    <row r="3250" spans="20:20" ht="26.25">
      <c r="T3250" s="61" ph="1"/>
    </row>
    <row r="3251" spans="20:20" ht="26.25">
      <c r="T3251" s="61" ph="1"/>
    </row>
    <row r="3252" spans="20:20" ht="26.25">
      <c r="T3252" s="61" ph="1"/>
    </row>
    <row r="3253" spans="20:20" ht="26.25">
      <c r="T3253" s="61" ph="1"/>
    </row>
    <row r="3254" spans="20:20" ht="26.25">
      <c r="T3254" s="61" ph="1"/>
    </row>
    <row r="3255" spans="20:20" ht="26.25">
      <c r="T3255" s="61" ph="1"/>
    </row>
    <row r="3256" spans="20:20" ht="26.25">
      <c r="T3256" s="61" ph="1"/>
    </row>
    <row r="3257" spans="20:20" ht="26.25">
      <c r="T3257" s="61" ph="1"/>
    </row>
    <row r="3258" spans="20:20" ht="26.25">
      <c r="T3258" s="61" ph="1"/>
    </row>
    <row r="3259" spans="20:20" ht="26.25">
      <c r="T3259" s="61" ph="1"/>
    </row>
    <row r="3260" spans="20:20" ht="26.25">
      <c r="T3260" s="61" ph="1"/>
    </row>
    <row r="3261" spans="20:20" ht="26.25">
      <c r="T3261" s="61" ph="1"/>
    </row>
    <row r="3262" spans="20:20" ht="26.25">
      <c r="T3262" s="61" ph="1"/>
    </row>
    <row r="3263" spans="20:20" ht="26.25">
      <c r="T3263" s="61" ph="1"/>
    </row>
    <row r="3264" spans="20:20" ht="26.25">
      <c r="T3264" s="61" ph="1"/>
    </row>
    <row r="3265" spans="20:20" ht="26.25">
      <c r="T3265" s="61" ph="1"/>
    </row>
    <row r="3266" spans="20:20" ht="26.25">
      <c r="T3266" s="61" ph="1"/>
    </row>
    <row r="3267" spans="20:20" ht="26.25">
      <c r="T3267" s="61" ph="1"/>
    </row>
    <row r="3268" spans="20:20" ht="26.25">
      <c r="T3268" s="61" ph="1"/>
    </row>
    <row r="3269" spans="20:20" ht="26.25">
      <c r="T3269" s="61" ph="1"/>
    </row>
    <row r="3270" spans="20:20" ht="26.25">
      <c r="T3270" s="61" ph="1"/>
    </row>
    <row r="3271" spans="20:20" ht="26.25">
      <c r="T3271" s="61" ph="1"/>
    </row>
    <row r="3272" spans="20:20" ht="26.25">
      <c r="T3272" s="61" ph="1"/>
    </row>
    <row r="3273" spans="20:20" ht="26.25">
      <c r="T3273" s="61" ph="1"/>
    </row>
    <row r="3274" spans="20:20" ht="26.25">
      <c r="T3274" s="61" ph="1"/>
    </row>
    <row r="3275" spans="20:20" ht="26.25">
      <c r="T3275" s="61" ph="1"/>
    </row>
    <row r="3276" spans="20:20" ht="26.25">
      <c r="T3276" s="61" ph="1"/>
    </row>
    <row r="3277" spans="20:20" ht="26.25">
      <c r="T3277" s="61" ph="1"/>
    </row>
    <row r="3278" spans="20:20" ht="26.25">
      <c r="T3278" s="61" ph="1"/>
    </row>
    <row r="3279" spans="20:20" ht="26.25">
      <c r="T3279" s="61" ph="1"/>
    </row>
    <row r="3280" spans="20:20" ht="26.25">
      <c r="T3280" s="61" ph="1"/>
    </row>
    <row r="3281" spans="20:20" ht="26.25">
      <c r="T3281" s="61" ph="1"/>
    </row>
    <row r="3282" spans="20:20" ht="26.25">
      <c r="T3282" s="61" ph="1"/>
    </row>
    <row r="3283" spans="20:20" ht="26.25">
      <c r="T3283" s="61" ph="1"/>
    </row>
    <row r="3284" spans="20:20" ht="26.25">
      <c r="T3284" s="61" ph="1"/>
    </row>
    <row r="3285" spans="20:20" ht="26.25">
      <c r="T3285" s="61" ph="1"/>
    </row>
    <row r="3286" spans="20:20" ht="26.25">
      <c r="T3286" s="61" ph="1"/>
    </row>
    <row r="3287" spans="20:20" ht="26.25">
      <c r="T3287" s="61" ph="1"/>
    </row>
    <row r="3288" spans="20:20" ht="26.25">
      <c r="T3288" s="61" ph="1"/>
    </row>
    <row r="3289" spans="20:20" ht="26.25">
      <c r="T3289" s="61" ph="1"/>
    </row>
    <row r="3290" spans="20:20" ht="26.25">
      <c r="T3290" s="61" ph="1"/>
    </row>
    <row r="3291" spans="20:20" ht="26.25">
      <c r="T3291" s="61" ph="1"/>
    </row>
    <row r="3292" spans="20:20" ht="26.25">
      <c r="T3292" s="61" ph="1"/>
    </row>
    <row r="3293" spans="20:20" ht="26.25">
      <c r="T3293" s="61" ph="1"/>
    </row>
    <row r="3294" spans="20:20" ht="26.25">
      <c r="T3294" s="61" ph="1"/>
    </row>
    <row r="3295" spans="20:20" ht="26.25">
      <c r="T3295" s="61" ph="1"/>
    </row>
    <row r="3296" spans="20:20" ht="26.25">
      <c r="T3296" s="61" ph="1"/>
    </row>
    <row r="3297" spans="20:20" ht="26.25">
      <c r="T3297" s="61" ph="1"/>
    </row>
    <row r="3298" spans="20:20" ht="26.25">
      <c r="T3298" s="61" ph="1"/>
    </row>
    <row r="3299" spans="20:20" ht="26.25">
      <c r="T3299" s="61" ph="1"/>
    </row>
    <row r="3300" spans="20:20" ht="26.25">
      <c r="T3300" s="61" ph="1"/>
    </row>
    <row r="3301" spans="20:20" ht="26.25">
      <c r="T3301" s="61" ph="1"/>
    </row>
    <row r="3302" spans="20:20" ht="26.25">
      <c r="T3302" s="61" ph="1"/>
    </row>
    <row r="3303" spans="20:20" ht="26.25">
      <c r="T3303" s="61" ph="1"/>
    </row>
    <row r="3304" spans="20:20" ht="26.25">
      <c r="T3304" s="61" ph="1"/>
    </row>
    <row r="3305" spans="20:20" ht="26.25">
      <c r="T3305" s="61" ph="1"/>
    </row>
    <row r="3306" spans="20:20" ht="26.25">
      <c r="T3306" s="61" ph="1"/>
    </row>
    <row r="3307" spans="20:20" ht="26.25">
      <c r="T3307" s="61" ph="1"/>
    </row>
    <row r="3308" spans="20:20" ht="26.25">
      <c r="T3308" s="61" ph="1"/>
    </row>
    <row r="3309" spans="20:20" ht="26.25">
      <c r="T3309" s="61" ph="1"/>
    </row>
    <row r="3310" spans="20:20" ht="26.25">
      <c r="T3310" s="61" ph="1"/>
    </row>
    <row r="3311" spans="20:20" ht="26.25">
      <c r="T3311" s="61" ph="1"/>
    </row>
    <row r="3312" spans="20:20" ht="26.25">
      <c r="T3312" s="61" ph="1"/>
    </row>
    <row r="3313" spans="20:20" ht="26.25">
      <c r="T3313" s="61" ph="1"/>
    </row>
    <row r="3314" spans="20:20" ht="26.25">
      <c r="T3314" s="61" ph="1"/>
    </row>
    <row r="3315" spans="20:20" ht="26.25">
      <c r="T3315" s="61" ph="1"/>
    </row>
    <row r="3316" spans="20:20" ht="26.25">
      <c r="T3316" s="61" ph="1"/>
    </row>
    <row r="3317" spans="20:20" ht="26.25">
      <c r="T3317" s="61" ph="1"/>
    </row>
    <row r="3318" spans="20:20" ht="26.25">
      <c r="T3318" s="61" ph="1"/>
    </row>
    <row r="3319" spans="20:20" ht="26.25">
      <c r="T3319" s="61" ph="1"/>
    </row>
    <row r="3320" spans="20:20" ht="26.25">
      <c r="T3320" s="61" ph="1"/>
    </row>
    <row r="3321" spans="20:20" ht="26.25">
      <c r="T3321" s="61" ph="1"/>
    </row>
    <row r="3322" spans="20:20" ht="26.25">
      <c r="T3322" s="61" ph="1"/>
    </row>
    <row r="3323" spans="20:20" ht="26.25">
      <c r="T3323" s="61" ph="1"/>
    </row>
    <row r="3324" spans="20:20" ht="26.25">
      <c r="T3324" s="61" ph="1"/>
    </row>
    <row r="3325" spans="20:20" ht="26.25">
      <c r="T3325" s="61" ph="1"/>
    </row>
    <row r="3326" spans="20:20" ht="26.25">
      <c r="T3326" s="61" ph="1"/>
    </row>
    <row r="3327" spans="20:20" ht="26.25">
      <c r="T3327" s="61" ph="1"/>
    </row>
    <row r="3328" spans="20:20" ht="26.25">
      <c r="T3328" s="61" ph="1"/>
    </row>
    <row r="3329" spans="20:20" ht="26.25">
      <c r="T3329" s="61" ph="1"/>
    </row>
    <row r="3330" spans="20:20" ht="26.25">
      <c r="T3330" s="61" ph="1"/>
    </row>
    <row r="3331" spans="20:20" ht="26.25">
      <c r="T3331" s="61" ph="1"/>
    </row>
    <row r="3332" spans="20:20" ht="26.25">
      <c r="T3332" s="61" ph="1"/>
    </row>
    <row r="3333" spans="20:20" ht="26.25">
      <c r="T3333" s="61" ph="1"/>
    </row>
    <row r="3334" spans="20:20" ht="26.25">
      <c r="T3334" s="61" ph="1"/>
    </row>
    <row r="3335" spans="20:20" ht="26.25">
      <c r="T3335" s="61" ph="1"/>
    </row>
    <row r="3336" spans="20:20" ht="26.25">
      <c r="T3336" s="61" ph="1"/>
    </row>
    <row r="3337" spans="20:20" ht="26.25">
      <c r="T3337" s="61" ph="1"/>
    </row>
    <row r="3338" spans="20:20" ht="26.25">
      <c r="T3338" s="61" ph="1"/>
    </row>
    <row r="3339" spans="20:20" ht="26.25">
      <c r="T3339" s="61" ph="1"/>
    </row>
    <row r="3340" spans="20:20" ht="26.25">
      <c r="T3340" s="61" ph="1"/>
    </row>
    <row r="3341" spans="20:20" ht="26.25">
      <c r="T3341" s="61" ph="1"/>
    </row>
    <row r="3342" spans="20:20" ht="26.25">
      <c r="T3342" s="61" ph="1"/>
    </row>
    <row r="3343" spans="20:20" ht="26.25">
      <c r="T3343" s="61" ph="1"/>
    </row>
    <row r="3344" spans="20:20" ht="26.25">
      <c r="T3344" s="61" ph="1"/>
    </row>
    <row r="3345" spans="20:20" ht="26.25">
      <c r="T3345" s="61" ph="1"/>
    </row>
    <row r="3346" spans="20:20" ht="26.25">
      <c r="T3346" s="61" ph="1"/>
    </row>
    <row r="3347" spans="20:20" ht="26.25">
      <c r="T3347" s="61" ph="1"/>
    </row>
    <row r="3348" spans="20:20" ht="26.25">
      <c r="T3348" s="61" ph="1"/>
    </row>
    <row r="3349" spans="20:20" ht="26.25">
      <c r="T3349" s="61" ph="1"/>
    </row>
    <row r="3350" spans="20:20" ht="26.25">
      <c r="T3350" s="61" ph="1"/>
    </row>
    <row r="3351" spans="20:20" ht="26.25">
      <c r="T3351" s="61" ph="1"/>
    </row>
    <row r="3352" spans="20:20" ht="26.25">
      <c r="T3352" s="61" ph="1"/>
    </row>
    <row r="3353" spans="20:20" ht="26.25">
      <c r="T3353" s="61" ph="1"/>
    </row>
    <row r="3354" spans="20:20" ht="26.25">
      <c r="T3354" s="61" ph="1"/>
    </row>
    <row r="3355" spans="20:20" ht="26.25">
      <c r="T3355" s="61" ph="1"/>
    </row>
    <row r="3356" spans="20:20" ht="26.25">
      <c r="T3356" s="61" ph="1"/>
    </row>
    <row r="3357" spans="20:20" ht="26.25">
      <c r="T3357" s="61" ph="1"/>
    </row>
    <row r="3358" spans="20:20" ht="26.25">
      <c r="T3358" s="61" ph="1"/>
    </row>
    <row r="3359" spans="20:20" ht="26.25">
      <c r="T3359" s="61" ph="1"/>
    </row>
    <row r="3360" spans="20:20" ht="26.25">
      <c r="T3360" s="61" ph="1"/>
    </row>
    <row r="3361" spans="20:20" ht="26.25">
      <c r="T3361" s="61" ph="1"/>
    </row>
    <row r="3362" spans="20:20" ht="26.25">
      <c r="T3362" s="61" ph="1"/>
    </row>
    <row r="3363" spans="20:20" ht="26.25">
      <c r="T3363" s="61" ph="1"/>
    </row>
    <row r="3364" spans="20:20" ht="26.25">
      <c r="T3364" s="61" ph="1"/>
    </row>
    <row r="3365" spans="20:20" ht="26.25">
      <c r="T3365" s="61" ph="1"/>
    </row>
    <row r="3366" spans="20:20" ht="26.25">
      <c r="T3366" s="61" ph="1"/>
    </row>
    <row r="3367" spans="20:20" ht="26.25">
      <c r="T3367" s="61" ph="1"/>
    </row>
    <row r="3368" spans="20:20" ht="26.25">
      <c r="T3368" s="61" ph="1"/>
    </row>
    <row r="3369" spans="20:20" ht="26.25">
      <c r="T3369" s="61" ph="1"/>
    </row>
    <row r="3370" spans="20:20" ht="26.25">
      <c r="T3370" s="61" ph="1"/>
    </row>
    <row r="3371" spans="20:20" ht="26.25">
      <c r="T3371" s="61" ph="1"/>
    </row>
    <row r="3372" spans="20:20" ht="26.25">
      <c r="T3372" s="61" ph="1"/>
    </row>
    <row r="3373" spans="20:20" ht="26.25">
      <c r="T3373" s="61" ph="1"/>
    </row>
    <row r="3374" spans="20:20" ht="26.25">
      <c r="T3374" s="61" ph="1"/>
    </row>
    <row r="3375" spans="20:20" ht="26.25">
      <c r="T3375" s="61" ph="1"/>
    </row>
    <row r="3376" spans="20:20" ht="26.25">
      <c r="T3376" s="61" ph="1"/>
    </row>
    <row r="3377" spans="20:20" ht="26.25">
      <c r="T3377" s="61" ph="1"/>
    </row>
    <row r="3378" spans="20:20" ht="26.25">
      <c r="T3378" s="61" ph="1"/>
    </row>
    <row r="3379" spans="20:20" ht="26.25">
      <c r="T3379" s="61" ph="1"/>
    </row>
    <row r="3380" spans="20:20" ht="26.25">
      <c r="T3380" s="61" ph="1"/>
    </row>
    <row r="3381" spans="20:20" ht="26.25">
      <c r="T3381" s="61" ph="1"/>
    </row>
    <row r="3382" spans="20:20" ht="26.25">
      <c r="T3382" s="61" ph="1"/>
    </row>
    <row r="3383" spans="20:20" ht="26.25">
      <c r="T3383" s="61" ph="1"/>
    </row>
    <row r="3384" spans="20:20" ht="26.25">
      <c r="T3384" s="61" ph="1"/>
    </row>
    <row r="3385" spans="20:20" ht="26.25">
      <c r="T3385" s="61" ph="1"/>
    </row>
    <row r="3386" spans="20:20" ht="26.25">
      <c r="T3386" s="61" ph="1"/>
    </row>
    <row r="3387" spans="20:20" ht="26.25">
      <c r="T3387" s="61" ph="1"/>
    </row>
    <row r="3388" spans="20:20" ht="26.25">
      <c r="T3388" s="61" ph="1"/>
    </row>
    <row r="3389" spans="20:20" ht="26.25">
      <c r="T3389" s="61" ph="1"/>
    </row>
    <row r="3390" spans="20:20" ht="26.25">
      <c r="T3390" s="61" ph="1"/>
    </row>
    <row r="3391" spans="20:20" ht="26.25">
      <c r="T3391" s="61" ph="1"/>
    </row>
    <row r="3392" spans="20:20" ht="26.25">
      <c r="T3392" s="61" ph="1"/>
    </row>
    <row r="3393" spans="20:20" ht="26.25">
      <c r="T3393" s="61" ph="1"/>
    </row>
    <row r="3394" spans="20:20" ht="26.25">
      <c r="T3394" s="61" ph="1"/>
    </row>
    <row r="3395" spans="20:20" ht="26.25">
      <c r="T3395" s="61" ph="1"/>
    </row>
    <row r="3396" spans="20:20" ht="26.25">
      <c r="T3396" s="61" ph="1"/>
    </row>
    <row r="3397" spans="20:20" ht="26.25">
      <c r="T3397" s="61" ph="1"/>
    </row>
    <row r="3398" spans="20:20" ht="26.25">
      <c r="T3398" s="61" ph="1"/>
    </row>
    <row r="3399" spans="20:20" ht="26.25">
      <c r="T3399" s="61" ph="1"/>
    </row>
    <row r="3400" spans="20:20" ht="26.25">
      <c r="T3400" s="61" ph="1"/>
    </row>
    <row r="3401" spans="20:20" ht="26.25">
      <c r="T3401" s="61" ph="1"/>
    </row>
    <row r="3402" spans="20:20" ht="26.25">
      <c r="T3402" s="61" ph="1"/>
    </row>
    <row r="3403" spans="20:20" ht="26.25">
      <c r="T3403" s="61" ph="1"/>
    </row>
    <row r="3404" spans="20:20" ht="26.25">
      <c r="T3404" s="61" ph="1"/>
    </row>
    <row r="3405" spans="20:20" ht="26.25">
      <c r="T3405" s="61" ph="1"/>
    </row>
    <row r="3406" spans="20:20" ht="26.25">
      <c r="T3406" s="61" ph="1"/>
    </row>
    <row r="3407" spans="20:20" ht="26.25">
      <c r="T3407" s="61" ph="1"/>
    </row>
    <row r="3408" spans="20:20" ht="26.25">
      <c r="T3408" s="61" ph="1"/>
    </row>
    <row r="3409" spans="20:20" ht="26.25">
      <c r="T3409" s="61" ph="1"/>
    </row>
    <row r="3410" spans="20:20" ht="26.25">
      <c r="T3410" s="61" ph="1"/>
    </row>
    <row r="3411" spans="20:20" ht="26.25">
      <c r="T3411" s="61" ph="1"/>
    </row>
    <row r="3412" spans="20:20" ht="26.25">
      <c r="T3412" s="61" ph="1"/>
    </row>
    <row r="3413" spans="20:20" ht="26.25">
      <c r="T3413" s="61" ph="1"/>
    </row>
    <row r="3414" spans="20:20" ht="26.25">
      <c r="T3414" s="61" ph="1"/>
    </row>
    <row r="3415" spans="20:20" ht="26.25">
      <c r="T3415" s="61" ph="1"/>
    </row>
    <row r="3416" spans="20:20" ht="26.25">
      <c r="T3416" s="61" ph="1"/>
    </row>
    <row r="3417" spans="20:20" ht="26.25">
      <c r="T3417" s="61" ph="1"/>
    </row>
    <row r="3418" spans="20:20" ht="26.25">
      <c r="T3418" s="61" ph="1"/>
    </row>
    <row r="3419" spans="20:20" ht="26.25">
      <c r="T3419" s="61" ph="1"/>
    </row>
    <row r="3420" spans="20:20" ht="26.25">
      <c r="T3420" s="61" ph="1"/>
    </row>
    <row r="3421" spans="20:20" ht="26.25">
      <c r="T3421" s="61" ph="1"/>
    </row>
    <row r="3422" spans="20:20" ht="26.25">
      <c r="T3422" s="61" ph="1"/>
    </row>
    <row r="3423" spans="20:20" ht="26.25">
      <c r="T3423" s="61" ph="1"/>
    </row>
    <row r="3424" spans="20:20" ht="26.25">
      <c r="T3424" s="61" ph="1"/>
    </row>
    <row r="3425" spans="20:20" ht="26.25">
      <c r="T3425" s="61" ph="1"/>
    </row>
    <row r="3426" spans="20:20" ht="26.25">
      <c r="T3426" s="61" ph="1"/>
    </row>
    <row r="3427" spans="20:20" ht="26.25">
      <c r="T3427" s="61" ph="1"/>
    </row>
    <row r="3428" spans="20:20" ht="26.25">
      <c r="T3428" s="61" ph="1"/>
    </row>
    <row r="3429" spans="20:20" ht="26.25">
      <c r="T3429" s="61" ph="1"/>
    </row>
    <row r="3430" spans="20:20" ht="26.25">
      <c r="T3430" s="61" ph="1"/>
    </row>
    <row r="3431" spans="20:20" ht="26.25">
      <c r="T3431" s="61" ph="1"/>
    </row>
    <row r="3432" spans="20:20" ht="26.25">
      <c r="T3432" s="61" ph="1"/>
    </row>
    <row r="3433" spans="20:20" ht="26.25">
      <c r="T3433" s="61" ph="1"/>
    </row>
    <row r="3434" spans="20:20" ht="26.25">
      <c r="T3434" s="61" ph="1"/>
    </row>
    <row r="3435" spans="20:20" ht="26.25">
      <c r="T3435" s="61" ph="1"/>
    </row>
    <row r="3436" spans="20:20" ht="26.25">
      <c r="T3436" s="61" ph="1"/>
    </row>
    <row r="3437" spans="20:20" ht="26.25">
      <c r="T3437" s="61" ph="1"/>
    </row>
    <row r="3438" spans="20:20" ht="26.25">
      <c r="T3438" s="61" ph="1"/>
    </row>
    <row r="3439" spans="20:20" ht="26.25">
      <c r="T3439" s="61" ph="1"/>
    </row>
    <row r="3440" spans="20:20" ht="26.25">
      <c r="T3440" s="61" ph="1"/>
    </row>
    <row r="3441" spans="20:20" ht="26.25">
      <c r="T3441" s="61" ph="1"/>
    </row>
    <row r="3442" spans="20:20" ht="26.25">
      <c r="T3442" s="61" ph="1"/>
    </row>
    <row r="3443" spans="20:20" ht="26.25">
      <c r="T3443" s="61" ph="1"/>
    </row>
    <row r="3444" spans="20:20" ht="26.25">
      <c r="T3444" s="61" ph="1"/>
    </row>
    <row r="3445" spans="20:20" ht="26.25">
      <c r="T3445" s="61" ph="1"/>
    </row>
    <row r="3446" spans="20:20" ht="26.25">
      <c r="T3446" s="61" ph="1"/>
    </row>
    <row r="3447" spans="20:20" ht="26.25">
      <c r="T3447" s="61" ph="1"/>
    </row>
    <row r="3448" spans="20:20" ht="26.25">
      <c r="T3448" s="61" ph="1"/>
    </row>
    <row r="3449" spans="20:20" ht="26.25">
      <c r="T3449" s="61" ph="1"/>
    </row>
    <row r="3450" spans="20:20" ht="26.25">
      <c r="T3450" s="61" ph="1"/>
    </row>
    <row r="3451" spans="20:20" ht="26.25">
      <c r="T3451" s="61" ph="1"/>
    </row>
    <row r="3452" spans="20:20" ht="26.25">
      <c r="T3452" s="61" ph="1"/>
    </row>
    <row r="3453" spans="20:20" ht="26.25">
      <c r="T3453" s="61" ph="1"/>
    </row>
    <row r="3454" spans="20:20" ht="26.25">
      <c r="T3454" s="61" ph="1"/>
    </row>
    <row r="3455" spans="20:20" ht="26.25">
      <c r="T3455" s="61" ph="1"/>
    </row>
    <row r="3456" spans="20:20" ht="26.25">
      <c r="T3456" s="61" ph="1"/>
    </row>
    <row r="3457" spans="20:20" ht="26.25">
      <c r="T3457" s="61" ph="1"/>
    </row>
    <row r="3458" spans="20:20" ht="26.25">
      <c r="T3458" s="61" ph="1"/>
    </row>
    <row r="3459" spans="20:20" ht="26.25">
      <c r="T3459" s="61" ph="1"/>
    </row>
    <row r="3460" spans="20:20" ht="26.25">
      <c r="T3460" s="61" ph="1"/>
    </row>
    <row r="3461" spans="20:20" ht="26.25">
      <c r="T3461" s="61" ph="1"/>
    </row>
    <row r="3462" spans="20:20" ht="26.25">
      <c r="T3462" s="61" ph="1"/>
    </row>
    <row r="3463" spans="20:20" ht="26.25">
      <c r="T3463" s="61" ph="1"/>
    </row>
    <row r="3464" spans="20:20" ht="26.25">
      <c r="T3464" s="61" ph="1"/>
    </row>
    <row r="3465" spans="20:20" ht="26.25">
      <c r="T3465" s="61" ph="1"/>
    </row>
    <row r="3466" spans="20:20" ht="26.25">
      <c r="T3466" s="61" ph="1"/>
    </row>
    <row r="3467" spans="20:20" ht="26.25">
      <c r="T3467" s="61" ph="1"/>
    </row>
    <row r="3468" spans="20:20" ht="26.25">
      <c r="T3468" s="61" ph="1"/>
    </row>
    <row r="3469" spans="20:20" ht="26.25">
      <c r="T3469" s="61" ph="1"/>
    </row>
    <row r="3470" spans="20:20" ht="26.25">
      <c r="T3470" s="61" ph="1"/>
    </row>
    <row r="3471" spans="20:20" ht="26.25">
      <c r="T3471" s="61" ph="1"/>
    </row>
    <row r="3472" spans="20:20" ht="26.25">
      <c r="T3472" s="61" ph="1"/>
    </row>
    <row r="3473" spans="20:20" ht="26.25">
      <c r="T3473" s="61" ph="1"/>
    </row>
    <row r="3474" spans="20:20" ht="26.25">
      <c r="T3474" s="61" ph="1"/>
    </row>
    <row r="3475" spans="20:20" ht="26.25">
      <c r="T3475" s="61" ph="1"/>
    </row>
    <row r="3476" spans="20:20" ht="26.25">
      <c r="T3476" s="61" ph="1"/>
    </row>
    <row r="3477" spans="20:20" ht="26.25">
      <c r="T3477" s="61" ph="1"/>
    </row>
    <row r="3478" spans="20:20" ht="26.25">
      <c r="T3478" s="61" ph="1"/>
    </row>
    <row r="3479" spans="20:20" ht="26.25">
      <c r="T3479" s="61" ph="1"/>
    </row>
    <row r="3480" spans="20:20" ht="26.25">
      <c r="T3480" s="61" ph="1"/>
    </row>
    <row r="3481" spans="20:20" ht="26.25">
      <c r="T3481" s="61" ph="1"/>
    </row>
    <row r="3482" spans="20:20" ht="26.25">
      <c r="T3482" s="61" ph="1"/>
    </row>
    <row r="3483" spans="20:20" ht="26.25">
      <c r="T3483" s="61" ph="1"/>
    </row>
    <row r="3484" spans="20:20" ht="26.25">
      <c r="T3484" s="61" ph="1"/>
    </row>
    <row r="3485" spans="20:20" ht="26.25">
      <c r="T3485" s="61" ph="1"/>
    </row>
    <row r="3486" spans="20:20" ht="26.25">
      <c r="T3486" s="61" ph="1"/>
    </row>
    <row r="3487" spans="20:20" ht="26.25">
      <c r="T3487" s="61" ph="1"/>
    </row>
    <row r="3488" spans="20:20" ht="26.25">
      <c r="T3488" s="61" ph="1"/>
    </row>
    <row r="3489" spans="20:20" ht="26.25">
      <c r="T3489" s="61" ph="1"/>
    </row>
    <row r="3490" spans="20:20" ht="26.25">
      <c r="T3490" s="61" ph="1"/>
    </row>
    <row r="3491" spans="20:20" ht="26.25">
      <c r="T3491" s="61" ph="1"/>
    </row>
    <row r="3492" spans="20:20" ht="26.25">
      <c r="T3492" s="61" ph="1"/>
    </row>
    <row r="3493" spans="20:20" ht="26.25">
      <c r="T3493" s="61" ph="1"/>
    </row>
    <row r="3494" spans="20:20" ht="26.25">
      <c r="T3494" s="61" ph="1"/>
    </row>
    <row r="3495" spans="20:20" ht="26.25">
      <c r="T3495" s="61" ph="1"/>
    </row>
    <row r="3496" spans="20:20" ht="26.25">
      <c r="T3496" s="61" ph="1"/>
    </row>
    <row r="3497" spans="20:20" ht="26.25">
      <c r="T3497" s="61" ph="1"/>
    </row>
    <row r="3498" spans="20:20" ht="26.25">
      <c r="T3498" s="61" ph="1"/>
    </row>
    <row r="3499" spans="20:20" ht="26.25">
      <c r="T3499" s="61" ph="1"/>
    </row>
    <row r="3500" spans="20:20" ht="26.25">
      <c r="T3500" s="61" ph="1"/>
    </row>
    <row r="3501" spans="20:20" ht="26.25">
      <c r="T3501" s="61" ph="1"/>
    </row>
    <row r="3502" spans="20:20" ht="26.25">
      <c r="T3502" s="61" ph="1"/>
    </row>
    <row r="3503" spans="20:20" ht="26.25">
      <c r="T3503" s="61" ph="1"/>
    </row>
    <row r="3504" spans="20:20" ht="26.25">
      <c r="T3504" s="61" ph="1"/>
    </row>
    <row r="3505" spans="20:20" ht="26.25">
      <c r="T3505" s="61" ph="1"/>
    </row>
    <row r="3506" spans="20:20" ht="26.25">
      <c r="T3506" s="61" ph="1"/>
    </row>
    <row r="3507" spans="20:20" ht="26.25">
      <c r="T3507" s="61" ph="1"/>
    </row>
    <row r="3508" spans="20:20" ht="26.25">
      <c r="T3508" s="61" ph="1"/>
    </row>
    <row r="3509" spans="20:20" ht="26.25">
      <c r="T3509" s="61" ph="1"/>
    </row>
    <row r="3510" spans="20:20" ht="26.25">
      <c r="T3510" s="61" ph="1"/>
    </row>
    <row r="3511" spans="20:20" ht="26.25">
      <c r="T3511" s="61" ph="1"/>
    </row>
    <row r="3512" spans="20:20" ht="26.25">
      <c r="T3512" s="61" ph="1"/>
    </row>
    <row r="3513" spans="20:20" ht="26.25">
      <c r="T3513" s="61" ph="1"/>
    </row>
    <row r="3514" spans="20:20" ht="26.25">
      <c r="T3514" s="61" ph="1"/>
    </row>
    <row r="3515" spans="20:20" ht="26.25">
      <c r="T3515" s="61" ph="1"/>
    </row>
    <row r="3516" spans="20:20" ht="26.25">
      <c r="T3516" s="61" ph="1"/>
    </row>
    <row r="3517" spans="20:20" ht="26.25">
      <c r="T3517" s="61" ph="1"/>
    </row>
    <row r="3518" spans="20:20" ht="26.25">
      <c r="T3518" s="61" ph="1"/>
    </row>
    <row r="3519" spans="20:20" ht="26.25">
      <c r="T3519" s="61" ph="1"/>
    </row>
    <row r="3520" spans="20:20" ht="26.25">
      <c r="T3520" s="61" ph="1"/>
    </row>
    <row r="3521" spans="20:20" ht="26.25">
      <c r="T3521" s="61" ph="1"/>
    </row>
    <row r="3522" spans="20:20" ht="26.25">
      <c r="T3522" s="61" ph="1"/>
    </row>
    <row r="3523" spans="20:20" ht="26.25">
      <c r="T3523" s="61" ph="1"/>
    </row>
    <row r="3524" spans="20:20" ht="26.25">
      <c r="T3524" s="61" ph="1"/>
    </row>
    <row r="3525" spans="20:20" ht="26.25">
      <c r="T3525" s="61" ph="1"/>
    </row>
    <row r="3526" spans="20:20" ht="26.25">
      <c r="T3526" s="61" ph="1"/>
    </row>
    <row r="3527" spans="20:20" ht="26.25">
      <c r="T3527" s="61" ph="1"/>
    </row>
    <row r="3528" spans="20:20" ht="26.25">
      <c r="T3528" s="61" ph="1"/>
    </row>
    <row r="3529" spans="20:20" ht="26.25">
      <c r="T3529" s="61" ph="1"/>
    </row>
    <row r="3530" spans="20:20" ht="26.25">
      <c r="T3530" s="61" ph="1"/>
    </row>
    <row r="3531" spans="20:20" ht="26.25">
      <c r="T3531" s="61" ph="1"/>
    </row>
    <row r="3532" spans="20:20" ht="26.25">
      <c r="T3532" s="61" ph="1"/>
    </row>
    <row r="3533" spans="20:20" ht="26.25">
      <c r="T3533" s="61" ph="1"/>
    </row>
    <row r="3534" spans="20:20" ht="26.25">
      <c r="T3534" s="61" ph="1"/>
    </row>
    <row r="3535" spans="20:20" ht="26.25">
      <c r="T3535" s="61" ph="1"/>
    </row>
    <row r="3536" spans="20:20" ht="26.25">
      <c r="T3536" s="61" ph="1"/>
    </row>
    <row r="3537" spans="20:20" ht="26.25">
      <c r="T3537" s="61" ph="1"/>
    </row>
    <row r="3538" spans="20:20" ht="26.25">
      <c r="T3538" s="61" ph="1"/>
    </row>
    <row r="3539" spans="20:20" ht="26.25">
      <c r="T3539" s="61" ph="1"/>
    </row>
    <row r="3540" spans="20:20" ht="26.25">
      <c r="T3540" s="61" ph="1"/>
    </row>
    <row r="3541" spans="20:20" ht="26.25">
      <c r="T3541" s="61" ph="1"/>
    </row>
    <row r="3542" spans="20:20" ht="26.25">
      <c r="T3542" s="61" ph="1"/>
    </row>
    <row r="3543" spans="20:20" ht="26.25">
      <c r="T3543" s="61" ph="1"/>
    </row>
    <row r="3544" spans="20:20" ht="26.25">
      <c r="T3544" s="61" ph="1"/>
    </row>
    <row r="3545" spans="20:20" ht="26.25">
      <c r="T3545" s="61" ph="1"/>
    </row>
    <row r="3546" spans="20:20" ht="26.25">
      <c r="T3546" s="61" ph="1"/>
    </row>
    <row r="3547" spans="20:20" ht="26.25">
      <c r="T3547" s="61" ph="1"/>
    </row>
    <row r="3548" spans="20:20" ht="26.25">
      <c r="T3548" s="61" ph="1"/>
    </row>
    <row r="3549" spans="20:20" ht="26.25">
      <c r="T3549" s="61" ph="1"/>
    </row>
    <row r="3550" spans="20:20" ht="26.25">
      <c r="T3550" s="61" ph="1"/>
    </row>
    <row r="3551" spans="20:20" ht="26.25">
      <c r="T3551" s="61" ph="1"/>
    </row>
    <row r="3552" spans="20:20" ht="26.25">
      <c r="T3552" s="61" ph="1"/>
    </row>
    <row r="3553" spans="20:20" ht="26.25">
      <c r="T3553" s="61" ph="1"/>
    </row>
    <row r="3554" spans="20:20" ht="26.25">
      <c r="T3554" s="61" ph="1"/>
    </row>
    <row r="3555" spans="20:20" ht="26.25">
      <c r="T3555" s="61" ph="1"/>
    </row>
    <row r="3556" spans="20:20" ht="26.25">
      <c r="T3556" s="61" ph="1"/>
    </row>
    <row r="3557" spans="20:20" ht="26.25">
      <c r="T3557" s="61" ph="1"/>
    </row>
    <row r="3558" spans="20:20" ht="26.25">
      <c r="T3558" s="61" ph="1"/>
    </row>
    <row r="3559" spans="20:20" ht="26.25">
      <c r="T3559" s="61" ph="1"/>
    </row>
    <row r="3560" spans="20:20" ht="26.25">
      <c r="T3560" s="61" ph="1"/>
    </row>
    <row r="3561" spans="20:20" ht="26.25">
      <c r="T3561" s="61" ph="1"/>
    </row>
    <row r="3562" spans="20:20" ht="26.25">
      <c r="T3562" s="61" ph="1"/>
    </row>
    <row r="3563" spans="20:20" ht="26.25">
      <c r="T3563" s="61" ph="1"/>
    </row>
    <row r="3564" spans="20:20" ht="26.25">
      <c r="T3564" s="61" ph="1"/>
    </row>
    <row r="3565" spans="20:20" ht="26.25">
      <c r="T3565" s="61" ph="1"/>
    </row>
    <row r="3566" spans="20:20" ht="26.25">
      <c r="T3566" s="61" ph="1"/>
    </row>
    <row r="3567" spans="20:20" ht="26.25">
      <c r="T3567" s="61" ph="1"/>
    </row>
    <row r="3568" spans="20:20" ht="26.25">
      <c r="T3568" s="61" ph="1"/>
    </row>
    <row r="3569" spans="20:20" ht="26.25">
      <c r="T3569" s="61" ph="1"/>
    </row>
    <row r="3570" spans="20:20" ht="26.25">
      <c r="T3570" s="61" ph="1"/>
    </row>
    <row r="3571" spans="20:20" ht="26.25">
      <c r="T3571" s="61" ph="1"/>
    </row>
    <row r="3572" spans="20:20" ht="26.25">
      <c r="T3572" s="61" ph="1"/>
    </row>
    <row r="3573" spans="20:20" ht="26.25">
      <c r="T3573" s="61" ph="1"/>
    </row>
    <row r="3574" spans="20:20" ht="26.25">
      <c r="T3574" s="61" ph="1"/>
    </row>
    <row r="3575" spans="20:20" ht="26.25">
      <c r="T3575" s="61" ph="1"/>
    </row>
    <row r="3576" spans="20:20" ht="26.25">
      <c r="T3576" s="61" ph="1"/>
    </row>
    <row r="3577" spans="20:20" ht="26.25">
      <c r="T3577" s="61" ph="1"/>
    </row>
    <row r="3578" spans="20:20" ht="26.25">
      <c r="T3578" s="61" ph="1"/>
    </row>
    <row r="3579" spans="20:20" ht="26.25">
      <c r="T3579" s="61" ph="1"/>
    </row>
    <row r="3580" spans="20:20" ht="26.25">
      <c r="T3580" s="61" ph="1"/>
    </row>
    <row r="3581" spans="20:20" ht="26.25">
      <c r="T3581" s="61" ph="1"/>
    </row>
    <row r="3582" spans="20:20" ht="26.25">
      <c r="T3582" s="61" ph="1"/>
    </row>
    <row r="3583" spans="20:20" ht="26.25">
      <c r="T3583" s="61" ph="1"/>
    </row>
    <row r="3584" spans="20:20" ht="26.25">
      <c r="T3584" s="61" ph="1"/>
    </row>
    <row r="3585" spans="20:20" ht="26.25">
      <c r="T3585" s="61" ph="1"/>
    </row>
    <row r="3586" spans="20:20" ht="26.25">
      <c r="T3586" s="61" ph="1"/>
    </row>
    <row r="3587" spans="20:20" ht="26.25">
      <c r="T3587" s="61" ph="1"/>
    </row>
    <row r="3588" spans="20:20" ht="26.25">
      <c r="T3588" s="61" ph="1"/>
    </row>
    <row r="3589" spans="20:20" ht="26.25">
      <c r="T3589" s="61" ph="1"/>
    </row>
    <row r="3590" spans="20:20" ht="26.25">
      <c r="T3590" s="61" ph="1"/>
    </row>
    <row r="3591" spans="20:20" ht="26.25">
      <c r="T3591" s="61" ph="1"/>
    </row>
    <row r="3592" spans="20:20" ht="26.25">
      <c r="T3592" s="61" ph="1"/>
    </row>
    <row r="3593" spans="20:20" ht="26.25">
      <c r="T3593" s="61" ph="1"/>
    </row>
    <row r="3594" spans="20:20" ht="26.25">
      <c r="T3594" s="61" ph="1"/>
    </row>
    <row r="3595" spans="20:20" ht="26.25">
      <c r="T3595" s="61" ph="1"/>
    </row>
    <row r="3596" spans="20:20" ht="26.25">
      <c r="T3596" s="61" ph="1"/>
    </row>
    <row r="3597" spans="20:20" ht="26.25">
      <c r="T3597" s="61" ph="1"/>
    </row>
    <row r="3598" spans="20:20" ht="26.25">
      <c r="T3598" s="61" ph="1"/>
    </row>
    <row r="3599" spans="20:20" ht="26.25">
      <c r="T3599" s="61" ph="1"/>
    </row>
    <row r="3600" spans="20:20" ht="26.25">
      <c r="T3600" s="61" ph="1"/>
    </row>
    <row r="3601" spans="20:20" ht="26.25">
      <c r="T3601" s="61" ph="1"/>
    </row>
    <row r="3602" spans="20:20" ht="26.25">
      <c r="T3602" s="61" ph="1"/>
    </row>
    <row r="3603" spans="20:20" ht="26.25">
      <c r="T3603" s="61" ph="1"/>
    </row>
    <row r="3604" spans="20:20" ht="26.25">
      <c r="T3604" s="61" ph="1"/>
    </row>
    <row r="3605" spans="20:20" ht="26.25">
      <c r="T3605" s="61" ph="1"/>
    </row>
    <row r="3606" spans="20:20" ht="26.25">
      <c r="T3606" s="61" ph="1"/>
    </row>
    <row r="3607" spans="20:20" ht="26.25">
      <c r="T3607" s="61" ph="1"/>
    </row>
    <row r="3608" spans="20:20" ht="26.25">
      <c r="T3608" s="61" ph="1"/>
    </row>
    <row r="3609" spans="20:20" ht="26.25">
      <c r="T3609" s="61" ph="1"/>
    </row>
    <row r="3610" spans="20:20" ht="26.25">
      <c r="T3610" s="61" ph="1"/>
    </row>
    <row r="3611" spans="20:20" ht="26.25">
      <c r="T3611" s="61" ph="1"/>
    </row>
    <row r="3612" spans="20:20" ht="26.25">
      <c r="T3612" s="61" ph="1"/>
    </row>
    <row r="3613" spans="20:20" ht="26.25">
      <c r="T3613" s="61" ph="1"/>
    </row>
    <row r="3614" spans="20:20" ht="26.25">
      <c r="T3614" s="61" ph="1"/>
    </row>
    <row r="3615" spans="20:20" ht="26.25">
      <c r="T3615" s="61" ph="1"/>
    </row>
    <row r="3616" spans="20:20" ht="26.25">
      <c r="T3616" s="61" ph="1"/>
    </row>
    <row r="3617" spans="20:20" ht="26.25">
      <c r="T3617" s="61" ph="1"/>
    </row>
    <row r="3618" spans="20:20" ht="26.25">
      <c r="T3618" s="61" ph="1"/>
    </row>
    <row r="3619" spans="20:20" ht="26.25">
      <c r="T3619" s="61" ph="1"/>
    </row>
    <row r="3620" spans="20:20" ht="26.25">
      <c r="T3620" s="61" ph="1"/>
    </row>
    <row r="3621" spans="20:20" ht="26.25">
      <c r="T3621" s="61" ph="1"/>
    </row>
    <row r="3622" spans="20:20" ht="26.25">
      <c r="T3622" s="61" ph="1"/>
    </row>
    <row r="3623" spans="20:20" ht="26.25">
      <c r="T3623" s="61" ph="1"/>
    </row>
    <row r="3624" spans="20:20" ht="26.25">
      <c r="T3624" s="61" ph="1"/>
    </row>
    <row r="3625" spans="20:20" ht="26.25">
      <c r="T3625" s="61" ph="1"/>
    </row>
    <row r="3626" spans="20:20" ht="26.25">
      <c r="T3626" s="61" ph="1"/>
    </row>
    <row r="3627" spans="20:20" ht="26.25">
      <c r="T3627" s="61" ph="1"/>
    </row>
    <row r="3628" spans="20:20" ht="26.25">
      <c r="T3628" s="61" ph="1"/>
    </row>
    <row r="3629" spans="20:20" ht="26.25">
      <c r="T3629" s="61" ph="1"/>
    </row>
    <row r="3630" spans="20:20" ht="26.25">
      <c r="T3630" s="61" ph="1"/>
    </row>
    <row r="3631" spans="20:20" ht="26.25">
      <c r="T3631" s="61" ph="1"/>
    </row>
    <row r="3632" spans="20:20" ht="26.25">
      <c r="T3632" s="61" ph="1"/>
    </row>
    <row r="3633" spans="20:20" ht="26.25">
      <c r="T3633" s="61" ph="1"/>
    </row>
    <row r="3634" spans="20:20" ht="26.25">
      <c r="T3634" s="61" ph="1"/>
    </row>
    <row r="3635" spans="20:20" ht="26.25">
      <c r="T3635" s="61" ph="1"/>
    </row>
    <row r="3636" spans="20:20" ht="26.25">
      <c r="T3636" s="61" ph="1"/>
    </row>
    <row r="3637" spans="20:20" ht="26.25">
      <c r="T3637" s="61" ph="1"/>
    </row>
    <row r="3638" spans="20:20" ht="26.25">
      <c r="T3638" s="61" ph="1"/>
    </row>
    <row r="3639" spans="20:20" ht="26.25">
      <c r="T3639" s="61" ph="1"/>
    </row>
    <row r="3640" spans="20:20" ht="26.25">
      <c r="T3640" s="61" ph="1"/>
    </row>
    <row r="3641" spans="20:20" ht="26.25">
      <c r="T3641" s="61" ph="1"/>
    </row>
    <row r="3642" spans="20:20" ht="26.25">
      <c r="T3642" s="61" ph="1"/>
    </row>
    <row r="3643" spans="20:20" ht="26.25">
      <c r="T3643" s="61" ph="1"/>
    </row>
    <row r="3644" spans="20:20" ht="26.25">
      <c r="T3644" s="61" ph="1"/>
    </row>
    <row r="3645" spans="20:20" ht="26.25">
      <c r="T3645" s="61" ph="1"/>
    </row>
    <row r="3646" spans="20:20" ht="26.25">
      <c r="T3646" s="61" ph="1"/>
    </row>
    <row r="3647" spans="20:20" ht="26.25">
      <c r="T3647" s="61" ph="1"/>
    </row>
    <row r="3648" spans="20:20" ht="26.25">
      <c r="T3648" s="61" ph="1"/>
    </row>
    <row r="3649" spans="20:20" ht="26.25">
      <c r="T3649" s="61" ph="1"/>
    </row>
    <row r="3650" spans="20:20" ht="26.25">
      <c r="T3650" s="61" ph="1"/>
    </row>
    <row r="3651" spans="20:20" ht="26.25">
      <c r="T3651" s="61" ph="1"/>
    </row>
    <row r="3652" spans="20:20" ht="26.25">
      <c r="T3652" s="61" ph="1"/>
    </row>
    <row r="3653" spans="20:20" ht="26.25">
      <c r="T3653" s="61" ph="1"/>
    </row>
    <row r="3654" spans="20:20" ht="26.25">
      <c r="T3654" s="61" ph="1"/>
    </row>
    <row r="3655" spans="20:20" ht="26.25">
      <c r="T3655" s="61" ph="1"/>
    </row>
    <row r="3656" spans="20:20" ht="26.25">
      <c r="T3656" s="61" ph="1"/>
    </row>
    <row r="3657" spans="20:20" ht="26.25">
      <c r="T3657" s="61" ph="1"/>
    </row>
    <row r="3658" spans="20:20" ht="26.25">
      <c r="T3658" s="61" ph="1"/>
    </row>
    <row r="3659" spans="20:20" ht="26.25">
      <c r="T3659" s="61" ph="1"/>
    </row>
    <row r="3660" spans="20:20" ht="26.25">
      <c r="T3660" s="61" ph="1"/>
    </row>
    <row r="3661" spans="20:20" ht="26.25">
      <c r="T3661" s="61" ph="1"/>
    </row>
    <row r="3662" spans="20:20" ht="26.25">
      <c r="T3662" s="61" ph="1"/>
    </row>
    <row r="3663" spans="20:20" ht="26.25">
      <c r="T3663" s="61" ph="1"/>
    </row>
    <row r="3664" spans="20:20" ht="26.25">
      <c r="T3664" s="61" ph="1"/>
    </row>
    <row r="3665" spans="20:20" ht="26.25">
      <c r="T3665" s="61" ph="1"/>
    </row>
    <row r="3666" spans="20:20" ht="26.25">
      <c r="T3666" s="61" ph="1"/>
    </row>
    <row r="3667" spans="20:20" ht="26.25">
      <c r="T3667" s="61" ph="1"/>
    </row>
    <row r="3668" spans="20:20" ht="26.25">
      <c r="T3668" s="61" ph="1"/>
    </row>
    <row r="3669" spans="20:20" ht="26.25">
      <c r="T3669" s="61" ph="1"/>
    </row>
    <row r="3670" spans="20:20" ht="26.25">
      <c r="T3670" s="61" ph="1"/>
    </row>
    <row r="3671" spans="20:20" ht="26.25">
      <c r="T3671" s="61" ph="1"/>
    </row>
    <row r="3672" spans="20:20" ht="26.25">
      <c r="T3672" s="61" ph="1"/>
    </row>
    <row r="3673" spans="20:20" ht="26.25">
      <c r="T3673" s="61" ph="1"/>
    </row>
    <row r="3674" spans="20:20" ht="26.25">
      <c r="T3674" s="61" ph="1"/>
    </row>
    <row r="3675" spans="20:20" ht="26.25">
      <c r="T3675" s="61" ph="1"/>
    </row>
    <row r="3676" spans="20:20" ht="26.25">
      <c r="T3676" s="61" ph="1"/>
    </row>
    <row r="3677" spans="20:20" ht="26.25">
      <c r="T3677" s="61" ph="1"/>
    </row>
    <row r="3678" spans="20:20" ht="26.25">
      <c r="T3678" s="61" ph="1"/>
    </row>
    <row r="3679" spans="20:20" ht="26.25">
      <c r="T3679" s="61" ph="1"/>
    </row>
    <row r="3680" spans="20:20" ht="26.25">
      <c r="T3680" s="61" ph="1"/>
    </row>
    <row r="3681" spans="20:20" ht="26.25">
      <c r="T3681" s="61" ph="1"/>
    </row>
    <row r="3682" spans="20:20" ht="26.25">
      <c r="T3682" s="61" ph="1"/>
    </row>
    <row r="3683" spans="20:20" ht="26.25">
      <c r="T3683" s="61" ph="1"/>
    </row>
    <row r="3684" spans="20:20" ht="26.25">
      <c r="T3684" s="61" ph="1"/>
    </row>
    <row r="3685" spans="20:20" ht="26.25">
      <c r="T3685" s="61" ph="1"/>
    </row>
    <row r="3686" spans="20:20" ht="26.25">
      <c r="T3686" s="61" ph="1"/>
    </row>
    <row r="3687" spans="20:20" ht="26.25">
      <c r="T3687" s="61" ph="1"/>
    </row>
    <row r="3688" spans="20:20" ht="26.25">
      <c r="T3688" s="61" ph="1"/>
    </row>
    <row r="3689" spans="20:20" ht="26.25">
      <c r="T3689" s="61" ph="1"/>
    </row>
    <row r="3690" spans="20:20" ht="26.25">
      <c r="T3690" s="61" ph="1"/>
    </row>
    <row r="3691" spans="20:20" ht="26.25">
      <c r="T3691" s="61" ph="1"/>
    </row>
    <row r="3692" spans="20:20" ht="26.25">
      <c r="T3692" s="61" ph="1"/>
    </row>
    <row r="3693" spans="20:20" ht="26.25">
      <c r="T3693" s="61" ph="1"/>
    </row>
    <row r="3694" spans="20:20" ht="26.25">
      <c r="T3694" s="61" ph="1"/>
    </row>
    <row r="3695" spans="20:20" ht="26.25">
      <c r="T3695" s="61" ph="1"/>
    </row>
    <row r="3696" spans="20:20" ht="26.25">
      <c r="T3696" s="61" ph="1"/>
    </row>
    <row r="3697" spans="20:20" ht="26.25">
      <c r="T3697" s="61" ph="1"/>
    </row>
    <row r="3698" spans="20:20" ht="26.25">
      <c r="T3698" s="61" ph="1"/>
    </row>
    <row r="3699" spans="20:20" ht="26.25">
      <c r="T3699" s="61" ph="1"/>
    </row>
    <row r="3700" spans="20:20" ht="26.25">
      <c r="T3700" s="61" ph="1"/>
    </row>
    <row r="3701" spans="20:20" ht="26.25">
      <c r="T3701" s="61" ph="1"/>
    </row>
    <row r="3702" spans="20:20" ht="26.25">
      <c r="T3702" s="61" ph="1"/>
    </row>
    <row r="3703" spans="20:20" ht="26.25">
      <c r="T3703" s="61" ph="1"/>
    </row>
    <row r="3704" spans="20:20" ht="26.25">
      <c r="T3704" s="61" ph="1"/>
    </row>
    <row r="3705" spans="20:20" ht="26.25">
      <c r="T3705" s="61" ph="1"/>
    </row>
    <row r="3706" spans="20:20" ht="26.25">
      <c r="T3706" s="61" ph="1"/>
    </row>
    <row r="3707" spans="20:20" ht="26.25">
      <c r="T3707" s="61" ph="1"/>
    </row>
    <row r="3708" spans="20:20" ht="26.25">
      <c r="T3708" s="61" ph="1"/>
    </row>
    <row r="3709" spans="20:20" ht="26.25">
      <c r="T3709" s="61" ph="1"/>
    </row>
    <row r="3710" spans="20:20" ht="26.25">
      <c r="T3710" s="61" ph="1"/>
    </row>
    <row r="3711" spans="20:20" ht="26.25">
      <c r="T3711" s="61" ph="1"/>
    </row>
    <row r="3712" spans="20:20" ht="26.25">
      <c r="T3712" s="61" ph="1"/>
    </row>
    <row r="3713" spans="20:20" ht="26.25">
      <c r="T3713" s="61" ph="1"/>
    </row>
    <row r="3714" spans="20:20" ht="26.25">
      <c r="T3714" s="61" ph="1"/>
    </row>
    <row r="3715" spans="20:20" ht="26.25">
      <c r="T3715" s="61" ph="1"/>
    </row>
    <row r="3716" spans="20:20" ht="26.25">
      <c r="T3716" s="61" ph="1"/>
    </row>
    <row r="3717" spans="20:20" ht="26.25">
      <c r="T3717" s="61" ph="1"/>
    </row>
    <row r="3718" spans="20:20" ht="26.25">
      <c r="T3718" s="61" ph="1"/>
    </row>
    <row r="3719" spans="20:20" ht="26.25">
      <c r="T3719" s="61" ph="1"/>
    </row>
    <row r="3720" spans="20:20" ht="26.25">
      <c r="T3720" s="61" ph="1"/>
    </row>
    <row r="3721" spans="20:20" ht="26.25">
      <c r="T3721" s="61" ph="1"/>
    </row>
    <row r="3722" spans="20:20" ht="26.25">
      <c r="T3722" s="61" ph="1"/>
    </row>
    <row r="3723" spans="20:20" ht="26.25">
      <c r="T3723" s="61" ph="1"/>
    </row>
    <row r="3724" spans="20:20" ht="26.25">
      <c r="T3724" s="61" ph="1"/>
    </row>
    <row r="3725" spans="20:20" ht="26.25">
      <c r="T3725" s="61" ph="1"/>
    </row>
    <row r="3726" spans="20:20" ht="26.25">
      <c r="T3726" s="61" ph="1"/>
    </row>
    <row r="3727" spans="20:20" ht="26.25">
      <c r="T3727" s="61" ph="1"/>
    </row>
    <row r="3728" spans="20:20" ht="26.25">
      <c r="T3728" s="61" ph="1"/>
    </row>
    <row r="3729" spans="20:20" ht="26.25">
      <c r="T3729" s="61" ph="1"/>
    </row>
    <row r="3730" spans="20:20" ht="26.25">
      <c r="T3730" s="61" ph="1"/>
    </row>
    <row r="3731" spans="20:20" ht="26.25">
      <c r="T3731" s="61" ph="1"/>
    </row>
    <row r="3732" spans="20:20" ht="26.25">
      <c r="T3732" s="61" ph="1"/>
    </row>
    <row r="3733" spans="20:20" ht="26.25">
      <c r="T3733" s="61" ph="1"/>
    </row>
    <row r="3734" spans="20:20" ht="26.25">
      <c r="T3734" s="61" ph="1"/>
    </row>
    <row r="3735" spans="20:20" ht="26.25">
      <c r="T3735" s="61" ph="1"/>
    </row>
    <row r="3736" spans="20:20" ht="26.25">
      <c r="T3736" s="61" ph="1"/>
    </row>
    <row r="3737" spans="20:20" ht="26.25">
      <c r="T3737" s="61" ph="1"/>
    </row>
    <row r="3738" spans="20:20" ht="26.25">
      <c r="T3738" s="61" ph="1"/>
    </row>
    <row r="3739" spans="20:20" ht="26.25">
      <c r="T3739" s="61" ph="1"/>
    </row>
    <row r="3740" spans="20:20" ht="26.25">
      <c r="T3740" s="61" ph="1"/>
    </row>
    <row r="3741" spans="20:20" ht="26.25">
      <c r="T3741" s="61" ph="1"/>
    </row>
    <row r="3742" spans="20:20" ht="26.25">
      <c r="T3742" s="61" ph="1"/>
    </row>
    <row r="3743" spans="20:20" ht="26.25">
      <c r="T3743" s="61" ph="1"/>
    </row>
    <row r="3744" spans="20:20" ht="26.25">
      <c r="T3744" s="61" ph="1"/>
    </row>
    <row r="3745" spans="20:20" ht="26.25">
      <c r="T3745" s="61" ph="1"/>
    </row>
    <row r="3746" spans="20:20" ht="26.25">
      <c r="T3746" s="61" ph="1"/>
    </row>
    <row r="3747" spans="20:20" ht="26.25">
      <c r="T3747" s="61" ph="1"/>
    </row>
    <row r="3748" spans="20:20" ht="26.25">
      <c r="T3748" s="61" ph="1"/>
    </row>
    <row r="3749" spans="20:20" ht="26.25">
      <c r="T3749" s="61" ph="1"/>
    </row>
    <row r="3750" spans="20:20" ht="26.25">
      <c r="T3750" s="61" ph="1"/>
    </row>
    <row r="3751" spans="20:20" ht="26.25">
      <c r="T3751" s="61" ph="1"/>
    </row>
    <row r="3752" spans="20:20" ht="26.25">
      <c r="T3752" s="61" ph="1"/>
    </row>
    <row r="3753" spans="20:20" ht="26.25">
      <c r="T3753" s="61" ph="1"/>
    </row>
    <row r="3754" spans="20:20" ht="26.25">
      <c r="T3754" s="61" ph="1"/>
    </row>
    <row r="3755" spans="20:20" ht="26.25">
      <c r="T3755" s="61" ph="1"/>
    </row>
    <row r="3756" spans="20:20" ht="26.25">
      <c r="T3756" s="61" ph="1"/>
    </row>
    <row r="3757" spans="20:20" ht="26.25">
      <c r="T3757" s="61" ph="1"/>
    </row>
    <row r="3758" spans="20:20" ht="26.25">
      <c r="T3758" s="61" ph="1"/>
    </row>
    <row r="3759" spans="20:20" ht="26.25">
      <c r="T3759" s="61" ph="1"/>
    </row>
    <row r="3760" spans="20:20" ht="26.25">
      <c r="T3760" s="61" ph="1"/>
    </row>
    <row r="3761" spans="20:20" ht="26.25">
      <c r="T3761" s="61" ph="1"/>
    </row>
    <row r="3762" spans="20:20" ht="26.25">
      <c r="T3762" s="61" ph="1"/>
    </row>
    <row r="3763" spans="20:20" ht="26.25">
      <c r="T3763" s="61" ph="1"/>
    </row>
    <row r="3764" spans="20:20" ht="26.25">
      <c r="T3764" s="61" ph="1"/>
    </row>
    <row r="3765" spans="20:20" ht="26.25">
      <c r="T3765" s="61" ph="1"/>
    </row>
    <row r="3766" spans="20:20" ht="26.25">
      <c r="T3766" s="61" ph="1"/>
    </row>
    <row r="3767" spans="20:20" ht="26.25">
      <c r="T3767" s="61" ph="1"/>
    </row>
    <row r="3768" spans="20:20" ht="26.25">
      <c r="T3768" s="61" ph="1"/>
    </row>
    <row r="3769" spans="20:20" ht="26.25">
      <c r="T3769" s="61" ph="1"/>
    </row>
    <row r="3770" spans="20:20" ht="26.25">
      <c r="T3770" s="61" ph="1"/>
    </row>
    <row r="3771" spans="20:20" ht="26.25">
      <c r="T3771" s="61" ph="1"/>
    </row>
    <row r="3772" spans="20:20" ht="26.25">
      <c r="T3772" s="61" ph="1"/>
    </row>
    <row r="3773" spans="20:20" ht="26.25">
      <c r="T3773" s="61" ph="1"/>
    </row>
    <row r="3774" spans="20:20" ht="26.25">
      <c r="T3774" s="61" ph="1"/>
    </row>
    <row r="3775" spans="20:20" ht="26.25">
      <c r="T3775" s="61" ph="1"/>
    </row>
    <row r="3776" spans="20:20" ht="26.25">
      <c r="T3776" s="61" ph="1"/>
    </row>
    <row r="3777" spans="20:20" ht="26.25">
      <c r="T3777" s="61" ph="1"/>
    </row>
    <row r="3778" spans="20:20" ht="26.25">
      <c r="T3778" s="61" ph="1"/>
    </row>
    <row r="3779" spans="20:20" ht="26.25">
      <c r="T3779" s="61" ph="1"/>
    </row>
    <row r="3780" spans="20:20" ht="26.25">
      <c r="T3780" s="61" ph="1"/>
    </row>
    <row r="3781" spans="20:20" ht="26.25">
      <c r="T3781" s="61" ph="1"/>
    </row>
    <row r="3782" spans="20:20" ht="26.25">
      <c r="T3782" s="61" ph="1"/>
    </row>
    <row r="3783" spans="20:20" ht="26.25">
      <c r="T3783" s="61" ph="1"/>
    </row>
    <row r="3784" spans="20:20" ht="26.25">
      <c r="T3784" s="61" ph="1"/>
    </row>
    <row r="3785" spans="20:20" ht="26.25">
      <c r="T3785" s="61" ph="1"/>
    </row>
    <row r="3786" spans="20:20" ht="26.25">
      <c r="T3786" s="61" ph="1"/>
    </row>
    <row r="3787" spans="20:20" ht="26.25">
      <c r="T3787" s="61" ph="1"/>
    </row>
    <row r="3788" spans="20:20" ht="26.25">
      <c r="T3788" s="61" ph="1"/>
    </row>
    <row r="3789" spans="20:20" ht="26.25">
      <c r="T3789" s="61" ph="1"/>
    </row>
    <row r="3790" spans="20:20" ht="26.25">
      <c r="T3790" s="61" ph="1"/>
    </row>
    <row r="3791" spans="20:20" ht="26.25">
      <c r="T3791" s="61" ph="1"/>
    </row>
    <row r="3792" spans="20:20" ht="26.25">
      <c r="T3792" s="61" ph="1"/>
    </row>
    <row r="3793" spans="20:20" ht="26.25">
      <c r="T3793" s="61" ph="1"/>
    </row>
    <row r="3794" spans="20:20" ht="26.25">
      <c r="T3794" s="61" ph="1"/>
    </row>
    <row r="3795" spans="20:20" ht="26.25">
      <c r="T3795" s="61" ph="1"/>
    </row>
    <row r="3796" spans="20:20" ht="26.25">
      <c r="T3796" s="61" ph="1"/>
    </row>
    <row r="3797" spans="20:20" ht="26.25">
      <c r="T3797" s="61" ph="1"/>
    </row>
    <row r="3798" spans="20:20" ht="26.25">
      <c r="T3798" s="61" ph="1"/>
    </row>
    <row r="3799" spans="20:20" ht="26.25">
      <c r="T3799" s="61" ph="1"/>
    </row>
    <row r="3800" spans="20:20" ht="26.25">
      <c r="T3800" s="61" ph="1"/>
    </row>
    <row r="3801" spans="20:20" ht="26.25">
      <c r="T3801" s="61" ph="1"/>
    </row>
    <row r="3802" spans="20:20" ht="26.25">
      <c r="T3802" s="61" ph="1"/>
    </row>
    <row r="3803" spans="20:20" ht="26.25">
      <c r="T3803" s="61" ph="1"/>
    </row>
    <row r="3804" spans="20:20" ht="26.25">
      <c r="T3804" s="61" ph="1"/>
    </row>
    <row r="3805" spans="20:20" ht="26.25">
      <c r="T3805" s="61" ph="1"/>
    </row>
    <row r="3806" spans="20:20" ht="26.25">
      <c r="T3806" s="61" ph="1"/>
    </row>
    <row r="3807" spans="20:20" ht="26.25">
      <c r="T3807" s="61" ph="1"/>
    </row>
    <row r="3808" spans="20:20" ht="26.25">
      <c r="T3808" s="61" ph="1"/>
    </row>
    <row r="3809" spans="20:20" ht="26.25">
      <c r="T3809" s="61" ph="1"/>
    </row>
    <row r="3810" spans="20:20" ht="26.25">
      <c r="T3810" s="61" ph="1"/>
    </row>
    <row r="3811" spans="20:20" ht="26.25">
      <c r="T3811" s="61" ph="1"/>
    </row>
    <row r="3812" spans="20:20" ht="26.25">
      <c r="T3812" s="61" ph="1"/>
    </row>
    <row r="3813" spans="20:20" ht="26.25">
      <c r="T3813" s="61" ph="1"/>
    </row>
    <row r="3814" spans="20:20" ht="26.25">
      <c r="T3814" s="61" ph="1"/>
    </row>
    <row r="3815" spans="20:20" ht="26.25">
      <c r="T3815" s="61" ph="1"/>
    </row>
    <row r="3816" spans="20:20" ht="26.25">
      <c r="T3816" s="61" ph="1"/>
    </row>
    <row r="3817" spans="20:20" ht="26.25">
      <c r="T3817" s="61" ph="1"/>
    </row>
    <row r="3818" spans="20:20" ht="26.25">
      <c r="T3818" s="61" ph="1"/>
    </row>
    <row r="3819" spans="20:20" ht="26.25">
      <c r="T3819" s="61" ph="1"/>
    </row>
    <row r="3820" spans="20:20" ht="26.25">
      <c r="T3820" s="61" ph="1"/>
    </row>
    <row r="3821" spans="20:20" ht="26.25">
      <c r="T3821" s="61" ph="1"/>
    </row>
    <row r="3822" spans="20:20" ht="26.25">
      <c r="T3822" s="61" ph="1"/>
    </row>
    <row r="3823" spans="20:20" ht="26.25">
      <c r="T3823" s="61" ph="1"/>
    </row>
    <row r="3824" spans="20:20" ht="26.25">
      <c r="T3824" s="61" ph="1"/>
    </row>
    <row r="3825" spans="20:20" ht="26.25">
      <c r="T3825" s="61" ph="1"/>
    </row>
    <row r="3826" spans="20:20" ht="26.25">
      <c r="T3826" s="61" ph="1"/>
    </row>
    <row r="3827" spans="20:20" ht="26.25">
      <c r="T3827" s="61" ph="1"/>
    </row>
    <row r="3828" spans="20:20" ht="26.25">
      <c r="T3828" s="61" ph="1"/>
    </row>
    <row r="3829" spans="20:20" ht="26.25">
      <c r="T3829" s="61" ph="1"/>
    </row>
    <row r="3830" spans="20:20" ht="26.25">
      <c r="T3830" s="61" ph="1"/>
    </row>
    <row r="3831" spans="20:20" ht="26.25">
      <c r="T3831" s="61" ph="1"/>
    </row>
    <row r="3832" spans="20:20" ht="26.25">
      <c r="T3832" s="61" ph="1"/>
    </row>
    <row r="3833" spans="20:20" ht="26.25">
      <c r="T3833" s="61" ph="1"/>
    </row>
    <row r="3834" spans="20:20" ht="26.25">
      <c r="T3834" s="61" ph="1"/>
    </row>
    <row r="3835" spans="20:20" ht="26.25">
      <c r="T3835" s="61" ph="1"/>
    </row>
    <row r="3836" spans="20:20" ht="26.25">
      <c r="T3836" s="61" ph="1"/>
    </row>
    <row r="3837" spans="20:20" ht="26.25">
      <c r="T3837" s="61" ph="1"/>
    </row>
    <row r="3838" spans="20:20" ht="26.25">
      <c r="T3838" s="61" ph="1"/>
    </row>
    <row r="3839" spans="20:20" ht="26.25">
      <c r="T3839" s="61" ph="1"/>
    </row>
    <row r="3840" spans="20:20" ht="26.25">
      <c r="T3840" s="61" ph="1"/>
    </row>
    <row r="3841" spans="20:20" ht="26.25">
      <c r="T3841" s="61" ph="1"/>
    </row>
    <row r="3842" spans="20:20" ht="26.25">
      <c r="T3842" s="61" ph="1"/>
    </row>
    <row r="3843" spans="20:20" ht="26.25">
      <c r="T3843" s="61" ph="1"/>
    </row>
    <row r="3844" spans="20:20" ht="26.25">
      <c r="T3844" s="61" ph="1"/>
    </row>
    <row r="3845" spans="20:20" ht="26.25">
      <c r="T3845" s="61" ph="1"/>
    </row>
    <row r="3846" spans="20:20" ht="26.25">
      <c r="T3846" s="61" ph="1"/>
    </row>
    <row r="3847" spans="20:20" ht="26.25">
      <c r="T3847" s="61" ph="1"/>
    </row>
    <row r="3848" spans="20:20" ht="26.25">
      <c r="T3848" s="61" ph="1"/>
    </row>
    <row r="3849" spans="20:20" ht="26.25">
      <c r="T3849" s="61" ph="1"/>
    </row>
    <row r="3850" spans="20:20" ht="26.25">
      <c r="T3850" s="61" ph="1"/>
    </row>
    <row r="3851" spans="20:20" ht="26.25">
      <c r="T3851" s="61" ph="1"/>
    </row>
    <row r="3852" spans="20:20" ht="26.25">
      <c r="T3852" s="61" ph="1"/>
    </row>
    <row r="3853" spans="20:20" ht="26.25">
      <c r="T3853" s="61" ph="1"/>
    </row>
    <row r="3854" spans="20:20" ht="26.25">
      <c r="T3854" s="61" ph="1"/>
    </row>
    <row r="3855" spans="20:20" ht="26.25">
      <c r="T3855" s="61" ph="1"/>
    </row>
    <row r="3856" spans="20:20" ht="26.25">
      <c r="T3856" s="61" ph="1"/>
    </row>
    <row r="3857" spans="20:20" ht="26.25">
      <c r="T3857" s="61" ph="1"/>
    </row>
    <row r="3858" spans="20:20" ht="26.25">
      <c r="T3858" s="61" ph="1"/>
    </row>
    <row r="3859" spans="20:20" ht="26.25">
      <c r="T3859" s="61" ph="1"/>
    </row>
    <row r="3860" spans="20:20" ht="26.25">
      <c r="T3860" s="61" ph="1"/>
    </row>
    <row r="3861" spans="20:20" ht="26.25">
      <c r="T3861" s="61" ph="1"/>
    </row>
    <row r="3862" spans="20:20" ht="26.25">
      <c r="T3862" s="61" ph="1"/>
    </row>
    <row r="3863" spans="20:20" ht="26.25">
      <c r="T3863" s="61" ph="1"/>
    </row>
    <row r="3864" spans="20:20" ht="26.25">
      <c r="T3864" s="61" ph="1"/>
    </row>
    <row r="3865" spans="20:20" ht="26.25">
      <c r="T3865" s="61" ph="1"/>
    </row>
    <row r="3866" spans="20:20" ht="26.25">
      <c r="T3866" s="61" ph="1"/>
    </row>
    <row r="3867" spans="20:20" ht="26.25">
      <c r="T3867" s="61" ph="1"/>
    </row>
    <row r="3868" spans="20:20" ht="26.25">
      <c r="T3868" s="61" ph="1"/>
    </row>
    <row r="3869" spans="20:20" ht="26.25">
      <c r="T3869" s="61" ph="1"/>
    </row>
    <row r="3870" spans="20:20" ht="26.25">
      <c r="T3870" s="61" ph="1"/>
    </row>
    <row r="3871" spans="20:20" ht="26.25">
      <c r="T3871" s="61" ph="1"/>
    </row>
    <row r="3872" spans="20:20" ht="26.25">
      <c r="T3872" s="61" ph="1"/>
    </row>
    <row r="3873" spans="20:20" ht="26.25">
      <c r="T3873" s="61" ph="1"/>
    </row>
    <row r="3874" spans="20:20" ht="26.25">
      <c r="T3874" s="61" ph="1"/>
    </row>
    <row r="3875" spans="20:20" ht="26.25">
      <c r="T3875" s="61" ph="1"/>
    </row>
    <row r="3876" spans="20:20" ht="26.25">
      <c r="T3876" s="61" ph="1"/>
    </row>
    <row r="3877" spans="20:20" ht="26.25">
      <c r="T3877" s="61" ph="1"/>
    </row>
    <row r="3878" spans="20:20" ht="26.25">
      <c r="T3878" s="61" ph="1"/>
    </row>
    <row r="3879" spans="20:20" ht="26.25">
      <c r="T3879" s="61" ph="1"/>
    </row>
    <row r="3880" spans="20:20" ht="26.25">
      <c r="T3880" s="61" ph="1"/>
    </row>
    <row r="3881" spans="20:20" ht="26.25">
      <c r="T3881" s="61" ph="1"/>
    </row>
    <row r="3882" spans="20:20" ht="26.25">
      <c r="T3882" s="61" ph="1"/>
    </row>
    <row r="3883" spans="20:20" ht="26.25">
      <c r="T3883" s="61" ph="1"/>
    </row>
    <row r="3884" spans="20:20" ht="26.25">
      <c r="T3884" s="61" ph="1"/>
    </row>
    <row r="3885" spans="20:20" ht="26.25">
      <c r="T3885" s="61" ph="1"/>
    </row>
    <row r="3886" spans="20:20" ht="26.25">
      <c r="T3886" s="61" ph="1"/>
    </row>
    <row r="3887" spans="20:20" ht="26.25">
      <c r="T3887" s="61" ph="1"/>
    </row>
    <row r="3888" spans="20:20" ht="26.25">
      <c r="T3888" s="61" ph="1"/>
    </row>
    <row r="3889" spans="20:20" ht="26.25">
      <c r="T3889" s="61" ph="1"/>
    </row>
    <row r="3890" spans="20:20" ht="26.25">
      <c r="T3890" s="61" ph="1"/>
    </row>
    <row r="3891" spans="20:20" ht="26.25">
      <c r="T3891" s="61" ph="1"/>
    </row>
    <row r="3892" spans="20:20" ht="26.25">
      <c r="T3892" s="61" ph="1"/>
    </row>
    <row r="3893" spans="20:20" ht="26.25">
      <c r="T3893" s="61" ph="1"/>
    </row>
    <row r="3894" spans="20:20" ht="26.25">
      <c r="T3894" s="61" ph="1"/>
    </row>
    <row r="3895" spans="20:20" ht="26.25">
      <c r="T3895" s="61" ph="1"/>
    </row>
    <row r="3896" spans="20:20" ht="26.25">
      <c r="T3896" s="61" ph="1"/>
    </row>
    <row r="3897" spans="20:20" ht="26.25">
      <c r="T3897" s="61" ph="1"/>
    </row>
    <row r="3898" spans="20:20" ht="26.25">
      <c r="T3898" s="61" ph="1"/>
    </row>
    <row r="3899" spans="20:20" ht="26.25">
      <c r="T3899" s="61" ph="1"/>
    </row>
    <row r="3900" spans="20:20" ht="26.25">
      <c r="T3900" s="61" ph="1"/>
    </row>
    <row r="3901" spans="20:20" ht="26.25">
      <c r="T3901" s="61" ph="1"/>
    </row>
    <row r="3902" spans="20:20" ht="26.25">
      <c r="T3902" s="61" ph="1"/>
    </row>
    <row r="3903" spans="20:20" ht="26.25">
      <c r="T3903" s="61" ph="1"/>
    </row>
    <row r="3904" spans="20:20" ht="26.25">
      <c r="T3904" s="61" ph="1"/>
    </row>
    <row r="3905" spans="20:20" ht="26.25">
      <c r="T3905" s="61" ph="1"/>
    </row>
    <row r="3906" spans="20:20" ht="26.25">
      <c r="T3906" s="61" ph="1"/>
    </row>
    <row r="3907" spans="20:20" ht="26.25">
      <c r="T3907" s="61" ph="1"/>
    </row>
    <row r="3908" spans="20:20" ht="26.25">
      <c r="T3908" s="61" ph="1"/>
    </row>
    <row r="3909" spans="20:20" ht="26.25">
      <c r="T3909" s="61" ph="1"/>
    </row>
    <row r="3910" spans="20:20" ht="26.25">
      <c r="T3910" s="61" ph="1"/>
    </row>
    <row r="3911" spans="20:20" ht="26.25">
      <c r="T3911" s="61" ph="1"/>
    </row>
    <row r="3912" spans="20:20" ht="26.25">
      <c r="T3912" s="61" ph="1"/>
    </row>
    <row r="3913" spans="20:20" ht="26.25">
      <c r="T3913" s="61" ph="1"/>
    </row>
    <row r="3914" spans="20:20" ht="26.25">
      <c r="T3914" s="61" ph="1"/>
    </row>
    <row r="3915" spans="20:20" ht="26.25">
      <c r="T3915" s="61" ph="1"/>
    </row>
    <row r="3916" spans="20:20" ht="26.25">
      <c r="T3916" s="61" ph="1"/>
    </row>
    <row r="3917" spans="20:20" ht="26.25">
      <c r="T3917" s="61" ph="1"/>
    </row>
    <row r="3918" spans="20:20" ht="26.25">
      <c r="T3918" s="61" ph="1"/>
    </row>
    <row r="3919" spans="20:20" ht="26.25">
      <c r="T3919" s="61" ph="1"/>
    </row>
    <row r="3920" spans="20:20" ht="26.25">
      <c r="T3920" s="61" ph="1"/>
    </row>
    <row r="3921" spans="20:20" ht="26.25">
      <c r="T3921" s="61" ph="1"/>
    </row>
    <row r="3922" spans="20:20" ht="26.25">
      <c r="T3922" s="61" ph="1"/>
    </row>
    <row r="3923" spans="20:20" ht="26.25">
      <c r="T3923" s="61" ph="1"/>
    </row>
    <row r="3924" spans="20:20" ht="26.25">
      <c r="T3924" s="61" ph="1"/>
    </row>
    <row r="3925" spans="20:20" ht="26.25">
      <c r="T3925" s="61" ph="1"/>
    </row>
    <row r="3926" spans="20:20" ht="26.25">
      <c r="T3926" s="61" ph="1"/>
    </row>
    <row r="3927" spans="20:20" ht="26.25">
      <c r="T3927" s="61" ph="1"/>
    </row>
    <row r="3928" spans="20:20" ht="26.25">
      <c r="T3928" s="61" ph="1"/>
    </row>
    <row r="3929" spans="20:20" ht="26.25">
      <c r="T3929" s="61" ph="1"/>
    </row>
    <row r="3930" spans="20:20" ht="26.25">
      <c r="T3930" s="61" ph="1"/>
    </row>
    <row r="3931" spans="20:20" ht="26.25">
      <c r="T3931" s="61" ph="1"/>
    </row>
    <row r="3932" spans="20:20" ht="26.25">
      <c r="T3932" s="61" ph="1"/>
    </row>
    <row r="3933" spans="20:20" ht="26.25">
      <c r="T3933" s="61" ph="1"/>
    </row>
    <row r="3934" spans="20:20" ht="26.25">
      <c r="T3934" s="61" ph="1"/>
    </row>
    <row r="3935" spans="20:20" ht="26.25">
      <c r="T3935" s="61" ph="1"/>
    </row>
    <row r="3936" spans="20:20" ht="26.25">
      <c r="T3936" s="61" ph="1"/>
    </row>
    <row r="3937" spans="20:20" ht="26.25">
      <c r="T3937" s="61" ph="1"/>
    </row>
    <row r="3938" spans="20:20" ht="26.25">
      <c r="T3938" s="61" ph="1"/>
    </row>
    <row r="3939" spans="20:20" ht="26.25">
      <c r="T3939" s="61" ph="1"/>
    </row>
    <row r="3940" spans="20:20" ht="26.25">
      <c r="T3940" s="61" ph="1"/>
    </row>
    <row r="3941" spans="20:20" ht="26.25">
      <c r="T3941" s="61" ph="1"/>
    </row>
    <row r="3942" spans="20:20" ht="26.25">
      <c r="T3942" s="61" ph="1"/>
    </row>
    <row r="3943" spans="20:20" ht="26.25">
      <c r="T3943" s="61" ph="1"/>
    </row>
    <row r="3944" spans="20:20" ht="26.25">
      <c r="T3944" s="61" ph="1"/>
    </row>
    <row r="3945" spans="20:20" ht="26.25">
      <c r="T3945" s="61" ph="1"/>
    </row>
    <row r="3946" spans="20:20" ht="26.25">
      <c r="T3946" s="61" ph="1"/>
    </row>
    <row r="3947" spans="20:20" ht="26.25">
      <c r="T3947" s="61" ph="1"/>
    </row>
    <row r="3948" spans="20:20" ht="26.25">
      <c r="T3948" s="61" ph="1"/>
    </row>
    <row r="3949" spans="20:20" ht="26.25">
      <c r="T3949" s="61" ph="1"/>
    </row>
    <row r="3950" spans="20:20" ht="26.25">
      <c r="T3950" s="61" ph="1"/>
    </row>
    <row r="3951" spans="20:20" ht="26.25">
      <c r="T3951" s="61" ph="1"/>
    </row>
    <row r="3952" spans="20:20" ht="26.25">
      <c r="T3952" s="61" ph="1"/>
    </row>
    <row r="3953" spans="20:20" ht="26.25">
      <c r="T3953" s="61" ph="1"/>
    </row>
    <row r="3954" spans="20:20" ht="26.25">
      <c r="T3954" s="61" ph="1"/>
    </row>
    <row r="3955" spans="20:20" ht="26.25">
      <c r="T3955" s="61" ph="1"/>
    </row>
    <row r="3956" spans="20:20" ht="26.25">
      <c r="T3956" s="61" ph="1"/>
    </row>
    <row r="3957" spans="20:20" ht="26.25">
      <c r="T3957" s="61" ph="1"/>
    </row>
    <row r="3958" spans="20:20" ht="26.25">
      <c r="T3958" s="61" ph="1"/>
    </row>
    <row r="3959" spans="20:20" ht="26.25">
      <c r="T3959" s="61" ph="1"/>
    </row>
    <row r="3960" spans="20:20" ht="26.25">
      <c r="T3960" s="61" ph="1"/>
    </row>
    <row r="3961" spans="20:20" ht="26.25">
      <c r="T3961" s="61" ph="1"/>
    </row>
    <row r="3962" spans="20:20" ht="26.25">
      <c r="T3962" s="61" ph="1"/>
    </row>
    <row r="3963" spans="20:20" ht="26.25">
      <c r="T3963" s="61" ph="1"/>
    </row>
    <row r="3964" spans="20:20" ht="26.25">
      <c r="T3964" s="61" ph="1"/>
    </row>
    <row r="3965" spans="20:20" ht="26.25">
      <c r="T3965" s="61" ph="1"/>
    </row>
    <row r="3966" spans="20:20" ht="26.25">
      <c r="T3966" s="61" ph="1"/>
    </row>
    <row r="3967" spans="20:20" ht="26.25">
      <c r="T3967" s="61" ph="1"/>
    </row>
    <row r="3968" spans="20:20" ht="26.25">
      <c r="T3968" s="61" ph="1"/>
    </row>
    <row r="3969" spans="20:20" ht="26.25">
      <c r="T3969" s="61" ph="1"/>
    </row>
    <row r="3970" spans="20:20" ht="26.25">
      <c r="T3970" s="61" ph="1"/>
    </row>
    <row r="3971" spans="20:20" ht="26.25">
      <c r="T3971" s="61" ph="1"/>
    </row>
    <row r="3972" spans="20:20" ht="26.25">
      <c r="T3972" s="61" ph="1"/>
    </row>
    <row r="3973" spans="20:20" ht="26.25">
      <c r="T3973" s="61" ph="1"/>
    </row>
    <row r="3974" spans="20:20" ht="26.25">
      <c r="T3974" s="61" ph="1"/>
    </row>
    <row r="3975" spans="20:20" ht="26.25">
      <c r="T3975" s="61" ph="1"/>
    </row>
    <row r="3976" spans="20:20" ht="26.25">
      <c r="T3976" s="61" ph="1"/>
    </row>
    <row r="3977" spans="20:20" ht="26.25">
      <c r="T3977" s="61" ph="1"/>
    </row>
    <row r="3978" spans="20:20" ht="26.25">
      <c r="T3978" s="61" ph="1"/>
    </row>
    <row r="3979" spans="20:20" ht="26.25">
      <c r="T3979" s="61" ph="1"/>
    </row>
    <row r="3980" spans="20:20" ht="26.25">
      <c r="T3980" s="61" ph="1"/>
    </row>
    <row r="3981" spans="20:20" ht="26.25">
      <c r="T3981" s="61" ph="1"/>
    </row>
    <row r="3982" spans="20:20" ht="26.25">
      <c r="T3982" s="61" ph="1"/>
    </row>
    <row r="3983" spans="20:20" ht="26.25">
      <c r="T3983" s="61" ph="1"/>
    </row>
    <row r="3984" spans="20:20" ht="26.25">
      <c r="T3984" s="61" ph="1"/>
    </row>
    <row r="3985" spans="20:20" ht="26.25">
      <c r="T3985" s="61" ph="1"/>
    </row>
    <row r="3986" spans="20:20" ht="26.25">
      <c r="T3986" s="61" ph="1"/>
    </row>
    <row r="3987" spans="20:20" ht="26.25">
      <c r="T3987" s="61" ph="1"/>
    </row>
    <row r="3988" spans="20:20" ht="26.25">
      <c r="T3988" s="61" ph="1"/>
    </row>
    <row r="3989" spans="20:20" ht="26.25">
      <c r="T3989" s="61" ph="1"/>
    </row>
    <row r="3990" spans="20:20" ht="26.25">
      <c r="T3990" s="61" ph="1"/>
    </row>
    <row r="3991" spans="20:20" ht="26.25">
      <c r="T3991" s="61" ph="1"/>
    </row>
    <row r="3992" spans="20:20" ht="26.25">
      <c r="T3992" s="61" ph="1"/>
    </row>
    <row r="3993" spans="20:20" ht="26.25">
      <c r="T3993" s="61" ph="1"/>
    </row>
    <row r="3994" spans="20:20" ht="26.25">
      <c r="T3994" s="61" ph="1"/>
    </row>
    <row r="3995" spans="20:20" ht="26.25">
      <c r="T3995" s="61" ph="1"/>
    </row>
    <row r="3996" spans="20:20" ht="26.25">
      <c r="T3996" s="61" ph="1"/>
    </row>
    <row r="3997" spans="20:20" ht="26.25">
      <c r="T3997" s="61" ph="1"/>
    </row>
    <row r="3998" spans="20:20" ht="26.25">
      <c r="T3998" s="61" ph="1"/>
    </row>
    <row r="3999" spans="20:20" ht="26.25">
      <c r="T3999" s="61" ph="1"/>
    </row>
    <row r="4000" spans="20:20" ht="26.25">
      <c r="T4000" s="61" ph="1"/>
    </row>
    <row r="4001" spans="20:20" ht="26.25">
      <c r="T4001" s="61" ph="1"/>
    </row>
    <row r="4002" spans="20:20" ht="26.25">
      <c r="T4002" s="61" ph="1"/>
    </row>
    <row r="4003" spans="20:20" ht="26.25">
      <c r="T4003" s="61" ph="1"/>
    </row>
    <row r="4004" spans="20:20" ht="26.25">
      <c r="T4004" s="61" ph="1"/>
    </row>
    <row r="4005" spans="20:20" ht="26.25">
      <c r="T4005" s="61" ph="1"/>
    </row>
    <row r="4006" spans="20:20" ht="26.25">
      <c r="T4006" s="61" ph="1"/>
    </row>
    <row r="4007" spans="20:20" ht="26.25">
      <c r="T4007" s="61" ph="1"/>
    </row>
    <row r="4008" spans="20:20" ht="26.25">
      <c r="T4008" s="61" ph="1"/>
    </row>
    <row r="4009" spans="20:20" ht="26.25">
      <c r="T4009" s="61" ph="1"/>
    </row>
    <row r="4010" spans="20:20" ht="26.25">
      <c r="T4010" s="61" ph="1"/>
    </row>
    <row r="4011" spans="20:20" ht="26.25">
      <c r="T4011" s="61" ph="1"/>
    </row>
    <row r="4012" spans="20:20" ht="26.25">
      <c r="T4012" s="61" ph="1"/>
    </row>
    <row r="4013" spans="20:20" ht="26.25">
      <c r="T4013" s="61" ph="1"/>
    </row>
    <row r="4014" spans="20:20" ht="26.25">
      <c r="T4014" s="61" ph="1"/>
    </row>
    <row r="4015" spans="20:20" ht="26.25">
      <c r="T4015" s="61" ph="1"/>
    </row>
    <row r="4016" spans="20:20" ht="26.25">
      <c r="T4016" s="61" ph="1"/>
    </row>
    <row r="4017" spans="20:20" ht="26.25">
      <c r="T4017" s="61" ph="1"/>
    </row>
    <row r="4018" spans="20:20" ht="26.25">
      <c r="T4018" s="61" ph="1"/>
    </row>
    <row r="4019" spans="20:20" ht="26.25">
      <c r="T4019" s="61" ph="1"/>
    </row>
    <row r="4020" spans="20:20" ht="26.25">
      <c r="T4020" s="61" ph="1"/>
    </row>
    <row r="4021" spans="20:20" ht="26.25">
      <c r="T4021" s="61" ph="1"/>
    </row>
    <row r="4022" spans="20:20" ht="26.25">
      <c r="T4022" s="61" ph="1"/>
    </row>
    <row r="4023" spans="20:20" ht="26.25">
      <c r="T4023" s="61" ph="1"/>
    </row>
    <row r="4024" spans="20:20" ht="26.25">
      <c r="T4024" s="61" ph="1"/>
    </row>
    <row r="4025" spans="20:20" ht="26.25">
      <c r="T4025" s="61" ph="1"/>
    </row>
    <row r="4026" spans="20:20" ht="26.25">
      <c r="T4026" s="61" ph="1"/>
    </row>
    <row r="4027" spans="20:20" ht="26.25">
      <c r="T4027" s="61" ph="1"/>
    </row>
    <row r="4028" spans="20:20" ht="26.25">
      <c r="T4028" s="61" ph="1"/>
    </row>
    <row r="4029" spans="20:20" ht="26.25">
      <c r="T4029" s="61" ph="1"/>
    </row>
    <row r="4030" spans="20:20" ht="26.25">
      <c r="T4030" s="61" ph="1"/>
    </row>
    <row r="4031" spans="20:20" ht="26.25">
      <c r="T4031" s="61" ph="1"/>
    </row>
    <row r="4032" spans="20:20" ht="26.25">
      <c r="T4032" s="61" ph="1"/>
    </row>
    <row r="4033" spans="20:20" ht="26.25">
      <c r="T4033" s="61" ph="1"/>
    </row>
    <row r="4034" spans="20:20" ht="26.25">
      <c r="T4034" s="61" ph="1"/>
    </row>
    <row r="4035" spans="20:20" ht="26.25">
      <c r="T4035" s="61" ph="1"/>
    </row>
    <row r="4036" spans="20:20" ht="26.25">
      <c r="T4036" s="61" ph="1"/>
    </row>
    <row r="4037" spans="20:20" ht="26.25">
      <c r="T4037" s="61" ph="1"/>
    </row>
    <row r="4038" spans="20:20" ht="26.25">
      <c r="T4038" s="61" ph="1"/>
    </row>
    <row r="4039" spans="20:20" ht="26.25">
      <c r="T4039" s="61" ph="1"/>
    </row>
    <row r="4040" spans="20:20" ht="26.25">
      <c r="T4040" s="61" ph="1"/>
    </row>
    <row r="4041" spans="20:20" ht="26.25">
      <c r="T4041" s="61" ph="1"/>
    </row>
    <row r="4042" spans="20:20" ht="26.25">
      <c r="T4042" s="61" ph="1"/>
    </row>
    <row r="4043" spans="20:20" ht="26.25">
      <c r="T4043" s="61" ph="1"/>
    </row>
    <row r="4044" spans="20:20" ht="26.25">
      <c r="T4044" s="61" ph="1"/>
    </row>
    <row r="4045" spans="20:20" ht="26.25">
      <c r="T4045" s="61" ph="1"/>
    </row>
    <row r="4046" spans="20:20" ht="26.25">
      <c r="T4046" s="61" ph="1"/>
    </row>
    <row r="4047" spans="20:20" ht="26.25">
      <c r="T4047" s="61" ph="1"/>
    </row>
    <row r="4048" spans="20:20" ht="26.25">
      <c r="T4048" s="61" ph="1"/>
    </row>
    <row r="4049" spans="20:20" ht="26.25">
      <c r="T4049" s="61" ph="1"/>
    </row>
    <row r="4050" spans="20:20" ht="26.25">
      <c r="T4050" s="61" ph="1"/>
    </row>
    <row r="4051" spans="20:20" ht="26.25">
      <c r="T4051" s="61" ph="1"/>
    </row>
    <row r="4052" spans="20:20" ht="26.25">
      <c r="T4052" s="61" ph="1"/>
    </row>
    <row r="4053" spans="20:20" ht="26.25">
      <c r="T4053" s="61" ph="1"/>
    </row>
    <row r="4054" spans="20:20" ht="26.25">
      <c r="T4054" s="61" ph="1"/>
    </row>
    <row r="4055" spans="20:20" ht="26.25">
      <c r="T4055" s="61" ph="1"/>
    </row>
    <row r="4056" spans="20:20" ht="26.25">
      <c r="T4056" s="61" ph="1"/>
    </row>
    <row r="4057" spans="20:20" ht="26.25">
      <c r="T4057" s="61" ph="1"/>
    </row>
    <row r="4058" spans="20:20" ht="26.25">
      <c r="T4058" s="61" ph="1"/>
    </row>
    <row r="4059" spans="20:20" ht="26.25">
      <c r="T4059" s="61" ph="1"/>
    </row>
    <row r="4060" spans="20:20" ht="26.25">
      <c r="T4060" s="61" ph="1"/>
    </row>
    <row r="4061" spans="20:20" ht="26.25">
      <c r="T4061" s="61" ph="1"/>
    </row>
    <row r="4062" spans="20:20" ht="26.25">
      <c r="T4062" s="61" ph="1"/>
    </row>
    <row r="4063" spans="20:20" ht="26.25">
      <c r="T4063" s="61" ph="1"/>
    </row>
    <row r="4064" spans="20:20" ht="26.25">
      <c r="T4064" s="61" ph="1"/>
    </row>
    <row r="4065" spans="20:20" ht="26.25">
      <c r="T4065" s="61" ph="1"/>
    </row>
    <row r="4066" spans="20:20" ht="26.25">
      <c r="T4066" s="61" ph="1"/>
    </row>
    <row r="4067" spans="20:20" ht="26.25">
      <c r="T4067" s="61" ph="1"/>
    </row>
    <row r="4068" spans="20:20" ht="26.25">
      <c r="T4068" s="61" ph="1"/>
    </row>
    <row r="4069" spans="20:20" ht="26.25">
      <c r="T4069" s="61" ph="1"/>
    </row>
    <row r="4070" spans="20:20" ht="26.25">
      <c r="T4070" s="61" ph="1"/>
    </row>
    <row r="4071" spans="20:20" ht="26.25">
      <c r="T4071" s="61" ph="1"/>
    </row>
    <row r="4072" spans="20:20" ht="26.25">
      <c r="T4072" s="61" ph="1"/>
    </row>
    <row r="4073" spans="20:20" ht="26.25">
      <c r="T4073" s="61" ph="1"/>
    </row>
    <row r="4074" spans="20:20" ht="26.25">
      <c r="T4074" s="61" ph="1"/>
    </row>
    <row r="4075" spans="20:20" ht="26.25">
      <c r="T4075" s="61" ph="1"/>
    </row>
    <row r="4076" spans="20:20" ht="26.25">
      <c r="T4076" s="61" ph="1"/>
    </row>
    <row r="4077" spans="20:20" ht="26.25">
      <c r="T4077" s="61" ph="1"/>
    </row>
    <row r="4078" spans="20:20" ht="26.25">
      <c r="T4078" s="61" ph="1"/>
    </row>
    <row r="4079" spans="20:20" ht="26.25">
      <c r="T4079" s="61" ph="1"/>
    </row>
    <row r="4080" spans="20:20" ht="26.25">
      <c r="T4080" s="61" ph="1"/>
    </row>
    <row r="4081" spans="20:20" ht="26.25">
      <c r="T4081" s="61" ph="1"/>
    </row>
    <row r="4082" spans="20:20" ht="26.25">
      <c r="T4082" s="61" ph="1"/>
    </row>
    <row r="4083" spans="20:20" ht="26.25">
      <c r="T4083" s="61" ph="1"/>
    </row>
    <row r="4084" spans="20:20" ht="26.25">
      <c r="T4084" s="61" ph="1"/>
    </row>
    <row r="4085" spans="20:20" ht="26.25">
      <c r="T4085" s="61" ph="1"/>
    </row>
    <row r="4086" spans="20:20" ht="26.25">
      <c r="T4086" s="61" ph="1"/>
    </row>
    <row r="4087" spans="20:20" ht="26.25">
      <c r="T4087" s="61" ph="1"/>
    </row>
    <row r="4088" spans="20:20" ht="26.25">
      <c r="T4088" s="61" ph="1"/>
    </row>
    <row r="4089" spans="20:20" ht="26.25">
      <c r="T4089" s="61" ph="1"/>
    </row>
    <row r="4090" spans="20:20" ht="26.25">
      <c r="T4090" s="61" ph="1"/>
    </row>
    <row r="4091" spans="20:20" ht="26.25">
      <c r="T4091" s="61" ph="1"/>
    </row>
    <row r="4092" spans="20:20" ht="26.25">
      <c r="T4092" s="61" ph="1"/>
    </row>
    <row r="4093" spans="20:20" ht="26.25">
      <c r="T4093" s="61" ph="1"/>
    </row>
    <row r="4094" spans="20:20" ht="26.25">
      <c r="T4094" s="61" ph="1"/>
    </row>
    <row r="4095" spans="20:20" ht="26.25">
      <c r="T4095" s="61" ph="1"/>
    </row>
    <row r="4096" spans="20:20" ht="26.25">
      <c r="T4096" s="61" ph="1"/>
    </row>
    <row r="4097" spans="20:20" ht="26.25">
      <c r="T4097" s="61" ph="1"/>
    </row>
    <row r="4098" spans="20:20" ht="26.25">
      <c r="T4098" s="61" ph="1"/>
    </row>
    <row r="4099" spans="20:20" ht="26.25">
      <c r="T4099" s="61" ph="1"/>
    </row>
    <row r="4100" spans="20:20" ht="26.25">
      <c r="T4100" s="61" ph="1"/>
    </row>
    <row r="4101" spans="20:20" ht="26.25">
      <c r="T4101" s="61" ph="1"/>
    </row>
    <row r="4102" spans="20:20" ht="26.25">
      <c r="T4102" s="61" ph="1"/>
    </row>
    <row r="4103" spans="20:20" ht="26.25">
      <c r="T4103" s="61" ph="1"/>
    </row>
    <row r="4104" spans="20:20" ht="26.25">
      <c r="T4104" s="61" ph="1"/>
    </row>
    <row r="4105" spans="20:20" ht="26.25">
      <c r="T4105" s="61" ph="1"/>
    </row>
    <row r="4106" spans="20:20" ht="26.25">
      <c r="T4106" s="61" ph="1"/>
    </row>
    <row r="4107" spans="20:20" ht="26.25">
      <c r="T4107" s="61" ph="1"/>
    </row>
    <row r="4108" spans="20:20" ht="26.25">
      <c r="T4108" s="61" ph="1"/>
    </row>
    <row r="4109" spans="20:20" ht="26.25">
      <c r="T4109" s="61" ph="1"/>
    </row>
    <row r="4110" spans="20:20" ht="26.25">
      <c r="T4110" s="61" ph="1"/>
    </row>
    <row r="4111" spans="20:20" ht="26.25">
      <c r="T4111" s="61" ph="1"/>
    </row>
    <row r="4112" spans="20:20" ht="26.25">
      <c r="T4112" s="61" ph="1"/>
    </row>
    <row r="4113" spans="20:20" ht="26.25">
      <c r="T4113" s="61" ph="1"/>
    </row>
    <row r="4114" spans="20:20" ht="26.25">
      <c r="T4114" s="61" ph="1"/>
    </row>
    <row r="4115" spans="20:20" ht="26.25">
      <c r="T4115" s="61" ph="1"/>
    </row>
    <row r="4116" spans="20:20" ht="26.25">
      <c r="T4116" s="61" ph="1"/>
    </row>
    <row r="4117" spans="20:20" ht="26.25">
      <c r="T4117" s="61" ph="1"/>
    </row>
    <row r="4118" spans="20:20" ht="26.25">
      <c r="T4118" s="61" ph="1"/>
    </row>
    <row r="4119" spans="20:20" ht="26.25">
      <c r="T4119" s="61" ph="1"/>
    </row>
    <row r="4120" spans="20:20" ht="26.25">
      <c r="T4120" s="61" ph="1"/>
    </row>
    <row r="4121" spans="20:20" ht="26.25">
      <c r="T4121" s="61" ph="1"/>
    </row>
    <row r="4122" spans="20:20" ht="26.25">
      <c r="T4122" s="61" ph="1"/>
    </row>
    <row r="4123" spans="20:20" ht="26.25">
      <c r="T4123" s="61" ph="1"/>
    </row>
    <row r="4124" spans="20:20" ht="26.25">
      <c r="T4124" s="61" ph="1"/>
    </row>
    <row r="4125" spans="20:20" ht="26.25">
      <c r="T4125" s="61" ph="1"/>
    </row>
    <row r="4126" spans="20:20" ht="26.25">
      <c r="T4126" s="61" ph="1"/>
    </row>
    <row r="4127" spans="20:20" ht="26.25">
      <c r="T4127" s="61" ph="1"/>
    </row>
    <row r="4128" spans="20:20" ht="26.25">
      <c r="T4128" s="61" ph="1"/>
    </row>
    <row r="4129" spans="20:20" ht="26.25">
      <c r="T4129" s="61" ph="1"/>
    </row>
    <row r="4130" spans="20:20" ht="26.25">
      <c r="T4130" s="61" ph="1"/>
    </row>
    <row r="4131" spans="20:20" ht="26.25">
      <c r="T4131" s="61" ph="1"/>
    </row>
    <row r="4132" spans="20:20" ht="26.25">
      <c r="T4132" s="61" ph="1"/>
    </row>
    <row r="4133" spans="20:20" ht="26.25">
      <c r="T4133" s="61" ph="1"/>
    </row>
    <row r="4134" spans="20:20" ht="26.25">
      <c r="T4134" s="61" ph="1"/>
    </row>
    <row r="4135" spans="20:20" ht="26.25">
      <c r="T4135" s="61" ph="1"/>
    </row>
    <row r="4136" spans="20:20" ht="26.25">
      <c r="T4136" s="61" ph="1"/>
    </row>
    <row r="4137" spans="20:20" ht="26.25">
      <c r="T4137" s="61" ph="1"/>
    </row>
    <row r="4138" spans="20:20" ht="26.25">
      <c r="T4138" s="61" ph="1"/>
    </row>
    <row r="4139" spans="20:20" ht="26.25">
      <c r="T4139" s="61" ph="1"/>
    </row>
    <row r="4140" spans="20:20" ht="26.25">
      <c r="T4140" s="61" ph="1"/>
    </row>
    <row r="4141" spans="20:20" ht="26.25">
      <c r="T4141" s="61" ph="1"/>
    </row>
    <row r="4142" spans="20:20" ht="26.25">
      <c r="T4142" s="61" ph="1"/>
    </row>
    <row r="4143" spans="20:20" ht="26.25">
      <c r="T4143" s="61" ph="1"/>
    </row>
    <row r="4144" spans="20:20" ht="26.25">
      <c r="T4144" s="61" ph="1"/>
    </row>
    <row r="4145" spans="20:20" ht="26.25">
      <c r="T4145" s="61" ph="1"/>
    </row>
    <row r="4146" spans="20:20" ht="26.25">
      <c r="T4146" s="61" ph="1"/>
    </row>
    <row r="4147" spans="20:20" ht="26.25">
      <c r="T4147" s="61" ph="1"/>
    </row>
    <row r="4148" spans="20:20" ht="26.25">
      <c r="T4148" s="61" ph="1"/>
    </row>
    <row r="4149" spans="20:20" ht="26.25">
      <c r="T4149" s="61" ph="1"/>
    </row>
    <row r="4150" spans="20:20" ht="26.25">
      <c r="T4150" s="61" ph="1"/>
    </row>
    <row r="4151" spans="20:20" ht="26.25">
      <c r="T4151" s="61" ph="1"/>
    </row>
    <row r="4152" spans="20:20" ht="26.25">
      <c r="T4152" s="61" ph="1"/>
    </row>
    <row r="4153" spans="20:20" ht="26.25">
      <c r="T4153" s="61" ph="1"/>
    </row>
    <row r="4154" spans="20:20" ht="26.25">
      <c r="T4154" s="61" ph="1"/>
    </row>
    <row r="4155" spans="20:20" ht="26.25">
      <c r="T4155" s="61" ph="1"/>
    </row>
    <row r="4156" spans="20:20" ht="26.25">
      <c r="T4156" s="61" ph="1"/>
    </row>
    <row r="4157" spans="20:20" ht="26.25">
      <c r="T4157" s="61" ph="1"/>
    </row>
    <row r="4158" spans="20:20" ht="26.25">
      <c r="T4158" s="61" ph="1"/>
    </row>
    <row r="4159" spans="20:20" ht="26.25">
      <c r="T4159" s="61" ph="1"/>
    </row>
    <row r="4160" spans="20:20" ht="26.25">
      <c r="T4160" s="61" ph="1"/>
    </row>
    <row r="4161" spans="20:20" ht="26.25">
      <c r="T4161" s="61" ph="1"/>
    </row>
    <row r="4162" spans="20:20" ht="26.25">
      <c r="T4162" s="61" ph="1"/>
    </row>
    <row r="4163" spans="20:20" ht="26.25">
      <c r="T4163" s="61" ph="1"/>
    </row>
    <row r="4164" spans="20:20" ht="26.25">
      <c r="T4164" s="61" ph="1"/>
    </row>
    <row r="4165" spans="20:20" ht="26.25">
      <c r="T4165" s="61" ph="1"/>
    </row>
    <row r="4166" spans="20:20" ht="26.25">
      <c r="T4166" s="61" ph="1"/>
    </row>
    <row r="4167" spans="20:20" ht="26.25">
      <c r="T4167" s="61" ph="1"/>
    </row>
    <row r="4168" spans="20:20" ht="26.25">
      <c r="T4168" s="61" ph="1"/>
    </row>
    <row r="4169" spans="20:20" ht="26.25">
      <c r="T4169" s="61" ph="1"/>
    </row>
    <row r="4170" spans="20:20" ht="26.25">
      <c r="T4170" s="61" ph="1"/>
    </row>
    <row r="4171" spans="20:20" ht="26.25">
      <c r="T4171" s="61" ph="1"/>
    </row>
    <row r="4172" spans="20:20" ht="26.25">
      <c r="T4172" s="61" ph="1"/>
    </row>
    <row r="4173" spans="20:20" ht="26.25">
      <c r="T4173" s="61" ph="1"/>
    </row>
    <row r="4174" spans="20:20" ht="26.25">
      <c r="T4174" s="61" ph="1"/>
    </row>
    <row r="4175" spans="20:20" ht="26.25">
      <c r="T4175" s="61" ph="1"/>
    </row>
    <row r="4176" spans="20:20" ht="26.25">
      <c r="T4176" s="61" ph="1"/>
    </row>
    <row r="4177" spans="20:20" ht="26.25">
      <c r="T4177" s="61" ph="1"/>
    </row>
    <row r="4178" spans="20:20" ht="26.25">
      <c r="T4178" s="61" ph="1"/>
    </row>
    <row r="4179" spans="20:20" ht="26.25">
      <c r="T4179" s="61" ph="1"/>
    </row>
    <row r="4180" spans="20:20" ht="26.25">
      <c r="T4180" s="61" ph="1"/>
    </row>
    <row r="4181" spans="20:20" ht="26.25">
      <c r="T4181" s="61" ph="1"/>
    </row>
    <row r="4182" spans="20:20" ht="26.25">
      <c r="T4182" s="61" ph="1"/>
    </row>
    <row r="4183" spans="20:20" ht="26.25">
      <c r="T4183" s="61" ph="1"/>
    </row>
    <row r="4184" spans="20:20" ht="26.25">
      <c r="T4184" s="61" ph="1"/>
    </row>
    <row r="4185" spans="20:20" ht="26.25">
      <c r="T4185" s="61" ph="1"/>
    </row>
    <row r="4186" spans="20:20" ht="26.25">
      <c r="T4186" s="61" ph="1"/>
    </row>
    <row r="4187" spans="20:20" ht="26.25">
      <c r="T4187" s="61" ph="1"/>
    </row>
    <row r="4188" spans="20:20" ht="26.25">
      <c r="T4188" s="61" ph="1"/>
    </row>
    <row r="4189" spans="20:20" ht="26.25">
      <c r="T4189" s="61" ph="1"/>
    </row>
    <row r="4190" spans="20:20" ht="26.25">
      <c r="T4190" s="61" ph="1"/>
    </row>
    <row r="4191" spans="20:20" ht="26.25">
      <c r="T4191" s="61" ph="1"/>
    </row>
    <row r="4192" spans="20:20" ht="26.25">
      <c r="T4192" s="61" ph="1"/>
    </row>
    <row r="4193" spans="20:20" ht="26.25">
      <c r="T4193" s="61" ph="1"/>
    </row>
    <row r="4194" spans="20:20" ht="26.25">
      <c r="T4194" s="61" ph="1"/>
    </row>
    <row r="4195" spans="20:20" ht="26.25">
      <c r="T4195" s="61" ph="1"/>
    </row>
    <row r="4196" spans="20:20" ht="26.25">
      <c r="T4196" s="61" ph="1"/>
    </row>
    <row r="4197" spans="20:20" ht="26.25">
      <c r="T4197" s="61" ph="1"/>
    </row>
    <row r="4198" spans="20:20" ht="26.25">
      <c r="T4198" s="61" ph="1"/>
    </row>
    <row r="4199" spans="20:20" ht="26.25">
      <c r="T4199" s="61" ph="1"/>
    </row>
    <row r="4200" spans="20:20" ht="26.25">
      <c r="T4200" s="61" ph="1"/>
    </row>
    <row r="4201" spans="20:20" ht="26.25">
      <c r="T4201" s="61" ph="1"/>
    </row>
    <row r="4202" spans="20:20" ht="26.25">
      <c r="T4202" s="61" ph="1"/>
    </row>
    <row r="4203" spans="20:20" ht="26.25">
      <c r="T4203" s="61" ph="1"/>
    </row>
    <row r="4204" spans="20:20" ht="26.25">
      <c r="T4204" s="61" ph="1"/>
    </row>
    <row r="4205" spans="20:20" ht="26.25">
      <c r="T4205" s="61" ph="1"/>
    </row>
    <row r="4206" spans="20:20" ht="26.25">
      <c r="T4206" s="61" ph="1"/>
    </row>
    <row r="4207" spans="20:20" ht="26.25">
      <c r="T4207" s="61" ph="1"/>
    </row>
    <row r="4208" spans="20:20" ht="26.25">
      <c r="T4208" s="61" ph="1"/>
    </row>
    <row r="4209" spans="20:20" ht="26.25">
      <c r="T4209" s="61" ph="1"/>
    </row>
    <row r="4210" spans="20:20" ht="26.25">
      <c r="T4210" s="61" ph="1"/>
    </row>
    <row r="4211" spans="20:20" ht="26.25">
      <c r="T4211" s="61" ph="1"/>
    </row>
    <row r="4212" spans="20:20" ht="26.25">
      <c r="T4212" s="61" ph="1"/>
    </row>
    <row r="4213" spans="20:20" ht="26.25">
      <c r="T4213" s="61" ph="1"/>
    </row>
    <row r="4214" spans="20:20" ht="26.25">
      <c r="T4214" s="61" ph="1"/>
    </row>
    <row r="4215" spans="20:20" ht="26.25">
      <c r="T4215" s="61" ph="1"/>
    </row>
    <row r="4216" spans="20:20" ht="26.25">
      <c r="T4216" s="61" ph="1"/>
    </row>
    <row r="4217" spans="20:20" ht="26.25">
      <c r="T4217" s="61" ph="1"/>
    </row>
    <row r="4218" spans="20:20" ht="26.25">
      <c r="T4218" s="61" ph="1"/>
    </row>
    <row r="4219" spans="20:20" ht="26.25">
      <c r="T4219" s="61" ph="1"/>
    </row>
    <row r="4220" spans="20:20" ht="26.25">
      <c r="T4220" s="61" ph="1"/>
    </row>
    <row r="4221" spans="20:20" ht="26.25">
      <c r="T4221" s="61" ph="1"/>
    </row>
    <row r="4222" spans="20:20" ht="26.25">
      <c r="T4222" s="61" ph="1"/>
    </row>
    <row r="4223" spans="20:20" ht="26.25">
      <c r="T4223" s="61" ph="1"/>
    </row>
    <row r="4224" spans="20:20" ht="26.25">
      <c r="T4224" s="61" ph="1"/>
    </row>
    <row r="4225" spans="20:20" ht="26.25">
      <c r="T4225" s="61" ph="1"/>
    </row>
    <row r="4226" spans="20:20" ht="26.25">
      <c r="T4226" s="61" ph="1"/>
    </row>
    <row r="4227" spans="20:20" ht="26.25">
      <c r="T4227" s="61" ph="1"/>
    </row>
    <row r="4228" spans="20:20" ht="26.25">
      <c r="T4228" s="61" ph="1"/>
    </row>
    <row r="4229" spans="20:20" ht="26.25">
      <c r="T4229" s="61" ph="1"/>
    </row>
    <row r="4230" spans="20:20" ht="26.25">
      <c r="T4230" s="61" ph="1"/>
    </row>
    <row r="4231" spans="20:20" ht="26.25">
      <c r="T4231" s="61" ph="1"/>
    </row>
    <row r="4232" spans="20:20" ht="26.25">
      <c r="T4232" s="61" ph="1"/>
    </row>
    <row r="4233" spans="20:20" ht="26.25">
      <c r="T4233" s="61" ph="1"/>
    </row>
    <row r="4234" spans="20:20" ht="26.25">
      <c r="T4234" s="61" ph="1"/>
    </row>
    <row r="4235" spans="20:20" ht="26.25">
      <c r="T4235" s="61" ph="1"/>
    </row>
    <row r="4236" spans="20:20" ht="26.25">
      <c r="T4236" s="61" ph="1"/>
    </row>
    <row r="4237" spans="20:20" ht="26.25">
      <c r="T4237" s="61" ph="1"/>
    </row>
    <row r="4238" spans="20:20" ht="26.25">
      <c r="T4238" s="61" ph="1"/>
    </row>
    <row r="4239" spans="20:20" ht="26.25">
      <c r="T4239" s="61" ph="1"/>
    </row>
    <row r="4240" spans="20:20" ht="26.25">
      <c r="T4240" s="61" ph="1"/>
    </row>
    <row r="4241" spans="20:20" ht="26.25">
      <c r="T4241" s="61" ph="1"/>
    </row>
    <row r="4242" spans="20:20" ht="26.25">
      <c r="T4242" s="61" ph="1"/>
    </row>
    <row r="4243" spans="20:20" ht="26.25">
      <c r="T4243" s="61" ph="1"/>
    </row>
    <row r="4244" spans="20:20" ht="26.25">
      <c r="T4244" s="61" ph="1"/>
    </row>
    <row r="4245" spans="20:20" ht="26.25">
      <c r="T4245" s="61" ph="1"/>
    </row>
    <row r="4246" spans="20:20" ht="26.25">
      <c r="T4246" s="61" ph="1"/>
    </row>
    <row r="4247" spans="20:20" ht="26.25">
      <c r="T4247" s="61" ph="1"/>
    </row>
    <row r="4248" spans="20:20" ht="26.25">
      <c r="T4248" s="61" ph="1"/>
    </row>
    <row r="4249" spans="20:20" ht="26.25">
      <c r="T4249" s="61" ph="1"/>
    </row>
    <row r="4250" spans="20:20" ht="26.25">
      <c r="T4250" s="61" ph="1"/>
    </row>
    <row r="4251" spans="20:20" ht="26.25">
      <c r="T4251" s="61" ph="1"/>
    </row>
    <row r="4252" spans="20:20" ht="26.25">
      <c r="T4252" s="61" ph="1"/>
    </row>
    <row r="4253" spans="20:20" ht="26.25">
      <c r="T4253" s="61" ph="1"/>
    </row>
    <row r="4254" spans="20:20" ht="26.25">
      <c r="T4254" s="61" ph="1"/>
    </row>
    <row r="4255" spans="20:20" ht="26.25">
      <c r="T4255" s="61" ph="1"/>
    </row>
    <row r="4256" spans="20:20" ht="26.25">
      <c r="T4256" s="61" ph="1"/>
    </row>
    <row r="4257" spans="20:20" ht="26.25">
      <c r="T4257" s="61" ph="1"/>
    </row>
    <row r="4258" spans="20:20" ht="26.25">
      <c r="T4258" s="61" ph="1"/>
    </row>
    <row r="4259" spans="20:20" ht="26.25">
      <c r="T4259" s="61" ph="1"/>
    </row>
    <row r="4260" spans="20:20" ht="26.25">
      <c r="T4260" s="61" ph="1"/>
    </row>
    <row r="4261" spans="20:20" ht="26.25">
      <c r="T4261" s="61" ph="1"/>
    </row>
    <row r="4262" spans="20:20" ht="26.25">
      <c r="T4262" s="61" ph="1"/>
    </row>
    <row r="4263" spans="20:20" ht="26.25">
      <c r="T4263" s="61" ph="1"/>
    </row>
    <row r="4264" spans="20:20" ht="26.25">
      <c r="T4264" s="61" ph="1"/>
    </row>
    <row r="4265" spans="20:20" ht="26.25">
      <c r="T4265" s="61" ph="1"/>
    </row>
    <row r="4266" spans="20:20" ht="26.25">
      <c r="T4266" s="61" ph="1"/>
    </row>
    <row r="4267" spans="20:20" ht="26.25">
      <c r="T4267" s="61" ph="1"/>
    </row>
    <row r="4268" spans="20:20" ht="26.25">
      <c r="T4268" s="61" ph="1"/>
    </row>
    <row r="4269" spans="20:20" ht="26.25">
      <c r="T4269" s="61" ph="1"/>
    </row>
    <row r="4270" spans="20:20" ht="26.25">
      <c r="T4270" s="61" ph="1"/>
    </row>
    <row r="4271" spans="20:20" ht="26.25">
      <c r="T4271" s="61" ph="1"/>
    </row>
    <row r="4272" spans="20:20" ht="26.25">
      <c r="T4272" s="61" ph="1"/>
    </row>
    <row r="4273" spans="20:20" ht="26.25">
      <c r="T4273" s="61" ph="1"/>
    </row>
    <row r="4274" spans="20:20" ht="26.25">
      <c r="T4274" s="61" ph="1"/>
    </row>
    <row r="4275" spans="20:20" ht="26.25">
      <c r="T4275" s="61" ph="1"/>
    </row>
    <row r="4276" spans="20:20" ht="26.25">
      <c r="T4276" s="61" ph="1"/>
    </row>
    <row r="4277" spans="20:20" ht="26.25">
      <c r="T4277" s="61" ph="1"/>
    </row>
    <row r="4278" spans="20:20" ht="26.25">
      <c r="T4278" s="61" ph="1"/>
    </row>
    <row r="4279" spans="20:20" ht="26.25">
      <c r="T4279" s="61" ph="1"/>
    </row>
    <row r="4280" spans="20:20" ht="26.25">
      <c r="T4280" s="61" ph="1"/>
    </row>
    <row r="4281" spans="20:20" ht="26.25">
      <c r="T4281" s="61" ph="1"/>
    </row>
    <row r="4282" spans="20:20" ht="26.25">
      <c r="T4282" s="61" ph="1"/>
    </row>
    <row r="4283" spans="20:20" ht="26.25">
      <c r="T4283" s="61" ph="1"/>
    </row>
    <row r="4284" spans="20:20" ht="26.25">
      <c r="T4284" s="61" ph="1"/>
    </row>
    <row r="4285" spans="20:20" ht="26.25">
      <c r="T4285" s="61" ph="1"/>
    </row>
    <row r="4286" spans="20:20" ht="26.25">
      <c r="T4286" s="61" ph="1"/>
    </row>
    <row r="4287" spans="20:20" ht="26.25">
      <c r="T4287" s="61" ph="1"/>
    </row>
    <row r="4288" spans="20:20" ht="26.25">
      <c r="T4288" s="61" ph="1"/>
    </row>
    <row r="4289" spans="20:20" ht="26.25">
      <c r="T4289" s="61" ph="1"/>
    </row>
    <row r="4290" spans="20:20" ht="26.25">
      <c r="T4290" s="61" ph="1"/>
    </row>
    <row r="4291" spans="20:20" ht="26.25">
      <c r="T4291" s="61" ph="1"/>
    </row>
    <row r="4292" spans="20:20" ht="26.25">
      <c r="T4292" s="61" ph="1"/>
    </row>
    <row r="4293" spans="20:20" ht="26.25">
      <c r="T4293" s="61" ph="1"/>
    </row>
    <row r="4294" spans="20:20" ht="26.25">
      <c r="T4294" s="61" ph="1"/>
    </row>
    <row r="4295" spans="20:20" ht="26.25">
      <c r="T4295" s="61" ph="1"/>
    </row>
    <row r="4296" spans="20:20" ht="26.25">
      <c r="T4296" s="61" ph="1"/>
    </row>
    <row r="4297" spans="20:20" ht="26.25">
      <c r="T4297" s="61" ph="1"/>
    </row>
    <row r="4298" spans="20:20" ht="26.25">
      <c r="T4298" s="61" ph="1"/>
    </row>
    <row r="4299" spans="20:20" ht="26.25">
      <c r="T4299" s="61" ph="1"/>
    </row>
    <row r="4300" spans="20:20" ht="26.25">
      <c r="T4300" s="61" ph="1"/>
    </row>
    <row r="4301" spans="20:20" ht="26.25">
      <c r="T4301" s="61" ph="1"/>
    </row>
    <row r="4302" spans="20:20" ht="26.25">
      <c r="T4302" s="61" ph="1"/>
    </row>
    <row r="4303" spans="20:20" ht="26.25">
      <c r="T4303" s="61" ph="1"/>
    </row>
    <row r="4304" spans="20:20" ht="26.25">
      <c r="T4304" s="61" ph="1"/>
    </row>
    <row r="4305" spans="20:20" ht="26.25">
      <c r="T4305" s="61" ph="1"/>
    </row>
    <row r="4306" spans="20:20" ht="26.25">
      <c r="T4306" s="61" ph="1"/>
    </row>
    <row r="4307" spans="20:20" ht="26.25">
      <c r="T4307" s="61" ph="1"/>
    </row>
    <row r="4308" spans="20:20" ht="26.25">
      <c r="T4308" s="61" ph="1"/>
    </row>
    <row r="4309" spans="20:20" ht="26.25">
      <c r="T4309" s="61" ph="1"/>
    </row>
    <row r="4310" spans="20:20" ht="26.25">
      <c r="T4310" s="61" ph="1"/>
    </row>
    <row r="4311" spans="20:20" ht="26.25">
      <c r="T4311" s="61" ph="1"/>
    </row>
    <row r="4312" spans="20:20" ht="26.25">
      <c r="T4312" s="61" ph="1"/>
    </row>
    <row r="4313" spans="20:20" ht="26.25">
      <c r="T4313" s="61" ph="1"/>
    </row>
    <row r="4314" spans="20:20" ht="26.25">
      <c r="T4314" s="61" ph="1"/>
    </row>
    <row r="4315" spans="20:20" ht="26.25">
      <c r="T4315" s="61" ph="1"/>
    </row>
    <row r="4316" spans="20:20" ht="26.25">
      <c r="T4316" s="61" ph="1"/>
    </row>
    <row r="4317" spans="20:20" ht="26.25">
      <c r="T4317" s="61" ph="1"/>
    </row>
    <row r="4318" spans="20:20" ht="26.25">
      <c r="T4318" s="61" ph="1"/>
    </row>
    <row r="4319" spans="20:20" ht="26.25">
      <c r="T4319" s="61" ph="1"/>
    </row>
    <row r="4320" spans="20:20" ht="26.25">
      <c r="T4320" s="61" ph="1"/>
    </row>
    <row r="4321" spans="20:20" ht="26.25">
      <c r="T4321" s="61" ph="1"/>
    </row>
    <row r="4322" spans="20:20" ht="26.25">
      <c r="T4322" s="61" ph="1"/>
    </row>
    <row r="4323" spans="20:20" ht="26.25">
      <c r="T4323" s="61" ph="1"/>
    </row>
    <row r="4324" spans="20:20" ht="26.25">
      <c r="T4324" s="61" ph="1"/>
    </row>
    <row r="4325" spans="20:20" ht="26.25">
      <c r="T4325" s="61" ph="1"/>
    </row>
    <row r="4326" spans="20:20" ht="26.25">
      <c r="T4326" s="61" ph="1"/>
    </row>
    <row r="4327" spans="20:20" ht="26.25">
      <c r="T4327" s="61" ph="1"/>
    </row>
    <row r="4328" spans="20:20" ht="26.25">
      <c r="T4328" s="61" ph="1"/>
    </row>
    <row r="4329" spans="20:20" ht="26.25">
      <c r="T4329" s="61" ph="1"/>
    </row>
    <row r="4330" spans="20:20" ht="26.25">
      <c r="T4330" s="61" ph="1"/>
    </row>
    <row r="4331" spans="20:20" ht="26.25">
      <c r="T4331" s="61" ph="1"/>
    </row>
    <row r="4332" spans="20:20" ht="26.25">
      <c r="T4332" s="61" ph="1"/>
    </row>
    <row r="4333" spans="20:20" ht="26.25">
      <c r="T4333" s="61" ph="1"/>
    </row>
    <row r="4334" spans="20:20" ht="26.25">
      <c r="T4334" s="61" ph="1"/>
    </row>
    <row r="4335" spans="20:20" ht="26.25">
      <c r="T4335" s="61" ph="1"/>
    </row>
    <row r="4336" spans="20:20" ht="26.25">
      <c r="T4336" s="61" ph="1"/>
    </row>
    <row r="4337" spans="20:20" ht="26.25">
      <c r="T4337" s="61" ph="1"/>
    </row>
    <row r="4338" spans="20:20" ht="26.25">
      <c r="T4338" s="61" ph="1"/>
    </row>
    <row r="4339" spans="20:20" ht="26.25">
      <c r="T4339" s="61" ph="1"/>
    </row>
    <row r="4340" spans="20:20" ht="26.25">
      <c r="T4340" s="61" ph="1"/>
    </row>
    <row r="4341" spans="20:20" ht="26.25">
      <c r="T4341" s="61" ph="1"/>
    </row>
    <row r="4342" spans="20:20" ht="26.25">
      <c r="T4342" s="61" ph="1"/>
    </row>
    <row r="4343" spans="20:20" ht="26.25">
      <c r="T4343" s="61" ph="1"/>
    </row>
    <row r="4344" spans="20:20" ht="26.25">
      <c r="T4344" s="61" ph="1"/>
    </row>
    <row r="4345" spans="20:20" ht="26.25">
      <c r="T4345" s="61" ph="1"/>
    </row>
    <row r="4346" spans="20:20" ht="26.25">
      <c r="T4346" s="61" ph="1"/>
    </row>
    <row r="4347" spans="20:20" ht="26.25">
      <c r="T4347" s="61" ph="1"/>
    </row>
    <row r="4348" spans="20:20" ht="26.25">
      <c r="T4348" s="61" ph="1"/>
    </row>
    <row r="4349" spans="20:20" ht="26.25">
      <c r="T4349" s="61" ph="1"/>
    </row>
    <row r="4350" spans="20:20" ht="26.25">
      <c r="T4350" s="61" ph="1"/>
    </row>
    <row r="4351" spans="20:20" ht="26.25">
      <c r="T4351" s="61" ph="1"/>
    </row>
    <row r="4352" spans="20:20" ht="26.25">
      <c r="T4352" s="61" ph="1"/>
    </row>
    <row r="4353" spans="20:20" ht="26.25">
      <c r="T4353" s="61" ph="1"/>
    </row>
    <row r="4354" spans="20:20" ht="26.25">
      <c r="T4354" s="61" ph="1"/>
    </row>
    <row r="4355" spans="20:20" ht="26.25">
      <c r="T4355" s="61" ph="1"/>
    </row>
    <row r="4356" spans="20:20" ht="26.25">
      <c r="T4356" s="61" ph="1"/>
    </row>
    <row r="4357" spans="20:20" ht="26.25">
      <c r="T4357" s="61" ph="1"/>
    </row>
    <row r="4358" spans="20:20" ht="26.25">
      <c r="T4358" s="61" ph="1"/>
    </row>
    <row r="4359" spans="20:20" ht="26.25">
      <c r="T4359" s="61" ph="1"/>
    </row>
    <row r="4360" spans="20:20" ht="26.25">
      <c r="T4360" s="61" ph="1"/>
    </row>
    <row r="4361" spans="20:20" ht="26.25">
      <c r="T4361" s="61" ph="1"/>
    </row>
    <row r="4362" spans="20:20" ht="26.25">
      <c r="T4362" s="61" ph="1"/>
    </row>
    <row r="4363" spans="20:20" ht="26.25">
      <c r="T4363" s="61" ph="1"/>
    </row>
    <row r="4364" spans="20:20" ht="26.25">
      <c r="T4364" s="61" ph="1"/>
    </row>
    <row r="4365" spans="20:20" ht="26.25">
      <c r="T4365" s="61" ph="1"/>
    </row>
    <row r="4366" spans="20:20" ht="26.25">
      <c r="T4366" s="61" ph="1"/>
    </row>
    <row r="4367" spans="20:20" ht="26.25">
      <c r="T4367" s="61" ph="1"/>
    </row>
    <row r="4368" spans="20:20" ht="26.25">
      <c r="T4368" s="61" ph="1"/>
    </row>
    <row r="4369" spans="20:20" ht="26.25">
      <c r="T4369" s="61" ph="1"/>
    </row>
    <row r="4370" spans="20:20" ht="26.25">
      <c r="T4370" s="61" ph="1"/>
    </row>
    <row r="4371" spans="20:20" ht="26.25">
      <c r="T4371" s="61" ph="1"/>
    </row>
    <row r="4372" spans="20:20" ht="26.25">
      <c r="T4372" s="61" ph="1"/>
    </row>
    <row r="4373" spans="20:20" ht="26.25">
      <c r="T4373" s="61" ph="1"/>
    </row>
    <row r="4374" spans="20:20" ht="26.25">
      <c r="T4374" s="61" ph="1"/>
    </row>
    <row r="4375" spans="20:20" ht="26.25">
      <c r="T4375" s="61" ph="1"/>
    </row>
    <row r="4376" spans="20:20" ht="26.25">
      <c r="T4376" s="61" ph="1"/>
    </row>
    <row r="4377" spans="20:20" ht="26.25">
      <c r="T4377" s="61" ph="1"/>
    </row>
    <row r="4378" spans="20:20" ht="26.25">
      <c r="T4378" s="61" ph="1"/>
    </row>
    <row r="4379" spans="20:20" ht="26.25">
      <c r="T4379" s="61" ph="1"/>
    </row>
    <row r="4380" spans="20:20" ht="26.25">
      <c r="T4380" s="61" ph="1"/>
    </row>
    <row r="4381" spans="20:20" ht="26.25">
      <c r="T4381" s="61" ph="1"/>
    </row>
    <row r="4382" spans="20:20" ht="26.25">
      <c r="T4382" s="61" ph="1"/>
    </row>
    <row r="4383" spans="20:20" ht="26.25">
      <c r="T4383" s="61" ph="1"/>
    </row>
    <row r="4384" spans="20:20" ht="26.25">
      <c r="T4384" s="61" ph="1"/>
    </row>
    <row r="4385" spans="20:20" ht="26.25">
      <c r="T4385" s="61" ph="1"/>
    </row>
    <row r="4386" spans="20:20" ht="26.25">
      <c r="T4386" s="61" ph="1"/>
    </row>
    <row r="4387" spans="20:20" ht="26.25">
      <c r="T4387" s="61" ph="1"/>
    </row>
    <row r="4388" spans="20:20" ht="26.25">
      <c r="T4388" s="61" ph="1"/>
    </row>
    <row r="4389" spans="20:20" ht="26.25">
      <c r="T4389" s="61" ph="1"/>
    </row>
    <row r="4390" spans="20:20" ht="26.25">
      <c r="T4390" s="61" ph="1"/>
    </row>
    <row r="4391" spans="20:20" ht="26.25">
      <c r="T4391" s="61" ph="1"/>
    </row>
    <row r="4392" spans="20:20" ht="26.25">
      <c r="T4392" s="61" ph="1"/>
    </row>
    <row r="4393" spans="20:20" ht="26.25">
      <c r="T4393" s="61" ph="1"/>
    </row>
    <row r="4394" spans="20:20" ht="26.25">
      <c r="T4394" s="61" ph="1"/>
    </row>
    <row r="4395" spans="20:20" ht="26.25">
      <c r="T4395" s="61" ph="1"/>
    </row>
    <row r="4396" spans="20:20" ht="26.25">
      <c r="T4396" s="61" ph="1"/>
    </row>
    <row r="4397" spans="20:20" ht="26.25">
      <c r="T4397" s="61" ph="1"/>
    </row>
    <row r="4398" spans="20:20" ht="26.25">
      <c r="T4398" s="61" ph="1"/>
    </row>
    <row r="4399" spans="20:20" ht="26.25">
      <c r="T4399" s="61" ph="1"/>
    </row>
    <row r="4400" spans="20:20" ht="26.25">
      <c r="T4400" s="61" ph="1"/>
    </row>
    <row r="4401" spans="20:20" ht="26.25">
      <c r="T4401" s="61" ph="1"/>
    </row>
    <row r="4402" spans="20:20" ht="26.25">
      <c r="T4402" s="61" ph="1"/>
    </row>
    <row r="4403" spans="20:20" ht="26.25">
      <c r="T4403" s="61" ph="1"/>
    </row>
    <row r="4404" spans="20:20" ht="26.25">
      <c r="T4404" s="61" ph="1"/>
    </row>
    <row r="4405" spans="20:20" ht="26.25">
      <c r="T4405" s="61" ph="1"/>
    </row>
    <row r="4406" spans="20:20" ht="26.25">
      <c r="T4406" s="61" ph="1"/>
    </row>
    <row r="4407" spans="20:20" ht="26.25">
      <c r="T4407" s="61" ph="1"/>
    </row>
    <row r="4408" spans="20:20" ht="26.25">
      <c r="T4408" s="61" ph="1"/>
    </row>
    <row r="4409" spans="20:20" ht="26.25">
      <c r="T4409" s="61" ph="1"/>
    </row>
    <row r="4410" spans="20:20" ht="26.25">
      <c r="T4410" s="61" ph="1"/>
    </row>
    <row r="4411" spans="20:20" ht="26.25">
      <c r="T4411" s="61" ph="1"/>
    </row>
    <row r="4412" spans="20:20" ht="26.25">
      <c r="T4412" s="61" ph="1"/>
    </row>
    <row r="4413" spans="20:20" ht="26.25">
      <c r="T4413" s="61" ph="1"/>
    </row>
    <row r="4414" spans="20:20" ht="26.25">
      <c r="T4414" s="61" ph="1"/>
    </row>
    <row r="4415" spans="20:20" ht="26.25">
      <c r="T4415" s="61" ph="1"/>
    </row>
    <row r="4416" spans="20:20" ht="26.25">
      <c r="T4416" s="61" ph="1"/>
    </row>
    <row r="4417" spans="20:20" ht="26.25">
      <c r="T4417" s="61" ph="1"/>
    </row>
    <row r="4418" spans="20:20" ht="26.25">
      <c r="T4418" s="61" ph="1"/>
    </row>
    <row r="4419" spans="20:20" ht="26.25">
      <c r="T4419" s="61" ph="1"/>
    </row>
    <row r="4420" spans="20:20" ht="26.25">
      <c r="T4420" s="61" ph="1"/>
    </row>
    <row r="4421" spans="20:20" ht="26.25">
      <c r="T4421" s="61" ph="1"/>
    </row>
    <row r="4422" spans="20:20" ht="26.25">
      <c r="T4422" s="61" ph="1"/>
    </row>
    <row r="4423" spans="20:20" ht="26.25">
      <c r="T4423" s="61" ph="1"/>
    </row>
    <row r="4424" spans="20:20" ht="26.25">
      <c r="T4424" s="61" ph="1"/>
    </row>
    <row r="4425" spans="20:20" ht="26.25">
      <c r="T4425" s="61" ph="1"/>
    </row>
    <row r="4426" spans="20:20" ht="26.25">
      <c r="T4426" s="61" ph="1"/>
    </row>
    <row r="4427" spans="20:20" ht="26.25">
      <c r="T4427" s="61" ph="1"/>
    </row>
    <row r="4428" spans="20:20" ht="26.25">
      <c r="T4428" s="61" ph="1"/>
    </row>
    <row r="4429" spans="20:20" ht="26.25">
      <c r="T4429" s="61" ph="1"/>
    </row>
    <row r="4430" spans="20:20" ht="26.25">
      <c r="T4430" s="61" ph="1"/>
    </row>
    <row r="4431" spans="20:20" ht="26.25">
      <c r="T4431" s="61" ph="1"/>
    </row>
    <row r="4432" spans="20:20" ht="26.25">
      <c r="T4432" s="61" ph="1"/>
    </row>
    <row r="4433" spans="20:20" ht="26.25">
      <c r="T4433" s="61" ph="1"/>
    </row>
    <row r="4434" spans="20:20" ht="26.25">
      <c r="T4434" s="61" ph="1"/>
    </row>
    <row r="4435" spans="20:20" ht="26.25">
      <c r="T4435" s="61" ph="1"/>
    </row>
    <row r="4436" spans="20:20" ht="26.25">
      <c r="T4436" s="61" ph="1"/>
    </row>
    <row r="4437" spans="20:20" ht="26.25">
      <c r="T4437" s="61" ph="1"/>
    </row>
    <row r="4438" spans="20:20" ht="26.25">
      <c r="T4438" s="61" ph="1"/>
    </row>
    <row r="4439" spans="20:20" ht="26.25">
      <c r="T4439" s="61" ph="1"/>
    </row>
    <row r="4440" spans="20:20" ht="26.25">
      <c r="T4440" s="61" ph="1"/>
    </row>
    <row r="4441" spans="20:20" ht="26.25">
      <c r="T4441" s="61" ph="1"/>
    </row>
    <row r="4442" spans="20:20" ht="26.25">
      <c r="T4442" s="61" ph="1"/>
    </row>
    <row r="4443" spans="20:20" ht="26.25">
      <c r="T4443" s="61" ph="1"/>
    </row>
    <row r="4444" spans="20:20" ht="26.25">
      <c r="T4444" s="61" ph="1"/>
    </row>
    <row r="4445" spans="20:20" ht="26.25">
      <c r="T4445" s="61" ph="1"/>
    </row>
    <row r="4446" spans="20:20" ht="26.25">
      <c r="T4446" s="61" ph="1"/>
    </row>
    <row r="4447" spans="20:20" ht="26.25">
      <c r="T4447" s="61" ph="1"/>
    </row>
    <row r="4448" spans="20:20" ht="26.25">
      <c r="T4448" s="61" ph="1"/>
    </row>
    <row r="4449" spans="20:20" ht="26.25">
      <c r="T4449" s="61" ph="1"/>
    </row>
    <row r="4450" spans="20:20" ht="26.25">
      <c r="T4450" s="61" ph="1"/>
    </row>
    <row r="4451" spans="20:20" ht="26.25">
      <c r="T4451" s="61" ph="1"/>
    </row>
    <row r="4452" spans="20:20" ht="26.25">
      <c r="T4452" s="61" ph="1"/>
    </row>
    <row r="4453" spans="20:20" ht="26.25">
      <c r="T4453" s="61" ph="1"/>
    </row>
    <row r="4454" spans="20:20" ht="26.25">
      <c r="T4454" s="61" ph="1"/>
    </row>
    <row r="4455" spans="20:20" ht="26.25">
      <c r="T4455" s="61" ph="1"/>
    </row>
    <row r="4456" spans="20:20" ht="26.25">
      <c r="T4456" s="61" ph="1"/>
    </row>
    <row r="4457" spans="20:20" ht="26.25">
      <c r="T4457" s="61" ph="1"/>
    </row>
    <row r="4458" spans="20:20" ht="26.25">
      <c r="T4458" s="61" ph="1"/>
    </row>
    <row r="4459" spans="20:20" ht="26.25">
      <c r="T4459" s="61" ph="1"/>
    </row>
    <row r="4460" spans="20:20" ht="26.25">
      <c r="T4460" s="61" ph="1"/>
    </row>
    <row r="4461" spans="20:20" ht="26.25">
      <c r="T4461" s="61" ph="1"/>
    </row>
    <row r="4462" spans="20:20" ht="26.25">
      <c r="T4462" s="61" ph="1"/>
    </row>
    <row r="4463" spans="20:20" ht="26.25">
      <c r="T4463" s="61" ph="1"/>
    </row>
    <row r="4464" spans="20:20" ht="26.25">
      <c r="T4464" s="61" ph="1"/>
    </row>
    <row r="4465" spans="20:20" ht="26.25">
      <c r="T4465" s="61" ph="1"/>
    </row>
    <row r="4466" spans="20:20" ht="26.25">
      <c r="T4466" s="61" ph="1"/>
    </row>
    <row r="4467" spans="20:20" ht="26.25">
      <c r="T4467" s="61" ph="1"/>
    </row>
    <row r="4468" spans="20:20" ht="26.25">
      <c r="T4468" s="61" ph="1"/>
    </row>
    <row r="4469" spans="20:20" ht="26.25">
      <c r="T4469" s="61" ph="1"/>
    </row>
    <row r="4470" spans="20:20" ht="26.25">
      <c r="T4470" s="61" ph="1"/>
    </row>
    <row r="4471" spans="20:20" ht="26.25">
      <c r="T4471" s="61" ph="1"/>
    </row>
    <row r="4472" spans="20:20" ht="26.25">
      <c r="T4472" s="61" ph="1"/>
    </row>
    <row r="4473" spans="20:20" ht="26.25">
      <c r="T4473" s="61" ph="1"/>
    </row>
    <row r="4474" spans="20:20" ht="26.25">
      <c r="T4474" s="61" ph="1"/>
    </row>
    <row r="4475" spans="20:20" ht="26.25">
      <c r="T4475" s="61" ph="1"/>
    </row>
    <row r="4476" spans="20:20" ht="26.25">
      <c r="T4476" s="61" ph="1"/>
    </row>
    <row r="4477" spans="20:20" ht="26.25">
      <c r="T4477" s="61" ph="1"/>
    </row>
    <row r="4478" spans="20:20" ht="26.25">
      <c r="T4478" s="61" ph="1"/>
    </row>
    <row r="4479" spans="20:20" ht="26.25">
      <c r="T4479" s="61" ph="1"/>
    </row>
    <row r="4480" spans="20:20" ht="26.25">
      <c r="T4480" s="61" ph="1"/>
    </row>
    <row r="4481" spans="20:20" ht="26.25">
      <c r="T4481" s="61" ph="1"/>
    </row>
    <row r="4482" spans="20:20" ht="26.25">
      <c r="T4482" s="61" ph="1"/>
    </row>
    <row r="4483" spans="20:20" ht="26.25">
      <c r="T4483" s="61" ph="1"/>
    </row>
    <row r="4484" spans="20:20" ht="26.25">
      <c r="T4484" s="61" ph="1"/>
    </row>
    <row r="4485" spans="20:20" ht="26.25">
      <c r="T4485" s="61" ph="1"/>
    </row>
    <row r="4486" spans="20:20" ht="26.25">
      <c r="T4486" s="61" ph="1"/>
    </row>
    <row r="4487" spans="20:20" ht="26.25">
      <c r="T4487" s="61" ph="1"/>
    </row>
    <row r="4488" spans="20:20" ht="26.25">
      <c r="T4488" s="61" ph="1"/>
    </row>
    <row r="4489" spans="20:20" ht="26.25">
      <c r="T4489" s="61" ph="1"/>
    </row>
    <row r="4490" spans="20:20" ht="26.25">
      <c r="T4490" s="61" ph="1"/>
    </row>
    <row r="4491" spans="20:20" ht="26.25">
      <c r="T4491" s="61" ph="1"/>
    </row>
    <row r="4492" spans="20:20" ht="26.25">
      <c r="T4492" s="61" ph="1"/>
    </row>
    <row r="4493" spans="20:20" ht="26.25">
      <c r="T4493" s="61" ph="1"/>
    </row>
    <row r="4494" spans="20:20" ht="26.25">
      <c r="T4494" s="61" ph="1"/>
    </row>
    <row r="4495" spans="20:20" ht="26.25">
      <c r="T4495" s="61" ph="1"/>
    </row>
    <row r="4496" spans="20:20" ht="26.25">
      <c r="T4496" s="61" ph="1"/>
    </row>
    <row r="4497" spans="20:20" ht="26.25">
      <c r="T4497" s="61" ph="1"/>
    </row>
    <row r="4498" spans="20:20" ht="26.25">
      <c r="T4498" s="61" ph="1"/>
    </row>
    <row r="4499" spans="20:20" ht="26.25">
      <c r="T4499" s="61" ph="1"/>
    </row>
    <row r="4500" spans="20:20" ht="26.25">
      <c r="T4500" s="61" ph="1"/>
    </row>
    <row r="4501" spans="20:20" ht="26.25">
      <c r="T4501" s="61" ph="1"/>
    </row>
    <row r="4502" spans="20:20" ht="26.25">
      <c r="T4502" s="61" ph="1"/>
    </row>
    <row r="4503" spans="20:20" ht="26.25">
      <c r="T4503" s="61" ph="1"/>
    </row>
    <row r="4504" spans="20:20" ht="26.25">
      <c r="T4504" s="61" ph="1"/>
    </row>
    <row r="4505" spans="20:20" ht="26.25">
      <c r="T4505" s="61" ph="1"/>
    </row>
    <row r="4506" spans="20:20" ht="26.25">
      <c r="T4506" s="61" ph="1"/>
    </row>
    <row r="4507" spans="20:20" ht="26.25">
      <c r="T4507" s="61" ph="1"/>
    </row>
    <row r="4508" spans="20:20" ht="26.25">
      <c r="T4508" s="61" ph="1"/>
    </row>
    <row r="4509" spans="20:20" ht="26.25">
      <c r="T4509" s="61" ph="1"/>
    </row>
    <row r="4510" spans="20:20" ht="26.25">
      <c r="T4510" s="61" ph="1"/>
    </row>
    <row r="4511" spans="20:20" ht="26.25">
      <c r="T4511" s="61" ph="1"/>
    </row>
    <row r="4512" spans="20:20" ht="26.25">
      <c r="T4512" s="61" ph="1"/>
    </row>
    <row r="4513" spans="20:20" ht="26.25">
      <c r="T4513" s="61" ph="1"/>
    </row>
    <row r="4514" spans="20:20" ht="26.25">
      <c r="T4514" s="61" ph="1"/>
    </row>
    <row r="4515" spans="20:20" ht="26.25">
      <c r="T4515" s="61" ph="1"/>
    </row>
    <row r="4516" spans="20:20" ht="26.25">
      <c r="T4516" s="61" ph="1"/>
    </row>
    <row r="4517" spans="20:20" ht="26.25">
      <c r="T4517" s="61" ph="1"/>
    </row>
    <row r="4518" spans="20:20" ht="26.25">
      <c r="T4518" s="61" ph="1"/>
    </row>
    <row r="4519" spans="20:20" ht="26.25">
      <c r="T4519" s="61" ph="1"/>
    </row>
    <row r="4520" spans="20:20" ht="26.25">
      <c r="T4520" s="61" ph="1"/>
    </row>
    <row r="4521" spans="20:20" ht="26.25">
      <c r="T4521" s="61" ph="1"/>
    </row>
    <row r="4522" spans="20:20" ht="26.25">
      <c r="T4522" s="61" ph="1"/>
    </row>
    <row r="4523" spans="20:20" ht="26.25">
      <c r="T4523" s="61" ph="1"/>
    </row>
    <row r="4524" spans="20:20" ht="26.25">
      <c r="T4524" s="61" ph="1"/>
    </row>
    <row r="4525" spans="20:20" ht="26.25">
      <c r="T4525" s="61" ph="1"/>
    </row>
    <row r="4526" spans="20:20" ht="26.25">
      <c r="T4526" s="61" ph="1"/>
    </row>
    <row r="4527" spans="20:20" ht="26.25">
      <c r="T4527" s="61" ph="1"/>
    </row>
    <row r="4528" spans="20:20" ht="26.25">
      <c r="T4528" s="61" ph="1"/>
    </row>
    <row r="4529" spans="20:20" ht="26.25">
      <c r="T4529" s="61" ph="1"/>
    </row>
    <row r="4530" spans="20:20" ht="26.25">
      <c r="T4530" s="61" ph="1"/>
    </row>
    <row r="4531" spans="20:20" ht="26.25">
      <c r="T4531" s="61" ph="1"/>
    </row>
    <row r="4532" spans="20:20" ht="26.25">
      <c r="T4532" s="61" ph="1"/>
    </row>
    <row r="4533" spans="20:20" ht="26.25">
      <c r="T4533" s="61" ph="1"/>
    </row>
    <row r="4534" spans="20:20" ht="26.25">
      <c r="T4534" s="61" ph="1"/>
    </row>
    <row r="4535" spans="20:20" ht="26.25">
      <c r="T4535" s="61" ph="1"/>
    </row>
    <row r="4536" spans="20:20" ht="26.25">
      <c r="T4536" s="61" ph="1"/>
    </row>
    <row r="4537" spans="20:20" ht="26.25">
      <c r="T4537" s="61" ph="1"/>
    </row>
    <row r="4538" spans="20:20" ht="26.25">
      <c r="T4538" s="61" ph="1"/>
    </row>
    <row r="4539" spans="20:20" ht="26.25">
      <c r="T4539" s="61" ph="1"/>
    </row>
    <row r="4540" spans="20:20" ht="26.25">
      <c r="T4540" s="61" ph="1"/>
    </row>
    <row r="4541" spans="20:20" ht="26.25">
      <c r="T4541" s="61" ph="1"/>
    </row>
    <row r="4542" spans="20:20" ht="26.25">
      <c r="T4542" s="61" ph="1"/>
    </row>
    <row r="4543" spans="20:20" ht="26.25">
      <c r="T4543" s="61" ph="1"/>
    </row>
    <row r="4544" spans="20:20" ht="26.25">
      <c r="T4544" s="61" ph="1"/>
    </row>
    <row r="4545" spans="20:20" ht="26.25">
      <c r="T4545" s="61" ph="1"/>
    </row>
    <row r="4546" spans="20:20" ht="26.25">
      <c r="T4546" s="61" ph="1"/>
    </row>
    <row r="4547" spans="20:20" ht="26.25">
      <c r="T4547" s="61" ph="1"/>
    </row>
    <row r="4548" spans="20:20" ht="26.25">
      <c r="T4548" s="61" ph="1"/>
    </row>
    <row r="4549" spans="20:20" ht="26.25">
      <c r="T4549" s="61" ph="1"/>
    </row>
    <row r="4550" spans="20:20" ht="26.25">
      <c r="T4550" s="61" ph="1"/>
    </row>
    <row r="4551" spans="20:20" ht="26.25">
      <c r="T4551" s="61" ph="1"/>
    </row>
    <row r="4552" spans="20:20" ht="26.25">
      <c r="T4552" s="61" ph="1"/>
    </row>
    <row r="4553" spans="20:20" ht="26.25">
      <c r="T4553" s="61" ph="1"/>
    </row>
    <row r="4554" spans="20:20" ht="26.25">
      <c r="T4554" s="61" ph="1"/>
    </row>
    <row r="4555" spans="20:20" ht="26.25">
      <c r="T4555" s="61" ph="1"/>
    </row>
    <row r="4556" spans="20:20" ht="26.25">
      <c r="T4556" s="61" ph="1"/>
    </row>
    <row r="4557" spans="20:20" ht="26.25">
      <c r="T4557" s="61" ph="1"/>
    </row>
    <row r="4558" spans="20:20" ht="26.25">
      <c r="T4558" s="61" ph="1"/>
    </row>
    <row r="4559" spans="20:20" ht="26.25">
      <c r="T4559" s="61" ph="1"/>
    </row>
    <row r="4560" spans="20:20" ht="26.25">
      <c r="T4560" s="61" ph="1"/>
    </row>
    <row r="4561" spans="20:20" ht="26.25">
      <c r="T4561" s="61" ph="1"/>
    </row>
    <row r="4562" spans="20:20" ht="26.25">
      <c r="T4562" s="61" ph="1"/>
    </row>
    <row r="4563" spans="20:20" ht="26.25">
      <c r="T4563" s="61" ph="1"/>
    </row>
    <row r="4564" spans="20:20" ht="26.25">
      <c r="T4564" s="61" ph="1"/>
    </row>
    <row r="4565" spans="20:20" ht="26.25">
      <c r="T4565" s="61" ph="1"/>
    </row>
    <row r="4566" spans="20:20" ht="26.25">
      <c r="T4566" s="61" ph="1"/>
    </row>
    <row r="4567" spans="20:20" ht="26.25">
      <c r="T4567" s="61" ph="1"/>
    </row>
    <row r="4568" spans="20:20" ht="26.25">
      <c r="T4568" s="61" ph="1"/>
    </row>
    <row r="4569" spans="20:20" ht="26.25">
      <c r="T4569" s="61" ph="1"/>
    </row>
    <row r="4570" spans="20:20" ht="26.25">
      <c r="T4570" s="61" ph="1"/>
    </row>
    <row r="4571" spans="20:20" ht="26.25">
      <c r="T4571" s="61" ph="1"/>
    </row>
    <row r="4572" spans="20:20" ht="26.25">
      <c r="T4572" s="61" ph="1"/>
    </row>
    <row r="4573" spans="20:20" ht="26.25">
      <c r="T4573" s="61" ph="1"/>
    </row>
    <row r="4574" spans="20:20" ht="26.25">
      <c r="T4574" s="61" ph="1"/>
    </row>
    <row r="4575" spans="20:20" ht="26.25">
      <c r="T4575" s="61" ph="1"/>
    </row>
    <row r="4576" spans="20:20" ht="26.25">
      <c r="T4576" s="61" ph="1"/>
    </row>
    <row r="4577" spans="20:20" ht="26.25">
      <c r="T4577" s="61" ph="1"/>
    </row>
    <row r="4578" spans="20:20" ht="26.25">
      <c r="T4578" s="61" ph="1"/>
    </row>
    <row r="4579" spans="20:20" ht="26.25">
      <c r="T4579" s="61" ph="1"/>
    </row>
    <row r="4580" spans="20:20" ht="26.25">
      <c r="T4580" s="61" ph="1"/>
    </row>
    <row r="4581" spans="20:20" ht="26.25">
      <c r="T4581" s="61" ph="1"/>
    </row>
    <row r="4582" spans="20:20" ht="26.25">
      <c r="T4582" s="61" ph="1"/>
    </row>
    <row r="4583" spans="20:20" ht="26.25">
      <c r="T4583" s="61" ph="1"/>
    </row>
    <row r="4584" spans="20:20" ht="26.25">
      <c r="T4584" s="61" ph="1"/>
    </row>
    <row r="4585" spans="20:20" ht="26.25">
      <c r="T4585" s="61" ph="1"/>
    </row>
    <row r="4586" spans="20:20" ht="26.25">
      <c r="T4586" s="61" ph="1"/>
    </row>
    <row r="4587" spans="20:20" ht="26.25">
      <c r="T4587" s="61" ph="1"/>
    </row>
    <row r="4588" spans="20:20" ht="26.25">
      <c r="T4588" s="61" ph="1"/>
    </row>
    <row r="4589" spans="20:20" ht="26.25">
      <c r="T4589" s="61" ph="1"/>
    </row>
    <row r="4590" spans="20:20" ht="26.25">
      <c r="T4590" s="61" ph="1"/>
    </row>
    <row r="4591" spans="20:20" ht="26.25">
      <c r="T4591" s="61" ph="1"/>
    </row>
    <row r="4592" spans="20:20" ht="26.25">
      <c r="T4592" s="61" ph="1"/>
    </row>
    <row r="4593" spans="20:20" ht="26.25">
      <c r="T4593" s="61" ph="1"/>
    </row>
    <row r="4594" spans="20:20" ht="26.25">
      <c r="T4594" s="61" ph="1"/>
    </row>
    <row r="4595" spans="20:20" ht="26.25">
      <c r="T4595" s="61" ph="1"/>
    </row>
    <row r="4596" spans="20:20" ht="26.25">
      <c r="T4596" s="61" ph="1"/>
    </row>
    <row r="4597" spans="20:20" ht="26.25">
      <c r="T4597" s="61" ph="1"/>
    </row>
    <row r="4598" spans="20:20" ht="26.25">
      <c r="T4598" s="61" ph="1"/>
    </row>
    <row r="4599" spans="20:20" ht="26.25">
      <c r="T4599" s="61" ph="1"/>
    </row>
    <row r="4600" spans="20:20" ht="26.25">
      <c r="T4600" s="61" ph="1"/>
    </row>
    <row r="4601" spans="20:20" ht="26.25">
      <c r="T4601" s="61" ph="1"/>
    </row>
    <row r="4602" spans="20:20" ht="26.25">
      <c r="T4602" s="61" ph="1"/>
    </row>
    <row r="4603" spans="20:20" ht="26.25">
      <c r="T4603" s="61" ph="1"/>
    </row>
    <row r="4604" spans="20:20" ht="26.25">
      <c r="T4604" s="61" ph="1"/>
    </row>
    <row r="4605" spans="20:20" ht="26.25">
      <c r="T4605" s="61" ph="1"/>
    </row>
    <row r="4606" spans="20:20" ht="26.25">
      <c r="T4606" s="61" ph="1"/>
    </row>
    <row r="4607" spans="20:20" ht="26.25">
      <c r="T4607" s="61" ph="1"/>
    </row>
    <row r="4608" spans="20:20" ht="26.25">
      <c r="T4608" s="61" ph="1"/>
    </row>
    <row r="4609" spans="20:20" ht="26.25">
      <c r="T4609" s="61" ph="1"/>
    </row>
    <row r="4610" spans="20:20" ht="26.25">
      <c r="T4610" s="61" ph="1"/>
    </row>
    <row r="4611" spans="20:20" ht="26.25">
      <c r="T4611" s="61" ph="1"/>
    </row>
    <row r="4612" spans="20:20" ht="26.25">
      <c r="T4612" s="61" ph="1"/>
    </row>
    <row r="4613" spans="20:20" ht="26.25">
      <c r="T4613" s="61" ph="1"/>
    </row>
    <row r="4614" spans="20:20" ht="26.25">
      <c r="T4614" s="61" ph="1"/>
    </row>
    <row r="4615" spans="20:20" ht="26.25">
      <c r="T4615" s="61" ph="1"/>
    </row>
    <row r="4616" spans="20:20" ht="26.25">
      <c r="T4616" s="61" ph="1"/>
    </row>
    <row r="4617" spans="20:20" ht="26.25">
      <c r="T4617" s="61" ph="1"/>
    </row>
    <row r="4618" spans="20:20" ht="26.25">
      <c r="T4618" s="61" ph="1"/>
    </row>
    <row r="4619" spans="20:20" ht="26.25">
      <c r="T4619" s="61" ph="1"/>
    </row>
    <row r="4620" spans="20:20" ht="26.25">
      <c r="T4620" s="61" ph="1"/>
    </row>
    <row r="4621" spans="20:20" ht="26.25">
      <c r="T4621" s="61" ph="1"/>
    </row>
    <row r="4622" spans="20:20" ht="26.25">
      <c r="T4622" s="61" ph="1"/>
    </row>
    <row r="4623" spans="20:20" ht="26.25">
      <c r="T4623" s="61" ph="1"/>
    </row>
    <row r="4624" spans="20:20" ht="26.25">
      <c r="T4624" s="61" ph="1"/>
    </row>
    <row r="4625" spans="20:20" ht="26.25">
      <c r="T4625" s="61" ph="1"/>
    </row>
    <row r="4626" spans="20:20" ht="26.25">
      <c r="T4626" s="61" ph="1"/>
    </row>
    <row r="4627" spans="20:20" ht="26.25">
      <c r="T4627" s="61" ph="1"/>
    </row>
    <row r="4628" spans="20:20" ht="26.25">
      <c r="T4628" s="61" ph="1"/>
    </row>
    <row r="4629" spans="20:20" ht="26.25">
      <c r="T4629" s="61" ph="1"/>
    </row>
    <row r="4630" spans="20:20" ht="26.25">
      <c r="T4630" s="61" ph="1"/>
    </row>
    <row r="4631" spans="20:20" ht="26.25">
      <c r="T4631" s="61" ph="1"/>
    </row>
    <row r="4632" spans="20:20" ht="26.25">
      <c r="T4632" s="61" ph="1"/>
    </row>
    <row r="4633" spans="20:20" ht="26.25">
      <c r="T4633" s="61" ph="1"/>
    </row>
    <row r="4634" spans="20:20" ht="26.25">
      <c r="T4634" s="61" ph="1"/>
    </row>
    <row r="4635" spans="20:20" ht="26.25">
      <c r="T4635" s="61" ph="1"/>
    </row>
    <row r="4636" spans="20:20" ht="26.25">
      <c r="T4636" s="61" ph="1"/>
    </row>
    <row r="4637" spans="20:20" ht="26.25">
      <c r="T4637" s="61" ph="1"/>
    </row>
    <row r="4638" spans="20:20" ht="26.25">
      <c r="T4638" s="61" ph="1"/>
    </row>
    <row r="4639" spans="20:20" ht="26.25">
      <c r="T4639" s="61" ph="1"/>
    </row>
    <row r="4640" spans="20:20" ht="26.25">
      <c r="T4640" s="61" ph="1"/>
    </row>
    <row r="4641" spans="20:20" ht="26.25">
      <c r="T4641" s="61" ph="1"/>
    </row>
    <row r="4642" spans="20:20" ht="26.25">
      <c r="T4642" s="61" ph="1"/>
    </row>
    <row r="4643" spans="20:20" ht="26.25">
      <c r="T4643" s="61" ph="1"/>
    </row>
    <row r="4644" spans="20:20" ht="26.25">
      <c r="T4644" s="61" ph="1"/>
    </row>
    <row r="4645" spans="20:20" ht="26.25">
      <c r="T4645" s="61" ph="1"/>
    </row>
    <row r="4646" spans="20:20" ht="26.25">
      <c r="T4646" s="61" ph="1"/>
    </row>
    <row r="4647" spans="20:20" ht="26.25">
      <c r="T4647" s="61" ph="1"/>
    </row>
    <row r="4648" spans="20:20" ht="26.25">
      <c r="T4648" s="61" ph="1"/>
    </row>
    <row r="4649" spans="20:20" ht="26.25">
      <c r="T4649" s="61" ph="1"/>
    </row>
    <row r="4650" spans="20:20" ht="26.25">
      <c r="T4650" s="61" ph="1"/>
    </row>
    <row r="4651" spans="20:20" ht="26.25">
      <c r="T4651" s="61" ph="1"/>
    </row>
    <row r="4652" spans="20:20" ht="26.25">
      <c r="T4652" s="61" ph="1"/>
    </row>
    <row r="4653" spans="20:20" ht="26.25">
      <c r="T4653" s="61" ph="1"/>
    </row>
    <row r="4654" spans="20:20" ht="26.25">
      <c r="T4654" s="61" ph="1"/>
    </row>
    <row r="4655" spans="20:20" ht="26.25">
      <c r="T4655" s="61" ph="1"/>
    </row>
    <row r="4656" spans="20:20" ht="26.25">
      <c r="T4656" s="61" ph="1"/>
    </row>
    <row r="4657" spans="20:20" ht="26.25">
      <c r="T4657" s="61" ph="1"/>
    </row>
    <row r="4658" spans="20:20" ht="26.25">
      <c r="T4658" s="61" ph="1"/>
    </row>
    <row r="4659" spans="20:20" ht="26.25">
      <c r="T4659" s="61" ph="1"/>
    </row>
    <row r="4660" spans="20:20" ht="26.25">
      <c r="T4660" s="61" ph="1"/>
    </row>
    <row r="4661" spans="20:20" ht="26.25">
      <c r="T4661" s="61" ph="1"/>
    </row>
    <row r="4662" spans="20:20" ht="26.25">
      <c r="T4662" s="61" ph="1"/>
    </row>
    <row r="4663" spans="20:20" ht="26.25">
      <c r="T4663" s="61" ph="1"/>
    </row>
    <row r="4664" spans="20:20" ht="26.25">
      <c r="T4664" s="61" ph="1"/>
    </row>
    <row r="4665" spans="20:20" ht="26.25">
      <c r="T4665" s="61" ph="1"/>
    </row>
    <row r="4666" spans="20:20" ht="26.25">
      <c r="T4666" s="61" ph="1"/>
    </row>
    <row r="4667" spans="20:20" ht="26.25">
      <c r="T4667" s="61" ph="1"/>
    </row>
    <row r="4668" spans="20:20" ht="26.25">
      <c r="T4668" s="61" ph="1"/>
    </row>
    <row r="4669" spans="20:20" ht="26.25">
      <c r="T4669" s="61" ph="1"/>
    </row>
    <row r="4670" spans="20:20" ht="26.25">
      <c r="T4670" s="61" ph="1"/>
    </row>
    <row r="4671" spans="20:20" ht="26.25">
      <c r="T4671" s="61" ph="1"/>
    </row>
    <row r="4672" spans="20:20" ht="26.25">
      <c r="T4672" s="61" ph="1"/>
    </row>
    <row r="4673" spans="20:20" ht="26.25">
      <c r="T4673" s="61" ph="1"/>
    </row>
    <row r="4674" spans="20:20" ht="26.25">
      <c r="T4674" s="61" ph="1"/>
    </row>
    <row r="4675" spans="20:20" ht="26.25">
      <c r="T4675" s="61" ph="1"/>
    </row>
    <row r="4676" spans="20:20" ht="26.25">
      <c r="T4676" s="61" ph="1"/>
    </row>
    <row r="4677" spans="20:20" ht="26.25">
      <c r="T4677" s="61" ph="1"/>
    </row>
    <row r="4678" spans="20:20" ht="26.25">
      <c r="T4678" s="61" ph="1"/>
    </row>
    <row r="4679" spans="20:20" ht="26.25">
      <c r="T4679" s="61" ph="1"/>
    </row>
    <row r="4680" spans="20:20" ht="26.25">
      <c r="T4680" s="61" ph="1"/>
    </row>
    <row r="4681" spans="20:20" ht="26.25">
      <c r="T4681" s="61" ph="1"/>
    </row>
    <row r="4682" spans="20:20" ht="26.25">
      <c r="T4682" s="61" ph="1"/>
    </row>
    <row r="4683" spans="20:20" ht="26.25">
      <c r="T4683" s="61" ph="1"/>
    </row>
    <row r="4684" spans="20:20" ht="26.25">
      <c r="T4684" s="61" ph="1"/>
    </row>
    <row r="4685" spans="20:20" ht="26.25">
      <c r="T4685" s="61" ph="1"/>
    </row>
    <row r="4686" spans="20:20" ht="26.25">
      <c r="T4686" s="61" ph="1"/>
    </row>
    <row r="4687" spans="20:20" ht="26.25">
      <c r="T4687" s="61" ph="1"/>
    </row>
    <row r="4688" spans="20:20" ht="26.25">
      <c r="T4688" s="61" ph="1"/>
    </row>
    <row r="4689" spans="20:20" ht="26.25">
      <c r="T4689" s="61" ph="1"/>
    </row>
    <row r="4690" spans="20:20" ht="26.25">
      <c r="T4690" s="61" ph="1"/>
    </row>
    <row r="4691" spans="20:20" ht="26.25">
      <c r="T4691" s="61" ph="1"/>
    </row>
    <row r="4692" spans="20:20" ht="26.25">
      <c r="T4692" s="61" ph="1"/>
    </row>
    <row r="4693" spans="20:20" ht="26.25">
      <c r="T4693" s="61" ph="1"/>
    </row>
    <row r="4694" spans="20:20" ht="26.25">
      <c r="T4694" s="61" ph="1"/>
    </row>
    <row r="4695" spans="20:20" ht="26.25">
      <c r="T4695" s="61" ph="1"/>
    </row>
    <row r="4696" spans="20:20" ht="26.25">
      <c r="T4696" s="61" ph="1"/>
    </row>
    <row r="4697" spans="20:20" ht="26.25">
      <c r="T4697" s="61" ph="1"/>
    </row>
    <row r="4698" spans="20:20" ht="26.25">
      <c r="T4698" s="61" ph="1"/>
    </row>
    <row r="4699" spans="20:20" ht="26.25">
      <c r="T4699" s="61" ph="1"/>
    </row>
    <row r="4700" spans="20:20" ht="26.25">
      <c r="T4700" s="61" ph="1"/>
    </row>
    <row r="4701" spans="20:20" ht="26.25">
      <c r="T4701" s="61" ph="1"/>
    </row>
    <row r="4702" spans="20:20" ht="26.25">
      <c r="T4702" s="61" ph="1"/>
    </row>
    <row r="4703" spans="20:20" ht="26.25">
      <c r="T4703" s="61" ph="1"/>
    </row>
    <row r="4704" spans="20:20" ht="26.25">
      <c r="T4704" s="61" ph="1"/>
    </row>
    <row r="4705" spans="20:20" ht="26.25">
      <c r="T4705" s="61" ph="1"/>
    </row>
    <row r="4706" spans="20:20" ht="26.25">
      <c r="T4706" s="61" ph="1"/>
    </row>
    <row r="4707" spans="20:20" ht="26.25">
      <c r="T4707" s="61" ph="1"/>
    </row>
    <row r="4708" spans="20:20" ht="26.25">
      <c r="T4708" s="61" ph="1"/>
    </row>
    <row r="4709" spans="20:20" ht="26.25">
      <c r="T4709" s="61" ph="1"/>
    </row>
    <row r="4710" spans="20:20" ht="26.25">
      <c r="T4710" s="61" ph="1"/>
    </row>
    <row r="4711" spans="20:20" ht="26.25">
      <c r="T4711" s="61" ph="1"/>
    </row>
    <row r="4712" spans="20:20" ht="26.25">
      <c r="T4712" s="61" ph="1"/>
    </row>
    <row r="4713" spans="20:20" ht="26.25">
      <c r="T4713" s="61" ph="1"/>
    </row>
    <row r="4714" spans="20:20" ht="26.25">
      <c r="T4714" s="61" ph="1"/>
    </row>
    <row r="4715" spans="20:20" ht="26.25">
      <c r="T4715" s="61" ph="1"/>
    </row>
    <row r="4716" spans="20:20" ht="26.25">
      <c r="T4716" s="61" ph="1"/>
    </row>
    <row r="4717" spans="20:20" ht="26.25">
      <c r="T4717" s="61" ph="1"/>
    </row>
    <row r="4718" spans="20:20" ht="26.25">
      <c r="T4718" s="61" ph="1"/>
    </row>
    <row r="4719" spans="20:20" ht="26.25">
      <c r="T4719" s="61" ph="1"/>
    </row>
    <row r="4720" spans="20:20" ht="26.25">
      <c r="T4720" s="61" ph="1"/>
    </row>
    <row r="4721" spans="20:20" ht="26.25">
      <c r="T4721" s="61" ph="1"/>
    </row>
    <row r="4722" spans="20:20" ht="26.25">
      <c r="T4722" s="61" ph="1"/>
    </row>
    <row r="4723" spans="20:20" ht="26.25">
      <c r="T4723" s="61" ph="1"/>
    </row>
    <row r="4724" spans="20:20" ht="26.25">
      <c r="T4724" s="61" ph="1"/>
    </row>
    <row r="4725" spans="20:20" ht="26.25">
      <c r="T4725" s="61" ph="1"/>
    </row>
    <row r="4726" spans="20:20" ht="26.25">
      <c r="T4726" s="61" ph="1"/>
    </row>
    <row r="4727" spans="20:20" ht="26.25">
      <c r="T4727" s="61" ph="1"/>
    </row>
    <row r="4728" spans="20:20" ht="26.25">
      <c r="T4728" s="61" ph="1"/>
    </row>
    <row r="4729" spans="20:20" ht="26.25">
      <c r="T4729" s="61" ph="1"/>
    </row>
    <row r="4730" spans="20:20" ht="26.25">
      <c r="T4730" s="61" ph="1"/>
    </row>
    <row r="4731" spans="20:20" ht="26.25">
      <c r="T4731" s="61" ph="1"/>
    </row>
    <row r="4732" spans="20:20" ht="26.25">
      <c r="T4732" s="61" ph="1"/>
    </row>
    <row r="4733" spans="20:20" ht="26.25">
      <c r="T4733" s="61" ph="1"/>
    </row>
    <row r="4734" spans="20:20" ht="26.25">
      <c r="T4734" s="61" ph="1"/>
    </row>
    <row r="4735" spans="20:20" ht="26.25">
      <c r="T4735" s="61" ph="1"/>
    </row>
    <row r="4736" spans="20:20" ht="26.25">
      <c r="T4736" s="61" ph="1"/>
    </row>
    <row r="4737" spans="20:20" ht="26.25">
      <c r="T4737" s="61" ph="1"/>
    </row>
    <row r="4738" spans="20:20" ht="26.25">
      <c r="T4738" s="61" ph="1"/>
    </row>
    <row r="4739" spans="20:20" ht="26.25">
      <c r="T4739" s="61" ph="1"/>
    </row>
    <row r="4740" spans="20:20" ht="26.25">
      <c r="T4740" s="61" ph="1"/>
    </row>
    <row r="4741" spans="20:20" ht="26.25">
      <c r="T4741" s="61" ph="1"/>
    </row>
    <row r="4742" spans="20:20" ht="26.25">
      <c r="T4742" s="61" ph="1"/>
    </row>
    <row r="4743" spans="20:20" ht="26.25">
      <c r="T4743" s="61" ph="1"/>
    </row>
    <row r="4744" spans="20:20" ht="26.25">
      <c r="T4744" s="61" ph="1"/>
    </row>
    <row r="4745" spans="20:20" ht="26.25">
      <c r="T4745" s="61" ph="1"/>
    </row>
    <row r="4746" spans="20:20" ht="26.25">
      <c r="T4746" s="61" ph="1"/>
    </row>
    <row r="4747" spans="20:20" ht="26.25">
      <c r="T4747" s="61" ph="1"/>
    </row>
    <row r="4748" spans="20:20" ht="26.25">
      <c r="T4748" s="61" ph="1"/>
    </row>
    <row r="4749" spans="20:20" ht="26.25">
      <c r="T4749" s="61" ph="1"/>
    </row>
    <row r="4750" spans="20:20" ht="26.25">
      <c r="T4750" s="61" ph="1"/>
    </row>
    <row r="4751" spans="20:20" ht="26.25">
      <c r="T4751" s="61" ph="1"/>
    </row>
    <row r="4752" spans="20:20" ht="26.25">
      <c r="T4752" s="61" ph="1"/>
    </row>
    <row r="4753" spans="20:20" ht="26.25">
      <c r="T4753" s="61" ph="1"/>
    </row>
    <row r="4754" spans="20:20" ht="26.25">
      <c r="T4754" s="61" ph="1"/>
    </row>
    <row r="4755" spans="20:20" ht="26.25">
      <c r="T4755" s="61" ph="1"/>
    </row>
    <row r="4756" spans="20:20" ht="26.25">
      <c r="T4756" s="61" ph="1"/>
    </row>
    <row r="4757" spans="20:20" ht="26.25">
      <c r="T4757" s="61" ph="1"/>
    </row>
    <row r="4758" spans="20:20" ht="26.25">
      <c r="T4758" s="61" ph="1"/>
    </row>
    <row r="4759" spans="20:20" ht="26.25">
      <c r="T4759" s="61" ph="1"/>
    </row>
    <row r="4760" spans="20:20" ht="26.25">
      <c r="T4760" s="61" ph="1"/>
    </row>
    <row r="4761" spans="20:20" ht="26.25">
      <c r="T4761" s="61" ph="1"/>
    </row>
    <row r="4762" spans="20:20" ht="26.25">
      <c r="T4762" s="61" ph="1"/>
    </row>
    <row r="4763" spans="20:20" ht="26.25">
      <c r="T4763" s="61" ph="1"/>
    </row>
    <row r="4764" spans="20:20" ht="26.25">
      <c r="T4764" s="61" ph="1"/>
    </row>
    <row r="4765" spans="20:20" ht="26.25">
      <c r="T4765" s="61" ph="1"/>
    </row>
    <row r="4766" spans="20:20" ht="26.25">
      <c r="T4766" s="61" ph="1"/>
    </row>
    <row r="4767" spans="20:20" ht="26.25">
      <c r="T4767" s="61" ph="1"/>
    </row>
    <row r="4768" spans="20:20" ht="26.25">
      <c r="T4768" s="61" ph="1"/>
    </row>
    <row r="4769" spans="20:20" ht="26.25">
      <c r="T4769" s="61" ph="1"/>
    </row>
    <row r="4770" spans="20:20" ht="26.25">
      <c r="T4770" s="61" ph="1"/>
    </row>
    <row r="4771" spans="20:20" ht="26.25">
      <c r="T4771" s="61" ph="1"/>
    </row>
    <row r="4772" spans="20:20" ht="26.25">
      <c r="T4772" s="61" ph="1"/>
    </row>
    <row r="4773" spans="20:20" ht="26.25">
      <c r="T4773" s="61" ph="1"/>
    </row>
    <row r="4774" spans="20:20" ht="26.25">
      <c r="T4774" s="61" ph="1"/>
    </row>
    <row r="4775" spans="20:20" ht="26.25">
      <c r="T4775" s="61" ph="1"/>
    </row>
    <row r="4776" spans="20:20" ht="26.25">
      <c r="T4776" s="61" ph="1"/>
    </row>
    <row r="4777" spans="20:20" ht="26.25">
      <c r="T4777" s="61" ph="1"/>
    </row>
    <row r="4778" spans="20:20" ht="26.25">
      <c r="T4778" s="61" ph="1"/>
    </row>
    <row r="4779" spans="20:20" ht="26.25">
      <c r="T4779" s="61" ph="1"/>
    </row>
    <row r="4780" spans="20:20" ht="26.25">
      <c r="T4780" s="61" ph="1"/>
    </row>
    <row r="4781" spans="20:20" ht="26.25">
      <c r="T4781" s="61" ph="1"/>
    </row>
    <row r="4782" spans="20:20" ht="26.25">
      <c r="T4782" s="61" ph="1"/>
    </row>
    <row r="4783" spans="20:20" ht="26.25">
      <c r="T4783" s="61" ph="1"/>
    </row>
    <row r="4784" spans="20:20" ht="26.25">
      <c r="T4784" s="61" ph="1"/>
    </row>
    <row r="4785" spans="20:20" ht="26.25">
      <c r="T4785" s="61" ph="1"/>
    </row>
    <row r="4786" spans="20:20" ht="26.25">
      <c r="T4786" s="61" ph="1"/>
    </row>
    <row r="4787" spans="20:20" ht="26.25">
      <c r="T4787" s="61" ph="1"/>
    </row>
    <row r="4788" spans="20:20" ht="26.25">
      <c r="T4788" s="61" ph="1"/>
    </row>
    <row r="4789" spans="20:20" ht="26.25">
      <c r="T4789" s="61" ph="1"/>
    </row>
    <row r="4790" spans="20:20" ht="26.25">
      <c r="T4790" s="61" ph="1"/>
    </row>
    <row r="4791" spans="20:20" ht="26.25">
      <c r="T4791" s="61" ph="1"/>
    </row>
    <row r="4792" spans="20:20" ht="26.25">
      <c r="T4792" s="61" ph="1"/>
    </row>
    <row r="4793" spans="20:20" ht="26.25">
      <c r="T4793" s="61" ph="1"/>
    </row>
    <row r="4794" spans="20:20" ht="26.25">
      <c r="T4794" s="61" ph="1"/>
    </row>
    <row r="4795" spans="20:20" ht="26.25">
      <c r="T4795" s="61" ph="1"/>
    </row>
    <row r="4796" spans="20:20" ht="26.25">
      <c r="T4796" s="61" ph="1"/>
    </row>
    <row r="4797" spans="20:20" ht="26.25">
      <c r="T4797" s="61" ph="1"/>
    </row>
    <row r="4798" spans="20:20" ht="26.25">
      <c r="T4798" s="61" ph="1"/>
    </row>
    <row r="4799" spans="20:20" ht="26.25">
      <c r="T4799" s="61" ph="1"/>
    </row>
    <row r="4800" spans="20:20" ht="26.25">
      <c r="T4800" s="61" ph="1"/>
    </row>
    <row r="4801" spans="20:20" ht="26.25">
      <c r="T4801" s="61" ph="1"/>
    </row>
    <row r="4802" spans="20:20" ht="26.25">
      <c r="T4802" s="61" ph="1"/>
    </row>
    <row r="4803" spans="20:20" ht="26.25">
      <c r="T4803" s="61" ph="1"/>
    </row>
    <row r="4804" spans="20:20" ht="26.25">
      <c r="T4804" s="61" ph="1"/>
    </row>
    <row r="4805" spans="20:20" ht="26.25">
      <c r="T4805" s="61" ph="1"/>
    </row>
    <row r="4806" spans="20:20" ht="26.25">
      <c r="T4806" s="61" ph="1"/>
    </row>
    <row r="4807" spans="20:20" ht="26.25">
      <c r="T4807" s="61" ph="1"/>
    </row>
    <row r="4808" spans="20:20" ht="26.25">
      <c r="T4808" s="61" ph="1"/>
    </row>
    <row r="4809" spans="20:20" ht="26.25">
      <c r="T4809" s="61" ph="1"/>
    </row>
    <row r="4810" spans="20:20" ht="26.25">
      <c r="T4810" s="61" ph="1"/>
    </row>
    <row r="4811" spans="20:20" ht="26.25">
      <c r="T4811" s="61" ph="1"/>
    </row>
    <row r="4812" spans="20:20" ht="26.25">
      <c r="T4812" s="61" ph="1"/>
    </row>
    <row r="4813" spans="20:20" ht="26.25">
      <c r="T4813" s="61" ph="1"/>
    </row>
    <row r="4814" spans="20:20" ht="26.25">
      <c r="T4814" s="61" ph="1"/>
    </row>
    <row r="4815" spans="20:20" ht="26.25">
      <c r="T4815" s="61" ph="1"/>
    </row>
    <row r="4816" spans="20:20" ht="26.25">
      <c r="T4816" s="61" ph="1"/>
    </row>
    <row r="4817" spans="20:20" ht="26.25">
      <c r="T4817" s="61" ph="1"/>
    </row>
    <row r="4818" spans="20:20" ht="26.25">
      <c r="T4818" s="61" ph="1"/>
    </row>
    <row r="4819" spans="20:20" ht="26.25">
      <c r="T4819" s="61" ph="1"/>
    </row>
    <row r="4820" spans="20:20" ht="26.25">
      <c r="T4820" s="61" ph="1"/>
    </row>
    <row r="4821" spans="20:20" ht="26.25">
      <c r="T4821" s="61" ph="1"/>
    </row>
    <row r="4822" spans="20:20" ht="26.25">
      <c r="T4822" s="61" ph="1"/>
    </row>
    <row r="4823" spans="20:20" ht="26.25">
      <c r="T4823" s="61" ph="1"/>
    </row>
    <row r="4824" spans="20:20" ht="26.25">
      <c r="T4824" s="61" ph="1"/>
    </row>
    <row r="4825" spans="20:20" ht="26.25">
      <c r="T4825" s="61" ph="1"/>
    </row>
    <row r="4826" spans="20:20" ht="26.25">
      <c r="T4826" s="61" ph="1"/>
    </row>
    <row r="4827" spans="20:20" ht="26.25">
      <c r="T4827" s="61" ph="1"/>
    </row>
    <row r="4828" spans="20:20" ht="26.25">
      <c r="T4828" s="61" ph="1"/>
    </row>
    <row r="4829" spans="20:20" ht="26.25">
      <c r="T4829" s="61" ph="1"/>
    </row>
    <row r="4830" spans="20:20" ht="26.25">
      <c r="T4830" s="61" ph="1"/>
    </row>
    <row r="4831" spans="20:20" ht="26.25">
      <c r="T4831" s="61" ph="1"/>
    </row>
    <row r="4832" spans="20:20" ht="26.25">
      <c r="T4832" s="61" ph="1"/>
    </row>
    <row r="4833" spans="20:20" ht="26.25">
      <c r="T4833" s="61" ph="1"/>
    </row>
    <row r="4834" spans="20:20" ht="26.25">
      <c r="T4834" s="61" ph="1"/>
    </row>
    <row r="4835" spans="20:20" ht="26.25">
      <c r="T4835" s="61" ph="1"/>
    </row>
    <row r="4836" spans="20:20" ht="26.25">
      <c r="T4836" s="61" ph="1"/>
    </row>
    <row r="4837" spans="20:20" ht="26.25">
      <c r="T4837" s="61" ph="1"/>
    </row>
    <row r="4838" spans="20:20" ht="26.25">
      <c r="T4838" s="61" ph="1"/>
    </row>
    <row r="4839" spans="20:20" ht="26.25">
      <c r="T4839" s="61" ph="1"/>
    </row>
    <row r="4840" spans="20:20" ht="26.25">
      <c r="T4840" s="61" ph="1"/>
    </row>
    <row r="4841" spans="20:20" ht="26.25">
      <c r="T4841" s="61" ph="1"/>
    </row>
    <row r="4842" spans="20:20" ht="26.25">
      <c r="T4842" s="61" ph="1"/>
    </row>
    <row r="4843" spans="20:20" ht="26.25">
      <c r="T4843" s="61" ph="1"/>
    </row>
    <row r="4844" spans="20:20" ht="26.25">
      <c r="T4844" s="61" ph="1"/>
    </row>
    <row r="4845" spans="20:20" ht="26.25">
      <c r="T4845" s="61" ph="1"/>
    </row>
    <row r="4846" spans="20:20" ht="26.25">
      <c r="T4846" s="61" ph="1"/>
    </row>
    <row r="4847" spans="20:20" ht="26.25">
      <c r="T4847" s="61" ph="1"/>
    </row>
    <row r="4848" spans="20:20" ht="26.25">
      <c r="T4848" s="61" ph="1"/>
    </row>
    <row r="4849" spans="20:20" ht="26.25">
      <c r="T4849" s="61" ph="1"/>
    </row>
    <row r="4850" spans="20:20" ht="26.25">
      <c r="T4850" s="61" ph="1"/>
    </row>
    <row r="4851" spans="20:20" ht="26.25">
      <c r="T4851" s="61" ph="1"/>
    </row>
    <row r="4852" spans="20:20" ht="26.25">
      <c r="T4852" s="61" ph="1"/>
    </row>
    <row r="4853" spans="20:20" ht="26.25">
      <c r="T4853" s="61" ph="1"/>
    </row>
    <row r="4854" spans="20:20" ht="26.25">
      <c r="T4854" s="61" ph="1"/>
    </row>
    <row r="4855" spans="20:20" ht="26.25">
      <c r="T4855" s="61" ph="1"/>
    </row>
    <row r="4856" spans="20:20" ht="26.25">
      <c r="T4856" s="61" ph="1"/>
    </row>
    <row r="4857" spans="20:20" ht="26.25">
      <c r="T4857" s="61" ph="1"/>
    </row>
    <row r="4858" spans="20:20" ht="26.25">
      <c r="T4858" s="61" ph="1"/>
    </row>
    <row r="4859" spans="20:20" ht="26.25">
      <c r="T4859" s="61" ph="1"/>
    </row>
    <row r="4860" spans="20:20" ht="26.25">
      <c r="T4860" s="61" ph="1"/>
    </row>
    <row r="4861" spans="20:20" ht="26.25">
      <c r="T4861" s="61" ph="1"/>
    </row>
    <row r="4862" spans="20:20" ht="26.25">
      <c r="T4862" s="61" ph="1"/>
    </row>
    <row r="4863" spans="20:20" ht="26.25">
      <c r="T4863" s="61" ph="1"/>
    </row>
    <row r="4864" spans="20:20" ht="26.25">
      <c r="T4864" s="61" ph="1"/>
    </row>
    <row r="4865" spans="20:20" ht="26.25">
      <c r="T4865" s="61" ph="1"/>
    </row>
    <row r="4866" spans="20:20" ht="26.25">
      <c r="T4866" s="61" ph="1"/>
    </row>
    <row r="4867" spans="20:20" ht="26.25">
      <c r="T4867" s="61" ph="1"/>
    </row>
    <row r="4868" spans="20:20" ht="26.25">
      <c r="T4868" s="61" ph="1"/>
    </row>
    <row r="4869" spans="20:20" ht="26.25">
      <c r="T4869" s="61" ph="1"/>
    </row>
    <row r="4870" spans="20:20" ht="26.25">
      <c r="T4870" s="61" ph="1"/>
    </row>
    <row r="4871" spans="20:20" ht="26.25">
      <c r="T4871" s="61" ph="1"/>
    </row>
    <row r="4872" spans="20:20" ht="26.25">
      <c r="T4872" s="61" ph="1"/>
    </row>
    <row r="4873" spans="20:20" ht="26.25">
      <c r="T4873" s="61" ph="1"/>
    </row>
    <row r="4874" spans="20:20" ht="26.25">
      <c r="T4874" s="61" ph="1"/>
    </row>
    <row r="4875" spans="20:20" ht="26.25">
      <c r="T4875" s="61" ph="1"/>
    </row>
    <row r="4876" spans="20:20" ht="26.25">
      <c r="T4876" s="61" ph="1"/>
    </row>
    <row r="4877" spans="20:20" ht="26.25">
      <c r="T4877" s="61" ph="1"/>
    </row>
    <row r="4878" spans="20:20" ht="26.25">
      <c r="T4878" s="61" ph="1"/>
    </row>
    <row r="4879" spans="20:20" ht="26.25">
      <c r="T4879" s="61" ph="1"/>
    </row>
    <row r="4880" spans="20:20" ht="26.25">
      <c r="T4880" s="61" ph="1"/>
    </row>
    <row r="4881" spans="20:20" ht="26.25">
      <c r="T4881" s="61" ph="1"/>
    </row>
    <row r="4882" spans="20:20" ht="26.25">
      <c r="T4882" s="61" ph="1"/>
    </row>
    <row r="4883" spans="20:20" ht="26.25">
      <c r="T4883" s="61" ph="1"/>
    </row>
    <row r="4884" spans="20:20" ht="26.25">
      <c r="T4884" s="61" ph="1"/>
    </row>
    <row r="4885" spans="20:20" ht="26.25">
      <c r="T4885" s="61" ph="1"/>
    </row>
    <row r="4886" spans="20:20" ht="26.25">
      <c r="T4886" s="61" ph="1"/>
    </row>
    <row r="4887" spans="20:20" ht="26.25">
      <c r="T4887" s="61" ph="1"/>
    </row>
    <row r="4888" spans="20:20" ht="26.25">
      <c r="T4888" s="61" ph="1"/>
    </row>
    <row r="4889" spans="20:20" ht="26.25">
      <c r="T4889" s="61" ph="1"/>
    </row>
    <row r="4890" spans="20:20" ht="26.25">
      <c r="T4890" s="61" ph="1"/>
    </row>
    <row r="4891" spans="20:20" ht="26.25">
      <c r="T4891" s="61" ph="1"/>
    </row>
    <row r="4892" spans="20:20" ht="26.25">
      <c r="T4892" s="61" ph="1"/>
    </row>
    <row r="4893" spans="20:20" ht="26.25">
      <c r="T4893" s="61" ph="1"/>
    </row>
    <row r="4894" spans="20:20" ht="26.25">
      <c r="T4894" s="61" ph="1"/>
    </row>
    <row r="4895" spans="20:20" ht="26.25">
      <c r="T4895" s="61" ph="1"/>
    </row>
    <row r="4896" spans="20:20" ht="26.25">
      <c r="T4896" s="61" ph="1"/>
    </row>
    <row r="4897" spans="20:20" ht="26.25">
      <c r="T4897" s="61" ph="1"/>
    </row>
    <row r="4898" spans="20:20" ht="26.25">
      <c r="T4898" s="61" ph="1"/>
    </row>
    <row r="4899" spans="20:20" ht="26.25">
      <c r="T4899" s="61" ph="1"/>
    </row>
    <row r="4900" spans="20:20" ht="26.25">
      <c r="T4900" s="61" ph="1"/>
    </row>
    <row r="4901" spans="20:20" ht="26.25">
      <c r="T4901" s="61" ph="1"/>
    </row>
    <row r="4902" spans="20:20" ht="26.25">
      <c r="T4902" s="61" ph="1"/>
    </row>
    <row r="4903" spans="20:20" ht="26.25">
      <c r="T4903" s="61" ph="1"/>
    </row>
    <row r="4904" spans="20:20" ht="26.25">
      <c r="T4904" s="61" ph="1"/>
    </row>
    <row r="4905" spans="20:20" ht="26.25">
      <c r="T4905" s="61" ph="1"/>
    </row>
    <row r="4906" spans="20:20" ht="26.25">
      <c r="T4906" s="61" ph="1"/>
    </row>
    <row r="4907" spans="20:20" ht="26.25">
      <c r="T4907" s="61" ph="1"/>
    </row>
    <row r="4908" spans="20:20" ht="26.25">
      <c r="T4908" s="61" ph="1"/>
    </row>
    <row r="4909" spans="20:20" ht="26.25">
      <c r="T4909" s="61" ph="1"/>
    </row>
    <row r="4910" spans="20:20" ht="26.25">
      <c r="T4910" s="61" ph="1"/>
    </row>
    <row r="4911" spans="20:20" ht="26.25">
      <c r="T4911" s="61" ph="1"/>
    </row>
    <row r="4912" spans="20:20" ht="26.25">
      <c r="T4912" s="61" ph="1"/>
    </row>
    <row r="4913" spans="20:20" ht="26.25">
      <c r="T4913" s="61" ph="1"/>
    </row>
    <row r="4914" spans="20:20" ht="26.25">
      <c r="T4914" s="61" ph="1"/>
    </row>
    <row r="4915" spans="20:20" ht="26.25">
      <c r="T4915" s="61" ph="1"/>
    </row>
    <row r="4916" spans="20:20" ht="26.25">
      <c r="T4916" s="61" ph="1"/>
    </row>
    <row r="4917" spans="20:20" ht="26.25">
      <c r="T4917" s="61" ph="1"/>
    </row>
    <row r="4918" spans="20:20" ht="26.25">
      <c r="T4918" s="61" ph="1"/>
    </row>
    <row r="4919" spans="20:20" ht="26.25">
      <c r="T4919" s="61" ph="1"/>
    </row>
    <row r="4920" spans="20:20" ht="26.25">
      <c r="T4920" s="61" ph="1"/>
    </row>
    <row r="4921" spans="20:20" ht="26.25">
      <c r="T4921" s="61" ph="1"/>
    </row>
    <row r="4922" spans="20:20" ht="26.25">
      <c r="T4922" s="61" ph="1"/>
    </row>
    <row r="4923" spans="20:20" ht="26.25">
      <c r="T4923" s="61" ph="1"/>
    </row>
    <row r="4924" spans="20:20" ht="26.25">
      <c r="T4924" s="61" ph="1"/>
    </row>
    <row r="4925" spans="20:20" ht="26.25">
      <c r="T4925" s="61" ph="1"/>
    </row>
    <row r="4926" spans="20:20" ht="26.25">
      <c r="T4926" s="61" ph="1"/>
    </row>
    <row r="4927" spans="20:20" ht="26.25">
      <c r="T4927" s="61" ph="1"/>
    </row>
    <row r="4928" spans="20:20" ht="26.25">
      <c r="T4928" s="61" ph="1"/>
    </row>
    <row r="4929" spans="20:20" ht="26.25">
      <c r="T4929" s="61" ph="1"/>
    </row>
    <row r="4930" spans="20:20" ht="26.25">
      <c r="T4930" s="61" ph="1"/>
    </row>
    <row r="4931" spans="20:20" ht="26.25">
      <c r="T4931" s="61" ph="1"/>
    </row>
    <row r="4932" spans="20:20" ht="26.25">
      <c r="T4932" s="61" ph="1"/>
    </row>
    <row r="4933" spans="20:20" ht="26.25">
      <c r="T4933" s="61" ph="1"/>
    </row>
    <row r="4934" spans="20:20" ht="26.25">
      <c r="T4934" s="61" ph="1"/>
    </row>
    <row r="4935" spans="20:20" ht="26.25">
      <c r="T4935" s="61" ph="1"/>
    </row>
    <row r="4936" spans="20:20" ht="26.25">
      <c r="T4936" s="61" ph="1"/>
    </row>
    <row r="4937" spans="20:20" ht="26.25">
      <c r="T4937" s="61" ph="1"/>
    </row>
    <row r="4938" spans="20:20" ht="26.25">
      <c r="T4938" s="61" ph="1"/>
    </row>
    <row r="4939" spans="20:20" ht="26.25">
      <c r="T4939" s="61" ph="1"/>
    </row>
    <row r="4940" spans="20:20" ht="26.25">
      <c r="T4940" s="61" ph="1"/>
    </row>
    <row r="4941" spans="20:20" ht="26.25">
      <c r="T4941" s="61" ph="1"/>
    </row>
    <row r="4942" spans="20:20" ht="26.25">
      <c r="T4942" s="61" ph="1"/>
    </row>
    <row r="4943" spans="20:20" ht="26.25">
      <c r="T4943" s="61" ph="1"/>
    </row>
    <row r="4944" spans="20:20" ht="26.25">
      <c r="T4944" s="61" ph="1"/>
    </row>
    <row r="4945" spans="20:20" ht="26.25">
      <c r="T4945" s="61" ph="1"/>
    </row>
    <row r="4946" spans="20:20" ht="26.25">
      <c r="T4946" s="61" ph="1"/>
    </row>
    <row r="4947" spans="20:20" ht="26.25">
      <c r="T4947" s="61" ph="1"/>
    </row>
    <row r="4948" spans="20:20" ht="26.25">
      <c r="T4948" s="61" ph="1"/>
    </row>
    <row r="4949" spans="20:20" ht="26.25">
      <c r="T4949" s="61" ph="1"/>
    </row>
    <row r="4950" spans="20:20" ht="26.25">
      <c r="T4950" s="61" ph="1"/>
    </row>
    <row r="4951" spans="20:20" ht="26.25">
      <c r="T4951" s="61" ph="1"/>
    </row>
    <row r="4952" spans="20:20" ht="26.25">
      <c r="T4952" s="61" ph="1"/>
    </row>
    <row r="4953" spans="20:20" ht="26.25">
      <c r="T4953" s="61" ph="1"/>
    </row>
    <row r="4954" spans="20:20" ht="26.25">
      <c r="T4954" s="61" ph="1"/>
    </row>
    <row r="4955" spans="20:20" ht="26.25">
      <c r="T4955" s="61" ph="1"/>
    </row>
    <row r="4956" spans="20:20" ht="26.25">
      <c r="T4956" s="61" ph="1"/>
    </row>
    <row r="4957" spans="20:20" ht="26.25">
      <c r="T4957" s="61" ph="1"/>
    </row>
    <row r="4958" spans="20:20" ht="26.25">
      <c r="T4958" s="61" ph="1"/>
    </row>
    <row r="4959" spans="20:20" ht="26.25">
      <c r="T4959" s="61" ph="1"/>
    </row>
    <row r="4960" spans="20:20" ht="26.25">
      <c r="T4960" s="61" ph="1"/>
    </row>
    <row r="4961" spans="20:20" ht="26.25">
      <c r="T4961" s="61" ph="1"/>
    </row>
    <row r="4962" spans="20:20" ht="26.25">
      <c r="T4962" s="61" ph="1"/>
    </row>
    <row r="4963" spans="20:20" ht="26.25">
      <c r="T4963" s="61" ph="1"/>
    </row>
    <row r="4964" spans="20:20" ht="26.25">
      <c r="T4964" s="61" ph="1"/>
    </row>
    <row r="4965" spans="20:20" ht="26.25">
      <c r="T4965" s="61" ph="1"/>
    </row>
    <row r="4966" spans="20:20" ht="26.25">
      <c r="T4966" s="61" ph="1"/>
    </row>
    <row r="4967" spans="20:20" ht="26.25">
      <c r="T4967" s="61" ph="1"/>
    </row>
    <row r="4968" spans="20:20" ht="26.25">
      <c r="T4968" s="61" ph="1"/>
    </row>
    <row r="4969" spans="20:20" ht="26.25">
      <c r="T4969" s="61" ph="1"/>
    </row>
    <row r="4970" spans="20:20" ht="26.25">
      <c r="T4970" s="61" ph="1"/>
    </row>
    <row r="4971" spans="20:20" ht="26.25">
      <c r="T4971" s="61" ph="1"/>
    </row>
    <row r="4972" spans="20:20" ht="26.25">
      <c r="T4972" s="61" ph="1"/>
    </row>
    <row r="4973" spans="20:20" ht="26.25">
      <c r="T4973" s="61" ph="1"/>
    </row>
    <row r="4974" spans="20:20" ht="26.25">
      <c r="T4974" s="61" ph="1"/>
    </row>
    <row r="4975" spans="20:20" ht="26.25">
      <c r="T4975" s="61" ph="1"/>
    </row>
    <row r="4976" spans="20:20" ht="26.25">
      <c r="T4976" s="61" ph="1"/>
    </row>
    <row r="4977" spans="20:20" ht="26.25">
      <c r="T4977" s="61" ph="1"/>
    </row>
    <row r="4978" spans="20:20" ht="26.25">
      <c r="T4978" s="61" ph="1"/>
    </row>
    <row r="4979" spans="20:20" ht="26.25">
      <c r="T4979" s="61" ph="1"/>
    </row>
    <row r="4980" spans="20:20" ht="26.25">
      <c r="T4980" s="61" ph="1"/>
    </row>
    <row r="4981" spans="20:20" ht="26.25">
      <c r="T4981" s="61" ph="1"/>
    </row>
    <row r="4982" spans="20:20" ht="26.25">
      <c r="T4982" s="61" ph="1"/>
    </row>
    <row r="4983" spans="20:20" ht="26.25">
      <c r="T4983" s="61" ph="1"/>
    </row>
    <row r="4984" spans="20:20" ht="26.25">
      <c r="T4984" s="61" ph="1"/>
    </row>
    <row r="4985" spans="20:20" ht="26.25">
      <c r="T4985" s="61" ph="1"/>
    </row>
    <row r="4986" spans="20:20" ht="26.25">
      <c r="T4986" s="61" ph="1"/>
    </row>
    <row r="4987" spans="20:20" ht="26.25">
      <c r="T4987" s="61" ph="1"/>
    </row>
    <row r="4988" spans="20:20" ht="26.25">
      <c r="T4988" s="61" ph="1"/>
    </row>
    <row r="4989" spans="20:20" ht="26.25">
      <c r="T4989" s="61" ph="1"/>
    </row>
    <row r="4990" spans="20:20" ht="26.25">
      <c r="T4990" s="61" ph="1"/>
    </row>
    <row r="4991" spans="20:20" ht="26.25">
      <c r="T4991" s="61" ph="1"/>
    </row>
    <row r="4992" spans="20:20" ht="26.25">
      <c r="T4992" s="61" ph="1"/>
    </row>
    <row r="4993" spans="20:20" ht="26.25">
      <c r="T4993" s="61" ph="1"/>
    </row>
    <row r="4994" spans="20:20" ht="26.25">
      <c r="T4994" s="61" ph="1"/>
    </row>
    <row r="4995" spans="20:20" ht="26.25">
      <c r="T4995" s="61" ph="1"/>
    </row>
    <row r="4996" spans="20:20" ht="26.25">
      <c r="T4996" s="61" ph="1"/>
    </row>
    <row r="4997" spans="20:20" ht="26.25">
      <c r="T4997" s="61" ph="1"/>
    </row>
    <row r="4998" spans="20:20" ht="26.25">
      <c r="T4998" s="61" ph="1"/>
    </row>
    <row r="4999" spans="20:20" ht="26.25">
      <c r="T4999" s="61" ph="1"/>
    </row>
    <row r="5000" spans="20:20" ht="26.25">
      <c r="T5000" s="61" ph="1"/>
    </row>
    <row r="5001" spans="20:20" ht="26.25">
      <c r="T5001" s="61" ph="1"/>
    </row>
    <row r="5002" spans="20:20" ht="26.25">
      <c r="T5002" s="61" ph="1"/>
    </row>
    <row r="5003" spans="20:20" ht="26.25">
      <c r="T5003" s="61" ph="1"/>
    </row>
    <row r="5004" spans="20:20" ht="26.25">
      <c r="T5004" s="61" ph="1"/>
    </row>
    <row r="5005" spans="20:20" ht="26.25">
      <c r="T5005" s="61" ph="1"/>
    </row>
    <row r="5006" spans="20:20" ht="26.25">
      <c r="T5006" s="61" ph="1"/>
    </row>
    <row r="5007" spans="20:20" ht="26.25">
      <c r="T5007" s="61" ph="1"/>
    </row>
    <row r="5008" spans="20:20" ht="26.25">
      <c r="T5008" s="61" ph="1"/>
    </row>
    <row r="5009" spans="20:20" ht="26.25">
      <c r="T5009" s="61" ph="1"/>
    </row>
    <row r="5010" spans="20:20" ht="26.25">
      <c r="T5010" s="61" ph="1"/>
    </row>
    <row r="5011" spans="20:20" ht="26.25">
      <c r="T5011" s="61" ph="1"/>
    </row>
    <row r="5012" spans="20:20" ht="26.25">
      <c r="T5012" s="61" ph="1"/>
    </row>
    <row r="5013" spans="20:20" ht="26.25">
      <c r="T5013" s="61" ph="1"/>
    </row>
    <row r="5014" spans="20:20" ht="26.25">
      <c r="T5014" s="61" ph="1"/>
    </row>
    <row r="5015" spans="20:20" ht="26.25">
      <c r="T5015" s="61" ph="1"/>
    </row>
    <row r="5016" spans="20:20" ht="26.25">
      <c r="T5016" s="61" ph="1"/>
    </row>
    <row r="5017" spans="20:20" ht="26.25">
      <c r="T5017" s="61" ph="1"/>
    </row>
    <row r="5018" spans="20:20" ht="26.25">
      <c r="T5018" s="61" ph="1"/>
    </row>
    <row r="5019" spans="20:20" ht="26.25">
      <c r="T5019" s="61" ph="1"/>
    </row>
    <row r="5020" spans="20:20" ht="26.25">
      <c r="T5020" s="61" ph="1"/>
    </row>
    <row r="5021" spans="20:20" ht="26.25">
      <c r="T5021" s="61" ph="1"/>
    </row>
    <row r="5022" spans="20:20" ht="26.25">
      <c r="T5022" s="61" ph="1"/>
    </row>
    <row r="5023" spans="20:20" ht="26.25">
      <c r="T5023" s="61" ph="1"/>
    </row>
    <row r="5024" spans="20:20" ht="26.25">
      <c r="T5024" s="61" ph="1"/>
    </row>
    <row r="5025" spans="20:20" ht="26.25">
      <c r="T5025" s="61" ph="1"/>
    </row>
    <row r="5026" spans="20:20" ht="26.25">
      <c r="T5026" s="61" ph="1"/>
    </row>
    <row r="5027" spans="20:20" ht="26.25">
      <c r="T5027" s="61" ph="1"/>
    </row>
    <row r="5028" spans="20:20" ht="26.25">
      <c r="T5028" s="61" ph="1"/>
    </row>
    <row r="5029" spans="20:20" ht="26.25">
      <c r="T5029" s="61" ph="1"/>
    </row>
    <row r="5030" spans="20:20" ht="26.25">
      <c r="T5030" s="61" ph="1"/>
    </row>
    <row r="5031" spans="20:20" ht="26.25">
      <c r="T5031" s="61" ph="1"/>
    </row>
    <row r="5032" spans="20:20" ht="26.25">
      <c r="T5032" s="61" ph="1"/>
    </row>
    <row r="5033" spans="20:20" ht="26.25">
      <c r="T5033" s="61" ph="1"/>
    </row>
    <row r="5034" spans="20:20" ht="26.25">
      <c r="T5034" s="61" ph="1"/>
    </row>
    <row r="5035" spans="20:20" ht="26.25">
      <c r="T5035" s="61" ph="1"/>
    </row>
    <row r="5036" spans="20:20" ht="26.25">
      <c r="T5036" s="61" ph="1"/>
    </row>
    <row r="5037" spans="20:20" ht="26.25">
      <c r="T5037" s="61" ph="1"/>
    </row>
    <row r="5038" spans="20:20" ht="26.25">
      <c r="T5038" s="61" ph="1"/>
    </row>
    <row r="5039" spans="20:20" ht="26.25">
      <c r="T5039" s="61" ph="1"/>
    </row>
    <row r="5040" spans="20:20" ht="26.25">
      <c r="T5040" s="61" ph="1"/>
    </row>
    <row r="5041" spans="20:20" ht="26.25">
      <c r="T5041" s="61" ph="1"/>
    </row>
    <row r="5042" spans="20:20" ht="26.25">
      <c r="T5042" s="61" ph="1"/>
    </row>
    <row r="5043" spans="20:20" ht="26.25">
      <c r="T5043" s="61" ph="1"/>
    </row>
    <row r="5044" spans="20:20" ht="26.25">
      <c r="T5044" s="61" ph="1"/>
    </row>
    <row r="5045" spans="20:20" ht="26.25">
      <c r="T5045" s="61" ph="1"/>
    </row>
    <row r="5046" spans="20:20" ht="26.25">
      <c r="T5046" s="61" ph="1"/>
    </row>
    <row r="5047" spans="20:20" ht="26.25">
      <c r="T5047" s="61" ph="1"/>
    </row>
    <row r="5048" spans="20:20" ht="26.25">
      <c r="T5048" s="61" ph="1"/>
    </row>
    <row r="5049" spans="20:20" ht="26.25">
      <c r="T5049" s="61" ph="1"/>
    </row>
    <row r="5050" spans="20:20" ht="26.25">
      <c r="T5050" s="61" ph="1"/>
    </row>
    <row r="5051" spans="20:20" ht="26.25">
      <c r="T5051" s="61" ph="1"/>
    </row>
    <row r="5052" spans="20:20" ht="26.25">
      <c r="T5052" s="61" ph="1"/>
    </row>
    <row r="5053" spans="20:20" ht="26.25">
      <c r="T5053" s="61" ph="1"/>
    </row>
    <row r="5054" spans="20:20" ht="26.25">
      <c r="T5054" s="61" ph="1"/>
    </row>
    <row r="5055" spans="20:20" ht="26.25">
      <c r="T5055" s="61" ph="1"/>
    </row>
    <row r="5056" spans="20:20" ht="26.25">
      <c r="T5056" s="61" ph="1"/>
    </row>
    <row r="5057" spans="20:20" ht="26.25">
      <c r="T5057" s="61" ph="1"/>
    </row>
    <row r="5058" spans="20:20" ht="26.25">
      <c r="T5058" s="61" ph="1"/>
    </row>
    <row r="5059" spans="20:20" ht="26.25">
      <c r="T5059" s="61" ph="1"/>
    </row>
    <row r="5060" spans="20:20" ht="26.25">
      <c r="T5060" s="61" ph="1"/>
    </row>
    <row r="5061" spans="20:20" ht="26.25">
      <c r="T5061" s="61" ph="1"/>
    </row>
    <row r="5062" spans="20:20" ht="26.25">
      <c r="T5062" s="61" ph="1"/>
    </row>
    <row r="5063" spans="20:20" ht="26.25">
      <c r="T5063" s="61" ph="1"/>
    </row>
    <row r="5064" spans="20:20" ht="26.25">
      <c r="T5064" s="61" ph="1"/>
    </row>
    <row r="5065" spans="20:20" ht="26.25">
      <c r="T5065" s="61" ph="1"/>
    </row>
    <row r="5066" spans="20:20" ht="26.25">
      <c r="T5066" s="61" ph="1"/>
    </row>
    <row r="5067" spans="20:20" ht="26.25">
      <c r="T5067" s="61" ph="1"/>
    </row>
    <row r="5068" spans="20:20" ht="26.25">
      <c r="T5068" s="61" ph="1"/>
    </row>
    <row r="5069" spans="20:20" ht="26.25">
      <c r="T5069" s="61" ph="1"/>
    </row>
    <row r="5070" spans="20:20" ht="26.25">
      <c r="T5070" s="61" ph="1"/>
    </row>
    <row r="5071" spans="20:20" ht="26.25">
      <c r="T5071" s="61" ph="1"/>
    </row>
    <row r="5072" spans="20:20" ht="26.25">
      <c r="T5072" s="61" ph="1"/>
    </row>
    <row r="5073" spans="20:20" ht="26.25">
      <c r="T5073" s="61" ph="1"/>
    </row>
    <row r="5074" spans="20:20" ht="26.25">
      <c r="T5074" s="61" ph="1"/>
    </row>
    <row r="5075" spans="20:20" ht="26.25">
      <c r="T5075" s="61" ph="1"/>
    </row>
    <row r="5076" spans="20:20" ht="26.25">
      <c r="T5076" s="61" ph="1"/>
    </row>
    <row r="5077" spans="20:20" ht="26.25">
      <c r="T5077" s="61" ph="1"/>
    </row>
    <row r="5078" spans="20:20" ht="26.25">
      <c r="T5078" s="61" ph="1"/>
    </row>
    <row r="5079" spans="20:20" ht="26.25">
      <c r="T5079" s="61" ph="1"/>
    </row>
    <row r="5080" spans="20:20" ht="26.25">
      <c r="T5080" s="61" ph="1"/>
    </row>
    <row r="5081" spans="20:20" ht="26.25">
      <c r="T5081" s="61" ph="1"/>
    </row>
    <row r="5082" spans="20:20" ht="26.25">
      <c r="T5082" s="61" ph="1"/>
    </row>
    <row r="5083" spans="20:20" ht="26.25">
      <c r="T5083" s="61" ph="1"/>
    </row>
    <row r="5084" spans="20:20" ht="26.25">
      <c r="T5084" s="61" ph="1"/>
    </row>
    <row r="5085" spans="20:20" ht="26.25">
      <c r="T5085" s="61" ph="1"/>
    </row>
    <row r="5086" spans="20:20" ht="26.25">
      <c r="T5086" s="61" ph="1"/>
    </row>
    <row r="5087" spans="20:20" ht="26.25">
      <c r="T5087" s="61" ph="1"/>
    </row>
    <row r="5088" spans="20:20" ht="26.25">
      <c r="T5088" s="61" ph="1"/>
    </row>
    <row r="5089" spans="20:20" ht="26.25">
      <c r="T5089" s="61" ph="1"/>
    </row>
    <row r="5090" spans="20:20" ht="26.25">
      <c r="T5090" s="61" ph="1"/>
    </row>
    <row r="5091" spans="20:20" ht="26.25">
      <c r="T5091" s="61" ph="1"/>
    </row>
    <row r="5092" spans="20:20" ht="26.25">
      <c r="T5092" s="61" ph="1"/>
    </row>
    <row r="5093" spans="20:20" ht="26.25">
      <c r="T5093" s="61" ph="1"/>
    </row>
    <row r="5094" spans="20:20" ht="26.25">
      <c r="T5094" s="61" ph="1"/>
    </row>
    <row r="5095" spans="20:20" ht="26.25">
      <c r="T5095" s="61" ph="1"/>
    </row>
    <row r="5096" spans="20:20" ht="26.25">
      <c r="T5096" s="61" ph="1"/>
    </row>
    <row r="5097" spans="20:20" ht="26.25">
      <c r="T5097" s="61" ph="1"/>
    </row>
    <row r="5098" spans="20:20" ht="26.25">
      <c r="T5098" s="61" ph="1"/>
    </row>
    <row r="5099" spans="20:20" ht="26.25">
      <c r="T5099" s="61" ph="1"/>
    </row>
    <row r="5100" spans="20:20" ht="26.25">
      <c r="T5100" s="61" ph="1"/>
    </row>
    <row r="5101" spans="20:20" ht="26.25">
      <c r="T5101" s="61" ph="1"/>
    </row>
    <row r="5102" spans="20:20" ht="26.25">
      <c r="T5102" s="61" ph="1"/>
    </row>
    <row r="5103" spans="20:20" ht="26.25">
      <c r="T5103" s="61" ph="1"/>
    </row>
    <row r="5104" spans="20:20" ht="26.25">
      <c r="T5104" s="61" ph="1"/>
    </row>
    <row r="5105" spans="20:20" ht="26.25">
      <c r="T5105" s="61" ph="1"/>
    </row>
    <row r="5106" spans="20:20" ht="26.25">
      <c r="T5106" s="61" ph="1"/>
    </row>
    <row r="5107" spans="20:20" ht="26.25">
      <c r="T5107" s="61" ph="1"/>
    </row>
    <row r="5108" spans="20:20" ht="26.25">
      <c r="T5108" s="61" ph="1"/>
    </row>
    <row r="5109" spans="20:20" ht="26.25">
      <c r="T5109" s="61" ph="1"/>
    </row>
    <row r="5110" spans="20:20" ht="26.25">
      <c r="T5110" s="61" ph="1"/>
    </row>
    <row r="5111" spans="20:20" ht="26.25">
      <c r="T5111" s="61" ph="1"/>
    </row>
    <row r="5112" spans="20:20" ht="26.25">
      <c r="T5112" s="61" ph="1"/>
    </row>
    <row r="5113" spans="20:20" ht="26.25">
      <c r="T5113" s="61" ph="1"/>
    </row>
    <row r="5114" spans="20:20" ht="26.25">
      <c r="T5114" s="61" ph="1"/>
    </row>
    <row r="5115" spans="20:20" ht="26.25">
      <c r="T5115" s="61" ph="1"/>
    </row>
    <row r="5116" spans="20:20" ht="26.25">
      <c r="T5116" s="61" ph="1"/>
    </row>
    <row r="5117" spans="20:20" ht="26.25">
      <c r="T5117" s="61" ph="1"/>
    </row>
    <row r="5118" spans="20:20" ht="26.25">
      <c r="T5118" s="61" ph="1"/>
    </row>
    <row r="5119" spans="20:20" ht="26.25">
      <c r="T5119" s="61" ph="1"/>
    </row>
    <row r="5120" spans="20:20" ht="26.25">
      <c r="T5120" s="61" ph="1"/>
    </row>
    <row r="5121" spans="20:20" ht="26.25">
      <c r="T5121" s="61" ph="1"/>
    </row>
    <row r="5122" spans="20:20" ht="26.25">
      <c r="T5122" s="61" ph="1"/>
    </row>
    <row r="5123" spans="20:20" ht="26.25">
      <c r="T5123" s="61" ph="1"/>
    </row>
    <row r="5124" spans="20:20" ht="26.25">
      <c r="T5124" s="61" ph="1"/>
    </row>
    <row r="5125" spans="20:20" ht="26.25">
      <c r="T5125" s="61" ph="1"/>
    </row>
    <row r="5126" spans="20:20" ht="26.25">
      <c r="T5126" s="61" ph="1"/>
    </row>
    <row r="5127" spans="20:20" ht="26.25">
      <c r="T5127" s="61" ph="1"/>
    </row>
    <row r="5128" spans="20:20" ht="26.25">
      <c r="T5128" s="61" ph="1"/>
    </row>
    <row r="5129" spans="20:20" ht="26.25">
      <c r="T5129" s="61" ph="1"/>
    </row>
    <row r="5130" spans="20:20" ht="26.25">
      <c r="T5130" s="61" ph="1"/>
    </row>
    <row r="5131" spans="20:20" ht="26.25">
      <c r="T5131" s="61" ph="1"/>
    </row>
    <row r="5132" spans="20:20" ht="26.25">
      <c r="T5132" s="61" ph="1"/>
    </row>
    <row r="5133" spans="20:20" ht="26.25">
      <c r="T5133" s="61" ph="1"/>
    </row>
    <row r="5134" spans="20:20" ht="26.25">
      <c r="T5134" s="61" ph="1"/>
    </row>
    <row r="5135" spans="20:20" ht="26.25">
      <c r="T5135" s="61" ph="1"/>
    </row>
    <row r="5136" spans="20:20" ht="26.25">
      <c r="T5136" s="61" ph="1"/>
    </row>
    <row r="5137" spans="20:20" ht="26.25">
      <c r="T5137" s="61" ph="1"/>
    </row>
    <row r="5138" spans="20:20" ht="26.25">
      <c r="T5138" s="61" ph="1"/>
    </row>
    <row r="5139" spans="20:20" ht="26.25">
      <c r="T5139" s="61" ph="1"/>
    </row>
    <row r="5140" spans="20:20" ht="26.25">
      <c r="T5140" s="61" ph="1"/>
    </row>
    <row r="5141" spans="20:20" ht="26.25">
      <c r="T5141" s="61" ph="1"/>
    </row>
    <row r="5142" spans="20:20" ht="26.25">
      <c r="T5142" s="61" ph="1"/>
    </row>
    <row r="5143" spans="20:20" ht="26.25">
      <c r="T5143" s="61" ph="1"/>
    </row>
    <row r="5144" spans="20:20" ht="26.25">
      <c r="T5144" s="61" ph="1"/>
    </row>
    <row r="5145" spans="20:20" ht="26.25">
      <c r="T5145" s="61" ph="1"/>
    </row>
    <row r="5146" spans="20:20" ht="26.25">
      <c r="T5146" s="61" ph="1"/>
    </row>
    <row r="5147" spans="20:20" ht="26.25">
      <c r="T5147" s="61" ph="1"/>
    </row>
    <row r="5148" spans="20:20" ht="26.25">
      <c r="T5148" s="61" ph="1"/>
    </row>
    <row r="5149" spans="20:20" ht="26.25">
      <c r="T5149" s="61" ph="1"/>
    </row>
    <row r="5150" spans="20:20" ht="26.25">
      <c r="T5150" s="61" ph="1"/>
    </row>
    <row r="5151" spans="20:20" ht="26.25">
      <c r="T5151" s="61" ph="1"/>
    </row>
    <row r="5152" spans="20:20" ht="26.25">
      <c r="T5152" s="61" ph="1"/>
    </row>
    <row r="5153" spans="20:20" ht="26.25">
      <c r="T5153" s="61" ph="1"/>
    </row>
    <row r="5154" spans="20:20" ht="26.25">
      <c r="T5154" s="61" ph="1"/>
    </row>
    <row r="5155" spans="20:20" ht="26.25">
      <c r="T5155" s="61" ph="1"/>
    </row>
    <row r="5156" spans="20:20" ht="26.25">
      <c r="T5156" s="61" ph="1"/>
    </row>
    <row r="5157" spans="20:20" ht="26.25">
      <c r="T5157" s="61" ph="1"/>
    </row>
    <row r="5158" spans="20:20" ht="26.25">
      <c r="T5158" s="61" ph="1"/>
    </row>
    <row r="5159" spans="20:20" ht="26.25">
      <c r="T5159" s="61" ph="1"/>
    </row>
    <row r="5160" spans="20:20" ht="26.25">
      <c r="T5160" s="61" ph="1"/>
    </row>
    <row r="5161" spans="20:20" ht="26.25">
      <c r="T5161" s="61" ph="1"/>
    </row>
    <row r="5162" spans="20:20" ht="26.25">
      <c r="T5162" s="61" ph="1"/>
    </row>
    <row r="5163" spans="20:20" ht="26.25">
      <c r="T5163" s="61" ph="1"/>
    </row>
    <row r="5164" spans="20:20" ht="26.25">
      <c r="T5164" s="61" ph="1"/>
    </row>
    <row r="5165" spans="20:20" ht="26.25">
      <c r="T5165" s="61" ph="1"/>
    </row>
    <row r="5166" spans="20:20" ht="26.25">
      <c r="T5166" s="61" ph="1"/>
    </row>
    <row r="5167" spans="20:20" ht="26.25">
      <c r="T5167" s="61" ph="1"/>
    </row>
    <row r="5168" spans="20:20" ht="26.25">
      <c r="T5168" s="61" ph="1"/>
    </row>
    <row r="5169" spans="20:20" ht="26.25">
      <c r="T5169" s="61" ph="1"/>
    </row>
    <row r="5170" spans="20:20" ht="26.25">
      <c r="T5170" s="61" ph="1"/>
    </row>
    <row r="5171" spans="20:20" ht="26.25">
      <c r="T5171" s="61" ph="1"/>
    </row>
    <row r="5172" spans="20:20" ht="26.25">
      <c r="T5172" s="61" ph="1"/>
    </row>
    <row r="5173" spans="20:20" ht="26.25">
      <c r="T5173" s="61" ph="1"/>
    </row>
    <row r="5174" spans="20:20" ht="26.25">
      <c r="T5174" s="61" ph="1"/>
    </row>
    <row r="5175" spans="20:20" ht="26.25">
      <c r="T5175" s="61" ph="1"/>
    </row>
    <row r="5176" spans="20:20" ht="26.25">
      <c r="T5176" s="61" ph="1"/>
    </row>
    <row r="5177" spans="20:20" ht="26.25">
      <c r="T5177" s="61" ph="1"/>
    </row>
    <row r="5178" spans="20:20" ht="26.25">
      <c r="T5178" s="61" ph="1"/>
    </row>
    <row r="5179" spans="20:20" ht="26.25">
      <c r="T5179" s="61" ph="1"/>
    </row>
    <row r="5180" spans="20:20" ht="26.25">
      <c r="T5180" s="61" ph="1"/>
    </row>
    <row r="5181" spans="20:20" ht="26.25">
      <c r="T5181" s="61" ph="1"/>
    </row>
    <row r="5182" spans="20:20" ht="26.25">
      <c r="T5182" s="61" ph="1"/>
    </row>
    <row r="5183" spans="20:20" ht="26.25">
      <c r="T5183" s="61" ph="1"/>
    </row>
    <row r="5184" spans="20:20" ht="26.25">
      <c r="T5184" s="61" ph="1"/>
    </row>
    <row r="5185" spans="20:20" ht="26.25">
      <c r="T5185" s="61" ph="1"/>
    </row>
    <row r="5186" spans="20:20" ht="26.25">
      <c r="T5186" s="61" ph="1"/>
    </row>
    <row r="5187" spans="20:20" ht="26.25">
      <c r="T5187" s="61" ph="1"/>
    </row>
    <row r="5188" spans="20:20" ht="26.25">
      <c r="T5188" s="61" ph="1"/>
    </row>
    <row r="5189" spans="20:20" ht="26.25">
      <c r="T5189" s="61" ph="1"/>
    </row>
    <row r="5190" spans="20:20" ht="26.25">
      <c r="T5190" s="61" ph="1"/>
    </row>
    <row r="5191" spans="20:20" ht="26.25">
      <c r="T5191" s="61" ph="1"/>
    </row>
    <row r="5192" spans="20:20" ht="26.25">
      <c r="T5192" s="61" ph="1"/>
    </row>
    <row r="5193" spans="20:20" ht="26.25">
      <c r="T5193" s="61" ph="1"/>
    </row>
    <row r="5194" spans="20:20" ht="26.25">
      <c r="T5194" s="61" ph="1"/>
    </row>
    <row r="5195" spans="20:20" ht="26.25">
      <c r="T5195" s="61" ph="1"/>
    </row>
    <row r="5196" spans="20:20" ht="26.25">
      <c r="T5196" s="61" ph="1"/>
    </row>
    <row r="5197" spans="20:20" ht="26.25">
      <c r="T5197" s="61" ph="1"/>
    </row>
    <row r="5198" spans="20:20" ht="26.25">
      <c r="T5198" s="61" ph="1"/>
    </row>
    <row r="5199" spans="20:20" ht="26.25">
      <c r="T5199" s="61" ph="1"/>
    </row>
    <row r="5200" spans="20:20" ht="26.25">
      <c r="T5200" s="61" ph="1"/>
    </row>
    <row r="5201" spans="20:20" ht="26.25">
      <c r="T5201" s="61" ph="1"/>
    </row>
    <row r="5202" spans="20:20" ht="26.25">
      <c r="T5202" s="61" ph="1"/>
    </row>
    <row r="5203" spans="20:20" ht="26.25">
      <c r="T5203" s="61" ph="1"/>
    </row>
    <row r="5204" spans="20:20" ht="26.25">
      <c r="T5204" s="61" ph="1"/>
    </row>
    <row r="5205" spans="20:20" ht="26.25">
      <c r="T5205" s="61" ph="1"/>
    </row>
    <row r="5206" spans="20:20" ht="26.25">
      <c r="T5206" s="61" ph="1"/>
    </row>
    <row r="5207" spans="20:20" ht="26.25">
      <c r="T5207" s="61" ph="1"/>
    </row>
    <row r="5208" spans="20:20" ht="26.25">
      <c r="T5208" s="61" ph="1"/>
    </row>
    <row r="5209" spans="20:20" ht="26.25">
      <c r="T5209" s="61" ph="1"/>
    </row>
    <row r="5210" spans="20:20" ht="26.25">
      <c r="T5210" s="61" ph="1"/>
    </row>
    <row r="5211" spans="20:20" ht="26.25">
      <c r="T5211" s="61" ph="1"/>
    </row>
    <row r="5212" spans="20:20" ht="26.25">
      <c r="T5212" s="61" ph="1"/>
    </row>
    <row r="5213" spans="20:20" ht="26.25">
      <c r="T5213" s="61" ph="1"/>
    </row>
    <row r="5214" spans="20:20" ht="26.25">
      <c r="T5214" s="61" ph="1"/>
    </row>
    <row r="5215" spans="20:20" ht="26.25">
      <c r="T5215" s="61" ph="1"/>
    </row>
    <row r="5216" spans="20:20" ht="26.25">
      <c r="T5216" s="61" ph="1"/>
    </row>
    <row r="5217" spans="20:20" ht="26.25">
      <c r="T5217" s="61" ph="1"/>
    </row>
    <row r="5218" spans="20:20" ht="26.25">
      <c r="T5218" s="61" ph="1"/>
    </row>
    <row r="5219" spans="20:20" ht="26.25">
      <c r="T5219" s="61" ph="1"/>
    </row>
    <row r="5220" spans="20:20" ht="26.25">
      <c r="T5220" s="61" ph="1"/>
    </row>
    <row r="5221" spans="20:20" ht="26.25">
      <c r="T5221" s="61" ph="1"/>
    </row>
    <row r="5222" spans="20:20" ht="26.25">
      <c r="T5222" s="61" ph="1"/>
    </row>
    <row r="5223" spans="20:20" ht="26.25">
      <c r="T5223" s="61" ph="1"/>
    </row>
    <row r="5224" spans="20:20" ht="26.25">
      <c r="T5224" s="61" ph="1"/>
    </row>
    <row r="5225" spans="20:20" ht="26.25">
      <c r="T5225" s="61" ph="1"/>
    </row>
    <row r="5226" spans="20:20" ht="26.25">
      <c r="T5226" s="61" ph="1"/>
    </row>
    <row r="5227" spans="20:20" ht="26.25">
      <c r="T5227" s="61" ph="1"/>
    </row>
    <row r="5228" spans="20:20" ht="26.25">
      <c r="T5228" s="61" ph="1"/>
    </row>
    <row r="5229" spans="20:20" ht="26.25">
      <c r="T5229" s="61" ph="1"/>
    </row>
    <row r="5230" spans="20:20" ht="26.25">
      <c r="T5230" s="61" ph="1"/>
    </row>
    <row r="5231" spans="20:20" ht="26.25">
      <c r="T5231" s="61" ph="1"/>
    </row>
    <row r="5232" spans="20:20" ht="26.25">
      <c r="T5232" s="61" ph="1"/>
    </row>
    <row r="5233" spans="20:20" ht="26.25">
      <c r="T5233" s="61" ph="1"/>
    </row>
    <row r="5234" spans="20:20" ht="26.25">
      <c r="T5234" s="61" ph="1"/>
    </row>
    <row r="5235" spans="20:20" ht="26.25">
      <c r="T5235" s="61" ph="1"/>
    </row>
    <row r="5236" spans="20:20" ht="26.25">
      <c r="T5236" s="61" ph="1"/>
    </row>
    <row r="5237" spans="20:20" ht="26.25">
      <c r="T5237" s="61" ph="1"/>
    </row>
    <row r="5238" spans="20:20" ht="26.25">
      <c r="T5238" s="61" ph="1"/>
    </row>
    <row r="5239" spans="20:20" ht="26.25">
      <c r="T5239" s="61" ph="1"/>
    </row>
    <row r="5240" spans="20:20" ht="26.25">
      <c r="T5240" s="61" ph="1"/>
    </row>
    <row r="5241" spans="20:20" ht="26.25">
      <c r="T5241" s="61" ph="1"/>
    </row>
    <row r="5242" spans="20:20" ht="26.25">
      <c r="T5242" s="61" ph="1"/>
    </row>
    <row r="5243" spans="20:20" ht="26.25">
      <c r="T5243" s="61" ph="1"/>
    </row>
    <row r="5244" spans="20:20" ht="26.25">
      <c r="T5244" s="61" ph="1"/>
    </row>
    <row r="5245" spans="20:20" ht="26.25">
      <c r="T5245" s="61" ph="1"/>
    </row>
    <row r="5246" spans="20:20" ht="26.25">
      <c r="T5246" s="61" ph="1"/>
    </row>
    <row r="5247" spans="20:20" ht="26.25">
      <c r="T5247" s="61" ph="1"/>
    </row>
    <row r="5248" spans="20:20" ht="26.25">
      <c r="T5248" s="61" ph="1"/>
    </row>
    <row r="5249" spans="20:20" ht="26.25">
      <c r="T5249" s="61" ph="1"/>
    </row>
    <row r="5250" spans="20:20" ht="26.25">
      <c r="T5250" s="61" ph="1"/>
    </row>
    <row r="5251" spans="20:20" ht="26.25">
      <c r="T5251" s="61" ph="1"/>
    </row>
    <row r="5252" spans="20:20" ht="26.25">
      <c r="T5252" s="61" ph="1"/>
    </row>
    <row r="5253" spans="20:20" ht="26.25">
      <c r="T5253" s="61" ph="1"/>
    </row>
    <row r="5254" spans="20:20" ht="26.25">
      <c r="T5254" s="61" ph="1"/>
    </row>
    <row r="5255" spans="20:20" ht="26.25">
      <c r="T5255" s="61" ph="1"/>
    </row>
    <row r="5256" spans="20:20" ht="26.25">
      <c r="T5256" s="61" ph="1"/>
    </row>
    <row r="5257" spans="20:20" ht="26.25">
      <c r="T5257" s="61" ph="1"/>
    </row>
    <row r="5258" spans="20:20" ht="26.25">
      <c r="T5258" s="61" ph="1"/>
    </row>
    <row r="5259" spans="20:20" ht="26.25">
      <c r="T5259" s="61" ph="1"/>
    </row>
    <row r="5260" spans="20:20" ht="26.25">
      <c r="T5260" s="61" ph="1"/>
    </row>
    <row r="5261" spans="20:20" ht="26.25">
      <c r="T5261" s="61" ph="1"/>
    </row>
    <row r="5262" spans="20:20" ht="26.25">
      <c r="T5262" s="61" ph="1"/>
    </row>
    <row r="5263" spans="20:20" ht="26.25">
      <c r="T5263" s="61" ph="1"/>
    </row>
    <row r="5264" spans="20:20" ht="26.25">
      <c r="T5264" s="61" ph="1"/>
    </row>
    <row r="5265" spans="20:20" ht="26.25">
      <c r="T5265" s="61" ph="1"/>
    </row>
    <row r="5266" spans="20:20" ht="26.25">
      <c r="T5266" s="61" ph="1"/>
    </row>
    <row r="5267" spans="20:20" ht="26.25">
      <c r="T5267" s="61" ph="1"/>
    </row>
    <row r="5268" spans="20:20" ht="26.25">
      <c r="T5268" s="61" ph="1"/>
    </row>
    <row r="5269" spans="20:20" ht="26.25">
      <c r="T5269" s="61" ph="1"/>
    </row>
    <row r="5270" spans="20:20" ht="26.25">
      <c r="T5270" s="61" ph="1"/>
    </row>
    <row r="5271" spans="20:20" ht="26.25">
      <c r="T5271" s="61" ph="1"/>
    </row>
    <row r="5272" spans="20:20" ht="26.25">
      <c r="T5272" s="61" ph="1"/>
    </row>
    <row r="5273" spans="20:20" ht="26.25">
      <c r="T5273" s="61" ph="1"/>
    </row>
    <row r="5274" spans="20:20" ht="26.25">
      <c r="T5274" s="61" ph="1"/>
    </row>
    <row r="5275" spans="20:20" ht="26.25">
      <c r="T5275" s="61" ph="1"/>
    </row>
    <row r="5276" spans="20:20" ht="26.25">
      <c r="T5276" s="61" ph="1"/>
    </row>
    <row r="5277" spans="20:20" ht="26.25">
      <c r="T5277" s="61" ph="1"/>
    </row>
    <row r="5278" spans="20:20" ht="26.25">
      <c r="T5278" s="61" ph="1"/>
    </row>
    <row r="5279" spans="20:20" ht="26.25">
      <c r="T5279" s="61" ph="1"/>
    </row>
    <row r="5280" spans="20:20" ht="26.25">
      <c r="T5280" s="61" ph="1"/>
    </row>
    <row r="5281" spans="20:20" ht="26.25">
      <c r="T5281" s="61" ph="1"/>
    </row>
    <row r="5282" spans="20:20" ht="26.25">
      <c r="T5282" s="61" ph="1"/>
    </row>
    <row r="5283" spans="20:20" ht="26.25">
      <c r="T5283" s="61" ph="1"/>
    </row>
    <row r="5284" spans="20:20" ht="26.25">
      <c r="T5284" s="61" ph="1"/>
    </row>
    <row r="5285" spans="20:20" ht="26.25">
      <c r="T5285" s="61" ph="1"/>
    </row>
    <row r="5286" spans="20:20" ht="26.25">
      <c r="T5286" s="61" ph="1"/>
    </row>
    <row r="5287" spans="20:20" ht="26.25">
      <c r="T5287" s="61" ph="1"/>
    </row>
    <row r="5288" spans="20:20" ht="26.25">
      <c r="T5288" s="61" ph="1"/>
    </row>
    <row r="5289" spans="20:20" ht="26.25">
      <c r="T5289" s="61" ph="1"/>
    </row>
    <row r="5290" spans="20:20" ht="26.25">
      <c r="T5290" s="61" ph="1"/>
    </row>
    <row r="5291" spans="20:20" ht="26.25">
      <c r="T5291" s="61" ph="1"/>
    </row>
    <row r="5292" spans="20:20" ht="26.25">
      <c r="T5292" s="61" ph="1"/>
    </row>
    <row r="5293" spans="20:20" ht="26.25">
      <c r="T5293" s="61" ph="1"/>
    </row>
    <row r="5294" spans="20:20" ht="26.25">
      <c r="T5294" s="61" ph="1"/>
    </row>
    <row r="5295" spans="20:20" ht="26.25">
      <c r="T5295" s="61" ph="1"/>
    </row>
    <row r="5296" spans="20:20" ht="26.25">
      <c r="T5296" s="61" ph="1"/>
    </row>
    <row r="5297" spans="20:20" ht="26.25">
      <c r="T5297" s="61" ph="1"/>
    </row>
    <row r="5298" spans="20:20" ht="26.25">
      <c r="T5298" s="61" ph="1"/>
    </row>
    <row r="5299" spans="20:20" ht="26.25">
      <c r="T5299" s="61" ph="1"/>
    </row>
    <row r="5300" spans="20:20" ht="26.25">
      <c r="T5300" s="61" ph="1"/>
    </row>
    <row r="5301" spans="20:20" ht="26.25">
      <c r="T5301" s="61" ph="1"/>
    </row>
    <row r="5302" spans="20:20" ht="26.25">
      <c r="T5302" s="61" ph="1"/>
    </row>
    <row r="5303" spans="20:20" ht="26.25">
      <c r="T5303" s="61" ph="1"/>
    </row>
    <row r="5304" spans="20:20" ht="26.25">
      <c r="T5304" s="61" ph="1"/>
    </row>
    <row r="5305" spans="20:20" ht="26.25">
      <c r="T5305" s="61" ph="1"/>
    </row>
    <row r="5306" spans="20:20" ht="26.25">
      <c r="T5306" s="61" ph="1"/>
    </row>
    <row r="5307" spans="20:20" ht="26.25">
      <c r="T5307" s="61" ph="1"/>
    </row>
    <row r="5308" spans="20:20" ht="26.25">
      <c r="T5308" s="61" ph="1"/>
    </row>
    <row r="5309" spans="20:20" ht="26.25">
      <c r="T5309" s="61" ph="1"/>
    </row>
    <row r="5310" spans="20:20" ht="26.25">
      <c r="T5310" s="61" ph="1"/>
    </row>
    <row r="5311" spans="20:20" ht="26.25">
      <c r="T5311" s="61" ph="1"/>
    </row>
    <row r="5312" spans="20:20" ht="26.25">
      <c r="T5312" s="61" ph="1"/>
    </row>
    <row r="5313" spans="20:20" ht="26.25">
      <c r="T5313" s="61" ph="1"/>
    </row>
    <row r="5314" spans="20:20" ht="26.25">
      <c r="T5314" s="61" ph="1"/>
    </row>
    <row r="5315" spans="20:20" ht="26.25">
      <c r="T5315" s="61" ph="1"/>
    </row>
    <row r="5316" spans="20:20" ht="26.25">
      <c r="T5316" s="61" ph="1"/>
    </row>
    <row r="5317" spans="20:20" ht="26.25">
      <c r="T5317" s="61" ph="1"/>
    </row>
    <row r="5318" spans="20:20" ht="26.25">
      <c r="T5318" s="61" ph="1"/>
    </row>
    <row r="5319" spans="20:20" ht="26.25">
      <c r="T5319" s="61" ph="1"/>
    </row>
    <row r="5320" spans="20:20" ht="26.25">
      <c r="T5320" s="61" ph="1"/>
    </row>
    <row r="5321" spans="20:20" ht="26.25">
      <c r="T5321" s="61" ph="1"/>
    </row>
    <row r="5322" spans="20:20" ht="26.25">
      <c r="T5322" s="61" ph="1"/>
    </row>
    <row r="5323" spans="20:20" ht="26.25">
      <c r="T5323" s="61" ph="1"/>
    </row>
    <row r="5324" spans="20:20" ht="26.25">
      <c r="T5324" s="61" ph="1"/>
    </row>
    <row r="5325" spans="20:20" ht="26.25">
      <c r="T5325" s="61" ph="1"/>
    </row>
    <row r="5326" spans="20:20" ht="26.25">
      <c r="T5326" s="61" ph="1"/>
    </row>
    <row r="5327" spans="20:20" ht="26.25">
      <c r="T5327" s="61" ph="1"/>
    </row>
    <row r="5328" spans="20:20" ht="26.25">
      <c r="T5328" s="61" ph="1"/>
    </row>
    <row r="5329" spans="20:20" ht="26.25">
      <c r="T5329" s="61" ph="1"/>
    </row>
    <row r="5330" spans="20:20" ht="26.25">
      <c r="T5330" s="61" ph="1"/>
    </row>
    <row r="5331" spans="20:20" ht="26.25">
      <c r="T5331" s="61" ph="1"/>
    </row>
    <row r="5332" spans="20:20" ht="26.25">
      <c r="T5332" s="61" ph="1"/>
    </row>
    <row r="5333" spans="20:20" ht="26.25">
      <c r="T5333" s="61" ph="1"/>
    </row>
    <row r="5334" spans="20:20" ht="26.25">
      <c r="T5334" s="61" ph="1"/>
    </row>
    <row r="5335" spans="20:20" ht="26.25">
      <c r="T5335" s="61" ph="1"/>
    </row>
    <row r="5336" spans="20:20" ht="26.25">
      <c r="T5336" s="61" ph="1"/>
    </row>
    <row r="5337" spans="20:20" ht="26.25">
      <c r="T5337" s="61" ph="1"/>
    </row>
    <row r="5338" spans="20:20" ht="26.25">
      <c r="T5338" s="61" ph="1"/>
    </row>
    <row r="5339" spans="20:20" ht="26.25">
      <c r="T5339" s="61" ph="1"/>
    </row>
    <row r="5340" spans="20:20" ht="26.25">
      <c r="T5340" s="61" ph="1"/>
    </row>
    <row r="5341" spans="20:20" ht="26.25">
      <c r="T5341" s="61" ph="1"/>
    </row>
    <row r="5342" spans="20:20" ht="26.25">
      <c r="T5342" s="61" ph="1"/>
    </row>
    <row r="5343" spans="20:20" ht="26.25">
      <c r="T5343" s="61" ph="1"/>
    </row>
    <row r="5344" spans="20:20" ht="26.25">
      <c r="T5344" s="61" ph="1"/>
    </row>
    <row r="5345" spans="20:20" ht="26.25">
      <c r="T5345" s="61" ph="1"/>
    </row>
    <row r="5346" spans="20:20" ht="26.25">
      <c r="T5346" s="61" ph="1"/>
    </row>
    <row r="5347" spans="20:20" ht="26.25">
      <c r="T5347" s="61" ph="1"/>
    </row>
    <row r="5348" spans="20:20" ht="26.25">
      <c r="T5348" s="61" ph="1"/>
    </row>
    <row r="5349" spans="20:20" ht="26.25">
      <c r="T5349" s="61" ph="1"/>
    </row>
    <row r="5350" spans="20:20" ht="26.25">
      <c r="T5350" s="61" ph="1"/>
    </row>
    <row r="5351" spans="20:20" ht="26.25">
      <c r="T5351" s="61" ph="1"/>
    </row>
    <row r="5352" spans="20:20" ht="26.25">
      <c r="T5352" s="61" ph="1"/>
    </row>
    <row r="5353" spans="20:20" ht="26.25">
      <c r="T5353" s="61" ph="1"/>
    </row>
    <row r="5354" spans="20:20" ht="26.25">
      <c r="T5354" s="61" ph="1"/>
    </row>
    <row r="5355" spans="20:20" ht="26.25">
      <c r="T5355" s="61" ph="1"/>
    </row>
    <row r="5356" spans="20:20" ht="26.25">
      <c r="T5356" s="61" ph="1"/>
    </row>
    <row r="5357" spans="20:20" ht="26.25">
      <c r="T5357" s="61" ph="1"/>
    </row>
    <row r="5358" spans="20:20" ht="26.25">
      <c r="T5358" s="61" ph="1"/>
    </row>
    <row r="5359" spans="20:20" ht="26.25">
      <c r="T5359" s="61" ph="1"/>
    </row>
    <row r="5360" spans="20:20" ht="26.25">
      <c r="T5360" s="61" ph="1"/>
    </row>
    <row r="5361" spans="20:20" ht="26.25">
      <c r="T5361" s="61" ph="1"/>
    </row>
    <row r="5362" spans="20:20" ht="26.25">
      <c r="T5362" s="61" ph="1"/>
    </row>
    <row r="5363" spans="20:20" ht="26.25">
      <c r="T5363" s="61" ph="1"/>
    </row>
    <row r="5364" spans="20:20" ht="26.25">
      <c r="T5364" s="61" ph="1"/>
    </row>
    <row r="5365" spans="20:20" ht="26.25">
      <c r="T5365" s="61" ph="1"/>
    </row>
    <row r="5366" spans="20:20" ht="26.25">
      <c r="T5366" s="61" ph="1"/>
    </row>
    <row r="5367" spans="20:20" ht="26.25">
      <c r="T5367" s="61" ph="1"/>
    </row>
    <row r="5368" spans="20:20" ht="26.25">
      <c r="T5368" s="61" ph="1"/>
    </row>
    <row r="5369" spans="20:20" ht="26.25">
      <c r="T5369" s="61" ph="1"/>
    </row>
    <row r="5370" spans="20:20" ht="26.25">
      <c r="T5370" s="61" ph="1"/>
    </row>
    <row r="5371" spans="20:20" ht="26.25">
      <c r="T5371" s="61" ph="1"/>
    </row>
    <row r="5372" spans="20:20" ht="26.25">
      <c r="T5372" s="61" ph="1"/>
    </row>
    <row r="5373" spans="20:20" ht="26.25">
      <c r="T5373" s="61" ph="1"/>
    </row>
    <row r="5374" spans="20:20" ht="26.25">
      <c r="T5374" s="61" ph="1"/>
    </row>
    <row r="5375" spans="20:20" ht="26.25">
      <c r="T5375" s="61" ph="1"/>
    </row>
    <row r="5376" spans="20:20" ht="26.25">
      <c r="T5376" s="61" ph="1"/>
    </row>
    <row r="5377" spans="20:20" ht="26.25">
      <c r="T5377" s="61" ph="1"/>
    </row>
    <row r="5378" spans="20:20" ht="26.25">
      <c r="T5378" s="61" ph="1"/>
    </row>
    <row r="5379" spans="20:20" ht="26.25">
      <c r="T5379" s="61" ph="1"/>
    </row>
    <row r="5380" spans="20:20" ht="26.25">
      <c r="T5380" s="61" ph="1"/>
    </row>
    <row r="5381" spans="20:20" ht="26.25">
      <c r="T5381" s="61" ph="1"/>
    </row>
    <row r="5382" spans="20:20" ht="26.25">
      <c r="T5382" s="61" ph="1"/>
    </row>
    <row r="5383" spans="20:20" ht="26.25">
      <c r="T5383" s="61" ph="1"/>
    </row>
    <row r="5384" spans="20:20" ht="26.25">
      <c r="T5384" s="61" ph="1"/>
    </row>
    <row r="5385" spans="20:20" ht="26.25">
      <c r="T5385" s="61" ph="1"/>
    </row>
    <row r="5386" spans="20:20" ht="26.25">
      <c r="T5386" s="61" ph="1"/>
    </row>
    <row r="5387" spans="20:20" ht="26.25">
      <c r="T5387" s="61" ph="1"/>
    </row>
    <row r="5388" spans="20:20" ht="26.25">
      <c r="T5388" s="61" ph="1"/>
    </row>
    <row r="5389" spans="20:20" ht="26.25">
      <c r="T5389" s="61" ph="1"/>
    </row>
    <row r="5390" spans="20:20" ht="26.25">
      <c r="T5390" s="61" ph="1"/>
    </row>
    <row r="5391" spans="20:20" ht="26.25">
      <c r="T5391" s="61" ph="1"/>
    </row>
    <row r="5392" spans="20:20" ht="26.25">
      <c r="T5392" s="61" ph="1"/>
    </row>
    <row r="5393" spans="20:20" ht="26.25">
      <c r="T5393" s="61" ph="1"/>
    </row>
    <row r="5394" spans="20:20" ht="26.25">
      <c r="T5394" s="61" ph="1"/>
    </row>
    <row r="5395" spans="20:20" ht="26.25">
      <c r="T5395" s="61" ph="1"/>
    </row>
    <row r="5396" spans="20:20" ht="26.25">
      <c r="T5396" s="61" ph="1"/>
    </row>
    <row r="5397" spans="20:20" ht="26.25">
      <c r="T5397" s="61" ph="1"/>
    </row>
    <row r="5398" spans="20:20" ht="26.25">
      <c r="T5398" s="61" ph="1"/>
    </row>
    <row r="5399" spans="20:20" ht="26.25">
      <c r="T5399" s="61" ph="1"/>
    </row>
    <row r="5400" spans="20:20" ht="26.25">
      <c r="T5400" s="61" ph="1"/>
    </row>
    <row r="5401" spans="20:20" ht="26.25">
      <c r="T5401" s="61" ph="1"/>
    </row>
    <row r="5402" spans="20:20" ht="26.25">
      <c r="T5402" s="61" ph="1"/>
    </row>
    <row r="5403" spans="20:20" ht="26.25">
      <c r="T5403" s="61" ph="1"/>
    </row>
    <row r="5404" spans="20:20" ht="26.25">
      <c r="T5404" s="61" ph="1"/>
    </row>
    <row r="5405" spans="20:20" ht="26.25">
      <c r="T5405" s="61" ph="1"/>
    </row>
    <row r="5406" spans="20:20" ht="26.25">
      <c r="T5406" s="61" ph="1"/>
    </row>
    <row r="5407" spans="20:20" ht="26.25">
      <c r="T5407" s="61" ph="1"/>
    </row>
    <row r="5408" spans="20:20" ht="26.25">
      <c r="T5408" s="61" ph="1"/>
    </row>
    <row r="5409" spans="20:20" ht="26.25">
      <c r="T5409" s="61" ph="1"/>
    </row>
    <row r="5410" spans="20:20" ht="26.25">
      <c r="T5410" s="61" ph="1"/>
    </row>
    <row r="5411" spans="20:20" ht="26.25">
      <c r="T5411" s="61" ph="1"/>
    </row>
    <row r="5412" spans="20:20" ht="26.25">
      <c r="T5412" s="61" ph="1"/>
    </row>
    <row r="5413" spans="20:20" ht="26.25">
      <c r="T5413" s="61" ph="1"/>
    </row>
    <row r="5414" spans="20:20" ht="26.25">
      <c r="T5414" s="61" ph="1"/>
    </row>
    <row r="5415" spans="20:20" ht="26.25">
      <c r="T5415" s="61" ph="1"/>
    </row>
    <row r="5416" spans="20:20" ht="26.25">
      <c r="T5416" s="61" ph="1"/>
    </row>
    <row r="5417" spans="20:20" ht="26.25">
      <c r="T5417" s="61" ph="1"/>
    </row>
    <row r="5418" spans="20:20" ht="26.25">
      <c r="T5418" s="61" ph="1"/>
    </row>
    <row r="5419" spans="20:20" ht="26.25">
      <c r="T5419" s="61" ph="1"/>
    </row>
    <row r="5420" spans="20:20" ht="26.25">
      <c r="T5420" s="61" ph="1"/>
    </row>
    <row r="5421" spans="20:20" ht="26.25">
      <c r="T5421" s="61" ph="1"/>
    </row>
    <row r="5422" spans="20:20" ht="26.25">
      <c r="T5422" s="61" ph="1"/>
    </row>
    <row r="5423" spans="20:20" ht="26.25">
      <c r="T5423" s="61" ph="1"/>
    </row>
    <row r="5424" spans="20:20" ht="26.25">
      <c r="T5424" s="61" ph="1"/>
    </row>
    <row r="5425" spans="20:20" ht="26.25">
      <c r="T5425" s="61" ph="1"/>
    </row>
    <row r="5426" spans="20:20" ht="26.25">
      <c r="T5426" s="61" ph="1"/>
    </row>
    <row r="5427" spans="20:20" ht="26.25">
      <c r="T5427" s="61" ph="1"/>
    </row>
    <row r="5428" spans="20:20" ht="26.25">
      <c r="T5428" s="61" ph="1"/>
    </row>
    <row r="5429" spans="20:20" ht="26.25">
      <c r="T5429" s="61" ph="1"/>
    </row>
    <row r="5430" spans="20:20" ht="26.25">
      <c r="T5430" s="61" ph="1"/>
    </row>
    <row r="5431" spans="20:20" ht="26.25">
      <c r="T5431" s="61" ph="1"/>
    </row>
    <row r="5432" spans="20:20" ht="26.25">
      <c r="T5432" s="61" ph="1"/>
    </row>
    <row r="5433" spans="20:20" ht="26.25">
      <c r="T5433" s="61" ph="1"/>
    </row>
    <row r="5434" spans="20:20" ht="26.25">
      <c r="T5434" s="61" ph="1"/>
    </row>
    <row r="5435" spans="20:20" ht="26.25">
      <c r="T5435" s="61" ph="1"/>
    </row>
    <row r="5436" spans="20:20" ht="26.25">
      <c r="T5436" s="61" ph="1"/>
    </row>
    <row r="5437" spans="20:20" ht="26.25">
      <c r="T5437" s="61" ph="1"/>
    </row>
    <row r="5438" spans="20:20" ht="26.25">
      <c r="T5438" s="61" ph="1"/>
    </row>
    <row r="5439" spans="20:20" ht="26.25">
      <c r="T5439" s="61" ph="1"/>
    </row>
    <row r="5440" spans="20:20" ht="26.25">
      <c r="T5440" s="61" ph="1"/>
    </row>
    <row r="5441" spans="20:20" ht="26.25">
      <c r="T5441" s="61" ph="1"/>
    </row>
    <row r="5442" spans="20:20" ht="26.25">
      <c r="T5442" s="61" ph="1"/>
    </row>
    <row r="5443" spans="20:20" ht="26.25">
      <c r="T5443" s="61" ph="1"/>
    </row>
    <row r="5444" spans="20:20" ht="26.25">
      <c r="T5444" s="61" ph="1"/>
    </row>
    <row r="5445" spans="20:20" ht="26.25">
      <c r="T5445" s="61" ph="1"/>
    </row>
    <row r="5446" spans="20:20" ht="26.25">
      <c r="T5446" s="61" ph="1"/>
    </row>
    <row r="5447" spans="20:20" ht="26.25">
      <c r="T5447" s="61" ph="1"/>
    </row>
    <row r="5448" spans="20:20" ht="26.25">
      <c r="T5448" s="61" ph="1"/>
    </row>
    <row r="5449" spans="20:20" ht="26.25">
      <c r="T5449" s="61" ph="1"/>
    </row>
    <row r="5450" spans="20:20" ht="26.25">
      <c r="T5450" s="61" ph="1"/>
    </row>
    <row r="5451" spans="20:20" ht="26.25">
      <c r="T5451" s="61" ph="1"/>
    </row>
    <row r="5452" spans="20:20" ht="26.25">
      <c r="T5452" s="61" ph="1"/>
    </row>
    <row r="5453" spans="20:20" ht="26.25">
      <c r="T5453" s="61" ph="1"/>
    </row>
    <row r="5454" spans="20:20" ht="26.25">
      <c r="T5454" s="61" ph="1"/>
    </row>
    <row r="5455" spans="20:20" ht="26.25">
      <c r="T5455" s="61" ph="1"/>
    </row>
    <row r="5456" spans="20:20" ht="26.25">
      <c r="T5456" s="61" ph="1"/>
    </row>
    <row r="5457" spans="20:20" ht="26.25">
      <c r="T5457" s="61" ph="1"/>
    </row>
    <row r="5458" spans="20:20" ht="26.25">
      <c r="T5458" s="61" ph="1"/>
    </row>
    <row r="5459" spans="20:20" ht="26.25">
      <c r="T5459" s="61" ph="1"/>
    </row>
    <row r="5460" spans="20:20" ht="26.25">
      <c r="T5460" s="61" ph="1"/>
    </row>
    <row r="5461" spans="20:20" ht="26.25">
      <c r="T5461" s="61" ph="1"/>
    </row>
    <row r="5462" spans="20:20" ht="26.25">
      <c r="T5462" s="61" ph="1"/>
    </row>
    <row r="5463" spans="20:20" ht="26.25">
      <c r="T5463" s="61" ph="1"/>
    </row>
    <row r="5464" spans="20:20" ht="26.25">
      <c r="T5464" s="61" ph="1"/>
    </row>
    <row r="5465" spans="20:20" ht="26.25">
      <c r="T5465" s="61" ph="1"/>
    </row>
    <row r="5466" spans="20:20" ht="26.25">
      <c r="T5466" s="61" ph="1"/>
    </row>
    <row r="5467" spans="20:20" ht="26.25">
      <c r="T5467" s="61" ph="1"/>
    </row>
    <row r="5468" spans="20:20" ht="26.25">
      <c r="T5468" s="61" ph="1"/>
    </row>
    <row r="5469" spans="20:20" ht="26.25">
      <c r="T5469" s="61" ph="1"/>
    </row>
    <row r="5470" spans="20:20" ht="26.25">
      <c r="T5470" s="61" ph="1"/>
    </row>
    <row r="5471" spans="20:20" ht="26.25">
      <c r="T5471" s="61" ph="1"/>
    </row>
    <row r="5472" spans="20:20" ht="26.25">
      <c r="T5472" s="61" ph="1"/>
    </row>
    <row r="5473" spans="20:20" ht="26.25">
      <c r="T5473" s="61" ph="1"/>
    </row>
    <row r="5474" spans="20:20" ht="26.25">
      <c r="T5474" s="61" ph="1"/>
    </row>
    <row r="5475" spans="20:20" ht="26.25">
      <c r="T5475" s="61" ph="1"/>
    </row>
    <row r="5476" spans="20:20" ht="26.25">
      <c r="T5476" s="61" ph="1"/>
    </row>
    <row r="5477" spans="20:20" ht="26.25">
      <c r="T5477" s="61" ph="1"/>
    </row>
    <row r="5478" spans="20:20" ht="26.25">
      <c r="T5478" s="61" ph="1"/>
    </row>
    <row r="5479" spans="20:20" ht="26.25">
      <c r="T5479" s="61" ph="1"/>
    </row>
    <row r="5480" spans="20:20" ht="26.25">
      <c r="T5480" s="61" ph="1"/>
    </row>
    <row r="5481" spans="20:20" ht="26.25">
      <c r="T5481" s="61" ph="1"/>
    </row>
    <row r="5482" spans="20:20" ht="26.25">
      <c r="T5482" s="61" ph="1"/>
    </row>
    <row r="5483" spans="20:20" ht="26.25">
      <c r="T5483" s="61" ph="1"/>
    </row>
    <row r="5484" spans="20:20" ht="26.25">
      <c r="T5484" s="61" ph="1"/>
    </row>
    <row r="5485" spans="20:20" ht="26.25">
      <c r="T5485" s="61" ph="1"/>
    </row>
    <row r="5486" spans="20:20" ht="26.25">
      <c r="T5486" s="61" ph="1"/>
    </row>
    <row r="5487" spans="20:20" ht="26.25">
      <c r="T5487" s="61" ph="1"/>
    </row>
    <row r="5488" spans="20:20" ht="26.25">
      <c r="T5488" s="61" ph="1"/>
    </row>
    <row r="5489" spans="20:20" ht="26.25">
      <c r="T5489" s="61" ph="1"/>
    </row>
    <row r="5490" spans="20:20" ht="26.25">
      <c r="T5490" s="61" ph="1"/>
    </row>
    <row r="5491" spans="20:20" ht="26.25">
      <c r="T5491" s="61" ph="1"/>
    </row>
    <row r="5492" spans="20:20" ht="26.25">
      <c r="T5492" s="61" ph="1"/>
    </row>
    <row r="5493" spans="20:20" ht="26.25">
      <c r="T5493" s="61" ph="1"/>
    </row>
    <row r="5494" spans="20:20" ht="26.25">
      <c r="T5494" s="61" ph="1"/>
    </row>
    <row r="5495" spans="20:20" ht="26.25">
      <c r="T5495" s="61" ph="1"/>
    </row>
    <row r="5496" spans="20:20" ht="26.25">
      <c r="T5496" s="61" ph="1"/>
    </row>
    <row r="5497" spans="20:20" ht="26.25">
      <c r="T5497" s="61" ph="1"/>
    </row>
    <row r="5498" spans="20:20" ht="26.25">
      <c r="T5498" s="61" ph="1"/>
    </row>
    <row r="5499" spans="20:20" ht="26.25">
      <c r="T5499" s="61" ph="1"/>
    </row>
    <row r="5500" spans="20:20" ht="26.25">
      <c r="T5500" s="61" ph="1"/>
    </row>
    <row r="5501" spans="20:20" ht="26.25">
      <c r="T5501" s="61" ph="1"/>
    </row>
    <row r="5502" spans="20:20" ht="26.25">
      <c r="T5502" s="61" ph="1"/>
    </row>
    <row r="5503" spans="20:20" ht="26.25">
      <c r="T5503" s="61" ph="1"/>
    </row>
    <row r="5504" spans="20:20" ht="26.25">
      <c r="T5504" s="61" ph="1"/>
    </row>
    <row r="5505" spans="20:20" ht="26.25">
      <c r="T5505" s="61" ph="1"/>
    </row>
    <row r="5506" spans="20:20" ht="26.25">
      <c r="T5506" s="61" ph="1"/>
    </row>
    <row r="5507" spans="20:20" ht="26.25">
      <c r="T5507" s="61" ph="1"/>
    </row>
    <row r="5508" spans="20:20" ht="26.25">
      <c r="T5508" s="61" ph="1"/>
    </row>
    <row r="5509" spans="20:20" ht="26.25">
      <c r="T5509" s="61" ph="1"/>
    </row>
    <row r="5510" spans="20:20" ht="26.25">
      <c r="T5510" s="61" ph="1"/>
    </row>
    <row r="5511" spans="20:20" ht="26.25">
      <c r="T5511" s="61" ph="1"/>
    </row>
    <row r="5512" spans="20:20" ht="26.25">
      <c r="T5512" s="61" ph="1"/>
    </row>
    <row r="5513" spans="20:20" ht="26.25">
      <c r="T5513" s="61" ph="1"/>
    </row>
    <row r="5514" spans="20:20" ht="26.25">
      <c r="T5514" s="61" ph="1"/>
    </row>
    <row r="5515" spans="20:20" ht="26.25">
      <c r="T5515" s="61" ph="1"/>
    </row>
    <row r="5516" spans="20:20" ht="26.25">
      <c r="T5516" s="61" ph="1"/>
    </row>
    <row r="5517" spans="20:20" ht="26.25">
      <c r="T5517" s="61" ph="1"/>
    </row>
    <row r="5518" spans="20:20" ht="26.25">
      <c r="T5518" s="61" ph="1"/>
    </row>
    <row r="5519" spans="20:20" ht="26.25">
      <c r="T5519" s="61" ph="1"/>
    </row>
    <row r="5520" spans="20:20" ht="26.25">
      <c r="T5520" s="61" ph="1"/>
    </row>
    <row r="5521" spans="20:20" ht="26.25">
      <c r="T5521" s="61" ph="1"/>
    </row>
    <row r="5522" spans="20:20" ht="26.25">
      <c r="T5522" s="61" ph="1"/>
    </row>
    <row r="5523" spans="20:20" ht="26.25">
      <c r="T5523" s="61" ph="1"/>
    </row>
    <row r="5524" spans="20:20" ht="26.25">
      <c r="T5524" s="61" ph="1"/>
    </row>
    <row r="5525" spans="20:20" ht="26.25">
      <c r="T5525" s="61" ph="1"/>
    </row>
    <row r="5526" spans="20:20" ht="26.25">
      <c r="T5526" s="61" ph="1"/>
    </row>
    <row r="5527" spans="20:20" ht="26.25">
      <c r="T5527" s="61" ph="1"/>
    </row>
    <row r="5528" spans="20:20" ht="26.25">
      <c r="T5528" s="61" ph="1"/>
    </row>
    <row r="5529" spans="20:20" ht="26.25">
      <c r="T5529" s="61" ph="1"/>
    </row>
    <row r="5530" spans="20:20" ht="26.25">
      <c r="T5530" s="61" ph="1"/>
    </row>
    <row r="5531" spans="20:20" ht="26.25">
      <c r="T5531" s="61" ph="1"/>
    </row>
    <row r="5532" spans="20:20" ht="26.25">
      <c r="T5532" s="61" ph="1"/>
    </row>
    <row r="5533" spans="20:20" ht="26.25">
      <c r="T5533" s="61" ph="1"/>
    </row>
    <row r="5534" spans="20:20" ht="26.25">
      <c r="T5534" s="61" ph="1"/>
    </row>
    <row r="5535" spans="20:20" ht="26.25">
      <c r="T5535" s="61" ph="1"/>
    </row>
    <row r="5536" spans="20:20" ht="26.25">
      <c r="T5536" s="61" ph="1"/>
    </row>
    <row r="5537" spans="20:20" ht="26.25">
      <c r="T5537" s="61" ph="1"/>
    </row>
    <row r="5538" spans="20:20" ht="26.25">
      <c r="T5538" s="61" ph="1"/>
    </row>
    <row r="5539" spans="20:20" ht="26.25">
      <c r="T5539" s="61" ph="1"/>
    </row>
    <row r="5540" spans="20:20" ht="26.25">
      <c r="T5540" s="61" ph="1"/>
    </row>
    <row r="5541" spans="20:20" ht="26.25">
      <c r="T5541" s="61" ph="1"/>
    </row>
    <row r="5542" spans="20:20" ht="26.25">
      <c r="T5542" s="61" ph="1"/>
    </row>
    <row r="5543" spans="20:20" ht="26.25">
      <c r="T5543" s="61" ph="1"/>
    </row>
    <row r="5544" spans="20:20" ht="26.25">
      <c r="T5544" s="61" ph="1"/>
    </row>
    <row r="5545" spans="20:20" ht="26.25">
      <c r="T5545" s="61" ph="1"/>
    </row>
    <row r="5546" spans="20:20" ht="26.25">
      <c r="T5546" s="61" ph="1"/>
    </row>
    <row r="5547" spans="20:20" ht="26.25">
      <c r="T5547" s="61" ph="1"/>
    </row>
    <row r="5548" spans="20:20" ht="26.25">
      <c r="T5548" s="61" ph="1"/>
    </row>
    <row r="5549" spans="20:20" ht="26.25">
      <c r="T5549" s="61" ph="1"/>
    </row>
    <row r="5550" spans="20:20" ht="26.25">
      <c r="T5550" s="61" ph="1"/>
    </row>
    <row r="5551" spans="20:20" ht="26.25">
      <c r="T5551" s="61" ph="1"/>
    </row>
    <row r="5552" spans="20:20" ht="26.25">
      <c r="T5552" s="61" ph="1"/>
    </row>
    <row r="5553" spans="20:20" ht="26.25">
      <c r="T5553" s="61" ph="1"/>
    </row>
    <row r="5554" spans="20:20" ht="26.25">
      <c r="T5554" s="61" ph="1"/>
    </row>
    <row r="5555" spans="20:20" ht="26.25">
      <c r="T5555" s="61" ph="1"/>
    </row>
    <row r="5556" spans="20:20" ht="26.25">
      <c r="T5556" s="61" ph="1"/>
    </row>
    <row r="5557" spans="20:20" ht="26.25">
      <c r="T5557" s="61" ph="1"/>
    </row>
    <row r="5558" spans="20:20" ht="26.25">
      <c r="T5558" s="61" ph="1"/>
    </row>
    <row r="5559" spans="20:20" ht="26.25">
      <c r="T5559" s="61" ph="1"/>
    </row>
    <row r="5560" spans="20:20" ht="26.25">
      <c r="T5560" s="61" ph="1"/>
    </row>
    <row r="5561" spans="20:20" ht="26.25">
      <c r="T5561" s="61" ph="1"/>
    </row>
    <row r="5562" spans="20:20" ht="26.25">
      <c r="T5562" s="61" ph="1"/>
    </row>
    <row r="5563" spans="20:20" ht="26.25">
      <c r="T5563" s="61" ph="1"/>
    </row>
    <row r="5564" spans="20:20" ht="26.25">
      <c r="T5564" s="61" ph="1"/>
    </row>
    <row r="5565" spans="20:20" ht="26.25">
      <c r="T5565" s="61" ph="1"/>
    </row>
    <row r="5566" spans="20:20" ht="26.25">
      <c r="T5566" s="61" ph="1"/>
    </row>
    <row r="5567" spans="20:20" ht="26.25">
      <c r="T5567" s="61" ph="1"/>
    </row>
    <row r="5568" spans="20:20" ht="26.25">
      <c r="T5568" s="61" ph="1"/>
    </row>
    <row r="5569" spans="20:20" ht="26.25">
      <c r="T5569" s="61" ph="1"/>
    </row>
    <row r="5570" spans="20:20" ht="26.25">
      <c r="T5570" s="61" ph="1"/>
    </row>
    <row r="5571" spans="20:20" ht="26.25">
      <c r="T5571" s="61" ph="1"/>
    </row>
    <row r="5572" spans="20:20" ht="26.25">
      <c r="T5572" s="61" ph="1"/>
    </row>
    <row r="5573" spans="20:20" ht="26.25">
      <c r="T5573" s="61" ph="1"/>
    </row>
    <row r="5574" spans="20:20" ht="26.25">
      <c r="T5574" s="61" ph="1"/>
    </row>
    <row r="5575" spans="20:20" ht="26.25">
      <c r="T5575" s="61" ph="1"/>
    </row>
    <row r="5576" spans="20:20" ht="26.25">
      <c r="T5576" s="61" ph="1"/>
    </row>
    <row r="5577" spans="20:20" ht="26.25">
      <c r="T5577" s="61" ph="1"/>
    </row>
    <row r="5578" spans="20:20" ht="26.25">
      <c r="T5578" s="61" ph="1"/>
    </row>
    <row r="5579" spans="20:20" ht="26.25">
      <c r="T5579" s="61" ph="1"/>
    </row>
    <row r="5580" spans="20:20" ht="26.25">
      <c r="T5580" s="61" ph="1"/>
    </row>
    <row r="5581" spans="20:20" ht="26.25">
      <c r="T5581" s="61" ph="1"/>
    </row>
    <row r="5582" spans="20:20" ht="26.25">
      <c r="T5582" s="61" ph="1"/>
    </row>
    <row r="5583" spans="20:20" ht="26.25">
      <c r="T5583" s="61" ph="1"/>
    </row>
    <row r="5584" spans="20:20" ht="26.25">
      <c r="T5584" s="61" ph="1"/>
    </row>
    <row r="5585" spans="20:20" ht="26.25">
      <c r="T5585" s="61" ph="1"/>
    </row>
    <row r="5586" spans="20:20" ht="26.25">
      <c r="T5586" s="61" ph="1"/>
    </row>
    <row r="5587" spans="20:20" ht="26.25">
      <c r="T5587" s="61" ph="1"/>
    </row>
    <row r="5588" spans="20:20" ht="26.25">
      <c r="T5588" s="61" ph="1"/>
    </row>
    <row r="5589" spans="20:20" ht="26.25">
      <c r="T5589" s="61" ph="1"/>
    </row>
    <row r="5590" spans="20:20" ht="26.25">
      <c r="T5590" s="61" ph="1"/>
    </row>
    <row r="5591" spans="20:20" ht="26.25">
      <c r="T5591" s="61" ph="1"/>
    </row>
    <row r="5592" spans="20:20" ht="26.25">
      <c r="T5592" s="61" ph="1"/>
    </row>
    <row r="5593" spans="20:20" ht="26.25">
      <c r="T5593" s="61" ph="1"/>
    </row>
    <row r="5594" spans="20:20" ht="26.25">
      <c r="T5594" s="61" ph="1"/>
    </row>
    <row r="5595" spans="20:20" ht="26.25">
      <c r="T5595" s="61" ph="1"/>
    </row>
    <row r="5596" spans="20:20" ht="26.25">
      <c r="T5596" s="61" ph="1"/>
    </row>
    <row r="5597" spans="20:20" ht="26.25">
      <c r="T5597" s="61" ph="1"/>
    </row>
    <row r="5598" spans="20:20" ht="26.25">
      <c r="T5598" s="61" ph="1"/>
    </row>
    <row r="5599" spans="20:20" ht="26.25">
      <c r="T5599" s="61" ph="1"/>
    </row>
    <row r="5600" spans="20:20" ht="26.25">
      <c r="T5600" s="61" ph="1"/>
    </row>
    <row r="5601" spans="20:20" ht="26.25">
      <c r="T5601" s="61" ph="1"/>
    </row>
    <row r="5602" spans="20:20" ht="26.25">
      <c r="T5602" s="61" ph="1"/>
    </row>
    <row r="5603" spans="20:20" ht="26.25">
      <c r="T5603" s="61" ph="1"/>
    </row>
    <row r="5604" spans="20:20" ht="26.25">
      <c r="T5604" s="61" ph="1"/>
    </row>
    <row r="5605" spans="20:20" ht="26.25">
      <c r="T5605" s="61" ph="1"/>
    </row>
    <row r="5606" spans="20:20" ht="26.25">
      <c r="T5606" s="61" ph="1"/>
    </row>
    <row r="5607" spans="20:20" ht="26.25">
      <c r="T5607" s="61" ph="1"/>
    </row>
    <row r="5608" spans="20:20" ht="26.25">
      <c r="T5608" s="61" ph="1"/>
    </row>
    <row r="5609" spans="20:20" ht="26.25">
      <c r="T5609" s="61" ph="1"/>
    </row>
    <row r="5610" spans="20:20" ht="26.25">
      <c r="T5610" s="61" ph="1"/>
    </row>
    <row r="5611" spans="20:20" ht="26.25">
      <c r="T5611" s="61" ph="1"/>
    </row>
    <row r="5612" spans="20:20" ht="26.25">
      <c r="T5612" s="61" ph="1"/>
    </row>
    <row r="5613" spans="20:20" ht="26.25">
      <c r="T5613" s="61" ph="1"/>
    </row>
    <row r="5614" spans="20:20" ht="26.25">
      <c r="T5614" s="61" ph="1"/>
    </row>
    <row r="5615" spans="20:20" ht="26.25">
      <c r="T5615" s="61" ph="1"/>
    </row>
    <row r="5616" spans="20:20" ht="26.25">
      <c r="T5616" s="61" ph="1"/>
    </row>
    <row r="5617" spans="20:20" ht="26.25">
      <c r="T5617" s="61" ph="1"/>
    </row>
    <row r="5618" spans="20:20" ht="26.25">
      <c r="T5618" s="61" ph="1"/>
    </row>
    <row r="5619" spans="20:20" ht="26.25">
      <c r="T5619" s="61" ph="1"/>
    </row>
    <row r="5620" spans="20:20" ht="26.25">
      <c r="T5620" s="61" ph="1"/>
    </row>
    <row r="5621" spans="20:20" ht="26.25">
      <c r="T5621" s="61" ph="1"/>
    </row>
    <row r="5622" spans="20:20" ht="26.25">
      <c r="T5622" s="61" ph="1"/>
    </row>
    <row r="5623" spans="20:20" ht="26.25">
      <c r="T5623" s="61" ph="1"/>
    </row>
    <row r="5624" spans="20:20" ht="26.25">
      <c r="T5624" s="61" ph="1"/>
    </row>
    <row r="5625" spans="20:20" ht="26.25">
      <c r="T5625" s="61" ph="1"/>
    </row>
    <row r="5626" spans="20:20" ht="26.25">
      <c r="T5626" s="61" ph="1"/>
    </row>
    <row r="5627" spans="20:20" ht="26.25">
      <c r="T5627" s="61" ph="1"/>
    </row>
    <row r="5628" spans="20:20" ht="26.25">
      <c r="T5628" s="61" ph="1"/>
    </row>
    <row r="5629" spans="20:20" ht="26.25">
      <c r="T5629" s="61" ph="1"/>
    </row>
    <row r="5630" spans="20:20" ht="26.25">
      <c r="T5630" s="61" ph="1"/>
    </row>
    <row r="5631" spans="20:20" ht="26.25">
      <c r="T5631" s="61" ph="1"/>
    </row>
    <row r="5632" spans="20:20" ht="26.25">
      <c r="T5632" s="61" ph="1"/>
    </row>
    <row r="5633" spans="20:20" ht="26.25">
      <c r="T5633" s="61" ph="1"/>
    </row>
    <row r="5634" spans="20:20" ht="26.25">
      <c r="T5634" s="61" ph="1"/>
    </row>
    <row r="5635" spans="20:20" ht="26.25">
      <c r="T5635" s="61" ph="1"/>
    </row>
    <row r="5636" spans="20:20" ht="26.25">
      <c r="T5636" s="61" ph="1"/>
    </row>
    <row r="5637" spans="20:20" ht="26.25">
      <c r="T5637" s="61" ph="1"/>
    </row>
    <row r="5638" spans="20:20" ht="26.25">
      <c r="T5638" s="61" ph="1"/>
    </row>
    <row r="5639" spans="20:20" ht="26.25">
      <c r="T5639" s="61" ph="1"/>
    </row>
    <row r="5640" spans="20:20" ht="26.25">
      <c r="T5640" s="61" ph="1"/>
    </row>
    <row r="5641" spans="20:20" ht="26.25">
      <c r="T5641" s="61" ph="1"/>
    </row>
    <row r="5642" spans="20:20" ht="26.25">
      <c r="T5642" s="61" ph="1"/>
    </row>
    <row r="5643" spans="20:20" ht="26.25">
      <c r="T5643" s="61" ph="1"/>
    </row>
    <row r="5644" spans="20:20" ht="26.25">
      <c r="T5644" s="61" ph="1"/>
    </row>
    <row r="5645" spans="20:20" ht="26.25">
      <c r="T5645" s="61" ph="1"/>
    </row>
    <row r="5646" spans="20:20" ht="26.25">
      <c r="T5646" s="61" ph="1"/>
    </row>
    <row r="5647" spans="20:20" ht="26.25">
      <c r="T5647" s="61" ph="1"/>
    </row>
    <row r="5648" spans="20:20" ht="26.25">
      <c r="T5648" s="61" ph="1"/>
    </row>
    <row r="5649" spans="20:20" ht="26.25">
      <c r="T5649" s="61" ph="1"/>
    </row>
    <row r="5650" spans="20:20" ht="26.25">
      <c r="T5650" s="61" ph="1"/>
    </row>
    <row r="5651" spans="20:20" ht="26.25">
      <c r="T5651" s="61" ph="1"/>
    </row>
    <row r="5652" spans="20:20" ht="26.25">
      <c r="T5652" s="61" ph="1"/>
    </row>
    <row r="5653" spans="20:20" ht="26.25">
      <c r="T5653" s="61" ph="1"/>
    </row>
    <row r="5654" spans="20:20" ht="26.25">
      <c r="T5654" s="61" ph="1"/>
    </row>
    <row r="5655" spans="20:20" ht="26.25">
      <c r="T5655" s="61" ph="1"/>
    </row>
    <row r="5656" spans="20:20" ht="26.25">
      <c r="T5656" s="61" ph="1"/>
    </row>
    <row r="5657" spans="20:20" ht="26.25">
      <c r="T5657" s="61" ph="1"/>
    </row>
    <row r="5658" spans="20:20" ht="26.25">
      <c r="T5658" s="61" ph="1"/>
    </row>
    <row r="5659" spans="20:20" ht="26.25">
      <c r="T5659" s="61" ph="1"/>
    </row>
    <row r="5660" spans="20:20" ht="26.25">
      <c r="T5660" s="61" ph="1"/>
    </row>
    <row r="5661" spans="20:20" ht="26.25">
      <c r="T5661" s="61" ph="1"/>
    </row>
    <row r="5662" spans="20:20" ht="26.25">
      <c r="T5662" s="61" ph="1"/>
    </row>
    <row r="5663" spans="20:20" ht="26.25">
      <c r="T5663" s="61" ph="1"/>
    </row>
    <row r="5664" spans="20:20" ht="26.25">
      <c r="T5664" s="61" ph="1"/>
    </row>
    <row r="5665" spans="20:20" ht="26.25">
      <c r="T5665" s="61" ph="1"/>
    </row>
    <row r="5666" spans="20:20" ht="26.25">
      <c r="T5666" s="61" ph="1"/>
    </row>
    <row r="5667" spans="20:20" ht="26.25">
      <c r="T5667" s="61" ph="1"/>
    </row>
    <row r="5668" spans="20:20" ht="26.25">
      <c r="T5668" s="61" ph="1"/>
    </row>
    <row r="5669" spans="20:20" ht="26.25">
      <c r="T5669" s="61" ph="1"/>
    </row>
    <row r="5670" spans="20:20" ht="26.25">
      <c r="T5670" s="61" ph="1"/>
    </row>
    <row r="5671" spans="20:20" ht="26.25">
      <c r="T5671" s="61" ph="1"/>
    </row>
    <row r="5672" spans="20:20" ht="26.25">
      <c r="T5672" s="61" ph="1"/>
    </row>
    <row r="5673" spans="20:20" ht="26.25">
      <c r="T5673" s="61" ph="1"/>
    </row>
    <row r="5674" spans="20:20" ht="26.25">
      <c r="T5674" s="61" ph="1"/>
    </row>
    <row r="5675" spans="20:20" ht="26.25">
      <c r="T5675" s="61" ph="1"/>
    </row>
    <row r="5676" spans="20:20" ht="26.25">
      <c r="T5676" s="61" ph="1"/>
    </row>
    <row r="5677" spans="20:20" ht="26.25">
      <c r="T5677" s="61" ph="1"/>
    </row>
    <row r="5678" spans="20:20" ht="26.25">
      <c r="T5678" s="61" ph="1"/>
    </row>
    <row r="5679" spans="20:20" ht="26.25">
      <c r="T5679" s="61" ph="1"/>
    </row>
    <row r="5680" spans="20:20" ht="26.25">
      <c r="T5680" s="61" ph="1"/>
    </row>
    <row r="5681" spans="20:20" ht="26.25">
      <c r="T5681" s="61" ph="1"/>
    </row>
    <row r="5682" spans="20:20" ht="26.25">
      <c r="T5682" s="61" ph="1"/>
    </row>
    <row r="5683" spans="20:20" ht="26.25">
      <c r="T5683" s="61" ph="1"/>
    </row>
    <row r="5684" spans="20:20" ht="26.25">
      <c r="T5684" s="61" ph="1"/>
    </row>
    <row r="5685" spans="20:20" ht="26.25">
      <c r="T5685" s="61" ph="1"/>
    </row>
    <row r="5686" spans="20:20" ht="26.25">
      <c r="T5686" s="61" ph="1"/>
    </row>
    <row r="5687" spans="20:20" ht="26.25">
      <c r="T5687" s="61" ph="1"/>
    </row>
    <row r="5688" spans="20:20" ht="26.25">
      <c r="T5688" s="61" ph="1"/>
    </row>
    <row r="5689" spans="20:20" ht="26.25">
      <c r="T5689" s="61" ph="1"/>
    </row>
    <row r="5690" spans="20:20" ht="26.25">
      <c r="T5690" s="61" ph="1"/>
    </row>
    <row r="5691" spans="20:20" ht="26.25">
      <c r="T5691" s="61" ph="1"/>
    </row>
    <row r="5692" spans="20:20" ht="26.25">
      <c r="T5692" s="61" ph="1"/>
    </row>
    <row r="5693" spans="20:20" ht="26.25">
      <c r="T5693" s="61" ph="1"/>
    </row>
    <row r="5694" spans="20:20" ht="26.25">
      <c r="T5694" s="61" ph="1"/>
    </row>
    <row r="5695" spans="20:20" ht="26.25">
      <c r="T5695" s="61" ph="1"/>
    </row>
    <row r="5696" spans="20:20" ht="26.25">
      <c r="T5696" s="61" ph="1"/>
    </row>
    <row r="5697" spans="20:20" ht="26.25">
      <c r="T5697" s="61" ph="1"/>
    </row>
    <row r="5698" spans="20:20" ht="26.25">
      <c r="T5698" s="61" ph="1"/>
    </row>
    <row r="5699" spans="20:20" ht="26.25">
      <c r="T5699" s="61" ph="1"/>
    </row>
    <row r="5700" spans="20:20" ht="26.25">
      <c r="T5700" s="61" ph="1"/>
    </row>
    <row r="5701" spans="20:20" ht="26.25">
      <c r="T5701" s="61" ph="1"/>
    </row>
    <row r="5702" spans="20:20" ht="26.25">
      <c r="T5702" s="61" ph="1"/>
    </row>
    <row r="5703" spans="20:20" ht="26.25">
      <c r="T5703" s="61" ph="1"/>
    </row>
    <row r="5704" spans="20:20" ht="26.25">
      <c r="T5704" s="61" ph="1"/>
    </row>
    <row r="5705" spans="20:20" ht="26.25">
      <c r="T5705" s="61" ph="1"/>
    </row>
    <row r="5706" spans="20:20" ht="26.25">
      <c r="T5706" s="61" ph="1"/>
    </row>
    <row r="5707" spans="20:20" ht="26.25">
      <c r="T5707" s="61" ph="1"/>
    </row>
    <row r="5708" spans="20:20" ht="26.25">
      <c r="T5708" s="61" ph="1"/>
    </row>
    <row r="5709" spans="20:20" ht="26.25">
      <c r="T5709" s="61" ph="1"/>
    </row>
    <row r="5710" spans="20:20" ht="26.25">
      <c r="T5710" s="61" ph="1"/>
    </row>
    <row r="5711" spans="20:20" ht="26.25">
      <c r="T5711" s="61" ph="1"/>
    </row>
    <row r="5712" spans="20:20" ht="26.25">
      <c r="T5712" s="61" ph="1"/>
    </row>
    <row r="5713" spans="20:20" ht="26.25">
      <c r="T5713" s="61" ph="1"/>
    </row>
    <row r="5714" spans="20:20" ht="26.25">
      <c r="T5714" s="61" ph="1"/>
    </row>
    <row r="5715" spans="20:20" ht="26.25">
      <c r="T5715" s="61" ph="1"/>
    </row>
    <row r="5716" spans="20:20" ht="26.25">
      <c r="T5716" s="61" ph="1"/>
    </row>
    <row r="5717" spans="20:20" ht="26.25">
      <c r="T5717" s="61" ph="1"/>
    </row>
    <row r="5718" spans="20:20" ht="26.25">
      <c r="T5718" s="61" ph="1"/>
    </row>
    <row r="5719" spans="20:20" ht="26.25">
      <c r="T5719" s="61" ph="1"/>
    </row>
    <row r="5720" spans="20:20" ht="26.25">
      <c r="T5720" s="61" ph="1"/>
    </row>
    <row r="5721" spans="20:20" ht="26.25">
      <c r="T5721" s="61" ph="1"/>
    </row>
    <row r="5722" spans="20:20" ht="26.25">
      <c r="T5722" s="61" ph="1"/>
    </row>
    <row r="5723" spans="20:20" ht="26.25">
      <c r="T5723" s="61" ph="1"/>
    </row>
    <row r="5724" spans="20:20" ht="26.25">
      <c r="T5724" s="61" ph="1"/>
    </row>
    <row r="5725" spans="20:20" ht="26.25">
      <c r="T5725" s="61" ph="1"/>
    </row>
    <row r="5726" spans="20:20" ht="26.25">
      <c r="T5726" s="61" ph="1"/>
    </row>
    <row r="5727" spans="20:20" ht="26.25">
      <c r="T5727" s="61" ph="1"/>
    </row>
    <row r="5728" spans="20:20" ht="26.25">
      <c r="T5728" s="61" ph="1"/>
    </row>
    <row r="5729" spans="20:20" ht="26.25">
      <c r="T5729" s="61" ph="1"/>
    </row>
    <row r="5730" spans="20:20" ht="26.25">
      <c r="T5730" s="61" ph="1"/>
    </row>
    <row r="5731" spans="20:20" ht="26.25">
      <c r="T5731" s="61" ph="1"/>
    </row>
    <row r="5732" spans="20:20" ht="26.25">
      <c r="T5732" s="61" ph="1"/>
    </row>
    <row r="5733" spans="20:20" ht="26.25">
      <c r="T5733" s="61" ph="1"/>
    </row>
    <row r="5734" spans="20:20" ht="26.25">
      <c r="T5734" s="61" ph="1"/>
    </row>
    <row r="5735" spans="20:20" ht="26.25">
      <c r="T5735" s="61" ph="1"/>
    </row>
    <row r="5736" spans="20:20" ht="26.25">
      <c r="T5736" s="61" ph="1"/>
    </row>
    <row r="5737" spans="20:20" ht="26.25">
      <c r="T5737" s="61" ph="1"/>
    </row>
    <row r="5738" spans="20:20" ht="26.25">
      <c r="T5738" s="61" ph="1"/>
    </row>
    <row r="5739" spans="20:20" ht="26.25">
      <c r="T5739" s="61" ph="1"/>
    </row>
    <row r="5740" spans="20:20" ht="26.25">
      <c r="T5740" s="61" ph="1"/>
    </row>
    <row r="5741" spans="20:20" ht="26.25">
      <c r="T5741" s="61" ph="1"/>
    </row>
    <row r="5742" spans="20:20" ht="26.25">
      <c r="T5742" s="61" ph="1"/>
    </row>
    <row r="5743" spans="20:20" ht="26.25">
      <c r="T5743" s="61" ph="1"/>
    </row>
    <row r="5744" spans="20:20" ht="26.25">
      <c r="T5744" s="61" ph="1"/>
    </row>
    <row r="5745" spans="20:20" ht="26.25">
      <c r="T5745" s="61" ph="1"/>
    </row>
    <row r="5746" spans="20:20" ht="26.25">
      <c r="T5746" s="61" ph="1"/>
    </row>
    <row r="5747" spans="20:20" ht="26.25">
      <c r="T5747" s="61" ph="1"/>
    </row>
    <row r="5748" spans="20:20" ht="26.25">
      <c r="T5748" s="61" ph="1"/>
    </row>
    <row r="5749" spans="20:20" ht="26.25">
      <c r="T5749" s="61" ph="1"/>
    </row>
    <row r="5750" spans="20:20" ht="26.25">
      <c r="T5750" s="61" ph="1"/>
    </row>
    <row r="5751" spans="20:20" ht="26.25">
      <c r="T5751" s="61" ph="1"/>
    </row>
    <row r="5752" spans="20:20" ht="26.25">
      <c r="T5752" s="61" ph="1"/>
    </row>
    <row r="5753" spans="20:20" ht="26.25">
      <c r="T5753" s="61" ph="1"/>
    </row>
    <row r="5754" spans="20:20" ht="26.25">
      <c r="T5754" s="61" ph="1"/>
    </row>
    <row r="5755" spans="20:20" ht="26.25">
      <c r="T5755" s="61" ph="1"/>
    </row>
    <row r="5756" spans="20:20" ht="26.25">
      <c r="T5756" s="61" ph="1"/>
    </row>
    <row r="5757" spans="20:20" ht="26.25">
      <c r="T5757" s="61" ph="1"/>
    </row>
    <row r="5758" spans="20:20" ht="26.25">
      <c r="T5758" s="61" ph="1"/>
    </row>
    <row r="5759" spans="20:20" ht="26.25">
      <c r="T5759" s="61" ph="1"/>
    </row>
    <row r="5760" spans="20:20" ht="26.25">
      <c r="T5760" s="61" ph="1"/>
    </row>
    <row r="5761" spans="20:20" ht="26.25">
      <c r="T5761" s="61" ph="1"/>
    </row>
    <row r="5762" spans="20:20" ht="26.25">
      <c r="T5762" s="61" ph="1"/>
    </row>
    <row r="5763" spans="20:20" ht="26.25">
      <c r="T5763" s="61" ph="1"/>
    </row>
    <row r="5764" spans="20:20" ht="26.25">
      <c r="T5764" s="61" ph="1"/>
    </row>
    <row r="5765" spans="20:20" ht="26.25">
      <c r="T5765" s="61" ph="1"/>
    </row>
    <row r="5766" spans="20:20" ht="26.25">
      <c r="T5766" s="61" ph="1"/>
    </row>
    <row r="5767" spans="20:20" ht="26.25">
      <c r="T5767" s="61" ph="1"/>
    </row>
    <row r="5768" spans="20:20" ht="26.25">
      <c r="T5768" s="61" ph="1"/>
    </row>
    <row r="5769" spans="20:20" ht="26.25">
      <c r="T5769" s="61" ph="1"/>
    </row>
    <row r="5770" spans="20:20" ht="26.25">
      <c r="T5770" s="61" ph="1"/>
    </row>
    <row r="5771" spans="20:20" ht="26.25">
      <c r="T5771" s="61" ph="1"/>
    </row>
    <row r="5772" spans="20:20" ht="26.25">
      <c r="T5772" s="61" ph="1"/>
    </row>
    <row r="5773" spans="20:20" ht="26.25">
      <c r="T5773" s="61" ph="1"/>
    </row>
    <row r="5774" spans="20:20" ht="26.25">
      <c r="T5774" s="61" ph="1"/>
    </row>
    <row r="5775" spans="20:20" ht="26.25">
      <c r="T5775" s="61" ph="1"/>
    </row>
    <row r="5776" spans="20:20" ht="26.25">
      <c r="T5776" s="61" ph="1"/>
    </row>
    <row r="5777" spans="20:20" ht="26.25">
      <c r="T5777" s="61" ph="1"/>
    </row>
    <row r="5778" spans="20:20" ht="26.25">
      <c r="T5778" s="61" ph="1"/>
    </row>
    <row r="5779" spans="20:20" ht="26.25">
      <c r="T5779" s="61" ph="1"/>
    </row>
    <row r="5780" spans="20:20" ht="26.25">
      <c r="T5780" s="61" ph="1"/>
    </row>
    <row r="5781" spans="20:20" ht="26.25">
      <c r="T5781" s="61" ph="1"/>
    </row>
    <row r="5782" spans="20:20" ht="26.25">
      <c r="T5782" s="61" ph="1"/>
    </row>
    <row r="5783" spans="20:20" ht="26.25">
      <c r="T5783" s="61" ph="1"/>
    </row>
    <row r="5784" spans="20:20" ht="26.25">
      <c r="T5784" s="61" ph="1"/>
    </row>
    <row r="5785" spans="20:20" ht="26.25">
      <c r="T5785" s="61" ph="1"/>
    </row>
    <row r="5786" spans="20:20" ht="26.25">
      <c r="T5786" s="61" ph="1"/>
    </row>
    <row r="5787" spans="20:20" ht="26.25">
      <c r="T5787" s="61" ph="1"/>
    </row>
    <row r="5788" spans="20:20" ht="26.25">
      <c r="T5788" s="61" ph="1"/>
    </row>
    <row r="5789" spans="20:20" ht="26.25">
      <c r="T5789" s="61" ph="1"/>
    </row>
    <row r="5790" spans="20:20" ht="26.25">
      <c r="T5790" s="61" ph="1"/>
    </row>
    <row r="5791" spans="20:20" ht="26.25">
      <c r="T5791" s="61" ph="1"/>
    </row>
    <row r="5792" spans="20:20" ht="26.25">
      <c r="T5792" s="61" ph="1"/>
    </row>
    <row r="5793" spans="20:20" ht="26.25">
      <c r="T5793" s="61" ph="1"/>
    </row>
    <row r="5794" spans="20:20" ht="26.25">
      <c r="T5794" s="61" ph="1"/>
    </row>
    <row r="5795" spans="20:20" ht="26.25">
      <c r="T5795" s="61" ph="1"/>
    </row>
    <row r="5796" spans="20:20" ht="26.25">
      <c r="T5796" s="61" ph="1"/>
    </row>
    <row r="5797" spans="20:20" ht="26.25">
      <c r="T5797" s="61" ph="1"/>
    </row>
    <row r="5798" spans="20:20" ht="26.25">
      <c r="T5798" s="61" ph="1"/>
    </row>
    <row r="5799" spans="20:20" ht="26.25">
      <c r="T5799" s="61" ph="1"/>
    </row>
    <row r="5800" spans="20:20" ht="26.25">
      <c r="T5800" s="61" ph="1"/>
    </row>
    <row r="5801" spans="20:20" ht="26.25">
      <c r="T5801" s="61" ph="1"/>
    </row>
    <row r="5802" spans="20:20" ht="26.25">
      <c r="T5802" s="61" ph="1"/>
    </row>
    <row r="5803" spans="20:20" ht="26.25">
      <c r="T5803" s="61" ph="1"/>
    </row>
    <row r="5804" spans="20:20" ht="26.25">
      <c r="T5804" s="61" ph="1"/>
    </row>
    <row r="5805" spans="20:20" ht="26.25">
      <c r="T5805" s="61" ph="1"/>
    </row>
    <row r="5806" spans="20:20" ht="26.25">
      <c r="T5806" s="61" ph="1"/>
    </row>
    <row r="5807" spans="20:20" ht="26.25">
      <c r="T5807" s="61" ph="1"/>
    </row>
    <row r="5808" spans="20:20" ht="26.25">
      <c r="T5808" s="61" ph="1"/>
    </row>
    <row r="5809" spans="20:20" ht="26.25">
      <c r="T5809" s="61" ph="1"/>
    </row>
    <row r="5810" spans="20:20" ht="26.25">
      <c r="T5810" s="61" ph="1"/>
    </row>
    <row r="5811" spans="20:20" ht="26.25">
      <c r="T5811" s="61" ph="1"/>
    </row>
    <row r="5812" spans="20:20" ht="26.25">
      <c r="T5812" s="61" ph="1"/>
    </row>
    <row r="5813" spans="20:20" ht="26.25">
      <c r="T5813" s="61" ph="1"/>
    </row>
    <row r="5814" spans="20:20" ht="26.25">
      <c r="T5814" s="61" ph="1"/>
    </row>
    <row r="5815" spans="20:20" ht="26.25">
      <c r="T5815" s="61" ph="1"/>
    </row>
    <row r="5816" spans="20:20" ht="26.25">
      <c r="T5816" s="61" ph="1"/>
    </row>
    <row r="5817" spans="20:20" ht="26.25">
      <c r="T5817" s="61" ph="1"/>
    </row>
    <row r="5818" spans="20:20" ht="26.25">
      <c r="T5818" s="61" ph="1"/>
    </row>
    <row r="5819" spans="20:20" ht="26.25">
      <c r="T5819" s="61" ph="1"/>
    </row>
    <row r="5820" spans="20:20" ht="26.25">
      <c r="T5820" s="61" ph="1"/>
    </row>
    <row r="5821" spans="20:20" ht="26.25">
      <c r="T5821" s="61" ph="1"/>
    </row>
    <row r="5822" spans="20:20" ht="26.25">
      <c r="T5822" s="61" ph="1"/>
    </row>
    <row r="5823" spans="20:20" ht="26.25">
      <c r="T5823" s="61" ph="1"/>
    </row>
    <row r="5824" spans="20:20" ht="26.25">
      <c r="T5824" s="61" ph="1"/>
    </row>
    <row r="5825" spans="20:20" ht="26.25">
      <c r="T5825" s="61" ph="1"/>
    </row>
    <row r="5826" spans="20:20" ht="26.25">
      <c r="T5826" s="61" ph="1"/>
    </row>
    <row r="5827" spans="20:20" ht="26.25">
      <c r="T5827" s="61" ph="1"/>
    </row>
    <row r="5828" spans="20:20" ht="26.25">
      <c r="T5828" s="61" ph="1"/>
    </row>
    <row r="5829" spans="20:20" ht="26.25">
      <c r="T5829" s="61" ph="1"/>
    </row>
    <row r="5830" spans="20:20" ht="26.25">
      <c r="T5830" s="61" ph="1"/>
    </row>
    <row r="5831" spans="20:20" ht="26.25">
      <c r="T5831" s="61" ph="1"/>
    </row>
    <row r="5832" spans="20:20" ht="26.25">
      <c r="T5832" s="61" ph="1"/>
    </row>
    <row r="5833" spans="20:20" ht="26.25">
      <c r="T5833" s="61" ph="1"/>
    </row>
    <row r="5834" spans="20:20" ht="26.25">
      <c r="T5834" s="61" ph="1"/>
    </row>
    <row r="5835" spans="20:20" ht="26.25">
      <c r="T5835" s="61" ph="1"/>
    </row>
    <row r="5836" spans="20:20" ht="26.25">
      <c r="T5836" s="61" ph="1"/>
    </row>
    <row r="5837" spans="20:20" ht="26.25">
      <c r="T5837" s="61" ph="1"/>
    </row>
    <row r="5838" spans="20:20" ht="26.25">
      <c r="T5838" s="61" ph="1"/>
    </row>
    <row r="5839" spans="20:20" ht="26.25">
      <c r="T5839" s="61" ph="1"/>
    </row>
    <row r="5840" spans="20:20" ht="26.25">
      <c r="T5840" s="61" ph="1"/>
    </row>
    <row r="5841" spans="20:20" ht="26.25">
      <c r="T5841" s="61" ph="1"/>
    </row>
    <row r="5842" spans="20:20" ht="26.25">
      <c r="T5842" s="61" ph="1"/>
    </row>
    <row r="5843" spans="20:20" ht="26.25">
      <c r="T5843" s="61" ph="1"/>
    </row>
    <row r="5844" spans="20:20" ht="26.25">
      <c r="T5844" s="61" ph="1"/>
    </row>
    <row r="5845" spans="20:20" ht="26.25">
      <c r="T5845" s="61" ph="1"/>
    </row>
    <row r="5846" spans="20:20" ht="26.25">
      <c r="T5846" s="61" ph="1"/>
    </row>
    <row r="5847" spans="20:20" ht="26.25">
      <c r="T5847" s="61" ph="1"/>
    </row>
    <row r="5848" spans="20:20" ht="26.25">
      <c r="T5848" s="61" ph="1"/>
    </row>
    <row r="5849" spans="20:20" ht="26.25">
      <c r="T5849" s="61" ph="1"/>
    </row>
    <row r="5850" spans="20:20" ht="26.25">
      <c r="T5850" s="61" ph="1"/>
    </row>
    <row r="5851" spans="20:20" ht="26.25">
      <c r="T5851" s="61" ph="1"/>
    </row>
    <row r="5852" spans="20:20" ht="26.25">
      <c r="T5852" s="61" ph="1"/>
    </row>
    <row r="5853" spans="20:20" ht="26.25">
      <c r="T5853" s="61" ph="1"/>
    </row>
    <row r="5854" spans="20:20" ht="26.25">
      <c r="T5854" s="61" ph="1"/>
    </row>
    <row r="5855" spans="20:20" ht="26.25">
      <c r="T5855" s="61" ph="1"/>
    </row>
    <row r="5856" spans="20:20" ht="26.25">
      <c r="T5856" s="61" ph="1"/>
    </row>
    <row r="5857" spans="20:20" ht="26.25">
      <c r="T5857" s="61" ph="1"/>
    </row>
    <row r="5858" spans="20:20" ht="26.25">
      <c r="T5858" s="61" ph="1"/>
    </row>
    <row r="5859" spans="20:20" ht="26.25">
      <c r="T5859" s="61" ph="1"/>
    </row>
    <row r="5860" spans="20:20" ht="26.25">
      <c r="T5860" s="61" ph="1"/>
    </row>
    <row r="5861" spans="20:20" ht="26.25">
      <c r="T5861" s="61" ph="1"/>
    </row>
    <row r="5862" spans="20:20" ht="26.25">
      <c r="T5862" s="61" ph="1"/>
    </row>
    <row r="5863" spans="20:20" ht="26.25">
      <c r="T5863" s="61" ph="1"/>
    </row>
    <row r="5864" spans="20:20" ht="26.25">
      <c r="T5864" s="61" ph="1"/>
    </row>
    <row r="5865" spans="20:20" ht="26.25">
      <c r="T5865" s="61" ph="1"/>
    </row>
    <row r="5866" spans="20:20" ht="26.25">
      <c r="T5866" s="61" ph="1"/>
    </row>
    <row r="5867" spans="20:20" ht="26.25">
      <c r="T5867" s="61" ph="1"/>
    </row>
    <row r="5868" spans="20:20" ht="26.25">
      <c r="T5868" s="61" ph="1"/>
    </row>
    <row r="5869" spans="20:20" ht="26.25">
      <c r="T5869" s="61" ph="1"/>
    </row>
    <row r="5870" spans="20:20" ht="26.25">
      <c r="T5870" s="61" ph="1"/>
    </row>
    <row r="5871" spans="20:20" ht="26.25">
      <c r="T5871" s="61" ph="1"/>
    </row>
    <row r="5872" spans="20:20" ht="26.25">
      <c r="T5872" s="61" ph="1"/>
    </row>
    <row r="5873" spans="20:20" ht="26.25">
      <c r="T5873" s="61" ph="1"/>
    </row>
    <row r="5874" spans="20:20" ht="26.25">
      <c r="T5874" s="61" ph="1"/>
    </row>
    <row r="5875" spans="20:20" ht="26.25">
      <c r="T5875" s="61" ph="1"/>
    </row>
    <row r="5876" spans="20:20" ht="26.25">
      <c r="T5876" s="61" ph="1"/>
    </row>
    <row r="5877" spans="20:20" ht="26.25">
      <c r="T5877" s="61" ph="1"/>
    </row>
    <row r="5878" spans="20:20" ht="26.25">
      <c r="T5878" s="61" ph="1"/>
    </row>
    <row r="5879" spans="20:20" ht="26.25">
      <c r="T5879" s="61" ph="1"/>
    </row>
    <row r="5880" spans="20:20" ht="26.25">
      <c r="T5880" s="61" ph="1"/>
    </row>
    <row r="5881" spans="20:20" ht="26.25">
      <c r="T5881" s="61" ph="1"/>
    </row>
    <row r="5882" spans="20:20" ht="26.25">
      <c r="T5882" s="61" ph="1"/>
    </row>
    <row r="5883" spans="20:20" ht="26.25">
      <c r="T5883" s="61" ph="1"/>
    </row>
    <row r="5884" spans="20:20" ht="26.25">
      <c r="T5884" s="61" ph="1"/>
    </row>
    <row r="5885" spans="20:20" ht="26.25">
      <c r="T5885" s="61" ph="1"/>
    </row>
    <row r="5886" spans="20:20" ht="26.25">
      <c r="T5886" s="61" ph="1"/>
    </row>
    <row r="5887" spans="20:20" ht="26.25">
      <c r="T5887" s="61" ph="1"/>
    </row>
    <row r="5888" spans="20:20" ht="26.25">
      <c r="T5888" s="61" ph="1"/>
    </row>
    <row r="5889" spans="20:20" ht="26.25">
      <c r="T5889" s="61" ph="1"/>
    </row>
    <row r="5890" spans="20:20" ht="26.25">
      <c r="T5890" s="61" ph="1"/>
    </row>
    <row r="5891" spans="20:20" ht="26.25">
      <c r="T5891" s="61" ph="1"/>
    </row>
    <row r="5892" spans="20:20" ht="26.25">
      <c r="T5892" s="61" ph="1"/>
    </row>
    <row r="5893" spans="20:20" ht="26.25">
      <c r="T5893" s="61" ph="1"/>
    </row>
    <row r="5894" spans="20:20" ht="26.25">
      <c r="T5894" s="61" ph="1"/>
    </row>
    <row r="5895" spans="20:20" ht="26.25">
      <c r="T5895" s="61" ph="1"/>
    </row>
    <row r="5896" spans="20:20" ht="26.25">
      <c r="T5896" s="61" ph="1"/>
    </row>
    <row r="5897" spans="20:20" ht="26.25">
      <c r="T5897" s="61" ph="1"/>
    </row>
    <row r="5898" spans="20:20" ht="26.25">
      <c r="T5898" s="61" ph="1"/>
    </row>
    <row r="5899" spans="20:20" ht="26.25">
      <c r="T5899" s="61" ph="1"/>
    </row>
    <row r="5900" spans="20:20" ht="26.25">
      <c r="T5900" s="61" ph="1"/>
    </row>
    <row r="5901" spans="20:20" ht="26.25">
      <c r="T5901" s="61" ph="1"/>
    </row>
    <row r="5902" spans="20:20" ht="26.25">
      <c r="T5902" s="61" ph="1"/>
    </row>
    <row r="5903" spans="20:20" ht="26.25">
      <c r="T5903" s="61" ph="1"/>
    </row>
    <row r="5904" spans="20:20" ht="26.25">
      <c r="T5904" s="61" ph="1"/>
    </row>
    <row r="5905" spans="20:20" ht="26.25">
      <c r="T5905" s="61" ph="1"/>
    </row>
    <row r="5906" spans="20:20" ht="26.25">
      <c r="T5906" s="61" ph="1"/>
    </row>
    <row r="5907" spans="20:20" ht="26.25">
      <c r="T5907" s="61" ph="1"/>
    </row>
    <row r="5908" spans="20:20" ht="26.25">
      <c r="T5908" s="61" ph="1"/>
    </row>
    <row r="5909" spans="20:20" ht="26.25">
      <c r="T5909" s="61" ph="1"/>
    </row>
    <row r="5910" spans="20:20" ht="26.25">
      <c r="T5910" s="61" ph="1"/>
    </row>
    <row r="5911" spans="20:20" ht="26.25">
      <c r="T5911" s="61" ph="1"/>
    </row>
    <row r="5912" spans="20:20" ht="26.25">
      <c r="T5912" s="61" ph="1"/>
    </row>
    <row r="5913" spans="20:20" ht="26.25">
      <c r="T5913" s="61" ph="1"/>
    </row>
    <row r="5914" spans="20:20" ht="26.25">
      <c r="T5914" s="61" ph="1"/>
    </row>
    <row r="5915" spans="20:20" ht="26.25">
      <c r="T5915" s="61" ph="1"/>
    </row>
    <row r="5916" spans="20:20" ht="26.25">
      <c r="T5916" s="61" ph="1"/>
    </row>
    <row r="5917" spans="20:20" ht="26.25">
      <c r="T5917" s="61" ph="1"/>
    </row>
    <row r="5918" spans="20:20" ht="26.25">
      <c r="T5918" s="61" ph="1"/>
    </row>
    <row r="5919" spans="20:20" ht="26.25">
      <c r="T5919" s="61" ph="1"/>
    </row>
    <row r="5920" spans="20:20" ht="26.25">
      <c r="T5920" s="61" ph="1"/>
    </row>
    <row r="5921" spans="20:20" ht="26.25">
      <c r="T5921" s="61" ph="1"/>
    </row>
    <row r="5922" spans="20:20" ht="26.25">
      <c r="T5922" s="61" ph="1"/>
    </row>
    <row r="5923" spans="20:20" ht="26.25">
      <c r="T5923" s="61" ph="1"/>
    </row>
    <row r="5924" spans="20:20" ht="26.25">
      <c r="T5924" s="61" ph="1"/>
    </row>
    <row r="5925" spans="20:20" ht="26.25">
      <c r="T5925" s="61" ph="1"/>
    </row>
    <row r="5926" spans="20:20" ht="26.25">
      <c r="T5926" s="61" ph="1"/>
    </row>
    <row r="5927" spans="20:20" ht="26.25">
      <c r="T5927" s="61" ph="1"/>
    </row>
    <row r="5928" spans="20:20" ht="26.25">
      <c r="T5928" s="61" ph="1"/>
    </row>
    <row r="5929" spans="20:20" ht="26.25">
      <c r="T5929" s="61" ph="1"/>
    </row>
    <row r="5930" spans="20:20" ht="26.25">
      <c r="T5930" s="61" ph="1"/>
    </row>
    <row r="5931" spans="20:20" ht="26.25">
      <c r="T5931" s="61" ph="1"/>
    </row>
    <row r="5932" spans="20:20" ht="26.25">
      <c r="T5932" s="61" ph="1"/>
    </row>
    <row r="5933" spans="20:20" ht="26.25">
      <c r="T5933" s="61" ph="1"/>
    </row>
    <row r="5934" spans="20:20" ht="26.25">
      <c r="T5934" s="61" ph="1"/>
    </row>
    <row r="5935" spans="20:20" ht="26.25">
      <c r="T5935" s="61" ph="1"/>
    </row>
    <row r="5936" spans="20:20" ht="26.25">
      <c r="T5936" s="61" ph="1"/>
    </row>
    <row r="5937" spans="20:20" ht="26.25">
      <c r="T5937" s="61" ph="1"/>
    </row>
    <row r="5938" spans="20:20" ht="26.25">
      <c r="T5938" s="61" ph="1"/>
    </row>
    <row r="5939" spans="20:20" ht="26.25">
      <c r="T5939" s="61" ph="1"/>
    </row>
    <row r="5940" spans="20:20" ht="26.25">
      <c r="T5940" s="61" ph="1"/>
    </row>
    <row r="5941" spans="20:20" ht="26.25">
      <c r="T5941" s="61" ph="1"/>
    </row>
    <row r="5942" spans="20:20" ht="26.25">
      <c r="T5942" s="61" ph="1"/>
    </row>
    <row r="5943" spans="20:20" ht="26.25">
      <c r="T5943" s="61" ph="1"/>
    </row>
    <row r="5944" spans="20:20" ht="26.25">
      <c r="T5944" s="61" ph="1"/>
    </row>
    <row r="5945" spans="20:20" ht="26.25">
      <c r="T5945" s="61" ph="1"/>
    </row>
    <row r="5946" spans="20:20" ht="26.25">
      <c r="T5946" s="61" ph="1"/>
    </row>
    <row r="5947" spans="20:20" ht="26.25">
      <c r="T5947" s="61" ph="1"/>
    </row>
    <row r="5948" spans="20:20" ht="26.25">
      <c r="T5948" s="61" ph="1"/>
    </row>
    <row r="5949" spans="20:20" ht="26.25">
      <c r="T5949" s="61" ph="1"/>
    </row>
    <row r="5950" spans="20:20" ht="26.25">
      <c r="T5950" s="61" ph="1"/>
    </row>
    <row r="5951" spans="20:20" ht="26.25">
      <c r="T5951" s="61" ph="1"/>
    </row>
    <row r="5952" spans="20:20" ht="26.25">
      <c r="T5952" s="61" ph="1"/>
    </row>
    <row r="5953" spans="20:20" ht="26.25">
      <c r="T5953" s="61" ph="1"/>
    </row>
    <row r="5954" spans="20:20" ht="26.25">
      <c r="T5954" s="61" ph="1"/>
    </row>
    <row r="5955" spans="20:20" ht="26.25">
      <c r="T5955" s="61" ph="1"/>
    </row>
    <row r="5956" spans="20:20" ht="26.25">
      <c r="T5956" s="61" ph="1"/>
    </row>
    <row r="5957" spans="20:20" ht="26.25">
      <c r="T5957" s="61" ph="1"/>
    </row>
    <row r="5958" spans="20:20" ht="26.25">
      <c r="T5958" s="61" ph="1"/>
    </row>
    <row r="5959" spans="20:20" ht="26.25">
      <c r="T5959" s="61" ph="1"/>
    </row>
    <row r="5960" spans="20:20" ht="26.25">
      <c r="T5960" s="61" ph="1"/>
    </row>
    <row r="5961" spans="20:20" ht="26.25">
      <c r="T5961" s="61" ph="1"/>
    </row>
    <row r="5962" spans="20:20" ht="26.25">
      <c r="T5962" s="61" ph="1"/>
    </row>
    <row r="5963" spans="20:20" ht="26.25">
      <c r="T5963" s="61" ph="1"/>
    </row>
    <row r="5964" spans="20:20" ht="26.25">
      <c r="T5964" s="61" ph="1"/>
    </row>
    <row r="5965" spans="20:20" ht="26.25">
      <c r="T5965" s="61" ph="1"/>
    </row>
    <row r="5966" spans="20:20" ht="26.25">
      <c r="T5966" s="61" ph="1"/>
    </row>
    <row r="5967" spans="20:20" ht="26.25">
      <c r="T5967" s="61" ph="1"/>
    </row>
    <row r="5968" spans="20:20" ht="26.25">
      <c r="T5968" s="61" ph="1"/>
    </row>
    <row r="5969" spans="20:20" ht="26.25">
      <c r="T5969" s="61" ph="1"/>
    </row>
    <row r="5970" spans="20:20" ht="26.25">
      <c r="T5970" s="61" ph="1"/>
    </row>
    <row r="5971" spans="20:20" ht="26.25">
      <c r="T5971" s="61" ph="1"/>
    </row>
    <row r="5972" spans="20:20" ht="26.25">
      <c r="T5972" s="61" ph="1"/>
    </row>
    <row r="5973" spans="20:20" ht="26.25">
      <c r="T5973" s="61" ph="1"/>
    </row>
    <row r="5974" spans="20:20" ht="26.25">
      <c r="T5974" s="61" ph="1"/>
    </row>
    <row r="5975" spans="20:20" ht="26.25">
      <c r="T5975" s="61" ph="1"/>
    </row>
    <row r="5976" spans="20:20" ht="26.25">
      <c r="T5976" s="61" ph="1"/>
    </row>
    <row r="5977" spans="20:20" ht="26.25">
      <c r="T5977" s="61" ph="1"/>
    </row>
    <row r="5978" spans="20:20" ht="26.25">
      <c r="T5978" s="61" ph="1"/>
    </row>
    <row r="5979" spans="20:20" ht="26.25">
      <c r="T5979" s="61" ph="1"/>
    </row>
    <row r="5980" spans="20:20" ht="26.25">
      <c r="T5980" s="61" ph="1"/>
    </row>
    <row r="5981" spans="20:20" ht="26.25">
      <c r="T5981" s="61" ph="1"/>
    </row>
    <row r="5982" spans="20:20" ht="26.25">
      <c r="T5982" s="61" ph="1"/>
    </row>
    <row r="5983" spans="20:20" ht="26.25">
      <c r="T5983" s="61" ph="1"/>
    </row>
    <row r="5984" spans="20:20" ht="26.25">
      <c r="T5984" s="61" ph="1"/>
    </row>
    <row r="5985" spans="20:20" ht="26.25">
      <c r="T5985" s="61" ph="1"/>
    </row>
    <row r="5986" spans="20:20" ht="26.25">
      <c r="T5986" s="61" ph="1"/>
    </row>
    <row r="5987" spans="20:20" ht="26.25">
      <c r="T5987" s="61" ph="1"/>
    </row>
    <row r="5988" spans="20:20" ht="26.25">
      <c r="T5988" s="61" ph="1"/>
    </row>
    <row r="5989" spans="20:20" ht="26.25">
      <c r="T5989" s="61" ph="1"/>
    </row>
    <row r="5990" spans="20:20" ht="26.25">
      <c r="T5990" s="61" ph="1"/>
    </row>
    <row r="5991" spans="20:20" ht="26.25">
      <c r="T5991" s="61" ph="1"/>
    </row>
    <row r="5992" spans="20:20" ht="26.25">
      <c r="T5992" s="61" ph="1"/>
    </row>
    <row r="5993" spans="20:20" ht="26.25">
      <c r="T5993" s="61" ph="1"/>
    </row>
    <row r="5994" spans="20:20" ht="26.25">
      <c r="T5994" s="61" ph="1"/>
    </row>
    <row r="5995" spans="20:20" ht="26.25">
      <c r="T5995" s="61" ph="1"/>
    </row>
    <row r="5996" spans="20:20" ht="26.25">
      <c r="T5996" s="61" ph="1"/>
    </row>
    <row r="5997" spans="20:20" ht="26.25">
      <c r="T5997" s="61" ph="1"/>
    </row>
    <row r="5998" spans="20:20" ht="26.25">
      <c r="T5998" s="61" ph="1"/>
    </row>
    <row r="5999" spans="20:20" ht="26.25">
      <c r="T5999" s="61" ph="1"/>
    </row>
    <row r="6000" spans="20:20" ht="26.25">
      <c r="T6000" s="61" ph="1"/>
    </row>
    <row r="6001" spans="20:20" ht="26.25">
      <c r="T6001" s="61" ph="1"/>
    </row>
    <row r="6002" spans="20:20" ht="26.25">
      <c r="T6002" s="61" ph="1"/>
    </row>
    <row r="6003" spans="20:20" ht="26.25">
      <c r="T6003" s="61" ph="1"/>
    </row>
    <row r="6004" spans="20:20" ht="26.25">
      <c r="T6004" s="61" ph="1"/>
    </row>
    <row r="6005" spans="20:20" ht="26.25">
      <c r="T6005" s="61" ph="1"/>
    </row>
    <row r="6006" spans="20:20" ht="26.25">
      <c r="T6006" s="61" ph="1"/>
    </row>
    <row r="6007" spans="20:20" ht="26.25">
      <c r="T6007" s="61" ph="1"/>
    </row>
    <row r="6008" spans="20:20" ht="26.25">
      <c r="T6008" s="61" ph="1"/>
    </row>
    <row r="6009" spans="20:20" ht="26.25">
      <c r="T6009" s="61" ph="1"/>
    </row>
    <row r="6010" spans="20:20" ht="26.25">
      <c r="T6010" s="61" ph="1"/>
    </row>
    <row r="6011" spans="20:20" ht="26.25">
      <c r="T6011" s="61" ph="1"/>
    </row>
    <row r="6012" spans="20:20" ht="26.25">
      <c r="T6012" s="61" ph="1"/>
    </row>
    <row r="6013" spans="20:20" ht="26.25">
      <c r="T6013" s="61" ph="1"/>
    </row>
    <row r="6014" spans="20:20" ht="26.25">
      <c r="T6014" s="61" ph="1"/>
    </row>
    <row r="6015" spans="20:20" ht="26.25">
      <c r="T6015" s="61" ph="1"/>
    </row>
    <row r="6016" spans="20:20" ht="26.25">
      <c r="T6016" s="61" ph="1"/>
    </row>
    <row r="6017" spans="20:20" ht="26.25">
      <c r="T6017" s="61" ph="1"/>
    </row>
    <row r="6018" spans="20:20" ht="26.25">
      <c r="T6018" s="61" ph="1"/>
    </row>
    <row r="6019" spans="20:20" ht="26.25">
      <c r="T6019" s="61" ph="1"/>
    </row>
    <row r="6020" spans="20:20" ht="26.25">
      <c r="T6020" s="61" ph="1"/>
    </row>
    <row r="6021" spans="20:20" ht="26.25">
      <c r="T6021" s="61" ph="1"/>
    </row>
    <row r="6022" spans="20:20" ht="26.25">
      <c r="T6022" s="61" ph="1"/>
    </row>
    <row r="6023" spans="20:20" ht="26.25">
      <c r="T6023" s="61" ph="1"/>
    </row>
    <row r="6024" spans="20:20" ht="26.25">
      <c r="T6024" s="61" ph="1"/>
    </row>
    <row r="6025" spans="20:20" ht="26.25">
      <c r="T6025" s="61" ph="1"/>
    </row>
    <row r="6026" spans="20:20" ht="26.25">
      <c r="T6026" s="61" ph="1"/>
    </row>
    <row r="6027" spans="20:20" ht="26.25">
      <c r="T6027" s="61" ph="1"/>
    </row>
    <row r="6028" spans="20:20" ht="26.25">
      <c r="T6028" s="61" ph="1"/>
    </row>
    <row r="6029" spans="20:20" ht="26.25">
      <c r="T6029" s="61" ph="1"/>
    </row>
    <row r="6030" spans="20:20" ht="26.25">
      <c r="T6030" s="61" ph="1"/>
    </row>
    <row r="6031" spans="20:20" ht="26.25">
      <c r="T6031" s="61" ph="1"/>
    </row>
    <row r="6032" spans="20:20" ht="26.25">
      <c r="T6032" s="61" ph="1"/>
    </row>
    <row r="6033" spans="20:20" ht="26.25">
      <c r="T6033" s="61" ph="1"/>
    </row>
    <row r="6034" spans="20:20" ht="26.25">
      <c r="T6034" s="61" ph="1"/>
    </row>
    <row r="6035" spans="20:20" ht="26.25">
      <c r="T6035" s="61" ph="1"/>
    </row>
    <row r="6036" spans="20:20" ht="26.25">
      <c r="T6036" s="61" ph="1"/>
    </row>
    <row r="6037" spans="20:20" ht="26.25">
      <c r="T6037" s="61" ph="1"/>
    </row>
    <row r="6038" spans="20:20" ht="26.25">
      <c r="T6038" s="61" ph="1"/>
    </row>
    <row r="6039" spans="20:20" ht="26.25">
      <c r="T6039" s="61" ph="1"/>
    </row>
    <row r="6040" spans="20:20" ht="26.25">
      <c r="T6040" s="61" ph="1"/>
    </row>
    <row r="6041" spans="20:20" ht="26.25">
      <c r="T6041" s="61" ph="1"/>
    </row>
    <row r="6042" spans="20:20" ht="26.25">
      <c r="T6042" s="61" ph="1"/>
    </row>
    <row r="6043" spans="20:20" ht="26.25">
      <c r="T6043" s="61" ph="1"/>
    </row>
    <row r="6044" spans="20:20" ht="26.25">
      <c r="T6044" s="61" ph="1"/>
    </row>
    <row r="6045" spans="20:20" ht="26.25">
      <c r="T6045" s="61" ph="1"/>
    </row>
    <row r="6046" spans="20:20" ht="26.25">
      <c r="T6046" s="61" ph="1"/>
    </row>
    <row r="6047" spans="20:20" ht="26.25">
      <c r="T6047" s="61" ph="1"/>
    </row>
    <row r="6048" spans="20:20" ht="26.25">
      <c r="T6048" s="61" ph="1"/>
    </row>
    <row r="6049" spans="20:20" ht="26.25">
      <c r="T6049" s="61" ph="1"/>
    </row>
    <row r="6050" spans="20:20" ht="26.25">
      <c r="T6050" s="61" ph="1"/>
    </row>
    <row r="6051" spans="20:20" ht="26.25">
      <c r="T6051" s="61" ph="1"/>
    </row>
    <row r="6052" spans="20:20" ht="26.25">
      <c r="T6052" s="61" ph="1"/>
    </row>
    <row r="6053" spans="20:20" ht="26.25">
      <c r="T6053" s="61" ph="1"/>
    </row>
    <row r="6054" spans="20:20" ht="26.25">
      <c r="T6054" s="61" ph="1"/>
    </row>
    <row r="6055" spans="20:20" ht="26.25">
      <c r="T6055" s="61" ph="1"/>
    </row>
    <row r="6056" spans="20:20" ht="26.25">
      <c r="T6056" s="61" ph="1"/>
    </row>
    <row r="6057" spans="20:20" ht="26.25">
      <c r="T6057" s="61" ph="1"/>
    </row>
    <row r="6058" spans="20:20" ht="26.25">
      <c r="T6058" s="61" ph="1"/>
    </row>
    <row r="6059" spans="20:20" ht="26.25">
      <c r="T6059" s="61" ph="1"/>
    </row>
    <row r="6060" spans="20:20" ht="26.25">
      <c r="T6060" s="61" ph="1"/>
    </row>
    <row r="6061" spans="20:20" ht="26.25">
      <c r="T6061" s="61" ph="1"/>
    </row>
    <row r="6062" spans="20:20" ht="26.25">
      <c r="T6062" s="61" ph="1"/>
    </row>
    <row r="6063" spans="20:20" ht="26.25">
      <c r="T6063" s="61" ph="1"/>
    </row>
    <row r="6064" spans="20:20" ht="26.25">
      <c r="T6064" s="61" ph="1"/>
    </row>
    <row r="6065" spans="20:20" ht="26.25">
      <c r="T6065" s="61" ph="1"/>
    </row>
    <row r="6066" spans="20:20" ht="26.25">
      <c r="T6066" s="61" ph="1"/>
    </row>
    <row r="6067" spans="20:20" ht="26.25">
      <c r="T6067" s="61" ph="1"/>
    </row>
    <row r="6068" spans="20:20" ht="26.25">
      <c r="T6068" s="61" ph="1"/>
    </row>
    <row r="6069" spans="20:20" ht="26.25">
      <c r="T6069" s="61" ph="1"/>
    </row>
    <row r="6070" spans="20:20" ht="26.25">
      <c r="T6070" s="61" ph="1"/>
    </row>
    <row r="6071" spans="20:20" ht="26.25">
      <c r="T6071" s="61" ph="1"/>
    </row>
    <row r="6072" spans="20:20" ht="26.25">
      <c r="T6072" s="61" ph="1"/>
    </row>
    <row r="6073" spans="20:20" ht="26.25">
      <c r="T6073" s="61" ph="1"/>
    </row>
    <row r="6074" spans="20:20" ht="26.25">
      <c r="T6074" s="61" ph="1"/>
    </row>
    <row r="6075" spans="20:20" ht="26.25">
      <c r="T6075" s="61" ph="1"/>
    </row>
    <row r="6076" spans="20:20" ht="26.25">
      <c r="T6076" s="61" ph="1"/>
    </row>
    <row r="6077" spans="20:20" ht="26.25">
      <c r="T6077" s="61" ph="1"/>
    </row>
    <row r="6078" spans="20:20" ht="26.25">
      <c r="T6078" s="61" ph="1"/>
    </row>
    <row r="6079" spans="20:20" ht="26.25">
      <c r="T6079" s="61" ph="1"/>
    </row>
    <row r="6080" spans="20:20" ht="26.25">
      <c r="T6080" s="61" ph="1"/>
    </row>
    <row r="6081" spans="20:20" ht="26.25">
      <c r="T6081" s="61" ph="1"/>
    </row>
    <row r="6082" spans="20:20" ht="26.25">
      <c r="T6082" s="61" ph="1"/>
    </row>
    <row r="6083" spans="20:20" ht="26.25">
      <c r="T6083" s="61" ph="1"/>
    </row>
    <row r="6084" spans="20:20" ht="26.25">
      <c r="T6084" s="61" ph="1"/>
    </row>
    <row r="6085" spans="20:20" ht="26.25">
      <c r="T6085" s="61" ph="1"/>
    </row>
    <row r="6086" spans="20:20" ht="26.25">
      <c r="T6086" s="61" ph="1"/>
    </row>
    <row r="6087" spans="20:20" ht="26.25">
      <c r="T6087" s="61" ph="1"/>
    </row>
    <row r="6088" spans="20:20" ht="26.25">
      <c r="T6088" s="61" ph="1"/>
    </row>
    <row r="6089" spans="20:20" ht="26.25">
      <c r="T6089" s="61" ph="1"/>
    </row>
    <row r="6090" spans="20:20" ht="26.25">
      <c r="T6090" s="61" ph="1"/>
    </row>
    <row r="6091" spans="20:20" ht="26.25">
      <c r="T6091" s="61" ph="1"/>
    </row>
    <row r="6092" spans="20:20" ht="26.25">
      <c r="T6092" s="61" ph="1"/>
    </row>
    <row r="6093" spans="20:20" ht="26.25">
      <c r="T6093" s="61" ph="1"/>
    </row>
    <row r="6094" spans="20:20" ht="26.25">
      <c r="T6094" s="61" ph="1"/>
    </row>
    <row r="6095" spans="20:20" ht="26.25">
      <c r="T6095" s="61" ph="1"/>
    </row>
    <row r="6096" spans="20:20" ht="26.25">
      <c r="T6096" s="61" ph="1"/>
    </row>
    <row r="6097" spans="20:20" ht="26.25">
      <c r="T6097" s="61" ph="1"/>
    </row>
    <row r="6098" spans="20:20" ht="26.25">
      <c r="T6098" s="61" ph="1"/>
    </row>
    <row r="6099" spans="20:20" ht="26.25">
      <c r="T6099" s="61" ph="1"/>
    </row>
    <row r="6100" spans="20:20" ht="26.25">
      <c r="T6100" s="61" ph="1"/>
    </row>
    <row r="6101" spans="20:20" ht="26.25">
      <c r="T6101" s="61" ph="1"/>
    </row>
    <row r="6102" spans="20:20" ht="26.25">
      <c r="T6102" s="61" ph="1"/>
    </row>
    <row r="6103" spans="20:20" ht="26.25">
      <c r="T6103" s="61" ph="1"/>
    </row>
    <row r="6104" spans="20:20" ht="26.25">
      <c r="T6104" s="61" ph="1"/>
    </row>
    <row r="6105" spans="20:20" ht="26.25">
      <c r="T6105" s="61" ph="1"/>
    </row>
    <row r="6106" spans="20:20" ht="26.25">
      <c r="T6106" s="61" ph="1"/>
    </row>
    <row r="6107" spans="20:20" ht="26.25">
      <c r="T6107" s="61" ph="1"/>
    </row>
    <row r="6108" spans="20:20" ht="26.25">
      <c r="T6108" s="61" ph="1"/>
    </row>
    <row r="6109" spans="20:20" ht="26.25">
      <c r="T6109" s="61" ph="1"/>
    </row>
    <row r="6110" spans="20:20" ht="26.25">
      <c r="T6110" s="61" ph="1"/>
    </row>
    <row r="6111" spans="20:20" ht="26.25">
      <c r="T6111" s="61" ph="1"/>
    </row>
    <row r="6112" spans="20:20" ht="26.25">
      <c r="T6112" s="61" ph="1"/>
    </row>
    <row r="6113" spans="20:20" ht="26.25">
      <c r="T6113" s="61" ph="1"/>
    </row>
    <row r="6114" spans="20:20" ht="26.25">
      <c r="T6114" s="61" ph="1"/>
    </row>
    <row r="6115" spans="20:20" ht="26.25">
      <c r="T6115" s="61" ph="1"/>
    </row>
    <row r="6116" spans="20:20" ht="26.25">
      <c r="T6116" s="61" ph="1"/>
    </row>
    <row r="6117" spans="20:20">
      <c r="T6117" s="61" ph="1"/>
    </row>
    <row r="6118" spans="20:20">
      <c r="T6118" s="61" ph="1"/>
    </row>
    <row r="6119" spans="20:20">
      <c r="T6119" s="61" ph="1"/>
    </row>
  </sheetData>
  <phoneticPr fontId="1" type="noConversion"/>
  <conditionalFormatting sqref="P1:P4 O1:O11 P6:P11 O12:P1048576 R1:R1048576">
    <cfRule type="cellIs" dxfId="35" priority="548" operator="between">
      <formula>100</formula>
      <formula>1</formula>
    </cfRule>
  </conditionalFormatting>
  <conditionalFormatting sqref="Q1:Q1048576">
    <cfRule type="cellIs" dxfId="34" priority="547" operator="between">
      <formula>200</formula>
      <formula>1</formula>
    </cfRule>
  </conditionalFormatting>
  <conditionalFormatting sqref="S1:S1048576">
    <cfRule type="cellIs" dxfId="33" priority="526" operator="between">
      <formula>100</formula>
      <formula>1</formula>
    </cfRule>
  </conditionalFormatting>
  <conditionalFormatting sqref="B60:E334 B46:E56 B13:E35">
    <cfRule type="cellIs" dxfId="32" priority="522" operator="lessThan">
      <formula>0</formula>
    </cfRule>
  </conditionalFormatting>
  <conditionalFormatting sqref="F60:F334 F46:F56 F13:F35">
    <cfRule type="cellIs" dxfId="31" priority="521" operator="greaterThan">
      <formula>10</formula>
    </cfRule>
  </conditionalFormatting>
  <conditionalFormatting sqref="A54:A55 A60:A61 A50:A52 A13:A35">
    <cfRule type="expression" dxfId="30" priority="520">
      <formula>IF($F13&gt;0,$A13,"")</formula>
    </cfRule>
  </conditionalFormatting>
  <conditionalFormatting sqref="A53 A56">
    <cfRule type="expression" dxfId="29" priority="505">
      <formula>IF($F53&gt;0,$A53,"")</formula>
    </cfRule>
  </conditionalFormatting>
  <conditionalFormatting sqref="A62:A334">
    <cfRule type="expression" dxfId="28" priority="499">
      <formula>IF($F62&gt;0,$A62,"")</formula>
    </cfRule>
  </conditionalFormatting>
  <conditionalFormatting sqref="T60:T334 T46:T56 T13:T35">
    <cfRule type="cellIs" dxfId="27" priority="498" operator="greaterThanOrEqual">
      <formula>3</formula>
    </cfRule>
  </conditionalFormatting>
  <conditionalFormatting sqref="V54:V56 V60:V61 V50:V52 V13:V35">
    <cfRule type="expression" dxfId="26" priority="497">
      <formula>IF($V13&lt;$T13,$V13,"")</formula>
    </cfRule>
  </conditionalFormatting>
  <conditionalFormatting sqref="V53">
    <cfRule type="expression" dxfId="25" priority="487">
      <formula>IF($V53&lt;$T53,$V53,"")</formula>
    </cfRule>
  </conditionalFormatting>
  <conditionalFormatting sqref="V62:V334">
    <cfRule type="expression" dxfId="24" priority="483">
      <formula>IF($V62&lt;$T62,$V62,"")</formula>
    </cfRule>
  </conditionalFormatting>
  <conditionalFormatting sqref="A49">
    <cfRule type="expression" dxfId="23" priority="365">
      <formula>IF($F49&gt;0,$A49,"")</formula>
    </cfRule>
  </conditionalFormatting>
  <conditionalFormatting sqref="V49">
    <cfRule type="expression" dxfId="22" priority="363">
      <formula>IF($V49&lt;$T49,$V49,"")</formula>
    </cfRule>
  </conditionalFormatting>
  <conditionalFormatting sqref="A47:A48">
    <cfRule type="expression" dxfId="21" priority="345">
      <formula>IF($F47&gt;0,$A47,"")</formula>
    </cfRule>
  </conditionalFormatting>
  <conditionalFormatting sqref="V47:V48">
    <cfRule type="expression" dxfId="20" priority="343">
      <formula>IF($V47&lt;$T47,$V47,"")</formula>
    </cfRule>
  </conditionalFormatting>
  <conditionalFormatting sqref="A46">
    <cfRule type="expression" dxfId="19" priority="337">
      <formula>IF($F46&gt;0,$A46,"")</formula>
    </cfRule>
  </conditionalFormatting>
  <conditionalFormatting sqref="V46">
    <cfRule type="expression" dxfId="18" priority="335">
      <formula>IF($V46&lt;$T46,$V46,"")</formula>
    </cfRule>
  </conditionalFormatting>
  <conditionalFormatting sqref="S46:S47 S49:S51 S53:S56 S60:S334 S13:S35">
    <cfRule type="cellIs" dxfId="17" priority="279" operator="between">
      <formula>101</formula>
      <formula>200</formula>
    </cfRule>
    <cfRule type="cellIs" dxfId="16" priority="280" operator="between">
      <formula>100</formula>
      <formula>1</formula>
    </cfRule>
  </conditionalFormatting>
  <conditionalFormatting sqref="Z1:Z1048576">
    <cfRule type="cellIs" dxfId="15" priority="76" operator="lessThanOrEqual">
      <formula>-0.1</formula>
    </cfRule>
  </conditionalFormatting>
  <conditionalFormatting sqref="AB13:AB35">
    <cfRule type="expression" dxfId="14" priority="13">
      <formula>IF($AR13="高",$AB13,"")</formula>
    </cfRule>
    <cfRule type="expression" dxfId="13" priority="14">
      <formula>IF($AR13="中",$AB13,"")</formula>
    </cfRule>
    <cfRule type="expression" dxfId="12" priority="15">
      <formula>IF($AR13="低",$AB13,"")</formula>
    </cfRule>
  </conditionalFormatting>
  <conditionalFormatting sqref="AB46:AB47">
    <cfRule type="expression" dxfId="11" priority="10">
      <formula>IF($AR46="高",$AB46,"")</formula>
    </cfRule>
    <cfRule type="expression" dxfId="10" priority="11">
      <formula>IF($AR46="中",$AB46,"")</formula>
    </cfRule>
    <cfRule type="expression" dxfId="9" priority="12">
      <formula>IF($AR46="低",$AB46,"")</formula>
    </cfRule>
  </conditionalFormatting>
  <conditionalFormatting sqref="AB49:AB51">
    <cfRule type="expression" dxfId="8" priority="7">
      <formula>IF($AR49="高",$AB49,"")</formula>
    </cfRule>
    <cfRule type="expression" dxfId="7" priority="8">
      <formula>IF($AR49="中",$AB49,"")</formula>
    </cfRule>
    <cfRule type="expression" dxfId="6" priority="9">
      <formula>IF($AR49="低",$AB49,"")</formula>
    </cfRule>
  </conditionalFormatting>
  <conditionalFormatting sqref="AB53:AB56">
    <cfRule type="expression" dxfId="5" priority="4">
      <formula>IF($AR53="高",$AB53,"")</formula>
    </cfRule>
    <cfRule type="expression" dxfId="4" priority="5">
      <formula>IF($AR53="中",$AB53,"")</formula>
    </cfRule>
    <cfRule type="expression" dxfId="3" priority="6">
      <formula>IF($AR53="低",$AB53,"")</formula>
    </cfRule>
  </conditionalFormatting>
  <conditionalFormatting sqref="AB60:AB334">
    <cfRule type="expression" dxfId="2" priority="1">
      <formula>IF($AR60="高",$AB60,"")</formula>
    </cfRule>
    <cfRule type="expression" dxfId="1" priority="2">
      <formula>IF($AR60="中",$AB60,"")</formula>
    </cfRule>
    <cfRule type="expression" dxfId="0" priority="3">
      <formula>IF($AR60="低",$AB60,"")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" id="{2830C4B0-DB83-4443-B882-7C32362FEA28}">
            <xm:f>IF(INDEX(基本資料!$N:$N,MATCH($G12,基本資料!$A:$A,0),0)="高",$AB12,"")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17" id="{24D25023-9D45-4011-B35C-1E404D31A0F5}">
            <xm:f>IF(INDEX(基本資料!$N:$N,MATCH($G12,基本資料!$A:$A,0),0)="中",$AB12,"")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18" id="{461D1277-3F3E-4B92-AA81-A4B1E1E059D0}">
            <xm:f>IF(INDEX(基本資料!$N:$N,MATCH($G12,基本資料!$A:$A,0),0)="低",$AB12,"")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AB12:AB14</xm:sqref>
        </x14:conditionalFormatting>
        <x14:conditionalFormatting xmlns:xm="http://schemas.microsoft.com/office/excel/2006/main">
          <x14:cfRule type="expression" priority="13" id="{654DF132-1D98-41DF-B70B-AB16CAEE838E}">
            <xm:f>IF(INDEX(基本資料!$N:$N,MATCH($G16,基本資料!$A:$A,0),0)="高",$AB16,"")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14" id="{2A4922FE-73C1-494C-B640-29E64BBC9BFF}">
            <xm:f>IF(INDEX(基本資料!$N:$N,MATCH($G16,基本資料!$A:$A,0),0)="中",$AB16,"")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15" id="{03DC7F1C-A854-4351-9D27-4AF74016AF89}">
            <xm:f>IF(INDEX(基本資料!$N:$N,MATCH($G16,基本資料!$A:$A,0),0)="低",$AB16,"")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AB16:AB38</xm:sqref>
        </x14:conditionalFormatting>
        <x14:conditionalFormatting xmlns:xm="http://schemas.microsoft.com/office/excel/2006/main">
          <x14:cfRule type="expression" priority="10" id="{566A0BEC-726E-4D81-9A5E-141E00F8B839}">
            <xm:f>IF(INDEX(基本資料!$N:$N,MATCH($G49,基本資料!$A:$A,0),0)="高",$AB49,"")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11" id="{E6969B24-8FB9-487A-8C96-743FE209D223}">
            <xm:f>IF(INDEX(基本資料!$N:$N,MATCH($G49,基本資料!$A:$A,0),0)="中",$AB49,"")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12" id="{D684798C-2B89-4C70-8D1F-53FF59E678B7}">
            <xm:f>IF(INDEX(基本資料!$N:$N,MATCH($G49,基本資料!$A:$A,0),0)="低",$AB49,"")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AB49:AB50</xm:sqref>
        </x14:conditionalFormatting>
        <x14:conditionalFormatting xmlns:xm="http://schemas.microsoft.com/office/excel/2006/main">
          <x14:cfRule type="expression" priority="7" id="{A75BA5A7-F512-4626-8DE0-F3C96F5B0C05}">
            <xm:f>IF(INDEX(基本資料!$N:$N,MATCH($G52,基本資料!$A:$A,0),0)="高",$AB52,"")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8" id="{C4EAAF2A-3E6E-4323-A2AD-5517D0C1FEDF}">
            <xm:f>IF(INDEX(基本資料!$N:$N,MATCH($G52,基本資料!$A:$A,0),0)="中",$AB52,"")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9" id="{6B83B650-A989-4DC8-9248-1BBD83507CC6}">
            <xm:f>IF(INDEX(基本資料!$N:$N,MATCH($G52,基本資料!$A:$A,0),0)="低",$AB52,"")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AB52:AB54</xm:sqref>
        </x14:conditionalFormatting>
        <x14:conditionalFormatting xmlns:xm="http://schemas.microsoft.com/office/excel/2006/main">
          <x14:cfRule type="expression" priority="4" id="{11EFBEEB-B809-47B5-9044-99519C59023D}">
            <xm:f>IF(INDEX(基本資料!$N:$N,MATCH($G56,基本資料!$A:$A,0),0)="高",$AB56,"")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5" id="{302F6AB5-4672-4057-A56E-08E640CF17BE}">
            <xm:f>IF(INDEX(基本資料!$N:$N,MATCH($G56,基本資料!$A:$A,0),0)="中",$AB56,"")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6" id="{66C984F3-9DE4-41BC-BBFB-A66F2EEAECC8}">
            <xm:f>IF(INDEX(基本資料!$N:$N,MATCH($G56,基本資料!$A:$A,0),0)="低",$AB56,"")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AB56:AB58</xm:sqref>
        </x14:conditionalFormatting>
        <x14:conditionalFormatting xmlns:xm="http://schemas.microsoft.com/office/excel/2006/main">
          <x14:cfRule type="expression" priority="1" id="{ACEA62D3-5479-4A2E-A0BF-C0074A87E72C}">
            <xm:f>IF(INDEX(基本資料!$N:$N,MATCH($G62,基本資料!$A:$A,0),0)="高",$AB62,"")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" id="{C00292C2-EE1E-4F49-B254-371427D243C6}">
            <xm:f>IF(INDEX(基本資料!$N:$N,MATCH($G62,基本資料!$A:$A,0),0)="中",$AB62,"")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" id="{D691AF3F-FE35-4BBD-BEC1-85CD0C84E5B9}">
            <xm:f>IF(INDEX(基本資料!$N:$N,MATCH($G62,基本資料!$A:$A,0),0)="低",$AB62,"")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AB62:AB336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>
    <tabColor rgb="FFFFC000"/>
  </sheetPr>
  <dimension ref="A1:AT2319"/>
  <sheetViews>
    <sheetView workbookViewId="0">
      <selection activeCell="J34" sqref="J34"/>
    </sheetView>
  </sheetViews>
  <sheetFormatPr defaultColWidth="9.140625" defaultRowHeight="16.5"/>
  <cols>
    <col min="1" max="1" width="7.7109375" style="141" customWidth="1"/>
    <col min="2" max="5" width="5.7109375" style="91" customWidth="1"/>
    <col min="6" max="6" width="8.7109375" style="63" customWidth="1"/>
    <col min="7" max="7" width="6.7109375" style="19" customWidth="1"/>
    <col min="8" max="8" width="5.7109375" style="12" customWidth="1"/>
    <col min="9" max="9" width="8.7109375" style="9" customWidth="1"/>
    <col min="10" max="11" width="6.7109375" style="1" customWidth="1"/>
    <col min="12" max="12" width="3.7109375" style="121" customWidth="1"/>
    <col min="13" max="13" width="3.7109375" style="234" customWidth="1"/>
    <col min="14" max="14" width="4.7109375" style="338" customWidth="1"/>
    <col min="15" max="15" width="6.7109375" style="89" customWidth="1"/>
    <col min="16" max="16" width="6.7109375" style="73" customWidth="1"/>
    <col min="17" max="17" width="6.7109375" style="350" customWidth="1"/>
    <col min="18" max="18" width="5.7109375" style="300" customWidth="1"/>
    <col min="19" max="19" width="7.7109375" style="319" customWidth="1"/>
    <col min="20" max="20" width="7.7109375" style="85" customWidth="1"/>
    <col min="21" max="21" width="6.7109375" style="308" customWidth="1"/>
    <col min="22" max="22" width="7.7109375" style="215" customWidth="1"/>
    <col min="23" max="23" width="9.7109375" style="246" customWidth="1"/>
    <col min="24" max="24" width="9.7109375" style="69" customWidth="1"/>
    <col min="25" max="25" width="9.7109375" style="58" customWidth="1"/>
    <col min="26" max="26" width="8.7109375" style="11" customWidth="1"/>
    <col min="27" max="27" width="6.7109375" style="131" customWidth="1"/>
    <col min="28" max="28" width="6.7109375" style="376" customWidth="1"/>
    <col min="29" max="29" width="8.7109375" style="9" customWidth="1"/>
    <col min="30" max="30" width="11.7109375" style="84" customWidth="1"/>
    <col min="31" max="31" width="11.7109375" style="83" customWidth="1"/>
    <col min="32" max="32" width="5.7109375" style="78" customWidth="1"/>
    <col min="33" max="33" width="3.7109375" style="138" customWidth="1"/>
    <col min="34" max="34" width="3.7109375" style="123" customWidth="1"/>
    <col min="35" max="35" width="13.7109375" style="245" customWidth="1"/>
    <col min="36" max="16384" width="9.140625" style="245"/>
  </cols>
  <sheetData>
    <row r="1" spans="1:42" s="248" customFormat="1">
      <c r="A1" s="127" t="s">
        <v>1672</v>
      </c>
      <c r="B1" s="90" t="s">
        <v>1571</v>
      </c>
      <c r="C1" s="90" t="s">
        <v>1572</v>
      </c>
      <c r="D1" s="90" t="s">
        <v>1573</v>
      </c>
      <c r="E1" s="90" t="s">
        <v>1574</v>
      </c>
      <c r="F1" s="8" t="s">
        <v>1059</v>
      </c>
      <c r="G1" s="26" t="s">
        <v>3441</v>
      </c>
      <c r="H1" s="55" t="s">
        <v>320</v>
      </c>
      <c r="I1" s="1" t="s">
        <v>69</v>
      </c>
      <c r="J1" s="8" t="s">
        <v>6211</v>
      </c>
      <c r="K1" s="5" t="s">
        <v>6212</v>
      </c>
      <c r="L1" s="334" t="s">
        <v>6197</v>
      </c>
      <c r="M1" s="335" t="s">
        <v>6198</v>
      </c>
      <c r="N1" s="336" t="s">
        <v>6199</v>
      </c>
      <c r="O1" s="89" t="s">
        <v>6275</v>
      </c>
      <c r="P1" s="292" t="s">
        <v>6274</v>
      </c>
      <c r="Q1" s="350" t="s">
        <v>6273</v>
      </c>
      <c r="R1" s="26" t="s">
        <v>6276</v>
      </c>
      <c r="S1" s="318" t="s">
        <v>4715</v>
      </c>
      <c r="T1" s="14" t="s">
        <v>66</v>
      </c>
      <c r="U1" s="305" t="s">
        <v>4728</v>
      </c>
      <c r="V1" s="68" t="s">
        <v>3272</v>
      </c>
      <c r="W1" s="28" t="s">
        <v>2</v>
      </c>
      <c r="X1" s="17" t="s">
        <v>1398</v>
      </c>
      <c r="Y1" s="14" t="s">
        <v>2249</v>
      </c>
      <c r="Z1" s="21" t="s">
        <v>1469</v>
      </c>
      <c r="AA1" s="51" t="s">
        <v>6166</v>
      </c>
      <c r="AB1" s="102" t="s">
        <v>6404</v>
      </c>
      <c r="AC1" s="1" t="s">
        <v>69</v>
      </c>
      <c r="AD1" s="71" t="s">
        <v>1399</v>
      </c>
      <c r="AE1" s="72" t="s">
        <v>1156</v>
      </c>
      <c r="AF1" s="32" t="s">
        <v>1157</v>
      </c>
      <c r="AG1" s="138"/>
      <c r="AH1" s="163"/>
    </row>
    <row r="2" spans="1:42">
      <c r="A2" s="142" t="s">
        <v>1987</v>
      </c>
      <c r="B2" s="79">
        <v>352</v>
      </c>
      <c r="C2" s="80">
        <v>-330</v>
      </c>
      <c r="D2" s="79">
        <v>49</v>
      </c>
      <c r="E2" s="79">
        <v>50</v>
      </c>
      <c r="F2" s="6">
        <v>-20.73</v>
      </c>
      <c r="G2" s="80">
        <v>4128</v>
      </c>
      <c r="H2" s="50" t="s">
        <v>1403</v>
      </c>
      <c r="I2" s="16" t="s">
        <v>611</v>
      </c>
      <c r="J2" s="8">
        <f>IFERROR(VLOOKUP($G2,今日總結!$A:$AN,33,0),"")</f>
        <v>0</v>
      </c>
      <c r="K2" s="5">
        <f>IFERROR(VLOOKUP($G2,今日總結!$A:$AN,34,0),"")</f>
        <v>0</v>
      </c>
      <c r="L2" s="156">
        <f>IFERROR(VLOOKUP($G2,今日總結!$A:$AN,31,0),"")</f>
        <v>0</v>
      </c>
      <c r="M2" s="337">
        <f>IFERROR(VLOOKUP($G2,今日總結!$A:$AN,32,0),"")</f>
        <v>0</v>
      </c>
      <c r="N2" s="240">
        <f t="shared" ref="N2" si="0">IFERROR(L2-M2,"")</f>
        <v>0</v>
      </c>
      <c r="O2" s="359">
        <f>IFERROR(VLOOKUP($G2,融外自投!$A:$J,7,0),"無")</f>
        <v>371</v>
      </c>
      <c r="P2" s="79">
        <f>IFERROR(VLOOKUP($G2,融外自投!$A:$J,9,0),"無")</f>
        <v>649</v>
      </c>
      <c r="Q2" s="342">
        <f>IFERROR(VLOOKUP($G2,融外自投!$A:$J,8,0),"無")</f>
        <v>712</v>
      </c>
      <c r="R2" s="81">
        <f>IFERROR(VLOOKUP($G2,融外自投!$A:$J,10,0),"無")</f>
        <v>476</v>
      </c>
      <c r="S2" s="324">
        <f>IFERROR(VLOOKUP($G2,'321買'!$A:$E,5,0),"'沒有資料'")</f>
        <v>0</v>
      </c>
      <c r="T2" s="34">
        <v>1</v>
      </c>
      <c r="U2" s="307"/>
      <c r="V2" s="94">
        <v>3.29</v>
      </c>
      <c r="W2" s="36">
        <f>RTD("money.excel",,"4128","Price")</f>
        <v>56.8</v>
      </c>
      <c r="X2" s="66">
        <f>66.5</f>
        <v>66.5</v>
      </c>
      <c r="Y2" s="15">
        <f t="shared" ref="Y2:Y5" si="1">W2-X2</f>
        <v>-9.7000000000000028</v>
      </c>
      <c r="Z2" s="3">
        <f t="shared" ref="Z2" si="2">Y2/X2</f>
        <v>-0.14586466165413539</v>
      </c>
      <c r="AA2" s="101" t="s">
        <v>1721</v>
      </c>
      <c r="AC2" s="16" t="s">
        <v>611</v>
      </c>
      <c r="AD2" s="84">
        <v>44315</v>
      </c>
      <c r="AF2" s="33">
        <f t="shared" ref="AF2" si="3">AE2-AD2</f>
        <v>-44315</v>
      </c>
      <c r="AG2" s="127" t="s">
        <v>1121</v>
      </c>
      <c r="AH2" s="245"/>
      <c r="AI2" s="8"/>
    </row>
    <row r="3" spans="1:42">
      <c r="A3" s="142" t="s">
        <v>1987</v>
      </c>
      <c r="B3" s="79">
        <v>352</v>
      </c>
      <c r="C3" s="80">
        <v>-330</v>
      </c>
      <c r="D3" s="79">
        <v>49</v>
      </c>
      <c r="E3" s="79">
        <v>50</v>
      </c>
      <c r="F3" s="6">
        <v>-20.73</v>
      </c>
      <c r="G3" s="80">
        <v>4128</v>
      </c>
      <c r="H3" s="50" t="s">
        <v>1403</v>
      </c>
      <c r="I3" s="16" t="s">
        <v>611</v>
      </c>
      <c r="J3" s="8">
        <f>IFERROR(VLOOKUP($G3,今日總結!$A:$AN,33,0),"")</f>
        <v>0</v>
      </c>
      <c r="K3" s="5">
        <f>IFERROR(VLOOKUP($G3,今日總結!$A:$AN,34,0),"")</f>
        <v>0</v>
      </c>
      <c r="L3" s="156">
        <f>IFERROR(VLOOKUP($G3,今日總結!$A:$AN,31,0),"")</f>
        <v>0</v>
      </c>
      <c r="M3" s="337">
        <f>IFERROR(VLOOKUP($G3,今日總結!$A:$AN,32,0),"")</f>
        <v>0</v>
      </c>
      <c r="N3" s="240">
        <f t="shared" ref="N3" si="4">IFERROR(L3-M3,"")</f>
        <v>0</v>
      </c>
      <c r="O3" s="359">
        <f>IFERROR(VLOOKUP($G3,融外自投!$A:$J,7,0),"無")</f>
        <v>371</v>
      </c>
      <c r="P3" s="79">
        <f>IFERROR(VLOOKUP($G3,融外自投!$A:$J,9,0),"無")</f>
        <v>649</v>
      </c>
      <c r="Q3" s="342">
        <f>IFERROR(VLOOKUP($G3,融外自投!$A:$J,8,0),"無")</f>
        <v>712</v>
      </c>
      <c r="R3" s="81">
        <f>IFERROR(VLOOKUP($G3,融外自投!$A:$J,10,0),"無")</f>
        <v>476</v>
      </c>
      <c r="S3" s="324">
        <f>IFERROR(VLOOKUP($G3,'321買'!$A:$E,5,0),"'沒有資料'")</f>
        <v>0</v>
      </c>
      <c r="T3" s="34">
        <v>1</v>
      </c>
      <c r="U3" s="307"/>
      <c r="V3" s="94">
        <v>3.29</v>
      </c>
      <c r="W3" s="36">
        <f>RTD("money.excel",,"4128","Price")</f>
        <v>56.8</v>
      </c>
      <c r="X3" s="66">
        <v>51.13</v>
      </c>
      <c r="Y3" s="15">
        <f t="shared" ref="Y3" si="5">W3-X3</f>
        <v>5.6699999999999946</v>
      </c>
      <c r="Z3" s="3">
        <f t="shared" ref="Z3" si="6">Y3/X3</f>
        <v>0.11089380011734783</v>
      </c>
      <c r="AA3" s="101" t="s">
        <v>1721</v>
      </c>
      <c r="AC3" s="16" t="s">
        <v>611</v>
      </c>
      <c r="AD3" s="84">
        <v>44315</v>
      </c>
      <c r="AF3" s="33">
        <f t="shared" ref="AF3" si="7">AE3-AD3</f>
        <v>-44315</v>
      </c>
      <c r="AG3" s="127" t="s">
        <v>1121</v>
      </c>
      <c r="AH3" s="245"/>
      <c r="AI3" s="8"/>
    </row>
    <row r="4" spans="1:42">
      <c r="A4" s="142" t="s">
        <v>1987</v>
      </c>
      <c r="B4" s="79">
        <v>352</v>
      </c>
      <c r="C4" s="80">
        <v>-330</v>
      </c>
      <c r="D4" s="79">
        <v>49</v>
      </c>
      <c r="E4" s="79">
        <v>50</v>
      </c>
      <c r="F4" s="6">
        <v>-20.73</v>
      </c>
      <c r="G4" s="80">
        <v>4128</v>
      </c>
      <c r="H4" s="30" t="s">
        <v>1461</v>
      </c>
      <c r="I4" s="16" t="s">
        <v>611</v>
      </c>
      <c r="J4" s="8">
        <f>IFERROR(VLOOKUP($G4,今日總結!$A:$AN,33,0),"")</f>
        <v>0</v>
      </c>
      <c r="K4" s="5">
        <f>IFERROR(VLOOKUP($G4,今日總結!$A:$AN,34,0),"")</f>
        <v>0</v>
      </c>
      <c r="L4" s="156">
        <f>IFERROR(VLOOKUP($G4,今日總結!$A:$AN,31,0),"")</f>
        <v>0</v>
      </c>
      <c r="M4" s="337">
        <f>IFERROR(VLOOKUP($G4,今日總結!$A:$AN,32,0),"")</f>
        <v>0</v>
      </c>
      <c r="N4" s="240">
        <f t="shared" ref="N4" si="8">IFERROR(L4-M4,"")</f>
        <v>0</v>
      </c>
      <c r="O4" s="359">
        <f>IFERROR(VLOOKUP($G4,融外自投!$A:$J,7,0),"無")</f>
        <v>371</v>
      </c>
      <c r="P4" s="79">
        <f>IFERROR(VLOOKUP($G4,融外自投!$A:$J,9,0),"無")</f>
        <v>649</v>
      </c>
      <c r="Q4" s="342">
        <f>IFERROR(VLOOKUP($G4,融外自投!$A:$J,8,0),"無")</f>
        <v>712</v>
      </c>
      <c r="R4" s="81">
        <f>IFERROR(VLOOKUP($G4,融外自投!$A:$J,10,0),"無")</f>
        <v>476</v>
      </c>
      <c r="S4" s="324">
        <f>IFERROR(VLOOKUP($G4,'321買'!$A:$E,5,0),"'沒有資料'")</f>
        <v>0</v>
      </c>
      <c r="T4" s="34">
        <v>1</v>
      </c>
      <c r="U4" s="307"/>
      <c r="V4" s="94">
        <v>3.29</v>
      </c>
      <c r="W4" s="36">
        <f>RTD("money.excel",,"4128","Price")</f>
        <v>56.8</v>
      </c>
      <c r="X4" s="66">
        <v>28.85</v>
      </c>
      <c r="Y4" s="15">
        <f t="shared" ref="Y4" si="9">W4-X4</f>
        <v>27.949999999999996</v>
      </c>
      <c r="Z4" s="3">
        <f t="shared" ref="Z4" si="10">Y4/X4</f>
        <v>0.9688041594454071</v>
      </c>
      <c r="AA4" s="101" t="s">
        <v>1721</v>
      </c>
      <c r="AC4" s="16" t="s">
        <v>611</v>
      </c>
      <c r="AD4" s="84">
        <v>44315</v>
      </c>
      <c r="AF4" s="33">
        <f t="shared" ref="AF4" si="11">AE4-AD4</f>
        <v>-44315</v>
      </c>
      <c r="AG4" s="127" t="s">
        <v>1121</v>
      </c>
      <c r="AH4" s="245"/>
      <c r="AI4" s="8"/>
    </row>
    <row r="5" spans="1:42" s="248" customFormat="1">
      <c r="A5" s="141"/>
      <c r="B5" s="79"/>
      <c r="C5" s="79"/>
      <c r="D5" s="79"/>
      <c r="E5" s="79"/>
      <c r="F5" s="6">
        <f>X5/3</f>
        <v>48.826666666666661</v>
      </c>
      <c r="G5" s="41"/>
      <c r="H5" s="8"/>
      <c r="I5" s="153"/>
      <c r="J5" s="1"/>
      <c r="K5" s="1"/>
      <c r="L5" s="123"/>
      <c r="M5" s="234"/>
      <c r="N5" s="338"/>
      <c r="O5" s="89"/>
      <c r="P5" s="73"/>
      <c r="Q5" s="350"/>
      <c r="R5" s="300"/>
      <c r="S5" s="319"/>
      <c r="T5" s="185"/>
      <c r="U5" s="307"/>
      <c r="V5" s="94"/>
      <c r="W5" s="165">
        <f>SUM(W2:W4)</f>
        <v>170.39999999999998</v>
      </c>
      <c r="X5" s="155">
        <f>SUM(X2:X4)</f>
        <v>146.47999999999999</v>
      </c>
      <c r="Y5" s="162">
        <f t="shared" si="1"/>
        <v>23.919999999999987</v>
      </c>
      <c r="Z5" s="158">
        <f>Y5/X5</f>
        <v>0.16329874385581641</v>
      </c>
      <c r="AA5" s="113"/>
      <c r="AB5" s="376"/>
      <c r="AC5" s="153">
        <f>W5*(0.001425*0.5)+W5*0.003+X5*(0.001425*0.5)</f>
        <v>0.73697699999999999</v>
      </c>
      <c r="AD5" s="6">
        <f>Y5-AC5</f>
        <v>23.183022999999988</v>
      </c>
      <c r="AE5" s="83"/>
      <c r="AF5" s="33"/>
      <c r="AG5" s="41" t="s">
        <v>3292</v>
      </c>
      <c r="AH5" s="163"/>
    </row>
    <row r="6" spans="1:42" s="248" customFormat="1">
      <c r="A6" s="141"/>
      <c r="B6" s="79"/>
      <c r="C6" s="79"/>
      <c r="D6" s="79"/>
      <c r="E6" s="79"/>
      <c r="F6" s="6"/>
      <c r="G6" s="41"/>
      <c r="H6" s="8"/>
      <c r="I6" s="153"/>
      <c r="J6" s="1"/>
      <c r="K6" s="1"/>
      <c r="L6" s="163"/>
      <c r="N6" s="339"/>
      <c r="O6" s="89"/>
      <c r="P6" s="292"/>
      <c r="Q6" s="350"/>
      <c r="R6" s="300"/>
      <c r="S6" s="319"/>
      <c r="T6" s="185"/>
      <c r="U6" s="307"/>
      <c r="V6" s="94"/>
      <c r="W6" s="165"/>
      <c r="X6" s="155"/>
      <c r="Y6" s="162"/>
      <c r="Z6" s="164"/>
      <c r="AA6" s="113"/>
      <c r="AB6" s="376"/>
      <c r="AC6" s="153"/>
      <c r="AD6" s="6"/>
      <c r="AE6" s="83"/>
      <c r="AF6" s="33"/>
      <c r="AG6" s="41"/>
      <c r="AH6" s="163"/>
    </row>
    <row r="7" spans="1:42" s="248" customFormat="1">
      <c r="A7" s="127" t="s">
        <v>1672</v>
      </c>
      <c r="B7" s="90" t="s">
        <v>1571</v>
      </c>
      <c r="C7" s="90" t="s">
        <v>1572</v>
      </c>
      <c r="D7" s="90" t="s">
        <v>1573</v>
      </c>
      <c r="E7" s="90" t="s">
        <v>1574</v>
      </c>
      <c r="F7" s="8" t="s">
        <v>1059</v>
      </c>
      <c r="G7" s="26" t="s">
        <v>3441</v>
      </c>
      <c r="H7" s="55" t="s">
        <v>320</v>
      </c>
      <c r="I7" s="1" t="s">
        <v>69</v>
      </c>
      <c r="J7" s="8" t="s">
        <v>6211</v>
      </c>
      <c r="K7" s="5" t="s">
        <v>6212</v>
      </c>
      <c r="L7" s="334" t="s">
        <v>6197</v>
      </c>
      <c r="M7" s="335" t="s">
        <v>6198</v>
      </c>
      <c r="N7" s="336" t="s">
        <v>6199</v>
      </c>
      <c r="O7" s="89" t="s">
        <v>4718</v>
      </c>
      <c r="P7" s="292" t="s">
        <v>3543</v>
      </c>
      <c r="Q7" s="350" t="s">
        <v>3542</v>
      </c>
      <c r="R7" s="26" t="s">
        <v>3544</v>
      </c>
      <c r="S7" s="318" t="s">
        <v>4715</v>
      </c>
      <c r="T7" s="14" t="s">
        <v>66</v>
      </c>
      <c r="U7" s="305" t="s">
        <v>4728</v>
      </c>
      <c r="V7" s="68" t="s">
        <v>3272</v>
      </c>
      <c r="W7" s="28" t="s">
        <v>2</v>
      </c>
      <c r="X7" s="17" t="s">
        <v>1398</v>
      </c>
      <c r="Y7" s="14" t="s">
        <v>2249</v>
      </c>
      <c r="Z7" s="21" t="s">
        <v>3</v>
      </c>
      <c r="AA7" s="51" t="s">
        <v>6166</v>
      </c>
      <c r="AB7" s="102" t="s">
        <v>6404</v>
      </c>
      <c r="AC7" s="1" t="s">
        <v>69</v>
      </c>
      <c r="AD7" s="71" t="s">
        <v>1399</v>
      </c>
      <c r="AE7" s="72" t="s">
        <v>1156</v>
      </c>
      <c r="AF7" s="32" t="s">
        <v>1157</v>
      </c>
      <c r="AG7" s="138"/>
      <c r="AH7" s="163"/>
    </row>
    <row r="8" spans="1:42">
      <c r="A8" s="343">
        <v>14.33</v>
      </c>
      <c r="B8" s="79">
        <v>137</v>
      </c>
      <c r="C8" s="79">
        <v>170</v>
      </c>
      <c r="D8" s="79">
        <v>-18</v>
      </c>
      <c r="E8" s="79">
        <v>30</v>
      </c>
      <c r="F8" s="6">
        <v>12</v>
      </c>
      <c r="G8" s="80">
        <v>2636</v>
      </c>
      <c r="H8" s="50" t="s">
        <v>1403</v>
      </c>
      <c r="I8" s="22" t="s">
        <v>5198</v>
      </c>
      <c r="J8" s="8">
        <v>4</v>
      </c>
      <c r="K8" s="5"/>
      <c r="L8" s="79">
        <v>1</v>
      </c>
      <c r="M8" s="403">
        <v>0</v>
      </c>
      <c r="N8" s="240">
        <f t="shared" ref="N8" si="12">L8-M8</f>
        <v>1</v>
      </c>
      <c r="O8" s="359">
        <v>91</v>
      </c>
      <c r="P8" s="79">
        <v>178</v>
      </c>
      <c r="Q8" s="342">
        <v>428</v>
      </c>
      <c r="R8" s="81">
        <v>494</v>
      </c>
      <c r="S8" s="324">
        <v>41</v>
      </c>
      <c r="T8" s="186">
        <v>13</v>
      </c>
      <c r="U8" s="426">
        <f>T8/W8</f>
        <v>0.11063829787234042</v>
      </c>
      <c r="V8" s="94">
        <v>33.549999999999997</v>
      </c>
      <c r="W8" s="39">
        <f>INDEX('TSE OTC全部'!$W:$W,MATCH($G8,'TSE OTC全部'!$G:$G,0))</f>
        <v>117.5</v>
      </c>
      <c r="X8" s="207">
        <v>118.5</v>
      </c>
      <c r="Y8" s="430">
        <f>W8-X8</f>
        <v>-1</v>
      </c>
      <c r="Z8" s="433">
        <f>Y8/X8</f>
        <v>-8.4388185654008432E-3</v>
      </c>
      <c r="AA8" s="340">
        <v>-64.33</v>
      </c>
      <c r="AB8" s="389">
        <v>23.48</v>
      </c>
      <c r="AC8" s="23" t="s">
        <v>5198</v>
      </c>
      <c r="AD8" s="84">
        <v>44697</v>
      </c>
      <c r="AF8" s="33">
        <f>AE8-AD8</f>
        <v>-44697</v>
      </c>
      <c r="AG8" s="79">
        <v>1</v>
      </c>
      <c r="AH8" s="79"/>
      <c r="AI8" s="221"/>
      <c r="AJ8" s="22"/>
      <c r="AK8" s="66"/>
      <c r="AL8" s="283"/>
      <c r="AM8" s="391"/>
      <c r="AN8" s="127"/>
      <c r="AO8" s="275"/>
      <c r="AP8" s="40">
        <f>RTD("money.excel",,"2636","ChangePercent")</f>
        <v>-2.0833333333333335</v>
      </c>
    </row>
    <row r="9" spans="1:42" s="248" customFormat="1">
      <c r="A9" s="141"/>
      <c r="B9" s="79"/>
      <c r="C9" s="79"/>
      <c r="D9" s="79"/>
      <c r="E9" s="79"/>
      <c r="F9" s="6"/>
      <c r="G9" s="41"/>
      <c r="H9" s="8"/>
      <c r="I9" s="153"/>
      <c r="J9" s="1"/>
      <c r="K9" s="1"/>
      <c r="L9" s="156"/>
      <c r="M9" s="337"/>
      <c r="N9" s="240"/>
      <c r="O9" s="358"/>
      <c r="P9" s="292"/>
      <c r="Q9" s="333"/>
      <c r="R9" s="300"/>
      <c r="S9" s="319"/>
      <c r="T9" s="185"/>
      <c r="U9" s="306"/>
      <c r="V9" s="94"/>
      <c r="W9" s="165">
        <f>SUM(W8)</f>
        <v>117.5</v>
      </c>
      <c r="X9" s="155">
        <f>SUM(X8)</f>
        <v>118.5</v>
      </c>
      <c r="Y9" s="162">
        <f>W9-X9</f>
        <v>-1</v>
      </c>
      <c r="Z9" s="164">
        <f>Y9/X9</f>
        <v>-8.4388185654008432E-3</v>
      </c>
      <c r="AA9" s="113"/>
      <c r="AB9" s="376"/>
      <c r="AC9" s="153">
        <f>W9*(0.001425*0.5)+W9*0.003+X9*(0.001425*0.5)</f>
        <v>0.52064999999999995</v>
      </c>
      <c r="AD9" s="6">
        <f>Y9-AC9</f>
        <v>-1.5206499999999998</v>
      </c>
      <c r="AE9" s="83"/>
      <c r="AF9" s="33"/>
      <c r="AG9" s="41" t="s">
        <v>1121</v>
      </c>
      <c r="AH9" s="163"/>
    </row>
    <row r="10" spans="1:42">
      <c r="A10" s="343"/>
      <c r="B10" s="79"/>
      <c r="C10" s="79"/>
      <c r="D10" s="79"/>
      <c r="E10" s="79"/>
      <c r="F10" s="6"/>
      <c r="G10" s="80"/>
      <c r="H10" s="96"/>
      <c r="I10" s="22"/>
      <c r="J10" s="8"/>
      <c r="K10" s="5"/>
      <c r="L10" s="156"/>
      <c r="M10" s="337"/>
      <c r="N10" s="240"/>
      <c r="O10" s="359"/>
      <c r="P10" s="79"/>
      <c r="Q10" s="342"/>
      <c r="R10" s="81"/>
      <c r="S10" s="324"/>
      <c r="T10" s="186"/>
      <c r="U10" s="426"/>
      <c r="V10" s="94"/>
      <c r="W10" s="39"/>
      <c r="X10" s="207"/>
      <c r="Y10" s="430"/>
      <c r="Z10" s="434"/>
      <c r="AA10" s="340"/>
      <c r="AB10" s="389"/>
      <c r="AC10" s="23"/>
      <c r="AF10" s="33"/>
      <c r="AG10" s="79"/>
      <c r="AH10" s="79"/>
      <c r="AI10" s="221"/>
      <c r="AJ10" s="22"/>
      <c r="AK10" s="66"/>
      <c r="AL10" s="283"/>
      <c r="AM10" s="391"/>
      <c r="AN10" s="127"/>
      <c r="AO10" s="275"/>
      <c r="AP10" s="40"/>
    </row>
    <row r="11" spans="1:42" s="248" customFormat="1">
      <c r="A11" s="127" t="s">
        <v>1672</v>
      </c>
      <c r="B11" s="90" t="s">
        <v>1571</v>
      </c>
      <c r="C11" s="90" t="s">
        <v>1572</v>
      </c>
      <c r="D11" s="90" t="s">
        <v>1573</v>
      </c>
      <c r="E11" s="90" t="s">
        <v>1574</v>
      </c>
      <c r="F11" s="8" t="s">
        <v>1059</v>
      </c>
      <c r="G11" s="26" t="s">
        <v>3441</v>
      </c>
      <c r="H11" s="55" t="s">
        <v>320</v>
      </c>
      <c r="I11" s="1" t="s">
        <v>69</v>
      </c>
      <c r="J11" s="8" t="s">
        <v>6211</v>
      </c>
      <c r="K11" s="5" t="s">
        <v>6212</v>
      </c>
      <c r="L11" s="334" t="s">
        <v>6197</v>
      </c>
      <c r="M11" s="335" t="s">
        <v>6198</v>
      </c>
      <c r="N11" s="336" t="s">
        <v>6199</v>
      </c>
      <c r="O11" s="89" t="s">
        <v>6275</v>
      </c>
      <c r="P11" s="292" t="s">
        <v>6274</v>
      </c>
      <c r="Q11" s="350" t="s">
        <v>6273</v>
      </c>
      <c r="R11" s="26" t="s">
        <v>6276</v>
      </c>
      <c r="S11" s="318" t="s">
        <v>4715</v>
      </c>
      <c r="T11" s="14" t="s">
        <v>66</v>
      </c>
      <c r="U11" s="305" t="s">
        <v>4728</v>
      </c>
      <c r="V11" s="68" t="s">
        <v>3272</v>
      </c>
      <c r="W11" s="28" t="s">
        <v>2</v>
      </c>
      <c r="X11" s="17" t="s">
        <v>1398</v>
      </c>
      <c r="Y11" s="14" t="s">
        <v>2249</v>
      </c>
      <c r="Z11" s="21" t="s">
        <v>1469</v>
      </c>
      <c r="AA11" s="51" t="s">
        <v>6166</v>
      </c>
      <c r="AB11" s="102" t="s">
        <v>6404</v>
      </c>
      <c r="AC11" s="1" t="s">
        <v>69</v>
      </c>
      <c r="AD11" s="71" t="s">
        <v>1399</v>
      </c>
      <c r="AE11" s="72" t="s">
        <v>1156</v>
      </c>
      <c r="AF11" s="32" t="s">
        <v>1157</v>
      </c>
      <c r="AG11" s="138"/>
      <c r="AH11" s="163"/>
    </row>
    <row r="12" spans="1:42">
      <c r="A12" s="343"/>
      <c r="B12" s="79"/>
      <c r="C12" s="79"/>
      <c r="D12" s="79"/>
      <c r="E12" s="79"/>
      <c r="F12" s="6"/>
      <c r="G12" s="80"/>
      <c r="H12" s="50"/>
      <c r="I12" s="16"/>
      <c r="J12" s="102"/>
      <c r="K12" s="5"/>
      <c r="L12" s="79"/>
      <c r="M12" s="403"/>
      <c r="N12" s="240"/>
      <c r="O12" s="359"/>
      <c r="P12" s="79"/>
      <c r="Q12" s="342"/>
      <c r="R12" s="81"/>
      <c r="S12" s="419"/>
      <c r="T12" s="186"/>
      <c r="U12" s="426"/>
      <c r="V12" s="94"/>
      <c r="W12" s="39"/>
      <c r="X12" s="207"/>
      <c r="Y12" s="430"/>
      <c r="Z12" s="433"/>
      <c r="AA12" s="340"/>
      <c r="AB12" s="389"/>
      <c r="AC12" s="23"/>
      <c r="AF12" s="33"/>
      <c r="AG12" s="127"/>
      <c r="AH12" s="245"/>
      <c r="AI12" s="443"/>
      <c r="AJ12" s="254"/>
      <c r="AK12" s="391"/>
    </row>
    <row r="13" spans="1:42" s="248" customFormat="1">
      <c r="A13" s="141"/>
      <c r="B13" s="79"/>
      <c r="C13" s="79"/>
      <c r="D13" s="79"/>
      <c r="E13" s="79"/>
      <c r="F13" s="6"/>
      <c r="G13" s="41"/>
      <c r="H13" s="8"/>
      <c r="I13" s="153"/>
      <c r="J13" s="1"/>
      <c r="K13" s="1"/>
      <c r="L13" s="156"/>
      <c r="M13" s="337"/>
      <c r="N13" s="240"/>
      <c r="O13" s="358"/>
      <c r="P13" s="292"/>
      <c r="Q13" s="333"/>
      <c r="R13" s="300"/>
      <c r="S13" s="319"/>
      <c r="T13" s="185"/>
      <c r="U13" s="306"/>
      <c r="V13" s="94"/>
      <c r="W13" s="165">
        <f>SUM(W12)</f>
        <v>0</v>
      </c>
      <c r="X13" s="155">
        <f>SUM(X12)</f>
        <v>0</v>
      </c>
      <c r="Y13" s="162">
        <f>W13-X13</f>
        <v>0</v>
      </c>
      <c r="Z13" s="164" t="e">
        <f>Y13/X13</f>
        <v>#DIV/0!</v>
      </c>
      <c r="AA13" s="113"/>
      <c r="AB13" s="376"/>
      <c r="AC13" s="153">
        <f>W13*(0.001425*0.5)+W13*0.003+X13*(0.001425*0.5)</f>
        <v>0</v>
      </c>
      <c r="AD13" s="6">
        <f>Y13-AC13</f>
        <v>0</v>
      </c>
      <c r="AE13" s="83"/>
      <c r="AF13" s="33"/>
      <c r="AG13" s="41" t="s">
        <v>1121</v>
      </c>
      <c r="AH13" s="163"/>
    </row>
    <row r="14" spans="1:42" s="248" customFormat="1">
      <c r="A14" s="141"/>
      <c r="B14" s="79"/>
      <c r="C14" s="79"/>
      <c r="D14" s="79"/>
      <c r="E14" s="79"/>
      <c r="F14" s="6"/>
      <c r="G14" s="41"/>
      <c r="H14" s="8"/>
      <c r="I14" s="153"/>
      <c r="J14" s="1"/>
      <c r="K14" s="1"/>
      <c r="L14" s="156"/>
      <c r="M14" s="337"/>
      <c r="N14" s="240"/>
      <c r="O14" s="358"/>
      <c r="P14" s="292"/>
      <c r="Q14" s="333"/>
      <c r="R14" s="300"/>
      <c r="S14" s="319"/>
      <c r="T14" s="185"/>
      <c r="U14" s="306"/>
      <c r="V14" s="94"/>
      <c r="W14" s="165"/>
      <c r="X14" s="155"/>
      <c r="Y14" s="162"/>
      <c r="Z14" s="164"/>
      <c r="AA14" s="113"/>
      <c r="AB14" s="376"/>
      <c r="AC14" s="153"/>
      <c r="AD14" s="6"/>
      <c r="AE14" s="83"/>
      <c r="AF14" s="33"/>
      <c r="AG14" s="41"/>
      <c r="AH14" s="163"/>
    </row>
    <row r="15" spans="1:42" s="248" customFormat="1">
      <c r="A15" s="127" t="s">
        <v>1672</v>
      </c>
      <c r="B15" s="90" t="s">
        <v>1571</v>
      </c>
      <c r="C15" s="90" t="s">
        <v>1572</v>
      </c>
      <c r="D15" s="90" t="s">
        <v>1573</v>
      </c>
      <c r="E15" s="90" t="s">
        <v>1574</v>
      </c>
      <c r="F15" s="8" t="s">
        <v>1059</v>
      </c>
      <c r="G15" s="26" t="s">
        <v>3441</v>
      </c>
      <c r="H15" s="55" t="s">
        <v>320</v>
      </c>
      <c r="I15" s="1" t="s">
        <v>69</v>
      </c>
      <c r="J15" s="8" t="s">
        <v>6211</v>
      </c>
      <c r="K15" s="5" t="s">
        <v>6212</v>
      </c>
      <c r="L15" s="334" t="s">
        <v>6197</v>
      </c>
      <c r="M15" s="335" t="s">
        <v>6198</v>
      </c>
      <c r="N15" s="336" t="s">
        <v>6199</v>
      </c>
      <c r="O15" s="89" t="s">
        <v>6275</v>
      </c>
      <c r="P15" s="292" t="s">
        <v>6274</v>
      </c>
      <c r="Q15" s="350" t="s">
        <v>6273</v>
      </c>
      <c r="R15" s="26" t="s">
        <v>6276</v>
      </c>
      <c r="S15" s="318" t="s">
        <v>4715</v>
      </c>
      <c r="T15" s="14" t="s">
        <v>66</v>
      </c>
      <c r="U15" s="305" t="s">
        <v>4728</v>
      </c>
      <c r="V15" s="68" t="s">
        <v>3272</v>
      </c>
      <c r="W15" s="28" t="s">
        <v>2</v>
      </c>
      <c r="X15" s="17" t="s">
        <v>1398</v>
      </c>
      <c r="Y15" s="14" t="s">
        <v>2249</v>
      </c>
      <c r="Z15" s="21" t="s">
        <v>1469</v>
      </c>
      <c r="AA15" s="51" t="s">
        <v>6166</v>
      </c>
      <c r="AB15" s="102" t="s">
        <v>6404</v>
      </c>
      <c r="AC15" s="1" t="s">
        <v>69</v>
      </c>
      <c r="AD15" s="71" t="s">
        <v>1399</v>
      </c>
      <c r="AE15" s="72" t="s">
        <v>1156</v>
      </c>
      <c r="AF15" s="32" t="s">
        <v>1157</v>
      </c>
      <c r="AG15" s="138"/>
      <c r="AH15" s="163"/>
    </row>
    <row r="16" spans="1:42">
      <c r="A16" s="127" t="s">
        <v>6405</v>
      </c>
      <c r="B16" s="79">
        <v>25</v>
      </c>
      <c r="C16" s="79">
        <v>22</v>
      </c>
      <c r="D16" s="79">
        <v>23</v>
      </c>
      <c r="E16" s="79">
        <v>6</v>
      </c>
      <c r="F16" s="57">
        <v>29.03</v>
      </c>
      <c r="G16" s="80">
        <v>2441</v>
      </c>
      <c r="H16" s="30" t="s">
        <v>1461</v>
      </c>
      <c r="I16" s="22" t="s">
        <v>275</v>
      </c>
      <c r="J16" s="102" t="s">
        <v>6406</v>
      </c>
      <c r="K16" s="5"/>
      <c r="L16" s="156">
        <v>2</v>
      </c>
      <c r="M16" s="337">
        <v>0</v>
      </c>
      <c r="N16" s="240">
        <v>2</v>
      </c>
      <c r="O16" s="359">
        <f>IFERROR(VLOOKUP($G16,融外自投!$A:$J,7,0),"無")</f>
        <v>1167</v>
      </c>
      <c r="P16" s="79">
        <f>IFERROR(VLOOKUP($G16,融外自投!$A:$J,9,0),"無")</f>
        <v>49</v>
      </c>
      <c r="Q16" s="342">
        <f>IFERROR(VLOOKUP($G16,融外自投!$A:$J,8,0),"無")</f>
        <v>373</v>
      </c>
      <c r="R16" s="81">
        <f>IFERROR(VLOOKUP($G16,融外自投!$A:$J,10,0),"無")</f>
        <v>55</v>
      </c>
      <c r="S16" s="324">
        <f>IFERROR(VLOOKUP($G16,'321買'!$A:$E,5,0),"'沒有資料'")</f>
        <v>0</v>
      </c>
      <c r="T16" s="45">
        <v>5</v>
      </c>
      <c r="U16" s="307">
        <f t="shared" ref="U16" si="13">T16/W16</f>
        <v>6.9735006973500699E-2</v>
      </c>
      <c r="V16" s="94">
        <v>8.51</v>
      </c>
      <c r="W16" s="36">
        <f>RTD("money.excel",,"2441","Price")</f>
        <v>71.7</v>
      </c>
      <c r="X16" s="66">
        <v>71.2</v>
      </c>
      <c r="Y16" s="15">
        <f t="shared" ref="Y16" si="14">W16-X16</f>
        <v>0.5</v>
      </c>
      <c r="Z16" s="3">
        <f t="shared" ref="Z16" si="15">Y16/X16</f>
        <v>7.0224719101123594E-3</v>
      </c>
      <c r="AA16" s="340">
        <v>-29.15</v>
      </c>
      <c r="AB16" s="378">
        <v>30.68</v>
      </c>
      <c r="AC16" s="22" t="s">
        <v>275</v>
      </c>
      <c r="AD16" s="84">
        <v>44686</v>
      </c>
      <c r="AF16" s="33">
        <f t="shared" ref="AF16" si="16">AE16-AD16</f>
        <v>-44686</v>
      </c>
      <c r="AG16" s="81">
        <v>1</v>
      </c>
      <c r="AH16" s="63"/>
      <c r="AI16" s="221"/>
      <c r="AJ16" s="22"/>
      <c r="AK16" s="63"/>
      <c r="AL16" s="283"/>
      <c r="AM16" s="22"/>
      <c r="AN16" s="127"/>
      <c r="AO16" s="275"/>
      <c r="AP16" s="40"/>
    </row>
    <row r="17" spans="1:35" s="248" customFormat="1">
      <c r="A17" s="141"/>
      <c r="B17" s="79"/>
      <c r="C17" s="79"/>
      <c r="D17" s="79"/>
      <c r="E17" s="79"/>
      <c r="F17" s="6"/>
      <c r="G17" s="41"/>
      <c r="H17" s="8"/>
      <c r="I17" s="153"/>
      <c r="J17" s="1"/>
      <c r="K17" s="1"/>
      <c r="L17" s="156"/>
      <c r="M17" s="337"/>
      <c r="N17" s="240"/>
      <c r="O17" s="89"/>
      <c r="P17" s="292"/>
      <c r="Q17" s="350"/>
      <c r="R17" s="300"/>
      <c r="S17" s="319"/>
      <c r="T17" s="185"/>
      <c r="U17" s="306"/>
      <c r="V17" s="94"/>
      <c r="W17" s="165">
        <f>SUM(W16)</f>
        <v>71.7</v>
      </c>
      <c r="X17" s="155">
        <f>SUM(X16)</f>
        <v>71.2</v>
      </c>
      <c r="Y17" s="162">
        <f>W17-X17</f>
        <v>0.5</v>
      </c>
      <c r="Z17" s="164">
        <f>Y17/X17</f>
        <v>7.0224719101123594E-3</v>
      </c>
      <c r="AA17" s="113"/>
      <c r="AB17" s="376"/>
      <c r="AC17" s="153">
        <f>W17*(0.001425*0.5)+W17*0.003+X17*(0.001425*0.5)</f>
        <v>0.31691625000000001</v>
      </c>
      <c r="AD17" s="6">
        <f>Y17-AC17</f>
        <v>0.18308374999999999</v>
      </c>
      <c r="AE17" s="83"/>
      <c r="AF17" s="33"/>
      <c r="AG17" s="41" t="s">
        <v>1121</v>
      </c>
      <c r="AH17" s="163"/>
    </row>
    <row r="18" spans="1:35" s="248" customFormat="1">
      <c r="A18" s="141"/>
      <c r="B18" s="79"/>
      <c r="C18" s="79"/>
      <c r="D18" s="79"/>
      <c r="E18" s="79"/>
      <c r="F18" s="6"/>
      <c r="G18" s="41"/>
      <c r="H18" s="8"/>
      <c r="I18" s="153"/>
      <c r="J18" s="1"/>
      <c r="K18" s="1"/>
      <c r="L18" s="156"/>
      <c r="M18" s="337"/>
      <c r="N18" s="240"/>
      <c r="O18" s="89"/>
      <c r="P18" s="292"/>
      <c r="Q18" s="350"/>
      <c r="R18" s="300"/>
      <c r="S18" s="319"/>
      <c r="T18" s="185"/>
      <c r="U18" s="306"/>
      <c r="V18" s="94"/>
      <c r="W18" s="165"/>
      <c r="X18" s="155"/>
      <c r="Y18" s="162"/>
      <c r="Z18" s="164"/>
      <c r="AA18" s="113"/>
      <c r="AB18" s="376"/>
      <c r="AC18" s="153"/>
      <c r="AD18" s="6"/>
      <c r="AE18" s="83"/>
      <c r="AF18" s="33"/>
      <c r="AG18" s="41"/>
      <c r="AH18" s="163"/>
    </row>
    <row r="19" spans="1:35" s="248" customFormat="1">
      <c r="A19" s="127" t="s">
        <v>1672</v>
      </c>
      <c r="B19" s="90" t="s">
        <v>1571</v>
      </c>
      <c r="C19" s="90" t="s">
        <v>1572</v>
      </c>
      <c r="D19" s="90" t="s">
        <v>1573</v>
      </c>
      <c r="E19" s="90" t="s">
        <v>1574</v>
      </c>
      <c r="F19" s="8" t="s">
        <v>1059</v>
      </c>
      <c r="G19" s="26" t="s">
        <v>3441</v>
      </c>
      <c r="H19" s="55" t="s">
        <v>320</v>
      </c>
      <c r="I19" s="1" t="s">
        <v>2248</v>
      </c>
      <c r="J19" s="8" t="s">
        <v>6211</v>
      </c>
      <c r="K19" s="5" t="s">
        <v>6212</v>
      </c>
      <c r="L19" s="334" t="s">
        <v>6197</v>
      </c>
      <c r="M19" s="335" t="s">
        <v>6198</v>
      </c>
      <c r="N19" s="336" t="s">
        <v>6199</v>
      </c>
      <c r="O19" s="89" t="s">
        <v>6275</v>
      </c>
      <c r="P19" s="292" t="s">
        <v>6274</v>
      </c>
      <c r="Q19" s="350" t="s">
        <v>6273</v>
      </c>
      <c r="R19" s="26" t="s">
        <v>6276</v>
      </c>
      <c r="S19" s="318" t="s">
        <v>4715</v>
      </c>
      <c r="T19" s="14" t="s">
        <v>66</v>
      </c>
      <c r="U19" s="305" t="s">
        <v>4728</v>
      </c>
      <c r="V19" s="68" t="s">
        <v>3272</v>
      </c>
      <c r="W19" s="28" t="s">
        <v>2</v>
      </c>
      <c r="X19" s="17" t="s">
        <v>1398</v>
      </c>
      <c r="Y19" s="14" t="s">
        <v>2249</v>
      </c>
      <c r="Z19" s="21" t="s">
        <v>1469</v>
      </c>
      <c r="AA19" s="51" t="s">
        <v>6166</v>
      </c>
      <c r="AB19" s="102" t="s">
        <v>6404</v>
      </c>
      <c r="AC19" s="1" t="s">
        <v>2248</v>
      </c>
      <c r="AD19" s="71" t="s">
        <v>1399</v>
      </c>
      <c r="AE19" s="72" t="s">
        <v>1156</v>
      </c>
      <c r="AF19" s="32" t="s">
        <v>1157</v>
      </c>
      <c r="AG19" s="138"/>
      <c r="AH19" s="163"/>
    </row>
    <row r="20" spans="1:35">
      <c r="A20" s="127" t="s">
        <v>1888</v>
      </c>
      <c r="B20" s="79">
        <v>16</v>
      </c>
      <c r="C20" s="79">
        <v>22</v>
      </c>
      <c r="D20" s="79">
        <v>0</v>
      </c>
      <c r="E20" s="80">
        <v>-68</v>
      </c>
      <c r="F20" s="57">
        <v>41.9</v>
      </c>
      <c r="G20" s="80">
        <v>1325</v>
      </c>
      <c r="H20" s="50" t="s">
        <v>1403</v>
      </c>
      <c r="I20" s="22" t="s">
        <v>602</v>
      </c>
      <c r="J20" s="8">
        <f>IFERROR(VLOOKUP($G20,今日總結!$A:$AN,33,0),"")</f>
        <v>0</v>
      </c>
      <c r="K20" s="5">
        <f>IFERROR(VLOOKUP($G20,今日總結!$A:$AN,34,0),"")</f>
        <v>0</v>
      </c>
      <c r="L20" s="156">
        <f>IFERROR(VLOOKUP($G20,今日總結!$A:$AN,31,0),"")</f>
        <v>7</v>
      </c>
      <c r="M20" s="337">
        <f>IFERROR(VLOOKUP($G20,今日總結!$A:$AN,32,0),"")</f>
        <v>0</v>
      </c>
      <c r="N20" s="240">
        <f t="shared" ref="N20:N21" si="17">IFERROR(L20-M20,"")</f>
        <v>7</v>
      </c>
      <c r="O20" s="359">
        <f>IFERROR(VLOOKUP($G20,融外自投!$A:$J,7,0),"無")</f>
        <v>320</v>
      </c>
      <c r="P20" s="79">
        <f>IFERROR(VLOOKUP($G20,融外自投!$A:$J,9,0),"無")</f>
        <v>24</v>
      </c>
      <c r="Q20" s="342">
        <f>IFERROR(VLOOKUP($G20,融外自投!$A:$J,8,0),"無")</f>
        <v>832</v>
      </c>
      <c r="R20" s="81" t="str">
        <f>IFERROR(VLOOKUP($G20,融外自投!$A:$J,10,0),"無")</f>
        <v>無</v>
      </c>
      <c r="S20" s="324">
        <f>IFERROR(VLOOKUP($G20,'321買'!$A:$E,5,0),"'沒有資料'")</f>
        <v>0</v>
      </c>
      <c r="T20" s="34">
        <v>2</v>
      </c>
      <c r="V20" s="94">
        <v>23.55</v>
      </c>
      <c r="W20" s="36">
        <f>RTD("money.excel",,"1325","Price")</f>
        <v>32.049999999999997</v>
      </c>
      <c r="X20" s="66">
        <f>105.5-12</f>
        <v>93.5</v>
      </c>
      <c r="Y20" s="15">
        <f t="shared" ref="Y20:Y26" si="18">W20-X20</f>
        <v>-61.45</v>
      </c>
      <c r="Z20" s="76">
        <f t="shared" ref="Z20:Z26" si="19">Y20/X20</f>
        <v>-0.6572192513368984</v>
      </c>
      <c r="AA20" s="101" t="s">
        <v>1703</v>
      </c>
      <c r="AC20" s="22" t="s">
        <v>602</v>
      </c>
      <c r="AD20" s="84">
        <v>44336</v>
      </c>
      <c r="AF20" s="33">
        <f t="shared" ref="AF20:AF25" si="20">AE20-AD20</f>
        <v>-44336</v>
      </c>
      <c r="AG20" s="127" t="s">
        <v>1121</v>
      </c>
      <c r="AH20" s="210"/>
      <c r="AI20" s="182"/>
    </row>
    <row r="21" spans="1:35">
      <c r="A21" s="127" t="s">
        <v>1888</v>
      </c>
      <c r="B21" s="79">
        <v>16</v>
      </c>
      <c r="C21" s="79">
        <v>22</v>
      </c>
      <c r="D21" s="79">
        <v>0</v>
      </c>
      <c r="E21" s="80">
        <v>-68</v>
      </c>
      <c r="F21" s="57">
        <v>41.9</v>
      </c>
      <c r="G21" s="80">
        <v>1325</v>
      </c>
      <c r="H21" s="50" t="s">
        <v>1403</v>
      </c>
      <c r="I21" s="22" t="s">
        <v>602</v>
      </c>
      <c r="J21" s="8">
        <f>IFERROR(VLOOKUP($G21,今日總結!$A:$AN,33,0),"")</f>
        <v>0</v>
      </c>
      <c r="K21" s="5">
        <f>IFERROR(VLOOKUP($G21,今日總結!$A:$AN,34,0),"")</f>
        <v>0</v>
      </c>
      <c r="L21" s="156">
        <f>IFERROR(VLOOKUP($G21,今日總結!$A:$AN,31,0),"")</f>
        <v>7</v>
      </c>
      <c r="M21" s="337">
        <f>IFERROR(VLOOKUP($G21,今日總結!$A:$AN,32,0),"")</f>
        <v>0</v>
      </c>
      <c r="N21" s="240">
        <f t="shared" si="17"/>
        <v>7</v>
      </c>
      <c r="O21" s="359">
        <f>IFERROR(VLOOKUP($G21,融外自投!$A:$J,7,0),"無")</f>
        <v>320</v>
      </c>
      <c r="P21" s="79">
        <f>IFERROR(VLOOKUP($G21,融外自投!$A:$J,9,0),"無")</f>
        <v>24</v>
      </c>
      <c r="Q21" s="342">
        <f>IFERROR(VLOOKUP($G21,融外自投!$A:$J,8,0),"無")</f>
        <v>832</v>
      </c>
      <c r="R21" s="81" t="str">
        <f>IFERROR(VLOOKUP($G21,融外自投!$A:$J,10,0),"無")</f>
        <v>無</v>
      </c>
      <c r="S21" s="324">
        <f>IFERROR(VLOOKUP($G21,'321買'!$A:$E,5,0),"'沒有資料'")</f>
        <v>0</v>
      </c>
      <c r="T21" s="34">
        <v>2</v>
      </c>
      <c r="V21" s="94">
        <v>23.55</v>
      </c>
      <c r="W21" s="36">
        <f>RTD("money.excel",,"1325","Price")</f>
        <v>32.049999999999997</v>
      </c>
      <c r="X21" s="66">
        <f>112.5-12</f>
        <v>100.5</v>
      </c>
      <c r="Y21" s="15">
        <f t="shared" si="18"/>
        <v>-68.45</v>
      </c>
      <c r="Z21" s="76">
        <f t="shared" si="19"/>
        <v>-0.6810945273631841</v>
      </c>
      <c r="AA21" s="101" t="s">
        <v>1703</v>
      </c>
      <c r="AC21" s="22" t="s">
        <v>602</v>
      </c>
      <c r="AD21" s="84">
        <v>44334</v>
      </c>
      <c r="AF21" s="33">
        <f t="shared" si="20"/>
        <v>-44334</v>
      </c>
      <c r="AG21" s="127" t="s">
        <v>1121</v>
      </c>
      <c r="AH21" s="127"/>
      <c r="AI21" s="182"/>
    </row>
    <row r="22" spans="1:35">
      <c r="A22" s="127" t="s">
        <v>1888</v>
      </c>
      <c r="B22" s="79">
        <v>16</v>
      </c>
      <c r="C22" s="79">
        <v>22</v>
      </c>
      <c r="D22" s="79">
        <v>0</v>
      </c>
      <c r="E22" s="80">
        <v>-68</v>
      </c>
      <c r="F22" s="57">
        <v>41.9</v>
      </c>
      <c r="G22" s="80">
        <v>1325</v>
      </c>
      <c r="H22" s="50" t="s">
        <v>1403</v>
      </c>
      <c r="I22" s="22" t="s">
        <v>602</v>
      </c>
      <c r="J22" s="8">
        <f>IFERROR(VLOOKUP($G22,今日總結!$A:$AN,33,0),"")</f>
        <v>0</v>
      </c>
      <c r="K22" s="5">
        <f>IFERROR(VLOOKUP($G22,今日總結!$A:$AN,34,0),"")</f>
        <v>0</v>
      </c>
      <c r="L22" s="156">
        <f>IFERROR(VLOOKUP($G22,今日總結!$A:$AN,31,0),"")</f>
        <v>7</v>
      </c>
      <c r="M22" s="337">
        <f>IFERROR(VLOOKUP($G22,今日總結!$A:$AN,32,0),"")</f>
        <v>0</v>
      </c>
      <c r="N22" s="240">
        <f t="shared" ref="N22:N25" si="21">IFERROR(L22-M22,"")</f>
        <v>7</v>
      </c>
      <c r="O22" s="359">
        <f>IFERROR(VLOOKUP($G22,融外自投!$A:$J,7,0),"無")</f>
        <v>320</v>
      </c>
      <c r="P22" s="79">
        <f>IFERROR(VLOOKUP($G22,融外自投!$A:$J,9,0),"無")</f>
        <v>24</v>
      </c>
      <c r="Q22" s="342">
        <f>IFERROR(VLOOKUP($G22,融外自投!$A:$J,8,0),"無")</f>
        <v>832</v>
      </c>
      <c r="R22" s="81" t="str">
        <f>IFERROR(VLOOKUP($G22,融外自投!$A:$J,10,0),"無")</f>
        <v>無</v>
      </c>
      <c r="S22" s="324">
        <f>IFERROR(VLOOKUP($G22,'321買'!$A:$E,5,0),"'沒有資料'")</f>
        <v>0</v>
      </c>
      <c r="T22" s="34">
        <v>2</v>
      </c>
      <c r="V22" s="94">
        <v>23.55</v>
      </c>
      <c r="W22" s="36">
        <f>RTD("money.excel",,"1325","Price")</f>
        <v>32.049999999999997</v>
      </c>
      <c r="X22" s="66">
        <f>111-12</f>
        <v>99</v>
      </c>
      <c r="Y22" s="15">
        <f t="shared" si="18"/>
        <v>-66.95</v>
      </c>
      <c r="Z22" s="76">
        <f t="shared" si="19"/>
        <v>-0.67626262626262634</v>
      </c>
      <c r="AA22" s="101" t="s">
        <v>1703</v>
      </c>
      <c r="AC22" s="22" t="s">
        <v>602</v>
      </c>
      <c r="AD22" s="84">
        <v>44334</v>
      </c>
      <c r="AF22" s="33">
        <f t="shared" si="20"/>
        <v>-44334</v>
      </c>
      <c r="AG22" s="127" t="s">
        <v>1121</v>
      </c>
      <c r="AH22" s="127"/>
      <c r="AI22" s="182"/>
    </row>
    <row r="23" spans="1:35">
      <c r="A23" s="127" t="s">
        <v>1888</v>
      </c>
      <c r="B23" s="79">
        <v>16</v>
      </c>
      <c r="C23" s="79">
        <v>22</v>
      </c>
      <c r="D23" s="79">
        <v>0</v>
      </c>
      <c r="E23" s="80">
        <v>-68</v>
      </c>
      <c r="F23" s="57">
        <v>41.9</v>
      </c>
      <c r="G23" s="80">
        <v>1325</v>
      </c>
      <c r="H23" s="50" t="s">
        <v>1403</v>
      </c>
      <c r="I23" s="22" t="s">
        <v>602</v>
      </c>
      <c r="J23" s="8">
        <f>IFERROR(VLOOKUP($G23,今日總結!$A:$AN,33,0),"")</f>
        <v>0</v>
      </c>
      <c r="K23" s="5">
        <f>IFERROR(VLOOKUP($G23,今日總結!$A:$AN,34,0),"")</f>
        <v>0</v>
      </c>
      <c r="L23" s="156">
        <f>IFERROR(VLOOKUP($G23,今日總結!$A:$AN,31,0),"")</f>
        <v>7</v>
      </c>
      <c r="M23" s="337">
        <f>IFERROR(VLOOKUP($G23,今日總結!$A:$AN,32,0),"")</f>
        <v>0</v>
      </c>
      <c r="N23" s="240">
        <f t="shared" si="21"/>
        <v>7</v>
      </c>
      <c r="O23" s="359">
        <f>IFERROR(VLOOKUP($G23,融外自投!$A:$J,7,0),"無")</f>
        <v>320</v>
      </c>
      <c r="P23" s="79">
        <f>IFERROR(VLOOKUP($G23,融外自投!$A:$J,9,0),"無")</f>
        <v>24</v>
      </c>
      <c r="Q23" s="342">
        <f>IFERROR(VLOOKUP($G23,融外自投!$A:$J,8,0),"無")</f>
        <v>832</v>
      </c>
      <c r="R23" s="81" t="str">
        <f>IFERROR(VLOOKUP($G23,融外自投!$A:$J,10,0),"無")</f>
        <v>無</v>
      </c>
      <c r="S23" s="324">
        <f>IFERROR(VLOOKUP($G23,'321買'!$A:$E,5,0),"'沒有資料'")</f>
        <v>0</v>
      </c>
      <c r="T23" s="34">
        <v>2</v>
      </c>
      <c r="V23" s="94">
        <v>23.55</v>
      </c>
      <c r="W23" s="36">
        <f>RTD("money.excel",,"1325","Price")</f>
        <v>32.049999999999997</v>
      </c>
      <c r="X23" s="66">
        <f>109-12</f>
        <v>97</v>
      </c>
      <c r="Y23" s="15">
        <f t="shared" si="18"/>
        <v>-64.95</v>
      </c>
      <c r="Z23" s="76">
        <f t="shared" si="19"/>
        <v>-0.66958762886597945</v>
      </c>
      <c r="AA23" s="101" t="s">
        <v>1703</v>
      </c>
      <c r="AC23" s="22" t="s">
        <v>602</v>
      </c>
      <c r="AD23" s="84">
        <v>44334</v>
      </c>
      <c r="AF23" s="33">
        <f t="shared" si="20"/>
        <v>-44334</v>
      </c>
      <c r="AG23" s="127" t="s">
        <v>1121</v>
      </c>
      <c r="AH23" s="127" t="s">
        <v>1122</v>
      </c>
      <c r="AI23" s="182"/>
    </row>
    <row r="24" spans="1:35">
      <c r="A24" s="127" t="s">
        <v>1888</v>
      </c>
      <c r="B24" s="79">
        <v>16</v>
      </c>
      <c r="C24" s="79">
        <v>22</v>
      </c>
      <c r="D24" s="79">
        <v>0</v>
      </c>
      <c r="E24" s="80">
        <v>-68</v>
      </c>
      <c r="F24" s="57">
        <v>41.9</v>
      </c>
      <c r="G24" s="80">
        <v>1325</v>
      </c>
      <c r="H24" s="30" t="s">
        <v>1461</v>
      </c>
      <c r="I24" s="22" t="s">
        <v>602</v>
      </c>
      <c r="J24" s="8">
        <f>IFERROR(VLOOKUP($G24,今日總結!$A:$AN,33,0),"")</f>
        <v>0</v>
      </c>
      <c r="K24" s="5">
        <f>IFERROR(VLOOKUP($G24,今日總結!$A:$AN,34,0),"")</f>
        <v>0</v>
      </c>
      <c r="L24" s="156">
        <f>IFERROR(VLOOKUP($G24,今日總結!$A:$AN,31,0),"")</f>
        <v>7</v>
      </c>
      <c r="M24" s="337">
        <f>IFERROR(VLOOKUP($G24,今日總結!$A:$AN,32,0),"")</f>
        <v>0</v>
      </c>
      <c r="N24" s="240">
        <f t="shared" si="21"/>
        <v>7</v>
      </c>
      <c r="O24" s="359">
        <f>IFERROR(VLOOKUP($G24,融外自投!$A:$J,7,0),"無")</f>
        <v>320</v>
      </c>
      <c r="P24" s="79">
        <f>IFERROR(VLOOKUP($G24,融外自投!$A:$J,9,0),"無")</f>
        <v>24</v>
      </c>
      <c r="Q24" s="342">
        <f>IFERROR(VLOOKUP($G24,融外自投!$A:$J,8,0),"無")</f>
        <v>832</v>
      </c>
      <c r="R24" s="81" t="str">
        <f>IFERROR(VLOOKUP($G24,融外自投!$A:$J,10,0),"無")</f>
        <v>無</v>
      </c>
      <c r="S24" s="324">
        <f>IFERROR(VLOOKUP($G24,'321買'!$A:$E,5,0),"'沒有資料'")</f>
        <v>0</v>
      </c>
      <c r="T24" s="34">
        <v>2</v>
      </c>
      <c r="V24" s="94">
        <v>23.55</v>
      </c>
      <c r="W24" s="36">
        <f>RTD("money.excel",,"1325","Price")</f>
        <v>32.049999999999997</v>
      </c>
      <c r="X24" s="66">
        <f>104.5-12</f>
        <v>92.5</v>
      </c>
      <c r="Y24" s="15">
        <f t="shared" si="18"/>
        <v>-60.45</v>
      </c>
      <c r="Z24" s="76">
        <f t="shared" si="19"/>
        <v>-0.6535135135135135</v>
      </c>
      <c r="AA24" s="101" t="s">
        <v>1703</v>
      </c>
      <c r="AC24" s="22" t="s">
        <v>602</v>
      </c>
      <c r="AD24" s="84">
        <v>44336</v>
      </c>
      <c r="AF24" s="33">
        <f t="shared" si="20"/>
        <v>-44336</v>
      </c>
      <c r="AG24" s="41" t="s">
        <v>1121</v>
      </c>
      <c r="AH24" s="210"/>
      <c r="AI24" s="182"/>
    </row>
    <row r="25" spans="1:35">
      <c r="A25" s="127" t="s">
        <v>1888</v>
      </c>
      <c r="B25" s="79">
        <v>16</v>
      </c>
      <c r="C25" s="79">
        <v>22</v>
      </c>
      <c r="D25" s="79">
        <v>0</v>
      </c>
      <c r="E25" s="80">
        <v>-68</v>
      </c>
      <c r="F25" s="57">
        <v>41.9</v>
      </c>
      <c r="G25" s="80">
        <v>1325</v>
      </c>
      <c r="H25" s="30" t="s">
        <v>1461</v>
      </c>
      <c r="I25" s="22" t="s">
        <v>602</v>
      </c>
      <c r="J25" s="8">
        <f>IFERROR(VLOOKUP($G25,今日總結!$A:$AN,33,0),"")</f>
        <v>0</v>
      </c>
      <c r="K25" s="5">
        <f>IFERROR(VLOOKUP($G25,今日總結!$A:$AN,34,0),"")</f>
        <v>0</v>
      </c>
      <c r="L25" s="156">
        <f>IFERROR(VLOOKUP($G25,今日總結!$A:$AN,31,0),"")</f>
        <v>7</v>
      </c>
      <c r="M25" s="337">
        <f>IFERROR(VLOOKUP($G25,今日總結!$A:$AN,32,0),"")</f>
        <v>0</v>
      </c>
      <c r="N25" s="240">
        <f t="shared" si="21"/>
        <v>7</v>
      </c>
      <c r="O25" s="359">
        <f>IFERROR(VLOOKUP($G25,融外自投!$A:$J,7,0),"無")</f>
        <v>320</v>
      </c>
      <c r="P25" s="79">
        <f>IFERROR(VLOOKUP($G25,融外自投!$A:$J,9,0),"無")</f>
        <v>24</v>
      </c>
      <c r="Q25" s="342">
        <f>IFERROR(VLOOKUP($G25,融外自投!$A:$J,8,0),"無")</f>
        <v>832</v>
      </c>
      <c r="R25" s="81" t="str">
        <f>IFERROR(VLOOKUP($G25,融外自投!$A:$J,10,0),"無")</f>
        <v>無</v>
      </c>
      <c r="S25" s="324">
        <f>IFERROR(VLOOKUP($G25,'321買'!$A:$E,5,0),"'沒有資料'")</f>
        <v>0</v>
      </c>
      <c r="T25" s="34">
        <v>2</v>
      </c>
      <c r="V25" s="94">
        <v>23.55</v>
      </c>
      <c r="W25" s="36">
        <f>RTD("money.excel",,"1325","Price")</f>
        <v>32.049999999999997</v>
      </c>
      <c r="X25" s="66">
        <f>110-12</f>
        <v>98</v>
      </c>
      <c r="Y25" s="15">
        <f t="shared" si="18"/>
        <v>-65.95</v>
      </c>
      <c r="Z25" s="76">
        <f t="shared" si="19"/>
        <v>-0.67295918367346941</v>
      </c>
      <c r="AA25" s="101" t="s">
        <v>1703</v>
      </c>
      <c r="AC25" s="22" t="s">
        <v>602</v>
      </c>
      <c r="AD25" s="84">
        <v>44334</v>
      </c>
      <c r="AF25" s="33">
        <f t="shared" si="20"/>
        <v>-44334</v>
      </c>
      <c r="AG25" s="41" t="s">
        <v>1121</v>
      </c>
      <c r="AH25" s="41" t="s">
        <v>1501</v>
      </c>
      <c r="AI25" s="182"/>
    </row>
    <row r="26" spans="1:35" s="248" customFormat="1">
      <c r="A26" s="141"/>
      <c r="B26" s="79"/>
      <c r="C26" s="79"/>
      <c r="D26" s="79"/>
      <c r="E26" s="79"/>
      <c r="F26" s="6"/>
      <c r="G26" s="41"/>
      <c r="H26" s="8"/>
      <c r="I26" s="153"/>
      <c r="J26" s="1"/>
      <c r="K26" s="1"/>
      <c r="L26" s="334"/>
      <c r="M26" s="335"/>
      <c r="N26" s="336"/>
      <c r="O26" s="359"/>
      <c r="P26" s="47"/>
      <c r="Q26" s="342"/>
      <c r="R26" s="300"/>
      <c r="S26" s="319"/>
      <c r="T26" s="185"/>
      <c r="U26" s="308"/>
      <c r="V26" s="94"/>
      <c r="W26" s="165">
        <f>SUM(W20:W25)</f>
        <v>192.3</v>
      </c>
      <c r="X26" s="155">
        <f>SUM(X20:X25)</f>
        <v>580.5</v>
      </c>
      <c r="Y26" s="226">
        <f t="shared" si="18"/>
        <v>-388.2</v>
      </c>
      <c r="Z26" s="229">
        <f t="shared" si="19"/>
        <v>-0.66873385012919895</v>
      </c>
      <c r="AA26" s="113"/>
      <c r="AB26" s="376"/>
      <c r="AC26" s="153">
        <f>W26*(0.001425*0.5)+W26*0.003+X26*(0.001425*0.5)</f>
        <v>1.1275200000000001</v>
      </c>
      <c r="AD26" s="6">
        <f>Y26-AC26</f>
        <v>-389.32751999999999</v>
      </c>
      <c r="AE26" s="83"/>
      <c r="AF26" s="33"/>
      <c r="AG26" s="41" t="s">
        <v>3292</v>
      </c>
      <c r="AH26" s="163"/>
      <c r="AI26" s="241"/>
    </row>
    <row r="27" spans="1:35">
      <c r="A27" s="127"/>
      <c r="B27" s="92"/>
      <c r="C27" s="92"/>
      <c r="D27" s="79"/>
      <c r="E27" s="80"/>
      <c r="F27" s="57"/>
      <c r="G27" s="56"/>
      <c r="H27" s="30"/>
      <c r="I27" s="22"/>
      <c r="L27" s="79"/>
      <c r="M27" s="80"/>
      <c r="N27" s="64"/>
      <c r="O27" s="359"/>
      <c r="P27" s="47"/>
      <c r="Q27" s="342"/>
      <c r="T27" s="66"/>
      <c r="V27" s="94"/>
      <c r="W27" s="36"/>
      <c r="X27" s="66"/>
      <c r="Y27" s="15"/>
      <c r="Z27" s="63"/>
      <c r="AA27" s="101"/>
      <c r="AC27" s="22"/>
      <c r="AF27" s="33"/>
      <c r="AG27" s="41"/>
      <c r="AH27" s="210"/>
      <c r="AI27" s="182"/>
    </row>
    <row r="28" spans="1:35" s="248" customFormat="1">
      <c r="A28" s="127" t="s">
        <v>1672</v>
      </c>
      <c r="B28" s="90" t="s">
        <v>1571</v>
      </c>
      <c r="C28" s="90" t="s">
        <v>1572</v>
      </c>
      <c r="D28" s="90" t="s">
        <v>1573</v>
      </c>
      <c r="E28" s="90" t="s">
        <v>1574</v>
      </c>
      <c r="F28" s="8" t="s">
        <v>1059</v>
      </c>
      <c r="G28" s="26" t="s">
        <v>3441</v>
      </c>
      <c r="H28" s="55" t="s">
        <v>320</v>
      </c>
      <c r="I28" s="1" t="s">
        <v>2248</v>
      </c>
      <c r="J28" s="8" t="s">
        <v>6211</v>
      </c>
      <c r="K28" s="5" t="s">
        <v>6212</v>
      </c>
      <c r="L28" s="334" t="s">
        <v>6197</v>
      </c>
      <c r="M28" s="335" t="s">
        <v>6198</v>
      </c>
      <c r="N28" s="336" t="s">
        <v>6199</v>
      </c>
      <c r="O28" s="89" t="s">
        <v>6275</v>
      </c>
      <c r="P28" s="292" t="s">
        <v>6274</v>
      </c>
      <c r="Q28" s="350" t="s">
        <v>6273</v>
      </c>
      <c r="R28" s="26" t="s">
        <v>6276</v>
      </c>
      <c r="S28" s="318" t="s">
        <v>4715</v>
      </c>
      <c r="T28" s="14" t="s">
        <v>66</v>
      </c>
      <c r="U28" s="305" t="s">
        <v>4728</v>
      </c>
      <c r="V28" s="68" t="s">
        <v>3272</v>
      </c>
      <c r="W28" s="28" t="s">
        <v>2</v>
      </c>
      <c r="X28" s="17" t="s">
        <v>1398</v>
      </c>
      <c r="Y28" s="14" t="s">
        <v>2249</v>
      </c>
      <c r="Z28" s="21" t="s">
        <v>1469</v>
      </c>
      <c r="AA28" s="51" t="s">
        <v>6166</v>
      </c>
      <c r="AB28" s="102" t="s">
        <v>6404</v>
      </c>
      <c r="AC28" s="1" t="s">
        <v>2248</v>
      </c>
      <c r="AD28" s="71" t="s">
        <v>1399</v>
      </c>
      <c r="AE28" s="72" t="s">
        <v>1156</v>
      </c>
      <c r="AF28" s="32" t="s">
        <v>1157</v>
      </c>
      <c r="AG28" s="138"/>
      <c r="AH28" s="163"/>
    </row>
    <row r="29" spans="1:35">
      <c r="A29" s="127" t="s">
        <v>2129</v>
      </c>
      <c r="B29" s="79">
        <v>66</v>
      </c>
      <c r="C29" s="79">
        <v>44</v>
      </c>
      <c r="D29" s="80">
        <v>-10</v>
      </c>
      <c r="E29" s="79">
        <v>89</v>
      </c>
      <c r="F29" s="57">
        <v>38.4</v>
      </c>
      <c r="G29" s="79">
        <v>6523</v>
      </c>
      <c r="H29" s="50" t="s">
        <v>1403</v>
      </c>
      <c r="I29" s="16" t="s">
        <v>622</v>
      </c>
      <c r="J29" s="8">
        <f>IFERROR(VLOOKUP($G29,今日總結!$A:$AN,33,0),"")</f>
        <v>0</v>
      </c>
      <c r="K29" s="5">
        <f>IFERROR(VLOOKUP($G29,今日總結!$A:$AN,34,0),"")</f>
        <v>0</v>
      </c>
      <c r="L29" s="156">
        <f>IFERROR(VLOOKUP($G29,今日總結!$A:$AN,31,0),"")</f>
        <v>1</v>
      </c>
      <c r="M29" s="337">
        <f>IFERROR(VLOOKUP($G29,今日總結!$A:$AN,32,0),"")</f>
        <v>4</v>
      </c>
      <c r="N29" s="240">
        <f t="shared" ref="N29:N32" si="22">IFERROR(L29-M29,"")</f>
        <v>-3</v>
      </c>
      <c r="O29" s="359">
        <f>IFERROR(VLOOKUP($G29,融外自投!$A:$J,7,0),"無")</f>
        <v>777</v>
      </c>
      <c r="P29" s="79">
        <f>IFERROR(VLOOKUP($G29,融外自投!$A:$J,9,0),"無")</f>
        <v>717</v>
      </c>
      <c r="Q29" s="342">
        <f>IFERROR(VLOOKUP($G29,融外自投!$A:$J,8,0),"無")</f>
        <v>955</v>
      </c>
      <c r="R29" s="81" t="str">
        <f>IFERROR(VLOOKUP($G29,融外自投!$A:$J,10,0),"無")</f>
        <v>無</v>
      </c>
      <c r="S29" s="324">
        <f>IFERROR(VLOOKUP($G29,'321買'!$A:$E,5,0),"'沒有資料'")</f>
        <v>0</v>
      </c>
      <c r="T29" s="34">
        <v>2</v>
      </c>
      <c r="U29" s="307"/>
      <c r="V29" s="57">
        <v>15.43</v>
      </c>
      <c r="W29" s="36">
        <f>RTD("money.excel",,"6523","Price")</f>
        <v>79.900000000000006</v>
      </c>
      <c r="X29" s="217">
        <f>77-4-4-5.22-2</f>
        <v>61.78</v>
      </c>
      <c r="Y29" s="15">
        <f>W29-X29</f>
        <v>18.120000000000005</v>
      </c>
      <c r="Z29" s="148">
        <f>Y29/X29</f>
        <v>0.29329880220135973</v>
      </c>
      <c r="AA29" s="140" t="s">
        <v>1887</v>
      </c>
      <c r="AC29" s="16" t="s">
        <v>622</v>
      </c>
      <c r="AD29" s="84">
        <v>44329</v>
      </c>
      <c r="AF29" s="33">
        <f>AE29-AD29</f>
        <v>-44329</v>
      </c>
      <c r="AG29" s="127" t="s">
        <v>1121</v>
      </c>
      <c r="AH29" s="212"/>
      <c r="AI29" s="213"/>
    </row>
    <row r="30" spans="1:35">
      <c r="A30" s="127" t="s">
        <v>2129</v>
      </c>
      <c r="B30" s="79">
        <v>66</v>
      </c>
      <c r="C30" s="79">
        <v>44</v>
      </c>
      <c r="D30" s="80">
        <v>-10</v>
      </c>
      <c r="E30" s="79">
        <v>89</v>
      </c>
      <c r="F30" s="57">
        <v>38.4</v>
      </c>
      <c r="G30" s="79">
        <v>6523</v>
      </c>
      <c r="H30" s="50" t="s">
        <v>1403</v>
      </c>
      <c r="I30" s="16" t="s">
        <v>622</v>
      </c>
      <c r="J30" s="8">
        <f>IFERROR(VLOOKUP($G30,今日總結!$A:$AN,33,0),"")</f>
        <v>0</v>
      </c>
      <c r="K30" s="5">
        <f>IFERROR(VLOOKUP($G30,今日總結!$A:$AN,34,0),"")</f>
        <v>0</v>
      </c>
      <c r="L30" s="156">
        <f>IFERROR(VLOOKUP($G30,今日總結!$A:$AN,31,0),"")</f>
        <v>1</v>
      </c>
      <c r="M30" s="337">
        <f>IFERROR(VLOOKUP($G30,今日總結!$A:$AN,32,0),"")</f>
        <v>4</v>
      </c>
      <c r="N30" s="240">
        <f t="shared" si="22"/>
        <v>-3</v>
      </c>
      <c r="O30" s="359">
        <f>IFERROR(VLOOKUP($G30,融外自投!$A:$J,7,0),"無")</f>
        <v>777</v>
      </c>
      <c r="P30" s="79">
        <f>IFERROR(VLOOKUP($G30,融外自投!$A:$J,9,0),"無")</f>
        <v>717</v>
      </c>
      <c r="Q30" s="342">
        <f>IFERROR(VLOOKUP($G30,融外自投!$A:$J,8,0),"無")</f>
        <v>955</v>
      </c>
      <c r="R30" s="81" t="str">
        <f>IFERROR(VLOOKUP($G30,融外自投!$A:$J,10,0),"無")</f>
        <v>無</v>
      </c>
      <c r="S30" s="324">
        <f>IFERROR(VLOOKUP($G30,'321買'!$A:$E,5,0),"'沒有資料'")</f>
        <v>0</v>
      </c>
      <c r="T30" s="34">
        <v>2</v>
      </c>
      <c r="U30" s="307"/>
      <c r="V30" s="57">
        <v>15.43</v>
      </c>
      <c r="W30" s="36">
        <f>RTD("money.excel",,"6523","Price")</f>
        <v>79.900000000000006</v>
      </c>
      <c r="X30" s="217">
        <f>76.5-4-4-5.22-2</f>
        <v>61.28</v>
      </c>
      <c r="Y30" s="15">
        <f>W30-X30</f>
        <v>18.620000000000005</v>
      </c>
      <c r="Z30" s="148">
        <f>Y30/X30</f>
        <v>0.30385117493472591</v>
      </c>
      <c r="AA30" s="140" t="s">
        <v>1887</v>
      </c>
      <c r="AC30" s="16" t="s">
        <v>622</v>
      </c>
      <c r="AD30" s="84">
        <v>44314</v>
      </c>
      <c r="AF30" s="33">
        <f>AE30-AD30</f>
        <v>-44314</v>
      </c>
      <c r="AG30" s="127" t="s">
        <v>1121</v>
      </c>
      <c r="AH30" s="127" t="s">
        <v>1501</v>
      </c>
      <c r="AI30" s="213"/>
    </row>
    <row r="31" spans="1:35">
      <c r="A31" s="127" t="s">
        <v>2129</v>
      </c>
      <c r="B31" s="79">
        <v>66</v>
      </c>
      <c r="C31" s="79">
        <v>44</v>
      </c>
      <c r="D31" s="80">
        <v>-10</v>
      </c>
      <c r="E31" s="79">
        <v>89</v>
      </c>
      <c r="F31" s="57">
        <v>38.4</v>
      </c>
      <c r="G31" s="79">
        <v>6523</v>
      </c>
      <c r="H31" s="30" t="s">
        <v>1461</v>
      </c>
      <c r="I31" s="16" t="s">
        <v>622</v>
      </c>
      <c r="J31" s="8">
        <f>IFERROR(VLOOKUP($G31,今日總結!$A:$AN,33,0),"")</f>
        <v>0</v>
      </c>
      <c r="K31" s="5">
        <f>IFERROR(VLOOKUP($G31,今日總結!$A:$AN,34,0),"")</f>
        <v>0</v>
      </c>
      <c r="L31" s="156">
        <f>IFERROR(VLOOKUP($G31,今日總結!$A:$AN,31,0),"")</f>
        <v>1</v>
      </c>
      <c r="M31" s="337">
        <f>IFERROR(VLOOKUP($G31,今日總結!$A:$AN,32,0),"")</f>
        <v>4</v>
      </c>
      <c r="N31" s="240">
        <f t="shared" si="22"/>
        <v>-3</v>
      </c>
      <c r="O31" s="359">
        <f>IFERROR(VLOOKUP($G31,融外自投!$A:$J,7,0),"無")</f>
        <v>777</v>
      </c>
      <c r="P31" s="79">
        <f>IFERROR(VLOOKUP($G31,融外自投!$A:$J,9,0),"無")</f>
        <v>717</v>
      </c>
      <c r="Q31" s="342">
        <f>IFERROR(VLOOKUP($G31,融外自投!$A:$J,8,0),"無")</f>
        <v>955</v>
      </c>
      <c r="R31" s="81" t="str">
        <f>IFERROR(VLOOKUP($G31,融外自投!$A:$J,10,0),"無")</f>
        <v>無</v>
      </c>
      <c r="S31" s="324">
        <f>IFERROR(VLOOKUP($G31,'321買'!$A:$E,5,0),"'沒有資料'")</f>
        <v>0</v>
      </c>
      <c r="T31" s="34">
        <v>2</v>
      </c>
      <c r="U31" s="307"/>
      <c r="V31" s="57">
        <v>15.43</v>
      </c>
      <c r="W31" s="36">
        <f>RTD("money.excel",,"6523","Price")</f>
        <v>79.900000000000006</v>
      </c>
      <c r="X31" s="217">
        <f>77-4-4-5.22-2</f>
        <v>61.78</v>
      </c>
      <c r="Y31" s="15">
        <f>W31-X31</f>
        <v>18.120000000000005</v>
      </c>
      <c r="Z31" s="148">
        <f>Y31/X31</f>
        <v>0.29329880220135973</v>
      </c>
      <c r="AA31" s="140" t="s">
        <v>1887</v>
      </c>
      <c r="AC31" s="16" t="s">
        <v>622</v>
      </c>
      <c r="AD31" s="84">
        <v>44329</v>
      </c>
      <c r="AF31" s="33">
        <f>AE31-AD31</f>
        <v>-44329</v>
      </c>
      <c r="AG31" s="41" t="s">
        <v>1121</v>
      </c>
      <c r="AH31" s="212"/>
      <c r="AI31" s="213"/>
    </row>
    <row r="32" spans="1:35">
      <c r="A32" s="127" t="s">
        <v>2129</v>
      </c>
      <c r="B32" s="79">
        <v>66</v>
      </c>
      <c r="C32" s="79">
        <v>44</v>
      </c>
      <c r="D32" s="80">
        <v>-10</v>
      </c>
      <c r="E32" s="79">
        <v>89</v>
      </c>
      <c r="F32" s="57">
        <v>38.4</v>
      </c>
      <c r="G32" s="79">
        <v>6523</v>
      </c>
      <c r="H32" s="30" t="s">
        <v>1461</v>
      </c>
      <c r="I32" s="16" t="s">
        <v>622</v>
      </c>
      <c r="J32" s="8">
        <f>IFERROR(VLOOKUP($G32,今日總結!$A:$AN,33,0),"")</f>
        <v>0</v>
      </c>
      <c r="K32" s="5">
        <f>IFERROR(VLOOKUP($G32,今日總結!$A:$AN,34,0),"")</f>
        <v>0</v>
      </c>
      <c r="L32" s="156">
        <f>IFERROR(VLOOKUP($G32,今日總結!$A:$AN,31,0),"")</f>
        <v>1</v>
      </c>
      <c r="M32" s="337">
        <f>IFERROR(VLOOKUP($G32,今日總結!$A:$AN,32,0),"")</f>
        <v>4</v>
      </c>
      <c r="N32" s="240">
        <f t="shared" si="22"/>
        <v>-3</v>
      </c>
      <c r="O32" s="359">
        <f>IFERROR(VLOOKUP($G32,融外自投!$A:$J,7,0),"無")</f>
        <v>777</v>
      </c>
      <c r="P32" s="79">
        <f>IFERROR(VLOOKUP($G32,融外自投!$A:$J,9,0),"無")</f>
        <v>717</v>
      </c>
      <c r="Q32" s="342">
        <f>IFERROR(VLOOKUP($G32,融外自投!$A:$J,8,0),"無")</f>
        <v>955</v>
      </c>
      <c r="R32" s="81" t="str">
        <f>IFERROR(VLOOKUP($G32,融外自投!$A:$J,10,0),"無")</f>
        <v>無</v>
      </c>
      <c r="S32" s="324">
        <f>IFERROR(VLOOKUP($G32,'321買'!$A:$E,5,0),"'沒有資料'")</f>
        <v>0</v>
      </c>
      <c r="T32" s="34">
        <v>2</v>
      </c>
      <c r="U32" s="309"/>
      <c r="V32" s="57">
        <v>15.43</v>
      </c>
      <c r="W32" s="36">
        <f>RTD("money.excel",,"6523","Price")</f>
        <v>79.900000000000006</v>
      </c>
      <c r="X32" s="217">
        <f>76.5-4-4-5.22-2</f>
        <v>61.28</v>
      </c>
      <c r="Y32" s="15">
        <f>W32-X32</f>
        <v>18.620000000000005</v>
      </c>
      <c r="Z32" s="148">
        <f>Y32/X32</f>
        <v>0.30385117493472591</v>
      </c>
      <c r="AA32" s="140" t="s">
        <v>1887</v>
      </c>
      <c r="AC32" s="16" t="s">
        <v>622</v>
      </c>
      <c r="AD32" s="84">
        <v>44314</v>
      </c>
      <c r="AF32" s="33">
        <f>AE32-AD32</f>
        <v>-44314</v>
      </c>
      <c r="AG32" s="41" t="s">
        <v>1121</v>
      </c>
      <c r="AH32" s="41" t="s">
        <v>1501</v>
      </c>
      <c r="AI32" s="213"/>
    </row>
    <row r="33" spans="1:35" s="248" customFormat="1">
      <c r="A33" s="141"/>
      <c r="B33" s="79"/>
      <c r="C33" s="79"/>
      <c r="D33" s="79"/>
      <c r="E33" s="79"/>
      <c r="F33" s="6"/>
      <c r="G33" s="41"/>
      <c r="H33" s="8"/>
      <c r="I33" s="153"/>
      <c r="J33" s="1"/>
      <c r="K33" s="1"/>
      <c r="L33" s="79"/>
      <c r="M33" s="80"/>
      <c r="N33" s="64"/>
      <c r="O33" s="359"/>
      <c r="P33" s="79"/>
      <c r="Q33" s="342"/>
      <c r="R33" s="81"/>
      <c r="S33" s="324"/>
      <c r="T33" s="185"/>
      <c r="U33" s="307"/>
      <c r="V33" s="94"/>
      <c r="W33" s="165">
        <f>SUM(W29:W32)</f>
        <v>319.60000000000002</v>
      </c>
      <c r="X33" s="155">
        <f>SUM(X29:X32)</f>
        <v>246.12</v>
      </c>
      <c r="Y33" s="162">
        <f>W33-X33</f>
        <v>73.480000000000018</v>
      </c>
      <c r="Z33" s="276">
        <f>Y33/X33</f>
        <v>0.29855355111327814</v>
      </c>
      <c r="AA33" s="113"/>
      <c r="AB33" s="376"/>
      <c r="AC33" s="153">
        <f>W33*(0.001425*0.5)+W33*0.003+X33*(0.001425*0.5)</f>
        <v>1.3618755000000002</v>
      </c>
      <c r="AD33" s="6">
        <f>Y33-AC33</f>
        <v>72.118124500000022</v>
      </c>
      <c r="AE33" s="83"/>
      <c r="AF33" s="33"/>
      <c r="AG33" s="41" t="s">
        <v>1122</v>
      </c>
      <c r="AH33" s="163"/>
    </row>
    <row r="34" spans="1:35" s="248" customFormat="1">
      <c r="A34" s="141"/>
      <c r="B34" s="79"/>
      <c r="C34" s="79"/>
      <c r="D34" s="79"/>
      <c r="E34" s="79"/>
      <c r="F34" s="6"/>
      <c r="G34" s="41"/>
      <c r="H34" s="8"/>
      <c r="I34" s="153"/>
      <c r="J34" s="1"/>
      <c r="K34" s="1"/>
      <c r="L34" s="79"/>
      <c r="M34" s="80"/>
      <c r="N34" s="64"/>
      <c r="O34" s="359"/>
      <c r="P34" s="79"/>
      <c r="Q34" s="342"/>
      <c r="R34" s="81"/>
      <c r="S34" s="324"/>
      <c r="T34" s="185"/>
      <c r="U34" s="307"/>
      <c r="V34" s="94"/>
      <c r="W34" s="165"/>
      <c r="X34" s="155"/>
      <c r="Y34" s="162"/>
      <c r="Z34" s="164"/>
      <c r="AA34" s="113"/>
      <c r="AB34" s="376"/>
      <c r="AC34" s="153"/>
      <c r="AD34" s="6"/>
      <c r="AE34" s="83"/>
      <c r="AF34" s="33"/>
      <c r="AG34" s="41"/>
      <c r="AH34" s="163"/>
    </row>
    <row r="35" spans="1:35" s="248" customFormat="1">
      <c r="A35" s="127" t="s">
        <v>2931</v>
      </c>
      <c r="B35" s="90" t="s">
        <v>2932</v>
      </c>
      <c r="C35" s="90" t="s">
        <v>2933</v>
      </c>
      <c r="D35" s="90" t="s">
        <v>3191</v>
      </c>
      <c r="E35" s="90" t="s">
        <v>2934</v>
      </c>
      <c r="F35" s="8" t="s">
        <v>2935</v>
      </c>
      <c r="G35" s="26" t="s">
        <v>3441</v>
      </c>
      <c r="H35" s="55" t="s">
        <v>320</v>
      </c>
      <c r="I35" s="1" t="s">
        <v>3192</v>
      </c>
      <c r="J35" s="8" t="s">
        <v>6211</v>
      </c>
      <c r="K35" s="5" t="s">
        <v>6212</v>
      </c>
      <c r="L35" s="334" t="s">
        <v>6197</v>
      </c>
      <c r="M35" s="335" t="s">
        <v>6198</v>
      </c>
      <c r="N35" s="336" t="s">
        <v>6199</v>
      </c>
      <c r="O35" s="89" t="s">
        <v>6275</v>
      </c>
      <c r="P35" s="292" t="s">
        <v>6274</v>
      </c>
      <c r="Q35" s="350" t="s">
        <v>6273</v>
      </c>
      <c r="R35" s="26" t="s">
        <v>6276</v>
      </c>
      <c r="S35" s="318" t="s">
        <v>4715</v>
      </c>
      <c r="T35" s="14" t="s">
        <v>66</v>
      </c>
      <c r="U35" s="305" t="s">
        <v>4728</v>
      </c>
      <c r="V35" s="68" t="s">
        <v>3272</v>
      </c>
      <c r="W35" s="28" t="s">
        <v>2</v>
      </c>
      <c r="X35" s="17" t="s">
        <v>1398</v>
      </c>
      <c r="Y35" s="14" t="s">
        <v>2894</v>
      </c>
      <c r="Z35" s="21" t="s">
        <v>2895</v>
      </c>
      <c r="AA35" s="51" t="s">
        <v>6166</v>
      </c>
      <c r="AB35" s="102" t="s">
        <v>6404</v>
      </c>
      <c r="AC35" s="1" t="s">
        <v>3192</v>
      </c>
      <c r="AD35" s="71" t="s">
        <v>1399</v>
      </c>
      <c r="AE35" s="72" t="s">
        <v>2900</v>
      </c>
      <c r="AF35" s="32" t="s">
        <v>1157</v>
      </c>
      <c r="AG35" s="138"/>
      <c r="AH35" s="163"/>
    </row>
    <row r="36" spans="1:35" s="248" customFormat="1">
      <c r="A36" s="127" t="s">
        <v>1669</v>
      </c>
      <c r="B36" s="79">
        <v>267</v>
      </c>
      <c r="C36" s="79">
        <v>304</v>
      </c>
      <c r="D36" s="79">
        <v>7</v>
      </c>
      <c r="E36" s="79">
        <v>15</v>
      </c>
      <c r="F36" s="57">
        <v>33.020000000000003</v>
      </c>
      <c r="G36" s="79">
        <v>3374</v>
      </c>
      <c r="H36" s="30" t="s">
        <v>1461</v>
      </c>
      <c r="I36" s="16" t="s">
        <v>167</v>
      </c>
      <c r="J36" s="8">
        <f>IFERROR(VLOOKUP($G36,今日總結!$A:$AN,33,0),"")</f>
        <v>0</v>
      </c>
      <c r="K36" s="5">
        <f>IFERROR(VLOOKUP($G36,今日總結!$A:$AN,34,0),"")</f>
        <v>0</v>
      </c>
      <c r="L36" s="156">
        <f>IFERROR(VLOOKUP($G36,今日總結!$A:$AN,31,0),"")</f>
        <v>3</v>
      </c>
      <c r="M36" s="337">
        <f>IFERROR(VLOOKUP($G36,今日總結!$A:$AN,32,0),"")</f>
        <v>0</v>
      </c>
      <c r="N36" s="240">
        <f t="shared" ref="N36:N39" si="23">IFERROR(L36-M36,"")</f>
        <v>3</v>
      </c>
      <c r="O36" s="359">
        <f>IFERROR(VLOOKUP($G36,融外自投!$A:$J,7,0),"無")</f>
        <v>303</v>
      </c>
      <c r="P36" s="79">
        <f>IFERROR(VLOOKUP($G36,融外自投!$A:$J,9,0),"無")</f>
        <v>204</v>
      </c>
      <c r="Q36" s="342">
        <f>IFERROR(VLOOKUP($G36,融外自投!$A:$J,8,0),"無")</f>
        <v>689</v>
      </c>
      <c r="R36" s="81">
        <f>IFERROR(VLOOKUP($G36,融外自投!$A:$J,10,0),"無")</f>
        <v>71</v>
      </c>
      <c r="S36" s="324">
        <f>IFERROR(VLOOKUP($G36,'321買'!$A:$E,5,0),"'沒有資料'")</f>
        <v>0</v>
      </c>
      <c r="T36" s="45">
        <v>3</v>
      </c>
      <c r="U36" s="307"/>
      <c r="V36" s="57">
        <v>7.95</v>
      </c>
      <c r="W36" s="161">
        <f>RTD("money.excel",,"3374","Price")</f>
        <v>135</v>
      </c>
      <c r="X36" s="155">
        <f>162.5-2.5</f>
        <v>160</v>
      </c>
      <c r="Y36" s="105">
        <f t="shared" ref="Y36:Y40" si="24">W36-X36</f>
        <v>-25</v>
      </c>
      <c r="Z36" s="164">
        <f t="shared" ref="Z36:Z40" si="25">Y36/X36</f>
        <v>-0.15625</v>
      </c>
      <c r="AA36" s="168" t="s">
        <v>3193</v>
      </c>
      <c r="AB36" s="376"/>
      <c r="AC36" s="166" t="s">
        <v>167</v>
      </c>
      <c r="AD36" s="84">
        <v>44299</v>
      </c>
      <c r="AE36" s="83"/>
      <c r="AF36" s="33">
        <f>AE36-AD36</f>
        <v>-44299</v>
      </c>
      <c r="AG36" s="41" t="s">
        <v>1121</v>
      </c>
    </row>
    <row r="37" spans="1:35" s="248" customFormat="1">
      <c r="A37" s="127" t="s">
        <v>1669</v>
      </c>
      <c r="B37" s="79">
        <v>267</v>
      </c>
      <c r="C37" s="79">
        <v>304</v>
      </c>
      <c r="D37" s="79">
        <v>7</v>
      </c>
      <c r="E37" s="79">
        <v>15</v>
      </c>
      <c r="F37" s="57">
        <v>33.020000000000003</v>
      </c>
      <c r="G37" s="79">
        <v>3374</v>
      </c>
      <c r="H37" s="30" t="s">
        <v>1461</v>
      </c>
      <c r="I37" s="16" t="s">
        <v>167</v>
      </c>
      <c r="J37" s="8">
        <f>IFERROR(VLOOKUP($G37,今日總結!$A:$AN,33,0),"")</f>
        <v>0</v>
      </c>
      <c r="K37" s="5">
        <f>IFERROR(VLOOKUP($G37,今日總結!$A:$AN,34,0),"")</f>
        <v>0</v>
      </c>
      <c r="L37" s="156">
        <f>IFERROR(VLOOKUP($G37,今日總結!$A:$AN,31,0),"")</f>
        <v>3</v>
      </c>
      <c r="M37" s="337">
        <f>IFERROR(VLOOKUP($G37,今日總結!$A:$AN,32,0),"")</f>
        <v>0</v>
      </c>
      <c r="N37" s="240">
        <f t="shared" si="23"/>
        <v>3</v>
      </c>
      <c r="O37" s="359">
        <f>IFERROR(VLOOKUP($G37,融外自投!$A:$J,7,0),"無")</f>
        <v>303</v>
      </c>
      <c r="P37" s="79">
        <f>IFERROR(VLOOKUP($G37,融外自投!$A:$J,9,0),"無")</f>
        <v>204</v>
      </c>
      <c r="Q37" s="342">
        <f>IFERROR(VLOOKUP($G37,融外自投!$A:$J,8,0),"無")</f>
        <v>689</v>
      </c>
      <c r="R37" s="81">
        <f>IFERROR(VLOOKUP($G37,融外自投!$A:$J,10,0),"無")</f>
        <v>71</v>
      </c>
      <c r="S37" s="324">
        <f>IFERROR(VLOOKUP($G37,'321買'!$A:$E,5,0),"'沒有資料'")</f>
        <v>0</v>
      </c>
      <c r="T37" s="45">
        <v>3</v>
      </c>
      <c r="U37" s="307"/>
      <c r="V37" s="57">
        <v>7.95</v>
      </c>
      <c r="W37" s="161">
        <f>RTD("money.excel",,"3374","Price")</f>
        <v>135</v>
      </c>
      <c r="X37" s="155">
        <f>167.5-2.5</f>
        <v>165</v>
      </c>
      <c r="Y37" s="105">
        <f t="shared" si="24"/>
        <v>-30</v>
      </c>
      <c r="Z37" s="164">
        <f t="shared" si="25"/>
        <v>-0.18181818181818182</v>
      </c>
      <c r="AA37" s="168" t="s">
        <v>3193</v>
      </c>
      <c r="AB37" s="376"/>
      <c r="AC37" s="166" t="s">
        <v>167</v>
      </c>
      <c r="AD37" s="84">
        <v>44299</v>
      </c>
      <c r="AE37" s="83"/>
      <c r="AF37" s="33">
        <f>AE37-AD37</f>
        <v>-44299</v>
      </c>
      <c r="AG37" s="41" t="s">
        <v>1121</v>
      </c>
    </row>
    <row r="38" spans="1:35" s="248" customFormat="1">
      <c r="A38" s="127" t="s">
        <v>1669</v>
      </c>
      <c r="B38" s="79">
        <v>267</v>
      </c>
      <c r="C38" s="79">
        <v>304</v>
      </c>
      <c r="D38" s="79">
        <v>7</v>
      </c>
      <c r="E38" s="79">
        <v>15</v>
      </c>
      <c r="F38" s="57">
        <v>33.020000000000003</v>
      </c>
      <c r="G38" s="79">
        <v>3374</v>
      </c>
      <c r="H38" s="30" t="s">
        <v>1461</v>
      </c>
      <c r="I38" s="16" t="s">
        <v>167</v>
      </c>
      <c r="J38" s="8">
        <f>IFERROR(VLOOKUP($G38,今日總結!$A:$AN,33,0),"")</f>
        <v>0</v>
      </c>
      <c r="K38" s="5">
        <f>IFERROR(VLOOKUP($G38,今日總結!$A:$AN,34,0),"")</f>
        <v>0</v>
      </c>
      <c r="L38" s="156">
        <f>IFERROR(VLOOKUP($G38,今日總結!$A:$AN,31,0),"")</f>
        <v>3</v>
      </c>
      <c r="M38" s="337">
        <f>IFERROR(VLOOKUP($G38,今日總結!$A:$AN,32,0),"")</f>
        <v>0</v>
      </c>
      <c r="N38" s="240">
        <f t="shared" si="23"/>
        <v>3</v>
      </c>
      <c r="O38" s="359">
        <f>IFERROR(VLOOKUP($G38,融外自投!$A:$J,7,0),"無")</f>
        <v>303</v>
      </c>
      <c r="P38" s="79">
        <f>IFERROR(VLOOKUP($G38,融外自投!$A:$J,9,0),"無")</f>
        <v>204</v>
      </c>
      <c r="Q38" s="342">
        <f>IFERROR(VLOOKUP($G38,融外自投!$A:$J,8,0),"無")</f>
        <v>689</v>
      </c>
      <c r="R38" s="81">
        <f>IFERROR(VLOOKUP($G38,融外自投!$A:$J,10,0),"無")</f>
        <v>71</v>
      </c>
      <c r="S38" s="324">
        <f>IFERROR(VLOOKUP($G38,'321買'!$A:$E,5,0),"'沒有資料'")</f>
        <v>0</v>
      </c>
      <c r="T38" s="45">
        <v>3</v>
      </c>
      <c r="U38" s="307"/>
      <c r="V38" s="57">
        <v>7.95</v>
      </c>
      <c r="W38" s="161">
        <f>RTD("money.excel",,"3374","Price")</f>
        <v>135</v>
      </c>
      <c r="X38" s="155">
        <f>175.5-2.5</f>
        <v>173</v>
      </c>
      <c r="Y38" s="105">
        <f t="shared" si="24"/>
        <v>-38</v>
      </c>
      <c r="Z38" s="164">
        <f t="shared" si="25"/>
        <v>-0.21965317919075145</v>
      </c>
      <c r="AA38" s="168" t="s">
        <v>3193</v>
      </c>
      <c r="AB38" s="376"/>
      <c r="AC38" s="166" t="s">
        <v>167</v>
      </c>
      <c r="AD38" s="84">
        <v>44295</v>
      </c>
      <c r="AE38" s="83"/>
      <c r="AF38" s="33">
        <f>AE38-AD38</f>
        <v>-44295</v>
      </c>
      <c r="AG38" s="41" t="s">
        <v>1121</v>
      </c>
    </row>
    <row r="39" spans="1:35" s="248" customFormat="1">
      <c r="A39" s="127" t="s">
        <v>1669</v>
      </c>
      <c r="B39" s="79">
        <v>267</v>
      </c>
      <c r="C39" s="79">
        <v>304</v>
      </c>
      <c r="D39" s="79">
        <v>7</v>
      </c>
      <c r="E39" s="79">
        <v>15</v>
      </c>
      <c r="F39" s="57">
        <v>33.020000000000003</v>
      </c>
      <c r="G39" s="79">
        <v>3374</v>
      </c>
      <c r="H39" s="30" t="s">
        <v>3153</v>
      </c>
      <c r="I39" s="16" t="s">
        <v>167</v>
      </c>
      <c r="J39" s="8">
        <f>IFERROR(VLOOKUP($G39,今日總結!$A:$AN,33,0),"")</f>
        <v>0</v>
      </c>
      <c r="K39" s="5">
        <f>IFERROR(VLOOKUP($G39,今日總結!$A:$AN,34,0),"")</f>
        <v>0</v>
      </c>
      <c r="L39" s="156">
        <f>IFERROR(VLOOKUP($G39,今日總結!$A:$AN,31,0),"")</f>
        <v>3</v>
      </c>
      <c r="M39" s="337">
        <f>IFERROR(VLOOKUP($G39,今日總結!$A:$AN,32,0),"")</f>
        <v>0</v>
      </c>
      <c r="N39" s="240">
        <f t="shared" si="23"/>
        <v>3</v>
      </c>
      <c r="O39" s="359">
        <f>IFERROR(VLOOKUP($G39,融外自投!$A:$J,7,0),"無")</f>
        <v>303</v>
      </c>
      <c r="P39" s="79">
        <f>IFERROR(VLOOKUP($G39,融外自投!$A:$J,9,0),"無")</f>
        <v>204</v>
      </c>
      <c r="Q39" s="342">
        <f>IFERROR(VLOOKUP($G39,融外自投!$A:$J,8,0),"無")</f>
        <v>689</v>
      </c>
      <c r="R39" s="81">
        <f>IFERROR(VLOOKUP($G39,融外自投!$A:$J,10,0),"無")</f>
        <v>71</v>
      </c>
      <c r="S39" s="324">
        <f>IFERROR(VLOOKUP($G39,'321買'!$A:$E,5,0),"'沒有資料'")</f>
        <v>0</v>
      </c>
      <c r="T39" s="45">
        <v>3</v>
      </c>
      <c r="U39" s="307"/>
      <c r="V39" s="57">
        <v>7.95</v>
      </c>
      <c r="W39" s="161">
        <f>RTD("money.excel",,"3374","Price")</f>
        <v>135</v>
      </c>
      <c r="X39" s="155">
        <f>180.5-2.5</f>
        <v>178</v>
      </c>
      <c r="Y39" s="105">
        <f t="shared" si="24"/>
        <v>-43</v>
      </c>
      <c r="Z39" s="164">
        <f t="shared" si="25"/>
        <v>-0.24157303370786518</v>
      </c>
      <c r="AA39" s="168" t="s">
        <v>3193</v>
      </c>
      <c r="AB39" s="376"/>
      <c r="AC39" s="166" t="s">
        <v>167</v>
      </c>
      <c r="AD39" s="84">
        <v>44292</v>
      </c>
      <c r="AE39" s="83"/>
      <c r="AF39" s="33">
        <f>AE39-AD39</f>
        <v>-44292</v>
      </c>
      <c r="AG39" s="41" t="s">
        <v>2920</v>
      </c>
    </row>
    <row r="40" spans="1:35" s="248" customFormat="1">
      <c r="A40" s="141"/>
      <c r="B40" s="79"/>
      <c r="C40" s="79"/>
      <c r="D40" s="79"/>
      <c r="E40" s="79"/>
      <c r="F40" s="6"/>
      <c r="G40" s="41"/>
      <c r="H40" s="8"/>
      <c r="I40" s="153"/>
      <c r="J40" s="1"/>
      <c r="K40" s="1"/>
      <c r="L40" s="123"/>
      <c r="M40" s="234"/>
      <c r="N40" s="338"/>
      <c r="O40" s="359"/>
      <c r="P40" s="47"/>
      <c r="Q40" s="342"/>
      <c r="R40" s="300"/>
      <c r="S40" s="319"/>
      <c r="T40" s="185"/>
      <c r="U40" s="307"/>
      <c r="V40" s="94"/>
      <c r="W40" s="165">
        <f>SUM(W36:W39)</f>
        <v>540</v>
      </c>
      <c r="X40" s="155">
        <f>SUM(X36:X39)</f>
        <v>676</v>
      </c>
      <c r="Y40" s="226">
        <f t="shared" si="24"/>
        <v>-136</v>
      </c>
      <c r="Z40" s="164">
        <f t="shared" si="25"/>
        <v>-0.20118343195266272</v>
      </c>
      <c r="AA40" s="113"/>
      <c r="AB40" s="376"/>
      <c r="AC40" s="153">
        <f>W40*(0.001425*0.5)+W40*0.003+X40*(0.001425*0.5)</f>
        <v>2.4864000000000002</v>
      </c>
      <c r="AD40" s="6">
        <f>Y40-AC40</f>
        <v>-138.4864</v>
      </c>
      <c r="AE40" s="83"/>
      <c r="AF40" s="33"/>
      <c r="AG40" s="41" t="s">
        <v>3143</v>
      </c>
      <c r="AH40" s="163"/>
    </row>
    <row r="41" spans="1:35" s="248" customFormat="1">
      <c r="A41" s="141"/>
      <c r="B41" s="79"/>
      <c r="C41" s="79"/>
      <c r="D41" s="79"/>
      <c r="E41" s="79"/>
      <c r="F41" s="6"/>
      <c r="G41" s="41"/>
      <c r="H41" s="8"/>
      <c r="I41" s="153"/>
      <c r="J41" s="1"/>
      <c r="K41" s="1"/>
      <c r="L41" s="79"/>
      <c r="M41" s="80"/>
      <c r="N41" s="64"/>
      <c r="O41" s="359"/>
      <c r="P41" s="47"/>
      <c r="Q41" s="342"/>
      <c r="R41" s="300"/>
      <c r="S41" s="319"/>
      <c r="T41" s="185"/>
      <c r="U41" s="307"/>
      <c r="V41" s="94"/>
      <c r="W41" s="165"/>
      <c r="X41" s="155"/>
      <c r="Y41" s="162"/>
      <c r="Z41" s="164"/>
      <c r="AA41" s="113"/>
      <c r="AB41" s="376"/>
      <c r="AC41" s="153"/>
      <c r="AD41" s="6"/>
      <c r="AE41" s="83"/>
      <c r="AF41" s="33"/>
      <c r="AG41" s="41"/>
      <c r="AH41" s="163"/>
    </row>
    <row r="42" spans="1:35" s="248" customFormat="1">
      <c r="A42" s="127" t="s">
        <v>1672</v>
      </c>
      <c r="B42" s="90" t="s">
        <v>1571</v>
      </c>
      <c r="C42" s="90" t="s">
        <v>1572</v>
      </c>
      <c r="D42" s="90" t="s">
        <v>1573</v>
      </c>
      <c r="E42" s="90" t="s">
        <v>1574</v>
      </c>
      <c r="F42" s="8" t="s">
        <v>1059</v>
      </c>
      <c r="G42" s="26" t="s">
        <v>3441</v>
      </c>
      <c r="H42" s="55" t="s">
        <v>320</v>
      </c>
      <c r="I42" s="1" t="s">
        <v>2248</v>
      </c>
      <c r="J42" s="8" t="s">
        <v>6211</v>
      </c>
      <c r="K42" s="5" t="s">
        <v>6212</v>
      </c>
      <c r="L42" s="334" t="s">
        <v>6197</v>
      </c>
      <c r="M42" s="335" t="s">
        <v>6198</v>
      </c>
      <c r="N42" s="336" t="s">
        <v>6199</v>
      </c>
      <c r="O42" s="89" t="s">
        <v>6275</v>
      </c>
      <c r="P42" s="292" t="s">
        <v>6274</v>
      </c>
      <c r="Q42" s="350" t="s">
        <v>6273</v>
      </c>
      <c r="R42" s="26" t="s">
        <v>6276</v>
      </c>
      <c r="S42" s="318" t="s">
        <v>4715</v>
      </c>
      <c r="T42" s="14" t="s">
        <v>66</v>
      </c>
      <c r="U42" s="305" t="s">
        <v>4728</v>
      </c>
      <c r="V42" s="68" t="s">
        <v>3272</v>
      </c>
      <c r="W42" s="28" t="s">
        <v>2</v>
      </c>
      <c r="X42" s="17" t="s">
        <v>1398</v>
      </c>
      <c r="Y42" s="14" t="s">
        <v>2249</v>
      </c>
      <c r="Z42" s="21" t="s">
        <v>1469</v>
      </c>
      <c r="AA42" s="51" t="s">
        <v>6166</v>
      </c>
      <c r="AB42" s="102" t="s">
        <v>6404</v>
      </c>
      <c r="AC42" s="1" t="s">
        <v>2248</v>
      </c>
      <c r="AD42" s="71" t="s">
        <v>1399</v>
      </c>
      <c r="AE42" s="72" t="s">
        <v>1156</v>
      </c>
      <c r="AF42" s="32" t="s">
        <v>1157</v>
      </c>
      <c r="AG42" s="46" t="s">
        <v>1565</v>
      </c>
      <c r="AH42" s="163"/>
    </row>
    <row r="43" spans="1:35">
      <c r="A43" s="142" t="s">
        <v>2102</v>
      </c>
      <c r="B43" s="79">
        <v>10</v>
      </c>
      <c r="C43" s="79">
        <v>9</v>
      </c>
      <c r="D43" s="79">
        <v>4</v>
      </c>
      <c r="E43" s="79">
        <v>22</v>
      </c>
      <c r="F43" s="6">
        <v>4.8899999999999997</v>
      </c>
      <c r="G43" s="80">
        <v>4958</v>
      </c>
      <c r="H43" s="30" t="s">
        <v>1461</v>
      </c>
      <c r="I43" s="22" t="s">
        <v>27</v>
      </c>
      <c r="J43" s="8">
        <f>IFERROR(VLOOKUP($G43,今日總結!$A:$AN,33,0),"")</f>
        <v>4</v>
      </c>
      <c r="K43" s="5">
        <f>IFERROR(VLOOKUP($G43,今日總結!$A:$AN,34,0),"")</f>
        <v>0</v>
      </c>
      <c r="L43" s="156">
        <f>IFERROR(VLOOKUP($G43,今日總結!$A:$AN,31,0),"")</f>
        <v>0</v>
      </c>
      <c r="M43" s="337">
        <f>IFERROR(VLOOKUP($G43,今日總結!$A:$AN,32,0),"")</f>
        <v>0</v>
      </c>
      <c r="N43" s="240">
        <f t="shared" ref="N43:N45" si="26">IFERROR(L43-M43,"")</f>
        <v>0</v>
      </c>
      <c r="O43" s="359">
        <f>IFERROR(VLOOKUP($G43,融外自投!$A:$J,7,0),"無")</f>
        <v>938</v>
      </c>
      <c r="P43" s="79">
        <f>IFERROR(VLOOKUP($G43,融外自投!$A:$J,9,0),"無")</f>
        <v>467</v>
      </c>
      <c r="Q43" s="342">
        <f>IFERROR(VLOOKUP($G43,融外自投!$A:$J,8,0),"無")</f>
        <v>42</v>
      </c>
      <c r="R43" s="81">
        <f>IFERROR(VLOOKUP($G43,融外自投!$A:$J,10,0),"無")</f>
        <v>149</v>
      </c>
      <c r="S43" s="324">
        <f>IFERROR(VLOOKUP($G43,'321買'!$A:$E,5,0),"'沒有資料'")</f>
        <v>0</v>
      </c>
      <c r="T43" s="45">
        <v>5</v>
      </c>
      <c r="V43" s="57">
        <v>8.93</v>
      </c>
      <c r="W43" s="13">
        <f>RTD("money.excel",,"4958","Price")</f>
        <v>105</v>
      </c>
      <c r="X43" s="66">
        <f>106-4.5</f>
        <v>101.5</v>
      </c>
      <c r="Y43" s="15">
        <f>W43-X43</f>
        <v>3.5</v>
      </c>
      <c r="Z43" s="63">
        <f>Y43/X43</f>
        <v>3.4482758620689655E-2</v>
      </c>
      <c r="AA43" s="99" t="s">
        <v>1887</v>
      </c>
      <c r="AC43" s="22" t="s">
        <v>27</v>
      </c>
      <c r="AD43" s="84">
        <v>44308</v>
      </c>
      <c r="AF43" s="33">
        <f>AE43-AD43</f>
        <v>-44308</v>
      </c>
      <c r="AG43" s="41" t="s">
        <v>1121</v>
      </c>
      <c r="AH43" s="245"/>
      <c r="AI43" s="8"/>
    </row>
    <row r="44" spans="1:35">
      <c r="A44" s="142" t="s">
        <v>2102</v>
      </c>
      <c r="B44" s="79">
        <v>10</v>
      </c>
      <c r="C44" s="79">
        <v>9</v>
      </c>
      <c r="D44" s="79">
        <v>4</v>
      </c>
      <c r="E44" s="79">
        <v>22</v>
      </c>
      <c r="F44" s="6">
        <v>4.8899999999999997</v>
      </c>
      <c r="G44" s="80">
        <v>4958</v>
      </c>
      <c r="H44" s="30" t="s">
        <v>1461</v>
      </c>
      <c r="I44" s="22" t="s">
        <v>27</v>
      </c>
      <c r="J44" s="8">
        <f>IFERROR(VLOOKUP($G44,今日總結!$A:$AN,33,0),"")</f>
        <v>4</v>
      </c>
      <c r="K44" s="5">
        <f>IFERROR(VLOOKUP($G44,今日總結!$A:$AN,34,0),"")</f>
        <v>0</v>
      </c>
      <c r="L44" s="156">
        <f>IFERROR(VLOOKUP($G44,今日總結!$A:$AN,31,0),"")</f>
        <v>0</v>
      </c>
      <c r="M44" s="337">
        <f>IFERROR(VLOOKUP($G44,今日總結!$A:$AN,32,0),"")</f>
        <v>0</v>
      </c>
      <c r="N44" s="240">
        <f t="shared" si="26"/>
        <v>0</v>
      </c>
      <c r="O44" s="359">
        <f>IFERROR(VLOOKUP($G44,融外自投!$A:$J,7,0),"無")</f>
        <v>938</v>
      </c>
      <c r="P44" s="79">
        <f>IFERROR(VLOOKUP($G44,融外自投!$A:$J,9,0),"無")</f>
        <v>467</v>
      </c>
      <c r="Q44" s="342">
        <f>IFERROR(VLOOKUP($G44,融外自投!$A:$J,8,0),"無")</f>
        <v>42</v>
      </c>
      <c r="R44" s="81">
        <f>IFERROR(VLOOKUP($G44,融外自投!$A:$J,10,0),"無")</f>
        <v>149</v>
      </c>
      <c r="S44" s="324">
        <f>IFERROR(VLOOKUP($G44,'321買'!$A:$E,5,0),"'沒有資料'")</f>
        <v>0</v>
      </c>
      <c r="T44" s="45">
        <v>5</v>
      </c>
      <c r="V44" s="57">
        <v>8.93</v>
      </c>
      <c r="W44" s="13">
        <f>RTD("money.excel",,"4958","Price")</f>
        <v>105</v>
      </c>
      <c r="X44" s="66">
        <f>110.5-4.5</f>
        <v>106</v>
      </c>
      <c r="Y44" s="15">
        <f>W44-X44</f>
        <v>-1</v>
      </c>
      <c r="Z44" s="63">
        <f>Y44/X44</f>
        <v>-9.433962264150943E-3</v>
      </c>
      <c r="AA44" s="99" t="s">
        <v>1887</v>
      </c>
      <c r="AC44" s="22" t="s">
        <v>27</v>
      </c>
      <c r="AD44" s="84">
        <v>44298</v>
      </c>
      <c r="AF44" s="33">
        <f>AE44-AD44</f>
        <v>-44298</v>
      </c>
      <c r="AG44" s="41" t="s">
        <v>1121</v>
      </c>
      <c r="AH44" s="245"/>
      <c r="AI44" s="8"/>
    </row>
    <row r="45" spans="1:35">
      <c r="A45" s="142" t="s">
        <v>2102</v>
      </c>
      <c r="B45" s="79">
        <v>10</v>
      </c>
      <c r="C45" s="79">
        <v>9</v>
      </c>
      <c r="D45" s="79">
        <v>4</v>
      </c>
      <c r="E45" s="79">
        <v>22</v>
      </c>
      <c r="F45" s="6">
        <v>4.8899999999999997</v>
      </c>
      <c r="G45" s="80">
        <v>4958</v>
      </c>
      <c r="H45" s="30" t="s">
        <v>1461</v>
      </c>
      <c r="I45" s="22" t="s">
        <v>27</v>
      </c>
      <c r="J45" s="8">
        <f>IFERROR(VLOOKUP($G45,今日總結!$A:$AN,33,0),"")</f>
        <v>4</v>
      </c>
      <c r="K45" s="5">
        <f>IFERROR(VLOOKUP($G45,今日總結!$A:$AN,34,0),"")</f>
        <v>0</v>
      </c>
      <c r="L45" s="156">
        <f>IFERROR(VLOOKUP($G45,今日總結!$A:$AN,31,0),"")</f>
        <v>0</v>
      </c>
      <c r="M45" s="337">
        <f>IFERROR(VLOOKUP($G45,今日總結!$A:$AN,32,0),"")</f>
        <v>0</v>
      </c>
      <c r="N45" s="240">
        <f t="shared" si="26"/>
        <v>0</v>
      </c>
      <c r="O45" s="359">
        <f>IFERROR(VLOOKUP($G45,融外自投!$A:$J,7,0),"無")</f>
        <v>938</v>
      </c>
      <c r="P45" s="79">
        <f>IFERROR(VLOOKUP($G45,融外自投!$A:$J,9,0),"無")</f>
        <v>467</v>
      </c>
      <c r="Q45" s="342">
        <f>IFERROR(VLOOKUP($G45,融外自投!$A:$J,8,0),"無")</f>
        <v>42</v>
      </c>
      <c r="R45" s="81">
        <f>IFERROR(VLOOKUP($G45,融外自投!$A:$J,10,0),"無")</f>
        <v>149</v>
      </c>
      <c r="S45" s="324">
        <f>IFERROR(VLOOKUP($G45,'321買'!$A:$E,5,0),"'沒有資料'")</f>
        <v>0</v>
      </c>
      <c r="T45" s="45">
        <v>5</v>
      </c>
      <c r="V45" s="57">
        <v>8.93</v>
      </c>
      <c r="W45" s="13">
        <f>RTD("money.excel",,"4958","Price")</f>
        <v>105</v>
      </c>
      <c r="X45" s="66">
        <f>114-4.5</f>
        <v>109.5</v>
      </c>
      <c r="Y45" s="15">
        <f>W45-X45</f>
        <v>-4.5</v>
      </c>
      <c r="Z45" s="63">
        <f>Y45/X45</f>
        <v>-4.1095890410958902E-2</v>
      </c>
      <c r="AA45" s="99" t="s">
        <v>1887</v>
      </c>
      <c r="AC45" s="22" t="s">
        <v>27</v>
      </c>
      <c r="AD45" s="84">
        <v>44298</v>
      </c>
      <c r="AF45" s="33">
        <f>AE45-AD45</f>
        <v>-44298</v>
      </c>
      <c r="AG45" s="41" t="s">
        <v>1121</v>
      </c>
      <c r="AH45" s="245"/>
      <c r="AI45" s="8"/>
    </row>
    <row r="46" spans="1:35" s="248" customFormat="1">
      <c r="A46" s="141"/>
      <c r="B46" s="79"/>
      <c r="C46" s="79"/>
      <c r="D46" s="79"/>
      <c r="E46" s="79"/>
      <c r="F46" s="6"/>
      <c r="G46" s="41"/>
      <c r="H46" s="8"/>
      <c r="I46" s="153"/>
      <c r="J46" s="8"/>
      <c r="K46" s="5"/>
      <c r="L46" s="156"/>
      <c r="M46" s="337"/>
      <c r="N46" s="240"/>
      <c r="O46" s="359"/>
      <c r="P46" s="79"/>
      <c r="Q46" s="342"/>
      <c r="R46" s="81"/>
      <c r="S46" s="324"/>
      <c r="T46" s="185"/>
      <c r="U46" s="308"/>
      <c r="V46" s="94"/>
      <c r="W46" s="165">
        <f>SUM(W43:W45)</f>
        <v>315</v>
      </c>
      <c r="X46" s="155">
        <f>SUM(X43:X45)</f>
        <v>317</v>
      </c>
      <c r="Y46" s="162">
        <f>W46-X46</f>
        <v>-2</v>
      </c>
      <c r="Z46" s="158">
        <f>Y46/X46</f>
        <v>-6.3091482649842269E-3</v>
      </c>
      <c r="AA46" s="113"/>
      <c r="AB46" s="376"/>
      <c r="AC46" s="153">
        <f>W46*(0.001425*0.5)+W46*0.003+X46*(0.001425*0.5)</f>
        <v>1.3953000000000002</v>
      </c>
      <c r="AD46" s="6">
        <f>Y46-AC46</f>
        <v>-3.3953000000000002</v>
      </c>
      <c r="AE46" s="83"/>
      <c r="AF46" s="33"/>
      <c r="AG46" s="41" t="s">
        <v>1550</v>
      </c>
      <c r="AH46" s="163"/>
    </row>
    <row r="47" spans="1:35">
      <c r="A47" s="127"/>
      <c r="B47" s="79"/>
      <c r="C47" s="79"/>
      <c r="D47" s="79"/>
      <c r="E47" s="79"/>
      <c r="F47" s="57"/>
      <c r="G47" s="56"/>
      <c r="H47" s="5"/>
      <c r="I47" s="22"/>
      <c r="L47" s="79"/>
      <c r="M47" s="80"/>
      <c r="N47" s="64"/>
      <c r="O47" s="359"/>
      <c r="P47" s="47"/>
      <c r="Q47" s="342"/>
      <c r="T47" s="66"/>
      <c r="V47" s="57"/>
      <c r="W47" s="36"/>
      <c r="X47" s="66"/>
      <c r="Y47" s="15"/>
      <c r="Z47" s="3"/>
      <c r="AA47" s="99"/>
      <c r="AC47" s="22"/>
      <c r="AF47" s="116"/>
      <c r="AG47" s="41"/>
      <c r="AH47" s="212"/>
      <c r="AI47" s="213"/>
    </row>
    <row r="48" spans="1:35" s="248" customFormat="1">
      <c r="A48" s="127" t="s">
        <v>1672</v>
      </c>
      <c r="B48" s="90" t="s">
        <v>1571</v>
      </c>
      <c r="C48" s="90" t="s">
        <v>1572</v>
      </c>
      <c r="D48" s="90" t="s">
        <v>1573</v>
      </c>
      <c r="E48" s="90" t="s">
        <v>1574</v>
      </c>
      <c r="F48" s="8" t="s">
        <v>1059</v>
      </c>
      <c r="G48" s="26" t="s">
        <v>3441</v>
      </c>
      <c r="H48" s="55" t="s">
        <v>320</v>
      </c>
      <c r="I48" s="1" t="s">
        <v>69</v>
      </c>
      <c r="J48" s="8" t="s">
        <v>6211</v>
      </c>
      <c r="K48" s="5" t="s">
        <v>6212</v>
      </c>
      <c r="L48" s="334" t="s">
        <v>6197</v>
      </c>
      <c r="M48" s="335" t="s">
        <v>6198</v>
      </c>
      <c r="N48" s="336" t="s">
        <v>6199</v>
      </c>
      <c r="O48" s="89" t="s">
        <v>6275</v>
      </c>
      <c r="P48" s="292" t="s">
        <v>6274</v>
      </c>
      <c r="Q48" s="350" t="s">
        <v>6273</v>
      </c>
      <c r="R48" s="26" t="s">
        <v>6276</v>
      </c>
      <c r="S48" s="318" t="s">
        <v>4715</v>
      </c>
      <c r="T48" s="14" t="s">
        <v>66</v>
      </c>
      <c r="U48" s="305" t="s">
        <v>4728</v>
      </c>
      <c r="V48" s="68" t="s">
        <v>3272</v>
      </c>
      <c r="W48" s="28" t="s">
        <v>2</v>
      </c>
      <c r="X48" s="17" t="s">
        <v>1398</v>
      </c>
      <c r="Y48" s="14" t="s">
        <v>2249</v>
      </c>
      <c r="Z48" s="21" t="s">
        <v>1469</v>
      </c>
      <c r="AA48" s="51" t="s">
        <v>6166</v>
      </c>
      <c r="AB48" s="102" t="s">
        <v>6404</v>
      </c>
      <c r="AC48" s="1" t="s">
        <v>69</v>
      </c>
      <c r="AD48" s="71" t="s">
        <v>1399</v>
      </c>
      <c r="AE48" s="72" t="s">
        <v>1156</v>
      </c>
      <c r="AF48" s="32" t="s">
        <v>1157</v>
      </c>
      <c r="AG48" s="138"/>
      <c r="AH48" s="163"/>
    </row>
    <row r="49" spans="1:39">
      <c r="A49" s="142" t="s">
        <v>3003</v>
      </c>
      <c r="B49" s="79">
        <v>24</v>
      </c>
      <c r="C49" s="80">
        <v>-19</v>
      </c>
      <c r="D49" s="79">
        <v>0</v>
      </c>
      <c r="E49" s="80">
        <v>-8</v>
      </c>
      <c r="F49" s="6">
        <v>5.91</v>
      </c>
      <c r="G49" s="79">
        <v>6179</v>
      </c>
      <c r="H49" s="8" t="s">
        <v>235</v>
      </c>
      <c r="I49" s="16" t="s">
        <v>645</v>
      </c>
      <c r="J49" s="8">
        <f>IFERROR(VLOOKUP($G49,今日總結!$A:$AN,33,0),"")</f>
        <v>0</v>
      </c>
      <c r="K49" s="5">
        <f>IFERROR(VLOOKUP($G49,今日總結!$A:$AN,34,0),"")</f>
        <v>0</v>
      </c>
      <c r="L49" s="156">
        <f>IFERROR(VLOOKUP($G49,今日總結!$A:$AN,31,0),"")</f>
        <v>1</v>
      </c>
      <c r="M49" s="337">
        <f>IFERROR(VLOOKUP($G49,今日總結!$A:$AN,32,0),"")</f>
        <v>0</v>
      </c>
      <c r="N49" s="240">
        <f t="shared" ref="N49" si="27">IFERROR(L49-M49,"")</f>
        <v>1</v>
      </c>
      <c r="O49" s="359">
        <f>IFERROR(VLOOKUP($G49,融外自投!$A:$J,7,0),"無")</f>
        <v>314</v>
      </c>
      <c r="P49" s="79" t="str">
        <f>IFERROR(VLOOKUP($G49,融外自投!$A:$J,9,0),"無")</f>
        <v>無</v>
      </c>
      <c r="Q49" s="342">
        <f>IFERROR(VLOOKUP($G49,融外自投!$A:$J,8,0),"無")</f>
        <v>1297</v>
      </c>
      <c r="R49" s="81" t="str">
        <f>IFERROR(VLOOKUP($G49,融外自投!$A:$J,10,0),"無")</f>
        <v>無</v>
      </c>
      <c r="S49" s="324">
        <f>IFERROR(VLOOKUP($G49,'321買'!$A:$E,5,0),"'沒有資料'")</f>
        <v>0</v>
      </c>
      <c r="T49" s="34">
        <v>1.5</v>
      </c>
      <c r="U49" s="307"/>
      <c r="V49" s="94">
        <v>2.72</v>
      </c>
      <c r="W49" s="36">
        <f>RTD("money.excel",,"6179","Price")</f>
        <v>30.05</v>
      </c>
      <c r="X49" s="66">
        <v>30.75</v>
      </c>
      <c r="Y49" s="15">
        <f>W49-X49</f>
        <v>-0.69999999999999929</v>
      </c>
      <c r="Z49" s="63">
        <f>Y49/X49</f>
        <v>-2.27642276422764E-2</v>
      </c>
      <c r="AA49" s="101" t="s">
        <v>1721</v>
      </c>
      <c r="AC49" s="16" t="s">
        <v>645</v>
      </c>
      <c r="AD49" s="84">
        <v>44526</v>
      </c>
      <c r="AF49" s="33">
        <f>AE49-AD49</f>
        <v>-44526</v>
      </c>
      <c r="AG49" s="41" t="s">
        <v>1121</v>
      </c>
      <c r="AI49" s="16"/>
      <c r="AJ49" s="206"/>
      <c r="AK49" s="239"/>
      <c r="AL49" s="249"/>
      <c r="AM49" s="251"/>
    </row>
    <row r="50" spans="1:39" s="248" customFormat="1">
      <c r="A50" s="141"/>
      <c r="B50" s="79"/>
      <c r="C50" s="79"/>
      <c r="D50" s="79"/>
      <c r="E50" s="79"/>
      <c r="F50" s="6"/>
      <c r="G50" s="41"/>
      <c r="H50" s="8"/>
      <c r="I50" s="153"/>
      <c r="J50" s="1"/>
      <c r="K50" s="1"/>
      <c r="L50" s="123"/>
      <c r="M50" s="234"/>
      <c r="N50" s="338"/>
      <c r="O50" s="89"/>
      <c r="P50" s="292"/>
      <c r="Q50" s="350"/>
      <c r="R50" s="300"/>
      <c r="S50" s="319"/>
      <c r="T50" s="185"/>
      <c r="U50" s="307"/>
      <c r="V50" s="94"/>
      <c r="W50" s="165">
        <f>SUM(W49)</f>
        <v>30.05</v>
      </c>
      <c r="X50" s="155">
        <f>SUM(X49)</f>
        <v>30.75</v>
      </c>
      <c r="Y50" s="162">
        <f>W50-X50</f>
        <v>-0.69999999999999929</v>
      </c>
      <c r="Z50" s="164">
        <f>Y50/X50</f>
        <v>-2.27642276422764E-2</v>
      </c>
      <c r="AA50" s="113"/>
      <c r="AB50" s="376"/>
      <c r="AC50" s="153">
        <f>W50*(0.001425*0.5)+W50*0.003+X50*(0.001425*0.5)</f>
        <v>0.13347000000000001</v>
      </c>
      <c r="AD50" s="6">
        <f>Y50-AC50</f>
        <v>-0.83346999999999927</v>
      </c>
      <c r="AE50" s="83"/>
      <c r="AF50" s="33"/>
      <c r="AG50" s="41" t="s">
        <v>1121</v>
      </c>
      <c r="AH50" s="163"/>
    </row>
    <row r="51" spans="1:39" s="248" customFormat="1">
      <c r="A51" s="141"/>
      <c r="B51" s="79"/>
      <c r="C51" s="79"/>
      <c r="D51" s="79"/>
      <c r="E51" s="79"/>
      <c r="F51" s="6"/>
      <c r="G51" s="41"/>
      <c r="H51" s="8"/>
      <c r="I51" s="153"/>
      <c r="J51" s="1"/>
      <c r="K51" s="1"/>
      <c r="L51" s="123"/>
      <c r="M51" s="234"/>
      <c r="N51" s="338"/>
      <c r="O51" s="89"/>
      <c r="P51" s="292"/>
      <c r="Q51" s="350"/>
      <c r="R51" s="300"/>
      <c r="S51" s="319"/>
      <c r="T51" s="185"/>
      <c r="U51" s="307"/>
      <c r="V51" s="94"/>
      <c r="W51" s="165"/>
      <c r="X51" s="155"/>
      <c r="Y51" s="162"/>
      <c r="Z51" s="164"/>
      <c r="AA51" s="113"/>
      <c r="AB51" s="376"/>
      <c r="AC51" s="153"/>
      <c r="AD51" s="6"/>
      <c r="AE51" s="83"/>
      <c r="AF51" s="33"/>
      <c r="AG51" s="41"/>
      <c r="AH51" s="163"/>
    </row>
    <row r="52" spans="1:39" s="248" customFormat="1">
      <c r="A52" s="127" t="s">
        <v>1672</v>
      </c>
      <c r="B52" s="90" t="s">
        <v>1571</v>
      </c>
      <c r="C52" s="90" t="s">
        <v>1572</v>
      </c>
      <c r="D52" s="90" t="s">
        <v>1573</v>
      </c>
      <c r="E52" s="90" t="s">
        <v>1574</v>
      </c>
      <c r="F52" s="8" t="s">
        <v>1059</v>
      </c>
      <c r="G52" s="26" t="s">
        <v>3441</v>
      </c>
      <c r="H52" s="55" t="s">
        <v>320</v>
      </c>
      <c r="I52" s="1" t="s">
        <v>2248</v>
      </c>
      <c r="J52" s="8" t="s">
        <v>6211</v>
      </c>
      <c r="K52" s="5" t="s">
        <v>6212</v>
      </c>
      <c r="L52" s="334" t="s">
        <v>6197</v>
      </c>
      <c r="M52" s="335" t="s">
        <v>6198</v>
      </c>
      <c r="N52" s="336" t="s">
        <v>6199</v>
      </c>
      <c r="O52" s="89" t="s">
        <v>6275</v>
      </c>
      <c r="P52" s="292" t="s">
        <v>6274</v>
      </c>
      <c r="Q52" s="350" t="s">
        <v>6273</v>
      </c>
      <c r="R52" s="26" t="s">
        <v>6276</v>
      </c>
      <c r="S52" s="318" t="s">
        <v>4715</v>
      </c>
      <c r="T52" s="14" t="s">
        <v>66</v>
      </c>
      <c r="U52" s="305" t="s">
        <v>4728</v>
      </c>
      <c r="V52" s="68" t="s">
        <v>3272</v>
      </c>
      <c r="W52" s="28" t="s">
        <v>2</v>
      </c>
      <c r="X52" s="17" t="s">
        <v>1398</v>
      </c>
      <c r="Y52" s="14" t="s">
        <v>2249</v>
      </c>
      <c r="Z52" s="21" t="s">
        <v>1469</v>
      </c>
      <c r="AA52" s="51" t="s">
        <v>6166</v>
      </c>
      <c r="AB52" s="102" t="s">
        <v>6404</v>
      </c>
      <c r="AC52" s="1" t="s">
        <v>2248</v>
      </c>
      <c r="AD52" s="71" t="s">
        <v>1399</v>
      </c>
      <c r="AE52" s="72" t="s">
        <v>1156</v>
      </c>
      <c r="AF52" s="32" t="s">
        <v>1157</v>
      </c>
      <c r="AG52" s="138"/>
      <c r="AH52" s="163"/>
    </row>
    <row r="53" spans="1:39" s="248" customFormat="1">
      <c r="A53" s="142" t="s">
        <v>1736</v>
      </c>
      <c r="B53" s="79">
        <v>349</v>
      </c>
      <c r="C53" s="79">
        <v>884</v>
      </c>
      <c r="D53" s="80">
        <v>-2</v>
      </c>
      <c r="E53" s="80">
        <v>-20</v>
      </c>
      <c r="F53" s="6">
        <v>1.02</v>
      </c>
      <c r="G53" s="41" t="s">
        <v>2952</v>
      </c>
      <c r="H53" s="30" t="s">
        <v>1461</v>
      </c>
      <c r="I53" s="153" t="s">
        <v>3189</v>
      </c>
      <c r="J53" s="8" t="str">
        <f>IFERROR(VLOOKUP($G53,今日總結!$A:$AN,33,0),"")</f>
        <v/>
      </c>
      <c r="K53" s="5" t="str">
        <f>IFERROR(VLOOKUP($G53,今日總結!$A:$AN,34,0),"")</f>
        <v/>
      </c>
      <c r="L53" s="156" t="str">
        <f>IFERROR(VLOOKUP($G53,今日總結!$A:$AN,31,0),"")</f>
        <v/>
      </c>
      <c r="M53" s="337" t="str">
        <f>IFERROR(VLOOKUP($G53,今日總結!$A:$AN,32,0),"")</f>
        <v/>
      </c>
      <c r="N53" s="240" t="str">
        <f t="shared" ref="N53" si="28">IFERROR(L53-M53,"")</f>
        <v/>
      </c>
      <c r="O53" s="359" t="str">
        <f>IFERROR(VLOOKUP($G53,融外自投!$A:$J,7,0),"無")</f>
        <v>無</v>
      </c>
      <c r="P53" s="79" t="str">
        <f>IFERROR(VLOOKUP($G53,融外自投!$A:$J,9,0),"無")</f>
        <v>無</v>
      </c>
      <c r="Q53" s="342" t="str">
        <f>IFERROR(VLOOKUP($G53,融外自投!$A:$J,8,0),"無")</f>
        <v>無</v>
      </c>
      <c r="R53" s="81" t="str">
        <f>IFERROR(VLOOKUP($G53,融外自投!$A:$J,10,0),"無")</f>
        <v>無</v>
      </c>
      <c r="S53" s="324" t="str">
        <f>IFERROR(VLOOKUP($G53,'321買'!$A:$E,5,0),"'沒有資料'")</f>
        <v>'沒有資料'</v>
      </c>
      <c r="T53" s="155">
        <v>5</v>
      </c>
      <c r="U53" s="307"/>
      <c r="V53" s="57">
        <v>8.89</v>
      </c>
      <c r="W53" s="161">
        <f>RTD("money.excel",,"4938","Price")</f>
        <v>64.2</v>
      </c>
      <c r="X53" s="65">
        <f>73.1-4.49</f>
        <v>68.61</v>
      </c>
      <c r="Y53" s="162">
        <f>W53-X53</f>
        <v>-4.4099999999999966</v>
      </c>
      <c r="Z53" s="158">
        <f>Y53/X53</f>
        <v>-6.4276344556187096E-2</v>
      </c>
      <c r="AA53" s="100" t="s">
        <v>3259</v>
      </c>
      <c r="AB53" s="376"/>
      <c r="AC53" s="153" t="s">
        <v>3189</v>
      </c>
      <c r="AD53" s="84">
        <v>44313</v>
      </c>
      <c r="AE53" s="83"/>
      <c r="AF53" s="33">
        <f>AE53-AD53</f>
        <v>-44313</v>
      </c>
      <c r="AG53" s="41" t="s">
        <v>1121</v>
      </c>
      <c r="AH53" s="212"/>
      <c r="AI53" s="213"/>
    </row>
    <row r="54" spans="1:39" s="248" customFormat="1">
      <c r="A54" s="141"/>
      <c r="B54" s="79"/>
      <c r="C54" s="79"/>
      <c r="D54" s="79"/>
      <c r="E54" s="79"/>
      <c r="F54" s="6"/>
      <c r="G54" s="41"/>
      <c r="H54" s="8"/>
      <c r="I54" s="153"/>
      <c r="J54" s="1"/>
      <c r="K54" s="1"/>
      <c r="L54" s="79"/>
      <c r="M54" s="80"/>
      <c r="N54" s="64"/>
      <c r="O54" s="89"/>
      <c r="P54" s="73"/>
      <c r="Q54" s="350"/>
      <c r="R54" s="300"/>
      <c r="S54" s="319"/>
      <c r="T54" s="185"/>
      <c r="U54" s="307"/>
      <c r="V54" s="94"/>
      <c r="W54" s="165">
        <f>SUM(W53)</f>
        <v>64.2</v>
      </c>
      <c r="X54" s="155">
        <f>SUM(X53)</f>
        <v>68.61</v>
      </c>
      <c r="Y54" s="162">
        <f>W54-X54</f>
        <v>-4.4099999999999966</v>
      </c>
      <c r="Z54" s="158">
        <f>Y54/X54</f>
        <v>-6.4276344556187096E-2</v>
      </c>
      <c r="AA54" s="113"/>
      <c r="AB54" s="376"/>
      <c r="AC54" s="153">
        <f>W54*(0.001425*0.5)+W54*0.003+X54*(0.001425*0.5)</f>
        <v>0.28722712500000003</v>
      </c>
      <c r="AD54" s="6">
        <f>Y54-AC54</f>
        <v>-4.6972271249999968</v>
      </c>
      <c r="AE54" s="83"/>
      <c r="AF54" s="33"/>
      <c r="AG54" s="41" t="s">
        <v>1121</v>
      </c>
      <c r="AH54" s="163"/>
    </row>
    <row r="55" spans="1:39">
      <c r="A55" s="142"/>
      <c r="B55" s="80"/>
      <c r="C55" s="80"/>
      <c r="D55" s="79"/>
      <c r="E55" s="79"/>
      <c r="F55" s="6"/>
      <c r="G55" s="56"/>
      <c r="H55" s="53"/>
      <c r="I55" s="22"/>
      <c r="L55" s="79"/>
      <c r="M55" s="80"/>
      <c r="N55" s="64"/>
      <c r="T55" s="66"/>
      <c r="U55" s="307"/>
      <c r="V55" s="57"/>
      <c r="W55" s="13"/>
      <c r="X55" s="66"/>
      <c r="Y55" s="15"/>
      <c r="Z55" s="3"/>
      <c r="AA55" s="99"/>
      <c r="AC55" s="22"/>
      <c r="AF55" s="116"/>
      <c r="AG55" s="117"/>
      <c r="AH55" s="245"/>
      <c r="AI55" s="8"/>
    </row>
    <row r="56" spans="1:39" s="248" customFormat="1">
      <c r="A56" s="127" t="s">
        <v>1672</v>
      </c>
      <c r="B56" s="90" t="s">
        <v>1571</v>
      </c>
      <c r="C56" s="90" t="s">
        <v>1572</v>
      </c>
      <c r="D56" s="90" t="s">
        <v>1573</v>
      </c>
      <c r="E56" s="90" t="s">
        <v>1574</v>
      </c>
      <c r="F56" s="8" t="s">
        <v>1059</v>
      </c>
      <c r="G56" s="26" t="s">
        <v>3441</v>
      </c>
      <c r="H56" s="55" t="s">
        <v>320</v>
      </c>
      <c r="I56" s="1" t="s">
        <v>2248</v>
      </c>
      <c r="J56" s="8" t="s">
        <v>6211</v>
      </c>
      <c r="K56" s="5" t="s">
        <v>6212</v>
      </c>
      <c r="L56" s="334" t="s">
        <v>6197</v>
      </c>
      <c r="M56" s="335" t="s">
        <v>6198</v>
      </c>
      <c r="N56" s="336" t="s">
        <v>6199</v>
      </c>
      <c r="O56" s="89" t="s">
        <v>4718</v>
      </c>
      <c r="P56" s="292" t="s">
        <v>3543</v>
      </c>
      <c r="Q56" s="350" t="s">
        <v>3542</v>
      </c>
      <c r="R56" s="26" t="s">
        <v>3544</v>
      </c>
      <c r="S56" s="318" t="s">
        <v>4715</v>
      </c>
      <c r="T56" s="14" t="s">
        <v>66</v>
      </c>
      <c r="U56" s="305" t="s">
        <v>4728</v>
      </c>
      <c r="V56" s="68" t="s">
        <v>3272</v>
      </c>
      <c r="W56" s="28" t="s">
        <v>2</v>
      </c>
      <c r="X56" s="17" t="s">
        <v>1398</v>
      </c>
      <c r="Y56" s="14" t="s">
        <v>2249</v>
      </c>
      <c r="Z56" s="21" t="s">
        <v>3</v>
      </c>
      <c r="AA56" s="51" t="s">
        <v>6166</v>
      </c>
      <c r="AB56" s="102" t="s">
        <v>6404</v>
      </c>
      <c r="AC56" s="1" t="s">
        <v>2248</v>
      </c>
      <c r="AD56" s="71" t="s">
        <v>1399</v>
      </c>
      <c r="AE56" s="72" t="s">
        <v>1156</v>
      </c>
      <c r="AF56" s="32" t="s">
        <v>1157</v>
      </c>
      <c r="AG56" s="138"/>
      <c r="AH56" s="163"/>
    </row>
    <row r="57" spans="1:39">
      <c r="A57" s="127" t="s">
        <v>2980</v>
      </c>
      <c r="B57" s="80">
        <v>-48</v>
      </c>
      <c r="C57" s="80">
        <v>-50</v>
      </c>
      <c r="D57" s="80">
        <v>-7</v>
      </c>
      <c r="E57" s="79">
        <v>22</v>
      </c>
      <c r="F57" s="57">
        <v>11.26</v>
      </c>
      <c r="G57" s="80">
        <v>4163</v>
      </c>
      <c r="H57" s="50" t="s">
        <v>1403</v>
      </c>
      <c r="I57" s="16" t="s">
        <v>142</v>
      </c>
      <c r="J57" s="8">
        <f>IFERROR(VLOOKUP($G57,今日總結!$A:$AN,33,0),"")</f>
        <v>0</v>
      </c>
      <c r="K57" s="5">
        <f>IFERROR(VLOOKUP($G57,今日總結!$A:$AN,34,0),"")</f>
        <v>0</v>
      </c>
      <c r="L57" s="156">
        <f>IFERROR(VLOOKUP($G57,今日總結!$A:$AN,31,0),"")</f>
        <v>1</v>
      </c>
      <c r="M57" s="337">
        <f>IFERROR(VLOOKUP($G57,今日總結!$A:$AN,32,0),"")</f>
        <v>0</v>
      </c>
      <c r="N57" s="240">
        <f t="shared" ref="N57:N58" si="29">IFERROR(L57-M57,"")</f>
        <v>1</v>
      </c>
      <c r="O57" s="359">
        <f>IFERROR(VLOOKUP($G57,融外自投!$A:$J,7,0),"無")</f>
        <v>1129</v>
      </c>
      <c r="P57" s="79">
        <f>IFERROR(VLOOKUP($G57,融外自投!$A:$J,9,0),"無")</f>
        <v>649</v>
      </c>
      <c r="Q57" s="342">
        <f>IFERROR(VLOOKUP($G57,融外自投!$A:$J,8,0),"無")</f>
        <v>988</v>
      </c>
      <c r="R57" s="81" t="str">
        <f>IFERROR(VLOOKUP($G57,融外自投!$A:$J,10,0),"無")</f>
        <v>無</v>
      </c>
      <c r="S57" s="324">
        <f>IFERROR(VLOOKUP($G57,'321買'!$A:$E,5,0),"'沒有資料'")</f>
        <v>0</v>
      </c>
      <c r="T57" s="34">
        <v>2.5</v>
      </c>
      <c r="U57" s="307"/>
      <c r="V57" s="94">
        <v>4.5</v>
      </c>
      <c r="W57" s="36">
        <f>RTD("money.excel",,"4163","Price")</f>
        <v>82.4</v>
      </c>
      <c r="X57" s="66">
        <f>91.7-3.5</f>
        <v>88.2</v>
      </c>
      <c r="Y57" s="15">
        <f>W57-X57</f>
        <v>-5.7999999999999972</v>
      </c>
      <c r="Z57" s="3">
        <f>Y57/X57</f>
        <v>-6.5759637188208583E-2</v>
      </c>
      <c r="AA57" s="140" t="s">
        <v>1746</v>
      </c>
      <c r="AC57" s="16" t="s">
        <v>142</v>
      </c>
      <c r="AD57" s="84">
        <v>44299</v>
      </c>
      <c r="AF57" s="33">
        <f>AE57-AD57</f>
        <v>-44299</v>
      </c>
      <c r="AG57" s="127" t="s">
        <v>1121</v>
      </c>
      <c r="AI57" s="8"/>
    </row>
    <row r="58" spans="1:39">
      <c r="A58" s="127" t="s">
        <v>2980</v>
      </c>
      <c r="B58" s="80">
        <v>-48</v>
      </c>
      <c r="C58" s="80">
        <v>-50</v>
      </c>
      <c r="D58" s="80">
        <v>-7</v>
      </c>
      <c r="E58" s="79">
        <v>22</v>
      </c>
      <c r="F58" s="57">
        <v>11.26</v>
      </c>
      <c r="G58" s="80">
        <v>4163</v>
      </c>
      <c r="H58" s="30" t="s">
        <v>1461</v>
      </c>
      <c r="I58" s="16" t="s">
        <v>142</v>
      </c>
      <c r="J58" s="8">
        <f>IFERROR(VLOOKUP($G58,今日總結!$A:$AN,33,0),"")</f>
        <v>0</v>
      </c>
      <c r="K58" s="5">
        <f>IFERROR(VLOOKUP($G58,今日總結!$A:$AN,34,0),"")</f>
        <v>0</v>
      </c>
      <c r="L58" s="156">
        <f>IFERROR(VLOOKUP($G58,今日總結!$A:$AN,31,0),"")</f>
        <v>1</v>
      </c>
      <c r="M58" s="337">
        <f>IFERROR(VLOOKUP($G58,今日總結!$A:$AN,32,0),"")</f>
        <v>0</v>
      </c>
      <c r="N58" s="240">
        <f t="shared" si="29"/>
        <v>1</v>
      </c>
      <c r="O58" s="359">
        <f>IFERROR(VLOOKUP($G58,融外自投!$A:$J,7,0),"無")</f>
        <v>1129</v>
      </c>
      <c r="P58" s="79">
        <f>IFERROR(VLOOKUP($G58,融外自投!$A:$J,9,0),"無")</f>
        <v>649</v>
      </c>
      <c r="Q58" s="342">
        <f>IFERROR(VLOOKUP($G58,融外自投!$A:$J,8,0),"無")</f>
        <v>988</v>
      </c>
      <c r="R58" s="81" t="str">
        <f>IFERROR(VLOOKUP($G58,融外自投!$A:$J,10,0),"無")</f>
        <v>無</v>
      </c>
      <c r="S58" s="324">
        <f>IFERROR(VLOOKUP($G58,'321買'!$A:$E,5,0),"'沒有資料'")</f>
        <v>0</v>
      </c>
      <c r="T58" s="34">
        <v>2.5</v>
      </c>
      <c r="U58" s="307"/>
      <c r="V58" s="94">
        <v>4.5</v>
      </c>
      <c r="W58" s="36">
        <f>RTD("money.excel",,"4163","Price")</f>
        <v>82.4</v>
      </c>
      <c r="X58" s="66">
        <f>91.7-3.5</f>
        <v>88.2</v>
      </c>
      <c r="Y58" s="15">
        <f>W58-X58</f>
        <v>-5.7999999999999972</v>
      </c>
      <c r="Z58" s="3">
        <f>Y58/X58</f>
        <v>-6.5759637188208583E-2</v>
      </c>
      <c r="AA58" s="140" t="s">
        <v>1746</v>
      </c>
      <c r="AC58" s="16" t="s">
        <v>142</v>
      </c>
      <c r="AD58" s="84">
        <v>44299</v>
      </c>
      <c r="AF58" s="33">
        <f>AE58-AD58</f>
        <v>-44299</v>
      </c>
      <c r="AG58" s="41" t="s">
        <v>1121</v>
      </c>
      <c r="AI58" s="8"/>
    </row>
    <row r="59" spans="1:39" s="248" customFormat="1">
      <c r="A59" s="141"/>
      <c r="B59" s="79"/>
      <c r="C59" s="79"/>
      <c r="D59" s="79"/>
      <c r="E59" s="79"/>
      <c r="F59" s="6"/>
      <c r="G59" s="41"/>
      <c r="H59" s="8"/>
      <c r="I59" s="153"/>
      <c r="J59" s="1"/>
      <c r="K59" s="1"/>
      <c r="L59" s="123"/>
      <c r="M59" s="234"/>
      <c r="N59" s="338"/>
      <c r="O59" s="359"/>
      <c r="P59" s="47"/>
      <c r="Q59" s="342"/>
      <c r="R59" s="300"/>
      <c r="S59" s="319"/>
      <c r="T59" s="185"/>
      <c r="U59" s="307"/>
      <c r="V59" s="94"/>
      <c r="W59" s="165">
        <f>SUM(W57:W58)</f>
        <v>164.8</v>
      </c>
      <c r="X59" s="155">
        <f>SUM(X57:X58)</f>
        <v>176.4</v>
      </c>
      <c r="Y59" s="162">
        <f>W59-X59</f>
        <v>-11.599999999999994</v>
      </c>
      <c r="Z59" s="164">
        <f>Y59/X59</f>
        <v>-6.5759637188208583E-2</v>
      </c>
      <c r="AA59" s="113"/>
      <c r="AB59" s="376"/>
      <c r="AC59" s="153">
        <f>W59*(0.001425*0.5)+W59*0.003+X59*(0.001425*0.5)</f>
        <v>0.73750500000000008</v>
      </c>
      <c r="AD59" s="6">
        <f>Y59-AC59</f>
        <v>-12.337504999999995</v>
      </c>
      <c r="AE59" s="83"/>
      <c r="AF59" s="33"/>
      <c r="AG59" s="41" t="s">
        <v>1501</v>
      </c>
      <c r="AH59" s="163"/>
    </row>
    <row r="60" spans="1:39">
      <c r="A60" s="127"/>
      <c r="B60" s="80"/>
      <c r="C60" s="80"/>
      <c r="D60" s="79"/>
      <c r="E60" s="80"/>
      <c r="F60" s="57"/>
      <c r="G60" s="56"/>
      <c r="H60" s="5"/>
      <c r="I60" s="16"/>
      <c r="L60" s="123"/>
      <c r="O60" s="359"/>
      <c r="P60" s="47"/>
      <c r="Q60" s="342"/>
      <c r="T60" s="66"/>
      <c r="U60" s="307"/>
      <c r="V60" s="94"/>
      <c r="W60" s="36"/>
      <c r="X60" s="66"/>
      <c r="Y60" s="15"/>
      <c r="Z60" s="3"/>
      <c r="AA60" s="140"/>
      <c r="AC60" s="16"/>
      <c r="AD60" s="115"/>
      <c r="AF60" s="116"/>
      <c r="AG60" s="24"/>
      <c r="AI60" s="8"/>
    </row>
    <row r="61" spans="1:39" s="248" customFormat="1">
      <c r="A61" s="127" t="s">
        <v>1672</v>
      </c>
      <c r="B61" s="90" t="s">
        <v>1571</v>
      </c>
      <c r="C61" s="90" t="s">
        <v>1572</v>
      </c>
      <c r="D61" s="90" t="s">
        <v>1573</v>
      </c>
      <c r="E61" s="90" t="s">
        <v>1574</v>
      </c>
      <c r="F61" s="8" t="s">
        <v>1059</v>
      </c>
      <c r="G61" s="26" t="s">
        <v>3441</v>
      </c>
      <c r="H61" s="55" t="s">
        <v>320</v>
      </c>
      <c r="I61" s="1" t="s">
        <v>2248</v>
      </c>
      <c r="J61" s="8" t="s">
        <v>6211</v>
      </c>
      <c r="K61" s="5" t="s">
        <v>6212</v>
      </c>
      <c r="L61" s="334" t="s">
        <v>6197</v>
      </c>
      <c r="M61" s="335" t="s">
        <v>6198</v>
      </c>
      <c r="N61" s="336" t="s">
        <v>6199</v>
      </c>
      <c r="O61" s="89" t="s">
        <v>6275</v>
      </c>
      <c r="P61" s="292" t="s">
        <v>6274</v>
      </c>
      <c r="Q61" s="350" t="s">
        <v>6273</v>
      </c>
      <c r="R61" s="26" t="s">
        <v>6276</v>
      </c>
      <c r="S61" s="318" t="s">
        <v>4715</v>
      </c>
      <c r="T61" s="14" t="s">
        <v>66</v>
      </c>
      <c r="U61" s="305" t="s">
        <v>4728</v>
      </c>
      <c r="V61" s="68" t="s">
        <v>3272</v>
      </c>
      <c r="W61" s="28" t="s">
        <v>2</v>
      </c>
      <c r="X61" s="17" t="s">
        <v>1398</v>
      </c>
      <c r="Y61" s="14" t="s">
        <v>2249</v>
      </c>
      <c r="Z61" s="21" t="s">
        <v>1469</v>
      </c>
      <c r="AA61" s="51" t="s">
        <v>6166</v>
      </c>
      <c r="AB61" s="102" t="s">
        <v>6404</v>
      </c>
      <c r="AC61" s="1" t="s">
        <v>2248</v>
      </c>
      <c r="AD61" s="71" t="s">
        <v>1399</v>
      </c>
      <c r="AE61" s="72" t="s">
        <v>1156</v>
      </c>
      <c r="AF61" s="32" t="s">
        <v>1157</v>
      </c>
      <c r="AG61" s="138"/>
      <c r="AH61" s="163"/>
    </row>
    <row r="62" spans="1:39">
      <c r="A62" s="127" t="s">
        <v>2974</v>
      </c>
      <c r="B62" s="79">
        <v>763</v>
      </c>
      <c r="C62" s="79">
        <v>854</v>
      </c>
      <c r="D62" s="80">
        <v>-11</v>
      </c>
      <c r="E62" s="80">
        <v>-17</v>
      </c>
      <c r="F62" s="57">
        <v>16.18</v>
      </c>
      <c r="G62" s="80">
        <v>5223</v>
      </c>
      <c r="H62" s="30" t="s">
        <v>1461</v>
      </c>
      <c r="I62" s="16" t="s">
        <v>2220</v>
      </c>
      <c r="J62" s="8">
        <f>IFERROR(VLOOKUP($G62,今日總結!$A:$AN,33,0),"")</f>
        <v>0</v>
      </c>
      <c r="K62" s="5">
        <f>IFERROR(VLOOKUP($G62,今日總結!$A:$AN,34,0),"")</f>
        <v>0</v>
      </c>
      <c r="L62" s="156">
        <f>IFERROR(VLOOKUP($G62,今日總結!$A:$AN,31,0),"")</f>
        <v>0</v>
      </c>
      <c r="M62" s="337">
        <f>IFERROR(VLOOKUP($G62,今日總結!$A:$AN,32,0),"")</f>
        <v>4</v>
      </c>
      <c r="N62" s="240">
        <f t="shared" ref="N62" si="30">IFERROR(L62-M62,"")</f>
        <v>-4</v>
      </c>
      <c r="O62" s="359">
        <f>IFERROR(VLOOKUP($G62,融外自投!$A:$J,7,0),"無")</f>
        <v>295</v>
      </c>
      <c r="P62" s="79" t="str">
        <f>IFERROR(VLOOKUP($G62,融外自投!$A:$J,9,0),"無")</f>
        <v>無</v>
      </c>
      <c r="Q62" s="342">
        <f>IFERROR(VLOOKUP($G62,融外自投!$A:$J,8,0),"無")</f>
        <v>103</v>
      </c>
      <c r="R62" s="81" t="str">
        <f>IFERROR(VLOOKUP($G62,融外自投!$A:$J,10,0),"無")</f>
        <v>無</v>
      </c>
      <c r="S62" s="324">
        <f>IFERROR(VLOOKUP($G62,'321買'!$A:$E,5,0),"'沒有資料'")</f>
        <v>0</v>
      </c>
      <c r="T62" s="34">
        <v>2.7</v>
      </c>
      <c r="U62" s="307"/>
      <c r="V62" s="57">
        <v>8.0500000000000007</v>
      </c>
      <c r="W62" s="13">
        <f>RTD("money.excel",,"5223","Price")</f>
        <v>46.2</v>
      </c>
      <c r="X62" s="66">
        <v>53.3</v>
      </c>
      <c r="Y62" s="15">
        <f>W62-X62</f>
        <v>-7.0999999999999943</v>
      </c>
      <c r="Z62" s="3">
        <f>Y62/X62</f>
        <v>-0.13320825515947457</v>
      </c>
      <c r="AA62" s="140" t="s">
        <v>1887</v>
      </c>
      <c r="AC62" s="16" t="s">
        <v>2220</v>
      </c>
      <c r="AD62" s="84">
        <v>44452</v>
      </c>
      <c r="AF62" s="33">
        <f>AE62-AD62</f>
        <v>-44452</v>
      </c>
      <c r="AG62" s="41" t="s">
        <v>1121</v>
      </c>
      <c r="AI62" s="8"/>
    </row>
    <row r="63" spans="1:39">
      <c r="A63" s="127" t="s">
        <v>2974</v>
      </c>
      <c r="B63" s="79">
        <v>763</v>
      </c>
      <c r="C63" s="79">
        <v>854</v>
      </c>
      <c r="D63" s="80">
        <v>-11</v>
      </c>
      <c r="E63" s="80">
        <v>-17</v>
      </c>
      <c r="F63" s="57">
        <v>16.18</v>
      </c>
      <c r="G63" s="80">
        <v>5223</v>
      </c>
      <c r="H63" s="30" t="s">
        <v>1461</v>
      </c>
      <c r="I63" s="16" t="s">
        <v>2220</v>
      </c>
      <c r="J63" s="8">
        <f>IFERROR(VLOOKUP($G63,今日總結!$A:$AN,33,0),"")</f>
        <v>0</v>
      </c>
      <c r="K63" s="5">
        <f>IFERROR(VLOOKUP($G63,今日總結!$A:$AN,34,0),"")</f>
        <v>0</v>
      </c>
      <c r="L63" s="156">
        <f>IFERROR(VLOOKUP($G63,今日總結!$A:$AN,31,0),"")</f>
        <v>0</v>
      </c>
      <c r="M63" s="337">
        <f>IFERROR(VLOOKUP($G63,今日總結!$A:$AN,32,0),"")</f>
        <v>4</v>
      </c>
      <c r="N63" s="240">
        <f t="shared" ref="N63:N65" si="31">IFERROR(L63-M63,"")</f>
        <v>-4</v>
      </c>
      <c r="O63" s="359">
        <f>IFERROR(VLOOKUP($G63,融外自投!$A:$J,7,0),"無")</f>
        <v>295</v>
      </c>
      <c r="P63" s="79" t="str">
        <f>IFERROR(VLOOKUP($G63,融外自投!$A:$J,9,0),"無")</f>
        <v>無</v>
      </c>
      <c r="Q63" s="342">
        <f>IFERROR(VLOOKUP($G63,融外自投!$A:$J,8,0),"無")</f>
        <v>103</v>
      </c>
      <c r="R63" s="81" t="str">
        <f>IFERROR(VLOOKUP($G63,融外自投!$A:$J,10,0),"無")</f>
        <v>無</v>
      </c>
      <c r="S63" s="324">
        <f>IFERROR(VLOOKUP($G63,'321買'!$A:$E,5,0),"'沒有資料'")</f>
        <v>0</v>
      </c>
      <c r="T63" s="34">
        <v>2.7</v>
      </c>
      <c r="U63" s="307"/>
      <c r="V63" s="57">
        <v>8.0500000000000007</v>
      </c>
      <c r="W63" s="13">
        <f>RTD("money.excel",,"5223","Price")</f>
        <v>46.2</v>
      </c>
      <c r="X63" s="66">
        <f>68.1-3.41</f>
        <v>64.69</v>
      </c>
      <c r="Y63" s="15">
        <f>W63-X63</f>
        <v>-18.489999999999995</v>
      </c>
      <c r="Z63" s="3">
        <f>Y63/X63</f>
        <v>-0.28582470242695929</v>
      </c>
      <c r="AA63" s="140" t="s">
        <v>1887</v>
      </c>
      <c r="AC63" s="16" t="s">
        <v>2220</v>
      </c>
      <c r="AD63" s="84">
        <v>44344</v>
      </c>
      <c r="AF63" s="33">
        <f>AE63-AD63</f>
        <v>-44344</v>
      </c>
      <c r="AG63" s="41" t="s">
        <v>1121</v>
      </c>
      <c r="AI63" s="8"/>
    </row>
    <row r="64" spans="1:39">
      <c r="A64" s="127" t="s">
        <v>2974</v>
      </c>
      <c r="B64" s="79">
        <v>763</v>
      </c>
      <c r="C64" s="79">
        <v>854</v>
      </c>
      <c r="D64" s="80">
        <v>-11</v>
      </c>
      <c r="E64" s="80">
        <v>-17</v>
      </c>
      <c r="F64" s="57">
        <v>16.18</v>
      </c>
      <c r="G64" s="80">
        <v>5223</v>
      </c>
      <c r="H64" s="30" t="s">
        <v>1461</v>
      </c>
      <c r="I64" s="16" t="s">
        <v>2220</v>
      </c>
      <c r="J64" s="8">
        <f>IFERROR(VLOOKUP($G64,今日總結!$A:$AN,33,0),"")</f>
        <v>0</v>
      </c>
      <c r="K64" s="5">
        <f>IFERROR(VLOOKUP($G64,今日總結!$A:$AN,34,0),"")</f>
        <v>0</v>
      </c>
      <c r="L64" s="156">
        <f>IFERROR(VLOOKUP($G64,今日總結!$A:$AN,31,0),"")</f>
        <v>0</v>
      </c>
      <c r="M64" s="337">
        <f>IFERROR(VLOOKUP($G64,今日總結!$A:$AN,32,0),"")</f>
        <v>4</v>
      </c>
      <c r="N64" s="240">
        <f t="shared" si="31"/>
        <v>-4</v>
      </c>
      <c r="O64" s="359">
        <f>IFERROR(VLOOKUP($G64,融外自投!$A:$J,7,0),"無")</f>
        <v>295</v>
      </c>
      <c r="P64" s="79" t="str">
        <f>IFERROR(VLOOKUP($G64,融外自投!$A:$J,9,0),"無")</f>
        <v>無</v>
      </c>
      <c r="Q64" s="342">
        <f>IFERROR(VLOOKUP($G64,融外自投!$A:$J,8,0),"無")</f>
        <v>103</v>
      </c>
      <c r="R64" s="81" t="str">
        <f>IFERROR(VLOOKUP($G64,融外自投!$A:$J,10,0),"無")</f>
        <v>無</v>
      </c>
      <c r="S64" s="324">
        <f>IFERROR(VLOOKUP($G64,'321買'!$A:$E,5,0),"'沒有資料'")</f>
        <v>0</v>
      </c>
      <c r="T64" s="34">
        <v>2.7</v>
      </c>
      <c r="U64" s="307"/>
      <c r="V64" s="57">
        <v>8.0500000000000007</v>
      </c>
      <c r="W64" s="13">
        <f>RTD("money.excel",,"5223","Price")</f>
        <v>46.2</v>
      </c>
      <c r="X64" s="66">
        <f>64.5-3.41</f>
        <v>61.09</v>
      </c>
      <c r="Y64" s="15">
        <f>W64-X64</f>
        <v>-14.89</v>
      </c>
      <c r="Z64" s="3">
        <f>Y64/X64</f>
        <v>-0.24373874611229332</v>
      </c>
      <c r="AA64" s="140" t="s">
        <v>1887</v>
      </c>
      <c r="AC64" s="16" t="s">
        <v>2220</v>
      </c>
      <c r="AD64" s="84">
        <v>44329</v>
      </c>
      <c r="AF64" s="33">
        <f>AE64-AD64</f>
        <v>-44329</v>
      </c>
      <c r="AG64" s="41" t="s">
        <v>1121</v>
      </c>
      <c r="AI64" s="8"/>
    </row>
    <row r="65" spans="1:39">
      <c r="A65" s="127" t="s">
        <v>2974</v>
      </c>
      <c r="B65" s="79">
        <v>763</v>
      </c>
      <c r="C65" s="79">
        <v>854</v>
      </c>
      <c r="D65" s="80">
        <v>-11</v>
      </c>
      <c r="E65" s="80">
        <v>-17</v>
      </c>
      <c r="F65" s="57">
        <v>16.18</v>
      </c>
      <c r="G65" s="80">
        <v>5223</v>
      </c>
      <c r="H65" s="30" t="s">
        <v>1461</v>
      </c>
      <c r="I65" s="16" t="s">
        <v>2220</v>
      </c>
      <c r="J65" s="8">
        <f>IFERROR(VLOOKUP($G65,今日總結!$A:$AN,33,0),"")</f>
        <v>0</v>
      </c>
      <c r="K65" s="5">
        <f>IFERROR(VLOOKUP($G65,今日總結!$A:$AN,34,0),"")</f>
        <v>0</v>
      </c>
      <c r="L65" s="156">
        <f>IFERROR(VLOOKUP($G65,今日總結!$A:$AN,31,0),"")</f>
        <v>0</v>
      </c>
      <c r="M65" s="337">
        <f>IFERROR(VLOOKUP($G65,今日總結!$A:$AN,32,0),"")</f>
        <v>4</v>
      </c>
      <c r="N65" s="240">
        <f t="shared" si="31"/>
        <v>-4</v>
      </c>
      <c r="O65" s="359">
        <f>IFERROR(VLOOKUP($G65,融外自投!$A:$J,7,0),"無")</f>
        <v>295</v>
      </c>
      <c r="P65" s="79" t="str">
        <f>IFERROR(VLOOKUP($G65,融外自投!$A:$J,9,0),"無")</f>
        <v>無</v>
      </c>
      <c r="Q65" s="342">
        <f>IFERROR(VLOOKUP($G65,融外自投!$A:$J,8,0),"無")</f>
        <v>103</v>
      </c>
      <c r="R65" s="81" t="str">
        <f>IFERROR(VLOOKUP($G65,融外自投!$A:$J,10,0),"無")</f>
        <v>無</v>
      </c>
      <c r="S65" s="324">
        <f>IFERROR(VLOOKUP($G65,'321買'!$A:$E,5,0),"'沒有資料'")</f>
        <v>0</v>
      </c>
      <c r="T65" s="34">
        <v>2.7</v>
      </c>
      <c r="U65" s="307"/>
      <c r="V65" s="57">
        <v>8.0500000000000007</v>
      </c>
      <c r="W65" s="13">
        <f>RTD("money.excel",,"5223","Price")</f>
        <v>46.2</v>
      </c>
      <c r="X65" s="66">
        <f>83.1-3.41</f>
        <v>79.69</v>
      </c>
      <c r="Y65" s="15">
        <f>W65-X65</f>
        <v>-33.489999999999995</v>
      </c>
      <c r="Z65" s="3">
        <f>Y65/X65</f>
        <v>-0.42025348224369424</v>
      </c>
      <c r="AA65" s="140" t="s">
        <v>1887</v>
      </c>
      <c r="AC65" s="16" t="s">
        <v>2220</v>
      </c>
      <c r="AD65" s="84">
        <v>44313</v>
      </c>
      <c r="AF65" s="33">
        <f>AE65-AD65</f>
        <v>-44313</v>
      </c>
      <c r="AG65" s="41" t="s">
        <v>1121</v>
      </c>
      <c r="AI65" s="8"/>
    </row>
    <row r="66" spans="1:39" s="248" customFormat="1">
      <c r="A66" s="141"/>
      <c r="B66" s="79"/>
      <c r="C66" s="79"/>
      <c r="D66" s="79"/>
      <c r="E66" s="79"/>
      <c r="F66" s="6"/>
      <c r="G66" s="41"/>
      <c r="H66" s="8"/>
      <c r="I66" s="153"/>
      <c r="J66" s="1"/>
      <c r="K66" s="1"/>
      <c r="L66" s="123"/>
      <c r="M66" s="234"/>
      <c r="N66" s="338"/>
      <c r="O66" s="359"/>
      <c r="P66" s="47"/>
      <c r="Q66" s="342"/>
      <c r="R66" s="81"/>
      <c r="S66" s="324"/>
      <c r="T66" s="185"/>
      <c r="U66" s="307"/>
      <c r="V66" s="94"/>
      <c r="W66" s="165">
        <f>SUM(W62:W65)</f>
        <v>184.8</v>
      </c>
      <c r="X66" s="155">
        <f>SUM(X62:X65)</f>
        <v>258.77</v>
      </c>
      <c r="Y66" s="162">
        <f>W66-X66</f>
        <v>-73.96999999999997</v>
      </c>
      <c r="Z66" s="164">
        <f>Y66/X66</f>
        <v>-0.28585230127139921</v>
      </c>
      <c r="AA66" s="113"/>
      <c r="AB66" s="376"/>
      <c r="AC66" s="153">
        <f>W66*(0.001425*0.5)+W66*0.003+X66*(0.001425*0.5)</f>
        <v>0.87044362499999994</v>
      </c>
      <c r="AD66" s="6">
        <f>Y66-AC66</f>
        <v>-74.840443624999963</v>
      </c>
      <c r="AE66" s="83"/>
      <c r="AF66" s="33"/>
      <c r="AG66" s="41" t="s">
        <v>1122</v>
      </c>
      <c r="AH66" s="163"/>
    </row>
    <row r="67" spans="1:39" s="248" customFormat="1">
      <c r="A67" s="127"/>
      <c r="B67" s="90"/>
      <c r="C67" s="90"/>
      <c r="D67" s="90"/>
      <c r="E67" s="90"/>
      <c r="F67" s="8"/>
      <c r="G67" s="25"/>
      <c r="H67" s="55"/>
      <c r="I67" s="1"/>
      <c r="J67" s="1"/>
      <c r="K67" s="1"/>
      <c r="L67" s="123"/>
      <c r="M67" s="234"/>
      <c r="N67" s="338"/>
      <c r="O67" s="359"/>
      <c r="P67" s="47"/>
      <c r="Q67" s="342"/>
      <c r="R67" s="81"/>
      <c r="S67" s="324"/>
      <c r="T67" s="14"/>
      <c r="U67" s="309"/>
      <c r="V67" s="68"/>
      <c r="W67" s="28"/>
      <c r="X67" s="17"/>
      <c r="Y67" s="14"/>
      <c r="Z67" s="21"/>
      <c r="AA67" s="25"/>
      <c r="AB67" s="376"/>
      <c r="AC67" s="1"/>
      <c r="AD67" s="71"/>
      <c r="AE67" s="72"/>
      <c r="AF67" s="32"/>
      <c r="AG67" s="138"/>
      <c r="AH67" s="163"/>
    </row>
    <row r="68" spans="1:39" s="248" customFormat="1">
      <c r="A68" s="127" t="s">
        <v>1672</v>
      </c>
      <c r="B68" s="90" t="s">
        <v>1571</v>
      </c>
      <c r="C68" s="90" t="s">
        <v>1572</v>
      </c>
      <c r="D68" s="90" t="s">
        <v>1573</v>
      </c>
      <c r="E68" s="90" t="s">
        <v>1574</v>
      </c>
      <c r="F68" s="8" t="s">
        <v>1059</v>
      </c>
      <c r="G68" s="26" t="s">
        <v>3441</v>
      </c>
      <c r="H68" s="55" t="s">
        <v>320</v>
      </c>
      <c r="I68" s="1" t="s">
        <v>69</v>
      </c>
      <c r="J68" s="8" t="s">
        <v>6211</v>
      </c>
      <c r="K68" s="5" t="s">
        <v>6212</v>
      </c>
      <c r="L68" s="334" t="s">
        <v>6197</v>
      </c>
      <c r="M68" s="335" t="s">
        <v>6198</v>
      </c>
      <c r="N68" s="336" t="s">
        <v>6199</v>
      </c>
      <c r="O68" s="89" t="s">
        <v>6275</v>
      </c>
      <c r="P68" s="292" t="s">
        <v>6274</v>
      </c>
      <c r="Q68" s="350" t="s">
        <v>6273</v>
      </c>
      <c r="R68" s="26" t="s">
        <v>6276</v>
      </c>
      <c r="S68" s="318" t="s">
        <v>4715</v>
      </c>
      <c r="T68" s="14" t="s">
        <v>66</v>
      </c>
      <c r="U68" s="305" t="s">
        <v>4728</v>
      </c>
      <c r="V68" s="68" t="s">
        <v>3272</v>
      </c>
      <c r="W68" s="28" t="s">
        <v>2</v>
      </c>
      <c r="X68" s="17" t="s">
        <v>1398</v>
      </c>
      <c r="Y68" s="14" t="s">
        <v>2249</v>
      </c>
      <c r="Z68" s="21" t="s">
        <v>1469</v>
      </c>
      <c r="AA68" s="51" t="s">
        <v>6166</v>
      </c>
      <c r="AB68" s="102" t="s">
        <v>6404</v>
      </c>
      <c r="AC68" s="1" t="s">
        <v>69</v>
      </c>
      <c r="AD68" s="71" t="s">
        <v>1399</v>
      </c>
      <c r="AE68" s="72" t="s">
        <v>1156</v>
      </c>
      <c r="AF68" s="32" t="s">
        <v>1157</v>
      </c>
      <c r="AG68" s="138"/>
      <c r="AH68" s="163"/>
    </row>
    <row r="69" spans="1:39">
      <c r="A69" s="142" t="s">
        <v>1942</v>
      </c>
      <c r="B69" s="79">
        <v>5</v>
      </c>
      <c r="C69" s="79">
        <v>70</v>
      </c>
      <c r="D69" s="79">
        <v>1</v>
      </c>
      <c r="E69" s="79">
        <v>5</v>
      </c>
      <c r="F69" s="6">
        <v>4.54</v>
      </c>
      <c r="G69" s="79">
        <v>3015</v>
      </c>
      <c r="H69" s="30" t="s">
        <v>1461</v>
      </c>
      <c r="I69" s="22" t="s">
        <v>388</v>
      </c>
      <c r="J69" s="8">
        <f>IFERROR(VLOOKUP($G69,今日總結!$A:$AN,33,0),"")</f>
        <v>0</v>
      </c>
      <c r="K69" s="5">
        <f>IFERROR(VLOOKUP($G69,今日總結!$A:$AN,34,0),"")</f>
        <v>0</v>
      </c>
      <c r="L69" s="156">
        <f>IFERROR(VLOOKUP($G69,今日總結!$A:$AN,31,0),"")</f>
        <v>0</v>
      </c>
      <c r="M69" s="337">
        <f>IFERROR(VLOOKUP($G69,今日總結!$A:$AN,32,0),"")</f>
        <v>0</v>
      </c>
      <c r="N69" s="240">
        <f t="shared" ref="N69" si="32">IFERROR(L69-M69,"")</f>
        <v>0</v>
      </c>
      <c r="O69" s="359">
        <f>IFERROR(VLOOKUP($G69,融外自投!$A:$J,7,0),"無")</f>
        <v>822</v>
      </c>
      <c r="P69" s="79">
        <f>IFERROR(VLOOKUP($G69,融外自投!$A:$J,9,0),"無")</f>
        <v>990</v>
      </c>
      <c r="Q69" s="342">
        <f>IFERROR(VLOOKUP($G69,融外自投!$A:$J,8,0),"無")</f>
        <v>459</v>
      </c>
      <c r="R69" s="81">
        <f>IFERROR(VLOOKUP($G69,融外自投!$A:$J,10,0),"無")</f>
        <v>476</v>
      </c>
      <c r="S69" s="324">
        <f>IFERROR(VLOOKUP($G69,'321買'!$A:$E,5,0),"'沒有資料'")</f>
        <v>0</v>
      </c>
      <c r="T69" s="45">
        <v>3.3</v>
      </c>
      <c r="U69" s="305"/>
      <c r="V69" s="57">
        <v>3.68</v>
      </c>
      <c r="W69" s="36">
        <f>RTD("money.excel",,"3015","Price")</f>
        <v>41.1</v>
      </c>
      <c r="X69" s="66">
        <v>44.4</v>
      </c>
      <c r="Y69" s="15">
        <f>W69-X69</f>
        <v>-3.2999999999999972</v>
      </c>
      <c r="Z69" s="63">
        <f>Y69/X69</f>
        <v>-7.4324324324324259E-2</v>
      </c>
      <c r="AA69" s="99" t="s">
        <v>1499</v>
      </c>
      <c r="AC69" s="22" t="s">
        <v>388</v>
      </c>
      <c r="AD69" s="84">
        <v>44539</v>
      </c>
      <c r="AF69" s="33">
        <f>AE69-AD69</f>
        <v>-44539</v>
      </c>
      <c r="AG69" s="41" t="s">
        <v>1121</v>
      </c>
      <c r="AH69" s="221"/>
      <c r="AI69" s="22"/>
      <c r="AJ69" s="206"/>
      <c r="AK69" s="239"/>
      <c r="AL69" s="249"/>
      <c r="AM69" s="252"/>
    </row>
    <row r="70" spans="1:39" s="248" customFormat="1">
      <c r="A70" s="141"/>
      <c r="B70" s="79"/>
      <c r="C70" s="79"/>
      <c r="D70" s="79"/>
      <c r="E70" s="79"/>
      <c r="F70" s="6"/>
      <c r="G70" s="41"/>
      <c r="H70" s="8"/>
      <c r="I70" s="153"/>
      <c r="J70" s="1"/>
      <c r="K70" s="1"/>
      <c r="L70" s="123"/>
      <c r="M70" s="234"/>
      <c r="N70" s="338"/>
      <c r="O70" s="359"/>
      <c r="P70" s="47"/>
      <c r="Q70" s="342"/>
      <c r="R70" s="300"/>
      <c r="S70" s="319"/>
      <c r="T70" s="185"/>
      <c r="U70" s="305"/>
      <c r="V70" s="94"/>
      <c r="W70" s="165">
        <f>SUM(W69)</f>
        <v>41.1</v>
      </c>
      <c r="X70" s="155">
        <f>SUM(X69)</f>
        <v>44.4</v>
      </c>
      <c r="Y70" s="162">
        <f>W70-X70</f>
        <v>-3.2999999999999972</v>
      </c>
      <c r="Z70" s="164">
        <f>Y70/X70</f>
        <v>-7.4324324324324259E-2</v>
      </c>
      <c r="AA70" s="113"/>
      <c r="AB70" s="376"/>
      <c r="AC70" s="153">
        <f>W70*(0.001425*0.5)+W70*0.003+X70*(0.001425*0.5)</f>
        <v>0.18421875000000001</v>
      </c>
      <c r="AD70" s="6">
        <f>Y70-AC70</f>
        <v>-3.484218749999997</v>
      </c>
      <c r="AE70" s="83"/>
      <c r="AF70" s="33"/>
      <c r="AG70" s="41" t="s">
        <v>1121</v>
      </c>
      <c r="AH70" s="163"/>
    </row>
    <row r="71" spans="1:39" s="248" customFormat="1">
      <c r="A71" s="141"/>
      <c r="B71" s="79"/>
      <c r="C71" s="79"/>
      <c r="D71" s="79"/>
      <c r="E71" s="79"/>
      <c r="F71" s="6"/>
      <c r="G71" s="41"/>
      <c r="H71" s="8"/>
      <c r="I71" s="153"/>
      <c r="J71" s="1"/>
      <c r="K71" s="1"/>
      <c r="L71" s="123"/>
      <c r="M71" s="234"/>
      <c r="N71" s="338"/>
      <c r="O71" s="359"/>
      <c r="P71" s="47"/>
      <c r="Q71" s="342"/>
      <c r="R71" s="300"/>
      <c r="S71" s="319"/>
      <c r="T71" s="185"/>
      <c r="U71" s="305"/>
      <c r="V71" s="94"/>
      <c r="W71" s="165"/>
      <c r="X71" s="155"/>
      <c r="Y71" s="162"/>
      <c r="Z71" s="164"/>
      <c r="AA71" s="113"/>
      <c r="AB71" s="376"/>
      <c r="AC71" s="153"/>
      <c r="AD71" s="6"/>
      <c r="AE71" s="83"/>
      <c r="AF71" s="33"/>
      <c r="AG71" s="41"/>
      <c r="AH71" s="163"/>
    </row>
    <row r="72" spans="1:39" s="248" customFormat="1">
      <c r="A72" s="127" t="s">
        <v>1672</v>
      </c>
      <c r="B72" s="90" t="s">
        <v>1571</v>
      </c>
      <c r="C72" s="90" t="s">
        <v>1572</v>
      </c>
      <c r="D72" s="90" t="s">
        <v>1573</v>
      </c>
      <c r="E72" s="90" t="s">
        <v>1574</v>
      </c>
      <c r="F72" s="8" t="s">
        <v>1059</v>
      </c>
      <c r="G72" s="26" t="s">
        <v>3441</v>
      </c>
      <c r="H72" s="55" t="s">
        <v>320</v>
      </c>
      <c r="I72" s="1" t="s">
        <v>69</v>
      </c>
      <c r="J72" s="8" t="s">
        <v>6211</v>
      </c>
      <c r="K72" s="5" t="s">
        <v>6212</v>
      </c>
      <c r="L72" s="334" t="s">
        <v>6197</v>
      </c>
      <c r="M72" s="335" t="s">
        <v>6198</v>
      </c>
      <c r="N72" s="336" t="s">
        <v>6199</v>
      </c>
      <c r="O72" s="89" t="s">
        <v>6275</v>
      </c>
      <c r="P72" s="292" t="s">
        <v>6274</v>
      </c>
      <c r="Q72" s="350" t="s">
        <v>6273</v>
      </c>
      <c r="R72" s="26" t="s">
        <v>6276</v>
      </c>
      <c r="S72" s="318" t="s">
        <v>4715</v>
      </c>
      <c r="T72" s="14" t="s">
        <v>66</v>
      </c>
      <c r="U72" s="305" t="s">
        <v>4728</v>
      </c>
      <c r="V72" s="68" t="s">
        <v>3272</v>
      </c>
      <c r="W72" s="28" t="s">
        <v>2</v>
      </c>
      <c r="X72" s="17" t="s">
        <v>1398</v>
      </c>
      <c r="Y72" s="14" t="s">
        <v>2249</v>
      </c>
      <c r="Z72" s="21" t="s">
        <v>1469</v>
      </c>
      <c r="AA72" s="51" t="s">
        <v>6166</v>
      </c>
      <c r="AB72" s="102" t="s">
        <v>6404</v>
      </c>
      <c r="AC72" s="1" t="s">
        <v>69</v>
      </c>
      <c r="AD72" s="71" t="s">
        <v>1399</v>
      </c>
      <c r="AE72" s="72" t="s">
        <v>1156</v>
      </c>
      <c r="AF72" s="32" t="s">
        <v>1157</v>
      </c>
      <c r="AG72" s="138"/>
      <c r="AH72" s="163"/>
    </row>
    <row r="73" spans="1:39">
      <c r="A73" s="127" t="s">
        <v>1726</v>
      </c>
      <c r="B73" s="79">
        <v>23</v>
      </c>
      <c r="C73" s="79">
        <v>22</v>
      </c>
      <c r="D73" s="79">
        <v>2</v>
      </c>
      <c r="E73" s="79">
        <v>30</v>
      </c>
      <c r="F73" s="57">
        <v>11.17</v>
      </c>
      <c r="G73" s="80">
        <v>1309</v>
      </c>
      <c r="H73" s="30" t="s">
        <v>1461</v>
      </c>
      <c r="I73" s="22" t="s">
        <v>315</v>
      </c>
      <c r="J73" s="8">
        <f>IFERROR(VLOOKUP($G73,今日總結!$A:$AN,33,0),"")</f>
        <v>0</v>
      </c>
      <c r="K73" s="5">
        <f>IFERROR(VLOOKUP($G73,今日總結!$A:$AN,34,0),"")</f>
        <v>0</v>
      </c>
      <c r="L73" s="156">
        <f>IFERROR(VLOOKUP($G73,今日總結!$A:$AN,31,0),"")</f>
        <v>7</v>
      </c>
      <c r="M73" s="337">
        <f>IFERROR(VLOOKUP($G73,今日總結!$A:$AN,32,0),"")</f>
        <v>0</v>
      </c>
      <c r="N73" s="240">
        <f t="shared" ref="N73" si="33">IFERROR(L73-M73,"")</f>
        <v>7</v>
      </c>
      <c r="O73" s="359">
        <f>IFERROR(VLOOKUP($G73,融外自投!$A:$J,7,0),"無")</f>
        <v>838</v>
      </c>
      <c r="P73" s="79">
        <f>IFERROR(VLOOKUP($G73,融外自投!$A:$J,9,0),"無")</f>
        <v>433</v>
      </c>
      <c r="Q73" s="342">
        <f>IFERROR(VLOOKUP($G73,融外自投!$A:$J,8,0),"無")</f>
        <v>947</v>
      </c>
      <c r="R73" s="81">
        <f>IFERROR(VLOOKUP($G73,融外自投!$A:$J,10,0),"無")</f>
        <v>495</v>
      </c>
      <c r="S73" s="324">
        <f>IFERROR(VLOOKUP($G73,'321買'!$A:$E,5,0),"'沒有資料'")</f>
        <v>0</v>
      </c>
      <c r="T73" s="34">
        <v>2.5</v>
      </c>
      <c r="V73" s="94">
        <v>6.21</v>
      </c>
      <c r="W73" s="36">
        <f>RTD("money.excel",,"1309","Price")</f>
        <v>27.85</v>
      </c>
      <c r="X73" s="66">
        <v>35.549999999999997</v>
      </c>
      <c r="Y73" s="15">
        <f>W73-X73</f>
        <v>-7.6999999999999957</v>
      </c>
      <c r="Z73" s="3">
        <f>Y73/X73</f>
        <v>-0.21659634317862156</v>
      </c>
      <c r="AA73" s="99" t="s">
        <v>3525</v>
      </c>
      <c r="AC73" s="22" t="s">
        <v>315</v>
      </c>
      <c r="AD73" s="84">
        <v>44525</v>
      </c>
      <c r="AF73" s="33">
        <f>AE73-AD73</f>
        <v>-44525</v>
      </c>
      <c r="AG73" s="41" t="s">
        <v>1121</v>
      </c>
      <c r="AI73" s="22"/>
      <c r="AJ73" s="206"/>
      <c r="AK73" s="239"/>
      <c r="AL73" s="249"/>
      <c r="AM73" s="251"/>
    </row>
    <row r="74" spans="1:39" s="248" customFormat="1">
      <c r="A74" s="141"/>
      <c r="B74" s="79"/>
      <c r="C74" s="79"/>
      <c r="D74" s="79"/>
      <c r="E74" s="79"/>
      <c r="F74" s="6"/>
      <c r="G74" s="41"/>
      <c r="H74" s="8"/>
      <c r="I74" s="153"/>
      <c r="J74" s="1"/>
      <c r="K74" s="1"/>
      <c r="L74" s="123"/>
      <c r="M74" s="234"/>
      <c r="N74" s="338"/>
      <c r="O74" s="359"/>
      <c r="P74" s="47"/>
      <c r="Q74" s="342"/>
      <c r="R74" s="300"/>
      <c r="S74" s="319"/>
      <c r="T74" s="185"/>
      <c r="U74" s="308"/>
      <c r="V74" s="94"/>
      <c r="W74" s="165">
        <f>SUM(W73)</f>
        <v>27.85</v>
      </c>
      <c r="X74" s="155">
        <f>SUM(X73)</f>
        <v>35.549999999999997</v>
      </c>
      <c r="Y74" s="162">
        <f>W74-X74</f>
        <v>-7.6999999999999957</v>
      </c>
      <c r="Z74" s="164">
        <f>Y74/X74</f>
        <v>-0.21659634317862156</v>
      </c>
      <c r="AA74" s="113"/>
      <c r="AB74" s="376"/>
      <c r="AC74" s="153">
        <f>W74*(0.001425*0.5)+W74*0.003+X74*(0.001425*0.5)</f>
        <v>0.12872249999999999</v>
      </c>
      <c r="AD74" s="6">
        <f>Y74-AC74</f>
        <v>-7.828722499999996</v>
      </c>
      <c r="AE74" s="83"/>
      <c r="AF74" s="33"/>
      <c r="AG74" s="41" t="s">
        <v>1121</v>
      </c>
      <c r="AH74" s="163"/>
    </row>
    <row r="75" spans="1:39" s="248" customFormat="1">
      <c r="A75" s="141"/>
      <c r="B75" s="79"/>
      <c r="C75" s="79"/>
      <c r="D75" s="79"/>
      <c r="E75" s="79"/>
      <c r="F75" s="6"/>
      <c r="G75" s="41"/>
      <c r="H75" s="8"/>
      <c r="I75" s="153"/>
      <c r="J75" s="1"/>
      <c r="K75" s="1"/>
      <c r="L75" s="123"/>
      <c r="M75" s="234"/>
      <c r="N75" s="338"/>
      <c r="O75" s="359"/>
      <c r="P75" s="292"/>
      <c r="Q75" s="342"/>
      <c r="R75" s="300"/>
      <c r="S75" s="319"/>
      <c r="T75" s="185"/>
      <c r="U75" s="308"/>
      <c r="V75" s="94"/>
      <c r="W75" s="165"/>
      <c r="X75" s="155"/>
      <c r="Y75" s="162"/>
      <c r="Z75" s="164"/>
      <c r="AA75" s="113"/>
      <c r="AB75" s="376"/>
      <c r="AC75" s="153"/>
      <c r="AD75" s="6"/>
      <c r="AE75" s="83"/>
      <c r="AF75" s="33"/>
      <c r="AG75" s="41"/>
      <c r="AH75" s="163"/>
    </row>
    <row r="76" spans="1:39" s="248" customFormat="1">
      <c r="A76" s="127" t="s">
        <v>1672</v>
      </c>
      <c r="B76" s="90" t="s">
        <v>1571</v>
      </c>
      <c r="C76" s="90" t="s">
        <v>1572</v>
      </c>
      <c r="D76" s="90" t="s">
        <v>1573</v>
      </c>
      <c r="E76" s="90" t="s">
        <v>1574</v>
      </c>
      <c r="F76" s="8" t="s">
        <v>1059</v>
      </c>
      <c r="G76" s="26" t="s">
        <v>3441</v>
      </c>
      <c r="H76" s="55" t="s">
        <v>320</v>
      </c>
      <c r="I76" s="1" t="s">
        <v>2248</v>
      </c>
      <c r="J76" s="8" t="s">
        <v>6211</v>
      </c>
      <c r="K76" s="5" t="s">
        <v>6212</v>
      </c>
      <c r="L76" s="334" t="s">
        <v>6197</v>
      </c>
      <c r="M76" s="335" t="s">
        <v>6198</v>
      </c>
      <c r="N76" s="336" t="s">
        <v>6199</v>
      </c>
      <c r="O76" s="89" t="s">
        <v>6275</v>
      </c>
      <c r="P76" s="292" t="s">
        <v>6274</v>
      </c>
      <c r="Q76" s="350" t="s">
        <v>6273</v>
      </c>
      <c r="R76" s="26" t="s">
        <v>6276</v>
      </c>
      <c r="S76" s="318" t="s">
        <v>4715</v>
      </c>
      <c r="T76" s="14" t="s">
        <v>66</v>
      </c>
      <c r="U76" s="305" t="s">
        <v>4728</v>
      </c>
      <c r="V76" s="68" t="s">
        <v>3272</v>
      </c>
      <c r="W76" s="28" t="s">
        <v>2</v>
      </c>
      <c r="X76" s="17" t="s">
        <v>1398</v>
      </c>
      <c r="Y76" s="14" t="s">
        <v>5</v>
      </c>
      <c r="Z76" s="21" t="s">
        <v>3</v>
      </c>
      <c r="AA76" s="51" t="s">
        <v>6166</v>
      </c>
      <c r="AB76" s="102" t="s">
        <v>6404</v>
      </c>
      <c r="AC76" s="1" t="s">
        <v>2248</v>
      </c>
      <c r="AD76" s="71" t="s">
        <v>1399</v>
      </c>
      <c r="AE76" s="72" t="s">
        <v>1156</v>
      </c>
      <c r="AF76" s="32" t="s">
        <v>1157</v>
      </c>
      <c r="AG76" s="138"/>
      <c r="AH76" s="163"/>
    </row>
    <row r="77" spans="1:39">
      <c r="A77" s="127" t="s">
        <v>1675</v>
      </c>
      <c r="B77" s="79">
        <v>86</v>
      </c>
      <c r="C77" s="79">
        <v>124</v>
      </c>
      <c r="D77" s="80">
        <v>-5</v>
      </c>
      <c r="E77" s="79">
        <v>7</v>
      </c>
      <c r="F77" s="57">
        <v>25.67</v>
      </c>
      <c r="G77" s="79">
        <v>5471</v>
      </c>
      <c r="H77" s="30" t="s">
        <v>1461</v>
      </c>
      <c r="I77" s="22" t="s">
        <v>352</v>
      </c>
      <c r="J77" s="8">
        <f>IFERROR(VLOOKUP($G77,今日總結!$A:$AN,33,0),"")</f>
        <v>0</v>
      </c>
      <c r="K77" s="5">
        <f>IFERROR(VLOOKUP($G77,今日總結!$A:$AN,34,0),"")</f>
        <v>0</v>
      </c>
      <c r="L77" s="156">
        <f>IFERROR(VLOOKUP($G77,今日總結!$A:$AN,31,0),"")</f>
        <v>1</v>
      </c>
      <c r="M77" s="337">
        <f>IFERROR(VLOOKUP($G77,今日總結!$A:$AN,32,0),"")</f>
        <v>0</v>
      </c>
      <c r="N77" s="240">
        <f t="shared" ref="N77:N78" si="34">IFERROR(L77-M77,"")</f>
        <v>1</v>
      </c>
      <c r="O77" s="359">
        <f>IFERROR(VLOOKUP($G77,融外自投!$A:$J,7,0),"無")</f>
        <v>353</v>
      </c>
      <c r="P77" s="79">
        <f>IFERROR(VLOOKUP($G77,融外自投!$A:$J,9,0),"無")</f>
        <v>908</v>
      </c>
      <c r="Q77" s="342">
        <f>IFERROR(VLOOKUP($G77,融外自投!$A:$J,8,0),"無")</f>
        <v>425</v>
      </c>
      <c r="R77" s="81">
        <f>IFERROR(VLOOKUP($G77,融外自投!$A:$J,10,0),"無")</f>
        <v>389</v>
      </c>
      <c r="S77" s="324">
        <f>IFERROR(VLOOKUP($G77,'321買'!$A:$E,5,0),"'沒有資料'")</f>
        <v>0</v>
      </c>
      <c r="T77" s="45">
        <v>7</v>
      </c>
      <c r="V77" s="94">
        <v>6.85</v>
      </c>
      <c r="W77" s="36">
        <f>RTD("money.excel",,"5471","Price")</f>
        <v>74.099999999999994</v>
      </c>
      <c r="X77" s="66">
        <v>91.8</v>
      </c>
      <c r="Y77" s="15">
        <f>W77-X77</f>
        <v>-17.700000000000003</v>
      </c>
      <c r="Z77" s="76">
        <f>Y77/X77</f>
        <v>-0.19281045751633991</v>
      </c>
      <c r="AA77" s="100" t="s">
        <v>3354</v>
      </c>
      <c r="AC77" s="22" t="s">
        <v>352</v>
      </c>
      <c r="AD77" s="84">
        <v>44525</v>
      </c>
      <c r="AF77" s="33">
        <f>AE77-AD77</f>
        <v>-44525</v>
      </c>
      <c r="AG77" s="41" t="s">
        <v>1121</v>
      </c>
      <c r="AH77" s="221"/>
      <c r="AI77" s="243"/>
    </row>
    <row r="78" spans="1:39">
      <c r="A78" s="127" t="s">
        <v>1675</v>
      </c>
      <c r="B78" s="79">
        <v>86</v>
      </c>
      <c r="C78" s="79">
        <v>124</v>
      </c>
      <c r="D78" s="80">
        <v>-5</v>
      </c>
      <c r="E78" s="79">
        <v>7</v>
      </c>
      <c r="F78" s="57">
        <v>25.67</v>
      </c>
      <c r="G78" s="79">
        <v>5471</v>
      </c>
      <c r="H78" s="30" t="s">
        <v>1461</v>
      </c>
      <c r="I78" s="22" t="s">
        <v>352</v>
      </c>
      <c r="J78" s="8">
        <f>IFERROR(VLOOKUP($G78,今日總結!$A:$AN,33,0),"")</f>
        <v>0</v>
      </c>
      <c r="K78" s="5">
        <f>IFERROR(VLOOKUP($G78,今日總結!$A:$AN,34,0),"")</f>
        <v>0</v>
      </c>
      <c r="L78" s="156">
        <f>IFERROR(VLOOKUP($G78,今日總結!$A:$AN,31,0),"")</f>
        <v>1</v>
      </c>
      <c r="M78" s="337">
        <f>IFERROR(VLOOKUP($G78,今日總結!$A:$AN,32,0),"")</f>
        <v>0</v>
      </c>
      <c r="N78" s="240">
        <f t="shared" si="34"/>
        <v>1</v>
      </c>
      <c r="O78" s="359">
        <f>IFERROR(VLOOKUP($G78,融外自投!$A:$J,7,0),"無")</f>
        <v>353</v>
      </c>
      <c r="P78" s="79">
        <f>IFERROR(VLOOKUP($G78,融外自投!$A:$J,9,0),"無")</f>
        <v>908</v>
      </c>
      <c r="Q78" s="342">
        <f>IFERROR(VLOOKUP($G78,融外自投!$A:$J,8,0),"無")</f>
        <v>425</v>
      </c>
      <c r="R78" s="81">
        <f>IFERROR(VLOOKUP($G78,融外自投!$A:$J,10,0),"無")</f>
        <v>389</v>
      </c>
      <c r="S78" s="324">
        <f>IFERROR(VLOOKUP($G78,'321買'!$A:$E,5,0),"'沒有資料'")</f>
        <v>0</v>
      </c>
      <c r="T78" s="45">
        <v>7</v>
      </c>
      <c r="U78" s="305"/>
      <c r="V78" s="94">
        <v>6.85</v>
      </c>
      <c r="W78" s="36">
        <f>RTD("money.excel",,"5471","Price")</f>
        <v>74.099999999999994</v>
      </c>
      <c r="X78" s="66">
        <f>115.5-5.7</f>
        <v>109.8</v>
      </c>
      <c r="Y78" s="15">
        <f>W78-X78</f>
        <v>-35.700000000000003</v>
      </c>
      <c r="Z78" s="76">
        <f>Y78/X78</f>
        <v>-0.32513661202185795</v>
      </c>
      <c r="AA78" s="100" t="s">
        <v>3354</v>
      </c>
      <c r="AC78" s="22" t="s">
        <v>352</v>
      </c>
      <c r="AD78" s="84">
        <v>44364</v>
      </c>
      <c r="AF78" s="33">
        <f>AE78-AD78</f>
        <v>-44364</v>
      </c>
      <c r="AG78" s="41" t="s">
        <v>1121</v>
      </c>
      <c r="AH78" s="221"/>
      <c r="AI78" s="243"/>
    </row>
    <row r="79" spans="1:39" s="248" customFormat="1">
      <c r="A79" s="141"/>
      <c r="B79" s="79"/>
      <c r="C79" s="79"/>
      <c r="D79" s="79"/>
      <c r="E79" s="79"/>
      <c r="F79" s="6"/>
      <c r="G79" s="41"/>
      <c r="H79" s="8"/>
      <c r="I79" s="153"/>
      <c r="J79" s="1"/>
      <c r="K79" s="1"/>
      <c r="L79" s="245"/>
      <c r="M79" s="234"/>
      <c r="N79" s="338"/>
      <c r="O79" s="359"/>
      <c r="P79" s="47"/>
      <c r="Q79" s="342"/>
      <c r="R79" s="300"/>
      <c r="S79" s="324"/>
      <c r="T79" s="185"/>
      <c r="U79" s="307"/>
      <c r="V79" s="94"/>
      <c r="W79" s="165">
        <f>SUM(W77:W78)</f>
        <v>148.19999999999999</v>
      </c>
      <c r="X79" s="155">
        <f>SUM(X77:X78)</f>
        <v>201.6</v>
      </c>
      <c r="Y79" s="162">
        <f>W79-X79</f>
        <v>-53.400000000000006</v>
      </c>
      <c r="Z79" s="164">
        <f>Y79/X79</f>
        <v>-0.26488095238095244</v>
      </c>
      <c r="AA79" s="113"/>
      <c r="AB79" s="376"/>
      <c r="AC79" s="153">
        <f>W79*(0.001425*0.5)+W79*0.003+X79*(0.001425*0.5)</f>
        <v>0.69383249999999996</v>
      </c>
      <c r="AD79" s="6">
        <f>Y79-AC79</f>
        <v>-54.093832500000005</v>
      </c>
      <c r="AE79" s="83"/>
      <c r="AF79" s="33"/>
      <c r="AG79" s="41" t="s">
        <v>1501</v>
      </c>
      <c r="AH79" s="163"/>
    </row>
    <row r="80" spans="1:39" s="248" customFormat="1">
      <c r="A80" s="141"/>
      <c r="B80" s="79"/>
      <c r="C80" s="79"/>
      <c r="D80" s="79"/>
      <c r="E80" s="79"/>
      <c r="F80" s="6"/>
      <c r="G80" s="41"/>
      <c r="H80" s="8"/>
      <c r="I80" s="153"/>
      <c r="J80" s="1"/>
      <c r="K80" s="1"/>
      <c r="L80" s="123"/>
      <c r="M80" s="234"/>
      <c r="N80" s="338"/>
      <c r="O80" s="359"/>
      <c r="P80" s="47"/>
      <c r="Q80" s="342"/>
      <c r="R80" s="300"/>
      <c r="S80" s="319"/>
      <c r="T80" s="185"/>
      <c r="U80" s="307"/>
      <c r="V80" s="94"/>
      <c r="W80" s="165"/>
      <c r="X80" s="155"/>
      <c r="Y80" s="162"/>
      <c r="Z80" s="164"/>
      <c r="AA80" s="113"/>
      <c r="AB80" s="376"/>
      <c r="AC80" s="153"/>
      <c r="AD80" s="6"/>
      <c r="AE80" s="83"/>
      <c r="AF80" s="33"/>
      <c r="AG80" s="41"/>
      <c r="AH80" s="163"/>
    </row>
    <row r="81" spans="1:39" s="248" customFormat="1">
      <c r="A81" s="127" t="s">
        <v>1672</v>
      </c>
      <c r="B81" s="90" t="s">
        <v>1571</v>
      </c>
      <c r="C81" s="90" t="s">
        <v>1572</v>
      </c>
      <c r="D81" s="90" t="s">
        <v>1573</v>
      </c>
      <c r="E81" s="90" t="s">
        <v>1574</v>
      </c>
      <c r="F81" s="8" t="s">
        <v>1059</v>
      </c>
      <c r="G81" s="26" t="s">
        <v>3441</v>
      </c>
      <c r="H81" s="55" t="s">
        <v>320</v>
      </c>
      <c r="I81" s="1" t="s">
        <v>2248</v>
      </c>
      <c r="J81" s="8" t="s">
        <v>6211</v>
      </c>
      <c r="K81" s="5" t="s">
        <v>6212</v>
      </c>
      <c r="L81" s="334" t="s">
        <v>6197</v>
      </c>
      <c r="M81" s="335" t="s">
        <v>6198</v>
      </c>
      <c r="N81" s="336" t="s">
        <v>6199</v>
      </c>
      <c r="O81" s="89" t="s">
        <v>6275</v>
      </c>
      <c r="P81" s="292" t="s">
        <v>6274</v>
      </c>
      <c r="Q81" s="350" t="s">
        <v>6273</v>
      </c>
      <c r="R81" s="26" t="s">
        <v>6276</v>
      </c>
      <c r="S81" s="318" t="s">
        <v>4715</v>
      </c>
      <c r="T81" s="14" t="s">
        <v>66</v>
      </c>
      <c r="U81" s="305" t="s">
        <v>4728</v>
      </c>
      <c r="V81" s="68" t="s">
        <v>3272</v>
      </c>
      <c r="W81" s="28" t="s">
        <v>2</v>
      </c>
      <c r="X81" s="17" t="s">
        <v>1398</v>
      </c>
      <c r="Y81" s="14" t="s">
        <v>2249</v>
      </c>
      <c r="Z81" s="21" t="s">
        <v>1469</v>
      </c>
      <c r="AA81" s="51" t="s">
        <v>6166</v>
      </c>
      <c r="AB81" s="102" t="s">
        <v>6404</v>
      </c>
      <c r="AC81" s="1" t="s">
        <v>2248</v>
      </c>
      <c r="AD81" s="71" t="s">
        <v>1399</v>
      </c>
      <c r="AE81" s="72" t="s">
        <v>1156</v>
      </c>
      <c r="AF81" s="32" t="s">
        <v>1157</v>
      </c>
      <c r="AG81" s="138"/>
      <c r="AH81" s="163"/>
    </row>
    <row r="82" spans="1:39">
      <c r="A82" s="127" t="s">
        <v>1655</v>
      </c>
      <c r="B82" s="92">
        <v>4675</v>
      </c>
      <c r="C82" s="79">
        <v>279</v>
      </c>
      <c r="D82" s="79">
        <v>30</v>
      </c>
      <c r="E82" s="79">
        <v>31</v>
      </c>
      <c r="F82" s="57">
        <v>14.09</v>
      </c>
      <c r="G82" s="79">
        <v>8936</v>
      </c>
      <c r="H82" s="30" t="s">
        <v>1461</v>
      </c>
      <c r="I82" s="16" t="s">
        <v>668</v>
      </c>
      <c r="J82" s="8">
        <f>IFERROR(VLOOKUP($G82,今日總結!$A:$AN,33,0),"")</f>
        <v>0</v>
      </c>
      <c r="K82" s="5">
        <f>IFERROR(VLOOKUP($G82,今日總結!$A:$AN,34,0),"")</f>
        <v>0</v>
      </c>
      <c r="L82" s="156">
        <f>IFERROR(VLOOKUP($G82,今日總結!$A:$AN,31,0),"")</f>
        <v>0</v>
      </c>
      <c r="M82" s="337">
        <f>IFERROR(VLOOKUP($G82,今日總結!$A:$AN,32,0),"")</f>
        <v>3</v>
      </c>
      <c r="N82" s="240">
        <f t="shared" ref="N82:N84" si="35">IFERROR(L82-M82,"")</f>
        <v>-3</v>
      </c>
      <c r="O82" s="359">
        <f>IFERROR(VLOOKUP($G82,融外自投!$A:$J,7,0),"無")</f>
        <v>207</v>
      </c>
      <c r="P82" s="79">
        <f>IFERROR(VLOOKUP($G82,融外自投!$A:$J,9,0),"無")</f>
        <v>1051</v>
      </c>
      <c r="Q82" s="342">
        <f>IFERROR(VLOOKUP($G82,融外自投!$A:$J,8,0),"無")</f>
        <v>714</v>
      </c>
      <c r="R82" s="81" t="str">
        <f>IFERROR(VLOOKUP($G82,融外自投!$A:$J,10,0),"無")</f>
        <v>無</v>
      </c>
      <c r="S82" s="324">
        <f>IFERROR(VLOOKUP($G82,'321買'!$A:$E,5,0),"'沒有資料'")</f>
        <v>0</v>
      </c>
      <c r="T82" s="34">
        <v>0.5</v>
      </c>
      <c r="V82" s="94">
        <v>0.84</v>
      </c>
      <c r="W82" s="36">
        <f>RTD("money.excel",,"8936","Price")</f>
        <v>19.850000000000001</v>
      </c>
      <c r="X82" s="66">
        <f>25.1-0.25</f>
        <v>24.85</v>
      </c>
      <c r="Y82" s="15">
        <f>W82-X82</f>
        <v>-5</v>
      </c>
      <c r="Z82" s="3">
        <f>Y82/X82</f>
        <v>-0.20120724346076457</v>
      </c>
      <c r="AA82" s="101" t="s">
        <v>1721</v>
      </c>
      <c r="AC82" s="16" t="s">
        <v>668</v>
      </c>
      <c r="AD82" s="84">
        <v>44383</v>
      </c>
      <c r="AF82" s="33">
        <f>AE82-AD82</f>
        <v>-44383</v>
      </c>
      <c r="AG82" s="41" t="s">
        <v>1121</v>
      </c>
      <c r="AI82" s="8"/>
    </row>
    <row r="83" spans="1:39">
      <c r="A83" s="127" t="s">
        <v>1655</v>
      </c>
      <c r="B83" s="92">
        <v>4675</v>
      </c>
      <c r="C83" s="79">
        <v>279</v>
      </c>
      <c r="D83" s="79">
        <v>30</v>
      </c>
      <c r="E83" s="79">
        <v>31</v>
      </c>
      <c r="F83" s="57">
        <v>14.09</v>
      </c>
      <c r="G83" s="79">
        <v>8936</v>
      </c>
      <c r="H83" s="30" t="s">
        <v>1461</v>
      </c>
      <c r="I83" s="16" t="s">
        <v>668</v>
      </c>
      <c r="J83" s="8">
        <f>IFERROR(VLOOKUP($G83,今日總結!$A:$AN,33,0),"")</f>
        <v>0</v>
      </c>
      <c r="K83" s="5">
        <f>IFERROR(VLOOKUP($G83,今日總結!$A:$AN,34,0),"")</f>
        <v>0</v>
      </c>
      <c r="L83" s="156">
        <f>IFERROR(VLOOKUP($G83,今日總結!$A:$AN,31,0),"")</f>
        <v>0</v>
      </c>
      <c r="M83" s="337">
        <f>IFERROR(VLOOKUP($G83,今日總結!$A:$AN,32,0),"")</f>
        <v>3</v>
      </c>
      <c r="N83" s="240">
        <f t="shared" si="35"/>
        <v>-3</v>
      </c>
      <c r="O83" s="359">
        <f>IFERROR(VLOOKUP($G83,融外自投!$A:$J,7,0),"無")</f>
        <v>207</v>
      </c>
      <c r="P83" s="79">
        <f>IFERROR(VLOOKUP($G83,融外自投!$A:$J,9,0),"無")</f>
        <v>1051</v>
      </c>
      <c r="Q83" s="342">
        <f>IFERROR(VLOOKUP($G83,融外自投!$A:$J,8,0),"無")</f>
        <v>714</v>
      </c>
      <c r="R83" s="81" t="str">
        <f>IFERROR(VLOOKUP($G83,融外自投!$A:$J,10,0),"無")</f>
        <v>無</v>
      </c>
      <c r="S83" s="324">
        <f>IFERROR(VLOOKUP($G83,'321買'!$A:$E,5,0),"'沒有資料'")</f>
        <v>0</v>
      </c>
      <c r="T83" s="34">
        <v>0.5</v>
      </c>
      <c r="V83" s="94">
        <v>0.84</v>
      </c>
      <c r="W83" s="36">
        <f>RTD("money.excel",,"8936","Price")</f>
        <v>19.850000000000001</v>
      </c>
      <c r="X83" s="66">
        <f>27.85-0.25</f>
        <v>27.6</v>
      </c>
      <c r="Y83" s="15">
        <f>W83-X83</f>
        <v>-7.75</v>
      </c>
      <c r="Z83" s="3">
        <f>Y83/X83</f>
        <v>-0.28079710144927533</v>
      </c>
      <c r="AA83" s="101" t="s">
        <v>1721</v>
      </c>
      <c r="AC83" s="16" t="s">
        <v>668</v>
      </c>
      <c r="AD83" s="84">
        <v>44343</v>
      </c>
      <c r="AF83" s="33">
        <f>AE83-AD83</f>
        <v>-44343</v>
      </c>
      <c r="AG83" s="41" t="s">
        <v>1121</v>
      </c>
      <c r="AI83" s="8"/>
    </row>
    <row r="84" spans="1:39">
      <c r="A84" s="127" t="s">
        <v>1655</v>
      </c>
      <c r="B84" s="92">
        <v>4675</v>
      </c>
      <c r="C84" s="79">
        <v>279</v>
      </c>
      <c r="D84" s="79">
        <v>30</v>
      </c>
      <c r="E84" s="79">
        <v>31</v>
      </c>
      <c r="F84" s="57">
        <v>14.09</v>
      </c>
      <c r="G84" s="79">
        <v>8936</v>
      </c>
      <c r="H84" s="30" t="s">
        <v>1461</v>
      </c>
      <c r="I84" s="16" t="s">
        <v>668</v>
      </c>
      <c r="J84" s="8">
        <f>IFERROR(VLOOKUP($G84,今日總結!$A:$AN,33,0),"")</f>
        <v>0</v>
      </c>
      <c r="K84" s="5">
        <f>IFERROR(VLOOKUP($G84,今日總結!$A:$AN,34,0),"")</f>
        <v>0</v>
      </c>
      <c r="L84" s="156">
        <f>IFERROR(VLOOKUP($G84,今日總結!$A:$AN,31,0),"")</f>
        <v>0</v>
      </c>
      <c r="M84" s="337">
        <f>IFERROR(VLOOKUP($G84,今日總結!$A:$AN,32,0),"")</f>
        <v>3</v>
      </c>
      <c r="N84" s="240">
        <f t="shared" si="35"/>
        <v>-3</v>
      </c>
      <c r="O84" s="359">
        <f>IFERROR(VLOOKUP($G84,融外自投!$A:$J,7,0),"無")</f>
        <v>207</v>
      </c>
      <c r="P84" s="79">
        <f>IFERROR(VLOOKUP($G84,融外自投!$A:$J,9,0),"無")</f>
        <v>1051</v>
      </c>
      <c r="Q84" s="342">
        <f>IFERROR(VLOOKUP($G84,融外自投!$A:$J,8,0),"無")</f>
        <v>714</v>
      </c>
      <c r="R84" s="81" t="str">
        <f>IFERROR(VLOOKUP($G84,融外自投!$A:$J,10,0),"無")</f>
        <v>無</v>
      </c>
      <c r="S84" s="324">
        <f>IFERROR(VLOOKUP($G84,'321買'!$A:$E,5,0),"'沒有資料'")</f>
        <v>0</v>
      </c>
      <c r="T84" s="34">
        <v>0.5</v>
      </c>
      <c r="V84" s="94">
        <v>0.84</v>
      </c>
      <c r="W84" s="36">
        <f>RTD("money.excel",,"8936","Price")</f>
        <v>19.850000000000001</v>
      </c>
      <c r="X84" s="66">
        <f>30.3-0.25</f>
        <v>30.05</v>
      </c>
      <c r="Y84" s="15">
        <f>W84-X84</f>
        <v>-10.199999999999999</v>
      </c>
      <c r="Z84" s="3">
        <f>Y84/X84</f>
        <v>-0.33943427620632277</v>
      </c>
      <c r="AA84" s="101" t="s">
        <v>1721</v>
      </c>
      <c r="AC84" s="16" t="s">
        <v>668</v>
      </c>
      <c r="AD84" s="84">
        <v>44336</v>
      </c>
      <c r="AF84" s="33">
        <f>AE84-AD84</f>
        <v>-44336</v>
      </c>
      <c r="AG84" s="41" t="s">
        <v>1121</v>
      </c>
      <c r="AI84" s="8"/>
    </row>
    <row r="85" spans="1:39" s="248" customFormat="1">
      <c r="A85" s="141"/>
      <c r="B85" s="79"/>
      <c r="C85" s="79"/>
      <c r="D85" s="79"/>
      <c r="E85" s="79"/>
      <c r="F85" s="6"/>
      <c r="G85" s="41"/>
      <c r="H85" s="8"/>
      <c r="I85" s="153"/>
      <c r="J85" s="1"/>
      <c r="K85" s="1"/>
      <c r="L85" s="245"/>
      <c r="M85" s="234"/>
      <c r="N85" s="338"/>
      <c r="O85" s="359"/>
      <c r="P85" s="79"/>
      <c r="Q85" s="342"/>
      <c r="R85" s="81"/>
      <c r="S85" s="324"/>
      <c r="T85" s="185"/>
      <c r="U85" s="308"/>
      <c r="V85" s="94"/>
      <c r="W85" s="165">
        <f>SUM(W82:W84)</f>
        <v>59.550000000000004</v>
      </c>
      <c r="X85" s="155">
        <f>SUM(X82:X84)</f>
        <v>82.5</v>
      </c>
      <c r="Y85" s="162">
        <f>W85-X85</f>
        <v>-22.949999999999996</v>
      </c>
      <c r="Z85" s="164">
        <f>Y85/X85</f>
        <v>-0.27818181818181814</v>
      </c>
      <c r="AA85" s="113"/>
      <c r="AB85" s="376"/>
      <c r="AC85" s="153">
        <f>W85*(0.001425*0.5)+W85*0.003+X85*(0.001425*0.5)</f>
        <v>0.27986062500000003</v>
      </c>
      <c r="AD85" s="6">
        <f>Y85-AC85</f>
        <v>-23.229860624999997</v>
      </c>
      <c r="AE85" s="83"/>
      <c r="AF85" s="33"/>
      <c r="AG85" s="41" t="s">
        <v>1550</v>
      </c>
      <c r="AH85" s="163"/>
    </row>
    <row r="86" spans="1:39" s="248" customFormat="1">
      <c r="A86" s="141"/>
      <c r="B86" s="79"/>
      <c r="C86" s="79"/>
      <c r="D86" s="79"/>
      <c r="E86" s="79"/>
      <c r="F86" s="6"/>
      <c r="G86" s="41"/>
      <c r="H86" s="8"/>
      <c r="I86" s="153"/>
      <c r="J86" s="1"/>
      <c r="K86" s="1"/>
      <c r="L86" s="123"/>
      <c r="M86" s="234"/>
      <c r="N86" s="338"/>
      <c r="O86" s="359"/>
      <c r="P86" s="79"/>
      <c r="Q86" s="342"/>
      <c r="R86" s="81"/>
      <c r="S86" s="324"/>
      <c r="T86" s="185"/>
      <c r="U86" s="308"/>
      <c r="V86" s="94"/>
      <c r="W86" s="165"/>
      <c r="X86" s="155"/>
      <c r="Y86" s="162"/>
      <c r="Z86" s="164"/>
      <c r="AA86" s="113"/>
      <c r="AB86" s="376"/>
      <c r="AC86" s="153"/>
      <c r="AD86" s="6"/>
      <c r="AE86" s="83"/>
      <c r="AF86" s="33"/>
      <c r="AG86" s="41"/>
      <c r="AH86" s="163"/>
    </row>
    <row r="87" spans="1:39" s="248" customFormat="1">
      <c r="A87" s="127" t="s">
        <v>1672</v>
      </c>
      <c r="B87" s="90" t="s">
        <v>1571</v>
      </c>
      <c r="C87" s="90" t="s">
        <v>1572</v>
      </c>
      <c r="D87" s="90" t="s">
        <v>1573</v>
      </c>
      <c r="E87" s="90" t="s">
        <v>1574</v>
      </c>
      <c r="F87" s="8" t="s">
        <v>1059</v>
      </c>
      <c r="G87" s="26" t="s">
        <v>3441</v>
      </c>
      <c r="H87" s="55" t="s">
        <v>320</v>
      </c>
      <c r="I87" s="1" t="s">
        <v>2248</v>
      </c>
      <c r="J87" s="8" t="s">
        <v>6211</v>
      </c>
      <c r="K87" s="5" t="s">
        <v>6212</v>
      </c>
      <c r="L87" s="334" t="s">
        <v>6197</v>
      </c>
      <c r="M87" s="335" t="s">
        <v>6198</v>
      </c>
      <c r="N87" s="336" t="s">
        <v>6199</v>
      </c>
      <c r="O87" s="89" t="s">
        <v>6275</v>
      </c>
      <c r="P87" s="292" t="s">
        <v>6274</v>
      </c>
      <c r="Q87" s="350" t="s">
        <v>6273</v>
      </c>
      <c r="R87" s="26" t="s">
        <v>6276</v>
      </c>
      <c r="S87" s="318" t="s">
        <v>4715</v>
      </c>
      <c r="T87" s="14" t="s">
        <v>66</v>
      </c>
      <c r="U87" s="305" t="s">
        <v>4728</v>
      </c>
      <c r="V87" s="68" t="s">
        <v>3272</v>
      </c>
      <c r="W87" s="28" t="s">
        <v>2</v>
      </c>
      <c r="X87" s="17" t="s">
        <v>1398</v>
      </c>
      <c r="Y87" s="14" t="s">
        <v>2249</v>
      </c>
      <c r="Z87" s="21" t="s">
        <v>1469</v>
      </c>
      <c r="AA87" s="51" t="s">
        <v>6166</v>
      </c>
      <c r="AB87" s="102" t="s">
        <v>6404</v>
      </c>
      <c r="AC87" s="1" t="s">
        <v>2248</v>
      </c>
      <c r="AD87" s="71" t="s">
        <v>1399</v>
      </c>
      <c r="AE87" s="72" t="s">
        <v>1156</v>
      </c>
      <c r="AF87" s="32" t="s">
        <v>1157</v>
      </c>
      <c r="AG87" s="138"/>
      <c r="AH87" s="163"/>
    </row>
    <row r="88" spans="1:39">
      <c r="A88" s="142" t="s">
        <v>2970</v>
      </c>
      <c r="B88" s="79">
        <v>256</v>
      </c>
      <c r="C88" s="79">
        <v>355</v>
      </c>
      <c r="D88" s="80">
        <v>-3</v>
      </c>
      <c r="E88" s="80">
        <v>-18</v>
      </c>
      <c r="F88" s="6">
        <v>7.57</v>
      </c>
      <c r="G88" s="80">
        <v>3162</v>
      </c>
      <c r="H88" s="30" t="s">
        <v>1461</v>
      </c>
      <c r="I88" s="16" t="s">
        <v>531</v>
      </c>
      <c r="J88" s="8">
        <f>IFERROR(VLOOKUP($G88,今日總結!$A:$AN,33,0),"")</f>
        <v>1</v>
      </c>
      <c r="K88" s="5">
        <f>IFERROR(VLOOKUP($G88,今日總結!$A:$AN,34,0),"")</f>
        <v>0</v>
      </c>
      <c r="L88" s="156">
        <f>IFERROR(VLOOKUP($G88,今日總結!$A:$AN,31,0),"")</f>
        <v>0</v>
      </c>
      <c r="M88" s="337">
        <f>IFERROR(VLOOKUP($G88,今日總結!$A:$AN,32,0),"")</f>
        <v>0</v>
      </c>
      <c r="N88" s="240">
        <f t="shared" ref="N88" si="36">IFERROR(L88-M88,"")</f>
        <v>0</v>
      </c>
      <c r="O88" s="359">
        <f>IFERROR(VLOOKUP($G88,融外自投!$A:$J,7,0),"無")</f>
        <v>219</v>
      </c>
      <c r="P88" s="79" t="str">
        <f>IFERROR(VLOOKUP($G88,融外自投!$A:$J,9,0),"無")</f>
        <v>無</v>
      </c>
      <c r="Q88" s="342">
        <f>IFERROR(VLOOKUP($G88,融外自投!$A:$J,8,0),"無")</f>
        <v>73</v>
      </c>
      <c r="R88" s="81" t="str">
        <f>IFERROR(VLOOKUP($G88,融外自投!$A:$J,10,0),"無")</f>
        <v>無</v>
      </c>
      <c r="S88" s="324">
        <f>IFERROR(VLOOKUP($G88,'321買'!$A:$E,5,0),"'沒有資料'")</f>
        <v>0</v>
      </c>
      <c r="T88" s="34">
        <v>0</v>
      </c>
      <c r="U88" s="307"/>
      <c r="V88" s="57">
        <v>7.0000000000000007E-2</v>
      </c>
      <c r="W88" s="13">
        <f>RTD("money.excel",,"3162","Price")</f>
        <v>37.1</v>
      </c>
      <c r="X88" s="66">
        <v>46.2</v>
      </c>
      <c r="Y88" s="15">
        <f>W88-X88</f>
        <v>-9.1000000000000014</v>
      </c>
      <c r="Z88" s="76">
        <f>Y88/X88</f>
        <v>-0.19696969696969699</v>
      </c>
      <c r="AA88" s="135" t="s">
        <v>3517</v>
      </c>
      <c r="AC88" s="16" t="s">
        <v>531</v>
      </c>
      <c r="AD88" s="84">
        <v>44518</v>
      </c>
      <c r="AF88" s="33">
        <f>AE88-AD88</f>
        <v>-44518</v>
      </c>
      <c r="AG88" s="41" t="s">
        <v>1121</v>
      </c>
      <c r="AH88" s="221"/>
      <c r="AI88" s="16"/>
      <c r="AJ88" s="206"/>
      <c r="AK88" s="239"/>
      <c r="AL88" s="249"/>
      <c r="AM88" s="251"/>
    </row>
    <row r="89" spans="1:39" s="248" customFormat="1">
      <c r="A89" s="141"/>
      <c r="B89" s="79"/>
      <c r="C89" s="79"/>
      <c r="D89" s="79"/>
      <c r="E89" s="79"/>
      <c r="F89" s="6"/>
      <c r="G89" s="41"/>
      <c r="H89" s="8"/>
      <c r="I89" s="153"/>
      <c r="J89" s="1"/>
      <c r="K89" s="1"/>
      <c r="L89" s="123"/>
      <c r="M89" s="234"/>
      <c r="N89" s="338"/>
      <c r="O89" s="359"/>
      <c r="P89" s="47"/>
      <c r="Q89" s="342"/>
      <c r="R89" s="300"/>
      <c r="S89" s="324"/>
      <c r="T89" s="185"/>
      <c r="U89" s="307"/>
      <c r="V89" s="94"/>
      <c r="W89" s="165">
        <f>SUM(W88)</f>
        <v>37.1</v>
      </c>
      <c r="X89" s="155">
        <f>SUM(X88)</f>
        <v>46.2</v>
      </c>
      <c r="Y89" s="162">
        <f>W89-X89</f>
        <v>-9.1000000000000014</v>
      </c>
      <c r="Z89" s="164">
        <f>Y89/X89</f>
        <v>-0.19696969696969699</v>
      </c>
      <c r="AA89" s="113"/>
      <c r="AB89" s="376"/>
      <c r="AC89" s="153">
        <f>W89*(0.001425*0.5)+W89*0.003+X89*(0.001425*0.5)</f>
        <v>0.17065125000000003</v>
      </c>
      <c r="AD89" s="6">
        <f>Y89-AC89</f>
        <v>-9.270651250000002</v>
      </c>
      <c r="AE89" s="83"/>
      <c r="AF89" s="33"/>
      <c r="AG89" s="41" t="s">
        <v>1121</v>
      </c>
      <c r="AH89" s="163"/>
    </row>
    <row r="90" spans="1:39" s="248" customFormat="1">
      <c r="A90" s="141"/>
      <c r="B90" s="79"/>
      <c r="C90" s="79"/>
      <c r="D90" s="79"/>
      <c r="E90" s="79"/>
      <c r="F90" s="6"/>
      <c r="G90" s="41"/>
      <c r="H90" s="8"/>
      <c r="I90" s="153"/>
      <c r="J90" s="1"/>
      <c r="K90" s="1"/>
      <c r="L90" s="123"/>
      <c r="M90" s="234"/>
      <c r="N90" s="338"/>
      <c r="O90" s="359"/>
      <c r="P90" s="47"/>
      <c r="Q90" s="342"/>
      <c r="R90" s="300"/>
      <c r="S90" s="319"/>
      <c r="T90" s="185"/>
      <c r="U90" s="307"/>
      <c r="V90" s="94"/>
      <c r="W90" s="165"/>
      <c r="X90" s="155"/>
      <c r="Y90" s="162"/>
      <c r="Z90" s="164"/>
      <c r="AA90" s="113"/>
      <c r="AB90" s="376"/>
      <c r="AC90" s="153"/>
      <c r="AD90" s="6"/>
      <c r="AE90" s="83"/>
      <c r="AF90" s="33"/>
      <c r="AG90" s="41"/>
      <c r="AH90" s="163"/>
    </row>
    <row r="91" spans="1:39" s="248" customFormat="1">
      <c r="A91" s="127" t="s">
        <v>1672</v>
      </c>
      <c r="B91" s="90" t="s">
        <v>1571</v>
      </c>
      <c r="C91" s="90" t="s">
        <v>1572</v>
      </c>
      <c r="D91" s="90" t="s">
        <v>1573</v>
      </c>
      <c r="E91" s="90" t="s">
        <v>1574</v>
      </c>
      <c r="F91" s="8" t="s">
        <v>1059</v>
      </c>
      <c r="G91" s="26" t="s">
        <v>3441</v>
      </c>
      <c r="H91" s="55" t="s">
        <v>320</v>
      </c>
      <c r="I91" s="1" t="s">
        <v>2248</v>
      </c>
      <c r="J91" s="8" t="s">
        <v>6211</v>
      </c>
      <c r="K91" s="5" t="s">
        <v>6212</v>
      </c>
      <c r="L91" s="334" t="s">
        <v>6197</v>
      </c>
      <c r="M91" s="335" t="s">
        <v>6198</v>
      </c>
      <c r="N91" s="336" t="s">
        <v>6199</v>
      </c>
      <c r="O91" s="89" t="s">
        <v>6275</v>
      </c>
      <c r="P91" s="292" t="s">
        <v>6274</v>
      </c>
      <c r="Q91" s="350" t="s">
        <v>6273</v>
      </c>
      <c r="R91" s="26" t="s">
        <v>6276</v>
      </c>
      <c r="S91" s="318" t="s">
        <v>4715</v>
      </c>
      <c r="T91" s="14" t="s">
        <v>66</v>
      </c>
      <c r="U91" s="305" t="s">
        <v>4728</v>
      </c>
      <c r="V91" s="68" t="s">
        <v>3272</v>
      </c>
      <c r="W91" s="28" t="s">
        <v>2</v>
      </c>
      <c r="X91" s="17" t="s">
        <v>1398</v>
      </c>
      <c r="Y91" s="14" t="s">
        <v>2249</v>
      </c>
      <c r="Z91" s="21" t="s">
        <v>1469</v>
      </c>
      <c r="AA91" s="51" t="s">
        <v>6166</v>
      </c>
      <c r="AB91" s="102" t="s">
        <v>6404</v>
      </c>
      <c r="AC91" s="1" t="s">
        <v>2248</v>
      </c>
      <c r="AD91" s="71" t="s">
        <v>1399</v>
      </c>
      <c r="AE91" s="72" t="s">
        <v>1156</v>
      </c>
      <c r="AF91" s="32" t="s">
        <v>1157</v>
      </c>
      <c r="AG91" s="138"/>
      <c r="AH91" s="163"/>
    </row>
    <row r="92" spans="1:39">
      <c r="A92" s="142" t="s">
        <v>1874</v>
      </c>
      <c r="B92" s="92">
        <v>2639</v>
      </c>
      <c r="C92" s="92">
        <v>2126</v>
      </c>
      <c r="D92" s="79">
        <v>42</v>
      </c>
      <c r="E92" s="92">
        <v>1154</v>
      </c>
      <c r="F92" s="6">
        <v>9.25</v>
      </c>
      <c r="G92" s="80">
        <v>3713</v>
      </c>
      <c r="H92" s="30" t="s">
        <v>1461</v>
      </c>
      <c r="I92" s="16" t="s">
        <v>2057</v>
      </c>
      <c r="J92" s="8" t="str">
        <f>IFERROR(VLOOKUP($G92,今日總結!$A:$AN,33,0),"")</f>
        <v/>
      </c>
      <c r="K92" s="5" t="str">
        <f>IFERROR(VLOOKUP($G92,今日總結!$A:$AN,34,0),"")</f>
        <v/>
      </c>
      <c r="L92" s="156" t="str">
        <f>IFERROR(VLOOKUP($G92,今日總結!$A:$AN,31,0),"")</f>
        <v/>
      </c>
      <c r="M92" s="337" t="str">
        <f>IFERROR(VLOOKUP($G92,今日總結!$A:$AN,32,0),"")</f>
        <v/>
      </c>
      <c r="N92" s="240" t="str">
        <f t="shared" ref="N92:N93" si="37">IFERROR(L92-M92,"")</f>
        <v/>
      </c>
      <c r="O92" s="359" t="str">
        <f>IFERROR(VLOOKUP($G92,融外自投!$A:$J,7,0),"無")</f>
        <v>無</v>
      </c>
      <c r="P92" s="79" t="str">
        <f>IFERROR(VLOOKUP($G92,融外自投!$A:$J,9,0),"無")</f>
        <v>無</v>
      </c>
      <c r="Q92" s="342" t="str">
        <f>IFERROR(VLOOKUP($G92,融外自投!$A:$J,8,0),"無")</f>
        <v>無</v>
      </c>
      <c r="R92" s="81" t="str">
        <f>IFERROR(VLOOKUP($G92,融外自投!$A:$J,10,0),"無")</f>
        <v>無</v>
      </c>
      <c r="S92" s="324" t="str">
        <f>IFERROR(VLOOKUP($G92,'321買'!$A:$E,5,0),"'沒有資料'")</f>
        <v>'沒有資料'</v>
      </c>
      <c r="T92" s="34">
        <v>0</v>
      </c>
      <c r="V92" s="57">
        <v>0.32</v>
      </c>
      <c r="W92" s="36">
        <f>RTD("money.excel",,"3713","Price")</f>
        <v>31.7</v>
      </c>
      <c r="X92" s="66">
        <v>40.75</v>
      </c>
      <c r="Y92" s="15">
        <f>W92-X92</f>
        <v>-9.0500000000000007</v>
      </c>
      <c r="Z92" s="3">
        <f>Y92/X92</f>
        <v>-0.22208588957055217</v>
      </c>
      <c r="AA92" s="99" t="s">
        <v>3351</v>
      </c>
      <c r="AC92" s="16" t="s">
        <v>2057</v>
      </c>
      <c r="AD92" s="84">
        <v>44363</v>
      </c>
      <c r="AF92" s="33"/>
      <c r="AG92" s="41" t="s">
        <v>1121</v>
      </c>
      <c r="AI92" s="234"/>
    </row>
    <row r="93" spans="1:39">
      <c r="A93" s="142" t="s">
        <v>1874</v>
      </c>
      <c r="B93" s="92">
        <v>2639</v>
      </c>
      <c r="C93" s="92">
        <v>2126</v>
      </c>
      <c r="D93" s="79">
        <v>42</v>
      </c>
      <c r="E93" s="92">
        <v>1154</v>
      </c>
      <c r="F93" s="6">
        <v>9.25</v>
      </c>
      <c r="G93" s="80">
        <v>3713</v>
      </c>
      <c r="H93" s="30" t="s">
        <v>1461</v>
      </c>
      <c r="I93" s="16" t="s">
        <v>2057</v>
      </c>
      <c r="J93" s="8" t="str">
        <f>IFERROR(VLOOKUP($G93,今日總結!$A:$AN,33,0),"")</f>
        <v/>
      </c>
      <c r="K93" s="5" t="str">
        <f>IFERROR(VLOOKUP($G93,今日總結!$A:$AN,34,0),"")</f>
        <v/>
      </c>
      <c r="L93" s="156" t="str">
        <f>IFERROR(VLOOKUP($G93,今日總結!$A:$AN,31,0),"")</f>
        <v/>
      </c>
      <c r="M93" s="337" t="str">
        <f>IFERROR(VLOOKUP($G93,今日總結!$A:$AN,32,0),"")</f>
        <v/>
      </c>
      <c r="N93" s="240" t="str">
        <f t="shared" si="37"/>
        <v/>
      </c>
      <c r="O93" s="359" t="str">
        <f>IFERROR(VLOOKUP($G93,融外自投!$A:$J,7,0),"無")</f>
        <v>無</v>
      </c>
      <c r="P93" s="79" t="str">
        <f>IFERROR(VLOOKUP($G93,融外自投!$A:$J,9,0),"無")</f>
        <v>無</v>
      </c>
      <c r="Q93" s="342" t="str">
        <f>IFERROR(VLOOKUP($G93,融外自投!$A:$J,8,0),"無")</f>
        <v>無</v>
      </c>
      <c r="R93" s="81" t="str">
        <f>IFERROR(VLOOKUP($G93,融外自投!$A:$J,10,0),"無")</f>
        <v>無</v>
      </c>
      <c r="S93" s="324" t="str">
        <f>IFERROR(VLOOKUP($G93,'321買'!$A:$E,5,0),"'沒有資料'")</f>
        <v>'沒有資料'</v>
      </c>
      <c r="T93" s="34">
        <v>0</v>
      </c>
      <c r="V93" s="57">
        <v>0.32</v>
      </c>
      <c r="W93" s="36">
        <f>RTD("money.excel",,"3713","Price")</f>
        <v>31.7</v>
      </c>
      <c r="X93" s="66">
        <v>46.2</v>
      </c>
      <c r="Y93" s="15">
        <f>W93-X93</f>
        <v>-14.500000000000004</v>
      </c>
      <c r="Z93" s="3">
        <f>Y93/X93</f>
        <v>-0.31385281385281388</v>
      </c>
      <c r="AA93" s="99" t="s">
        <v>3351</v>
      </c>
      <c r="AC93" s="16" t="s">
        <v>2057</v>
      </c>
      <c r="AD93" s="84">
        <v>44363</v>
      </c>
      <c r="AF93" s="33"/>
      <c r="AG93" s="41" t="s">
        <v>1121</v>
      </c>
      <c r="AI93" s="234"/>
    </row>
    <row r="94" spans="1:39" s="248" customFormat="1">
      <c r="A94" s="141"/>
      <c r="B94" s="79"/>
      <c r="C94" s="79"/>
      <c r="D94" s="79"/>
      <c r="E94" s="79"/>
      <c r="F94" s="6"/>
      <c r="G94" s="41"/>
      <c r="H94" s="8"/>
      <c r="I94" s="153"/>
      <c r="J94" s="1"/>
      <c r="K94" s="1"/>
      <c r="L94" s="123"/>
      <c r="M94" s="234"/>
      <c r="N94" s="338"/>
      <c r="O94" s="359"/>
      <c r="P94" s="47"/>
      <c r="Q94" s="342"/>
      <c r="R94" s="300"/>
      <c r="S94" s="319"/>
      <c r="T94" s="185"/>
      <c r="U94" s="308"/>
      <c r="V94" s="94"/>
      <c r="W94" s="165">
        <f>SUM(W92:W93)</f>
        <v>63.4</v>
      </c>
      <c r="X94" s="155">
        <f>SUM(X92:X93)</f>
        <v>86.95</v>
      </c>
      <c r="Y94" s="162">
        <f>W94-X94</f>
        <v>-23.550000000000004</v>
      </c>
      <c r="Z94" s="164">
        <f>Y94/X94</f>
        <v>-0.27084531339850493</v>
      </c>
      <c r="AA94" s="113"/>
      <c r="AB94" s="376"/>
      <c r="AC94" s="153">
        <f>W94*(0.001425*0.5)+W94*0.003+X94*(0.001425*0.5)</f>
        <v>0.29732437500000003</v>
      </c>
      <c r="AD94" s="6">
        <f>Y94-AC94</f>
        <v>-23.847324375000003</v>
      </c>
      <c r="AE94" s="83"/>
      <c r="AF94" s="33"/>
      <c r="AG94" s="41" t="s">
        <v>1501</v>
      </c>
      <c r="AH94" s="163"/>
    </row>
    <row r="95" spans="1:39">
      <c r="A95" s="142"/>
      <c r="B95" s="92"/>
      <c r="C95" s="92"/>
      <c r="D95" s="79"/>
      <c r="E95" s="92"/>
      <c r="F95" s="6"/>
      <c r="G95" s="56"/>
      <c r="H95" s="30"/>
      <c r="I95" s="16"/>
      <c r="L95" s="123"/>
      <c r="O95" s="359"/>
      <c r="P95" s="47"/>
      <c r="Q95" s="342"/>
      <c r="T95" s="34"/>
      <c r="V95" s="57"/>
      <c r="W95" s="36"/>
      <c r="X95" s="66"/>
      <c r="Y95" s="15"/>
      <c r="Z95" s="3"/>
      <c r="AA95" s="99"/>
      <c r="AC95" s="16"/>
      <c r="AF95" s="33"/>
      <c r="AG95" s="41"/>
      <c r="AI95" s="234"/>
    </row>
    <row r="96" spans="1:39">
      <c r="A96" s="142"/>
      <c r="B96" s="79"/>
      <c r="C96" s="79"/>
      <c r="D96" s="79"/>
      <c r="E96" s="80"/>
      <c r="F96" s="6"/>
      <c r="G96" s="41"/>
      <c r="H96" s="5"/>
      <c r="I96" s="16"/>
      <c r="L96" s="123"/>
      <c r="O96" s="359"/>
      <c r="P96" s="47"/>
      <c r="Q96" s="342"/>
      <c r="T96" s="34"/>
      <c r="V96" s="94"/>
      <c r="W96" s="36"/>
      <c r="X96" s="66"/>
      <c r="Y96" s="15"/>
      <c r="Z96" s="3"/>
      <c r="AA96" s="101"/>
      <c r="AC96" s="16"/>
      <c r="AD96" s="115"/>
      <c r="AF96" s="116"/>
      <c r="AG96" s="24"/>
      <c r="AI96" s="8"/>
    </row>
    <row r="97" spans="1:45" s="248" customFormat="1">
      <c r="A97" s="127" t="s">
        <v>1672</v>
      </c>
      <c r="B97" s="90" t="s">
        <v>1571</v>
      </c>
      <c r="C97" s="90" t="s">
        <v>1572</v>
      </c>
      <c r="D97" s="90" t="s">
        <v>1573</v>
      </c>
      <c r="E97" s="90" t="s">
        <v>1574</v>
      </c>
      <c r="F97" s="8" t="s">
        <v>1059</v>
      </c>
      <c r="G97" s="26" t="s">
        <v>3441</v>
      </c>
      <c r="H97" s="55" t="s">
        <v>320</v>
      </c>
      <c r="I97" s="1" t="s">
        <v>69</v>
      </c>
      <c r="J97" s="8" t="s">
        <v>6211</v>
      </c>
      <c r="K97" s="5" t="s">
        <v>6212</v>
      </c>
      <c r="L97" s="334" t="s">
        <v>6197</v>
      </c>
      <c r="M97" s="335" t="s">
        <v>6198</v>
      </c>
      <c r="N97" s="336" t="s">
        <v>6199</v>
      </c>
      <c r="O97" s="89" t="s">
        <v>6275</v>
      </c>
      <c r="P97" s="292" t="s">
        <v>6274</v>
      </c>
      <c r="Q97" s="350" t="s">
        <v>6273</v>
      </c>
      <c r="R97" s="26" t="s">
        <v>6276</v>
      </c>
      <c r="S97" s="318" t="s">
        <v>4715</v>
      </c>
      <c r="T97" s="14" t="s">
        <v>66</v>
      </c>
      <c r="U97" s="305" t="s">
        <v>4728</v>
      </c>
      <c r="V97" s="68" t="s">
        <v>3272</v>
      </c>
      <c r="W97" s="28" t="s">
        <v>2</v>
      </c>
      <c r="X97" s="17" t="s">
        <v>1398</v>
      </c>
      <c r="Y97" s="14" t="s">
        <v>2249</v>
      </c>
      <c r="Z97" s="21" t="s">
        <v>1469</v>
      </c>
      <c r="AA97" s="51" t="s">
        <v>6166</v>
      </c>
      <c r="AB97" s="102" t="s">
        <v>6404</v>
      </c>
      <c r="AC97" s="1" t="s">
        <v>69</v>
      </c>
      <c r="AD97" s="71" t="s">
        <v>1399</v>
      </c>
      <c r="AE97" s="72" t="s">
        <v>1156</v>
      </c>
      <c r="AF97" s="32" t="s">
        <v>1157</v>
      </c>
      <c r="AG97" s="138"/>
      <c r="AH97" s="163"/>
    </row>
    <row r="98" spans="1:45" s="171" customFormat="1" ht="17.100000000000001" customHeight="1">
      <c r="A98" s="142">
        <v>5.0599999999999996</v>
      </c>
      <c r="B98" s="79">
        <v>11</v>
      </c>
      <c r="C98" s="79">
        <v>23</v>
      </c>
      <c r="D98" s="80">
        <v>-20</v>
      </c>
      <c r="E98" s="80">
        <v>-15</v>
      </c>
      <c r="F98" s="6">
        <v>-10.76</v>
      </c>
      <c r="G98" s="80">
        <v>4432</v>
      </c>
      <c r="H98" s="50" t="s">
        <v>1403</v>
      </c>
      <c r="I98" s="166" t="s">
        <v>206</v>
      </c>
      <c r="J98" s="8">
        <f>IFERROR(VLOOKUP($G98,今日總結!$A:$AN,33,0),"")</f>
        <v>0</v>
      </c>
      <c r="K98" s="5">
        <f>IFERROR(VLOOKUP($G98,今日總結!$A:$AN,34,0),"")</f>
        <v>0</v>
      </c>
      <c r="L98" s="156">
        <f>IFERROR(VLOOKUP($G98,今日總結!$A:$AN,31,0),"")</f>
        <v>1</v>
      </c>
      <c r="M98" s="337">
        <f>IFERROR(VLOOKUP($G98,今日總結!$A:$AN,32,0),"")</f>
        <v>1</v>
      </c>
      <c r="N98" s="240">
        <f t="shared" ref="N98" si="38">IFERROR(L98-M98,"")</f>
        <v>0</v>
      </c>
      <c r="O98" s="359">
        <f>IFERROR(VLOOKUP($G98,融外自投!$A:$J,7,0),"無")</f>
        <v>751</v>
      </c>
      <c r="P98" s="79">
        <f>IFERROR(VLOOKUP($G98,融外自投!$A:$J,9,0),"無")</f>
        <v>298</v>
      </c>
      <c r="Q98" s="342">
        <f>IFERROR(VLOOKUP($G98,融外自投!$A:$J,8,0),"無")</f>
        <v>1405</v>
      </c>
      <c r="R98" s="81" t="str">
        <f>IFERROR(VLOOKUP($G98,融外自投!$A:$J,10,0),"無")</f>
        <v>無</v>
      </c>
      <c r="S98" s="324">
        <f>IFERROR(VLOOKUP($G98,'321買'!$A:$E,5,0),"'沒有資料'")</f>
        <v>0</v>
      </c>
      <c r="T98" s="185">
        <v>0</v>
      </c>
      <c r="U98" s="308"/>
      <c r="V98" s="94">
        <v>-0.1</v>
      </c>
      <c r="W98" s="165">
        <f>RTD("money.excel",,"4432","Price")</f>
        <v>15</v>
      </c>
      <c r="X98" s="65">
        <v>17.95</v>
      </c>
      <c r="Y98" s="162">
        <f t="shared" ref="Y98:Y105" si="39">W98-X98</f>
        <v>-2.9499999999999993</v>
      </c>
      <c r="Z98" s="164">
        <f t="shared" ref="Z98:Z106" si="40">Y98/X98</f>
        <v>-0.16434540389972141</v>
      </c>
      <c r="AA98" s="113" t="s">
        <v>3195</v>
      </c>
      <c r="AB98" s="376"/>
      <c r="AC98" s="166" t="s">
        <v>206</v>
      </c>
      <c r="AD98" s="84">
        <v>44314</v>
      </c>
      <c r="AE98" s="83"/>
      <c r="AF98" s="33">
        <f t="shared" ref="AF98:AF105" si="41">AE98-AD98</f>
        <v>-44314</v>
      </c>
      <c r="AG98" s="127" t="s">
        <v>1121</v>
      </c>
      <c r="AH98" s="27"/>
      <c r="AI98" s="17"/>
      <c r="AJ98" s="11"/>
      <c r="AK98" s="11"/>
      <c r="AL98" s="11"/>
      <c r="AM98" s="11"/>
      <c r="AN98" s="248"/>
      <c r="AO98" s="248"/>
      <c r="AQ98" s="4"/>
      <c r="AR98" s="248"/>
      <c r="AS98" s="248"/>
    </row>
    <row r="99" spans="1:45" s="171" customFormat="1" ht="17.100000000000001" customHeight="1">
      <c r="A99" s="142">
        <v>5.0599999999999996</v>
      </c>
      <c r="B99" s="79">
        <v>11</v>
      </c>
      <c r="C99" s="79">
        <v>23</v>
      </c>
      <c r="D99" s="80">
        <v>-20</v>
      </c>
      <c r="E99" s="80">
        <v>-15</v>
      </c>
      <c r="F99" s="6">
        <v>-10.76</v>
      </c>
      <c r="G99" s="80">
        <v>4432</v>
      </c>
      <c r="H99" s="50" t="s">
        <v>1403</v>
      </c>
      <c r="I99" s="166" t="s">
        <v>206</v>
      </c>
      <c r="J99" s="8">
        <f>IFERROR(VLOOKUP($G99,今日總結!$A:$AN,33,0),"")</f>
        <v>0</v>
      </c>
      <c r="K99" s="5">
        <f>IFERROR(VLOOKUP($G99,今日總結!$A:$AN,34,0),"")</f>
        <v>0</v>
      </c>
      <c r="L99" s="156">
        <f>IFERROR(VLOOKUP($G99,今日總結!$A:$AN,31,0),"")</f>
        <v>1</v>
      </c>
      <c r="M99" s="337">
        <f>IFERROR(VLOOKUP($G99,今日總結!$A:$AN,32,0),"")</f>
        <v>1</v>
      </c>
      <c r="N99" s="240">
        <f t="shared" ref="N99:N105" si="42">IFERROR(L99-M99,"")</f>
        <v>0</v>
      </c>
      <c r="O99" s="359">
        <f>IFERROR(VLOOKUP($G99,融外自投!$A:$J,7,0),"無")</f>
        <v>751</v>
      </c>
      <c r="P99" s="79">
        <f>IFERROR(VLOOKUP($G99,融外自投!$A:$J,9,0),"無")</f>
        <v>298</v>
      </c>
      <c r="Q99" s="342">
        <f>IFERROR(VLOOKUP($G99,融外自投!$A:$J,8,0),"無")</f>
        <v>1405</v>
      </c>
      <c r="R99" s="81" t="str">
        <f>IFERROR(VLOOKUP($G99,融外自投!$A:$J,10,0),"無")</f>
        <v>無</v>
      </c>
      <c r="S99" s="324">
        <f>IFERROR(VLOOKUP($G99,'321買'!$A:$E,5,0),"'沒有資料'")</f>
        <v>0</v>
      </c>
      <c r="T99" s="185">
        <v>0</v>
      </c>
      <c r="U99" s="308"/>
      <c r="V99" s="94">
        <v>-0.1</v>
      </c>
      <c r="W99" s="165">
        <f>RTD("money.excel",,"4432","Price")</f>
        <v>15</v>
      </c>
      <c r="X99" s="65">
        <v>17.899999999999999</v>
      </c>
      <c r="Y99" s="162">
        <f t="shared" si="39"/>
        <v>-2.8999999999999986</v>
      </c>
      <c r="Z99" s="164">
        <f t="shared" si="40"/>
        <v>-0.16201117318435748</v>
      </c>
      <c r="AA99" s="113" t="s">
        <v>3195</v>
      </c>
      <c r="AB99" s="376"/>
      <c r="AC99" s="166" t="s">
        <v>206</v>
      </c>
      <c r="AD99" s="84">
        <v>44313</v>
      </c>
      <c r="AE99" s="83"/>
      <c r="AF99" s="33">
        <f t="shared" si="41"/>
        <v>-44313</v>
      </c>
      <c r="AG99" s="127" t="s">
        <v>1121</v>
      </c>
      <c r="AH99" s="27"/>
      <c r="AI99" s="17"/>
      <c r="AJ99" s="11"/>
      <c r="AK99" s="11"/>
      <c r="AL99" s="11"/>
      <c r="AM99" s="11"/>
      <c r="AN99" s="248"/>
      <c r="AO99" s="248"/>
      <c r="AQ99" s="4"/>
      <c r="AR99" s="248"/>
      <c r="AS99" s="248"/>
    </row>
    <row r="100" spans="1:45" s="171" customFormat="1" ht="17.100000000000001" customHeight="1">
      <c r="A100" s="142">
        <v>5.0599999999999996</v>
      </c>
      <c r="B100" s="79">
        <v>11</v>
      </c>
      <c r="C100" s="79">
        <v>23</v>
      </c>
      <c r="D100" s="80">
        <v>-20</v>
      </c>
      <c r="E100" s="80">
        <v>-15</v>
      </c>
      <c r="F100" s="6">
        <v>-10.76</v>
      </c>
      <c r="G100" s="80">
        <v>4432</v>
      </c>
      <c r="H100" s="50" t="s">
        <v>1403</v>
      </c>
      <c r="I100" s="166" t="s">
        <v>206</v>
      </c>
      <c r="J100" s="8">
        <f>IFERROR(VLOOKUP($G100,今日總結!$A:$AN,33,0),"")</f>
        <v>0</v>
      </c>
      <c r="K100" s="5">
        <f>IFERROR(VLOOKUP($G100,今日總結!$A:$AN,34,0),"")</f>
        <v>0</v>
      </c>
      <c r="L100" s="156">
        <f>IFERROR(VLOOKUP($G100,今日總結!$A:$AN,31,0),"")</f>
        <v>1</v>
      </c>
      <c r="M100" s="337">
        <f>IFERROR(VLOOKUP($G100,今日總結!$A:$AN,32,0),"")</f>
        <v>1</v>
      </c>
      <c r="N100" s="240">
        <f t="shared" si="42"/>
        <v>0</v>
      </c>
      <c r="O100" s="359">
        <f>IFERROR(VLOOKUP($G100,融外自投!$A:$J,7,0),"無")</f>
        <v>751</v>
      </c>
      <c r="P100" s="79">
        <f>IFERROR(VLOOKUP($G100,融外自投!$A:$J,9,0),"無")</f>
        <v>298</v>
      </c>
      <c r="Q100" s="342">
        <f>IFERROR(VLOOKUP($G100,融外自投!$A:$J,8,0),"無")</f>
        <v>1405</v>
      </c>
      <c r="R100" s="81" t="str">
        <f>IFERROR(VLOOKUP($G100,融外自投!$A:$J,10,0),"無")</f>
        <v>無</v>
      </c>
      <c r="S100" s="324">
        <f>IFERROR(VLOOKUP($G100,'321買'!$A:$E,5,0),"'沒有資料'")</f>
        <v>0</v>
      </c>
      <c r="T100" s="185">
        <v>0</v>
      </c>
      <c r="U100" s="308"/>
      <c r="V100" s="94">
        <v>-0.1</v>
      </c>
      <c r="W100" s="165">
        <f>RTD("money.excel",,"4432","Price")</f>
        <v>15</v>
      </c>
      <c r="X100" s="65">
        <v>18.05</v>
      </c>
      <c r="Y100" s="162">
        <f t="shared" si="39"/>
        <v>-3.0500000000000007</v>
      </c>
      <c r="Z100" s="164">
        <f t="shared" si="40"/>
        <v>-0.16897506925207759</v>
      </c>
      <c r="AA100" s="113" t="s">
        <v>3195</v>
      </c>
      <c r="AB100" s="376"/>
      <c r="AC100" s="166" t="s">
        <v>206</v>
      </c>
      <c r="AD100" s="84">
        <v>44312</v>
      </c>
      <c r="AE100" s="83"/>
      <c r="AF100" s="33">
        <f t="shared" si="41"/>
        <v>-44312</v>
      </c>
      <c r="AG100" s="127" t="s">
        <v>1121</v>
      </c>
      <c r="AH100" s="27"/>
      <c r="AI100" s="17"/>
      <c r="AJ100" s="11"/>
      <c r="AK100" s="11"/>
      <c r="AL100" s="11"/>
      <c r="AM100" s="11"/>
      <c r="AN100" s="248"/>
      <c r="AO100" s="248"/>
      <c r="AQ100" s="4"/>
      <c r="AR100" s="248"/>
      <c r="AS100" s="248"/>
    </row>
    <row r="101" spans="1:45" s="171" customFormat="1" ht="17.100000000000001" customHeight="1">
      <c r="A101" s="142">
        <v>5.0599999999999996</v>
      </c>
      <c r="B101" s="79">
        <v>11</v>
      </c>
      <c r="C101" s="79">
        <v>23</v>
      </c>
      <c r="D101" s="80">
        <v>-20</v>
      </c>
      <c r="E101" s="80">
        <v>-15</v>
      </c>
      <c r="F101" s="6">
        <v>-10.76</v>
      </c>
      <c r="G101" s="80">
        <v>4432</v>
      </c>
      <c r="H101" s="50" t="s">
        <v>1403</v>
      </c>
      <c r="I101" s="166" t="s">
        <v>206</v>
      </c>
      <c r="J101" s="8">
        <f>IFERROR(VLOOKUP($G101,今日總結!$A:$AN,33,0),"")</f>
        <v>0</v>
      </c>
      <c r="K101" s="5">
        <f>IFERROR(VLOOKUP($G101,今日總結!$A:$AN,34,0),"")</f>
        <v>0</v>
      </c>
      <c r="L101" s="156">
        <f>IFERROR(VLOOKUP($G101,今日總結!$A:$AN,31,0),"")</f>
        <v>1</v>
      </c>
      <c r="M101" s="337">
        <f>IFERROR(VLOOKUP($G101,今日總結!$A:$AN,32,0),"")</f>
        <v>1</v>
      </c>
      <c r="N101" s="240">
        <f t="shared" si="42"/>
        <v>0</v>
      </c>
      <c r="O101" s="359">
        <f>IFERROR(VLOOKUP($G101,融外自投!$A:$J,7,0),"無")</f>
        <v>751</v>
      </c>
      <c r="P101" s="79">
        <f>IFERROR(VLOOKUP($G101,融外自投!$A:$J,9,0),"無")</f>
        <v>298</v>
      </c>
      <c r="Q101" s="342">
        <f>IFERROR(VLOOKUP($G101,融外自投!$A:$J,8,0),"無")</f>
        <v>1405</v>
      </c>
      <c r="R101" s="81" t="str">
        <f>IFERROR(VLOOKUP($G101,融外自投!$A:$J,10,0),"無")</f>
        <v>無</v>
      </c>
      <c r="S101" s="324">
        <f>IFERROR(VLOOKUP($G101,'321買'!$A:$E,5,0),"'沒有資料'")</f>
        <v>0</v>
      </c>
      <c r="T101" s="185">
        <v>0</v>
      </c>
      <c r="U101" s="308"/>
      <c r="V101" s="94">
        <v>-0.1</v>
      </c>
      <c r="W101" s="165">
        <f>RTD("money.excel",,"4432","Price")</f>
        <v>15</v>
      </c>
      <c r="X101" s="65">
        <v>18.149999999999999</v>
      </c>
      <c r="Y101" s="162">
        <f t="shared" si="39"/>
        <v>-3.1499999999999986</v>
      </c>
      <c r="Z101" s="164">
        <f t="shared" si="40"/>
        <v>-0.17355371900826438</v>
      </c>
      <c r="AA101" s="113" t="s">
        <v>3195</v>
      </c>
      <c r="AB101" s="376"/>
      <c r="AC101" s="166" t="s">
        <v>206</v>
      </c>
      <c r="AD101" s="84">
        <v>44312</v>
      </c>
      <c r="AE101" s="83"/>
      <c r="AF101" s="33">
        <f t="shared" si="41"/>
        <v>-44312</v>
      </c>
      <c r="AG101" s="127" t="s">
        <v>1121</v>
      </c>
      <c r="AH101" s="27"/>
      <c r="AI101" s="17"/>
      <c r="AJ101" s="11"/>
      <c r="AK101" s="11"/>
      <c r="AL101" s="11"/>
      <c r="AM101" s="11"/>
      <c r="AN101" s="248"/>
      <c r="AO101" s="248"/>
      <c r="AQ101" s="4"/>
      <c r="AR101" s="248"/>
      <c r="AS101" s="248"/>
    </row>
    <row r="102" spans="1:45" s="171" customFormat="1" ht="17.100000000000001" customHeight="1">
      <c r="A102" s="142">
        <v>5.0599999999999996</v>
      </c>
      <c r="B102" s="79">
        <v>11</v>
      </c>
      <c r="C102" s="79">
        <v>23</v>
      </c>
      <c r="D102" s="80">
        <v>-20</v>
      </c>
      <c r="E102" s="80">
        <v>-15</v>
      </c>
      <c r="F102" s="6">
        <v>-10.76</v>
      </c>
      <c r="G102" s="80">
        <v>4432</v>
      </c>
      <c r="H102" s="50" t="s">
        <v>1403</v>
      </c>
      <c r="I102" s="166" t="s">
        <v>206</v>
      </c>
      <c r="J102" s="8">
        <f>IFERROR(VLOOKUP($G102,今日總結!$A:$AN,33,0),"")</f>
        <v>0</v>
      </c>
      <c r="K102" s="5">
        <f>IFERROR(VLOOKUP($G102,今日總結!$A:$AN,34,0),"")</f>
        <v>0</v>
      </c>
      <c r="L102" s="156">
        <f>IFERROR(VLOOKUP($G102,今日總結!$A:$AN,31,0),"")</f>
        <v>1</v>
      </c>
      <c r="M102" s="337">
        <f>IFERROR(VLOOKUP($G102,今日總結!$A:$AN,32,0),"")</f>
        <v>1</v>
      </c>
      <c r="N102" s="240">
        <f t="shared" si="42"/>
        <v>0</v>
      </c>
      <c r="O102" s="359">
        <f>IFERROR(VLOOKUP($G102,融外自投!$A:$J,7,0),"無")</f>
        <v>751</v>
      </c>
      <c r="P102" s="79">
        <f>IFERROR(VLOOKUP($G102,融外自投!$A:$J,9,0),"無")</f>
        <v>298</v>
      </c>
      <c r="Q102" s="342">
        <f>IFERROR(VLOOKUP($G102,融外自投!$A:$J,8,0),"無")</f>
        <v>1405</v>
      </c>
      <c r="R102" s="81" t="str">
        <f>IFERROR(VLOOKUP($G102,融外自投!$A:$J,10,0),"無")</f>
        <v>無</v>
      </c>
      <c r="S102" s="324">
        <f>IFERROR(VLOOKUP($G102,'321買'!$A:$E,5,0),"'沒有資料'")</f>
        <v>0</v>
      </c>
      <c r="T102" s="185">
        <v>0</v>
      </c>
      <c r="U102" s="308"/>
      <c r="V102" s="94">
        <v>-0.1</v>
      </c>
      <c r="W102" s="165">
        <f>RTD("money.excel",,"4432","Price")</f>
        <v>15</v>
      </c>
      <c r="X102" s="65">
        <f>46.16-2.4-0.93-1.16</f>
        <v>41.67</v>
      </c>
      <c r="Y102" s="162">
        <f t="shared" si="39"/>
        <v>-26.67</v>
      </c>
      <c r="Z102" s="164">
        <f t="shared" si="40"/>
        <v>-0.64002879769618437</v>
      </c>
      <c r="AA102" s="113" t="s">
        <v>3195</v>
      </c>
      <c r="AB102" s="376"/>
      <c r="AC102" s="166" t="s">
        <v>206</v>
      </c>
      <c r="AD102" s="84">
        <v>42780</v>
      </c>
      <c r="AE102" s="83"/>
      <c r="AF102" s="33">
        <f t="shared" si="41"/>
        <v>-42780</v>
      </c>
      <c r="AG102" s="127" t="s">
        <v>1121</v>
      </c>
      <c r="AH102" s="27"/>
      <c r="AI102" s="17"/>
      <c r="AJ102" s="11"/>
      <c r="AK102" s="11"/>
      <c r="AL102" s="11"/>
      <c r="AM102" s="11"/>
      <c r="AN102" s="248"/>
      <c r="AO102" s="248"/>
      <c r="AQ102" s="4"/>
      <c r="AR102" s="248"/>
      <c r="AS102" s="248"/>
    </row>
    <row r="103" spans="1:45" s="171" customFormat="1" ht="17.100000000000001" customHeight="1">
      <c r="A103" s="142">
        <v>5.0599999999999996</v>
      </c>
      <c r="B103" s="79">
        <v>11</v>
      </c>
      <c r="C103" s="79">
        <v>23</v>
      </c>
      <c r="D103" s="80">
        <v>-20</v>
      </c>
      <c r="E103" s="80">
        <v>-15</v>
      </c>
      <c r="F103" s="6">
        <v>-10.76</v>
      </c>
      <c r="G103" s="80">
        <v>4432</v>
      </c>
      <c r="H103" s="50" t="s">
        <v>1403</v>
      </c>
      <c r="I103" s="166" t="s">
        <v>206</v>
      </c>
      <c r="J103" s="8">
        <f>IFERROR(VLOOKUP($G103,今日總結!$A:$AN,33,0),"")</f>
        <v>0</v>
      </c>
      <c r="K103" s="5">
        <f>IFERROR(VLOOKUP($G103,今日總結!$A:$AN,34,0),"")</f>
        <v>0</v>
      </c>
      <c r="L103" s="156">
        <f>IFERROR(VLOOKUP($G103,今日總結!$A:$AN,31,0),"")</f>
        <v>1</v>
      </c>
      <c r="M103" s="337">
        <f>IFERROR(VLOOKUP($G103,今日總結!$A:$AN,32,0),"")</f>
        <v>1</v>
      </c>
      <c r="N103" s="240">
        <f t="shared" si="42"/>
        <v>0</v>
      </c>
      <c r="O103" s="359">
        <f>IFERROR(VLOOKUP($G103,融外自投!$A:$J,7,0),"無")</f>
        <v>751</v>
      </c>
      <c r="P103" s="79">
        <f>IFERROR(VLOOKUP($G103,融外自投!$A:$J,9,0),"無")</f>
        <v>298</v>
      </c>
      <c r="Q103" s="342">
        <f>IFERROR(VLOOKUP($G103,融外自投!$A:$J,8,0),"無")</f>
        <v>1405</v>
      </c>
      <c r="R103" s="81" t="str">
        <f>IFERROR(VLOOKUP($G103,融外自投!$A:$J,10,0),"無")</f>
        <v>無</v>
      </c>
      <c r="S103" s="324">
        <f>IFERROR(VLOOKUP($G103,'321買'!$A:$E,5,0),"'沒有資料'")</f>
        <v>0</v>
      </c>
      <c r="T103" s="185">
        <v>0</v>
      </c>
      <c r="U103" s="308"/>
      <c r="V103" s="94">
        <v>-0.1</v>
      </c>
      <c r="W103" s="165">
        <f>RTD("money.excel",,"4432","Price")</f>
        <v>15</v>
      </c>
      <c r="X103" s="65">
        <f>32.69-0.93-1.16</f>
        <v>30.599999999999998</v>
      </c>
      <c r="Y103" s="162">
        <f t="shared" si="39"/>
        <v>-15.599999999999998</v>
      </c>
      <c r="Z103" s="164">
        <f t="shared" si="40"/>
        <v>-0.50980392156862742</v>
      </c>
      <c r="AA103" s="113" t="s">
        <v>3196</v>
      </c>
      <c r="AB103" s="376"/>
      <c r="AC103" s="166" t="s">
        <v>206</v>
      </c>
      <c r="AD103" s="84">
        <v>43206</v>
      </c>
      <c r="AE103" s="83"/>
      <c r="AF103" s="33">
        <f t="shared" si="41"/>
        <v>-43206</v>
      </c>
      <c r="AG103" s="127" t="s">
        <v>1121</v>
      </c>
      <c r="AH103" s="27"/>
      <c r="AI103" s="17"/>
      <c r="AJ103" s="11"/>
      <c r="AK103" s="11"/>
      <c r="AL103" s="11"/>
      <c r="AM103" s="11"/>
      <c r="AN103" s="248"/>
      <c r="AO103" s="248"/>
      <c r="AQ103" s="4"/>
      <c r="AR103" s="248"/>
      <c r="AS103" s="248"/>
    </row>
    <row r="104" spans="1:45" s="248" customFormat="1" ht="16.5" customHeight="1">
      <c r="A104" s="142">
        <v>5.0599999999999996</v>
      </c>
      <c r="B104" s="79">
        <v>11</v>
      </c>
      <c r="C104" s="79">
        <v>23</v>
      </c>
      <c r="D104" s="80">
        <v>-20</v>
      </c>
      <c r="E104" s="80">
        <v>-15</v>
      </c>
      <c r="F104" s="6">
        <v>-10.76</v>
      </c>
      <c r="G104" s="80">
        <v>4432</v>
      </c>
      <c r="H104" s="50" t="s">
        <v>1403</v>
      </c>
      <c r="I104" s="166" t="s">
        <v>206</v>
      </c>
      <c r="J104" s="8">
        <f>IFERROR(VLOOKUP($G104,今日總結!$A:$AN,33,0),"")</f>
        <v>0</v>
      </c>
      <c r="K104" s="5">
        <f>IFERROR(VLOOKUP($G104,今日總結!$A:$AN,34,0),"")</f>
        <v>0</v>
      </c>
      <c r="L104" s="156">
        <f>IFERROR(VLOOKUP($G104,今日總結!$A:$AN,31,0),"")</f>
        <v>1</v>
      </c>
      <c r="M104" s="337">
        <f>IFERROR(VLOOKUP($G104,今日總結!$A:$AN,32,0),"")</f>
        <v>1</v>
      </c>
      <c r="N104" s="240">
        <f t="shared" si="42"/>
        <v>0</v>
      </c>
      <c r="O104" s="359">
        <f>IFERROR(VLOOKUP($G104,融外自投!$A:$J,7,0),"無")</f>
        <v>751</v>
      </c>
      <c r="P104" s="79">
        <f>IFERROR(VLOOKUP($G104,融外自投!$A:$J,9,0),"無")</f>
        <v>298</v>
      </c>
      <c r="Q104" s="342">
        <f>IFERROR(VLOOKUP($G104,融外自投!$A:$J,8,0),"無")</f>
        <v>1405</v>
      </c>
      <c r="R104" s="81" t="str">
        <f>IFERROR(VLOOKUP($G104,融外自投!$A:$J,10,0),"無")</f>
        <v>無</v>
      </c>
      <c r="S104" s="324">
        <f>IFERROR(VLOOKUP($G104,'321買'!$A:$E,5,0),"'沒有資料'")</f>
        <v>0</v>
      </c>
      <c r="T104" s="185">
        <v>0</v>
      </c>
      <c r="U104" s="308"/>
      <c r="V104" s="94">
        <v>-0.1</v>
      </c>
      <c r="W104" s="161">
        <f>RTD("money.excel",,"4432","Price")</f>
        <v>15</v>
      </c>
      <c r="X104" s="65">
        <v>23.55</v>
      </c>
      <c r="Y104" s="162">
        <f t="shared" si="39"/>
        <v>-8.5500000000000007</v>
      </c>
      <c r="Z104" s="164">
        <f t="shared" si="40"/>
        <v>-0.36305732484076436</v>
      </c>
      <c r="AA104" s="112" t="s">
        <v>3197</v>
      </c>
      <c r="AB104" s="376"/>
      <c r="AC104" s="166" t="s">
        <v>206</v>
      </c>
      <c r="AD104" s="84">
        <v>43741</v>
      </c>
      <c r="AE104" s="83"/>
      <c r="AF104" s="33">
        <f t="shared" si="41"/>
        <v>-43741</v>
      </c>
      <c r="AG104" s="127" t="s">
        <v>1121</v>
      </c>
    </row>
    <row r="105" spans="1:45" s="248" customFormat="1" ht="16.5" customHeight="1">
      <c r="A105" s="142">
        <v>5.0599999999999996</v>
      </c>
      <c r="B105" s="79">
        <v>11</v>
      </c>
      <c r="C105" s="79">
        <v>23</v>
      </c>
      <c r="D105" s="80">
        <v>-20</v>
      </c>
      <c r="E105" s="80">
        <v>-15</v>
      </c>
      <c r="F105" s="6">
        <v>-10.76</v>
      </c>
      <c r="G105" s="80">
        <v>4432</v>
      </c>
      <c r="H105" s="50" t="s">
        <v>1403</v>
      </c>
      <c r="I105" s="166" t="s">
        <v>206</v>
      </c>
      <c r="J105" s="8">
        <f>IFERROR(VLOOKUP($G105,今日總結!$A:$AN,33,0),"")</f>
        <v>0</v>
      </c>
      <c r="K105" s="5">
        <f>IFERROR(VLOOKUP($G105,今日總結!$A:$AN,34,0),"")</f>
        <v>0</v>
      </c>
      <c r="L105" s="156">
        <f>IFERROR(VLOOKUP($G105,今日總結!$A:$AN,31,0),"")</f>
        <v>1</v>
      </c>
      <c r="M105" s="337">
        <f>IFERROR(VLOOKUP($G105,今日總結!$A:$AN,32,0),"")</f>
        <v>1</v>
      </c>
      <c r="N105" s="240">
        <f t="shared" si="42"/>
        <v>0</v>
      </c>
      <c r="O105" s="359">
        <f>IFERROR(VLOOKUP($G105,融外自投!$A:$J,7,0),"無")</f>
        <v>751</v>
      </c>
      <c r="P105" s="79">
        <f>IFERROR(VLOOKUP($G105,融外自投!$A:$J,9,0),"無")</f>
        <v>298</v>
      </c>
      <c r="Q105" s="342">
        <f>IFERROR(VLOOKUP($G105,融外自投!$A:$J,8,0),"無")</f>
        <v>1405</v>
      </c>
      <c r="R105" s="81" t="str">
        <f>IFERROR(VLOOKUP($G105,融外自投!$A:$J,10,0),"無")</f>
        <v>無</v>
      </c>
      <c r="S105" s="324">
        <f>IFERROR(VLOOKUP($G105,'321買'!$A:$E,5,0),"'沒有資料'")</f>
        <v>0</v>
      </c>
      <c r="T105" s="185">
        <v>0</v>
      </c>
      <c r="U105" s="308"/>
      <c r="V105" s="94">
        <v>-0.1</v>
      </c>
      <c r="W105" s="161">
        <f>RTD("money.excel",,"4432","Price")</f>
        <v>15</v>
      </c>
      <c r="X105" s="65">
        <v>22.35</v>
      </c>
      <c r="Y105" s="162">
        <f t="shared" si="39"/>
        <v>-7.3500000000000014</v>
      </c>
      <c r="Z105" s="164">
        <f t="shared" si="40"/>
        <v>-0.32885906040268459</v>
      </c>
      <c r="AA105" s="112" t="s">
        <v>3198</v>
      </c>
      <c r="AB105" s="376"/>
      <c r="AC105" s="166" t="s">
        <v>206</v>
      </c>
      <c r="AD105" s="84">
        <v>43712</v>
      </c>
      <c r="AE105" s="83"/>
      <c r="AF105" s="33">
        <f t="shared" si="41"/>
        <v>-43712</v>
      </c>
      <c r="AG105" s="127" t="s">
        <v>1121</v>
      </c>
    </row>
    <row r="106" spans="1:45" s="248" customFormat="1">
      <c r="A106" s="141"/>
      <c r="B106" s="79"/>
      <c r="C106" s="80"/>
      <c r="D106" s="79"/>
      <c r="E106" s="80"/>
      <c r="F106" s="6"/>
      <c r="G106" s="41"/>
      <c r="H106" s="50"/>
      <c r="I106" s="166"/>
      <c r="J106" s="1"/>
      <c r="K106" s="1"/>
      <c r="L106" s="123"/>
      <c r="M106" s="234"/>
      <c r="N106" s="338"/>
      <c r="O106" s="359"/>
      <c r="P106" s="47"/>
      <c r="Q106" s="342"/>
      <c r="R106" s="300"/>
      <c r="S106" s="319"/>
      <c r="T106" s="185"/>
      <c r="U106" s="308"/>
      <c r="V106" s="94"/>
      <c r="W106" s="165">
        <f>SUM(W98:W105)</f>
        <v>120</v>
      </c>
      <c r="X106" s="155">
        <f>SUM(X98:X105)</f>
        <v>190.22</v>
      </c>
      <c r="Y106" s="162">
        <f>W106-X106</f>
        <v>-70.22</v>
      </c>
      <c r="Z106" s="164">
        <f t="shared" si="40"/>
        <v>-0.36915150877930819</v>
      </c>
      <c r="AA106" s="113"/>
      <c r="AB106" s="376"/>
      <c r="AC106" s="153">
        <f>W106*(0.001425*0.5)+W106*0.003+X106*(0.001425*0.5)</f>
        <v>0.58103174999999996</v>
      </c>
      <c r="AD106" s="6">
        <f>Y106-AC106</f>
        <v>-70.801031749999993</v>
      </c>
      <c r="AE106" s="83"/>
      <c r="AF106" s="33"/>
      <c r="AG106" s="127" t="s">
        <v>1680</v>
      </c>
      <c r="AH106" s="163"/>
    </row>
    <row r="107" spans="1:45" s="248" customFormat="1">
      <c r="A107" s="141"/>
      <c r="B107" s="79"/>
      <c r="C107" s="79"/>
      <c r="D107" s="79"/>
      <c r="E107" s="79"/>
      <c r="F107" s="6"/>
      <c r="G107" s="41"/>
      <c r="H107" s="8"/>
      <c r="I107" s="153"/>
      <c r="J107" s="1"/>
      <c r="K107" s="1"/>
      <c r="L107" s="123"/>
      <c r="M107" s="234"/>
      <c r="N107" s="338"/>
      <c r="O107" s="359"/>
      <c r="P107" s="47"/>
      <c r="Q107" s="342"/>
      <c r="R107" s="300"/>
      <c r="S107" s="319"/>
      <c r="T107" s="185"/>
      <c r="U107" s="308"/>
      <c r="V107" s="94"/>
      <c r="W107" s="165"/>
      <c r="X107" s="155"/>
      <c r="Y107" s="162"/>
      <c r="Z107" s="164"/>
      <c r="AA107" s="113"/>
      <c r="AB107" s="376"/>
      <c r="AC107" s="153"/>
      <c r="AD107" s="6"/>
      <c r="AE107" s="83"/>
      <c r="AF107" s="33"/>
      <c r="AG107" s="41"/>
      <c r="AH107" s="163"/>
    </row>
    <row r="108" spans="1:45" s="248" customFormat="1" ht="17.25" customHeight="1">
      <c r="A108" s="127" t="s">
        <v>1672</v>
      </c>
      <c r="B108" s="90" t="s">
        <v>1571</v>
      </c>
      <c r="C108" s="90" t="s">
        <v>1572</v>
      </c>
      <c r="D108" s="90" t="s">
        <v>1573</v>
      </c>
      <c r="E108" s="90" t="s">
        <v>1574</v>
      </c>
      <c r="F108" s="8" t="s">
        <v>1059</v>
      </c>
      <c r="G108" s="26" t="s">
        <v>3441</v>
      </c>
      <c r="H108" s="55" t="s">
        <v>320</v>
      </c>
      <c r="I108" s="1" t="s">
        <v>2248</v>
      </c>
      <c r="J108" s="8" t="s">
        <v>6211</v>
      </c>
      <c r="K108" s="5" t="s">
        <v>6212</v>
      </c>
      <c r="L108" s="334" t="s">
        <v>6197</v>
      </c>
      <c r="M108" s="335" t="s">
        <v>6198</v>
      </c>
      <c r="N108" s="336" t="s">
        <v>6199</v>
      </c>
      <c r="O108" s="89" t="s">
        <v>6275</v>
      </c>
      <c r="P108" s="292" t="s">
        <v>6274</v>
      </c>
      <c r="Q108" s="350" t="s">
        <v>6273</v>
      </c>
      <c r="R108" s="26" t="s">
        <v>6276</v>
      </c>
      <c r="S108" s="318" t="s">
        <v>4715</v>
      </c>
      <c r="T108" s="14" t="s">
        <v>66</v>
      </c>
      <c r="U108" s="305" t="s">
        <v>4728</v>
      </c>
      <c r="V108" s="68" t="s">
        <v>3272</v>
      </c>
      <c r="W108" s="28" t="s">
        <v>2</v>
      </c>
      <c r="X108" s="17" t="s">
        <v>1398</v>
      </c>
      <c r="Y108" s="14" t="s">
        <v>2249</v>
      </c>
      <c r="Z108" s="21" t="s">
        <v>1469</v>
      </c>
      <c r="AA108" s="51" t="s">
        <v>6166</v>
      </c>
      <c r="AB108" s="102" t="s">
        <v>6404</v>
      </c>
      <c r="AC108" s="1" t="s">
        <v>2248</v>
      </c>
      <c r="AD108" s="71" t="s">
        <v>1399</v>
      </c>
      <c r="AE108" s="72" t="s">
        <v>1156</v>
      </c>
      <c r="AF108" s="32" t="s">
        <v>1157</v>
      </c>
      <c r="AG108" s="138"/>
      <c r="AH108" s="163"/>
    </row>
    <row r="109" spans="1:45">
      <c r="A109" s="142" t="s">
        <v>1967</v>
      </c>
      <c r="B109" s="79">
        <v>348</v>
      </c>
      <c r="C109" s="79">
        <v>679</v>
      </c>
      <c r="D109" s="80">
        <v>-3</v>
      </c>
      <c r="E109" s="79">
        <v>4</v>
      </c>
      <c r="F109" s="6">
        <v>5.76</v>
      </c>
      <c r="G109" s="80">
        <v>2387</v>
      </c>
      <c r="H109" s="30" t="s">
        <v>1461</v>
      </c>
      <c r="I109" s="22" t="s">
        <v>234</v>
      </c>
      <c r="J109" s="8">
        <f>IFERROR(VLOOKUP($G109,今日總結!$A:$AN,33,0),"")</f>
        <v>0</v>
      </c>
      <c r="K109" s="5">
        <f>IFERROR(VLOOKUP($G109,今日總結!$A:$AN,34,0),"")</f>
        <v>0</v>
      </c>
      <c r="L109" s="156">
        <f>IFERROR(VLOOKUP($G109,今日總結!$A:$AN,31,0),"")</f>
        <v>7</v>
      </c>
      <c r="M109" s="337">
        <f>IFERROR(VLOOKUP($G109,今日總結!$A:$AN,32,0),"")</f>
        <v>0</v>
      </c>
      <c r="N109" s="240">
        <f t="shared" ref="N109" si="43">IFERROR(L109-M109,"")</f>
        <v>7</v>
      </c>
      <c r="O109" s="359">
        <f>IFERROR(VLOOKUP($G109,融外自投!$A:$J,7,0),"無")</f>
        <v>617</v>
      </c>
      <c r="P109" s="79">
        <f>IFERROR(VLOOKUP($G109,融外自投!$A:$J,9,0),"無")</f>
        <v>615</v>
      </c>
      <c r="Q109" s="342">
        <f>IFERROR(VLOOKUP($G109,融外自投!$A:$J,8,0),"無")</f>
        <v>1043</v>
      </c>
      <c r="R109" s="81">
        <f>IFERROR(VLOOKUP($G109,融外自投!$A:$J,10,0),"無")</f>
        <v>156</v>
      </c>
      <c r="S109" s="324">
        <f>IFERROR(VLOOKUP($G109,'321買'!$A:$E,5,0),"'沒有資料'")</f>
        <v>0</v>
      </c>
      <c r="T109" s="45">
        <v>3</v>
      </c>
      <c r="V109" s="57">
        <v>7.81</v>
      </c>
      <c r="W109" s="36">
        <f>RTD("money.excel",,"2387","Price")</f>
        <v>35.799999999999997</v>
      </c>
      <c r="X109" s="66">
        <f>51.9-2</f>
        <v>49.9</v>
      </c>
      <c r="Y109" s="15">
        <f>W109-X109</f>
        <v>-14.100000000000001</v>
      </c>
      <c r="Z109" s="3">
        <f>Y109/X109</f>
        <v>-0.2825651302605211</v>
      </c>
      <c r="AA109" s="101" t="s">
        <v>3374</v>
      </c>
      <c r="AC109" s="22" t="s">
        <v>234</v>
      </c>
      <c r="AD109" s="84">
        <v>44390</v>
      </c>
      <c r="AF109" s="33">
        <f>AE109-AD109</f>
        <v>-44390</v>
      </c>
      <c r="AG109" s="41" t="s">
        <v>1121</v>
      </c>
      <c r="AI109" s="234"/>
      <c r="AJ109" s="56"/>
      <c r="AK109" s="22"/>
      <c r="AL109" s="206"/>
      <c r="AM109" s="239"/>
      <c r="AN109" s="249"/>
      <c r="AO109" s="252"/>
    </row>
    <row r="110" spans="1:45" s="248" customFormat="1">
      <c r="A110" s="141"/>
      <c r="B110" s="79"/>
      <c r="C110" s="79"/>
      <c r="D110" s="79"/>
      <c r="E110" s="79"/>
      <c r="F110" s="6"/>
      <c r="G110" s="41"/>
      <c r="H110" s="8"/>
      <c r="I110" s="153"/>
      <c r="J110" s="1"/>
      <c r="K110" s="1"/>
      <c r="L110" s="123"/>
      <c r="M110" s="234"/>
      <c r="N110" s="338"/>
      <c r="O110" s="359"/>
      <c r="P110" s="47"/>
      <c r="Q110" s="342"/>
      <c r="R110" s="300"/>
      <c r="S110" s="319"/>
      <c r="T110" s="185"/>
      <c r="U110" s="308"/>
      <c r="V110" s="94"/>
      <c r="W110" s="165">
        <f>SUM(W109)</f>
        <v>35.799999999999997</v>
      </c>
      <c r="X110" s="155">
        <f>SUM(X109)</f>
        <v>49.9</v>
      </c>
      <c r="Y110" s="162">
        <f>W110-X110</f>
        <v>-14.100000000000001</v>
      </c>
      <c r="Z110" s="164">
        <f>Y110/X110</f>
        <v>-0.2825651302605211</v>
      </c>
      <c r="AA110" s="113"/>
      <c r="AB110" s="376"/>
      <c r="AC110" s="153">
        <f>W110*(0.001425*0.5)+W110*0.003+X110*(0.001425*0.5)</f>
        <v>0.16846124999999998</v>
      </c>
      <c r="AD110" s="6">
        <f>Y110-AC110</f>
        <v>-14.268461250000001</v>
      </c>
      <c r="AE110" s="83"/>
      <c r="AF110" s="33"/>
      <c r="AG110" s="41" t="s">
        <v>1121</v>
      </c>
      <c r="AH110" s="163"/>
    </row>
    <row r="111" spans="1:45" s="248" customFormat="1">
      <c r="A111" s="141"/>
      <c r="B111" s="79"/>
      <c r="C111" s="79"/>
      <c r="D111" s="79"/>
      <c r="E111" s="79"/>
      <c r="F111" s="6"/>
      <c r="G111" s="41"/>
      <c r="H111" s="8"/>
      <c r="I111" s="153"/>
      <c r="J111" s="1"/>
      <c r="K111" s="1"/>
      <c r="L111" s="123"/>
      <c r="M111" s="234"/>
      <c r="N111" s="338"/>
      <c r="O111" s="359"/>
      <c r="P111" s="47"/>
      <c r="Q111" s="342"/>
      <c r="R111" s="300"/>
      <c r="S111" s="319"/>
      <c r="T111" s="185"/>
      <c r="U111" s="308"/>
      <c r="V111" s="94"/>
      <c r="W111" s="165"/>
      <c r="X111" s="155"/>
      <c r="Y111" s="162"/>
      <c r="Z111" s="164"/>
      <c r="AA111" s="113"/>
      <c r="AB111" s="376"/>
      <c r="AC111" s="153"/>
      <c r="AD111" s="6"/>
      <c r="AE111" s="83"/>
      <c r="AF111" s="33"/>
      <c r="AG111" s="41"/>
      <c r="AH111" s="163"/>
    </row>
    <row r="112" spans="1:45" s="248" customFormat="1">
      <c r="A112" s="127" t="s">
        <v>1672</v>
      </c>
      <c r="B112" s="90" t="s">
        <v>1571</v>
      </c>
      <c r="C112" s="90" t="s">
        <v>1572</v>
      </c>
      <c r="D112" s="90" t="s">
        <v>1573</v>
      </c>
      <c r="E112" s="90" t="s">
        <v>1574</v>
      </c>
      <c r="F112" s="8" t="s">
        <v>1059</v>
      </c>
      <c r="G112" s="26" t="s">
        <v>3441</v>
      </c>
      <c r="H112" s="55" t="s">
        <v>320</v>
      </c>
      <c r="I112" s="1" t="s">
        <v>2248</v>
      </c>
      <c r="J112" s="8" t="s">
        <v>6211</v>
      </c>
      <c r="K112" s="5" t="s">
        <v>6212</v>
      </c>
      <c r="L112" s="334" t="s">
        <v>6197</v>
      </c>
      <c r="M112" s="335" t="s">
        <v>6198</v>
      </c>
      <c r="N112" s="336" t="s">
        <v>6199</v>
      </c>
      <c r="O112" s="89" t="s">
        <v>6275</v>
      </c>
      <c r="P112" s="292" t="s">
        <v>6274</v>
      </c>
      <c r="Q112" s="350" t="s">
        <v>6273</v>
      </c>
      <c r="R112" s="26" t="s">
        <v>6276</v>
      </c>
      <c r="S112" s="318" t="s">
        <v>4715</v>
      </c>
      <c r="T112" s="14" t="s">
        <v>66</v>
      </c>
      <c r="U112" s="305" t="s">
        <v>4728</v>
      </c>
      <c r="V112" s="68" t="s">
        <v>3272</v>
      </c>
      <c r="W112" s="28" t="s">
        <v>2</v>
      </c>
      <c r="X112" s="17" t="s">
        <v>1398</v>
      </c>
      <c r="Y112" s="14" t="s">
        <v>2249</v>
      </c>
      <c r="Z112" s="21" t="s">
        <v>1469</v>
      </c>
      <c r="AA112" s="51" t="s">
        <v>6166</v>
      </c>
      <c r="AB112" s="102" t="s">
        <v>6404</v>
      </c>
      <c r="AC112" s="1" t="s">
        <v>2248</v>
      </c>
      <c r="AD112" s="71" t="s">
        <v>1399</v>
      </c>
      <c r="AE112" s="72" t="s">
        <v>1156</v>
      </c>
      <c r="AF112" s="32" t="s">
        <v>1157</v>
      </c>
      <c r="AG112" s="138"/>
      <c r="AH112" s="163"/>
    </row>
    <row r="113" spans="1:35">
      <c r="A113" s="127" t="s">
        <v>1696</v>
      </c>
      <c r="B113" s="79">
        <v>493</v>
      </c>
      <c r="C113" s="79">
        <v>373</v>
      </c>
      <c r="D113" s="80">
        <v>-51</v>
      </c>
      <c r="E113" s="79">
        <v>80</v>
      </c>
      <c r="F113" s="57">
        <v>21.21</v>
      </c>
      <c r="G113" s="80">
        <v>4735</v>
      </c>
      <c r="H113" s="50" t="s">
        <v>1403</v>
      </c>
      <c r="I113" s="16" t="s">
        <v>617</v>
      </c>
      <c r="J113" s="8">
        <f>IFERROR(VLOOKUP($G113,今日總結!$A:$AN,33,0),"")</f>
        <v>0</v>
      </c>
      <c r="K113" s="5">
        <f>IFERROR(VLOOKUP($G113,今日總結!$A:$AN,34,0),"")</f>
        <v>0</v>
      </c>
      <c r="L113" s="156">
        <f>IFERROR(VLOOKUP($G113,今日總結!$A:$AN,31,0),"")</f>
        <v>5</v>
      </c>
      <c r="M113" s="337">
        <f>IFERROR(VLOOKUP($G113,今日總結!$A:$AN,32,0),"")</f>
        <v>1</v>
      </c>
      <c r="N113" s="240">
        <f t="shared" ref="N113:N115" si="44">IFERROR(L113-M113,"")</f>
        <v>4</v>
      </c>
      <c r="O113" s="359">
        <f>IFERROR(VLOOKUP($G113,融外自投!$A:$J,7,0),"無")</f>
        <v>724</v>
      </c>
      <c r="P113" s="79">
        <f>IFERROR(VLOOKUP($G113,融外自投!$A:$J,9,0),"無")</f>
        <v>392</v>
      </c>
      <c r="Q113" s="342">
        <f>IFERROR(VLOOKUP($G113,融外自投!$A:$J,8,0),"無")</f>
        <v>1259</v>
      </c>
      <c r="R113" s="81" t="str">
        <f>IFERROR(VLOOKUP($G113,融外自投!$A:$J,10,0),"無")</f>
        <v>無</v>
      </c>
      <c r="S113" s="324">
        <f>IFERROR(VLOOKUP($G113,'321買'!$A:$E,5,0),"'沒有資料'")</f>
        <v>0</v>
      </c>
      <c r="T113" s="34">
        <v>1</v>
      </c>
      <c r="V113" s="94">
        <v>19.010000000000002</v>
      </c>
      <c r="W113" s="36">
        <f>RTD("money.excel",,"4735","Price")</f>
        <v>39.6</v>
      </c>
      <c r="X113" s="66">
        <f>91.8-1.5-2.5-1.2-1</f>
        <v>85.6</v>
      </c>
      <c r="Y113" s="15">
        <f>W113-X113</f>
        <v>-45.999999999999993</v>
      </c>
      <c r="Z113" s="76">
        <f>Y113/X113</f>
        <v>-0.53738317757009346</v>
      </c>
      <c r="AA113" s="135" t="s">
        <v>3299</v>
      </c>
      <c r="AC113" s="16" t="s">
        <v>617</v>
      </c>
      <c r="AD113" s="84">
        <v>44333</v>
      </c>
      <c r="AF113" s="33">
        <f>AE113-AD113</f>
        <v>-44333</v>
      </c>
      <c r="AG113" s="127" t="s">
        <v>1121</v>
      </c>
      <c r="AH113" s="221"/>
      <c r="AI113" s="213"/>
    </row>
    <row r="114" spans="1:35">
      <c r="A114" s="127" t="s">
        <v>1696</v>
      </c>
      <c r="B114" s="79">
        <v>493</v>
      </c>
      <c r="C114" s="79">
        <v>373</v>
      </c>
      <c r="D114" s="80">
        <v>-51</v>
      </c>
      <c r="E114" s="79">
        <v>80</v>
      </c>
      <c r="F114" s="57">
        <v>21.21</v>
      </c>
      <c r="G114" s="80">
        <v>4735</v>
      </c>
      <c r="H114" s="30" t="s">
        <v>1461</v>
      </c>
      <c r="I114" s="16" t="s">
        <v>617</v>
      </c>
      <c r="J114" s="8">
        <f>IFERROR(VLOOKUP($G114,今日總結!$A:$AN,33,0),"")</f>
        <v>0</v>
      </c>
      <c r="K114" s="5">
        <f>IFERROR(VLOOKUP($G114,今日總結!$A:$AN,34,0),"")</f>
        <v>0</v>
      </c>
      <c r="L114" s="156">
        <f>IFERROR(VLOOKUP($G114,今日總結!$A:$AN,31,0),"")</f>
        <v>5</v>
      </c>
      <c r="M114" s="337">
        <f>IFERROR(VLOOKUP($G114,今日總結!$A:$AN,32,0),"")</f>
        <v>1</v>
      </c>
      <c r="N114" s="240">
        <f t="shared" si="44"/>
        <v>4</v>
      </c>
      <c r="O114" s="359">
        <f>IFERROR(VLOOKUP($G114,融外自投!$A:$J,7,0),"無")</f>
        <v>724</v>
      </c>
      <c r="P114" s="79">
        <f>IFERROR(VLOOKUP($G114,融外自投!$A:$J,9,0),"無")</f>
        <v>392</v>
      </c>
      <c r="Q114" s="342">
        <f>IFERROR(VLOOKUP($G114,融外自投!$A:$J,8,0),"無")</f>
        <v>1259</v>
      </c>
      <c r="R114" s="81" t="str">
        <f>IFERROR(VLOOKUP($G114,融外自投!$A:$J,10,0),"無")</f>
        <v>無</v>
      </c>
      <c r="S114" s="324">
        <f>IFERROR(VLOOKUP($G114,'321買'!$A:$E,5,0),"'沒有資料'")</f>
        <v>0</v>
      </c>
      <c r="T114" s="34">
        <v>1</v>
      </c>
      <c r="V114" s="94">
        <v>19.010000000000002</v>
      </c>
      <c r="W114" s="36">
        <f>RTD("money.excel",,"4735","Price")</f>
        <v>39.6</v>
      </c>
      <c r="X114" s="66">
        <f>71.1-2.5-1.2-1</f>
        <v>66.399999999999991</v>
      </c>
      <c r="Y114" s="15">
        <f>W114-X114</f>
        <v>-26.79999999999999</v>
      </c>
      <c r="Z114" s="76">
        <f>Y114/X114</f>
        <v>-0.40361445783132521</v>
      </c>
      <c r="AA114" s="135" t="s">
        <v>3299</v>
      </c>
      <c r="AC114" s="16" t="s">
        <v>617</v>
      </c>
      <c r="AD114" s="84">
        <v>44453</v>
      </c>
      <c r="AF114" s="33">
        <f>AE114-AD114</f>
        <v>-44453</v>
      </c>
      <c r="AG114" s="41" t="s">
        <v>1121</v>
      </c>
      <c r="AH114" s="221"/>
      <c r="AI114" s="213"/>
    </row>
    <row r="115" spans="1:35">
      <c r="A115" s="127" t="s">
        <v>1696</v>
      </c>
      <c r="B115" s="79">
        <v>493</v>
      </c>
      <c r="C115" s="79">
        <v>373</v>
      </c>
      <c r="D115" s="80">
        <v>-51</v>
      </c>
      <c r="E115" s="79">
        <v>80</v>
      </c>
      <c r="F115" s="57">
        <v>21.21</v>
      </c>
      <c r="G115" s="80">
        <v>4735</v>
      </c>
      <c r="H115" s="30" t="s">
        <v>1461</v>
      </c>
      <c r="I115" s="16" t="s">
        <v>617</v>
      </c>
      <c r="J115" s="8">
        <f>IFERROR(VLOOKUP($G115,今日總結!$A:$AN,33,0),"")</f>
        <v>0</v>
      </c>
      <c r="K115" s="5">
        <f>IFERROR(VLOOKUP($G115,今日總結!$A:$AN,34,0),"")</f>
        <v>0</v>
      </c>
      <c r="L115" s="156">
        <f>IFERROR(VLOOKUP($G115,今日總結!$A:$AN,31,0),"")</f>
        <v>5</v>
      </c>
      <c r="M115" s="337">
        <f>IFERROR(VLOOKUP($G115,今日總結!$A:$AN,32,0),"")</f>
        <v>1</v>
      </c>
      <c r="N115" s="240">
        <f t="shared" si="44"/>
        <v>4</v>
      </c>
      <c r="O115" s="359">
        <f>IFERROR(VLOOKUP($G115,融外自投!$A:$J,7,0),"無")</f>
        <v>724</v>
      </c>
      <c r="P115" s="79">
        <f>IFERROR(VLOOKUP($G115,融外自投!$A:$J,9,0),"無")</f>
        <v>392</v>
      </c>
      <c r="Q115" s="342">
        <f>IFERROR(VLOOKUP($G115,融外自投!$A:$J,8,0),"無")</f>
        <v>1259</v>
      </c>
      <c r="R115" s="81" t="str">
        <f>IFERROR(VLOOKUP($G115,融外自投!$A:$J,10,0),"無")</f>
        <v>無</v>
      </c>
      <c r="S115" s="324">
        <f>IFERROR(VLOOKUP($G115,'321買'!$A:$E,5,0),"'沒有資料'")</f>
        <v>0</v>
      </c>
      <c r="T115" s="34">
        <v>1</v>
      </c>
      <c r="V115" s="94">
        <v>19.010000000000002</v>
      </c>
      <c r="W115" s="36">
        <f>RTD("money.excel",,"4735","Price")</f>
        <v>39.6</v>
      </c>
      <c r="X115" s="66">
        <f>91.8-1.5-2.5-1.2-1</f>
        <v>85.6</v>
      </c>
      <c r="Y115" s="15">
        <f>W115-X115</f>
        <v>-45.999999999999993</v>
      </c>
      <c r="Z115" s="76">
        <f>Y115/X115</f>
        <v>-0.53738317757009346</v>
      </c>
      <c r="AA115" s="135" t="s">
        <v>3299</v>
      </c>
      <c r="AC115" s="16" t="s">
        <v>617</v>
      </c>
      <c r="AD115" s="84">
        <v>44333</v>
      </c>
      <c r="AF115" s="33">
        <f>AE115-AD115</f>
        <v>-44333</v>
      </c>
      <c r="AG115" s="41" t="s">
        <v>1121</v>
      </c>
      <c r="AH115" s="221"/>
      <c r="AI115" s="213"/>
    </row>
    <row r="116" spans="1:35" s="248" customFormat="1">
      <c r="A116" s="141"/>
      <c r="B116" s="79"/>
      <c r="C116" s="79"/>
      <c r="D116" s="79"/>
      <c r="E116" s="79"/>
      <c r="F116" s="6"/>
      <c r="G116" s="41"/>
      <c r="H116" s="8"/>
      <c r="I116" s="153"/>
      <c r="J116" s="1"/>
      <c r="K116" s="1"/>
      <c r="L116" s="123"/>
      <c r="M116" s="234"/>
      <c r="N116" s="338"/>
      <c r="O116" s="359"/>
      <c r="P116" s="47"/>
      <c r="Q116" s="342"/>
      <c r="R116" s="300"/>
      <c r="S116" s="319"/>
      <c r="T116" s="185"/>
      <c r="U116" s="308"/>
      <c r="V116" s="94"/>
      <c r="W116" s="165">
        <f>SUM(W113:W115)</f>
        <v>118.80000000000001</v>
      </c>
      <c r="X116" s="155">
        <f>SUM(X113:X115)</f>
        <v>237.6</v>
      </c>
      <c r="Y116" s="226">
        <f>W116-X116</f>
        <v>-118.79999999999998</v>
      </c>
      <c r="Z116" s="164">
        <f>Y116/X116</f>
        <v>-0.49999999999999994</v>
      </c>
      <c r="AA116" s="113"/>
      <c r="AB116" s="376"/>
      <c r="AC116" s="153">
        <f>W116*(0.001425*0.5)+W116*0.003+X116*(0.001425*0.5)</f>
        <v>0.61033500000000007</v>
      </c>
      <c r="AD116" s="6">
        <f>Y116-AC116</f>
        <v>-119.41033499999999</v>
      </c>
      <c r="AE116" s="83"/>
      <c r="AF116" s="33"/>
      <c r="AG116" s="41" t="s">
        <v>1501</v>
      </c>
      <c r="AH116" s="163"/>
      <c r="AI116" s="241" t="s">
        <v>3366</v>
      </c>
    </row>
    <row r="117" spans="1:35" s="248" customFormat="1">
      <c r="A117" s="141"/>
      <c r="B117" s="79"/>
      <c r="C117" s="79"/>
      <c r="D117" s="79"/>
      <c r="E117" s="79"/>
      <c r="F117" s="6"/>
      <c r="G117" s="41"/>
      <c r="H117" s="8"/>
      <c r="I117" s="153"/>
      <c r="J117" s="1"/>
      <c r="K117" s="1"/>
      <c r="L117" s="123"/>
      <c r="M117" s="234"/>
      <c r="N117" s="338"/>
      <c r="O117" s="359"/>
      <c r="P117" s="47"/>
      <c r="Q117" s="342"/>
      <c r="R117" s="300"/>
      <c r="S117" s="319"/>
      <c r="T117" s="185"/>
      <c r="U117" s="308"/>
      <c r="V117" s="94"/>
      <c r="W117" s="165"/>
      <c r="X117" s="155"/>
      <c r="Y117" s="162"/>
      <c r="Z117" s="164"/>
      <c r="AA117" s="113"/>
      <c r="AB117" s="376"/>
      <c r="AC117" s="153"/>
      <c r="AD117" s="6"/>
      <c r="AE117" s="83"/>
      <c r="AF117" s="33"/>
      <c r="AG117" s="41"/>
      <c r="AH117" s="163"/>
    </row>
    <row r="118" spans="1:35" s="248" customFormat="1">
      <c r="A118" s="127" t="s">
        <v>1672</v>
      </c>
      <c r="B118" s="90" t="s">
        <v>1571</v>
      </c>
      <c r="C118" s="90" t="s">
        <v>1572</v>
      </c>
      <c r="D118" s="90" t="s">
        <v>1573</v>
      </c>
      <c r="E118" s="90" t="s">
        <v>1574</v>
      </c>
      <c r="F118" s="8" t="s">
        <v>1059</v>
      </c>
      <c r="G118" s="26" t="s">
        <v>3441</v>
      </c>
      <c r="H118" s="55" t="s">
        <v>320</v>
      </c>
      <c r="I118" s="1" t="s">
        <v>2248</v>
      </c>
      <c r="J118" s="8" t="s">
        <v>6211</v>
      </c>
      <c r="K118" s="5" t="s">
        <v>6212</v>
      </c>
      <c r="L118" s="334" t="s">
        <v>6197</v>
      </c>
      <c r="M118" s="335" t="s">
        <v>6198</v>
      </c>
      <c r="N118" s="336" t="s">
        <v>6199</v>
      </c>
      <c r="O118" s="89" t="s">
        <v>6275</v>
      </c>
      <c r="P118" s="292" t="s">
        <v>6274</v>
      </c>
      <c r="Q118" s="350" t="s">
        <v>6273</v>
      </c>
      <c r="R118" s="26" t="s">
        <v>6276</v>
      </c>
      <c r="S118" s="318" t="s">
        <v>4715</v>
      </c>
      <c r="T118" s="14" t="s">
        <v>66</v>
      </c>
      <c r="U118" s="305" t="s">
        <v>4728</v>
      </c>
      <c r="V118" s="68" t="s">
        <v>3272</v>
      </c>
      <c r="W118" s="28" t="s">
        <v>2</v>
      </c>
      <c r="X118" s="17" t="s">
        <v>1398</v>
      </c>
      <c r="Y118" s="14" t="s">
        <v>2249</v>
      </c>
      <c r="Z118" s="21" t="s">
        <v>1469</v>
      </c>
      <c r="AA118" s="51" t="s">
        <v>6166</v>
      </c>
      <c r="AB118" s="102" t="s">
        <v>6404</v>
      </c>
      <c r="AC118" s="1" t="s">
        <v>2248</v>
      </c>
      <c r="AD118" s="71" t="s">
        <v>1399</v>
      </c>
      <c r="AE118" s="72" t="s">
        <v>1156</v>
      </c>
      <c r="AF118" s="32" t="s">
        <v>1157</v>
      </c>
      <c r="AG118" s="138"/>
      <c r="AH118" s="163"/>
    </row>
    <row r="119" spans="1:35">
      <c r="A119" s="142" t="s">
        <v>1971</v>
      </c>
      <c r="B119" s="79">
        <v>171</v>
      </c>
      <c r="C119" s="79">
        <v>194</v>
      </c>
      <c r="D119" s="80">
        <v>-11</v>
      </c>
      <c r="E119" s="79">
        <v>3</v>
      </c>
      <c r="F119" s="6">
        <v>6.68</v>
      </c>
      <c r="G119" s="80">
        <v>6558</v>
      </c>
      <c r="H119" s="30" t="s">
        <v>1461</v>
      </c>
      <c r="I119" s="22" t="s">
        <v>1064</v>
      </c>
      <c r="J119" s="8">
        <f>IFERROR(VLOOKUP($G119,今日總結!$A:$AN,33,0),"")</f>
        <v>0</v>
      </c>
      <c r="K119" s="5">
        <f>IFERROR(VLOOKUP($G119,今日總結!$A:$AN,34,0),"")</f>
        <v>0</v>
      </c>
      <c r="L119" s="156">
        <f>IFERROR(VLOOKUP($G119,今日總結!$A:$AN,31,0),"")</f>
        <v>0</v>
      </c>
      <c r="M119" s="337">
        <f>IFERROR(VLOOKUP($G119,今日總結!$A:$AN,32,0),"")</f>
        <v>0</v>
      </c>
      <c r="N119" s="240">
        <f t="shared" ref="N119:N120" si="45">IFERROR(L119-M119,"")</f>
        <v>0</v>
      </c>
      <c r="O119" s="359">
        <f>IFERROR(VLOOKUP($G119,融外自投!$A:$J,7,0),"無")</f>
        <v>467</v>
      </c>
      <c r="P119" s="79">
        <f>IFERROR(VLOOKUP($G119,融外自投!$A:$J,9,0),"無")</f>
        <v>1051</v>
      </c>
      <c r="Q119" s="342">
        <f>IFERROR(VLOOKUP($G119,融外自投!$A:$J,8,0),"無")</f>
        <v>1039</v>
      </c>
      <c r="R119" s="81" t="str">
        <f>IFERROR(VLOOKUP($G119,融外自投!$A:$J,10,0),"無")</f>
        <v>無</v>
      </c>
      <c r="S119" s="324">
        <f>IFERROR(VLOOKUP($G119,'321買'!$A:$E,5,0),"'沒有資料'")</f>
        <v>0</v>
      </c>
      <c r="T119" s="34">
        <v>0</v>
      </c>
      <c r="V119" s="94">
        <v>1.42</v>
      </c>
      <c r="W119" s="36">
        <f>RTD("money.excel",,"6558","Price")</f>
        <v>22.65</v>
      </c>
      <c r="X119" s="66">
        <f>39.1-0.3</f>
        <v>38.800000000000004</v>
      </c>
      <c r="Y119" s="15">
        <f>W119-X119</f>
        <v>-16.150000000000006</v>
      </c>
      <c r="Z119" s="3">
        <f>Y119/X119</f>
        <v>-0.41623711340206193</v>
      </c>
      <c r="AA119" s="101" t="s">
        <v>3352</v>
      </c>
      <c r="AC119" s="22" t="s">
        <v>1064</v>
      </c>
      <c r="AD119" s="84">
        <v>44370</v>
      </c>
      <c r="AF119" s="33"/>
      <c r="AG119" s="41" t="s">
        <v>1121</v>
      </c>
      <c r="AI119" s="234"/>
    </row>
    <row r="120" spans="1:35">
      <c r="A120" s="142" t="s">
        <v>1971</v>
      </c>
      <c r="B120" s="79">
        <v>171</v>
      </c>
      <c r="C120" s="79">
        <v>194</v>
      </c>
      <c r="D120" s="80">
        <v>-11</v>
      </c>
      <c r="E120" s="79">
        <v>3</v>
      </c>
      <c r="F120" s="6">
        <v>6.68</v>
      </c>
      <c r="G120" s="80">
        <v>6558</v>
      </c>
      <c r="H120" s="30" t="s">
        <v>1461</v>
      </c>
      <c r="I120" s="22" t="s">
        <v>1064</v>
      </c>
      <c r="J120" s="8">
        <f>IFERROR(VLOOKUP($G120,今日總結!$A:$AN,33,0),"")</f>
        <v>0</v>
      </c>
      <c r="K120" s="5">
        <f>IFERROR(VLOOKUP($G120,今日總結!$A:$AN,34,0),"")</f>
        <v>0</v>
      </c>
      <c r="L120" s="156">
        <f>IFERROR(VLOOKUP($G120,今日總結!$A:$AN,31,0),"")</f>
        <v>0</v>
      </c>
      <c r="M120" s="337">
        <f>IFERROR(VLOOKUP($G120,今日總結!$A:$AN,32,0),"")</f>
        <v>0</v>
      </c>
      <c r="N120" s="240">
        <f t="shared" si="45"/>
        <v>0</v>
      </c>
      <c r="O120" s="359">
        <f>IFERROR(VLOOKUP($G120,融外自投!$A:$J,7,0),"無")</f>
        <v>467</v>
      </c>
      <c r="P120" s="79">
        <f>IFERROR(VLOOKUP($G120,融外自投!$A:$J,9,0),"無")</f>
        <v>1051</v>
      </c>
      <c r="Q120" s="342">
        <f>IFERROR(VLOOKUP($G120,融外自投!$A:$J,8,0),"無")</f>
        <v>1039</v>
      </c>
      <c r="R120" s="81" t="str">
        <f>IFERROR(VLOOKUP($G120,融外自投!$A:$J,10,0),"無")</f>
        <v>無</v>
      </c>
      <c r="S120" s="324">
        <f>IFERROR(VLOOKUP($G120,'321買'!$A:$E,5,0),"'沒有資料'")</f>
        <v>0</v>
      </c>
      <c r="T120" s="34">
        <v>0</v>
      </c>
      <c r="V120" s="94">
        <v>1.42</v>
      </c>
      <c r="W120" s="36">
        <f>RTD("money.excel",,"6558","Price")</f>
        <v>22.65</v>
      </c>
      <c r="X120" s="66">
        <f>43.05-0.3</f>
        <v>42.75</v>
      </c>
      <c r="Y120" s="15">
        <f>W120-X120</f>
        <v>-20.100000000000001</v>
      </c>
      <c r="Z120" s="3">
        <f>Y120/X120</f>
        <v>-0.47017543859649125</v>
      </c>
      <c r="AA120" s="101" t="s">
        <v>3352</v>
      </c>
      <c r="AC120" s="22" t="s">
        <v>1064</v>
      </c>
      <c r="AD120" s="84">
        <v>44363</v>
      </c>
      <c r="AF120" s="33"/>
      <c r="AG120" s="41" t="s">
        <v>1121</v>
      </c>
      <c r="AI120" s="234"/>
    </row>
    <row r="121" spans="1:35" s="248" customFormat="1">
      <c r="A121" s="141"/>
      <c r="B121" s="79"/>
      <c r="C121" s="79"/>
      <c r="D121" s="79"/>
      <c r="E121" s="79"/>
      <c r="F121" s="6"/>
      <c r="G121" s="41"/>
      <c r="H121" s="8"/>
      <c r="I121" s="153"/>
      <c r="J121" s="1"/>
      <c r="K121" s="1"/>
      <c r="L121" s="245"/>
      <c r="M121" s="234"/>
      <c r="N121" s="338"/>
      <c r="O121" s="359"/>
      <c r="P121" s="47"/>
      <c r="Q121" s="342"/>
      <c r="R121" s="300"/>
      <c r="S121" s="319"/>
      <c r="T121" s="185"/>
      <c r="U121" s="308"/>
      <c r="V121" s="94"/>
      <c r="W121" s="165">
        <f>SUM(W119:W120)</f>
        <v>45.3</v>
      </c>
      <c r="X121" s="155">
        <f>SUM(X119:X120)</f>
        <v>81.550000000000011</v>
      </c>
      <c r="Y121" s="162">
        <f>W121-X121</f>
        <v>-36.250000000000014</v>
      </c>
      <c r="Z121" s="164">
        <f>Y121/X121</f>
        <v>-0.44451256897608843</v>
      </c>
      <c r="AA121" s="113"/>
      <c r="AB121" s="376"/>
      <c r="AC121" s="153">
        <f>W121*(0.001425*0.5)+W121*0.003+X121*(0.001425*0.5)</f>
        <v>0.22628062500000001</v>
      </c>
      <c r="AD121" s="6">
        <f>Y121-AC121</f>
        <v>-36.476280625000015</v>
      </c>
      <c r="AE121" s="83"/>
      <c r="AF121" s="33"/>
      <c r="AG121" s="41" t="s">
        <v>1501</v>
      </c>
      <c r="AH121" s="163"/>
      <c r="AI121" s="241" t="s">
        <v>3365</v>
      </c>
    </row>
    <row r="122" spans="1:35" s="248" customFormat="1">
      <c r="A122" s="141"/>
      <c r="B122" s="79"/>
      <c r="C122" s="80"/>
      <c r="D122" s="79"/>
      <c r="E122" s="80"/>
      <c r="F122" s="6"/>
      <c r="G122" s="41"/>
      <c r="H122" s="50"/>
      <c r="I122" s="166"/>
      <c r="J122" s="1"/>
      <c r="K122" s="1"/>
      <c r="L122" s="163"/>
      <c r="N122" s="339"/>
      <c r="O122" s="359"/>
      <c r="P122" s="47"/>
      <c r="Q122" s="342"/>
      <c r="R122" s="300"/>
      <c r="S122" s="319"/>
      <c r="T122" s="185"/>
      <c r="U122" s="308"/>
      <c r="V122" s="94"/>
      <c r="W122" s="165"/>
      <c r="X122" s="155"/>
      <c r="Y122" s="162"/>
      <c r="Z122" s="164"/>
      <c r="AA122" s="113"/>
      <c r="AB122" s="376"/>
      <c r="AC122" s="153"/>
      <c r="AD122" s="6"/>
      <c r="AE122" s="83"/>
      <c r="AF122" s="33"/>
      <c r="AG122" s="127"/>
      <c r="AH122" s="163"/>
    </row>
    <row r="123" spans="1:35" s="248" customFormat="1" ht="17.25" customHeight="1">
      <c r="A123" s="127" t="s">
        <v>1672</v>
      </c>
      <c r="B123" s="90" t="s">
        <v>1571</v>
      </c>
      <c r="C123" s="90" t="s">
        <v>1572</v>
      </c>
      <c r="D123" s="90" t="s">
        <v>1573</v>
      </c>
      <c r="E123" s="90" t="s">
        <v>1574</v>
      </c>
      <c r="F123" s="8" t="s">
        <v>1059</v>
      </c>
      <c r="G123" s="26" t="s">
        <v>3441</v>
      </c>
      <c r="H123" s="55" t="s">
        <v>320</v>
      </c>
      <c r="I123" s="1" t="s">
        <v>2248</v>
      </c>
      <c r="J123" s="8" t="s">
        <v>6211</v>
      </c>
      <c r="K123" s="5" t="s">
        <v>6212</v>
      </c>
      <c r="L123" s="334" t="s">
        <v>6197</v>
      </c>
      <c r="M123" s="335" t="s">
        <v>6198</v>
      </c>
      <c r="N123" s="336" t="s">
        <v>6199</v>
      </c>
      <c r="O123" s="89" t="s">
        <v>6275</v>
      </c>
      <c r="P123" s="292" t="s">
        <v>6274</v>
      </c>
      <c r="Q123" s="350" t="s">
        <v>6273</v>
      </c>
      <c r="R123" s="26" t="s">
        <v>6276</v>
      </c>
      <c r="S123" s="318" t="s">
        <v>4715</v>
      </c>
      <c r="T123" s="14" t="s">
        <v>66</v>
      </c>
      <c r="U123" s="305" t="s">
        <v>4728</v>
      </c>
      <c r="V123" s="68" t="s">
        <v>3272</v>
      </c>
      <c r="W123" s="28" t="s">
        <v>2</v>
      </c>
      <c r="X123" s="17" t="s">
        <v>1398</v>
      </c>
      <c r="Y123" s="14" t="s">
        <v>2249</v>
      </c>
      <c r="Z123" s="21" t="s">
        <v>1469</v>
      </c>
      <c r="AA123" s="51" t="s">
        <v>6166</v>
      </c>
      <c r="AB123" s="102" t="s">
        <v>6404</v>
      </c>
      <c r="AC123" s="1" t="s">
        <v>2248</v>
      </c>
      <c r="AD123" s="71" t="s">
        <v>1399</v>
      </c>
      <c r="AE123" s="72" t="s">
        <v>1156</v>
      </c>
      <c r="AF123" s="32" t="s">
        <v>1157</v>
      </c>
      <c r="AG123" s="138"/>
      <c r="AH123" s="163"/>
    </row>
    <row r="124" spans="1:35">
      <c r="A124" s="142" t="s">
        <v>1654</v>
      </c>
      <c r="B124" s="92">
        <v>8051</v>
      </c>
      <c r="C124" s="92">
        <v>8406</v>
      </c>
      <c r="D124" s="80">
        <v>-4</v>
      </c>
      <c r="E124" s="79">
        <v>17</v>
      </c>
      <c r="F124" s="6">
        <v>8.76</v>
      </c>
      <c r="G124" s="80">
        <v>1598</v>
      </c>
      <c r="H124" s="50" t="s">
        <v>1403</v>
      </c>
      <c r="I124" s="22" t="s">
        <v>627</v>
      </c>
      <c r="J124" s="8">
        <f>IFERROR(VLOOKUP($G124,今日總結!$A:$AN,33,0),"")</f>
        <v>0</v>
      </c>
      <c r="K124" s="5">
        <f>IFERROR(VLOOKUP($G124,今日總結!$A:$AN,34,0),"")</f>
        <v>0</v>
      </c>
      <c r="L124" s="156">
        <f>IFERROR(VLOOKUP($G124,今日總結!$A:$AN,31,0),"")</f>
        <v>3</v>
      </c>
      <c r="M124" s="337">
        <f>IFERROR(VLOOKUP($G124,今日總結!$A:$AN,32,0),"")</f>
        <v>1</v>
      </c>
      <c r="N124" s="240">
        <f t="shared" ref="N124" si="46">IFERROR(L124-M124,"")</f>
        <v>2</v>
      </c>
      <c r="O124" s="359">
        <f>IFERROR(VLOOKUP($G124,融外自投!$A:$J,7,0),"無")</f>
        <v>514</v>
      </c>
      <c r="P124" s="79">
        <f>IFERROR(VLOOKUP($G124,融外自投!$A:$J,9,0),"無")</f>
        <v>442</v>
      </c>
      <c r="Q124" s="342">
        <f>IFERROR(VLOOKUP($G124,融外自投!$A:$J,8,0),"無")</f>
        <v>822</v>
      </c>
      <c r="R124" s="81">
        <f>IFERROR(VLOOKUP($G124,融外自投!$A:$J,10,0),"無")</f>
        <v>495</v>
      </c>
      <c r="S124" s="324">
        <f>IFERROR(VLOOKUP($G124,'321買'!$A:$E,5,0),"'沒有資料'")</f>
        <v>0</v>
      </c>
      <c r="T124" s="34">
        <v>2.5</v>
      </c>
      <c r="V124" s="57">
        <v>13.82</v>
      </c>
      <c r="W124" s="36">
        <f>RTD("money.excel",,"1598","Price")</f>
        <v>41.9</v>
      </c>
      <c r="X124" s="66">
        <f>89.5-7.47</f>
        <v>82.03</v>
      </c>
      <c r="Y124" s="15">
        <f>W124-X124</f>
        <v>-40.130000000000003</v>
      </c>
      <c r="Z124" s="3">
        <f>Y124/X124</f>
        <v>-0.48921126417164457</v>
      </c>
      <c r="AA124" s="99" t="s">
        <v>1887</v>
      </c>
      <c r="AC124" s="22" t="s">
        <v>627</v>
      </c>
      <c r="AD124" s="84">
        <v>44329</v>
      </c>
      <c r="AF124" s="33">
        <f>AE124-AD124</f>
        <v>-44329</v>
      </c>
      <c r="AG124" s="127" t="s">
        <v>1121</v>
      </c>
      <c r="AH124" s="127"/>
      <c r="AI124" s="213"/>
    </row>
    <row r="125" spans="1:35">
      <c r="A125" s="142" t="s">
        <v>1654</v>
      </c>
      <c r="B125" s="92">
        <v>8051</v>
      </c>
      <c r="C125" s="92">
        <v>8406</v>
      </c>
      <c r="D125" s="80">
        <v>-4</v>
      </c>
      <c r="E125" s="79">
        <v>17</v>
      </c>
      <c r="F125" s="6">
        <v>8.76</v>
      </c>
      <c r="G125" s="80">
        <v>1598</v>
      </c>
      <c r="H125" s="50" t="s">
        <v>1403</v>
      </c>
      <c r="I125" s="22" t="s">
        <v>627</v>
      </c>
      <c r="J125" s="8">
        <f>IFERROR(VLOOKUP($G125,今日總結!$A:$AN,33,0),"")</f>
        <v>0</v>
      </c>
      <c r="K125" s="5">
        <f>IFERROR(VLOOKUP($G125,今日總結!$A:$AN,34,0),"")</f>
        <v>0</v>
      </c>
      <c r="L125" s="156">
        <f>IFERROR(VLOOKUP($G125,今日總結!$A:$AN,31,0),"")</f>
        <v>3</v>
      </c>
      <c r="M125" s="337">
        <f>IFERROR(VLOOKUP($G125,今日總結!$A:$AN,32,0),"")</f>
        <v>1</v>
      </c>
      <c r="N125" s="240">
        <f t="shared" ref="N125:N127" si="47">IFERROR(L125-M125,"")</f>
        <v>2</v>
      </c>
      <c r="O125" s="359">
        <f>IFERROR(VLOOKUP($G125,融外自投!$A:$J,7,0),"無")</f>
        <v>514</v>
      </c>
      <c r="P125" s="79">
        <f>IFERROR(VLOOKUP($G125,融外自投!$A:$J,9,0),"無")</f>
        <v>442</v>
      </c>
      <c r="Q125" s="342">
        <f>IFERROR(VLOOKUP($G125,融外自投!$A:$J,8,0),"無")</f>
        <v>822</v>
      </c>
      <c r="R125" s="81">
        <f>IFERROR(VLOOKUP($G125,融外自投!$A:$J,10,0),"無")</f>
        <v>495</v>
      </c>
      <c r="S125" s="324">
        <f>IFERROR(VLOOKUP($G125,'321買'!$A:$E,5,0),"'沒有資料'")</f>
        <v>0</v>
      </c>
      <c r="T125" s="34">
        <v>2.5</v>
      </c>
      <c r="V125" s="57">
        <v>13.82</v>
      </c>
      <c r="W125" s="36">
        <f>RTD("money.excel",,"1598","Price")</f>
        <v>41.9</v>
      </c>
      <c r="X125" s="66">
        <f>107-7.47</f>
        <v>99.53</v>
      </c>
      <c r="Y125" s="15">
        <f>W125-X125</f>
        <v>-57.63</v>
      </c>
      <c r="Z125" s="3">
        <f>Y125/X125</f>
        <v>-0.57902140058273888</v>
      </c>
      <c r="AA125" s="99" t="s">
        <v>1887</v>
      </c>
      <c r="AC125" s="22" t="s">
        <v>627</v>
      </c>
      <c r="AD125" s="84">
        <v>44313</v>
      </c>
      <c r="AF125" s="33">
        <f>AE125-AD125</f>
        <v>-44313</v>
      </c>
      <c r="AG125" s="127" t="s">
        <v>1121</v>
      </c>
      <c r="AH125" s="127" t="s">
        <v>1501</v>
      </c>
      <c r="AI125" s="213"/>
    </row>
    <row r="126" spans="1:35">
      <c r="A126" s="142" t="s">
        <v>1654</v>
      </c>
      <c r="B126" s="92">
        <v>8051</v>
      </c>
      <c r="C126" s="92">
        <v>8406</v>
      </c>
      <c r="D126" s="80">
        <v>-4</v>
      </c>
      <c r="E126" s="79">
        <v>17</v>
      </c>
      <c r="F126" s="6">
        <v>8.76</v>
      </c>
      <c r="G126" s="80">
        <v>1598</v>
      </c>
      <c r="H126" s="30" t="s">
        <v>1461</v>
      </c>
      <c r="I126" s="22" t="s">
        <v>627</v>
      </c>
      <c r="J126" s="8">
        <f>IFERROR(VLOOKUP($G126,今日總結!$A:$AN,33,0),"")</f>
        <v>0</v>
      </c>
      <c r="K126" s="5">
        <f>IFERROR(VLOOKUP($G126,今日總結!$A:$AN,34,0),"")</f>
        <v>0</v>
      </c>
      <c r="L126" s="156">
        <f>IFERROR(VLOOKUP($G126,今日總結!$A:$AN,31,0),"")</f>
        <v>3</v>
      </c>
      <c r="M126" s="337">
        <f>IFERROR(VLOOKUP($G126,今日總結!$A:$AN,32,0),"")</f>
        <v>1</v>
      </c>
      <c r="N126" s="240">
        <f t="shared" si="47"/>
        <v>2</v>
      </c>
      <c r="O126" s="359">
        <f>IFERROR(VLOOKUP($G126,融外自投!$A:$J,7,0),"無")</f>
        <v>514</v>
      </c>
      <c r="P126" s="79">
        <f>IFERROR(VLOOKUP($G126,融外自投!$A:$J,9,0),"無")</f>
        <v>442</v>
      </c>
      <c r="Q126" s="342">
        <f>IFERROR(VLOOKUP($G126,融外自投!$A:$J,8,0),"無")</f>
        <v>822</v>
      </c>
      <c r="R126" s="81">
        <f>IFERROR(VLOOKUP($G126,融外自投!$A:$J,10,0),"無")</f>
        <v>495</v>
      </c>
      <c r="S126" s="324">
        <f>IFERROR(VLOOKUP($G126,'321買'!$A:$E,5,0),"'沒有資料'")</f>
        <v>0</v>
      </c>
      <c r="T126" s="34">
        <v>2.5</v>
      </c>
      <c r="V126" s="57">
        <v>13.82</v>
      </c>
      <c r="W126" s="36">
        <f>RTD("money.excel",,"1598","Price")</f>
        <v>41.9</v>
      </c>
      <c r="X126" s="66">
        <f>89.4-7.47</f>
        <v>81.93</v>
      </c>
      <c r="Y126" s="15">
        <f>W126-X126</f>
        <v>-40.030000000000008</v>
      </c>
      <c r="Z126" s="3">
        <f>Y126/X126</f>
        <v>-0.48858781886976693</v>
      </c>
      <c r="AA126" s="99" t="s">
        <v>1887</v>
      </c>
      <c r="AC126" s="22" t="s">
        <v>627</v>
      </c>
      <c r="AD126" s="84">
        <v>44329</v>
      </c>
      <c r="AF126" s="33">
        <f>AE126-AD126</f>
        <v>-44329</v>
      </c>
      <c r="AG126" s="41" t="s">
        <v>1121</v>
      </c>
      <c r="AH126" s="212"/>
      <c r="AI126" s="213"/>
    </row>
    <row r="127" spans="1:35">
      <c r="A127" s="142" t="s">
        <v>1654</v>
      </c>
      <c r="B127" s="92">
        <v>8051</v>
      </c>
      <c r="C127" s="92">
        <v>8406</v>
      </c>
      <c r="D127" s="80">
        <v>-4</v>
      </c>
      <c r="E127" s="79">
        <v>17</v>
      </c>
      <c r="F127" s="6">
        <v>8.76</v>
      </c>
      <c r="G127" s="80">
        <v>1598</v>
      </c>
      <c r="H127" s="30" t="s">
        <v>1461</v>
      </c>
      <c r="I127" s="22" t="s">
        <v>627</v>
      </c>
      <c r="J127" s="8">
        <f>IFERROR(VLOOKUP($G127,今日總結!$A:$AN,33,0),"")</f>
        <v>0</v>
      </c>
      <c r="K127" s="5">
        <f>IFERROR(VLOOKUP($G127,今日總結!$A:$AN,34,0),"")</f>
        <v>0</v>
      </c>
      <c r="L127" s="156">
        <f>IFERROR(VLOOKUP($G127,今日總結!$A:$AN,31,0),"")</f>
        <v>3</v>
      </c>
      <c r="M127" s="337">
        <f>IFERROR(VLOOKUP($G127,今日總結!$A:$AN,32,0),"")</f>
        <v>1</v>
      </c>
      <c r="N127" s="240">
        <f t="shared" si="47"/>
        <v>2</v>
      </c>
      <c r="O127" s="359">
        <f>IFERROR(VLOOKUP($G127,融外自投!$A:$J,7,0),"無")</f>
        <v>514</v>
      </c>
      <c r="P127" s="79">
        <f>IFERROR(VLOOKUP($G127,融外自投!$A:$J,9,0),"無")</f>
        <v>442</v>
      </c>
      <c r="Q127" s="342">
        <f>IFERROR(VLOOKUP($G127,融外自投!$A:$J,8,0),"無")</f>
        <v>822</v>
      </c>
      <c r="R127" s="81">
        <f>IFERROR(VLOOKUP($G127,融外自投!$A:$J,10,0),"無")</f>
        <v>495</v>
      </c>
      <c r="S127" s="324">
        <f>IFERROR(VLOOKUP($G127,'321買'!$A:$E,5,0),"'沒有資料'")</f>
        <v>0</v>
      </c>
      <c r="T127" s="34">
        <v>2.5</v>
      </c>
      <c r="V127" s="57">
        <v>13.82</v>
      </c>
      <c r="W127" s="36">
        <f>RTD("money.excel",,"1598","Price")</f>
        <v>41.9</v>
      </c>
      <c r="X127" s="66">
        <f>107-7.47</f>
        <v>99.53</v>
      </c>
      <c r="Y127" s="15">
        <f>W127-X127</f>
        <v>-57.63</v>
      </c>
      <c r="Z127" s="3">
        <f>Y127/X127</f>
        <v>-0.57902140058273888</v>
      </c>
      <c r="AA127" s="99" t="s">
        <v>1887</v>
      </c>
      <c r="AC127" s="22" t="s">
        <v>627</v>
      </c>
      <c r="AD127" s="84">
        <v>44313</v>
      </c>
      <c r="AF127" s="33">
        <f>AE127-AD127</f>
        <v>-44313</v>
      </c>
      <c r="AG127" s="41" t="s">
        <v>1121</v>
      </c>
      <c r="AH127" s="41" t="s">
        <v>1501</v>
      </c>
      <c r="AI127" s="213"/>
    </row>
    <row r="128" spans="1:35" s="248" customFormat="1">
      <c r="A128" s="141"/>
      <c r="B128" s="79"/>
      <c r="C128" s="79"/>
      <c r="D128" s="79"/>
      <c r="E128" s="79"/>
      <c r="F128" s="6"/>
      <c r="G128" s="41"/>
      <c r="H128" s="8"/>
      <c r="I128" s="153"/>
      <c r="J128" s="1"/>
      <c r="K128" s="1"/>
      <c r="L128" s="123"/>
      <c r="M128" s="234"/>
      <c r="N128" s="338"/>
      <c r="O128" s="359"/>
      <c r="P128" s="79"/>
      <c r="Q128" s="342"/>
      <c r="R128" s="81"/>
      <c r="S128" s="319"/>
      <c r="T128" s="185"/>
      <c r="U128" s="308"/>
      <c r="V128" s="94"/>
      <c r="W128" s="165">
        <f>SUM(W124:W127)</f>
        <v>167.6</v>
      </c>
      <c r="X128" s="155">
        <f>SUM(X124:X127)</f>
        <v>363.02</v>
      </c>
      <c r="Y128" s="226">
        <f>W128-X128</f>
        <v>-195.42</v>
      </c>
      <c r="Z128" s="164">
        <f>Y128/X128</f>
        <v>-0.53831744807448623</v>
      </c>
      <c r="AA128" s="113"/>
      <c r="AB128" s="376"/>
      <c r="AC128" s="153">
        <f>W128*(0.001425*0.5)+W128*0.003+X128*(0.001425*0.5)</f>
        <v>0.88086675000000003</v>
      </c>
      <c r="AD128" s="6">
        <f>Y128-AC128</f>
        <v>-196.30086674999998</v>
      </c>
      <c r="AE128" s="83"/>
      <c r="AF128" s="33"/>
      <c r="AG128" s="41" t="s">
        <v>1122</v>
      </c>
      <c r="AH128" s="163"/>
    </row>
    <row r="129" spans="1:42" s="248" customFormat="1">
      <c r="A129" s="141"/>
      <c r="B129" s="79"/>
      <c r="C129" s="79"/>
      <c r="D129" s="79"/>
      <c r="E129" s="79"/>
      <c r="F129" s="6"/>
      <c r="G129" s="41"/>
      <c r="H129" s="8"/>
      <c r="I129" s="153"/>
      <c r="J129" s="1"/>
      <c r="K129" s="1"/>
      <c r="L129" s="123"/>
      <c r="M129" s="234"/>
      <c r="N129" s="338"/>
      <c r="O129" s="359"/>
      <c r="P129" s="79"/>
      <c r="Q129" s="342"/>
      <c r="R129" s="81"/>
      <c r="S129" s="319"/>
      <c r="T129" s="185"/>
      <c r="U129" s="308"/>
      <c r="V129" s="94"/>
      <c r="W129" s="165"/>
      <c r="X129" s="155"/>
      <c r="Y129" s="226"/>
      <c r="Z129" s="164"/>
      <c r="AA129" s="113"/>
      <c r="AB129" s="376"/>
      <c r="AC129" s="153"/>
      <c r="AD129" s="6"/>
      <c r="AE129" s="83"/>
      <c r="AF129" s="33"/>
      <c r="AG129" s="41"/>
      <c r="AH129" s="163"/>
    </row>
    <row r="130" spans="1:42" s="248" customFormat="1">
      <c r="A130" s="141"/>
      <c r="B130" s="79"/>
      <c r="C130" s="79"/>
      <c r="D130" s="79"/>
      <c r="E130" s="79"/>
      <c r="F130" s="6"/>
      <c r="G130" s="41"/>
      <c r="H130" s="8"/>
      <c r="I130" s="153"/>
      <c r="J130" s="1"/>
      <c r="K130" s="1"/>
      <c r="L130" s="123"/>
      <c r="M130" s="234"/>
      <c r="N130" s="338"/>
      <c r="O130" s="359"/>
      <c r="P130" s="79"/>
      <c r="Q130" s="342"/>
      <c r="R130" s="81"/>
      <c r="S130" s="319"/>
      <c r="T130" s="185"/>
      <c r="U130" s="308"/>
      <c r="V130" s="94"/>
      <c r="W130" s="165"/>
      <c r="X130" s="155"/>
      <c r="Y130" s="226"/>
      <c r="Z130" s="164"/>
      <c r="AA130" s="113"/>
      <c r="AB130" s="376"/>
      <c r="AC130" s="153"/>
      <c r="AD130" s="6"/>
      <c r="AE130" s="83"/>
      <c r="AF130" s="33"/>
      <c r="AG130" s="41"/>
      <c r="AH130" s="163"/>
    </row>
    <row r="131" spans="1:42" s="248" customFormat="1">
      <c r="A131" s="127" t="s">
        <v>1672</v>
      </c>
      <c r="B131" s="90" t="s">
        <v>1571</v>
      </c>
      <c r="C131" s="90" t="s">
        <v>1572</v>
      </c>
      <c r="D131" s="90" t="s">
        <v>1573</v>
      </c>
      <c r="E131" s="90" t="s">
        <v>1574</v>
      </c>
      <c r="F131" s="8" t="s">
        <v>1059</v>
      </c>
      <c r="G131" s="26" t="s">
        <v>3441</v>
      </c>
      <c r="H131" s="55" t="s">
        <v>320</v>
      </c>
      <c r="I131" s="1" t="s">
        <v>69</v>
      </c>
      <c r="J131" s="8" t="s">
        <v>6211</v>
      </c>
      <c r="K131" s="5" t="s">
        <v>6212</v>
      </c>
      <c r="L131" s="334" t="s">
        <v>6197</v>
      </c>
      <c r="M131" s="335" t="s">
        <v>6198</v>
      </c>
      <c r="N131" s="336" t="s">
        <v>6199</v>
      </c>
      <c r="O131" s="89" t="s">
        <v>4718</v>
      </c>
      <c r="P131" s="292" t="s">
        <v>3543</v>
      </c>
      <c r="Q131" s="350" t="s">
        <v>3542</v>
      </c>
      <c r="R131" s="26" t="s">
        <v>3544</v>
      </c>
      <c r="S131" s="318" t="s">
        <v>4715</v>
      </c>
      <c r="T131" s="14" t="s">
        <v>66</v>
      </c>
      <c r="U131" s="305" t="s">
        <v>4728</v>
      </c>
      <c r="V131" s="68" t="s">
        <v>3272</v>
      </c>
      <c r="W131" s="28" t="s">
        <v>2</v>
      </c>
      <c r="X131" s="17" t="s">
        <v>1398</v>
      </c>
      <c r="Y131" s="14" t="s">
        <v>2249</v>
      </c>
      <c r="Z131" s="21" t="s">
        <v>3</v>
      </c>
      <c r="AA131" s="51" t="s">
        <v>6166</v>
      </c>
      <c r="AB131" s="102" t="s">
        <v>6404</v>
      </c>
      <c r="AC131" s="1" t="s">
        <v>69</v>
      </c>
      <c r="AD131" s="71" t="s">
        <v>1399</v>
      </c>
      <c r="AE131" s="72" t="s">
        <v>1156</v>
      </c>
      <c r="AF131" s="32" t="s">
        <v>1157</v>
      </c>
      <c r="AG131" s="46" t="s">
        <v>6362</v>
      </c>
      <c r="AH131" s="163"/>
    </row>
    <row r="132" spans="1:42">
      <c r="A132" s="343">
        <v>9.17</v>
      </c>
      <c r="B132" s="79">
        <v>81</v>
      </c>
      <c r="C132" s="79">
        <v>87</v>
      </c>
      <c r="D132" s="79">
        <v>27</v>
      </c>
      <c r="E132" s="79">
        <v>25</v>
      </c>
      <c r="F132" s="6">
        <v>27.55</v>
      </c>
      <c r="G132" s="80">
        <v>6411</v>
      </c>
      <c r="H132" s="50" t="s">
        <v>1403</v>
      </c>
      <c r="I132" s="16" t="s">
        <v>5860</v>
      </c>
      <c r="J132" s="102" t="s">
        <v>6410</v>
      </c>
      <c r="K132" s="5"/>
      <c r="L132" s="79">
        <v>1</v>
      </c>
      <c r="M132" s="403">
        <v>0</v>
      </c>
      <c r="N132" s="240">
        <v>1</v>
      </c>
      <c r="O132" s="359">
        <v>81</v>
      </c>
      <c r="P132" s="79">
        <v>357</v>
      </c>
      <c r="Q132" s="342">
        <v>365</v>
      </c>
      <c r="R132" s="81">
        <v>343</v>
      </c>
      <c r="S132" s="419">
        <v>14</v>
      </c>
      <c r="T132" s="186">
        <v>7.22</v>
      </c>
      <c r="U132" s="426">
        <f t="shared" ref="U132" si="48">T132/W132</f>
        <v>4.8949152542372878E-2</v>
      </c>
      <c r="V132" s="94">
        <v>10.33</v>
      </c>
      <c r="W132" s="39">
        <v>147.5</v>
      </c>
      <c r="X132" s="207">
        <v>144</v>
      </c>
      <c r="Y132" s="430">
        <f t="shared" ref="Y132" si="49">W132-X132</f>
        <v>3.5</v>
      </c>
      <c r="Z132" s="434">
        <f t="shared" ref="Z132" si="50">Y132/X132</f>
        <v>2.4305555555555556E-2</v>
      </c>
      <c r="AA132" s="341">
        <v>2.4300000000000002</v>
      </c>
      <c r="AB132" s="389">
        <f>INDEX('TSE OTC全部'!$AB:$AB,MATCH($G132,'TSE OTC全部'!$G:$G,0))</f>
        <v>23.35</v>
      </c>
      <c r="AC132" s="23" t="s">
        <v>5860</v>
      </c>
      <c r="AD132" s="84">
        <v>44693</v>
      </c>
      <c r="AE132" s="83">
        <v>44697</v>
      </c>
      <c r="AF132" s="33">
        <f t="shared" ref="AF132" si="51">AE132-AD132</f>
        <v>4</v>
      </c>
      <c r="AG132" s="127" t="s">
        <v>1121</v>
      </c>
      <c r="AH132" s="245"/>
      <c r="AI132" s="443"/>
      <c r="AJ132" s="254"/>
      <c r="AK132" s="391"/>
    </row>
    <row r="133" spans="1:42">
      <c r="A133" s="343">
        <f>IFERROR(VLOOKUP($G133,基本資料!$A:$J,3,0),"無")</f>
        <v>63.56</v>
      </c>
      <c r="B133" s="79">
        <f>IFERROR(VLOOKUP($G133,基本資料!$A:$J,4,0),"無")</f>
        <v>207</v>
      </c>
      <c r="C133" s="79">
        <f>IFERROR(VLOOKUP($G133,基本資料!$A:$J,5,0),"無")</f>
        <v>243</v>
      </c>
      <c r="D133" s="79">
        <f>IFERROR(VLOOKUP($G133,基本資料!$A:$J,6,0),"無")</f>
        <v>-19</v>
      </c>
      <c r="E133" s="79">
        <f>IFERROR(VLOOKUP($G133,基本資料!$A:$J,7,0),"無")</f>
        <v>-30</v>
      </c>
      <c r="F133" s="6">
        <f>IFERROR(VLOOKUP($G133,基本資料!$A:$J,8,0),"無")</f>
        <v>11.88</v>
      </c>
      <c r="G133" s="80">
        <v>2376</v>
      </c>
      <c r="H133" s="50" t="s">
        <v>1403</v>
      </c>
      <c r="I133" s="22" t="s">
        <v>5074</v>
      </c>
      <c r="J133" s="8">
        <f>IFERROR(VLOOKUP($G133,今日總結!$A:$AN,35,0),"")</f>
        <v>1</v>
      </c>
      <c r="K133" s="5">
        <f>IFERROR(VLOOKUP($G133,今日總結!$A:$AN,36,0),"")</f>
        <v>1</v>
      </c>
      <c r="L133" s="156">
        <f>IFERROR(VLOOKUP($G133,今日總結!$A:$AN,33,0),"")</f>
        <v>0</v>
      </c>
      <c r="M133" s="337">
        <f>IFERROR(VLOOKUP($G133,今日總結!$A:$AN,34,0),"")</f>
        <v>0</v>
      </c>
      <c r="N133" s="240">
        <f>IFERROR(L133-M133,"")</f>
        <v>0</v>
      </c>
      <c r="O133" s="359">
        <f>IFERROR(VLOOKUP($G133,融外自投!$A:$J,7,0),"無")</f>
        <v>685</v>
      </c>
      <c r="P133" s="79">
        <f>IFERROR(VLOOKUP($G133,融外自投!$A:$J,9,0),"無")</f>
        <v>7</v>
      </c>
      <c r="Q133" s="342">
        <f>IFERROR(VLOOKUP($G133,融外自投!$A:$J,8,0),"無")</f>
        <v>277</v>
      </c>
      <c r="R133" s="81">
        <f>IFERROR(VLOOKUP($G133,融外自投!$A:$J,10,0),"無")</f>
        <v>49</v>
      </c>
      <c r="S133" s="324">
        <f>IFERROR(VLOOKUP($G133,'321買'!$A:$E,5,0),"'沒有資料'")</f>
        <v>0</v>
      </c>
      <c r="T133" s="186">
        <f>IFERROR(VLOOKUP($G133,基本資料!$A:$J,9,0),"無")</f>
        <v>12</v>
      </c>
      <c r="U133" s="426">
        <f>T133/W133</f>
        <v>0.10762331838565023</v>
      </c>
      <c r="V133" s="94">
        <f>IFERROR(VLOOKUP($G133,基本資料!$A:$J,10,0),"無")</f>
        <v>21.01</v>
      </c>
      <c r="W133" s="39">
        <v>111.5</v>
      </c>
      <c r="X133" s="207">
        <v>106.5</v>
      </c>
      <c r="Y133" s="430">
        <f>W133-X133</f>
        <v>5</v>
      </c>
      <c r="Z133" s="434">
        <f>Y133/X133</f>
        <v>4.6948356807511735E-2</v>
      </c>
      <c r="AA133" s="341">
        <v>4.6900000000000004</v>
      </c>
      <c r="AB133" s="389">
        <f>IFERROR(VLOOKUP($G133,基本資料!$A:$M,12,0),"無")</f>
        <v>10.71</v>
      </c>
      <c r="AC133" s="23" t="s">
        <v>5074</v>
      </c>
      <c r="AD133" s="84">
        <v>44694</v>
      </c>
      <c r="AE133" s="83">
        <v>44697</v>
      </c>
      <c r="AF133" s="33">
        <f>AE133-AD133</f>
        <v>3</v>
      </c>
      <c r="AG133" s="79">
        <v>1</v>
      </c>
      <c r="AH133" s="79"/>
      <c r="AI133" s="221"/>
      <c r="AJ133" s="22"/>
      <c r="AK133" s="66"/>
      <c r="AL133" s="283"/>
      <c r="AM133" s="391"/>
      <c r="AN133" s="127"/>
      <c r="AO133" s="275">
        <f>RTD("money.excel",,"2376","VolumeStrength")</f>
        <v>56</v>
      </c>
      <c r="AP133" s="40">
        <f>RTD("money.excel",,"2376","ChangePercent")</f>
        <v>-0.46296296296296297</v>
      </c>
    </row>
    <row r="134" spans="1:42" s="248" customFormat="1">
      <c r="A134" s="127" t="s">
        <v>1669</v>
      </c>
      <c r="B134" s="79">
        <v>267</v>
      </c>
      <c r="C134" s="79">
        <v>304</v>
      </c>
      <c r="D134" s="79">
        <v>7</v>
      </c>
      <c r="E134" s="79">
        <v>15</v>
      </c>
      <c r="F134" s="57">
        <v>33.020000000000003</v>
      </c>
      <c r="G134" s="79">
        <v>3374</v>
      </c>
      <c r="H134" s="30" t="s">
        <v>1461</v>
      </c>
      <c r="I134" s="16" t="s">
        <v>167</v>
      </c>
      <c r="J134" s="8">
        <f>IFERROR(VLOOKUP($G134,今日總結!$A:$AN,33,0),"")</f>
        <v>0</v>
      </c>
      <c r="K134" s="5">
        <f>IFERROR(VLOOKUP($G134,今日總結!$A:$AN,34,0),"")</f>
        <v>0</v>
      </c>
      <c r="L134" s="156">
        <f>IFERROR(VLOOKUP($G134,今日總結!$A:$AN,31,0),"")</f>
        <v>3</v>
      </c>
      <c r="M134" s="337">
        <f>IFERROR(VLOOKUP($G134,今日總結!$A:$AN,32,0),"")</f>
        <v>0</v>
      </c>
      <c r="N134" s="240">
        <f t="shared" ref="N134" si="52">IFERROR(L134-M134,"")</f>
        <v>3</v>
      </c>
      <c r="O134" s="359">
        <f>IFERROR(VLOOKUP($G134,融外自投!$A:$J,7,0),"無")</f>
        <v>303</v>
      </c>
      <c r="P134" s="79">
        <f>IFERROR(VLOOKUP($G134,融外自投!$A:$J,9,0),"無")</f>
        <v>204</v>
      </c>
      <c r="Q134" s="342">
        <f>IFERROR(VLOOKUP($G134,融外自投!$A:$J,8,0),"無")</f>
        <v>689</v>
      </c>
      <c r="R134" s="81">
        <f>IFERROR(VLOOKUP($G134,融外自投!$A:$J,10,0),"無")</f>
        <v>71</v>
      </c>
      <c r="S134" s="324">
        <f>IFERROR(VLOOKUP($G134,'321買'!$A:$E,5,0),"'沒有資料'")</f>
        <v>0</v>
      </c>
      <c r="T134" s="45">
        <v>3</v>
      </c>
      <c r="U134" s="307"/>
      <c r="V134" s="57">
        <v>7.95</v>
      </c>
      <c r="W134" s="161">
        <v>143.5</v>
      </c>
      <c r="X134" s="155">
        <v>137</v>
      </c>
      <c r="Y134" s="105">
        <f t="shared" ref="Y134" si="53">W134-X134</f>
        <v>6.5</v>
      </c>
      <c r="Z134" s="158">
        <f t="shared" ref="Z134" si="54">Y134/X134</f>
        <v>4.7445255474452552E-2</v>
      </c>
      <c r="AA134" s="167" t="s">
        <v>1688</v>
      </c>
      <c r="AB134" s="376"/>
      <c r="AC134" s="166" t="s">
        <v>167</v>
      </c>
      <c r="AD134" s="84">
        <v>44463</v>
      </c>
      <c r="AE134" s="83">
        <v>44684</v>
      </c>
      <c r="AF134" s="33">
        <f>AE134-AD134</f>
        <v>221</v>
      </c>
      <c r="AG134" s="41" t="s">
        <v>1121</v>
      </c>
    </row>
    <row r="135" spans="1:42" s="248" customFormat="1">
      <c r="A135" s="141"/>
      <c r="B135" s="79"/>
      <c r="C135" s="79"/>
      <c r="D135" s="79"/>
      <c r="E135" s="79"/>
      <c r="F135" s="6"/>
      <c r="G135" s="41"/>
      <c r="H135" s="8"/>
      <c r="I135" s="153"/>
      <c r="J135" s="1"/>
      <c r="K135" s="1"/>
      <c r="L135" s="123"/>
      <c r="M135" s="234"/>
      <c r="N135" s="338"/>
      <c r="O135" s="359"/>
      <c r="P135" s="47"/>
      <c r="Q135" s="342"/>
      <c r="R135" s="300"/>
      <c r="S135" s="319"/>
      <c r="T135" s="185"/>
      <c r="U135" s="308"/>
      <c r="V135" s="94"/>
      <c r="W135" s="165">
        <f>SUM(W132:W134)</f>
        <v>402.5</v>
      </c>
      <c r="X135" s="155">
        <f>SUM(X132:X134)</f>
        <v>387.5</v>
      </c>
      <c r="Y135" s="162">
        <f>W135-X135</f>
        <v>15</v>
      </c>
      <c r="Z135" s="158">
        <f>Y135/X135</f>
        <v>3.870967741935484E-2</v>
      </c>
      <c r="AA135" s="113"/>
      <c r="AB135" s="376"/>
      <c r="AC135" s="153">
        <f>W135*(0.001425*0.5)+W135*0.003+X135*(0.001425*0.5)</f>
        <v>1.770375</v>
      </c>
      <c r="AD135" s="6">
        <f>Y135-AC135</f>
        <v>13.229625</v>
      </c>
      <c r="AE135" s="83"/>
      <c r="AF135" s="33"/>
      <c r="AG135" s="41" t="s">
        <v>1550</v>
      </c>
      <c r="AH135" s="163"/>
    </row>
    <row r="136" spans="1:42" s="248" customFormat="1">
      <c r="A136" s="141"/>
      <c r="B136" s="79"/>
      <c r="C136" s="79"/>
      <c r="D136" s="79"/>
      <c r="E136" s="79"/>
      <c r="F136" s="6"/>
      <c r="G136" s="41"/>
      <c r="H136" s="8"/>
      <c r="I136" s="153"/>
      <c r="J136" s="1"/>
      <c r="K136" s="1"/>
      <c r="L136" s="123"/>
      <c r="M136" s="234"/>
      <c r="N136" s="338"/>
      <c r="O136" s="359"/>
      <c r="P136" s="79"/>
      <c r="Q136" s="342"/>
      <c r="R136" s="81"/>
      <c r="S136" s="319"/>
      <c r="T136" s="185"/>
      <c r="U136" s="308"/>
      <c r="V136" s="94"/>
      <c r="W136" s="165"/>
      <c r="X136" s="155"/>
      <c r="Y136" s="226"/>
      <c r="Z136" s="164"/>
      <c r="AA136" s="113"/>
      <c r="AB136" s="376"/>
      <c r="AC136" s="153"/>
      <c r="AD136" s="6"/>
      <c r="AE136" s="83"/>
      <c r="AF136" s="33"/>
      <c r="AG136" s="41"/>
      <c r="AH136" s="163"/>
    </row>
    <row r="137" spans="1:42" s="248" customFormat="1">
      <c r="A137" s="141"/>
      <c r="B137" s="79"/>
      <c r="C137" s="79"/>
      <c r="D137" s="79"/>
      <c r="E137" s="79"/>
      <c r="F137" s="6"/>
      <c r="G137" s="41"/>
      <c r="H137" s="8"/>
      <c r="I137" s="153"/>
      <c r="J137" s="1"/>
      <c r="K137" s="1"/>
      <c r="L137" s="123"/>
      <c r="M137" s="234"/>
      <c r="N137" s="338"/>
      <c r="O137" s="359"/>
      <c r="P137" s="47"/>
      <c r="Q137" s="342"/>
      <c r="R137" s="300"/>
      <c r="S137" s="319"/>
      <c r="T137" s="185"/>
      <c r="U137" s="308"/>
      <c r="V137" s="94"/>
      <c r="W137" s="165"/>
      <c r="X137" s="155"/>
      <c r="Y137" s="226"/>
      <c r="Z137" s="164"/>
      <c r="AA137" s="113"/>
      <c r="AB137" s="376"/>
      <c r="AC137" s="153"/>
      <c r="AD137" s="6"/>
      <c r="AE137" s="83"/>
      <c r="AF137" s="33"/>
      <c r="AG137" s="41"/>
      <c r="AH137" s="163"/>
    </row>
    <row r="138" spans="1:42" s="248" customFormat="1">
      <c r="A138" s="127" t="s">
        <v>1672</v>
      </c>
      <c r="B138" s="90" t="s">
        <v>1571</v>
      </c>
      <c r="C138" s="90" t="s">
        <v>1572</v>
      </c>
      <c r="D138" s="90" t="s">
        <v>1573</v>
      </c>
      <c r="E138" s="90" t="s">
        <v>1574</v>
      </c>
      <c r="F138" s="8" t="s">
        <v>1059</v>
      </c>
      <c r="G138" s="26" t="s">
        <v>3441</v>
      </c>
      <c r="H138" s="55" t="s">
        <v>320</v>
      </c>
      <c r="I138" s="1" t="s">
        <v>69</v>
      </c>
      <c r="J138" s="8" t="s">
        <v>6211</v>
      </c>
      <c r="K138" s="5" t="s">
        <v>6212</v>
      </c>
      <c r="L138" s="334" t="s">
        <v>6197</v>
      </c>
      <c r="M138" s="335" t="s">
        <v>6198</v>
      </c>
      <c r="N138" s="336" t="s">
        <v>6199</v>
      </c>
      <c r="O138" s="89" t="s">
        <v>6275</v>
      </c>
      <c r="P138" s="292" t="s">
        <v>6274</v>
      </c>
      <c r="Q138" s="350" t="s">
        <v>6273</v>
      </c>
      <c r="R138" s="26" t="s">
        <v>6276</v>
      </c>
      <c r="S138" s="318" t="s">
        <v>4715</v>
      </c>
      <c r="T138" s="14" t="s">
        <v>66</v>
      </c>
      <c r="U138" s="305" t="s">
        <v>4728</v>
      </c>
      <c r="V138" s="68" t="s">
        <v>3272</v>
      </c>
      <c r="W138" s="28" t="s">
        <v>2</v>
      </c>
      <c r="X138" s="17" t="s">
        <v>1398</v>
      </c>
      <c r="Y138" s="14" t="s">
        <v>2249</v>
      </c>
      <c r="Z138" s="21" t="s">
        <v>3</v>
      </c>
      <c r="AA138" s="51" t="s">
        <v>6166</v>
      </c>
      <c r="AB138" s="102" t="s">
        <v>6404</v>
      </c>
      <c r="AC138" s="1" t="s">
        <v>69</v>
      </c>
      <c r="AD138" s="71" t="s">
        <v>1399</v>
      </c>
      <c r="AE138" s="72" t="s">
        <v>1156</v>
      </c>
      <c r="AF138" s="32" t="s">
        <v>1157</v>
      </c>
      <c r="AG138" s="46" t="s">
        <v>6222</v>
      </c>
      <c r="AH138" s="163"/>
    </row>
    <row r="139" spans="1:42" s="248" customFormat="1">
      <c r="A139" s="142" t="s">
        <v>1651</v>
      </c>
      <c r="B139" s="92">
        <v>2431</v>
      </c>
      <c r="C139" s="79">
        <v>636</v>
      </c>
      <c r="D139" s="80">
        <v>-5</v>
      </c>
      <c r="E139" s="79">
        <v>33</v>
      </c>
      <c r="F139" s="6">
        <v>8.8699999999999992</v>
      </c>
      <c r="G139" s="79">
        <v>3265</v>
      </c>
      <c r="H139" s="30" t="s">
        <v>1461</v>
      </c>
      <c r="I139" s="166" t="s">
        <v>78</v>
      </c>
      <c r="J139" s="8">
        <f>IFERROR(VLOOKUP($G139,今日總結!$A:$AN,33,0),"")</f>
        <v>0</v>
      </c>
      <c r="K139" s="5">
        <f>IFERROR(VLOOKUP($G139,今日總結!$A:$AN,34,0),"")</f>
        <v>0</v>
      </c>
      <c r="L139" s="156">
        <f>IFERROR(VLOOKUP($G139,今日總結!$A:$AN,31,0),"")</f>
        <v>0</v>
      </c>
      <c r="M139" s="337">
        <f>IFERROR(VLOOKUP($G139,今日總結!$A:$AN,32,0),"")</f>
        <v>0</v>
      </c>
      <c r="N139" s="240">
        <f t="shared" ref="N139" si="55">IFERROR(L139-M139,"")</f>
        <v>0</v>
      </c>
      <c r="O139" s="359">
        <f>IFERROR(VLOOKUP($G139,融外自投!$A:$J,7,0),"無")</f>
        <v>456</v>
      </c>
      <c r="P139" s="79">
        <f>IFERROR(VLOOKUP($G139,融外自投!$A:$J,9,0),"無")</f>
        <v>45</v>
      </c>
      <c r="Q139" s="342">
        <f>IFERROR(VLOOKUP($G139,融外自投!$A:$J,8,0),"無")</f>
        <v>735</v>
      </c>
      <c r="R139" s="81" t="str">
        <f>IFERROR(VLOOKUP($G139,融外自投!$A:$J,10,0),"無")</f>
        <v>無</v>
      </c>
      <c r="S139" s="324">
        <f>IFERROR(VLOOKUP($G139,'321買'!$A:$E,5,0),"'沒有資料'")</f>
        <v>0</v>
      </c>
      <c r="T139" s="185">
        <v>2.2999999999999998</v>
      </c>
      <c r="U139" s="307"/>
      <c r="V139" s="57">
        <v>1.9</v>
      </c>
      <c r="W139" s="165">
        <v>39.450000000000003</v>
      </c>
      <c r="X139" s="65">
        <f>33.4-1.23</f>
        <v>32.17</v>
      </c>
      <c r="Y139" s="162">
        <f>W139-X139</f>
        <v>7.2800000000000011</v>
      </c>
      <c r="Z139" s="158">
        <f>Y139/X139</f>
        <v>0.22629779297482128</v>
      </c>
      <c r="AA139" s="167" t="s">
        <v>6363</v>
      </c>
      <c r="AB139" s="376"/>
      <c r="AC139" s="166" t="s">
        <v>78</v>
      </c>
      <c r="AD139" s="84">
        <v>44313</v>
      </c>
      <c r="AE139" s="83">
        <v>44678</v>
      </c>
      <c r="AF139" s="33">
        <f>AE139-AD139</f>
        <v>365</v>
      </c>
      <c r="AG139" s="41" t="s">
        <v>1121</v>
      </c>
      <c r="AH139" s="180"/>
      <c r="AI139" s="179"/>
    </row>
    <row r="140" spans="1:42" s="248" customFormat="1">
      <c r="A140" s="142" t="s">
        <v>1651</v>
      </c>
      <c r="B140" s="92">
        <v>2431</v>
      </c>
      <c r="C140" s="79">
        <v>636</v>
      </c>
      <c r="D140" s="80">
        <v>-5</v>
      </c>
      <c r="E140" s="79">
        <v>33</v>
      </c>
      <c r="F140" s="6">
        <v>8.8699999999999992</v>
      </c>
      <c r="G140" s="79">
        <v>3265</v>
      </c>
      <c r="H140" s="30" t="s">
        <v>1461</v>
      </c>
      <c r="I140" s="166" t="s">
        <v>78</v>
      </c>
      <c r="J140" s="8">
        <f>IFERROR(VLOOKUP($G140,今日總結!$A:$AN,33,0),"")</f>
        <v>0</v>
      </c>
      <c r="K140" s="5">
        <f>IFERROR(VLOOKUP($G140,今日總結!$A:$AN,34,0),"")</f>
        <v>0</v>
      </c>
      <c r="L140" s="156">
        <f>IFERROR(VLOOKUP($G140,今日總結!$A:$AN,31,0),"")</f>
        <v>0</v>
      </c>
      <c r="M140" s="337">
        <f>IFERROR(VLOOKUP($G140,今日總結!$A:$AN,32,0),"")</f>
        <v>0</v>
      </c>
      <c r="N140" s="240">
        <f t="shared" ref="N140:N150" si="56">IFERROR(L140-M140,"")</f>
        <v>0</v>
      </c>
      <c r="O140" s="359">
        <f>IFERROR(VLOOKUP($G140,融外自投!$A:$J,7,0),"無")</f>
        <v>456</v>
      </c>
      <c r="P140" s="79">
        <f>IFERROR(VLOOKUP($G140,融外自投!$A:$J,9,0),"無")</f>
        <v>45</v>
      </c>
      <c r="Q140" s="342">
        <f>IFERROR(VLOOKUP($G140,融外自投!$A:$J,8,0),"無")</f>
        <v>735</v>
      </c>
      <c r="R140" s="81" t="str">
        <f>IFERROR(VLOOKUP($G140,融外自投!$A:$J,10,0),"無")</f>
        <v>無</v>
      </c>
      <c r="S140" s="324">
        <f>IFERROR(VLOOKUP($G140,'321買'!$A:$E,5,0),"'沒有資料'")</f>
        <v>0</v>
      </c>
      <c r="T140" s="185">
        <v>2.2999999999999998</v>
      </c>
      <c r="U140" s="307"/>
      <c r="V140" s="57">
        <v>1.9</v>
      </c>
      <c r="W140" s="165">
        <v>39.450000000000003</v>
      </c>
      <c r="X140" s="65">
        <f>33.8-1.23</f>
        <v>32.57</v>
      </c>
      <c r="Y140" s="162">
        <f>W140-X140</f>
        <v>6.8800000000000026</v>
      </c>
      <c r="Z140" s="158">
        <f>Y140/X140</f>
        <v>0.21123733497083214</v>
      </c>
      <c r="AA140" s="167" t="s">
        <v>6364</v>
      </c>
      <c r="AB140" s="376"/>
      <c r="AC140" s="166" t="s">
        <v>78</v>
      </c>
      <c r="AD140" s="84">
        <v>44299</v>
      </c>
      <c r="AE140" s="83">
        <v>44678</v>
      </c>
      <c r="AF140" s="33">
        <f>AE140-AD140</f>
        <v>379</v>
      </c>
      <c r="AG140" s="41" t="s">
        <v>1121</v>
      </c>
      <c r="AH140" s="180"/>
      <c r="AI140" s="179"/>
    </row>
    <row r="141" spans="1:42" s="248" customFormat="1">
      <c r="A141" s="142" t="s">
        <v>1651</v>
      </c>
      <c r="B141" s="92">
        <v>2431</v>
      </c>
      <c r="C141" s="79">
        <v>636</v>
      </c>
      <c r="D141" s="80">
        <v>-5</v>
      </c>
      <c r="E141" s="79">
        <v>33</v>
      </c>
      <c r="F141" s="6">
        <v>8.8699999999999992</v>
      </c>
      <c r="G141" s="79">
        <v>3265</v>
      </c>
      <c r="H141" s="30" t="s">
        <v>1461</v>
      </c>
      <c r="I141" s="166" t="s">
        <v>78</v>
      </c>
      <c r="J141" s="8">
        <f>IFERROR(VLOOKUP($G141,今日總結!$A:$AN,33,0),"")</f>
        <v>0</v>
      </c>
      <c r="K141" s="5">
        <f>IFERROR(VLOOKUP($G141,今日總結!$A:$AN,34,0),"")</f>
        <v>0</v>
      </c>
      <c r="L141" s="156">
        <f>IFERROR(VLOOKUP($G141,今日總結!$A:$AN,31,0),"")</f>
        <v>0</v>
      </c>
      <c r="M141" s="337">
        <f>IFERROR(VLOOKUP($G141,今日總結!$A:$AN,32,0),"")</f>
        <v>0</v>
      </c>
      <c r="N141" s="240">
        <f t="shared" si="56"/>
        <v>0</v>
      </c>
      <c r="O141" s="359">
        <f>IFERROR(VLOOKUP($G141,融外自投!$A:$J,7,0),"無")</f>
        <v>456</v>
      </c>
      <c r="P141" s="79">
        <f>IFERROR(VLOOKUP($G141,融外自投!$A:$J,9,0),"無")</f>
        <v>45</v>
      </c>
      <c r="Q141" s="342">
        <f>IFERROR(VLOOKUP($G141,融外自投!$A:$J,8,0),"無")</f>
        <v>735</v>
      </c>
      <c r="R141" s="81" t="str">
        <f>IFERROR(VLOOKUP($G141,融外自投!$A:$J,10,0),"無")</f>
        <v>無</v>
      </c>
      <c r="S141" s="324">
        <f>IFERROR(VLOOKUP($G141,'321買'!$A:$E,5,0),"'沒有資料'")</f>
        <v>0</v>
      </c>
      <c r="T141" s="185">
        <v>2.2999999999999998</v>
      </c>
      <c r="U141" s="308"/>
      <c r="V141" s="57">
        <v>1.9</v>
      </c>
      <c r="W141" s="165">
        <v>39.450000000000003</v>
      </c>
      <c r="X141" s="65">
        <f>35.15-1.23</f>
        <v>33.92</v>
      </c>
      <c r="Y141" s="162">
        <f>W141-X141</f>
        <v>5.5300000000000011</v>
      </c>
      <c r="Z141" s="158">
        <f>Y141/X141</f>
        <v>0.16303066037735853</v>
      </c>
      <c r="AA141" s="167" t="s">
        <v>1884</v>
      </c>
      <c r="AB141" s="376"/>
      <c r="AC141" s="166" t="s">
        <v>78</v>
      </c>
      <c r="AD141" s="84">
        <v>44293</v>
      </c>
      <c r="AE141" s="83">
        <v>44678</v>
      </c>
      <c r="AF141" s="33">
        <f>AE141-AD141</f>
        <v>385</v>
      </c>
      <c r="AG141" s="41" t="s">
        <v>1121</v>
      </c>
      <c r="AH141" s="180"/>
      <c r="AI141" s="179"/>
    </row>
    <row r="142" spans="1:42" s="248" customFormat="1">
      <c r="A142" s="142" t="s">
        <v>1651</v>
      </c>
      <c r="B142" s="92">
        <v>2431</v>
      </c>
      <c r="C142" s="79">
        <v>636</v>
      </c>
      <c r="D142" s="80">
        <v>-5</v>
      </c>
      <c r="E142" s="79">
        <v>33</v>
      </c>
      <c r="F142" s="6">
        <v>8.8699999999999992</v>
      </c>
      <c r="G142" s="79">
        <v>3265</v>
      </c>
      <c r="H142" s="30" t="s">
        <v>1461</v>
      </c>
      <c r="I142" s="166" t="s">
        <v>78</v>
      </c>
      <c r="J142" s="8">
        <f>IFERROR(VLOOKUP($G142,今日總結!$A:$AN,33,0),"")</f>
        <v>0</v>
      </c>
      <c r="K142" s="5">
        <f>IFERROR(VLOOKUP($G142,今日總結!$A:$AN,34,0),"")</f>
        <v>0</v>
      </c>
      <c r="L142" s="156">
        <f>IFERROR(VLOOKUP($G142,今日總結!$A:$AN,31,0),"")</f>
        <v>0</v>
      </c>
      <c r="M142" s="337">
        <f>IFERROR(VLOOKUP($G142,今日總結!$A:$AN,32,0),"")</f>
        <v>0</v>
      </c>
      <c r="N142" s="240">
        <f t="shared" si="56"/>
        <v>0</v>
      </c>
      <c r="O142" s="359">
        <f>IFERROR(VLOOKUP($G142,融外自投!$A:$J,7,0),"無")</f>
        <v>456</v>
      </c>
      <c r="P142" s="79">
        <f>IFERROR(VLOOKUP($G142,融外自投!$A:$J,9,0),"無")</f>
        <v>45</v>
      </c>
      <c r="Q142" s="342">
        <f>IFERROR(VLOOKUP($G142,融外自投!$A:$J,8,0),"無")</f>
        <v>735</v>
      </c>
      <c r="R142" s="81" t="str">
        <f>IFERROR(VLOOKUP($G142,融外自投!$A:$J,10,0),"無")</f>
        <v>無</v>
      </c>
      <c r="S142" s="324">
        <f>IFERROR(VLOOKUP($G142,'321買'!$A:$E,5,0),"'沒有資料'")</f>
        <v>0</v>
      </c>
      <c r="T142" s="185">
        <v>2.2999999999999998</v>
      </c>
      <c r="U142" s="308"/>
      <c r="V142" s="57">
        <v>1.9</v>
      </c>
      <c r="W142" s="165">
        <v>39.450000000000003</v>
      </c>
      <c r="X142" s="65">
        <f>36.5-1.23</f>
        <v>35.270000000000003</v>
      </c>
      <c r="Y142" s="162">
        <f>W142-X142</f>
        <v>4.18</v>
      </c>
      <c r="Z142" s="158">
        <f>Y142/X142</f>
        <v>0.1185143181173802</v>
      </c>
      <c r="AA142" s="167" t="s">
        <v>1716</v>
      </c>
      <c r="AB142" s="376"/>
      <c r="AC142" s="166" t="s">
        <v>78</v>
      </c>
      <c r="AD142" s="84">
        <v>44292</v>
      </c>
      <c r="AE142" s="83">
        <v>44678</v>
      </c>
      <c r="AF142" s="33">
        <f>AE142-AD142</f>
        <v>386</v>
      </c>
      <c r="AG142" s="41" t="s">
        <v>1121</v>
      </c>
      <c r="AH142" s="180"/>
      <c r="AI142" s="179"/>
    </row>
    <row r="143" spans="1:42">
      <c r="A143" s="142" t="s">
        <v>1987</v>
      </c>
      <c r="B143" s="79">
        <v>352</v>
      </c>
      <c r="C143" s="80">
        <v>-330</v>
      </c>
      <c r="D143" s="79">
        <v>49</v>
      </c>
      <c r="E143" s="79">
        <v>50</v>
      </c>
      <c r="F143" s="6">
        <v>-20.73</v>
      </c>
      <c r="G143" s="80">
        <v>4128</v>
      </c>
      <c r="H143" s="30" t="s">
        <v>1461</v>
      </c>
      <c r="I143" s="16" t="s">
        <v>611</v>
      </c>
      <c r="J143" s="8">
        <f>IFERROR(VLOOKUP($G143,今日總結!$A:$AN,33,0),"")</f>
        <v>0</v>
      </c>
      <c r="K143" s="5">
        <f>IFERROR(VLOOKUP($G143,今日總結!$A:$AN,34,0),"")</f>
        <v>0</v>
      </c>
      <c r="L143" s="156">
        <f>IFERROR(VLOOKUP($G143,今日總結!$A:$AN,31,0),"")</f>
        <v>0</v>
      </c>
      <c r="M143" s="337">
        <f>IFERROR(VLOOKUP($G143,今日總結!$A:$AN,32,0),"")</f>
        <v>0</v>
      </c>
      <c r="N143" s="240">
        <f t="shared" si="56"/>
        <v>0</v>
      </c>
      <c r="O143" s="359">
        <f>IFERROR(VLOOKUP($G143,融外自投!$A:$J,7,0),"無")</f>
        <v>371</v>
      </c>
      <c r="P143" s="79">
        <f>IFERROR(VLOOKUP($G143,融外自投!$A:$J,9,0),"無")</f>
        <v>649</v>
      </c>
      <c r="Q143" s="342">
        <f>IFERROR(VLOOKUP($G143,融外自投!$A:$J,8,0),"無")</f>
        <v>712</v>
      </c>
      <c r="R143" s="81">
        <f>IFERROR(VLOOKUP($G143,融外自投!$A:$J,10,0),"無")</f>
        <v>476</v>
      </c>
      <c r="S143" s="324">
        <f>IFERROR(VLOOKUP($G143,'321買'!$A:$E,5,0),"'沒有資料'")</f>
        <v>0</v>
      </c>
      <c r="T143" s="34">
        <v>1</v>
      </c>
      <c r="U143" s="307"/>
      <c r="V143" s="94">
        <v>3.29</v>
      </c>
      <c r="W143" s="36">
        <v>66.099999999999994</v>
      </c>
      <c r="X143" s="66">
        <f>57.1</f>
        <v>57.1</v>
      </c>
      <c r="Y143" s="15">
        <f t="shared" ref="Y143:Y147" si="57">W143-X143</f>
        <v>8.9999999999999929</v>
      </c>
      <c r="Z143" s="63">
        <f t="shared" ref="Z143:Z147" si="58">Y143/X143</f>
        <v>0.15761821366024506</v>
      </c>
      <c r="AA143" s="101" t="s">
        <v>6365</v>
      </c>
      <c r="AC143" s="16" t="s">
        <v>611</v>
      </c>
      <c r="AD143" s="84">
        <v>44334</v>
      </c>
      <c r="AE143" s="83">
        <v>44673</v>
      </c>
      <c r="AF143" s="33">
        <f t="shared" ref="AF143:AF147" si="59">AE143-AD143</f>
        <v>339</v>
      </c>
      <c r="AG143" s="41" t="s">
        <v>1121</v>
      </c>
      <c r="AH143" s="245"/>
      <c r="AI143" s="8"/>
    </row>
    <row r="144" spans="1:42">
      <c r="A144" s="142" t="s">
        <v>1987</v>
      </c>
      <c r="B144" s="79">
        <v>352</v>
      </c>
      <c r="C144" s="80">
        <v>-330</v>
      </c>
      <c r="D144" s="79">
        <v>49</v>
      </c>
      <c r="E144" s="79">
        <v>50</v>
      </c>
      <c r="F144" s="6">
        <v>-20.73</v>
      </c>
      <c r="G144" s="80">
        <v>4128</v>
      </c>
      <c r="H144" s="30" t="s">
        <v>1461</v>
      </c>
      <c r="I144" s="16" t="s">
        <v>611</v>
      </c>
      <c r="J144" s="8">
        <f>IFERROR(VLOOKUP($G144,今日總結!$A:$AN,33,0),"")</f>
        <v>0</v>
      </c>
      <c r="K144" s="5">
        <f>IFERROR(VLOOKUP($G144,今日總結!$A:$AN,34,0),"")</f>
        <v>0</v>
      </c>
      <c r="L144" s="156">
        <f>IFERROR(VLOOKUP($G144,今日總結!$A:$AN,31,0),"")</f>
        <v>0</v>
      </c>
      <c r="M144" s="337">
        <f>IFERROR(VLOOKUP($G144,今日總結!$A:$AN,32,0),"")</f>
        <v>0</v>
      </c>
      <c r="N144" s="240">
        <f t="shared" si="56"/>
        <v>0</v>
      </c>
      <c r="O144" s="359">
        <f>IFERROR(VLOOKUP($G144,融外自投!$A:$J,7,0),"無")</f>
        <v>371</v>
      </c>
      <c r="P144" s="79">
        <f>IFERROR(VLOOKUP($G144,融外自投!$A:$J,9,0),"無")</f>
        <v>649</v>
      </c>
      <c r="Q144" s="342">
        <f>IFERROR(VLOOKUP($G144,融外自投!$A:$J,8,0),"無")</f>
        <v>712</v>
      </c>
      <c r="R144" s="81">
        <f>IFERROR(VLOOKUP($G144,融外自投!$A:$J,10,0),"無")</f>
        <v>476</v>
      </c>
      <c r="S144" s="324">
        <f>IFERROR(VLOOKUP($G144,'321買'!$A:$E,5,0),"'沒有資料'")</f>
        <v>0</v>
      </c>
      <c r="T144" s="34">
        <v>1</v>
      </c>
      <c r="U144" s="307"/>
      <c r="V144" s="94">
        <v>3.29</v>
      </c>
      <c r="W144" s="36">
        <v>66.099999999999994</v>
      </c>
      <c r="X144" s="66">
        <f>60.3</f>
        <v>60.3</v>
      </c>
      <c r="Y144" s="15">
        <f t="shared" si="57"/>
        <v>5.7999999999999972</v>
      </c>
      <c r="Z144" s="63">
        <f t="shared" si="58"/>
        <v>9.6185737976782704E-2</v>
      </c>
      <c r="AA144" s="101" t="s">
        <v>6366</v>
      </c>
      <c r="AC144" s="16" t="s">
        <v>611</v>
      </c>
      <c r="AD144" s="84">
        <v>44313</v>
      </c>
      <c r="AE144" s="83">
        <v>44673</v>
      </c>
      <c r="AF144" s="33">
        <f t="shared" si="59"/>
        <v>360</v>
      </c>
      <c r="AG144" s="41" t="s">
        <v>1121</v>
      </c>
      <c r="AH144" s="245"/>
      <c r="AI144" s="8"/>
    </row>
    <row r="145" spans="1:40">
      <c r="A145" s="142" t="s">
        <v>1987</v>
      </c>
      <c r="B145" s="79">
        <v>352</v>
      </c>
      <c r="C145" s="80">
        <v>-330</v>
      </c>
      <c r="D145" s="79">
        <v>49</v>
      </c>
      <c r="E145" s="79">
        <v>50</v>
      </c>
      <c r="F145" s="6">
        <v>-20.73</v>
      </c>
      <c r="G145" s="80">
        <v>4128</v>
      </c>
      <c r="H145" s="30" t="s">
        <v>1461</v>
      </c>
      <c r="I145" s="16" t="s">
        <v>611</v>
      </c>
      <c r="J145" s="8">
        <f>IFERROR(VLOOKUP($G145,今日總結!$A:$AN,33,0),"")</f>
        <v>0</v>
      </c>
      <c r="K145" s="5">
        <f>IFERROR(VLOOKUP($G145,今日總結!$A:$AN,34,0),"")</f>
        <v>0</v>
      </c>
      <c r="L145" s="156">
        <f>IFERROR(VLOOKUP($G145,今日總結!$A:$AN,31,0),"")</f>
        <v>0</v>
      </c>
      <c r="M145" s="337">
        <f>IFERROR(VLOOKUP($G145,今日總結!$A:$AN,32,0),"")</f>
        <v>0</v>
      </c>
      <c r="N145" s="240">
        <f t="shared" si="56"/>
        <v>0</v>
      </c>
      <c r="O145" s="359">
        <f>IFERROR(VLOOKUP($G145,融外自投!$A:$J,7,0),"無")</f>
        <v>371</v>
      </c>
      <c r="P145" s="79">
        <f>IFERROR(VLOOKUP($G145,融外自投!$A:$J,9,0),"無")</f>
        <v>649</v>
      </c>
      <c r="Q145" s="342">
        <f>IFERROR(VLOOKUP($G145,融外自投!$A:$J,8,0),"無")</f>
        <v>712</v>
      </c>
      <c r="R145" s="81">
        <f>IFERROR(VLOOKUP($G145,融外自投!$A:$J,10,0),"無")</f>
        <v>476</v>
      </c>
      <c r="S145" s="324">
        <f>IFERROR(VLOOKUP($G145,'321買'!$A:$E,5,0),"'沒有資料'")</f>
        <v>0</v>
      </c>
      <c r="T145" s="34">
        <v>1</v>
      </c>
      <c r="U145" s="307"/>
      <c r="V145" s="94">
        <v>3.29</v>
      </c>
      <c r="W145" s="36">
        <v>66.099999999999994</v>
      </c>
      <c r="X145" s="66">
        <f>64</f>
        <v>64</v>
      </c>
      <c r="Y145" s="15">
        <f t="shared" si="57"/>
        <v>2.0999999999999943</v>
      </c>
      <c r="Z145" s="63">
        <f t="shared" si="58"/>
        <v>3.2812499999999911E-2</v>
      </c>
      <c r="AA145" s="101" t="s">
        <v>6253</v>
      </c>
      <c r="AC145" s="16" t="s">
        <v>611</v>
      </c>
      <c r="AD145" s="84">
        <v>44307</v>
      </c>
      <c r="AE145" s="83">
        <v>44673</v>
      </c>
      <c r="AF145" s="33">
        <f t="shared" si="59"/>
        <v>366</v>
      </c>
      <c r="AG145" s="41" t="s">
        <v>1121</v>
      </c>
      <c r="AH145" s="245"/>
      <c r="AI145" s="8"/>
    </row>
    <row r="146" spans="1:40">
      <c r="A146" s="142" t="s">
        <v>1987</v>
      </c>
      <c r="B146" s="79">
        <v>352</v>
      </c>
      <c r="C146" s="80">
        <v>-330</v>
      </c>
      <c r="D146" s="79">
        <v>49</v>
      </c>
      <c r="E146" s="79">
        <v>50</v>
      </c>
      <c r="F146" s="6">
        <v>-20.73</v>
      </c>
      <c r="G146" s="80">
        <v>4128</v>
      </c>
      <c r="H146" s="30" t="s">
        <v>1461</v>
      </c>
      <c r="I146" s="16" t="s">
        <v>611</v>
      </c>
      <c r="J146" s="8">
        <f>IFERROR(VLOOKUP($G146,今日總結!$A:$AN,33,0),"")</f>
        <v>0</v>
      </c>
      <c r="K146" s="5">
        <f>IFERROR(VLOOKUP($G146,今日總結!$A:$AN,34,0),"")</f>
        <v>0</v>
      </c>
      <c r="L146" s="156">
        <f>IFERROR(VLOOKUP($G146,今日總結!$A:$AN,31,0),"")</f>
        <v>0</v>
      </c>
      <c r="M146" s="337">
        <f>IFERROR(VLOOKUP($G146,今日總結!$A:$AN,32,0),"")</f>
        <v>0</v>
      </c>
      <c r="N146" s="240">
        <f t="shared" si="56"/>
        <v>0</v>
      </c>
      <c r="O146" s="359">
        <f>IFERROR(VLOOKUP($G146,融外自投!$A:$J,7,0),"無")</f>
        <v>371</v>
      </c>
      <c r="P146" s="79">
        <f>IFERROR(VLOOKUP($G146,融外自投!$A:$J,9,0),"無")</f>
        <v>649</v>
      </c>
      <c r="Q146" s="342">
        <f>IFERROR(VLOOKUP($G146,融外自投!$A:$J,8,0),"無")</f>
        <v>712</v>
      </c>
      <c r="R146" s="81">
        <f>IFERROR(VLOOKUP($G146,融外自投!$A:$J,10,0),"無")</f>
        <v>476</v>
      </c>
      <c r="S146" s="324">
        <f>IFERROR(VLOOKUP($G146,'321買'!$A:$E,5,0),"'沒有資料'")</f>
        <v>0</v>
      </c>
      <c r="T146" s="34">
        <v>1</v>
      </c>
      <c r="U146" s="307"/>
      <c r="V146" s="94">
        <v>3.29</v>
      </c>
      <c r="W146" s="36">
        <v>66.099999999999994</v>
      </c>
      <c r="X146" s="66">
        <f>63.5</f>
        <v>63.5</v>
      </c>
      <c r="Y146" s="15">
        <f t="shared" si="57"/>
        <v>2.5999999999999943</v>
      </c>
      <c r="Z146" s="63">
        <f t="shared" si="58"/>
        <v>4.0944881889763689E-2</v>
      </c>
      <c r="AA146" s="101" t="s">
        <v>1566</v>
      </c>
      <c r="AC146" s="16" t="s">
        <v>611</v>
      </c>
      <c r="AD146" s="84">
        <v>44307</v>
      </c>
      <c r="AE146" s="83">
        <v>44673</v>
      </c>
      <c r="AF146" s="33">
        <f t="shared" si="59"/>
        <v>366</v>
      </c>
      <c r="AG146" s="41" t="s">
        <v>1121</v>
      </c>
      <c r="AH146" s="245"/>
      <c r="AI146" s="8"/>
    </row>
    <row r="147" spans="1:40">
      <c r="A147" s="142" t="s">
        <v>1987</v>
      </c>
      <c r="B147" s="79">
        <v>352</v>
      </c>
      <c r="C147" s="80">
        <v>-330</v>
      </c>
      <c r="D147" s="79">
        <v>49</v>
      </c>
      <c r="E147" s="79">
        <v>50</v>
      </c>
      <c r="F147" s="6">
        <v>-20.73</v>
      </c>
      <c r="G147" s="80">
        <v>4128</v>
      </c>
      <c r="H147" s="30" t="s">
        <v>1461</v>
      </c>
      <c r="I147" s="16" t="s">
        <v>611</v>
      </c>
      <c r="J147" s="8">
        <f>IFERROR(VLOOKUP($G147,今日總結!$A:$AN,33,0),"")</f>
        <v>0</v>
      </c>
      <c r="K147" s="5">
        <f>IFERROR(VLOOKUP($G147,今日總結!$A:$AN,34,0),"")</f>
        <v>0</v>
      </c>
      <c r="L147" s="156">
        <f>IFERROR(VLOOKUP($G147,今日總結!$A:$AN,31,0),"")</f>
        <v>0</v>
      </c>
      <c r="M147" s="337">
        <f>IFERROR(VLOOKUP($G147,今日總結!$A:$AN,32,0),"")</f>
        <v>0</v>
      </c>
      <c r="N147" s="240">
        <f t="shared" si="56"/>
        <v>0</v>
      </c>
      <c r="O147" s="359">
        <f>IFERROR(VLOOKUP($G147,融外自投!$A:$J,7,0),"無")</f>
        <v>371</v>
      </c>
      <c r="P147" s="79">
        <f>IFERROR(VLOOKUP($G147,融外自投!$A:$J,9,0),"無")</f>
        <v>649</v>
      </c>
      <c r="Q147" s="342">
        <f>IFERROR(VLOOKUP($G147,融外自投!$A:$J,8,0),"無")</f>
        <v>712</v>
      </c>
      <c r="R147" s="81">
        <f>IFERROR(VLOOKUP($G147,融外自投!$A:$J,10,0),"無")</f>
        <v>476</v>
      </c>
      <c r="S147" s="324">
        <f>IFERROR(VLOOKUP($G147,'321買'!$A:$E,5,0),"'沒有資料'")</f>
        <v>0</v>
      </c>
      <c r="T147" s="34">
        <v>1</v>
      </c>
      <c r="U147" s="307"/>
      <c r="V147" s="94">
        <v>3.29</v>
      </c>
      <c r="W147" s="36">
        <v>66.099999999999994</v>
      </c>
      <c r="X147" s="66">
        <f>63.7</f>
        <v>63.7</v>
      </c>
      <c r="Y147" s="15">
        <f t="shared" si="57"/>
        <v>2.3999999999999915</v>
      </c>
      <c r="Z147" s="63">
        <f t="shared" si="58"/>
        <v>3.7676609105180399E-2</v>
      </c>
      <c r="AA147" s="101" t="s">
        <v>6367</v>
      </c>
      <c r="AC147" s="16" t="s">
        <v>611</v>
      </c>
      <c r="AD147" s="84">
        <v>44305</v>
      </c>
      <c r="AE147" s="83">
        <v>44673</v>
      </c>
      <c r="AF147" s="33">
        <f t="shared" si="59"/>
        <v>368</v>
      </c>
      <c r="AG147" s="41" t="s">
        <v>1121</v>
      </c>
      <c r="AH147" s="41" t="s">
        <v>3143</v>
      </c>
      <c r="AI147" s="8"/>
    </row>
    <row r="148" spans="1:40">
      <c r="A148" s="142" t="s">
        <v>1728</v>
      </c>
      <c r="B148" s="80">
        <v>-53</v>
      </c>
      <c r="C148" s="80">
        <v>-65</v>
      </c>
      <c r="D148" s="79">
        <v>18</v>
      </c>
      <c r="E148" s="80">
        <v>-5</v>
      </c>
      <c r="F148" s="6">
        <v>6.45</v>
      </c>
      <c r="G148" s="80">
        <v>4130</v>
      </c>
      <c r="H148" s="50" t="s">
        <v>1403</v>
      </c>
      <c r="I148" s="16" t="s">
        <v>612</v>
      </c>
      <c r="J148" s="8">
        <f>IFERROR(VLOOKUP($G148,今日總結!$A:$AN,33,0),"")</f>
        <v>0</v>
      </c>
      <c r="K148" s="5">
        <f>IFERROR(VLOOKUP($G148,今日總結!$A:$AN,34,0),"")</f>
        <v>0</v>
      </c>
      <c r="L148" s="156">
        <f>IFERROR(VLOOKUP($G148,今日總結!$A:$AN,31,0),"")</f>
        <v>11</v>
      </c>
      <c r="M148" s="337">
        <f>IFERROR(VLOOKUP($G148,今日總結!$A:$AN,32,0),"")</f>
        <v>0</v>
      </c>
      <c r="N148" s="240">
        <f t="shared" si="56"/>
        <v>11</v>
      </c>
      <c r="O148" s="359">
        <f>IFERROR(VLOOKUP($G148,融外自投!$A:$J,7,0),"無")</f>
        <v>667</v>
      </c>
      <c r="P148" s="79">
        <f>IFERROR(VLOOKUP($G148,融外自投!$A:$J,9,0),"無")</f>
        <v>433</v>
      </c>
      <c r="Q148" s="342">
        <f>IFERROR(VLOOKUP($G148,融外自投!$A:$J,8,0),"無")</f>
        <v>1305</v>
      </c>
      <c r="R148" s="81" t="str">
        <f>IFERROR(VLOOKUP($G148,融外自投!$A:$J,10,0),"無")</f>
        <v>無</v>
      </c>
      <c r="S148" s="324">
        <f>IFERROR(VLOOKUP($G148,'321買'!$A:$E,5,0),"'沒有資料'")</f>
        <v>0</v>
      </c>
      <c r="T148" s="34">
        <v>0.35</v>
      </c>
      <c r="V148" s="94">
        <v>0.27</v>
      </c>
      <c r="W148" s="36">
        <v>28.8</v>
      </c>
      <c r="X148" s="66">
        <f>28.7-0.56</f>
        <v>28.14</v>
      </c>
      <c r="Y148" s="15">
        <f>W148-X148</f>
        <v>0.66000000000000014</v>
      </c>
      <c r="Z148" s="63">
        <f>Y148/X148</f>
        <v>2.3454157782515996E-2</v>
      </c>
      <c r="AA148" s="101" t="s">
        <v>6358</v>
      </c>
      <c r="AC148" s="16" t="s">
        <v>612</v>
      </c>
      <c r="AD148" s="84">
        <v>44298</v>
      </c>
      <c r="AE148" s="83">
        <v>44670</v>
      </c>
      <c r="AF148" s="33">
        <f>AE148-AD148</f>
        <v>372</v>
      </c>
      <c r="AG148" s="127" t="s">
        <v>1121</v>
      </c>
      <c r="AI148" s="8"/>
    </row>
    <row r="149" spans="1:40">
      <c r="A149" s="142" t="s">
        <v>1728</v>
      </c>
      <c r="B149" s="80">
        <v>-53</v>
      </c>
      <c r="C149" s="80">
        <v>-65</v>
      </c>
      <c r="D149" s="79">
        <v>18</v>
      </c>
      <c r="E149" s="80">
        <v>-5</v>
      </c>
      <c r="F149" s="6">
        <v>6.45</v>
      </c>
      <c r="G149" s="80">
        <v>4130</v>
      </c>
      <c r="H149" s="30" t="s">
        <v>1461</v>
      </c>
      <c r="I149" s="16" t="s">
        <v>612</v>
      </c>
      <c r="J149" s="8">
        <f>IFERROR(VLOOKUP($G149,今日總結!$A:$AN,33,0),"")</f>
        <v>0</v>
      </c>
      <c r="K149" s="5">
        <f>IFERROR(VLOOKUP($G149,今日總結!$A:$AN,34,0),"")</f>
        <v>0</v>
      </c>
      <c r="L149" s="156">
        <f>IFERROR(VLOOKUP($G149,今日總結!$A:$AN,31,0),"")</f>
        <v>11</v>
      </c>
      <c r="M149" s="337">
        <f>IFERROR(VLOOKUP($G149,今日總結!$A:$AN,32,0),"")</f>
        <v>0</v>
      </c>
      <c r="N149" s="240">
        <f t="shared" si="56"/>
        <v>11</v>
      </c>
      <c r="O149" s="359">
        <f>IFERROR(VLOOKUP($G149,融外自投!$A:$J,7,0),"無")</f>
        <v>667</v>
      </c>
      <c r="P149" s="79">
        <f>IFERROR(VLOOKUP($G149,融外自投!$A:$J,9,0),"無")</f>
        <v>433</v>
      </c>
      <c r="Q149" s="342">
        <f>IFERROR(VLOOKUP($G149,融外自投!$A:$J,8,0),"無")</f>
        <v>1305</v>
      </c>
      <c r="R149" s="81" t="str">
        <f>IFERROR(VLOOKUP($G149,融外自投!$A:$J,10,0),"無")</f>
        <v>無</v>
      </c>
      <c r="S149" s="324">
        <f>IFERROR(VLOOKUP($G149,'321買'!$A:$E,5,0),"'沒有資料'")</f>
        <v>0</v>
      </c>
      <c r="T149" s="34">
        <v>0.35</v>
      </c>
      <c r="V149" s="94">
        <v>0.27</v>
      </c>
      <c r="W149" s="36">
        <v>29.15</v>
      </c>
      <c r="X149" s="66">
        <f>29.05-1.128</f>
        <v>27.922000000000001</v>
      </c>
      <c r="Y149" s="15">
        <f>W149-X149</f>
        <v>1.227999999999998</v>
      </c>
      <c r="Z149" s="63">
        <f>Y149/X149</f>
        <v>4.397965761764909E-2</v>
      </c>
      <c r="AA149" s="101" t="s">
        <v>6368</v>
      </c>
      <c r="AC149" s="16" t="s">
        <v>612</v>
      </c>
      <c r="AD149" s="84">
        <v>44298</v>
      </c>
      <c r="AE149" s="83">
        <v>44670</v>
      </c>
      <c r="AF149" s="33">
        <f>AE149-AD149</f>
        <v>372</v>
      </c>
      <c r="AG149" s="41" t="s">
        <v>1121</v>
      </c>
      <c r="AI149" s="8"/>
    </row>
    <row r="150" spans="1:40">
      <c r="A150" s="142" t="s">
        <v>1728</v>
      </c>
      <c r="B150" s="80">
        <v>-53</v>
      </c>
      <c r="C150" s="80">
        <v>-65</v>
      </c>
      <c r="D150" s="79">
        <v>18</v>
      </c>
      <c r="E150" s="80">
        <v>-5</v>
      </c>
      <c r="F150" s="6">
        <v>6.45</v>
      </c>
      <c r="G150" s="80">
        <v>4130</v>
      </c>
      <c r="H150" s="30" t="s">
        <v>1461</v>
      </c>
      <c r="I150" s="16" t="s">
        <v>612</v>
      </c>
      <c r="J150" s="8">
        <f>IFERROR(VLOOKUP($G150,今日總結!$A:$AN,33,0),"")</f>
        <v>0</v>
      </c>
      <c r="K150" s="5">
        <f>IFERROR(VLOOKUP($G150,今日總結!$A:$AN,34,0),"")</f>
        <v>0</v>
      </c>
      <c r="L150" s="156">
        <f>IFERROR(VLOOKUP($G150,今日總結!$A:$AN,31,0),"")</f>
        <v>11</v>
      </c>
      <c r="M150" s="337">
        <f>IFERROR(VLOOKUP($G150,今日總結!$A:$AN,32,0),"")</f>
        <v>0</v>
      </c>
      <c r="N150" s="240">
        <f t="shared" si="56"/>
        <v>11</v>
      </c>
      <c r="O150" s="359">
        <f>IFERROR(VLOOKUP($G150,融外自投!$A:$J,7,0),"無")</f>
        <v>667</v>
      </c>
      <c r="P150" s="79">
        <f>IFERROR(VLOOKUP($G150,融外自投!$A:$J,9,0),"無")</f>
        <v>433</v>
      </c>
      <c r="Q150" s="342">
        <f>IFERROR(VLOOKUP($G150,融外自投!$A:$J,8,0),"無")</f>
        <v>1305</v>
      </c>
      <c r="R150" s="81" t="str">
        <f>IFERROR(VLOOKUP($G150,融外自投!$A:$J,10,0),"無")</f>
        <v>無</v>
      </c>
      <c r="S150" s="324">
        <f>IFERROR(VLOOKUP($G150,'321買'!$A:$E,5,0),"'沒有資料'")</f>
        <v>0</v>
      </c>
      <c r="T150" s="34">
        <v>0.35</v>
      </c>
      <c r="V150" s="94">
        <v>0.27</v>
      </c>
      <c r="W150" s="36">
        <v>29.15</v>
      </c>
      <c r="X150" s="66">
        <f>28.65</f>
        <v>28.65</v>
      </c>
      <c r="Y150" s="15">
        <f>W150-X150</f>
        <v>0.5</v>
      </c>
      <c r="Z150" s="63">
        <f>Y150/X150</f>
        <v>1.7452006980802792E-2</v>
      </c>
      <c r="AA150" s="101" t="s">
        <v>6369</v>
      </c>
      <c r="AC150" s="16" t="s">
        <v>612</v>
      </c>
      <c r="AD150" s="84">
        <v>44298</v>
      </c>
      <c r="AE150" s="83">
        <v>44670</v>
      </c>
      <c r="AF150" s="33">
        <f>AE150-AD150</f>
        <v>372</v>
      </c>
      <c r="AG150" s="41" t="s">
        <v>1121</v>
      </c>
      <c r="AH150" s="41" t="s">
        <v>1501</v>
      </c>
      <c r="AI150" s="8"/>
    </row>
    <row r="151" spans="1:40" s="248" customFormat="1">
      <c r="A151" s="141"/>
      <c r="B151" s="79"/>
      <c r="C151" s="79"/>
      <c r="D151" s="79"/>
      <c r="E151" s="79"/>
      <c r="F151" s="6"/>
      <c r="G151" s="41"/>
      <c r="H151" s="8"/>
      <c r="I151" s="153"/>
      <c r="J151" s="1"/>
      <c r="K151" s="1"/>
      <c r="L151" s="123"/>
      <c r="M151" s="234"/>
      <c r="N151" s="338"/>
      <c r="O151" s="359"/>
      <c r="P151" s="47"/>
      <c r="Q151" s="342"/>
      <c r="R151" s="300"/>
      <c r="S151" s="319"/>
      <c r="T151" s="185"/>
      <c r="U151" s="308"/>
      <c r="V151" s="94"/>
      <c r="W151" s="165">
        <f>SUM(W139:W150)</f>
        <v>575.4</v>
      </c>
      <c r="X151" s="155">
        <f>SUM(X139:X150)</f>
        <v>527.24199999999996</v>
      </c>
      <c r="Y151" s="162">
        <f>W151-X151</f>
        <v>48.158000000000015</v>
      </c>
      <c r="Z151" s="158">
        <f>Y151/X151</f>
        <v>9.133946081685454E-2</v>
      </c>
      <c r="AA151" s="113"/>
      <c r="AB151" s="376"/>
      <c r="AC151" s="153">
        <f>W151*(0.001425*0.5)+W151*0.003+X151*(0.001425*0.5)</f>
        <v>2.5118324249999997</v>
      </c>
      <c r="AD151" s="6">
        <f>Y151-AC151</f>
        <v>45.646167575000014</v>
      </c>
      <c r="AE151" s="83"/>
      <c r="AF151" s="33"/>
      <c r="AG151" s="41" t="s">
        <v>1550</v>
      </c>
      <c r="AH151" s="163"/>
    </row>
    <row r="152" spans="1:40" s="248" customFormat="1">
      <c r="A152" s="141"/>
      <c r="B152" s="79"/>
      <c r="C152" s="79"/>
      <c r="D152" s="79"/>
      <c r="E152" s="79"/>
      <c r="F152" s="6"/>
      <c r="G152" s="41"/>
      <c r="H152" s="8"/>
      <c r="I152" s="153"/>
      <c r="J152" s="1"/>
      <c r="K152" s="1"/>
      <c r="L152" s="245"/>
      <c r="M152" s="234"/>
      <c r="N152" s="338"/>
      <c r="O152" s="359"/>
      <c r="P152" s="47"/>
      <c r="Q152" s="342"/>
      <c r="R152" s="300"/>
      <c r="S152" s="319"/>
      <c r="T152" s="185"/>
      <c r="U152" s="308"/>
      <c r="V152" s="94"/>
      <c r="W152" s="165"/>
      <c r="X152" s="155"/>
      <c r="Y152" s="162"/>
      <c r="Z152" s="164"/>
      <c r="AA152" s="113"/>
      <c r="AB152" s="376"/>
      <c r="AC152" s="153"/>
      <c r="AD152" s="6"/>
      <c r="AE152" s="83"/>
      <c r="AF152" s="33"/>
      <c r="AG152" s="41"/>
      <c r="AH152" s="163"/>
    </row>
    <row r="153" spans="1:40" s="248" customFormat="1">
      <c r="A153" s="127" t="s">
        <v>1672</v>
      </c>
      <c r="B153" s="90" t="s">
        <v>1571</v>
      </c>
      <c r="C153" s="90" t="s">
        <v>1572</v>
      </c>
      <c r="D153" s="90" t="s">
        <v>1573</v>
      </c>
      <c r="E153" s="90" t="s">
        <v>1574</v>
      </c>
      <c r="F153" s="8" t="s">
        <v>1059</v>
      </c>
      <c r="G153" s="26" t="s">
        <v>3441</v>
      </c>
      <c r="H153" s="55" t="s">
        <v>320</v>
      </c>
      <c r="I153" s="1" t="s">
        <v>69</v>
      </c>
      <c r="J153" s="8" t="s">
        <v>6211</v>
      </c>
      <c r="K153" s="5" t="s">
        <v>6212</v>
      </c>
      <c r="L153" s="334" t="s">
        <v>6197</v>
      </c>
      <c r="M153" s="335" t="s">
        <v>6198</v>
      </c>
      <c r="N153" s="336" t="s">
        <v>6199</v>
      </c>
      <c r="O153" s="89" t="s">
        <v>6275</v>
      </c>
      <c r="P153" s="292" t="s">
        <v>6274</v>
      </c>
      <c r="Q153" s="350" t="s">
        <v>6273</v>
      </c>
      <c r="R153" s="26" t="s">
        <v>6276</v>
      </c>
      <c r="S153" s="318" t="s">
        <v>4715</v>
      </c>
      <c r="T153" s="14" t="s">
        <v>66</v>
      </c>
      <c r="U153" s="305" t="s">
        <v>4728</v>
      </c>
      <c r="V153" s="68" t="s">
        <v>3272</v>
      </c>
      <c r="W153" s="28" t="s">
        <v>2</v>
      </c>
      <c r="X153" s="17" t="s">
        <v>1398</v>
      </c>
      <c r="Y153" s="14" t="s">
        <v>2249</v>
      </c>
      <c r="Z153" s="21" t="s">
        <v>3</v>
      </c>
      <c r="AA153" s="51" t="s">
        <v>6166</v>
      </c>
      <c r="AB153" s="102" t="s">
        <v>6404</v>
      </c>
      <c r="AC153" s="1" t="s">
        <v>69</v>
      </c>
      <c r="AD153" s="71" t="s">
        <v>1399</v>
      </c>
      <c r="AE153" s="72" t="s">
        <v>1156</v>
      </c>
      <c r="AF153" s="32" t="s">
        <v>1157</v>
      </c>
      <c r="AG153" s="46" t="s">
        <v>4750</v>
      </c>
      <c r="AH153" s="163"/>
    </row>
    <row r="154" spans="1:40">
      <c r="A154" s="127" t="s">
        <v>1657</v>
      </c>
      <c r="B154" s="79">
        <v>285</v>
      </c>
      <c r="C154" s="79">
        <v>110</v>
      </c>
      <c r="D154" s="79">
        <v>18</v>
      </c>
      <c r="E154" s="80">
        <v>-74</v>
      </c>
      <c r="F154" s="57">
        <v>50.43</v>
      </c>
      <c r="G154" s="79">
        <v>4162</v>
      </c>
      <c r="H154" s="50" t="s">
        <v>1403</v>
      </c>
      <c r="I154" s="16" t="s">
        <v>37</v>
      </c>
      <c r="J154" s="8">
        <f>IFERROR(VLOOKUP($G154,今日總結!$A:$AN,33,0),"")</f>
        <v>1</v>
      </c>
      <c r="K154" s="5">
        <f>IFERROR(VLOOKUP($G154,今日總結!$A:$AN,34,0),"")</f>
        <v>0</v>
      </c>
      <c r="L154" s="156">
        <f>IFERROR(VLOOKUP($G154,今日總結!$A:$AN,31,0),"")</f>
        <v>2</v>
      </c>
      <c r="M154" s="337">
        <f>IFERROR(VLOOKUP($G154,今日總結!$A:$AN,32,0),"")</f>
        <v>0</v>
      </c>
      <c r="N154" s="240">
        <f t="shared" ref="N154" si="60">IFERROR(L154-M154,"")</f>
        <v>2</v>
      </c>
      <c r="O154" s="359">
        <f>IFERROR(VLOOKUP($G154,融外自投!$A:$J,7,0),"無")</f>
        <v>299</v>
      </c>
      <c r="P154" s="79">
        <f>IFERROR(VLOOKUP($G154,融外自投!$A:$J,9,0),"無")</f>
        <v>403</v>
      </c>
      <c r="Q154" s="342">
        <f>IFERROR(VLOOKUP($G154,融外自投!$A:$J,8,0),"無")</f>
        <v>649</v>
      </c>
      <c r="R154" s="81">
        <f>IFERROR(VLOOKUP($G154,融外自投!$A:$J,10,0),"無")</f>
        <v>297</v>
      </c>
      <c r="S154" s="324">
        <f>IFERROR(VLOOKUP($G154,'321買'!$A:$E,5,0),"'沒有資料'")</f>
        <v>0</v>
      </c>
      <c r="T154" s="34">
        <v>2.5299999999999998</v>
      </c>
      <c r="U154" s="307"/>
      <c r="V154" s="94">
        <v>5.77</v>
      </c>
      <c r="W154" s="36">
        <v>79.2</v>
      </c>
      <c r="X154" s="66">
        <f>68.5-2.53</f>
        <v>65.97</v>
      </c>
      <c r="Y154" s="15">
        <f>W154-X154</f>
        <v>13.230000000000004</v>
      </c>
      <c r="Z154" s="63">
        <f>Y154/X154</f>
        <v>0.20054570259208737</v>
      </c>
      <c r="AA154" s="101" t="s">
        <v>6370</v>
      </c>
      <c r="AC154" s="16" t="s">
        <v>37</v>
      </c>
      <c r="AD154" s="84">
        <v>44348</v>
      </c>
      <c r="AE154" s="83">
        <v>44621</v>
      </c>
      <c r="AF154" s="33">
        <f>AE154-AD154</f>
        <v>273</v>
      </c>
      <c r="AG154" s="127" t="s">
        <v>1121</v>
      </c>
      <c r="AH154" s="221"/>
      <c r="AI154" s="16"/>
      <c r="AJ154" s="206"/>
      <c r="AK154" s="239"/>
      <c r="AL154" s="249"/>
      <c r="AM154" s="251"/>
    </row>
    <row r="155" spans="1:40" s="248" customFormat="1">
      <c r="A155" s="141"/>
      <c r="B155" s="79"/>
      <c r="C155" s="79"/>
      <c r="D155" s="79"/>
      <c r="E155" s="79"/>
      <c r="F155" s="6"/>
      <c r="G155" s="41"/>
      <c r="H155" s="8"/>
      <c r="I155" s="153"/>
      <c r="J155" s="1"/>
      <c r="K155" s="1"/>
      <c r="L155" s="123"/>
      <c r="M155" s="234"/>
      <c r="N155" s="338"/>
      <c r="O155" s="359"/>
      <c r="P155" s="47"/>
      <c r="Q155" s="342"/>
      <c r="R155" s="300"/>
      <c r="S155" s="319"/>
      <c r="T155" s="185"/>
      <c r="U155" s="307"/>
      <c r="V155" s="94"/>
      <c r="W155" s="165">
        <f>SUM(W154)</f>
        <v>79.2</v>
      </c>
      <c r="X155" s="155">
        <f>SUM(X154)</f>
        <v>65.97</v>
      </c>
      <c r="Y155" s="162">
        <f>W155-X155</f>
        <v>13.230000000000004</v>
      </c>
      <c r="Z155" s="158">
        <f>Y155/X155</f>
        <v>0.20054570259208737</v>
      </c>
      <c r="AA155" s="113"/>
      <c r="AB155" s="376"/>
      <c r="AC155" s="153">
        <f>W155*(0.001425*0.5)+W155*0.003+X155*(0.001425*0.5)</f>
        <v>0.34103362500000001</v>
      </c>
      <c r="AD155" s="6">
        <f>Y155-AC155</f>
        <v>12.888966375000004</v>
      </c>
      <c r="AE155" s="83"/>
      <c r="AF155" s="33"/>
      <c r="AG155" s="41" t="s">
        <v>1121</v>
      </c>
      <c r="AH155" s="163"/>
    </row>
    <row r="156" spans="1:40" s="248" customFormat="1">
      <c r="A156" s="141"/>
      <c r="B156" s="79"/>
      <c r="C156" s="79"/>
      <c r="D156" s="79"/>
      <c r="E156" s="79"/>
      <c r="F156" s="6"/>
      <c r="G156" s="41"/>
      <c r="H156" s="8"/>
      <c r="I156" s="153"/>
      <c r="J156" s="1"/>
      <c r="K156" s="1"/>
      <c r="L156" s="245"/>
      <c r="M156" s="234"/>
      <c r="N156" s="338"/>
      <c r="O156" s="359"/>
      <c r="P156" s="47"/>
      <c r="Q156" s="342"/>
      <c r="R156" s="300"/>
      <c r="S156" s="319"/>
      <c r="T156" s="185"/>
      <c r="U156" s="308"/>
      <c r="V156" s="94"/>
      <c r="W156" s="165"/>
      <c r="X156" s="155"/>
      <c r="Y156" s="162"/>
      <c r="Z156" s="164"/>
      <c r="AA156" s="113"/>
      <c r="AB156" s="376"/>
      <c r="AC156" s="153"/>
      <c r="AD156" s="6"/>
      <c r="AE156" s="83"/>
      <c r="AF156" s="33"/>
      <c r="AG156" s="41"/>
      <c r="AH156" s="163"/>
    </row>
    <row r="157" spans="1:40" s="248" customFormat="1">
      <c r="A157" s="127" t="s">
        <v>1672</v>
      </c>
      <c r="B157" s="90" t="s">
        <v>1571</v>
      </c>
      <c r="C157" s="90" t="s">
        <v>1572</v>
      </c>
      <c r="D157" s="90" t="s">
        <v>1573</v>
      </c>
      <c r="E157" s="90" t="s">
        <v>1574</v>
      </c>
      <c r="F157" s="8" t="s">
        <v>1059</v>
      </c>
      <c r="G157" s="26" t="s">
        <v>3441</v>
      </c>
      <c r="H157" s="55" t="s">
        <v>320</v>
      </c>
      <c r="I157" s="1" t="s">
        <v>69</v>
      </c>
      <c r="J157" s="8" t="s">
        <v>6211</v>
      </c>
      <c r="K157" s="5" t="s">
        <v>6212</v>
      </c>
      <c r="L157" s="334" t="s">
        <v>6197</v>
      </c>
      <c r="M157" s="335" t="s">
        <v>6198</v>
      </c>
      <c r="N157" s="336" t="s">
        <v>6199</v>
      </c>
      <c r="O157" s="89" t="s">
        <v>6275</v>
      </c>
      <c r="P157" s="292" t="s">
        <v>6274</v>
      </c>
      <c r="Q157" s="350" t="s">
        <v>6273</v>
      </c>
      <c r="R157" s="26" t="s">
        <v>6276</v>
      </c>
      <c r="S157" s="318" t="s">
        <v>4715</v>
      </c>
      <c r="T157" s="14" t="s">
        <v>66</v>
      </c>
      <c r="U157" s="305" t="s">
        <v>4728</v>
      </c>
      <c r="V157" s="68" t="s">
        <v>3272</v>
      </c>
      <c r="W157" s="28" t="s">
        <v>2</v>
      </c>
      <c r="X157" s="17" t="s">
        <v>1398</v>
      </c>
      <c r="Y157" s="14" t="s">
        <v>2249</v>
      </c>
      <c r="Z157" s="21" t="s">
        <v>3</v>
      </c>
      <c r="AA157" s="51" t="s">
        <v>6166</v>
      </c>
      <c r="AB157" s="102" t="s">
        <v>6404</v>
      </c>
      <c r="AC157" s="1" t="s">
        <v>69</v>
      </c>
      <c r="AD157" s="71" t="s">
        <v>1399</v>
      </c>
      <c r="AE157" s="72" t="s">
        <v>1156</v>
      </c>
      <c r="AF157" s="32" t="s">
        <v>1157</v>
      </c>
      <c r="AG157" s="46" t="s">
        <v>4746</v>
      </c>
      <c r="AH157" s="163"/>
    </row>
    <row r="158" spans="1:40" s="248" customFormat="1">
      <c r="A158" s="127" t="s">
        <v>1742</v>
      </c>
      <c r="B158" s="79">
        <v>23</v>
      </c>
      <c r="C158" s="79">
        <v>35</v>
      </c>
      <c r="D158" s="79">
        <v>2</v>
      </c>
      <c r="E158" s="79">
        <v>28</v>
      </c>
      <c r="F158" s="57">
        <v>24.05</v>
      </c>
      <c r="G158" s="79">
        <v>6592</v>
      </c>
      <c r="H158" s="30" t="s">
        <v>1461</v>
      </c>
      <c r="I158" s="153" t="s">
        <v>1735</v>
      </c>
      <c r="J158" s="8">
        <f>IFERROR(VLOOKUP($G158,今日總結!$A:$AN,33,0),"")</f>
        <v>0</v>
      </c>
      <c r="K158" s="5">
        <f>IFERROR(VLOOKUP($G158,今日總結!$A:$AN,34,0),"")</f>
        <v>1</v>
      </c>
      <c r="L158" s="156">
        <f>IFERROR(VLOOKUP($G158,今日總結!$A:$AN,31,0),"")</f>
        <v>0</v>
      </c>
      <c r="M158" s="337">
        <f>IFERROR(VLOOKUP($G158,今日總結!$A:$AN,32,0),"")</f>
        <v>1</v>
      </c>
      <c r="N158" s="240">
        <f t="shared" ref="N158" si="61">IFERROR(L158-M158,"")</f>
        <v>-1</v>
      </c>
      <c r="O158" s="359">
        <f>IFERROR(VLOOKUP($G158,融外自投!$A:$J,7,0),"無")</f>
        <v>1235</v>
      </c>
      <c r="P158" s="79">
        <f>IFERROR(VLOOKUP($G158,融外自投!$A:$J,9,0),"無")</f>
        <v>869</v>
      </c>
      <c r="Q158" s="342">
        <f>IFERROR(VLOOKUP($G158,融外自投!$A:$J,8,0),"無")</f>
        <v>197</v>
      </c>
      <c r="R158" s="81">
        <f>IFERROR(VLOOKUP($G158,融外自投!$A:$J,10,0),"無")</f>
        <v>369</v>
      </c>
      <c r="S158" s="324">
        <f>IFERROR(VLOOKUP($G158,'321買'!$A:$E,5,0),"'沒有資料'")</f>
        <v>0</v>
      </c>
      <c r="T158" s="65">
        <v>3.5</v>
      </c>
      <c r="U158" s="293">
        <v>0.37</v>
      </c>
      <c r="V158" s="57">
        <v>5.73</v>
      </c>
      <c r="W158" s="161">
        <v>125</v>
      </c>
      <c r="X158" s="65">
        <v>115</v>
      </c>
      <c r="Y158" s="162">
        <f>W158-X158</f>
        <v>10</v>
      </c>
      <c r="Z158" s="158">
        <f>Y158/X158</f>
        <v>8.6956521739130432E-2</v>
      </c>
      <c r="AA158" s="99" t="s">
        <v>4749</v>
      </c>
      <c r="AB158" s="376"/>
      <c r="AC158" s="153" t="s">
        <v>1735</v>
      </c>
      <c r="AD158" s="84">
        <v>44607</v>
      </c>
      <c r="AE158" s="83">
        <v>44616</v>
      </c>
      <c r="AF158" s="33">
        <f>AE158-AD158</f>
        <v>9</v>
      </c>
      <c r="AG158" s="41" t="s">
        <v>1121</v>
      </c>
      <c r="AH158" s="221"/>
      <c r="AI158" s="153"/>
      <c r="AJ158" s="63"/>
      <c r="AK158" s="283"/>
      <c r="AL158" s="22"/>
      <c r="AM158" s="41"/>
      <c r="AN158" s="278"/>
    </row>
    <row r="159" spans="1:40" s="248" customFormat="1">
      <c r="A159" s="141"/>
      <c r="B159" s="79"/>
      <c r="C159" s="79"/>
      <c r="D159" s="79"/>
      <c r="E159" s="79"/>
      <c r="F159" s="6"/>
      <c r="G159" s="41"/>
      <c r="H159" s="8"/>
      <c r="I159" s="153"/>
      <c r="J159" s="1"/>
      <c r="K159" s="1"/>
      <c r="L159" s="123"/>
      <c r="M159" s="234"/>
      <c r="N159" s="338"/>
      <c r="O159" s="359"/>
      <c r="P159" s="47"/>
      <c r="Q159" s="342"/>
      <c r="R159" s="300"/>
      <c r="S159" s="319"/>
      <c r="T159" s="185"/>
      <c r="U159" s="306"/>
      <c r="V159" s="94"/>
      <c r="W159" s="165">
        <f>SUM(W158)</f>
        <v>125</v>
      </c>
      <c r="X159" s="155">
        <f>SUM(X158)</f>
        <v>115</v>
      </c>
      <c r="Y159" s="162">
        <f>W159-X159</f>
        <v>10</v>
      </c>
      <c r="Z159" s="158">
        <f>Y159/X159</f>
        <v>8.6956521739130432E-2</v>
      </c>
      <c r="AA159" s="113"/>
      <c r="AB159" s="376"/>
      <c r="AC159" s="153">
        <f>W159*(0.001425*0.5)+W159*0.003+X159*(0.001425*0.5)</f>
        <v>0.54600000000000004</v>
      </c>
      <c r="AD159" s="6">
        <f>Y159-AC159</f>
        <v>9.4540000000000006</v>
      </c>
      <c r="AE159" s="83"/>
      <c r="AF159" s="33"/>
      <c r="AG159" s="41" t="s">
        <v>1121</v>
      </c>
      <c r="AH159" s="163"/>
    </row>
    <row r="160" spans="1:40" s="248" customFormat="1">
      <c r="A160" s="141"/>
      <c r="B160" s="79"/>
      <c r="C160" s="79"/>
      <c r="D160" s="79"/>
      <c r="E160" s="79"/>
      <c r="F160" s="6"/>
      <c r="G160" s="41"/>
      <c r="H160" s="8"/>
      <c r="I160" s="153"/>
      <c r="J160" s="1"/>
      <c r="K160" s="1"/>
      <c r="L160" s="123"/>
      <c r="M160" s="234"/>
      <c r="N160" s="338"/>
      <c r="O160" s="359"/>
      <c r="P160" s="47"/>
      <c r="Q160" s="342"/>
      <c r="R160" s="300"/>
      <c r="S160" s="319"/>
      <c r="T160" s="185"/>
      <c r="U160" s="308"/>
      <c r="V160" s="94"/>
      <c r="W160" s="165"/>
      <c r="X160" s="155"/>
      <c r="Y160" s="162"/>
      <c r="Z160" s="164"/>
      <c r="AA160" s="113"/>
      <c r="AB160" s="376"/>
      <c r="AC160" s="153"/>
      <c r="AD160" s="6"/>
      <c r="AE160" s="83"/>
      <c r="AF160" s="33"/>
      <c r="AG160" s="41"/>
      <c r="AH160" s="163"/>
    </row>
    <row r="161" spans="1:41" s="248" customFormat="1">
      <c r="A161" s="127" t="s">
        <v>1672</v>
      </c>
      <c r="B161" s="90" t="s">
        <v>1571</v>
      </c>
      <c r="C161" s="90" t="s">
        <v>1572</v>
      </c>
      <c r="D161" s="90" t="s">
        <v>1573</v>
      </c>
      <c r="E161" s="90" t="s">
        <v>1574</v>
      </c>
      <c r="F161" s="8" t="s">
        <v>1059</v>
      </c>
      <c r="G161" s="26" t="s">
        <v>3441</v>
      </c>
      <c r="H161" s="55" t="s">
        <v>320</v>
      </c>
      <c r="I161" s="1" t="s">
        <v>2248</v>
      </c>
      <c r="J161" s="8" t="s">
        <v>6211</v>
      </c>
      <c r="K161" s="5" t="s">
        <v>6212</v>
      </c>
      <c r="L161" s="334" t="s">
        <v>6197</v>
      </c>
      <c r="M161" s="335" t="s">
        <v>6198</v>
      </c>
      <c r="N161" s="336" t="s">
        <v>6199</v>
      </c>
      <c r="O161" s="89" t="s">
        <v>6275</v>
      </c>
      <c r="P161" s="292" t="s">
        <v>6274</v>
      </c>
      <c r="Q161" s="350" t="s">
        <v>6273</v>
      </c>
      <c r="R161" s="26" t="s">
        <v>6276</v>
      </c>
      <c r="S161" s="318" t="s">
        <v>4715</v>
      </c>
      <c r="T161" s="14" t="s">
        <v>66</v>
      </c>
      <c r="U161" s="305" t="s">
        <v>4728</v>
      </c>
      <c r="V161" s="68" t="s">
        <v>3272</v>
      </c>
      <c r="W161" s="28" t="s">
        <v>2</v>
      </c>
      <c r="X161" s="17" t="s">
        <v>1398</v>
      </c>
      <c r="Y161" s="14" t="s">
        <v>2249</v>
      </c>
      <c r="Z161" s="21" t="s">
        <v>1469</v>
      </c>
      <c r="AA161" s="51" t="s">
        <v>6166</v>
      </c>
      <c r="AB161" s="102" t="s">
        <v>6404</v>
      </c>
      <c r="AC161" s="1" t="s">
        <v>2248</v>
      </c>
      <c r="AD161" s="71" t="s">
        <v>1399</v>
      </c>
      <c r="AE161" s="72" t="s">
        <v>1156</v>
      </c>
      <c r="AF161" s="32" t="s">
        <v>1157</v>
      </c>
      <c r="AG161" s="46" t="s">
        <v>4701</v>
      </c>
      <c r="AH161" s="163"/>
    </row>
    <row r="162" spans="1:41" s="248" customFormat="1">
      <c r="A162" s="127" t="s">
        <v>1742</v>
      </c>
      <c r="B162" s="79">
        <v>39</v>
      </c>
      <c r="C162" s="79">
        <v>43</v>
      </c>
      <c r="D162" s="79">
        <v>4</v>
      </c>
      <c r="E162" s="79">
        <v>31</v>
      </c>
      <c r="F162" s="57">
        <v>27.4</v>
      </c>
      <c r="G162" s="79">
        <v>6592</v>
      </c>
      <c r="H162" s="30" t="s">
        <v>1461</v>
      </c>
      <c r="I162" s="153" t="s">
        <v>1735</v>
      </c>
      <c r="J162" s="8">
        <f>IFERROR(VLOOKUP($G162,今日總結!$A:$AN,33,0),"")</f>
        <v>0</v>
      </c>
      <c r="K162" s="5">
        <f>IFERROR(VLOOKUP($G162,今日總結!$A:$AN,34,0),"")</f>
        <v>1</v>
      </c>
      <c r="L162" s="156">
        <f>IFERROR(VLOOKUP($G162,今日總結!$A:$AN,31,0),"")</f>
        <v>0</v>
      </c>
      <c r="M162" s="337">
        <f>IFERROR(VLOOKUP($G162,今日總結!$A:$AN,32,0),"")</f>
        <v>1</v>
      </c>
      <c r="N162" s="240">
        <f t="shared" ref="N162" si="62">IFERROR(L162-M162,"")</f>
        <v>-1</v>
      </c>
      <c r="O162" s="359">
        <f>IFERROR(VLOOKUP($G162,融外自投!$A:$J,7,0),"無")</f>
        <v>1235</v>
      </c>
      <c r="P162" s="79">
        <f>IFERROR(VLOOKUP($G162,融外自投!$A:$J,9,0),"無")</f>
        <v>869</v>
      </c>
      <c r="Q162" s="342">
        <f>IFERROR(VLOOKUP($G162,融外自投!$A:$J,8,0),"無")</f>
        <v>197</v>
      </c>
      <c r="R162" s="81">
        <f>IFERROR(VLOOKUP($G162,融外自投!$A:$J,10,0),"無")</f>
        <v>369</v>
      </c>
      <c r="S162" s="324">
        <f>IFERROR(VLOOKUP($G162,'321買'!$A:$E,5,0),"'沒有資料'")</f>
        <v>0</v>
      </c>
      <c r="T162" s="65">
        <v>3.5</v>
      </c>
      <c r="U162" s="308"/>
      <c r="V162" s="57">
        <v>5.35</v>
      </c>
      <c r="W162" s="161">
        <v>107.5</v>
      </c>
      <c r="X162" s="65">
        <f>85.5-3.5</f>
        <v>82</v>
      </c>
      <c r="Y162" s="162">
        <f t="shared" ref="Y162:Y168" si="63">W162-X162</f>
        <v>25.5</v>
      </c>
      <c r="Z162" s="158">
        <f t="shared" ref="Z162:Z168" si="64">Y162/X162</f>
        <v>0.31097560975609756</v>
      </c>
      <c r="AA162" s="184" t="s">
        <v>1929</v>
      </c>
      <c r="AB162" s="376"/>
      <c r="AC162" s="153" t="s">
        <v>1735</v>
      </c>
      <c r="AD162" s="84">
        <v>44312</v>
      </c>
      <c r="AE162" s="83">
        <v>44575</v>
      </c>
      <c r="AF162" s="33">
        <f t="shared" ref="AF162:AF167" si="65">AE162-AD162</f>
        <v>263</v>
      </c>
      <c r="AG162" s="41" t="s">
        <v>1121</v>
      </c>
      <c r="AH162" s="210"/>
      <c r="AI162" s="182"/>
    </row>
    <row r="163" spans="1:41">
      <c r="A163" s="142" t="s">
        <v>1973</v>
      </c>
      <c r="B163" s="79">
        <v>171</v>
      </c>
      <c r="C163" s="79">
        <v>391</v>
      </c>
      <c r="D163" s="79">
        <v>0</v>
      </c>
      <c r="E163" s="79">
        <v>41</v>
      </c>
      <c r="F163" s="6">
        <v>9.7100000000000009</v>
      </c>
      <c r="G163" s="79">
        <v>6284</v>
      </c>
      <c r="H163" s="30" t="s">
        <v>1461</v>
      </c>
      <c r="I163" s="16" t="s">
        <v>287</v>
      </c>
      <c r="J163" s="8">
        <f>IFERROR(VLOOKUP($G163,今日總結!$A:$AN,33,0),"")</f>
        <v>0</v>
      </c>
      <c r="K163" s="5">
        <f>IFERROR(VLOOKUP($G163,今日總結!$A:$AN,34,0),"")</f>
        <v>0</v>
      </c>
      <c r="L163" s="156">
        <f>IFERROR(VLOOKUP($G163,今日總結!$A:$AN,31,0),"")</f>
        <v>1</v>
      </c>
      <c r="M163" s="337">
        <f>IFERROR(VLOOKUP($G163,今日總結!$A:$AN,32,0),"")</f>
        <v>0</v>
      </c>
      <c r="N163" s="240">
        <f t="shared" ref="N163:N167" si="66">IFERROR(L163-M163,"")</f>
        <v>1</v>
      </c>
      <c r="O163" s="359">
        <f>IFERROR(VLOOKUP($G163,融外自投!$A:$J,7,0),"無")</f>
        <v>346</v>
      </c>
      <c r="P163" s="79">
        <f>IFERROR(VLOOKUP($G163,融外自投!$A:$J,9,0),"無")</f>
        <v>515</v>
      </c>
      <c r="Q163" s="342">
        <f>IFERROR(VLOOKUP($G163,融外自投!$A:$J,8,0),"無")</f>
        <v>1237</v>
      </c>
      <c r="R163" s="81">
        <f>IFERROR(VLOOKUP($G163,融外自投!$A:$J,10,0),"無")</f>
        <v>318</v>
      </c>
      <c r="S163" s="324">
        <f>IFERROR(VLOOKUP($G163,'321買'!$A:$E,5,0),"'沒有資料'")</f>
        <v>0</v>
      </c>
      <c r="T163" s="34">
        <v>1</v>
      </c>
      <c r="V163" s="94">
        <v>3.17</v>
      </c>
      <c r="W163" s="36">
        <v>74</v>
      </c>
      <c r="X163" s="66">
        <v>56.7</v>
      </c>
      <c r="Y163" s="15">
        <f t="shared" si="63"/>
        <v>17.299999999999997</v>
      </c>
      <c r="Z163" s="63">
        <f t="shared" si="64"/>
        <v>0.30511463844797171</v>
      </c>
      <c r="AA163" s="101" t="s">
        <v>4702</v>
      </c>
      <c r="AC163" s="16" t="s">
        <v>287</v>
      </c>
      <c r="AD163" s="84">
        <v>44454</v>
      </c>
      <c r="AE163" s="83">
        <v>44566</v>
      </c>
      <c r="AF163" s="33">
        <f t="shared" si="65"/>
        <v>112</v>
      </c>
      <c r="AG163" s="41" t="s">
        <v>1121</v>
      </c>
      <c r="AH163" s="221"/>
      <c r="AI163" s="243"/>
      <c r="AJ163" s="41"/>
      <c r="AK163" s="16"/>
      <c r="AL163" s="206"/>
      <c r="AM163" s="239"/>
      <c r="AN163" s="249"/>
      <c r="AO163" s="251"/>
    </row>
    <row r="164" spans="1:41">
      <c r="A164" s="142" t="s">
        <v>1973</v>
      </c>
      <c r="B164" s="79">
        <v>171</v>
      </c>
      <c r="C164" s="79">
        <v>391</v>
      </c>
      <c r="D164" s="79">
        <v>0</v>
      </c>
      <c r="E164" s="79">
        <v>41</v>
      </c>
      <c r="F164" s="6">
        <v>9.7100000000000009</v>
      </c>
      <c r="G164" s="79">
        <v>6284</v>
      </c>
      <c r="H164" s="30" t="s">
        <v>1461</v>
      </c>
      <c r="I164" s="16" t="s">
        <v>287</v>
      </c>
      <c r="J164" s="8">
        <f>IFERROR(VLOOKUP($G164,今日總結!$A:$AN,33,0),"")</f>
        <v>0</v>
      </c>
      <c r="K164" s="5">
        <f>IFERROR(VLOOKUP($G164,今日總結!$A:$AN,34,0),"")</f>
        <v>0</v>
      </c>
      <c r="L164" s="156">
        <f>IFERROR(VLOOKUP($G164,今日總結!$A:$AN,31,0),"")</f>
        <v>1</v>
      </c>
      <c r="M164" s="337">
        <f>IFERROR(VLOOKUP($G164,今日總結!$A:$AN,32,0),"")</f>
        <v>0</v>
      </c>
      <c r="N164" s="240">
        <f t="shared" si="66"/>
        <v>1</v>
      </c>
      <c r="O164" s="359">
        <f>IFERROR(VLOOKUP($G164,融外自投!$A:$J,7,0),"無")</f>
        <v>346</v>
      </c>
      <c r="P164" s="79">
        <f>IFERROR(VLOOKUP($G164,融外自投!$A:$J,9,0),"無")</f>
        <v>515</v>
      </c>
      <c r="Q164" s="342">
        <f>IFERROR(VLOOKUP($G164,融外自投!$A:$J,8,0),"無")</f>
        <v>1237</v>
      </c>
      <c r="R164" s="81">
        <f>IFERROR(VLOOKUP($G164,融外自投!$A:$J,10,0),"無")</f>
        <v>318</v>
      </c>
      <c r="S164" s="324">
        <f>IFERROR(VLOOKUP($G164,'321買'!$A:$E,5,0),"'沒有資料'")</f>
        <v>0</v>
      </c>
      <c r="T164" s="34">
        <v>1</v>
      </c>
      <c r="V164" s="94">
        <v>3.17</v>
      </c>
      <c r="W164" s="36">
        <v>74</v>
      </c>
      <c r="X164" s="66">
        <f>76.9-1</f>
        <v>75.900000000000006</v>
      </c>
      <c r="Y164" s="15">
        <f t="shared" si="63"/>
        <v>-1.9000000000000057</v>
      </c>
      <c r="Z164" s="76">
        <f t="shared" si="64"/>
        <v>-2.5032938076416409E-2</v>
      </c>
      <c r="AA164" s="135" t="s">
        <v>3476</v>
      </c>
      <c r="AC164" s="16" t="s">
        <v>287</v>
      </c>
      <c r="AD164" s="84">
        <v>44393</v>
      </c>
      <c r="AE164" s="83">
        <v>44566</v>
      </c>
      <c r="AF164" s="33">
        <f t="shared" si="65"/>
        <v>173</v>
      </c>
      <c r="AG164" s="41" t="s">
        <v>1121</v>
      </c>
      <c r="AH164" s="221"/>
      <c r="AI164" s="243"/>
      <c r="AJ164" s="41"/>
      <c r="AK164" s="16"/>
      <c r="AL164" s="206"/>
      <c r="AM164" s="239"/>
      <c r="AN164" s="249"/>
      <c r="AO164" s="251"/>
    </row>
    <row r="165" spans="1:41">
      <c r="A165" s="142" t="s">
        <v>1945</v>
      </c>
      <c r="B165" s="80">
        <v>-34</v>
      </c>
      <c r="C165" s="80">
        <v>-42</v>
      </c>
      <c r="D165" s="80">
        <v>-4</v>
      </c>
      <c r="E165" s="80">
        <v>-46</v>
      </c>
      <c r="F165" s="6">
        <v>9.8000000000000007</v>
      </c>
      <c r="G165" s="80">
        <v>6477</v>
      </c>
      <c r="H165" s="30" t="s">
        <v>1461</v>
      </c>
      <c r="I165" s="22" t="s">
        <v>451</v>
      </c>
      <c r="J165" s="8">
        <f>IFERROR(VLOOKUP($G165,今日總結!$A:$AN,33,0),"")</f>
        <v>0</v>
      </c>
      <c r="K165" s="5">
        <f>IFERROR(VLOOKUP($G165,今日總結!$A:$AN,34,0),"")</f>
        <v>1</v>
      </c>
      <c r="L165" s="156">
        <f>IFERROR(VLOOKUP($G165,今日總結!$A:$AN,31,0),"")</f>
        <v>0</v>
      </c>
      <c r="M165" s="337">
        <f>IFERROR(VLOOKUP($G165,今日總結!$A:$AN,32,0),"")</f>
        <v>0</v>
      </c>
      <c r="N165" s="240">
        <f t="shared" si="66"/>
        <v>0</v>
      </c>
      <c r="O165" s="359">
        <f>IFERROR(VLOOKUP($G165,融外自投!$A:$J,7,0),"無")</f>
        <v>181</v>
      </c>
      <c r="P165" s="79">
        <f>IFERROR(VLOOKUP($G165,融外自投!$A:$J,9,0),"無")</f>
        <v>253</v>
      </c>
      <c r="Q165" s="342">
        <f>IFERROR(VLOOKUP($G165,融外自投!$A:$J,8,0),"無")</f>
        <v>894</v>
      </c>
      <c r="R165" s="81">
        <f>IFERROR(VLOOKUP($G165,融外自投!$A:$J,10,0),"無")</f>
        <v>27</v>
      </c>
      <c r="S165" s="324">
        <f>IFERROR(VLOOKUP($G165,'321買'!$A:$E,5,0),"'沒有資料'")</f>
        <v>0</v>
      </c>
      <c r="T165" s="34">
        <v>1.1399999999999999</v>
      </c>
      <c r="V165" s="94">
        <v>2.54</v>
      </c>
      <c r="W165" s="36">
        <v>55</v>
      </c>
      <c r="X165" s="45">
        <f>50.2-1.14</f>
        <v>49.06</v>
      </c>
      <c r="Y165" s="15">
        <f t="shared" si="63"/>
        <v>5.9399999999999977</v>
      </c>
      <c r="Z165" s="63">
        <f t="shared" si="64"/>
        <v>0.12107623318385645</v>
      </c>
      <c r="AA165" s="101" t="s">
        <v>4703</v>
      </c>
      <c r="AC165" s="22" t="s">
        <v>451</v>
      </c>
      <c r="AD165" s="84">
        <v>44364</v>
      </c>
      <c r="AE165" s="83">
        <v>44566</v>
      </c>
      <c r="AF165" s="33">
        <f t="shared" si="65"/>
        <v>202</v>
      </c>
      <c r="AG165" s="41" t="s">
        <v>1121</v>
      </c>
      <c r="AH165" s="221"/>
      <c r="AI165" s="243"/>
    </row>
    <row r="166" spans="1:41">
      <c r="A166" s="142" t="s">
        <v>1707</v>
      </c>
      <c r="B166" s="80">
        <v>-47</v>
      </c>
      <c r="C166" s="80">
        <v>-47</v>
      </c>
      <c r="D166" s="79">
        <v>69</v>
      </c>
      <c r="E166" s="79">
        <v>4</v>
      </c>
      <c r="F166" s="6">
        <v>4.82</v>
      </c>
      <c r="G166" s="80">
        <v>9919</v>
      </c>
      <c r="H166" s="30" t="s">
        <v>1461</v>
      </c>
      <c r="I166" s="22" t="s">
        <v>698</v>
      </c>
      <c r="J166" s="8">
        <f>IFERROR(VLOOKUP($G166,今日總結!$A:$AN,33,0),"")</f>
        <v>0</v>
      </c>
      <c r="K166" s="5">
        <f>IFERROR(VLOOKUP($G166,今日總結!$A:$AN,34,0),"")</f>
        <v>0</v>
      </c>
      <c r="L166" s="156">
        <f>IFERROR(VLOOKUP($G166,今日總結!$A:$AN,31,0),"")</f>
        <v>0</v>
      </c>
      <c r="M166" s="337">
        <f>IFERROR(VLOOKUP($G166,今日總結!$A:$AN,32,0),"")</f>
        <v>0</v>
      </c>
      <c r="N166" s="240">
        <f t="shared" si="66"/>
        <v>0</v>
      </c>
      <c r="O166" s="359">
        <f>IFERROR(VLOOKUP($G166,融外自投!$A:$J,7,0),"無")</f>
        <v>458</v>
      </c>
      <c r="P166" s="79">
        <f>IFERROR(VLOOKUP($G166,融外自投!$A:$J,9,0),"無")</f>
        <v>119</v>
      </c>
      <c r="Q166" s="342">
        <f>IFERROR(VLOOKUP($G166,融外自投!$A:$J,8,0),"無")</f>
        <v>926</v>
      </c>
      <c r="R166" s="81">
        <f>IFERROR(VLOOKUP($G166,融外自投!$A:$J,10,0),"無")</f>
        <v>459</v>
      </c>
      <c r="S166" s="324">
        <f>IFERROR(VLOOKUP($G166,'321買'!$A:$E,5,0),"'沒有資料'")</f>
        <v>0</v>
      </c>
      <c r="T166" s="45">
        <v>3</v>
      </c>
      <c r="V166" s="94">
        <v>4.32</v>
      </c>
      <c r="W166" s="36">
        <v>32.1</v>
      </c>
      <c r="X166" s="66">
        <f>41.9-3</f>
        <v>38.9</v>
      </c>
      <c r="Y166" s="15">
        <f t="shared" si="63"/>
        <v>-6.7999999999999972</v>
      </c>
      <c r="Z166" s="76">
        <f t="shared" si="64"/>
        <v>-0.17480719794344465</v>
      </c>
      <c r="AA166" s="100" t="s">
        <v>4720</v>
      </c>
      <c r="AC166" s="22" t="s">
        <v>698</v>
      </c>
      <c r="AD166" s="84">
        <v>44336</v>
      </c>
      <c r="AE166" s="83">
        <v>44571</v>
      </c>
      <c r="AF166" s="33">
        <f t="shared" si="65"/>
        <v>235</v>
      </c>
      <c r="AG166" s="41" t="s">
        <v>1121</v>
      </c>
      <c r="AH166" s="221"/>
      <c r="AI166" s="8"/>
    </row>
    <row r="167" spans="1:41">
      <c r="A167" s="142" t="s">
        <v>1707</v>
      </c>
      <c r="B167" s="80">
        <v>-47</v>
      </c>
      <c r="C167" s="80">
        <v>-47</v>
      </c>
      <c r="D167" s="79">
        <v>69</v>
      </c>
      <c r="E167" s="79">
        <v>4</v>
      </c>
      <c r="F167" s="6">
        <v>4.82</v>
      </c>
      <c r="G167" s="80">
        <v>9919</v>
      </c>
      <c r="H167" s="30" t="s">
        <v>1461</v>
      </c>
      <c r="I167" s="22" t="s">
        <v>698</v>
      </c>
      <c r="J167" s="8">
        <f>IFERROR(VLOOKUP($G167,今日總結!$A:$AN,33,0),"")</f>
        <v>0</v>
      </c>
      <c r="K167" s="5">
        <f>IFERROR(VLOOKUP($G167,今日總結!$A:$AN,34,0),"")</f>
        <v>0</v>
      </c>
      <c r="L167" s="156">
        <f>IFERROR(VLOOKUP($G167,今日總結!$A:$AN,31,0),"")</f>
        <v>0</v>
      </c>
      <c r="M167" s="337">
        <f>IFERROR(VLOOKUP($G167,今日總結!$A:$AN,32,0),"")</f>
        <v>0</v>
      </c>
      <c r="N167" s="240">
        <f t="shared" si="66"/>
        <v>0</v>
      </c>
      <c r="O167" s="359">
        <f>IFERROR(VLOOKUP($G167,融外自投!$A:$J,7,0),"無")</f>
        <v>458</v>
      </c>
      <c r="P167" s="79">
        <f>IFERROR(VLOOKUP($G167,融外自投!$A:$J,9,0),"無")</f>
        <v>119</v>
      </c>
      <c r="Q167" s="342">
        <f>IFERROR(VLOOKUP($G167,融外自投!$A:$J,8,0),"無")</f>
        <v>926</v>
      </c>
      <c r="R167" s="81">
        <f>IFERROR(VLOOKUP($G167,融外自投!$A:$J,10,0),"無")</f>
        <v>459</v>
      </c>
      <c r="S167" s="324">
        <f>IFERROR(VLOOKUP($G167,'321買'!$A:$E,5,0),"'沒有資料'")</f>
        <v>0</v>
      </c>
      <c r="T167" s="45">
        <v>3</v>
      </c>
      <c r="V167" s="94">
        <v>4.32</v>
      </c>
      <c r="W167" s="36">
        <v>32.15</v>
      </c>
      <c r="X167" s="66">
        <f>44.5-3</f>
        <v>41.5</v>
      </c>
      <c r="Y167" s="15">
        <f t="shared" si="63"/>
        <v>-9.3500000000000014</v>
      </c>
      <c r="Z167" s="76">
        <f t="shared" si="64"/>
        <v>-0.22530120481927715</v>
      </c>
      <c r="AA167" s="100" t="s">
        <v>4721</v>
      </c>
      <c r="AC167" s="22" t="s">
        <v>698</v>
      </c>
      <c r="AD167" s="84">
        <v>44334</v>
      </c>
      <c r="AE167" s="83">
        <v>44571</v>
      </c>
      <c r="AF167" s="33">
        <f t="shared" si="65"/>
        <v>237</v>
      </c>
      <c r="AG167" s="41" t="s">
        <v>1121</v>
      </c>
      <c r="AH167" s="221"/>
      <c r="AI167" s="8"/>
    </row>
    <row r="168" spans="1:41" s="248" customFormat="1">
      <c r="A168" s="141"/>
      <c r="B168" s="79"/>
      <c r="C168" s="79"/>
      <c r="D168" s="79"/>
      <c r="E168" s="79"/>
      <c r="F168" s="6"/>
      <c r="G168" s="41"/>
      <c r="H168" s="8"/>
      <c r="I168" s="153"/>
      <c r="J168" s="1"/>
      <c r="K168" s="1"/>
      <c r="L168" s="123"/>
      <c r="M168" s="234"/>
      <c r="N168" s="338"/>
      <c r="O168" s="359"/>
      <c r="P168" s="47"/>
      <c r="Q168" s="342"/>
      <c r="R168" s="300"/>
      <c r="S168" s="319"/>
      <c r="T168" s="185"/>
      <c r="U168" s="308"/>
      <c r="V168" s="94"/>
      <c r="W168" s="165">
        <f>SUM(W162:W167)</f>
        <v>374.75</v>
      </c>
      <c r="X168" s="155">
        <f>SUM(X162:X167)</f>
        <v>344.05999999999995</v>
      </c>
      <c r="Y168" s="162">
        <f t="shared" si="63"/>
        <v>30.690000000000055</v>
      </c>
      <c r="Z168" s="158">
        <f t="shared" si="64"/>
        <v>8.9199558216590299E-2</v>
      </c>
      <c r="AA168" s="113"/>
      <c r="AB168" s="376"/>
      <c r="AC168" s="153">
        <f>W168*(0.001425*0.5)+W168*0.003+X168*(0.001425*0.5)</f>
        <v>1.636402125</v>
      </c>
      <c r="AD168" s="6">
        <f>Y168-AC168</f>
        <v>29.053597875000055</v>
      </c>
      <c r="AE168" s="83"/>
      <c r="AF168" s="33"/>
      <c r="AG168" s="41"/>
      <c r="AH168" s="163"/>
      <c r="AI168" s="241"/>
    </row>
    <row r="169" spans="1:41" s="248" customFormat="1">
      <c r="A169" s="141"/>
      <c r="B169" s="79"/>
      <c r="C169" s="79"/>
      <c r="D169" s="79"/>
      <c r="E169" s="79"/>
      <c r="F169" s="6"/>
      <c r="G169" s="41"/>
      <c r="H169" s="8"/>
      <c r="I169" s="153"/>
      <c r="J169" s="1"/>
      <c r="K169" s="1"/>
      <c r="L169" s="123"/>
      <c r="M169" s="234"/>
      <c r="N169" s="338"/>
      <c r="O169" s="359"/>
      <c r="P169" s="47"/>
      <c r="Q169" s="342"/>
      <c r="R169" s="300"/>
      <c r="S169" s="319"/>
      <c r="T169" s="185"/>
      <c r="U169" s="308"/>
      <c r="V169" s="94"/>
      <c r="W169" s="165"/>
      <c r="X169" s="155"/>
      <c r="Y169" s="162"/>
      <c r="Z169" s="164"/>
      <c r="AA169" s="113"/>
      <c r="AB169" s="376"/>
      <c r="AC169" s="153"/>
      <c r="AD169" s="6"/>
      <c r="AE169" s="83"/>
      <c r="AF169" s="33"/>
      <c r="AG169" s="41"/>
      <c r="AH169" s="163"/>
    </row>
    <row r="170" spans="1:41" s="248" customFormat="1">
      <c r="A170" s="127" t="s">
        <v>1672</v>
      </c>
      <c r="B170" s="90" t="s">
        <v>1571</v>
      </c>
      <c r="C170" s="90" t="s">
        <v>1572</v>
      </c>
      <c r="D170" s="90" t="s">
        <v>1573</v>
      </c>
      <c r="E170" s="90" t="s">
        <v>1574</v>
      </c>
      <c r="F170" s="8" t="s">
        <v>1059</v>
      </c>
      <c r="G170" s="26" t="s">
        <v>3441</v>
      </c>
      <c r="H170" s="55" t="s">
        <v>320</v>
      </c>
      <c r="I170" s="1" t="s">
        <v>69</v>
      </c>
      <c r="J170" s="8" t="s">
        <v>6211</v>
      </c>
      <c r="K170" s="5" t="s">
        <v>6212</v>
      </c>
      <c r="L170" s="334" t="s">
        <v>6197</v>
      </c>
      <c r="M170" s="335" t="s">
        <v>6198</v>
      </c>
      <c r="N170" s="336" t="s">
        <v>6199</v>
      </c>
      <c r="O170" s="89" t="s">
        <v>6275</v>
      </c>
      <c r="P170" s="292" t="s">
        <v>6274</v>
      </c>
      <c r="Q170" s="350" t="s">
        <v>6273</v>
      </c>
      <c r="R170" s="26" t="s">
        <v>6276</v>
      </c>
      <c r="S170" s="318" t="s">
        <v>4715</v>
      </c>
      <c r="T170" s="14" t="s">
        <v>66</v>
      </c>
      <c r="U170" s="305" t="s">
        <v>4728</v>
      </c>
      <c r="V170" s="68" t="s">
        <v>3272</v>
      </c>
      <c r="W170" s="28" t="s">
        <v>2</v>
      </c>
      <c r="X170" s="17" t="s">
        <v>1398</v>
      </c>
      <c r="Y170" s="14" t="s">
        <v>2249</v>
      </c>
      <c r="Z170" s="21" t="s">
        <v>1469</v>
      </c>
      <c r="AA170" s="51" t="s">
        <v>6166</v>
      </c>
      <c r="AB170" s="102" t="s">
        <v>6404</v>
      </c>
      <c r="AC170" s="1" t="s">
        <v>69</v>
      </c>
      <c r="AD170" s="71" t="s">
        <v>1399</v>
      </c>
      <c r="AE170" s="72" t="s">
        <v>1156</v>
      </c>
      <c r="AF170" s="32" t="s">
        <v>1157</v>
      </c>
      <c r="AG170" s="46" t="s">
        <v>3486</v>
      </c>
      <c r="AH170" s="163"/>
    </row>
    <row r="171" spans="1:41">
      <c r="A171" s="142" t="s">
        <v>2970</v>
      </c>
      <c r="B171" s="79">
        <v>294</v>
      </c>
      <c r="C171" s="79">
        <v>351</v>
      </c>
      <c r="D171" s="79">
        <v>57</v>
      </c>
      <c r="E171" s="79">
        <v>91</v>
      </c>
      <c r="F171" s="6">
        <v>7.57</v>
      </c>
      <c r="G171" s="80">
        <v>3162</v>
      </c>
      <c r="H171" s="30" t="s">
        <v>1461</v>
      </c>
      <c r="I171" s="16" t="s">
        <v>531</v>
      </c>
      <c r="J171" s="8">
        <f>IFERROR(VLOOKUP($G171,今日總結!$A:$AN,33,0),"")</f>
        <v>1</v>
      </c>
      <c r="K171" s="5">
        <f>IFERROR(VLOOKUP($G171,今日總結!$A:$AN,34,0),"")</f>
        <v>0</v>
      </c>
      <c r="L171" s="156">
        <f>IFERROR(VLOOKUP($G171,今日總結!$A:$AN,31,0),"")</f>
        <v>0</v>
      </c>
      <c r="M171" s="337">
        <f>IFERROR(VLOOKUP($G171,今日總結!$A:$AN,32,0),"")</f>
        <v>0</v>
      </c>
      <c r="N171" s="240">
        <f t="shared" ref="N171" si="67">IFERROR(L171-M171,"")</f>
        <v>0</v>
      </c>
      <c r="O171" s="359">
        <f>IFERROR(VLOOKUP($G171,融外自投!$A:$J,7,0),"無")</f>
        <v>219</v>
      </c>
      <c r="P171" s="79" t="str">
        <f>IFERROR(VLOOKUP($G171,融外自投!$A:$J,9,0),"無")</f>
        <v>無</v>
      </c>
      <c r="Q171" s="342">
        <f>IFERROR(VLOOKUP($G171,融外自投!$A:$J,8,0),"無")</f>
        <v>73</v>
      </c>
      <c r="R171" s="81" t="str">
        <f>IFERROR(VLOOKUP($G171,融外自投!$A:$J,10,0),"無")</f>
        <v>無</v>
      </c>
      <c r="S171" s="324">
        <f>IFERROR(VLOOKUP($G171,'321買'!$A:$E,5,0),"'沒有資料'")</f>
        <v>0</v>
      </c>
      <c r="T171" s="34">
        <v>0</v>
      </c>
      <c r="V171" s="57">
        <v>7.0000000000000007E-2</v>
      </c>
      <c r="W171" s="13">
        <v>49.3</v>
      </c>
      <c r="X171" s="66">
        <v>40</v>
      </c>
      <c r="Y171" s="15">
        <f>W171-X171</f>
        <v>9.2999999999999972</v>
      </c>
      <c r="Z171" s="63">
        <f>Y171/X171</f>
        <v>0.23249999999999993</v>
      </c>
      <c r="AA171" s="101" t="s">
        <v>4704</v>
      </c>
      <c r="AC171" s="16" t="s">
        <v>531</v>
      </c>
      <c r="AD171" s="84">
        <v>44470</v>
      </c>
      <c r="AE171" s="83">
        <v>44477</v>
      </c>
      <c r="AF171" s="33">
        <f>AE171-AD171</f>
        <v>7</v>
      </c>
      <c r="AG171" s="41" t="s">
        <v>1121</v>
      </c>
      <c r="AH171" s="221"/>
      <c r="AI171" s="16"/>
      <c r="AJ171" s="206"/>
      <c r="AK171" s="239"/>
      <c r="AL171" s="249"/>
      <c r="AM171" s="251"/>
    </row>
    <row r="172" spans="1:41" s="248" customFormat="1">
      <c r="A172" s="141"/>
      <c r="B172" s="79"/>
      <c r="C172" s="79"/>
      <c r="D172" s="79"/>
      <c r="E172" s="79"/>
      <c r="F172" s="6"/>
      <c r="G172" s="41"/>
      <c r="H172" s="8"/>
      <c r="I172" s="153"/>
      <c r="J172" s="1"/>
      <c r="K172" s="1"/>
      <c r="L172" s="123"/>
      <c r="M172" s="234"/>
      <c r="N172" s="338"/>
      <c r="O172" s="359"/>
      <c r="P172" s="47"/>
      <c r="Q172" s="342"/>
      <c r="R172" s="300"/>
      <c r="S172" s="319"/>
      <c r="T172" s="185"/>
      <c r="U172" s="308"/>
      <c r="V172" s="94"/>
      <c r="W172" s="165">
        <f>SUM(W171)</f>
        <v>49.3</v>
      </c>
      <c r="X172" s="155">
        <f>SUM(X171)</f>
        <v>40</v>
      </c>
      <c r="Y172" s="162">
        <f>W172-X172</f>
        <v>9.2999999999999972</v>
      </c>
      <c r="Z172" s="158">
        <f>Y172/X172</f>
        <v>0.23249999999999993</v>
      </c>
      <c r="AA172" s="113"/>
      <c r="AB172" s="376"/>
      <c r="AC172" s="153">
        <f>W172*(0.001425*0.5)+W172*0.003+X172*(0.001425*0.5)</f>
        <v>0.21152625</v>
      </c>
      <c r="AD172" s="6">
        <f>Y172-AC172</f>
        <v>9.0884737499999968</v>
      </c>
      <c r="AE172" s="83"/>
      <c r="AF172" s="33"/>
      <c r="AG172" s="41"/>
      <c r="AH172" s="163"/>
    </row>
    <row r="173" spans="1:41" s="248" customFormat="1">
      <c r="A173" s="141"/>
      <c r="B173" s="79"/>
      <c r="C173" s="79"/>
      <c r="D173" s="79"/>
      <c r="E173" s="79"/>
      <c r="F173" s="6"/>
      <c r="G173" s="41"/>
      <c r="H173" s="8"/>
      <c r="I173" s="153"/>
      <c r="J173" s="1"/>
      <c r="K173" s="1"/>
      <c r="L173" s="121"/>
      <c r="M173" s="234"/>
      <c r="N173" s="338"/>
      <c r="O173" s="359"/>
      <c r="P173" s="47"/>
      <c r="Q173" s="342"/>
      <c r="R173" s="300"/>
      <c r="S173" s="319"/>
      <c r="T173" s="185"/>
      <c r="U173" s="308"/>
      <c r="V173" s="94"/>
      <c r="W173" s="165"/>
      <c r="X173" s="155"/>
      <c r="Y173" s="162"/>
      <c r="Z173" s="164"/>
      <c r="AA173" s="113"/>
      <c r="AB173" s="376"/>
      <c r="AC173" s="153"/>
      <c r="AD173" s="6"/>
      <c r="AE173" s="83"/>
      <c r="AF173" s="33"/>
      <c r="AG173" s="41"/>
      <c r="AH173" s="163"/>
    </row>
    <row r="174" spans="1:41" s="255" customFormat="1">
      <c r="A174" s="127" t="s">
        <v>1672</v>
      </c>
      <c r="B174" s="90" t="s">
        <v>1571</v>
      </c>
      <c r="C174" s="90" t="s">
        <v>1572</v>
      </c>
      <c r="D174" s="90" t="s">
        <v>1573</v>
      </c>
      <c r="E174" s="90" t="s">
        <v>1574</v>
      </c>
      <c r="F174" s="8" t="s">
        <v>1059</v>
      </c>
      <c r="G174" s="26" t="s">
        <v>3441</v>
      </c>
      <c r="H174" s="55" t="s">
        <v>320</v>
      </c>
      <c r="I174" s="1" t="s">
        <v>2248</v>
      </c>
      <c r="J174" s="8" t="s">
        <v>6211</v>
      </c>
      <c r="K174" s="5" t="s">
        <v>6212</v>
      </c>
      <c r="L174" s="334" t="s">
        <v>6197</v>
      </c>
      <c r="M174" s="335" t="s">
        <v>6198</v>
      </c>
      <c r="N174" s="336" t="s">
        <v>6199</v>
      </c>
      <c r="O174" s="89" t="s">
        <v>6275</v>
      </c>
      <c r="P174" s="292" t="s">
        <v>6274</v>
      </c>
      <c r="Q174" s="350" t="s">
        <v>6273</v>
      </c>
      <c r="R174" s="26" t="s">
        <v>6276</v>
      </c>
      <c r="S174" s="318" t="s">
        <v>4715</v>
      </c>
      <c r="T174" s="14" t="s">
        <v>66</v>
      </c>
      <c r="U174" s="305" t="s">
        <v>4728</v>
      </c>
      <c r="V174" s="68" t="s">
        <v>3272</v>
      </c>
      <c r="W174" s="28" t="s">
        <v>2</v>
      </c>
      <c r="X174" s="17" t="s">
        <v>1398</v>
      </c>
      <c r="Y174" s="14" t="s">
        <v>2249</v>
      </c>
      <c r="Z174" s="21" t="s">
        <v>1469</v>
      </c>
      <c r="AA174" s="51" t="s">
        <v>6166</v>
      </c>
      <c r="AB174" s="102" t="s">
        <v>6404</v>
      </c>
      <c r="AC174" s="1" t="s">
        <v>2248</v>
      </c>
      <c r="AD174" s="71" t="s">
        <v>1399</v>
      </c>
      <c r="AE174" s="72" t="s">
        <v>1156</v>
      </c>
      <c r="AF174" s="32" t="s">
        <v>1157</v>
      </c>
      <c r="AG174" s="46" t="s">
        <v>3425</v>
      </c>
      <c r="AH174" s="163"/>
    </row>
    <row r="175" spans="1:41" s="248" customFormat="1">
      <c r="A175" s="127" t="s">
        <v>1662</v>
      </c>
      <c r="B175" s="79">
        <v>6</v>
      </c>
      <c r="C175" s="79">
        <v>3</v>
      </c>
      <c r="D175" s="79">
        <v>2</v>
      </c>
      <c r="E175" s="79">
        <v>15</v>
      </c>
      <c r="F175" s="57">
        <v>10.6</v>
      </c>
      <c r="G175" s="80">
        <v>5457</v>
      </c>
      <c r="H175" s="30" t="s">
        <v>1461</v>
      </c>
      <c r="I175" s="166" t="s">
        <v>178</v>
      </c>
      <c r="J175" s="8">
        <f>IFERROR(VLOOKUP($G175,今日總結!$A:$AN,33,0),"")</f>
        <v>6</v>
      </c>
      <c r="K175" s="5">
        <f>IFERROR(VLOOKUP($G175,今日總結!$A:$AN,34,0),"")</f>
        <v>0</v>
      </c>
      <c r="L175" s="156">
        <f>IFERROR(VLOOKUP($G175,今日總結!$A:$AN,31,0),"")</f>
        <v>0</v>
      </c>
      <c r="M175" s="337">
        <f>IFERROR(VLOOKUP($G175,今日總結!$A:$AN,32,0),"")</f>
        <v>1</v>
      </c>
      <c r="N175" s="240">
        <f t="shared" ref="N175:N180" si="68">IFERROR(L175-M175,"")</f>
        <v>-1</v>
      </c>
      <c r="O175" s="359">
        <f>IFERROR(VLOOKUP($G175,融外自投!$A:$J,7,0),"無")</f>
        <v>277</v>
      </c>
      <c r="P175" s="79">
        <f>IFERROR(VLOOKUP($G175,融外自投!$A:$J,9,0),"無")</f>
        <v>584</v>
      </c>
      <c r="Q175" s="342">
        <f>IFERROR(VLOOKUP($G175,融外自投!$A:$J,8,0),"無")</f>
        <v>131</v>
      </c>
      <c r="R175" s="81">
        <f>IFERROR(VLOOKUP($G175,融外自投!$A:$J,10,0),"無")</f>
        <v>170</v>
      </c>
      <c r="S175" s="324">
        <f>IFERROR(VLOOKUP($G175,'321買'!$A:$E,5,0),"'沒有資料'")</f>
        <v>0</v>
      </c>
      <c r="T175" s="185">
        <v>2.1</v>
      </c>
      <c r="U175" s="308"/>
      <c r="V175" s="57">
        <v>4.29</v>
      </c>
      <c r="W175" s="165">
        <v>87.5</v>
      </c>
      <c r="X175" s="65">
        <f>81-2.1</f>
        <v>78.900000000000006</v>
      </c>
      <c r="Y175" s="105">
        <f t="shared" ref="Y175:Y182" si="69">W175-X175</f>
        <v>8.5999999999999943</v>
      </c>
      <c r="Z175" s="158">
        <f t="shared" ref="Z175:Z182" si="70">Y175/X175</f>
        <v>0.10899873257287698</v>
      </c>
      <c r="AA175" s="167" t="s">
        <v>2970</v>
      </c>
      <c r="AB175" s="376"/>
      <c r="AC175" s="166" t="s">
        <v>178</v>
      </c>
      <c r="AD175" s="84">
        <v>44399</v>
      </c>
      <c r="AE175" s="83">
        <v>44452</v>
      </c>
      <c r="AF175" s="33">
        <f t="shared" ref="AF175:AF181" si="71">AE175-AD175</f>
        <v>53</v>
      </c>
      <c r="AG175" s="41" t="s">
        <v>1121</v>
      </c>
      <c r="AH175" s="212"/>
      <c r="AI175" s="24"/>
    </row>
    <row r="176" spans="1:41" s="248" customFormat="1">
      <c r="A176" s="127" t="s">
        <v>1662</v>
      </c>
      <c r="B176" s="79">
        <v>6</v>
      </c>
      <c r="C176" s="79">
        <v>3</v>
      </c>
      <c r="D176" s="79">
        <v>2</v>
      </c>
      <c r="E176" s="79">
        <v>15</v>
      </c>
      <c r="F176" s="57">
        <v>10.6</v>
      </c>
      <c r="G176" s="80">
        <v>5457</v>
      </c>
      <c r="H176" s="30" t="s">
        <v>1461</v>
      </c>
      <c r="I176" s="166" t="s">
        <v>178</v>
      </c>
      <c r="J176" s="8">
        <f>IFERROR(VLOOKUP($G176,今日總結!$A:$AN,33,0),"")</f>
        <v>6</v>
      </c>
      <c r="K176" s="5">
        <f>IFERROR(VLOOKUP($G176,今日總結!$A:$AN,34,0),"")</f>
        <v>0</v>
      </c>
      <c r="L176" s="156">
        <f>IFERROR(VLOOKUP($G176,今日總結!$A:$AN,31,0),"")</f>
        <v>0</v>
      </c>
      <c r="M176" s="337">
        <f>IFERROR(VLOOKUP($G176,今日總結!$A:$AN,32,0),"")</f>
        <v>1</v>
      </c>
      <c r="N176" s="240">
        <f t="shared" si="68"/>
        <v>-1</v>
      </c>
      <c r="O176" s="359">
        <f>IFERROR(VLOOKUP($G176,融外自投!$A:$J,7,0),"無")</f>
        <v>277</v>
      </c>
      <c r="P176" s="79">
        <f>IFERROR(VLOOKUP($G176,融外自投!$A:$J,9,0),"無")</f>
        <v>584</v>
      </c>
      <c r="Q176" s="342">
        <f>IFERROR(VLOOKUP($G176,融外自投!$A:$J,8,0),"無")</f>
        <v>131</v>
      </c>
      <c r="R176" s="81">
        <f>IFERROR(VLOOKUP($G176,融外自投!$A:$J,10,0),"無")</f>
        <v>170</v>
      </c>
      <c r="S176" s="324">
        <f>IFERROR(VLOOKUP($G176,'321買'!$A:$E,5,0),"'沒有資料'")</f>
        <v>0</v>
      </c>
      <c r="T176" s="185">
        <v>2.1</v>
      </c>
      <c r="U176" s="308"/>
      <c r="V176" s="57">
        <v>4.29</v>
      </c>
      <c r="W176" s="165">
        <v>87.5</v>
      </c>
      <c r="X176" s="65">
        <f>69.6-2.1</f>
        <v>67.5</v>
      </c>
      <c r="Y176" s="105">
        <f t="shared" si="69"/>
        <v>20</v>
      </c>
      <c r="Z176" s="158">
        <f t="shared" si="70"/>
        <v>0.29629629629629628</v>
      </c>
      <c r="AA176" s="167" t="s">
        <v>3430</v>
      </c>
      <c r="AB176" s="376"/>
      <c r="AC176" s="166" t="s">
        <v>178</v>
      </c>
      <c r="AD176" s="84">
        <v>44364</v>
      </c>
      <c r="AE176" s="83">
        <v>44452</v>
      </c>
      <c r="AF176" s="33">
        <f t="shared" si="71"/>
        <v>88</v>
      </c>
      <c r="AG176" s="41" t="s">
        <v>1121</v>
      </c>
      <c r="AH176" s="212"/>
      <c r="AI176" s="24"/>
    </row>
    <row r="177" spans="1:41" s="248" customFormat="1">
      <c r="A177" s="127" t="s">
        <v>1662</v>
      </c>
      <c r="B177" s="79">
        <v>6</v>
      </c>
      <c r="C177" s="79">
        <v>3</v>
      </c>
      <c r="D177" s="79">
        <v>2</v>
      </c>
      <c r="E177" s="79">
        <v>15</v>
      </c>
      <c r="F177" s="57">
        <v>10.6</v>
      </c>
      <c r="G177" s="80">
        <v>5457</v>
      </c>
      <c r="H177" s="30" t="s">
        <v>1461</v>
      </c>
      <c r="I177" s="166" t="s">
        <v>178</v>
      </c>
      <c r="J177" s="8">
        <f>IFERROR(VLOOKUP($G177,今日總結!$A:$AN,33,0),"")</f>
        <v>6</v>
      </c>
      <c r="K177" s="5">
        <f>IFERROR(VLOOKUP($G177,今日總結!$A:$AN,34,0),"")</f>
        <v>0</v>
      </c>
      <c r="L177" s="156">
        <f>IFERROR(VLOOKUP($G177,今日總結!$A:$AN,31,0),"")</f>
        <v>0</v>
      </c>
      <c r="M177" s="337">
        <f>IFERROR(VLOOKUP($G177,今日總結!$A:$AN,32,0),"")</f>
        <v>1</v>
      </c>
      <c r="N177" s="240">
        <f t="shared" si="68"/>
        <v>-1</v>
      </c>
      <c r="O177" s="359">
        <f>IFERROR(VLOOKUP($G177,融外自投!$A:$J,7,0),"無")</f>
        <v>277</v>
      </c>
      <c r="P177" s="79">
        <f>IFERROR(VLOOKUP($G177,融外自投!$A:$J,9,0),"無")</f>
        <v>584</v>
      </c>
      <c r="Q177" s="342">
        <f>IFERROR(VLOOKUP($G177,融外自投!$A:$J,8,0),"無")</f>
        <v>131</v>
      </c>
      <c r="R177" s="81">
        <f>IFERROR(VLOOKUP($G177,融外自投!$A:$J,10,0),"無")</f>
        <v>170</v>
      </c>
      <c r="S177" s="324">
        <f>IFERROR(VLOOKUP($G177,'321買'!$A:$E,5,0),"'沒有資料'")</f>
        <v>0</v>
      </c>
      <c r="T177" s="185">
        <v>2.1</v>
      </c>
      <c r="U177" s="308"/>
      <c r="V177" s="57">
        <v>4.29</v>
      </c>
      <c r="W177" s="165">
        <v>87.5</v>
      </c>
      <c r="X177" s="65">
        <f>81.9-2.1</f>
        <v>79.800000000000011</v>
      </c>
      <c r="Y177" s="105">
        <f t="shared" si="69"/>
        <v>7.6999999999999886</v>
      </c>
      <c r="Z177" s="158">
        <f t="shared" si="70"/>
        <v>9.6491228070175281E-2</v>
      </c>
      <c r="AA177" s="167" t="s">
        <v>3431</v>
      </c>
      <c r="AB177" s="376"/>
      <c r="AC177" s="166" t="s">
        <v>178</v>
      </c>
      <c r="AD177" s="84">
        <v>44309</v>
      </c>
      <c r="AE177" s="83">
        <v>44452</v>
      </c>
      <c r="AF177" s="33">
        <f t="shared" si="71"/>
        <v>143</v>
      </c>
      <c r="AG177" s="41" t="s">
        <v>1121</v>
      </c>
      <c r="AH177" s="212"/>
      <c r="AI177" s="24"/>
    </row>
    <row r="178" spans="1:41" s="248" customFormat="1">
      <c r="A178" s="127" t="s">
        <v>1662</v>
      </c>
      <c r="B178" s="79">
        <v>6</v>
      </c>
      <c r="C178" s="79">
        <v>3</v>
      </c>
      <c r="D178" s="79">
        <v>2</v>
      </c>
      <c r="E178" s="79">
        <v>15</v>
      </c>
      <c r="F178" s="57">
        <v>10.6</v>
      </c>
      <c r="G178" s="80">
        <v>5457</v>
      </c>
      <c r="H178" s="30" t="s">
        <v>1461</v>
      </c>
      <c r="I178" s="166" t="s">
        <v>178</v>
      </c>
      <c r="J178" s="8">
        <f>IFERROR(VLOOKUP($G178,今日總結!$A:$AN,33,0),"")</f>
        <v>6</v>
      </c>
      <c r="K178" s="5">
        <f>IFERROR(VLOOKUP($G178,今日總結!$A:$AN,34,0),"")</f>
        <v>0</v>
      </c>
      <c r="L178" s="156">
        <f>IFERROR(VLOOKUP($G178,今日總結!$A:$AN,31,0),"")</f>
        <v>0</v>
      </c>
      <c r="M178" s="337">
        <f>IFERROR(VLOOKUP($G178,今日總結!$A:$AN,32,0),"")</f>
        <v>1</v>
      </c>
      <c r="N178" s="240">
        <f t="shared" si="68"/>
        <v>-1</v>
      </c>
      <c r="O178" s="359">
        <f>IFERROR(VLOOKUP($G178,融外自投!$A:$J,7,0),"無")</f>
        <v>277</v>
      </c>
      <c r="P178" s="79">
        <f>IFERROR(VLOOKUP($G178,融外自投!$A:$J,9,0),"無")</f>
        <v>584</v>
      </c>
      <c r="Q178" s="342">
        <f>IFERROR(VLOOKUP($G178,融外自投!$A:$J,8,0),"無")</f>
        <v>131</v>
      </c>
      <c r="R178" s="81">
        <f>IFERROR(VLOOKUP($G178,融外自投!$A:$J,10,0),"無")</f>
        <v>170</v>
      </c>
      <c r="S178" s="324">
        <f>IFERROR(VLOOKUP($G178,'321買'!$A:$E,5,0),"'沒有資料'")</f>
        <v>0</v>
      </c>
      <c r="T178" s="185">
        <v>2.1</v>
      </c>
      <c r="U178" s="308"/>
      <c r="V178" s="57">
        <v>4.29</v>
      </c>
      <c r="W178" s="165">
        <v>87.5</v>
      </c>
      <c r="X178" s="65">
        <f>85.9-2.1</f>
        <v>83.800000000000011</v>
      </c>
      <c r="Y178" s="105">
        <f t="shared" si="69"/>
        <v>3.6999999999999886</v>
      </c>
      <c r="Z178" s="158">
        <f t="shared" si="70"/>
        <v>4.4152744630071454E-2</v>
      </c>
      <c r="AA178" s="167" t="s">
        <v>1913</v>
      </c>
      <c r="AB178" s="376"/>
      <c r="AC178" s="166" t="s">
        <v>178</v>
      </c>
      <c r="AD178" s="84">
        <v>44302</v>
      </c>
      <c r="AE178" s="83">
        <v>44452</v>
      </c>
      <c r="AF178" s="33">
        <f t="shared" si="71"/>
        <v>150</v>
      </c>
      <c r="AG178" s="41" t="s">
        <v>1121</v>
      </c>
      <c r="AH178" s="212"/>
      <c r="AI178" s="24"/>
    </row>
    <row r="179" spans="1:41" s="248" customFormat="1">
      <c r="A179" s="127" t="s">
        <v>2241</v>
      </c>
      <c r="B179" s="79">
        <v>30</v>
      </c>
      <c r="C179" s="79">
        <v>29</v>
      </c>
      <c r="D179" s="79">
        <v>3</v>
      </c>
      <c r="E179" s="79">
        <v>45</v>
      </c>
      <c r="F179" s="57">
        <v>22.5</v>
      </c>
      <c r="G179" s="79">
        <v>6147</v>
      </c>
      <c r="H179" s="30" t="s">
        <v>1461</v>
      </c>
      <c r="I179" s="166" t="s">
        <v>40</v>
      </c>
      <c r="J179" s="8">
        <f>IFERROR(VLOOKUP($G179,今日總結!$A:$AN,33,0),"")</f>
        <v>0</v>
      </c>
      <c r="K179" s="5">
        <f>IFERROR(VLOOKUP($G179,今日總結!$A:$AN,34,0),"")</f>
        <v>0</v>
      </c>
      <c r="L179" s="156">
        <f>IFERROR(VLOOKUP($G179,今日總結!$A:$AN,31,0),"")</f>
        <v>1</v>
      </c>
      <c r="M179" s="337">
        <f>IFERROR(VLOOKUP($G179,今日總結!$A:$AN,32,0),"")</f>
        <v>0</v>
      </c>
      <c r="N179" s="240">
        <f t="shared" si="68"/>
        <v>1</v>
      </c>
      <c r="O179" s="359">
        <f>IFERROR(VLOOKUP($G179,融外自投!$A:$J,7,0),"無")</f>
        <v>812</v>
      </c>
      <c r="P179" s="79">
        <f>IFERROR(VLOOKUP($G179,融外自投!$A:$J,9,0),"無")</f>
        <v>294</v>
      </c>
      <c r="Q179" s="342">
        <f>IFERROR(VLOOKUP($G179,融外自投!$A:$J,8,0),"無")</f>
        <v>242</v>
      </c>
      <c r="R179" s="81">
        <f>IFERROR(VLOOKUP($G179,融外自投!$A:$J,10,0),"無")</f>
        <v>90</v>
      </c>
      <c r="S179" s="324">
        <f>IFERROR(VLOOKUP($G179,'321買'!$A:$E,5,0),"'沒有資料'")</f>
        <v>0</v>
      </c>
      <c r="T179" s="65">
        <v>3.8</v>
      </c>
      <c r="U179" s="308"/>
      <c r="V179" s="57">
        <v>6.01</v>
      </c>
      <c r="W179" s="165">
        <v>85.5</v>
      </c>
      <c r="X179" s="65">
        <f>75.7-3.8</f>
        <v>71.900000000000006</v>
      </c>
      <c r="Y179" s="105">
        <f t="shared" si="69"/>
        <v>13.599999999999994</v>
      </c>
      <c r="Z179" s="158">
        <f t="shared" si="70"/>
        <v>0.18915159944367166</v>
      </c>
      <c r="AA179" s="167" t="s">
        <v>3432</v>
      </c>
      <c r="AB179" s="376"/>
      <c r="AC179" s="166" t="s">
        <v>40</v>
      </c>
      <c r="AD179" s="84">
        <v>44309</v>
      </c>
      <c r="AE179" s="83">
        <v>44445</v>
      </c>
      <c r="AF179" s="33">
        <f t="shared" si="71"/>
        <v>136</v>
      </c>
      <c r="AG179" s="41" t="s">
        <v>1121</v>
      </c>
      <c r="AH179" s="180"/>
      <c r="AI179" s="179"/>
    </row>
    <row r="180" spans="1:41" s="248" customFormat="1">
      <c r="A180" s="127" t="s">
        <v>2241</v>
      </c>
      <c r="B180" s="79">
        <v>30</v>
      </c>
      <c r="C180" s="79">
        <v>29</v>
      </c>
      <c r="D180" s="79">
        <v>3</v>
      </c>
      <c r="E180" s="79">
        <v>45</v>
      </c>
      <c r="F180" s="57">
        <v>22.5</v>
      </c>
      <c r="G180" s="79">
        <v>6147</v>
      </c>
      <c r="H180" s="30" t="s">
        <v>1461</v>
      </c>
      <c r="I180" s="166" t="s">
        <v>40</v>
      </c>
      <c r="J180" s="8">
        <f>IFERROR(VLOOKUP($G180,今日總結!$A:$AN,33,0),"")</f>
        <v>0</v>
      </c>
      <c r="K180" s="5">
        <f>IFERROR(VLOOKUP($G180,今日總結!$A:$AN,34,0),"")</f>
        <v>0</v>
      </c>
      <c r="L180" s="156">
        <f>IFERROR(VLOOKUP($G180,今日總結!$A:$AN,31,0),"")</f>
        <v>1</v>
      </c>
      <c r="M180" s="337">
        <f>IFERROR(VLOOKUP($G180,今日總結!$A:$AN,32,0),"")</f>
        <v>0</v>
      </c>
      <c r="N180" s="240">
        <f t="shared" si="68"/>
        <v>1</v>
      </c>
      <c r="O180" s="359">
        <f>IFERROR(VLOOKUP($G180,融外自投!$A:$J,7,0),"無")</f>
        <v>812</v>
      </c>
      <c r="P180" s="79">
        <f>IFERROR(VLOOKUP($G180,融外自投!$A:$J,9,0),"無")</f>
        <v>294</v>
      </c>
      <c r="Q180" s="342">
        <f>IFERROR(VLOOKUP($G180,融外自投!$A:$J,8,0),"無")</f>
        <v>242</v>
      </c>
      <c r="R180" s="81">
        <f>IFERROR(VLOOKUP($G180,融外自投!$A:$J,10,0),"無")</f>
        <v>90</v>
      </c>
      <c r="S180" s="324">
        <f>IFERROR(VLOOKUP($G180,'321買'!$A:$E,5,0),"'沒有資料'")</f>
        <v>0</v>
      </c>
      <c r="T180" s="65">
        <v>3.8</v>
      </c>
      <c r="U180" s="308"/>
      <c r="V180" s="57">
        <v>6.01</v>
      </c>
      <c r="W180" s="165">
        <v>85.5</v>
      </c>
      <c r="X180" s="65">
        <f>75.3-3.8</f>
        <v>71.5</v>
      </c>
      <c r="Y180" s="105">
        <f t="shared" si="69"/>
        <v>14</v>
      </c>
      <c r="Z180" s="158">
        <f t="shared" si="70"/>
        <v>0.19580419580419581</v>
      </c>
      <c r="AA180" s="167" t="s">
        <v>3433</v>
      </c>
      <c r="AB180" s="376"/>
      <c r="AC180" s="166" t="s">
        <v>40</v>
      </c>
      <c r="AD180" s="84">
        <v>44299</v>
      </c>
      <c r="AE180" s="83">
        <v>44445</v>
      </c>
      <c r="AF180" s="33">
        <f t="shared" si="71"/>
        <v>146</v>
      </c>
      <c r="AG180" s="41" t="s">
        <v>1121</v>
      </c>
      <c r="AH180" s="180"/>
      <c r="AI180" s="179"/>
    </row>
    <row r="181" spans="1:41" s="248" customFormat="1">
      <c r="A181" s="127" t="s">
        <v>2241</v>
      </c>
      <c r="B181" s="79">
        <v>30</v>
      </c>
      <c r="C181" s="79">
        <v>29</v>
      </c>
      <c r="D181" s="79">
        <v>3</v>
      </c>
      <c r="E181" s="79">
        <v>45</v>
      </c>
      <c r="F181" s="57">
        <v>22.5</v>
      </c>
      <c r="G181" s="79">
        <v>6147</v>
      </c>
      <c r="H181" s="30" t="s">
        <v>1461</v>
      </c>
      <c r="I181" s="166" t="s">
        <v>40</v>
      </c>
      <c r="J181" s="8">
        <f>IFERROR(VLOOKUP($G181,今日總結!$A:$AN,33,0),"")</f>
        <v>0</v>
      </c>
      <c r="K181" s="5">
        <f>IFERROR(VLOOKUP($G181,今日總結!$A:$AN,34,0),"")</f>
        <v>0</v>
      </c>
      <c r="L181" s="156">
        <f>IFERROR(VLOOKUP($G181,今日總結!$A:$AN,31,0),"")</f>
        <v>1</v>
      </c>
      <c r="M181" s="337">
        <f>IFERROR(VLOOKUP($G181,今日總結!$A:$AN,32,0),"")</f>
        <v>0</v>
      </c>
      <c r="N181" s="240">
        <f t="shared" ref="N181" si="72">IFERROR(L181-M181,"")</f>
        <v>1</v>
      </c>
      <c r="O181" s="359">
        <f>IFERROR(VLOOKUP($G181,融外自投!$A:$J,7,0),"無")</f>
        <v>812</v>
      </c>
      <c r="P181" s="79">
        <f>IFERROR(VLOOKUP($G181,融外自投!$A:$J,9,0),"無")</f>
        <v>294</v>
      </c>
      <c r="Q181" s="342">
        <f>IFERROR(VLOOKUP($G181,融外自投!$A:$J,8,0),"無")</f>
        <v>242</v>
      </c>
      <c r="R181" s="81">
        <f>IFERROR(VLOOKUP($G181,融外自投!$A:$J,10,0),"無")</f>
        <v>90</v>
      </c>
      <c r="S181" s="324">
        <f>IFERROR(VLOOKUP($G181,'321買'!$A:$E,5,0),"'沒有資料'")</f>
        <v>0</v>
      </c>
      <c r="T181" s="65">
        <v>3.8</v>
      </c>
      <c r="U181" s="308"/>
      <c r="V181" s="57">
        <v>6.01</v>
      </c>
      <c r="W181" s="165">
        <v>85.5</v>
      </c>
      <c r="X181" s="65">
        <f>78-3.8</f>
        <v>74.2</v>
      </c>
      <c r="Y181" s="105">
        <f t="shared" si="69"/>
        <v>11.299999999999997</v>
      </c>
      <c r="Z181" s="158">
        <f t="shared" si="70"/>
        <v>0.15229110512129376</v>
      </c>
      <c r="AA181" s="167" t="s">
        <v>3434</v>
      </c>
      <c r="AB181" s="376"/>
      <c r="AC181" s="166" t="s">
        <v>40</v>
      </c>
      <c r="AD181" s="84">
        <v>44294</v>
      </c>
      <c r="AE181" s="83">
        <v>44445</v>
      </c>
      <c r="AF181" s="33">
        <f t="shared" si="71"/>
        <v>151</v>
      </c>
      <c r="AG181" s="41" t="s">
        <v>1121</v>
      </c>
      <c r="AH181" s="180"/>
      <c r="AI181" s="179"/>
    </row>
    <row r="182" spans="1:41" s="248" customFormat="1">
      <c r="A182" s="141"/>
      <c r="B182" s="79"/>
      <c r="C182" s="79"/>
      <c r="D182" s="79"/>
      <c r="E182" s="79"/>
      <c r="F182" s="6"/>
      <c r="G182" s="41"/>
      <c r="H182" s="8"/>
      <c r="I182" s="153"/>
      <c r="J182" s="1"/>
      <c r="K182" s="1"/>
      <c r="L182" s="123"/>
      <c r="M182" s="234"/>
      <c r="N182" s="338"/>
      <c r="O182" s="359"/>
      <c r="P182" s="47"/>
      <c r="Q182" s="342"/>
      <c r="R182" s="300"/>
      <c r="S182" s="319"/>
      <c r="T182" s="185"/>
      <c r="U182" s="308"/>
      <c r="V182" s="94"/>
      <c r="W182" s="165">
        <f>SUM(W175:W181)</f>
        <v>606.5</v>
      </c>
      <c r="X182" s="155">
        <f>SUM(X175:X181)</f>
        <v>527.6</v>
      </c>
      <c r="Y182" s="162">
        <f t="shared" si="69"/>
        <v>78.899999999999977</v>
      </c>
      <c r="Z182" s="158">
        <f t="shared" si="70"/>
        <v>0.14954510993176645</v>
      </c>
      <c r="AA182" s="113"/>
      <c r="AB182" s="376"/>
      <c r="AC182" s="153">
        <f>W182*(0.001425*0.5)+W182*0.003+X182*(0.001425*0.5)</f>
        <v>2.62754625</v>
      </c>
      <c r="AD182" s="6">
        <f>Y182-AC182</f>
        <v>76.272453749999983</v>
      </c>
      <c r="AE182" s="83"/>
      <c r="AF182" s="33"/>
      <c r="AG182" s="41"/>
      <c r="AH182" s="163"/>
      <c r="AI182" s="241"/>
    </row>
    <row r="183" spans="1:41" s="248" customFormat="1">
      <c r="A183" s="141"/>
      <c r="B183" s="79"/>
      <c r="C183" s="80"/>
      <c r="D183" s="79"/>
      <c r="E183" s="80"/>
      <c r="F183" s="6"/>
      <c r="G183" s="41"/>
      <c r="H183" s="50"/>
      <c r="I183" s="166"/>
      <c r="J183" s="1"/>
      <c r="K183" s="1"/>
      <c r="L183" s="123"/>
      <c r="M183" s="234"/>
      <c r="N183" s="338"/>
      <c r="O183" s="359"/>
      <c r="P183" s="47"/>
      <c r="Q183" s="342"/>
      <c r="R183" s="300"/>
      <c r="S183" s="319"/>
      <c r="T183" s="185"/>
      <c r="U183" s="308"/>
      <c r="V183" s="94"/>
      <c r="W183" s="165"/>
      <c r="X183" s="155"/>
      <c r="Y183" s="162"/>
      <c r="Z183" s="164"/>
      <c r="AA183" s="113"/>
      <c r="AB183" s="376"/>
      <c r="AC183" s="153"/>
      <c r="AD183" s="6"/>
      <c r="AE183" s="83"/>
      <c r="AF183" s="33"/>
      <c r="AG183" s="127"/>
      <c r="AH183" s="163"/>
    </row>
    <row r="184" spans="1:41" s="255" customFormat="1">
      <c r="A184" s="127" t="s">
        <v>1672</v>
      </c>
      <c r="B184" s="90" t="s">
        <v>1571</v>
      </c>
      <c r="C184" s="90" t="s">
        <v>1572</v>
      </c>
      <c r="D184" s="90" t="s">
        <v>1573</v>
      </c>
      <c r="E184" s="90" t="s">
        <v>1574</v>
      </c>
      <c r="F184" s="8" t="s">
        <v>1059</v>
      </c>
      <c r="G184" s="26" t="s">
        <v>3441</v>
      </c>
      <c r="H184" s="55" t="s">
        <v>320</v>
      </c>
      <c r="I184" s="1" t="s">
        <v>2248</v>
      </c>
      <c r="J184" s="8" t="s">
        <v>6211</v>
      </c>
      <c r="K184" s="5" t="s">
        <v>6212</v>
      </c>
      <c r="L184" s="334" t="s">
        <v>6197</v>
      </c>
      <c r="M184" s="335" t="s">
        <v>6198</v>
      </c>
      <c r="N184" s="336" t="s">
        <v>6199</v>
      </c>
      <c r="O184" s="89" t="s">
        <v>6275</v>
      </c>
      <c r="P184" s="292" t="s">
        <v>6274</v>
      </c>
      <c r="Q184" s="350" t="s">
        <v>6273</v>
      </c>
      <c r="R184" s="26" t="s">
        <v>6276</v>
      </c>
      <c r="S184" s="318" t="s">
        <v>4715</v>
      </c>
      <c r="T184" s="14" t="s">
        <v>66</v>
      </c>
      <c r="U184" s="305" t="s">
        <v>4728</v>
      </c>
      <c r="V184" s="68" t="s">
        <v>3272</v>
      </c>
      <c r="W184" s="28" t="s">
        <v>2</v>
      </c>
      <c r="X184" s="17" t="s">
        <v>1398</v>
      </c>
      <c r="Y184" s="14" t="s">
        <v>2249</v>
      </c>
      <c r="Z184" s="21" t="s">
        <v>1469</v>
      </c>
      <c r="AA184" s="51" t="s">
        <v>6166</v>
      </c>
      <c r="AB184" s="102" t="s">
        <v>6404</v>
      </c>
      <c r="AC184" s="1" t="s">
        <v>2248</v>
      </c>
      <c r="AD184" s="71" t="s">
        <v>1399</v>
      </c>
      <c r="AE184" s="72" t="s">
        <v>1156</v>
      </c>
      <c r="AF184" s="32" t="s">
        <v>1157</v>
      </c>
      <c r="AG184" s="46" t="s">
        <v>3362</v>
      </c>
      <c r="AH184" s="163"/>
    </row>
    <row r="185" spans="1:41">
      <c r="A185" s="127" t="s">
        <v>1675</v>
      </c>
      <c r="B185" s="79">
        <v>86</v>
      </c>
      <c r="C185" s="79">
        <v>124</v>
      </c>
      <c r="D185" s="80">
        <v>-5</v>
      </c>
      <c r="E185" s="79">
        <v>7</v>
      </c>
      <c r="F185" s="57">
        <v>25.67</v>
      </c>
      <c r="G185" s="79">
        <v>5471</v>
      </c>
      <c r="H185" s="30" t="s">
        <v>1461</v>
      </c>
      <c r="I185" s="22" t="s">
        <v>352</v>
      </c>
      <c r="J185" s="8">
        <f>IFERROR(VLOOKUP($G185,今日總結!$A:$AN,33,0),"")</f>
        <v>0</v>
      </c>
      <c r="K185" s="5">
        <f>IFERROR(VLOOKUP($G185,今日總結!$A:$AN,34,0),"")</f>
        <v>0</v>
      </c>
      <c r="L185" s="156">
        <f>IFERROR(VLOOKUP($G185,今日總結!$A:$AN,31,0),"")</f>
        <v>1</v>
      </c>
      <c r="M185" s="337">
        <f>IFERROR(VLOOKUP($G185,今日總結!$A:$AN,32,0),"")</f>
        <v>0</v>
      </c>
      <c r="N185" s="240">
        <f t="shared" ref="N185" si="73">IFERROR(L185-M185,"")</f>
        <v>1</v>
      </c>
      <c r="O185" s="359">
        <f>IFERROR(VLOOKUP($G185,融外自投!$A:$J,7,0),"無")</f>
        <v>353</v>
      </c>
      <c r="P185" s="79">
        <f>IFERROR(VLOOKUP($G185,融外自投!$A:$J,9,0),"無")</f>
        <v>908</v>
      </c>
      <c r="Q185" s="342">
        <f>IFERROR(VLOOKUP($G185,融外自投!$A:$J,8,0),"無")</f>
        <v>425</v>
      </c>
      <c r="R185" s="81">
        <f>IFERROR(VLOOKUP($G185,融外自投!$A:$J,10,0),"無")</f>
        <v>389</v>
      </c>
      <c r="S185" s="324">
        <f>IFERROR(VLOOKUP($G185,'321買'!$A:$E,5,0),"'沒有資料'")</f>
        <v>0</v>
      </c>
      <c r="T185" s="66">
        <v>5.7</v>
      </c>
      <c r="V185" s="94">
        <v>6.85</v>
      </c>
      <c r="W185" s="36">
        <v>117</v>
      </c>
      <c r="X185" s="66">
        <v>95.3</v>
      </c>
      <c r="Y185" s="15">
        <f t="shared" ref="Y185:Y191" si="74">W185-X185</f>
        <v>21.700000000000003</v>
      </c>
      <c r="Z185" s="63">
        <f t="shared" ref="Z185:Z191" si="75">Y185/X185</f>
        <v>0.22770199370409239</v>
      </c>
      <c r="AA185" s="99" t="s">
        <v>3386</v>
      </c>
      <c r="AC185" s="22" t="s">
        <v>352</v>
      </c>
      <c r="AD185" s="84">
        <v>44364</v>
      </c>
      <c r="AE185" s="83">
        <v>44398</v>
      </c>
      <c r="AF185" s="33">
        <f t="shared" ref="AF185:AF190" si="76">AE185-AD185</f>
        <v>34</v>
      </c>
      <c r="AG185" s="41" t="s">
        <v>1121</v>
      </c>
      <c r="AH185" s="221"/>
      <c r="AI185" s="243"/>
    </row>
    <row r="186" spans="1:41" s="248" customFormat="1" ht="15.75" customHeight="1">
      <c r="A186" s="142" t="s">
        <v>2068</v>
      </c>
      <c r="B186" s="80">
        <v>-19</v>
      </c>
      <c r="C186" s="80">
        <v>-15</v>
      </c>
      <c r="D186" s="79">
        <v>1</v>
      </c>
      <c r="E186" s="79">
        <v>2</v>
      </c>
      <c r="F186" s="6">
        <v>9.98</v>
      </c>
      <c r="G186" s="80">
        <v>6274</v>
      </c>
      <c r="H186" s="30" t="s">
        <v>1461</v>
      </c>
      <c r="I186" s="166" t="s">
        <v>3108</v>
      </c>
      <c r="J186" s="8">
        <f>IFERROR(VLOOKUP($G186,今日總結!$A:$AN,33,0),"")</f>
        <v>0</v>
      </c>
      <c r="K186" s="5">
        <f>IFERROR(VLOOKUP($G186,今日總結!$A:$AN,34,0),"")</f>
        <v>0</v>
      </c>
      <c r="L186" s="156">
        <f>IFERROR(VLOOKUP($G186,今日總結!$A:$AN,31,0),"")</f>
        <v>2</v>
      </c>
      <c r="M186" s="337">
        <f>IFERROR(VLOOKUP($G186,今日總結!$A:$AN,32,0),"")</f>
        <v>0</v>
      </c>
      <c r="N186" s="240">
        <f t="shared" ref="N186:N190" si="77">IFERROR(L186-M186,"")</f>
        <v>2</v>
      </c>
      <c r="O186" s="359">
        <f>IFERROR(VLOOKUP($G186,融外自投!$A:$J,7,0),"無")</f>
        <v>791</v>
      </c>
      <c r="P186" s="79">
        <f>IFERROR(VLOOKUP($G186,融外自投!$A:$J,9,0),"無")</f>
        <v>348</v>
      </c>
      <c r="Q186" s="342">
        <f>IFERROR(VLOOKUP($G186,融外自投!$A:$J,8,0),"無")</f>
        <v>139</v>
      </c>
      <c r="R186" s="81">
        <f>IFERROR(VLOOKUP($G186,融外自投!$A:$J,10,0),"無")</f>
        <v>150</v>
      </c>
      <c r="S186" s="324">
        <f>IFERROR(VLOOKUP($G186,'321買'!$A:$E,5,0),"'沒有資料'")</f>
        <v>0</v>
      </c>
      <c r="T186" s="65">
        <v>4.8</v>
      </c>
      <c r="U186" s="308"/>
      <c r="V186" s="57">
        <v>6.36</v>
      </c>
      <c r="W186" s="165">
        <v>118.5</v>
      </c>
      <c r="X186" s="65">
        <v>102.5</v>
      </c>
      <c r="Y186" s="162">
        <f t="shared" si="74"/>
        <v>16</v>
      </c>
      <c r="Z186" s="158">
        <f t="shared" si="75"/>
        <v>0.15609756097560976</v>
      </c>
      <c r="AA186" s="167" t="s">
        <v>3371</v>
      </c>
      <c r="AB186" s="376"/>
      <c r="AC186" s="166" t="s">
        <v>3108</v>
      </c>
      <c r="AD186" s="84">
        <v>44348</v>
      </c>
      <c r="AE186" s="83">
        <v>44386</v>
      </c>
      <c r="AF186" s="33">
        <f t="shared" si="76"/>
        <v>38</v>
      </c>
      <c r="AG186" s="41" t="s">
        <v>1121</v>
      </c>
      <c r="AH186" s="212"/>
      <c r="AI186" s="213"/>
    </row>
    <row r="187" spans="1:41" s="248" customFormat="1" ht="15.75" customHeight="1">
      <c r="A187" s="142" t="s">
        <v>2068</v>
      </c>
      <c r="B187" s="80">
        <v>-19</v>
      </c>
      <c r="C187" s="80">
        <v>-15</v>
      </c>
      <c r="D187" s="79">
        <v>1</v>
      </c>
      <c r="E187" s="79">
        <v>2</v>
      </c>
      <c r="F187" s="6">
        <v>9.98</v>
      </c>
      <c r="G187" s="80">
        <v>6274</v>
      </c>
      <c r="H187" s="30" t="s">
        <v>1461</v>
      </c>
      <c r="I187" s="166" t="s">
        <v>3108</v>
      </c>
      <c r="J187" s="8">
        <f>IFERROR(VLOOKUP($G187,今日總結!$A:$AN,33,0),"")</f>
        <v>0</v>
      </c>
      <c r="K187" s="5">
        <f>IFERROR(VLOOKUP($G187,今日總結!$A:$AN,34,0),"")</f>
        <v>0</v>
      </c>
      <c r="L187" s="156">
        <f>IFERROR(VLOOKUP($G187,今日總結!$A:$AN,31,0),"")</f>
        <v>2</v>
      </c>
      <c r="M187" s="337">
        <f>IFERROR(VLOOKUP($G187,今日總結!$A:$AN,32,0),"")</f>
        <v>0</v>
      </c>
      <c r="N187" s="240">
        <f t="shared" si="77"/>
        <v>2</v>
      </c>
      <c r="O187" s="359">
        <f>IFERROR(VLOOKUP($G187,融外自投!$A:$J,7,0),"無")</f>
        <v>791</v>
      </c>
      <c r="P187" s="79">
        <f>IFERROR(VLOOKUP($G187,融外自投!$A:$J,9,0),"無")</f>
        <v>348</v>
      </c>
      <c r="Q187" s="342">
        <f>IFERROR(VLOOKUP($G187,融外自投!$A:$J,8,0),"無")</f>
        <v>139</v>
      </c>
      <c r="R187" s="81">
        <f>IFERROR(VLOOKUP($G187,融外自投!$A:$J,10,0),"無")</f>
        <v>150</v>
      </c>
      <c r="S187" s="324">
        <f>IFERROR(VLOOKUP($G187,'321買'!$A:$E,5,0),"'沒有資料'")</f>
        <v>0</v>
      </c>
      <c r="T187" s="65">
        <v>4.8</v>
      </c>
      <c r="U187" s="308"/>
      <c r="V187" s="57">
        <v>6.36</v>
      </c>
      <c r="W187" s="165">
        <v>118.5</v>
      </c>
      <c r="X187" s="65">
        <v>120.5</v>
      </c>
      <c r="Y187" s="162">
        <f t="shared" si="74"/>
        <v>-2</v>
      </c>
      <c r="Z187" s="164">
        <f t="shared" si="75"/>
        <v>-1.6597510373443983E-2</v>
      </c>
      <c r="AA187" s="168" t="s">
        <v>3319</v>
      </c>
      <c r="AB187" s="376"/>
      <c r="AC187" s="166" t="s">
        <v>3108</v>
      </c>
      <c r="AD187" s="84">
        <v>44309</v>
      </c>
      <c r="AE187" s="83">
        <v>44386</v>
      </c>
      <c r="AF187" s="33">
        <f t="shared" si="76"/>
        <v>77</v>
      </c>
      <c r="AG187" s="41" t="s">
        <v>1121</v>
      </c>
      <c r="AH187" s="212"/>
      <c r="AI187" s="213"/>
    </row>
    <row r="188" spans="1:41">
      <c r="A188" s="142" t="s">
        <v>1973</v>
      </c>
      <c r="B188" s="79">
        <v>171</v>
      </c>
      <c r="C188" s="79">
        <v>391</v>
      </c>
      <c r="D188" s="79">
        <v>0</v>
      </c>
      <c r="E188" s="79">
        <v>41</v>
      </c>
      <c r="F188" s="6">
        <v>9.7100000000000009</v>
      </c>
      <c r="G188" s="79">
        <v>6284</v>
      </c>
      <c r="H188" s="30" t="s">
        <v>1461</v>
      </c>
      <c r="I188" s="16" t="s">
        <v>287</v>
      </c>
      <c r="J188" s="8">
        <f>IFERROR(VLOOKUP($G188,今日總結!$A:$AN,33,0),"")</f>
        <v>0</v>
      </c>
      <c r="K188" s="5">
        <f>IFERROR(VLOOKUP($G188,今日總結!$A:$AN,34,0),"")</f>
        <v>0</v>
      </c>
      <c r="L188" s="156">
        <f>IFERROR(VLOOKUP($G188,今日總結!$A:$AN,31,0),"")</f>
        <v>1</v>
      </c>
      <c r="M188" s="337">
        <f>IFERROR(VLOOKUP($G188,今日總結!$A:$AN,32,0),"")</f>
        <v>0</v>
      </c>
      <c r="N188" s="240">
        <f t="shared" si="77"/>
        <v>1</v>
      </c>
      <c r="O188" s="359">
        <f>IFERROR(VLOOKUP($G188,融外自投!$A:$J,7,0),"無")</f>
        <v>346</v>
      </c>
      <c r="P188" s="79">
        <f>IFERROR(VLOOKUP($G188,融外自投!$A:$J,9,0),"無")</f>
        <v>515</v>
      </c>
      <c r="Q188" s="342">
        <f>IFERROR(VLOOKUP($G188,融外自投!$A:$J,8,0),"無")</f>
        <v>1237</v>
      </c>
      <c r="R188" s="81">
        <f>IFERROR(VLOOKUP($G188,融外自投!$A:$J,10,0),"無")</f>
        <v>318</v>
      </c>
      <c r="S188" s="324">
        <f>IFERROR(VLOOKUP($G188,'321買'!$A:$E,5,0),"'沒有資料'")</f>
        <v>0</v>
      </c>
      <c r="T188" s="34">
        <v>1</v>
      </c>
      <c r="V188" s="94">
        <v>3.17</v>
      </c>
      <c r="W188" s="36">
        <v>72</v>
      </c>
      <c r="X188" s="66">
        <v>61.7</v>
      </c>
      <c r="Y188" s="15">
        <f t="shared" si="74"/>
        <v>10.299999999999997</v>
      </c>
      <c r="Z188" s="63">
        <f t="shared" si="75"/>
        <v>0.16693679092382491</v>
      </c>
      <c r="AA188" s="101" t="s">
        <v>3368</v>
      </c>
      <c r="AC188" s="16" t="s">
        <v>287</v>
      </c>
      <c r="AD188" s="84">
        <v>44357</v>
      </c>
      <c r="AE188" s="83">
        <v>44384</v>
      </c>
      <c r="AF188" s="33">
        <f t="shared" si="76"/>
        <v>27</v>
      </c>
      <c r="AG188" s="41" t="s">
        <v>1121</v>
      </c>
      <c r="AH188" s="221"/>
      <c r="AI188" s="243"/>
      <c r="AJ188" s="41"/>
      <c r="AK188" s="16"/>
      <c r="AL188" s="206"/>
      <c r="AM188" s="239"/>
      <c r="AN188" s="249"/>
      <c r="AO188" s="251"/>
    </row>
    <row r="189" spans="1:41">
      <c r="A189" s="127" t="s">
        <v>1962</v>
      </c>
      <c r="B189" s="79">
        <v>237</v>
      </c>
      <c r="C189" s="79">
        <v>275</v>
      </c>
      <c r="D189" s="80">
        <v>-2</v>
      </c>
      <c r="E189" s="79">
        <v>60</v>
      </c>
      <c r="F189" s="57">
        <v>13</v>
      </c>
      <c r="G189" s="79">
        <v>1309</v>
      </c>
      <c r="H189" s="30" t="s">
        <v>1461</v>
      </c>
      <c r="I189" s="22" t="s">
        <v>315</v>
      </c>
      <c r="J189" s="8">
        <f>IFERROR(VLOOKUP($G189,今日總結!$A:$AN,33,0),"")</f>
        <v>0</v>
      </c>
      <c r="K189" s="5">
        <f>IFERROR(VLOOKUP($G189,今日總結!$A:$AN,34,0),"")</f>
        <v>0</v>
      </c>
      <c r="L189" s="156">
        <f>IFERROR(VLOOKUP($G189,今日總結!$A:$AN,31,0),"")</f>
        <v>7</v>
      </c>
      <c r="M189" s="337">
        <f>IFERROR(VLOOKUP($G189,今日總結!$A:$AN,32,0),"")</f>
        <v>0</v>
      </c>
      <c r="N189" s="240">
        <f t="shared" si="77"/>
        <v>7</v>
      </c>
      <c r="O189" s="359">
        <f>IFERROR(VLOOKUP($G189,融外自投!$A:$J,7,0),"無")</f>
        <v>838</v>
      </c>
      <c r="P189" s="79">
        <f>IFERROR(VLOOKUP($G189,融外自投!$A:$J,9,0),"無")</f>
        <v>433</v>
      </c>
      <c r="Q189" s="342">
        <f>IFERROR(VLOOKUP($G189,融外自投!$A:$J,8,0),"無")</f>
        <v>947</v>
      </c>
      <c r="R189" s="81">
        <f>IFERROR(VLOOKUP($G189,融外自投!$A:$J,10,0),"無")</f>
        <v>495</v>
      </c>
      <c r="S189" s="324">
        <f>IFERROR(VLOOKUP($G189,'321買'!$A:$E,5,0),"'沒有資料'")</f>
        <v>0</v>
      </c>
      <c r="T189" s="66">
        <v>3</v>
      </c>
      <c r="V189" s="94">
        <v>6.58</v>
      </c>
      <c r="W189" s="36">
        <v>51.3</v>
      </c>
      <c r="X189" s="66">
        <v>44.05</v>
      </c>
      <c r="Y189" s="15">
        <f t="shared" si="74"/>
        <v>7.25</v>
      </c>
      <c r="Z189" s="63">
        <f t="shared" si="75"/>
        <v>0.1645856980703746</v>
      </c>
      <c r="AA189" s="99" t="s">
        <v>3369</v>
      </c>
      <c r="AC189" s="22" t="s">
        <v>315</v>
      </c>
      <c r="AD189" s="84">
        <v>44351</v>
      </c>
      <c r="AE189" s="83">
        <v>44379</v>
      </c>
      <c r="AF189" s="33">
        <f t="shared" si="76"/>
        <v>28</v>
      </c>
      <c r="AG189" s="41" t="s">
        <v>1121</v>
      </c>
      <c r="AH189" s="221"/>
      <c r="AI189" s="213"/>
    </row>
    <row r="190" spans="1:41">
      <c r="A190" s="127" t="s">
        <v>1962</v>
      </c>
      <c r="B190" s="79">
        <v>237</v>
      </c>
      <c r="C190" s="79">
        <v>275</v>
      </c>
      <c r="D190" s="80">
        <v>-2</v>
      </c>
      <c r="E190" s="79">
        <v>60</v>
      </c>
      <c r="F190" s="57">
        <v>13</v>
      </c>
      <c r="G190" s="79">
        <v>1309</v>
      </c>
      <c r="H190" s="30" t="s">
        <v>1461</v>
      </c>
      <c r="I190" s="22" t="s">
        <v>315</v>
      </c>
      <c r="J190" s="8">
        <f>IFERROR(VLOOKUP($G190,今日總結!$A:$AN,33,0),"")</f>
        <v>0</v>
      </c>
      <c r="K190" s="5">
        <f>IFERROR(VLOOKUP($G190,今日總結!$A:$AN,34,0),"")</f>
        <v>0</v>
      </c>
      <c r="L190" s="156">
        <f>IFERROR(VLOOKUP($G190,今日總結!$A:$AN,31,0),"")</f>
        <v>7</v>
      </c>
      <c r="M190" s="337">
        <f>IFERROR(VLOOKUP($G190,今日總結!$A:$AN,32,0),"")</f>
        <v>0</v>
      </c>
      <c r="N190" s="240">
        <f t="shared" si="77"/>
        <v>7</v>
      </c>
      <c r="O190" s="359">
        <f>IFERROR(VLOOKUP($G190,融外自投!$A:$J,7,0),"無")</f>
        <v>838</v>
      </c>
      <c r="P190" s="79">
        <f>IFERROR(VLOOKUP($G190,融外自投!$A:$J,9,0),"無")</f>
        <v>433</v>
      </c>
      <c r="Q190" s="342">
        <f>IFERROR(VLOOKUP($G190,融外自投!$A:$J,8,0),"無")</f>
        <v>947</v>
      </c>
      <c r="R190" s="81">
        <f>IFERROR(VLOOKUP($G190,融外自投!$A:$J,10,0),"無")</f>
        <v>495</v>
      </c>
      <c r="S190" s="324">
        <f>IFERROR(VLOOKUP($G190,'321買'!$A:$E,5,0),"'沒有資料'")</f>
        <v>0</v>
      </c>
      <c r="T190" s="66">
        <v>3</v>
      </c>
      <c r="V190" s="94">
        <v>6.58</v>
      </c>
      <c r="W190" s="36">
        <v>51.3</v>
      </c>
      <c r="X190" s="66">
        <v>40.1</v>
      </c>
      <c r="Y190" s="15">
        <f t="shared" si="74"/>
        <v>11.199999999999996</v>
      </c>
      <c r="Z190" s="63">
        <f t="shared" si="75"/>
        <v>0.27930174563591009</v>
      </c>
      <c r="AA190" s="99" t="s">
        <v>3370</v>
      </c>
      <c r="AC190" s="22" t="s">
        <v>315</v>
      </c>
      <c r="AD190" s="84">
        <v>44343</v>
      </c>
      <c r="AE190" s="83">
        <v>44379</v>
      </c>
      <c r="AF190" s="33">
        <f t="shared" si="76"/>
        <v>36</v>
      </c>
      <c r="AG190" s="41" t="s">
        <v>1121</v>
      </c>
      <c r="AH190" s="221"/>
      <c r="AI190" s="213"/>
    </row>
    <row r="191" spans="1:41" s="248" customFormat="1">
      <c r="A191" s="141"/>
      <c r="B191" s="79"/>
      <c r="C191" s="79"/>
      <c r="D191" s="79"/>
      <c r="E191" s="79"/>
      <c r="F191" s="6"/>
      <c r="G191" s="41"/>
      <c r="H191" s="8"/>
      <c r="I191" s="153"/>
      <c r="J191" s="1"/>
      <c r="K191" s="1"/>
      <c r="L191" s="245"/>
      <c r="M191" s="234"/>
      <c r="N191" s="338"/>
      <c r="O191" s="359"/>
      <c r="P191" s="47"/>
      <c r="Q191" s="342"/>
      <c r="R191" s="81"/>
      <c r="S191" s="324"/>
      <c r="T191" s="185"/>
      <c r="U191" s="308"/>
      <c r="V191" s="94"/>
      <c r="W191" s="165">
        <f>SUM(W185:W190)</f>
        <v>528.6</v>
      </c>
      <c r="X191" s="155">
        <f>SUM(X185:X190)</f>
        <v>464.15000000000003</v>
      </c>
      <c r="Y191" s="162">
        <f t="shared" si="74"/>
        <v>64.449999999999989</v>
      </c>
      <c r="Z191" s="158">
        <f t="shared" si="75"/>
        <v>0.1388559732844985</v>
      </c>
      <c r="AA191" s="113"/>
      <c r="AB191" s="376"/>
      <c r="AC191" s="153">
        <f>W191*(0.001425*0.5)+W191*0.003+X191*(0.001425*0.5)</f>
        <v>2.2931343750000002</v>
      </c>
      <c r="AD191" s="6">
        <f>Y191-AC191</f>
        <v>62.156865624999988</v>
      </c>
      <c r="AE191" s="83"/>
      <c r="AF191" s="33"/>
      <c r="AG191" s="41" t="s">
        <v>1501</v>
      </c>
      <c r="AH191" s="163"/>
    </row>
    <row r="192" spans="1:41" s="255" customFormat="1">
      <c r="A192" s="127"/>
      <c r="B192" s="90"/>
      <c r="C192" s="90"/>
      <c r="D192" s="90"/>
      <c r="E192" s="90"/>
      <c r="F192" s="8"/>
      <c r="G192" s="25"/>
      <c r="H192" s="55"/>
      <c r="I192" s="1"/>
      <c r="J192" s="1"/>
      <c r="K192" s="1"/>
      <c r="L192" s="123"/>
      <c r="M192" s="234"/>
      <c r="N192" s="338"/>
      <c r="O192" s="359"/>
      <c r="P192" s="47"/>
      <c r="Q192" s="342"/>
      <c r="R192" s="300"/>
      <c r="S192" s="318"/>
      <c r="T192" s="14"/>
      <c r="U192" s="308"/>
      <c r="V192" s="68"/>
      <c r="W192" s="28"/>
      <c r="X192" s="17"/>
      <c r="Y192" s="14"/>
      <c r="Z192" s="21"/>
      <c r="AA192" s="25"/>
      <c r="AB192" s="376"/>
      <c r="AC192" s="227">
        <f>W191*(0.001425*0.28)+W191*0.003+X191*(0.001425*0.28)</f>
        <v>1.9819072500000001</v>
      </c>
      <c r="AD192" s="71"/>
      <c r="AE192" s="72"/>
      <c r="AF192" s="32"/>
      <c r="AG192" s="46"/>
      <c r="AH192" s="163"/>
    </row>
    <row r="193" spans="1:35" s="248" customFormat="1">
      <c r="A193" s="141"/>
      <c r="B193" s="79"/>
      <c r="C193" s="80"/>
      <c r="D193" s="79"/>
      <c r="E193" s="80"/>
      <c r="F193" s="6"/>
      <c r="G193" s="41"/>
      <c r="H193" s="50"/>
      <c r="I193" s="166"/>
      <c r="J193" s="1"/>
      <c r="K193" s="1"/>
      <c r="L193" s="123"/>
      <c r="M193" s="234"/>
      <c r="N193" s="338"/>
      <c r="O193" s="359"/>
      <c r="P193" s="47"/>
      <c r="Q193" s="342"/>
      <c r="R193" s="300"/>
      <c r="S193" s="319"/>
      <c r="T193" s="185"/>
      <c r="U193" s="308"/>
      <c r="V193" s="94"/>
      <c r="W193" s="165"/>
      <c r="X193" s="155"/>
      <c r="Y193" s="162"/>
      <c r="Z193" s="164"/>
      <c r="AA193" s="113"/>
      <c r="AB193" s="376"/>
      <c r="AC193" s="153"/>
      <c r="AD193" s="6"/>
      <c r="AE193" s="83"/>
      <c r="AF193" s="33"/>
      <c r="AG193" s="127"/>
      <c r="AH193" s="163"/>
    </row>
    <row r="194" spans="1:35" s="255" customFormat="1">
      <c r="A194" s="127" t="s">
        <v>1672</v>
      </c>
      <c r="B194" s="90" t="s">
        <v>1571</v>
      </c>
      <c r="C194" s="90" t="s">
        <v>1572</v>
      </c>
      <c r="D194" s="90" t="s">
        <v>1573</v>
      </c>
      <c r="E194" s="90" t="s">
        <v>1574</v>
      </c>
      <c r="F194" s="8" t="s">
        <v>1059</v>
      </c>
      <c r="G194" s="26" t="s">
        <v>3441</v>
      </c>
      <c r="H194" s="55" t="s">
        <v>320</v>
      </c>
      <c r="I194" s="1" t="s">
        <v>2248</v>
      </c>
      <c r="J194" s="8" t="s">
        <v>6211</v>
      </c>
      <c r="K194" s="5" t="s">
        <v>6212</v>
      </c>
      <c r="L194" s="334" t="s">
        <v>6197</v>
      </c>
      <c r="M194" s="335" t="s">
        <v>6198</v>
      </c>
      <c r="N194" s="336" t="s">
        <v>6199</v>
      </c>
      <c r="O194" s="89" t="s">
        <v>6275</v>
      </c>
      <c r="P194" s="292" t="s">
        <v>6274</v>
      </c>
      <c r="Q194" s="350" t="s">
        <v>6273</v>
      </c>
      <c r="R194" s="26" t="s">
        <v>6276</v>
      </c>
      <c r="S194" s="318" t="s">
        <v>4715</v>
      </c>
      <c r="T194" s="14" t="s">
        <v>66</v>
      </c>
      <c r="U194" s="305" t="s">
        <v>4728</v>
      </c>
      <c r="V194" s="68" t="s">
        <v>3272</v>
      </c>
      <c r="W194" s="28" t="s">
        <v>2</v>
      </c>
      <c r="X194" s="17" t="s">
        <v>1398</v>
      </c>
      <c r="Y194" s="14" t="s">
        <v>2249</v>
      </c>
      <c r="Z194" s="21" t="s">
        <v>1469</v>
      </c>
      <c r="AA194" s="51" t="s">
        <v>6166</v>
      </c>
      <c r="AB194" s="102" t="s">
        <v>6404</v>
      </c>
      <c r="AC194" s="1" t="s">
        <v>2248</v>
      </c>
      <c r="AD194" s="71" t="s">
        <v>1399</v>
      </c>
      <c r="AE194" s="72" t="s">
        <v>1156</v>
      </c>
      <c r="AF194" s="32" t="s">
        <v>1157</v>
      </c>
      <c r="AG194" s="46" t="s">
        <v>3343</v>
      </c>
      <c r="AH194" s="163"/>
    </row>
    <row r="195" spans="1:35">
      <c r="A195" s="142" t="s">
        <v>1945</v>
      </c>
      <c r="B195" s="80">
        <v>-34</v>
      </c>
      <c r="C195" s="80">
        <v>-42</v>
      </c>
      <c r="D195" s="80">
        <v>-3</v>
      </c>
      <c r="E195" s="80">
        <v>-34</v>
      </c>
      <c r="F195" s="6">
        <v>9.8000000000000007</v>
      </c>
      <c r="G195" s="80">
        <v>6477</v>
      </c>
      <c r="H195" s="30" t="s">
        <v>1461</v>
      </c>
      <c r="I195" s="22" t="s">
        <v>451</v>
      </c>
      <c r="J195" s="8">
        <f>IFERROR(VLOOKUP($G195,今日總結!$A:$AN,33,0),"")</f>
        <v>0</v>
      </c>
      <c r="K195" s="5">
        <f>IFERROR(VLOOKUP($G195,今日總結!$A:$AN,34,0),"")</f>
        <v>1</v>
      </c>
      <c r="L195" s="156">
        <f>IFERROR(VLOOKUP($G195,今日總結!$A:$AN,31,0),"")</f>
        <v>0</v>
      </c>
      <c r="M195" s="337">
        <f>IFERROR(VLOOKUP($G195,今日總結!$A:$AN,32,0),"")</f>
        <v>0</v>
      </c>
      <c r="N195" s="240">
        <f t="shared" ref="N195:N197" si="78">IFERROR(L195-M195,"")</f>
        <v>0</v>
      </c>
      <c r="O195" s="359">
        <f>IFERROR(VLOOKUP($G195,融外自投!$A:$J,7,0),"無")</f>
        <v>181</v>
      </c>
      <c r="P195" s="79">
        <f>IFERROR(VLOOKUP($G195,融外自投!$A:$J,9,0),"無")</f>
        <v>253</v>
      </c>
      <c r="Q195" s="342">
        <f>IFERROR(VLOOKUP($G195,融外自投!$A:$J,8,0),"無")</f>
        <v>894</v>
      </c>
      <c r="R195" s="81">
        <f>IFERROR(VLOOKUP($G195,融外自投!$A:$J,10,0),"無")</f>
        <v>27</v>
      </c>
      <c r="S195" s="324">
        <f>IFERROR(VLOOKUP($G195,'321買'!$A:$E,5,0),"'沒有資料'")</f>
        <v>0</v>
      </c>
      <c r="T195" s="34">
        <v>1.1399999999999999</v>
      </c>
      <c r="V195" s="94">
        <v>2.56</v>
      </c>
      <c r="W195" s="36">
        <v>50.4</v>
      </c>
      <c r="X195" s="66">
        <v>45.7</v>
      </c>
      <c r="Y195" s="15">
        <f>W195-X195</f>
        <v>4.6999999999999957</v>
      </c>
      <c r="Z195" s="63">
        <f>Y195/X195</f>
        <v>0.10284463894967168</v>
      </c>
      <c r="AA195" s="101" t="s">
        <v>3357</v>
      </c>
      <c r="AC195" s="22" t="s">
        <v>451</v>
      </c>
      <c r="AD195" s="84">
        <v>44336</v>
      </c>
      <c r="AE195" s="83">
        <v>44364</v>
      </c>
      <c r="AF195" s="33">
        <f>AE195-AD195</f>
        <v>28</v>
      </c>
      <c r="AG195" s="41" t="s">
        <v>1121</v>
      </c>
      <c r="AI195" s="8"/>
    </row>
    <row r="196" spans="1:35">
      <c r="A196" s="127" t="s">
        <v>1675</v>
      </c>
      <c r="B196" s="79">
        <v>86</v>
      </c>
      <c r="C196" s="79">
        <v>124</v>
      </c>
      <c r="D196" s="79">
        <v>9</v>
      </c>
      <c r="E196" s="80">
        <v>-1</v>
      </c>
      <c r="F196" s="57">
        <v>25.67</v>
      </c>
      <c r="G196" s="79">
        <v>5471</v>
      </c>
      <c r="H196" s="30" t="s">
        <v>1461</v>
      </c>
      <c r="I196" s="22" t="s">
        <v>352</v>
      </c>
      <c r="J196" s="8">
        <f>IFERROR(VLOOKUP($G196,今日總結!$A:$AN,33,0),"")</f>
        <v>0</v>
      </c>
      <c r="K196" s="5">
        <f>IFERROR(VLOOKUP($G196,今日總結!$A:$AN,34,0),"")</f>
        <v>0</v>
      </c>
      <c r="L196" s="156">
        <f>IFERROR(VLOOKUP($G196,今日總結!$A:$AN,31,0),"")</f>
        <v>1</v>
      </c>
      <c r="M196" s="337">
        <f>IFERROR(VLOOKUP($G196,今日總結!$A:$AN,32,0),"")</f>
        <v>0</v>
      </c>
      <c r="N196" s="240">
        <f t="shared" si="78"/>
        <v>1</v>
      </c>
      <c r="O196" s="359">
        <f>IFERROR(VLOOKUP($G196,融外自投!$A:$J,7,0),"無")</f>
        <v>353</v>
      </c>
      <c r="P196" s="79">
        <f>IFERROR(VLOOKUP($G196,融外自投!$A:$J,9,0),"無")</f>
        <v>908</v>
      </c>
      <c r="Q196" s="342">
        <f>IFERROR(VLOOKUP($G196,融外自投!$A:$J,8,0),"無")</f>
        <v>425</v>
      </c>
      <c r="R196" s="81">
        <f>IFERROR(VLOOKUP($G196,融外自投!$A:$J,10,0),"無")</f>
        <v>389</v>
      </c>
      <c r="S196" s="324">
        <f>IFERROR(VLOOKUP($G196,'321買'!$A:$E,5,0),"'沒有資料'")</f>
        <v>0</v>
      </c>
      <c r="T196" s="66">
        <v>5.7</v>
      </c>
      <c r="V196" s="94">
        <v>6.85</v>
      </c>
      <c r="W196" s="36">
        <v>97.6</v>
      </c>
      <c r="X196" s="66">
        <v>91.7</v>
      </c>
      <c r="Y196" s="15">
        <f>W196-X196</f>
        <v>5.8999999999999915</v>
      </c>
      <c r="Z196" s="63">
        <f>Y196/X196</f>
        <v>6.4340239912758904E-2</v>
      </c>
      <c r="AA196" s="99" t="s">
        <v>2975</v>
      </c>
      <c r="AC196" s="22" t="s">
        <v>352</v>
      </c>
      <c r="AD196" s="84">
        <v>44342</v>
      </c>
      <c r="AE196" s="83">
        <v>44357</v>
      </c>
      <c r="AF196" s="33">
        <f>AE196-AD196</f>
        <v>15</v>
      </c>
      <c r="AG196" s="41" t="s">
        <v>1121</v>
      </c>
      <c r="AH196" s="221"/>
      <c r="AI196" s="213"/>
    </row>
    <row r="197" spans="1:35">
      <c r="A197" s="142" t="s">
        <v>1889</v>
      </c>
      <c r="B197" s="80">
        <v>-22</v>
      </c>
      <c r="C197" s="80">
        <v>-26</v>
      </c>
      <c r="D197" s="79">
        <v>4</v>
      </c>
      <c r="E197" s="80">
        <v>-35</v>
      </c>
      <c r="F197" s="6">
        <v>3.86</v>
      </c>
      <c r="G197" s="80">
        <v>4173</v>
      </c>
      <c r="H197" s="50" t="s">
        <v>1403</v>
      </c>
      <c r="I197" s="16" t="s">
        <v>615</v>
      </c>
      <c r="J197" s="8">
        <f>IFERROR(VLOOKUP($G197,今日總結!$A:$AN,33,0),"")</f>
        <v>0</v>
      </c>
      <c r="K197" s="5">
        <f>IFERROR(VLOOKUP($G197,今日總結!$A:$AN,34,0),"")</f>
        <v>0</v>
      </c>
      <c r="L197" s="156">
        <f>IFERROR(VLOOKUP($G197,今日總結!$A:$AN,31,0),"")</f>
        <v>0</v>
      </c>
      <c r="M197" s="337">
        <f>IFERROR(VLOOKUP($G197,今日總結!$A:$AN,32,0),"")</f>
        <v>0</v>
      </c>
      <c r="N197" s="240">
        <f t="shared" si="78"/>
        <v>0</v>
      </c>
      <c r="O197" s="359">
        <f>IFERROR(VLOOKUP($G197,融外自投!$A:$J,7,0),"無")</f>
        <v>523</v>
      </c>
      <c r="P197" s="79" t="str">
        <f>IFERROR(VLOOKUP($G197,融外自投!$A:$J,9,0),"無")</f>
        <v>無</v>
      </c>
      <c r="Q197" s="342">
        <f>IFERROR(VLOOKUP($G197,融外自投!$A:$J,8,0),"無")</f>
        <v>1314</v>
      </c>
      <c r="R197" s="81" t="str">
        <f>IFERROR(VLOOKUP($G197,融外自投!$A:$J,10,0),"無")</f>
        <v>無</v>
      </c>
      <c r="S197" s="324">
        <f>IFERROR(VLOOKUP($G197,'321買'!$A:$E,5,0),"'沒有資料'")</f>
        <v>0</v>
      </c>
      <c r="T197" s="34">
        <v>0.56000000000000005</v>
      </c>
      <c r="V197" s="94">
        <f>T197/W197</f>
        <v>2.0664206642066422E-2</v>
      </c>
      <c r="W197" s="36">
        <v>27.1</v>
      </c>
      <c r="X197" s="66">
        <v>22.9</v>
      </c>
      <c r="Y197" s="15">
        <f>W197-X197</f>
        <v>4.2000000000000028</v>
      </c>
      <c r="Z197" s="63">
        <f>Y197/X197</f>
        <v>0.18340611353711803</v>
      </c>
      <c r="AA197" s="99" t="s">
        <v>3349</v>
      </c>
      <c r="AC197" s="16" t="s">
        <v>615</v>
      </c>
      <c r="AD197" s="84">
        <v>44299</v>
      </c>
      <c r="AE197" s="83">
        <v>44356</v>
      </c>
      <c r="AF197" s="33">
        <f>AE197-AD197</f>
        <v>57</v>
      </c>
      <c r="AG197" s="127" t="s">
        <v>1121</v>
      </c>
      <c r="AI197" s="8"/>
    </row>
    <row r="198" spans="1:35" s="248" customFormat="1">
      <c r="A198" s="141"/>
      <c r="B198" s="79"/>
      <c r="C198" s="79"/>
      <c r="D198" s="79"/>
      <c r="E198" s="79"/>
      <c r="F198" s="6"/>
      <c r="G198" s="41"/>
      <c r="H198" s="8"/>
      <c r="I198" s="153"/>
      <c r="J198" s="8"/>
      <c r="K198" s="5"/>
      <c r="L198" s="156"/>
      <c r="M198" s="337"/>
      <c r="N198" s="240"/>
      <c r="O198" s="359"/>
      <c r="P198" s="47"/>
      <c r="Q198" s="342"/>
      <c r="R198" s="300"/>
      <c r="S198" s="319"/>
      <c r="T198" s="185"/>
      <c r="U198" s="308"/>
      <c r="V198" s="94"/>
      <c r="W198" s="165">
        <f>SUM(W195:W197)</f>
        <v>175.1</v>
      </c>
      <c r="X198" s="155">
        <f>SUM(X195:X197)</f>
        <v>160.30000000000001</v>
      </c>
      <c r="Y198" s="162">
        <f>W198-X198</f>
        <v>14.799999999999983</v>
      </c>
      <c r="Z198" s="158">
        <f>Y198/X198</f>
        <v>9.23268870867123E-2</v>
      </c>
      <c r="AA198" s="113"/>
      <c r="AB198" s="376"/>
      <c r="AC198" s="153">
        <f>W198*(0.001425*0.5)+W198*0.003+X198*(0.001425*0.5)</f>
        <v>0.76427250000000002</v>
      </c>
      <c r="AD198" s="6">
        <f>Y198-AC198</f>
        <v>14.035727499999982</v>
      </c>
      <c r="AE198" s="83"/>
      <c r="AF198" s="33"/>
      <c r="AG198" s="41" t="s">
        <v>1121</v>
      </c>
      <c r="AH198" s="163"/>
    </row>
    <row r="199" spans="1:35" s="255" customFormat="1">
      <c r="A199" s="127"/>
      <c r="B199" s="90"/>
      <c r="C199" s="90"/>
      <c r="D199" s="90"/>
      <c r="E199" s="90"/>
      <c r="F199" s="8"/>
      <c r="G199" s="25"/>
      <c r="H199" s="55"/>
      <c r="I199" s="1"/>
      <c r="J199" s="8"/>
      <c r="K199" s="5"/>
      <c r="L199" s="156"/>
      <c r="M199" s="337"/>
      <c r="N199" s="240"/>
      <c r="O199" s="359"/>
      <c r="P199" s="47"/>
      <c r="Q199" s="342"/>
      <c r="R199" s="300"/>
      <c r="S199" s="318"/>
      <c r="T199" s="14"/>
      <c r="U199" s="308"/>
      <c r="V199" s="68"/>
      <c r="W199" s="28"/>
      <c r="X199" s="17"/>
      <c r="Y199" s="14"/>
      <c r="Z199" s="21"/>
      <c r="AA199" s="25"/>
      <c r="AB199" s="376"/>
      <c r="AC199" s="227">
        <f>W198*(0.001425*0.28)+W198*0.003+X198*(0.001425*0.28)</f>
        <v>0.65912459999999995</v>
      </c>
      <c r="AD199" s="71"/>
      <c r="AE199" s="72"/>
      <c r="AF199" s="32"/>
      <c r="AG199" s="46"/>
      <c r="AH199" s="163"/>
    </row>
    <row r="200" spans="1:35" s="248" customFormat="1">
      <c r="A200" s="141"/>
      <c r="B200" s="79"/>
      <c r="C200" s="79"/>
      <c r="D200" s="79"/>
      <c r="E200" s="79"/>
      <c r="F200" s="6"/>
      <c r="G200" s="41"/>
      <c r="H200" s="8"/>
      <c r="I200" s="153"/>
      <c r="J200" s="8"/>
      <c r="K200" s="5"/>
      <c r="L200" s="156"/>
      <c r="M200" s="337"/>
      <c r="N200" s="240"/>
      <c r="O200" s="359"/>
      <c r="P200" s="47"/>
      <c r="Q200" s="342"/>
      <c r="R200" s="300"/>
      <c r="S200" s="319"/>
      <c r="T200" s="185"/>
      <c r="U200" s="308"/>
      <c r="V200" s="94"/>
      <c r="W200" s="165"/>
      <c r="X200" s="155"/>
      <c r="Y200" s="162"/>
      <c r="Z200" s="164"/>
      <c r="AA200" s="113"/>
      <c r="AB200" s="376"/>
      <c r="AC200" s="153"/>
      <c r="AD200" s="6"/>
      <c r="AE200" s="83"/>
      <c r="AF200" s="33"/>
      <c r="AG200" s="41"/>
      <c r="AH200" s="163"/>
    </row>
    <row r="201" spans="1:35" s="255" customFormat="1">
      <c r="A201" s="127" t="s">
        <v>1672</v>
      </c>
      <c r="B201" s="90" t="s">
        <v>1571</v>
      </c>
      <c r="C201" s="90" t="s">
        <v>1572</v>
      </c>
      <c r="D201" s="90" t="s">
        <v>1573</v>
      </c>
      <c r="E201" s="90" t="s">
        <v>1574</v>
      </c>
      <c r="F201" s="8" t="s">
        <v>1059</v>
      </c>
      <c r="G201" s="26" t="s">
        <v>3441</v>
      </c>
      <c r="H201" s="55" t="s">
        <v>320</v>
      </c>
      <c r="I201" s="1" t="s">
        <v>2248</v>
      </c>
      <c r="J201" s="8" t="s">
        <v>6211</v>
      </c>
      <c r="K201" s="5" t="s">
        <v>6212</v>
      </c>
      <c r="L201" s="334" t="s">
        <v>6197</v>
      </c>
      <c r="M201" s="335" t="s">
        <v>6198</v>
      </c>
      <c r="N201" s="336" t="s">
        <v>6199</v>
      </c>
      <c r="O201" s="89" t="s">
        <v>6275</v>
      </c>
      <c r="P201" s="292" t="s">
        <v>6274</v>
      </c>
      <c r="Q201" s="350" t="s">
        <v>6273</v>
      </c>
      <c r="R201" s="26" t="s">
        <v>6276</v>
      </c>
      <c r="S201" s="318" t="s">
        <v>4715</v>
      </c>
      <c r="T201" s="14" t="s">
        <v>66</v>
      </c>
      <c r="U201" s="305" t="s">
        <v>4728</v>
      </c>
      <c r="V201" s="68" t="s">
        <v>3272</v>
      </c>
      <c r="W201" s="28" t="s">
        <v>2</v>
      </c>
      <c r="X201" s="17" t="s">
        <v>1398</v>
      </c>
      <c r="Y201" s="14" t="s">
        <v>2249</v>
      </c>
      <c r="Z201" s="21" t="s">
        <v>1469</v>
      </c>
      <c r="AA201" s="51" t="s">
        <v>6166</v>
      </c>
      <c r="AB201" s="102" t="s">
        <v>6404</v>
      </c>
      <c r="AC201" s="1" t="s">
        <v>2248</v>
      </c>
      <c r="AD201" s="71" t="s">
        <v>1399</v>
      </c>
      <c r="AE201" s="72" t="s">
        <v>1156</v>
      </c>
      <c r="AF201" s="32" t="s">
        <v>1157</v>
      </c>
      <c r="AG201" s="46" t="s">
        <v>3276</v>
      </c>
      <c r="AH201" s="163"/>
    </row>
    <row r="202" spans="1:35">
      <c r="A202" s="142" t="s">
        <v>3326</v>
      </c>
      <c r="B202" s="92">
        <v>2312</v>
      </c>
      <c r="C202" s="92">
        <v>3731</v>
      </c>
      <c r="D202" s="80">
        <v>-10</v>
      </c>
      <c r="E202" s="79">
        <v>269</v>
      </c>
      <c r="F202" s="6">
        <v>3.78</v>
      </c>
      <c r="G202" s="79">
        <v>4919</v>
      </c>
      <c r="H202" s="50" t="s">
        <v>1403</v>
      </c>
      <c r="I202" s="22" t="s">
        <v>118</v>
      </c>
      <c r="J202" s="8">
        <f>IFERROR(VLOOKUP($G202,今日總結!$A:$AN,33,0),"")</f>
        <v>1</v>
      </c>
      <c r="K202" s="5">
        <f>IFERROR(VLOOKUP($G202,今日總結!$A:$AN,34,0),"")</f>
        <v>0</v>
      </c>
      <c r="L202" s="156">
        <f>IFERROR(VLOOKUP($G202,今日總結!$A:$AN,31,0),"")</f>
        <v>0</v>
      </c>
      <c r="M202" s="337">
        <f>IFERROR(VLOOKUP($G202,今日總結!$A:$AN,32,0),"")</f>
        <v>6</v>
      </c>
      <c r="N202" s="240">
        <f t="shared" ref="N202" si="79">IFERROR(L202-M202,"")</f>
        <v>-6</v>
      </c>
      <c r="O202" s="359">
        <f>IFERROR(VLOOKUP($G202,融外自投!$A:$J,7,0),"無")</f>
        <v>293</v>
      </c>
      <c r="P202" s="79">
        <f>IFERROR(VLOOKUP($G202,融外自投!$A:$J,9,0),"無")</f>
        <v>225</v>
      </c>
      <c r="Q202" s="342">
        <f>IFERROR(VLOOKUP($G202,融外自投!$A:$J,8,0),"無")</f>
        <v>670</v>
      </c>
      <c r="R202" s="81">
        <f>IFERROR(VLOOKUP($G202,融外自投!$A:$J,10,0),"無")</f>
        <v>16</v>
      </c>
      <c r="S202" s="324">
        <f>IFERROR(VLOOKUP($G202,'321買'!$A:$E,5,0),"'沒有資料'")</f>
        <v>0</v>
      </c>
      <c r="T202" s="70">
        <v>0.8</v>
      </c>
      <c r="V202" s="57">
        <v>2.52</v>
      </c>
      <c r="W202" s="36">
        <v>81.2</v>
      </c>
      <c r="X202" s="66">
        <v>81.2</v>
      </c>
      <c r="Y202" s="45">
        <f t="shared" ref="Y202:Y222" si="80">W202-X202</f>
        <v>0</v>
      </c>
      <c r="Z202" s="63">
        <f t="shared" ref="Z202:Z240" si="81">Y202/X202</f>
        <v>0</v>
      </c>
      <c r="AA202" s="101" t="s">
        <v>1499</v>
      </c>
      <c r="AC202" s="22" t="s">
        <v>118</v>
      </c>
      <c r="AD202" s="84">
        <v>44335</v>
      </c>
      <c r="AE202" s="83">
        <v>44347</v>
      </c>
      <c r="AF202" s="33">
        <f t="shared" ref="AF202:AF214" si="82">AE202-AD202</f>
        <v>12</v>
      </c>
      <c r="AG202" s="127" t="s">
        <v>1121</v>
      </c>
      <c r="AH202" s="221"/>
      <c r="AI202" s="213"/>
    </row>
    <row r="203" spans="1:35">
      <c r="A203" s="142" t="s">
        <v>3326</v>
      </c>
      <c r="B203" s="92">
        <v>2312</v>
      </c>
      <c r="C203" s="92">
        <v>3731</v>
      </c>
      <c r="D203" s="80">
        <v>-10</v>
      </c>
      <c r="E203" s="79">
        <v>269</v>
      </c>
      <c r="F203" s="6">
        <v>3.78</v>
      </c>
      <c r="G203" s="79">
        <v>4919</v>
      </c>
      <c r="H203" s="50" t="s">
        <v>1403</v>
      </c>
      <c r="I203" s="22" t="s">
        <v>118</v>
      </c>
      <c r="J203" s="8">
        <f>IFERROR(VLOOKUP($G203,今日總結!$A:$AN,33,0),"")</f>
        <v>1</v>
      </c>
      <c r="K203" s="5">
        <f>IFERROR(VLOOKUP($G203,今日總結!$A:$AN,34,0),"")</f>
        <v>0</v>
      </c>
      <c r="L203" s="156">
        <f>IFERROR(VLOOKUP($G203,今日總結!$A:$AN,31,0),"")</f>
        <v>0</v>
      </c>
      <c r="M203" s="337">
        <f>IFERROR(VLOOKUP($G203,今日總結!$A:$AN,32,0),"")</f>
        <v>6</v>
      </c>
      <c r="N203" s="240">
        <f t="shared" ref="N203:N261" si="83">IFERROR(L203-M203,"")</f>
        <v>-6</v>
      </c>
      <c r="O203" s="359">
        <f>IFERROR(VLOOKUP($G203,融外自投!$A:$J,7,0),"無")</f>
        <v>293</v>
      </c>
      <c r="P203" s="79">
        <f>IFERROR(VLOOKUP($G203,融外自投!$A:$J,9,0),"無")</f>
        <v>225</v>
      </c>
      <c r="Q203" s="342">
        <f>IFERROR(VLOOKUP($G203,融外自投!$A:$J,8,0),"無")</f>
        <v>670</v>
      </c>
      <c r="R203" s="81">
        <f>IFERROR(VLOOKUP($G203,融外自投!$A:$J,10,0),"無")</f>
        <v>16</v>
      </c>
      <c r="S203" s="324">
        <f>IFERROR(VLOOKUP($G203,'321買'!$A:$E,5,0),"'沒有資料'")</f>
        <v>0</v>
      </c>
      <c r="T203" s="70">
        <v>0.8</v>
      </c>
      <c r="V203" s="57">
        <v>2.52</v>
      </c>
      <c r="W203" s="36">
        <v>81.2</v>
      </c>
      <c r="X203" s="66">
        <v>66.599999999999994</v>
      </c>
      <c r="Y203" s="45">
        <f t="shared" si="80"/>
        <v>14.600000000000009</v>
      </c>
      <c r="Z203" s="63">
        <f t="shared" si="81"/>
        <v>0.21921921921921936</v>
      </c>
      <c r="AA203" s="101" t="s">
        <v>3346</v>
      </c>
      <c r="AC203" s="22" t="s">
        <v>118</v>
      </c>
      <c r="AD203" s="84">
        <v>44335</v>
      </c>
      <c r="AE203" s="83">
        <v>44347</v>
      </c>
      <c r="AF203" s="33">
        <f t="shared" si="82"/>
        <v>12</v>
      </c>
      <c r="AG203" s="127" t="s">
        <v>1121</v>
      </c>
      <c r="AH203" s="221"/>
      <c r="AI203" s="213"/>
    </row>
    <row r="204" spans="1:35">
      <c r="A204" s="142" t="s">
        <v>2078</v>
      </c>
      <c r="B204" s="79">
        <v>179</v>
      </c>
      <c r="C204" s="79">
        <v>251</v>
      </c>
      <c r="D204" s="80">
        <v>-11</v>
      </c>
      <c r="E204" s="79">
        <v>61</v>
      </c>
      <c r="F204" s="6">
        <v>8.2799999999999994</v>
      </c>
      <c r="G204" s="79">
        <v>1608</v>
      </c>
      <c r="H204" s="30" t="s">
        <v>1461</v>
      </c>
      <c r="I204" s="22" t="s">
        <v>946</v>
      </c>
      <c r="J204" s="8">
        <f>IFERROR(VLOOKUP($G204,今日總結!$A:$AN,33,0),"")</f>
        <v>0</v>
      </c>
      <c r="K204" s="5">
        <f>IFERROR(VLOOKUP($G204,今日總結!$A:$AN,34,0),"")</f>
        <v>0</v>
      </c>
      <c r="L204" s="156">
        <f>IFERROR(VLOOKUP($G204,今日總結!$A:$AN,31,0),"")</f>
        <v>8</v>
      </c>
      <c r="M204" s="337">
        <f>IFERROR(VLOOKUP($G204,今日總結!$A:$AN,32,0),"")</f>
        <v>0</v>
      </c>
      <c r="N204" s="240">
        <f t="shared" si="83"/>
        <v>8</v>
      </c>
      <c r="O204" s="359">
        <f>IFERROR(VLOOKUP($G204,融外自投!$A:$J,7,0),"無")</f>
        <v>802</v>
      </c>
      <c r="P204" s="79">
        <f>IFERROR(VLOOKUP($G204,融外自投!$A:$J,9,0),"無")</f>
        <v>1051</v>
      </c>
      <c r="Q204" s="342">
        <f>IFERROR(VLOOKUP($G204,融外自投!$A:$J,8,0),"無")</f>
        <v>1160</v>
      </c>
      <c r="R204" s="81" t="str">
        <f>IFERROR(VLOOKUP($G204,融外自投!$A:$J,10,0),"無")</f>
        <v>無</v>
      </c>
      <c r="S204" s="324">
        <f>IFERROR(VLOOKUP($G204,'321買'!$A:$E,5,0),"'沒有資料'")</f>
        <v>0</v>
      </c>
      <c r="T204" s="34">
        <v>0.7</v>
      </c>
      <c r="V204" s="57">
        <v>5.32</v>
      </c>
      <c r="W204" s="36">
        <v>27.5</v>
      </c>
      <c r="X204" s="66">
        <v>28.75</v>
      </c>
      <c r="Y204" s="15">
        <f t="shared" si="80"/>
        <v>-1.25</v>
      </c>
      <c r="Z204" s="76">
        <f t="shared" si="81"/>
        <v>-4.3478260869565216E-2</v>
      </c>
      <c r="AA204" s="135" t="s">
        <v>3342</v>
      </c>
      <c r="AC204" s="22" t="s">
        <v>946</v>
      </c>
      <c r="AD204" s="84">
        <v>44347</v>
      </c>
      <c r="AE204" s="83">
        <v>44347</v>
      </c>
      <c r="AF204" s="33">
        <f t="shared" si="82"/>
        <v>0</v>
      </c>
      <c r="AG204" s="41" t="s">
        <v>1121</v>
      </c>
      <c r="AH204" s="221"/>
      <c r="AI204" s="213"/>
    </row>
    <row r="205" spans="1:35">
      <c r="A205" s="142" t="s">
        <v>1889</v>
      </c>
      <c r="B205" s="80">
        <v>-22</v>
      </c>
      <c r="C205" s="80">
        <v>-26</v>
      </c>
      <c r="D205" s="79">
        <v>4</v>
      </c>
      <c r="E205" s="80">
        <v>-35</v>
      </c>
      <c r="F205" s="6">
        <v>3.86</v>
      </c>
      <c r="G205" s="80">
        <v>4173</v>
      </c>
      <c r="H205" s="30" t="s">
        <v>1461</v>
      </c>
      <c r="I205" s="16" t="s">
        <v>615</v>
      </c>
      <c r="J205" s="8">
        <f>IFERROR(VLOOKUP($G205,今日總結!$A:$AN,33,0),"")</f>
        <v>0</v>
      </c>
      <c r="K205" s="5">
        <f>IFERROR(VLOOKUP($G205,今日總結!$A:$AN,34,0),"")</f>
        <v>0</v>
      </c>
      <c r="L205" s="156">
        <f>IFERROR(VLOOKUP($G205,今日總結!$A:$AN,31,0),"")</f>
        <v>0</v>
      </c>
      <c r="M205" s="337">
        <f>IFERROR(VLOOKUP($G205,今日總結!$A:$AN,32,0),"")</f>
        <v>0</v>
      </c>
      <c r="N205" s="240">
        <f t="shared" si="83"/>
        <v>0</v>
      </c>
      <c r="O205" s="359">
        <f>IFERROR(VLOOKUP($G205,融外自投!$A:$J,7,0),"無")</f>
        <v>523</v>
      </c>
      <c r="P205" s="79" t="str">
        <f>IFERROR(VLOOKUP($G205,融外自投!$A:$J,9,0),"無")</f>
        <v>無</v>
      </c>
      <c r="Q205" s="342">
        <f>IFERROR(VLOOKUP($G205,融外自投!$A:$J,8,0),"無")</f>
        <v>1314</v>
      </c>
      <c r="R205" s="81" t="str">
        <f>IFERROR(VLOOKUP($G205,融外自投!$A:$J,10,0),"無")</f>
        <v>無</v>
      </c>
      <c r="S205" s="324">
        <f>IFERROR(VLOOKUP($G205,'321買'!$A:$E,5,0),"'沒有資料'")</f>
        <v>0</v>
      </c>
      <c r="T205" s="34">
        <v>0.56000000000000005</v>
      </c>
      <c r="V205" s="94">
        <f>T205/W205</f>
        <v>2.3578947368421053E-2</v>
      </c>
      <c r="W205" s="36">
        <v>23.75</v>
      </c>
      <c r="X205" s="66">
        <v>21.9</v>
      </c>
      <c r="Y205" s="15">
        <f t="shared" si="80"/>
        <v>1.8500000000000014</v>
      </c>
      <c r="Z205" s="63">
        <f t="shared" si="81"/>
        <v>8.4474885844748923E-2</v>
      </c>
      <c r="AA205" s="99" t="s">
        <v>3339</v>
      </c>
      <c r="AC205" s="16" t="s">
        <v>615</v>
      </c>
      <c r="AD205" s="84">
        <v>44301</v>
      </c>
      <c r="AE205" s="83">
        <v>44347</v>
      </c>
      <c r="AF205" s="33">
        <f t="shared" si="82"/>
        <v>46</v>
      </c>
      <c r="AG205" s="41" t="s">
        <v>1121</v>
      </c>
      <c r="AI205" s="8"/>
    </row>
    <row r="206" spans="1:35">
      <c r="A206" s="142" t="s">
        <v>1889</v>
      </c>
      <c r="B206" s="80">
        <v>-22</v>
      </c>
      <c r="C206" s="80">
        <v>-26</v>
      </c>
      <c r="D206" s="79">
        <v>4</v>
      </c>
      <c r="E206" s="80">
        <v>-35</v>
      </c>
      <c r="F206" s="6">
        <v>3.86</v>
      </c>
      <c r="G206" s="80">
        <v>4173</v>
      </c>
      <c r="H206" s="30" t="s">
        <v>1461</v>
      </c>
      <c r="I206" s="16" t="s">
        <v>615</v>
      </c>
      <c r="J206" s="8">
        <f>IFERROR(VLOOKUP($G206,今日總結!$A:$AN,33,0),"")</f>
        <v>0</v>
      </c>
      <c r="K206" s="5">
        <f>IFERROR(VLOOKUP($G206,今日總結!$A:$AN,34,0),"")</f>
        <v>0</v>
      </c>
      <c r="L206" s="156">
        <f>IFERROR(VLOOKUP($G206,今日總結!$A:$AN,31,0),"")</f>
        <v>0</v>
      </c>
      <c r="M206" s="337">
        <f>IFERROR(VLOOKUP($G206,今日總結!$A:$AN,32,0),"")</f>
        <v>0</v>
      </c>
      <c r="N206" s="240">
        <f t="shared" si="83"/>
        <v>0</v>
      </c>
      <c r="O206" s="359">
        <f>IFERROR(VLOOKUP($G206,融外自投!$A:$J,7,0),"無")</f>
        <v>523</v>
      </c>
      <c r="P206" s="79" t="str">
        <f>IFERROR(VLOOKUP($G206,融外自投!$A:$J,9,0),"無")</f>
        <v>無</v>
      </c>
      <c r="Q206" s="342">
        <f>IFERROR(VLOOKUP($G206,融外自投!$A:$J,8,0),"無")</f>
        <v>1314</v>
      </c>
      <c r="R206" s="81" t="str">
        <f>IFERROR(VLOOKUP($G206,融外自投!$A:$J,10,0),"無")</f>
        <v>無</v>
      </c>
      <c r="S206" s="324">
        <f>IFERROR(VLOOKUP($G206,'321買'!$A:$E,5,0),"'沒有資料'")</f>
        <v>0</v>
      </c>
      <c r="T206" s="34">
        <v>0.56000000000000005</v>
      </c>
      <c r="V206" s="94">
        <f>T206/W206</f>
        <v>2.3578947368421053E-2</v>
      </c>
      <c r="W206" s="36">
        <v>23.75</v>
      </c>
      <c r="X206" s="66">
        <v>22.95</v>
      </c>
      <c r="Y206" s="15">
        <f t="shared" si="80"/>
        <v>0.80000000000000071</v>
      </c>
      <c r="Z206" s="63">
        <f t="shared" si="81"/>
        <v>3.4858387799564301E-2</v>
      </c>
      <c r="AA206" s="99" t="s">
        <v>3340</v>
      </c>
      <c r="AC206" s="16" t="s">
        <v>615</v>
      </c>
      <c r="AD206" s="84">
        <v>44299</v>
      </c>
      <c r="AE206" s="83">
        <v>44347</v>
      </c>
      <c r="AF206" s="33">
        <f t="shared" si="82"/>
        <v>48</v>
      </c>
      <c r="AG206" s="41" t="s">
        <v>1121</v>
      </c>
      <c r="AH206" s="41" t="s">
        <v>1501</v>
      </c>
      <c r="AI206" s="8"/>
    </row>
    <row r="207" spans="1:35">
      <c r="A207" s="127" t="s">
        <v>3336</v>
      </c>
      <c r="B207" s="92">
        <v>5673</v>
      </c>
      <c r="C207" s="92">
        <v>8760</v>
      </c>
      <c r="D207" s="80">
        <v>-13</v>
      </c>
      <c r="E207" s="79">
        <v>95</v>
      </c>
      <c r="F207" s="57">
        <v>48.9</v>
      </c>
      <c r="G207" s="79">
        <v>2603</v>
      </c>
      <c r="H207" s="50" t="s">
        <v>1403</v>
      </c>
      <c r="I207" s="22" t="s">
        <v>264</v>
      </c>
      <c r="J207" s="8">
        <f>IFERROR(VLOOKUP($G207,今日總結!$A:$AN,33,0),"")</f>
        <v>1</v>
      </c>
      <c r="K207" s="5">
        <f>IFERROR(VLOOKUP($G207,今日總結!$A:$AN,34,0),"")</f>
        <v>2</v>
      </c>
      <c r="L207" s="156">
        <f>IFERROR(VLOOKUP($G207,今日總結!$A:$AN,31,0),"")</f>
        <v>1</v>
      </c>
      <c r="M207" s="337">
        <f>IFERROR(VLOOKUP($G207,今日總結!$A:$AN,32,0),"")</f>
        <v>1</v>
      </c>
      <c r="N207" s="240">
        <f t="shared" si="83"/>
        <v>0</v>
      </c>
      <c r="O207" s="359">
        <f>IFERROR(VLOOKUP($G207,融外自投!$A:$J,7,0),"無")</f>
        <v>312</v>
      </c>
      <c r="P207" s="79">
        <f>IFERROR(VLOOKUP($G207,融外自投!$A:$J,9,0),"無")</f>
        <v>113</v>
      </c>
      <c r="Q207" s="342">
        <f>IFERROR(VLOOKUP($G207,融外自投!$A:$J,8,0),"無")</f>
        <v>203</v>
      </c>
      <c r="R207" s="81">
        <f>IFERROR(VLOOKUP($G207,融外自投!$A:$J,10,0),"無")</f>
        <v>98</v>
      </c>
      <c r="S207" s="324">
        <f>IFERROR(VLOOKUP($G207,'321買'!$A:$E,5,0),"'沒有資料'")</f>
        <v>0</v>
      </c>
      <c r="T207" s="34">
        <v>2.5</v>
      </c>
      <c r="V207" s="57">
        <v>12.45</v>
      </c>
      <c r="W207" s="36">
        <v>95.3</v>
      </c>
      <c r="X207" s="45">
        <v>88.4</v>
      </c>
      <c r="Y207" s="15">
        <f t="shared" si="80"/>
        <v>6.8999999999999915</v>
      </c>
      <c r="Z207" s="63">
        <f t="shared" si="81"/>
        <v>7.805429864253384E-2</v>
      </c>
      <c r="AA207" s="101" t="s">
        <v>3341</v>
      </c>
      <c r="AC207" s="22" t="s">
        <v>264</v>
      </c>
      <c r="AD207" s="84">
        <v>44335</v>
      </c>
      <c r="AE207" s="83">
        <v>44335</v>
      </c>
      <c r="AF207" s="33">
        <f t="shared" si="82"/>
        <v>0</v>
      </c>
      <c r="AG207" s="127" t="s">
        <v>1121</v>
      </c>
      <c r="AH207" s="245"/>
      <c r="AI207" s="8"/>
    </row>
    <row r="208" spans="1:35">
      <c r="A208" s="127" t="s">
        <v>1615</v>
      </c>
      <c r="B208" s="92">
        <v>1185</v>
      </c>
      <c r="C208" s="92">
        <v>1672</v>
      </c>
      <c r="D208" s="79">
        <v>13</v>
      </c>
      <c r="E208" s="79">
        <v>108</v>
      </c>
      <c r="F208" s="57">
        <v>18.190000000000001</v>
      </c>
      <c r="G208" s="79">
        <v>6494</v>
      </c>
      <c r="H208" s="30" t="s">
        <v>1461</v>
      </c>
      <c r="I208" s="16" t="s">
        <v>380</v>
      </c>
      <c r="J208" s="8">
        <f>IFERROR(VLOOKUP($G208,今日總結!$A:$AN,33,0),"")</f>
        <v>0</v>
      </c>
      <c r="K208" s="5">
        <f>IFERROR(VLOOKUP($G208,今日總結!$A:$AN,34,0),"")</f>
        <v>0</v>
      </c>
      <c r="L208" s="156">
        <f>IFERROR(VLOOKUP($G208,今日總結!$A:$AN,31,0),"")</f>
        <v>0</v>
      </c>
      <c r="M208" s="337">
        <f>IFERROR(VLOOKUP($G208,今日總結!$A:$AN,32,0),"")</f>
        <v>1</v>
      </c>
      <c r="N208" s="240">
        <f t="shared" si="83"/>
        <v>-1</v>
      </c>
      <c r="O208" s="359">
        <f>IFERROR(VLOOKUP($G208,融外自投!$A:$J,7,0),"無")</f>
        <v>55</v>
      </c>
      <c r="P208" s="79">
        <f>IFERROR(VLOOKUP($G208,融外自投!$A:$J,9,0),"無")</f>
        <v>104</v>
      </c>
      <c r="Q208" s="342">
        <f>IFERROR(VLOOKUP($G208,融外自投!$A:$J,8,0),"無")</f>
        <v>543</v>
      </c>
      <c r="R208" s="81">
        <f>IFERROR(VLOOKUP($G208,融外自投!$A:$J,10,0),"無")</f>
        <v>439</v>
      </c>
      <c r="S208" s="324">
        <f>IFERROR(VLOOKUP($G208,'321買'!$A:$E,5,0),"'沒有資料'")</f>
        <v>0</v>
      </c>
      <c r="T208" s="45">
        <v>3.5</v>
      </c>
      <c r="V208" s="94">
        <v>5.68</v>
      </c>
      <c r="W208" s="36">
        <v>100</v>
      </c>
      <c r="X208" s="66">
        <v>94.7</v>
      </c>
      <c r="Y208" s="15">
        <f t="shared" si="80"/>
        <v>5.2999999999999972</v>
      </c>
      <c r="Z208" s="63">
        <f t="shared" si="81"/>
        <v>5.5966209081309365E-2</v>
      </c>
      <c r="AA208" s="101" t="s">
        <v>3334</v>
      </c>
      <c r="AC208" s="16" t="s">
        <v>380</v>
      </c>
      <c r="AD208" s="84">
        <v>44336</v>
      </c>
      <c r="AE208" s="83">
        <v>44341</v>
      </c>
      <c r="AF208" s="33">
        <f t="shared" si="82"/>
        <v>5</v>
      </c>
      <c r="AG208" s="41" t="s">
        <v>1121</v>
      </c>
      <c r="AI208" s="8"/>
    </row>
    <row r="209" spans="1:35">
      <c r="A209" s="142" t="s">
        <v>2046</v>
      </c>
      <c r="B209" s="92">
        <v>1721</v>
      </c>
      <c r="C209" s="79">
        <v>109</v>
      </c>
      <c r="D209" s="79">
        <v>101</v>
      </c>
      <c r="E209" s="79">
        <v>51</v>
      </c>
      <c r="F209" s="6">
        <v>4.4800000000000004</v>
      </c>
      <c r="G209" s="80">
        <v>4433</v>
      </c>
      <c r="H209" s="30" t="s">
        <v>1461</v>
      </c>
      <c r="I209" s="16" t="s">
        <v>717</v>
      </c>
      <c r="J209" s="8">
        <f>IFERROR(VLOOKUP($G209,今日總結!$A:$AN,33,0),"")</f>
        <v>0</v>
      </c>
      <c r="K209" s="5">
        <f>IFERROR(VLOOKUP($G209,今日總結!$A:$AN,34,0),"")</f>
        <v>0</v>
      </c>
      <c r="L209" s="156">
        <f>IFERROR(VLOOKUP($G209,今日總結!$A:$AN,31,0),"")</f>
        <v>5</v>
      </c>
      <c r="M209" s="337">
        <f>IFERROR(VLOOKUP($G209,今日總結!$A:$AN,32,0),"")</f>
        <v>3</v>
      </c>
      <c r="N209" s="240">
        <f t="shared" si="83"/>
        <v>2</v>
      </c>
      <c r="O209" s="359">
        <f>IFERROR(VLOOKUP($G209,融外自投!$A:$J,7,0),"無")</f>
        <v>984</v>
      </c>
      <c r="P209" s="79">
        <f>IFERROR(VLOOKUP($G209,融外自投!$A:$J,9,0),"無")</f>
        <v>908</v>
      </c>
      <c r="Q209" s="342">
        <f>IFERROR(VLOOKUP($G209,融外自投!$A:$J,8,0),"無")</f>
        <v>1409</v>
      </c>
      <c r="R209" s="81" t="str">
        <f>IFERROR(VLOOKUP($G209,融外自投!$A:$J,10,0),"無")</f>
        <v>無</v>
      </c>
      <c r="S209" s="324">
        <f>IFERROR(VLOOKUP($G209,'321買'!$A:$E,5,0),"'沒有資料'")</f>
        <v>0</v>
      </c>
      <c r="T209" s="34">
        <v>2</v>
      </c>
      <c r="V209" s="94">
        <f>T209/W209</f>
        <v>4.77326968973747E-2</v>
      </c>
      <c r="W209" s="36">
        <v>41.9</v>
      </c>
      <c r="X209" s="66">
        <v>40.950000000000003</v>
      </c>
      <c r="Y209" s="15">
        <f t="shared" si="80"/>
        <v>0.94999999999999574</v>
      </c>
      <c r="Z209" s="63">
        <f t="shared" si="81"/>
        <v>2.3199023199023092E-2</v>
      </c>
      <c r="AA209" s="101" t="s">
        <v>3333</v>
      </c>
      <c r="AC209" s="16" t="s">
        <v>717</v>
      </c>
      <c r="AD209" s="84">
        <v>44299</v>
      </c>
      <c r="AE209" s="83">
        <v>44340</v>
      </c>
      <c r="AF209" s="33">
        <f t="shared" si="82"/>
        <v>41</v>
      </c>
      <c r="AG209" s="41" t="s">
        <v>1121</v>
      </c>
      <c r="AI209" s="8"/>
    </row>
    <row r="210" spans="1:35" s="248" customFormat="1" ht="15.75" customHeight="1">
      <c r="A210" s="127" t="s">
        <v>2983</v>
      </c>
      <c r="B210" s="79">
        <v>33</v>
      </c>
      <c r="C210" s="80">
        <v>-11</v>
      </c>
      <c r="D210" s="80">
        <v>-23</v>
      </c>
      <c r="E210" s="80">
        <v>-48</v>
      </c>
      <c r="F210" s="57">
        <v>26.29</v>
      </c>
      <c r="G210" s="80">
        <v>4736</v>
      </c>
      <c r="H210" s="30" t="s">
        <v>1461</v>
      </c>
      <c r="I210" s="166" t="s">
        <v>38</v>
      </c>
      <c r="J210" s="8">
        <f>IFERROR(VLOOKUP($G210,今日總結!$A:$AN,33,0),"")</f>
        <v>0</v>
      </c>
      <c r="K210" s="5">
        <f>IFERROR(VLOOKUP($G210,今日總結!$A:$AN,34,0),"")</f>
        <v>0</v>
      </c>
      <c r="L210" s="156">
        <f>IFERROR(VLOOKUP($G210,今日總結!$A:$AN,31,0),"")</f>
        <v>0</v>
      </c>
      <c r="M210" s="337">
        <f>IFERROR(VLOOKUP($G210,今日總結!$A:$AN,32,0),"")</f>
        <v>1</v>
      </c>
      <c r="N210" s="240">
        <f t="shared" si="83"/>
        <v>-1</v>
      </c>
      <c r="O210" s="359">
        <f>IFERROR(VLOOKUP($G210,融外自投!$A:$J,7,0),"無")</f>
        <v>269</v>
      </c>
      <c r="P210" s="79">
        <f>IFERROR(VLOOKUP($G210,融外自投!$A:$J,9,0),"無")</f>
        <v>294</v>
      </c>
      <c r="Q210" s="342">
        <f>IFERROR(VLOOKUP($G210,融外自投!$A:$J,8,0),"無")</f>
        <v>370</v>
      </c>
      <c r="R210" s="81">
        <f>IFERROR(VLOOKUP($G210,融外自投!$A:$J,10,0),"無")</f>
        <v>348</v>
      </c>
      <c r="S210" s="324">
        <f>IFERROR(VLOOKUP($G210,'321買'!$A:$E,5,0),"'沒有資料'")</f>
        <v>0</v>
      </c>
      <c r="T210" s="65">
        <v>11.5</v>
      </c>
      <c r="U210" s="308"/>
      <c r="V210" s="94">
        <v>18.309999999999999</v>
      </c>
      <c r="W210" s="161">
        <v>191</v>
      </c>
      <c r="X210" s="65">
        <v>190</v>
      </c>
      <c r="Y210" s="162">
        <f t="shared" si="80"/>
        <v>1</v>
      </c>
      <c r="Z210" s="158">
        <f t="shared" si="81"/>
        <v>5.263157894736842E-3</v>
      </c>
      <c r="AA210" s="167" t="s">
        <v>3327</v>
      </c>
      <c r="AB210" s="376"/>
      <c r="AC210" s="166" t="s">
        <v>38</v>
      </c>
      <c r="AD210" s="84">
        <v>44334</v>
      </c>
      <c r="AE210" s="83">
        <v>44337</v>
      </c>
      <c r="AF210" s="33">
        <f t="shared" si="82"/>
        <v>3</v>
      </c>
      <c r="AG210" s="41" t="s">
        <v>1121</v>
      </c>
      <c r="AH210" s="212"/>
      <c r="AI210" s="213"/>
    </row>
    <row r="211" spans="1:35">
      <c r="A211" s="127" t="s">
        <v>1676</v>
      </c>
      <c r="B211" s="79">
        <v>71</v>
      </c>
      <c r="C211" s="79">
        <v>66</v>
      </c>
      <c r="D211" s="80">
        <v>-9</v>
      </c>
      <c r="E211" s="79">
        <v>38</v>
      </c>
      <c r="F211" s="57">
        <v>23.43</v>
      </c>
      <c r="G211" s="79">
        <v>3014</v>
      </c>
      <c r="H211" s="50" t="s">
        <v>1403</v>
      </c>
      <c r="I211" s="22" t="s">
        <v>97</v>
      </c>
      <c r="J211" s="8">
        <f>IFERROR(VLOOKUP($G211,今日總結!$A:$AN,33,0),"")</f>
        <v>0</v>
      </c>
      <c r="K211" s="5">
        <f>IFERROR(VLOOKUP($G211,今日總結!$A:$AN,34,0),"")</f>
        <v>0</v>
      </c>
      <c r="L211" s="156">
        <f>IFERROR(VLOOKUP($G211,今日總結!$A:$AN,31,0),"")</f>
        <v>3</v>
      </c>
      <c r="M211" s="337">
        <f>IFERROR(VLOOKUP($G211,今日總結!$A:$AN,32,0),"")</f>
        <v>0</v>
      </c>
      <c r="N211" s="240">
        <f t="shared" si="83"/>
        <v>3</v>
      </c>
      <c r="O211" s="359">
        <f>IFERROR(VLOOKUP($G211,融外自投!$A:$J,7,0),"無")</f>
        <v>556</v>
      </c>
      <c r="P211" s="79">
        <f>IFERROR(VLOOKUP($G211,融外自投!$A:$J,9,0),"無")</f>
        <v>615</v>
      </c>
      <c r="Q211" s="342">
        <f>IFERROR(VLOOKUP($G211,融外自投!$A:$J,8,0),"無")</f>
        <v>547</v>
      </c>
      <c r="R211" s="81">
        <f>IFERROR(VLOOKUP($G211,融外自投!$A:$J,10,0),"無")</f>
        <v>348</v>
      </c>
      <c r="S211" s="324">
        <f>IFERROR(VLOOKUP($G211,'321買'!$A:$E,5,0),"'沒有資料'")</f>
        <v>0</v>
      </c>
      <c r="T211" s="66">
        <v>6</v>
      </c>
      <c r="V211" s="94">
        <v>5.83</v>
      </c>
      <c r="W211" s="36">
        <v>112.5</v>
      </c>
      <c r="X211" s="66">
        <v>111</v>
      </c>
      <c r="Y211" s="15">
        <f t="shared" si="80"/>
        <v>1.5</v>
      </c>
      <c r="Z211" s="63">
        <f t="shared" si="81"/>
        <v>1.3513513513513514E-2</v>
      </c>
      <c r="AA211" s="99" t="s">
        <v>3320</v>
      </c>
      <c r="AC211" s="22" t="s">
        <v>97</v>
      </c>
      <c r="AD211" s="84">
        <v>44335</v>
      </c>
      <c r="AE211" s="83">
        <v>44335</v>
      </c>
      <c r="AF211" s="33">
        <f t="shared" si="82"/>
        <v>0</v>
      </c>
      <c r="AG211" s="127" t="s">
        <v>1121</v>
      </c>
      <c r="AI211" s="8"/>
    </row>
    <row r="212" spans="1:35">
      <c r="A212" s="142" t="s">
        <v>1653</v>
      </c>
      <c r="B212" s="79">
        <v>480</v>
      </c>
      <c r="C212" s="79">
        <v>91</v>
      </c>
      <c r="D212" s="79">
        <v>329</v>
      </c>
      <c r="E212" s="80">
        <v>-4</v>
      </c>
      <c r="F212" s="6">
        <v>-1.38</v>
      </c>
      <c r="G212" s="80">
        <v>4142</v>
      </c>
      <c r="H212" s="50" t="s">
        <v>1403</v>
      </c>
      <c r="I212" s="22" t="s">
        <v>632</v>
      </c>
      <c r="J212" s="8">
        <f>IFERROR(VLOOKUP($G212,今日總結!$A:$AN,33,0),"")</f>
        <v>0</v>
      </c>
      <c r="K212" s="5">
        <f>IFERROR(VLOOKUP($G212,今日總結!$A:$AN,34,0),"")</f>
        <v>0</v>
      </c>
      <c r="L212" s="156">
        <f>IFERROR(VLOOKUP($G212,今日總結!$A:$AN,31,0),"")</f>
        <v>3</v>
      </c>
      <c r="M212" s="337">
        <f>IFERROR(VLOOKUP($G212,今日總結!$A:$AN,32,0),"")</f>
        <v>0</v>
      </c>
      <c r="N212" s="240">
        <f t="shared" si="83"/>
        <v>3</v>
      </c>
      <c r="O212" s="359">
        <f>IFERROR(VLOOKUP($G212,融外自投!$A:$J,7,0),"無")</f>
        <v>412</v>
      </c>
      <c r="P212" s="79">
        <f>IFERROR(VLOOKUP($G212,融外自投!$A:$J,9,0),"無")</f>
        <v>171</v>
      </c>
      <c r="Q212" s="342">
        <f>IFERROR(VLOOKUP($G212,融外自投!$A:$J,8,0),"無")</f>
        <v>610</v>
      </c>
      <c r="R212" s="81">
        <f>IFERROR(VLOOKUP($G212,融外自投!$A:$J,10,0),"無")</f>
        <v>358</v>
      </c>
      <c r="S212" s="324">
        <f>IFERROR(VLOOKUP($G212,'321買'!$A:$E,5,0),"'沒有資料'")</f>
        <v>0</v>
      </c>
      <c r="T212" s="34">
        <v>0.5</v>
      </c>
      <c r="V212" s="94">
        <v>3.08</v>
      </c>
      <c r="W212" s="36">
        <v>59.1</v>
      </c>
      <c r="X212" s="66">
        <v>60.1</v>
      </c>
      <c r="Y212" s="15">
        <f t="shared" si="80"/>
        <v>-1</v>
      </c>
      <c r="Z212" s="76">
        <f t="shared" si="81"/>
        <v>-1.6638935108153077E-2</v>
      </c>
      <c r="AA212" s="135" t="s">
        <v>3319</v>
      </c>
      <c r="AC212" s="22" t="s">
        <v>632</v>
      </c>
      <c r="AD212" s="84">
        <v>44335</v>
      </c>
      <c r="AE212" s="83">
        <v>44335</v>
      </c>
      <c r="AF212" s="33">
        <f t="shared" si="82"/>
        <v>0</v>
      </c>
      <c r="AG212" s="127" t="s">
        <v>1121</v>
      </c>
      <c r="AH212" s="127"/>
      <c r="AI212" s="213"/>
    </row>
    <row r="213" spans="1:35">
      <c r="A213" s="127" t="s">
        <v>1941</v>
      </c>
      <c r="B213" s="92">
        <v>1180</v>
      </c>
      <c r="C213" s="79">
        <v>471</v>
      </c>
      <c r="D213" s="79">
        <v>0</v>
      </c>
      <c r="E213" s="79">
        <v>38</v>
      </c>
      <c r="F213" s="57">
        <v>13.34</v>
      </c>
      <c r="G213" s="80">
        <v>3540</v>
      </c>
      <c r="H213" s="30" t="s">
        <v>1461</v>
      </c>
      <c r="I213" s="16" t="s">
        <v>175</v>
      </c>
      <c r="J213" s="8">
        <f>IFERROR(VLOOKUP($G213,今日總結!$A:$AN,33,0),"")</f>
        <v>0</v>
      </c>
      <c r="K213" s="5">
        <f>IFERROR(VLOOKUP($G213,今日總結!$A:$AN,34,0),"")</f>
        <v>0</v>
      </c>
      <c r="L213" s="156">
        <f>IFERROR(VLOOKUP($G213,今日總結!$A:$AN,31,0),"")</f>
        <v>1</v>
      </c>
      <c r="M213" s="337">
        <f>IFERROR(VLOOKUP($G213,今日總結!$A:$AN,32,0),"")</f>
        <v>0</v>
      </c>
      <c r="N213" s="240">
        <f t="shared" si="83"/>
        <v>1</v>
      </c>
      <c r="O213" s="359">
        <f>IFERROR(VLOOKUP($G213,融外自投!$A:$J,7,0),"無")</f>
        <v>592</v>
      </c>
      <c r="P213" s="79" t="str">
        <f>IFERROR(VLOOKUP($G213,融外自投!$A:$J,9,0),"無")</f>
        <v>無</v>
      </c>
      <c r="Q213" s="342">
        <f>IFERROR(VLOOKUP($G213,融外自投!$A:$J,8,0),"無")</f>
        <v>1013</v>
      </c>
      <c r="R213" s="81" t="str">
        <f>IFERROR(VLOOKUP($G213,融外自投!$A:$J,10,0),"無")</f>
        <v>無</v>
      </c>
      <c r="S213" s="324">
        <f>IFERROR(VLOOKUP($G213,'321買'!$A:$E,5,0),"'沒有資料'")</f>
        <v>0</v>
      </c>
      <c r="T213" s="66">
        <v>4.5</v>
      </c>
      <c r="V213" s="94">
        <v>9.01</v>
      </c>
      <c r="W213" s="36">
        <v>67.5</v>
      </c>
      <c r="X213" s="66">
        <v>65.7</v>
      </c>
      <c r="Y213" s="15">
        <f t="shared" si="80"/>
        <v>1.7999999999999972</v>
      </c>
      <c r="Z213" s="63">
        <f t="shared" si="81"/>
        <v>2.739726027397256E-2</v>
      </c>
      <c r="AA213" s="101" t="s">
        <v>3315</v>
      </c>
      <c r="AC213" s="16" t="s">
        <v>175</v>
      </c>
      <c r="AD213" s="84">
        <v>44335</v>
      </c>
      <c r="AE213" s="83">
        <v>44335</v>
      </c>
      <c r="AF213" s="33">
        <f t="shared" si="82"/>
        <v>0</v>
      </c>
      <c r="AG213" s="41" t="s">
        <v>1121</v>
      </c>
      <c r="AH213" s="221"/>
      <c r="AI213" s="213"/>
    </row>
    <row r="214" spans="1:35">
      <c r="A214" s="127" t="s">
        <v>1863</v>
      </c>
      <c r="B214" s="79">
        <v>340</v>
      </c>
      <c r="C214" s="79">
        <v>392</v>
      </c>
      <c r="D214" s="80">
        <v>-32</v>
      </c>
      <c r="E214" s="80">
        <v>-22</v>
      </c>
      <c r="F214" s="57">
        <v>50.71</v>
      </c>
      <c r="G214" s="80">
        <v>4171</v>
      </c>
      <c r="H214" s="30" t="s">
        <v>1461</v>
      </c>
      <c r="I214" s="16" t="s">
        <v>1038</v>
      </c>
      <c r="J214" s="8">
        <f>IFERROR(VLOOKUP($G214,今日總結!$A:$AN,33,0),"")</f>
        <v>3</v>
      </c>
      <c r="K214" s="5">
        <f>IFERROR(VLOOKUP($G214,今日總結!$A:$AN,34,0),"")</f>
        <v>0</v>
      </c>
      <c r="L214" s="156">
        <f>IFERROR(VLOOKUP($G214,今日總結!$A:$AN,31,0),"")</f>
        <v>0</v>
      </c>
      <c r="M214" s="337">
        <f>IFERROR(VLOOKUP($G214,今日總結!$A:$AN,32,0),"")</f>
        <v>1</v>
      </c>
      <c r="N214" s="240">
        <f t="shared" si="83"/>
        <v>-1</v>
      </c>
      <c r="O214" s="359">
        <f>IFERROR(VLOOKUP($G214,融外自投!$A:$J,7,0),"無")</f>
        <v>45</v>
      </c>
      <c r="P214" s="79">
        <f>IFERROR(VLOOKUP($G214,融外自投!$A:$J,9,0),"無")</f>
        <v>136</v>
      </c>
      <c r="Q214" s="342">
        <f>IFERROR(VLOOKUP($G214,融外自投!$A:$J,8,0),"無")</f>
        <v>209</v>
      </c>
      <c r="R214" s="81" t="str">
        <f>IFERROR(VLOOKUP($G214,融外自投!$A:$J,10,0),"無")</f>
        <v>無</v>
      </c>
      <c r="S214" s="324">
        <f>IFERROR(VLOOKUP($G214,'321買'!$A:$E,5,0),"'沒有資料'")</f>
        <v>0</v>
      </c>
      <c r="T214" s="66">
        <v>3.83</v>
      </c>
      <c r="V214" s="94">
        <v>8.31</v>
      </c>
      <c r="W214" s="36">
        <v>175.5</v>
      </c>
      <c r="X214" s="66">
        <v>173</v>
      </c>
      <c r="Y214" s="15">
        <f t="shared" si="80"/>
        <v>2.5</v>
      </c>
      <c r="Z214" s="63">
        <f t="shared" si="81"/>
        <v>1.4450867052023121E-2</v>
      </c>
      <c r="AA214" s="101" t="s">
        <v>3316</v>
      </c>
      <c r="AC214" s="16" t="s">
        <v>1038</v>
      </c>
      <c r="AD214" s="84">
        <v>44335</v>
      </c>
      <c r="AE214" s="83">
        <v>44335</v>
      </c>
      <c r="AF214" s="33">
        <f t="shared" si="82"/>
        <v>0</v>
      </c>
      <c r="AG214" s="41" t="s">
        <v>1121</v>
      </c>
      <c r="AH214" s="221"/>
      <c r="AI214" s="213"/>
    </row>
    <row r="215" spans="1:35">
      <c r="A215" s="127" t="s">
        <v>1663</v>
      </c>
      <c r="B215" s="80">
        <v>-1</v>
      </c>
      <c r="C215" s="79">
        <v>6</v>
      </c>
      <c r="D215" s="80">
        <v>-10</v>
      </c>
      <c r="E215" s="79">
        <v>14</v>
      </c>
      <c r="F215" s="57">
        <v>24.68</v>
      </c>
      <c r="G215" s="79">
        <v>5483</v>
      </c>
      <c r="H215" s="50" t="s">
        <v>1403</v>
      </c>
      <c r="I215" s="16" t="s">
        <v>145</v>
      </c>
      <c r="J215" s="8">
        <f>IFERROR(VLOOKUP($G215,今日總結!$A:$AN,33,0),"")</f>
        <v>1</v>
      </c>
      <c r="K215" s="5">
        <f>IFERROR(VLOOKUP($G215,今日總結!$A:$AN,34,0),"")</f>
        <v>1</v>
      </c>
      <c r="L215" s="156">
        <f>IFERROR(VLOOKUP($G215,今日總結!$A:$AN,31,0),"")</f>
        <v>0</v>
      </c>
      <c r="M215" s="337">
        <f>IFERROR(VLOOKUP($G215,今日總結!$A:$AN,32,0),"")</f>
        <v>1</v>
      </c>
      <c r="N215" s="240">
        <f t="shared" si="83"/>
        <v>-1</v>
      </c>
      <c r="O215" s="359">
        <f>IFERROR(VLOOKUP($G215,融外自投!$A:$J,7,0),"無")</f>
        <v>622</v>
      </c>
      <c r="P215" s="79">
        <f>IFERROR(VLOOKUP($G215,融外自投!$A:$J,9,0),"無")</f>
        <v>240</v>
      </c>
      <c r="Q215" s="342">
        <f>IFERROR(VLOOKUP($G215,融外自投!$A:$J,8,0),"無")</f>
        <v>253</v>
      </c>
      <c r="R215" s="81">
        <f>IFERROR(VLOOKUP($G215,融外自投!$A:$J,10,0),"無")</f>
        <v>47</v>
      </c>
      <c r="S215" s="324">
        <f>IFERROR(VLOOKUP($G215,'321買'!$A:$E,5,0),"'沒有資料'")</f>
        <v>0</v>
      </c>
      <c r="T215" s="66">
        <v>5.5</v>
      </c>
      <c r="V215" s="57">
        <v>10.94</v>
      </c>
      <c r="W215" s="36">
        <v>153.5</v>
      </c>
      <c r="X215" s="66">
        <v>152</v>
      </c>
      <c r="Y215" s="15">
        <f t="shared" si="80"/>
        <v>1.5</v>
      </c>
      <c r="Z215" s="63">
        <f t="shared" si="81"/>
        <v>9.8684210526315784E-3</v>
      </c>
      <c r="AA215" s="167" t="s">
        <v>3317</v>
      </c>
      <c r="AC215" s="16" t="s">
        <v>145</v>
      </c>
      <c r="AD215" s="84">
        <v>44334</v>
      </c>
      <c r="AE215" s="83">
        <v>44334</v>
      </c>
      <c r="AF215" s="33">
        <f t="shared" ref="AF215:AF225" si="84">AE215-AD215</f>
        <v>0</v>
      </c>
      <c r="AG215" s="127" t="s">
        <v>1121</v>
      </c>
      <c r="AH215" s="221"/>
      <c r="AI215" s="214"/>
    </row>
    <row r="216" spans="1:35">
      <c r="A216" s="127" t="s">
        <v>1863</v>
      </c>
      <c r="B216" s="79">
        <v>340</v>
      </c>
      <c r="C216" s="79">
        <v>392</v>
      </c>
      <c r="D216" s="80">
        <v>-32</v>
      </c>
      <c r="E216" s="80">
        <v>-22</v>
      </c>
      <c r="F216" s="57">
        <v>50.71</v>
      </c>
      <c r="G216" s="80">
        <v>4171</v>
      </c>
      <c r="H216" s="30" t="s">
        <v>1461</v>
      </c>
      <c r="I216" s="16" t="s">
        <v>1038</v>
      </c>
      <c r="J216" s="8">
        <f>IFERROR(VLOOKUP($G216,今日總結!$A:$AN,33,0),"")</f>
        <v>3</v>
      </c>
      <c r="K216" s="5">
        <f>IFERROR(VLOOKUP($G216,今日總結!$A:$AN,34,0),"")</f>
        <v>0</v>
      </c>
      <c r="L216" s="156">
        <f>IFERROR(VLOOKUP($G216,今日總結!$A:$AN,31,0),"")</f>
        <v>0</v>
      </c>
      <c r="M216" s="337">
        <f>IFERROR(VLOOKUP($G216,今日總結!$A:$AN,32,0),"")</f>
        <v>1</v>
      </c>
      <c r="N216" s="240">
        <f t="shared" si="83"/>
        <v>-1</v>
      </c>
      <c r="O216" s="359">
        <f>IFERROR(VLOOKUP($G216,融外自投!$A:$J,7,0),"無")</f>
        <v>45</v>
      </c>
      <c r="P216" s="79">
        <f>IFERROR(VLOOKUP($G216,融外自投!$A:$J,9,0),"無")</f>
        <v>136</v>
      </c>
      <c r="Q216" s="342">
        <f>IFERROR(VLOOKUP($G216,融外自投!$A:$J,8,0),"無")</f>
        <v>209</v>
      </c>
      <c r="R216" s="81" t="str">
        <f>IFERROR(VLOOKUP($G216,融外自投!$A:$J,10,0),"無")</f>
        <v>無</v>
      </c>
      <c r="S216" s="324">
        <f>IFERROR(VLOOKUP($G216,'321買'!$A:$E,5,0),"'沒有資料'")</f>
        <v>0</v>
      </c>
      <c r="T216" s="66">
        <v>3.83</v>
      </c>
      <c r="V216" s="94">
        <v>8.31</v>
      </c>
      <c r="W216" s="36">
        <v>167.5</v>
      </c>
      <c r="X216" s="66">
        <v>165.5</v>
      </c>
      <c r="Y216" s="15">
        <f t="shared" si="80"/>
        <v>2</v>
      </c>
      <c r="Z216" s="63">
        <f t="shared" si="81"/>
        <v>1.2084592145015106E-2</v>
      </c>
      <c r="AA216" s="101" t="s">
        <v>3318</v>
      </c>
      <c r="AC216" s="16" t="s">
        <v>1038</v>
      </c>
      <c r="AD216" s="84">
        <v>44334</v>
      </c>
      <c r="AE216" s="83">
        <v>44334</v>
      </c>
      <c r="AF216" s="33">
        <f t="shared" si="84"/>
        <v>0</v>
      </c>
      <c r="AG216" s="41" t="s">
        <v>1121</v>
      </c>
      <c r="AH216" s="221"/>
      <c r="AI216" s="213"/>
    </row>
    <row r="217" spans="1:35">
      <c r="A217" s="142" t="s">
        <v>1707</v>
      </c>
      <c r="B217" s="80">
        <v>-47</v>
      </c>
      <c r="C217" s="80">
        <v>-47</v>
      </c>
      <c r="D217" s="80">
        <v>-17</v>
      </c>
      <c r="E217" s="80">
        <v>-38</v>
      </c>
      <c r="F217" s="207">
        <v>4.82</v>
      </c>
      <c r="G217" s="80">
        <v>9919</v>
      </c>
      <c r="H217" s="50" t="s">
        <v>1403</v>
      </c>
      <c r="I217" s="22" t="s">
        <v>698</v>
      </c>
      <c r="J217" s="8">
        <f>IFERROR(VLOOKUP($G217,今日總結!$A:$AN,33,0),"")</f>
        <v>0</v>
      </c>
      <c r="K217" s="5">
        <f>IFERROR(VLOOKUP($G217,今日總結!$A:$AN,34,0),"")</f>
        <v>0</v>
      </c>
      <c r="L217" s="156">
        <f>IFERROR(VLOOKUP($G217,今日總結!$A:$AN,31,0),"")</f>
        <v>0</v>
      </c>
      <c r="M217" s="337">
        <f>IFERROR(VLOOKUP($G217,今日總結!$A:$AN,32,0),"")</f>
        <v>0</v>
      </c>
      <c r="N217" s="240">
        <f t="shared" si="83"/>
        <v>0</v>
      </c>
      <c r="O217" s="359">
        <f>IFERROR(VLOOKUP($G217,融外自投!$A:$J,7,0),"無")</f>
        <v>458</v>
      </c>
      <c r="P217" s="79">
        <f>IFERROR(VLOOKUP($G217,融外自投!$A:$J,9,0),"無")</f>
        <v>119</v>
      </c>
      <c r="Q217" s="342">
        <f>IFERROR(VLOOKUP($G217,融外自投!$A:$J,8,0),"無")</f>
        <v>926</v>
      </c>
      <c r="R217" s="81">
        <f>IFERROR(VLOOKUP($G217,融外自投!$A:$J,10,0),"無")</f>
        <v>459</v>
      </c>
      <c r="S217" s="324">
        <f>IFERROR(VLOOKUP($G217,'321買'!$A:$E,5,0),"'沒有資料'")</f>
        <v>0</v>
      </c>
      <c r="T217" s="66">
        <v>3</v>
      </c>
      <c r="V217" s="94">
        <v>4.32</v>
      </c>
      <c r="W217" s="36">
        <v>43.9</v>
      </c>
      <c r="X217" s="66">
        <v>44.85</v>
      </c>
      <c r="Y217" s="15">
        <f t="shared" si="80"/>
        <v>-0.95000000000000284</v>
      </c>
      <c r="Z217" s="76">
        <f t="shared" si="81"/>
        <v>-2.118171683389081E-2</v>
      </c>
      <c r="AA217" s="100" t="s">
        <v>3312</v>
      </c>
      <c r="AC217" s="22" t="s">
        <v>698</v>
      </c>
      <c r="AD217" s="84">
        <v>44334</v>
      </c>
      <c r="AE217" s="83">
        <v>44334</v>
      </c>
      <c r="AF217" s="33">
        <f t="shared" si="84"/>
        <v>0</v>
      </c>
      <c r="AG217" s="127" t="s">
        <v>1121</v>
      </c>
      <c r="AH217" s="221"/>
      <c r="AI217" s="8"/>
    </row>
    <row r="218" spans="1:35">
      <c r="A218" s="127" t="s">
        <v>1888</v>
      </c>
      <c r="B218" s="92">
        <v>5707</v>
      </c>
      <c r="C218" s="92">
        <v>7419</v>
      </c>
      <c r="D218" s="79">
        <v>24</v>
      </c>
      <c r="E218" s="80">
        <v>-46</v>
      </c>
      <c r="F218" s="57">
        <v>62.23</v>
      </c>
      <c r="G218" s="80">
        <v>1325</v>
      </c>
      <c r="H218" s="30" t="s">
        <v>1461</v>
      </c>
      <c r="I218" s="22" t="s">
        <v>602</v>
      </c>
      <c r="J218" s="8">
        <f>IFERROR(VLOOKUP($G218,今日總結!$A:$AN,33,0),"")</f>
        <v>0</v>
      </c>
      <c r="K218" s="5">
        <f>IFERROR(VLOOKUP($G218,今日總結!$A:$AN,34,0),"")</f>
        <v>0</v>
      </c>
      <c r="L218" s="156">
        <f>IFERROR(VLOOKUP($G218,今日總結!$A:$AN,31,0),"")</f>
        <v>7</v>
      </c>
      <c r="M218" s="337">
        <f>IFERROR(VLOOKUP($G218,今日總結!$A:$AN,32,0),"")</f>
        <v>0</v>
      </c>
      <c r="N218" s="240">
        <f t="shared" si="83"/>
        <v>7</v>
      </c>
      <c r="O218" s="359">
        <f>IFERROR(VLOOKUP($G218,融外自投!$A:$J,7,0),"無")</f>
        <v>320</v>
      </c>
      <c r="P218" s="79">
        <f>IFERROR(VLOOKUP($G218,融外自投!$A:$J,9,0),"無")</f>
        <v>24</v>
      </c>
      <c r="Q218" s="342">
        <f>IFERROR(VLOOKUP($G218,融外自投!$A:$J,8,0),"無")</f>
        <v>832</v>
      </c>
      <c r="R218" s="81" t="str">
        <f>IFERROR(VLOOKUP($G218,融外自投!$A:$J,10,0),"無")</f>
        <v>無</v>
      </c>
      <c r="S218" s="324">
        <f>IFERROR(VLOOKUP($G218,'321買'!$A:$E,5,0),"'沒有資料'")</f>
        <v>0</v>
      </c>
      <c r="T218" s="66">
        <v>12</v>
      </c>
      <c r="V218" s="94">
        <v>23.16</v>
      </c>
      <c r="W218" s="217">
        <v>112.5</v>
      </c>
      <c r="X218" s="66">
        <v>110</v>
      </c>
      <c r="Y218" s="15">
        <f t="shared" si="80"/>
        <v>2.5</v>
      </c>
      <c r="Z218" s="63">
        <f t="shared" si="81"/>
        <v>2.2727272727272728E-2</v>
      </c>
      <c r="AA218" s="101" t="s">
        <v>1703</v>
      </c>
      <c r="AC218" s="22" t="s">
        <v>602</v>
      </c>
      <c r="AD218" s="84">
        <v>44334</v>
      </c>
      <c r="AE218" s="83">
        <v>44334</v>
      </c>
      <c r="AF218" s="33">
        <f t="shared" si="84"/>
        <v>0</v>
      </c>
      <c r="AG218" s="41" t="s">
        <v>1121</v>
      </c>
      <c r="AH218" s="210"/>
      <c r="AI218" s="182"/>
    </row>
    <row r="219" spans="1:35">
      <c r="A219" s="127" t="s">
        <v>1863</v>
      </c>
      <c r="B219" s="79">
        <v>340</v>
      </c>
      <c r="C219" s="79">
        <v>392</v>
      </c>
      <c r="D219" s="80">
        <v>-32</v>
      </c>
      <c r="E219" s="80">
        <v>-22</v>
      </c>
      <c r="F219" s="57">
        <v>50.71</v>
      </c>
      <c r="G219" s="80">
        <v>4171</v>
      </c>
      <c r="H219" s="30" t="s">
        <v>1461</v>
      </c>
      <c r="I219" s="16" t="s">
        <v>1038</v>
      </c>
      <c r="J219" s="8">
        <f>IFERROR(VLOOKUP($G219,今日總結!$A:$AN,33,0),"")</f>
        <v>3</v>
      </c>
      <c r="K219" s="5">
        <f>IFERROR(VLOOKUP($G219,今日總結!$A:$AN,34,0),"")</f>
        <v>0</v>
      </c>
      <c r="L219" s="156">
        <f>IFERROR(VLOOKUP($G219,今日總結!$A:$AN,31,0),"")</f>
        <v>0</v>
      </c>
      <c r="M219" s="337">
        <f>IFERROR(VLOOKUP($G219,今日總結!$A:$AN,32,0),"")</f>
        <v>1</v>
      </c>
      <c r="N219" s="240">
        <f t="shared" si="83"/>
        <v>-1</v>
      </c>
      <c r="O219" s="359">
        <f>IFERROR(VLOOKUP($G219,融外自投!$A:$J,7,0),"無")</f>
        <v>45</v>
      </c>
      <c r="P219" s="79">
        <f>IFERROR(VLOOKUP($G219,融外自投!$A:$J,9,0),"無")</f>
        <v>136</v>
      </c>
      <c r="Q219" s="342">
        <f>IFERROR(VLOOKUP($G219,融外自投!$A:$J,8,0),"無")</f>
        <v>209</v>
      </c>
      <c r="R219" s="81" t="str">
        <f>IFERROR(VLOOKUP($G219,融外自投!$A:$J,10,0),"無")</f>
        <v>無</v>
      </c>
      <c r="S219" s="324">
        <f>IFERROR(VLOOKUP($G219,'321買'!$A:$E,5,0),"'沒有資料'")</f>
        <v>0</v>
      </c>
      <c r="T219" s="66">
        <v>3.83</v>
      </c>
      <c r="V219" s="94">
        <v>8.31</v>
      </c>
      <c r="W219" s="36">
        <v>168.5</v>
      </c>
      <c r="X219" s="66">
        <v>166</v>
      </c>
      <c r="Y219" s="15">
        <f t="shared" si="80"/>
        <v>2.5</v>
      </c>
      <c r="Z219" s="63">
        <f t="shared" si="81"/>
        <v>1.5060240963855422E-2</v>
      </c>
      <c r="AA219" s="101" t="s">
        <v>3311</v>
      </c>
      <c r="AC219" s="16" t="s">
        <v>1038</v>
      </c>
      <c r="AD219" s="84">
        <v>44330</v>
      </c>
      <c r="AE219" s="83">
        <v>44334</v>
      </c>
      <c r="AF219" s="33">
        <f t="shared" si="84"/>
        <v>4</v>
      </c>
      <c r="AG219" s="41" t="s">
        <v>1121</v>
      </c>
      <c r="AH219" s="221"/>
      <c r="AI219" s="213"/>
    </row>
    <row r="220" spans="1:35">
      <c r="A220" s="127" t="s">
        <v>1663</v>
      </c>
      <c r="B220" s="80">
        <v>-1</v>
      </c>
      <c r="C220" s="79">
        <v>6</v>
      </c>
      <c r="D220" s="80">
        <v>-10</v>
      </c>
      <c r="E220" s="79">
        <v>14</v>
      </c>
      <c r="F220" s="57">
        <v>24.68</v>
      </c>
      <c r="G220" s="79">
        <v>5483</v>
      </c>
      <c r="H220" s="50" t="s">
        <v>1403</v>
      </c>
      <c r="I220" s="16" t="s">
        <v>145</v>
      </c>
      <c r="J220" s="8">
        <f>IFERROR(VLOOKUP($G220,今日總結!$A:$AN,33,0),"")</f>
        <v>1</v>
      </c>
      <c r="K220" s="5">
        <f>IFERROR(VLOOKUP($G220,今日總結!$A:$AN,34,0),"")</f>
        <v>1</v>
      </c>
      <c r="L220" s="156">
        <f>IFERROR(VLOOKUP($G220,今日總結!$A:$AN,31,0),"")</f>
        <v>0</v>
      </c>
      <c r="M220" s="337">
        <f>IFERROR(VLOOKUP($G220,今日總結!$A:$AN,32,0),"")</f>
        <v>1</v>
      </c>
      <c r="N220" s="240">
        <f t="shared" si="83"/>
        <v>-1</v>
      </c>
      <c r="O220" s="359">
        <f>IFERROR(VLOOKUP($G220,融外自投!$A:$J,7,0),"無")</f>
        <v>622</v>
      </c>
      <c r="P220" s="79">
        <f>IFERROR(VLOOKUP($G220,融外自投!$A:$J,9,0),"無")</f>
        <v>240</v>
      </c>
      <c r="Q220" s="342">
        <f>IFERROR(VLOOKUP($G220,融外自投!$A:$J,8,0),"無")</f>
        <v>253</v>
      </c>
      <c r="R220" s="81">
        <f>IFERROR(VLOOKUP($G220,融外自投!$A:$J,10,0),"無")</f>
        <v>47</v>
      </c>
      <c r="S220" s="324">
        <f>IFERROR(VLOOKUP($G220,'321買'!$A:$E,5,0),"'沒有資料'")</f>
        <v>0</v>
      </c>
      <c r="T220" s="66">
        <v>5.5</v>
      </c>
      <c r="V220" s="57">
        <v>10.94</v>
      </c>
      <c r="W220" s="36">
        <v>150.5</v>
      </c>
      <c r="X220" s="66">
        <v>150</v>
      </c>
      <c r="Y220" s="15">
        <f t="shared" si="80"/>
        <v>0.5</v>
      </c>
      <c r="Z220" s="63">
        <f t="shared" si="81"/>
        <v>3.3333333333333335E-3</v>
      </c>
      <c r="AA220" s="167" t="s">
        <v>3310</v>
      </c>
      <c r="AC220" s="16" t="s">
        <v>145</v>
      </c>
      <c r="AD220" s="84">
        <v>44333</v>
      </c>
      <c r="AE220" s="83">
        <v>44334</v>
      </c>
      <c r="AF220" s="33">
        <f t="shared" si="84"/>
        <v>1</v>
      </c>
      <c r="AG220" s="127" t="s">
        <v>1121</v>
      </c>
      <c r="AH220" s="221"/>
      <c r="AI220" s="214"/>
    </row>
    <row r="221" spans="1:35">
      <c r="A221" s="127" t="s">
        <v>1663</v>
      </c>
      <c r="B221" s="80">
        <v>-1</v>
      </c>
      <c r="C221" s="79">
        <v>6</v>
      </c>
      <c r="D221" s="80">
        <v>-10</v>
      </c>
      <c r="E221" s="79">
        <v>14</v>
      </c>
      <c r="F221" s="57">
        <v>24.68</v>
      </c>
      <c r="G221" s="79">
        <v>5483</v>
      </c>
      <c r="H221" s="30" t="s">
        <v>1461</v>
      </c>
      <c r="I221" s="16" t="s">
        <v>145</v>
      </c>
      <c r="J221" s="8">
        <f>IFERROR(VLOOKUP($G221,今日總結!$A:$AN,33,0),"")</f>
        <v>1</v>
      </c>
      <c r="K221" s="5">
        <f>IFERROR(VLOOKUP($G221,今日總結!$A:$AN,34,0),"")</f>
        <v>1</v>
      </c>
      <c r="L221" s="156">
        <f>IFERROR(VLOOKUP($G221,今日總結!$A:$AN,31,0),"")</f>
        <v>0</v>
      </c>
      <c r="M221" s="337">
        <f>IFERROR(VLOOKUP($G221,今日總結!$A:$AN,32,0),"")</f>
        <v>1</v>
      </c>
      <c r="N221" s="240">
        <f t="shared" si="83"/>
        <v>-1</v>
      </c>
      <c r="O221" s="359">
        <f>IFERROR(VLOOKUP($G221,融外自投!$A:$J,7,0),"無")</f>
        <v>622</v>
      </c>
      <c r="P221" s="79">
        <f>IFERROR(VLOOKUP($G221,融外自投!$A:$J,9,0),"無")</f>
        <v>240</v>
      </c>
      <c r="Q221" s="342">
        <f>IFERROR(VLOOKUP($G221,融外自投!$A:$J,8,0),"無")</f>
        <v>253</v>
      </c>
      <c r="R221" s="81">
        <f>IFERROR(VLOOKUP($G221,融外自投!$A:$J,10,0),"無")</f>
        <v>47</v>
      </c>
      <c r="S221" s="324">
        <f>IFERROR(VLOOKUP($G221,'321買'!$A:$E,5,0),"'沒有資料'")</f>
        <v>0</v>
      </c>
      <c r="T221" s="66">
        <v>5.5</v>
      </c>
      <c r="V221" s="57">
        <v>10.94</v>
      </c>
      <c r="W221" s="36">
        <v>150</v>
      </c>
      <c r="X221" s="66">
        <v>150</v>
      </c>
      <c r="Y221" s="15">
        <f t="shared" si="80"/>
        <v>0</v>
      </c>
      <c r="Z221" s="63">
        <f t="shared" si="81"/>
        <v>0</v>
      </c>
      <c r="AA221" s="167" t="s">
        <v>1499</v>
      </c>
      <c r="AC221" s="16" t="s">
        <v>145</v>
      </c>
      <c r="AD221" s="84">
        <v>44333</v>
      </c>
      <c r="AE221" s="83">
        <v>44334</v>
      </c>
      <c r="AF221" s="33">
        <f t="shared" si="84"/>
        <v>1</v>
      </c>
      <c r="AG221" s="41" t="s">
        <v>1121</v>
      </c>
      <c r="AH221" s="221"/>
      <c r="AI221" s="214"/>
    </row>
    <row r="222" spans="1:35">
      <c r="A222" s="127" t="s">
        <v>1863</v>
      </c>
      <c r="B222" s="79">
        <v>340</v>
      </c>
      <c r="C222" s="79">
        <v>392</v>
      </c>
      <c r="D222" s="80">
        <v>-32</v>
      </c>
      <c r="E222" s="80">
        <v>-22</v>
      </c>
      <c r="F222" s="57">
        <v>50.71</v>
      </c>
      <c r="G222" s="80">
        <v>4171</v>
      </c>
      <c r="H222" s="30" t="s">
        <v>1461</v>
      </c>
      <c r="I222" s="16" t="s">
        <v>1038</v>
      </c>
      <c r="J222" s="8">
        <f>IFERROR(VLOOKUP($G222,今日總結!$A:$AN,33,0),"")</f>
        <v>3</v>
      </c>
      <c r="K222" s="5">
        <f>IFERROR(VLOOKUP($G222,今日總結!$A:$AN,34,0),"")</f>
        <v>0</v>
      </c>
      <c r="L222" s="156">
        <f>IFERROR(VLOOKUP($G222,今日總結!$A:$AN,31,0),"")</f>
        <v>0</v>
      </c>
      <c r="M222" s="337">
        <f>IFERROR(VLOOKUP($G222,今日總結!$A:$AN,32,0),"")</f>
        <v>1</v>
      </c>
      <c r="N222" s="240">
        <f t="shared" si="83"/>
        <v>-1</v>
      </c>
      <c r="O222" s="359">
        <f>IFERROR(VLOOKUP($G222,融外自投!$A:$J,7,0),"無")</f>
        <v>45</v>
      </c>
      <c r="P222" s="79">
        <f>IFERROR(VLOOKUP($G222,融外自投!$A:$J,9,0),"無")</f>
        <v>136</v>
      </c>
      <c r="Q222" s="342">
        <f>IFERROR(VLOOKUP($G222,融外自投!$A:$J,8,0),"無")</f>
        <v>209</v>
      </c>
      <c r="R222" s="81" t="str">
        <f>IFERROR(VLOOKUP($G222,融外自投!$A:$J,10,0),"無")</f>
        <v>無</v>
      </c>
      <c r="S222" s="324">
        <f>IFERROR(VLOOKUP($G222,'321買'!$A:$E,5,0),"'沒有資料'")</f>
        <v>0</v>
      </c>
      <c r="T222" s="66">
        <v>3.83</v>
      </c>
      <c r="V222" s="94">
        <v>8.31</v>
      </c>
      <c r="W222" s="36">
        <v>161</v>
      </c>
      <c r="X222" s="66">
        <v>134.5</v>
      </c>
      <c r="Y222" s="15">
        <f t="shared" si="80"/>
        <v>26.5</v>
      </c>
      <c r="Z222" s="63">
        <f t="shared" si="81"/>
        <v>0.19702602230483271</v>
      </c>
      <c r="AA222" s="101" t="s">
        <v>1670</v>
      </c>
      <c r="AC222" s="16" t="s">
        <v>1038</v>
      </c>
      <c r="AD222" s="84">
        <v>44330</v>
      </c>
      <c r="AE222" s="83">
        <v>44334</v>
      </c>
      <c r="AF222" s="33">
        <f t="shared" si="84"/>
        <v>4</v>
      </c>
      <c r="AG222" s="41" t="s">
        <v>1121</v>
      </c>
      <c r="AH222" s="221"/>
      <c r="AI222" s="213"/>
    </row>
    <row r="223" spans="1:35">
      <c r="A223" s="142" t="s">
        <v>1653</v>
      </c>
      <c r="B223" s="79">
        <v>480</v>
      </c>
      <c r="C223" s="79">
        <v>91</v>
      </c>
      <c r="D223" s="79">
        <v>329</v>
      </c>
      <c r="E223" s="80">
        <v>-4</v>
      </c>
      <c r="F223" s="6">
        <v>-1.38</v>
      </c>
      <c r="G223" s="80">
        <v>4142</v>
      </c>
      <c r="H223" s="50" t="s">
        <v>1403</v>
      </c>
      <c r="I223" s="22" t="s">
        <v>632</v>
      </c>
      <c r="J223" s="8">
        <f>IFERROR(VLOOKUP($G223,今日總結!$A:$AN,33,0),"")</f>
        <v>0</v>
      </c>
      <c r="K223" s="5">
        <f>IFERROR(VLOOKUP($G223,今日總結!$A:$AN,34,0),"")</f>
        <v>0</v>
      </c>
      <c r="L223" s="156">
        <f>IFERROR(VLOOKUP($G223,今日總結!$A:$AN,31,0),"")</f>
        <v>3</v>
      </c>
      <c r="M223" s="337">
        <f>IFERROR(VLOOKUP($G223,今日總結!$A:$AN,32,0),"")</f>
        <v>0</v>
      </c>
      <c r="N223" s="240">
        <f t="shared" si="83"/>
        <v>3</v>
      </c>
      <c r="O223" s="359">
        <f>IFERROR(VLOOKUP($G223,融外自投!$A:$J,7,0),"無")</f>
        <v>412</v>
      </c>
      <c r="P223" s="79">
        <f>IFERROR(VLOOKUP($G223,融外自投!$A:$J,9,0),"無")</f>
        <v>171</v>
      </c>
      <c r="Q223" s="342">
        <f>IFERROR(VLOOKUP($G223,融外自投!$A:$J,8,0),"無")</f>
        <v>610</v>
      </c>
      <c r="R223" s="81">
        <f>IFERROR(VLOOKUP($G223,融外自投!$A:$J,10,0),"無")</f>
        <v>358</v>
      </c>
      <c r="S223" s="324">
        <f>IFERROR(VLOOKUP($G223,'321買'!$A:$E,5,0),"'沒有資料'")</f>
        <v>0</v>
      </c>
      <c r="T223" s="34">
        <v>0.5</v>
      </c>
      <c r="V223" s="94">
        <v>3.08</v>
      </c>
      <c r="W223" s="36">
        <v>61.2</v>
      </c>
      <c r="X223" s="66">
        <v>62.3</v>
      </c>
      <c r="Y223" s="15">
        <f t="shared" ref="Y223:Y229" si="85">W223-X223</f>
        <v>-1.0999999999999943</v>
      </c>
      <c r="Z223" s="76">
        <f t="shared" si="81"/>
        <v>-1.7656500802568129E-2</v>
      </c>
      <c r="AA223" s="135" t="s">
        <v>3027</v>
      </c>
      <c r="AC223" s="22" t="s">
        <v>632</v>
      </c>
      <c r="AD223" s="84">
        <v>44333</v>
      </c>
      <c r="AE223" s="83">
        <v>44334</v>
      </c>
      <c r="AF223" s="33">
        <f t="shared" si="84"/>
        <v>1</v>
      </c>
      <c r="AG223" s="127" t="s">
        <v>1121</v>
      </c>
      <c r="AH223" s="212"/>
      <c r="AI223" s="213"/>
    </row>
    <row r="224" spans="1:35">
      <c r="A224" s="142" t="s">
        <v>1653</v>
      </c>
      <c r="B224" s="79">
        <v>480</v>
      </c>
      <c r="C224" s="79">
        <v>91</v>
      </c>
      <c r="D224" s="79">
        <v>329</v>
      </c>
      <c r="E224" s="80">
        <v>-4</v>
      </c>
      <c r="F224" s="6">
        <v>-1.38</v>
      </c>
      <c r="G224" s="80">
        <v>4142</v>
      </c>
      <c r="H224" s="50" t="s">
        <v>1403</v>
      </c>
      <c r="I224" s="22" t="s">
        <v>632</v>
      </c>
      <c r="J224" s="8">
        <f>IFERROR(VLOOKUP($G224,今日總結!$A:$AN,33,0),"")</f>
        <v>0</v>
      </c>
      <c r="K224" s="5">
        <f>IFERROR(VLOOKUP($G224,今日總結!$A:$AN,34,0),"")</f>
        <v>0</v>
      </c>
      <c r="L224" s="156">
        <f>IFERROR(VLOOKUP($G224,今日總結!$A:$AN,31,0),"")</f>
        <v>3</v>
      </c>
      <c r="M224" s="337">
        <f>IFERROR(VLOOKUP($G224,今日總結!$A:$AN,32,0),"")</f>
        <v>0</v>
      </c>
      <c r="N224" s="240">
        <f t="shared" si="83"/>
        <v>3</v>
      </c>
      <c r="O224" s="359">
        <f>IFERROR(VLOOKUP($G224,融外自投!$A:$J,7,0),"無")</f>
        <v>412</v>
      </c>
      <c r="P224" s="79">
        <f>IFERROR(VLOOKUP($G224,融外自投!$A:$J,9,0),"無")</f>
        <v>171</v>
      </c>
      <c r="Q224" s="342">
        <f>IFERROR(VLOOKUP($G224,融外自投!$A:$J,8,0),"無")</f>
        <v>610</v>
      </c>
      <c r="R224" s="81">
        <f>IFERROR(VLOOKUP($G224,融外自投!$A:$J,10,0),"無")</f>
        <v>358</v>
      </c>
      <c r="S224" s="324">
        <f>IFERROR(VLOOKUP($G224,'321買'!$A:$E,5,0),"'沒有資料'")</f>
        <v>0</v>
      </c>
      <c r="T224" s="34">
        <v>0.5</v>
      </c>
      <c r="V224" s="94">
        <v>3.08</v>
      </c>
      <c r="W224" s="36">
        <v>61.2</v>
      </c>
      <c r="X224" s="66">
        <v>62.4</v>
      </c>
      <c r="Y224" s="15">
        <f t="shared" si="85"/>
        <v>-1.1999999999999957</v>
      </c>
      <c r="Z224" s="76">
        <f t="shared" si="81"/>
        <v>-1.9230769230769162E-2</v>
      </c>
      <c r="AA224" s="135" t="s">
        <v>3306</v>
      </c>
      <c r="AC224" s="22" t="s">
        <v>632</v>
      </c>
      <c r="AD224" s="84">
        <v>44333</v>
      </c>
      <c r="AE224" s="83">
        <v>44334</v>
      </c>
      <c r="AF224" s="33">
        <f t="shared" si="84"/>
        <v>1</v>
      </c>
      <c r="AG224" s="127" t="s">
        <v>1121</v>
      </c>
      <c r="AH224" s="127" t="s">
        <v>1501</v>
      </c>
      <c r="AI224" s="213"/>
    </row>
    <row r="225" spans="1:35">
      <c r="A225" s="142" t="s">
        <v>1653</v>
      </c>
      <c r="B225" s="79">
        <v>480</v>
      </c>
      <c r="C225" s="79">
        <v>91</v>
      </c>
      <c r="D225" s="79">
        <v>329</v>
      </c>
      <c r="E225" s="80">
        <v>-4</v>
      </c>
      <c r="F225" s="6">
        <v>-1.38</v>
      </c>
      <c r="G225" s="80">
        <v>4142</v>
      </c>
      <c r="H225" s="30" t="s">
        <v>1461</v>
      </c>
      <c r="I225" s="22" t="s">
        <v>632</v>
      </c>
      <c r="J225" s="8">
        <f>IFERROR(VLOOKUP($G225,今日總結!$A:$AN,33,0),"")</f>
        <v>0</v>
      </c>
      <c r="K225" s="5">
        <f>IFERROR(VLOOKUP($G225,今日總結!$A:$AN,34,0),"")</f>
        <v>0</v>
      </c>
      <c r="L225" s="156">
        <f>IFERROR(VLOOKUP($G225,今日總結!$A:$AN,31,0),"")</f>
        <v>3</v>
      </c>
      <c r="M225" s="337">
        <f>IFERROR(VLOOKUP($G225,今日總結!$A:$AN,32,0),"")</f>
        <v>0</v>
      </c>
      <c r="N225" s="240">
        <f t="shared" si="83"/>
        <v>3</v>
      </c>
      <c r="O225" s="359">
        <f>IFERROR(VLOOKUP($G225,融外自投!$A:$J,7,0),"無")</f>
        <v>412</v>
      </c>
      <c r="P225" s="79">
        <f>IFERROR(VLOOKUP($G225,融外自投!$A:$J,9,0),"無")</f>
        <v>171</v>
      </c>
      <c r="Q225" s="342">
        <f>IFERROR(VLOOKUP($G225,融外自投!$A:$J,8,0),"無")</f>
        <v>610</v>
      </c>
      <c r="R225" s="81">
        <f>IFERROR(VLOOKUP($G225,融外自投!$A:$J,10,0),"無")</f>
        <v>358</v>
      </c>
      <c r="S225" s="324">
        <f>IFERROR(VLOOKUP($G225,'321買'!$A:$E,5,0),"'沒有資料'")</f>
        <v>0</v>
      </c>
      <c r="T225" s="34">
        <v>0.5</v>
      </c>
      <c r="V225" s="94">
        <v>3.08</v>
      </c>
      <c r="W225" s="36">
        <v>61.1</v>
      </c>
      <c r="X225" s="66">
        <v>62.3</v>
      </c>
      <c r="Y225" s="15">
        <f t="shared" si="85"/>
        <v>-1.1999999999999957</v>
      </c>
      <c r="Z225" s="76">
        <f t="shared" si="81"/>
        <v>-1.9261637239165262E-2</v>
      </c>
      <c r="AA225" s="135" t="s">
        <v>3307</v>
      </c>
      <c r="AC225" s="22" t="s">
        <v>632</v>
      </c>
      <c r="AD225" s="84">
        <v>44333</v>
      </c>
      <c r="AE225" s="83">
        <v>44334</v>
      </c>
      <c r="AF225" s="33">
        <f t="shared" si="84"/>
        <v>1</v>
      </c>
      <c r="AG225" s="41" t="s">
        <v>1121</v>
      </c>
      <c r="AH225" s="212"/>
      <c r="AI225" s="213"/>
    </row>
    <row r="226" spans="1:35">
      <c r="A226" s="142" t="s">
        <v>1688</v>
      </c>
      <c r="B226" s="79">
        <v>369</v>
      </c>
      <c r="C226" s="79">
        <v>78</v>
      </c>
      <c r="D226" s="80">
        <v>-10</v>
      </c>
      <c r="E226" s="79">
        <v>27</v>
      </c>
      <c r="F226" s="6">
        <v>-2.17</v>
      </c>
      <c r="G226" s="80">
        <v>1781</v>
      </c>
      <c r="H226" s="50" t="s">
        <v>1403</v>
      </c>
      <c r="I226" s="16" t="s">
        <v>607</v>
      </c>
      <c r="J226" s="8" t="str">
        <f>IFERROR(VLOOKUP($G226,今日總結!$A:$AN,33,0),"")</f>
        <v/>
      </c>
      <c r="K226" s="5" t="str">
        <f>IFERROR(VLOOKUP($G226,今日總結!$A:$AN,34,0),"")</f>
        <v/>
      </c>
      <c r="L226" s="156" t="str">
        <f>IFERROR(VLOOKUP($G226,今日總結!$A:$AN,31,0),"")</f>
        <v/>
      </c>
      <c r="M226" s="337" t="str">
        <f>IFERROR(VLOOKUP($G226,今日總結!$A:$AN,32,0),"")</f>
        <v/>
      </c>
      <c r="N226" s="240" t="str">
        <f t="shared" si="83"/>
        <v/>
      </c>
      <c r="O226" s="359" t="str">
        <f>IFERROR(VLOOKUP($G226,融外自投!$A:$J,7,0),"無")</f>
        <v>無</v>
      </c>
      <c r="P226" s="79" t="str">
        <f>IFERROR(VLOOKUP($G226,融外自投!$A:$J,9,0),"無")</f>
        <v>無</v>
      </c>
      <c r="Q226" s="342" t="str">
        <f>IFERROR(VLOOKUP($G226,融外自投!$A:$J,8,0),"無")</f>
        <v>無</v>
      </c>
      <c r="R226" s="81" t="str">
        <f>IFERROR(VLOOKUP($G226,融外自投!$A:$J,10,0),"無")</f>
        <v>無</v>
      </c>
      <c r="S226" s="324" t="str">
        <f>IFERROR(VLOOKUP($G226,'321買'!$A:$E,5,0),"'沒有資料'")</f>
        <v>'沒有資料'</v>
      </c>
      <c r="T226" s="34">
        <v>0</v>
      </c>
      <c r="V226" s="94">
        <v>4.3499999999999996</v>
      </c>
      <c r="W226" s="36">
        <v>29.5</v>
      </c>
      <c r="X226" s="66">
        <v>24.55</v>
      </c>
      <c r="Y226" s="15">
        <f t="shared" si="85"/>
        <v>4.9499999999999993</v>
      </c>
      <c r="Z226" s="63">
        <f t="shared" si="81"/>
        <v>0.20162932790224028</v>
      </c>
      <c r="AA226" s="101" t="s">
        <v>3308</v>
      </c>
      <c r="AC226" s="16" t="s">
        <v>607</v>
      </c>
      <c r="AD226" s="84">
        <v>44330</v>
      </c>
      <c r="AE226" s="83">
        <v>44334</v>
      </c>
      <c r="AF226" s="33">
        <f t="shared" ref="AF226:AF232" si="86">AE226-AD226</f>
        <v>4</v>
      </c>
      <c r="AG226" s="127" t="s">
        <v>1121</v>
      </c>
      <c r="AH226" s="221"/>
      <c r="AI226" s="213"/>
    </row>
    <row r="227" spans="1:35">
      <c r="A227" s="127" t="s">
        <v>1888</v>
      </c>
      <c r="B227" s="92">
        <v>5707</v>
      </c>
      <c r="C227" s="92">
        <v>7419</v>
      </c>
      <c r="D227" s="79">
        <v>24</v>
      </c>
      <c r="E227" s="80">
        <v>-46</v>
      </c>
      <c r="F227" s="57">
        <v>62.23</v>
      </c>
      <c r="G227" s="80">
        <v>1325</v>
      </c>
      <c r="H227" s="50" t="s">
        <v>1403</v>
      </c>
      <c r="I227" s="22" t="s">
        <v>602</v>
      </c>
      <c r="J227" s="8">
        <f>IFERROR(VLOOKUP($G227,今日總結!$A:$AN,33,0),"")</f>
        <v>0</v>
      </c>
      <c r="K227" s="5">
        <f>IFERROR(VLOOKUP($G227,今日總結!$A:$AN,34,0),"")</f>
        <v>0</v>
      </c>
      <c r="L227" s="156">
        <f>IFERROR(VLOOKUP($G227,今日總結!$A:$AN,31,0),"")</f>
        <v>7</v>
      </c>
      <c r="M227" s="337">
        <f>IFERROR(VLOOKUP($G227,今日總結!$A:$AN,32,0),"")</f>
        <v>0</v>
      </c>
      <c r="N227" s="240">
        <f t="shared" si="83"/>
        <v>7</v>
      </c>
      <c r="O227" s="359">
        <f>IFERROR(VLOOKUP($G227,融外自投!$A:$J,7,0),"無")</f>
        <v>320</v>
      </c>
      <c r="P227" s="79">
        <f>IFERROR(VLOOKUP($G227,融外自投!$A:$J,9,0),"無")</f>
        <v>24</v>
      </c>
      <c r="Q227" s="342">
        <f>IFERROR(VLOOKUP($G227,融外自投!$A:$J,8,0),"無")</f>
        <v>832</v>
      </c>
      <c r="R227" s="81" t="str">
        <f>IFERROR(VLOOKUP($G227,融外自投!$A:$J,10,0),"無")</f>
        <v>無</v>
      </c>
      <c r="S227" s="324">
        <f>IFERROR(VLOOKUP($G227,'321買'!$A:$E,5,0),"'沒有資料'")</f>
        <v>0</v>
      </c>
      <c r="T227" s="66">
        <v>12</v>
      </c>
      <c r="V227" s="94">
        <v>23.16</v>
      </c>
      <c r="W227" s="217">
        <v>115.5</v>
      </c>
      <c r="X227" s="66">
        <v>107.5</v>
      </c>
      <c r="Y227" s="15">
        <f t="shared" si="85"/>
        <v>8</v>
      </c>
      <c r="Z227" s="63">
        <f t="shared" si="81"/>
        <v>7.441860465116279E-2</v>
      </c>
      <c r="AA227" s="101" t="s">
        <v>1706</v>
      </c>
      <c r="AC227" s="22" t="s">
        <v>602</v>
      </c>
      <c r="AD227" s="84">
        <v>44330</v>
      </c>
      <c r="AE227" s="83">
        <v>44334</v>
      </c>
      <c r="AF227" s="33">
        <f t="shared" si="86"/>
        <v>4</v>
      </c>
      <c r="AG227" s="127" t="s">
        <v>1121</v>
      </c>
      <c r="AH227" s="210"/>
      <c r="AI227" s="182"/>
    </row>
    <row r="228" spans="1:35">
      <c r="A228" s="127" t="s">
        <v>1888</v>
      </c>
      <c r="B228" s="92">
        <v>5707</v>
      </c>
      <c r="C228" s="92">
        <v>7419</v>
      </c>
      <c r="D228" s="79">
        <v>24</v>
      </c>
      <c r="E228" s="80">
        <v>-46</v>
      </c>
      <c r="F228" s="57">
        <v>62.23</v>
      </c>
      <c r="G228" s="80">
        <v>1325</v>
      </c>
      <c r="H228" s="30" t="s">
        <v>1461</v>
      </c>
      <c r="I228" s="22" t="s">
        <v>602</v>
      </c>
      <c r="J228" s="8">
        <f>IFERROR(VLOOKUP($G228,今日總結!$A:$AN,33,0),"")</f>
        <v>0</v>
      </c>
      <c r="K228" s="5">
        <f>IFERROR(VLOOKUP($G228,今日總結!$A:$AN,34,0),"")</f>
        <v>0</v>
      </c>
      <c r="L228" s="156">
        <f>IFERROR(VLOOKUP($G228,今日總結!$A:$AN,31,0),"")</f>
        <v>7</v>
      </c>
      <c r="M228" s="337">
        <f>IFERROR(VLOOKUP($G228,今日總結!$A:$AN,32,0),"")</f>
        <v>0</v>
      </c>
      <c r="N228" s="240">
        <f t="shared" si="83"/>
        <v>7</v>
      </c>
      <c r="O228" s="359">
        <f>IFERROR(VLOOKUP($G228,融外自投!$A:$J,7,0),"無")</f>
        <v>320</v>
      </c>
      <c r="P228" s="79">
        <f>IFERROR(VLOOKUP($G228,融外自投!$A:$J,9,0),"無")</f>
        <v>24</v>
      </c>
      <c r="Q228" s="342">
        <f>IFERROR(VLOOKUP($G228,融外自投!$A:$J,8,0),"無")</f>
        <v>832</v>
      </c>
      <c r="R228" s="81" t="str">
        <f>IFERROR(VLOOKUP($G228,融外自投!$A:$J,10,0),"無")</f>
        <v>無</v>
      </c>
      <c r="S228" s="324">
        <f>IFERROR(VLOOKUP($G228,'321買'!$A:$E,5,0),"'沒有資料'")</f>
        <v>0</v>
      </c>
      <c r="T228" s="66">
        <v>12</v>
      </c>
      <c r="V228" s="94">
        <v>23.16</v>
      </c>
      <c r="W228" s="217">
        <v>115.5</v>
      </c>
      <c r="X228" s="66">
        <v>107.5</v>
      </c>
      <c r="Y228" s="15">
        <f t="shared" si="85"/>
        <v>8</v>
      </c>
      <c r="Z228" s="63">
        <f t="shared" si="81"/>
        <v>7.441860465116279E-2</v>
      </c>
      <c r="AA228" s="101" t="s">
        <v>1706</v>
      </c>
      <c r="AC228" s="22" t="s">
        <v>602</v>
      </c>
      <c r="AD228" s="84">
        <v>44330</v>
      </c>
      <c r="AE228" s="83">
        <v>44334</v>
      </c>
      <c r="AF228" s="33">
        <f t="shared" si="86"/>
        <v>4</v>
      </c>
      <c r="AG228" s="41" t="s">
        <v>1121</v>
      </c>
      <c r="AH228" s="210"/>
      <c r="AI228" s="182"/>
    </row>
    <row r="229" spans="1:35" s="248" customFormat="1" ht="15.75" customHeight="1">
      <c r="A229" s="127" t="s">
        <v>2983</v>
      </c>
      <c r="B229" s="79">
        <v>33</v>
      </c>
      <c r="C229" s="80">
        <v>-11</v>
      </c>
      <c r="D229" s="80">
        <v>-23</v>
      </c>
      <c r="E229" s="80">
        <v>-48</v>
      </c>
      <c r="F229" s="57">
        <v>26.29</v>
      </c>
      <c r="G229" s="80">
        <v>4736</v>
      </c>
      <c r="H229" s="30" t="s">
        <v>1461</v>
      </c>
      <c r="I229" s="166" t="s">
        <v>38</v>
      </c>
      <c r="J229" s="8">
        <f>IFERROR(VLOOKUP($G229,今日總結!$A:$AN,33,0),"")</f>
        <v>0</v>
      </c>
      <c r="K229" s="5">
        <f>IFERROR(VLOOKUP($G229,今日總結!$A:$AN,34,0),"")</f>
        <v>0</v>
      </c>
      <c r="L229" s="156">
        <f>IFERROR(VLOOKUP($G229,今日總結!$A:$AN,31,0),"")</f>
        <v>0</v>
      </c>
      <c r="M229" s="337">
        <f>IFERROR(VLOOKUP($G229,今日總結!$A:$AN,32,0),"")</f>
        <v>1</v>
      </c>
      <c r="N229" s="240">
        <f t="shared" si="83"/>
        <v>-1</v>
      </c>
      <c r="O229" s="359">
        <f>IFERROR(VLOOKUP($G229,融外自投!$A:$J,7,0),"無")</f>
        <v>269</v>
      </c>
      <c r="P229" s="79">
        <f>IFERROR(VLOOKUP($G229,融外自投!$A:$J,9,0),"無")</f>
        <v>294</v>
      </c>
      <c r="Q229" s="342">
        <f>IFERROR(VLOOKUP($G229,融外自投!$A:$J,8,0),"無")</f>
        <v>370</v>
      </c>
      <c r="R229" s="81">
        <f>IFERROR(VLOOKUP($G229,融外自投!$A:$J,10,0),"無")</f>
        <v>348</v>
      </c>
      <c r="S229" s="324">
        <f>IFERROR(VLOOKUP($G229,'321買'!$A:$E,5,0),"'沒有資料'")</f>
        <v>0</v>
      </c>
      <c r="T229" s="65">
        <v>11.5</v>
      </c>
      <c r="U229" s="308"/>
      <c r="V229" s="94">
        <v>18.309999999999999</v>
      </c>
      <c r="W229" s="161">
        <v>195.5</v>
      </c>
      <c r="X229" s="65">
        <v>190.5</v>
      </c>
      <c r="Y229" s="162">
        <f t="shared" si="85"/>
        <v>5</v>
      </c>
      <c r="Z229" s="158">
        <f t="shared" si="81"/>
        <v>2.6246719160104987E-2</v>
      </c>
      <c r="AA229" s="167" t="s">
        <v>3309</v>
      </c>
      <c r="AB229" s="376"/>
      <c r="AC229" s="166" t="s">
        <v>38</v>
      </c>
      <c r="AD229" s="84">
        <v>44333</v>
      </c>
      <c r="AE229" s="83">
        <v>44334</v>
      </c>
      <c r="AF229" s="33">
        <f t="shared" si="86"/>
        <v>1</v>
      </c>
      <c r="AG229" s="41" t="s">
        <v>1121</v>
      </c>
      <c r="AH229" s="212"/>
      <c r="AI229" s="213"/>
    </row>
    <row r="230" spans="1:35">
      <c r="A230" s="127" t="s">
        <v>2037</v>
      </c>
      <c r="B230" s="92">
        <v>2459</v>
      </c>
      <c r="C230" s="92">
        <v>3043</v>
      </c>
      <c r="D230" s="80">
        <v>-2</v>
      </c>
      <c r="E230" s="80">
        <v>-52</v>
      </c>
      <c r="F230" s="57">
        <v>36.35</v>
      </c>
      <c r="G230" s="80">
        <v>3373</v>
      </c>
      <c r="H230" s="30" t="s">
        <v>1461</v>
      </c>
      <c r="I230" s="16" t="s">
        <v>476</v>
      </c>
      <c r="J230" s="8">
        <f>IFERROR(VLOOKUP($G230,今日總結!$A:$AN,33,0),"")</f>
        <v>0</v>
      </c>
      <c r="K230" s="5">
        <f>IFERROR(VLOOKUP($G230,今日總結!$A:$AN,34,0),"")</f>
        <v>0</v>
      </c>
      <c r="L230" s="156">
        <f>IFERROR(VLOOKUP($G230,今日總結!$A:$AN,31,0),"")</f>
        <v>5</v>
      </c>
      <c r="M230" s="337">
        <f>IFERROR(VLOOKUP($G230,今日總結!$A:$AN,32,0),"")</f>
        <v>0</v>
      </c>
      <c r="N230" s="240">
        <f t="shared" si="83"/>
        <v>5</v>
      </c>
      <c r="O230" s="359">
        <f>IFERROR(VLOOKUP($G230,融外自投!$A:$J,7,0),"無")</f>
        <v>465</v>
      </c>
      <c r="P230" s="79">
        <f>IFERROR(VLOOKUP($G230,融外自投!$A:$J,9,0),"無")</f>
        <v>18</v>
      </c>
      <c r="Q230" s="342">
        <f>IFERROR(VLOOKUP($G230,融外自投!$A:$J,8,0),"無")</f>
        <v>1144</v>
      </c>
      <c r="R230" s="81" t="str">
        <f>IFERROR(VLOOKUP($G230,融外自投!$A:$J,10,0),"無")</f>
        <v>無</v>
      </c>
      <c r="S230" s="324">
        <f>IFERROR(VLOOKUP($G230,'321買'!$A:$E,5,0),"'沒有資料'")</f>
        <v>0</v>
      </c>
      <c r="T230" s="45">
        <v>10</v>
      </c>
      <c r="V230" s="94">
        <v>17.010000000000002</v>
      </c>
      <c r="W230" s="36">
        <v>85</v>
      </c>
      <c r="X230" s="66">
        <v>84.1</v>
      </c>
      <c r="Y230" s="15">
        <f t="shared" ref="Y230:Y239" si="87">W230-X230</f>
        <v>0.90000000000000568</v>
      </c>
      <c r="Z230" s="63">
        <f t="shared" si="81"/>
        <v>1.0701545778834788E-2</v>
      </c>
      <c r="AA230" s="101" t="s">
        <v>3305</v>
      </c>
      <c r="AC230" s="16" t="s">
        <v>476</v>
      </c>
      <c r="AD230" s="84">
        <v>44330</v>
      </c>
      <c r="AE230" s="83">
        <v>44333</v>
      </c>
      <c r="AF230" s="33">
        <f t="shared" si="86"/>
        <v>3</v>
      </c>
      <c r="AG230" s="41" t="s">
        <v>1121</v>
      </c>
      <c r="AH230" s="221"/>
      <c r="AI230" s="213"/>
    </row>
    <row r="231" spans="1:35">
      <c r="A231" s="127" t="s">
        <v>1696</v>
      </c>
      <c r="B231" s="79">
        <v>493</v>
      </c>
      <c r="C231" s="79">
        <v>373</v>
      </c>
      <c r="D231" s="80">
        <v>-6</v>
      </c>
      <c r="E231" s="79">
        <v>340</v>
      </c>
      <c r="F231" s="57">
        <v>21.21</v>
      </c>
      <c r="G231" s="80">
        <v>4735</v>
      </c>
      <c r="H231" s="50" t="s">
        <v>1403</v>
      </c>
      <c r="I231" s="16" t="s">
        <v>617</v>
      </c>
      <c r="J231" s="8">
        <f>IFERROR(VLOOKUP($G231,今日總結!$A:$AN,33,0),"")</f>
        <v>0</v>
      </c>
      <c r="K231" s="5">
        <f>IFERROR(VLOOKUP($G231,今日總結!$A:$AN,34,0),"")</f>
        <v>0</v>
      </c>
      <c r="L231" s="156">
        <f>IFERROR(VLOOKUP($G231,今日總結!$A:$AN,31,0),"")</f>
        <v>5</v>
      </c>
      <c r="M231" s="337">
        <f>IFERROR(VLOOKUP($G231,今日總結!$A:$AN,32,0),"")</f>
        <v>1</v>
      </c>
      <c r="N231" s="240">
        <f t="shared" si="83"/>
        <v>4</v>
      </c>
      <c r="O231" s="359">
        <f>IFERROR(VLOOKUP($G231,融外自投!$A:$J,7,0),"無")</f>
        <v>724</v>
      </c>
      <c r="P231" s="79">
        <f>IFERROR(VLOOKUP($G231,融外自投!$A:$J,9,0),"無")</f>
        <v>392</v>
      </c>
      <c r="Q231" s="342">
        <f>IFERROR(VLOOKUP($G231,融外自投!$A:$J,8,0),"無")</f>
        <v>1259</v>
      </c>
      <c r="R231" s="81" t="str">
        <f>IFERROR(VLOOKUP($G231,融外自投!$A:$J,10,0),"無")</f>
        <v>無</v>
      </c>
      <c r="S231" s="324">
        <f>IFERROR(VLOOKUP($G231,'321買'!$A:$E,5,0),"'沒有資料'")</f>
        <v>0</v>
      </c>
      <c r="T231" s="66">
        <v>1.5</v>
      </c>
      <c r="V231" s="94">
        <v>19.010000000000002</v>
      </c>
      <c r="W231" s="36">
        <v>90.4</v>
      </c>
      <c r="X231" s="66">
        <v>88.2</v>
      </c>
      <c r="Y231" s="15">
        <f t="shared" si="87"/>
        <v>2.2000000000000028</v>
      </c>
      <c r="Z231" s="63">
        <f t="shared" si="81"/>
        <v>2.4943310657596404E-2</v>
      </c>
      <c r="AA231" s="101" t="s">
        <v>3304</v>
      </c>
      <c r="AC231" s="16" t="s">
        <v>617</v>
      </c>
      <c r="AD231" s="84">
        <v>44333</v>
      </c>
      <c r="AE231" s="83">
        <v>44333</v>
      </c>
      <c r="AF231" s="33">
        <f t="shared" si="86"/>
        <v>0</v>
      </c>
      <c r="AG231" s="127" t="s">
        <v>1121</v>
      </c>
      <c r="AH231" s="221"/>
      <c r="AI231" s="213"/>
    </row>
    <row r="232" spans="1:35">
      <c r="A232" s="127" t="s">
        <v>1696</v>
      </c>
      <c r="B232" s="79">
        <v>493</v>
      </c>
      <c r="C232" s="79">
        <v>373</v>
      </c>
      <c r="D232" s="80">
        <v>-6</v>
      </c>
      <c r="E232" s="79">
        <v>340</v>
      </c>
      <c r="F232" s="57">
        <v>21.21</v>
      </c>
      <c r="G232" s="80">
        <v>4735</v>
      </c>
      <c r="H232" s="30" t="s">
        <v>1461</v>
      </c>
      <c r="I232" s="16" t="s">
        <v>617</v>
      </c>
      <c r="J232" s="8">
        <f>IFERROR(VLOOKUP($G232,今日總結!$A:$AN,33,0),"")</f>
        <v>0</v>
      </c>
      <c r="K232" s="5">
        <f>IFERROR(VLOOKUP($G232,今日總結!$A:$AN,34,0),"")</f>
        <v>0</v>
      </c>
      <c r="L232" s="156">
        <f>IFERROR(VLOOKUP($G232,今日總結!$A:$AN,31,0),"")</f>
        <v>5</v>
      </c>
      <c r="M232" s="337">
        <f>IFERROR(VLOOKUP($G232,今日總結!$A:$AN,32,0),"")</f>
        <v>1</v>
      </c>
      <c r="N232" s="240">
        <f t="shared" si="83"/>
        <v>4</v>
      </c>
      <c r="O232" s="359">
        <f>IFERROR(VLOOKUP($G232,融外自投!$A:$J,7,0),"無")</f>
        <v>724</v>
      </c>
      <c r="P232" s="79">
        <f>IFERROR(VLOOKUP($G232,融外自投!$A:$J,9,0),"無")</f>
        <v>392</v>
      </c>
      <c r="Q232" s="342">
        <f>IFERROR(VLOOKUP($G232,融外自投!$A:$J,8,0),"無")</f>
        <v>1259</v>
      </c>
      <c r="R232" s="81" t="str">
        <f>IFERROR(VLOOKUP($G232,融外自投!$A:$J,10,0),"無")</f>
        <v>無</v>
      </c>
      <c r="S232" s="324">
        <f>IFERROR(VLOOKUP($G232,'321買'!$A:$E,5,0),"'沒有資料'")</f>
        <v>0</v>
      </c>
      <c r="T232" s="66">
        <v>1.5</v>
      </c>
      <c r="V232" s="94">
        <v>19.010000000000002</v>
      </c>
      <c r="W232" s="36">
        <v>90.4</v>
      </c>
      <c r="X232" s="66">
        <v>88.3</v>
      </c>
      <c r="Y232" s="15">
        <f t="shared" si="87"/>
        <v>2.1000000000000085</v>
      </c>
      <c r="Z232" s="63">
        <f t="shared" si="81"/>
        <v>2.378255945639874E-2</v>
      </c>
      <c r="AA232" s="101" t="s">
        <v>2956</v>
      </c>
      <c r="AC232" s="16" t="s">
        <v>617</v>
      </c>
      <c r="AD232" s="84">
        <v>44333</v>
      </c>
      <c r="AE232" s="83">
        <v>44333</v>
      </c>
      <c r="AF232" s="33">
        <f t="shared" si="86"/>
        <v>0</v>
      </c>
      <c r="AG232" s="41" t="s">
        <v>1121</v>
      </c>
      <c r="AH232" s="221"/>
      <c r="AI232" s="213"/>
    </row>
    <row r="233" spans="1:35" s="248" customFormat="1">
      <c r="A233" s="127" t="s">
        <v>2983</v>
      </c>
      <c r="B233" s="79">
        <v>131</v>
      </c>
      <c r="C233" s="79">
        <v>146</v>
      </c>
      <c r="D233" s="79">
        <v>12</v>
      </c>
      <c r="E233" s="80">
        <v>-17</v>
      </c>
      <c r="F233" s="57">
        <v>33.57</v>
      </c>
      <c r="G233" s="79">
        <v>4736</v>
      </c>
      <c r="H233" s="50" t="s">
        <v>1403</v>
      </c>
      <c r="I233" s="166" t="s">
        <v>38</v>
      </c>
      <c r="J233" s="8">
        <f>IFERROR(VLOOKUP($G233,今日總結!$A:$AN,33,0),"")</f>
        <v>0</v>
      </c>
      <c r="K233" s="5">
        <f>IFERROR(VLOOKUP($G233,今日總結!$A:$AN,34,0),"")</f>
        <v>0</v>
      </c>
      <c r="L233" s="156">
        <f>IFERROR(VLOOKUP($G233,今日總結!$A:$AN,31,0),"")</f>
        <v>0</v>
      </c>
      <c r="M233" s="337">
        <f>IFERROR(VLOOKUP($G233,今日總結!$A:$AN,32,0),"")</f>
        <v>1</v>
      </c>
      <c r="N233" s="240">
        <f t="shared" si="83"/>
        <v>-1</v>
      </c>
      <c r="O233" s="359">
        <f>IFERROR(VLOOKUP($G233,融外自投!$A:$J,7,0),"無")</f>
        <v>269</v>
      </c>
      <c r="P233" s="79">
        <f>IFERROR(VLOOKUP($G233,融外自投!$A:$J,9,0),"無")</f>
        <v>294</v>
      </c>
      <c r="Q233" s="342">
        <f>IFERROR(VLOOKUP($G233,融外自投!$A:$J,8,0),"無")</f>
        <v>370</v>
      </c>
      <c r="R233" s="81">
        <f>IFERROR(VLOOKUP($G233,融外自投!$A:$J,10,0),"無")</f>
        <v>348</v>
      </c>
      <c r="S233" s="324">
        <f>IFERROR(VLOOKUP($G233,'321買'!$A:$E,5,0),"'沒有資料'")</f>
        <v>0</v>
      </c>
      <c r="T233" s="65">
        <v>11.5</v>
      </c>
      <c r="U233" s="308"/>
      <c r="V233" s="94">
        <f>T233/W233</f>
        <v>6.0846560846560843E-2</v>
      </c>
      <c r="W233" s="161">
        <v>189</v>
      </c>
      <c r="X233" s="65">
        <v>186</v>
      </c>
      <c r="Y233" s="162">
        <f t="shared" si="87"/>
        <v>3</v>
      </c>
      <c r="Z233" s="158">
        <f t="shared" si="81"/>
        <v>1.6129032258064516E-2</v>
      </c>
      <c r="AA233" s="167" t="s">
        <v>3303</v>
      </c>
      <c r="AB233" s="376"/>
      <c r="AC233" s="166" t="s">
        <v>38</v>
      </c>
      <c r="AD233" s="84">
        <v>44294</v>
      </c>
      <c r="AE233" s="83">
        <v>44333</v>
      </c>
      <c r="AF233" s="33">
        <f t="shared" ref="AF233:AF239" si="88">AE233-AD233</f>
        <v>39</v>
      </c>
      <c r="AG233" s="127" t="s">
        <v>1121</v>
      </c>
      <c r="AH233" s="163"/>
    </row>
    <row r="234" spans="1:35" s="248" customFormat="1">
      <c r="A234" s="127" t="s">
        <v>2983</v>
      </c>
      <c r="B234" s="79">
        <v>131</v>
      </c>
      <c r="C234" s="79">
        <v>146</v>
      </c>
      <c r="D234" s="79">
        <v>12</v>
      </c>
      <c r="E234" s="80">
        <v>-17</v>
      </c>
      <c r="F234" s="57">
        <v>33.57</v>
      </c>
      <c r="G234" s="79">
        <v>4736</v>
      </c>
      <c r="H234" s="30" t="s">
        <v>1461</v>
      </c>
      <c r="I234" s="166" t="s">
        <v>38</v>
      </c>
      <c r="J234" s="8">
        <f>IFERROR(VLOOKUP($G234,今日總結!$A:$AN,33,0),"")</f>
        <v>0</v>
      </c>
      <c r="K234" s="5">
        <f>IFERROR(VLOOKUP($G234,今日總結!$A:$AN,34,0),"")</f>
        <v>0</v>
      </c>
      <c r="L234" s="156">
        <f>IFERROR(VLOOKUP($G234,今日總結!$A:$AN,31,0),"")</f>
        <v>0</v>
      </c>
      <c r="M234" s="337">
        <f>IFERROR(VLOOKUP($G234,今日總結!$A:$AN,32,0),"")</f>
        <v>1</v>
      </c>
      <c r="N234" s="240">
        <f t="shared" si="83"/>
        <v>-1</v>
      </c>
      <c r="O234" s="359">
        <f>IFERROR(VLOOKUP($G234,融外自投!$A:$J,7,0),"無")</f>
        <v>269</v>
      </c>
      <c r="P234" s="79">
        <f>IFERROR(VLOOKUP($G234,融外自投!$A:$J,9,0),"無")</f>
        <v>294</v>
      </c>
      <c r="Q234" s="342">
        <f>IFERROR(VLOOKUP($G234,融外自投!$A:$J,8,0),"無")</f>
        <v>370</v>
      </c>
      <c r="R234" s="81">
        <f>IFERROR(VLOOKUP($G234,融外自投!$A:$J,10,0),"無")</f>
        <v>348</v>
      </c>
      <c r="S234" s="324">
        <f>IFERROR(VLOOKUP($G234,'321買'!$A:$E,5,0),"'沒有資料'")</f>
        <v>0</v>
      </c>
      <c r="T234" s="65">
        <v>11.5</v>
      </c>
      <c r="U234" s="308"/>
      <c r="V234" s="94">
        <f>T234/W234</f>
        <v>6.0846560846560843E-2</v>
      </c>
      <c r="W234" s="161">
        <v>189</v>
      </c>
      <c r="X234" s="65">
        <v>177.5</v>
      </c>
      <c r="Y234" s="162">
        <f t="shared" si="87"/>
        <v>11.5</v>
      </c>
      <c r="Z234" s="158">
        <f t="shared" si="81"/>
        <v>6.4788732394366194E-2</v>
      </c>
      <c r="AA234" s="167" t="s">
        <v>2993</v>
      </c>
      <c r="AB234" s="376"/>
      <c r="AC234" s="166" t="s">
        <v>38</v>
      </c>
      <c r="AD234" s="84">
        <v>44309</v>
      </c>
      <c r="AE234" s="83">
        <v>44333</v>
      </c>
      <c r="AF234" s="33">
        <f t="shared" si="88"/>
        <v>24</v>
      </c>
      <c r="AG234" s="41" t="s">
        <v>1121</v>
      </c>
      <c r="AH234" s="163"/>
    </row>
    <row r="235" spans="1:35" s="248" customFormat="1">
      <c r="A235" s="127" t="s">
        <v>2983</v>
      </c>
      <c r="B235" s="79">
        <v>131</v>
      </c>
      <c r="C235" s="79">
        <v>146</v>
      </c>
      <c r="D235" s="79">
        <v>12</v>
      </c>
      <c r="E235" s="80">
        <v>-17</v>
      </c>
      <c r="F235" s="57">
        <v>33.57</v>
      </c>
      <c r="G235" s="79">
        <v>4736</v>
      </c>
      <c r="H235" s="30" t="s">
        <v>1461</v>
      </c>
      <c r="I235" s="166" t="s">
        <v>38</v>
      </c>
      <c r="J235" s="8">
        <f>IFERROR(VLOOKUP($G235,今日總結!$A:$AN,33,0),"")</f>
        <v>0</v>
      </c>
      <c r="K235" s="5">
        <f>IFERROR(VLOOKUP($G235,今日總結!$A:$AN,34,0),"")</f>
        <v>0</v>
      </c>
      <c r="L235" s="156">
        <f>IFERROR(VLOOKUP($G235,今日總結!$A:$AN,31,0),"")</f>
        <v>0</v>
      </c>
      <c r="M235" s="337">
        <f>IFERROR(VLOOKUP($G235,今日總結!$A:$AN,32,0),"")</f>
        <v>1</v>
      </c>
      <c r="N235" s="240">
        <f t="shared" si="83"/>
        <v>-1</v>
      </c>
      <c r="O235" s="359">
        <f>IFERROR(VLOOKUP($G235,融外自投!$A:$J,7,0),"無")</f>
        <v>269</v>
      </c>
      <c r="P235" s="79">
        <f>IFERROR(VLOOKUP($G235,融外自投!$A:$J,9,0),"無")</f>
        <v>294</v>
      </c>
      <c r="Q235" s="342">
        <f>IFERROR(VLOOKUP($G235,融外自投!$A:$J,8,0),"無")</f>
        <v>370</v>
      </c>
      <c r="R235" s="81">
        <f>IFERROR(VLOOKUP($G235,融外自投!$A:$J,10,0),"無")</f>
        <v>348</v>
      </c>
      <c r="S235" s="324">
        <f>IFERROR(VLOOKUP($G235,'321買'!$A:$E,5,0),"'沒有資料'")</f>
        <v>0</v>
      </c>
      <c r="T235" s="65">
        <v>11.5</v>
      </c>
      <c r="U235" s="308"/>
      <c r="V235" s="94">
        <f>T235/W235</f>
        <v>6.0846560846560843E-2</v>
      </c>
      <c r="W235" s="161">
        <v>189</v>
      </c>
      <c r="X235" s="65">
        <v>186</v>
      </c>
      <c r="Y235" s="162">
        <f t="shared" si="87"/>
        <v>3</v>
      </c>
      <c r="Z235" s="158">
        <f t="shared" si="81"/>
        <v>1.6129032258064516E-2</v>
      </c>
      <c r="AA235" s="167" t="s">
        <v>3303</v>
      </c>
      <c r="AB235" s="376"/>
      <c r="AC235" s="166" t="s">
        <v>38</v>
      </c>
      <c r="AD235" s="84">
        <v>44294</v>
      </c>
      <c r="AE235" s="83">
        <v>44333</v>
      </c>
      <c r="AF235" s="33">
        <f t="shared" si="88"/>
        <v>39</v>
      </c>
      <c r="AG235" s="41" t="s">
        <v>1121</v>
      </c>
      <c r="AH235" s="41" t="s">
        <v>1501</v>
      </c>
    </row>
    <row r="236" spans="1:35">
      <c r="A236" s="142" t="s">
        <v>1653</v>
      </c>
      <c r="B236" s="79">
        <v>480</v>
      </c>
      <c r="C236" s="79">
        <v>91</v>
      </c>
      <c r="D236" s="79">
        <v>329</v>
      </c>
      <c r="E236" s="80">
        <v>-4</v>
      </c>
      <c r="F236" s="6">
        <v>-1.38</v>
      </c>
      <c r="G236" s="80">
        <v>4142</v>
      </c>
      <c r="H236" s="50" t="s">
        <v>1403</v>
      </c>
      <c r="I236" s="22" t="s">
        <v>632</v>
      </c>
      <c r="J236" s="8">
        <f>IFERROR(VLOOKUP($G236,今日總結!$A:$AN,33,0),"")</f>
        <v>0</v>
      </c>
      <c r="K236" s="5">
        <f>IFERROR(VLOOKUP($G236,今日總結!$A:$AN,34,0),"")</f>
        <v>0</v>
      </c>
      <c r="L236" s="156">
        <f>IFERROR(VLOOKUP($G236,今日總結!$A:$AN,31,0),"")</f>
        <v>3</v>
      </c>
      <c r="M236" s="337">
        <f>IFERROR(VLOOKUP($G236,今日總結!$A:$AN,32,0),"")</f>
        <v>0</v>
      </c>
      <c r="N236" s="240">
        <f t="shared" si="83"/>
        <v>3</v>
      </c>
      <c r="O236" s="359">
        <f>IFERROR(VLOOKUP($G236,融外自投!$A:$J,7,0),"無")</f>
        <v>412</v>
      </c>
      <c r="P236" s="79">
        <f>IFERROR(VLOOKUP($G236,融外自投!$A:$J,9,0),"無")</f>
        <v>171</v>
      </c>
      <c r="Q236" s="342">
        <f>IFERROR(VLOOKUP($G236,融外自投!$A:$J,8,0),"無")</f>
        <v>610</v>
      </c>
      <c r="R236" s="81">
        <f>IFERROR(VLOOKUP($G236,融外自投!$A:$J,10,0),"無")</f>
        <v>358</v>
      </c>
      <c r="S236" s="324">
        <f>IFERROR(VLOOKUP($G236,'321買'!$A:$E,5,0),"'沒有資料'")</f>
        <v>0</v>
      </c>
      <c r="T236" s="34">
        <v>0.5</v>
      </c>
      <c r="V236" s="94">
        <v>3.08</v>
      </c>
      <c r="W236" s="36">
        <v>61.8</v>
      </c>
      <c r="X236" s="66">
        <v>59</v>
      </c>
      <c r="Y236" s="15">
        <f t="shared" si="87"/>
        <v>2.7999999999999972</v>
      </c>
      <c r="Z236" s="63">
        <f t="shared" si="81"/>
        <v>4.745762711864402E-2</v>
      </c>
      <c r="AA236" s="101" t="s">
        <v>2961</v>
      </c>
      <c r="AC236" s="22" t="s">
        <v>632</v>
      </c>
      <c r="AD236" s="84">
        <v>44330</v>
      </c>
      <c r="AE236" s="83">
        <v>44333</v>
      </c>
      <c r="AF236" s="33">
        <f t="shared" si="88"/>
        <v>3</v>
      </c>
      <c r="AG236" s="127" t="s">
        <v>1121</v>
      </c>
      <c r="AH236" s="212"/>
      <c r="AI236" s="213"/>
    </row>
    <row r="237" spans="1:35">
      <c r="A237" s="142" t="s">
        <v>1653</v>
      </c>
      <c r="B237" s="79">
        <v>480</v>
      </c>
      <c r="C237" s="79">
        <v>91</v>
      </c>
      <c r="D237" s="79">
        <v>329</v>
      </c>
      <c r="E237" s="80">
        <v>-4</v>
      </c>
      <c r="F237" s="6">
        <v>-1.38</v>
      </c>
      <c r="G237" s="80">
        <v>4142</v>
      </c>
      <c r="H237" s="50" t="s">
        <v>1403</v>
      </c>
      <c r="I237" s="22" t="s">
        <v>632</v>
      </c>
      <c r="J237" s="8">
        <f>IFERROR(VLOOKUP($G237,今日總結!$A:$AN,33,0),"")</f>
        <v>0</v>
      </c>
      <c r="K237" s="5">
        <f>IFERROR(VLOOKUP($G237,今日總結!$A:$AN,34,0),"")</f>
        <v>0</v>
      </c>
      <c r="L237" s="156">
        <f>IFERROR(VLOOKUP($G237,今日總結!$A:$AN,31,0),"")</f>
        <v>3</v>
      </c>
      <c r="M237" s="337">
        <f>IFERROR(VLOOKUP($G237,今日總結!$A:$AN,32,0),"")</f>
        <v>0</v>
      </c>
      <c r="N237" s="240">
        <f t="shared" si="83"/>
        <v>3</v>
      </c>
      <c r="O237" s="359">
        <f>IFERROR(VLOOKUP($G237,融外自投!$A:$J,7,0),"無")</f>
        <v>412</v>
      </c>
      <c r="P237" s="79">
        <f>IFERROR(VLOOKUP($G237,融外自投!$A:$J,9,0),"無")</f>
        <v>171</v>
      </c>
      <c r="Q237" s="342">
        <f>IFERROR(VLOOKUP($G237,融外自投!$A:$J,8,0),"無")</f>
        <v>610</v>
      </c>
      <c r="R237" s="81">
        <f>IFERROR(VLOOKUP($G237,融外自投!$A:$J,10,0),"無")</f>
        <v>358</v>
      </c>
      <c r="S237" s="324">
        <f>IFERROR(VLOOKUP($G237,'321買'!$A:$E,5,0),"'沒有資料'")</f>
        <v>0</v>
      </c>
      <c r="T237" s="34">
        <v>0.5</v>
      </c>
      <c r="V237" s="94">
        <v>3.08</v>
      </c>
      <c r="W237" s="36">
        <v>61.8</v>
      </c>
      <c r="X237" s="66">
        <v>61.5</v>
      </c>
      <c r="Y237" s="15">
        <f t="shared" si="87"/>
        <v>0.29999999999999716</v>
      </c>
      <c r="Z237" s="63">
        <f t="shared" si="81"/>
        <v>4.8780487804877589E-3</v>
      </c>
      <c r="AA237" s="101" t="s">
        <v>3301</v>
      </c>
      <c r="AC237" s="22" t="s">
        <v>632</v>
      </c>
      <c r="AD237" s="84">
        <v>44329</v>
      </c>
      <c r="AE237" s="83">
        <v>44333</v>
      </c>
      <c r="AF237" s="33">
        <f t="shared" si="88"/>
        <v>4</v>
      </c>
      <c r="AG237" s="127" t="s">
        <v>1121</v>
      </c>
      <c r="AH237" s="212"/>
      <c r="AI237" s="213"/>
    </row>
    <row r="238" spans="1:35">
      <c r="A238" s="142" t="s">
        <v>1653</v>
      </c>
      <c r="B238" s="79">
        <v>480</v>
      </c>
      <c r="C238" s="79">
        <v>91</v>
      </c>
      <c r="D238" s="79">
        <v>329</v>
      </c>
      <c r="E238" s="80">
        <v>-4</v>
      </c>
      <c r="F238" s="6">
        <v>-1.38</v>
      </c>
      <c r="G238" s="80">
        <v>4142</v>
      </c>
      <c r="H238" s="30" t="s">
        <v>1461</v>
      </c>
      <c r="I238" s="22" t="s">
        <v>632</v>
      </c>
      <c r="J238" s="8">
        <f>IFERROR(VLOOKUP($G238,今日總結!$A:$AN,33,0),"")</f>
        <v>0</v>
      </c>
      <c r="K238" s="5">
        <f>IFERROR(VLOOKUP($G238,今日總結!$A:$AN,34,0),"")</f>
        <v>0</v>
      </c>
      <c r="L238" s="156">
        <f>IFERROR(VLOOKUP($G238,今日總結!$A:$AN,31,0),"")</f>
        <v>3</v>
      </c>
      <c r="M238" s="337">
        <f>IFERROR(VLOOKUP($G238,今日總結!$A:$AN,32,0),"")</f>
        <v>0</v>
      </c>
      <c r="N238" s="240">
        <f t="shared" si="83"/>
        <v>3</v>
      </c>
      <c r="O238" s="359">
        <f>IFERROR(VLOOKUP($G238,融外自投!$A:$J,7,0),"無")</f>
        <v>412</v>
      </c>
      <c r="P238" s="79">
        <f>IFERROR(VLOOKUP($G238,融外自投!$A:$J,9,0),"無")</f>
        <v>171</v>
      </c>
      <c r="Q238" s="342">
        <f>IFERROR(VLOOKUP($G238,融外自投!$A:$J,8,0),"無")</f>
        <v>610</v>
      </c>
      <c r="R238" s="81">
        <f>IFERROR(VLOOKUP($G238,融外自投!$A:$J,10,0),"無")</f>
        <v>358</v>
      </c>
      <c r="S238" s="324">
        <f>IFERROR(VLOOKUP($G238,'321買'!$A:$E,5,0),"'沒有資料'")</f>
        <v>0</v>
      </c>
      <c r="T238" s="34">
        <v>0.5</v>
      </c>
      <c r="V238" s="94">
        <v>3.08</v>
      </c>
      <c r="W238" s="36">
        <v>61.9</v>
      </c>
      <c r="X238" s="66">
        <v>58.7</v>
      </c>
      <c r="Y238" s="15">
        <f t="shared" si="87"/>
        <v>3.1999999999999957</v>
      </c>
      <c r="Z238" s="63">
        <f t="shared" si="81"/>
        <v>5.4514480408858527E-2</v>
      </c>
      <c r="AA238" s="101" t="s">
        <v>2982</v>
      </c>
      <c r="AC238" s="22" t="s">
        <v>632</v>
      </c>
      <c r="AD238" s="84">
        <v>44330</v>
      </c>
      <c r="AE238" s="83">
        <v>44333</v>
      </c>
      <c r="AF238" s="33">
        <f t="shared" si="88"/>
        <v>3</v>
      </c>
      <c r="AG238" s="41" t="s">
        <v>1121</v>
      </c>
      <c r="AH238" s="212"/>
      <c r="AI238" s="213"/>
    </row>
    <row r="239" spans="1:35">
      <c r="A239" s="142" t="s">
        <v>1653</v>
      </c>
      <c r="B239" s="79">
        <v>480</v>
      </c>
      <c r="C239" s="79">
        <v>91</v>
      </c>
      <c r="D239" s="79">
        <v>329</v>
      </c>
      <c r="E239" s="80">
        <v>-4</v>
      </c>
      <c r="F239" s="6">
        <v>-1.38</v>
      </c>
      <c r="G239" s="80">
        <v>4142</v>
      </c>
      <c r="H239" s="30" t="s">
        <v>1461</v>
      </c>
      <c r="I239" s="22" t="s">
        <v>632</v>
      </c>
      <c r="J239" s="8">
        <f>IFERROR(VLOOKUP($G239,今日總結!$A:$AN,33,0),"")</f>
        <v>0</v>
      </c>
      <c r="K239" s="5">
        <f>IFERROR(VLOOKUP($G239,今日總結!$A:$AN,34,0),"")</f>
        <v>0</v>
      </c>
      <c r="L239" s="156">
        <f>IFERROR(VLOOKUP($G239,今日總結!$A:$AN,31,0),"")</f>
        <v>3</v>
      </c>
      <c r="M239" s="337">
        <f>IFERROR(VLOOKUP($G239,今日總結!$A:$AN,32,0),"")</f>
        <v>0</v>
      </c>
      <c r="N239" s="240">
        <f t="shared" si="83"/>
        <v>3</v>
      </c>
      <c r="O239" s="359">
        <f>IFERROR(VLOOKUP($G239,融外自投!$A:$J,7,0),"無")</f>
        <v>412</v>
      </c>
      <c r="P239" s="79">
        <f>IFERROR(VLOOKUP($G239,融外自投!$A:$J,9,0),"無")</f>
        <v>171</v>
      </c>
      <c r="Q239" s="342">
        <f>IFERROR(VLOOKUP($G239,融外自投!$A:$J,8,0),"無")</f>
        <v>610</v>
      </c>
      <c r="R239" s="81">
        <f>IFERROR(VLOOKUP($G239,融外自投!$A:$J,10,0),"無")</f>
        <v>358</v>
      </c>
      <c r="S239" s="324">
        <f>IFERROR(VLOOKUP($G239,'321買'!$A:$E,5,0),"'沒有資料'")</f>
        <v>0</v>
      </c>
      <c r="T239" s="34">
        <v>0.5</v>
      </c>
      <c r="V239" s="94">
        <v>3.08</v>
      </c>
      <c r="W239" s="36">
        <v>61.9</v>
      </c>
      <c r="X239" s="66">
        <v>61.5</v>
      </c>
      <c r="Y239" s="15">
        <f t="shared" si="87"/>
        <v>0.39999999999999858</v>
      </c>
      <c r="Z239" s="63">
        <f t="shared" si="81"/>
        <v>6.5040650406503831E-3</v>
      </c>
      <c r="AA239" s="101" t="s">
        <v>3302</v>
      </c>
      <c r="AC239" s="22" t="s">
        <v>632</v>
      </c>
      <c r="AD239" s="84">
        <v>44329</v>
      </c>
      <c r="AE239" s="83">
        <v>44333</v>
      </c>
      <c r="AF239" s="33">
        <f t="shared" si="88"/>
        <v>4</v>
      </c>
      <c r="AG239" s="41" t="s">
        <v>1121</v>
      </c>
      <c r="AH239" s="212"/>
      <c r="AI239" s="213"/>
    </row>
    <row r="240" spans="1:35">
      <c r="A240" s="127" t="s">
        <v>1863</v>
      </c>
      <c r="B240" s="79">
        <v>181</v>
      </c>
      <c r="C240" s="79">
        <v>217</v>
      </c>
      <c r="D240" s="79">
        <v>24</v>
      </c>
      <c r="E240" s="79">
        <v>77</v>
      </c>
      <c r="F240" s="57">
        <v>41.47</v>
      </c>
      <c r="G240" s="80">
        <v>4171</v>
      </c>
      <c r="H240" s="30" t="s">
        <v>1461</v>
      </c>
      <c r="I240" s="16" t="s">
        <v>1038</v>
      </c>
      <c r="J240" s="8">
        <f>IFERROR(VLOOKUP($G240,今日總結!$A:$AN,33,0),"")</f>
        <v>3</v>
      </c>
      <c r="K240" s="5">
        <f>IFERROR(VLOOKUP($G240,今日總結!$A:$AN,34,0),"")</f>
        <v>0</v>
      </c>
      <c r="L240" s="156">
        <f>IFERROR(VLOOKUP($G240,今日總結!$A:$AN,31,0),"")</f>
        <v>0</v>
      </c>
      <c r="M240" s="337">
        <f>IFERROR(VLOOKUP($G240,今日總結!$A:$AN,32,0),"")</f>
        <v>1</v>
      </c>
      <c r="N240" s="240">
        <f t="shared" si="83"/>
        <v>-1</v>
      </c>
      <c r="O240" s="359">
        <f>IFERROR(VLOOKUP($G240,融外自投!$A:$J,7,0),"無")</f>
        <v>45</v>
      </c>
      <c r="P240" s="79">
        <f>IFERROR(VLOOKUP($G240,融外自投!$A:$J,9,0),"無")</f>
        <v>136</v>
      </c>
      <c r="Q240" s="342">
        <f>IFERROR(VLOOKUP($G240,融外自投!$A:$J,8,0),"無")</f>
        <v>209</v>
      </c>
      <c r="R240" s="81" t="str">
        <f>IFERROR(VLOOKUP($G240,融外自投!$A:$J,10,0),"無")</f>
        <v>無</v>
      </c>
      <c r="S240" s="324">
        <f>IFERROR(VLOOKUP($G240,'321買'!$A:$E,5,0),"'沒有資料'")</f>
        <v>0</v>
      </c>
      <c r="T240" s="66">
        <v>3.83</v>
      </c>
      <c r="V240" s="94">
        <f>T240/W240</f>
        <v>2.8161764705882355E-2</v>
      </c>
      <c r="W240" s="36">
        <v>136</v>
      </c>
      <c r="X240" s="66">
        <v>118.5</v>
      </c>
      <c r="Y240" s="15">
        <f>W240-X240</f>
        <v>17.5</v>
      </c>
      <c r="Z240" s="63">
        <f t="shared" si="81"/>
        <v>0.14767932489451477</v>
      </c>
      <c r="AA240" s="101" t="s">
        <v>3298</v>
      </c>
      <c r="AC240" s="16" t="s">
        <v>1038</v>
      </c>
      <c r="AD240" s="84">
        <v>44306</v>
      </c>
      <c r="AE240" s="83">
        <v>44330</v>
      </c>
      <c r="AF240" s="33">
        <f t="shared" ref="AF240:AF248" si="89">AE240-AD240</f>
        <v>24</v>
      </c>
      <c r="AG240" s="41" t="s">
        <v>1121</v>
      </c>
      <c r="AH240" s="211"/>
      <c r="AI240" s="24"/>
    </row>
    <row r="241" spans="1:35">
      <c r="A241" s="127" t="s">
        <v>1888</v>
      </c>
      <c r="B241" s="92">
        <v>5707</v>
      </c>
      <c r="C241" s="92">
        <v>7419</v>
      </c>
      <c r="D241" s="79">
        <v>24</v>
      </c>
      <c r="E241" s="80">
        <v>-46</v>
      </c>
      <c r="F241" s="57">
        <v>62.23</v>
      </c>
      <c r="G241" s="80">
        <v>1325</v>
      </c>
      <c r="H241" s="50" t="s">
        <v>1403</v>
      </c>
      <c r="I241" s="22" t="s">
        <v>602</v>
      </c>
      <c r="J241" s="8">
        <f>IFERROR(VLOOKUP($G241,今日總結!$A:$AN,33,0),"")</f>
        <v>0</v>
      </c>
      <c r="K241" s="5">
        <f>IFERROR(VLOOKUP($G241,今日總結!$A:$AN,34,0),"")</f>
        <v>0</v>
      </c>
      <c r="L241" s="156">
        <f>IFERROR(VLOOKUP($G241,今日總結!$A:$AN,31,0),"")</f>
        <v>7</v>
      </c>
      <c r="M241" s="337">
        <f>IFERROR(VLOOKUP($G241,今日總結!$A:$AN,32,0),"")</f>
        <v>0</v>
      </c>
      <c r="N241" s="240">
        <f t="shared" si="83"/>
        <v>7</v>
      </c>
      <c r="O241" s="359">
        <f>IFERROR(VLOOKUP($G241,融外自投!$A:$J,7,0),"無")</f>
        <v>320</v>
      </c>
      <c r="P241" s="79">
        <f>IFERROR(VLOOKUP($G241,融外自投!$A:$J,9,0),"無")</f>
        <v>24</v>
      </c>
      <c r="Q241" s="342">
        <f>IFERROR(VLOOKUP($G241,融外自投!$A:$J,8,0),"無")</f>
        <v>832</v>
      </c>
      <c r="R241" s="81" t="str">
        <f>IFERROR(VLOOKUP($G241,融外自投!$A:$J,10,0),"無")</f>
        <v>無</v>
      </c>
      <c r="S241" s="324">
        <f>IFERROR(VLOOKUP($G241,'321買'!$A:$E,5,0),"'沒有資料'")</f>
        <v>0</v>
      </c>
      <c r="T241" s="66">
        <v>12</v>
      </c>
      <c r="V241" s="94">
        <v>23.16</v>
      </c>
      <c r="W241" s="217">
        <v>112</v>
      </c>
      <c r="X241" s="66">
        <v>101.5</v>
      </c>
      <c r="Y241" s="15">
        <f>W241-X241</f>
        <v>10.5</v>
      </c>
      <c r="Z241" s="63">
        <f t="shared" ref="Z241:Z248" si="90">Y241/X241</f>
        <v>0.10344827586206896</v>
      </c>
      <c r="AA241" s="101" t="s">
        <v>1947</v>
      </c>
      <c r="AC241" s="22" t="s">
        <v>602</v>
      </c>
      <c r="AD241" s="84">
        <v>44328</v>
      </c>
      <c r="AE241" s="83">
        <v>44330</v>
      </c>
      <c r="AF241" s="33">
        <f t="shared" si="89"/>
        <v>2</v>
      </c>
      <c r="AG241" s="127" t="s">
        <v>1121</v>
      </c>
      <c r="AH241" s="210"/>
      <c r="AI241" s="182"/>
    </row>
    <row r="242" spans="1:35">
      <c r="A242" s="127" t="s">
        <v>1888</v>
      </c>
      <c r="B242" s="92">
        <v>5707</v>
      </c>
      <c r="C242" s="92">
        <v>7419</v>
      </c>
      <c r="D242" s="79">
        <v>24</v>
      </c>
      <c r="E242" s="80">
        <v>-46</v>
      </c>
      <c r="F242" s="57">
        <v>62.23</v>
      </c>
      <c r="G242" s="80">
        <v>1325</v>
      </c>
      <c r="H242" s="30" t="s">
        <v>1461</v>
      </c>
      <c r="I242" s="22" t="s">
        <v>602</v>
      </c>
      <c r="J242" s="8">
        <f>IFERROR(VLOOKUP($G242,今日總結!$A:$AN,33,0),"")</f>
        <v>0</v>
      </c>
      <c r="K242" s="5">
        <f>IFERROR(VLOOKUP($G242,今日總結!$A:$AN,34,0),"")</f>
        <v>0</v>
      </c>
      <c r="L242" s="156">
        <f>IFERROR(VLOOKUP($G242,今日總結!$A:$AN,31,0),"")</f>
        <v>7</v>
      </c>
      <c r="M242" s="337">
        <f>IFERROR(VLOOKUP($G242,今日總結!$A:$AN,32,0),"")</f>
        <v>0</v>
      </c>
      <c r="N242" s="240">
        <f t="shared" si="83"/>
        <v>7</v>
      </c>
      <c r="O242" s="359">
        <f>IFERROR(VLOOKUP($G242,融外自投!$A:$J,7,0),"無")</f>
        <v>320</v>
      </c>
      <c r="P242" s="79">
        <f>IFERROR(VLOOKUP($G242,融外自投!$A:$J,9,0),"無")</f>
        <v>24</v>
      </c>
      <c r="Q242" s="342">
        <f>IFERROR(VLOOKUP($G242,融外自投!$A:$J,8,0),"無")</f>
        <v>832</v>
      </c>
      <c r="R242" s="81" t="str">
        <f>IFERROR(VLOOKUP($G242,融外自投!$A:$J,10,0),"無")</f>
        <v>無</v>
      </c>
      <c r="S242" s="324">
        <f>IFERROR(VLOOKUP($G242,'321買'!$A:$E,5,0),"'沒有資料'")</f>
        <v>0</v>
      </c>
      <c r="T242" s="66">
        <v>12</v>
      </c>
      <c r="V242" s="94">
        <v>23.16</v>
      </c>
      <c r="W242" s="217">
        <v>111.5</v>
      </c>
      <c r="X242" s="66">
        <v>101</v>
      </c>
      <c r="Y242" s="15">
        <f>W242-X242</f>
        <v>10.5</v>
      </c>
      <c r="Z242" s="63">
        <f t="shared" si="90"/>
        <v>0.10396039603960396</v>
      </c>
      <c r="AA242" s="101" t="s">
        <v>1703</v>
      </c>
      <c r="AC242" s="22" t="s">
        <v>602</v>
      </c>
      <c r="AD242" s="84">
        <v>44328</v>
      </c>
      <c r="AE242" s="83">
        <v>44330</v>
      </c>
      <c r="AF242" s="33">
        <f t="shared" si="89"/>
        <v>2</v>
      </c>
      <c r="AG242" s="41" t="s">
        <v>1121</v>
      </c>
      <c r="AH242" s="210"/>
      <c r="AI242" s="182"/>
    </row>
    <row r="243" spans="1:35">
      <c r="A243" s="142" t="s">
        <v>1688</v>
      </c>
      <c r="B243" s="79">
        <v>369</v>
      </c>
      <c r="C243" s="79">
        <v>78</v>
      </c>
      <c r="D243" s="79">
        <v>63</v>
      </c>
      <c r="E243" s="79">
        <v>117</v>
      </c>
      <c r="F243" s="6">
        <v>-2.17</v>
      </c>
      <c r="G243" s="80">
        <v>1781</v>
      </c>
      <c r="H243" s="50" t="s">
        <v>1403</v>
      </c>
      <c r="I243" s="16" t="s">
        <v>607</v>
      </c>
      <c r="J243" s="8" t="str">
        <f>IFERROR(VLOOKUP($G243,今日總結!$A:$AN,33,0),"")</f>
        <v/>
      </c>
      <c r="K243" s="5" t="str">
        <f>IFERROR(VLOOKUP($G243,今日總結!$A:$AN,34,0),"")</f>
        <v/>
      </c>
      <c r="L243" s="156" t="str">
        <f>IFERROR(VLOOKUP($G243,今日總結!$A:$AN,31,0),"")</f>
        <v/>
      </c>
      <c r="M243" s="337" t="str">
        <f>IFERROR(VLOOKUP($G243,今日總結!$A:$AN,32,0),"")</f>
        <v/>
      </c>
      <c r="N243" s="240" t="str">
        <f t="shared" si="83"/>
        <v/>
      </c>
      <c r="O243" s="359" t="str">
        <f>IFERROR(VLOOKUP($G243,融外自投!$A:$J,7,0),"無")</f>
        <v>無</v>
      </c>
      <c r="P243" s="79" t="str">
        <f>IFERROR(VLOOKUP($G243,融外自投!$A:$J,9,0),"無")</f>
        <v>無</v>
      </c>
      <c r="Q243" s="342" t="str">
        <f>IFERROR(VLOOKUP($G243,融外自投!$A:$J,8,0),"無")</f>
        <v>無</v>
      </c>
      <c r="R243" s="81" t="str">
        <f>IFERROR(VLOOKUP($G243,融外自投!$A:$J,10,0),"無")</f>
        <v>無</v>
      </c>
      <c r="S243" s="324" t="str">
        <f>IFERROR(VLOOKUP($G243,'321買'!$A:$E,5,0),"'沒有資料'")</f>
        <v>'沒有資料'</v>
      </c>
      <c r="T243" s="34">
        <v>0</v>
      </c>
      <c r="V243" s="94">
        <f>T243/W243</f>
        <v>0</v>
      </c>
      <c r="W243" s="36">
        <v>24.05</v>
      </c>
      <c r="X243" s="66">
        <v>22.85</v>
      </c>
      <c r="Y243" s="15">
        <f>W243-X243</f>
        <v>1.1999999999999993</v>
      </c>
      <c r="Z243" s="63">
        <f t="shared" si="90"/>
        <v>5.2516411378555762E-2</v>
      </c>
      <c r="AA243" s="101" t="s">
        <v>2079</v>
      </c>
      <c r="AC243" s="16" t="s">
        <v>607</v>
      </c>
      <c r="AD243" s="84">
        <v>44298</v>
      </c>
      <c r="AE243" s="83">
        <v>44330</v>
      </c>
      <c r="AF243" s="33">
        <f t="shared" si="89"/>
        <v>32</v>
      </c>
      <c r="AG243" s="127" t="s">
        <v>1121</v>
      </c>
      <c r="AI243" s="8"/>
    </row>
    <row r="244" spans="1:35">
      <c r="A244" s="142" t="s">
        <v>1688</v>
      </c>
      <c r="B244" s="79">
        <v>369</v>
      </c>
      <c r="C244" s="79">
        <v>78</v>
      </c>
      <c r="D244" s="79">
        <v>63</v>
      </c>
      <c r="E244" s="79">
        <v>117</v>
      </c>
      <c r="F244" s="6">
        <v>-2.17</v>
      </c>
      <c r="G244" s="80">
        <v>1781</v>
      </c>
      <c r="H244" s="30" t="s">
        <v>1461</v>
      </c>
      <c r="I244" s="16" t="s">
        <v>607</v>
      </c>
      <c r="J244" s="8" t="str">
        <f>IFERROR(VLOOKUP($G244,今日總結!$A:$AN,33,0),"")</f>
        <v/>
      </c>
      <c r="K244" s="5" t="str">
        <f>IFERROR(VLOOKUP($G244,今日總結!$A:$AN,34,0),"")</f>
        <v/>
      </c>
      <c r="L244" s="156" t="str">
        <f>IFERROR(VLOOKUP($G244,今日總結!$A:$AN,31,0),"")</f>
        <v/>
      </c>
      <c r="M244" s="337" t="str">
        <f>IFERROR(VLOOKUP($G244,今日總結!$A:$AN,32,0),"")</f>
        <v/>
      </c>
      <c r="N244" s="240" t="str">
        <f t="shared" si="83"/>
        <v/>
      </c>
      <c r="O244" s="359" t="str">
        <f>IFERROR(VLOOKUP($G244,融外自投!$A:$J,7,0),"無")</f>
        <v>無</v>
      </c>
      <c r="P244" s="79" t="str">
        <f>IFERROR(VLOOKUP($G244,融外自投!$A:$J,9,0),"無")</f>
        <v>無</v>
      </c>
      <c r="Q244" s="342" t="str">
        <f>IFERROR(VLOOKUP($G244,融外自投!$A:$J,8,0),"無")</f>
        <v>無</v>
      </c>
      <c r="R244" s="81" t="str">
        <f>IFERROR(VLOOKUP($G244,融外自投!$A:$J,10,0),"無")</f>
        <v>無</v>
      </c>
      <c r="S244" s="324" t="str">
        <f>IFERROR(VLOOKUP($G244,'321買'!$A:$E,5,0),"'沒有資料'")</f>
        <v>'沒有資料'</v>
      </c>
      <c r="T244" s="34">
        <v>0</v>
      </c>
      <c r="V244" s="94">
        <f>T244/W244</f>
        <v>0</v>
      </c>
      <c r="W244" s="36">
        <v>26</v>
      </c>
      <c r="X244" s="66">
        <v>22.65</v>
      </c>
      <c r="Y244" s="15">
        <f>W244-X244</f>
        <v>3.3500000000000014</v>
      </c>
      <c r="Z244" s="63">
        <f t="shared" si="90"/>
        <v>0.14790286975717445</v>
      </c>
      <c r="AA244" s="101" t="s">
        <v>3297</v>
      </c>
      <c r="AC244" s="16" t="s">
        <v>607</v>
      </c>
      <c r="AD244" s="84">
        <v>44298</v>
      </c>
      <c r="AE244" s="83">
        <v>44330</v>
      </c>
      <c r="AF244" s="33">
        <f t="shared" si="89"/>
        <v>32</v>
      </c>
      <c r="AG244" s="41" t="s">
        <v>1121</v>
      </c>
      <c r="AI244" s="8"/>
    </row>
    <row r="245" spans="1:35">
      <c r="A245" s="127" t="s">
        <v>2037</v>
      </c>
      <c r="B245" s="92">
        <v>2459</v>
      </c>
      <c r="C245" s="92">
        <v>3043</v>
      </c>
      <c r="D245" s="80">
        <v>-2</v>
      </c>
      <c r="E245" s="80">
        <v>-49</v>
      </c>
      <c r="F245" s="57">
        <v>36.35</v>
      </c>
      <c r="G245" s="80">
        <v>3373</v>
      </c>
      <c r="H245" s="50" t="s">
        <v>1403</v>
      </c>
      <c r="I245" s="16" t="s">
        <v>476</v>
      </c>
      <c r="J245" s="8">
        <f>IFERROR(VLOOKUP($G245,今日總結!$A:$AN,33,0),"")</f>
        <v>0</v>
      </c>
      <c r="K245" s="5">
        <f>IFERROR(VLOOKUP($G245,今日總結!$A:$AN,34,0),"")</f>
        <v>0</v>
      </c>
      <c r="L245" s="156">
        <f>IFERROR(VLOOKUP($G245,今日總結!$A:$AN,31,0),"")</f>
        <v>5</v>
      </c>
      <c r="M245" s="337">
        <f>IFERROR(VLOOKUP($G245,今日總結!$A:$AN,32,0),"")</f>
        <v>0</v>
      </c>
      <c r="N245" s="240">
        <f t="shared" si="83"/>
        <v>5</v>
      </c>
      <c r="O245" s="359">
        <f>IFERROR(VLOOKUP($G245,融外自投!$A:$J,7,0),"無")</f>
        <v>465</v>
      </c>
      <c r="P245" s="79">
        <f>IFERROR(VLOOKUP($G245,融外自投!$A:$J,9,0),"無")</f>
        <v>18</v>
      </c>
      <c r="Q245" s="342">
        <f>IFERROR(VLOOKUP($G245,融外自投!$A:$J,8,0),"無")</f>
        <v>1144</v>
      </c>
      <c r="R245" s="81" t="str">
        <f>IFERROR(VLOOKUP($G245,融外自投!$A:$J,10,0),"無")</f>
        <v>無</v>
      </c>
      <c r="S245" s="324">
        <f>IFERROR(VLOOKUP($G245,'321買'!$A:$E,5,0),"'沒有資料'")</f>
        <v>0</v>
      </c>
      <c r="T245" s="45">
        <v>10</v>
      </c>
      <c r="V245" s="94">
        <v>17.010000000000002</v>
      </c>
      <c r="W245" s="36">
        <v>84.4</v>
      </c>
      <c r="X245" s="66">
        <v>80.099999999999994</v>
      </c>
      <c r="Y245" s="15">
        <f t="shared" ref="Y245:Y260" si="91">W245-X245</f>
        <v>4.3000000000000114</v>
      </c>
      <c r="Z245" s="63">
        <f t="shared" si="90"/>
        <v>5.3682896379525738E-2</v>
      </c>
      <c r="AA245" s="101" t="s">
        <v>2963</v>
      </c>
      <c r="AC245" s="16" t="s">
        <v>476</v>
      </c>
      <c r="AD245" s="84">
        <v>44314</v>
      </c>
      <c r="AE245" s="83">
        <v>44329</v>
      </c>
      <c r="AF245" s="33">
        <f t="shared" si="89"/>
        <v>15</v>
      </c>
      <c r="AG245" s="127" t="s">
        <v>1121</v>
      </c>
      <c r="AH245" s="212"/>
      <c r="AI245" s="213"/>
    </row>
    <row r="246" spans="1:35">
      <c r="A246" s="127" t="s">
        <v>2037</v>
      </c>
      <c r="B246" s="92">
        <v>2459</v>
      </c>
      <c r="C246" s="92">
        <v>3043</v>
      </c>
      <c r="D246" s="80">
        <v>-2</v>
      </c>
      <c r="E246" s="80">
        <v>-49</v>
      </c>
      <c r="F246" s="57">
        <v>36.35</v>
      </c>
      <c r="G246" s="80">
        <v>3373</v>
      </c>
      <c r="H246" s="50" t="s">
        <v>1403</v>
      </c>
      <c r="I246" s="16" t="s">
        <v>476</v>
      </c>
      <c r="J246" s="8">
        <f>IFERROR(VLOOKUP($G246,今日總結!$A:$AN,33,0),"")</f>
        <v>0</v>
      </c>
      <c r="K246" s="5">
        <f>IFERROR(VLOOKUP($G246,今日總結!$A:$AN,34,0),"")</f>
        <v>0</v>
      </c>
      <c r="L246" s="156">
        <f>IFERROR(VLOOKUP($G246,今日總結!$A:$AN,31,0),"")</f>
        <v>5</v>
      </c>
      <c r="M246" s="337">
        <f>IFERROR(VLOOKUP($G246,今日總結!$A:$AN,32,0),"")</f>
        <v>0</v>
      </c>
      <c r="N246" s="240">
        <f t="shared" si="83"/>
        <v>5</v>
      </c>
      <c r="O246" s="359">
        <f>IFERROR(VLOOKUP($G246,融外自投!$A:$J,7,0),"無")</f>
        <v>465</v>
      </c>
      <c r="P246" s="79">
        <f>IFERROR(VLOOKUP($G246,融外自投!$A:$J,9,0),"無")</f>
        <v>18</v>
      </c>
      <c r="Q246" s="342">
        <f>IFERROR(VLOOKUP($G246,融外自投!$A:$J,8,0),"無")</f>
        <v>1144</v>
      </c>
      <c r="R246" s="81" t="str">
        <f>IFERROR(VLOOKUP($G246,融外自投!$A:$J,10,0),"無")</f>
        <v>無</v>
      </c>
      <c r="S246" s="324">
        <f>IFERROR(VLOOKUP($G246,'321買'!$A:$E,5,0),"'沒有資料'")</f>
        <v>0</v>
      </c>
      <c r="T246" s="45">
        <v>10</v>
      </c>
      <c r="V246" s="94">
        <v>17.010000000000002</v>
      </c>
      <c r="W246" s="36">
        <v>84.3</v>
      </c>
      <c r="X246" s="66">
        <v>80.7</v>
      </c>
      <c r="Y246" s="15">
        <f t="shared" si="91"/>
        <v>3.5999999999999943</v>
      </c>
      <c r="Z246" s="63">
        <f t="shared" si="90"/>
        <v>4.4609665427509222E-2</v>
      </c>
      <c r="AA246" s="101" t="s">
        <v>2979</v>
      </c>
      <c r="AC246" s="16" t="s">
        <v>476</v>
      </c>
      <c r="AD246" s="84">
        <v>44313</v>
      </c>
      <c r="AE246" s="83">
        <v>44329</v>
      </c>
      <c r="AF246" s="33">
        <f t="shared" si="89"/>
        <v>16</v>
      </c>
      <c r="AG246" s="127" t="s">
        <v>1121</v>
      </c>
      <c r="AH246" s="212"/>
      <c r="AI246" s="213"/>
    </row>
    <row r="247" spans="1:35">
      <c r="A247" s="127" t="s">
        <v>2037</v>
      </c>
      <c r="B247" s="92">
        <v>2459</v>
      </c>
      <c r="C247" s="92">
        <v>3043</v>
      </c>
      <c r="D247" s="80">
        <v>-2</v>
      </c>
      <c r="E247" s="80">
        <v>-49</v>
      </c>
      <c r="F247" s="57">
        <v>36.35</v>
      </c>
      <c r="G247" s="80">
        <v>3373</v>
      </c>
      <c r="H247" s="30" t="s">
        <v>1461</v>
      </c>
      <c r="I247" s="16" t="s">
        <v>476</v>
      </c>
      <c r="J247" s="8">
        <f>IFERROR(VLOOKUP($G247,今日總結!$A:$AN,33,0),"")</f>
        <v>0</v>
      </c>
      <c r="K247" s="5">
        <f>IFERROR(VLOOKUP($G247,今日總結!$A:$AN,34,0),"")</f>
        <v>0</v>
      </c>
      <c r="L247" s="156">
        <f>IFERROR(VLOOKUP($G247,今日總結!$A:$AN,31,0),"")</f>
        <v>5</v>
      </c>
      <c r="M247" s="337">
        <f>IFERROR(VLOOKUP($G247,今日總結!$A:$AN,32,0),"")</f>
        <v>0</v>
      </c>
      <c r="N247" s="240">
        <f t="shared" si="83"/>
        <v>5</v>
      </c>
      <c r="O247" s="359">
        <f>IFERROR(VLOOKUP($G247,融外自投!$A:$J,7,0),"無")</f>
        <v>465</v>
      </c>
      <c r="P247" s="79">
        <f>IFERROR(VLOOKUP($G247,融外自投!$A:$J,9,0),"無")</f>
        <v>18</v>
      </c>
      <c r="Q247" s="342">
        <f>IFERROR(VLOOKUP($G247,融外自投!$A:$J,8,0),"無")</f>
        <v>1144</v>
      </c>
      <c r="R247" s="81" t="str">
        <f>IFERROR(VLOOKUP($G247,融外自投!$A:$J,10,0),"無")</f>
        <v>無</v>
      </c>
      <c r="S247" s="324">
        <f>IFERROR(VLOOKUP($G247,'321買'!$A:$E,5,0),"'沒有資料'")</f>
        <v>0</v>
      </c>
      <c r="T247" s="45">
        <v>10</v>
      </c>
      <c r="V247" s="94">
        <v>17.010000000000002</v>
      </c>
      <c r="W247" s="36">
        <v>84.3</v>
      </c>
      <c r="X247" s="66">
        <v>81</v>
      </c>
      <c r="Y247" s="15">
        <f t="shared" si="91"/>
        <v>3.2999999999999972</v>
      </c>
      <c r="Z247" s="63">
        <f t="shared" si="90"/>
        <v>4.0740740740740702E-2</v>
      </c>
      <c r="AA247" s="101" t="s">
        <v>3294</v>
      </c>
      <c r="AC247" s="16" t="s">
        <v>476</v>
      </c>
      <c r="AD247" s="84">
        <v>44314</v>
      </c>
      <c r="AE247" s="83">
        <v>44329</v>
      </c>
      <c r="AF247" s="33">
        <f t="shared" si="89"/>
        <v>15</v>
      </c>
      <c r="AG247" s="41" t="s">
        <v>1121</v>
      </c>
      <c r="AH247" s="212"/>
      <c r="AI247" s="213"/>
    </row>
    <row r="248" spans="1:35">
      <c r="A248" s="127" t="s">
        <v>2037</v>
      </c>
      <c r="B248" s="92">
        <v>2459</v>
      </c>
      <c r="C248" s="92">
        <v>3043</v>
      </c>
      <c r="D248" s="80">
        <v>-2</v>
      </c>
      <c r="E248" s="80">
        <v>-49</v>
      </c>
      <c r="F248" s="57">
        <v>36.35</v>
      </c>
      <c r="G248" s="80">
        <v>3373</v>
      </c>
      <c r="H248" s="30" t="s">
        <v>1461</v>
      </c>
      <c r="I248" s="16" t="s">
        <v>476</v>
      </c>
      <c r="J248" s="8">
        <f>IFERROR(VLOOKUP($G248,今日總結!$A:$AN,33,0),"")</f>
        <v>0</v>
      </c>
      <c r="K248" s="5">
        <f>IFERROR(VLOOKUP($G248,今日總結!$A:$AN,34,0),"")</f>
        <v>0</v>
      </c>
      <c r="L248" s="156">
        <f>IFERROR(VLOOKUP($G248,今日總結!$A:$AN,31,0),"")</f>
        <v>5</v>
      </c>
      <c r="M248" s="337">
        <f>IFERROR(VLOOKUP($G248,今日總結!$A:$AN,32,0),"")</f>
        <v>0</v>
      </c>
      <c r="N248" s="240">
        <f t="shared" si="83"/>
        <v>5</v>
      </c>
      <c r="O248" s="359">
        <f>IFERROR(VLOOKUP($G248,融外自投!$A:$J,7,0),"無")</f>
        <v>465</v>
      </c>
      <c r="P248" s="79">
        <f>IFERROR(VLOOKUP($G248,融外自投!$A:$J,9,0),"無")</f>
        <v>18</v>
      </c>
      <c r="Q248" s="342">
        <f>IFERROR(VLOOKUP($G248,融外自投!$A:$J,8,0),"無")</f>
        <v>1144</v>
      </c>
      <c r="R248" s="81" t="str">
        <f>IFERROR(VLOOKUP($G248,融外自投!$A:$J,10,0),"無")</f>
        <v>無</v>
      </c>
      <c r="S248" s="324">
        <f>IFERROR(VLOOKUP($G248,'321買'!$A:$E,5,0),"'沒有資料'")</f>
        <v>0</v>
      </c>
      <c r="T248" s="45">
        <v>10</v>
      </c>
      <c r="V248" s="94">
        <v>17.010000000000002</v>
      </c>
      <c r="W248" s="36">
        <v>84.3</v>
      </c>
      <c r="X248" s="66">
        <v>80.099999999999994</v>
      </c>
      <c r="Y248" s="15">
        <f t="shared" si="91"/>
        <v>4.2000000000000028</v>
      </c>
      <c r="Z248" s="63">
        <f t="shared" si="90"/>
        <v>5.2434456928838989E-2</v>
      </c>
      <c r="AA248" s="101" t="s">
        <v>3293</v>
      </c>
      <c r="AC248" s="16" t="s">
        <v>476</v>
      </c>
      <c r="AD248" s="84">
        <v>44313</v>
      </c>
      <c r="AE248" s="83">
        <v>44329</v>
      </c>
      <c r="AF248" s="33">
        <f t="shared" si="89"/>
        <v>16</v>
      </c>
      <c r="AG248" s="41" t="s">
        <v>1121</v>
      </c>
      <c r="AH248" s="41" t="s">
        <v>1501</v>
      </c>
      <c r="AI248" s="213"/>
    </row>
    <row r="249" spans="1:35">
      <c r="A249" s="127" t="s">
        <v>1696</v>
      </c>
      <c r="B249" s="79">
        <v>297</v>
      </c>
      <c r="C249" s="79">
        <v>275</v>
      </c>
      <c r="D249" s="79">
        <v>49</v>
      </c>
      <c r="E249" s="79">
        <v>205</v>
      </c>
      <c r="F249" s="57">
        <v>25.55</v>
      </c>
      <c r="G249" s="80">
        <v>4735</v>
      </c>
      <c r="H249" s="50" t="s">
        <v>1403</v>
      </c>
      <c r="I249" s="16" t="s">
        <v>617</v>
      </c>
      <c r="J249" s="8">
        <f>IFERROR(VLOOKUP($G249,今日總結!$A:$AN,33,0),"")</f>
        <v>0</v>
      </c>
      <c r="K249" s="5">
        <f>IFERROR(VLOOKUP($G249,今日總結!$A:$AN,34,0),"")</f>
        <v>0</v>
      </c>
      <c r="L249" s="156">
        <f>IFERROR(VLOOKUP($G249,今日總結!$A:$AN,31,0),"")</f>
        <v>5</v>
      </c>
      <c r="M249" s="337">
        <f>IFERROR(VLOOKUP($G249,今日總結!$A:$AN,32,0),"")</f>
        <v>1</v>
      </c>
      <c r="N249" s="240">
        <f t="shared" si="83"/>
        <v>4</v>
      </c>
      <c r="O249" s="359">
        <f>IFERROR(VLOOKUP($G249,融外自投!$A:$J,7,0),"無")</f>
        <v>724</v>
      </c>
      <c r="P249" s="79">
        <f>IFERROR(VLOOKUP($G249,融外自投!$A:$J,9,0),"無")</f>
        <v>392</v>
      </c>
      <c r="Q249" s="342">
        <f>IFERROR(VLOOKUP($G249,融外自投!$A:$J,8,0),"無")</f>
        <v>1259</v>
      </c>
      <c r="R249" s="81" t="str">
        <f>IFERROR(VLOOKUP($G249,融外自投!$A:$J,10,0),"無")</f>
        <v>無</v>
      </c>
      <c r="S249" s="324">
        <f>IFERROR(VLOOKUP($G249,'321買'!$A:$E,5,0),"'沒有資料'")</f>
        <v>0</v>
      </c>
      <c r="T249" s="66">
        <v>3</v>
      </c>
      <c r="V249" s="94">
        <v>15.17</v>
      </c>
      <c r="W249" s="36">
        <v>95.4</v>
      </c>
      <c r="X249" s="66">
        <v>90</v>
      </c>
      <c r="Y249" s="15">
        <f t="shared" si="91"/>
        <v>5.4000000000000057</v>
      </c>
      <c r="Z249" s="63">
        <f t="shared" ref="Z249:Z262" si="92">Y249/X249</f>
        <v>6.000000000000006E-2</v>
      </c>
      <c r="AA249" s="101" t="s">
        <v>3292</v>
      </c>
      <c r="AC249" s="16" t="s">
        <v>617</v>
      </c>
      <c r="AD249" s="84">
        <v>44315</v>
      </c>
      <c r="AE249" s="83">
        <v>44329</v>
      </c>
      <c r="AF249" s="33">
        <f>AE249-AD249</f>
        <v>14</v>
      </c>
      <c r="AG249" s="127" t="s">
        <v>1121</v>
      </c>
      <c r="AH249" s="212"/>
      <c r="AI249" s="213"/>
    </row>
    <row r="250" spans="1:35">
      <c r="A250" s="127" t="s">
        <v>1696</v>
      </c>
      <c r="B250" s="79">
        <v>297</v>
      </c>
      <c r="C250" s="79">
        <v>275</v>
      </c>
      <c r="D250" s="79">
        <v>49</v>
      </c>
      <c r="E250" s="79">
        <v>205</v>
      </c>
      <c r="F250" s="57">
        <v>25.55</v>
      </c>
      <c r="G250" s="80">
        <v>4735</v>
      </c>
      <c r="H250" s="30" t="s">
        <v>1461</v>
      </c>
      <c r="I250" s="16" t="s">
        <v>617</v>
      </c>
      <c r="J250" s="8">
        <f>IFERROR(VLOOKUP($G250,今日總結!$A:$AN,33,0),"")</f>
        <v>0</v>
      </c>
      <c r="K250" s="5">
        <f>IFERROR(VLOOKUP($G250,今日總結!$A:$AN,34,0),"")</f>
        <v>0</v>
      </c>
      <c r="L250" s="156">
        <f>IFERROR(VLOOKUP($G250,今日總結!$A:$AN,31,0),"")</f>
        <v>5</v>
      </c>
      <c r="M250" s="337">
        <f>IFERROR(VLOOKUP($G250,今日總結!$A:$AN,32,0),"")</f>
        <v>1</v>
      </c>
      <c r="N250" s="240">
        <f t="shared" si="83"/>
        <v>4</v>
      </c>
      <c r="O250" s="359">
        <f>IFERROR(VLOOKUP($G250,融外自投!$A:$J,7,0),"無")</f>
        <v>724</v>
      </c>
      <c r="P250" s="79">
        <f>IFERROR(VLOOKUP($G250,融外自投!$A:$J,9,0),"無")</f>
        <v>392</v>
      </c>
      <c r="Q250" s="342">
        <f>IFERROR(VLOOKUP($G250,融外自投!$A:$J,8,0),"無")</f>
        <v>1259</v>
      </c>
      <c r="R250" s="81" t="str">
        <f>IFERROR(VLOOKUP($G250,融外自投!$A:$J,10,0),"無")</f>
        <v>無</v>
      </c>
      <c r="S250" s="324">
        <f>IFERROR(VLOOKUP($G250,'321買'!$A:$E,5,0),"'沒有資料'")</f>
        <v>0</v>
      </c>
      <c r="T250" s="66">
        <v>3</v>
      </c>
      <c r="V250" s="94">
        <v>15.17</v>
      </c>
      <c r="W250" s="36">
        <v>95.1</v>
      </c>
      <c r="X250" s="66">
        <v>89.8</v>
      </c>
      <c r="Y250" s="15">
        <f t="shared" si="91"/>
        <v>5.2999999999999972</v>
      </c>
      <c r="Z250" s="63">
        <f t="shared" si="92"/>
        <v>5.9020044543429816E-2</v>
      </c>
      <c r="AA250" s="101" t="s">
        <v>3291</v>
      </c>
      <c r="AC250" s="16" t="s">
        <v>617</v>
      </c>
      <c r="AD250" s="84">
        <v>44315</v>
      </c>
      <c r="AE250" s="83">
        <v>44329</v>
      </c>
      <c r="AF250" s="33">
        <f>AE250-AD250</f>
        <v>14</v>
      </c>
      <c r="AG250" s="41" t="s">
        <v>1121</v>
      </c>
      <c r="AH250" s="212"/>
      <c r="AI250" s="213"/>
    </row>
    <row r="251" spans="1:35">
      <c r="A251" s="127" t="s">
        <v>1696</v>
      </c>
      <c r="B251" s="79">
        <v>297</v>
      </c>
      <c r="C251" s="79">
        <v>275</v>
      </c>
      <c r="D251" s="79">
        <v>49</v>
      </c>
      <c r="E251" s="79">
        <v>205</v>
      </c>
      <c r="F251" s="57">
        <v>25.55</v>
      </c>
      <c r="G251" s="80">
        <v>4735</v>
      </c>
      <c r="H251" s="30" t="s">
        <v>1461</v>
      </c>
      <c r="I251" s="16" t="s">
        <v>617</v>
      </c>
      <c r="J251" s="8">
        <f>IFERROR(VLOOKUP($G251,今日總結!$A:$AN,33,0),"")</f>
        <v>0</v>
      </c>
      <c r="K251" s="5">
        <f>IFERROR(VLOOKUP($G251,今日總結!$A:$AN,34,0),"")</f>
        <v>0</v>
      </c>
      <c r="L251" s="156">
        <f>IFERROR(VLOOKUP($G251,今日總結!$A:$AN,31,0),"")</f>
        <v>5</v>
      </c>
      <c r="M251" s="337">
        <f>IFERROR(VLOOKUP($G251,今日總結!$A:$AN,32,0),"")</f>
        <v>1</v>
      </c>
      <c r="N251" s="240">
        <f t="shared" si="83"/>
        <v>4</v>
      </c>
      <c r="O251" s="359">
        <f>IFERROR(VLOOKUP($G251,融外自投!$A:$J,7,0),"無")</f>
        <v>724</v>
      </c>
      <c r="P251" s="79">
        <f>IFERROR(VLOOKUP($G251,融外自投!$A:$J,9,0),"無")</f>
        <v>392</v>
      </c>
      <c r="Q251" s="342">
        <f>IFERROR(VLOOKUP($G251,融外自投!$A:$J,8,0),"無")</f>
        <v>1259</v>
      </c>
      <c r="R251" s="81" t="str">
        <f>IFERROR(VLOOKUP($G251,融外自投!$A:$J,10,0),"無")</f>
        <v>無</v>
      </c>
      <c r="S251" s="324">
        <f>IFERROR(VLOOKUP($G251,'321買'!$A:$E,5,0),"'沒有資料'")</f>
        <v>0</v>
      </c>
      <c r="T251" s="66">
        <v>3</v>
      </c>
      <c r="V251" s="94">
        <v>15.17</v>
      </c>
      <c r="W251" s="36">
        <v>95.1</v>
      </c>
      <c r="X251" s="66">
        <v>90.4</v>
      </c>
      <c r="Y251" s="15">
        <f t="shared" si="91"/>
        <v>4.6999999999999886</v>
      </c>
      <c r="Z251" s="63">
        <f t="shared" si="92"/>
        <v>5.1991150442477749E-2</v>
      </c>
      <c r="AA251" s="101" t="s">
        <v>3290</v>
      </c>
      <c r="AC251" s="16" t="s">
        <v>617</v>
      </c>
      <c r="AD251" s="84">
        <v>44315</v>
      </c>
      <c r="AE251" s="83">
        <v>44329</v>
      </c>
      <c r="AF251" s="33">
        <f>AE251-AD251</f>
        <v>14</v>
      </c>
      <c r="AG251" s="41" t="s">
        <v>1121</v>
      </c>
      <c r="AH251" s="41" t="s">
        <v>1501</v>
      </c>
      <c r="AI251" s="213"/>
    </row>
    <row r="252" spans="1:35">
      <c r="A252" s="142" t="s">
        <v>1656</v>
      </c>
      <c r="B252" s="80">
        <v>-4</v>
      </c>
      <c r="C252" s="79">
        <v>34</v>
      </c>
      <c r="D252" s="79">
        <v>23</v>
      </c>
      <c r="E252" s="79">
        <v>4</v>
      </c>
      <c r="F252" s="6">
        <v>6.35</v>
      </c>
      <c r="G252" s="80">
        <v>4102</v>
      </c>
      <c r="H252" s="50" t="s">
        <v>1403</v>
      </c>
      <c r="I252" s="16" t="s">
        <v>609</v>
      </c>
      <c r="J252" s="8">
        <f>IFERROR(VLOOKUP($G252,今日總結!$A:$AN,33,0),"")</f>
        <v>0</v>
      </c>
      <c r="K252" s="5">
        <f>IFERROR(VLOOKUP($G252,今日總結!$A:$AN,34,0),"")</f>
        <v>0</v>
      </c>
      <c r="L252" s="156">
        <f>IFERROR(VLOOKUP($G252,今日總結!$A:$AN,31,0),"")</f>
        <v>1</v>
      </c>
      <c r="M252" s="337">
        <f>IFERROR(VLOOKUP($G252,今日總結!$A:$AN,32,0),"")</f>
        <v>0</v>
      </c>
      <c r="N252" s="240">
        <f t="shared" si="83"/>
        <v>1</v>
      </c>
      <c r="O252" s="359">
        <f>IFERROR(VLOOKUP($G252,融外自投!$A:$J,7,0),"無")</f>
        <v>117</v>
      </c>
      <c r="P252" s="79">
        <f>IFERROR(VLOOKUP($G252,融外自投!$A:$J,9,0),"無")</f>
        <v>671</v>
      </c>
      <c r="Q252" s="342">
        <f>IFERROR(VLOOKUP($G252,融外自投!$A:$J,8,0),"無")</f>
        <v>979</v>
      </c>
      <c r="R252" s="81" t="str">
        <f>IFERROR(VLOOKUP($G252,融外自投!$A:$J,10,0),"無")</f>
        <v>無</v>
      </c>
      <c r="S252" s="324">
        <f>IFERROR(VLOOKUP($G252,'321買'!$A:$E,5,0),"'沒有資料'")</f>
        <v>0</v>
      </c>
      <c r="T252" s="34">
        <v>0.1</v>
      </c>
      <c r="V252" s="94">
        <f>T252/W252</f>
        <v>3.8684719535783366E-3</v>
      </c>
      <c r="W252" s="36">
        <v>25.85</v>
      </c>
      <c r="X252" s="66">
        <v>23.3</v>
      </c>
      <c r="Y252" s="15">
        <f t="shared" si="91"/>
        <v>2.5500000000000007</v>
      </c>
      <c r="Z252" s="63">
        <f t="shared" si="92"/>
        <v>0.10944206008583694</v>
      </c>
      <c r="AA252" s="101" t="s">
        <v>3289</v>
      </c>
      <c r="AC252" s="16" t="s">
        <v>609</v>
      </c>
      <c r="AD252" s="84">
        <v>44298</v>
      </c>
      <c r="AE252" s="83">
        <v>44329</v>
      </c>
      <c r="AF252" s="33">
        <f t="shared" ref="AF252:AF259" si="93">AE252-AD252</f>
        <v>31</v>
      </c>
      <c r="AG252" s="127" t="s">
        <v>1121</v>
      </c>
      <c r="AI252" s="8"/>
    </row>
    <row r="253" spans="1:35">
      <c r="A253" s="142" t="s">
        <v>1656</v>
      </c>
      <c r="B253" s="80">
        <v>-4</v>
      </c>
      <c r="C253" s="79">
        <v>34</v>
      </c>
      <c r="D253" s="79">
        <v>23</v>
      </c>
      <c r="E253" s="79">
        <v>4</v>
      </c>
      <c r="F253" s="6">
        <v>6.35</v>
      </c>
      <c r="G253" s="80">
        <v>4102</v>
      </c>
      <c r="H253" s="30" t="s">
        <v>1461</v>
      </c>
      <c r="I253" s="16" t="s">
        <v>609</v>
      </c>
      <c r="J253" s="8">
        <f>IFERROR(VLOOKUP($G253,今日總結!$A:$AN,33,0),"")</f>
        <v>0</v>
      </c>
      <c r="K253" s="5">
        <f>IFERROR(VLOOKUP($G253,今日總結!$A:$AN,34,0),"")</f>
        <v>0</v>
      </c>
      <c r="L253" s="156">
        <f>IFERROR(VLOOKUP($G253,今日總結!$A:$AN,31,0),"")</f>
        <v>1</v>
      </c>
      <c r="M253" s="337">
        <f>IFERROR(VLOOKUP($G253,今日總結!$A:$AN,32,0),"")</f>
        <v>0</v>
      </c>
      <c r="N253" s="240">
        <f t="shared" si="83"/>
        <v>1</v>
      </c>
      <c r="O253" s="359">
        <f>IFERROR(VLOOKUP($G253,融外自投!$A:$J,7,0),"無")</f>
        <v>117</v>
      </c>
      <c r="P253" s="79">
        <f>IFERROR(VLOOKUP($G253,融外自投!$A:$J,9,0),"無")</f>
        <v>671</v>
      </c>
      <c r="Q253" s="342">
        <f>IFERROR(VLOOKUP($G253,融外自投!$A:$J,8,0),"無")</f>
        <v>979</v>
      </c>
      <c r="R253" s="81" t="str">
        <f>IFERROR(VLOOKUP($G253,融外自投!$A:$J,10,0),"無")</f>
        <v>無</v>
      </c>
      <c r="S253" s="324">
        <f>IFERROR(VLOOKUP($G253,'321買'!$A:$E,5,0),"'沒有資料'")</f>
        <v>0</v>
      </c>
      <c r="T253" s="34">
        <v>0.1</v>
      </c>
      <c r="V253" s="94">
        <f>T253/W253</f>
        <v>3.8610038610038615E-3</v>
      </c>
      <c r="W253" s="36">
        <v>25.9</v>
      </c>
      <c r="X253" s="66">
        <v>23.7</v>
      </c>
      <c r="Y253" s="15">
        <f t="shared" si="91"/>
        <v>2.1999999999999993</v>
      </c>
      <c r="Z253" s="63">
        <f t="shared" si="92"/>
        <v>9.2827004219409259E-2</v>
      </c>
      <c r="AA253" s="101" t="s">
        <v>3288</v>
      </c>
      <c r="AC253" s="16" t="s">
        <v>609</v>
      </c>
      <c r="AD253" s="84">
        <v>44299</v>
      </c>
      <c r="AE253" s="83">
        <v>44329</v>
      </c>
      <c r="AF253" s="33">
        <f t="shared" si="93"/>
        <v>30</v>
      </c>
      <c r="AG253" s="41" t="s">
        <v>1121</v>
      </c>
      <c r="AI253" s="8"/>
    </row>
    <row r="254" spans="1:35">
      <c r="A254" s="142" t="s">
        <v>1656</v>
      </c>
      <c r="B254" s="80">
        <v>-4</v>
      </c>
      <c r="C254" s="79">
        <v>34</v>
      </c>
      <c r="D254" s="79">
        <v>23</v>
      </c>
      <c r="E254" s="79">
        <v>4</v>
      </c>
      <c r="F254" s="6">
        <v>6.35</v>
      </c>
      <c r="G254" s="80">
        <v>4102</v>
      </c>
      <c r="H254" s="30" t="s">
        <v>1461</v>
      </c>
      <c r="I254" s="16" t="s">
        <v>609</v>
      </c>
      <c r="J254" s="8">
        <f>IFERROR(VLOOKUP($G254,今日總結!$A:$AN,33,0),"")</f>
        <v>0</v>
      </c>
      <c r="K254" s="5">
        <f>IFERROR(VLOOKUP($G254,今日總結!$A:$AN,34,0),"")</f>
        <v>0</v>
      </c>
      <c r="L254" s="156">
        <f>IFERROR(VLOOKUP($G254,今日總結!$A:$AN,31,0),"")</f>
        <v>1</v>
      </c>
      <c r="M254" s="337">
        <f>IFERROR(VLOOKUP($G254,今日總結!$A:$AN,32,0),"")</f>
        <v>0</v>
      </c>
      <c r="N254" s="240">
        <f t="shared" si="83"/>
        <v>1</v>
      </c>
      <c r="O254" s="359">
        <f>IFERROR(VLOOKUP($G254,融外自投!$A:$J,7,0),"無")</f>
        <v>117</v>
      </c>
      <c r="P254" s="79">
        <f>IFERROR(VLOOKUP($G254,融外自投!$A:$J,9,0),"無")</f>
        <v>671</v>
      </c>
      <c r="Q254" s="342">
        <f>IFERROR(VLOOKUP($G254,融外自投!$A:$J,8,0),"無")</f>
        <v>979</v>
      </c>
      <c r="R254" s="81" t="str">
        <f>IFERROR(VLOOKUP($G254,融外自投!$A:$J,10,0),"無")</f>
        <v>無</v>
      </c>
      <c r="S254" s="324">
        <f>IFERROR(VLOOKUP($G254,'321買'!$A:$E,5,0),"'沒有資料'")</f>
        <v>0</v>
      </c>
      <c r="T254" s="34">
        <v>0.1</v>
      </c>
      <c r="V254" s="94">
        <f>T254/W254</f>
        <v>3.8610038610038615E-3</v>
      </c>
      <c r="W254" s="36">
        <v>25.9</v>
      </c>
      <c r="X254" s="66">
        <v>23.3</v>
      </c>
      <c r="Y254" s="15">
        <f t="shared" si="91"/>
        <v>2.5999999999999979</v>
      </c>
      <c r="Z254" s="63">
        <f t="shared" si="92"/>
        <v>0.11158798283261794</v>
      </c>
      <c r="AA254" s="101" t="s">
        <v>3287</v>
      </c>
      <c r="AC254" s="16" t="s">
        <v>609</v>
      </c>
      <c r="AD254" s="84">
        <v>44298</v>
      </c>
      <c r="AE254" s="83">
        <v>44329</v>
      </c>
      <c r="AF254" s="33">
        <f t="shared" si="93"/>
        <v>31</v>
      </c>
      <c r="AG254" s="41" t="s">
        <v>1121</v>
      </c>
      <c r="AH254" s="41" t="s">
        <v>1501</v>
      </c>
      <c r="AI254" s="8"/>
    </row>
    <row r="255" spans="1:35">
      <c r="A255" s="142" t="s">
        <v>1653</v>
      </c>
      <c r="B255" s="79">
        <v>480</v>
      </c>
      <c r="C255" s="79">
        <v>91</v>
      </c>
      <c r="D255" s="79">
        <v>329</v>
      </c>
      <c r="E255" s="80">
        <v>-4</v>
      </c>
      <c r="F255" s="6">
        <v>-1.38</v>
      </c>
      <c r="G255" s="80">
        <v>4142</v>
      </c>
      <c r="H255" s="50" t="s">
        <v>1403</v>
      </c>
      <c r="I255" s="22" t="s">
        <v>632</v>
      </c>
      <c r="J255" s="8">
        <f>IFERROR(VLOOKUP($G255,今日總結!$A:$AN,33,0),"")</f>
        <v>0</v>
      </c>
      <c r="K255" s="5">
        <f>IFERROR(VLOOKUP($G255,今日總結!$A:$AN,34,0),"")</f>
        <v>0</v>
      </c>
      <c r="L255" s="156">
        <f>IFERROR(VLOOKUP($G255,今日總結!$A:$AN,31,0),"")</f>
        <v>3</v>
      </c>
      <c r="M255" s="337">
        <f>IFERROR(VLOOKUP($G255,今日總結!$A:$AN,32,0),"")</f>
        <v>0</v>
      </c>
      <c r="N255" s="240">
        <f t="shared" si="83"/>
        <v>3</v>
      </c>
      <c r="O255" s="359">
        <f>IFERROR(VLOOKUP($G255,融外自投!$A:$J,7,0),"無")</f>
        <v>412</v>
      </c>
      <c r="P255" s="79">
        <f>IFERROR(VLOOKUP($G255,融外自投!$A:$J,9,0),"無")</f>
        <v>171</v>
      </c>
      <c r="Q255" s="342">
        <f>IFERROR(VLOOKUP($G255,融外自投!$A:$J,8,0),"無")</f>
        <v>610</v>
      </c>
      <c r="R255" s="81">
        <f>IFERROR(VLOOKUP($G255,融外自投!$A:$J,10,0),"無")</f>
        <v>358</v>
      </c>
      <c r="S255" s="324">
        <f>IFERROR(VLOOKUP($G255,'321買'!$A:$E,5,0),"'沒有資料'")</f>
        <v>0</v>
      </c>
      <c r="T255" s="34">
        <v>0.5</v>
      </c>
      <c r="V255" s="94">
        <v>3.08</v>
      </c>
      <c r="W255" s="36">
        <v>62.4</v>
      </c>
      <c r="X255" s="66">
        <v>56.1</v>
      </c>
      <c r="Y255" s="15">
        <f t="shared" si="91"/>
        <v>6.2999999999999972</v>
      </c>
      <c r="Z255" s="63">
        <f t="shared" si="92"/>
        <v>0.11229946524064166</v>
      </c>
      <c r="AA255" s="101" t="s">
        <v>3286</v>
      </c>
      <c r="AC255" s="22" t="s">
        <v>632</v>
      </c>
      <c r="AD255" s="84">
        <v>44319</v>
      </c>
      <c r="AE255" s="83">
        <v>44329</v>
      </c>
      <c r="AF255" s="33">
        <f t="shared" si="93"/>
        <v>10</v>
      </c>
      <c r="AG255" s="127" t="s">
        <v>1121</v>
      </c>
      <c r="AH255" s="212"/>
      <c r="AI255" s="213"/>
    </row>
    <row r="256" spans="1:35">
      <c r="A256" s="142" t="s">
        <v>1653</v>
      </c>
      <c r="B256" s="79">
        <v>480</v>
      </c>
      <c r="C256" s="79">
        <v>91</v>
      </c>
      <c r="D256" s="79">
        <v>329</v>
      </c>
      <c r="E256" s="80">
        <v>-4</v>
      </c>
      <c r="F256" s="6">
        <v>-1.38</v>
      </c>
      <c r="G256" s="80">
        <v>4142</v>
      </c>
      <c r="H256" s="30" t="s">
        <v>1461</v>
      </c>
      <c r="I256" s="22" t="s">
        <v>632</v>
      </c>
      <c r="J256" s="8">
        <f>IFERROR(VLOOKUP($G256,今日總結!$A:$AN,33,0),"")</f>
        <v>0</v>
      </c>
      <c r="K256" s="5">
        <f>IFERROR(VLOOKUP($G256,今日總結!$A:$AN,34,0),"")</f>
        <v>0</v>
      </c>
      <c r="L256" s="156">
        <f>IFERROR(VLOOKUP($G256,今日總結!$A:$AN,31,0),"")</f>
        <v>3</v>
      </c>
      <c r="M256" s="337">
        <f>IFERROR(VLOOKUP($G256,今日總結!$A:$AN,32,0),"")</f>
        <v>0</v>
      </c>
      <c r="N256" s="240">
        <f t="shared" si="83"/>
        <v>3</v>
      </c>
      <c r="O256" s="359">
        <f>IFERROR(VLOOKUP($G256,融外自投!$A:$J,7,0),"無")</f>
        <v>412</v>
      </c>
      <c r="P256" s="79">
        <f>IFERROR(VLOOKUP($G256,融外自投!$A:$J,9,0),"無")</f>
        <v>171</v>
      </c>
      <c r="Q256" s="342">
        <f>IFERROR(VLOOKUP($G256,融外自投!$A:$J,8,0),"無")</f>
        <v>610</v>
      </c>
      <c r="R256" s="81">
        <f>IFERROR(VLOOKUP($G256,融外自投!$A:$J,10,0),"無")</f>
        <v>358</v>
      </c>
      <c r="S256" s="324">
        <f>IFERROR(VLOOKUP($G256,'321買'!$A:$E,5,0),"'沒有資料'")</f>
        <v>0</v>
      </c>
      <c r="T256" s="34">
        <v>0.5</v>
      </c>
      <c r="V256" s="94">
        <v>3.08</v>
      </c>
      <c r="W256" s="36">
        <v>62.2</v>
      </c>
      <c r="X256" s="66">
        <v>55.7</v>
      </c>
      <c r="Y256" s="15">
        <f t="shared" si="91"/>
        <v>6.5</v>
      </c>
      <c r="Z256" s="63">
        <f t="shared" si="92"/>
        <v>0.11669658886894074</v>
      </c>
      <c r="AA256" s="101" t="s">
        <v>3285</v>
      </c>
      <c r="AC256" s="22" t="s">
        <v>632</v>
      </c>
      <c r="AD256" s="84">
        <v>44319</v>
      </c>
      <c r="AE256" s="83">
        <v>44329</v>
      </c>
      <c r="AF256" s="33">
        <f t="shared" si="93"/>
        <v>10</v>
      </c>
      <c r="AG256" s="41" t="s">
        <v>1121</v>
      </c>
      <c r="AH256" s="212"/>
      <c r="AI256" s="213"/>
    </row>
    <row r="257" spans="1:45">
      <c r="A257" s="127" t="s">
        <v>1888</v>
      </c>
      <c r="B257" s="92">
        <v>5707</v>
      </c>
      <c r="C257" s="92">
        <v>7419</v>
      </c>
      <c r="D257" s="79">
        <v>24</v>
      </c>
      <c r="E257" s="80">
        <v>-46</v>
      </c>
      <c r="F257" s="57">
        <v>62.23</v>
      </c>
      <c r="G257" s="80">
        <v>1325</v>
      </c>
      <c r="H257" s="50" t="s">
        <v>1403</v>
      </c>
      <c r="I257" s="22" t="s">
        <v>602</v>
      </c>
      <c r="J257" s="8">
        <f>IFERROR(VLOOKUP($G257,今日總結!$A:$AN,33,0),"")</f>
        <v>0</v>
      </c>
      <c r="K257" s="5">
        <f>IFERROR(VLOOKUP($G257,今日總結!$A:$AN,34,0),"")</f>
        <v>0</v>
      </c>
      <c r="L257" s="156">
        <f>IFERROR(VLOOKUP($G257,今日總結!$A:$AN,31,0),"")</f>
        <v>7</v>
      </c>
      <c r="M257" s="337">
        <f>IFERROR(VLOOKUP($G257,今日總結!$A:$AN,32,0),"")</f>
        <v>0</v>
      </c>
      <c r="N257" s="240">
        <f t="shared" si="83"/>
        <v>7</v>
      </c>
      <c r="O257" s="359">
        <f>IFERROR(VLOOKUP($G257,融外自投!$A:$J,7,0),"無")</f>
        <v>320</v>
      </c>
      <c r="P257" s="79">
        <f>IFERROR(VLOOKUP($G257,融外自投!$A:$J,9,0),"無")</f>
        <v>24</v>
      </c>
      <c r="Q257" s="342">
        <f>IFERROR(VLOOKUP($G257,融外自投!$A:$J,8,0),"無")</f>
        <v>832</v>
      </c>
      <c r="R257" s="81" t="str">
        <f>IFERROR(VLOOKUP($G257,融外自投!$A:$J,10,0),"無")</f>
        <v>無</v>
      </c>
      <c r="S257" s="324">
        <f>IFERROR(VLOOKUP($G257,'321買'!$A:$E,5,0),"'沒有資料'")</f>
        <v>0</v>
      </c>
      <c r="T257" s="66">
        <v>12</v>
      </c>
      <c r="V257" s="94">
        <v>23.16</v>
      </c>
      <c r="W257" s="217">
        <v>97.8</v>
      </c>
      <c r="X257" s="66">
        <v>86.7</v>
      </c>
      <c r="Y257" s="15">
        <f t="shared" si="91"/>
        <v>11.099999999999994</v>
      </c>
      <c r="Z257" s="63">
        <f t="shared" si="92"/>
        <v>0.12802768166089959</v>
      </c>
      <c r="AA257" s="99" t="s">
        <v>1679</v>
      </c>
      <c r="AC257" s="22" t="s">
        <v>602</v>
      </c>
      <c r="AD257" s="84">
        <v>44315</v>
      </c>
      <c r="AE257" s="83">
        <v>44328</v>
      </c>
      <c r="AF257" s="33">
        <f t="shared" si="93"/>
        <v>13</v>
      </c>
      <c r="AG257" s="127" t="s">
        <v>1121</v>
      </c>
      <c r="AH257" s="210"/>
      <c r="AI257" s="182"/>
    </row>
    <row r="258" spans="1:45">
      <c r="A258" s="127" t="s">
        <v>1888</v>
      </c>
      <c r="B258" s="92">
        <v>5707</v>
      </c>
      <c r="C258" s="92">
        <v>7419</v>
      </c>
      <c r="D258" s="79">
        <v>24</v>
      </c>
      <c r="E258" s="80">
        <v>-46</v>
      </c>
      <c r="F258" s="57">
        <v>62.23</v>
      </c>
      <c r="G258" s="80">
        <v>1325</v>
      </c>
      <c r="H258" s="30" t="s">
        <v>1461</v>
      </c>
      <c r="I258" s="22" t="s">
        <v>602</v>
      </c>
      <c r="J258" s="8">
        <f>IFERROR(VLOOKUP($G258,今日總結!$A:$AN,33,0),"")</f>
        <v>0</v>
      </c>
      <c r="K258" s="5">
        <f>IFERROR(VLOOKUP($G258,今日總結!$A:$AN,34,0),"")</f>
        <v>0</v>
      </c>
      <c r="L258" s="156">
        <f>IFERROR(VLOOKUP($G258,今日總結!$A:$AN,31,0),"")</f>
        <v>7</v>
      </c>
      <c r="M258" s="337">
        <f>IFERROR(VLOOKUP($G258,今日總結!$A:$AN,32,0),"")</f>
        <v>0</v>
      </c>
      <c r="N258" s="240">
        <f t="shared" si="83"/>
        <v>7</v>
      </c>
      <c r="O258" s="359">
        <f>IFERROR(VLOOKUP($G258,融外自投!$A:$J,7,0),"無")</f>
        <v>320</v>
      </c>
      <c r="P258" s="79">
        <f>IFERROR(VLOOKUP($G258,融外自投!$A:$J,9,0),"無")</f>
        <v>24</v>
      </c>
      <c r="Q258" s="342">
        <f>IFERROR(VLOOKUP($G258,融外自投!$A:$J,8,0),"無")</f>
        <v>832</v>
      </c>
      <c r="R258" s="81" t="str">
        <f>IFERROR(VLOOKUP($G258,融外自投!$A:$J,10,0),"無")</f>
        <v>無</v>
      </c>
      <c r="S258" s="324">
        <f>IFERROR(VLOOKUP($G258,'321買'!$A:$E,5,0),"'沒有資料'")</f>
        <v>0</v>
      </c>
      <c r="T258" s="66">
        <v>12</v>
      </c>
      <c r="V258" s="94">
        <v>23.16</v>
      </c>
      <c r="W258" s="217">
        <v>100.5</v>
      </c>
      <c r="X258" s="66">
        <v>87.7</v>
      </c>
      <c r="Y258" s="15">
        <f t="shared" si="91"/>
        <v>12.799999999999997</v>
      </c>
      <c r="Z258" s="63">
        <f t="shared" si="92"/>
        <v>0.14595210946408205</v>
      </c>
      <c r="AA258" s="99" t="s">
        <v>1657</v>
      </c>
      <c r="AC258" s="22" t="s">
        <v>602</v>
      </c>
      <c r="AD258" s="84">
        <v>44315</v>
      </c>
      <c r="AE258" s="83">
        <v>44328</v>
      </c>
      <c r="AF258" s="33">
        <f t="shared" si="93"/>
        <v>13</v>
      </c>
      <c r="AG258" s="41" t="s">
        <v>1121</v>
      </c>
      <c r="AH258" s="210"/>
      <c r="AI258" s="182"/>
    </row>
    <row r="259" spans="1:45">
      <c r="A259" s="127" t="s">
        <v>1888</v>
      </c>
      <c r="B259" s="92">
        <v>5707</v>
      </c>
      <c r="C259" s="92">
        <v>7419</v>
      </c>
      <c r="D259" s="79">
        <v>24</v>
      </c>
      <c r="E259" s="80">
        <v>-46</v>
      </c>
      <c r="F259" s="57">
        <v>62.23</v>
      </c>
      <c r="G259" s="80">
        <v>1325</v>
      </c>
      <c r="H259" s="30" t="s">
        <v>1461</v>
      </c>
      <c r="I259" s="22" t="s">
        <v>602</v>
      </c>
      <c r="J259" s="8">
        <f>IFERROR(VLOOKUP($G259,今日總結!$A:$AN,33,0),"")</f>
        <v>0</v>
      </c>
      <c r="K259" s="5">
        <f>IFERROR(VLOOKUP($G259,今日總結!$A:$AN,34,0),"")</f>
        <v>0</v>
      </c>
      <c r="L259" s="156">
        <f>IFERROR(VLOOKUP($G259,今日總結!$A:$AN,31,0),"")</f>
        <v>7</v>
      </c>
      <c r="M259" s="337">
        <f>IFERROR(VLOOKUP($G259,今日總結!$A:$AN,32,0),"")</f>
        <v>0</v>
      </c>
      <c r="N259" s="240">
        <f t="shared" si="83"/>
        <v>7</v>
      </c>
      <c r="O259" s="359">
        <f>IFERROR(VLOOKUP($G259,融外自投!$A:$J,7,0),"無")</f>
        <v>320</v>
      </c>
      <c r="P259" s="79">
        <f>IFERROR(VLOOKUP($G259,融外自投!$A:$J,9,0),"無")</f>
        <v>24</v>
      </c>
      <c r="Q259" s="342">
        <f>IFERROR(VLOOKUP($G259,融外自投!$A:$J,8,0),"無")</f>
        <v>832</v>
      </c>
      <c r="R259" s="81" t="str">
        <f>IFERROR(VLOOKUP($G259,融外自投!$A:$J,10,0),"無")</f>
        <v>無</v>
      </c>
      <c r="S259" s="324">
        <f>IFERROR(VLOOKUP($G259,'321買'!$A:$E,5,0),"'沒有資料'")</f>
        <v>0</v>
      </c>
      <c r="T259" s="66">
        <v>12</v>
      </c>
      <c r="V259" s="94">
        <v>23.16</v>
      </c>
      <c r="W259" s="217">
        <v>100.5</v>
      </c>
      <c r="X259" s="66">
        <v>86.5</v>
      </c>
      <c r="Y259" s="15">
        <f t="shared" si="91"/>
        <v>14</v>
      </c>
      <c r="Z259" s="63">
        <f t="shared" si="92"/>
        <v>0.16184971098265896</v>
      </c>
      <c r="AA259" s="99" t="s">
        <v>3284</v>
      </c>
      <c r="AC259" s="22" t="s">
        <v>602</v>
      </c>
      <c r="AD259" s="84">
        <v>44315</v>
      </c>
      <c r="AE259" s="83">
        <v>44328</v>
      </c>
      <c r="AF259" s="33">
        <f t="shared" si="93"/>
        <v>13</v>
      </c>
      <c r="AG259" s="41" t="s">
        <v>1121</v>
      </c>
      <c r="AH259" s="41" t="s">
        <v>1501</v>
      </c>
      <c r="AI259" s="182"/>
    </row>
    <row r="260" spans="1:45" s="248" customFormat="1">
      <c r="A260" s="142" t="s">
        <v>1689</v>
      </c>
      <c r="B260" s="80">
        <v>-7</v>
      </c>
      <c r="C260" s="79">
        <v>52</v>
      </c>
      <c r="D260" s="79">
        <v>50</v>
      </c>
      <c r="E260" s="79">
        <v>52</v>
      </c>
      <c r="F260" s="6">
        <v>3.9</v>
      </c>
      <c r="G260" s="79">
        <v>6214</v>
      </c>
      <c r="H260" s="30" t="s">
        <v>1461</v>
      </c>
      <c r="I260" s="153" t="s">
        <v>279</v>
      </c>
      <c r="J260" s="8">
        <f>IFERROR(VLOOKUP($G260,今日總結!$A:$AN,33,0),"")</f>
        <v>0</v>
      </c>
      <c r="K260" s="5">
        <f>IFERROR(VLOOKUP($G260,今日總結!$A:$AN,34,0),"")</f>
        <v>1</v>
      </c>
      <c r="L260" s="156">
        <f>IFERROR(VLOOKUP($G260,今日總結!$A:$AN,31,0),"")</f>
        <v>1</v>
      </c>
      <c r="M260" s="337">
        <f>IFERROR(VLOOKUP($G260,今日總結!$A:$AN,32,0),"")</f>
        <v>12</v>
      </c>
      <c r="N260" s="240">
        <f t="shared" si="83"/>
        <v>-11</v>
      </c>
      <c r="O260" s="359">
        <f>IFERROR(VLOOKUP($G260,融外自投!$A:$J,7,0),"無")</f>
        <v>1283</v>
      </c>
      <c r="P260" s="79">
        <f>IFERROR(VLOOKUP($G260,融外自投!$A:$J,9,0),"無")</f>
        <v>671</v>
      </c>
      <c r="Q260" s="342">
        <f>IFERROR(VLOOKUP($G260,融外自投!$A:$J,8,0),"無")</f>
        <v>435</v>
      </c>
      <c r="R260" s="81" t="str">
        <f>IFERROR(VLOOKUP($G260,融外自投!$A:$J,10,0),"無")</f>
        <v>無</v>
      </c>
      <c r="S260" s="324">
        <f>IFERROR(VLOOKUP($G260,'321買'!$A:$E,5,0),"'沒有資料'")</f>
        <v>0</v>
      </c>
      <c r="T260" s="185">
        <v>5</v>
      </c>
      <c r="U260" s="308"/>
      <c r="V260" s="94">
        <f>T260/W260</f>
        <v>5.5248618784530384E-2</v>
      </c>
      <c r="W260" s="161">
        <v>90.5</v>
      </c>
      <c r="X260" s="65">
        <v>88.1</v>
      </c>
      <c r="Y260" s="162">
        <f t="shared" si="91"/>
        <v>2.4000000000000057</v>
      </c>
      <c r="Z260" s="158">
        <f t="shared" si="92"/>
        <v>2.7241770715096546E-2</v>
      </c>
      <c r="AA260" s="111" t="s">
        <v>3282</v>
      </c>
      <c r="AB260" s="376"/>
      <c r="AC260" s="153" t="s">
        <v>279</v>
      </c>
      <c r="AD260" s="84">
        <v>44302</v>
      </c>
      <c r="AE260" s="83">
        <v>44322</v>
      </c>
      <c r="AF260" s="33">
        <f>AE260-AD260</f>
        <v>20</v>
      </c>
      <c r="AG260" s="41" t="s">
        <v>2152</v>
      </c>
      <c r="AH260" s="163"/>
    </row>
    <row r="261" spans="1:45" s="248" customFormat="1">
      <c r="A261" s="127" t="s">
        <v>1636</v>
      </c>
      <c r="B261" s="79">
        <v>44</v>
      </c>
      <c r="C261" s="79">
        <v>42</v>
      </c>
      <c r="D261" s="80">
        <v>-5</v>
      </c>
      <c r="E261" s="79">
        <v>26</v>
      </c>
      <c r="F261" s="57">
        <v>10.09</v>
      </c>
      <c r="G261" s="80">
        <v>4927</v>
      </c>
      <c r="H261" s="30" t="s">
        <v>1461</v>
      </c>
      <c r="I261" s="153" t="s">
        <v>447</v>
      </c>
      <c r="J261" s="8">
        <f>IFERROR(VLOOKUP($G261,今日總結!$A:$AN,33,0),"")</f>
        <v>0</v>
      </c>
      <c r="K261" s="5">
        <f>IFERROR(VLOOKUP($G261,今日總結!$A:$AN,34,0),"")</f>
        <v>0</v>
      </c>
      <c r="L261" s="156">
        <f>IFERROR(VLOOKUP($G261,今日總結!$A:$AN,31,0),"")</f>
        <v>1</v>
      </c>
      <c r="M261" s="337">
        <f>IFERROR(VLOOKUP($G261,今日總結!$A:$AN,32,0),"")</f>
        <v>7</v>
      </c>
      <c r="N261" s="240">
        <f t="shared" si="83"/>
        <v>-6</v>
      </c>
      <c r="O261" s="359">
        <f>IFERROR(VLOOKUP($G261,融外自投!$A:$J,7,0),"無")</f>
        <v>275</v>
      </c>
      <c r="P261" s="79">
        <f>IFERROR(VLOOKUP($G261,融外自投!$A:$J,9,0),"無")</f>
        <v>213</v>
      </c>
      <c r="Q261" s="342">
        <f>IFERROR(VLOOKUP($G261,融外自投!$A:$J,8,0),"無")</f>
        <v>289</v>
      </c>
      <c r="R261" s="81">
        <f>IFERROR(VLOOKUP($G261,融外自投!$A:$J,10,0),"無")</f>
        <v>39</v>
      </c>
      <c r="S261" s="324">
        <f>IFERROR(VLOOKUP($G261,'321買'!$A:$E,5,0),"'沒有資料'")</f>
        <v>0</v>
      </c>
      <c r="T261" s="155">
        <v>3</v>
      </c>
      <c r="U261" s="308"/>
      <c r="V261" s="94">
        <v>6.32</v>
      </c>
      <c r="W261" s="161">
        <v>67.3</v>
      </c>
      <c r="X261" s="65">
        <v>67.400000000000006</v>
      </c>
      <c r="Y261" s="162">
        <f>W261-X261</f>
        <v>-0.10000000000000853</v>
      </c>
      <c r="Z261" s="164">
        <f t="shared" si="92"/>
        <v>-1.4836795252226784E-3</v>
      </c>
      <c r="AA261" s="168" t="s">
        <v>1873</v>
      </c>
      <c r="AB261" s="376"/>
      <c r="AC261" s="153" t="s">
        <v>447</v>
      </c>
      <c r="AD261" s="84">
        <v>44313</v>
      </c>
      <c r="AE261" s="83">
        <v>44322</v>
      </c>
      <c r="AF261" s="33">
        <f>AE261-AD261</f>
        <v>9</v>
      </c>
      <c r="AG261" s="41" t="s">
        <v>1121</v>
      </c>
      <c r="AH261" s="212"/>
      <c r="AI261" s="213"/>
      <c r="AJ261" s="17"/>
    </row>
    <row r="262" spans="1:45" s="248" customFormat="1">
      <c r="A262" s="141"/>
      <c r="B262" s="79"/>
      <c r="C262" s="79"/>
      <c r="D262" s="79"/>
      <c r="E262" s="79"/>
      <c r="F262" s="6"/>
      <c r="G262" s="41"/>
      <c r="H262" s="8"/>
      <c r="I262" s="153"/>
      <c r="J262" s="8"/>
      <c r="K262" s="5"/>
      <c r="L262" s="156"/>
      <c r="M262" s="337"/>
      <c r="N262" s="240"/>
      <c r="O262" s="359"/>
      <c r="P262" s="47"/>
      <c r="Q262" s="342"/>
      <c r="R262" s="81"/>
      <c r="S262" s="319"/>
      <c r="T262" s="185"/>
      <c r="U262" s="308"/>
      <c r="V262" s="94"/>
      <c r="W262" s="161">
        <f>SUM(W202:W261)</f>
        <v>5598.6</v>
      </c>
      <c r="X262" s="65">
        <f>SUM(X202:X261)</f>
        <v>5343.0500000000011</v>
      </c>
      <c r="Y262" s="162">
        <f>W262-X262</f>
        <v>255.54999999999927</v>
      </c>
      <c r="Z262" s="158">
        <f t="shared" si="92"/>
        <v>4.782848747438246E-2</v>
      </c>
      <c r="AA262" s="113"/>
      <c r="AB262" s="376"/>
      <c r="AC262" s="227">
        <f>W262*(0.001425*0.5)+W262*0.003+X262*(0.001425*0.5)</f>
        <v>24.591725625000002</v>
      </c>
      <c r="AD262" s="6">
        <f>Y262-AC262</f>
        <v>230.95827437499926</v>
      </c>
      <c r="AE262" s="83"/>
      <c r="AF262" s="33"/>
      <c r="AG262" s="41"/>
      <c r="AH262" s="163"/>
    </row>
    <row r="263" spans="1:45" s="255" customFormat="1">
      <c r="A263" s="127"/>
      <c r="B263" s="90"/>
      <c r="C263" s="90"/>
      <c r="D263" s="90"/>
      <c r="E263" s="90"/>
      <c r="F263" s="8"/>
      <c r="G263" s="25"/>
      <c r="H263" s="55"/>
      <c r="I263" s="1"/>
      <c r="J263" s="8"/>
      <c r="K263" s="5"/>
      <c r="L263" s="156"/>
      <c r="M263" s="337"/>
      <c r="N263" s="240"/>
      <c r="O263" s="359"/>
      <c r="P263" s="47"/>
      <c r="Q263" s="342"/>
      <c r="R263" s="81"/>
      <c r="S263" s="318"/>
      <c r="T263" s="14"/>
      <c r="U263" s="308"/>
      <c r="V263" s="68"/>
      <c r="W263" s="28"/>
      <c r="X263" s="17"/>
      <c r="Y263" s="14"/>
      <c r="Z263" s="21"/>
      <c r="AA263" s="25"/>
      <c r="AB263" s="376"/>
      <c r="AC263" s="227">
        <f>W262*(0.001425*0.28)+W262*0.003+X262*(0.001425*0.28)</f>
        <v>21.161518350000001</v>
      </c>
      <c r="AD263" s="71"/>
      <c r="AE263" s="72"/>
      <c r="AF263" s="32"/>
      <c r="AG263" s="46"/>
      <c r="AH263" s="163"/>
    </row>
    <row r="264" spans="1:45" s="255" customFormat="1">
      <c r="A264" s="127"/>
      <c r="B264" s="90"/>
      <c r="C264" s="90"/>
      <c r="D264" s="90"/>
      <c r="E264" s="90"/>
      <c r="F264" s="8"/>
      <c r="G264" s="25"/>
      <c r="H264" s="55"/>
      <c r="I264" s="1"/>
      <c r="J264" s="1"/>
      <c r="K264" s="1"/>
      <c r="L264" s="123"/>
      <c r="M264" s="234"/>
      <c r="N264" s="338"/>
      <c r="O264" s="359"/>
      <c r="P264" s="47"/>
      <c r="Q264" s="342"/>
      <c r="R264" s="300"/>
      <c r="S264" s="318"/>
      <c r="T264" s="14"/>
      <c r="U264" s="308"/>
      <c r="V264" s="68"/>
      <c r="W264" s="28"/>
      <c r="X264" s="17"/>
      <c r="Y264" s="14"/>
      <c r="Z264" s="21"/>
      <c r="AA264" s="25"/>
      <c r="AB264" s="376"/>
      <c r="AC264" s="227"/>
      <c r="AD264" s="71"/>
      <c r="AE264" s="72"/>
      <c r="AF264" s="32"/>
      <c r="AG264" s="46"/>
      <c r="AH264" s="163"/>
    </row>
    <row r="265" spans="1:45" s="255" customFormat="1">
      <c r="A265" s="127" t="s">
        <v>1672</v>
      </c>
      <c r="B265" s="90" t="s">
        <v>1571</v>
      </c>
      <c r="C265" s="90" t="s">
        <v>1572</v>
      </c>
      <c r="D265" s="90" t="s">
        <v>1573</v>
      </c>
      <c r="E265" s="90" t="s">
        <v>1574</v>
      </c>
      <c r="F265" s="8" t="s">
        <v>1059</v>
      </c>
      <c r="G265" s="26" t="s">
        <v>3441</v>
      </c>
      <c r="H265" s="55" t="s">
        <v>320</v>
      </c>
      <c r="I265" s="1" t="s">
        <v>2248</v>
      </c>
      <c r="J265" s="8" t="s">
        <v>6211</v>
      </c>
      <c r="K265" s="5" t="s">
        <v>6212</v>
      </c>
      <c r="L265" s="334" t="s">
        <v>6197</v>
      </c>
      <c r="M265" s="335" t="s">
        <v>6198</v>
      </c>
      <c r="N265" s="336" t="s">
        <v>6199</v>
      </c>
      <c r="O265" s="89" t="s">
        <v>6275</v>
      </c>
      <c r="P265" s="292" t="s">
        <v>6274</v>
      </c>
      <c r="Q265" s="350" t="s">
        <v>6273</v>
      </c>
      <c r="R265" s="26" t="s">
        <v>6276</v>
      </c>
      <c r="S265" s="318" t="s">
        <v>4715</v>
      </c>
      <c r="T265" s="14" t="s">
        <v>66</v>
      </c>
      <c r="U265" s="305" t="s">
        <v>4728</v>
      </c>
      <c r="V265" s="68" t="s">
        <v>6277</v>
      </c>
      <c r="W265" s="28" t="s">
        <v>6278</v>
      </c>
      <c r="X265" s="17" t="s">
        <v>1398</v>
      </c>
      <c r="Y265" s="14" t="s">
        <v>2249</v>
      </c>
      <c r="Z265" s="21" t="s">
        <v>1469</v>
      </c>
      <c r="AA265" s="51" t="s">
        <v>6166</v>
      </c>
      <c r="AB265" s="102" t="s">
        <v>6404</v>
      </c>
      <c r="AC265" s="1" t="s">
        <v>2248</v>
      </c>
      <c r="AD265" s="71" t="s">
        <v>1399</v>
      </c>
      <c r="AE265" s="72" t="s">
        <v>1156</v>
      </c>
      <c r="AF265" s="32" t="s">
        <v>1157</v>
      </c>
      <c r="AG265" s="46" t="s">
        <v>3156</v>
      </c>
      <c r="AH265" s="163"/>
    </row>
    <row r="266" spans="1:45" s="248" customFormat="1">
      <c r="A266" s="142" t="s">
        <v>1886</v>
      </c>
      <c r="B266" s="80">
        <v>-16</v>
      </c>
      <c r="C266" s="79">
        <v>11</v>
      </c>
      <c r="D266" s="79">
        <v>30</v>
      </c>
      <c r="E266" s="79">
        <v>18</v>
      </c>
      <c r="F266" s="6">
        <v>5.99</v>
      </c>
      <c r="G266" s="79">
        <v>1785</v>
      </c>
      <c r="H266" s="30" t="s">
        <v>1461</v>
      </c>
      <c r="I266" s="166" t="s">
        <v>305</v>
      </c>
      <c r="J266" s="8">
        <f>IFERROR(VLOOKUP($G266,今日總結!$A:$AN,33,0),"")</f>
        <v>0</v>
      </c>
      <c r="K266" s="5">
        <f>IFERROR(VLOOKUP($G266,今日總結!$A:$AN,34,0),"")</f>
        <v>0</v>
      </c>
      <c r="L266" s="156">
        <f>IFERROR(VLOOKUP($G266,今日總結!$A:$AN,31,0),"")</f>
        <v>5</v>
      </c>
      <c r="M266" s="337">
        <f>IFERROR(VLOOKUP($G266,今日總結!$A:$AN,32,0),"")</f>
        <v>0</v>
      </c>
      <c r="N266" s="240">
        <f t="shared" ref="N266" si="94">IFERROR(L266-M266,"")</f>
        <v>5</v>
      </c>
      <c r="O266" s="359">
        <f>IFERROR(VLOOKUP($G266,融外自投!$A:$J,7,0),"無")</f>
        <v>334</v>
      </c>
      <c r="P266" s="79">
        <f>IFERROR(VLOOKUP($G266,融外自投!$A:$J,9,0),"無")</f>
        <v>990</v>
      </c>
      <c r="Q266" s="342">
        <f>IFERROR(VLOOKUP($G266,融外自投!$A:$J,8,0),"無")</f>
        <v>652</v>
      </c>
      <c r="R266" s="81">
        <f>IFERROR(VLOOKUP($G266,融外自投!$A:$J,10,0),"無")</f>
        <v>413</v>
      </c>
      <c r="S266" s="324">
        <f>IFERROR(VLOOKUP($G266,'321買'!$A:$E,5,0),"'沒有資料'")</f>
        <v>0</v>
      </c>
      <c r="T266" s="185">
        <v>1</v>
      </c>
      <c r="U266" s="308"/>
      <c r="V266" s="94">
        <f t="shared" ref="V266:V275" si="95">T266/W266</f>
        <v>1.7035775127768313E-2</v>
      </c>
      <c r="W266" s="161">
        <v>58.7</v>
      </c>
      <c r="X266" s="155">
        <v>54.5</v>
      </c>
      <c r="Y266" s="105">
        <f t="shared" ref="Y266:Y277" si="96">W266-X266</f>
        <v>4.2000000000000028</v>
      </c>
      <c r="Z266" s="158">
        <f t="shared" ref="Z266:Z277" si="97">Y266/X266</f>
        <v>7.7064220183486284E-2</v>
      </c>
      <c r="AA266" s="167" t="s">
        <v>2183</v>
      </c>
      <c r="AB266" s="376"/>
      <c r="AC266" s="166" t="s">
        <v>305</v>
      </c>
      <c r="AD266" s="84">
        <v>44309</v>
      </c>
      <c r="AE266" s="83">
        <v>44403</v>
      </c>
      <c r="AF266" s="33">
        <f>AE266-AD266</f>
        <v>94</v>
      </c>
      <c r="AG266" s="41" t="s">
        <v>1121</v>
      </c>
      <c r="AH266" s="212"/>
      <c r="AI266" s="213"/>
    </row>
    <row r="267" spans="1:45" s="171" customFormat="1" ht="17.100000000000001" customHeight="1">
      <c r="A267" s="41"/>
      <c r="B267" s="80">
        <v>-63</v>
      </c>
      <c r="C267" s="80">
        <v>-76</v>
      </c>
      <c r="D267" s="80">
        <v>-63</v>
      </c>
      <c r="E267" s="80">
        <v>-76</v>
      </c>
      <c r="F267" s="6">
        <v>1.95</v>
      </c>
      <c r="G267" s="79">
        <v>4432</v>
      </c>
      <c r="H267" s="30" t="s">
        <v>1461</v>
      </c>
      <c r="I267" s="166" t="s">
        <v>206</v>
      </c>
      <c r="J267" s="8">
        <f>IFERROR(VLOOKUP($G267,今日總結!$A:$AN,33,0),"")</f>
        <v>0</v>
      </c>
      <c r="K267" s="5">
        <f>IFERROR(VLOOKUP($G267,今日總結!$A:$AN,34,0),"")</f>
        <v>0</v>
      </c>
      <c r="L267" s="156">
        <f>IFERROR(VLOOKUP($G267,今日總結!$A:$AN,31,0),"")</f>
        <v>1</v>
      </c>
      <c r="M267" s="337">
        <f>IFERROR(VLOOKUP($G267,今日總結!$A:$AN,32,0),"")</f>
        <v>1</v>
      </c>
      <c r="N267" s="240">
        <f t="shared" ref="N267:N326" si="98">IFERROR(L267-M267,"")</f>
        <v>0</v>
      </c>
      <c r="O267" s="359">
        <f>IFERROR(VLOOKUP($G267,融外自投!$A:$J,7,0),"無")</f>
        <v>751</v>
      </c>
      <c r="P267" s="79">
        <f>IFERROR(VLOOKUP($G267,融外自投!$A:$J,9,0),"無")</f>
        <v>298</v>
      </c>
      <c r="Q267" s="342">
        <f>IFERROR(VLOOKUP($G267,融外自投!$A:$J,8,0),"無")</f>
        <v>1405</v>
      </c>
      <c r="R267" s="81" t="str">
        <f>IFERROR(VLOOKUP($G267,融外自投!$A:$J,10,0),"無")</f>
        <v>無</v>
      </c>
      <c r="S267" s="324">
        <f>IFERROR(VLOOKUP($G267,'321買'!$A:$E,5,0),"'沒有資料'")</f>
        <v>0</v>
      </c>
      <c r="T267" s="185">
        <v>1.1599999999999999</v>
      </c>
      <c r="U267" s="308"/>
      <c r="V267" s="57">
        <f t="shared" si="95"/>
        <v>6.2533692722371956E-2</v>
      </c>
      <c r="W267" s="165">
        <v>18.55</v>
      </c>
      <c r="X267" s="65">
        <v>17</v>
      </c>
      <c r="Y267" s="162">
        <f t="shared" si="96"/>
        <v>1.5500000000000007</v>
      </c>
      <c r="Z267" s="158">
        <f t="shared" si="97"/>
        <v>9.1176470588235331E-2</v>
      </c>
      <c r="AA267" s="167" t="s">
        <v>3253</v>
      </c>
      <c r="AB267" s="376"/>
      <c r="AC267" s="166" t="s">
        <v>206</v>
      </c>
      <c r="AD267" s="84">
        <v>44252</v>
      </c>
      <c r="AE267" s="83">
        <v>44308</v>
      </c>
      <c r="AF267" s="33">
        <f>AE267-AD267</f>
        <v>56</v>
      </c>
      <c r="AG267" s="41" t="s">
        <v>1121</v>
      </c>
      <c r="AH267" s="27"/>
      <c r="AI267" s="17"/>
      <c r="AJ267" s="11"/>
      <c r="AK267" s="11"/>
      <c r="AL267" s="11"/>
      <c r="AM267" s="11"/>
      <c r="AN267" s="248"/>
      <c r="AO267" s="248"/>
      <c r="AQ267" s="4"/>
      <c r="AR267" s="248"/>
      <c r="AS267" s="248"/>
    </row>
    <row r="268" spans="1:45" s="171" customFormat="1" ht="17.100000000000001" customHeight="1">
      <c r="A268" s="41"/>
      <c r="B268" s="80">
        <v>-63</v>
      </c>
      <c r="C268" s="80">
        <v>-76</v>
      </c>
      <c r="D268" s="80">
        <v>-63</v>
      </c>
      <c r="E268" s="80">
        <v>-76</v>
      </c>
      <c r="F268" s="6">
        <v>1.95</v>
      </c>
      <c r="G268" s="79">
        <v>4432</v>
      </c>
      <c r="H268" s="30" t="s">
        <v>1461</v>
      </c>
      <c r="I268" s="166" t="s">
        <v>206</v>
      </c>
      <c r="J268" s="8">
        <f>IFERROR(VLOOKUP($G268,今日總結!$A:$AN,33,0),"")</f>
        <v>0</v>
      </c>
      <c r="K268" s="5">
        <f>IFERROR(VLOOKUP($G268,今日總結!$A:$AN,34,0),"")</f>
        <v>0</v>
      </c>
      <c r="L268" s="156">
        <f>IFERROR(VLOOKUP($G268,今日總結!$A:$AN,31,0),"")</f>
        <v>1</v>
      </c>
      <c r="M268" s="337">
        <f>IFERROR(VLOOKUP($G268,今日總結!$A:$AN,32,0),"")</f>
        <v>1</v>
      </c>
      <c r="N268" s="240">
        <f t="shared" si="98"/>
        <v>0</v>
      </c>
      <c r="O268" s="359">
        <f>IFERROR(VLOOKUP($G268,融外自投!$A:$J,7,0),"無")</f>
        <v>751</v>
      </c>
      <c r="P268" s="79">
        <f>IFERROR(VLOOKUP($G268,融外自投!$A:$J,9,0),"無")</f>
        <v>298</v>
      </c>
      <c r="Q268" s="342">
        <f>IFERROR(VLOOKUP($G268,融外自投!$A:$J,8,0),"無")</f>
        <v>1405</v>
      </c>
      <c r="R268" s="81" t="str">
        <f>IFERROR(VLOOKUP($G268,融外自投!$A:$J,10,0),"無")</f>
        <v>無</v>
      </c>
      <c r="S268" s="324">
        <f>IFERROR(VLOOKUP($G268,'321買'!$A:$E,5,0),"'沒有資料'")</f>
        <v>0</v>
      </c>
      <c r="T268" s="185">
        <v>1.1599999999999999</v>
      </c>
      <c r="U268" s="308"/>
      <c r="V268" s="57">
        <f t="shared" si="95"/>
        <v>6.2702702702702701E-2</v>
      </c>
      <c r="W268" s="165">
        <v>18.5</v>
      </c>
      <c r="X268" s="65">
        <v>17.350000000000001</v>
      </c>
      <c r="Y268" s="162">
        <f t="shared" si="96"/>
        <v>1.1499999999999986</v>
      </c>
      <c r="Z268" s="158">
        <f t="shared" si="97"/>
        <v>6.6282420749279453E-2</v>
      </c>
      <c r="AA268" s="167" t="s">
        <v>3254</v>
      </c>
      <c r="AB268" s="376"/>
      <c r="AC268" s="166" t="s">
        <v>206</v>
      </c>
      <c r="AD268" s="84">
        <v>44252</v>
      </c>
      <c r="AE268" s="83">
        <v>44308</v>
      </c>
      <c r="AF268" s="33">
        <f>AE268-AD268</f>
        <v>56</v>
      </c>
      <c r="AG268" s="41" t="s">
        <v>1121</v>
      </c>
      <c r="AH268" s="27"/>
      <c r="AI268" s="17"/>
      <c r="AJ268" s="11"/>
      <c r="AK268" s="11"/>
      <c r="AL268" s="11"/>
      <c r="AM268" s="11"/>
      <c r="AN268" s="248"/>
      <c r="AO268" s="248"/>
      <c r="AQ268" s="4"/>
      <c r="AR268" s="248"/>
      <c r="AS268" s="248"/>
    </row>
    <row r="269" spans="1:45" s="248" customFormat="1">
      <c r="A269" s="142" t="s">
        <v>1651</v>
      </c>
      <c r="B269" s="80">
        <v>-63</v>
      </c>
      <c r="C269" s="80">
        <v>-65</v>
      </c>
      <c r="D269" s="80">
        <v>-8</v>
      </c>
      <c r="E269" s="79">
        <v>21</v>
      </c>
      <c r="F269" s="6">
        <v>8.69</v>
      </c>
      <c r="G269" s="79">
        <v>3265</v>
      </c>
      <c r="H269" s="30" t="s">
        <v>1461</v>
      </c>
      <c r="I269" s="166" t="s">
        <v>2238</v>
      </c>
      <c r="J269" s="8">
        <f>IFERROR(VLOOKUP($G269,今日總結!$A:$AN,33,0),"")</f>
        <v>0</v>
      </c>
      <c r="K269" s="5">
        <f>IFERROR(VLOOKUP($G269,今日總結!$A:$AN,34,0),"")</f>
        <v>0</v>
      </c>
      <c r="L269" s="156">
        <f>IFERROR(VLOOKUP($G269,今日總結!$A:$AN,31,0),"")</f>
        <v>0</v>
      </c>
      <c r="M269" s="337">
        <f>IFERROR(VLOOKUP($G269,今日總結!$A:$AN,32,0),"")</f>
        <v>0</v>
      </c>
      <c r="N269" s="240">
        <f t="shared" si="98"/>
        <v>0</v>
      </c>
      <c r="O269" s="359">
        <f>IFERROR(VLOOKUP($G269,融外自投!$A:$J,7,0),"無")</f>
        <v>456</v>
      </c>
      <c r="P269" s="79">
        <f>IFERROR(VLOOKUP($G269,融外自投!$A:$J,9,0),"無")</f>
        <v>45</v>
      </c>
      <c r="Q269" s="342">
        <f>IFERROR(VLOOKUP($G269,融外自投!$A:$J,8,0),"無")</f>
        <v>735</v>
      </c>
      <c r="R269" s="81" t="str">
        <f>IFERROR(VLOOKUP($G269,融外自投!$A:$J,10,0),"無")</f>
        <v>無</v>
      </c>
      <c r="S269" s="324">
        <f>IFERROR(VLOOKUP($G269,'321買'!$A:$E,5,0),"'沒有資料'")</f>
        <v>0</v>
      </c>
      <c r="T269" s="185">
        <v>1.23</v>
      </c>
      <c r="U269" s="308"/>
      <c r="V269" s="57">
        <f t="shared" si="95"/>
        <v>3.7500000000000006E-2</v>
      </c>
      <c r="W269" s="165">
        <v>32.799999999999997</v>
      </c>
      <c r="X269" s="65">
        <v>32.1</v>
      </c>
      <c r="Y269" s="162">
        <f t="shared" si="96"/>
        <v>0.69999999999999574</v>
      </c>
      <c r="Z269" s="158">
        <f t="shared" si="97"/>
        <v>2.1806853582554384E-2</v>
      </c>
      <c r="AA269" s="167" t="s">
        <v>3252</v>
      </c>
      <c r="AB269" s="376"/>
      <c r="AC269" s="166" t="s">
        <v>2238</v>
      </c>
      <c r="AD269" s="84">
        <v>44300</v>
      </c>
      <c r="AE269" s="83">
        <v>44308</v>
      </c>
      <c r="AF269" s="33">
        <f>AE269-AD269</f>
        <v>8</v>
      </c>
      <c r="AG269" s="41" t="s">
        <v>1121</v>
      </c>
      <c r="AH269" s="180"/>
      <c r="AI269" s="179"/>
    </row>
    <row r="270" spans="1:45" s="248" customFormat="1">
      <c r="A270" s="142" t="s">
        <v>3206</v>
      </c>
      <c r="B270" s="79">
        <v>31</v>
      </c>
      <c r="C270" s="79">
        <v>8</v>
      </c>
      <c r="D270" s="79">
        <v>29</v>
      </c>
      <c r="E270" s="79">
        <v>22</v>
      </c>
      <c r="F270" s="6">
        <v>4.18</v>
      </c>
      <c r="G270" s="79">
        <v>6214</v>
      </c>
      <c r="H270" s="30" t="s">
        <v>3153</v>
      </c>
      <c r="I270" s="153" t="s">
        <v>3207</v>
      </c>
      <c r="J270" s="8">
        <f>IFERROR(VLOOKUP($G270,今日總結!$A:$AN,33,0),"")</f>
        <v>0</v>
      </c>
      <c r="K270" s="5">
        <f>IFERROR(VLOOKUP($G270,今日總結!$A:$AN,34,0),"")</f>
        <v>1</v>
      </c>
      <c r="L270" s="156">
        <f>IFERROR(VLOOKUP($G270,今日總結!$A:$AN,31,0),"")</f>
        <v>1</v>
      </c>
      <c r="M270" s="337">
        <f>IFERROR(VLOOKUP($G270,今日總結!$A:$AN,32,0),"")</f>
        <v>12</v>
      </c>
      <c r="N270" s="240">
        <f t="shared" si="98"/>
        <v>-11</v>
      </c>
      <c r="O270" s="359">
        <f>IFERROR(VLOOKUP($G270,融外自投!$A:$J,7,0),"無")</f>
        <v>1283</v>
      </c>
      <c r="P270" s="79">
        <f>IFERROR(VLOOKUP($G270,融外自投!$A:$J,9,0),"無")</f>
        <v>671</v>
      </c>
      <c r="Q270" s="342">
        <f>IFERROR(VLOOKUP($G270,融外自投!$A:$J,8,0),"無")</f>
        <v>435</v>
      </c>
      <c r="R270" s="81" t="str">
        <f>IFERROR(VLOOKUP($G270,融外自投!$A:$J,10,0),"無")</f>
        <v>無</v>
      </c>
      <c r="S270" s="324">
        <f>IFERROR(VLOOKUP($G270,'321買'!$A:$E,5,0),"'沒有資料'")</f>
        <v>0</v>
      </c>
      <c r="T270" s="185">
        <v>5</v>
      </c>
      <c r="U270" s="308"/>
      <c r="V270" s="94">
        <f t="shared" si="95"/>
        <v>5.5248618784530384E-2</v>
      </c>
      <c r="W270" s="161">
        <v>90.5</v>
      </c>
      <c r="X270" s="65">
        <v>87.5</v>
      </c>
      <c r="Y270" s="162">
        <f t="shared" si="96"/>
        <v>3</v>
      </c>
      <c r="Z270" s="158">
        <f t="shared" si="97"/>
        <v>3.4285714285714287E-2</v>
      </c>
      <c r="AA270" s="111" t="s">
        <v>2035</v>
      </c>
      <c r="AB270" s="376"/>
      <c r="AC270" s="153" t="s">
        <v>3207</v>
      </c>
      <c r="AD270" s="84">
        <v>44182</v>
      </c>
      <c r="AE270" s="83">
        <v>44308</v>
      </c>
      <c r="AF270" s="33">
        <f t="shared" ref="AF270:AF275" si="99">AE270-AD270</f>
        <v>126</v>
      </c>
      <c r="AG270" s="41" t="s">
        <v>2905</v>
      </c>
      <c r="AH270" s="163"/>
    </row>
    <row r="271" spans="1:45" s="248" customFormat="1" ht="15.75" customHeight="1">
      <c r="A271" s="127" t="s">
        <v>2068</v>
      </c>
      <c r="B271" s="79">
        <v>1</v>
      </c>
      <c r="C271" s="79">
        <v>5</v>
      </c>
      <c r="D271" s="79">
        <v>22</v>
      </c>
      <c r="E271" s="80">
        <v>-1</v>
      </c>
      <c r="F271" s="57">
        <v>12.6</v>
      </c>
      <c r="G271" s="79">
        <v>6274</v>
      </c>
      <c r="H271" s="30" t="s">
        <v>1461</v>
      </c>
      <c r="I271" s="166" t="s">
        <v>3108</v>
      </c>
      <c r="J271" s="8">
        <f>IFERROR(VLOOKUP($G271,今日總結!$A:$AN,33,0),"")</f>
        <v>0</v>
      </c>
      <c r="K271" s="5">
        <f>IFERROR(VLOOKUP($G271,今日總結!$A:$AN,34,0),"")</f>
        <v>0</v>
      </c>
      <c r="L271" s="156">
        <f>IFERROR(VLOOKUP($G271,今日總結!$A:$AN,31,0),"")</f>
        <v>2</v>
      </c>
      <c r="M271" s="337">
        <f>IFERROR(VLOOKUP($G271,今日總結!$A:$AN,32,0),"")</f>
        <v>0</v>
      </c>
      <c r="N271" s="240">
        <f t="shared" si="98"/>
        <v>2</v>
      </c>
      <c r="O271" s="359">
        <f>IFERROR(VLOOKUP($G271,融外自投!$A:$J,7,0),"無")</f>
        <v>791</v>
      </c>
      <c r="P271" s="79">
        <f>IFERROR(VLOOKUP($G271,融外自投!$A:$J,9,0),"無")</f>
        <v>348</v>
      </c>
      <c r="Q271" s="342">
        <f>IFERROR(VLOOKUP($G271,融外自投!$A:$J,8,0),"無")</f>
        <v>139</v>
      </c>
      <c r="R271" s="81">
        <f>IFERROR(VLOOKUP($G271,融外自投!$A:$J,10,0),"無")</f>
        <v>150</v>
      </c>
      <c r="S271" s="324">
        <f>IFERROR(VLOOKUP($G271,'321買'!$A:$E,5,0),"'沒有資料'")</f>
        <v>0</v>
      </c>
      <c r="T271" s="65">
        <v>4.8</v>
      </c>
      <c r="U271" s="308"/>
      <c r="V271" s="57">
        <f t="shared" si="95"/>
        <v>0.04</v>
      </c>
      <c r="W271" s="165">
        <v>120</v>
      </c>
      <c r="X271" s="65">
        <f>125-4.8</f>
        <v>120.2</v>
      </c>
      <c r="Y271" s="162">
        <f t="shared" si="96"/>
        <v>-0.20000000000000284</v>
      </c>
      <c r="Z271" s="164">
        <f t="shared" si="97"/>
        <v>-1.6638935108153315E-3</v>
      </c>
      <c r="AA271" s="168" t="s">
        <v>3250</v>
      </c>
      <c r="AB271" s="376"/>
      <c r="AC271" s="166" t="s">
        <v>3108</v>
      </c>
      <c r="AD271" s="84">
        <v>44307</v>
      </c>
      <c r="AE271" s="83">
        <v>44308</v>
      </c>
      <c r="AF271" s="33">
        <f t="shared" si="99"/>
        <v>1</v>
      </c>
      <c r="AG271" s="41" t="s">
        <v>1121</v>
      </c>
      <c r="AI271" s="256"/>
    </row>
    <row r="272" spans="1:45" s="248" customFormat="1" ht="15.75" customHeight="1">
      <c r="A272" s="127" t="s">
        <v>2068</v>
      </c>
      <c r="B272" s="79">
        <v>1</v>
      </c>
      <c r="C272" s="79">
        <v>5</v>
      </c>
      <c r="D272" s="79">
        <v>22</v>
      </c>
      <c r="E272" s="80">
        <v>-1</v>
      </c>
      <c r="F272" s="57">
        <v>12.6</v>
      </c>
      <c r="G272" s="79">
        <v>6274</v>
      </c>
      <c r="H272" s="30" t="s">
        <v>1461</v>
      </c>
      <c r="I272" s="166" t="s">
        <v>3108</v>
      </c>
      <c r="J272" s="8">
        <f>IFERROR(VLOOKUP($G272,今日總結!$A:$AN,33,0),"")</f>
        <v>0</v>
      </c>
      <c r="K272" s="5">
        <f>IFERROR(VLOOKUP($G272,今日總結!$A:$AN,34,0),"")</f>
        <v>0</v>
      </c>
      <c r="L272" s="156">
        <f>IFERROR(VLOOKUP($G272,今日總結!$A:$AN,31,0),"")</f>
        <v>2</v>
      </c>
      <c r="M272" s="337">
        <f>IFERROR(VLOOKUP($G272,今日總結!$A:$AN,32,0),"")</f>
        <v>0</v>
      </c>
      <c r="N272" s="240">
        <f t="shared" si="98"/>
        <v>2</v>
      </c>
      <c r="O272" s="359">
        <f>IFERROR(VLOOKUP($G272,融外自投!$A:$J,7,0),"無")</f>
        <v>791</v>
      </c>
      <c r="P272" s="79">
        <f>IFERROR(VLOOKUP($G272,融外自投!$A:$J,9,0),"無")</f>
        <v>348</v>
      </c>
      <c r="Q272" s="342">
        <f>IFERROR(VLOOKUP($G272,融外自投!$A:$J,8,0),"無")</f>
        <v>139</v>
      </c>
      <c r="R272" s="81">
        <f>IFERROR(VLOOKUP($G272,融外自投!$A:$J,10,0),"無")</f>
        <v>150</v>
      </c>
      <c r="S272" s="324">
        <f>IFERROR(VLOOKUP($G272,'321買'!$A:$E,5,0),"'沒有資料'")</f>
        <v>0</v>
      </c>
      <c r="T272" s="65">
        <v>4.8</v>
      </c>
      <c r="U272" s="308"/>
      <c r="V272" s="57">
        <f t="shared" si="95"/>
        <v>0.04</v>
      </c>
      <c r="W272" s="165">
        <v>120</v>
      </c>
      <c r="X272" s="65">
        <f>124-4.8</f>
        <v>119.2</v>
      </c>
      <c r="Y272" s="162">
        <f t="shared" si="96"/>
        <v>0.79999999999999716</v>
      </c>
      <c r="Z272" s="158">
        <f t="shared" si="97"/>
        <v>6.7114093959731299E-3</v>
      </c>
      <c r="AA272" s="167" t="s">
        <v>3251</v>
      </c>
      <c r="AB272" s="376"/>
      <c r="AC272" s="166" t="s">
        <v>3108</v>
      </c>
      <c r="AD272" s="84">
        <v>44301</v>
      </c>
      <c r="AE272" s="83">
        <v>44308</v>
      </c>
      <c r="AF272" s="33">
        <f t="shared" si="99"/>
        <v>7</v>
      </c>
      <c r="AG272" s="41" t="s">
        <v>1121</v>
      </c>
      <c r="AI272" s="256"/>
    </row>
    <row r="273" spans="1:43" s="248" customFormat="1">
      <c r="A273" s="142" t="s">
        <v>1736</v>
      </c>
      <c r="B273" s="79">
        <v>22</v>
      </c>
      <c r="C273" s="79">
        <v>12</v>
      </c>
      <c r="D273" s="80">
        <v>-34</v>
      </c>
      <c r="E273" s="80">
        <v>-34</v>
      </c>
      <c r="F273" s="6">
        <v>1.36</v>
      </c>
      <c r="G273" s="80">
        <v>4938</v>
      </c>
      <c r="H273" s="30" t="s">
        <v>1461</v>
      </c>
      <c r="I273" s="153" t="s">
        <v>13</v>
      </c>
      <c r="J273" s="8">
        <f>IFERROR(VLOOKUP($G273,今日總結!$A:$AN,33,0),"")</f>
        <v>0</v>
      </c>
      <c r="K273" s="5">
        <f>IFERROR(VLOOKUP($G273,今日總結!$A:$AN,34,0),"")</f>
        <v>1</v>
      </c>
      <c r="L273" s="156">
        <f>IFERROR(VLOOKUP($G273,今日總結!$A:$AN,31,0),"")</f>
        <v>0</v>
      </c>
      <c r="M273" s="337">
        <f>IFERROR(VLOOKUP($G273,今日總結!$A:$AN,32,0),"")</f>
        <v>4</v>
      </c>
      <c r="N273" s="240">
        <f t="shared" si="98"/>
        <v>-4</v>
      </c>
      <c r="O273" s="359">
        <f>IFERROR(VLOOKUP($G273,融外自投!$A:$J,7,0),"無")</f>
        <v>1235</v>
      </c>
      <c r="P273" s="79">
        <f>IFERROR(VLOOKUP($G273,融外自投!$A:$J,9,0),"無")</f>
        <v>67</v>
      </c>
      <c r="Q273" s="342">
        <f>IFERROR(VLOOKUP($G273,融外自投!$A:$J,8,0),"無")</f>
        <v>162</v>
      </c>
      <c r="R273" s="81">
        <f>IFERROR(VLOOKUP($G273,融外自投!$A:$J,10,0),"無")</f>
        <v>75</v>
      </c>
      <c r="S273" s="324">
        <f>IFERROR(VLOOKUP($G273,'321買'!$A:$E,5,0),"'沒有資料'")</f>
        <v>0</v>
      </c>
      <c r="T273" s="185">
        <v>4.5</v>
      </c>
      <c r="U273" s="308"/>
      <c r="V273" s="57">
        <f t="shared" si="95"/>
        <v>0.06</v>
      </c>
      <c r="W273" s="161">
        <v>75</v>
      </c>
      <c r="X273" s="65">
        <v>74.3</v>
      </c>
      <c r="Y273" s="162">
        <f t="shared" si="96"/>
        <v>0.70000000000000284</v>
      </c>
      <c r="Z273" s="158">
        <f t="shared" si="97"/>
        <v>9.4212651413190154E-3</v>
      </c>
      <c r="AA273" s="99" t="s">
        <v>1491</v>
      </c>
      <c r="AB273" s="376"/>
      <c r="AC273" s="153" t="s">
        <v>13</v>
      </c>
      <c r="AD273" s="84">
        <v>44307</v>
      </c>
      <c r="AE273" s="83">
        <v>44308</v>
      </c>
      <c r="AF273" s="33">
        <f t="shared" si="99"/>
        <v>1</v>
      </c>
      <c r="AG273" s="41" t="s">
        <v>1121</v>
      </c>
    </row>
    <row r="274" spans="1:43" s="248" customFormat="1">
      <c r="A274" s="142" t="s">
        <v>1736</v>
      </c>
      <c r="B274" s="79">
        <v>22</v>
      </c>
      <c r="C274" s="79">
        <v>12</v>
      </c>
      <c r="D274" s="80">
        <v>-34</v>
      </c>
      <c r="E274" s="80">
        <v>-34</v>
      </c>
      <c r="F274" s="6">
        <v>1.36</v>
      </c>
      <c r="G274" s="80">
        <v>4938</v>
      </c>
      <c r="H274" s="30" t="s">
        <v>1461</v>
      </c>
      <c r="I274" s="153" t="s">
        <v>13</v>
      </c>
      <c r="J274" s="8">
        <f>IFERROR(VLOOKUP($G274,今日總結!$A:$AN,33,0),"")</f>
        <v>0</v>
      </c>
      <c r="K274" s="5">
        <f>IFERROR(VLOOKUP($G274,今日總結!$A:$AN,34,0),"")</f>
        <v>1</v>
      </c>
      <c r="L274" s="156">
        <f>IFERROR(VLOOKUP($G274,今日總結!$A:$AN,31,0),"")</f>
        <v>0</v>
      </c>
      <c r="M274" s="337">
        <f>IFERROR(VLOOKUP($G274,今日總結!$A:$AN,32,0),"")</f>
        <v>4</v>
      </c>
      <c r="N274" s="240">
        <f t="shared" si="98"/>
        <v>-4</v>
      </c>
      <c r="O274" s="359">
        <f>IFERROR(VLOOKUP($G274,融外自投!$A:$J,7,0),"無")</f>
        <v>1235</v>
      </c>
      <c r="P274" s="79">
        <f>IFERROR(VLOOKUP($G274,融外自投!$A:$J,9,0),"無")</f>
        <v>67</v>
      </c>
      <c r="Q274" s="342">
        <f>IFERROR(VLOOKUP($G274,融外自投!$A:$J,8,0),"無")</f>
        <v>162</v>
      </c>
      <c r="R274" s="81">
        <f>IFERROR(VLOOKUP($G274,融外自投!$A:$J,10,0),"無")</f>
        <v>75</v>
      </c>
      <c r="S274" s="324">
        <f>IFERROR(VLOOKUP($G274,'321買'!$A:$E,5,0),"'沒有資料'")</f>
        <v>0</v>
      </c>
      <c r="T274" s="185">
        <v>4.5</v>
      </c>
      <c r="U274" s="308"/>
      <c r="V274" s="57">
        <f t="shared" si="95"/>
        <v>0.06</v>
      </c>
      <c r="W274" s="161">
        <v>75</v>
      </c>
      <c r="X274" s="65">
        <v>72.8</v>
      </c>
      <c r="Y274" s="162">
        <f t="shared" si="96"/>
        <v>2.2000000000000028</v>
      </c>
      <c r="Z274" s="158">
        <f t="shared" si="97"/>
        <v>3.0219780219780262E-2</v>
      </c>
      <c r="AA274" s="99" t="s">
        <v>1667</v>
      </c>
      <c r="AB274" s="376"/>
      <c r="AC274" s="153" t="s">
        <v>13</v>
      </c>
      <c r="AD274" s="84">
        <v>44298</v>
      </c>
      <c r="AE274" s="83">
        <v>44308</v>
      </c>
      <c r="AF274" s="33">
        <f t="shared" si="99"/>
        <v>10</v>
      </c>
      <c r="AG274" s="41" t="s">
        <v>1121</v>
      </c>
    </row>
    <row r="275" spans="1:43" s="248" customFormat="1">
      <c r="A275" s="142" t="s">
        <v>3199</v>
      </c>
      <c r="B275" s="79">
        <v>22</v>
      </c>
      <c r="C275" s="79">
        <v>12</v>
      </c>
      <c r="D275" s="80">
        <v>-34</v>
      </c>
      <c r="E275" s="80">
        <v>-34</v>
      </c>
      <c r="F275" s="6">
        <v>1.36</v>
      </c>
      <c r="G275" s="80">
        <v>4938</v>
      </c>
      <c r="H275" s="30" t="s">
        <v>3153</v>
      </c>
      <c r="I275" s="153" t="s">
        <v>13</v>
      </c>
      <c r="J275" s="8">
        <f>IFERROR(VLOOKUP($G275,今日總結!$A:$AN,33,0),"")</f>
        <v>0</v>
      </c>
      <c r="K275" s="5">
        <f>IFERROR(VLOOKUP($G275,今日總結!$A:$AN,34,0),"")</f>
        <v>1</v>
      </c>
      <c r="L275" s="156">
        <f>IFERROR(VLOOKUP($G275,今日總結!$A:$AN,31,0),"")</f>
        <v>0</v>
      </c>
      <c r="M275" s="337">
        <f>IFERROR(VLOOKUP($G275,今日總結!$A:$AN,32,0),"")</f>
        <v>4</v>
      </c>
      <c r="N275" s="240">
        <f t="shared" si="98"/>
        <v>-4</v>
      </c>
      <c r="O275" s="359">
        <f>IFERROR(VLOOKUP($G275,融外自投!$A:$J,7,0),"無")</f>
        <v>1235</v>
      </c>
      <c r="P275" s="79">
        <f>IFERROR(VLOOKUP($G275,融外自投!$A:$J,9,0),"無")</f>
        <v>67</v>
      </c>
      <c r="Q275" s="342">
        <f>IFERROR(VLOOKUP($G275,融外自投!$A:$J,8,0),"無")</f>
        <v>162</v>
      </c>
      <c r="R275" s="81">
        <f>IFERROR(VLOOKUP($G275,融外自投!$A:$J,10,0),"無")</f>
        <v>75</v>
      </c>
      <c r="S275" s="324">
        <f>IFERROR(VLOOKUP($G275,'321買'!$A:$E,5,0),"'沒有資料'")</f>
        <v>0</v>
      </c>
      <c r="T275" s="185">
        <v>4.5</v>
      </c>
      <c r="U275" s="308"/>
      <c r="V275" s="57">
        <f t="shared" si="95"/>
        <v>0.06</v>
      </c>
      <c r="W275" s="161">
        <v>75</v>
      </c>
      <c r="X275" s="65">
        <v>73.900000000000006</v>
      </c>
      <c r="Y275" s="162">
        <f t="shared" si="96"/>
        <v>1.0999999999999943</v>
      </c>
      <c r="Z275" s="158">
        <f t="shared" si="97"/>
        <v>1.4884979702300329E-2</v>
      </c>
      <c r="AA275" s="99" t="s">
        <v>3249</v>
      </c>
      <c r="AB275" s="376"/>
      <c r="AC275" s="153" t="s">
        <v>13</v>
      </c>
      <c r="AD275" s="84">
        <v>44294</v>
      </c>
      <c r="AE275" s="83">
        <v>44308</v>
      </c>
      <c r="AF275" s="33">
        <f t="shared" si="99"/>
        <v>14</v>
      </c>
      <c r="AG275" s="41" t="s">
        <v>2920</v>
      </c>
    </row>
    <row r="276" spans="1:43" s="248" customFormat="1">
      <c r="A276" s="142">
        <v>29.4</v>
      </c>
      <c r="B276" s="79">
        <v>2</v>
      </c>
      <c r="C276" s="80">
        <v>-3</v>
      </c>
      <c r="D276" s="79">
        <v>21</v>
      </c>
      <c r="E276" s="79">
        <v>1</v>
      </c>
      <c r="F276" s="6">
        <v>8.85</v>
      </c>
      <c r="G276" s="79">
        <v>1702</v>
      </c>
      <c r="H276" s="30" t="s">
        <v>1461</v>
      </c>
      <c r="I276" s="153" t="s">
        <v>3190</v>
      </c>
      <c r="J276" s="8">
        <f>IFERROR(VLOOKUP($G276,今日總結!$A:$AN,33,0),"")</f>
        <v>0</v>
      </c>
      <c r="K276" s="5">
        <f>IFERROR(VLOOKUP($G276,今日總結!$A:$AN,34,0),"")</f>
        <v>0</v>
      </c>
      <c r="L276" s="156">
        <f>IFERROR(VLOOKUP($G276,今日總結!$A:$AN,31,0),"")</f>
        <v>3</v>
      </c>
      <c r="M276" s="337">
        <f>IFERROR(VLOOKUP($G276,今日總結!$A:$AN,32,0),"")</f>
        <v>0</v>
      </c>
      <c r="N276" s="240">
        <f t="shared" si="98"/>
        <v>3</v>
      </c>
      <c r="O276" s="359">
        <f>IFERROR(VLOOKUP($G276,融外自投!$A:$J,7,0),"無")</f>
        <v>1209</v>
      </c>
      <c r="P276" s="79">
        <f>IFERROR(VLOOKUP($G276,融外自投!$A:$J,9,0),"無")</f>
        <v>825</v>
      </c>
      <c r="Q276" s="342">
        <f>IFERROR(VLOOKUP($G276,融外自投!$A:$J,8,0),"無")</f>
        <v>372</v>
      </c>
      <c r="R276" s="81">
        <f>IFERROR(VLOOKUP($G276,融外自投!$A:$J,10,0),"無")</f>
        <v>495</v>
      </c>
      <c r="S276" s="324">
        <f>IFERROR(VLOOKUP($G276,'321買'!$A:$E,5,0),"'沒有資料'")</f>
        <v>0</v>
      </c>
      <c r="T276" s="185">
        <v>2</v>
      </c>
      <c r="U276" s="308"/>
      <c r="V276" s="94">
        <f t="shared" ref="V276:V284" si="100">T276/W276</f>
        <v>3.6832412523020261E-2</v>
      </c>
      <c r="W276" s="161">
        <v>54.3</v>
      </c>
      <c r="X276" s="65">
        <v>47.65</v>
      </c>
      <c r="Y276" s="162">
        <f t="shared" si="96"/>
        <v>6.6499999999999986</v>
      </c>
      <c r="Z276" s="158">
        <f t="shared" si="97"/>
        <v>0.1395592864637985</v>
      </c>
      <c r="AA276" s="111" t="s">
        <v>3245</v>
      </c>
      <c r="AB276" s="376"/>
      <c r="AC276" s="153" t="s">
        <v>3190</v>
      </c>
      <c r="AD276" s="84">
        <v>44211</v>
      </c>
      <c r="AE276" s="83">
        <v>44307</v>
      </c>
      <c r="AF276" s="33">
        <f t="shared" ref="AF276:AF284" si="101">AE276-AD276</f>
        <v>96</v>
      </c>
      <c r="AG276" s="41" t="s">
        <v>1121</v>
      </c>
    </row>
    <row r="277" spans="1:43" s="248" customFormat="1">
      <c r="A277" s="142">
        <v>29.4</v>
      </c>
      <c r="B277" s="79">
        <v>2</v>
      </c>
      <c r="C277" s="80">
        <v>-3</v>
      </c>
      <c r="D277" s="79">
        <v>21</v>
      </c>
      <c r="E277" s="79">
        <v>1</v>
      </c>
      <c r="F277" s="6">
        <v>8.85</v>
      </c>
      <c r="G277" s="79">
        <v>1702</v>
      </c>
      <c r="H277" s="30" t="s">
        <v>1461</v>
      </c>
      <c r="I277" s="153" t="s">
        <v>3190</v>
      </c>
      <c r="J277" s="8">
        <f>IFERROR(VLOOKUP($G277,今日總結!$A:$AN,33,0),"")</f>
        <v>0</v>
      </c>
      <c r="K277" s="5">
        <f>IFERROR(VLOOKUP($G277,今日總結!$A:$AN,34,0),"")</f>
        <v>0</v>
      </c>
      <c r="L277" s="156">
        <f>IFERROR(VLOOKUP($G277,今日總結!$A:$AN,31,0),"")</f>
        <v>3</v>
      </c>
      <c r="M277" s="337">
        <f>IFERROR(VLOOKUP($G277,今日總結!$A:$AN,32,0),"")</f>
        <v>0</v>
      </c>
      <c r="N277" s="240">
        <f t="shared" si="98"/>
        <v>3</v>
      </c>
      <c r="O277" s="359">
        <f>IFERROR(VLOOKUP($G277,融外自投!$A:$J,7,0),"無")</f>
        <v>1209</v>
      </c>
      <c r="P277" s="79">
        <f>IFERROR(VLOOKUP($G277,融外自投!$A:$J,9,0),"無")</f>
        <v>825</v>
      </c>
      <c r="Q277" s="342">
        <f>IFERROR(VLOOKUP($G277,融外自投!$A:$J,8,0),"無")</f>
        <v>372</v>
      </c>
      <c r="R277" s="81">
        <f>IFERROR(VLOOKUP($G277,融外自投!$A:$J,10,0),"無")</f>
        <v>495</v>
      </c>
      <c r="S277" s="324">
        <f>IFERROR(VLOOKUP($G277,'321買'!$A:$E,5,0),"'沒有資料'")</f>
        <v>0</v>
      </c>
      <c r="T277" s="185">
        <v>2</v>
      </c>
      <c r="U277" s="308"/>
      <c r="V277" s="94">
        <f t="shared" si="100"/>
        <v>3.6832412523020261E-2</v>
      </c>
      <c r="W277" s="161">
        <v>54.3</v>
      </c>
      <c r="X277" s="65">
        <v>47.45</v>
      </c>
      <c r="Y277" s="162">
        <f t="shared" si="96"/>
        <v>6.8499999999999943</v>
      </c>
      <c r="Z277" s="158">
        <f t="shared" si="97"/>
        <v>0.14436248682824013</v>
      </c>
      <c r="AA277" s="111" t="s">
        <v>3246</v>
      </c>
      <c r="AB277" s="376"/>
      <c r="AC277" s="153" t="s">
        <v>3190</v>
      </c>
      <c r="AD277" s="84">
        <v>44211</v>
      </c>
      <c r="AE277" s="83">
        <v>44307</v>
      </c>
      <c r="AF277" s="33">
        <f t="shared" si="101"/>
        <v>96</v>
      </c>
      <c r="AG277" s="41" t="s">
        <v>1121</v>
      </c>
    </row>
    <row r="278" spans="1:43" s="171" customFormat="1" ht="17.100000000000001" customHeight="1">
      <c r="A278" s="41"/>
      <c r="B278" s="80">
        <v>-10</v>
      </c>
      <c r="C278" s="79">
        <v>15</v>
      </c>
      <c r="D278" s="80">
        <v>-10</v>
      </c>
      <c r="E278" s="79">
        <v>15</v>
      </c>
      <c r="F278" s="6">
        <v>7.76</v>
      </c>
      <c r="G278" s="81">
        <v>1702</v>
      </c>
      <c r="H278" s="8" t="s">
        <v>1402</v>
      </c>
      <c r="I278" s="153" t="s">
        <v>3190</v>
      </c>
      <c r="J278" s="8">
        <f>IFERROR(VLOOKUP($G278,今日總結!$A:$AN,33,0),"")</f>
        <v>0</v>
      </c>
      <c r="K278" s="5">
        <f>IFERROR(VLOOKUP($G278,今日總結!$A:$AN,34,0),"")</f>
        <v>0</v>
      </c>
      <c r="L278" s="156">
        <f>IFERROR(VLOOKUP($G278,今日總結!$A:$AN,31,0),"")</f>
        <v>3</v>
      </c>
      <c r="M278" s="337">
        <f>IFERROR(VLOOKUP($G278,今日總結!$A:$AN,32,0),"")</f>
        <v>0</v>
      </c>
      <c r="N278" s="240">
        <f t="shared" si="98"/>
        <v>3</v>
      </c>
      <c r="O278" s="359">
        <f>IFERROR(VLOOKUP($G278,融外自投!$A:$J,7,0),"無")</f>
        <v>1209</v>
      </c>
      <c r="P278" s="79">
        <f>IFERROR(VLOOKUP($G278,融外自投!$A:$J,9,0),"無")</f>
        <v>825</v>
      </c>
      <c r="Q278" s="342">
        <f>IFERROR(VLOOKUP($G278,融外自投!$A:$J,8,0),"無")</f>
        <v>372</v>
      </c>
      <c r="R278" s="81">
        <f>IFERROR(VLOOKUP($G278,融外自投!$A:$J,10,0),"無")</f>
        <v>495</v>
      </c>
      <c r="S278" s="324">
        <f>IFERROR(VLOOKUP($G278,'321買'!$A:$E,5,0),"'沒有資料'")</f>
        <v>0</v>
      </c>
      <c r="T278" s="185">
        <v>2.7</v>
      </c>
      <c r="U278" s="308"/>
      <c r="V278" s="57">
        <f t="shared" si="100"/>
        <v>4.9723756906077353E-2</v>
      </c>
      <c r="W278" s="165">
        <v>54.3</v>
      </c>
      <c r="X278" s="65">
        <f>62.88-2.8-2.7-2.7-2</f>
        <v>52.68</v>
      </c>
      <c r="Y278" s="105">
        <f t="shared" ref="Y278:Y284" si="102">W278-X278</f>
        <v>1.6199999999999974</v>
      </c>
      <c r="Z278" s="158">
        <f t="shared" ref="Z278:Z284" si="103">Y278/X278</f>
        <v>3.0751708428245966E-2</v>
      </c>
      <c r="AA278" s="111" t="s">
        <v>2969</v>
      </c>
      <c r="AB278" s="376"/>
      <c r="AC278" s="153" t="s">
        <v>3190</v>
      </c>
      <c r="AD278" s="84">
        <v>42745</v>
      </c>
      <c r="AE278" s="83">
        <v>44307</v>
      </c>
      <c r="AF278" s="77">
        <f t="shared" si="101"/>
        <v>1562</v>
      </c>
      <c r="AG278" s="41" t="s">
        <v>1121</v>
      </c>
      <c r="AH278" s="27"/>
      <c r="AI278" s="17"/>
      <c r="AJ278" s="17"/>
      <c r="AK278" s="17"/>
      <c r="AL278" s="17"/>
      <c r="AM278" s="17"/>
      <c r="AN278" s="248"/>
      <c r="AO278" s="248"/>
    </row>
    <row r="279" spans="1:43" s="171" customFormat="1" ht="17.100000000000001" customHeight="1">
      <c r="A279" s="41"/>
      <c r="B279" s="80">
        <v>-10</v>
      </c>
      <c r="C279" s="79">
        <v>15</v>
      </c>
      <c r="D279" s="80">
        <v>-10</v>
      </c>
      <c r="E279" s="79">
        <v>15</v>
      </c>
      <c r="F279" s="6">
        <v>7.76</v>
      </c>
      <c r="G279" s="81">
        <v>1702</v>
      </c>
      <c r="H279" s="8" t="s">
        <v>1402</v>
      </c>
      <c r="I279" s="153" t="s">
        <v>3190</v>
      </c>
      <c r="J279" s="8">
        <f>IFERROR(VLOOKUP($G279,今日總結!$A:$AN,33,0),"")</f>
        <v>0</v>
      </c>
      <c r="K279" s="5">
        <f>IFERROR(VLOOKUP($G279,今日總結!$A:$AN,34,0),"")</f>
        <v>0</v>
      </c>
      <c r="L279" s="156">
        <f>IFERROR(VLOOKUP($G279,今日總結!$A:$AN,31,0),"")</f>
        <v>3</v>
      </c>
      <c r="M279" s="337">
        <f>IFERROR(VLOOKUP($G279,今日總結!$A:$AN,32,0),"")</f>
        <v>0</v>
      </c>
      <c r="N279" s="240">
        <f t="shared" si="98"/>
        <v>3</v>
      </c>
      <c r="O279" s="359">
        <f>IFERROR(VLOOKUP($G279,融外自投!$A:$J,7,0),"無")</f>
        <v>1209</v>
      </c>
      <c r="P279" s="79">
        <f>IFERROR(VLOOKUP($G279,融外自投!$A:$J,9,0),"無")</f>
        <v>825</v>
      </c>
      <c r="Q279" s="342">
        <f>IFERROR(VLOOKUP($G279,融外自投!$A:$J,8,0),"無")</f>
        <v>372</v>
      </c>
      <c r="R279" s="81">
        <f>IFERROR(VLOOKUP($G279,融外自投!$A:$J,10,0),"無")</f>
        <v>495</v>
      </c>
      <c r="S279" s="324">
        <f>IFERROR(VLOOKUP($G279,'321買'!$A:$E,5,0),"'沒有資料'")</f>
        <v>0</v>
      </c>
      <c r="T279" s="185">
        <v>2.7</v>
      </c>
      <c r="U279" s="308"/>
      <c r="V279" s="57">
        <f t="shared" si="100"/>
        <v>4.9723756906077353E-2</v>
      </c>
      <c r="W279" s="165">
        <v>54.3</v>
      </c>
      <c r="X279" s="65">
        <f>50.5-2</f>
        <v>48.5</v>
      </c>
      <c r="Y279" s="155">
        <f t="shared" si="102"/>
        <v>5.7999999999999972</v>
      </c>
      <c r="Z279" s="158">
        <f t="shared" si="103"/>
        <v>0.11958762886597932</v>
      </c>
      <c r="AA279" s="111" t="s">
        <v>3247</v>
      </c>
      <c r="AB279" s="376"/>
      <c r="AC279" s="153" t="s">
        <v>3190</v>
      </c>
      <c r="AD279" s="84">
        <v>43735</v>
      </c>
      <c r="AE279" s="83">
        <v>44307</v>
      </c>
      <c r="AF279" s="33">
        <f t="shared" si="101"/>
        <v>572</v>
      </c>
      <c r="AG279" s="41" t="s">
        <v>1121</v>
      </c>
      <c r="AH279" s="27"/>
      <c r="AI279" s="17"/>
      <c r="AJ279" s="17"/>
      <c r="AK279" s="17"/>
      <c r="AL279" s="17"/>
      <c r="AM279" s="17"/>
      <c r="AN279" s="248"/>
      <c r="AO279" s="248"/>
    </row>
    <row r="280" spans="1:43" s="171" customFormat="1" ht="17.100000000000001" customHeight="1">
      <c r="A280" s="41"/>
      <c r="B280" s="80">
        <v>-10</v>
      </c>
      <c r="C280" s="79">
        <v>15</v>
      </c>
      <c r="D280" s="80">
        <v>-10</v>
      </c>
      <c r="E280" s="79">
        <v>15</v>
      </c>
      <c r="F280" s="6">
        <v>7.76</v>
      </c>
      <c r="G280" s="81">
        <v>1702</v>
      </c>
      <c r="H280" s="8" t="s">
        <v>1402</v>
      </c>
      <c r="I280" s="153" t="s">
        <v>3190</v>
      </c>
      <c r="J280" s="8">
        <f>IFERROR(VLOOKUP($G280,今日總結!$A:$AN,33,0),"")</f>
        <v>0</v>
      </c>
      <c r="K280" s="5">
        <f>IFERROR(VLOOKUP($G280,今日總結!$A:$AN,34,0),"")</f>
        <v>0</v>
      </c>
      <c r="L280" s="156">
        <f>IFERROR(VLOOKUP($G280,今日總結!$A:$AN,31,0),"")</f>
        <v>3</v>
      </c>
      <c r="M280" s="337">
        <f>IFERROR(VLOOKUP($G280,今日總結!$A:$AN,32,0),"")</f>
        <v>0</v>
      </c>
      <c r="N280" s="240">
        <f t="shared" si="98"/>
        <v>3</v>
      </c>
      <c r="O280" s="359">
        <f>IFERROR(VLOOKUP($G280,融外自投!$A:$J,7,0),"無")</f>
        <v>1209</v>
      </c>
      <c r="P280" s="79">
        <f>IFERROR(VLOOKUP($G280,融外自投!$A:$J,9,0),"無")</f>
        <v>825</v>
      </c>
      <c r="Q280" s="342">
        <f>IFERROR(VLOOKUP($G280,融外自投!$A:$J,8,0),"無")</f>
        <v>372</v>
      </c>
      <c r="R280" s="81">
        <f>IFERROR(VLOOKUP($G280,融外自投!$A:$J,10,0),"無")</f>
        <v>495</v>
      </c>
      <c r="S280" s="324">
        <f>IFERROR(VLOOKUP($G280,'321買'!$A:$E,5,0),"'沒有資料'")</f>
        <v>0</v>
      </c>
      <c r="T280" s="185">
        <v>2.7</v>
      </c>
      <c r="U280" s="308"/>
      <c r="V280" s="57">
        <f t="shared" si="100"/>
        <v>4.9723756906077353E-2</v>
      </c>
      <c r="W280" s="165">
        <v>54.3</v>
      </c>
      <c r="X280" s="65">
        <f>51.77-2.7-2</f>
        <v>47.07</v>
      </c>
      <c r="Y280" s="155">
        <f t="shared" si="102"/>
        <v>7.2299999999999969</v>
      </c>
      <c r="Z280" s="158">
        <f t="shared" si="103"/>
        <v>0.15360101975780746</v>
      </c>
      <c r="AA280" s="111" t="s">
        <v>3248</v>
      </c>
      <c r="AB280" s="376"/>
      <c r="AC280" s="153" t="s">
        <v>3190</v>
      </c>
      <c r="AD280" s="84">
        <v>43347</v>
      </c>
      <c r="AE280" s="83">
        <v>44307</v>
      </c>
      <c r="AF280" s="33">
        <f t="shared" si="101"/>
        <v>960</v>
      </c>
      <c r="AG280" s="41" t="s">
        <v>1121</v>
      </c>
      <c r="AH280" s="27"/>
      <c r="AI280" s="17"/>
      <c r="AJ280" s="17"/>
      <c r="AK280" s="17"/>
      <c r="AL280" s="17"/>
      <c r="AM280" s="17"/>
      <c r="AN280" s="248"/>
      <c r="AO280" s="248"/>
    </row>
    <row r="281" spans="1:43" s="248" customFormat="1">
      <c r="A281" s="141"/>
      <c r="B281" s="80">
        <v>-116</v>
      </c>
      <c r="C281" s="80">
        <v>-118</v>
      </c>
      <c r="D281" s="80">
        <v>-116</v>
      </c>
      <c r="E281" s="80">
        <v>-118</v>
      </c>
      <c r="F281" s="6">
        <v>-1.1599999999999999</v>
      </c>
      <c r="G281" s="79">
        <v>1727</v>
      </c>
      <c r="H281" s="8" t="s">
        <v>1402</v>
      </c>
      <c r="I281" s="153" t="s">
        <v>3203</v>
      </c>
      <c r="J281" s="8">
        <f>IFERROR(VLOOKUP($G281,今日總結!$A:$AN,33,0),"")</f>
        <v>1</v>
      </c>
      <c r="K281" s="5">
        <f>IFERROR(VLOOKUP($G281,今日總結!$A:$AN,34,0),"")</f>
        <v>0</v>
      </c>
      <c r="L281" s="156">
        <f>IFERROR(VLOOKUP($G281,今日總結!$A:$AN,31,0),"")</f>
        <v>0</v>
      </c>
      <c r="M281" s="337">
        <f>IFERROR(VLOOKUP($G281,今日總結!$A:$AN,32,0),"")</f>
        <v>1</v>
      </c>
      <c r="N281" s="240">
        <f t="shared" si="98"/>
        <v>-1</v>
      </c>
      <c r="O281" s="359">
        <f>IFERROR(VLOOKUP($G281,融外自投!$A:$J,7,0),"無")</f>
        <v>161</v>
      </c>
      <c r="P281" s="79">
        <f>IFERROR(VLOOKUP($G281,融外自投!$A:$J,9,0),"無")</f>
        <v>313</v>
      </c>
      <c r="Q281" s="342">
        <f>IFERROR(VLOOKUP($G281,融外自投!$A:$J,8,0),"無")</f>
        <v>993</v>
      </c>
      <c r="R281" s="81">
        <f>IFERROR(VLOOKUP($G281,融外自投!$A:$J,10,0),"無")</f>
        <v>377</v>
      </c>
      <c r="S281" s="324">
        <f>IFERROR(VLOOKUP($G281,'321買'!$A:$E,5,0),"'沒有資料'")</f>
        <v>0</v>
      </c>
      <c r="T281" s="185">
        <v>0.6</v>
      </c>
      <c r="U281" s="308"/>
      <c r="V281" s="57">
        <f t="shared" si="100"/>
        <v>4.49438202247191E-2</v>
      </c>
      <c r="W281" s="165">
        <v>13.35</v>
      </c>
      <c r="X281" s="65">
        <f>14.57-0.6-0.2</f>
        <v>13.770000000000001</v>
      </c>
      <c r="Y281" s="162">
        <f t="shared" si="102"/>
        <v>-0.42000000000000171</v>
      </c>
      <c r="Z281" s="164">
        <f t="shared" si="103"/>
        <v>-3.0501089324618858E-2</v>
      </c>
      <c r="AA281" s="113" t="s">
        <v>3242</v>
      </c>
      <c r="AB281" s="376"/>
      <c r="AC281" s="153" t="s">
        <v>3203</v>
      </c>
      <c r="AD281" s="84">
        <v>43350</v>
      </c>
      <c r="AE281" s="83">
        <v>44306</v>
      </c>
      <c r="AF281" s="33">
        <f t="shared" si="101"/>
        <v>956</v>
      </c>
      <c r="AG281" s="41" t="s">
        <v>2920</v>
      </c>
      <c r="AH281" s="163"/>
      <c r="AJ281" s="11"/>
      <c r="AK281" s="11"/>
      <c r="AL281" s="11"/>
      <c r="AM281" s="11"/>
      <c r="AP281" s="171"/>
      <c r="AQ281" s="4"/>
    </row>
    <row r="282" spans="1:43" s="248" customFormat="1">
      <c r="A282" s="141"/>
      <c r="B282" s="80">
        <v>-116</v>
      </c>
      <c r="C282" s="80">
        <v>-118</v>
      </c>
      <c r="D282" s="80">
        <v>-116</v>
      </c>
      <c r="E282" s="80">
        <v>-118</v>
      </c>
      <c r="F282" s="6">
        <v>-1.1599999999999999</v>
      </c>
      <c r="G282" s="79">
        <v>1727</v>
      </c>
      <c r="H282" s="50" t="s">
        <v>1403</v>
      </c>
      <c r="I282" s="153" t="s">
        <v>3203</v>
      </c>
      <c r="J282" s="8">
        <f>IFERROR(VLOOKUP($G282,今日總結!$A:$AN,33,0),"")</f>
        <v>1</v>
      </c>
      <c r="K282" s="5">
        <f>IFERROR(VLOOKUP($G282,今日總結!$A:$AN,34,0),"")</f>
        <v>0</v>
      </c>
      <c r="L282" s="156">
        <f>IFERROR(VLOOKUP($G282,今日總結!$A:$AN,31,0),"")</f>
        <v>0</v>
      </c>
      <c r="M282" s="337">
        <f>IFERROR(VLOOKUP($G282,今日總結!$A:$AN,32,0),"")</f>
        <v>1</v>
      </c>
      <c r="N282" s="240">
        <f t="shared" si="98"/>
        <v>-1</v>
      </c>
      <c r="O282" s="359">
        <f>IFERROR(VLOOKUP($G282,融外自投!$A:$J,7,0),"無")</f>
        <v>161</v>
      </c>
      <c r="P282" s="79">
        <f>IFERROR(VLOOKUP($G282,融外自投!$A:$J,9,0),"無")</f>
        <v>313</v>
      </c>
      <c r="Q282" s="342">
        <f>IFERROR(VLOOKUP($G282,融外自投!$A:$J,8,0),"無")</f>
        <v>993</v>
      </c>
      <c r="R282" s="81">
        <f>IFERROR(VLOOKUP($G282,融外自投!$A:$J,10,0),"無")</f>
        <v>377</v>
      </c>
      <c r="S282" s="324">
        <f>IFERROR(VLOOKUP($G282,'321買'!$A:$E,5,0),"'沒有資料'")</f>
        <v>0</v>
      </c>
      <c r="T282" s="185">
        <v>0.6</v>
      </c>
      <c r="U282" s="308"/>
      <c r="V282" s="57">
        <f t="shared" si="100"/>
        <v>4.49438202247191E-2</v>
      </c>
      <c r="W282" s="165">
        <v>13.35</v>
      </c>
      <c r="X282" s="65">
        <f>14.57-0.6-0.2</f>
        <v>13.770000000000001</v>
      </c>
      <c r="Y282" s="162">
        <f t="shared" si="102"/>
        <v>-0.42000000000000171</v>
      </c>
      <c r="Z282" s="164">
        <f t="shared" si="103"/>
        <v>-3.0501089324618858E-2</v>
      </c>
      <c r="AA282" s="113" t="s">
        <v>3242</v>
      </c>
      <c r="AB282" s="376"/>
      <c r="AC282" s="153" t="s">
        <v>3203</v>
      </c>
      <c r="AD282" s="84">
        <v>43350</v>
      </c>
      <c r="AE282" s="83">
        <v>44306</v>
      </c>
      <c r="AF282" s="33">
        <f t="shared" si="101"/>
        <v>956</v>
      </c>
      <c r="AG282" s="41" t="s">
        <v>2905</v>
      </c>
      <c r="AH282" s="163"/>
      <c r="AJ282" s="11"/>
      <c r="AK282" s="11"/>
      <c r="AL282" s="11"/>
      <c r="AM282" s="11"/>
      <c r="AP282" s="171"/>
      <c r="AQ282" s="4"/>
    </row>
    <row r="283" spans="1:43" s="248" customFormat="1" ht="16.5" customHeight="1">
      <c r="A283" s="116"/>
      <c r="B283" s="80">
        <v>-90</v>
      </c>
      <c r="C283" s="80">
        <v>-95</v>
      </c>
      <c r="D283" s="80">
        <v>-90</v>
      </c>
      <c r="E283" s="80">
        <v>-95</v>
      </c>
      <c r="F283" s="6">
        <v>0.27</v>
      </c>
      <c r="G283" s="79">
        <v>1727</v>
      </c>
      <c r="H283" s="50" t="s">
        <v>1403</v>
      </c>
      <c r="I283" s="153" t="s">
        <v>3203</v>
      </c>
      <c r="J283" s="8">
        <f>IFERROR(VLOOKUP($G283,今日總結!$A:$AN,33,0),"")</f>
        <v>1</v>
      </c>
      <c r="K283" s="5">
        <f>IFERROR(VLOOKUP($G283,今日總結!$A:$AN,34,0),"")</f>
        <v>0</v>
      </c>
      <c r="L283" s="156">
        <f>IFERROR(VLOOKUP($G283,今日總結!$A:$AN,31,0),"")</f>
        <v>0</v>
      </c>
      <c r="M283" s="337">
        <f>IFERROR(VLOOKUP($G283,今日總結!$A:$AN,32,0),"")</f>
        <v>1</v>
      </c>
      <c r="N283" s="240">
        <f t="shared" si="98"/>
        <v>-1</v>
      </c>
      <c r="O283" s="359">
        <f>IFERROR(VLOOKUP($G283,融外自投!$A:$J,7,0),"無")</f>
        <v>161</v>
      </c>
      <c r="P283" s="79">
        <f>IFERROR(VLOOKUP($G283,融外自投!$A:$J,9,0),"無")</f>
        <v>313</v>
      </c>
      <c r="Q283" s="342">
        <f>IFERROR(VLOOKUP($G283,融外自投!$A:$J,8,0),"無")</f>
        <v>993</v>
      </c>
      <c r="R283" s="81">
        <f>IFERROR(VLOOKUP($G283,融外自投!$A:$J,10,0),"無")</f>
        <v>377</v>
      </c>
      <c r="S283" s="324">
        <f>IFERROR(VLOOKUP($G283,'321買'!$A:$E,5,0),"'沒有資料'")</f>
        <v>0</v>
      </c>
      <c r="T283" s="185">
        <v>0.6</v>
      </c>
      <c r="U283" s="308"/>
      <c r="V283" s="57">
        <f t="shared" si="100"/>
        <v>4.49438202247191E-2</v>
      </c>
      <c r="W283" s="161">
        <v>13.35</v>
      </c>
      <c r="X283" s="65">
        <f>12.4-0.2</f>
        <v>12.200000000000001</v>
      </c>
      <c r="Y283" s="162">
        <f t="shared" si="102"/>
        <v>1.1499999999999986</v>
      </c>
      <c r="Z283" s="158">
        <f t="shared" si="103"/>
        <v>9.4262295081967082E-2</v>
      </c>
      <c r="AA283" s="111" t="s">
        <v>3243</v>
      </c>
      <c r="AB283" s="376"/>
      <c r="AC283" s="153" t="s">
        <v>3203</v>
      </c>
      <c r="AD283" s="84">
        <v>43714</v>
      </c>
      <c r="AE283" s="83">
        <v>44306</v>
      </c>
      <c r="AF283" s="33">
        <f t="shared" si="101"/>
        <v>592</v>
      </c>
      <c r="AG283" s="41" t="s">
        <v>2905</v>
      </c>
    </row>
    <row r="284" spans="1:43" s="248" customFormat="1" ht="16.5" customHeight="1">
      <c r="A284" s="116"/>
      <c r="B284" s="80">
        <v>-90</v>
      </c>
      <c r="C284" s="80">
        <v>-95</v>
      </c>
      <c r="D284" s="80">
        <v>-90</v>
      </c>
      <c r="E284" s="80">
        <v>-95</v>
      </c>
      <c r="F284" s="6">
        <v>0.27</v>
      </c>
      <c r="G284" s="79">
        <v>1727</v>
      </c>
      <c r="H284" s="50" t="s">
        <v>1403</v>
      </c>
      <c r="I284" s="153" t="s">
        <v>3203</v>
      </c>
      <c r="J284" s="8">
        <f>IFERROR(VLOOKUP($G284,今日總結!$A:$AN,33,0),"")</f>
        <v>1</v>
      </c>
      <c r="K284" s="5">
        <f>IFERROR(VLOOKUP($G284,今日總結!$A:$AN,34,0),"")</f>
        <v>0</v>
      </c>
      <c r="L284" s="156">
        <f>IFERROR(VLOOKUP($G284,今日總結!$A:$AN,31,0),"")</f>
        <v>0</v>
      </c>
      <c r="M284" s="337">
        <f>IFERROR(VLOOKUP($G284,今日總結!$A:$AN,32,0),"")</f>
        <v>1</v>
      </c>
      <c r="N284" s="240">
        <f t="shared" si="98"/>
        <v>-1</v>
      </c>
      <c r="O284" s="359">
        <f>IFERROR(VLOOKUP($G284,融外自投!$A:$J,7,0),"無")</f>
        <v>161</v>
      </c>
      <c r="P284" s="79">
        <f>IFERROR(VLOOKUP($G284,融外自投!$A:$J,9,0),"無")</f>
        <v>313</v>
      </c>
      <c r="Q284" s="342">
        <f>IFERROR(VLOOKUP($G284,融外自投!$A:$J,8,0),"無")</f>
        <v>993</v>
      </c>
      <c r="R284" s="81">
        <f>IFERROR(VLOOKUP($G284,融外自投!$A:$J,10,0),"無")</f>
        <v>377</v>
      </c>
      <c r="S284" s="324">
        <f>IFERROR(VLOOKUP($G284,'321買'!$A:$E,5,0),"'沒有資料'")</f>
        <v>0</v>
      </c>
      <c r="T284" s="185">
        <v>0.6</v>
      </c>
      <c r="U284" s="308"/>
      <c r="V284" s="57">
        <f t="shared" si="100"/>
        <v>4.49438202247191E-2</v>
      </c>
      <c r="W284" s="161">
        <v>13.35</v>
      </c>
      <c r="X284" s="65">
        <f>12.35-0.2</f>
        <v>12.15</v>
      </c>
      <c r="Y284" s="162">
        <f t="shared" si="102"/>
        <v>1.1999999999999993</v>
      </c>
      <c r="Z284" s="158">
        <f t="shared" si="103"/>
        <v>9.8765432098765371E-2</v>
      </c>
      <c r="AA284" s="111" t="s">
        <v>2957</v>
      </c>
      <c r="AB284" s="376"/>
      <c r="AC284" s="153" t="s">
        <v>3203</v>
      </c>
      <c r="AD284" s="84">
        <v>43710</v>
      </c>
      <c r="AE284" s="83">
        <v>44306</v>
      </c>
      <c r="AF284" s="33">
        <f t="shared" si="101"/>
        <v>596</v>
      </c>
      <c r="AG284" s="41" t="s">
        <v>2905</v>
      </c>
    </row>
    <row r="285" spans="1:43" s="248" customFormat="1">
      <c r="A285" s="127" t="s">
        <v>1636</v>
      </c>
      <c r="B285" s="79">
        <v>44</v>
      </c>
      <c r="C285" s="79">
        <v>42</v>
      </c>
      <c r="D285" s="80">
        <v>-5</v>
      </c>
      <c r="E285" s="79">
        <v>26</v>
      </c>
      <c r="F285" s="57">
        <v>10.09</v>
      </c>
      <c r="G285" s="80">
        <v>4927</v>
      </c>
      <c r="H285" s="30" t="s">
        <v>1461</v>
      </c>
      <c r="I285" s="153" t="s">
        <v>447</v>
      </c>
      <c r="J285" s="8">
        <f>IFERROR(VLOOKUP($G285,今日總結!$A:$AN,33,0),"")</f>
        <v>0</v>
      </c>
      <c r="K285" s="5">
        <f>IFERROR(VLOOKUP($G285,今日總結!$A:$AN,34,0),"")</f>
        <v>0</v>
      </c>
      <c r="L285" s="156">
        <f>IFERROR(VLOOKUP($G285,今日總結!$A:$AN,31,0),"")</f>
        <v>1</v>
      </c>
      <c r="M285" s="337">
        <f>IFERROR(VLOOKUP($G285,今日總結!$A:$AN,32,0),"")</f>
        <v>7</v>
      </c>
      <c r="N285" s="240">
        <f t="shared" si="98"/>
        <v>-6</v>
      </c>
      <c r="O285" s="359">
        <f>IFERROR(VLOOKUP($G285,融外自投!$A:$J,7,0),"無")</f>
        <v>275</v>
      </c>
      <c r="P285" s="79">
        <f>IFERROR(VLOOKUP($G285,融外自投!$A:$J,9,0),"無")</f>
        <v>213</v>
      </c>
      <c r="Q285" s="342">
        <f>IFERROR(VLOOKUP($G285,融外自投!$A:$J,8,0),"無")</f>
        <v>289</v>
      </c>
      <c r="R285" s="81">
        <f>IFERROR(VLOOKUP($G285,融外自投!$A:$J,10,0),"無")</f>
        <v>39</v>
      </c>
      <c r="S285" s="324">
        <f>IFERROR(VLOOKUP($G285,'321買'!$A:$E,5,0),"'沒有資料'")</f>
        <v>0</v>
      </c>
      <c r="T285" s="185">
        <v>3</v>
      </c>
      <c r="U285" s="308"/>
      <c r="V285" s="94">
        <f t="shared" ref="V285:V291" si="104">T285/W285</f>
        <v>4.4776119402985072E-2</v>
      </c>
      <c r="W285" s="161">
        <v>67</v>
      </c>
      <c r="X285" s="65">
        <v>62.2</v>
      </c>
      <c r="Y285" s="162">
        <f t="shared" ref="Y285:Y291" si="105">W285-X285</f>
        <v>4.7999999999999972</v>
      </c>
      <c r="Z285" s="158">
        <f t="shared" ref="Z285:Z291" si="106">Y285/X285</f>
        <v>7.7170418006430819E-2</v>
      </c>
      <c r="AA285" s="167" t="s">
        <v>3167</v>
      </c>
      <c r="AB285" s="376"/>
      <c r="AC285" s="153" t="s">
        <v>447</v>
      </c>
      <c r="AD285" s="84">
        <v>44300</v>
      </c>
      <c r="AE285" s="83">
        <v>44306</v>
      </c>
      <c r="AF285" s="33">
        <f t="shared" ref="AF285:AF297" si="107">AE285-AD285</f>
        <v>6</v>
      </c>
      <c r="AG285" s="41" t="s">
        <v>1121</v>
      </c>
      <c r="AH285" s="27"/>
      <c r="AI285" s="17"/>
      <c r="AJ285" s="17"/>
      <c r="AK285" s="17"/>
      <c r="AL285" s="17"/>
      <c r="AM285" s="17"/>
    </row>
    <row r="286" spans="1:43" s="248" customFormat="1">
      <c r="A286" s="127" t="s">
        <v>1636</v>
      </c>
      <c r="B286" s="79">
        <v>44</v>
      </c>
      <c r="C286" s="79">
        <v>42</v>
      </c>
      <c r="D286" s="80">
        <v>-5</v>
      </c>
      <c r="E286" s="79">
        <v>26</v>
      </c>
      <c r="F286" s="57">
        <v>10.09</v>
      </c>
      <c r="G286" s="80">
        <v>4927</v>
      </c>
      <c r="H286" s="30" t="s">
        <v>1461</v>
      </c>
      <c r="I286" s="153" t="s">
        <v>447</v>
      </c>
      <c r="J286" s="8">
        <f>IFERROR(VLOOKUP($G286,今日總結!$A:$AN,33,0),"")</f>
        <v>0</v>
      </c>
      <c r="K286" s="5">
        <f>IFERROR(VLOOKUP($G286,今日總結!$A:$AN,34,0),"")</f>
        <v>0</v>
      </c>
      <c r="L286" s="156">
        <f>IFERROR(VLOOKUP($G286,今日總結!$A:$AN,31,0),"")</f>
        <v>1</v>
      </c>
      <c r="M286" s="337">
        <f>IFERROR(VLOOKUP($G286,今日總結!$A:$AN,32,0),"")</f>
        <v>7</v>
      </c>
      <c r="N286" s="240">
        <f t="shared" si="98"/>
        <v>-6</v>
      </c>
      <c r="O286" s="359">
        <f>IFERROR(VLOOKUP($G286,融外自投!$A:$J,7,0),"無")</f>
        <v>275</v>
      </c>
      <c r="P286" s="79">
        <f>IFERROR(VLOOKUP($G286,融外自投!$A:$J,9,0),"無")</f>
        <v>213</v>
      </c>
      <c r="Q286" s="342">
        <f>IFERROR(VLOOKUP($G286,融外自投!$A:$J,8,0),"無")</f>
        <v>289</v>
      </c>
      <c r="R286" s="81">
        <f>IFERROR(VLOOKUP($G286,融外自投!$A:$J,10,0),"無")</f>
        <v>39</v>
      </c>
      <c r="S286" s="324">
        <f>IFERROR(VLOOKUP($G286,'321買'!$A:$E,5,0),"'沒有資料'")</f>
        <v>0</v>
      </c>
      <c r="T286" s="185">
        <v>3</v>
      </c>
      <c r="U286" s="308"/>
      <c r="V286" s="94">
        <f t="shared" si="104"/>
        <v>4.4776119402985072E-2</v>
      </c>
      <c r="W286" s="161">
        <v>67</v>
      </c>
      <c r="X286" s="65">
        <v>62.2</v>
      </c>
      <c r="Y286" s="162">
        <f t="shared" si="105"/>
        <v>4.7999999999999972</v>
      </c>
      <c r="Z286" s="158">
        <f t="shared" si="106"/>
        <v>7.7170418006430819E-2</v>
      </c>
      <c r="AA286" s="167" t="s">
        <v>3167</v>
      </c>
      <c r="AB286" s="376"/>
      <c r="AC286" s="153" t="s">
        <v>447</v>
      </c>
      <c r="AD286" s="84">
        <v>44300</v>
      </c>
      <c r="AE286" s="83">
        <v>44306</v>
      </c>
      <c r="AF286" s="33">
        <f t="shared" si="107"/>
        <v>6</v>
      </c>
      <c r="AG286" s="41" t="s">
        <v>1121</v>
      </c>
      <c r="AH286" s="27"/>
      <c r="AI286" s="17"/>
      <c r="AJ286" s="17"/>
      <c r="AK286" s="17"/>
      <c r="AL286" s="17"/>
      <c r="AM286" s="17"/>
    </row>
    <row r="287" spans="1:43" s="248" customFormat="1">
      <c r="A287" s="127" t="s">
        <v>3204</v>
      </c>
      <c r="B287" s="79">
        <v>44</v>
      </c>
      <c r="C287" s="79">
        <v>42</v>
      </c>
      <c r="D287" s="80">
        <v>-5</v>
      </c>
      <c r="E287" s="79">
        <v>26</v>
      </c>
      <c r="F287" s="57">
        <v>10.09</v>
      </c>
      <c r="G287" s="80">
        <v>4927</v>
      </c>
      <c r="H287" s="30" t="s">
        <v>3153</v>
      </c>
      <c r="I287" s="153" t="s">
        <v>3205</v>
      </c>
      <c r="J287" s="8">
        <f>IFERROR(VLOOKUP($G287,今日總結!$A:$AN,33,0),"")</f>
        <v>0</v>
      </c>
      <c r="K287" s="5">
        <f>IFERROR(VLOOKUP($G287,今日總結!$A:$AN,34,0),"")</f>
        <v>0</v>
      </c>
      <c r="L287" s="156">
        <f>IFERROR(VLOOKUP($G287,今日總結!$A:$AN,31,0),"")</f>
        <v>1</v>
      </c>
      <c r="M287" s="337">
        <f>IFERROR(VLOOKUP($G287,今日總結!$A:$AN,32,0),"")</f>
        <v>7</v>
      </c>
      <c r="N287" s="240">
        <f t="shared" si="98"/>
        <v>-6</v>
      </c>
      <c r="O287" s="359">
        <f>IFERROR(VLOOKUP($G287,融外自投!$A:$J,7,0),"無")</f>
        <v>275</v>
      </c>
      <c r="P287" s="79">
        <f>IFERROR(VLOOKUP($G287,融外自投!$A:$J,9,0),"無")</f>
        <v>213</v>
      </c>
      <c r="Q287" s="342">
        <f>IFERROR(VLOOKUP($G287,融外自投!$A:$J,8,0),"無")</f>
        <v>289</v>
      </c>
      <c r="R287" s="81">
        <f>IFERROR(VLOOKUP($G287,融外自投!$A:$J,10,0),"無")</f>
        <v>39</v>
      </c>
      <c r="S287" s="324">
        <f>IFERROR(VLOOKUP($G287,'321買'!$A:$E,5,0),"'沒有資料'")</f>
        <v>0</v>
      </c>
      <c r="T287" s="185">
        <v>3</v>
      </c>
      <c r="U287" s="308"/>
      <c r="V287" s="94">
        <f t="shared" si="104"/>
        <v>4.4776119402985072E-2</v>
      </c>
      <c r="W287" s="161">
        <v>67</v>
      </c>
      <c r="X287" s="65">
        <v>66.900000000000006</v>
      </c>
      <c r="Y287" s="162">
        <f t="shared" si="105"/>
        <v>9.9999999999994316E-2</v>
      </c>
      <c r="Z287" s="158">
        <f t="shared" si="106"/>
        <v>1.4947683109117235E-3</v>
      </c>
      <c r="AA287" s="167" t="s">
        <v>3241</v>
      </c>
      <c r="AB287" s="376"/>
      <c r="AC287" s="153" t="s">
        <v>3205</v>
      </c>
      <c r="AD287" s="84">
        <v>44292</v>
      </c>
      <c r="AE287" s="83">
        <v>44306</v>
      </c>
      <c r="AF287" s="33">
        <f t="shared" si="107"/>
        <v>14</v>
      </c>
      <c r="AG287" s="41" t="s">
        <v>2920</v>
      </c>
      <c r="AH287" s="27"/>
      <c r="AI287" s="17"/>
      <c r="AJ287" s="17"/>
      <c r="AK287" s="17"/>
      <c r="AL287" s="17"/>
      <c r="AM287" s="17"/>
    </row>
    <row r="288" spans="1:43" s="248" customFormat="1">
      <c r="A288" s="127" t="s">
        <v>3204</v>
      </c>
      <c r="B288" s="79">
        <v>44</v>
      </c>
      <c r="C288" s="79">
        <v>42</v>
      </c>
      <c r="D288" s="80">
        <v>-5</v>
      </c>
      <c r="E288" s="79">
        <v>26</v>
      </c>
      <c r="F288" s="57">
        <v>10.09</v>
      </c>
      <c r="G288" s="80">
        <v>4927</v>
      </c>
      <c r="H288" s="30" t="s">
        <v>3153</v>
      </c>
      <c r="I288" s="153" t="s">
        <v>3205</v>
      </c>
      <c r="J288" s="8">
        <f>IFERROR(VLOOKUP($G288,今日總結!$A:$AN,33,0),"")</f>
        <v>0</v>
      </c>
      <c r="K288" s="5">
        <f>IFERROR(VLOOKUP($G288,今日總結!$A:$AN,34,0),"")</f>
        <v>0</v>
      </c>
      <c r="L288" s="156">
        <f>IFERROR(VLOOKUP($G288,今日總結!$A:$AN,31,0),"")</f>
        <v>1</v>
      </c>
      <c r="M288" s="337">
        <f>IFERROR(VLOOKUP($G288,今日總結!$A:$AN,32,0),"")</f>
        <v>7</v>
      </c>
      <c r="N288" s="240">
        <f t="shared" si="98"/>
        <v>-6</v>
      </c>
      <c r="O288" s="359">
        <f>IFERROR(VLOOKUP($G288,融外自投!$A:$J,7,0),"無")</f>
        <v>275</v>
      </c>
      <c r="P288" s="79">
        <f>IFERROR(VLOOKUP($G288,融外自投!$A:$J,9,0),"無")</f>
        <v>213</v>
      </c>
      <c r="Q288" s="342">
        <f>IFERROR(VLOOKUP($G288,融外自投!$A:$J,8,0),"無")</f>
        <v>289</v>
      </c>
      <c r="R288" s="81">
        <f>IFERROR(VLOOKUP($G288,融外自投!$A:$J,10,0),"無")</f>
        <v>39</v>
      </c>
      <c r="S288" s="324">
        <f>IFERROR(VLOOKUP($G288,'321買'!$A:$E,5,0),"'沒有資料'")</f>
        <v>0</v>
      </c>
      <c r="T288" s="185">
        <v>3</v>
      </c>
      <c r="U288" s="308"/>
      <c r="V288" s="94">
        <f t="shared" si="104"/>
        <v>4.4776119402985072E-2</v>
      </c>
      <c r="W288" s="161">
        <v>67</v>
      </c>
      <c r="X288" s="65">
        <v>66.900000000000006</v>
      </c>
      <c r="Y288" s="162">
        <f t="shared" si="105"/>
        <v>9.9999999999994316E-2</v>
      </c>
      <c r="Z288" s="158">
        <f t="shared" si="106"/>
        <v>1.4947683109117235E-3</v>
      </c>
      <c r="AA288" s="167" t="s">
        <v>3241</v>
      </c>
      <c r="AB288" s="376"/>
      <c r="AC288" s="153" t="s">
        <v>3205</v>
      </c>
      <c r="AD288" s="84">
        <v>44292</v>
      </c>
      <c r="AE288" s="83">
        <v>44306</v>
      </c>
      <c r="AF288" s="33">
        <f t="shared" si="107"/>
        <v>14</v>
      </c>
      <c r="AG288" s="41" t="s">
        <v>2920</v>
      </c>
      <c r="AH288" s="27"/>
      <c r="AI288" s="17"/>
      <c r="AJ288" s="17"/>
      <c r="AK288" s="17"/>
      <c r="AL288" s="17"/>
      <c r="AM288" s="17"/>
    </row>
    <row r="289" spans="1:43" s="248" customFormat="1">
      <c r="A289" s="127" t="s">
        <v>1662</v>
      </c>
      <c r="B289" s="79">
        <v>114</v>
      </c>
      <c r="C289" s="79">
        <v>108</v>
      </c>
      <c r="D289" s="80">
        <v>-38</v>
      </c>
      <c r="E289" s="80">
        <v>-29</v>
      </c>
      <c r="F289" s="57">
        <v>11.29</v>
      </c>
      <c r="G289" s="80">
        <v>5457</v>
      </c>
      <c r="H289" s="30" t="s">
        <v>1461</v>
      </c>
      <c r="I289" s="166" t="s">
        <v>178</v>
      </c>
      <c r="J289" s="8">
        <f>IFERROR(VLOOKUP($G289,今日總結!$A:$AN,33,0),"")</f>
        <v>6</v>
      </c>
      <c r="K289" s="5">
        <f>IFERROR(VLOOKUP($G289,今日總結!$A:$AN,34,0),"")</f>
        <v>0</v>
      </c>
      <c r="L289" s="156">
        <f>IFERROR(VLOOKUP($G289,今日總結!$A:$AN,31,0),"")</f>
        <v>0</v>
      </c>
      <c r="M289" s="337">
        <f>IFERROR(VLOOKUP($G289,今日總結!$A:$AN,32,0),"")</f>
        <v>1</v>
      </c>
      <c r="N289" s="240">
        <f t="shared" si="98"/>
        <v>-1</v>
      </c>
      <c r="O289" s="359">
        <f>IFERROR(VLOOKUP($G289,融外自投!$A:$J,7,0),"無")</f>
        <v>277</v>
      </c>
      <c r="P289" s="79">
        <f>IFERROR(VLOOKUP($G289,融外自投!$A:$J,9,0),"無")</f>
        <v>584</v>
      </c>
      <c r="Q289" s="342">
        <f>IFERROR(VLOOKUP($G289,融外自投!$A:$J,8,0),"無")</f>
        <v>131</v>
      </c>
      <c r="R289" s="81">
        <f>IFERROR(VLOOKUP($G289,融外自投!$A:$J,10,0),"無")</f>
        <v>170</v>
      </c>
      <c r="S289" s="324">
        <f>IFERROR(VLOOKUP($G289,'321買'!$A:$E,5,0),"'沒有資料'")</f>
        <v>0</v>
      </c>
      <c r="T289" s="185">
        <v>2.1</v>
      </c>
      <c r="U289" s="308"/>
      <c r="V289" s="57">
        <f t="shared" si="104"/>
        <v>2.4618991793669404E-2</v>
      </c>
      <c r="W289" s="165">
        <v>85.3</v>
      </c>
      <c r="X289" s="65">
        <v>85.4</v>
      </c>
      <c r="Y289" s="178">
        <f t="shared" si="105"/>
        <v>-0.10000000000000853</v>
      </c>
      <c r="Z289" s="164">
        <f t="shared" si="106"/>
        <v>-1.1709601873537297E-3</v>
      </c>
      <c r="AA289" s="168" t="s">
        <v>3228</v>
      </c>
      <c r="AB289" s="376"/>
      <c r="AC289" s="166" t="s">
        <v>178</v>
      </c>
      <c r="AD289" s="84">
        <v>44299</v>
      </c>
      <c r="AE289" s="83">
        <v>44300</v>
      </c>
      <c r="AF289" s="33">
        <f t="shared" si="107"/>
        <v>1</v>
      </c>
      <c r="AG289" s="41" t="s">
        <v>1121</v>
      </c>
      <c r="AH289" s="163"/>
    </row>
    <row r="290" spans="1:43" s="248" customFormat="1">
      <c r="A290" s="127" t="s">
        <v>1662</v>
      </c>
      <c r="B290" s="79">
        <v>114</v>
      </c>
      <c r="C290" s="79">
        <v>108</v>
      </c>
      <c r="D290" s="80">
        <v>-38</v>
      </c>
      <c r="E290" s="80">
        <v>-29</v>
      </c>
      <c r="F290" s="57">
        <v>11.29</v>
      </c>
      <c r="G290" s="80">
        <v>5457</v>
      </c>
      <c r="H290" s="30" t="s">
        <v>1461</v>
      </c>
      <c r="I290" s="166" t="s">
        <v>178</v>
      </c>
      <c r="J290" s="8">
        <f>IFERROR(VLOOKUP($G290,今日總結!$A:$AN,33,0),"")</f>
        <v>6</v>
      </c>
      <c r="K290" s="5">
        <f>IFERROR(VLOOKUP($G290,今日總結!$A:$AN,34,0),"")</f>
        <v>0</v>
      </c>
      <c r="L290" s="156">
        <f>IFERROR(VLOOKUP($G290,今日總結!$A:$AN,31,0),"")</f>
        <v>0</v>
      </c>
      <c r="M290" s="337">
        <f>IFERROR(VLOOKUP($G290,今日總結!$A:$AN,32,0),"")</f>
        <v>1</v>
      </c>
      <c r="N290" s="240">
        <f t="shared" si="98"/>
        <v>-1</v>
      </c>
      <c r="O290" s="359">
        <f>IFERROR(VLOOKUP($G290,融外自投!$A:$J,7,0),"無")</f>
        <v>277</v>
      </c>
      <c r="P290" s="79">
        <f>IFERROR(VLOOKUP($G290,融外自投!$A:$J,9,0),"無")</f>
        <v>584</v>
      </c>
      <c r="Q290" s="342">
        <f>IFERROR(VLOOKUP($G290,融外自投!$A:$J,8,0),"無")</f>
        <v>131</v>
      </c>
      <c r="R290" s="81">
        <f>IFERROR(VLOOKUP($G290,融外自投!$A:$J,10,0),"無")</f>
        <v>170</v>
      </c>
      <c r="S290" s="324">
        <f>IFERROR(VLOOKUP($G290,'321買'!$A:$E,5,0),"'沒有資料'")</f>
        <v>0</v>
      </c>
      <c r="T290" s="185">
        <v>2.1</v>
      </c>
      <c r="U290" s="308"/>
      <c r="V290" s="57">
        <f t="shared" si="104"/>
        <v>2.4618991793669404E-2</v>
      </c>
      <c r="W290" s="165">
        <v>85.3</v>
      </c>
      <c r="X290" s="65">
        <v>83.8</v>
      </c>
      <c r="Y290" s="105">
        <f t="shared" si="105"/>
        <v>1.5</v>
      </c>
      <c r="Z290" s="158">
        <f t="shared" si="106"/>
        <v>1.7899761336515514E-2</v>
      </c>
      <c r="AA290" s="167" t="s">
        <v>3227</v>
      </c>
      <c r="AB290" s="376"/>
      <c r="AC290" s="166" t="s">
        <v>178</v>
      </c>
      <c r="AD290" s="84">
        <v>44293</v>
      </c>
      <c r="AE290" s="83">
        <v>44300</v>
      </c>
      <c r="AF290" s="33">
        <f t="shared" si="107"/>
        <v>7</v>
      </c>
      <c r="AG290" s="41" t="s">
        <v>1121</v>
      </c>
      <c r="AH290" s="163"/>
    </row>
    <row r="291" spans="1:43" s="248" customFormat="1">
      <c r="A291" s="127" t="s">
        <v>2068</v>
      </c>
      <c r="B291" s="79">
        <v>1</v>
      </c>
      <c r="C291" s="79">
        <v>5</v>
      </c>
      <c r="D291" s="79">
        <v>22</v>
      </c>
      <c r="E291" s="80">
        <v>-1</v>
      </c>
      <c r="F291" s="57">
        <v>12.6</v>
      </c>
      <c r="G291" s="79">
        <v>6274</v>
      </c>
      <c r="H291" s="30" t="s">
        <v>1461</v>
      </c>
      <c r="I291" s="166" t="s">
        <v>3108</v>
      </c>
      <c r="J291" s="8">
        <f>IFERROR(VLOOKUP($G291,今日總結!$A:$AN,33,0),"")</f>
        <v>0</v>
      </c>
      <c r="K291" s="5">
        <f>IFERROR(VLOOKUP($G291,今日總結!$A:$AN,34,0),"")</f>
        <v>0</v>
      </c>
      <c r="L291" s="156">
        <f>IFERROR(VLOOKUP($G291,今日總結!$A:$AN,31,0),"")</f>
        <v>2</v>
      </c>
      <c r="M291" s="337">
        <f>IFERROR(VLOOKUP($G291,今日總結!$A:$AN,32,0),"")</f>
        <v>0</v>
      </c>
      <c r="N291" s="240">
        <f t="shared" si="98"/>
        <v>2</v>
      </c>
      <c r="O291" s="359">
        <f>IFERROR(VLOOKUP($G291,融外自投!$A:$J,7,0),"無")</f>
        <v>791</v>
      </c>
      <c r="P291" s="79">
        <f>IFERROR(VLOOKUP($G291,融外自投!$A:$J,9,0),"無")</f>
        <v>348</v>
      </c>
      <c r="Q291" s="342">
        <f>IFERROR(VLOOKUP($G291,融外自投!$A:$J,8,0),"無")</f>
        <v>139</v>
      </c>
      <c r="R291" s="81">
        <f>IFERROR(VLOOKUP($G291,融外自投!$A:$J,10,0),"無")</f>
        <v>150</v>
      </c>
      <c r="S291" s="324">
        <f>IFERROR(VLOOKUP($G291,'321買'!$A:$E,5,0),"'沒有資料'")</f>
        <v>0</v>
      </c>
      <c r="T291" s="65">
        <v>4.8</v>
      </c>
      <c r="U291" s="308"/>
      <c r="V291" s="57">
        <f t="shared" si="104"/>
        <v>3.8399999999999997E-2</v>
      </c>
      <c r="W291" s="165">
        <v>125</v>
      </c>
      <c r="X291" s="65">
        <v>124</v>
      </c>
      <c r="Y291" s="162">
        <f t="shared" si="105"/>
        <v>1</v>
      </c>
      <c r="Z291" s="158">
        <f t="shared" si="106"/>
        <v>8.0645161290322578E-3</v>
      </c>
      <c r="AA291" s="167" t="s">
        <v>3226</v>
      </c>
      <c r="AB291" s="376"/>
      <c r="AC291" s="166" t="s">
        <v>3108</v>
      </c>
      <c r="AD291" s="84">
        <v>44299</v>
      </c>
      <c r="AE291" s="83">
        <v>44300</v>
      </c>
      <c r="AF291" s="33">
        <f t="shared" si="107"/>
        <v>1</v>
      </c>
      <c r="AG291" s="41" t="s">
        <v>1121</v>
      </c>
    </row>
    <row r="292" spans="1:43">
      <c r="A292" s="127" t="s">
        <v>1863</v>
      </c>
      <c r="B292" s="79">
        <v>181</v>
      </c>
      <c r="C292" s="79">
        <v>217</v>
      </c>
      <c r="D292" s="79">
        <v>24</v>
      </c>
      <c r="E292" s="79">
        <v>77</v>
      </c>
      <c r="F292" s="57">
        <v>41.47</v>
      </c>
      <c r="G292" s="80">
        <v>4171</v>
      </c>
      <c r="H292" s="30" t="s">
        <v>1461</v>
      </c>
      <c r="I292" s="16" t="s">
        <v>1038</v>
      </c>
      <c r="J292" s="8">
        <f>IFERROR(VLOOKUP($G292,今日總結!$A:$AN,33,0),"")</f>
        <v>3</v>
      </c>
      <c r="K292" s="5">
        <f>IFERROR(VLOOKUP($G292,今日總結!$A:$AN,34,0),"")</f>
        <v>0</v>
      </c>
      <c r="L292" s="156">
        <f>IFERROR(VLOOKUP($G292,今日總結!$A:$AN,31,0),"")</f>
        <v>0</v>
      </c>
      <c r="M292" s="337">
        <f>IFERROR(VLOOKUP($G292,今日總結!$A:$AN,32,0),"")</f>
        <v>1</v>
      </c>
      <c r="N292" s="240">
        <f t="shared" si="98"/>
        <v>-1</v>
      </c>
      <c r="O292" s="359">
        <f>IFERROR(VLOOKUP($G292,融外自投!$A:$J,7,0),"無")</f>
        <v>45</v>
      </c>
      <c r="P292" s="79">
        <f>IFERROR(VLOOKUP($G292,融外自投!$A:$J,9,0),"無")</f>
        <v>136</v>
      </c>
      <c r="Q292" s="342">
        <f>IFERROR(VLOOKUP($G292,融外自投!$A:$J,8,0),"無")</f>
        <v>209</v>
      </c>
      <c r="R292" s="81" t="str">
        <f>IFERROR(VLOOKUP($G292,融外自投!$A:$J,10,0),"無")</f>
        <v>無</v>
      </c>
      <c r="S292" s="324">
        <f>IFERROR(VLOOKUP($G292,'321買'!$A:$E,5,0),"'沒有資料'")</f>
        <v>0</v>
      </c>
      <c r="T292" s="34">
        <v>3.83</v>
      </c>
      <c r="V292" s="94">
        <f t="shared" ref="V292:V297" si="108">T292/W292</f>
        <v>3.1265306122448981E-2</v>
      </c>
      <c r="W292" s="36">
        <v>122.5</v>
      </c>
      <c r="X292" s="66">
        <v>118</v>
      </c>
      <c r="Y292" s="15">
        <f t="shared" ref="Y292:Y297" si="109">W292-X292</f>
        <v>4.5</v>
      </c>
      <c r="Z292" s="63">
        <f t="shared" ref="Z292:Z297" si="110">Y292/X292</f>
        <v>3.8135593220338986E-2</v>
      </c>
      <c r="AA292" s="101" t="s">
        <v>3223</v>
      </c>
      <c r="AC292" s="16" t="s">
        <v>1038</v>
      </c>
      <c r="AD292" s="84">
        <v>44295</v>
      </c>
      <c r="AE292" s="83">
        <v>44299</v>
      </c>
      <c r="AF292" s="33">
        <f t="shared" si="107"/>
        <v>4</v>
      </c>
      <c r="AG292" s="41" t="s">
        <v>1121</v>
      </c>
      <c r="AI292" s="8"/>
    </row>
    <row r="293" spans="1:43" s="248" customFormat="1">
      <c r="A293" s="127" t="s">
        <v>1742</v>
      </c>
      <c r="B293" s="79">
        <v>31</v>
      </c>
      <c r="C293" s="79">
        <v>21</v>
      </c>
      <c r="D293" s="79">
        <v>1</v>
      </c>
      <c r="E293" s="79">
        <v>6</v>
      </c>
      <c r="F293" s="57">
        <v>26.31</v>
      </c>
      <c r="G293" s="79">
        <v>6592</v>
      </c>
      <c r="H293" s="30" t="s">
        <v>1461</v>
      </c>
      <c r="I293" s="153" t="s">
        <v>1735</v>
      </c>
      <c r="J293" s="8">
        <f>IFERROR(VLOOKUP($G293,今日總結!$A:$AN,33,0),"")</f>
        <v>0</v>
      </c>
      <c r="K293" s="5">
        <f>IFERROR(VLOOKUP($G293,今日總結!$A:$AN,34,0),"")</f>
        <v>1</v>
      </c>
      <c r="L293" s="156">
        <f>IFERROR(VLOOKUP($G293,今日總結!$A:$AN,31,0),"")</f>
        <v>0</v>
      </c>
      <c r="M293" s="337">
        <f>IFERROR(VLOOKUP($G293,今日總結!$A:$AN,32,0),"")</f>
        <v>1</v>
      </c>
      <c r="N293" s="240">
        <f t="shared" si="98"/>
        <v>-1</v>
      </c>
      <c r="O293" s="359">
        <f>IFERROR(VLOOKUP($G293,融外自投!$A:$J,7,0),"無")</f>
        <v>1235</v>
      </c>
      <c r="P293" s="79">
        <f>IFERROR(VLOOKUP($G293,融外自投!$A:$J,9,0),"無")</f>
        <v>869</v>
      </c>
      <c r="Q293" s="342">
        <f>IFERROR(VLOOKUP($G293,融外自投!$A:$J,8,0),"無")</f>
        <v>197</v>
      </c>
      <c r="R293" s="81">
        <f>IFERROR(VLOOKUP($G293,融外自投!$A:$J,10,0),"無")</f>
        <v>369</v>
      </c>
      <c r="S293" s="324">
        <f>IFERROR(VLOOKUP($G293,'321買'!$A:$E,5,0),"'沒有資料'")</f>
        <v>0</v>
      </c>
      <c r="T293" s="185">
        <v>3.3</v>
      </c>
      <c r="U293" s="308"/>
      <c r="V293" s="94">
        <f t="shared" si="108"/>
        <v>3.6544850498338867E-2</v>
      </c>
      <c r="W293" s="161">
        <v>90.3</v>
      </c>
      <c r="X293" s="65">
        <v>79.8</v>
      </c>
      <c r="Y293" s="162">
        <f t="shared" si="109"/>
        <v>10.5</v>
      </c>
      <c r="Z293" s="158">
        <f t="shared" si="110"/>
        <v>0.13157894736842105</v>
      </c>
      <c r="AA293" s="167" t="s">
        <v>3220</v>
      </c>
      <c r="AB293" s="376"/>
      <c r="AC293" s="153" t="s">
        <v>1735</v>
      </c>
      <c r="AD293" s="84">
        <v>44200</v>
      </c>
      <c r="AE293" s="83">
        <v>44299</v>
      </c>
      <c r="AF293" s="33">
        <f t="shared" si="107"/>
        <v>99</v>
      </c>
      <c r="AG293" s="41" t="s">
        <v>2152</v>
      </c>
      <c r="AH293" s="247"/>
      <c r="AI293" s="247"/>
      <c r="AJ293" s="157"/>
      <c r="AK293" s="65"/>
      <c r="AL293" s="157"/>
      <c r="AM293" s="65"/>
      <c r="AN293" s="41"/>
      <c r="AO293" s="153"/>
    </row>
    <row r="294" spans="1:43" s="248" customFormat="1">
      <c r="A294" s="127" t="s">
        <v>1742</v>
      </c>
      <c r="B294" s="79">
        <v>31</v>
      </c>
      <c r="C294" s="79">
        <v>21</v>
      </c>
      <c r="D294" s="79">
        <v>1</v>
      </c>
      <c r="E294" s="79">
        <v>6</v>
      </c>
      <c r="F294" s="57">
        <v>26.31</v>
      </c>
      <c r="G294" s="79">
        <v>6592</v>
      </c>
      <c r="H294" s="30" t="s">
        <v>1461</v>
      </c>
      <c r="I294" s="153" t="s">
        <v>1735</v>
      </c>
      <c r="J294" s="8">
        <f>IFERROR(VLOOKUP($G294,今日總結!$A:$AN,33,0),"")</f>
        <v>0</v>
      </c>
      <c r="K294" s="5">
        <f>IFERROR(VLOOKUP($G294,今日總結!$A:$AN,34,0),"")</f>
        <v>1</v>
      </c>
      <c r="L294" s="156">
        <f>IFERROR(VLOOKUP($G294,今日總結!$A:$AN,31,0),"")</f>
        <v>0</v>
      </c>
      <c r="M294" s="337">
        <f>IFERROR(VLOOKUP($G294,今日總結!$A:$AN,32,0),"")</f>
        <v>1</v>
      </c>
      <c r="N294" s="240">
        <f t="shared" si="98"/>
        <v>-1</v>
      </c>
      <c r="O294" s="359">
        <f>IFERROR(VLOOKUP($G294,融外自投!$A:$J,7,0),"無")</f>
        <v>1235</v>
      </c>
      <c r="P294" s="79">
        <f>IFERROR(VLOOKUP($G294,融外自投!$A:$J,9,0),"無")</f>
        <v>869</v>
      </c>
      <c r="Q294" s="342">
        <f>IFERROR(VLOOKUP($G294,融外自投!$A:$J,8,0),"無")</f>
        <v>197</v>
      </c>
      <c r="R294" s="81">
        <f>IFERROR(VLOOKUP($G294,融外自投!$A:$J,10,0),"無")</f>
        <v>369</v>
      </c>
      <c r="S294" s="324">
        <f>IFERROR(VLOOKUP($G294,'321買'!$A:$E,5,0),"'沒有資料'")</f>
        <v>0</v>
      </c>
      <c r="T294" s="185">
        <v>3.3</v>
      </c>
      <c r="U294" s="308"/>
      <c r="V294" s="94">
        <f t="shared" si="108"/>
        <v>3.6544850498338867E-2</v>
      </c>
      <c r="W294" s="161">
        <v>90.3</v>
      </c>
      <c r="X294" s="65">
        <v>81</v>
      </c>
      <c r="Y294" s="162">
        <f t="shared" si="109"/>
        <v>9.2999999999999972</v>
      </c>
      <c r="Z294" s="158">
        <f t="shared" si="110"/>
        <v>0.11481481481481479</v>
      </c>
      <c r="AA294" s="167" t="s">
        <v>3221</v>
      </c>
      <c r="AB294" s="376"/>
      <c r="AC294" s="153" t="s">
        <v>1735</v>
      </c>
      <c r="AD294" s="84">
        <v>44200</v>
      </c>
      <c r="AE294" s="83">
        <v>44299</v>
      </c>
      <c r="AF294" s="33">
        <f t="shared" si="107"/>
        <v>99</v>
      </c>
      <c r="AG294" s="41" t="s">
        <v>2152</v>
      </c>
      <c r="AH294" s="247"/>
      <c r="AI294" s="247"/>
      <c r="AJ294" s="157"/>
      <c r="AK294" s="65"/>
      <c r="AL294" s="157"/>
      <c r="AM294" s="65"/>
      <c r="AN294" s="41"/>
      <c r="AO294" s="153"/>
    </row>
    <row r="295" spans="1:43" s="248" customFormat="1">
      <c r="A295" s="127" t="s">
        <v>1742</v>
      </c>
      <c r="B295" s="79">
        <v>31</v>
      </c>
      <c r="C295" s="79">
        <v>21</v>
      </c>
      <c r="D295" s="79">
        <v>1</v>
      </c>
      <c r="E295" s="79">
        <v>6</v>
      </c>
      <c r="F295" s="57">
        <v>26.31</v>
      </c>
      <c r="G295" s="79">
        <v>6592</v>
      </c>
      <c r="H295" s="30" t="s">
        <v>1461</v>
      </c>
      <c r="I295" s="153" t="s">
        <v>1735</v>
      </c>
      <c r="J295" s="8">
        <f>IFERROR(VLOOKUP($G295,今日總結!$A:$AN,33,0),"")</f>
        <v>0</v>
      </c>
      <c r="K295" s="5">
        <f>IFERROR(VLOOKUP($G295,今日總結!$A:$AN,34,0),"")</f>
        <v>1</v>
      </c>
      <c r="L295" s="156">
        <f>IFERROR(VLOOKUP($G295,今日總結!$A:$AN,31,0),"")</f>
        <v>0</v>
      </c>
      <c r="M295" s="337">
        <f>IFERROR(VLOOKUP($G295,今日總結!$A:$AN,32,0),"")</f>
        <v>1</v>
      </c>
      <c r="N295" s="240">
        <f t="shared" si="98"/>
        <v>-1</v>
      </c>
      <c r="O295" s="359">
        <f>IFERROR(VLOOKUP($G295,融外自投!$A:$J,7,0),"無")</f>
        <v>1235</v>
      </c>
      <c r="P295" s="79">
        <f>IFERROR(VLOOKUP($G295,融外自投!$A:$J,9,0),"無")</f>
        <v>869</v>
      </c>
      <c r="Q295" s="342">
        <f>IFERROR(VLOOKUP($G295,融外自投!$A:$J,8,0),"無")</f>
        <v>197</v>
      </c>
      <c r="R295" s="81">
        <f>IFERROR(VLOOKUP($G295,融外自投!$A:$J,10,0),"無")</f>
        <v>369</v>
      </c>
      <c r="S295" s="324">
        <f>IFERROR(VLOOKUP($G295,'321買'!$A:$E,5,0),"'沒有資料'")</f>
        <v>0</v>
      </c>
      <c r="T295" s="185">
        <v>3.3</v>
      </c>
      <c r="U295" s="308"/>
      <c r="V295" s="94">
        <f t="shared" si="108"/>
        <v>3.6544850498338867E-2</v>
      </c>
      <c r="W295" s="161">
        <v>90.3</v>
      </c>
      <c r="X295" s="65">
        <f>86.3-3.1</f>
        <v>83.2</v>
      </c>
      <c r="Y295" s="162">
        <f t="shared" si="109"/>
        <v>7.0999999999999943</v>
      </c>
      <c r="Z295" s="158">
        <f t="shared" si="110"/>
        <v>8.5336538461538394E-2</v>
      </c>
      <c r="AA295" s="167" t="s">
        <v>1888</v>
      </c>
      <c r="AB295" s="376"/>
      <c r="AC295" s="153" t="s">
        <v>1735</v>
      </c>
      <c r="AD295" s="84">
        <v>43843</v>
      </c>
      <c r="AE295" s="83">
        <v>44299</v>
      </c>
      <c r="AF295" s="33">
        <f t="shared" si="107"/>
        <v>456</v>
      </c>
      <c r="AG295" s="41" t="s">
        <v>2152</v>
      </c>
      <c r="AH295" s="247"/>
      <c r="AI295" s="247"/>
      <c r="AJ295" s="157"/>
      <c r="AK295" s="65"/>
      <c r="AL295" s="157"/>
      <c r="AM295" s="65"/>
      <c r="AN295" s="41"/>
      <c r="AO295" s="153"/>
    </row>
    <row r="296" spans="1:43" s="248" customFormat="1">
      <c r="A296" s="127" t="s">
        <v>2068</v>
      </c>
      <c r="B296" s="79">
        <v>1</v>
      </c>
      <c r="C296" s="79">
        <v>5</v>
      </c>
      <c r="D296" s="80">
        <v>-8</v>
      </c>
      <c r="E296" s="79">
        <v>8</v>
      </c>
      <c r="F296" s="57">
        <v>13.36</v>
      </c>
      <c r="G296" s="79">
        <v>6274</v>
      </c>
      <c r="H296" s="30" t="s">
        <v>1461</v>
      </c>
      <c r="I296" s="166" t="s">
        <v>3108</v>
      </c>
      <c r="J296" s="8">
        <f>IFERROR(VLOOKUP($G296,今日總結!$A:$AN,33,0),"")</f>
        <v>0</v>
      </c>
      <c r="K296" s="5">
        <f>IFERROR(VLOOKUP($G296,今日總結!$A:$AN,34,0),"")</f>
        <v>0</v>
      </c>
      <c r="L296" s="156">
        <f>IFERROR(VLOOKUP($G296,今日總結!$A:$AN,31,0),"")</f>
        <v>2</v>
      </c>
      <c r="M296" s="337">
        <f>IFERROR(VLOOKUP($G296,今日總結!$A:$AN,32,0),"")</f>
        <v>0</v>
      </c>
      <c r="N296" s="240">
        <f t="shared" si="98"/>
        <v>2</v>
      </c>
      <c r="O296" s="359">
        <f>IFERROR(VLOOKUP($G296,融外自投!$A:$J,7,0),"無")</f>
        <v>791</v>
      </c>
      <c r="P296" s="79">
        <f>IFERROR(VLOOKUP($G296,融外自投!$A:$J,9,0),"無")</f>
        <v>348</v>
      </c>
      <c r="Q296" s="342">
        <f>IFERROR(VLOOKUP($G296,融外自投!$A:$J,8,0),"無")</f>
        <v>139</v>
      </c>
      <c r="R296" s="81">
        <f>IFERROR(VLOOKUP($G296,融外自投!$A:$J,10,0),"無")</f>
        <v>150</v>
      </c>
      <c r="S296" s="324">
        <f>IFERROR(VLOOKUP($G296,'321買'!$A:$E,5,0),"'沒有資料'")</f>
        <v>0</v>
      </c>
      <c r="T296" s="185">
        <v>4.8</v>
      </c>
      <c r="U296" s="308"/>
      <c r="V296" s="57">
        <f t="shared" si="108"/>
        <v>3.9183673469387753E-2</v>
      </c>
      <c r="W296" s="165">
        <v>122.5</v>
      </c>
      <c r="X296" s="65">
        <v>120.5</v>
      </c>
      <c r="Y296" s="162">
        <f t="shared" si="109"/>
        <v>2</v>
      </c>
      <c r="Z296" s="158">
        <f t="shared" si="110"/>
        <v>1.6597510373443983E-2</v>
      </c>
      <c r="AA296" s="167" t="s">
        <v>3222</v>
      </c>
      <c r="AB296" s="376"/>
      <c r="AC296" s="166" t="s">
        <v>3108</v>
      </c>
      <c r="AD296" s="84">
        <v>44292</v>
      </c>
      <c r="AE296" s="83">
        <v>44299</v>
      </c>
      <c r="AF296" s="33">
        <f t="shared" si="107"/>
        <v>7</v>
      </c>
      <c r="AG296" s="41" t="s">
        <v>1121</v>
      </c>
    </row>
    <row r="297" spans="1:43" s="248" customFormat="1">
      <c r="A297" s="127" t="s">
        <v>2068</v>
      </c>
      <c r="B297" s="79">
        <v>1</v>
      </c>
      <c r="C297" s="79">
        <v>5</v>
      </c>
      <c r="D297" s="80">
        <v>-8</v>
      </c>
      <c r="E297" s="79">
        <v>8</v>
      </c>
      <c r="F297" s="57">
        <v>13.36</v>
      </c>
      <c r="G297" s="79">
        <v>6274</v>
      </c>
      <c r="H297" s="30" t="s">
        <v>1461</v>
      </c>
      <c r="I297" s="166" t="s">
        <v>3108</v>
      </c>
      <c r="J297" s="8">
        <f>IFERROR(VLOOKUP($G297,今日總結!$A:$AN,33,0),"")</f>
        <v>0</v>
      </c>
      <c r="K297" s="5">
        <f>IFERROR(VLOOKUP($G297,今日總結!$A:$AN,34,0),"")</f>
        <v>0</v>
      </c>
      <c r="L297" s="156">
        <f>IFERROR(VLOOKUP($G297,今日總結!$A:$AN,31,0),"")</f>
        <v>2</v>
      </c>
      <c r="M297" s="337">
        <f>IFERROR(VLOOKUP($G297,今日總結!$A:$AN,32,0),"")</f>
        <v>0</v>
      </c>
      <c r="N297" s="240">
        <f t="shared" si="98"/>
        <v>2</v>
      </c>
      <c r="O297" s="359">
        <f>IFERROR(VLOOKUP($G297,融外自投!$A:$J,7,0),"無")</f>
        <v>791</v>
      </c>
      <c r="P297" s="79">
        <f>IFERROR(VLOOKUP($G297,融外自投!$A:$J,9,0),"無")</f>
        <v>348</v>
      </c>
      <c r="Q297" s="342">
        <f>IFERROR(VLOOKUP($G297,融外自投!$A:$J,8,0),"無")</f>
        <v>139</v>
      </c>
      <c r="R297" s="81">
        <f>IFERROR(VLOOKUP($G297,融外自投!$A:$J,10,0),"無")</f>
        <v>150</v>
      </c>
      <c r="S297" s="324">
        <f>IFERROR(VLOOKUP($G297,'321買'!$A:$E,5,0),"'沒有資料'")</f>
        <v>0</v>
      </c>
      <c r="T297" s="185">
        <v>4.8</v>
      </c>
      <c r="U297" s="308"/>
      <c r="V297" s="57">
        <f t="shared" si="108"/>
        <v>3.9183673469387753E-2</v>
      </c>
      <c r="W297" s="165">
        <v>122.5</v>
      </c>
      <c r="X297" s="65">
        <v>118</v>
      </c>
      <c r="Y297" s="162">
        <f t="shared" si="109"/>
        <v>4.5</v>
      </c>
      <c r="Z297" s="158">
        <f t="shared" si="110"/>
        <v>3.8135593220338986E-2</v>
      </c>
      <c r="AA297" s="167" t="s">
        <v>3223</v>
      </c>
      <c r="AB297" s="376"/>
      <c r="AC297" s="166" t="s">
        <v>3108</v>
      </c>
      <c r="AD297" s="84">
        <v>44285</v>
      </c>
      <c r="AE297" s="83">
        <v>44299</v>
      </c>
      <c r="AF297" s="33">
        <f t="shared" si="107"/>
        <v>14</v>
      </c>
      <c r="AG297" s="41" t="s">
        <v>1121</v>
      </c>
    </row>
    <row r="298" spans="1:43" s="171" customFormat="1" ht="17.100000000000001" customHeight="1">
      <c r="A298" s="41"/>
      <c r="B298" s="79">
        <v>-65</v>
      </c>
      <c r="C298" s="80">
        <v>-13</v>
      </c>
      <c r="D298" s="79">
        <v>-65</v>
      </c>
      <c r="E298" s="80">
        <v>-13</v>
      </c>
      <c r="F298" s="6">
        <v>3.72</v>
      </c>
      <c r="G298" s="79">
        <v>9907</v>
      </c>
      <c r="H298" s="102" t="s">
        <v>3201</v>
      </c>
      <c r="I298" s="153" t="s">
        <v>3200</v>
      </c>
      <c r="J298" s="8">
        <f>IFERROR(VLOOKUP($G298,今日總結!$A:$AN,33,0),"")</f>
        <v>0</v>
      </c>
      <c r="K298" s="5">
        <f>IFERROR(VLOOKUP($G298,今日總結!$A:$AN,34,0),"")</f>
        <v>0</v>
      </c>
      <c r="L298" s="156">
        <f>IFERROR(VLOOKUP($G298,今日總結!$A:$AN,31,0),"")</f>
        <v>0</v>
      </c>
      <c r="M298" s="337">
        <f>IFERROR(VLOOKUP($G298,今日總結!$A:$AN,32,0),"")</f>
        <v>0</v>
      </c>
      <c r="N298" s="240">
        <f t="shared" si="98"/>
        <v>0</v>
      </c>
      <c r="O298" s="359">
        <f>IFERROR(VLOOKUP($G298,融外自投!$A:$J,7,0),"無")</f>
        <v>1131</v>
      </c>
      <c r="P298" s="79">
        <f>IFERROR(VLOOKUP($G298,融外自投!$A:$J,9,0),"無")</f>
        <v>908</v>
      </c>
      <c r="Q298" s="342">
        <f>IFERROR(VLOOKUP($G298,融外自投!$A:$J,8,0),"無")</f>
        <v>333</v>
      </c>
      <c r="R298" s="81">
        <f>IFERROR(VLOOKUP($G298,融外自投!$A:$J,10,0),"無")</f>
        <v>395</v>
      </c>
      <c r="S298" s="324">
        <f>IFERROR(VLOOKUP($G298,'321買'!$A:$E,5,0),"'沒有資料'")</f>
        <v>0</v>
      </c>
      <c r="T298" s="185">
        <v>0.47</v>
      </c>
      <c r="U298" s="308"/>
      <c r="V298" s="57">
        <f t="shared" ref="V298:V306" si="111">T298/W298</f>
        <v>3.5606060606060606E-2</v>
      </c>
      <c r="W298" s="165">
        <v>13.2</v>
      </c>
      <c r="X298" s="65">
        <f>15.72-0.5-0.47</f>
        <v>14.75</v>
      </c>
      <c r="Y298" s="162">
        <f t="shared" ref="Y298:Y306" si="112">W298-X298</f>
        <v>-1.5500000000000007</v>
      </c>
      <c r="Z298" s="164">
        <f t="shared" ref="Z298:Z306" si="113">Y298/X298</f>
        <v>-0.10508474576271191</v>
      </c>
      <c r="AA298" s="113" t="s">
        <v>3213</v>
      </c>
      <c r="AB298" s="376"/>
      <c r="AC298" s="153" t="s">
        <v>3200</v>
      </c>
      <c r="AD298" s="84">
        <v>42825</v>
      </c>
      <c r="AE298" s="83">
        <v>44298</v>
      </c>
      <c r="AF298" s="77">
        <f t="shared" ref="AF298:AF306" si="114">AE298-AD298</f>
        <v>1473</v>
      </c>
      <c r="AG298" s="41" t="s">
        <v>2920</v>
      </c>
      <c r="AH298" s="27"/>
      <c r="AI298" s="17"/>
      <c r="AJ298" s="11"/>
      <c r="AK298" s="11"/>
      <c r="AL298" s="11"/>
      <c r="AM298" s="11"/>
      <c r="AN298" s="248"/>
      <c r="AO298" s="248"/>
      <c r="AQ298" s="31"/>
    </row>
    <row r="299" spans="1:43" s="171" customFormat="1" ht="17.100000000000001" customHeight="1">
      <c r="A299" s="41"/>
      <c r="B299" s="79">
        <v>-65</v>
      </c>
      <c r="C299" s="80">
        <v>-13</v>
      </c>
      <c r="D299" s="79">
        <v>-65</v>
      </c>
      <c r="E299" s="80">
        <v>-13</v>
      </c>
      <c r="F299" s="6">
        <v>3.72</v>
      </c>
      <c r="G299" s="79">
        <v>9907</v>
      </c>
      <c r="H299" s="8" t="s">
        <v>1402</v>
      </c>
      <c r="I299" s="153" t="s">
        <v>3200</v>
      </c>
      <c r="J299" s="8">
        <f>IFERROR(VLOOKUP($G299,今日總結!$A:$AN,33,0),"")</f>
        <v>0</v>
      </c>
      <c r="K299" s="5">
        <f>IFERROR(VLOOKUP($G299,今日總結!$A:$AN,34,0),"")</f>
        <v>0</v>
      </c>
      <c r="L299" s="156">
        <f>IFERROR(VLOOKUP($G299,今日總結!$A:$AN,31,0),"")</f>
        <v>0</v>
      </c>
      <c r="M299" s="337">
        <f>IFERROR(VLOOKUP($G299,今日總結!$A:$AN,32,0),"")</f>
        <v>0</v>
      </c>
      <c r="N299" s="240">
        <f t="shared" si="98"/>
        <v>0</v>
      </c>
      <c r="O299" s="359">
        <f>IFERROR(VLOOKUP($G299,融外自投!$A:$J,7,0),"無")</f>
        <v>1131</v>
      </c>
      <c r="P299" s="79">
        <f>IFERROR(VLOOKUP($G299,融外自投!$A:$J,9,0),"無")</f>
        <v>908</v>
      </c>
      <c r="Q299" s="342">
        <f>IFERROR(VLOOKUP($G299,融外自投!$A:$J,8,0),"無")</f>
        <v>333</v>
      </c>
      <c r="R299" s="81">
        <f>IFERROR(VLOOKUP($G299,融外自投!$A:$J,10,0),"無")</f>
        <v>395</v>
      </c>
      <c r="S299" s="324">
        <f>IFERROR(VLOOKUP($G299,'321買'!$A:$E,5,0),"'沒有資料'")</f>
        <v>0</v>
      </c>
      <c r="T299" s="185">
        <v>0.47</v>
      </c>
      <c r="U299" s="308"/>
      <c r="V299" s="57">
        <f t="shared" si="111"/>
        <v>1.7803030303030303E-2</v>
      </c>
      <c r="W299" s="165">
        <v>26.4</v>
      </c>
      <c r="X299" s="65">
        <f>(13.55-0.47)*AG299</f>
        <v>26.16</v>
      </c>
      <c r="Y299" s="162">
        <f t="shared" si="112"/>
        <v>0.23999999999999844</v>
      </c>
      <c r="Z299" s="158">
        <f t="shared" si="113"/>
        <v>9.1743119266054444E-3</v>
      </c>
      <c r="AA299" s="128" t="s">
        <v>3214</v>
      </c>
      <c r="AB299" s="376"/>
      <c r="AC299" s="153" t="s">
        <v>3200</v>
      </c>
      <c r="AD299" s="84">
        <v>43355</v>
      </c>
      <c r="AE299" s="83">
        <v>44298</v>
      </c>
      <c r="AF299" s="33">
        <f t="shared" si="114"/>
        <v>943</v>
      </c>
      <c r="AG299" s="41" t="s">
        <v>3194</v>
      </c>
      <c r="AH299" s="27"/>
      <c r="AI299" s="17"/>
      <c r="AJ299" s="11"/>
      <c r="AK299" s="11"/>
      <c r="AL299" s="11"/>
      <c r="AM299" s="11"/>
      <c r="AN299" s="248"/>
      <c r="AO299" s="248"/>
      <c r="AQ299" s="31"/>
    </row>
    <row r="300" spans="1:43" s="171" customFormat="1" ht="17.100000000000001" customHeight="1">
      <c r="A300" s="41"/>
      <c r="B300" s="79">
        <v>-65</v>
      </c>
      <c r="C300" s="80">
        <v>-13</v>
      </c>
      <c r="D300" s="79">
        <v>-65</v>
      </c>
      <c r="E300" s="80">
        <v>-13</v>
      </c>
      <c r="F300" s="6">
        <v>3.72</v>
      </c>
      <c r="G300" s="79">
        <v>9907</v>
      </c>
      <c r="H300" s="50" t="s">
        <v>1403</v>
      </c>
      <c r="I300" s="153" t="s">
        <v>3200</v>
      </c>
      <c r="J300" s="8">
        <f>IFERROR(VLOOKUP($G300,今日總結!$A:$AN,33,0),"")</f>
        <v>0</v>
      </c>
      <c r="K300" s="5">
        <f>IFERROR(VLOOKUP($G300,今日總結!$A:$AN,34,0),"")</f>
        <v>0</v>
      </c>
      <c r="L300" s="156">
        <f>IFERROR(VLOOKUP($G300,今日總結!$A:$AN,31,0),"")</f>
        <v>0</v>
      </c>
      <c r="M300" s="337">
        <f>IFERROR(VLOOKUP($G300,今日總結!$A:$AN,32,0),"")</f>
        <v>0</v>
      </c>
      <c r="N300" s="240">
        <f t="shared" si="98"/>
        <v>0</v>
      </c>
      <c r="O300" s="359">
        <f>IFERROR(VLOOKUP($G300,融外自投!$A:$J,7,0),"無")</f>
        <v>1131</v>
      </c>
      <c r="P300" s="79">
        <f>IFERROR(VLOOKUP($G300,融外自投!$A:$J,9,0),"無")</f>
        <v>908</v>
      </c>
      <c r="Q300" s="342">
        <f>IFERROR(VLOOKUP($G300,融外自投!$A:$J,8,0),"無")</f>
        <v>333</v>
      </c>
      <c r="R300" s="81">
        <f>IFERROR(VLOOKUP($G300,融外自投!$A:$J,10,0),"無")</f>
        <v>395</v>
      </c>
      <c r="S300" s="324">
        <f>IFERROR(VLOOKUP($G300,'321買'!$A:$E,5,0),"'沒有資料'")</f>
        <v>0</v>
      </c>
      <c r="T300" s="185">
        <v>0.47</v>
      </c>
      <c r="U300" s="308"/>
      <c r="V300" s="57">
        <f>T300/W300</f>
        <v>3.5471698113207543E-2</v>
      </c>
      <c r="W300" s="165">
        <v>13.25</v>
      </c>
      <c r="X300" s="65">
        <v>11</v>
      </c>
      <c r="Y300" s="162">
        <f t="shared" si="112"/>
        <v>2.25</v>
      </c>
      <c r="Z300" s="158">
        <f t="shared" si="113"/>
        <v>0.20454545454545456</v>
      </c>
      <c r="AA300" s="128" t="s">
        <v>2066</v>
      </c>
      <c r="AB300" s="376"/>
      <c r="AC300" s="153" t="s">
        <v>3200</v>
      </c>
      <c r="AD300" s="84">
        <v>44253</v>
      </c>
      <c r="AE300" s="83">
        <v>44298</v>
      </c>
      <c r="AF300" s="33">
        <f>AE300-AD300</f>
        <v>45</v>
      </c>
      <c r="AG300" s="41" t="s">
        <v>2920</v>
      </c>
      <c r="AI300" s="17"/>
      <c r="AJ300" s="11"/>
      <c r="AK300" s="11"/>
      <c r="AL300" s="11"/>
      <c r="AM300" s="11"/>
      <c r="AN300" s="248"/>
      <c r="AO300" s="248"/>
      <c r="AQ300" s="31"/>
    </row>
    <row r="301" spans="1:43" s="171" customFormat="1" ht="17.100000000000001" customHeight="1">
      <c r="A301" s="41"/>
      <c r="B301" s="79">
        <v>-65</v>
      </c>
      <c r="C301" s="80">
        <v>-13</v>
      </c>
      <c r="D301" s="79">
        <v>-65</v>
      </c>
      <c r="E301" s="80">
        <v>-13</v>
      </c>
      <c r="F301" s="6">
        <v>3.72</v>
      </c>
      <c r="G301" s="79">
        <v>9907</v>
      </c>
      <c r="H301" s="50" t="s">
        <v>1403</v>
      </c>
      <c r="I301" s="153" t="s">
        <v>3200</v>
      </c>
      <c r="J301" s="8">
        <f>IFERROR(VLOOKUP($G301,今日總結!$A:$AN,33,0),"")</f>
        <v>0</v>
      </c>
      <c r="K301" s="5">
        <f>IFERROR(VLOOKUP($G301,今日總結!$A:$AN,34,0),"")</f>
        <v>0</v>
      </c>
      <c r="L301" s="156">
        <f>IFERROR(VLOOKUP($G301,今日總結!$A:$AN,31,0),"")</f>
        <v>0</v>
      </c>
      <c r="M301" s="337">
        <f>IFERROR(VLOOKUP($G301,今日總結!$A:$AN,32,0),"")</f>
        <v>0</v>
      </c>
      <c r="N301" s="240">
        <f t="shared" si="98"/>
        <v>0</v>
      </c>
      <c r="O301" s="359">
        <f>IFERROR(VLOOKUP($G301,融外自投!$A:$J,7,0),"無")</f>
        <v>1131</v>
      </c>
      <c r="P301" s="79">
        <f>IFERROR(VLOOKUP($G301,融外自投!$A:$J,9,0),"無")</f>
        <v>908</v>
      </c>
      <c r="Q301" s="342">
        <f>IFERROR(VLOOKUP($G301,融外自投!$A:$J,8,0),"無")</f>
        <v>333</v>
      </c>
      <c r="R301" s="81">
        <f>IFERROR(VLOOKUP($G301,融外自投!$A:$J,10,0),"無")</f>
        <v>395</v>
      </c>
      <c r="S301" s="324">
        <f>IFERROR(VLOOKUP($G301,'321買'!$A:$E,5,0),"'沒有資料'")</f>
        <v>0</v>
      </c>
      <c r="T301" s="185">
        <v>0.47</v>
      </c>
      <c r="U301" s="308"/>
      <c r="V301" s="57">
        <f>T301/W301</f>
        <v>3.5471698113207543E-2</v>
      </c>
      <c r="W301" s="165">
        <v>13.25</v>
      </c>
      <c r="X301" s="65">
        <v>11</v>
      </c>
      <c r="Y301" s="162">
        <f t="shared" si="112"/>
        <v>2.25</v>
      </c>
      <c r="Z301" s="158">
        <f t="shared" si="113"/>
        <v>0.20454545454545456</v>
      </c>
      <c r="AA301" s="128" t="s">
        <v>2066</v>
      </c>
      <c r="AB301" s="376"/>
      <c r="AC301" s="153" t="s">
        <v>3200</v>
      </c>
      <c r="AD301" s="84">
        <v>44253</v>
      </c>
      <c r="AE301" s="83">
        <v>44298</v>
      </c>
      <c r="AF301" s="33">
        <f>AE301-AD301</f>
        <v>45</v>
      </c>
      <c r="AG301" s="41" t="s">
        <v>2920</v>
      </c>
      <c r="AI301" s="17"/>
      <c r="AJ301" s="11"/>
      <c r="AK301" s="11"/>
      <c r="AL301" s="11"/>
      <c r="AM301" s="11"/>
      <c r="AN301" s="248"/>
      <c r="AO301" s="248"/>
      <c r="AQ301" s="31"/>
    </row>
    <row r="302" spans="1:43" s="171" customFormat="1" ht="17.100000000000001" customHeight="1">
      <c r="A302" s="41"/>
      <c r="B302" s="79">
        <v>-65</v>
      </c>
      <c r="C302" s="80">
        <v>-13</v>
      </c>
      <c r="D302" s="79">
        <v>-65</v>
      </c>
      <c r="E302" s="80">
        <v>-13</v>
      </c>
      <c r="F302" s="6">
        <v>3.72</v>
      </c>
      <c r="G302" s="79">
        <v>9907</v>
      </c>
      <c r="H302" s="50" t="s">
        <v>1403</v>
      </c>
      <c r="I302" s="153" t="s">
        <v>3200</v>
      </c>
      <c r="J302" s="8">
        <f>IFERROR(VLOOKUP($G302,今日總結!$A:$AN,33,0),"")</f>
        <v>0</v>
      </c>
      <c r="K302" s="5">
        <f>IFERROR(VLOOKUP($G302,今日總結!$A:$AN,34,0),"")</f>
        <v>0</v>
      </c>
      <c r="L302" s="156">
        <f>IFERROR(VLOOKUP($G302,今日總結!$A:$AN,31,0),"")</f>
        <v>0</v>
      </c>
      <c r="M302" s="337">
        <f>IFERROR(VLOOKUP($G302,今日總結!$A:$AN,32,0),"")</f>
        <v>0</v>
      </c>
      <c r="N302" s="240">
        <f t="shared" si="98"/>
        <v>0</v>
      </c>
      <c r="O302" s="359">
        <f>IFERROR(VLOOKUP($G302,融外自投!$A:$J,7,0),"無")</f>
        <v>1131</v>
      </c>
      <c r="P302" s="79">
        <f>IFERROR(VLOOKUP($G302,融外自投!$A:$J,9,0),"無")</f>
        <v>908</v>
      </c>
      <c r="Q302" s="342">
        <f>IFERROR(VLOOKUP($G302,融外自投!$A:$J,8,0),"無")</f>
        <v>333</v>
      </c>
      <c r="R302" s="81">
        <f>IFERROR(VLOOKUP($G302,融外自投!$A:$J,10,0),"無")</f>
        <v>395</v>
      </c>
      <c r="S302" s="324">
        <f>IFERROR(VLOOKUP($G302,'321買'!$A:$E,5,0),"'沒有資料'")</f>
        <v>0</v>
      </c>
      <c r="T302" s="185">
        <v>0.47</v>
      </c>
      <c r="U302" s="308"/>
      <c r="V302" s="57">
        <f>T302/W302</f>
        <v>3.5471698113207543E-2</v>
      </c>
      <c r="W302" s="165">
        <v>13.25</v>
      </c>
      <c r="X302" s="65">
        <f>15.72-0.5-0.47</f>
        <v>14.75</v>
      </c>
      <c r="Y302" s="162">
        <f t="shared" si="112"/>
        <v>-1.5</v>
      </c>
      <c r="Z302" s="164">
        <f t="shared" si="113"/>
        <v>-0.10169491525423729</v>
      </c>
      <c r="AA302" s="113" t="s">
        <v>3224</v>
      </c>
      <c r="AB302" s="376"/>
      <c r="AC302" s="153" t="s">
        <v>3200</v>
      </c>
      <c r="AD302" s="84">
        <v>42825</v>
      </c>
      <c r="AE302" s="83">
        <v>44298</v>
      </c>
      <c r="AF302" s="77">
        <f>AE302-AD302</f>
        <v>1473</v>
      </c>
      <c r="AG302" s="41" t="s">
        <v>2920</v>
      </c>
      <c r="AI302" s="17"/>
      <c r="AJ302" s="11"/>
      <c r="AK302" s="11"/>
      <c r="AL302" s="11"/>
      <c r="AM302" s="11"/>
      <c r="AN302" s="248"/>
      <c r="AO302" s="248"/>
      <c r="AQ302" s="31"/>
    </row>
    <row r="303" spans="1:43" s="171" customFormat="1" ht="17.100000000000001" customHeight="1">
      <c r="A303" s="41"/>
      <c r="B303" s="79">
        <v>-65</v>
      </c>
      <c r="C303" s="80">
        <v>-13</v>
      </c>
      <c r="D303" s="79">
        <v>-65</v>
      </c>
      <c r="E303" s="80">
        <v>-13</v>
      </c>
      <c r="F303" s="6">
        <v>3.72</v>
      </c>
      <c r="G303" s="79">
        <v>9907</v>
      </c>
      <c r="H303" s="50" t="s">
        <v>1403</v>
      </c>
      <c r="I303" s="153" t="s">
        <v>3200</v>
      </c>
      <c r="J303" s="8">
        <f>IFERROR(VLOOKUP($G303,今日總結!$A:$AN,33,0),"")</f>
        <v>0</v>
      </c>
      <c r="K303" s="5">
        <f>IFERROR(VLOOKUP($G303,今日總結!$A:$AN,34,0),"")</f>
        <v>0</v>
      </c>
      <c r="L303" s="156">
        <f>IFERROR(VLOOKUP($G303,今日總結!$A:$AN,31,0),"")</f>
        <v>0</v>
      </c>
      <c r="M303" s="337">
        <f>IFERROR(VLOOKUP($G303,今日總結!$A:$AN,32,0),"")</f>
        <v>0</v>
      </c>
      <c r="N303" s="240">
        <f t="shared" si="98"/>
        <v>0</v>
      </c>
      <c r="O303" s="359">
        <f>IFERROR(VLOOKUP($G303,融外自投!$A:$J,7,0),"無")</f>
        <v>1131</v>
      </c>
      <c r="P303" s="79">
        <f>IFERROR(VLOOKUP($G303,融外自投!$A:$J,9,0),"無")</f>
        <v>908</v>
      </c>
      <c r="Q303" s="342">
        <f>IFERROR(VLOOKUP($G303,融外自投!$A:$J,8,0),"無")</f>
        <v>333</v>
      </c>
      <c r="R303" s="81">
        <f>IFERROR(VLOOKUP($G303,融外自投!$A:$J,10,0),"無")</f>
        <v>395</v>
      </c>
      <c r="S303" s="324">
        <f>IFERROR(VLOOKUP($G303,'321買'!$A:$E,5,0),"'沒有資料'")</f>
        <v>0</v>
      </c>
      <c r="T303" s="185">
        <v>0.47</v>
      </c>
      <c r="U303" s="308"/>
      <c r="V303" s="57">
        <f t="shared" si="111"/>
        <v>1.7735849056603772E-2</v>
      </c>
      <c r="W303" s="165">
        <f>13.25*2</f>
        <v>26.5</v>
      </c>
      <c r="X303" s="65">
        <f>(13.72-0.47)*AG303</f>
        <v>26.5</v>
      </c>
      <c r="Y303" s="162">
        <f t="shared" si="112"/>
        <v>0</v>
      </c>
      <c r="Z303" s="158">
        <f t="shared" si="113"/>
        <v>0</v>
      </c>
      <c r="AA303" s="111" t="s">
        <v>1499</v>
      </c>
      <c r="AB303" s="376"/>
      <c r="AC303" s="153" t="s">
        <v>3200</v>
      </c>
      <c r="AD303" s="84">
        <v>43335</v>
      </c>
      <c r="AE303" s="83">
        <v>44298</v>
      </c>
      <c r="AF303" s="33">
        <f t="shared" si="114"/>
        <v>963</v>
      </c>
      <c r="AG303" s="41" t="s">
        <v>3194</v>
      </c>
      <c r="AH303" s="27"/>
      <c r="AI303" s="17"/>
      <c r="AJ303" s="11"/>
      <c r="AK303" s="11"/>
      <c r="AL303" s="11"/>
      <c r="AM303" s="11"/>
      <c r="AN303" s="248"/>
      <c r="AO303" s="248"/>
      <c r="AQ303" s="31"/>
    </row>
    <row r="304" spans="1:43" s="248" customFormat="1">
      <c r="A304" s="141"/>
      <c r="B304" s="80">
        <v>-67</v>
      </c>
      <c r="C304" s="80">
        <v>-13</v>
      </c>
      <c r="D304" s="80">
        <v>-67</v>
      </c>
      <c r="E304" s="80">
        <v>-13</v>
      </c>
      <c r="F304" s="6">
        <v>3.72</v>
      </c>
      <c r="G304" s="79">
        <v>9907</v>
      </c>
      <c r="H304" s="50" t="s">
        <v>1403</v>
      </c>
      <c r="I304" s="153" t="s">
        <v>3200</v>
      </c>
      <c r="J304" s="8">
        <f>IFERROR(VLOOKUP($G304,今日總結!$A:$AN,33,0),"")</f>
        <v>0</v>
      </c>
      <c r="K304" s="5">
        <f>IFERROR(VLOOKUP($G304,今日總結!$A:$AN,34,0),"")</f>
        <v>0</v>
      </c>
      <c r="L304" s="156">
        <f>IFERROR(VLOOKUP($G304,今日總結!$A:$AN,31,0),"")</f>
        <v>0</v>
      </c>
      <c r="M304" s="337">
        <f>IFERROR(VLOOKUP($G304,今日總結!$A:$AN,32,0),"")</f>
        <v>0</v>
      </c>
      <c r="N304" s="240">
        <f t="shared" si="98"/>
        <v>0</v>
      </c>
      <c r="O304" s="359">
        <f>IFERROR(VLOOKUP($G304,融外自投!$A:$J,7,0),"無")</f>
        <v>1131</v>
      </c>
      <c r="P304" s="79">
        <f>IFERROR(VLOOKUP($G304,融外自投!$A:$J,9,0),"無")</f>
        <v>908</v>
      </c>
      <c r="Q304" s="342">
        <f>IFERROR(VLOOKUP($G304,融外自投!$A:$J,8,0),"無")</f>
        <v>333</v>
      </c>
      <c r="R304" s="81">
        <f>IFERROR(VLOOKUP($G304,融外自投!$A:$J,10,0),"無")</f>
        <v>395</v>
      </c>
      <c r="S304" s="324">
        <f>IFERROR(VLOOKUP($G304,'321買'!$A:$E,5,0),"'沒有資料'")</f>
        <v>0</v>
      </c>
      <c r="T304" s="185">
        <v>0.47</v>
      </c>
      <c r="U304" s="308"/>
      <c r="V304" s="57">
        <f t="shared" si="111"/>
        <v>1.7735849056603772E-2</v>
      </c>
      <c r="W304" s="161">
        <f>13.25*2</f>
        <v>26.5</v>
      </c>
      <c r="X304" s="65">
        <f>12.25*AG304</f>
        <v>24.5</v>
      </c>
      <c r="Y304" s="162">
        <f t="shared" si="112"/>
        <v>2</v>
      </c>
      <c r="Z304" s="158">
        <f t="shared" si="113"/>
        <v>8.1632653061224483E-2</v>
      </c>
      <c r="AA304" s="111" t="s">
        <v>2161</v>
      </c>
      <c r="AB304" s="376"/>
      <c r="AC304" s="153" t="s">
        <v>3200</v>
      </c>
      <c r="AD304" s="84">
        <v>43697</v>
      </c>
      <c r="AE304" s="83">
        <v>44298</v>
      </c>
      <c r="AF304" s="33">
        <f t="shared" si="114"/>
        <v>601</v>
      </c>
      <c r="AG304" s="41" t="s">
        <v>3194</v>
      </c>
      <c r="AH304" s="163"/>
    </row>
    <row r="305" spans="1:35" s="248" customFormat="1">
      <c r="A305" s="143"/>
      <c r="B305" s="80">
        <v>-67</v>
      </c>
      <c r="C305" s="80">
        <v>-13</v>
      </c>
      <c r="D305" s="80">
        <v>-1</v>
      </c>
      <c r="E305" s="80">
        <v>-10</v>
      </c>
      <c r="F305" s="6">
        <v>3.72</v>
      </c>
      <c r="G305" s="79">
        <v>9907</v>
      </c>
      <c r="H305" s="50" t="s">
        <v>1403</v>
      </c>
      <c r="I305" s="153" t="s">
        <v>3200</v>
      </c>
      <c r="J305" s="8">
        <f>IFERROR(VLOOKUP($G305,今日總結!$A:$AN,33,0),"")</f>
        <v>0</v>
      </c>
      <c r="K305" s="5">
        <f>IFERROR(VLOOKUP($G305,今日總結!$A:$AN,34,0),"")</f>
        <v>0</v>
      </c>
      <c r="L305" s="156">
        <f>IFERROR(VLOOKUP($G305,今日總結!$A:$AN,31,0),"")</f>
        <v>0</v>
      </c>
      <c r="M305" s="337">
        <f>IFERROR(VLOOKUP($G305,今日總結!$A:$AN,32,0),"")</f>
        <v>0</v>
      </c>
      <c r="N305" s="240">
        <f t="shared" si="98"/>
        <v>0</v>
      </c>
      <c r="O305" s="359">
        <f>IFERROR(VLOOKUP($G305,融外自投!$A:$J,7,0),"無")</f>
        <v>1131</v>
      </c>
      <c r="P305" s="79">
        <f>IFERROR(VLOOKUP($G305,融外自投!$A:$J,9,0),"無")</f>
        <v>908</v>
      </c>
      <c r="Q305" s="342">
        <f>IFERROR(VLOOKUP($G305,融外自投!$A:$J,8,0),"無")</f>
        <v>333</v>
      </c>
      <c r="R305" s="81">
        <f>IFERROR(VLOOKUP($G305,融外自投!$A:$J,10,0),"無")</f>
        <v>395</v>
      </c>
      <c r="S305" s="324">
        <f>IFERROR(VLOOKUP($G305,'321買'!$A:$E,5,0),"'沒有資料'")</f>
        <v>0</v>
      </c>
      <c r="T305" s="185">
        <v>0.47</v>
      </c>
      <c r="U305" s="308"/>
      <c r="V305" s="57">
        <f t="shared" si="111"/>
        <v>8.8679245283018859E-3</v>
      </c>
      <c r="W305" s="161">
        <f>13.25*4</f>
        <v>53</v>
      </c>
      <c r="X305" s="65">
        <f>12.05*AG305</f>
        <v>48.2</v>
      </c>
      <c r="Y305" s="162">
        <f t="shared" si="112"/>
        <v>4.7999999999999972</v>
      </c>
      <c r="Z305" s="158">
        <f t="shared" si="113"/>
        <v>9.9585062240663838E-2</v>
      </c>
      <c r="AA305" s="111" t="s">
        <v>3215</v>
      </c>
      <c r="AB305" s="376"/>
      <c r="AC305" s="153" t="s">
        <v>3200</v>
      </c>
      <c r="AD305" s="84">
        <v>43727</v>
      </c>
      <c r="AE305" s="83">
        <v>44298</v>
      </c>
      <c r="AF305" s="33">
        <f t="shared" si="114"/>
        <v>571</v>
      </c>
      <c r="AG305" s="41" t="s">
        <v>3202</v>
      </c>
    </row>
    <row r="306" spans="1:35" s="248" customFormat="1">
      <c r="A306" s="143"/>
      <c r="B306" s="80">
        <v>-67</v>
      </c>
      <c r="C306" s="80">
        <v>-13</v>
      </c>
      <c r="D306" s="80">
        <v>-1</v>
      </c>
      <c r="E306" s="80">
        <v>-10</v>
      </c>
      <c r="F306" s="6">
        <v>3.72</v>
      </c>
      <c r="G306" s="79">
        <v>9907</v>
      </c>
      <c r="H306" s="50" t="s">
        <v>1403</v>
      </c>
      <c r="I306" s="153" t="s">
        <v>3200</v>
      </c>
      <c r="J306" s="8">
        <f>IFERROR(VLOOKUP($G306,今日總結!$A:$AN,33,0),"")</f>
        <v>0</v>
      </c>
      <c r="K306" s="5">
        <f>IFERROR(VLOOKUP($G306,今日總結!$A:$AN,34,0),"")</f>
        <v>0</v>
      </c>
      <c r="L306" s="156">
        <f>IFERROR(VLOOKUP($G306,今日總結!$A:$AN,31,0),"")</f>
        <v>0</v>
      </c>
      <c r="M306" s="337">
        <f>IFERROR(VLOOKUP($G306,今日總結!$A:$AN,32,0),"")</f>
        <v>0</v>
      </c>
      <c r="N306" s="240">
        <f t="shared" si="98"/>
        <v>0</v>
      </c>
      <c r="O306" s="359">
        <f>IFERROR(VLOOKUP($G306,融外自投!$A:$J,7,0),"無")</f>
        <v>1131</v>
      </c>
      <c r="P306" s="79">
        <f>IFERROR(VLOOKUP($G306,融外自投!$A:$J,9,0),"無")</f>
        <v>908</v>
      </c>
      <c r="Q306" s="342">
        <f>IFERROR(VLOOKUP($G306,融外自投!$A:$J,8,0),"無")</f>
        <v>333</v>
      </c>
      <c r="R306" s="81">
        <f>IFERROR(VLOOKUP($G306,融外自投!$A:$J,10,0),"無")</f>
        <v>395</v>
      </c>
      <c r="S306" s="324">
        <f>IFERROR(VLOOKUP($G306,'321買'!$A:$E,5,0),"'沒有資料'")</f>
        <v>0</v>
      </c>
      <c r="T306" s="185">
        <v>0.47</v>
      </c>
      <c r="U306" s="308"/>
      <c r="V306" s="57">
        <f t="shared" si="111"/>
        <v>8.8679245283018859E-3</v>
      </c>
      <c r="W306" s="161">
        <f>13.25*4</f>
        <v>53</v>
      </c>
      <c r="X306" s="65">
        <f>12*AG306</f>
        <v>48</v>
      </c>
      <c r="Y306" s="162">
        <f t="shared" si="112"/>
        <v>5</v>
      </c>
      <c r="Z306" s="158">
        <f t="shared" si="113"/>
        <v>0.10416666666666667</v>
      </c>
      <c r="AA306" s="111" t="s">
        <v>3216</v>
      </c>
      <c r="AB306" s="376"/>
      <c r="AC306" s="153" t="s">
        <v>3200</v>
      </c>
      <c r="AD306" s="84">
        <v>43727</v>
      </c>
      <c r="AE306" s="83">
        <v>44298</v>
      </c>
      <c r="AF306" s="33">
        <f t="shared" si="114"/>
        <v>571</v>
      </c>
      <c r="AG306" s="41" t="s">
        <v>3202</v>
      </c>
      <c r="AH306" s="41"/>
    </row>
    <row r="307" spans="1:35" s="248" customFormat="1">
      <c r="A307" s="127" t="s">
        <v>1660</v>
      </c>
      <c r="B307" s="79">
        <v>7</v>
      </c>
      <c r="C307" s="79">
        <v>7</v>
      </c>
      <c r="D307" s="79">
        <v>1</v>
      </c>
      <c r="E307" s="79">
        <v>8</v>
      </c>
      <c r="F307" s="57">
        <v>22.38</v>
      </c>
      <c r="G307" s="80">
        <v>5347</v>
      </c>
      <c r="H307" s="30" t="s">
        <v>1461</v>
      </c>
      <c r="I307" s="166" t="s">
        <v>33</v>
      </c>
      <c r="J307" s="8">
        <f>IFERROR(VLOOKUP($G307,今日總結!$A:$AN,33,0),"")</f>
        <v>0</v>
      </c>
      <c r="K307" s="5">
        <f>IFERROR(VLOOKUP($G307,今日總結!$A:$AN,34,0),"")</f>
        <v>0</v>
      </c>
      <c r="L307" s="156">
        <f>IFERROR(VLOOKUP($G307,今日總結!$A:$AN,31,0),"")</f>
        <v>0</v>
      </c>
      <c r="M307" s="337">
        <f>IFERROR(VLOOKUP($G307,今日總結!$A:$AN,32,0),"")</f>
        <v>1</v>
      </c>
      <c r="N307" s="240">
        <f t="shared" si="98"/>
        <v>-1</v>
      </c>
      <c r="O307" s="359">
        <f>IFERROR(VLOOKUP($G307,融外自投!$A:$J,7,0),"無")</f>
        <v>1194</v>
      </c>
      <c r="P307" s="79">
        <f>IFERROR(VLOOKUP($G307,融外自投!$A:$J,9,0),"無")</f>
        <v>403</v>
      </c>
      <c r="Q307" s="342">
        <f>IFERROR(VLOOKUP($G307,融外自投!$A:$J,8,0),"無")</f>
        <v>172</v>
      </c>
      <c r="R307" s="81">
        <f>IFERROR(VLOOKUP($G307,融外自投!$A:$J,10,0),"無")</f>
        <v>141</v>
      </c>
      <c r="S307" s="324">
        <f>IFERROR(VLOOKUP($G307,'321買'!$A:$E,5,0),"'沒有資料'")</f>
        <v>0</v>
      </c>
      <c r="T307" s="185">
        <v>3.2</v>
      </c>
      <c r="U307" s="308"/>
      <c r="V307" s="57">
        <f>T307/W307</f>
        <v>2.7705627705627706E-2</v>
      </c>
      <c r="W307" s="165">
        <v>115.5</v>
      </c>
      <c r="X307" s="65">
        <v>109.5</v>
      </c>
      <c r="Y307" s="162">
        <f t="shared" ref="Y307:Y315" si="115">W307-X307</f>
        <v>6</v>
      </c>
      <c r="Z307" s="158">
        <f t="shared" ref="Z307:Z315" si="116">Y307/X307</f>
        <v>5.4794520547945202E-2</v>
      </c>
      <c r="AA307" s="167" t="s">
        <v>1647</v>
      </c>
      <c r="AB307" s="376"/>
      <c r="AC307" s="166" t="s">
        <v>33</v>
      </c>
      <c r="AD307" s="84">
        <v>44273</v>
      </c>
      <c r="AE307" s="83">
        <v>44295</v>
      </c>
      <c r="AF307" s="33">
        <f t="shared" ref="AF307:AF314" si="117">AE307-AD307</f>
        <v>22</v>
      </c>
      <c r="AG307" s="41" t="s">
        <v>1121</v>
      </c>
    </row>
    <row r="308" spans="1:35" s="248" customFormat="1">
      <c r="A308" s="127" t="s">
        <v>1777</v>
      </c>
      <c r="B308" s="79">
        <v>73</v>
      </c>
      <c r="C308" s="79">
        <v>76</v>
      </c>
      <c r="D308" s="80">
        <v>-7</v>
      </c>
      <c r="E308" s="79">
        <v>23</v>
      </c>
      <c r="F308" s="57">
        <v>21.91</v>
      </c>
      <c r="G308" s="80">
        <v>8086</v>
      </c>
      <c r="H308" s="30" t="s">
        <v>1461</v>
      </c>
      <c r="I308" s="166" t="s">
        <v>262</v>
      </c>
      <c r="J308" s="8">
        <f>IFERROR(VLOOKUP($G308,今日總結!$A:$AN,33,0),"")</f>
        <v>0</v>
      </c>
      <c r="K308" s="5">
        <f>IFERROR(VLOOKUP($G308,今日總結!$A:$AN,34,0),"")</f>
        <v>0</v>
      </c>
      <c r="L308" s="156">
        <f>IFERROR(VLOOKUP($G308,今日總結!$A:$AN,31,0),"")</f>
        <v>7</v>
      </c>
      <c r="M308" s="337">
        <f>IFERROR(VLOOKUP($G308,今日總結!$A:$AN,32,0),"")</f>
        <v>1</v>
      </c>
      <c r="N308" s="240">
        <f t="shared" si="98"/>
        <v>6</v>
      </c>
      <c r="O308" s="359">
        <f>IFERROR(VLOOKUP($G308,融外自投!$A:$J,7,0),"無")</f>
        <v>197</v>
      </c>
      <c r="P308" s="79">
        <f>IFERROR(VLOOKUP($G308,融外自投!$A:$J,9,0),"無")</f>
        <v>298</v>
      </c>
      <c r="Q308" s="342">
        <f>IFERROR(VLOOKUP($G308,融外自投!$A:$J,8,0),"無")</f>
        <v>519</v>
      </c>
      <c r="R308" s="81">
        <f>IFERROR(VLOOKUP($G308,融外自投!$A:$J,10,0),"無")</f>
        <v>318</v>
      </c>
      <c r="S308" s="324">
        <f>IFERROR(VLOOKUP($G308,'321買'!$A:$E,5,0),"'沒有資料'")</f>
        <v>0</v>
      </c>
      <c r="T308" s="185">
        <v>2.8</v>
      </c>
      <c r="U308" s="308"/>
      <c r="V308" s="94">
        <f t="shared" ref="V308:V324" si="118">T308/W308</f>
        <v>1.6969696969696968E-2</v>
      </c>
      <c r="W308" s="161">
        <v>165</v>
      </c>
      <c r="X308" s="155">
        <v>155.5</v>
      </c>
      <c r="Y308" s="105">
        <f t="shared" si="115"/>
        <v>9.5</v>
      </c>
      <c r="Z308" s="158">
        <f t="shared" si="116"/>
        <v>6.1093247588424437E-2</v>
      </c>
      <c r="AA308" s="167" t="s">
        <v>2991</v>
      </c>
      <c r="AB308" s="376"/>
      <c r="AC308" s="166" t="s">
        <v>262</v>
      </c>
      <c r="AD308" s="84">
        <v>44292</v>
      </c>
      <c r="AE308" s="83">
        <v>44293</v>
      </c>
      <c r="AF308" s="33">
        <f t="shared" si="117"/>
        <v>1</v>
      </c>
      <c r="AG308" s="41" t="s">
        <v>1121</v>
      </c>
    </row>
    <row r="309" spans="1:35" s="248" customFormat="1">
      <c r="A309" s="142" t="s">
        <v>1886</v>
      </c>
      <c r="B309" s="79">
        <v>29</v>
      </c>
      <c r="C309" s="80">
        <v>-16</v>
      </c>
      <c r="D309" s="79">
        <v>12</v>
      </c>
      <c r="E309" s="79">
        <v>28</v>
      </c>
      <c r="F309" s="6">
        <v>4.82</v>
      </c>
      <c r="G309" s="79">
        <v>1785</v>
      </c>
      <c r="H309" s="30" t="s">
        <v>1461</v>
      </c>
      <c r="I309" s="166" t="s">
        <v>305</v>
      </c>
      <c r="J309" s="8">
        <f>IFERROR(VLOOKUP($G309,今日總結!$A:$AN,33,0),"")</f>
        <v>0</v>
      </c>
      <c r="K309" s="5">
        <f>IFERROR(VLOOKUP($G309,今日總結!$A:$AN,34,0),"")</f>
        <v>0</v>
      </c>
      <c r="L309" s="156">
        <f>IFERROR(VLOOKUP($G309,今日總結!$A:$AN,31,0),"")</f>
        <v>5</v>
      </c>
      <c r="M309" s="337">
        <f>IFERROR(VLOOKUP($G309,今日總結!$A:$AN,32,0),"")</f>
        <v>0</v>
      </c>
      <c r="N309" s="240">
        <f t="shared" si="98"/>
        <v>5</v>
      </c>
      <c r="O309" s="359">
        <f>IFERROR(VLOOKUP($G309,融外自投!$A:$J,7,0),"無")</f>
        <v>334</v>
      </c>
      <c r="P309" s="79">
        <f>IFERROR(VLOOKUP($G309,融外自投!$A:$J,9,0),"無")</f>
        <v>990</v>
      </c>
      <c r="Q309" s="342">
        <f>IFERROR(VLOOKUP($G309,融外自投!$A:$J,8,0),"無")</f>
        <v>652</v>
      </c>
      <c r="R309" s="81">
        <f>IFERROR(VLOOKUP($G309,融外自投!$A:$J,10,0),"無")</f>
        <v>413</v>
      </c>
      <c r="S309" s="324">
        <f>IFERROR(VLOOKUP($G309,'321買'!$A:$E,5,0),"'沒有資料'")</f>
        <v>0</v>
      </c>
      <c r="T309" s="185">
        <v>1</v>
      </c>
      <c r="U309" s="308"/>
      <c r="V309" s="94">
        <f t="shared" si="118"/>
        <v>1.8691588785046728E-2</v>
      </c>
      <c r="W309" s="161">
        <v>53.5</v>
      </c>
      <c r="X309" s="155">
        <v>43.25</v>
      </c>
      <c r="Y309" s="162">
        <f t="shared" si="115"/>
        <v>10.25</v>
      </c>
      <c r="Z309" s="158">
        <f t="shared" si="116"/>
        <v>0.23699421965317918</v>
      </c>
      <c r="AA309" s="167" t="s">
        <v>1895</v>
      </c>
      <c r="AB309" s="376"/>
      <c r="AC309" s="166" t="s">
        <v>305</v>
      </c>
      <c r="AD309" s="84">
        <v>44228</v>
      </c>
      <c r="AE309" s="83">
        <v>44293</v>
      </c>
      <c r="AF309" s="33">
        <f t="shared" si="117"/>
        <v>65</v>
      </c>
      <c r="AG309" s="41" t="s">
        <v>1121</v>
      </c>
    </row>
    <row r="310" spans="1:35" s="248" customFormat="1">
      <c r="A310" s="142" t="s">
        <v>1886</v>
      </c>
      <c r="B310" s="79">
        <v>29</v>
      </c>
      <c r="C310" s="80">
        <v>-16</v>
      </c>
      <c r="D310" s="79">
        <v>12</v>
      </c>
      <c r="E310" s="79">
        <v>28</v>
      </c>
      <c r="F310" s="6">
        <v>4.82</v>
      </c>
      <c r="G310" s="79">
        <v>1785</v>
      </c>
      <c r="H310" s="30" t="s">
        <v>1461</v>
      </c>
      <c r="I310" s="166" t="s">
        <v>305</v>
      </c>
      <c r="J310" s="8">
        <f>IFERROR(VLOOKUP($G310,今日總結!$A:$AN,33,0),"")</f>
        <v>0</v>
      </c>
      <c r="K310" s="5">
        <f>IFERROR(VLOOKUP($G310,今日總結!$A:$AN,34,0),"")</f>
        <v>0</v>
      </c>
      <c r="L310" s="156">
        <f>IFERROR(VLOOKUP($G310,今日總結!$A:$AN,31,0),"")</f>
        <v>5</v>
      </c>
      <c r="M310" s="337">
        <f>IFERROR(VLOOKUP($G310,今日總結!$A:$AN,32,0),"")</f>
        <v>0</v>
      </c>
      <c r="N310" s="240">
        <f t="shared" si="98"/>
        <v>5</v>
      </c>
      <c r="O310" s="359">
        <f>IFERROR(VLOOKUP($G310,融外自投!$A:$J,7,0),"無")</f>
        <v>334</v>
      </c>
      <c r="P310" s="79">
        <f>IFERROR(VLOOKUP($G310,融外自投!$A:$J,9,0),"無")</f>
        <v>990</v>
      </c>
      <c r="Q310" s="342">
        <f>IFERROR(VLOOKUP($G310,融外自投!$A:$J,8,0),"無")</f>
        <v>652</v>
      </c>
      <c r="R310" s="81">
        <f>IFERROR(VLOOKUP($G310,融外自投!$A:$J,10,0),"無")</f>
        <v>413</v>
      </c>
      <c r="S310" s="324">
        <f>IFERROR(VLOOKUP($G310,'321買'!$A:$E,5,0),"'沒有資料'")</f>
        <v>0</v>
      </c>
      <c r="T310" s="185">
        <v>1</v>
      </c>
      <c r="U310" s="308"/>
      <c r="V310" s="94">
        <f t="shared" si="118"/>
        <v>1.8691588785046728E-2</v>
      </c>
      <c r="W310" s="161">
        <v>53.5</v>
      </c>
      <c r="X310" s="155">
        <v>42.65</v>
      </c>
      <c r="Y310" s="162">
        <f t="shared" si="115"/>
        <v>10.850000000000001</v>
      </c>
      <c r="Z310" s="158">
        <f t="shared" si="116"/>
        <v>0.25439624853458387</v>
      </c>
      <c r="AA310" s="167" t="s">
        <v>3173</v>
      </c>
      <c r="AB310" s="376"/>
      <c r="AC310" s="166" t="s">
        <v>305</v>
      </c>
      <c r="AD310" s="84">
        <v>44228</v>
      </c>
      <c r="AE310" s="83">
        <v>44293</v>
      </c>
      <c r="AF310" s="33">
        <f t="shared" si="117"/>
        <v>65</v>
      </c>
      <c r="AG310" s="41" t="s">
        <v>1121</v>
      </c>
    </row>
    <row r="311" spans="1:35" s="248" customFormat="1">
      <c r="A311" s="142" t="s">
        <v>1886</v>
      </c>
      <c r="B311" s="79">
        <v>29</v>
      </c>
      <c r="C311" s="80">
        <v>-16</v>
      </c>
      <c r="D311" s="79">
        <v>12</v>
      </c>
      <c r="E311" s="79">
        <v>28</v>
      </c>
      <c r="F311" s="6">
        <v>4.82</v>
      </c>
      <c r="G311" s="79">
        <v>1785</v>
      </c>
      <c r="H311" s="30" t="s">
        <v>1461</v>
      </c>
      <c r="I311" s="166" t="s">
        <v>305</v>
      </c>
      <c r="J311" s="8">
        <f>IFERROR(VLOOKUP($G311,今日總結!$A:$AN,33,0),"")</f>
        <v>0</v>
      </c>
      <c r="K311" s="5">
        <f>IFERROR(VLOOKUP($G311,今日總結!$A:$AN,34,0),"")</f>
        <v>0</v>
      </c>
      <c r="L311" s="156">
        <f>IFERROR(VLOOKUP($G311,今日總結!$A:$AN,31,0),"")</f>
        <v>5</v>
      </c>
      <c r="M311" s="337">
        <f>IFERROR(VLOOKUP($G311,今日總結!$A:$AN,32,0),"")</f>
        <v>0</v>
      </c>
      <c r="N311" s="240">
        <f t="shared" si="98"/>
        <v>5</v>
      </c>
      <c r="O311" s="359">
        <f>IFERROR(VLOOKUP($G311,融外自投!$A:$J,7,0),"無")</f>
        <v>334</v>
      </c>
      <c r="P311" s="79">
        <f>IFERROR(VLOOKUP($G311,融外自投!$A:$J,9,0),"無")</f>
        <v>990</v>
      </c>
      <c r="Q311" s="342">
        <f>IFERROR(VLOOKUP($G311,融外自投!$A:$J,8,0),"無")</f>
        <v>652</v>
      </c>
      <c r="R311" s="81">
        <f>IFERROR(VLOOKUP($G311,融外自投!$A:$J,10,0),"無")</f>
        <v>413</v>
      </c>
      <c r="S311" s="324">
        <f>IFERROR(VLOOKUP($G311,'321買'!$A:$E,5,0),"'沒有資料'")</f>
        <v>0</v>
      </c>
      <c r="T311" s="185">
        <v>1</v>
      </c>
      <c r="U311" s="308"/>
      <c r="V311" s="94">
        <f t="shared" si="118"/>
        <v>1.8691588785046728E-2</v>
      </c>
      <c r="W311" s="161">
        <v>53.5</v>
      </c>
      <c r="X311" s="155">
        <v>48.35</v>
      </c>
      <c r="Y311" s="162">
        <f t="shared" si="115"/>
        <v>5.1499999999999986</v>
      </c>
      <c r="Z311" s="158">
        <f t="shared" si="116"/>
        <v>0.10651499482936914</v>
      </c>
      <c r="AA311" s="167" t="s">
        <v>3174</v>
      </c>
      <c r="AB311" s="376"/>
      <c r="AC311" s="166" t="s">
        <v>305</v>
      </c>
      <c r="AD311" s="84">
        <v>44207</v>
      </c>
      <c r="AE311" s="83">
        <v>44293</v>
      </c>
      <c r="AF311" s="33">
        <f t="shared" si="117"/>
        <v>86</v>
      </c>
      <c r="AG311" s="41" t="s">
        <v>1121</v>
      </c>
    </row>
    <row r="312" spans="1:35" s="248" customFormat="1">
      <c r="A312" s="142" t="s">
        <v>1886</v>
      </c>
      <c r="B312" s="79">
        <v>29</v>
      </c>
      <c r="C312" s="80">
        <v>-16</v>
      </c>
      <c r="D312" s="79">
        <v>12</v>
      </c>
      <c r="E312" s="79">
        <v>28</v>
      </c>
      <c r="F312" s="6">
        <v>4.82</v>
      </c>
      <c r="G312" s="79">
        <v>1785</v>
      </c>
      <c r="H312" s="30" t="s">
        <v>1461</v>
      </c>
      <c r="I312" s="166" t="s">
        <v>305</v>
      </c>
      <c r="J312" s="8">
        <f>IFERROR(VLOOKUP($G312,今日總結!$A:$AN,33,0),"")</f>
        <v>0</v>
      </c>
      <c r="K312" s="5">
        <f>IFERROR(VLOOKUP($G312,今日總結!$A:$AN,34,0),"")</f>
        <v>0</v>
      </c>
      <c r="L312" s="156">
        <f>IFERROR(VLOOKUP($G312,今日總結!$A:$AN,31,0),"")</f>
        <v>5</v>
      </c>
      <c r="M312" s="337">
        <f>IFERROR(VLOOKUP($G312,今日總結!$A:$AN,32,0),"")</f>
        <v>0</v>
      </c>
      <c r="N312" s="240">
        <f t="shared" si="98"/>
        <v>5</v>
      </c>
      <c r="O312" s="359">
        <f>IFERROR(VLOOKUP($G312,融外自投!$A:$J,7,0),"無")</f>
        <v>334</v>
      </c>
      <c r="P312" s="79">
        <f>IFERROR(VLOOKUP($G312,融外自投!$A:$J,9,0),"無")</f>
        <v>990</v>
      </c>
      <c r="Q312" s="342">
        <f>IFERROR(VLOOKUP($G312,融外自投!$A:$J,8,0),"無")</f>
        <v>652</v>
      </c>
      <c r="R312" s="81">
        <f>IFERROR(VLOOKUP($G312,融外自投!$A:$J,10,0),"無")</f>
        <v>413</v>
      </c>
      <c r="S312" s="324">
        <f>IFERROR(VLOOKUP($G312,'321買'!$A:$E,5,0),"'沒有資料'")</f>
        <v>0</v>
      </c>
      <c r="T312" s="185">
        <v>1</v>
      </c>
      <c r="U312" s="308"/>
      <c r="V312" s="94">
        <f t="shared" si="118"/>
        <v>1.8691588785046728E-2</v>
      </c>
      <c r="W312" s="161">
        <v>53.5</v>
      </c>
      <c r="X312" s="155">
        <v>51.2</v>
      </c>
      <c r="Y312" s="162">
        <f t="shared" si="115"/>
        <v>2.2999999999999972</v>
      </c>
      <c r="Z312" s="158">
        <f t="shared" si="116"/>
        <v>4.4921874999999944E-2</v>
      </c>
      <c r="AA312" s="167" t="s">
        <v>2073</v>
      </c>
      <c r="AB312" s="376"/>
      <c r="AC312" s="166" t="s">
        <v>305</v>
      </c>
      <c r="AD312" s="84">
        <v>44204</v>
      </c>
      <c r="AE312" s="83">
        <v>44293</v>
      </c>
      <c r="AF312" s="33">
        <f t="shared" si="117"/>
        <v>89</v>
      </c>
      <c r="AG312" s="41" t="s">
        <v>1121</v>
      </c>
    </row>
    <row r="313" spans="1:35" s="248" customFormat="1">
      <c r="A313" s="142" t="s">
        <v>1651</v>
      </c>
      <c r="B313" s="79">
        <v>34</v>
      </c>
      <c r="C313" s="79">
        <v>189</v>
      </c>
      <c r="D313" s="80">
        <v>-9</v>
      </c>
      <c r="E313" s="80">
        <v>-1</v>
      </c>
      <c r="F313" s="6">
        <v>5.3</v>
      </c>
      <c r="G313" s="79">
        <v>3265</v>
      </c>
      <c r="H313" s="30" t="s">
        <v>1461</v>
      </c>
      <c r="I313" s="166" t="s">
        <v>2238</v>
      </c>
      <c r="J313" s="8">
        <f>IFERROR(VLOOKUP($G313,今日總結!$A:$AN,33,0),"")</f>
        <v>0</v>
      </c>
      <c r="K313" s="5">
        <f>IFERROR(VLOOKUP($G313,今日總結!$A:$AN,34,0),"")</f>
        <v>0</v>
      </c>
      <c r="L313" s="156">
        <f>IFERROR(VLOOKUP($G313,今日總結!$A:$AN,31,0),"")</f>
        <v>0</v>
      </c>
      <c r="M313" s="337">
        <f>IFERROR(VLOOKUP($G313,今日總結!$A:$AN,32,0),"")</f>
        <v>0</v>
      </c>
      <c r="N313" s="240">
        <f t="shared" si="98"/>
        <v>0</v>
      </c>
      <c r="O313" s="359">
        <f>IFERROR(VLOOKUP($G313,融外自投!$A:$J,7,0),"無")</f>
        <v>456</v>
      </c>
      <c r="P313" s="79">
        <f>IFERROR(VLOOKUP($G313,融外自投!$A:$J,9,0),"無")</f>
        <v>45</v>
      </c>
      <c r="Q313" s="342">
        <f>IFERROR(VLOOKUP($G313,融外自投!$A:$J,8,0),"無")</f>
        <v>735</v>
      </c>
      <c r="R313" s="81" t="str">
        <f>IFERROR(VLOOKUP($G313,融外自投!$A:$J,10,0),"無")</f>
        <v>無</v>
      </c>
      <c r="S313" s="324">
        <f>IFERROR(VLOOKUP($G313,'321買'!$A:$E,5,0),"'沒有資料'")</f>
        <v>0</v>
      </c>
      <c r="T313" s="185">
        <v>1.5</v>
      </c>
      <c r="U313" s="308"/>
      <c r="V313" s="94">
        <f t="shared" si="118"/>
        <v>4.4977511244377807E-2</v>
      </c>
      <c r="W313" s="165">
        <v>33.35</v>
      </c>
      <c r="X313" s="65">
        <v>29.3</v>
      </c>
      <c r="Y313" s="162">
        <f t="shared" si="115"/>
        <v>4.0500000000000007</v>
      </c>
      <c r="Z313" s="158">
        <f t="shared" si="116"/>
        <v>0.13822525597269628</v>
      </c>
      <c r="AA313" s="167" t="s">
        <v>3160</v>
      </c>
      <c r="AB313" s="376"/>
      <c r="AC313" s="166" t="s">
        <v>2238</v>
      </c>
      <c r="AD313" s="84">
        <v>44201</v>
      </c>
      <c r="AE313" s="83">
        <v>44287</v>
      </c>
      <c r="AF313" s="33">
        <f t="shared" si="117"/>
        <v>86</v>
      </c>
      <c r="AG313" s="41" t="s">
        <v>1121</v>
      </c>
      <c r="AH313" s="163"/>
    </row>
    <row r="314" spans="1:35" s="248" customFormat="1">
      <c r="A314" s="142" t="s">
        <v>1651</v>
      </c>
      <c r="B314" s="79">
        <v>34</v>
      </c>
      <c r="C314" s="79">
        <v>189</v>
      </c>
      <c r="D314" s="80">
        <v>-9</v>
      </c>
      <c r="E314" s="80">
        <v>-1</v>
      </c>
      <c r="F314" s="6">
        <v>5.3</v>
      </c>
      <c r="G314" s="79">
        <v>3265</v>
      </c>
      <c r="H314" s="30" t="s">
        <v>1461</v>
      </c>
      <c r="I314" s="166" t="s">
        <v>2238</v>
      </c>
      <c r="J314" s="8">
        <f>IFERROR(VLOOKUP($G314,今日總結!$A:$AN,33,0),"")</f>
        <v>0</v>
      </c>
      <c r="K314" s="5">
        <f>IFERROR(VLOOKUP($G314,今日總結!$A:$AN,34,0),"")</f>
        <v>0</v>
      </c>
      <c r="L314" s="156">
        <f>IFERROR(VLOOKUP($G314,今日總結!$A:$AN,31,0),"")</f>
        <v>0</v>
      </c>
      <c r="M314" s="337">
        <f>IFERROR(VLOOKUP($G314,今日總結!$A:$AN,32,0),"")</f>
        <v>0</v>
      </c>
      <c r="N314" s="240">
        <f t="shared" si="98"/>
        <v>0</v>
      </c>
      <c r="O314" s="359">
        <f>IFERROR(VLOOKUP($G314,融外自投!$A:$J,7,0),"無")</f>
        <v>456</v>
      </c>
      <c r="P314" s="79">
        <f>IFERROR(VLOOKUP($G314,融外自投!$A:$J,9,0),"無")</f>
        <v>45</v>
      </c>
      <c r="Q314" s="342">
        <f>IFERROR(VLOOKUP($G314,融外自投!$A:$J,8,0),"無")</f>
        <v>735</v>
      </c>
      <c r="R314" s="81" t="str">
        <f>IFERROR(VLOOKUP($G314,融外自投!$A:$J,10,0),"無")</f>
        <v>無</v>
      </c>
      <c r="S314" s="324">
        <f>IFERROR(VLOOKUP($G314,'321買'!$A:$E,5,0),"'沒有資料'")</f>
        <v>0</v>
      </c>
      <c r="T314" s="185">
        <v>1.5</v>
      </c>
      <c r="U314" s="308"/>
      <c r="V314" s="94">
        <f t="shared" si="118"/>
        <v>4.4977511244377807E-2</v>
      </c>
      <c r="W314" s="165">
        <v>33.35</v>
      </c>
      <c r="X314" s="65">
        <v>28.7</v>
      </c>
      <c r="Y314" s="162">
        <f t="shared" si="115"/>
        <v>4.6500000000000021</v>
      </c>
      <c r="Z314" s="158">
        <f t="shared" si="116"/>
        <v>0.16202090592334503</v>
      </c>
      <c r="AA314" s="167" t="s">
        <v>1704</v>
      </c>
      <c r="AB314" s="376"/>
      <c r="AC314" s="166" t="s">
        <v>2238</v>
      </c>
      <c r="AD314" s="84">
        <v>44201</v>
      </c>
      <c r="AE314" s="83">
        <v>44287</v>
      </c>
      <c r="AF314" s="33">
        <f t="shared" si="117"/>
        <v>86</v>
      </c>
      <c r="AG314" s="41" t="s">
        <v>1121</v>
      </c>
      <c r="AH314" s="163"/>
    </row>
    <row r="315" spans="1:35" s="248" customFormat="1">
      <c r="A315" s="127" t="s">
        <v>2241</v>
      </c>
      <c r="B315" s="80">
        <v>-10</v>
      </c>
      <c r="C315" s="80">
        <v>-10</v>
      </c>
      <c r="D315" s="80">
        <v>-3</v>
      </c>
      <c r="E315" s="79">
        <v>21</v>
      </c>
      <c r="F315" s="57">
        <v>21.7</v>
      </c>
      <c r="G315" s="79">
        <v>6147</v>
      </c>
      <c r="H315" s="30" t="s">
        <v>1461</v>
      </c>
      <c r="I315" s="166" t="s">
        <v>40</v>
      </c>
      <c r="J315" s="8">
        <f>IFERROR(VLOOKUP($G315,今日總結!$A:$AN,33,0),"")</f>
        <v>0</v>
      </c>
      <c r="K315" s="5">
        <f>IFERROR(VLOOKUP($G315,今日總結!$A:$AN,34,0),"")</f>
        <v>0</v>
      </c>
      <c r="L315" s="156">
        <f>IFERROR(VLOOKUP($G315,今日總結!$A:$AN,31,0),"")</f>
        <v>1</v>
      </c>
      <c r="M315" s="337">
        <f>IFERROR(VLOOKUP($G315,今日總結!$A:$AN,32,0),"")</f>
        <v>0</v>
      </c>
      <c r="N315" s="240">
        <f t="shared" si="98"/>
        <v>1</v>
      </c>
      <c r="O315" s="359">
        <f>IFERROR(VLOOKUP($G315,融外自投!$A:$J,7,0),"無")</f>
        <v>812</v>
      </c>
      <c r="P315" s="79">
        <f>IFERROR(VLOOKUP($G315,融外自投!$A:$J,9,0),"無")</f>
        <v>294</v>
      </c>
      <c r="Q315" s="342">
        <f>IFERROR(VLOOKUP($G315,融外自投!$A:$J,8,0),"無")</f>
        <v>242</v>
      </c>
      <c r="R315" s="81">
        <f>IFERROR(VLOOKUP($G315,融外自投!$A:$J,10,0),"無")</f>
        <v>90</v>
      </c>
      <c r="S315" s="324">
        <f>IFERROR(VLOOKUP($G315,'321買'!$A:$E,5,0),"'沒有資料'")</f>
        <v>0</v>
      </c>
      <c r="T315" s="185">
        <v>4.2</v>
      </c>
      <c r="U315" s="308"/>
      <c r="V315" s="57">
        <f t="shared" si="118"/>
        <v>5.4054054054054057E-2</v>
      </c>
      <c r="W315" s="165">
        <v>77.7</v>
      </c>
      <c r="X315" s="65">
        <v>75.599999999999994</v>
      </c>
      <c r="Y315" s="162">
        <f t="shared" si="115"/>
        <v>2.1000000000000085</v>
      </c>
      <c r="Z315" s="158">
        <f t="shared" si="116"/>
        <v>2.7777777777777894E-2</v>
      </c>
      <c r="AA315" s="167" t="s">
        <v>2955</v>
      </c>
      <c r="AB315" s="376"/>
      <c r="AC315" s="166" t="s">
        <v>40</v>
      </c>
      <c r="AD315" s="84">
        <v>44278</v>
      </c>
      <c r="AE315" s="83">
        <v>44287</v>
      </c>
      <c r="AF315" s="33">
        <f t="shared" ref="AF315:AF324" si="119">AE315-AD315</f>
        <v>9</v>
      </c>
      <c r="AG315" s="41" t="s">
        <v>1121</v>
      </c>
      <c r="AH315" s="180"/>
      <c r="AI315" s="179"/>
    </row>
    <row r="316" spans="1:35" s="248" customFormat="1">
      <c r="A316" s="142" t="s">
        <v>1674</v>
      </c>
      <c r="B316" s="79">
        <v>121</v>
      </c>
      <c r="C316" s="79">
        <v>196</v>
      </c>
      <c r="D316" s="79">
        <v>0</v>
      </c>
      <c r="E316" s="79">
        <v>0</v>
      </c>
      <c r="F316" s="6">
        <v>7.48</v>
      </c>
      <c r="G316" s="79">
        <v>3017</v>
      </c>
      <c r="H316" s="30" t="s">
        <v>1461</v>
      </c>
      <c r="I316" s="153" t="s">
        <v>117</v>
      </c>
      <c r="J316" s="8">
        <f>IFERROR(VLOOKUP($G316,今日總結!$A:$AN,33,0),"")</f>
        <v>1</v>
      </c>
      <c r="K316" s="5">
        <f>IFERROR(VLOOKUP($G316,今日總結!$A:$AN,34,0),"")</f>
        <v>0</v>
      </c>
      <c r="L316" s="156">
        <f>IFERROR(VLOOKUP($G316,今日總結!$A:$AN,31,0),"")</f>
        <v>0</v>
      </c>
      <c r="M316" s="337">
        <f>IFERROR(VLOOKUP($G316,今日總結!$A:$AN,32,0),"")</f>
        <v>1</v>
      </c>
      <c r="N316" s="240">
        <f t="shared" si="98"/>
        <v>-1</v>
      </c>
      <c r="O316" s="359">
        <f>IFERROR(VLOOKUP($G316,融外自投!$A:$J,7,0),"無")</f>
        <v>507</v>
      </c>
      <c r="P316" s="79">
        <f>IFERROR(VLOOKUP($G316,融外自投!$A:$J,9,0),"無")</f>
        <v>365</v>
      </c>
      <c r="Q316" s="342">
        <f>IFERROR(VLOOKUP($G316,融外自投!$A:$J,8,0),"無")</f>
        <v>124</v>
      </c>
      <c r="R316" s="81">
        <f>IFERROR(VLOOKUP($G316,融外自投!$A:$J,10,0),"無")</f>
        <v>7</v>
      </c>
      <c r="S316" s="324">
        <f>IFERROR(VLOOKUP($G316,'321買'!$A:$E,5,0),"'沒有資料'")</f>
        <v>0</v>
      </c>
      <c r="T316" s="65">
        <v>1.3</v>
      </c>
      <c r="U316" s="308"/>
      <c r="V316" s="39">
        <f t="shared" si="118"/>
        <v>1.9145802650957288E-2</v>
      </c>
      <c r="W316" s="165">
        <v>67.900000000000006</v>
      </c>
      <c r="X316" s="65">
        <v>63.9</v>
      </c>
      <c r="Y316" s="162">
        <f t="shared" ref="Y316:Y324" si="120">W316-X316</f>
        <v>4.0000000000000071</v>
      </c>
      <c r="Z316" s="158">
        <f t="shared" ref="Z316:Z324" si="121">Y316/X316</f>
        <v>6.2597809076682429E-2</v>
      </c>
      <c r="AA316" s="167" t="s">
        <v>1876</v>
      </c>
      <c r="AB316" s="376"/>
      <c r="AC316" s="153" t="s">
        <v>117</v>
      </c>
      <c r="AD316" s="84">
        <v>44267</v>
      </c>
      <c r="AE316" s="83">
        <v>44287</v>
      </c>
      <c r="AF316" s="33">
        <f t="shared" si="119"/>
        <v>20</v>
      </c>
      <c r="AG316" s="41" t="s">
        <v>2152</v>
      </c>
    </row>
    <row r="317" spans="1:35" s="248" customFormat="1">
      <c r="A317" s="142" t="s">
        <v>1674</v>
      </c>
      <c r="B317" s="79">
        <v>121</v>
      </c>
      <c r="C317" s="79">
        <v>196</v>
      </c>
      <c r="D317" s="79">
        <v>0</v>
      </c>
      <c r="E317" s="79">
        <v>0</v>
      </c>
      <c r="F317" s="6">
        <v>7.48</v>
      </c>
      <c r="G317" s="79">
        <v>3017</v>
      </c>
      <c r="H317" s="30" t="s">
        <v>1461</v>
      </c>
      <c r="I317" s="153" t="s">
        <v>117</v>
      </c>
      <c r="J317" s="8">
        <f>IFERROR(VLOOKUP($G317,今日總結!$A:$AN,33,0),"")</f>
        <v>1</v>
      </c>
      <c r="K317" s="5">
        <f>IFERROR(VLOOKUP($G317,今日總結!$A:$AN,34,0),"")</f>
        <v>0</v>
      </c>
      <c r="L317" s="156">
        <f>IFERROR(VLOOKUP($G317,今日總結!$A:$AN,31,0),"")</f>
        <v>0</v>
      </c>
      <c r="M317" s="337">
        <f>IFERROR(VLOOKUP($G317,今日總結!$A:$AN,32,0),"")</f>
        <v>1</v>
      </c>
      <c r="N317" s="240">
        <f t="shared" si="98"/>
        <v>-1</v>
      </c>
      <c r="O317" s="359">
        <f>IFERROR(VLOOKUP($G317,融外自投!$A:$J,7,0),"無")</f>
        <v>507</v>
      </c>
      <c r="P317" s="79">
        <f>IFERROR(VLOOKUP($G317,融外自投!$A:$J,9,0),"無")</f>
        <v>365</v>
      </c>
      <c r="Q317" s="342">
        <f>IFERROR(VLOOKUP($G317,融外自投!$A:$J,8,0),"無")</f>
        <v>124</v>
      </c>
      <c r="R317" s="81">
        <f>IFERROR(VLOOKUP($G317,融外自投!$A:$J,10,0),"無")</f>
        <v>7</v>
      </c>
      <c r="S317" s="324">
        <f>IFERROR(VLOOKUP($G317,'321買'!$A:$E,5,0),"'沒有資料'")</f>
        <v>0</v>
      </c>
      <c r="T317" s="65">
        <v>1.3</v>
      </c>
      <c r="U317" s="308"/>
      <c r="V317" s="39">
        <f t="shared" si="118"/>
        <v>1.9145802650957288E-2</v>
      </c>
      <c r="W317" s="165">
        <v>67.900000000000006</v>
      </c>
      <c r="X317" s="65">
        <v>63.9</v>
      </c>
      <c r="Y317" s="162">
        <f t="shared" si="120"/>
        <v>4.0000000000000071</v>
      </c>
      <c r="Z317" s="158">
        <f t="shared" si="121"/>
        <v>6.2597809076682429E-2</v>
      </c>
      <c r="AA317" s="167" t="s">
        <v>1876</v>
      </c>
      <c r="AB317" s="376"/>
      <c r="AC317" s="153" t="s">
        <v>117</v>
      </c>
      <c r="AD317" s="84">
        <v>44267</v>
      </c>
      <c r="AE317" s="83">
        <v>44287</v>
      </c>
      <c r="AF317" s="33">
        <f t="shared" si="119"/>
        <v>20</v>
      </c>
      <c r="AG317" s="41" t="s">
        <v>2152</v>
      </c>
    </row>
    <row r="318" spans="1:35" s="248" customFormat="1">
      <c r="A318" s="142" t="s">
        <v>1674</v>
      </c>
      <c r="B318" s="79">
        <v>121</v>
      </c>
      <c r="C318" s="79">
        <v>196</v>
      </c>
      <c r="D318" s="79">
        <v>0</v>
      </c>
      <c r="E318" s="79">
        <v>0</v>
      </c>
      <c r="F318" s="6">
        <v>7.48</v>
      </c>
      <c r="G318" s="79">
        <v>3017</v>
      </c>
      <c r="H318" s="30" t="s">
        <v>1461</v>
      </c>
      <c r="I318" s="153" t="s">
        <v>117</v>
      </c>
      <c r="J318" s="8">
        <f>IFERROR(VLOOKUP($G318,今日總結!$A:$AN,33,0),"")</f>
        <v>1</v>
      </c>
      <c r="K318" s="5">
        <f>IFERROR(VLOOKUP($G318,今日總結!$A:$AN,34,0),"")</f>
        <v>0</v>
      </c>
      <c r="L318" s="156">
        <f>IFERROR(VLOOKUP($G318,今日總結!$A:$AN,31,0),"")</f>
        <v>0</v>
      </c>
      <c r="M318" s="337">
        <f>IFERROR(VLOOKUP($G318,今日總結!$A:$AN,32,0),"")</f>
        <v>1</v>
      </c>
      <c r="N318" s="240">
        <f t="shared" si="98"/>
        <v>-1</v>
      </c>
      <c r="O318" s="359">
        <f>IFERROR(VLOOKUP($G318,融外自投!$A:$J,7,0),"無")</f>
        <v>507</v>
      </c>
      <c r="P318" s="79">
        <f>IFERROR(VLOOKUP($G318,融外自投!$A:$J,9,0),"無")</f>
        <v>365</v>
      </c>
      <c r="Q318" s="342">
        <f>IFERROR(VLOOKUP($G318,融外自投!$A:$J,8,0),"無")</f>
        <v>124</v>
      </c>
      <c r="R318" s="81">
        <f>IFERROR(VLOOKUP($G318,融外自投!$A:$J,10,0),"無")</f>
        <v>7</v>
      </c>
      <c r="S318" s="324">
        <f>IFERROR(VLOOKUP($G318,'321買'!$A:$E,5,0),"'沒有資料'")</f>
        <v>0</v>
      </c>
      <c r="T318" s="65">
        <v>1.3</v>
      </c>
      <c r="U318" s="308"/>
      <c r="V318" s="39">
        <f t="shared" si="118"/>
        <v>1.9145802650957288E-2</v>
      </c>
      <c r="W318" s="165">
        <v>67.900000000000006</v>
      </c>
      <c r="X318" s="65">
        <v>62.3</v>
      </c>
      <c r="Y318" s="162">
        <f t="shared" si="120"/>
        <v>5.6000000000000085</v>
      </c>
      <c r="Z318" s="158">
        <f t="shared" si="121"/>
        <v>8.9887640449438339E-2</v>
      </c>
      <c r="AA318" s="167" t="s">
        <v>3161</v>
      </c>
      <c r="AB318" s="376"/>
      <c r="AC318" s="153" t="s">
        <v>117</v>
      </c>
      <c r="AD318" s="84">
        <v>44266</v>
      </c>
      <c r="AE318" s="83">
        <v>44287</v>
      </c>
      <c r="AF318" s="33">
        <f t="shared" si="119"/>
        <v>21</v>
      </c>
      <c r="AG318" s="41" t="s">
        <v>2152</v>
      </c>
    </row>
    <row r="319" spans="1:35" s="248" customFormat="1">
      <c r="A319" s="142" t="s">
        <v>1674</v>
      </c>
      <c r="B319" s="79">
        <v>121</v>
      </c>
      <c r="C319" s="79">
        <v>196</v>
      </c>
      <c r="D319" s="79">
        <v>0</v>
      </c>
      <c r="E319" s="79">
        <v>0</v>
      </c>
      <c r="F319" s="6">
        <v>7.48</v>
      </c>
      <c r="G319" s="79">
        <v>3017</v>
      </c>
      <c r="H319" s="30" t="s">
        <v>1461</v>
      </c>
      <c r="I319" s="153" t="s">
        <v>117</v>
      </c>
      <c r="J319" s="8">
        <f>IFERROR(VLOOKUP($G319,今日總結!$A:$AN,33,0),"")</f>
        <v>1</v>
      </c>
      <c r="K319" s="5">
        <f>IFERROR(VLOOKUP($G319,今日總結!$A:$AN,34,0),"")</f>
        <v>0</v>
      </c>
      <c r="L319" s="156">
        <f>IFERROR(VLOOKUP($G319,今日總結!$A:$AN,31,0),"")</f>
        <v>0</v>
      </c>
      <c r="M319" s="337">
        <f>IFERROR(VLOOKUP($G319,今日總結!$A:$AN,32,0),"")</f>
        <v>1</v>
      </c>
      <c r="N319" s="240">
        <f t="shared" si="98"/>
        <v>-1</v>
      </c>
      <c r="O319" s="359">
        <f>IFERROR(VLOOKUP($G319,融外自投!$A:$J,7,0),"無")</f>
        <v>507</v>
      </c>
      <c r="P319" s="79">
        <f>IFERROR(VLOOKUP($G319,融外自投!$A:$J,9,0),"無")</f>
        <v>365</v>
      </c>
      <c r="Q319" s="342">
        <f>IFERROR(VLOOKUP($G319,融外自投!$A:$J,8,0),"無")</f>
        <v>124</v>
      </c>
      <c r="R319" s="81">
        <f>IFERROR(VLOOKUP($G319,融外自投!$A:$J,10,0),"無")</f>
        <v>7</v>
      </c>
      <c r="S319" s="324">
        <f>IFERROR(VLOOKUP($G319,'321買'!$A:$E,5,0),"'沒有資料'")</f>
        <v>0</v>
      </c>
      <c r="T319" s="65">
        <v>1.3</v>
      </c>
      <c r="U319" s="308"/>
      <c r="V319" s="39">
        <f t="shared" si="118"/>
        <v>1.9145802650957288E-2</v>
      </c>
      <c r="W319" s="165">
        <v>67.900000000000006</v>
      </c>
      <c r="X319" s="65">
        <v>65.5</v>
      </c>
      <c r="Y319" s="162">
        <f t="shared" si="120"/>
        <v>2.4000000000000057</v>
      </c>
      <c r="Z319" s="158">
        <f t="shared" si="121"/>
        <v>3.6641221374045886E-2</v>
      </c>
      <c r="AA319" s="167" t="s">
        <v>2085</v>
      </c>
      <c r="AB319" s="376"/>
      <c r="AC319" s="153" t="s">
        <v>117</v>
      </c>
      <c r="AD319" s="84">
        <v>44258</v>
      </c>
      <c r="AE319" s="83">
        <v>44287</v>
      </c>
      <c r="AF319" s="33">
        <f t="shared" si="119"/>
        <v>29</v>
      </c>
      <c r="AG319" s="41" t="s">
        <v>2152</v>
      </c>
    </row>
    <row r="320" spans="1:35" s="248" customFormat="1">
      <c r="A320" s="142" t="s">
        <v>1674</v>
      </c>
      <c r="B320" s="79">
        <v>121</v>
      </c>
      <c r="C320" s="79">
        <v>196</v>
      </c>
      <c r="D320" s="79">
        <v>0</v>
      </c>
      <c r="E320" s="79">
        <v>0</v>
      </c>
      <c r="F320" s="6">
        <v>7.48</v>
      </c>
      <c r="G320" s="79">
        <v>3017</v>
      </c>
      <c r="H320" s="30" t="s">
        <v>1461</v>
      </c>
      <c r="I320" s="153" t="s">
        <v>117</v>
      </c>
      <c r="J320" s="8">
        <f>IFERROR(VLOOKUP($G320,今日總結!$A:$AN,33,0),"")</f>
        <v>1</v>
      </c>
      <c r="K320" s="5">
        <f>IFERROR(VLOOKUP($G320,今日總結!$A:$AN,34,0),"")</f>
        <v>0</v>
      </c>
      <c r="L320" s="156">
        <f>IFERROR(VLOOKUP($G320,今日總結!$A:$AN,31,0),"")</f>
        <v>0</v>
      </c>
      <c r="M320" s="337">
        <f>IFERROR(VLOOKUP($G320,今日總結!$A:$AN,32,0),"")</f>
        <v>1</v>
      </c>
      <c r="N320" s="240">
        <f t="shared" si="98"/>
        <v>-1</v>
      </c>
      <c r="O320" s="359">
        <f>IFERROR(VLOOKUP($G320,融外自投!$A:$J,7,0),"無")</f>
        <v>507</v>
      </c>
      <c r="P320" s="79">
        <f>IFERROR(VLOOKUP($G320,融外自投!$A:$J,9,0),"無")</f>
        <v>365</v>
      </c>
      <c r="Q320" s="342">
        <f>IFERROR(VLOOKUP($G320,融外自投!$A:$J,8,0),"無")</f>
        <v>124</v>
      </c>
      <c r="R320" s="81">
        <f>IFERROR(VLOOKUP($G320,融外自投!$A:$J,10,0),"無")</f>
        <v>7</v>
      </c>
      <c r="S320" s="324">
        <f>IFERROR(VLOOKUP($G320,'321買'!$A:$E,5,0),"'沒有資料'")</f>
        <v>0</v>
      </c>
      <c r="T320" s="65">
        <v>1.3</v>
      </c>
      <c r="U320" s="308"/>
      <c r="V320" s="39">
        <f t="shared" si="118"/>
        <v>1.9145802650957288E-2</v>
      </c>
      <c r="W320" s="165">
        <v>67.900000000000006</v>
      </c>
      <c r="X320" s="65">
        <v>66.8</v>
      </c>
      <c r="Y320" s="162">
        <f t="shared" si="120"/>
        <v>1.1000000000000085</v>
      </c>
      <c r="Z320" s="158">
        <f t="shared" si="121"/>
        <v>1.6467065868263603E-2</v>
      </c>
      <c r="AA320" s="167" t="s">
        <v>3162</v>
      </c>
      <c r="AB320" s="376"/>
      <c r="AC320" s="153" t="s">
        <v>117</v>
      </c>
      <c r="AD320" s="84">
        <v>44257</v>
      </c>
      <c r="AE320" s="83">
        <v>44287</v>
      </c>
      <c r="AF320" s="33">
        <f t="shared" si="119"/>
        <v>30</v>
      </c>
      <c r="AG320" s="41" t="s">
        <v>2152</v>
      </c>
    </row>
    <row r="321" spans="1:35" s="248" customFormat="1">
      <c r="A321" s="142" t="s">
        <v>1674</v>
      </c>
      <c r="B321" s="79">
        <v>121</v>
      </c>
      <c r="C321" s="79">
        <v>196</v>
      </c>
      <c r="D321" s="79">
        <v>0</v>
      </c>
      <c r="E321" s="79">
        <v>0</v>
      </c>
      <c r="F321" s="6">
        <v>7.48</v>
      </c>
      <c r="G321" s="79">
        <v>3017</v>
      </c>
      <c r="H321" s="30" t="s">
        <v>1461</v>
      </c>
      <c r="I321" s="153" t="s">
        <v>117</v>
      </c>
      <c r="J321" s="8">
        <f>IFERROR(VLOOKUP($G321,今日總結!$A:$AN,33,0),"")</f>
        <v>1</v>
      </c>
      <c r="K321" s="5">
        <f>IFERROR(VLOOKUP($G321,今日總結!$A:$AN,34,0),"")</f>
        <v>0</v>
      </c>
      <c r="L321" s="156">
        <f>IFERROR(VLOOKUP($G321,今日總結!$A:$AN,31,0),"")</f>
        <v>0</v>
      </c>
      <c r="M321" s="337">
        <f>IFERROR(VLOOKUP($G321,今日總結!$A:$AN,32,0),"")</f>
        <v>1</v>
      </c>
      <c r="N321" s="240">
        <f t="shared" si="98"/>
        <v>-1</v>
      </c>
      <c r="O321" s="359">
        <f>IFERROR(VLOOKUP($G321,融外自投!$A:$J,7,0),"無")</f>
        <v>507</v>
      </c>
      <c r="P321" s="79">
        <f>IFERROR(VLOOKUP($G321,融外自投!$A:$J,9,0),"無")</f>
        <v>365</v>
      </c>
      <c r="Q321" s="342">
        <f>IFERROR(VLOOKUP($G321,融外自投!$A:$J,8,0),"無")</f>
        <v>124</v>
      </c>
      <c r="R321" s="81">
        <f>IFERROR(VLOOKUP($G321,融外自投!$A:$J,10,0),"無")</f>
        <v>7</v>
      </c>
      <c r="S321" s="324">
        <f>IFERROR(VLOOKUP($G321,'321買'!$A:$E,5,0),"'沒有資料'")</f>
        <v>0</v>
      </c>
      <c r="T321" s="65">
        <v>1.3</v>
      </c>
      <c r="U321" s="308"/>
      <c r="V321" s="39">
        <f t="shared" si="118"/>
        <v>1.9145802650957288E-2</v>
      </c>
      <c r="W321" s="165">
        <v>67.900000000000006</v>
      </c>
      <c r="X321" s="65">
        <v>66.599999999999994</v>
      </c>
      <c r="Y321" s="162">
        <f t="shared" si="120"/>
        <v>1.3000000000000114</v>
      </c>
      <c r="Z321" s="158">
        <f t="shared" si="121"/>
        <v>1.951951951951969E-2</v>
      </c>
      <c r="AA321" s="167" t="s">
        <v>3225</v>
      </c>
      <c r="AB321" s="376"/>
      <c r="AC321" s="153" t="s">
        <v>117</v>
      </c>
      <c r="AD321" s="84">
        <v>44245</v>
      </c>
      <c r="AE321" s="83">
        <v>44287</v>
      </c>
      <c r="AF321" s="33">
        <f t="shared" si="119"/>
        <v>42</v>
      </c>
      <c r="AG321" s="41" t="s">
        <v>2152</v>
      </c>
    </row>
    <row r="322" spans="1:35" s="248" customFormat="1">
      <c r="A322" s="142" t="s">
        <v>1674</v>
      </c>
      <c r="B322" s="79">
        <v>121</v>
      </c>
      <c r="C322" s="79">
        <v>196</v>
      </c>
      <c r="D322" s="79">
        <v>0</v>
      </c>
      <c r="E322" s="79">
        <v>0</v>
      </c>
      <c r="F322" s="6">
        <v>7.48</v>
      </c>
      <c r="G322" s="79">
        <v>3017</v>
      </c>
      <c r="H322" s="30" t="s">
        <v>1461</v>
      </c>
      <c r="I322" s="153" t="s">
        <v>117</v>
      </c>
      <c r="J322" s="8">
        <f>IFERROR(VLOOKUP($G322,今日總結!$A:$AN,33,0),"")</f>
        <v>1</v>
      </c>
      <c r="K322" s="5">
        <f>IFERROR(VLOOKUP($G322,今日總結!$A:$AN,34,0),"")</f>
        <v>0</v>
      </c>
      <c r="L322" s="156">
        <f>IFERROR(VLOOKUP($G322,今日總結!$A:$AN,31,0),"")</f>
        <v>0</v>
      </c>
      <c r="M322" s="337">
        <f>IFERROR(VLOOKUP($G322,今日總結!$A:$AN,32,0),"")</f>
        <v>1</v>
      </c>
      <c r="N322" s="240">
        <f t="shared" si="98"/>
        <v>-1</v>
      </c>
      <c r="O322" s="359">
        <f>IFERROR(VLOOKUP($G322,融外自投!$A:$J,7,0),"無")</f>
        <v>507</v>
      </c>
      <c r="P322" s="79">
        <f>IFERROR(VLOOKUP($G322,融外自投!$A:$J,9,0),"無")</f>
        <v>365</v>
      </c>
      <c r="Q322" s="342">
        <f>IFERROR(VLOOKUP($G322,融外自投!$A:$J,8,0),"無")</f>
        <v>124</v>
      </c>
      <c r="R322" s="81">
        <f>IFERROR(VLOOKUP($G322,融外自投!$A:$J,10,0),"無")</f>
        <v>7</v>
      </c>
      <c r="S322" s="324">
        <f>IFERROR(VLOOKUP($G322,'321買'!$A:$E,5,0),"'沒有資料'")</f>
        <v>0</v>
      </c>
      <c r="T322" s="65">
        <v>1.3</v>
      </c>
      <c r="U322" s="308"/>
      <c r="V322" s="39">
        <f t="shared" si="118"/>
        <v>1.9145802650957288E-2</v>
      </c>
      <c r="W322" s="165">
        <v>67.900000000000006</v>
      </c>
      <c r="X322" s="65">
        <v>70.400000000000006</v>
      </c>
      <c r="Y322" s="162">
        <f t="shared" si="120"/>
        <v>-2.5</v>
      </c>
      <c r="Z322" s="164">
        <f t="shared" si="121"/>
        <v>-3.5511363636363633E-2</v>
      </c>
      <c r="AA322" s="168" t="s">
        <v>3163</v>
      </c>
      <c r="AB322" s="376"/>
      <c r="AC322" s="153" t="s">
        <v>117</v>
      </c>
      <c r="AD322" s="84">
        <v>44217</v>
      </c>
      <c r="AE322" s="83">
        <v>44287</v>
      </c>
      <c r="AF322" s="33">
        <f t="shared" si="119"/>
        <v>70</v>
      </c>
      <c r="AG322" s="41" t="s">
        <v>2152</v>
      </c>
    </row>
    <row r="323" spans="1:35" s="248" customFormat="1">
      <c r="A323" s="142" t="s">
        <v>1674</v>
      </c>
      <c r="B323" s="79">
        <v>121</v>
      </c>
      <c r="C323" s="79">
        <v>196</v>
      </c>
      <c r="D323" s="79">
        <v>0</v>
      </c>
      <c r="E323" s="79">
        <v>0</v>
      </c>
      <c r="F323" s="6">
        <v>7.48</v>
      </c>
      <c r="G323" s="79">
        <v>3017</v>
      </c>
      <c r="H323" s="30" t="s">
        <v>1461</v>
      </c>
      <c r="I323" s="153" t="s">
        <v>117</v>
      </c>
      <c r="J323" s="8">
        <f>IFERROR(VLOOKUP($G323,今日總結!$A:$AN,33,0),"")</f>
        <v>1</v>
      </c>
      <c r="K323" s="5">
        <f>IFERROR(VLOOKUP($G323,今日總結!$A:$AN,34,0),"")</f>
        <v>0</v>
      </c>
      <c r="L323" s="156">
        <f>IFERROR(VLOOKUP($G323,今日總結!$A:$AN,31,0),"")</f>
        <v>0</v>
      </c>
      <c r="M323" s="337">
        <f>IFERROR(VLOOKUP($G323,今日總結!$A:$AN,32,0),"")</f>
        <v>1</v>
      </c>
      <c r="N323" s="240">
        <f t="shared" si="98"/>
        <v>-1</v>
      </c>
      <c r="O323" s="359">
        <f>IFERROR(VLOOKUP($G323,融外自投!$A:$J,7,0),"無")</f>
        <v>507</v>
      </c>
      <c r="P323" s="79">
        <f>IFERROR(VLOOKUP($G323,融外自投!$A:$J,9,0),"無")</f>
        <v>365</v>
      </c>
      <c r="Q323" s="342">
        <f>IFERROR(VLOOKUP($G323,融外自投!$A:$J,8,0),"無")</f>
        <v>124</v>
      </c>
      <c r="R323" s="81">
        <f>IFERROR(VLOOKUP($G323,融外自投!$A:$J,10,0),"無")</f>
        <v>7</v>
      </c>
      <c r="S323" s="324">
        <f>IFERROR(VLOOKUP($G323,'321買'!$A:$E,5,0),"'沒有資料'")</f>
        <v>0</v>
      </c>
      <c r="T323" s="65">
        <v>1.3</v>
      </c>
      <c r="U323" s="308"/>
      <c r="V323" s="39">
        <f t="shared" si="118"/>
        <v>1.9117647058823531E-2</v>
      </c>
      <c r="W323" s="165">
        <v>68</v>
      </c>
      <c r="X323" s="65">
        <v>74.7</v>
      </c>
      <c r="Y323" s="162">
        <f t="shared" si="120"/>
        <v>-6.7000000000000028</v>
      </c>
      <c r="Z323" s="164">
        <f t="shared" si="121"/>
        <v>-8.9692101740294544E-2</v>
      </c>
      <c r="AA323" s="168" t="s">
        <v>3164</v>
      </c>
      <c r="AB323" s="376"/>
      <c r="AC323" s="153" t="s">
        <v>117</v>
      </c>
      <c r="AD323" s="84">
        <v>44211</v>
      </c>
      <c r="AE323" s="83">
        <v>44287</v>
      </c>
      <c r="AF323" s="33">
        <f t="shared" si="119"/>
        <v>76</v>
      </c>
      <c r="AG323" s="41" t="s">
        <v>2152</v>
      </c>
    </row>
    <row r="324" spans="1:35" s="248" customFormat="1">
      <c r="A324" s="127" t="s">
        <v>1669</v>
      </c>
      <c r="B324" s="79">
        <v>849</v>
      </c>
      <c r="C324" s="79">
        <v>654</v>
      </c>
      <c r="D324" s="80">
        <v>-1</v>
      </c>
      <c r="E324" s="79">
        <v>75</v>
      </c>
      <c r="F324" s="57">
        <v>24.22</v>
      </c>
      <c r="G324" s="80">
        <v>3374</v>
      </c>
      <c r="H324" s="30" t="s">
        <v>1461</v>
      </c>
      <c r="I324" s="166" t="s">
        <v>167</v>
      </c>
      <c r="J324" s="8">
        <f>IFERROR(VLOOKUP($G324,今日總結!$A:$AN,33,0),"")</f>
        <v>0</v>
      </c>
      <c r="K324" s="5">
        <f>IFERROR(VLOOKUP($G324,今日總結!$A:$AN,34,0),"")</f>
        <v>0</v>
      </c>
      <c r="L324" s="156">
        <f>IFERROR(VLOOKUP($G324,今日總結!$A:$AN,31,0),"")</f>
        <v>3</v>
      </c>
      <c r="M324" s="337">
        <f>IFERROR(VLOOKUP($G324,今日總結!$A:$AN,32,0),"")</f>
        <v>0</v>
      </c>
      <c r="N324" s="240">
        <f t="shared" si="98"/>
        <v>3</v>
      </c>
      <c r="O324" s="359">
        <f>IFERROR(VLOOKUP($G324,融外自投!$A:$J,7,0),"無")</f>
        <v>303</v>
      </c>
      <c r="P324" s="79">
        <f>IFERROR(VLOOKUP($G324,融外自投!$A:$J,9,0),"無")</f>
        <v>204</v>
      </c>
      <c r="Q324" s="342">
        <f>IFERROR(VLOOKUP($G324,融外自投!$A:$J,8,0),"無")</f>
        <v>689</v>
      </c>
      <c r="R324" s="81">
        <f>IFERROR(VLOOKUP($G324,融外自投!$A:$J,10,0),"無")</f>
        <v>71</v>
      </c>
      <c r="S324" s="324">
        <f>IFERROR(VLOOKUP($G324,'321買'!$A:$E,5,0),"'沒有資料'")</f>
        <v>0</v>
      </c>
      <c r="T324" s="105">
        <v>0</v>
      </c>
      <c r="U324" s="308"/>
      <c r="V324" s="94">
        <f t="shared" si="118"/>
        <v>0</v>
      </c>
      <c r="W324" s="161">
        <v>179.5</v>
      </c>
      <c r="X324" s="155">
        <v>173</v>
      </c>
      <c r="Y324" s="162">
        <f t="shared" si="120"/>
        <v>6.5</v>
      </c>
      <c r="Z324" s="158">
        <f t="shared" si="121"/>
        <v>3.7572254335260118E-2</v>
      </c>
      <c r="AA324" s="167" t="s">
        <v>2945</v>
      </c>
      <c r="AB324" s="376"/>
      <c r="AC324" s="166" t="s">
        <v>167</v>
      </c>
      <c r="AD324" s="84">
        <v>44259</v>
      </c>
      <c r="AE324" s="83">
        <v>44287</v>
      </c>
      <c r="AF324" s="33">
        <f t="shared" si="119"/>
        <v>28</v>
      </c>
      <c r="AG324" s="41" t="s">
        <v>1121</v>
      </c>
    </row>
    <row r="325" spans="1:35" s="248" customFormat="1">
      <c r="A325" s="127" t="s">
        <v>1777</v>
      </c>
      <c r="B325" s="79">
        <v>73</v>
      </c>
      <c r="C325" s="79">
        <v>76</v>
      </c>
      <c r="D325" s="80">
        <v>-7</v>
      </c>
      <c r="E325" s="79">
        <v>23</v>
      </c>
      <c r="F325" s="57">
        <v>21.91</v>
      </c>
      <c r="G325" s="80">
        <v>8086</v>
      </c>
      <c r="H325" s="197" t="s">
        <v>3038</v>
      </c>
      <c r="I325" s="166" t="s">
        <v>262</v>
      </c>
      <c r="J325" s="8">
        <f>IFERROR(VLOOKUP($G325,今日總結!$A:$AN,33,0),"")</f>
        <v>0</v>
      </c>
      <c r="K325" s="5">
        <f>IFERROR(VLOOKUP($G325,今日總結!$A:$AN,34,0),"")</f>
        <v>0</v>
      </c>
      <c r="L325" s="156">
        <f>IFERROR(VLOOKUP($G325,今日總結!$A:$AN,31,0),"")</f>
        <v>7</v>
      </c>
      <c r="M325" s="337">
        <f>IFERROR(VLOOKUP($G325,今日總結!$A:$AN,32,0),"")</f>
        <v>1</v>
      </c>
      <c r="N325" s="240">
        <f t="shared" si="98"/>
        <v>6</v>
      </c>
      <c r="O325" s="359">
        <f>IFERROR(VLOOKUP($G325,融外自投!$A:$J,7,0),"無")</f>
        <v>197</v>
      </c>
      <c r="P325" s="79">
        <f>IFERROR(VLOOKUP($G325,融外自投!$A:$J,9,0),"無")</f>
        <v>298</v>
      </c>
      <c r="Q325" s="342">
        <f>IFERROR(VLOOKUP($G325,融外自投!$A:$J,8,0),"無")</f>
        <v>519</v>
      </c>
      <c r="R325" s="81">
        <f>IFERROR(VLOOKUP($G325,融外自投!$A:$J,10,0),"無")</f>
        <v>318</v>
      </c>
      <c r="S325" s="324">
        <f>IFERROR(VLOOKUP($G325,'321買'!$A:$E,5,0),"'沒有資料'")</f>
        <v>0</v>
      </c>
      <c r="T325" s="105">
        <v>1.7</v>
      </c>
      <c r="U325" s="308"/>
      <c r="V325" s="94">
        <f>T325/W325</f>
        <v>1.0862619808306708E-2</v>
      </c>
      <c r="W325" s="161">
        <v>156.5</v>
      </c>
      <c r="X325" s="155">
        <v>154.5</v>
      </c>
      <c r="Y325" s="162">
        <f>W325-X325</f>
        <v>2</v>
      </c>
      <c r="Z325" s="158">
        <f>Y325/X325</f>
        <v>1.2944983818770227E-2</v>
      </c>
      <c r="AA325" s="167" t="s">
        <v>3165</v>
      </c>
      <c r="AB325" s="376"/>
      <c r="AC325" s="166" t="s">
        <v>262</v>
      </c>
      <c r="AD325" s="84">
        <v>44286</v>
      </c>
      <c r="AE325" s="83">
        <v>44287</v>
      </c>
      <c r="AF325" s="33">
        <f>AE325-AD325</f>
        <v>1</v>
      </c>
      <c r="AG325" s="41" t="s">
        <v>1121</v>
      </c>
    </row>
    <row r="326" spans="1:35" s="248" customFormat="1">
      <c r="A326" s="127" t="s">
        <v>1777</v>
      </c>
      <c r="B326" s="79">
        <v>73</v>
      </c>
      <c r="C326" s="79">
        <v>76</v>
      </c>
      <c r="D326" s="80">
        <v>-7</v>
      </c>
      <c r="E326" s="79">
        <v>23</v>
      </c>
      <c r="F326" s="57">
        <v>21.91</v>
      </c>
      <c r="G326" s="80">
        <v>8086</v>
      </c>
      <c r="H326" s="197" t="s">
        <v>3038</v>
      </c>
      <c r="I326" s="166" t="s">
        <v>262</v>
      </c>
      <c r="J326" s="8">
        <f>IFERROR(VLOOKUP($G326,今日總結!$A:$AN,33,0),"")</f>
        <v>0</v>
      </c>
      <c r="K326" s="5">
        <f>IFERROR(VLOOKUP($G326,今日總結!$A:$AN,34,0),"")</f>
        <v>0</v>
      </c>
      <c r="L326" s="156">
        <f>IFERROR(VLOOKUP($G326,今日總結!$A:$AN,31,0),"")</f>
        <v>7</v>
      </c>
      <c r="M326" s="337">
        <f>IFERROR(VLOOKUP($G326,今日總結!$A:$AN,32,0),"")</f>
        <v>1</v>
      </c>
      <c r="N326" s="240">
        <f t="shared" si="98"/>
        <v>6</v>
      </c>
      <c r="O326" s="359">
        <f>IFERROR(VLOOKUP($G326,融外自投!$A:$J,7,0),"無")</f>
        <v>197</v>
      </c>
      <c r="P326" s="79">
        <f>IFERROR(VLOOKUP($G326,融外自投!$A:$J,9,0),"無")</f>
        <v>298</v>
      </c>
      <c r="Q326" s="342">
        <f>IFERROR(VLOOKUP($G326,融外自投!$A:$J,8,0),"無")</f>
        <v>519</v>
      </c>
      <c r="R326" s="81">
        <f>IFERROR(VLOOKUP($G326,融外自投!$A:$J,10,0),"無")</f>
        <v>318</v>
      </c>
      <c r="S326" s="324">
        <f>IFERROR(VLOOKUP($G326,'321買'!$A:$E,5,0),"'沒有資料'")</f>
        <v>0</v>
      </c>
      <c r="T326" s="105">
        <v>1.7</v>
      </c>
      <c r="U326" s="308"/>
      <c r="V326" s="94">
        <f>T326/W326</f>
        <v>1.0862619808306708E-2</v>
      </c>
      <c r="W326" s="161">
        <v>156.5</v>
      </c>
      <c r="X326" s="155">
        <v>154.5</v>
      </c>
      <c r="Y326" s="162">
        <f>W326-X326</f>
        <v>2</v>
      </c>
      <c r="Z326" s="158">
        <f>Y326/X326</f>
        <v>1.2944983818770227E-2</v>
      </c>
      <c r="AA326" s="167" t="s">
        <v>3165</v>
      </c>
      <c r="AB326" s="376"/>
      <c r="AC326" s="166" t="s">
        <v>262</v>
      </c>
      <c r="AD326" s="84">
        <v>44286</v>
      </c>
      <c r="AE326" s="83">
        <v>44287</v>
      </c>
      <c r="AF326" s="33">
        <f>AE326-AD326</f>
        <v>1</v>
      </c>
      <c r="AG326" s="41" t="s">
        <v>1121</v>
      </c>
    </row>
    <row r="327" spans="1:35" s="248" customFormat="1">
      <c r="A327" s="142"/>
      <c r="B327" s="79"/>
      <c r="C327" s="80"/>
      <c r="D327" s="79"/>
      <c r="E327" s="79"/>
      <c r="F327" s="6"/>
      <c r="G327" s="41"/>
      <c r="H327" s="30"/>
      <c r="I327" s="166"/>
      <c r="J327" s="8"/>
      <c r="K327" s="5"/>
      <c r="L327" s="156"/>
      <c r="M327" s="337"/>
      <c r="N327" s="240"/>
      <c r="O327" s="359"/>
      <c r="P327" s="47"/>
      <c r="Q327" s="342"/>
      <c r="R327" s="81"/>
      <c r="S327" s="319"/>
      <c r="T327" s="185"/>
      <c r="U327" s="308"/>
      <c r="V327" s="94"/>
      <c r="W327" s="161">
        <f>SUM(W266:W326)</f>
        <v>4124</v>
      </c>
      <c r="X327" s="65">
        <f>SUM(X266:X326)</f>
        <v>3941</v>
      </c>
      <c r="Y327" s="162">
        <f>SUM(Y266:Y326)</f>
        <v>183</v>
      </c>
      <c r="Z327" s="158">
        <f>Y327/X327</f>
        <v>4.6434914996193857E-2</v>
      </c>
      <c r="AA327" s="167"/>
      <c r="AB327" s="376"/>
      <c r="AC327" s="153">
        <f>W327*(0.001425*0.65)+W327*0.003+X327*(0.001425*0.65)</f>
        <v>19.84220625</v>
      </c>
      <c r="AD327" s="6">
        <f>Y327-AC327</f>
        <v>163.15779375</v>
      </c>
      <c r="AE327" s="83"/>
      <c r="AF327" s="116"/>
      <c r="AG327" s="41"/>
    </row>
    <row r="328" spans="1:35" s="255" customFormat="1">
      <c r="A328" s="127"/>
      <c r="B328" s="90"/>
      <c r="C328" s="90"/>
      <c r="D328" s="90"/>
      <c r="E328" s="90"/>
      <c r="F328" s="8"/>
      <c r="G328" s="25"/>
      <c r="H328" s="55"/>
      <c r="I328" s="1"/>
      <c r="J328" s="8"/>
      <c r="K328" s="5"/>
      <c r="L328" s="156"/>
      <c r="M328" s="337"/>
      <c r="N328" s="240"/>
      <c r="O328" s="359"/>
      <c r="P328" s="47"/>
      <c r="Q328" s="342"/>
      <c r="R328" s="81"/>
      <c r="S328" s="318"/>
      <c r="T328" s="14"/>
      <c r="U328" s="308"/>
      <c r="V328" s="28"/>
      <c r="W328" s="28"/>
      <c r="X328" s="17"/>
      <c r="Y328" s="14"/>
      <c r="Z328" s="21"/>
      <c r="AA328" s="25"/>
      <c r="AB328" s="376"/>
      <c r="AC328" s="227">
        <f>W327*(0.001425*0.28)+W327*0.003+X327*(0.001425*0.28)</f>
        <v>15.589935000000001</v>
      </c>
      <c r="AD328" s="71"/>
      <c r="AE328" s="72"/>
      <c r="AF328" s="32"/>
      <c r="AG328" s="46"/>
      <c r="AH328" s="163"/>
    </row>
    <row r="329" spans="1:35" s="255" customFormat="1">
      <c r="A329" s="127"/>
      <c r="B329" s="90"/>
      <c r="C329" s="90"/>
      <c r="D329" s="90"/>
      <c r="E329" s="90"/>
      <c r="F329" s="8"/>
      <c r="G329" s="25"/>
      <c r="H329" s="55"/>
      <c r="I329" s="1"/>
      <c r="J329" s="1"/>
      <c r="K329" s="1"/>
      <c r="L329" s="123"/>
      <c r="M329" s="234"/>
      <c r="N329" s="338"/>
      <c r="O329" s="359"/>
      <c r="P329" s="47"/>
      <c r="Q329" s="342"/>
      <c r="R329" s="300"/>
      <c r="S329" s="318"/>
      <c r="T329" s="14"/>
      <c r="U329" s="308"/>
      <c r="V329" s="28"/>
      <c r="W329" s="28"/>
      <c r="X329" s="17"/>
      <c r="Y329" s="14"/>
      <c r="Z329" s="21"/>
      <c r="AA329" s="25"/>
      <c r="AB329" s="376"/>
      <c r="AC329" s="153"/>
      <c r="AD329" s="71"/>
      <c r="AE329" s="72"/>
      <c r="AF329" s="32"/>
      <c r="AG329" s="46"/>
      <c r="AH329" s="163"/>
    </row>
    <row r="330" spans="1:35" s="255" customFormat="1">
      <c r="A330" s="127" t="s">
        <v>1672</v>
      </c>
      <c r="B330" s="90" t="s">
        <v>1571</v>
      </c>
      <c r="C330" s="90" t="s">
        <v>1572</v>
      </c>
      <c r="D330" s="90" t="s">
        <v>1573</v>
      </c>
      <c r="E330" s="90" t="s">
        <v>1574</v>
      </c>
      <c r="F330" s="8" t="s">
        <v>1059</v>
      </c>
      <c r="G330" s="26" t="s">
        <v>3441</v>
      </c>
      <c r="H330" s="55" t="s">
        <v>2151</v>
      </c>
      <c r="I330" s="1" t="s">
        <v>69</v>
      </c>
      <c r="J330" s="8" t="s">
        <v>3541</v>
      </c>
      <c r="K330" s="8" t="s">
        <v>3541</v>
      </c>
      <c r="L330" s="334" t="s">
        <v>6197</v>
      </c>
      <c r="M330" s="335" t="s">
        <v>6198</v>
      </c>
      <c r="N330" s="336" t="s">
        <v>6199</v>
      </c>
      <c r="O330" s="89" t="s">
        <v>4718</v>
      </c>
      <c r="P330" s="292" t="s">
        <v>3543</v>
      </c>
      <c r="Q330" s="350" t="s">
        <v>3542</v>
      </c>
      <c r="R330" s="26" t="s">
        <v>3544</v>
      </c>
      <c r="S330" s="318" t="s">
        <v>4715</v>
      </c>
      <c r="T330" s="14" t="s">
        <v>66</v>
      </c>
      <c r="U330" s="305" t="s">
        <v>4728</v>
      </c>
      <c r="V330" s="68" t="s">
        <v>6277</v>
      </c>
      <c r="W330" s="28" t="s">
        <v>6278</v>
      </c>
      <c r="X330" s="17" t="s">
        <v>1398</v>
      </c>
      <c r="Y330" s="14" t="s">
        <v>2249</v>
      </c>
      <c r="Z330" s="21" t="s">
        <v>3</v>
      </c>
      <c r="AA330" s="51" t="s">
        <v>6166</v>
      </c>
      <c r="AB330" s="102" t="s">
        <v>6404</v>
      </c>
      <c r="AC330" s="1" t="s">
        <v>69</v>
      </c>
      <c r="AD330" s="71" t="s">
        <v>1399</v>
      </c>
      <c r="AE330" s="72" t="s">
        <v>1156</v>
      </c>
      <c r="AF330" s="32" t="s">
        <v>1157</v>
      </c>
      <c r="AG330" s="46" t="s">
        <v>3116</v>
      </c>
      <c r="AH330" s="163"/>
    </row>
    <row r="331" spans="1:35" s="248" customFormat="1">
      <c r="A331" s="127" t="s">
        <v>3117</v>
      </c>
      <c r="B331" s="79">
        <v>151</v>
      </c>
      <c r="C331" s="79">
        <v>181</v>
      </c>
      <c r="D331" s="80">
        <v>-38</v>
      </c>
      <c r="E331" s="80">
        <v>-29</v>
      </c>
      <c r="F331" s="57">
        <v>11.29</v>
      </c>
      <c r="G331" s="80">
        <v>5457</v>
      </c>
      <c r="H331" s="30" t="s">
        <v>3119</v>
      </c>
      <c r="I331" s="166" t="s">
        <v>3118</v>
      </c>
      <c r="J331" s="8">
        <f>IFERROR(VLOOKUP($G331,今日總結!$A:$AN,33,0),"")</f>
        <v>6</v>
      </c>
      <c r="K331" s="5">
        <f>IFERROR(VLOOKUP($G331,今日總結!$A:$AN,34,0),"")</f>
        <v>0</v>
      </c>
      <c r="L331" s="156">
        <f>IFERROR(VLOOKUP($G331,今日總結!$A:$AN,31,0),"")</f>
        <v>0</v>
      </c>
      <c r="M331" s="337">
        <f>IFERROR(VLOOKUP($G331,今日總結!$A:$AN,32,0),"")</f>
        <v>1</v>
      </c>
      <c r="N331" s="240">
        <f t="shared" ref="N331" si="122">IFERROR(L331-M331,"")</f>
        <v>-1</v>
      </c>
      <c r="O331" s="359">
        <f>IFERROR(VLOOKUP($G331,融外自投!$A:$J,7,0),"無")</f>
        <v>277</v>
      </c>
      <c r="P331" s="79">
        <f>IFERROR(VLOOKUP($G331,融外自投!$A:$J,9,0),"無")</f>
        <v>584</v>
      </c>
      <c r="Q331" s="342">
        <f>IFERROR(VLOOKUP($G331,融外自投!$A:$J,8,0),"無")</f>
        <v>131</v>
      </c>
      <c r="R331" s="81">
        <f>IFERROR(VLOOKUP($G331,融外自投!$A:$J,10,0),"無")</f>
        <v>170</v>
      </c>
      <c r="S331" s="324">
        <f>IFERROR(VLOOKUP($G331,'321買'!$A:$E,5,0),"'沒有資料'")</f>
        <v>0</v>
      </c>
      <c r="T331" s="185">
        <v>0.5</v>
      </c>
      <c r="U331" s="308"/>
      <c r="V331" s="57">
        <f t="shared" ref="V331:V345" si="123">T331/W331</f>
        <v>5.6433408577878106E-3</v>
      </c>
      <c r="W331" s="165">
        <v>88.6</v>
      </c>
      <c r="X331" s="65">
        <v>79</v>
      </c>
      <c r="Y331" s="162">
        <f>W331-X331</f>
        <v>9.5999999999999943</v>
      </c>
      <c r="Z331" s="158">
        <f>Y331/X331</f>
        <v>0.12151898734177208</v>
      </c>
      <c r="AA331" s="167" t="s">
        <v>3166</v>
      </c>
      <c r="AB331" s="376"/>
      <c r="AC331" s="166" t="s">
        <v>3118</v>
      </c>
      <c r="AD331" s="84">
        <v>44284</v>
      </c>
      <c r="AE331" s="83">
        <v>44286</v>
      </c>
      <c r="AF331" s="33">
        <f>AE331-AD331</f>
        <v>2</v>
      </c>
      <c r="AG331" s="41" t="s">
        <v>3120</v>
      </c>
      <c r="AH331" s="163"/>
    </row>
    <row r="332" spans="1:35" s="248" customFormat="1">
      <c r="A332" s="127" t="s">
        <v>3121</v>
      </c>
      <c r="B332" s="79">
        <v>73</v>
      </c>
      <c r="C332" s="79">
        <v>76</v>
      </c>
      <c r="D332" s="80">
        <v>-7</v>
      </c>
      <c r="E332" s="79">
        <v>23</v>
      </c>
      <c r="F332" s="57">
        <v>21.91</v>
      </c>
      <c r="G332" s="80">
        <v>8086</v>
      </c>
      <c r="H332" s="30" t="s">
        <v>3119</v>
      </c>
      <c r="I332" s="166" t="s">
        <v>3114</v>
      </c>
      <c r="J332" s="8">
        <f>IFERROR(VLOOKUP($G332,今日總結!$A:$AN,33,0),"")</f>
        <v>0</v>
      </c>
      <c r="K332" s="5">
        <f>IFERROR(VLOOKUP($G332,今日總結!$A:$AN,34,0),"")</f>
        <v>0</v>
      </c>
      <c r="L332" s="156">
        <f>IFERROR(VLOOKUP($G332,今日總結!$A:$AN,31,0),"")</f>
        <v>7</v>
      </c>
      <c r="M332" s="337">
        <f>IFERROR(VLOOKUP($G332,今日總結!$A:$AN,32,0),"")</f>
        <v>1</v>
      </c>
      <c r="N332" s="240">
        <f t="shared" ref="N332:N356" si="124">IFERROR(L332-M332,"")</f>
        <v>6</v>
      </c>
      <c r="O332" s="359">
        <f>IFERROR(VLOOKUP($G332,融外自投!$A:$J,7,0),"無")</f>
        <v>197</v>
      </c>
      <c r="P332" s="79">
        <f>IFERROR(VLOOKUP($G332,融外自投!$A:$J,9,0),"無")</f>
        <v>298</v>
      </c>
      <c r="Q332" s="342">
        <f>IFERROR(VLOOKUP($G332,融外自投!$A:$J,8,0),"無")</f>
        <v>519</v>
      </c>
      <c r="R332" s="81">
        <f>IFERROR(VLOOKUP($G332,融外自投!$A:$J,10,0),"無")</f>
        <v>318</v>
      </c>
      <c r="S332" s="324">
        <f>IFERROR(VLOOKUP($G332,'321買'!$A:$E,5,0),"'沒有資料'")</f>
        <v>0</v>
      </c>
      <c r="T332" s="105">
        <v>1.7</v>
      </c>
      <c r="U332" s="308"/>
      <c r="V332" s="94">
        <f t="shared" si="123"/>
        <v>1.1074918566775244E-2</v>
      </c>
      <c r="W332" s="161">
        <v>153.5</v>
      </c>
      <c r="X332" s="155">
        <v>142.5</v>
      </c>
      <c r="Y332" s="162">
        <f>W332-X332</f>
        <v>11</v>
      </c>
      <c r="Z332" s="158">
        <f>Y332/X332</f>
        <v>7.7192982456140355E-2</v>
      </c>
      <c r="AA332" s="167" t="s">
        <v>3167</v>
      </c>
      <c r="AB332" s="376"/>
      <c r="AC332" s="166" t="s">
        <v>3114</v>
      </c>
      <c r="AD332" s="84">
        <v>44277</v>
      </c>
      <c r="AE332" s="83">
        <v>44286</v>
      </c>
      <c r="AF332" s="33">
        <f t="shared" ref="AF332:AF356" si="125">AE332-AD332</f>
        <v>9</v>
      </c>
      <c r="AG332" s="41" t="s">
        <v>3109</v>
      </c>
    </row>
    <row r="333" spans="1:35" s="248" customFormat="1">
      <c r="A333" s="127" t="s">
        <v>3121</v>
      </c>
      <c r="B333" s="79">
        <v>73</v>
      </c>
      <c r="C333" s="79">
        <v>76</v>
      </c>
      <c r="D333" s="80">
        <v>-7</v>
      </c>
      <c r="E333" s="79">
        <v>23</v>
      </c>
      <c r="F333" s="57">
        <v>21.91</v>
      </c>
      <c r="G333" s="80">
        <v>8086</v>
      </c>
      <c r="H333" s="30" t="s">
        <v>3119</v>
      </c>
      <c r="I333" s="166" t="s">
        <v>3114</v>
      </c>
      <c r="J333" s="8">
        <f>IFERROR(VLOOKUP($G333,今日總結!$A:$AN,33,0),"")</f>
        <v>0</v>
      </c>
      <c r="K333" s="5">
        <f>IFERROR(VLOOKUP($G333,今日總結!$A:$AN,34,0),"")</f>
        <v>0</v>
      </c>
      <c r="L333" s="156">
        <f>IFERROR(VLOOKUP($G333,今日總結!$A:$AN,31,0),"")</f>
        <v>7</v>
      </c>
      <c r="M333" s="337">
        <f>IFERROR(VLOOKUP($G333,今日總結!$A:$AN,32,0),"")</f>
        <v>1</v>
      </c>
      <c r="N333" s="240">
        <f t="shared" si="124"/>
        <v>6</v>
      </c>
      <c r="O333" s="359">
        <f>IFERROR(VLOOKUP($G333,融外自投!$A:$J,7,0),"無")</f>
        <v>197</v>
      </c>
      <c r="P333" s="79">
        <f>IFERROR(VLOOKUP($G333,融外自投!$A:$J,9,0),"無")</f>
        <v>298</v>
      </c>
      <c r="Q333" s="342">
        <f>IFERROR(VLOOKUP($G333,融外自投!$A:$J,8,0),"無")</f>
        <v>519</v>
      </c>
      <c r="R333" s="81">
        <f>IFERROR(VLOOKUP($G333,融外自投!$A:$J,10,0),"無")</f>
        <v>318</v>
      </c>
      <c r="S333" s="324">
        <f>IFERROR(VLOOKUP($G333,'321買'!$A:$E,5,0),"'沒有資料'")</f>
        <v>0</v>
      </c>
      <c r="T333" s="105">
        <v>1.7</v>
      </c>
      <c r="U333" s="308"/>
      <c r="V333" s="94">
        <f t="shared" si="123"/>
        <v>1.1074918566775244E-2</v>
      </c>
      <c r="W333" s="161">
        <v>153.5</v>
      </c>
      <c r="X333" s="155">
        <v>147</v>
      </c>
      <c r="Y333" s="162">
        <f>W333-X333</f>
        <v>6.5</v>
      </c>
      <c r="Z333" s="158">
        <f>Y333/X333</f>
        <v>4.4217687074829932E-2</v>
      </c>
      <c r="AA333" s="167" t="s">
        <v>1913</v>
      </c>
      <c r="AB333" s="376"/>
      <c r="AC333" s="166" t="s">
        <v>3114</v>
      </c>
      <c r="AD333" s="84">
        <v>44273</v>
      </c>
      <c r="AE333" s="83">
        <v>44286</v>
      </c>
      <c r="AF333" s="33">
        <f t="shared" si="125"/>
        <v>13</v>
      </c>
      <c r="AG333" s="41" t="s">
        <v>3109</v>
      </c>
    </row>
    <row r="334" spans="1:35" s="248" customFormat="1">
      <c r="A334" s="127" t="s">
        <v>3112</v>
      </c>
      <c r="B334" s="79">
        <v>7</v>
      </c>
      <c r="C334" s="79">
        <v>9</v>
      </c>
      <c r="D334" s="80">
        <v>-8</v>
      </c>
      <c r="E334" s="79">
        <v>8</v>
      </c>
      <c r="F334" s="57">
        <v>13.36</v>
      </c>
      <c r="G334" s="80">
        <v>6274</v>
      </c>
      <c r="H334" s="30" t="s">
        <v>3119</v>
      </c>
      <c r="I334" s="166" t="s">
        <v>3113</v>
      </c>
      <c r="J334" s="8">
        <f>IFERROR(VLOOKUP($G334,今日總結!$A:$AN,33,0),"")</f>
        <v>0</v>
      </c>
      <c r="K334" s="5">
        <f>IFERROR(VLOOKUP($G334,今日總結!$A:$AN,34,0),"")</f>
        <v>0</v>
      </c>
      <c r="L334" s="156">
        <f>IFERROR(VLOOKUP($G334,今日總結!$A:$AN,31,0),"")</f>
        <v>2</v>
      </c>
      <c r="M334" s="337">
        <f>IFERROR(VLOOKUP($G334,今日總結!$A:$AN,32,0),"")</f>
        <v>0</v>
      </c>
      <c r="N334" s="240">
        <f t="shared" si="124"/>
        <v>2</v>
      </c>
      <c r="O334" s="359">
        <f>IFERROR(VLOOKUP($G334,融外自投!$A:$J,7,0),"無")</f>
        <v>791</v>
      </c>
      <c r="P334" s="79">
        <f>IFERROR(VLOOKUP($G334,融外自投!$A:$J,9,0),"無")</f>
        <v>348</v>
      </c>
      <c r="Q334" s="342">
        <f>IFERROR(VLOOKUP($G334,融外自投!$A:$J,8,0),"無")</f>
        <v>139</v>
      </c>
      <c r="R334" s="81">
        <f>IFERROR(VLOOKUP($G334,融外自投!$A:$J,10,0),"無")</f>
        <v>150</v>
      </c>
      <c r="S334" s="324">
        <f>IFERROR(VLOOKUP($G334,'321買'!$A:$E,5,0),"'沒有資料'")</f>
        <v>0</v>
      </c>
      <c r="T334" s="185">
        <v>4.5999999999999996</v>
      </c>
      <c r="U334" s="308"/>
      <c r="V334" s="57">
        <f t="shared" si="123"/>
        <v>3.9316239316239315E-2</v>
      </c>
      <c r="W334" s="165">
        <v>117</v>
      </c>
      <c r="X334" s="65">
        <v>113</v>
      </c>
      <c r="Y334" s="162">
        <f t="shared" ref="Y334:Y356" si="126">W334-X334</f>
        <v>4</v>
      </c>
      <c r="Z334" s="158">
        <f t="shared" ref="Z334:Z356" si="127">Y334/X334</f>
        <v>3.5398230088495575E-2</v>
      </c>
      <c r="AA334" s="167" t="s">
        <v>2968</v>
      </c>
      <c r="AB334" s="376"/>
      <c r="AC334" s="166" t="s">
        <v>3113</v>
      </c>
      <c r="AD334" s="84">
        <v>44263</v>
      </c>
      <c r="AE334" s="83">
        <v>44277</v>
      </c>
      <c r="AF334" s="33">
        <f t="shared" si="125"/>
        <v>14</v>
      </c>
      <c r="AG334" s="41" t="s">
        <v>3109</v>
      </c>
    </row>
    <row r="335" spans="1:35" s="248" customFormat="1">
      <c r="A335" s="127" t="s">
        <v>3110</v>
      </c>
      <c r="B335" s="80">
        <v>-10</v>
      </c>
      <c r="C335" s="80">
        <v>-10</v>
      </c>
      <c r="D335" s="80">
        <v>-3</v>
      </c>
      <c r="E335" s="79">
        <v>21</v>
      </c>
      <c r="F335" s="57">
        <v>21.7</v>
      </c>
      <c r="G335" s="79">
        <v>6147</v>
      </c>
      <c r="H335" s="30" t="s">
        <v>3119</v>
      </c>
      <c r="I335" s="166" t="s">
        <v>3111</v>
      </c>
      <c r="J335" s="8">
        <f>IFERROR(VLOOKUP($G335,今日總結!$A:$AN,33,0),"")</f>
        <v>0</v>
      </c>
      <c r="K335" s="5">
        <f>IFERROR(VLOOKUP($G335,今日總結!$A:$AN,34,0),"")</f>
        <v>0</v>
      </c>
      <c r="L335" s="156">
        <f>IFERROR(VLOOKUP($G335,今日總結!$A:$AN,31,0),"")</f>
        <v>1</v>
      </c>
      <c r="M335" s="337">
        <f>IFERROR(VLOOKUP($G335,今日總結!$A:$AN,32,0),"")</f>
        <v>0</v>
      </c>
      <c r="N335" s="240">
        <f t="shared" si="124"/>
        <v>1</v>
      </c>
      <c r="O335" s="359">
        <f>IFERROR(VLOOKUP($G335,融外自投!$A:$J,7,0),"無")</f>
        <v>812</v>
      </c>
      <c r="P335" s="79">
        <f>IFERROR(VLOOKUP($G335,融外自投!$A:$J,9,0),"無")</f>
        <v>294</v>
      </c>
      <c r="Q335" s="342">
        <f>IFERROR(VLOOKUP($G335,融外自投!$A:$J,8,0),"無")</f>
        <v>242</v>
      </c>
      <c r="R335" s="81">
        <f>IFERROR(VLOOKUP($G335,融外自投!$A:$J,10,0),"無")</f>
        <v>90</v>
      </c>
      <c r="S335" s="324">
        <f>IFERROR(VLOOKUP($G335,'321買'!$A:$E,5,0),"'沒有資料'")</f>
        <v>0</v>
      </c>
      <c r="T335" s="185">
        <v>4.2</v>
      </c>
      <c r="U335" s="308"/>
      <c r="V335" s="57">
        <f t="shared" si="123"/>
        <v>5.3984575835475584E-2</v>
      </c>
      <c r="W335" s="165">
        <v>77.8</v>
      </c>
      <c r="X335" s="65">
        <v>72.2</v>
      </c>
      <c r="Y335" s="162">
        <f t="shared" si="126"/>
        <v>5.5999999999999943</v>
      </c>
      <c r="Z335" s="158">
        <f t="shared" si="127"/>
        <v>7.7562326869806006E-2</v>
      </c>
      <c r="AA335" s="167" t="s">
        <v>1883</v>
      </c>
      <c r="AB335" s="376"/>
      <c r="AC335" s="166" t="s">
        <v>3111</v>
      </c>
      <c r="AD335" s="84">
        <v>44266</v>
      </c>
      <c r="AE335" s="83">
        <v>44273</v>
      </c>
      <c r="AF335" s="33">
        <f t="shared" si="125"/>
        <v>7</v>
      </c>
      <c r="AG335" s="41" t="s">
        <v>3109</v>
      </c>
      <c r="AH335" s="180"/>
      <c r="AI335" s="179"/>
    </row>
    <row r="336" spans="1:35" s="248" customFormat="1">
      <c r="A336" s="127" t="s">
        <v>3110</v>
      </c>
      <c r="B336" s="80">
        <v>-10</v>
      </c>
      <c r="C336" s="80">
        <v>-10</v>
      </c>
      <c r="D336" s="80">
        <v>-3</v>
      </c>
      <c r="E336" s="79">
        <v>21</v>
      </c>
      <c r="F336" s="57">
        <v>21.7</v>
      </c>
      <c r="G336" s="79">
        <v>6147</v>
      </c>
      <c r="H336" s="30" t="s">
        <v>3119</v>
      </c>
      <c r="I336" s="166" t="s">
        <v>3111</v>
      </c>
      <c r="J336" s="8">
        <f>IFERROR(VLOOKUP($G336,今日總結!$A:$AN,33,0),"")</f>
        <v>0</v>
      </c>
      <c r="K336" s="5">
        <f>IFERROR(VLOOKUP($G336,今日總結!$A:$AN,34,0),"")</f>
        <v>0</v>
      </c>
      <c r="L336" s="156">
        <f>IFERROR(VLOOKUP($G336,今日總結!$A:$AN,31,0),"")</f>
        <v>1</v>
      </c>
      <c r="M336" s="337">
        <f>IFERROR(VLOOKUP($G336,今日總結!$A:$AN,32,0),"")</f>
        <v>0</v>
      </c>
      <c r="N336" s="240">
        <f t="shared" si="124"/>
        <v>1</v>
      </c>
      <c r="O336" s="359">
        <f>IFERROR(VLOOKUP($G336,融外自投!$A:$J,7,0),"無")</f>
        <v>812</v>
      </c>
      <c r="P336" s="79">
        <f>IFERROR(VLOOKUP($G336,融外自投!$A:$J,9,0),"無")</f>
        <v>294</v>
      </c>
      <c r="Q336" s="342">
        <f>IFERROR(VLOOKUP($G336,融外自投!$A:$J,8,0),"無")</f>
        <v>242</v>
      </c>
      <c r="R336" s="81">
        <f>IFERROR(VLOOKUP($G336,融外自投!$A:$J,10,0),"無")</f>
        <v>90</v>
      </c>
      <c r="S336" s="324">
        <f>IFERROR(VLOOKUP($G336,'321買'!$A:$E,5,0),"'沒有資料'")</f>
        <v>0</v>
      </c>
      <c r="T336" s="185">
        <v>4.2</v>
      </c>
      <c r="U336" s="308"/>
      <c r="V336" s="57">
        <f t="shared" si="123"/>
        <v>5.3984575835475584E-2</v>
      </c>
      <c r="W336" s="165">
        <v>77.8</v>
      </c>
      <c r="X336" s="65">
        <v>72.2</v>
      </c>
      <c r="Y336" s="162">
        <f t="shared" si="126"/>
        <v>5.5999999999999943</v>
      </c>
      <c r="Z336" s="158">
        <f t="shared" si="127"/>
        <v>7.7562326869806006E-2</v>
      </c>
      <c r="AA336" s="167" t="s">
        <v>1883</v>
      </c>
      <c r="AB336" s="376"/>
      <c r="AC336" s="166" t="s">
        <v>3111</v>
      </c>
      <c r="AD336" s="84">
        <v>44266</v>
      </c>
      <c r="AE336" s="83">
        <v>44273</v>
      </c>
      <c r="AF336" s="33">
        <f t="shared" si="125"/>
        <v>7</v>
      </c>
      <c r="AG336" s="41" t="s">
        <v>3109</v>
      </c>
      <c r="AH336" s="180"/>
      <c r="AI336" s="179"/>
    </row>
    <row r="337" spans="1:45" s="248" customFormat="1">
      <c r="A337" s="127" t="s">
        <v>3110</v>
      </c>
      <c r="B337" s="80">
        <v>-10</v>
      </c>
      <c r="C337" s="80">
        <v>-10</v>
      </c>
      <c r="D337" s="80">
        <v>-3</v>
      </c>
      <c r="E337" s="79">
        <v>21</v>
      </c>
      <c r="F337" s="57">
        <v>21.7</v>
      </c>
      <c r="G337" s="79">
        <v>6147</v>
      </c>
      <c r="H337" s="30" t="s">
        <v>3119</v>
      </c>
      <c r="I337" s="166" t="s">
        <v>3111</v>
      </c>
      <c r="J337" s="8">
        <f>IFERROR(VLOOKUP($G337,今日總結!$A:$AN,33,0),"")</f>
        <v>0</v>
      </c>
      <c r="K337" s="5">
        <f>IFERROR(VLOOKUP($G337,今日總結!$A:$AN,34,0),"")</f>
        <v>0</v>
      </c>
      <c r="L337" s="156">
        <f>IFERROR(VLOOKUP($G337,今日總結!$A:$AN,31,0),"")</f>
        <v>1</v>
      </c>
      <c r="M337" s="337">
        <f>IFERROR(VLOOKUP($G337,今日總結!$A:$AN,32,0),"")</f>
        <v>0</v>
      </c>
      <c r="N337" s="240">
        <f t="shared" si="124"/>
        <v>1</v>
      </c>
      <c r="O337" s="359">
        <f>IFERROR(VLOOKUP($G337,融外自投!$A:$J,7,0),"無")</f>
        <v>812</v>
      </c>
      <c r="P337" s="79">
        <f>IFERROR(VLOOKUP($G337,融外自投!$A:$J,9,0),"無")</f>
        <v>294</v>
      </c>
      <c r="Q337" s="342">
        <f>IFERROR(VLOOKUP($G337,融外自投!$A:$J,8,0),"無")</f>
        <v>242</v>
      </c>
      <c r="R337" s="81">
        <f>IFERROR(VLOOKUP($G337,融外自投!$A:$J,10,0),"無")</f>
        <v>90</v>
      </c>
      <c r="S337" s="324">
        <f>IFERROR(VLOOKUP($G337,'321買'!$A:$E,5,0),"'沒有資料'")</f>
        <v>0</v>
      </c>
      <c r="T337" s="185">
        <v>4.2</v>
      </c>
      <c r="U337" s="308"/>
      <c r="V337" s="57">
        <f t="shared" si="123"/>
        <v>5.3984575835475584E-2</v>
      </c>
      <c r="W337" s="165">
        <v>77.8</v>
      </c>
      <c r="X337" s="65">
        <v>71.2</v>
      </c>
      <c r="Y337" s="162">
        <f t="shared" si="126"/>
        <v>6.5999999999999943</v>
      </c>
      <c r="Z337" s="158">
        <f t="shared" si="127"/>
        <v>9.2696629213483067E-2</v>
      </c>
      <c r="AA337" s="167" t="s">
        <v>3122</v>
      </c>
      <c r="AB337" s="376"/>
      <c r="AC337" s="166" t="s">
        <v>3111</v>
      </c>
      <c r="AD337" s="84">
        <v>44265</v>
      </c>
      <c r="AE337" s="83">
        <v>44273</v>
      </c>
      <c r="AF337" s="33">
        <f t="shared" si="125"/>
        <v>8</v>
      </c>
      <c r="AG337" s="41" t="s">
        <v>3109</v>
      </c>
      <c r="AH337" s="180"/>
      <c r="AI337" s="179"/>
    </row>
    <row r="338" spans="1:45" s="248" customFormat="1">
      <c r="A338" s="127" t="s">
        <v>3110</v>
      </c>
      <c r="B338" s="80">
        <v>-10</v>
      </c>
      <c r="C338" s="80">
        <v>-10</v>
      </c>
      <c r="D338" s="80">
        <v>-3</v>
      </c>
      <c r="E338" s="79">
        <v>21</v>
      </c>
      <c r="F338" s="57">
        <v>21.7</v>
      </c>
      <c r="G338" s="79">
        <v>6147</v>
      </c>
      <c r="H338" s="30" t="s">
        <v>3119</v>
      </c>
      <c r="I338" s="166" t="s">
        <v>3111</v>
      </c>
      <c r="J338" s="8">
        <f>IFERROR(VLOOKUP($G338,今日總結!$A:$AN,33,0),"")</f>
        <v>0</v>
      </c>
      <c r="K338" s="5">
        <f>IFERROR(VLOOKUP($G338,今日總結!$A:$AN,34,0),"")</f>
        <v>0</v>
      </c>
      <c r="L338" s="156">
        <f>IFERROR(VLOOKUP($G338,今日總結!$A:$AN,31,0),"")</f>
        <v>1</v>
      </c>
      <c r="M338" s="337">
        <f>IFERROR(VLOOKUP($G338,今日總結!$A:$AN,32,0),"")</f>
        <v>0</v>
      </c>
      <c r="N338" s="240">
        <f t="shared" si="124"/>
        <v>1</v>
      </c>
      <c r="O338" s="359">
        <f>IFERROR(VLOOKUP($G338,融外自投!$A:$J,7,0),"無")</f>
        <v>812</v>
      </c>
      <c r="P338" s="79">
        <f>IFERROR(VLOOKUP($G338,融外自投!$A:$J,9,0),"無")</f>
        <v>294</v>
      </c>
      <c r="Q338" s="342">
        <f>IFERROR(VLOOKUP($G338,融外自投!$A:$J,8,0),"無")</f>
        <v>242</v>
      </c>
      <c r="R338" s="81">
        <f>IFERROR(VLOOKUP($G338,融外自投!$A:$J,10,0),"無")</f>
        <v>90</v>
      </c>
      <c r="S338" s="324">
        <f>IFERROR(VLOOKUP($G338,'321買'!$A:$E,5,0),"'沒有資料'")</f>
        <v>0</v>
      </c>
      <c r="T338" s="185">
        <v>4.2</v>
      </c>
      <c r="U338" s="308"/>
      <c r="V338" s="57">
        <f t="shared" si="123"/>
        <v>5.3984575835475584E-2</v>
      </c>
      <c r="W338" s="165">
        <v>77.8</v>
      </c>
      <c r="X338" s="65">
        <v>71.8</v>
      </c>
      <c r="Y338" s="162">
        <f t="shared" si="126"/>
        <v>6</v>
      </c>
      <c r="Z338" s="158">
        <f t="shared" si="127"/>
        <v>8.3565459610027856E-2</v>
      </c>
      <c r="AA338" s="167" t="s">
        <v>3123</v>
      </c>
      <c r="AB338" s="376"/>
      <c r="AC338" s="166" t="s">
        <v>3111</v>
      </c>
      <c r="AD338" s="84">
        <v>44265</v>
      </c>
      <c r="AE338" s="83">
        <v>44273</v>
      </c>
      <c r="AF338" s="33">
        <f t="shared" si="125"/>
        <v>8</v>
      </c>
      <c r="AG338" s="41" t="s">
        <v>3109</v>
      </c>
      <c r="AH338" s="180"/>
      <c r="AI338" s="179"/>
    </row>
    <row r="339" spans="1:45" s="248" customFormat="1">
      <c r="A339" s="127" t="s">
        <v>3110</v>
      </c>
      <c r="B339" s="80">
        <v>-10</v>
      </c>
      <c r="C339" s="80">
        <v>-10</v>
      </c>
      <c r="D339" s="80">
        <v>-3</v>
      </c>
      <c r="E339" s="79">
        <v>21</v>
      </c>
      <c r="F339" s="57">
        <v>21.7</v>
      </c>
      <c r="G339" s="79">
        <v>6147</v>
      </c>
      <c r="H339" s="30" t="s">
        <v>3119</v>
      </c>
      <c r="I339" s="166" t="s">
        <v>3111</v>
      </c>
      <c r="J339" s="8">
        <f>IFERROR(VLOOKUP($G339,今日總結!$A:$AN,33,0),"")</f>
        <v>0</v>
      </c>
      <c r="K339" s="5">
        <f>IFERROR(VLOOKUP($G339,今日總結!$A:$AN,34,0),"")</f>
        <v>0</v>
      </c>
      <c r="L339" s="156">
        <f>IFERROR(VLOOKUP($G339,今日總結!$A:$AN,31,0),"")</f>
        <v>1</v>
      </c>
      <c r="M339" s="337">
        <f>IFERROR(VLOOKUP($G339,今日總結!$A:$AN,32,0),"")</f>
        <v>0</v>
      </c>
      <c r="N339" s="240">
        <f t="shared" si="124"/>
        <v>1</v>
      </c>
      <c r="O339" s="359">
        <f>IFERROR(VLOOKUP($G339,融外自投!$A:$J,7,0),"無")</f>
        <v>812</v>
      </c>
      <c r="P339" s="79">
        <f>IFERROR(VLOOKUP($G339,融外自投!$A:$J,9,0),"無")</f>
        <v>294</v>
      </c>
      <c r="Q339" s="342">
        <f>IFERROR(VLOOKUP($G339,融外自投!$A:$J,8,0),"無")</f>
        <v>242</v>
      </c>
      <c r="R339" s="81">
        <f>IFERROR(VLOOKUP($G339,融外自投!$A:$J,10,0),"無")</f>
        <v>90</v>
      </c>
      <c r="S339" s="324">
        <f>IFERROR(VLOOKUP($G339,'321買'!$A:$E,5,0),"'沒有資料'")</f>
        <v>0</v>
      </c>
      <c r="T339" s="185">
        <v>4.2</v>
      </c>
      <c r="U339" s="308"/>
      <c r="V339" s="57">
        <f t="shared" si="123"/>
        <v>5.3984575835475584E-2</v>
      </c>
      <c r="W339" s="165">
        <v>77.8</v>
      </c>
      <c r="X339" s="65">
        <v>71.7</v>
      </c>
      <c r="Y339" s="162">
        <f t="shared" si="126"/>
        <v>6.0999999999999943</v>
      </c>
      <c r="Z339" s="158">
        <f t="shared" si="127"/>
        <v>8.5076708507670767E-2</v>
      </c>
      <c r="AA339" s="167" t="s">
        <v>3124</v>
      </c>
      <c r="AB339" s="376"/>
      <c r="AC339" s="166" t="s">
        <v>3111</v>
      </c>
      <c r="AD339" s="84">
        <v>44264</v>
      </c>
      <c r="AE339" s="83">
        <v>44273</v>
      </c>
      <c r="AF339" s="33">
        <f t="shared" si="125"/>
        <v>9</v>
      </c>
      <c r="AG339" s="41" t="s">
        <v>3109</v>
      </c>
      <c r="AH339" s="180"/>
      <c r="AI339" s="179"/>
    </row>
    <row r="340" spans="1:45" s="248" customFormat="1">
      <c r="A340" s="142" t="s">
        <v>3125</v>
      </c>
      <c r="B340" s="79">
        <v>7</v>
      </c>
      <c r="C340" s="79">
        <v>0</v>
      </c>
      <c r="D340" s="80">
        <v>-4</v>
      </c>
      <c r="E340" s="79">
        <v>3</v>
      </c>
      <c r="F340" s="6">
        <v>7.51</v>
      </c>
      <c r="G340" s="79">
        <v>1216</v>
      </c>
      <c r="H340" s="30" t="s">
        <v>3119</v>
      </c>
      <c r="I340" s="153" t="s">
        <v>3126</v>
      </c>
      <c r="J340" s="8">
        <f>IFERROR(VLOOKUP($G340,今日總結!$A:$AN,33,0),"")</f>
        <v>0</v>
      </c>
      <c r="K340" s="5">
        <f>IFERROR(VLOOKUP($G340,今日總結!$A:$AN,34,0),"")</f>
        <v>0</v>
      </c>
      <c r="L340" s="156">
        <f>IFERROR(VLOOKUP($G340,今日總結!$A:$AN,31,0),"")</f>
        <v>0</v>
      </c>
      <c r="M340" s="337">
        <f>IFERROR(VLOOKUP($G340,今日總結!$A:$AN,32,0),"")</f>
        <v>7</v>
      </c>
      <c r="N340" s="240">
        <f t="shared" si="124"/>
        <v>-7</v>
      </c>
      <c r="O340" s="359">
        <f>IFERROR(VLOOKUP($G340,融外自投!$A:$J,7,0),"無")</f>
        <v>1430</v>
      </c>
      <c r="P340" s="79">
        <f>IFERROR(VLOOKUP($G340,融外自投!$A:$J,9,0),"無")</f>
        <v>383</v>
      </c>
      <c r="Q340" s="342">
        <f>IFERROR(VLOOKUP($G340,融外自投!$A:$J,8,0),"無")</f>
        <v>115</v>
      </c>
      <c r="R340" s="81">
        <f>IFERROR(VLOOKUP($G340,融外自投!$A:$J,10,0),"無")</f>
        <v>147</v>
      </c>
      <c r="S340" s="324">
        <f>IFERROR(VLOOKUP($G340,'321買'!$A:$E,5,0),"'沒有資料'")</f>
        <v>0</v>
      </c>
      <c r="T340" s="185">
        <v>2.5</v>
      </c>
      <c r="U340" s="308"/>
      <c r="V340" s="94">
        <f t="shared" si="123"/>
        <v>3.6390101892285295E-2</v>
      </c>
      <c r="W340" s="165">
        <v>68.7</v>
      </c>
      <c r="X340" s="65">
        <v>68.3</v>
      </c>
      <c r="Y340" s="162">
        <f t="shared" si="126"/>
        <v>0.40000000000000568</v>
      </c>
      <c r="Z340" s="158">
        <f t="shared" si="127"/>
        <v>5.8565153733529385E-3</v>
      </c>
      <c r="AA340" s="99" t="s">
        <v>3127</v>
      </c>
      <c r="AB340" s="376"/>
      <c r="AC340" s="153" t="s">
        <v>3126</v>
      </c>
      <c r="AD340" s="84">
        <v>44225</v>
      </c>
      <c r="AE340" s="83">
        <v>44260</v>
      </c>
      <c r="AF340" s="33">
        <f t="shared" si="125"/>
        <v>35</v>
      </c>
      <c r="AG340" s="41" t="s">
        <v>3109</v>
      </c>
      <c r="AH340" s="181"/>
      <c r="AI340" s="179"/>
    </row>
    <row r="341" spans="1:45" s="248" customFormat="1">
      <c r="A341" s="142" t="s">
        <v>3125</v>
      </c>
      <c r="B341" s="79">
        <v>7</v>
      </c>
      <c r="C341" s="79">
        <v>0</v>
      </c>
      <c r="D341" s="80">
        <v>-4</v>
      </c>
      <c r="E341" s="79">
        <v>3</v>
      </c>
      <c r="F341" s="6">
        <v>7.51</v>
      </c>
      <c r="G341" s="79">
        <v>1216</v>
      </c>
      <c r="H341" s="30" t="s">
        <v>3119</v>
      </c>
      <c r="I341" s="153" t="s">
        <v>3126</v>
      </c>
      <c r="J341" s="8">
        <f>IFERROR(VLOOKUP($G341,今日總結!$A:$AN,33,0),"")</f>
        <v>0</v>
      </c>
      <c r="K341" s="5">
        <f>IFERROR(VLOOKUP($G341,今日總結!$A:$AN,34,0),"")</f>
        <v>0</v>
      </c>
      <c r="L341" s="156">
        <f>IFERROR(VLOOKUP($G341,今日總結!$A:$AN,31,0),"")</f>
        <v>0</v>
      </c>
      <c r="M341" s="337">
        <f>IFERROR(VLOOKUP($G341,今日總結!$A:$AN,32,0),"")</f>
        <v>7</v>
      </c>
      <c r="N341" s="240">
        <f t="shared" si="124"/>
        <v>-7</v>
      </c>
      <c r="O341" s="359">
        <f>IFERROR(VLOOKUP($G341,融外自投!$A:$J,7,0),"無")</f>
        <v>1430</v>
      </c>
      <c r="P341" s="79">
        <f>IFERROR(VLOOKUP($G341,融外自投!$A:$J,9,0),"無")</f>
        <v>383</v>
      </c>
      <c r="Q341" s="342">
        <f>IFERROR(VLOOKUP($G341,融外自投!$A:$J,8,0),"無")</f>
        <v>115</v>
      </c>
      <c r="R341" s="81">
        <f>IFERROR(VLOOKUP($G341,融外自投!$A:$J,10,0),"無")</f>
        <v>147</v>
      </c>
      <c r="S341" s="324">
        <f>IFERROR(VLOOKUP($G341,'321買'!$A:$E,5,0),"'沒有資料'")</f>
        <v>0</v>
      </c>
      <c r="T341" s="185">
        <v>2.5</v>
      </c>
      <c r="U341" s="308"/>
      <c r="V341" s="94">
        <f t="shared" si="123"/>
        <v>3.6390101892285295E-2</v>
      </c>
      <c r="W341" s="165">
        <v>68.7</v>
      </c>
      <c r="X341" s="65">
        <v>68.400000000000006</v>
      </c>
      <c r="Y341" s="162">
        <f t="shared" si="126"/>
        <v>0.29999999999999716</v>
      </c>
      <c r="Z341" s="158">
        <f t="shared" si="127"/>
        <v>4.3859649122806599E-3</v>
      </c>
      <c r="AA341" s="99" t="s">
        <v>3128</v>
      </c>
      <c r="AB341" s="376"/>
      <c r="AC341" s="153" t="s">
        <v>3126</v>
      </c>
      <c r="AD341" s="84">
        <v>44225</v>
      </c>
      <c r="AE341" s="83">
        <v>44260</v>
      </c>
      <c r="AF341" s="33">
        <f t="shared" si="125"/>
        <v>35</v>
      </c>
      <c r="AG341" s="41" t="s">
        <v>3109</v>
      </c>
      <c r="AH341" s="181"/>
      <c r="AI341" s="179"/>
    </row>
    <row r="342" spans="1:45" s="248" customFormat="1">
      <c r="A342" s="142" t="s">
        <v>3125</v>
      </c>
      <c r="B342" s="79">
        <v>7</v>
      </c>
      <c r="C342" s="79">
        <v>0</v>
      </c>
      <c r="D342" s="80">
        <v>-4</v>
      </c>
      <c r="E342" s="79">
        <v>3</v>
      </c>
      <c r="F342" s="6">
        <v>7.51</v>
      </c>
      <c r="G342" s="79">
        <v>1216</v>
      </c>
      <c r="H342" s="30" t="s">
        <v>3119</v>
      </c>
      <c r="I342" s="153" t="s">
        <v>3126</v>
      </c>
      <c r="J342" s="8">
        <f>IFERROR(VLOOKUP($G342,今日總結!$A:$AN,33,0),"")</f>
        <v>0</v>
      </c>
      <c r="K342" s="5">
        <f>IFERROR(VLOOKUP($G342,今日總結!$A:$AN,34,0),"")</f>
        <v>0</v>
      </c>
      <c r="L342" s="156">
        <f>IFERROR(VLOOKUP($G342,今日總結!$A:$AN,31,0),"")</f>
        <v>0</v>
      </c>
      <c r="M342" s="337">
        <f>IFERROR(VLOOKUP($G342,今日總結!$A:$AN,32,0),"")</f>
        <v>7</v>
      </c>
      <c r="N342" s="240">
        <f t="shared" si="124"/>
        <v>-7</v>
      </c>
      <c r="O342" s="359">
        <f>IFERROR(VLOOKUP($G342,融外自投!$A:$J,7,0),"無")</f>
        <v>1430</v>
      </c>
      <c r="P342" s="79">
        <f>IFERROR(VLOOKUP($G342,融外自投!$A:$J,9,0),"無")</f>
        <v>383</v>
      </c>
      <c r="Q342" s="342">
        <f>IFERROR(VLOOKUP($G342,融外自投!$A:$J,8,0),"無")</f>
        <v>115</v>
      </c>
      <c r="R342" s="81">
        <f>IFERROR(VLOOKUP($G342,融外自投!$A:$J,10,0),"無")</f>
        <v>147</v>
      </c>
      <c r="S342" s="324">
        <f>IFERROR(VLOOKUP($G342,'321買'!$A:$E,5,0),"'沒有資料'")</f>
        <v>0</v>
      </c>
      <c r="T342" s="185">
        <v>2.5</v>
      </c>
      <c r="U342" s="308"/>
      <c r="V342" s="94">
        <f t="shared" si="123"/>
        <v>3.6390101892285295E-2</v>
      </c>
      <c r="W342" s="165">
        <v>68.7</v>
      </c>
      <c r="X342" s="65">
        <v>68.5</v>
      </c>
      <c r="Y342" s="162">
        <f t="shared" si="126"/>
        <v>0.20000000000000284</v>
      </c>
      <c r="Z342" s="158">
        <f t="shared" si="127"/>
        <v>2.9197080291971217E-3</v>
      </c>
      <c r="AA342" s="99" t="s">
        <v>3129</v>
      </c>
      <c r="AB342" s="376"/>
      <c r="AC342" s="153" t="s">
        <v>3126</v>
      </c>
      <c r="AD342" s="84">
        <v>44225</v>
      </c>
      <c r="AE342" s="83">
        <v>44260</v>
      </c>
      <c r="AF342" s="33">
        <f t="shared" si="125"/>
        <v>35</v>
      </c>
      <c r="AG342" s="41" t="s">
        <v>3109</v>
      </c>
      <c r="AH342" s="181"/>
      <c r="AI342" s="179"/>
    </row>
    <row r="343" spans="1:45" s="248" customFormat="1">
      <c r="A343" s="142" t="s">
        <v>3125</v>
      </c>
      <c r="B343" s="79">
        <v>7</v>
      </c>
      <c r="C343" s="79">
        <v>0</v>
      </c>
      <c r="D343" s="80">
        <v>-4</v>
      </c>
      <c r="E343" s="79">
        <v>3</v>
      </c>
      <c r="F343" s="6">
        <v>7.51</v>
      </c>
      <c r="G343" s="79">
        <v>1216</v>
      </c>
      <c r="H343" s="30" t="s">
        <v>3119</v>
      </c>
      <c r="I343" s="153" t="s">
        <v>3126</v>
      </c>
      <c r="J343" s="8">
        <f>IFERROR(VLOOKUP($G343,今日總結!$A:$AN,33,0),"")</f>
        <v>0</v>
      </c>
      <c r="K343" s="5">
        <f>IFERROR(VLOOKUP($G343,今日總結!$A:$AN,34,0),"")</f>
        <v>0</v>
      </c>
      <c r="L343" s="156">
        <f>IFERROR(VLOOKUP($G343,今日總結!$A:$AN,31,0),"")</f>
        <v>0</v>
      </c>
      <c r="M343" s="337">
        <f>IFERROR(VLOOKUP($G343,今日總結!$A:$AN,32,0),"")</f>
        <v>7</v>
      </c>
      <c r="N343" s="240">
        <f t="shared" si="124"/>
        <v>-7</v>
      </c>
      <c r="O343" s="359">
        <f>IFERROR(VLOOKUP($G343,融外自投!$A:$J,7,0),"無")</f>
        <v>1430</v>
      </c>
      <c r="P343" s="79">
        <f>IFERROR(VLOOKUP($G343,融外自投!$A:$J,9,0),"無")</f>
        <v>383</v>
      </c>
      <c r="Q343" s="342">
        <f>IFERROR(VLOOKUP($G343,融外自投!$A:$J,8,0),"無")</f>
        <v>115</v>
      </c>
      <c r="R343" s="81">
        <f>IFERROR(VLOOKUP($G343,融外自投!$A:$J,10,0),"無")</f>
        <v>147</v>
      </c>
      <c r="S343" s="324">
        <f>IFERROR(VLOOKUP($G343,'321買'!$A:$E,5,0),"'沒有資料'")</f>
        <v>0</v>
      </c>
      <c r="T343" s="185">
        <v>2.5</v>
      </c>
      <c r="U343" s="308"/>
      <c r="V343" s="94">
        <f t="shared" si="123"/>
        <v>3.6390101892285295E-2</v>
      </c>
      <c r="W343" s="165">
        <v>68.7</v>
      </c>
      <c r="X343" s="65">
        <v>68.5</v>
      </c>
      <c r="Y343" s="162">
        <f t="shared" si="126"/>
        <v>0.20000000000000284</v>
      </c>
      <c r="Z343" s="158">
        <f t="shared" si="127"/>
        <v>2.9197080291971217E-3</v>
      </c>
      <c r="AA343" s="99" t="s">
        <v>3129</v>
      </c>
      <c r="AB343" s="376"/>
      <c r="AC343" s="153" t="s">
        <v>3126</v>
      </c>
      <c r="AD343" s="84">
        <v>44225</v>
      </c>
      <c r="AE343" s="83">
        <v>44260</v>
      </c>
      <c r="AF343" s="33">
        <f t="shared" si="125"/>
        <v>35</v>
      </c>
      <c r="AG343" s="41" t="s">
        <v>3109</v>
      </c>
      <c r="AH343" s="181"/>
      <c r="AI343" s="179"/>
    </row>
    <row r="344" spans="1:45" s="248" customFormat="1">
      <c r="A344" s="142" t="s">
        <v>3125</v>
      </c>
      <c r="B344" s="79">
        <v>7</v>
      </c>
      <c r="C344" s="79">
        <v>0</v>
      </c>
      <c r="D344" s="80">
        <v>-4</v>
      </c>
      <c r="E344" s="79">
        <v>3</v>
      </c>
      <c r="F344" s="6">
        <v>7.51</v>
      </c>
      <c r="G344" s="79">
        <v>1216</v>
      </c>
      <c r="H344" s="30" t="s">
        <v>3119</v>
      </c>
      <c r="I344" s="153" t="s">
        <v>3126</v>
      </c>
      <c r="J344" s="8">
        <f>IFERROR(VLOOKUP($G344,今日總結!$A:$AN,33,0),"")</f>
        <v>0</v>
      </c>
      <c r="K344" s="5">
        <f>IFERROR(VLOOKUP($G344,今日總結!$A:$AN,34,0),"")</f>
        <v>0</v>
      </c>
      <c r="L344" s="156">
        <f>IFERROR(VLOOKUP($G344,今日總結!$A:$AN,31,0),"")</f>
        <v>0</v>
      </c>
      <c r="M344" s="337">
        <f>IFERROR(VLOOKUP($G344,今日總結!$A:$AN,32,0),"")</f>
        <v>7</v>
      </c>
      <c r="N344" s="240">
        <f t="shared" si="124"/>
        <v>-7</v>
      </c>
      <c r="O344" s="359">
        <f>IFERROR(VLOOKUP($G344,融外自投!$A:$J,7,0),"無")</f>
        <v>1430</v>
      </c>
      <c r="P344" s="79">
        <f>IFERROR(VLOOKUP($G344,融外自投!$A:$J,9,0),"無")</f>
        <v>383</v>
      </c>
      <c r="Q344" s="342">
        <f>IFERROR(VLOOKUP($G344,融外自投!$A:$J,8,0),"無")</f>
        <v>115</v>
      </c>
      <c r="R344" s="81">
        <f>IFERROR(VLOOKUP($G344,融外自投!$A:$J,10,0),"無")</f>
        <v>147</v>
      </c>
      <c r="S344" s="324">
        <f>IFERROR(VLOOKUP($G344,'321買'!$A:$E,5,0),"'沒有資料'")</f>
        <v>0</v>
      </c>
      <c r="T344" s="185">
        <v>2.5</v>
      </c>
      <c r="U344" s="308"/>
      <c r="V344" s="94">
        <f t="shared" si="123"/>
        <v>3.6390101892285295E-2</v>
      </c>
      <c r="W344" s="165">
        <v>68.7</v>
      </c>
      <c r="X344" s="65">
        <v>68.2</v>
      </c>
      <c r="Y344" s="162">
        <f t="shared" si="126"/>
        <v>0.5</v>
      </c>
      <c r="Z344" s="158">
        <f t="shared" si="127"/>
        <v>7.3313782991202342E-3</v>
      </c>
      <c r="AA344" s="99" t="s">
        <v>3130</v>
      </c>
      <c r="AB344" s="376"/>
      <c r="AC344" s="153" t="s">
        <v>3126</v>
      </c>
      <c r="AD344" s="84">
        <v>44225</v>
      </c>
      <c r="AE344" s="83">
        <v>44260</v>
      </c>
      <c r="AF344" s="33">
        <f t="shared" si="125"/>
        <v>35</v>
      </c>
      <c r="AG344" s="41" t="s">
        <v>3109</v>
      </c>
      <c r="AH344" s="181"/>
      <c r="AI344" s="179"/>
    </row>
    <row r="345" spans="1:45" s="248" customFormat="1">
      <c r="A345" s="142" t="s">
        <v>3125</v>
      </c>
      <c r="B345" s="79">
        <v>7</v>
      </c>
      <c r="C345" s="79">
        <v>0</v>
      </c>
      <c r="D345" s="80">
        <v>-4</v>
      </c>
      <c r="E345" s="79">
        <v>3</v>
      </c>
      <c r="F345" s="6">
        <v>7.51</v>
      </c>
      <c r="G345" s="79">
        <v>1216</v>
      </c>
      <c r="H345" s="30" t="s">
        <v>3119</v>
      </c>
      <c r="I345" s="153" t="s">
        <v>3126</v>
      </c>
      <c r="J345" s="8">
        <f>IFERROR(VLOOKUP($G345,今日總結!$A:$AN,33,0),"")</f>
        <v>0</v>
      </c>
      <c r="K345" s="5">
        <f>IFERROR(VLOOKUP($G345,今日總結!$A:$AN,34,0),"")</f>
        <v>0</v>
      </c>
      <c r="L345" s="156">
        <f>IFERROR(VLOOKUP($G345,今日總結!$A:$AN,31,0),"")</f>
        <v>0</v>
      </c>
      <c r="M345" s="337">
        <f>IFERROR(VLOOKUP($G345,今日總結!$A:$AN,32,0),"")</f>
        <v>7</v>
      </c>
      <c r="N345" s="240">
        <f t="shared" si="124"/>
        <v>-7</v>
      </c>
      <c r="O345" s="359">
        <f>IFERROR(VLOOKUP($G345,融外自投!$A:$J,7,0),"無")</f>
        <v>1430</v>
      </c>
      <c r="P345" s="79">
        <f>IFERROR(VLOOKUP($G345,融外自投!$A:$J,9,0),"無")</f>
        <v>383</v>
      </c>
      <c r="Q345" s="342">
        <f>IFERROR(VLOOKUP($G345,融外自投!$A:$J,8,0),"無")</f>
        <v>115</v>
      </c>
      <c r="R345" s="81">
        <f>IFERROR(VLOOKUP($G345,融外自投!$A:$J,10,0),"無")</f>
        <v>147</v>
      </c>
      <c r="S345" s="324">
        <f>IFERROR(VLOOKUP($G345,'321買'!$A:$E,5,0),"'沒有資料'")</f>
        <v>0</v>
      </c>
      <c r="T345" s="185">
        <v>2.5</v>
      </c>
      <c r="U345" s="308"/>
      <c r="V345" s="94">
        <f t="shared" si="123"/>
        <v>3.6390101892285295E-2</v>
      </c>
      <c r="W345" s="165">
        <v>68.7</v>
      </c>
      <c r="X345" s="65">
        <v>68.2</v>
      </c>
      <c r="Y345" s="162">
        <f t="shared" si="126"/>
        <v>0.5</v>
      </c>
      <c r="Z345" s="158">
        <f t="shared" si="127"/>
        <v>7.3313782991202342E-3</v>
      </c>
      <c r="AA345" s="99" t="s">
        <v>3130</v>
      </c>
      <c r="AB345" s="376"/>
      <c r="AC345" s="153" t="s">
        <v>3126</v>
      </c>
      <c r="AD345" s="84">
        <v>44225</v>
      </c>
      <c r="AE345" s="83">
        <v>44260</v>
      </c>
      <c r="AF345" s="33">
        <f t="shared" si="125"/>
        <v>35</v>
      </c>
      <c r="AG345" s="41" t="s">
        <v>3109</v>
      </c>
      <c r="AH345" s="181"/>
      <c r="AI345" s="179"/>
    </row>
    <row r="346" spans="1:45" s="248" customFormat="1">
      <c r="A346" s="142" t="s">
        <v>3131</v>
      </c>
      <c r="B346" s="80">
        <v>-115</v>
      </c>
      <c r="C346" s="80">
        <v>-36</v>
      </c>
      <c r="D346" s="79">
        <v>21</v>
      </c>
      <c r="E346" s="79">
        <v>24</v>
      </c>
      <c r="F346" s="6">
        <v>3.06</v>
      </c>
      <c r="G346" s="79">
        <v>2103</v>
      </c>
      <c r="H346" s="8" t="s">
        <v>3134</v>
      </c>
      <c r="I346" s="153" t="s">
        <v>3132</v>
      </c>
      <c r="J346" s="8">
        <f>IFERROR(VLOOKUP($G346,今日總結!$A:$AN,33,0),"")</f>
        <v>0</v>
      </c>
      <c r="K346" s="5">
        <f>IFERROR(VLOOKUP($G346,今日總結!$A:$AN,34,0),"")</f>
        <v>0</v>
      </c>
      <c r="L346" s="156">
        <f>IFERROR(VLOOKUP($G346,今日總結!$A:$AN,31,0),"")</f>
        <v>0</v>
      </c>
      <c r="M346" s="337">
        <f>IFERROR(VLOOKUP($G346,今日總結!$A:$AN,32,0),"")</f>
        <v>0</v>
      </c>
      <c r="N346" s="240">
        <f t="shared" si="124"/>
        <v>0</v>
      </c>
      <c r="O346" s="359">
        <f>IFERROR(VLOOKUP($G346,融外自投!$A:$J,7,0),"無")</f>
        <v>1003</v>
      </c>
      <c r="P346" s="79">
        <f>IFERROR(VLOOKUP($G346,融外自投!$A:$J,9,0),"無")</f>
        <v>790</v>
      </c>
      <c r="Q346" s="342">
        <f>IFERROR(VLOOKUP($G346,融外自投!$A:$J,8,0),"無")</f>
        <v>184</v>
      </c>
      <c r="R346" s="81" t="str">
        <f>IFERROR(VLOOKUP($G346,融外自投!$A:$J,10,0),"無")</f>
        <v>無</v>
      </c>
      <c r="S346" s="324">
        <f>IFERROR(VLOOKUP($G346,'321買'!$A:$E,5,0),"'沒有資料'")</f>
        <v>0</v>
      </c>
      <c r="T346" s="185">
        <v>0.5</v>
      </c>
      <c r="U346" s="308"/>
      <c r="V346" s="57">
        <f>T346/W346</f>
        <v>1.7953321364452424E-2</v>
      </c>
      <c r="W346" s="161">
        <v>27.85</v>
      </c>
      <c r="X346" s="65">
        <v>27.35</v>
      </c>
      <c r="Y346" s="162">
        <f t="shared" si="126"/>
        <v>0.5</v>
      </c>
      <c r="Z346" s="158">
        <f t="shared" si="127"/>
        <v>1.8281535648994516E-2</v>
      </c>
      <c r="AA346" s="184" t="s">
        <v>3133</v>
      </c>
      <c r="AB346" s="376"/>
      <c r="AC346" s="153" t="s">
        <v>3132</v>
      </c>
      <c r="AD346" s="84">
        <v>44253</v>
      </c>
      <c r="AE346" s="83">
        <v>44258</v>
      </c>
      <c r="AF346" s="33">
        <f t="shared" si="125"/>
        <v>5</v>
      </c>
      <c r="AG346" s="41" t="s">
        <v>3109</v>
      </c>
      <c r="AH346" s="180"/>
      <c r="AI346" s="179"/>
    </row>
    <row r="347" spans="1:45" s="171" customFormat="1" ht="17.100000000000001" customHeight="1">
      <c r="A347" s="41"/>
      <c r="B347" s="80">
        <v>-79</v>
      </c>
      <c r="C347" s="79">
        <v>46</v>
      </c>
      <c r="D347" s="80">
        <v>-79</v>
      </c>
      <c r="E347" s="79">
        <v>46</v>
      </c>
      <c r="F347" s="6">
        <v>-1.74</v>
      </c>
      <c r="G347" s="79">
        <v>2489</v>
      </c>
      <c r="H347" s="50" t="s">
        <v>3138</v>
      </c>
      <c r="I347" s="153" t="s">
        <v>3135</v>
      </c>
      <c r="J347" s="8">
        <f>IFERROR(VLOOKUP($G347,今日總結!$A:$AN,33,0),"")</f>
        <v>0</v>
      </c>
      <c r="K347" s="5">
        <f>IFERROR(VLOOKUP($G347,今日總結!$A:$AN,34,0),"")</f>
        <v>0</v>
      </c>
      <c r="L347" s="156">
        <f>IFERROR(VLOOKUP($G347,今日總結!$A:$AN,31,0),"")</f>
        <v>3</v>
      </c>
      <c r="M347" s="337">
        <f>IFERROR(VLOOKUP($G347,今日總結!$A:$AN,32,0),"")</f>
        <v>0</v>
      </c>
      <c r="N347" s="240">
        <f t="shared" si="124"/>
        <v>3</v>
      </c>
      <c r="O347" s="359">
        <f>IFERROR(VLOOKUP($G347,融外自投!$A:$J,7,0),"無")</f>
        <v>806</v>
      </c>
      <c r="P347" s="79">
        <f>IFERROR(VLOOKUP($G347,融外自投!$A:$J,9,0),"無")</f>
        <v>426</v>
      </c>
      <c r="Q347" s="342">
        <f>IFERROR(VLOOKUP($G347,融外自投!$A:$J,8,0),"無")</f>
        <v>458</v>
      </c>
      <c r="R347" s="81" t="str">
        <f>IFERROR(VLOOKUP($G347,融外自投!$A:$J,10,0),"無")</f>
        <v>無</v>
      </c>
      <c r="S347" s="324">
        <f>IFERROR(VLOOKUP($G347,'321買'!$A:$E,5,0),"'沒有資料'")</f>
        <v>0</v>
      </c>
      <c r="T347" s="185">
        <v>0</v>
      </c>
      <c r="U347" s="308"/>
      <c r="V347" s="94">
        <f t="shared" ref="V347:V354" si="128">T347/W347</f>
        <v>0</v>
      </c>
      <c r="W347" s="161">
        <v>12.75</v>
      </c>
      <c r="X347" s="65">
        <f>22.63-1.7</f>
        <v>20.93</v>
      </c>
      <c r="Y347" s="162">
        <f t="shared" si="126"/>
        <v>-8.18</v>
      </c>
      <c r="Z347" s="164">
        <f t="shared" si="127"/>
        <v>-0.3908265647396082</v>
      </c>
      <c r="AA347" s="112" t="s">
        <v>3136</v>
      </c>
      <c r="AB347" s="376"/>
      <c r="AC347" s="153" t="s">
        <v>3137</v>
      </c>
      <c r="AD347" s="84">
        <v>42776</v>
      </c>
      <c r="AE347" s="83">
        <v>44258</v>
      </c>
      <c r="AF347" s="33">
        <f t="shared" si="125"/>
        <v>1482</v>
      </c>
      <c r="AG347" s="41" t="s">
        <v>3109</v>
      </c>
      <c r="AH347" s="27"/>
      <c r="AI347" s="17"/>
      <c r="AJ347" s="11"/>
      <c r="AK347" s="11"/>
      <c r="AL347" s="11"/>
      <c r="AM347" s="11"/>
      <c r="AN347" s="248"/>
      <c r="AO347" s="248"/>
      <c r="AQ347" s="4"/>
      <c r="AR347" s="248"/>
      <c r="AS347" s="248"/>
    </row>
    <row r="348" spans="1:45" s="171" customFormat="1" ht="17.100000000000001" customHeight="1">
      <c r="A348" s="41"/>
      <c r="B348" s="80">
        <v>-79</v>
      </c>
      <c r="C348" s="79">
        <v>46</v>
      </c>
      <c r="D348" s="80">
        <v>-79</v>
      </c>
      <c r="E348" s="79">
        <v>46</v>
      </c>
      <c r="F348" s="6">
        <v>-1.74</v>
      </c>
      <c r="G348" s="79">
        <v>2489</v>
      </c>
      <c r="H348" s="50" t="s">
        <v>3138</v>
      </c>
      <c r="I348" s="153" t="s">
        <v>3135</v>
      </c>
      <c r="J348" s="8">
        <f>IFERROR(VLOOKUP($G348,今日總結!$A:$AN,33,0),"")</f>
        <v>0</v>
      </c>
      <c r="K348" s="5">
        <f>IFERROR(VLOOKUP($G348,今日總結!$A:$AN,34,0),"")</f>
        <v>0</v>
      </c>
      <c r="L348" s="156">
        <f>IFERROR(VLOOKUP($G348,今日總結!$A:$AN,31,0),"")</f>
        <v>3</v>
      </c>
      <c r="M348" s="337">
        <f>IFERROR(VLOOKUP($G348,今日總結!$A:$AN,32,0),"")</f>
        <v>0</v>
      </c>
      <c r="N348" s="240">
        <f t="shared" si="124"/>
        <v>3</v>
      </c>
      <c r="O348" s="359">
        <f>IFERROR(VLOOKUP($G348,融外自投!$A:$J,7,0),"無")</f>
        <v>806</v>
      </c>
      <c r="P348" s="79">
        <f>IFERROR(VLOOKUP($G348,融外自投!$A:$J,9,0),"無")</f>
        <v>426</v>
      </c>
      <c r="Q348" s="342">
        <f>IFERROR(VLOOKUP($G348,融外自投!$A:$J,8,0),"無")</f>
        <v>458</v>
      </c>
      <c r="R348" s="81" t="str">
        <f>IFERROR(VLOOKUP($G348,融外自投!$A:$J,10,0),"無")</f>
        <v>無</v>
      </c>
      <c r="S348" s="324">
        <f>IFERROR(VLOOKUP($G348,'321買'!$A:$E,5,0),"'沒有資料'")</f>
        <v>0</v>
      </c>
      <c r="T348" s="185">
        <v>0</v>
      </c>
      <c r="U348" s="308"/>
      <c r="V348" s="94">
        <f t="shared" si="128"/>
        <v>0</v>
      </c>
      <c r="W348" s="161">
        <v>12.75</v>
      </c>
      <c r="X348" s="65">
        <v>13.52</v>
      </c>
      <c r="Y348" s="162">
        <f t="shared" si="126"/>
        <v>-0.76999999999999957</v>
      </c>
      <c r="Z348" s="164">
        <f t="shared" si="127"/>
        <v>-5.6952662721893463E-2</v>
      </c>
      <c r="AA348" s="112" t="s">
        <v>3139</v>
      </c>
      <c r="AB348" s="376"/>
      <c r="AC348" s="153" t="s">
        <v>3135</v>
      </c>
      <c r="AD348" s="84">
        <v>43376</v>
      </c>
      <c r="AE348" s="83">
        <v>44258</v>
      </c>
      <c r="AF348" s="33">
        <f t="shared" si="125"/>
        <v>882</v>
      </c>
      <c r="AG348" s="41" t="s">
        <v>3109</v>
      </c>
      <c r="AH348" s="27"/>
      <c r="AI348" s="17"/>
      <c r="AJ348" s="11"/>
      <c r="AK348" s="11"/>
      <c r="AL348" s="11"/>
      <c r="AM348" s="11"/>
      <c r="AN348" s="248"/>
      <c r="AO348" s="248"/>
      <c r="AQ348" s="4"/>
      <c r="AR348" s="248"/>
      <c r="AS348" s="248"/>
    </row>
    <row r="349" spans="1:45" s="171" customFormat="1" ht="17.100000000000001" customHeight="1">
      <c r="A349" s="41"/>
      <c r="B349" s="80">
        <v>-79</v>
      </c>
      <c r="C349" s="79">
        <v>46</v>
      </c>
      <c r="D349" s="80">
        <v>-79</v>
      </c>
      <c r="E349" s="79">
        <v>46</v>
      </c>
      <c r="F349" s="6">
        <v>-1.74</v>
      </c>
      <c r="G349" s="79">
        <v>2489</v>
      </c>
      <c r="H349" s="50" t="s">
        <v>3138</v>
      </c>
      <c r="I349" s="153" t="s">
        <v>3135</v>
      </c>
      <c r="J349" s="8">
        <f>IFERROR(VLOOKUP($G349,今日總結!$A:$AN,33,0),"")</f>
        <v>0</v>
      </c>
      <c r="K349" s="5">
        <f>IFERROR(VLOOKUP($G349,今日總結!$A:$AN,34,0),"")</f>
        <v>0</v>
      </c>
      <c r="L349" s="156">
        <f>IFERROR(VLOOKUP($G349,今日總結!$A:$AN,31,0),"")</f>
        <v>3</v>
      </c>
      <c r="M349" s="337">
        <f>IFERROR(VLOOKUP($G349,今日總結!$A:$AN,32,0),"")</f>
        <v>0</v>
      </c>
      <c r="N349" s="240">
        <f t="shared" si="124"/>
        <v>3</v>
      </c>
      <c r="O349" s="359">
        <f>IFERROR(VLOOKUP($G349,融外自投!$A:$J,7,0),"無")</f>
        <v>806</v>
      </c>
      <c r="P349" s="79">
        <f>IFERROR(VLOOKUP($G349,融外自投!$A:$J,9,0),"無")</f>
        <v>426</v>
      </c>
      <c r="Q349" s="342">
        <f>IFERROR(VLOOKUP($G349,融外自投!$A:$J,8,0),"無")</f>
        <v>458</v>
      </c>
      <c r="R349" s="81" t="str">
        <f>IFERROR(VLOOKUP($G349,融外自投!$A:$J,10,0),"無")</f>
        <v>無</v>
      </c>
      <c r="S349" s="324">
        <f>IFERROR(VLOOKUP($G349,'321買'!$A:$E,5,0),"'沒有資料'")</f>
        <v>0</v>
      </c>
      <c r="T349" s="185">
        <v>0</v>
      </c>
      <c r="U349" s="308"/>
      <c r="V349" s="94">
        <f t="shared" si="128"/>
        <v>0</v>
      </c>
      <c r="W349" s="161">
        <v>12.75</v>
      </c>
      <c r="X349" s="65">
        <v>12.87</v>
      </c>
      <c r="Y349" s="162">
        <f t="shared" si="126"/>
        <v>-0.11999999999999922</v>
      </c>
      <c r="Z349" s="164">
        <f t="shared" si="127"/>
        <v>-9.3240093240092633E-3</v>
      </c>
      <c r="AA349" s="112" t="s">
        <v>3140</v>
      </c>
      <c r="AB349" s="376"/>
      <c r="AC349" s="153" t="s">
        <v>3135</v>
      </c>
      <c r="AD349" s="84">
        <v>43347</v>
      </c>
      <c r="AE349" s="83">
        <v>44258</v>
      </c>
      <c r="AF349" s="33">
        <f t="shared" si="125"/>
        <v>911</v>
      </c>
      <c r="AG349" s="41" t="s">
        <v>3109</v>
      </c>
      <c r="AH349" s="27"/>
      <c r="AI349" s="17"/>
      <c r="AJ349" s="11"/>
      <c r="AK349" s="11"/>
      <c r="AL349" s="11"/>
      <c r="AM349" s="11"/>
      <c r="AN349" s="248"/>
      <c r="AO349" s="248"/>
      <c r="AQ349" s="4"/>
      <c r="AR349" s="248"/>
      <c r="AS349" s="248"/>
    </row>
    <row r="350" spans="1:45" s="248" customFormat="1" ht="16.5" customHeight="1">
      <c r="A350" s="141"/>
      <c r="B350" s="79">
        <v>62</v>
      </c>
      <c r="C350" s="79">
        <v>118</v>
      </c>
      <c r="D350" s="79">
        <v>62</v>
      </c>
      <c r="E350" s="79">
        <v>118</v>
      </c>
      <c r="F350" s="6">
        <v>0.45</v>
      </c>
      <c r="G350" s="79">
        <v>2489</v>
      </c>
      <c r="H350" s="50" t="s">
        <v>3138</v>
      </c>
      <c r="I350" s="153" t="s">
        <v>3135</v>
      </c>
      <c r="J350" s="8">
        <f>IFERROR(VLOOKUP($G350,今日總結!$A:$AN,33,0),"")</f>
        <v>0</v>
      </c>
      <c r="K350" s="5">
        <f>IFERROR(VLOOKUP($G350,今日總結!$A:$AN,34,0),"")</f>
        <v>0</v>
      </c>
      <c r="L350" s="156">
        <f>IFERROR(VLOOKUP($G350,今日總結!$A:$AN,31,0),"")</f>
        <v>3</v>
      </c>
      <c r="M350" s="337">
        <f>IFERROR(VLOOKUP($G350,今日總結!$A:$AN,32,0),"")</f>
        <v>0</v>
      </c>
      <c r="N350" s="240">
        <f t="shared" si="124"/>
        <v>3</v>
      </c>
      <c r="O350" s="359">
        <f>IFERROR(VLOOKUP($G350,融外自投!$A:$J,7,0),"無")</f>
        <v>806</v>
      </c>
      <c r="P350" s="79">
        <f>IFERROR(VLOOKUP($G350,融外自投!$A:$J,9,0),"無")</f>
        <v>426</v>
      </c>
      <c r="Q350" s="342">
        <f>IFERROR(VLOOKUP($G350,融外自投!$A:$J,8,0),"無")</f>
        <v>458</v>
      </c>
      <c r="R350" s="81" t="str">
        <f>IFERROR(VLOOKUP($G350,融外自投!$A:$J,10,0),"無")</f>
        <v>無</v>
      </c>
      <c r="S350" s="324">
        <f>IFERROR(VLOOKUP($G350,'321買'!$A:$E,5,0),"'沒有資料'")</f>
        <v>0</v>
      </c>
      <c r="T350" s="185">
        <v>0</v>
      </c>
      <c r="U350" s="308"/>
      <c r="V350" s="94">
        <f t="shared" si="128"/>
        <v>0</v>
      </c>
      <c r="W350" s="161">
        <f>12.75*3</f>
        <v>38.25</v>
      </c>
      <c r="X350" s="65">
        <f>11.05*AG350</f>
        <v>33.150000000000006</v>
      </c>
      <c r="Y350" s="162">
        <f t="shared" si="126"/>
        <v>5.0999999999999943</v>
      </c>
      <c r="Z350" s="158">
        <f t="shared" si="127"/>
        <v>0.15384615384615366</v>
      </c>
      <c r="AA350" s="111" t="s">
        <v>3141</v>
      </c>
      <c r="AB350" s="376"/>
      <c r="AC350" s="153" t="s">
        <v>3135</v>
      </c>
      <c r="AD350" s="84">
        <v>43696</v>
      </c>
      <c r="AE350" s="83">
        <v>44258</v>
      </c>
      <c r="AF350" s="33">
        <f t="shared" si="125"/>
        <v>562</v>
      </c>
      <c r="AG350" s="41" t="s">
        <v>3115</v>
      </c>
      <c r="AH350" s="163"/>
    </row>
    <row r="351" spans="1:45" s="248" customFormat="1" ht="16.5" customHeight="1">
      <c r="A351" s="143"/>
      <c r="B351" s="79">
        <v>62</v>
      </c>
      <c r="C351" s="79">
        <v>118</v>
      </c>
      <c r="D351" s="79">
        <v>62</v>
      </c>
      <c r="E351" s="79">
        <v>118</v>
      </c>
      <c r="F351" s="6">
        <v>0.45</v>
      </c>
      <c r="G351" s="79">
        <v>2489</v>
      </c>
      <c r="H351" s="50" t="s">
        <v>3138</v>
      </c>
      <c r="I351" s="153" t="s">
        <v>3135</v>
      </c>
      <c r="J351" s="8">
        <f>IFERROR(VLOOKUP($G351,今日總結!$A:$AN,33,0),"")</f>
        <v>0</v>
      </c>
      <c r="K351" s="5">
        <f>IFERROR(VLOOKUP($G351,今日總結!$A:$AN,34,0),"")</f>
        <v>0</v>
      </c>
      <c r="L351" s="156">
        <f>IFERROR(VLOOKUP($G351,今日總結!$A:$AN,31,0),"")</f>
        <v>3</v>
      </c>
      <c r="M351" s="337">
        <f>IFERROR(VLOOKUP($G351,今日總結!$A:$AN,32,0),"")</f>
        <v>0</v>
      </c>
      <c r="N351" s="240">
        <f t="shared" si="124"/>
        <v>3</v>
      </c>
      <c r="O351" s="359">
        <f>IFERROR(VLOOKUP($G351,融外自投!$A:$J,7,0),"無")</f>
        <v>806</v>
      </c>
      <c r="P351" s="79">
        <f>IFERROR(VLOOKUP($G351,融外自投!$A:$J,9,0),"無")</f>
        <v>426</v>
      </c>
      <c r="Q351" s="342">
        <f>IFERROR(VLOOKUP($G351,融外自投!$A:$J,8,0),"無")</f>
        <v>458</v>
      </c>
      <c r="R351" s="81" t="str">
        <f>IFERROR(VLOOKUP($G351,融外自投!$A:$J,10,0),"無")</f>
        <v>無</v>
      </c>
      <c r="S351" s="324">
        <f>IFERROR(VLOOKUP($G351,'321買'!$A:$E,5,0),"'沒有資料'")</f>
        <v>0</v>
      </c>
      <c r="T351" s="185">
        <v>0</v>
      </c>
      <c r="U351" s="308"/>
      <c r="V351" s="94">
        <f t="shared" si="128"/>
        <v>0</v>
      </c>
      <c r="W351" s="161">
        <f>12.75*5</f>
        <v>63.75</v>
      </c>
      <c r="X351" s="65">
        <f>11*AG351</f>
        <v>55</v>
      </c>
      <c r="Y351" s="162">
        <f t="shared" si="126"/>
        <v>8.75</v>
      </c>
      <c r="Z351" s="158">
        <f t="shared" si="127"/>
        <v>0.15909090909090909</v>
      </c>
      <c r="AA351" s="111" t="s">
        <v>3142</v>
      </c>
      <c r="AB351" s="376"/>
      <c r="AC351" s="153" t="s">
        <v>3135</v>
      </c>
      <c r="AD351" s="84">
        <v>43713</v>
      </c>
      <c r="AE351" s="83">
        <v>44258</v>
      </c>
      <c r="AF351" s="33">
        <f t="shared" si="125"/>
        <v>545</v>
      </c>
      <c r="AG351" s="41" t="s">
        <v>3143</v>
      </c>
    </row>
    <row r="352" spans="1:45" s="248" customFormat="1" ht="16.5" customHeight="1">
      <c r="A352" s="143"/>
      <c r="B352" s="79">
        <v>62</v>
      </c>
      <c r="C352" s="79">
        <v>118</v>
      </c>
      <c r="D352" s="79">
        <v>62</v>
      </c>
      <c r="E352" s="79">
        <v>118</v>
      </c>
      <c r="F352" s="6">
        <v>0.45</v>
      </c>
      <c r="G352" s="79">
        <v>2489</v>
      </c>
      <c r="H352" s="50" t="s">
        <v>3146</v>
      </c>
      <c r="I352" s="153" t="s">
        <v>3135</v>
      </c>
      <c r="J352" s="8">
        <f>IFERROR(VLOOKUP($G352,今日總結!$A:$AN,33,0),"")</f>
        <v>0</v>
      </c>
      <c r="K352" s="5">
        <f>IFERROR(VLOOKUP($G352,今日總結!$A:$AN,34,0),"")</f>
        <v>0</v>
      </c>
      <c r="L352" s="156">
        <f>IFERROR(VLOOKUP($G352,今日總結!$A:$AN,31,0),"")</f>
        <v>3</v>
      </c>
      <c r="M352" s="337">
        <f>IFERROR(VLOOKUP($G352,今日總結!$A:$AN,32,0),"")</f>
        <v>0</v>
      </c>
      <c r="N352" s="240">
        <f t="shared" si="124"/>
        <v>3</v>
      </c>
      <c r="O352" s="359">
        <f>IFERROR(VLOOKUP($G352,融外自投!$A:$J,7,0),"無")</f>
        <v>806</v>
      </c>
      <c r="P352" s="79">
        <f>IFERROR(VLOOKUP($G352,融外自投!$A:$J,9,0),"無")</f>
        <v>426</v>
      </c>
      <c r="Q352" s="342">
        <f>IFERROR(VLOOKUP($G352,融外自投!$A:$J,8,0),"無")</f>
        <v>458</v>
      </c>
      <c r="R352" s="81" t="str">
        <f>IFERROR(VLOOKUP($G352,融外自投!$A:$J,10,0),"無")</f>
        <v>無</v>
      </c>
      <c r="S352" s="324">
        <f>IFERROR(VLOOKUP($G352,'321買'!$A:$E,5,0),"'沒有資料'")</f>
        <v>0</v>
      </c>
      <c r="T352" s="185">
        <v>0</v>
      </c>
      <c r="U352" s="308"/>
      <c r="V352" s="94">
        <f t="shared" si="128"/>
        <v>0</v>
      </c>
      <c r="W352" s="161">
        <v>12.75</v>
      </c>
      <c r="X352" s="65">
        <v>10.95</v>
      </c>
      <c r="Y352" s="162">
        <f t="shared" si="126"/>
        <v>1.8000000000000007</v>
      </c>
      <c r="Z352" s="158">
        <f t="shared" si="127"/>
        <v>0.16438356164383569</v>
      </c>
      <c r="AA352" s="111" t="s">
        <v>3144</v>
      </c>
      <c r="AB352" s="376"/>
      <c r="AC352" s="153" t="s">
        <v>3145</v>
      </c>
      <c r="AD352" s="84">
        <v>43713</v>
      </c>
      <c r="AE352" s="83">
        <v>44258</v>
      </c>
      <c r="AF352" s="33">
        <f t="shared" si="125"/>
        <v>545</v>
      </c>
      <c r="AG352" s="41" t="s">
        <v>3147</v>
      </c>
    </row>
    <row r="353" spans="1:34" s="248" customFormat="1" ht="16.5" customHeight="1">
      <c r="A353" s="143"/>
      <c r="B353" s="79">
        <v>62</v>
      </c>
      <c r="C353" s="79">
        <v>118</v>
      </c>
      <c r="D353" s="79">
        <v>62</v>
      </c>
      <c r="E353" s="79">
        <v>118</v>
      </c>
      <c r="F353" s="6">
        <v>0.45</v>
      </c>
      <c r="G353" s="79">
        <v>2489</v>
      </c>
      <c r="H353" s="50" t="s">
        <v>3146</v>
      </c>
      <c r="I353" s="153" t="s">
        <v>3145</v>
      </c>
      <c r="J353" s="8">
        <f>IFERROR(VLOOKUP($G353,今日總結!$A:$AN,33,0),"")</f>
        <v>0</v>
      </c>
      <c r="K353" s="5">
        <f>IFERROR(VLOOKUP($G353,今日總結!$A:$AN,34,0),"")</f>
        <v>0</v>
      </c>
      <c r="L353" s="156">
        <f>IFERROR(VLOOKUP($G353,今日總結!$A:$AN,31,0),"")</f>
        <v>3</v>
      </c>
      <c r="M353" s="337">
        <f>IFERROR(VLOOKUP($G353,今日總結!$A:$AN,32,0),"")</f>
        <v>0</v>
      </c>
      <c r="N353" s="240">
        <f t="shared" si="124"/>
        <v>3</v>
      </c>
      <c r="O353" s="359">
        <f>IFERROR(VLOOKUP($G353,融外自投!$A:$J,7,0),"無")</f>
        <v>806</v>
      </c>
      <c r="P353" s="79">
        <f>IFERROR(VLOOKUP($G353,融外自投!$A:$J,9,0),"無")</f>
        <v>426</v>
      </c>
      <c r="Q353" s="342">
        <f>IFERROR(VLOOKUP($G353,融外自投!$A:$J,8,0),"無")</f>
        <v>458</v>
      </c>
      <c r="R353" s="81" t="str">
        <f>IFERROR(VLOOKUP($G353,融外自投!$A:$J,10,0),"無")</f>
        <v>無</v>
      </c>
      <c r="S353" s="324">
        <f>IFERROR(VLOOKUP($G353,'321買'!$A:$E,5,0),"'沒有資料'")</f>
        <v>0</v>
      </c>
      <c r="T353" s="185">
        <v>0</v>
      </c>
      <c r="U353" s="308"/>
      <c r="V353" s="94">
        <f t="shared" si="128"/>
        <v>0</v>
      </c>
      <c r="W353" s="161">
        <v>12.75</v>
      </c>
      <c r="X353" s="65">
        <v>10.7</v>
      </c>
      <c r="Y353" s="162">
        <f t="shared" si="126"/>
        <v>2.0500000000000007</v>
      </c>
      <c r="Z353" s="158">
        <f t="shared" si="127"/>
        <v>0.19158878504672905</v>
      </c>
      <c r="AA353" s="111" t="s">
        <v>3148</v>
      </c>
      <c r="AB353" s="376"/>
      <c r="AC353" s="153" t="s">
        <v>3145</v>
      </c>
      <c r="AD353" s="84">
        <v>43791</v>
      </c>
      <c r="AE353" s="83">
        <v>44258</v>
      </c>
      <c r="AF353" s="33">
        <f t="shared" si="125"/>
        <v>467</v>
      </c>
      <c r="AG353" s="41" t="s">
        <v>3147</v>
      </c>
    </row>
    <row r="354" spans="1:34" s="248" customFormat="1" ht="16.5" customHeight="1">
      <c r="A354" s="143"/>
      <c r="B354" s="79">
        <v>62</v>
      </c>
      <c r="C354" s="79">
        <v>118</v>
      </c>
      <c r="D354" s="79">
        <v>62</v>
      </c>
      <c r="E354" s="79">
        <v>118</v>
      </c>
      <c r="F354" s="6">
        <v>0.45</v>
      </c>
      <c r="G354" s="79">
        <v>2489</v>
      </c>
      <c r="H354" s="50" t="s">
        <v>3146</v>
      </c>
      <c r="I354" s="153" t="s">
        <v>3145</v>
      </c>
      <c r="J354" s="8">
        <f>IFERROR(VLOOKUP($G354,今日總結!$A:$AN,33,0),"")</f>
        <v>0</v>
      </c>
      <c r="K354" s="5">
        <f>IFERROR(VLOOKUP($G354,今日總結!$A:$AN,34,0),"")</f>
        <v>0</v>
      </c>
      <c r="L354" s="156">
        <f>IFERROR(VLOOKUP($G354,今日總結!$A:$AN,31,0),"")</f>
        <v>3</v>
      </c>
      <c r="M354" s="337">
        <f>IFERROR(VLOOKUP($G354,今日總結!$A:$AN,32,0),"")</f>
        <v>0</v>
      </c>
      <c r="N354" s="240">
        <f t="shared" si="124"/>
        <v>3</v>
      </c>
      <c r="O354" s="359">
        <f>IFERROR(VLOOKUP($G354,融外自投!$A:$J,7,0),"無")</f>
        <v>806</v>
      </c>
      <c r="P354" s="79">
        <f>IFERROR(VLOOKUP($G354,融外自投!$A:$J,9,0),"無")</f>
        <v>426</v>
      </c>
      <c r="Q354" s="342">
        <f>IFERROR(VLOOKUP($G354,融外自投!$A:$J,8,0),"無")</f>
        <v>458</v>
      </c>
      <c r="R354" s="81" t="str">
        <f>IFERROR(VLOOKUP($G354,融外自投!$A:$J,10,0),"無")</f>
        <v>無</v>
      </c>
      <c r="S354" s="324">
        <f>IFERROR(VLOOKUP($G354,'321買'!$A:$E,5,0),"'沒有資料'")</f>
        <v>0</v>
      </c>
      <c r="T354" s="185">
        <v>0</v>
      </c>
      <c r="U354" s="308"/>
      <c r="V354" s="94">
        <f t="shared" si="128"/>
        <v>0</v>
      </c>
      <c r="W354" s="161">
        <v>12.75</v>
      </c>
      <c r="X354" s="65">
        <v>10.65</v>
      </c>
      <c r="Y354" s="162">
        <f t="shared" si="126"/>
        <v>2.0999999999999996</v>
      </c>
      <c r="Z354" s="158">
        <f t="shared" si="127"/>
        <v>0.19718309859154926</v>
      </c>
      <c r="AA354" s="111" t="s">
        <v>3149</v>
      </c>
      <c r="AB354" s="376"/>
      <c r="AC354" s="153" t="s">
        <v>3145</v>
      </c>
      <c r="AD354" s="84">
        <v>43791</v>
      </c>
      <c r="AE354" s="83">
        <v>44258</v>
      </c>
      <c r="AF354" s="33">
        <f t="shared" si="125"/>
        <v>467</v>
      </c>
      <c r="AG354" s="41" t="s">
        <v>3147</v>
      </c>
    </row>
    <row r="355" spans="1:34" s="248" customFormat="1">
      <c r="A355" s="127" t="s">
        <v>3150</v>
      </c>
      <c r="B355" s="80">
        <v>-16</v>
      </c>
      <c r="C355" s="80">
        <v>-15</v>
      </c>
      <c r="D355" s="79">
        <v>6</v>
      </c>
      <c r="E355" s="79">
        <v>14</v>
      </c>
      <c r="F355" s="57">
        <v>21.2</v>
      </c>
      <c r="G355" s="79">
        <v>6147</v>
      </c>
      <c r="H355" s="30" t="s">
        <v>3153</v>
      </c>
      <c r="I355" s="166" t="s">
        <v>3151</v>
      </c>
      <c r="J355" s="8">
        <f>IFERROR(VLOOKUP($G355,今日總結!$A:$AN,33,0),"")</f>
        <v>0</v>
      </c>
      <c r="K355" s="5">
        <f>IFERROR(VLOOKUP($G355,今日總結!$A:$AN,34,0),"")</f>
        <v>0</v>
      </c>
      <c r="L355" s="156">
        <f>IFERROR(VLOOKUP($G355,今日總結!$A:$AN,31,0),"")</f>
        <v>1</v>
      </c>
      <c r="M355" s="337">
        <f>IFERROR(VLOOKUP($G355,今日總結!$A:$AN,32,0),"")</f>
        <v>0</v>
      </c>
      <c r="N355" s="240">
        <f t="shared" si="124"/>
        <v>1</v>
      </c>
      <c r="O355" s="359">
        <f>IFERROR(VLOOKUP($G355,融外自投!$A:$J,7,0),"無")</f>
        <v>812</v>
      </c>
      <c r="P355" s="79">
        <f>IFERROR(VLOOKUP($G355,融外自投!$A:$J,9,0),"無")</f>
        <v>294</v>
      </c>
      <c r="Q355" s="342">
        <f>IFERROR(VLOOKUP($G355,融外自投!$A:$J,8,0),"無")</f>
        <v>242</v>
      </c>
      <c r="R355" s="81">
        <f>IFERROR(VLOOKUP($G355,融外自投!$A:$J,10,0),"無")</f>
        <v>90</v>
      </c>
      <c r="S355" s="324">
        <f>IFERROR(VLOOKUP($G355,'321買'!$A:$E,5,0),"'沒有資料'")</f>
        <v>0</v>
      </c>
      <c r="T355" s="65">
        <v>4.2</v>
      </c>
      <c r="U355" s="308"/>
      <c r="V355" s="39">
        <f>T355/W355</f>
        <v>5.5118110236220472E-2</v>
      </c>
      <c r="W355" s="165">
        <v>76.2</v>
      </c>
      <c r="X355" s="65">
        <v>73</v>
      </c>
      <c r="Y355" s="162">
        <f t="shared" si="126"/>
        <v>3.2000000000000028</v>
      </c>
      <c r="Z355" s="158">
        <f t="shared" si="127"/>
        <v>4.3835616438356206E-2</v>
      </c>
      <c r="AA355" s="184" t="s">
        <v>3152</v>
      </c>
      <c r="AB355" s="376"/>
      <c r="AC355" s="166" t="s">
        <v>3151</v>
      </c>
      <c r="AD355" s="84">
        <v>44246</v>
      </c>
      <c r="AE355" s="83">
        <v>44257</v>
      </c>
      <c r="AF355" s="33">
        <f t="shared" si="125"/>
        <v>11</v>
      </c>
      <c r="AG355" s="41" t="s">
        <v>3147</v>
      </c>
    </row>
    <row r="356" spans="1:34" s="248" customFormat="1">
      <c r="A356" s="127" t="s">
        <v>3150</v>
      </c>
      <c r="B356" s="80">
        <v>-16</v>
      </c>
      <c r="C356" s="80">
        <v>-15</v>
      </c>
      <c r="D356" s="79">
        <v>6</v>
      </c>
      <c r="E356" s="79">
        <v>14</v>
      </c>
      <c r="F356" s="57">
        <v>21.2</v>
      </c>
      <c r="G356" s="79">
        <v>6147</v>
      </c>
      <c r="H356" s="30" t="s">
        <v>3119</v>
      </c>
      <c r="I356" s="166" t="s">
        <v>3151</v>
      </c>
      <c r="J356" s="8">
        <f>IFERROR(VLOOKUP($G356,今日總結!$A:$AN,33,0),"")</f>
        <v>0</v>
      </c>
      <c r="K356" s="5">
        <f>IFERROR(VLOOKUP($G356,今日總結!$A:$AN,34,0),"")</f>
        <v>0</v>
      </c>
      <c r="L356" s="156">
        <f>IFERROR(VLOOKUP($G356,今日總結!$A:$AN,31,0),"")</f>
        <v>1</v>
      </c>
      <c r="M356" s="337">
        <f>IFERROR(VLOOKUP($G356,今日總結!$A:$AN,32,0),"")</f>
        <v>0</v>
      </c>
      <c r="N356" s="240">
        <f t="shared" si="124"/>
        <v>1</v>
      </c>
      <c r="O356" s="359">
        <f>IFERROR(VLOOKUP($G356,融外自投!$A:$J,7,0),"無")</f>
        <v>812</v>
      </c>
      <c r="P356" s="79">
        <f>IFERROR(VLOOKUP($G356,融外自投!$A:$J,9,0),"無")</f>
        <v>294</v>
      </c>
      <c r="Q356" s="342">
        <f>IFERROR(VLOOKUP($G356,融外自投!$A:$J,8,0),"無")</f>
        <v>242</v>
      </c>
      <c r="R356" s="81">
        <f>IFERROR(VLOOKUP($G356,融外自投!$A:$J,10,0),"無")</f>
        <v>90</v>
      </c>
      <c r="S356" s="324">
        <f>IFERROR(VLOOKUP($G356,'321買'!$A:$E,5,0),"'沒有資料'")</f>
        <v>0</v>
      </c>
      <c r="T356" s="65">
        <v>4.2</v>
      </c>
      <c r="U356" s="308"/>
      <c r="V356" s="39">
        <f>T356/W356</f>
        <v>5.5118110236220472E-2</v>
      </c>
      <c r="W356" s="165">
        <v>76.2</v>
      </c>
      <c r="X356" s="65">
        <v>76</v>
      </c>
      <c r="Y356" s="162">
        <f t="shared" si="126"/>
        <v>0.20000000000000284</v>
      </c>
      <c r="Z356" s="158">
        <f t="shared" si="127"/>
        <v>2.6315789473684583E-3</v>
      </c>
      <c r="AA356" s="184" t="s">
        <v>3154</v>
      </c>
      <c r="AB356" s="376"/>
      <c r="AC356" s="166" t="s">
        <v>3111</v>
      </c>
      <c r="AD356" s="84">
        <v>44222</v>
      </c>
      <c r="AE356" s="83">
        <v>44257</v>
      </c>
      <c r="AF356" s="33">
        <f t="shared" si="125"/>
        <v>35</v>
      </c>
      <c r="AG356" s="41" t="s">
        <v>3109</v>
      </c>
    </row>
    <row r="357" spans="1:34" s="248" customFormat="1">
      <c r="A357" s="127"/>
      <c r="B357" s="80"/>
      <c r="C357" s="80"/>
      <c r="D357" s="80"/>
      <c r="E357" s="79"/>
      <c r="F357" s="57"/>
      <c r="G357" s="41"/>
      <c r="H357" s="54"/>
      <c r="I357" s="156"/>
      <c r="J357" s="1"/>
      <c r="K357" s="1"/>
      <c r="L357" s="123"/>
      <c r="M357" s="234"/>
      <c r="N357" s="338"/>
      <c r="O357" s="89"/>
      <c r="P357" s="73"/>
      <c r="Q357" s="350"/>
      <c r="R357" s="300"/>
      <c r="S357" s="319"/>
      <c r="T357" s="65"/>
      <c r="U357" s="308"/>
      <c r="V357" s="39"/>
      <c r="W357" s="161">
        <f>SUM(W331:W356)</f>
        <v>1672.55</v>
      </c>
      <c r="X357" s="65">
        <f>SUM(X331:X356)</f>
        <v>1594.8200000000004</v>
      </c>
      <c r="Y357" s="162">
        <f>SUM(Y331:Y356)</f>
        <v>77.729999999999961</v>
      </c>
      <c r="Z357" s="158">
        <f>Y357/X357</f>
        <v>4.8739042650581224E-2</v>
      </c>
      <c r="AA357" s="177"/>
      <c r="AB357" s="376"/>
      <c r="AC357" s="153">
        <f>W357*(0.001425*0.65)+W357*0.003+X357*(0.001425*0.65)</f>
        <v>8.0440514625000006</v>
      </c>
      <c r="AD357" s="6">
        <f>Y357-AC357</f>
        <v>69.685948537499968</v>
      </c>
      <c r="AE357" s="72"/>
      <c r="AF357" s="116"/>
      <c r="AG357" s="41"/>
    </row>
    <row r="358" spans="1:34" s="248" customFormat="1">
      <c r="A358" s="127"/>
      <c r="B358" s="80"/>
      <c r="C358" s="80"/>
      <c r="D358" s="80"/>
      <c r="E358" s="79"/>
      <c r="F358" s="57"/>
      <c r="G358" s="41"/>
      <c r="H358" s="54"/>
      <c r="I358" s="156"/>
      <c r="J358" s="1"/>
      <c r="K358" s="1"/>
      <c r="L358" s="123"/>
      <c r="M358" s="234"/>
      <c r="N358" s="338"/>
      <c r="O358" s="89"/>
      <c r="P358" s="73"/>
      <c r="Q358" s="350"/>
      <c r="R358" s="300"/>
      <c r="S358" s="319"/>
      <c r="T358" s="65"/>
      <c r="U358" s="308"/>
      <c r="V358" s="39"/>
      <c r="W358" s="165"/>
      <c r="X358" s="155"/>
      <c r="Y358" s="162"/>
      <c r="Z358" s="158"/>
      <c r="AA358" s="177"/>
      <c r="AB358" s="376"/>
      <c r="AC358" s="153">
        <f>W357*(0.001425*0.28)+W357*0.003+X357*(0.001425*0.28)</f>
        <v>6.3213306300000003</v>
      </c>
      <c r="AD358" s="71"/>
      <c r="AE358" s="72"/>
      <c r="AF358" s="116"/>
      <c r="AG358" s="41"/>
    </row>
    <row r="359" spans="1:34">
      <c r="B359" s="79"/>
      <c r="C359" s="79"/>
      <c r="D359" s="79"/>
      <c r="E359" s="79"/>
      <c r="F359" s="6"/>
      <c r="G359" s="41"/>
      <c r="H359" s="8"/>
      <c r="I359" s="22"/>
      <c r="L359" s="123"/>
      <c r="T359" s="34"/>
      <c r="V359" s="94"/>
      <c r="W359" s="13"/>
      <c r="X359" s="45"/>
      <c r="Y359" s="15"/>
      <c r="Z359" s="76"/>
      <c r="AA359" s="113"/>
      <c r="AC359" s="22"/>
      <c r="AF359" s="33"/>
    </row>
    <row r="360" spans="1:34" s="255" customFormat="1">
      <c r="A360" s="127" t="s">
        <v>1672</v>
      </c>
      <c r="B360" s="90" t="s">
        <v>1571</v>
      </c>
      <c r="C360" s="90" t="s">
        <v>1572</v>
      </c>
      <c r="D360" s="90" t="s">
        <v>1573</v>
      </c>
      <c r="E360" s="90" t="s">
        <v>1574</v>
      </c>
      <c r="F360" s="8" t="s">
        <v>1059</v>
      </c>
      <c r="G360" s="26" t="s">
        <v>3441</v>
      </c>
      <c r="H360" s="55" t="s">
        <v>320</v>
      </c>
      <c r="I360" s="1" t="s">
        <v>69</v>
      </c>
      <c r="J360" s="1"/>
      <c r="K360" s="1"/>
      <c r="L360" s="245"/>
      <c r="M360" s="234"/>
      <c r="N360" s="338"/>
      <c r="O360" s="89"/>
      <c r="P360" s="73"/>
      <c r="Q360" s="350"/>
      <c r="R360" s="104" t="s">
        <v>3442</v>
      </c>
      <c r="S360" s="318" t="s">
        <v>3338</v>
      </c>
      <c r="T360" s="14" t="s">
        <v>66</v>
      </c>
      <c r="U360" s="308"/>
      <c r="V360" s="68" t="s">
        <v>3272</v>
      </c>
      <c r="W360" s="28" t="s">
        <v>2</v>
      </c>
      <c r="X360" s="17" t="s">
        <v>1398</v>
      </c>
      <c r="Y360" s="14" t="s">
        <v>5</v>
      </c>
      <c r="Z360" s="21" t="s">
        <v>3</v>
      </c>
      <c r="AA360" s="25" t="s">
        <v>105</v>
      </c>
      <c r="AB360" s="376"/>
      <c r="AC360" s="1" t="s">
        <v>69</v>
      </c>
      <c r="AD360" s="71" t="s">
        <v>1399</v>
      </c>
      <c r="AE360" s="72" t="s">
        <v>1156</v>
      </c>
      <c r="AF360" s="32" t="s">
        <v>1157</v>
      </c>
      <c r="AG360" s="46" t="s">
        <v>3048</v>
      </c>
      <c r="AH360" s="163"/>
    </row>
    <row r="361" spans="1:34" s="248" customFormat="1">
      <c r="A361" s="127" t="s">
        <v>1652</v>
      </c>
      <c r="B361" s="79">
        <v>969</v>
      </c>
      <c r="C361" s="92">
        <v>2455</v>
      </c>
      <c r="D361" s="79">
        <v>5</v>
      </c>
      <c r="E361" s="80">
        <v>-3</v>
      </c>
      <c r="F361" s="57">
        <v>13.31</v>
      </c>
      <c r="G361" s="79">
        <v>2368</v>
      </c>
      <c r="H361" s="30" t="s">
        <v>1461</v>
      </c>
      <c r="I361" s="153" t="s">
        <v>387</v>
      </c>
      <c r="J361" s="8">
        <f>IFERROR(VLOOKUP($G361,今日總結!$A:$AN,33,0),"")</f>
        <v>1</v>
      </c>
      <c r="K361" s="5">
        <f>IFERROR(VLOOKUP($G361,今日總結!$A:$AN,34,0),"")</f>
        <v>0</v>
      </c>
      <c r="L361" s="156">
        <f>IFERROR(VLOOKUP($G361,今日總結!$A:$AN,31,0),"")</f>
        <v>0</v>
      </c>
      <c r="M361" s="337">
        <f>IFERROR(VLOOKUP($G361,今日總結!$A:$AN,32,0),"")</f>
        <v>1</v>
      </c>
      <c r="N361" s="240">
        <f t="shared" ref="N361" si="129">IFERROR(L361-M361,"")</f>
        <v>-1</v>
      </c>
      <c r="O361" s="359">
        <f>IFERROR(VLOOKUP($G361,融外自投!$A:$J,7,0),"無")</f>
        <v>617</v>
      </c>
      <c r="P361" s="79">
        <f>IFERROR(VLOOKUP($G361,融外自投!$A:$J,9,0),"無")</f>
        <v>196</v>
      </c>
      <c r="Q361" s="342">
        <f>IFERROR(VLOOKUP($G361,融外自投!$A:$J,8,0),"無")</f>
        <v>309</v>
      </c>
      <c r="R361" s="81">
        <f>IFERROR(VLOOKUP($G361,融外自投!$A:$J,10,0),"無")</f>
        <v>8</v>
      </c>
      <c r="S361" s="324">
        <f>IFERROR(VLOOKUP($G361,'321買'!$A:$E,5,0),"'沒有資料'")</f>
        <v>0</v>
      </c>
      <c r="T361" s="185">
        <v>0</v>
      </c>
      <c r="U361" s="308"/>
      <c r="V361" s="57">
        <f>T361/W361</f>
        <v>0</v>
      </c>
      <c r="W361" s="161">
        <v>57.6</v>
      </c>
      <c r="X361" s="65">
        <v>54.5</v>
      </c>
      <c r="Y361" s="162">
        <f t="shared" ref="Y361:Y377" si="130">W361-X361</f>
        <v>3.1000000000000014</v>
      </c>
      <c r="Z361" s="158">
        <f t="shared" ref="Z361:Z377" si="131">Y361/X361</f>
        <v>5.6880733944954152E-2</v>
      </c>
      <c r="AA361" s="184" t="s">
        <v>3057</v>
      </c>
      <c r="AB361" s="376"/>
      <c r="AC361" s="153" t="s">
        <v>387</v>
      </c>
      <c r="AD361" s="84">
        <v>44225</v>
      </c>
      <c r="AE361" s="83">
        <v>44251</v>
      </c>
      <c r="AF361" s="33">
        <f t="shared" ref="AF361:AF370" si="132">AE361-AD361</f>
        <v>26</v>
      </c>
      <c r="AG361" s="41" t="s">
        <v>2152</v>
      </c>
      <c r="AH361" s="117"/>
    </row>
    <row r="362" spans="1:34" s="248" customFormat="1">
      <c r="A362" s="127" t="s">
        <v>1652</v>
      </c>
      <c r="B362" s="79">
        <v>969</v>
      </c>
      <c r="C362" s="92">
        <v>2455</v>
      </c>
      <c r="D362" s="79">
        <v>5</v>
      </c>
      <c r="E362" s="80">
        <v>-3</v>
      </c>
      <c r="F362" s="57">
        <v>13.31</v>
      </c>
      <c r="G362" s="79">
        <v>2368</v>
      </c>
      <c r="H362" s="30" t="s">
        <v>1461</v>
      </c>
      <c r="I362" s="153" t="s">
        <v>387</v>
      </c>
      <c r="J362" s="8">
        <f>IFERROR(VLOOKUP($G362,今日總結!$A:$AN,33,0),"")</f>
        <v>1</v>
      </c>
      <c r="K362" s="5">
        <f>IFERROR(VLOOKUP($G362,今日總結!$A:$AN,34,0),"")</f>
        <v>0</v>
      </c>
      <c r="L362" s="156">
        <f>IFERROR(VLOOKUP($G362,今日總結!$A:$AN,31,0),"")</f>
        <v>0</v>
      </c>
      <c r="M362" s="337">
        <f>IFERROR(VLOOKUP($G362,今日總結!$A:$AN,32,0),"")</f>
        <v>1</v>
      </c>
      <c r="N362" s="240">
        <f t="shared" ref="N362:N377" si="133">IFERROR(L362-M362,"")</f>
        <v>-1</v>
      </c>
      <c r="O362" s="359">
        <f>IFERROR(VLOOKUP($G362,融外自投!$A:$J,7,0),"無")</f>
        <v>617</v>
      </c>
      <c r="P362" s="79">
        <f>IFERROR(VLOOKUP($G362,融外自投!$A:$J,9,0),"無")</f>
        <v>196</v>
      </c>
      <c r="Q362" s="342">
        <f>IFERROR(VLOOKUP($G362,融外自投!$A:$J,8,0),"無")</f>
        <v>309</v>
      </c>
      <c r="R362" s="81">
        <f>IFERROR(VLOOKUP($G362,融外自投!$A:$J,10,0),"無")</f>
        <v>8</v>
      </c>
      <c r="S362" s="324">
        <f>IFERROR(VLOOKUP($G362,'321買'!$A:$E,5,0),"'沒有資料'")</f>
        <v>0</v>
      </c>
      <c r="T362" s="185">
        <v>0</v>
      </c>
      <c r="U362" s="308"/>
      <c r="V362" s="57">
        <f>T362/W362</f>
        <v>0</v>
      </c>
      <c r="W362" s="161">
        <v>57.6</v>
      </c>
      <c r="X362" s="65">
        <v>57.9</v>
      </c>
      <c r="Y362" s="162">
        <f t="shared" si="130"/>
        <v>-0.29999999999999716</v>
      </c>
      <c r="Z362" s="164">
        <f t="shared" si="131"/>
        <v>-5.1813471502590181E-3</v>
      </c>
      <c r="AA362" s="196" t="s">
        <v>3058</v>
      </c>
      <c r="AB362" s="376"/>
      <c r="AC362" s="153" t="s">
        <v>387</v>
      </c>
      <c r="AD362" s="84">
        <v>44214</v>
      </c>
      <c r="AE362" s="83">
        <v>44251</v>
      </c>
      <c r="AF362" s="33">
        <f t="shared" si="132"/>
        <v>37</v>
      </c>
      <c r="AG362" s="41" t="s">
        <v>2152</v>
      </c>
      <c r="AH362" s="117"/>
    </row>
    <row r="363" spans="1:34" s="248" customFormat="1">
      <c r="A363" s="127" t="s">
        <v>3046</v>
      </c>
      <c r="B363" s="79">
        <v>9</v>
      </c>
      <c r="C363" s="79">
        <v>9</v>
      </c>
      <c r="D363" s="79">
        <v>5</v>
      </c>
      <c r="E363" s="80">
        <v>-6</v>
      </c>
      <c r="F363" s="57">
        <v>27.77</v>
      </c>
      <c r="G363" s="79">
        <v>1101</v>
      </c>
      <c r="H363" s="30" t="s">
        <v>1461</v>
      </c>
      <c r="I363" s="153" t="s">
        <v>274</v>
      </c>
      <c r="J363" s="8">
        <f>IFERROR(VLOOKUP($G363,今日總結!$A:$AN,33,0),"")</f>
        <v>1</v>
      </c>
      <c r="K363" s="5">
        <f>IFERROR(VLOOKUP($G363,今日總結!$A:$AN,34,0),"")</f>
        <v>0</v>
      </c>
      <c r="L363" s="156">
        <f>IFERROR(VLOOKUP($G363,今日總結!$A:$AN,31,0),"")</f>
        <v>1</v>
      </c>
      <c r="M363" s="337">
        <f>IFERROR(VLOOKUP($G363,今日總結!$A:$AN,32,0),"")</f>
        <v>1</v>
      </c>
      <c r="N363" s="240">
        <f t="shared" si="133"/>
        <v>0</v>
      </c>
      <c r="O363" s="359">
        <f>IFERROR(VLOOKUP($G363,融外自投!$A:$J,7,0),"無")</f>
        <v>1331</v>
      </c>
      <c r="P363" s="79">
        <f>IFERROR(VLOOKUP($G363,融外自投!$A:$J,9,0),"無")</f>
        <v>80</v>
      </c>
      <c r="Q363" s="342">
        <f>IFERROR(VLOOKUP($G363,融外自投!$A:$J,8,0),"無")</f>
        <v>264</v>
      </c>
      <c r="R363" s="81">
        <f>IFERROR(VLOOKUP($G363,融外自投!$A:$J,10,0),"無")</f>
        <v>78</v>
      </c>
      <c r="S363" s="324">
        <f>IFERROR(VLOOKUP($G363,'321買'!$A:$E,5,0),"'沒有資料'")</f>
        <v>0</v>
      </c>
      <c r="T363" s="185">
        <v>3</v>
      </c>
      <c r="U363" s="308"/>
      <c r="V363" s="94">
        <f t="shared" ref="V363:V377" si="134">T363/W363</f>
        <v>7.0754716981132074E-2</v>
      </c>
      <c r="W363" s="161">
        <v>42.4</v>
      </c>
      <c r="X363" s="65">
        <v>40.4</v>
      </c>
      <c r="Y363" s="162">
        <f t="shared" si="130"/>
        <v>2</v>
      </c>
      <c r="Z363" s="158">
        <f t="shared" si="131"/>
        <v>4.9504950495049507E-2</v>
      </c>
      <c r="AA363" s="184" t="s">
        <v>3008</v>
      </c>
      <c r="AB363" s="376"/>
      <c r="AC363" s="153" t="s">
        <v>274</v>
      </c>
      <c r="AD363" s="84">
        <v>44223</v>
      </c>
      <c r="AE363" s="83">
        <v>44251</v>
      </c>
      <c r="AF363" s="33">
        <f t="shared" si="132"/>
        <v>28</v>
      </c>
      <c r="AG363" s="41" t="s">
        <v>1121</v>
      </c>
      <c r="AH363" s="163"/>
    </row>
    <row r="364" spans="1:34" s="248" customFormat="1">
      <c r="A364" s="127" t="s">
        <v>3046</v>
      </c>
      <c r="B364" s="79">
        <v>9</v>
      </c>
      <c r="C364" s="79">
        <v>9</v>
      </c>
      <c r="D364" s="79">
        <v>5</v>
      </c>
      <c r="E364" s="80">
        <v>-6</v>
      </c>
      <c r="F364" s="57">
        <v>27.77</v>
      </c>
      <c r="G364" s="79">
        <v>1101</v>
      </c>
      <c r="H364" s="30" t="s">
        <v>1461</v>
      </c>
      <c r="I364" s="153" t="s">
        <v>274</v>
      </c>
      <c r="J364" s="8">
        <f>IFERROR(VLOOKUP($G364,今日總結!$A:$AN,33,0),"")</f>
        <v>1</v>
      </c>
      <c r="K364" s="5">
        <f>IFERROR(VLOOKUP($G364,今日總結!$A:$AN,34,0),"")</f>
        <v>0</v>
      </c>
      <c r="L364" s="156">
        <f>IFERROR(VLOOKUP($G364,今日總結!$A:$AN,31,0),"")</f>
        <v>1</v>
      </c>
      <c r="M364" s="337">
        <f>IFERROR(VLOOKUP($G364,今日總結!$A:$AN,32,0),"")</f>
        <v>1</v>
      </c>
      <c r="N364" s="240">
        <f t="shared" si="133"/>
        <v>0</v>
      </c>
      <c r="O364" s="359">
        <f>IFERROR(VLOOKUP($G364,融外自投!$A:$J,7,0),"無")</f>
        <v>1331</v>
      </c>
      <c r="P364" s="79">
        <f>IFERROR(VLOOKUP($G364,融外自投!$A:$J,9,0),"無")</f>
        <v>80</v>
      </c>
      <c r="Q364" s="342">
        <f>IFERROR(VLOOKUP($G364,融外自投!$A:$J,8,0),"無")</f>
        <v>264</v>
      </c>
      <c r="R364" s="81">
        <f>IFERROR(VLOOKUP($G364,融外自投!$A:$J,10,0),"無")</f>
        <v>78</v>
      </c>
      <c r="S364" s="324">
        <f>IFERROR(VLOOKUP($G364,'321買'!$A:$E,5,0),"'沒有資料'")</f>
        <v>0</v>
      </c>
      <c r="T364" s="185">
        <v>3</v>
      </c>
      <c r="U364" s="308"/>
      <c r="V364" s="94">
        <f t="shared" si="134"/>
        <v>7.0754716981132074E-2</v>
      </c>
      <c r="W364" s="161">
        <v>42.4</v>
      </c>
      <c r="X364" s="65">
        <v>40.4</v>
      </c>
      <c r="Y364" s="162">
        <f t="shared" si="130"/>
        <v>2</v>
      </c>
      <c r="Z364" s="158">
        <f t="shared" si="131"/>
        <v>4.9504950495049507E-2</v>
      </c>
      <c r="AA364" s="184" t="s">
        <v>3008</v>
      </c>
      <c r="AB364" s="376"/>
      <c r="AC364" s="153" t="s">
        <v>274</v>
      </c>
      <c r="AD364" s="84">
        <v>44223</v>
      </c>
      <c r="AE364" s="83">
        <v>44251</v>
      </c>
      <c r="AF364" s="33">
        <f t="shared" si="132"/>
        <v>28</v>
      </c>
      <c r="AG364" s="41" t="s">
        <v>1121</v>
      </c>
      <c r="AH364" s="163"/>
    </row>
    <row r="365" spans="1:34" s="248" customFormat="1">
      <c r="A365" s="127" t="s">
        <v>3046</v>
      </c>
      <c r="B365" s="79">
        <v>9</v>
      </c>
      <c r="C365" s="79">
        <v>9</v>
      </c>
      <c r="D365" s="79">
        <v>5</v>
      </c>
      <c r="E365" s="80">
        <v>-6</v>
      </c>
      <c r="F365" s="57">
        <v>27.77</v>
      </c>
      <c r="G365" s="79">
        <v>1101</v>
      </c>
      <c r="H365" s="30" t="s">
        <v>1461</v>
      </c>
      <c r="I365" s="153" t="s">
        <v>274</v>
      </c>
      <c r="J365" s="8">
        <f>IFERROR(VLOOKUP($G365,今日總結!$A:$AN,33,0),"")</f>
        <v>1</v>
      </c>
      <c r="K365" s="5">
        <f>IFERROR(VLOOKUP($G365,今日總結!$A:$AN,34,0),"")</f>
        <v>0</v>
      </c>
      <c r="L365" s="156">
        <f>IFERROR(VLOOKUP($G365,今日總結!$A:$AN,31,0),"")</f>
        <v>1</v>
      </c>
      <c r="M365" s="337">
        <f>IFERROR(VLOOKUP($G365,今日總結!$A:$AN,32,0),"")</f>
        <v>1</v>
      </c>
      <c r="N365" s="240">
        <f t="shared" si="133"/>
        <v>0</v>
      </c>
      <c r="O365" s="359">
        <f>IFERROR(VLOOKUP($G365,融外自投!$A:$J,7,0),"無")</f>
        <v>1331</v>
      </c>
      <c r="P365" s="79">
        <f>IFERROR(VLOOKUP($G365,融外自投!$A:$J,9,0),"無")</f>
        <v>80</v>
      </c>
      <c r="Q365" s="342">
        <f>IFERROR(VLOOKUP($G365,融外自投!$A:$J,8,0),"無")</f>
        <v>264</v>
      </c>
      <c r="R365" s="81">
        <f>IFERROR(VLOOKUP($G365,融外自投!$A:$J,10,0),"無")</f>
        <v>78</v>
      </c>
      <c r="S365" s="324">
        <f>IFERROR(VLOOKUP($G365,'321買'!$A:$E,5,0),"'沒有資料'")</f>
        <v>0</v>
      </c>
      <c r="T365" s="185">
        <v>3</v>
      </c>
      <c r="U365" s="308"/>
      <c r="V365" s="94">
        <f t="shared" si="134"/>
        <v>7.0754716981132074E-2</v>
      </c>
      <c r="W365" s="161">
        <v>42.4</v>
      </c>
      <c r="X365" s="65">
        <v>42.7</v>
      </c>
      <c r="Y365" s="162">
        <f t="shared" si="130"/>
        <v>-0.30000000000000426</v>
      </c>
      <c r="Z365" s="164">
        <f t="shared" si="131"/>
        <v>-7.0257611241218796E-3</v>
      </c>
      <c r="AA365" s="196" t="s">
        <v>3049</v>
      </c>
      <c r="AB365" s="376"/>
      <c r="AC365" s="153" t="s">
        <v>274</v>
      </c>
      <c r="AD365" s="84">
        <v>44188</v>
      </c>
      <c r="AE365" s="83">
        <v>44251</v>
      </c>
      <c r="AF365" s="33">
        <f t="shared" si="132"/>
        <v>63</v>
      </c>
      <c r="AG365" s="41" t="s">
        <v>1121</v>
      </c>
      <c r="AH365" s="163"/>
    </row>
    <row r="366" spans="1:34" s="248" customFormat="1">
      <c r="A366" s="127" t="s">
        <v>3046</v>
      </c>
      <c r="B366" s="79">
        <v>9</v>
      </c>
      <c r="C366" s="79">
        <v>9</v>
      </c>
      <c r="D366" s="79">
        <v>5</v>
      </c>
      <c r="E366" s="80">
        <v>-6</v>
      </c>
      <c r="F366" s="57">
        <v>27.77</v>
      </c>
      <c r="G366" s="79">
        <v>1101</v>
      </c>
      <c r="H366" s="30" t="s">
        <v>1461</v>
      </c>
      <c r="I366" s="153" t="s">
        <v>274</v>
      </c>
      <c r="J366" s="8">
        <f>IFERROR(VLOOKUP($G366,今日總結!$A:$AN,33,0),"")</f>
        <v>1</v>
      </c>
      <c r="K366" s="5">
        <f>IFERROR(VLOOKUP($G366,今日總結!$A:$AN,34,0),"")</f>
        <v>0</v>
      </c>
      <c r="L366" s="156">
        <f>IFERROR(VLOOKUP($G366,今日總結!$A:$AN,31,0),"")</f>
        <v>1</v>
      </c>
      <c r="M366" s="337">
        <f>IFERROR(VLOOKUP($G366,今日總結!$A:$AN,32,0),"")</f>
        <v>1</v>
      </c>
      <c r="N366" s="240">
        <f t="shared" si="133"/>
        <v>0</v>
      </c>
      <c r="O366" s="359">
        <f>IFERROR(VLOOKUP($G366,融外自投!$A:$J,7,0),"無")</f>
        <v>1331</v>
      </c>
      <c r="P366" s="79">
        <f>IFERROR(VLOOKUP($G366,融外自投!$A:$J,9,0),"無")</f>
        <v>80</v>
      </c>
      <c r="Q366" s="342">
        <f>IFERROR(VLOOKUP($G366,融外自投!$A:$J,8,0),"無")</f>
        <v>264</v>
      </c>
      <c r="R366" s="81">
        <f>IFERROR(VLOOKUP($G366,融外自投!$A:$J,10,0),"無")</f>
        <v>78</v>
      </c>
      <c r="S366" s="324">
        <f>IFERROR(VLOOKUP($G366,'321買'!$A:$E,5,0),"'沒有資料'")</f>
        <v>0</v>
      </c>
      <c r="T366" s="185">
        <v>3</v>
      </c>
      <c r="U366" s="308"/>
      <c r="V366" s="94">
        <f t="shared" si="134"/>
        <v>7.0754716981132074E-2</v>
      </c>
      <c r="W366" s="161">
        <v>42.4</v>
      </c>
      <c r="X366" s="65">
        <v>43.45</v>
      </c>
      <c r="Y366" s="162">
        <f t="shared" si="130"/>
        <v>-1.0500000000000043</v>
      </c>
      <c r="Z366" s="164">
        <f t="shared" si="131"/>
        <v>-2.4165707710011603E-2</v>
      </c>
      <c r="AA366" s="196" t="s">
        <v>3050</v>
      </c>
      <c r="AB366" s="376"/>
      <c r="AC366" s="153" t="s">
        <v>274</v>
      </c>
      <c r="AD366" s="84">
        <v>44186</v>
      </c>
      <c r="AE366" s="83">
        <v>44251</v>
      </c>
      <c r="AF366" s="33">
        <f t="shared" si="132"/>
        <v>65</v>
      </c>
      <c r="AG366" s="41" t="s">
        <v>1121</v>
      </c>
      <c r="AH366" s="163"/>
    </row>
    <row r="367" spans="1:34" s="248" customFormat="1">
      <c r="A367" s="127" t="s">
        <v>1668</v>
      </c>
      <c r="B367" s="92">
        <v>233</v>
      </c>
      <c r="C367" s="92">
        <v>237</v>
      </c>
      <c r="D367" s="79">
        <v>0</v>
      </c>
      <c r="E367" s="79">
        <v>4</v>
      </c>
      <c r="F367" s="57">
        <v>23.39</v>
      </c>
      <c r="G367" s="80">
        <v>8155</v>
      </c>
      <c r="H367" s="30" t="s">
        <v>1461</v>
      </c>
      <c r="I367" s="166" t="s">
        <v>84</v>
      </c>
      <c r="J367" s="8">
        <f>IFERROR(VLOOKUP($G367,今日總結!$A:$AN,33,0),"")</f>
        <v>1</v>
      </c>
      <c r="K367" s="5">
        <f>IFERROR(VLOOKUP($G367,今日總結!$A:$AN,34,0),"")</f>
        <v>0</v>
      </c>
      <c r="L367" s="156">
        <f>IFERROR(VLOOKUP($G367,今日總結!$A:$AN,31,0),"")</f>
        <v>1</v>
      </c>
      <c r="M367" s="337">
        <f>IFERROR(VLOOKUP($G367,今日總結!$A:$AN,32,0),"")</f>
        <v>1</v>
      </c>
      <c r="N367" s="240">
        <f t="shared" si="133"/>
        <v>0</v>
      </c>
      <c r="O367" s="359">
        <f>IFERROR(VLOOKUP($G367,融外自投!$A:$J,7,0),"無")</f>
        <v>243</v>
      </c>
      <c r="P367" s="79">
        <f>IFERROR(VLOOKUP($G367,融外自投!$A:$J,9,0),"無")</f>
        <v>190</v>
      </c>
      <c r="Q367" s="342">
        <f>IFERROR(VLOOKUP($G367,融外自投!$A:$J,8,0),"無")</f>
        <v>1107</v>
      </c>
      <c r="R367" s="81">
        <f>IFERROR(VLOOKUP($G367,融外自投!$A:$J,10,0),"無")</f>
        <v>1</v>
      </c>
      <c r="S367" s="324">
        <f>IFERROR(VLOOKUP($G367,'321買'!$A:$E,5,0),"'沒有資料'")</f>
        <v>0</v>
      </c>
      <c r="T367" s="185">
        <v>3.6</v>
      </c>
      <c r="U367" s="308"/>
      <c r="V367" s="94">
        <f t="shared" si="134"/>
        <v>3.0125523012552301E-2</v>
      </c>
      <c r="W367" s="161">
        <v>119.5</v>
      </c>
      <c r="X367" s="155">
        <v>116</v>
      </c>
      <c r="Y367" s="162">
        <f t="shared" si="130"/>
        <v>3.5</v>
      </c>
      <c r="Z367" s="158">
        <f t="shared" si="131"/>
        <v>3.017241379310345E-2</v>
      </c>
      <c r="AA367" s="184" t="s">
        <v>1667</v>
      </c>
      <c r="AB367" s="376"/>
      <c r="AC367" s="166" t="s">
        <v>84</v>
      </c>
      <c r="AD367" s="84">
        <v>44209</v>
      </c>
      <c r="AE367" s="83">
        <v>44251</v>
      </c>
      <c r="AF367" s="33">
        <f t="shared" si="132"/>
        <v>42</v>
      </c>
      <c r="AG367" s="41" t="s">
        <v>1121</v>
      </c>
    </row>
    <row r="368" spans="1:34" s="248" customFormat="1">
      <c r="A368" s="127" t="s">
        <v>1668</v>
      </c>
      <c r="B368" s="92">
        <v>233</v>
      </c>
      <c r="C368" s="92">
        <v>237</v>
      </c>
      <c r="D368" s="79">
        <v>0</v>
      </c>
      <c r="E368" s="79">
        <v>4</v>
      </c>
      <c r="F368" s="57">
        <v>23.39</v>
      </c>
      <c r="G368" s="80">
        <v>8155</v>
      </c>
      <c r="H368" s="30" t="s">
        <v>1461</v>
      </c>
      <c r="I368" s="166" t="s">
        <v>84</v>
      </c>
      <c r="J368" s="8">
        <f>IFERROR(VLOOKUP($G368,今日總結!$A:$AN,33,0),"")</f>
        <v>1</v>
      </c>
      <c r="K368" s="5">
        <f>IFERROR(VLOOKUP($G368,今日總結!$A:$AN,34,0),"")</f>
        <v>0</v>
      </c>
      <c r="L368" s="156">
        <f>IFERROR(VLOOKUP($G368,今日總結!$A:$AN,31,0),"")</f>
        <v>1</v>
      </c>
      <c r="M368" s="337">
        <f>IFERROR(VLOOKUP($G368,今日總結!$A:$AN,32,0),"")</f>
        <v>1</v>
      </c>
      <c r="N368" s="240">
        <f t="shared" si="133"/>
        <v>0</v>
      </c>
      <c r="O368" s="359">
        <f>IFERROR(VLOOKUP($G368,融外自投!$A:$J,7,0),"無")</f>
        <v>243</v>
      </c>
      <c r="P368" s="79">
        <f>IFERROR(VLOOKUP($G368,融外自投!$A:$J,9,0),"無")</f>
        <v>190</v>
      </c>
      <c r="Q368" s="342">
        <f>IFERROR(VLOOKUP($G368,融外自投!$A:$J,8,0),"無")</f>
        <v>1107</v>
      </c>
      <c r="R368" s="81">
        <f>IFERROR(VLOOKUP($G368,融外自投!$A:$J,10,0),"無")</f>
        <v>1</v>
      </c>
      <c r="S368" s="324">
        <f>IFERROR(VLOOKUP($G368,'321買'!$A:$E,5,0),"'沒有資料'")</f>
        <v>0</v>
      </c>
      <c r="T368" s="185">
        <v>3.6</v>
      </c>
      <c r="U368" s="308"/>
      <c r="V368" s="94">
        <f t="shared" si="134"/>
        <v>3.0125523012552301E-2</v>
      </c>
      <c r="W368" s="161">
        <v>119.5</v>
      </c>
      <c r="X368" s="155">
        <v>117</v>
      </c>
      <c r="Y368" s="162">
        <f t="shared" si="130"/>
        <v>2.5</v>
      </c>
      <c r="Z368" s="158">
        <f t="shared" si="131"/>
        <v>2.1367521367521368E-2</v>
      </c>
      <c r="AA368" s="184" t="s">
        <v>1694</v>
      </c>
      <c r="AB368" s="376"/>
      <c r="AC368" s="166" t="s">
        <v>84</v>
      </c>
      <c r="AD368" s="84">
        <v>44207</v>
      </c>
      <c r="AE368" s="83">
        <v>44251</v>
      </c>
      <c r="AF368" s="33">
        <f t="shared" si="132"/>
        <v>44</v>
      </c>
      <c r="AG368" s="41" t="s">
        <v>1121</v>
      </c>
    </row>
    <row r="369" spans="1:40" s="248" customFormat="1">
      <c r="A369" s="127" t="s">
        <v>2191</v>
      </c>
      <c r="B369" s="79">
        <v>89</v>
      </c>
      <c r="C369" s="79">
        <v>91</v>
      </c>
      <c r="D369" s="80">
        <v>-8</v>
      </c>
      <c r="E369" s="79">
        <v>14</v>
      </c>
      <c r="F369" s="57">
        <v>16.3</v>
      </c>
      <c r="G369" s="79">
        <v>6104</v>
      </c>
      <c r="H369" s="30" t="s">
        <v>1461</v>
      </c>
      <c r="I369" s="166" t="s">
        <v>372</v>
      </c>
      <c r="J369" s="8">
        <f>IFERROR(VLOOKUP($G369,今日總結!$A:$AN,33,0),"")</f>
        <v>1</v>
      </c>
      <c r="K369" s="5">
        <f>IFERROR(VLOOKUP($G369,今日總結!$A:$AN,34,0),"")</f>
        <v>0</v>
      </c>
      <c r="L369" s="156">
        <f>IFERROR(VLOOKUP($G369,今日總結!$A:$AN,31,0),"")</f>
        <v>3</v>
      </c>
      <c r="M369" s="337">
        <f>IFERROR(VLOOKUP($G369,今日總結!$A:$AN,32,0),"")</f>
        <v>1</v>
      </c>
      <c r="N369" s="240">
        <f t="shared" si="133"/>
        <v>2</v>
      </c>
      <c r="O369" s="359">
        <f>IFERROR(VLOOKUP($G369,融外自投!$A:$J,7,0),"無")</f>
        <v>21</v>
      </c>
      <c r="P369" s="79">
        <f>IFERROR(VLOOKUP($G369,融外自投!$A:$J,9,0),"無")</f>
        <v>104</v>
      </c>
      <c r="Q369" s="342">
        <f>IFERROR(VLOOKUP($G369,融外自投!$A:$J,8,0),"無")</f>
        <v>334</v>
      </c>
      <c r="R369" s="81">
        <f>IFERROR(VLOOKUP($G369,融外自投!$A:$J,10,0),"無")</f>
        <v>30</v>
      </c>
      <c r="S369" s="324">
        <f>IFERROR(VLOOKUP($G369,'321買'!$A:$E,5,0),"'沒有資料'")</f>
        <v>0</v>
      </c>
      <c r="T369" s="185">
        <v>2</v>
      </c>
      <c r="U369" s="308"/>
      <c r="V369" s="57">
        <f t="shared" si="134"/>
        <v>2.7359781121751029E-2</v>
      </c>
      <c r="W369" s="161">
        <v>73.099999999999994</v>
      </c>
      <c r="X369" s="155">
        <v>68.5</v>
      </c>
      <c r="Y369" s="162">
        <f t="shared" si="130"/>
        <v>4.5999999999999943</v>
      </c>
      <c r="Z369" s="158">
        <f t="shared" si="131"/>
        <v>6.7153284671532767E-2</v>
      </c>
      <c r="AA369" s="184" t="s">
        <v>3051</v>
      </c>
      <c r="AB369" s="376"/>
      <c r="AC369" s="166" t="s">
        <v>372</v>
      </c>
      <c r="AD369" s="84">
        <v>44218</v>
      </c>
      <c r="AE369" s="83">
        <v>44251</v>
      </c>
      <c r="AF369" s="33">
        <f t="shared" si="132"/>
        <v>33</v>
      </c>
      <c r="AG369" s="41" t="s">
        <v>1121</v>
      </c>
      <c r="AH369" s="163"/>
    </row>
    <row r="370" spans="1:40" s="248" customFormat="1">
      <c r="A370" s="127" t="s">
        <v>2191</v>
      </c>
      <c r="B370" s="79">
        <v>89</v>
      </c>
      <c r="C370" s="79">
        <v>91</v>
      </c>
      <c r="D370" s="80">
        <v>-8</v>
      </c>
      <c r="E370" s="79">
        <v>14</v>
      </c>
      <c r="F370" s="57">
        <v>16.3</v>
      </c>
      <c r="G370" s="79">
        <v>6104</v>
      </c>
      <c r="H370" s="30" t="s">
        <v>1461</v>
      </c>
      <c r="I370" s="166" t="s">
        <v>372</v>
      </c>
      <c r="J370" s="8">
        <f>IFERROR(VLOOKUP($G370,今日總結!$A:$AN,33,0),"")</f>
        <v>1</v>
      </c>
      <c r="K370" s="5">
        <f>IFERROR(VLOOKUP($G370,今日總結!$A:$AN,34,0),"")</f>
        <v>0</v>
      </c>
      <c r="L370" s="156">
        <f>IFERROR(VLOOKUP($G370,今日總結!$A:$AN,31,0),"")</f>
        <v>3</v>
      </c>
      <c r="M370" s="337">
        <f>IFERROR(VLOOKUP($G370,今日總結!$A:$AN,32,0),"")</f>
        <v>1</v>
      </c>
      <c r="N370" s="240">
        <f t="shared" si="133"/>
        <v>2</v>
      </c>
      <c r="O370" s="359">
        <f>IFERROR(VLOOKUP($G370,融外自投!$A:$J,7,0),"無")</f>
        <v>21</v>
      </c>
      <c r="P370" s="79">
        <f>IFERROR(VLOOKUP($G370,融外自投!$A:$J,9,0),"無")</f>
        <v>104</v>
      </c>
      <c r="Q370" s="342">
        <f>IFERROR(VLOOKUP($G370,融外自投!$A:$J,8,0),"無")</f>
        <v>334</v>
      </c>
      <c r="R370" s="81">
        <f>IFERROR(VLOOKUP($G370,融外自投!$A:$J,10,0),"無")</f>
        <v>30</v>
      </c>
      <c r="S370" s="324">
        <f>IFERROR(VLOOKUP($G370,'321買'!$A:$E,5,0),"'沒有資料'")</f>
        <v>0</v>
      </c>
      <c r="T370" s="185">
        <v>2</v>
      </c>
      <c r="U370" s="308"/>
      <c r="V370" s="57">
        <f t="shared" si="134"/>
        <v>2.7359781121751029E-2</v>
      </c>
      <c r="W370" s="161">
        <v>73.099999999999994</v>
      </c>
      <c r="X370" s="155">
        <v>73.900000000000006</v>
      </c>
      <c r="Y370" s="162">
        <f t="shared" si="130"/>
        <v>-0.80000000000001137</v>
      </c>
      <c r="Z370" s="164">
        <f t="shared" si="131"/>
        <v>-1.0825439783491358E-2</v>
      </c>
      <c r="AA370" s="196" t="s">
        <v>3052</v>
      </c>
      <c r="AB370" s="376"/>
      <c r="AC370" s="166" t="s">
        <v>372</v>
      </c>
      <c r="AD370" s="84">
        <v>44207</v>
      </c>
      <c r="AE370" s="83">
        <v>44251</v>
      </c>
      <c r="AF370" s="33">
        <f t="shared" si="132"/>
        <v>44</v>
      </c>
      <c r="AG370" s="41" t="s">
        <v>1121</v>
      </c>
      <c r="AH370" s="163"/>
    </row>
    <row r="371" spans="1:40" s="248" customFormat="1">
      <c r="A371" s="141"/>
      <c r="B371" s="80">
        <v>-1</v>
      </c>
      <c r="C371" s="80">
        <v>-17</v>
      </c>
      <c r="D371" s="80">
        <v>-1</v>
      </c>
      <c r="E371" s="80">
        <v>-12</v>
      </c>
      <c r="F371" s="6">
        <v>4.8499999999999996</v>
      </c>
      <c r="G371" s="79">
        <v>2103</v>
      </c>
      <c r="H371" s="30" t="s">
        <v>1461</v>
      </c>
      <c r="I371" s="153" t="s">
        <v>3047</v>
      </c>
      <c r="J371" s="8">
        <f>IFERROR(VLOOKUP($G371,今日總結!$A:$AN,33,0),"")</f>
        <v>0</v>
      </c>
      <c r="K371" s="5">
        <f>IFERROR(VLOOKUP($G371,今日總結!$A:$AN,34,0),"")</f>
        <v>0</v>
      </c>
      <c r="L371" s="156">
        <f>IFERROR(VLOOKUP($G371,今日總結!$A:$AN,31,0),"")</f>
        <v>0</v>
      </c>
      <c r="M371" s="337">
        <f>IFERROR(VLOOKUP($G371,今日總結!$A:$AN,32,0),"")</f>
        <v>0</v>
      </c>
      <c r="N371" s="240">
        <f t="shared" si="133"/>
        <v>0</v>
      </c>
      <c r="O371" s="359">
        <f>IFERROR(VLOOKUP($G371,融外自投!$A:$J,7,0),"無")</f>
        <v>1003</v>
      </c>
      <c r="P371" s="79">
        <f>IFERROR(VLOOKUP($G371,融外自投!$A:$J,9,0),"無")</f>
        <v>790</v>
      </c>
      <c r="Q371" s="342">
        <f>IFERROR(VLOOKUP($G371,融外自投!$A:$J,8,0),"無")</f>
        <v>184</v>
      </c>
      <c r="R371" s="81" t="str">
        <f>IFERROR(VLOOKUP($G371,融外自投!$A:$J,10,0),"無")</f>
        <v>無</v>
      </c>
      <c r="S371" s="324">
        <f>IFERROR(VLOOKUP($G371,'321買'!$A:$E,5,0),"'沒有資料'")</f>
        <v>0</v>
      </c>
      <c r="T371" s="65">
        <v>0.98</v>
      </c>
      <c r="U371" s="308"/>
      <c r="V371" s="39">
        <f t="shared" si="134"/>
        <v>3.6567164179104474E-2</v>
      </c>
      <c r="W371" s="161">
        <v>26.8</v>
      </c>
      <c r="X371" s="65">
        <v>26.1</v>
      </c>
      <c r="Y371" s="162">
        <f t="shared" si="130"/>
        <v>0.69999999999999929</v>
      </c>
      <c r="Z371" s="158">
        <f t="shared" si="131"/>
        <v>2.6819923371647483E-2</v>
      </c>
      <c r="AA371" s="184" t="s">
        <v>3053</v>
      </c>
      <c r="AB371" s="376"/>
      <c r="AC371" s="153" t="s">
        <v>3047</v>
      </c>
      <c r="AD371" s="84">
        <v>44246</v>
      </c>
      <c r="AE371" s="83">
        <v>44251</v>
      </c>
      <c r="AF371" s="33">
        <f t="shared" ref="AF371:AF377" si="135">AE371-AD371</f>
        <v>5</v>
      </c>
      <c r="AG371" s="41" t="s">
        <v>1121</v>
      </c>
      <c r="AH371" s="163"/>
    </row>
    <row r="372" spans="1:40" s="248" customFormat="1">
      <c r="A372" s="141"/>
      <c r="B372" s="80">
        <v>-1</v>
      </c>
      <c r="C372" s="80">
        <v>-17</v>
      </c>
      <c r="D372" s="80">
        <v>-1</v>
      </c>
      <c r="E372" s="80">
        <v>-12</v>
      </c>
      <c r="F372" s="6">
        <v>4.8499999999999996</v>
      </c>
      <c r="G372" s="79">
        <v>2103</v>
      </c>
      <c r="H372" s="30" t="s">
        <v>1461</v>
      </c>
      <c r="I372" s="153" t="s">
        <v>3047</v>
      </c>
      <c r="J372" s="8">
        <f>IFERROR(VLOOKUP($G372,今日總結!$A:$AN,33,0),"")</f>
        <v>0</v>
      </c>
      <c r="K372" s="5">
        <f>IFERROR(VLOOKUP($G372,今日總結!$A:$AN,34,0),"")</f>
        <v>0</v>
      </c>
      <c r="L372" s="156">
        <f>IFERROR(VLOOKUP($G372,今日總結!$A:$AN,31,0),"")</f>
        <v>0</v>
      </c>
      <c r="M372" s="337">
        <f>IFERROR(VLOOKUP($G372,今日總結!$A:$AN,32,0),"")</f>
        <v>0</v>
      </c>
      <c r="N372" s="240">
        <f t="shared" si="133"/>
        <v>0</v>
      </c>
      <c r="O372" s="359">
        <f>IFERROR(VLOOKUP($G372,融外自投!$A:$J,7,0),"無")</f>
        <v>1003</v>
      </c>
      <c r="P372" s="79">
        <f>IFERROR(VLOOKUP($G372,融外自投!$A:$J,9,0),"無")</f>
        <v>790</v>
      </c>
      <c r="Q372" s="342">
        <f>IFERROR(VLOOKUP($G372,融外自投!$A:$J,8,0),"無")</f>
        <v>184</v>
      </c>
      <c r="R372" s="81" t="str">
        <f>IFERROR(VLOOKUP($G372,融外自投!$A:$J,10,0),"無")</f>
        <v>無</v>
      </c>
      <c r="S372" s="324">
        <f>IFERROR(VLOOKUP($G372,'321買'!$A:$E,5,0),"'沒有資料'")</f>
        <v>0</v>
      </c>
      <c r="T372" s="65">
        <v>0.98</v>
      </c>
      <c r="U372" s="308"/>
      <c r="V372" s="39">
        <f t="shared" si="134"/>
        <v>3.7984496124031007E-2</v>
      </c>
      <c r="W372" s="161">
        <v>25.8</v>
      </c>
      <c r="X372" s="65">
        <f>25.3-0.5</f>
        <v>24.8</v>
      </c>
      <c r="Y372" s="162">
        <f t="shared" si="130"/>
        <v>1</v>
      </c>
      <c r="Z372" s="158">
        <f t="shared" si="131"/>
        <v>4.0322580645161289E-2</v>
      </c>
      <c r="AA372" s="184" t="s">
        <v>2966</v>
      </c>
      <c r="AB372" s="376"/>
      <c r="AC372" s="153" t="s">
        <v>3047</v>
      </c>
      <c r="AD372" s="84">
        <v>43731</v>
      </c>
      <c r="AE372" s="83">
        <v>44245</v>
      </c>
      <c r="AF372" s="33">
        <f t="shared" si="135"/>
        <v>514</v>
      </c>
      <c r="AG372" s="116" t="s">
        <v>1121</v>
      </c>
      <c r="AH372" s="163"/>
    </row>
    <row r="373" spans="1:40" s="248" customFormat="1">
      <c r="A373" s="141"/>
      <c r="B373" s="80">
        <v>-1</v>
      </c>
      <c r="C373" s="80">
        <v>-17</v>
      </c>
      <c r="D373" s="80">
        <v>-1</v>
      </c>
      <c r="E373" s="80">
        <v>-12</v>
      </c>
      <c r="F373" s="6">
        <v>4.8499999999999996</v>
      </c>
      <c r="G373" s="79">
        <v>2103</v>
      </c>
      <c r="H373" s="30" t="s">
        <v>1461</v>
      </c>
      <c r="I373" s="153" t="s">
        <v>3047</v>
      </c>
      <c r="J373" s="8">
        <f>IFERROR(VLOOKUP($G373,今日總結!$A:$AN,33,0),"")</f>
        <v>0</v>
      </c>
      <c r="K373" s="5">
        <f>IFERROR(VLOOKUP($G373,今日總結!$A:$AN,34,0),"")</f>
        <v>0</v>
      </c>
      <c r="L373" s="156">
        <f>IFERROR(VLOOKUP($G373,今日總結!$A:$AN,31,0),"")</f>
        <v>0</v>
      </c>
      <c r="M373" s="337">
        <f>IFERROR(VLOOKUP($G373,今日總結!$A:$AN,32,0),"")</f>
        <v>0</v>
      </c>
      <c r="N373" s="240">
        <f t="shared" si="133"/>
        <v>0</v>
      </c>
      <c r="O373" s="359">
        <f>IFERROR(VLOOKUP($G373,融外自投!$A:$J,7,0),"無")</f>
        <v>1003</v>
      </c>
      <c r="P373" s="79">
        <f>IFERROR(VLOOKUP($G373,融外自投!$A:$J,9,0),"無")</f>
        <v>790</v>
      </c>
      <c r="Q373" s="342">
        <f>IFERROR(VLOOKUP($G373,融外自投!$A:$J,8,0),"無")</f>
        <v>184</v>
      </c>
      <c r="R373" s="81" t="str">
        <f>IFERROR(VLOOKUP($G373,融外自投!$A:$J,10,0),"無")</f>
        <v>無</v>
      </c>
      <c r="S373" s="324">
        <f>IFERROR(VLOOKUP($G373,'321買'!$A:$E,5,0),"'沒有資料'")</f>
        <v>0</v>
      </c>
      <c r="T373" s="65">
        <v>0.98</v>
      </c>
      <c r="U373" s="308"/>
      <c r="V373" s="39">
        <f t="shared" si="134"/>
        <v>3.7984496124031007E-2</v>
      </c>
      <c r="W373" s="161">
        <v>25.8</v>
      </c>
      <c r="X373" s="65">
        <f>25.2-0.5</f>
        <v>24.7</v>
      </c>
      <c r="Y373" s="162">
        <f t="shared" si="130"/>
        <v>1.1000000000000014</v>
      </c>
      <c r="Z373" s="158">
        <f t="shared" si="131"/>
        <v>4.4534412955465646E-2</v>
      </c>
      <c r="AA373" s="184" t="s">
        <v>2974</v>
      </c>
      <c r="AB373" s="376"/>
      <c r="AC373" s="153" t="s">
        <v>3047</v>
      </c>
      <c r="AD373" s="84">
        <v>43732</v>
      </c>
      <c r="AE373" s="83">
        <v>44245</v>
      </c>
      <c r="AF373" s="33">
        <f t="shared" si="135"/>
        <v>513</v>
      </c>
      <c r="AG373" s="116" t="s">
        <v>1121</v>
      </c>
      <c r="AH373" s="163"/>
    </row>
    <row r="374" spans="1:40" s="248" customFormat="1">
      <c r="A374" s="141"/>
      <c r="B374" s="80">
        <v>-1</v>
      </c>
      <c r="C374" s="80">
        <v>-17</v>
      </c>
      <c r="D374" s="80">
        <v>-1</v>
      </c>
      <c r="E374" s="80">
        <v>-12</v>
      </c>
      <c r="F374" s="6">
        <v>4.8499999999999996</v>
      </c>
      <c r="G374" s="79">
        <v>2103</v>
      </c>
      <c r="H374" s="30" t="s">
        <v>1461</v>
      </c>
      <c r="I374" s="153" t="s">
        <v>3047</v>
      </c>
      <c r="J374" s="8">
        <f>IFERROR(VLOOKUP($G374,今日總結!$A:$AN,33,0),"")</f>
        <v>0</v>
      </c>
      <c r="K374" s="5">
        <f>IFERROR(VLOOKUP($G374,今日總結!$A:$AN,34,0),"")</f>
        <v>0</v>
      </c>
      <c r="L374" s="156">
        <f>IFERROR(VLOOKUP($G374,今日總結!$A:$AN,31,0),"")</f>
        <v>0</v>
      </c>
      <c r="M374" s="337">
        <f>IFERROR(VLOOKUP($G374,今日總結!$A:$AN,32,0),"")</f>
        <v>0</v>
      </c>
      <c r="N374" s="240">
        <f t="shared" si="133"/>
        <v>0</v>
      </c>
      <c r="O374" s="359">
        <f>IFERROR(VLOOKUP($G374,融外自投!$A:$J,7,0),"無")</f>
        <v>1003</v>
      </c>
      <c r="P374" s="79">
        <f>IFERROR(VLOOKUP($G374,融外自投!$A:$J,9,0),"無")</f>
        <v>790</v>
      </c>
      <c r="Q374" s="342">
        <f>IFERROR(VLOOKUP($G374,融外自投!$A:$J,8,0),"無")</f>
        <v>184</v>
      </c>
      <c r="R374" s="81" t="str">
        <f>IFERROR(VLOOKUP($G374,融外自投!$A:$J,10,0),"無")</f>
        <v>無</v>
      </c>
      <c r="S374" s="324">
        <f>IFERROR(VLOOKUP($G374,'321買'!$A:$E,5,0),"'沒有資料'")</f>
        <v>0</v>
      </c>
      <c r="T374" s="65">
        <v>0.98</v>
      </c>
      <c r="U374" s="308"/>
      <c r="V374" s="39">
        <f t="shared" si="134"/>
        <v>3.7984496124031007E-2</v>
      </c>
      <c r="W374" s="161">
        <v>25.8</v>
      </c>
      <c r="X374" s="65">
        <f>25-0.5</f>
        <v>24.5</v>
      </c>
      <c r="Y374" s="162">
        <f t="shared" si="130"/>
        <v>1.3000000000000007</v>
      </c>
      <c r="Z374" s="158">
        <f t="shared" si="131"/>
        <v>5.3061224489795944E-2</v>
      </c>
      <c r="AA374" s="184" t="s">
        <v>3017</v>
      </c>
      <c r="AB374" s="376"/>
      <c r="AC374" s="153" t="s">
        <v>3047</v>
      </c>
      <c r="AD374" s="84">
        <v>43734</v>
      </c>
      <c r="AE374" s="83">
        <v>44245</v>
      </c>
      <c r="AF374" s="33">
        <f t="shared" si="135"/>
        <v>511</v>
      </c>
      <c r="AG374" s="116" t="s">
        <v>1121</v>
      </c>
      <c r="AH374" s="163"/>
    </row>
    <row r="375" spans="1:40" s="248" customFormat="1">
      <c r="A375" s="141"/>
      <c r="B375" s="80">
        <v>-1</v>
      </c>
      <c r="C375" s="80">
        <v>-17</v>
      </c>
      <c r="D375" s="80">
        <v>-1</v>
      </c>
      <c r="E375" s="80">
        <v>-12</v>
      </c>
      <c r="F375" s="6">
        <v>4.8499999999999996</v>
      </c>
      <c r="G375" s="79">
        <v>2103</v>
      </c>
      <c r="H375" s="30" t="s">
        <v>1461</v>
      </c>
      <c r="I375" s="153" t="s">
        <v>3047</v>
      </c>
      <c r="J375" s="8">
        <f>IFERROR(VLOOKUP($G375,今日總結!$A:$AN,33,0),"")</f>
        <v>0</v>
      </c>
      <c r="K375" s="5">
        <f>IFERROR(VLOOKUP($G375,今日總結!$A:$AN,34,0),"")</f>
        <v>0</v>
      </c>
      <c r="L375" s="156">
        <f>IFERROR(VLOOKUP($G375,今日總結!$A:$AN,31,0),"")</f>
        <v>0</v>
      </c>
      <c r="M375" s="337">
        <f>IFERROR(VLOOKUP($G375,今日總結!$A:$AN,32,0),"")</f>
        <v>0</v>
      </c>
      <c r="N375" s="240">
        <f t="shared" si="133"/>
        <v>0</v>
      </c>
      <c r="O375" s="359">
        <f>IFERROR(VLOOKUP($G375,融外自投!$A:$J,7,0),"無")</f>
        <v>1003</v>
      </c>
      <c r="P375" s="79">
        <f>IFERROR(VLOOKUP($G375,融外自投!$A:$J,9,0),"無")</f>
        <v>790</v>
      </c>
      <c r="Q375" s="342">
        <f>IFERROR(VLOOKUP($G375,融外自投!$A:$J,8,0),"無")</f>
        <v>184</v>
      </c>
      <c r="R375" s="81" t="str">
        <f>IFERROR(VLOOKUP($G375,融外自投!$A:$J,10,0),"無")</f>
        <v>無</v>
      </c>
      <c r="S375" s="324">
        <f>IFERROR(VLOOKUP($G375,'321買'!$A:$E,5,0),"'沒有資料'")</f>
        <v>0</v>
      </c>
      <c r="T375" s="65">
        <v>0.98</v>
      </c>
      <c r="U375" s="308"/>
      <c r="V375" s="39">
        <f t="shared" si="134"/>
        <v>3.7984496124031007E-2</v>
      </c>
      <c r="W375" s="161">
        <v>25.8</v>
      </c>
      <c r="X375" s="65">
        <f>24.5-0.5</f>
        <v>24</v>
      </c>
      <c r="Y375" s="162">
        <f t="shared" si="130"/>
        <v>1.8000000000000007</v>
      </c>
      <c r="Z375" s="158">
        <f t="shared" si="131"/>
        <v>7.5000000000000025E-2</v>
      </c>
      <c r="AA375" s="184" t="s">
        <v>3054</v>
      </c>
      <c r="AB375" s="376"/>
      <c r="AC375" s="153" t="s">
        <v>3047</v>
      </c>
      <c r="AD375" s="84">
        <v>43735</v>
      </c>
      <c r="AE375" s="83">
        <v>44245</v>
      </c>
      <c r="AF375" s="33">
        <f t="shared" si="135"/>
        <v>510</v>
      </c>
      <c r="AG375" s="116" t="s">
        <v>1121</v>
      </c>
      <c r="AH375" s="163"/>
    </row>
    <row r="376" spans="1:40" s="248" customFormat="1">
      <c r="A376" s="142" t="s">
        <v>1791</v>
      </c>
      <c r="B376" s="80">
        <v>-71</v>
      </c>
      <c r="C376" s="80">
        <v>-61</v>
      </c>
      <c r="D376" s="80">
        <v>-7</v>
      </c>
      <c r="E376" s="79">
        <v>30</v>
      </c>
      <c r="F376" s="6">
        <v>7</v>
      </c>
      <c r="G376" s="79">
        <v>1536</v>
      </c>
      <c r="H376" s="30" t="s">
        <v>1461</v>
      </c>
      <c r="I376" s="153" t="s">
        <v>126</v>
      </c>
      <c r="J376" s="8">
        <f>IFERROR(VLOOKUP($G376,今日總結!$A:$AN,33,0),"")</f>
        <v>0</v>
      </c>
      <c r="K376" s="5">
        <f>IFERROR(VLOOKUP($G376,今日總結!$A:$AN,34,0),"")</f>
        <v>0</v>
      </c>
      <c r="L376" s="156">
        <f>IFERROR(VLOOKUP($G376,今日總結!$A:$AN,31,0),"")</f>
        <v>1</v>
      </c>
      <c r="M376" s="337">
        <f>IFERROR(VLOOKUP($G376,今日總結!$A:$AN,32,0),"")</f>
        <v>0</v>
      </c>
      <c r="N376" s="240">
        <f t="shared" si="133"/>
        <v>1</v>
      </c>
      <c r="O376" s="359">
        <f>IFERROR(VLOOKUP($G376,融外自投!$A:$J,7,0),"無")</f>
        <v>735</v>
      </c>
      <c r="P376" s="79">
        <f>IFERROR(VLOOKUP($G376,融外自投!$A:$J,9,0),"無")</f>
        <v>331</v>
      </c>
      <c r="Q376" s="342">
        <f>IFERROR(VLOOKUP($G376,融外自投!$A:$J,8,0),"無")</f>
        <v>447</v>
      </c>
      <c r="R376" s="81">
        <f>IFERROR(VLOOKUP($G376,融外自投!$A:$J,10,0),"無")</f>
        <v>495</v>
      </c>
      <c r="S376" s="324">
        <f>IFERROR(VLOOKUP($G376,'321買'!$A:$E,5,0),"'沒有資料'")</f>
        <v>0</v>
      </c>
      <c r="T376" s="65">
        <v>2</v>
      </c>
      <c r="U376" s="308"/>
      <c r="V376" s="39">
        <f t="shared" si="134"/>
        <v>1.6666666666666666E-2</v>
      </c>
      <c r="W376" s="161">
        <v>120</v>
      </c>
      <c r="X376" s="65">
        <v>90</v>
      </c>
      <c r="Y376" s="162">
        <f t="shared" si="130"/>
        <v>30</v>
      </c>
      <c r="Z376" s="158">
        <f t="shared" si="131"/>
        <v>0.33333333333333331</v>
      </c>
      <c r="AA376" s="111" t="s">
        <v>2940</v>
      </c>
      <c r="AB376" s="376"/>
      <c r="AC376" s="153" t="s">
        <v>126</v>
      </c>
      <c r="AD376" s="84">
        <v>44231</v>
      </c>
      <c r="AE376" s="83">
        <v>44231</v>
      </c>
      <c r="AF376" s="33">
        <f t="shared" si="135"/>
        <v>0</v>
      </c>
      <c r="AG376" s="116" t="s">
        <v>1121</v>
      </c>
    </row>
    <row r="377" spans="1:40" s="248" customFormat="1">
      <c r="A377" s="127" t="s">
        <v>2241</v>
      </c>
      <c r="B377" s="80">
        <v>-16</v>
      </c>
      <c r="C377" s="80">
        <v>-15</v>
      </c>
      <c r="D377" s="79">
        <v>6</v>
      </c>
      <c r="E377" s="79">
        <v>14</v>
      </c>
      <c r="F377" s="57">
        <v>21.2</v>
      </c>
      <c r="G377" s="79">
        <v>6147</v>
      </c>
      <c r="H377" s="30" t="s">
        <v>1461</v>
      </c>
      <c r="I377" s="166" t="s">
        <v>40</v>
      </c>
      <c r="J377" s="8">
        <f>IFERROR(VLOOKUP($G377,今日總結!$A:$AN,33,0),"")</f>
        <v>0</v>
      </c>
      <c r="K377" s="5">
        <f>IFERROR(VLOOKUP($G377,今日總結!$A:$AN,34,0),"")</f>
        <v>0</v>
      </c>
      <c r="L377" s="156">
        <f>IFERROR(VLOOKUP($G377,今日總結!$A:$AN,31,0),"")</f>
        <v>1</v>
      </c>
      <c r="M377" s="337">
        <f>IFERROR(VLOOKUP($G377,今日總結!$A:$AN,32,0),"")</f>
        <v>0</v>
      </c>
      <c r="N377" s="240">
        <f t="shared" si="133"/>
        <v>1</v>
      </c>
      <c r="O377" s="359">
        <f>IFERROR(VLOOKUP($G377,融外自投!$A:$J,7,0),"無")</f>
        <v>812</v>
      </c>
      <c r="P377" s="79">
        <f>IFERROR(VLOOKUP($G377,融外自投!$A:$J,9,0),"無")</f>
        <v>294</v>
      </c>
      <c r="Q377" s="342">
        <f>IFERROR(VLOOKUP($G377,融外自投!$A:$J,8,0),"無")</f>
        <v>242</v>
      </c>
      <c r="R377" s="81">
        <f>IFERROR(VLOOKUP($G377,融外自投!$A:$J,10,0),"無")</f>
        <v>90</v>
      </c>
      <c r="S377" s="324">
        <f>IFERROR(VLOOKUP($G377,'321買'!$A:$E,5,0),"'沒有資料'")</f>
        <v>0</v>
      </c>
      <c r="T377" s="65">
        <v>4.2</v>
      </c>
      <c r="U377" s="308"/>
      <c r="V377" s="39">
        <f t="shared" si="134"/>
        <v>5.9238363892806768E-2</v>
      </c>
      <c r="W377" s="165">
        <v>70.900000000000006</v>
      </c>
      <c r="X377" s="65">
        <v>68.900000000000006</v>
      </c>
      <c r="Y377" s="162">
        <f t="shared" si="130"/>
        <v>2</v>
      </c>
      <c r="Z377" s="158">
        <f t="shared" si="131"/>
        <v>2.9027576197387515E-2</v>
      </c>
      <c r="AA377" s="184" t="s">
        <v>3055</v>
      </c>
      <c r="AB377" s="376"/>
      <c r="AC377" s="166" t="s">
        <v>40</v>
      </c>
      <c r="AD377" s="84">
        <v>44228</v>
      </c>
      <c r="AE377" s="83">
        <v>44230</v>
      </c>
      <c r="AF377" s="33">
        <f t="shared" si="135"/>
        <v>2</v>
      </c>
      <c r="AG377" s="116" t="s">
        <v>1121</v>
      </c>
    </row>
    <row r="378" spans="1:40" s="248" customFormat="1">
      <c r="A378" s="141"/>
      <c r="B378" s="79"/>
      <c r="C378" s="80"/>
      <c r="D378" s="79"/>
      <c r="E378" s="80"/>
      <c r="F378" s="6"/>
      <c r="G378" s="41"/>
      <c r="H378" s="54"/>
      <c r="I378" s="166"/>
      <c r="J378" s="1"/>
      <c r="K378" s="1"/>
      <c r="L378" s="123"/>
      <c r="M378" s="234"/>
      <c r="N378" s="338"/>
      <c r="O378" s="89"/>
      <c r="P378" s="73"/>
      <c r="Q378" s="350"/>
      <c r="R378" s="300"/>
      <c r="S378" s="319"/>
      <c r="T378" s="65"/>
      <c r="U378" s="308"/>
      <c r="V378" s="39"/>
      <c r="W378" s="161">
        <f>SUM(W361:W377)</f>
        <v>990.89999999999975</v>
      </c>
      <c r="X378" s="65">
        <f>SUM(X361:X377)</f>
        <v>937.75</v>
      </c>
      <c r="Y378" s="162">
        <f>SUM(Y361:Y377)</f>
        <v>53.149999999999977</v>
      </c>
      <c r="Z378" s="158">
        <f>Y378/X378</f>
        <v>5.6678219141562229E-2</v>
      </c>
      <c r="AA378" s="113"/>
      <c r="AB378" s="376"/>
      <c r="AC378" s="153">
        <f>W378*(0.001425*0.65)+W378*0.003+X378*(0.001425*0.65)</f>
        <v>4.7591120624999999</v>
      </c>
      <c r="AD378" s="6">
        <f>Y378-AC378</f>
        <v>48.390887937499976</v>
      </c>
      <c r="AE378" s="83"/>
      <c r="AF378" s="33"/>
      <c r="AG378" s="138"/>
      <c r="AH378" s="163"/>
    </row>
    <row r="379" spans="1:40" s="248" customFormat="1">
      <c r="A379" s="141"/>
      <c r="B379" s="79"/>
      <c r="C379" s="80"/>
      <c r="D379" s="79"/>
      <c r="E379" s="80"/>
      <c r="F379" s="6"/>
      <c r="G379" s="41"/>
      <c r="H379" s="50"/>
      <c r="I379" s="166"/>
      <c r="J379" s="1"/>
      <c r="K379" s="1"/>
      <c r="L379" s="123"/>
      <c r="M379" s="234"/>
      <c r="N379" s="338"/>
      <c r="O379" s="89"/>
      <c r="P379" s="73"/>
      <c r="Q379" s="350"/>
      <c r="R379" s="300"/>
      <c r="S379" s="319"/>
      <c r="T379" s="65"/>
      <c r="U379" s="308"/>
      <c r="V379" s="39"/>
      <c r="W379" s="161"/>
      <c r="X379" s="65"/>
      <c r="Y379" s="162"/>
      <c r="Z379" s="158"/>
      <c r="AA379" s="113"/>
      <c r="AB379" s="376"/>
      <c r="AC379" s="153">
        <f>W378*(0.001425*0.28)+W378*0.003+X378*(0.001425*0.28)</f>
        <v>3.7422313499999991</v>
      </c>
      <c r="AD379" s="84"/>
      <c r="AE379" s="83"/>
      <c r="AF379" s="33"/>
      <c r="AG379" s="138"/>
      <c r="AH379" s="163"/>
    </row>
    <row r="380" spans="1:40" s="248" customFormat="1">
      <c r="A380" s="141"/>
      <c r="B380" s="79"/>
      <c r="C380" s="80"/>
      <c r="D380" s="79"/>
      <c r="E380" s="80"/>
      <c r="F380" s="6"/>
      <c r="G380" s="41"/>
      <c r="H380" s="50"/>
      <c r="I380" s="166"/>
      <c r="J380" s="1"/>
      <c r="K380" s="1"/>
      <c r="L380" s="123"/>
      <c r="M380" s="234"/>
      <c r="N380" s="338"/>
      <c r="O380" s="89"/>
      <c r="P380" s="73"/>
      <c r="Q380" s="350"/>
      <c r="R380" s="300"/>
      <c r="S380" s="319"/>
      <c r="T380" s="65"/>
      <c r="U380" s="308"/>
      <c r="V380" s="39"/>
      <c r="W380" s="161"/>
      <c r="X380" s="65"/>
      <c r="Y380" s="162"/>
      <c r="Z380" s="158"/>
      <c r="AA380" s="113"/>
      <c r="AB380" s="376"/>
      <c r="AC380" s="153"/>
      <c r="AD380" s="84"/>
      <c r="AE380" s="83"/>
      <c r="AF380" s="33"/>
      <c r="AG380" s="138"/>
      <c r="AH380" s="163"/>
    </row>
    <row r="381" spans="1:40" s="255" customFormat="1">
      <c r="A381" s="127" t="s">
        <v>1672</v>
      </c>
      <c r="B381" s="90" t="s">
        <v>1571</v>
      </c>
      <c r="C381" s="90" t="s">
        <v>1572</v>
      </c>
      <c r="D381" s="90" t="s">
        <v>1573</v>
      </c>
      <c r="E381" s="90" t="s">
        <v>1574</v>
      </c>
      <c r="F381" s="8" t="s">
        <v>1059</v>
      </c>
      <c r="G381" s="26" t="s">
        <v>3441</v>
      </c>
      <c r="H381" s="55" t="s">
        <v>2898</v>
      </c>
      <c r="I381" s="1" t="s">
        <v>69</v>
      </c>
      <c r="J381" s="1"/>
      <c r="K381" s="1"/>
      <c r="L381" s="123"/>
      <c r="M381" s="234"/>
      <c r="N381" s="338"/>
      <c r="O381" s="89"/>
      <c r="P381" s="73"/>
      <c r="Q381" s="350"/>
      <c r="R381" s="104" t="s">
        <v>3442</v>
      </c>
      <c r="S381" s="318" t="s">
        <v>3338</v>
      </c>
      <c r="T381" s="10" t="s">
        <v>2948</v>
      </c>
      <c r="U381" s="308"/>
      <c r="V381" s="68" t="s">
        <v>3272</v>
      </c>
      <c r="W381" s="28" t="s">
        <v>2947</v>
      </c>
      <c r="X381" s="17" t="s">
        <v>2949</v>
      </c>
      <c r="Y381" s="14" t="s">
        <v>2894</v>
      </c>
      <c r="Z381" s="21" t="s">
        <v>2895</v>
      </c>
      <c r="AA381" s="25" t="s">
        <v>2896</v>
      </c>
      <c r="AB381" s="376"/>
      <c r="AC381" s="1" t="s">
        <v>2897</v>
      </c>
      <c r="AD381" s="71" t="s">
        <v>2899</v>
      </c>
      <c r="AE381" s="72" t="s">
        <v>2900</v>
      </c>
      <c r="AF381" s="32" t="s">
        <v>1157</v>
      </c>
      <c r="AG381" s="46" t="s">
        <v>2901</v>
      </c>
      <c r="AH381" s="163"/>
    </row>
    <row r="382" spans="1:40" s="248" customFormat="1">
      <c r="A382" s="127" t="s">
        <v>2902</v>
      </c>
      <c r="B382" s="79">
        <v>969</v>
      </c>
      <c r="C382" s="92">
        <v>2455</v>
      </c>
      <c r="D382" s="79">
        <v>5</v>
      </c>
      <c r="E382" s="80">
        <v>-3</v>
      </c>
      <c r="F382" s="57">
        <v>13.31</v>
      </c>
      <c r="G382" s="79">
        <v>2368</v>
      </c>
      <c r="H382" s="30" t="s">
        <v>2904</v>
      </c>
      <c r="I382" s="153" t="s">
        <v>2903</v>
      </c>
      <c r="J382" s="8">
        <f>IFERROR(VLOOKUP($G382,今日總結!$A:$AN,33,0),"")</f>
        <v>1</v>
      </c>
      <c r="K382" s="5">
        <f>IFERROR(VLOOKUP($G382,今日總結!$A:$AN,34,0),"")</f>
        <v>0</v>
      </c>
      <c r="L382" s="156">
        <f>IFERROR(VLOOKUP($G382,今日總結!$A:$AN,31,0),"")</f>
        <v>0</v>
      </c>
      <c r="M382" s="337">
        <f>IFERROR(VLOOKUP($G382,今日總結!$A:$AN,32,0),"")</f>
        <v>1</v>
      </c>
      <c r="N382" s="240">
        <f t="shared" ref="N382:N398" si="136">IFERROR(L382-M382,"")</f>
        <v>-1</v>
      </c>
      <c r="O382" s="359">
        <f>IFERROR(VLOOKUP($G382,融外自投!$A:$J,7,0),"無")</f>
        <v>617</v>
      </c>
      <c r="P382" s="79">
        <f>IFERROR(VLOOKUP($G382,融外自投!$A:$J,9,0),"無")</f>
        <v>196</v>
      </c>
      <c r="Q382" s="342">
        <f>IFERROR(VLOOKUP($G382,融外自投!$A:$J,8,0),"無")</f>
        <v>309</v>
      </c>
      <c r="R382" s="81">
        <f>IFERROR(VLOOKUP($G382,融外自投!$A:$J,10,0),"無")</f>
        <v>8</v>
      </c>
      <c r="S382" s="324">
        <f>IFERROR(VLOOKUP($G382,'321買'!$A:$E,5,0),"'沒有資料'")</f>
        <v>0</v>
      </c>
      <c r="T382" s="185">
        <v>0</v>
      </c>
      <c r="U382" s="308"/>
      <c r="V382" s="57">
        <f t="shared" ref="V382:V402" si="137">T382/W382</f>
        <v>0</v>
      </c>
      <c r="W382" s="161">
        <v>53.8</v>
      </c>
      <c r="X382" s="65">
        <v>52.7</v>
      </c>
      <c r="Y382" s="162">
        <f t="shared" ref="Y382:Y391" si="138">W382-X382</f>
        <v>1.0999999999999943</v>
      </c>
      <c r="Z382" s="158">
        <f t="shared" ref="Z382:Z392" si="139">Y382/X382</f>
        <v>2.0872865275142205E-2</v>
      </c>
      <c r="AA382" s="184" t="s">
        <v>3022</v>
      </c>
      <c r="AB382" s="376"/>
      <c r="AC382" s="153" t="s">
        <v>2903</v>
      </c>
      <c r="AD382" s="84">
        <v>44218</v>
      </c>
      <c r="AE382" s="83">
        <v>44224</v>
      </c>
      <c r="AF382" s="33">
        <f>AE382-AD382</f>
        <v>6</v>
      </c>
      <c r="AG382" s="116" t="s">
        <v>2905</v>
      </c>
      <c r="AH382" s="117"/>
    </row>
    <row r="383" spans="1:40" s="248" customFormat="1">
      <c r="A383" s="127" t="s">
        <v>2902</v>
      </c>
      <c r="B383" s="79">
        <v>969</v>
      </c>
      <c r="C383" s="92">
        <v>2455</v>
      </c>
      <c r="D383" s="79">
        <v>5</v>
      </c>
      <c r="E383" s="80">
        <v>-3</v>
      </c>
      <c r="F383" s="57">
        <v>13.31</v>
      </c>
      <c r="G383" s="79">
        <v>2368</v>
      </c>
      <c r="H383" s="30" t="s">
        <v>2904</v>
      </c>
      <c r="I383" s="153" t="s">
        <v>2903</v>
      </c>
      <c r="J383" s="8">
        <f>IFERROR(VLOOKUP($G383,今日總結!$A:$AN,33,0),"")</f>
        <v>1</v>
      </c>
      <c r="K383" s="5">
        <f>IFERROR(VLOOKUP($G383,今日總結!$A:$AN,34,0),"")</f>
        <v>0</v>
      </c>
      <c r="L383" s="156">
        <f>IFERROR(VLOOKUP($G383,今日總結!$A:$AN,31,0),"")</f>
        <v>0</v>
      </c>
      <c r="M383" s="337">
        <f>IFERROR(VLOOKUP($G383,今日總結!$A:$AN,32,0),"")</f>
        <v>1</v>
      </c>
      <c r="N383" s="240">
        <f t="shared" si="136"/>
        <v>-1</v>
      </c>
      <c r="O383" s="359">
        <f>IFERROR(VLOOKUP($G383,融外自投!$A:$J,7,0),"無")</f>
        <v>617</v>
      </c>
      <c r="P383" s="79">
        <f>IFERROR(VLOOKUP($G383,融外自投!$A:$J,9,0),"無")</f>
        <v>196</v>
      </c>
      <c r="Q383" s="342">
        <f>IFERROR(VLOOKUP($G383,融外自投!$A:$J,8,0),"無")</f>
        <v>309</v>
      </c>
      <c r="R383" s="81">
        <f>IFERROR(VLOOKUP($G383,融外自投!$A:$J,10,0),"無")</f>
        <v>8</v>
      </c>
      <c r="S383" s="324">
        <f>IFERROR(VLOOKUP($G383,'321買'!$A:$E,5,0),"'沒有資料'")</f>
        <v>0</v>
      </c>
      <c r="T383" s="185">
        <v>0</v>
      </c>
      <c r="U383" s="308"/>
      <c r="V383" s="57">
        <f t="shared" si="137"/>
        <v>0</v>
      </c>
      <c r="W383" s="161">
        <v>53.8</v>
      </c>
      <c r="X383" s="65">
        <v>52.3</v>
      </c>
      <c r="Y383" s="162">
        <f t="shared" si="138"/>
        <v>1.5</v>
      </c>
      <c r="Z383" s="158">
        <f t="shared" si="139"/>
        <v>2.8680688336520078E-2</v>
      </c>
      <c r="AA383" s="184" t="s">
        <v>3023</v>
      </c>
      <c r="AB383" s="376"/>
      <c r="AC383" s="153" t="s">
        <v>2903</v>
      </c>
      <c r="AD383" s="84">
        <v>44217</v>
      </c>
      <c r="AE383" s="83">
        <v>44224</v>
      </c>
      <c r="AF383" s="33">
        <f>AE383-AD383</f>
        <v>7</v>
      </c>
      <c r="AG383" s="116" t="s">
        <v>2905</v>
      </c>
      <c r="AH383" s="117"/>
    </row>
    <row r="384" spans="1:40" s="248" customFormat="1">
      <c r="A384" s="142" t="s">
        <v>2906</v>
      </c>
      <c r="B384" s="79">
        <v>7</v>
      </c>
      <c r="C384" s="79">
        <v>0</v>
      </c>
      <c r="D384" s="80">
        <v>-9</v>
      </c>
      <c r="E384" s="80">
        <v>-1</v>
      </c>
      <c r="F384" s="6">
        <v>7.51</v>
      </c>
      <c r="G384" s="80">
        <v>1216</v>
      </c>
      <c r="H384" s="30" t="s">
        <v>2904</v>
      </c>
      <c r="I384" s="153" t="s">
        <v>2907</v>
      </c>
      <c r="J384" s="8">
        <f>IFERROR(VLOOKUP($G384,今日總結!$A:$AN,33,0),"")</f>
        <v>0</v>
      </c>
      <c r="K384" s="5">
        <f>IFERROR(VLOOKUP($G384,今日總結!$A:$AN,34,0),"")</f>
        <v>0</v>
      </c>
      <c r="L384" s="156">
        <f>IFERROR(VLOOKUP($G384,今日總結!$A:$AN,31,0),"")</f>
        <v>0</v>
      </c>
      <c r="M384" s="337">
        <f>IFERROR(VLOOKUP($G384,今日總結!$A:$AN,32,0),"")</f>
        <v>7</v>
      </c>
      <c r="N384" s="240">
        <f t="shared" si="136"/>
        <v>-7</v>
      </c>
      <c r="O384" s="359">
        <f>IFERROR(VLOOKUP($G384,融外自投!$A:$J,7,0),"無")</f>
        <v>1430</v>
      </c>
      <c r="P384" s="79">
        <f>IFERROR(VLOOKUP($G384,融外自投!$A:$J,9,0),"無")</f>
        <v>383</v>
      </c>
      <c r="Q384" s="342">
        <f>IFERROR(VLOOKUP($G384,融外自投!$A:$J,8,0),"無")</f>
        <v>115</v>
      </c>
      <c r="R384" s="81">
        <f>IFERROR(VLOOKUP($G384,融外自投!$A:$J,10,0),"無")</f>
        <v>147</v>
      </c>
      <c r="S384" s="324">
        <f>IFERROR(VLOOKUP($G384,'321買'!$A:$E,5,0),"'沒有資料'")</f>
        <v>0</v>
      </c>
      <c r="T384" s="185">
        <v>2.5</v>
      </c>
      <c r="U384" s="308"/>
      <c r="V384" s="94">
        <f t="shared" si="137"/>
        <v>3.7091988130563795E-2</v>
      </c>
      <c r="W384" s="165">
        <v>67.400000000000006</v>
      </c>
      <c r="X384" s="65">
        <v>67.599999999999994</v>
      </c>
      <c r="Y384" s="162">
        <f t="shared" si="138"/>
        <v>-0.19999999999998863</v>
      </c>
      <c r="Z384" s="164">
        <f t="shared" si="139"/>
        <v>-2.9585798816566368E-3</v>
      </c>
      <c r="AA384" s="112" t="s">
        <v>3024</v>
      </c>
      <c r="AB384" s="376"/>
      <c r="AC384" s="153" t="s">
        <v>2907</v>
      </c>
      <c r="AD384" s="84">
        <v>44196</v>
      </c>
      <c r="AE384" s="83">
        <v>44224</v>
      </c>
      <c r="AF384" s="33">
        <f>AE384-AD384</f>
        <v>28</v>
      </c>
      <c r="AG384" s="116" t="s">
        <v>2905</v>
      </c>
      <c r="AH384" s="247"/>
      <c r="AI384" s="38"/>
      <c r="AJ384" s="65"/>
      <c r="AK384" s="157"/>
      <c r="AL384" s="65"/>
      <c r="AM384" s="41"/>
      <c r="AN384" s="153"/>
    </row>
    <row r="385" spans="1:46" s="248" customFormat="1">
      <c r="A385" s="142" t="s">
        <v>2906</v>
      </c>
      <c r="B385" s="79">
        <v>7</v>
      </c>
      <c r="C385" s="79">
        <v>0</v>
      </c>
      <c r="D385" s="80">
        <v>-9</v>
      </c>
      <c r="E385" s="80">
        <v>-1</v>
      </c>
      <c r="F385" s="6">
        <v>7.51</v>
      </c>
      <c r="G385" s="80">
        <v>1216</v>
      </c>
      <c r="H385" s="30" t="s">
        <v>2904</v>
      </c>
      <c r="I385" s="153" t="s">
        <v>2907</v>
      </c>
      <c r="J385" s="8">
        <f>IFERROR(VLOOKUP($G385,今日總結!$A:$AN,33,0),"")</f>
        <v>0</v>
      </c>
      <c r="K385" s="5">
        <f>IFERROR(VLOOKUP($G385,今日總結!$A:$AN,34,0),"")</f>
        <v>0</v>
      </c>
      <c r="L385" s="156">
        <f>IFERROR(VLOOKUP($G385,今日總結!$A:$AN,31,0),"")</f>
        <v>0</v>
      </c>
      <c r="M385" s="337">
        <f>IFERROR(VLOOKUP($G385,今日總結!$A:$AN,32,0),"")</f>
        <v>7</v>
      </c>
      <c r="N385" s="240">
        <f t="shared" si="136"/>
        <v>-7</v>
      </c>
      <c r="O385" s="359">
        <f>IFERROR(VLOOKUP($G385,融外自投!$A:$J,7,0),"無")</f>
        <v>1430</v>
      </c>
      <c r="P385" s="79">
        <f>IFERROR(VLOOKUP($G385,融外自投!$A:$J,9,0),"無")</f>
        <v>383</v>
      </c>
      <c r="Q385" s="342">
        <f>IFERROR(VLOOKUP($G385,融外自投!$A:$J,8,0),"無")</f>
        <v>115</v>
      </c>
      <c r="R385" s="81">
        <f>IFERROR(VLOOKUP($G385,融外自投!$A:$J,10,0),"無")</f>
        <v>147</v>
      </c>
      <c r="S385" s="324">
        <f>IFERROR(VLOOKUP($G385,'321買'!$A:$E,5,0),"'沒有資料'")</f>
        <v>0</v>
      </c>
      <c r="T385" s="185">
        <v>2.5</v>
      </c>
      <c r="U385" s="308"/>
      <c r="V385" s="94">
        <f t="shared" si="137"/>
        <v>3.7091988130563795E-2</v>
      </c>
      <c r="W385" s="165">
        <v>67.400000000000006</v>
      </c>
      <c r="X385" s="65">
        <v>66.7</v>
      </c>
      <c r="Y385" s="162">
        <f t="shared" si="138"/>
        <v>0.70000000000000284</v>
      </c>
      <c r="Z385" s="158">
        <f t="shared" si="139"/>
        <v>1.0494752623688198E-2</v>
      </c>
      <c r="AA385" s="111" t="s">
        <v>3025</v>
      </c>
      <c r="AB385" s="376"/>
      <c r="AC385" s="153" t="s">
        <v>2907</v>
      </c>
      <c r="AD385" s="84">
        <v>44183</v>
      </c>
      <c r="AE385" s="83">
        <v>44224</v>
      </c>
      <c r="AF385" s="33">
        <f>AE385-AD385</f>
        <v>41</v>
      </c>
      <c r="AG385" s="116" t="s">
        <v>2905</v>
      </c>
      <c r="AH385" s="247"/>
      <c r="AI385" s="38"/>
      <c r="AJ385" s="65"/>
      <c r="AK385" s="157"/>
      <c r="AL385" s="65"/>
      <c r="AM385" s="41"/>
      <c r="AN385" s="153"/>
    </row>
    <row r="386" spans="1:46" s="248" customFormat="1">
      <c r="A386" s="127" t="s">
        <v>2908</v>
      </c>
      <c r="B386" s="79">
        <v>24</v>
      </c>
      <c r="C386" s="79">
        <v>33</v>
      </c>
      <c r="D386" s="79">
        <v>7</v>
      </c>
      <c r="E386" s="79">
        <v>14</v>
      </c>
      <c r="F386" s="57">
        <v>15.22</v>
      </c>
      <c r="G386" s="79">
        <v>5439</v>
      </c>
      <c r="H386" s="30" t="s">
        <v>2904</v>
      </c>
      <c r="I386" s="166" t="s">
        <v>2909</v>
      </c>
      <c r="J386" s="8">
        <f>IFERROR(VLOOKUP($G386,今日總結!$A:$AN,33,0),"")</f>
        <v>0</v>
      </c>
      <c r="K386" s="5">
        <f>IFERROR(VLOOKUP($G386,今日總結!$A:$AN,34,0),"")</f>
        <v>24</v>
      </c>
      <c r="L386" s="156">
        <f>IFERROR(VLOOKUP($G386,今日總結!$A:$AN,31,0),"")</f>
        <v>0</v>
      </c>
      <c r="M386" s="337">
        <f>IFERROR(VLOOKUP($G386,今日總結!$A:$AN,32,0),"")</f>
        <v>0</v>
      </c>
      <c r="N386" s="240">
        <f t="shared" si="136"/>
        <v>0</v>
      </c>
      <c r="O386" s="359">
        <f>IFERROR(VLOOKUP($G386,融外自投!$A:$J,7,0),"無")</f>
        <v>572</v>
      </c>
      <c r="P386" s="79" t="str">
        <f>IFERROR(VLOOKUP($G386,融外自投!$A:$J,9,0),"無")</f>
        <v>無</v>
      </c>
      <c r="Q386" s="342">
        <f>IFERROR(VLOOKUP($G386,融外自投!$A:$J,8,0),"無")</f>
        <v>1019</v>
      </c>
      <c r="R386" s="81">
        <f>IFERROR(VLOOKUP($G386,融外自投!$A:$J,10,0),"無")</f>
        <v>122</v>
      </c>
      <c r="S386" s="324">
        <f>IFERROR(VLOOKUP($G386,'321買'!$A:$E,5,0),"'沒有資料'")</f>
        <v>0</v>
      </c>
      <c r="T386" s="185">
        <v>2.2999999999999998</v>
      </c>
      <c r="U386" s="308"/>
      <c r="V386" s="94">
        <f t="shared" si="137"/>
        <v>4.1441441441441441E-2</v>
      </c>
      <c r="W386" s="161">
        <v>55.5</v>
      </c>
      <c r="X386" s="155">
        <v>52.7</v>
      </c>
      <c r="Y386" s="162">
        <f t="shared" si="138"/>
        <v>2.7999999999999972</v>
      </c>
      <c r="Z386" s="158">
        <f t="shared" si="139"/>
        <v>5.3130929791271292E-2</v>
      </c>
      <c r="AA386" s="184" t="s">
        <v>3017</v>
      </c>
      <c r="AB386" s="376"/>
      <c r="AC386" s="166" t="s">
        <v>2909</v>
      </c>
      <c r="AD386" s="84">
        <v>44222</v>
      </c>
      <c r="AE386" s="83">
        <v>44224</v>
      </c>
      <c r="AF386" s="33">
        <f t="shared" ref="AF386:AF391" si="140">AE386-AD386</f>
        <v>2</v>
      </c>
      <c r="AG386" s="116" t="s">
        <v>2910</v>
      </c>
      <c r="AH386" s="163"/>
    </row>
    <row r="387" spans="1:46" s="248" customFormat="1">
      <c r="A387" s="127" t="s">
        <v>2908</v>
      </c>
      <c r="B387" s="79">
        <v>24</v>
      </c>
      <c r="C387" s="79">
        <v>33</v>
      </c>
      <c r="D387" s="79">
        <v>7</v>
      </c>
      <c r="E387" s="79">
        <v>14</v>
      </c>
      <c r="F387" s="57">
        <v>15.22</v>
      </c>
      <c r="G387" s="79">
        <v>5439</v>
      </c>
      <c r="H387" s="30" t="s">
        <v>2904</v>
      </c>
      <c r="I387" s="166" t="s">
        <v>2909</v>
      </c>
      <c r="J387" s="8">
        <f>IFERROR(VLOOKUP($G387,今日總結!$A:$AN,33,0),"")</f>
        <v>0</v>
      </c>
      <c r="K387" s="5">
        <f>IFERROR(VLOOKUP($G387,今日總結!$A:$AN,34,0),"")</f>
        <v>24</v>
      </c>
      <c r="L387" s="156">
        <f>IFERROR(VLOOKUP($G387,今日總結!$A:$AN,31,0),"")</f>
        <v>0</v>
      </c>
      <c r="M387" s="337">
        <f>IFERROR(VLOOKUP($G387,今日總結!$A:$AN,32,0),"")</f>
        <v>0</v>
      </c>
      <c r="N387" s="240">
        <f t="shared" si="136"/>
        <v>0</v>
      </c>
      <c r="O387" s="359">
        <f>IFERROR(VLOOKUP($G387,融外自投!$A:$J,7,0),"無")</f>
        <v>572</v>
      </c>
      <c r="P387" s="79" t="str">
        <f>IFERROR(VLOOKUP($G387,融外自投!$A:$J,9,0),"無")</f>
        <v>無</v>
      </c>
      <c r="Q387" s="342">
        <f>IFERROR(VLOOKUP($G387,融外自投!$A:$J,8,0),"無")</f>
        <v>1019</v>
      </c>
      <c r="R387" s="81">
        <f>IFERROR(VLOOKUP($G387,融外自投!$A:$J,10,0),"無")</f>
        <v>122</v>
      </c>
      <c r="S387" s="324">
        <f>IFERROR(VLOOKUP($G387,'321買'!$A:$E,5,0),"'沒有資料'")</f>
        <v>0</v>
      </c>
      <c r="T387" s="185">
        <v>2.2999999999999998</v>
      </c>
      <c r="U387" s="308"/>
      <c r="V387" s="94">
        <f t="shared" si="137"/>
        <v>4.1441441441441441E-2</v>
      </c>
      <c r="W387" s="161">
        <v>55.5</v>
      </c>
      <c r="X387" s="155">
        <v>51.8</v>
      </c>
      <c r="Y387" s="162">
        <f t="shared" si="138"/>
        <v>3.7000000000000028</v>
      </c>
      <c r="Z387" s="158">
        <f t="shared" si="139"/>
        <v>7.1428571428571494E-2</v>
      </c>
      <c r="AA387" s="184" t="s">
        <v>1458</v>
      </c>
      <c r="AB387" s="376"/>
      <c r="AC387" s="166" t="s">
        <v>2909</v>
      </c>
      <c r="AD387" s="84">
        <v>44219</v>
      </c>
      <c r="AE387" s="83">
        <v>44224</v>
      </c>
      <c r="AF387" s="33">
        <f t="shared" si="140"/>
        <v>5</v>
      </c>
      <c r="AG387" s="116" t="s">
        <v>2910</v>
      </c>
      <c r="AH387" s="163"/>
    </row>
    <row r="388" spans="1:46" s="248" customFormat="1">
      <c r="A388" s="127" t="s">
        <v>2908</v>
      </c>
      <c r="B388" s="79">
        <v>24</v>
      </c>
      <c r="C388" s="79">
        <v>33</v>
      </c>
      <c r="D388" s="79">
        <v>7</v>
      </c>
      <c r="E388" s="79">
        <v>14</v>
      </c>
      <c r="F388" s="57">
        <v>15.22</v>
      </c>
      <c r="G388" s="79">
        <v>5439</v>
      </c>
      <c r="H388" s="30" t="s">
        <v>2904</v>
      </c>
      <c r="I388" s="166" t="s">
        <v>2909</v>
      </c>
      <c r="J388" s="8">
        <f>IFERROR(VLOOKUP($G388,今日總結!$A:$AN,33,0),"")</f>
        <v>0</v>
      </c>
      <c r="K388" s="5">
        <f>IFERROR(VLOOKUP($G388,今日總結!$A:$AN,34,0),"")</f>
        <v>24</v>
      </c>
      <c r="L388" s="156">
        <f>IFERROR(VLOOKUP($G388,今日總結!$A:$AN,31,0),"")</f>
        <v>0</v>
      </c>
      <c r="M388" s="337">
        <f>IFERROR(VLOOKUP($G388,今日總結!$A:$AN,32,0),"")</f>
        <v>0</v>
      </c>
      <c r="N388" s="240">
        <f t="shared" si="136"/>
        <v>0</v>
      </c>
      <c r="O388" s="359">
        <f>IFERROR(VLOOKUP($G388,融外自投!$A:$J,7,0),"無")</f>
        <v>572</v>
      </c>
      <c r="P388" s="79" t="str">
        <f>IFERROR(VLOOKUP($G388,融外自投!$A:$J,9,0),"無")</f>
        <v>無</v>
      </c>
      <c r="Q388" s="342">
        <f>IFERROR(VLOOKUP($G388,融外自投!$A:$J,8,0),"無")</f>
        <v>1019</v>
      </c>
      <c r="R388" s="81">
        <f>IFERROR(VLOOKUP($G388,融外自投!$A:$J,10,0),"無")</f>
        <v>122</v>
      </c>
      <c r="S388" s="324">
        <f>IFERROR(VLOOKUP($G388,'321買'!$A:$E,5,0),"'沒有資料'")</f>
        <v>0</v>
      </c>
      <c r="T388" s="185">
        <v>2.2999999999999998</v>
      </c>
      <c r="U388" s="308"/>
      <c r="V388" s="94">
        <f t="shared" si="137"/>
        <v>4.1441441441441441E-2</v>
      </c>
      <c r="W388" s="161">
        <v>55.5</v>
      </c>
      <c r="X388" s="155">
        <v>51.5</v>
      </c>
      <c r="Y388" s="162">
        <f t="shared" si="138"/>
        <v>4</v>
      </c>
      <c r="Z388" s="158">
        <f t="shared" si="139"/>
        <v>7.7669902912621352E-2</v>
      </c>
      <c r="AA388" s="184" t="s">
        <v>3026</v>
      </c>
      <c r="AB388" s="376"/>
      <c r="AC388" s="166" t="s">
        <v>2909</v>
      </c>
      <c r="AD388" s="84">
        <v>44218</v>
      </c>
      <c r="AE388" s="83">
        <v>44224</v>
      </c>
      <c r="AF388" s="33">
        <f t="shared" si="140"/>
        <v>6</v>
      </c>
      <c r="AG388" s="116" t="s">
        <v>2910</v>
      </c>
      <c r="AH388" s="163"/>
    </row>
    <row r="389" spans="1:46" s="248" customFormat="1">
      <c r="A389" s="127" t="s">
        <v>2908</v>
      </c>
      <c r="B389" s="79">
        <v>24</v>
      </c>
      <c r="C389" s="79">
        <v>33</v>
      </c>
      <c r="D389" s="79">
        <v>7</v>
      </c>
      <c r="E389" s="79">
        <v>14</v>
      </c>
      <c r="F389" s="57">
        <v>15.22</v>
      </c>
      <c r="G389" s="79">
        <v>5439</v>
      </c>
      <c r="H389" s="30" t="s">
        <v>2904</v>
      </c>
      <c r="I389" s="166" t="s">
        <v>2909</v>
      </c>
      <c r="J389" s="8">
        <f>IFERROR(VLOOKUP($G389,今日總結!$A:$AN,33,0),"")</f>
        <v>0</v>
      </c>
      <c r="K389" s="5">
        <f>IFERROR(VLOOKUP($G389,今日總結!$A:$AN,34,0),"")</f>
        <v>24</v>
      </c>
      <c r="L389" s="156">
        <f>IFERROR(VLOOKUP($G389,今日總結!$A:$AN,31,0),"")</f>
        <v>0</v>
      </c>
      <c r="M389" s="337">
        <f>IFERROR(VLOOKUP($G389,今日總結!$A:$AN,32,0),"")</f>
        <v>0</v>
      </c>
      <c r="N389" s="240">
        <f t="shared" si="136"/>
        <v>0</v>
      </c>
      <c r="O389" s="359">
        <f>IFERROR(VLOOKUP($G389,融外自投!$A:$J,7,0),"無")</f>
        <v>572</v>
      </c>
      <c r="P389" s="79" t="str">
        <f>IFERROR(VLOOKUP($G389,融外自投!$A:$J,9,0),"無")</f>
        <v>無</v>
      </c>
      <c r="Q389" s="342">
        <f>IFERROR(VLOOKUP($G389,融外自投!$A:$J,8,0),"無")</f>
        <v>1019</v>
      </c>
      <c r="R389" s="81">
        <f>IFERROR(VLOOKUP($G389,融外自投!$A:$J,10,0),"無")</f>
        <v>122</v>
      </c>
      <c r="S389" s="324">
        <f>IFERROR(VLOOKUP($G389,'321買'!$A:$E,5,0),"'沒有資料'")</f>
        <v>0</v>
      </c>
      <c r="T389" s="185">
        <v>2.2999999999999998</v>
      </c>
      <c r="U389" s="308"/>
      <c r="V389" s="94">
        <f t="shared" si="137"/>
        <v>4.1441441441441441E-2</v>
      </c>
      <c r="W389" s="161">
        <v>55.5</v>
      </c>
      <c r="X389" s="155">
        <v>56.5</v>
      </c>
      <c r="Y389" s="162">
        <f t="shared" si="138"/>
        <v>-1</v>
      </c>
      <c r="Z389" s="164">
        <f t="shared" si="139"/>
        <v>-1.7699115044247787E-2</v>
      </c>
      <c r="AA389" s="196" t="s">
        <v>3027</v>
      </c>
      <c r="AB389" s="376"/>
      <c r="AC389" s="166" t="s">
        <v>2909</v>
      </c>
      <c r="AD389" s="84">
        <v>44203</v>
      </c>
      <c r="AE389" s="83">
        <v>44224</v>
      </c>
      <c r="AF389" s="33">
        <f t="shared" si="140"/>
        <v>21</v>
      </c>
      <c r="AG389" s="116" t="s">
        <v>2910</v>
      </c>
      <c r="AH389" s="163"/>
    </row>
    <row r="390" spans="1:46" s="248" customFormat="1">
      <c r="A390" s="127" t="s">
        <v>2908</v>
      </c>
      <c r="B390" s="79">
        <v>24</v>
      </c>
      <c r="C390" s="79">
        <v>33</v>
      </c>
      <c r="D390" s="79">
        <v>7</v>
      </c>
      <c r="E390" s="79">
        <v>14</v>
      </c>
      <c r="F390" s="57">
        <v>15.22</v>
      </c>
      <c r="G390" s="79">
        <v>5439</v>
      </c>
      <c r="H390" s="30" t="s">
        <v>2904</v>
      </c>
      <c r="I390" s="166" t="s">
        <v>2909</v>
      </c>
      <c r="J390" s="8">
        <f>IFERROR(VLOOKUP($G390,今日總結!$A:$AN,33,0),"")</f>
        <v>0</v>
      </c>
      <c r="K390" s="5">
        <f>IFERROR(VLOOKUP($G390,今日總結!$A:$AN,34,0),"")</f>
        <v>24</v>
      </c>
      <c r="L390" s="156">
        <f>IFERROR(VLOOKUP($G390,今日總結!$A:$AN,31,0),"")</f>
        <v>0</v>
      </c>
      <c r="M390" s="337">
        <f>IFERROR(VLOOKUP($G390,今日總結!$A:$AN,32,0),"")</f>
        <v>0</v>
      </c>
      <c r="N390" s="240">
        <f t="shared" si="136"/>
        <v>0</v>
      </c>
      <c r="O390" s="359">
        <f>IFERROR(VLOOKUP($G390,融外自投!$A:$J,7,0),"無")</f>
        <v>572</v>
      </c>
      <c r="P390" s="79" t="str">
        <f>IFERROR(VLOOKUP($G390,融外自投!$A:$J,9,0),"無")</f>
        <v>無</v>
      </c>
      <c r="Q390" s="342">
        <f>IFERROR(VLOOKUP($G390,融外自投!$A:$J,8,0),"無")</f>
        <v>1019</v>
      </c>
      <c r="R390" s="81">
        <f>IFERROR(VLOOKUP($G390,融外自投!$A:$J,10,0),"無")</f>
        <v>122</v>
      </c>
      <c r="S390" s="324">
        <f>IFERROR(VLOOKUP($G390,'321買'!$A:$E,5,0),"'沒有資料'")</f>
        <v>0</v>
      </c>
      <c r="T390" s="185">
        <v>2.2999999999999998</v>
      </c>
      <c r="U390" s="308"/>
      <c r="V390" s="94">
        <f t="shared" si="137"/>
        <v>4.1441441441441441E-2</v>
      </c>
      <c r="W390" s="161">
        <v>55.5</v>
      </c>
      <c r="X390" s="155">
        <v>57.7</v>
      </c>
      <c r="Y390" s="162">
        <f t="shared" si="138"/>
        <v>-2.2000000000000028</v>
      </c>
      <c r="Z390" s="164">
        <f t="shared" si="139"/>
        <v>-3.8128249566724483E-2</v>
      </c>
      <c r="AA390" s="196" t="s">
        <v>3028</v>
      </c>
      <c r="AB390" s="376"/>
      <c r="AC390" s="166" t="s">
        <v>2909</v>
      </c>
      <c r="AD390" s="84">
        <v>44203</v>
      </c>
      <c r="AE390" s="83">
        <v>44224</v>
      </c>
      <c r="AF390" s="33">
        <f t="shared" si="140"/>
        <v>21</v>
      </c>
      <c r="AG390" s="116" t="s">
        <v>2910</v>
      </c>
      <c r="AH390" s="163"/>
    </row>
    <row r="391" spans="1:46" s="248" customFormat="1">
      <c r="A391" s="127" t="s">
        <v>2908</v>
      </c>
      <c r="B391" s="79">
        <v>24</v>
      </c>
      <c r="C391" s="79">
        <v>33</v>
      </c>
      <c r="D391" s="79">
        <v>7</v>
      </c>
      <c r="E391" s="79">
        <v>14</v>
      </c>
      <c r="F391" s="57">
        <v>15.22</v>
      </c>
      <c r="G391" s="79">
        <v>5439</v>
      </c>
      <c r="H391" s="30" t="s">
        <v>2904</v>
      </c>
      <c r="I391" s="166" t="s">
        <v>2909</v>
      </c>
      <c r="J391" s="8">
        <f>IFERROR(VLOOKUP($G391,今日總結!$A:$AN,33,0),"")</f>
        <v>0</v>
      </c>
      <c r="K391" s="5">
        <f>IFERROR(VLOOKUP($G391,今日總結!$A:$AN,34,0),"")</f>
        <v>24</v>
      </c>
      <c r="L391" s="156">
        <f>IFERROR(VLOOKUP($G391,今日總結!$A:$AN,31,0),"")</f>
        <v>0</v>
      </c>
      <c r="M391" s="337">
        <f>IFERROR(VLOOKUP($G391,今日總結!$A:$AN,32,0),"")</f>
        <v>0</v>
      </c>
      <c r="N391" s="240">
        <f t="shared" si="136"/>
        <v>0</v>
      </c>
      <c r="O391" s="359">
        <f>IFERROR(VLOOKUP($G391,融外自投!$A:$J,7,0),"無")</f>
        <v>572</v>
      </c>
      <c r="P391" s="79" t="str">
        <f>IFERROR(VLOOKUP($G391,融外自投!$A:$J,9,0),"無")</f>
        <v>無</v>
      </c>
      <c r="Q391" s="342">
        <f>IFERROR(VLOOKUP($G391,融外自投!$A:$J,8,0),"無")</f>
        <v>1019</v>
      </c>
      <c r="R391" s="81">
        <f>IFERROR(VLOOKUP($G391,融外自投!$A:$J,10,0),"無")</f>
        <v>122</v>
      </c>
      <c r="S391" s="324">
        <f>IFERROR(VLOOKUP($G391,'321買'!$A:$E,5,0),"'沒有資料'")</f>
        <v>0</v>
      </c>
      <c r="T391" s="185">
        <v>2.2999999999999998</v>
      </c>
      <c r="U391" s="308"/>
      <c r="V391" s="94">
        <f t="shared" si="137"/>
        <v>4.1441441441441441E-2</v>
      </c>
      <c r="W391" s="161">
        <v>55.5</v>
      </c>
      <c r="X391" s="155">
        <v>54.3</v>
      </c>
      <c r="Y391" s="162">
        <f t="shared" si="138"/>
        <v>1.2000000000000028</v>
      </c>
      <c r="Z391" s="158">
        <f t="shared" si="139"/>
        <v>2.2099447513812209E-2</v>
      </c>
      <c r="AA391" s="184" t="s">
        <v>3029</v>
      </c>
      <c r="AB391" s="376"/>
      <c r="AC391" s="166" t="s">
        <v>2909</v>
      </c>
      <c r="AD391" s="84">
        <v>44194</v>
      </c>
      <c r="AE391" s="83">
        <v>44224</v>
      </c>
      <c r="AF391" s="33">
        <f t="shared" si="140"/>
        <v>30</v>
      </c>
      <c r="AG391" s="116" t="s">
        <v>2910</v>
      </c>
      <c r="AH391" s="163"/>
    </row>
    <row r="392" spans="1:46" s="248" customFormat="1">
      <c r="A392" s="127" t="s">
        <v>2911</v>
      </c>
      <c r="B392" s="79">
        <v>55</v>
      </c>
      <c r="C392" s="79">
        <v>41</v>
      </c>
      <c r="D392" s="79">
        <v>3</v>
      </c>
      <c r="E392" s="79">
        <v>34</v>
      </c>
      <c r="F392" s="57">
        <v>22.31</v>
      </c>
      <c r="G392" s="79">
        <v>3264</v>
      </c>
      <c r="H392" s="30" t="s">
        <v>2904</v>
      </c>
      <c r="I392" s="166" t="s">
        <v>2912</v>
      </c>
      <c r="J392" s="8">
        <f>IFERROR(VLOOKUP($G392,今日總結!$A:$AN,33,0),"")</f>
        <v>2</v>
      </c>
      <c r="K392" s="5">
        <f>IFERROR(VLOOKUP($G392,今日總結!$A:$AN,34,0),"")</f>
        <v>1</v>
      </c>
      <c r="L392" s="156">
        <f>IFERROR(VLOOKUP($G392,今日總結!$A:$AN,31,0),"")</f>
        <v>4</v>
      </c>
      <c r="M392" s="337">
        <f>IFERROR(VLOOKUP($G392,今日總結!$A:$AN,32,0),"")</f>
        <v>0</v>
      </c>
      <c r="N392" s="240">
        <f t="shared" si="136"/>
        <v>4</v>
      </c>
      <c r="O392" s="359">
        <f>IFERROR(VLOOKUP($G392,融外自投!$A:$J,7,0),"無")</f>
        <v>629</v>
      </c>
      <c r="P392" s="79">
        <f>IFERROR(VLOOKUP($G392,融外自投!$A:$J,9,0),"無")</f>
        <v>340</v>
      </c>
      <c r="Q392" s="342">
        <f>IFERROR(VLOOKUP($G392,融外自投!$A:$J,8,0),"無")</f>
        <v>230</v>
      </c>
      <c r="R392" s="81">
        <f>IFERROR(VLOOKUP($G392,融外自投!$A:$J,10,0),"無")</f>
        <v>98</v>
      </c>
      <c r="S392" s="324">
        <f>IFERROR(VLOOKUP($G392,'321買'!$A:$E,5,0),"'沒有資料'")</f>
        <v>0</v>
      </c>
      <c r="T392" s="185">
        <v>1.3</v>
      </c>
      <c r="U392" s="308"/>
      <c r="V392" s="94">
        <f t="shared" si="137"/>
        <v>2.9782359679266898E-2</v>
      </c>
      <c r="W392" s="161">
        <v>43.65</v>
      </c>
      <c r="X392" s="65">
        <v>41.8</v>
      </c>
      <c r="Y392" s="162">
        <f t="shared" ref="Y392:Y402" si="141">W392-X392</f>
        <v>1.8500000000000014</v>
      </c>
      <c r="Z392" s="158">
        <f t="shared" si="139"/>
        <v>4.4258373205741663E-2</v>
      </c>
      <c r="AA392" s="184" t="s">
        <v>3030</v>
      </c>
      <c r="AB392" s="376"/>
      <c r="AC392" s="166" t="s">
        <v>2912</v>
      </c>
      <c r="AD392" s="84">
        <v>44208</v>
      </c>
      <c r="AE392" s="83">
        <v>44217</v>
      </c>
      <c r="AF392" s="33">
        <f>AE392-AD392</f>
        <v>9</v>
      </c>
      <c r="AG392" s="116" t="s">
        <v>2910</v>
      </c>
      <c r="AH392" s="163"/>
    </row>
    <row r="393" spans="1:46" s="248" customFormat="1">
      <c r="A393" s="127" t="s">
        <v>2913</v>
      </c>
      <c r="B393" s="80">
        <v>-16</v>
      </c>
      <c r="C393" s="80">
        <v>-15</v>
      </c>
      <c r="D393" s="80">
        <v>-1</v>
      </c>
      <c r="E393" s="79">
        <v>20</v>
      </c>
      <c r="F393" s="57">
        <v>21.2</v>
      </c>
      <c r="G393" s="79">
        <v>6147</v>
      </c>
      <c r="H393" s="30" t="s">
        <v>2904</v>
      </c>
      <c r="I393" s="166" t="s">
        <v>2914</v>
      </c>
      <c r="J393" s="8">
        <f>IFERROR(VLOOKUP($G393,今日總結!$A:$AN,33,0),"")</f>
        <v>0</v>
      </c>
      <c r="K393" s="5">
        <f>IFERROR(VLOOKUP($G393,今日總結!$A:$AN,34,0),"")</f>
        <v>0</v>
      </c>
      <c r="L393" s="156">
        <f>IFERROR(VLOOKUP($G393,今日總結!$A:$AN,31,0),"")</f>
        <v>1</v>
      </c>
      <c r="M393" s="337">
        <f>IFERROR(VLOOKUP($G393,今日總結!$A:$AN,32,0),"")</f>
        <v>0</v>
      </c>
      <c r="N393" s="240">
        <f t="shared" si="136"/>
        <v>1</v>
      </c>
      <c r="O393" s="359">
        <f>IFERROR(VLOOKUP($G393,融外自投!$A:$J,7,0),"無")</f>
        <v>812</v>
      </c>
      <c r="P393" s="79">
        <f>IFERROR(VLOOKUP($G393,融外自投!$A:$J,9,0),"無")</f>
        <v>294</v>
      </c>
      <c r="Q393" s="342">
        <f>IFERROR(VLOOKUP($G393,融外自投!$A:$J,8,0),"無")</f>
        <v>242</v>
      </c>
      <c r="R393" s="81">
        <f>IFERROR(VLOOKUP($G393,融外自投!$A:$J,10,0),"無")</f>
        <v>90</v>
      </c>
      <c r="S393" s="324">
        <f>IFERROR(VLOOKUP($G393,'321買'!$A:$E,5,0),"'沒有資料'")</f>
        <v>0</v>
      </c>
      <c r="T393" s="185">
        <v>4.2</v>
      </c>
      <c r="U393" s="308"/>
      <c r="V393" s="94">
        <f t="shared" si="137"/>
        <v>5.6000000000000001E-2</v>
      </c>
      <c r="W393" s="165">
        <v>75</v>
      </c>
      <c r="X393" s="65">
        <v>72.3</v>
      </c>
      <c r="Y393" s="162">
        <f t="shared" si="141"/>
        <v>2.7000000000000028</v>
      </c>
      <c r="Z393" s="158">
        <f t="shared" ref="Z393:Z403" si="142">Y393/X393</f>
        <v>3.7344398340249003E-2</v>
      </c>
      <c r="AA393" s="184" t="s">
        <v>1982</v>
      </c>
      <c r="AB393" s="376"/>
      <c r="AC393" s="166" t="s">
        <v>2914</v>
      </c>
      <c r="AD393" s="84">
        <v>44208</v>
      </c>
      <c r="AE393" s="83">
        <v>44216</v>
      </c>
      <c r="AF393" s="33">
        <f>AE393-AD393</f>
        <v>8</v>
      </c>
      <c r="AG393" s="116" t="s">
        <v>2910</v>
      </c>
    </row>
    <row r="394" spans="1:46" s="248" customFormat="1">
      <c r="A394" s="142" t="s">
        <v>2915</v>
      </c>
      <c r="B394" s="79">
        <v>52</v>
      </c>
      <c r="C394" s="79">
        <v>39</v>
      </c>
      <c r="D394" s="80">
        <v>1</v>
      </c>
      <c r="E394" s="80">
        <v>-3</v>
      </c>
      <c r="F394" s="6">
        <v>5.07</v>
      </c>
      <c r="G394" s="79">
        <v>3037</v>
      </c>
      <c r="H394" s="30" t="s">
        <v>2904</v>
      </c>
      <c r="I394" s="153" t="s">
        <v>2916</v>
      </c>
      <c r="J394" s="8">
        <f>IFERROR(VLOOKUP($G394,今日總結!$A:$AN,33,0),"")</f>
        <v>0</v>
      </c>
      <c r="K394" s="5">
        <f>IFERROR(VLOOKUP($G394,今日總結!$A:$AN,34,0),"")</f>
        <v>0</v>
      </c>
      <c r="L394" s="156">
        <f>IFERROR(VLOOKUP($G394,今日總結!$A:$AN,31,0),"")</f>
        <v>0</v>
      </c>
      <c r="M394" s="337">
        <f>IFERROR(VLOOKUP($G394,今日總結!$A:$AN,32,0),"")</f>
        <v>0</v>
      </c>
      <c r="N394" s="240">
        <f t="shared" si="136"/>
        <v>0</v>
      </c>
      <c r="O394" s="359">
        <f>IFERROR(VLOOKUP($G394,融外自投!$A:$J,7,0),"無")</f>
        <v>637</v>
      </c>
      <c r="P394" s="79">
        <f>IFERROR(VLOOKUP($G394,融外自投!$A:$J,9,0),"無")</f>
        <v>161</v>
      </c>
      <c r="Q394" s="342">
        <f>IFERROR(VLOOKUP($G394,融外自投!$A:$J,8,0),"無")</f>
        <v>118</v>
      </c>
      <c r="R394" s="81">
        <f>IFERROR(VLOOKUP($G394,融外自投!$A:$J,10,0),"無")</f>
        <v>23</v>
      </c>
      <c r="S394" s="324">
        <f>IFERROR(VLOOKUP($G394,'321買'!$A:$E,5,0),"'沒有資料'")</f>
        <v>0</v>
      </c>
      <c r="T394" s="185">
        <v>1.0900000000000001</v>
      </c>
      <c r="U394" s="308"/>
      <c r="V394" s="94">
        <f t="shared" si="137"/>
        <v>1.0954773869346734E-2</v>
      </c>
      <c r="W394" s="165">
        <v>99.5</v>
      </c>
      <c r="X394" s="65">
        <v>99.2</v>
      </c>
      <c r="Y394" s="162">
        <f t="shared" si="141"/>
        <v>0.29999999999999716</v>
      </c>
      <c r="Z394" s="158">
        <f t="shared" si="142"/>
        <v>3.0241935483870681E-3</v>
      </c>
      <c r="AA394" s="184" t="s">
        <v>3031</v>
      </c>
      <c r="AB394" s="376"/>
      <c r="AC394" s="153" t="s">
        <v>2916</v>
      </c>
      <c r="AD394" s="84">
        <v>44209</v>
      </c>
      <c r="AE394" s="83">
        <v>44211</v>
      </c>
      <c r="AF394" s="33">
        <f>AE394-AD394</f>
        <v>2</v>
      </c>
      <c r="AG394" s="116" t="s">
        <v>2910</v>
      </c>
      <c r="AK394" s="11"/>
    </row>
    <row r="395" spans="1:46" s="248" customFormat="1">
      <c r="A395" s="142" t="s">
        <v>2915</v>
      </c>
      <c r="B395" s="79">
        <v>52</v>
      </c>
      <c r="C395" s="79">
        <v>39</v>
      </c>
      <c r="D395" s="80">
        <v>1</v>
      </c>
      <c r="E395" s="80">
        <v>-3</v>
      </c>
      <c r="F395" s="6">
        <v>5.07</v>
      </c>
      <c r="G395" s="79">
        <v>3037</v>
      </c>
      <c r="H395" s="30" t="s">
        <v>2904</v>
      </c>
      <c r="I395" s="153" t="s">
        <v>2916</v>
      </c>
      <c r="J395" s="8">
        <f>IFERROR(VLOOKUP($G395,今日總結!$A:$AN,33,0),"")</f>
        <v>0</v>
      </c>
      <c r="K395" s="5">
        <f>IFERROR(VLOOKUP($G395,今日總結!$A:$AN,34,0),"")</f>
        <v>0</v>
      </c>
      <c r="L395" s="156">
        <f>IFERROR(VLOOKUP($G395,今日總結!$A:$AN,31,0),"")</f>
        <v>0</v>
      </c>
      <c r="M395" s="337">
        <f>IFERROR(VLOOKUP($G395,今日總結!$A:$AN,32,0),"")</f>
        <v>0</v>
      </c>
      <c r="N395" s="240">
        <f t="shared" si="136"/>
        <v>0</v>
      </c>
      <c r="O395" s="359">
        <f>IFERROR(VLOOKUP($G395,融外自投!$A:$J,7,0),"無")</f>
        <v>637</v>
      </c>
      <c r="P395" s="79">
        <f>IFERROR(VLOOKUP($G395,融外自投!$A:$J,9,0),"無")</f>
        <v>161</v>
      </c>
      <c r="Q395" s="342">
        <f>IFERROR(VLOOKUP($G395,融外自投!$A:$J,8,0),"無")</f>
        <v>118</v>
      </c>
      <c r="R395" s="81">
        <f>IFERROR(VLOOKUP($G395,融外自投!$A:$J,10,0),"無")</f>
        <v>23</v>
      </c>
      <c r="S395" s="324">
        <f>IFERROR(VLOOKUP($G395,'321買'!$A:$E,5,0),"'沒有資料'")</f>
        <v>0</v>
      </c>
      <c r="T395" s="185">
        <v>1.0900000000000001</v>
      </c>
      <c r="U395" s="308"/>
      <c r="V395" s="94">
        <f t="shared" si="137"/>
        <v>1.0954773869346734E-2</v>
      </c>
      <c r="W395" s="165">
        <v>99.5</v>
      </c>
      <c r="X395" s="65">
        <v>99.1</v>
      </c>
      <c r="Y395" s="162">
        <f t="shared" si="141"/>
        <v>0.40000000000000568</v>
      </c>
      <c r="Z395" s="158">
        <f t="shared" si="142"/>
        <v>4.0363269424823984E-3</v>
      </c>
      <c r="AA395" s="184" t="s">
        <v>3032</v>
      </c>
      <c r="AB395" s="376"/>
      <c r="AC395" s="153" t="s">
        <v>2916</v>
      </c>
      <c r="AD395" s="84">
        <v>44209</v>
      </c>
      <c r="AE395" s="83">
        <v>44211</v>
      </c>
      <c r="AF395" s="33">
        <f>AE395-AD395</f>
        <v>2</v>
      </c>
      <c r="AG395" s="116" t="s">
        <v>2910</v>
      </c>
      <c r="AK395" s="11"/>
    </row>
    <row r="396" spans="1:46" s="248" customFormat="1">
      <c r="A396" s="142" t="s">
        <v>2915</v>
      </c>
      <c r="B396" s="79">
        <v>52</v>
      </c>
      <c r="C396" s="79">
        <v>39</v>
      </c>
      <c r="D396" s="80">
        <v>1</v>
      </c>
      <c r="E396" s="80">
        <v>-3</v>
      </c>
      <c r="F396" s="6">
        <v>5.07</v>
      </c>
      <c r="G396" s="79">
        <v>3037</v>
      </c>
      <c r="H396" s="30" t="s">
        <v>2904</v>
      </c>
      <c r="I396" s="153" t="s">
        <v>2916</v>
      </c>
      <c r="J396" s="8">
        <f>IFERROR(VLOOKUP($G396,今日總結!$A:$AN,33,0),"")</f>
        <v>0</v>
      </c>
      <c r="K396" s="5">
        <f>IFERROR(VLOOKUP($G396,今日總結!$A:$AN,34,0),"")</f>
        <v>0</v>
      </c>
      <c r="L396" s="156">
        <f>IFERROR(VLOOKUP($G396,今日總結!$A:$AN,31,0),"")</f>
        <v>0</v>
      </c>
      <c r="M396" s="337">
        <f>IFERROR(VLOOKUP($G396,今日總結!$A:$AN,32,0),"")</f>
        <v>0</v>
      </c>
      <c r="N396" s="240">
        <f t="shared" si="136"/>
        <v>0</v>
      </c>
      <c r="O396" s="359">
        <f>IFERROR(VLOOKUP($G396,融外自投!$A:$J,7,0),"無")</f>
        <v>637</v>
      </c>
      <c r="P396" s="79">
        <f>IFERROR(VLOOKUP($G396,融外自投!$A:$J,9,0),"無")</f>
        <v>161</v>
      </c>
      <c r="Q396" s="342">
        <f>IFERROR(VLOOKUP($G396,融外自投!$A:$J,8,0),"無")</f>
        <v>118</v>
      </c>
      <c r="R396" s="81">
        <f>IFERROR(VLOOKUP($G396,融外自投!$A:$J,10,0),"無")</f>
        <v>23</v>
      </c>
      <c r="S396" s="324">
        <f>IFERROR(VLOOKUP($G396,'321買'!$A:$E,5,0),"'沒有資料'")</f>
        <v>0</v>
      </c>
      <c r="T396" s="185">
        <v>1.0900000000000001</v>
      </c>
      <c r="U396" s="308"/>
      <c r="V396" s="94">
        <f t="shared" si="137"/>
        <v>1.1248710010319917E-2</v>
      </c>
      <c r="W396" s="165">
        <v>96.9</v>
      </c>
      <c r="X396" s="65">
        <v>93</v>
      </c>
      <c r="Y396" s="162">
        <f t="shared" si="141"/>
        <v>3.9000000000000057</v>
      </c>
      <c r="Z396" s="158">
        <f t="shared" si="142"/>
        <v>4.19354838709678E-2</v>
      </c>
      <c r="AA396" s="184" t="s">
        <v>1714</v>
      </c>
      <c r="AB396" s="376"/>
      <c r="AC396" s="153" t="s">
        <v>2916</v>
      </c>
      <c r="AD396" s="84">
        <v>44202</v>
      </c>
      <c r="AE396" s="83">
        <v>44207</v>
      </c>
      <c r="AF396" s="33">
        <f>AE396-AD396</f>
        <v>5</v>
      </c>
      <c r="AG396" s="116" t="s">
        <v>2910</v>
      </c>
      <c r="AK396" s="11"/>
    </row>
    <row r="397" spans="1:46" s="248" customFormat="1">
      <c r="A397" s="127" t="s">
        <v>2908</v>
      </c>
      <c r="B397" s="79">
        <v>24</v>
      </c>
      <c r="C397" s="79">
        <v>33</v>
      </c>
      <c r="D397" s="79">
        <v>7</v>
      </c>
      <c r="E397" s="79">
        <v>14</v>
      </c>
      <c r="F397" s="57">
        <v>15.22</v>
      </c>
      <c r="G397" s="79">
        <v>5439</v>
      </c>
      <c r="H397" s="30" t="s">
        <v>2904</v>
      </c>
      <c r="I397" s="166" t="s">
        <v>2909</v>
      </c>
      <c r="J397" s="8">
        <f>IFERROR(VLOOKUP($G397,今日總結!$A:$AN,33,0),"")</f>
        <v>0</v>
      </c>
      <c r="K397" s="5">
        <f>IFERROR(VLOOKUP($G397,今日總結!$A:$AN,34,0),"")</f>
        <v>24</v>
      </c>
      <c r="L397" s="156">
        <f>IFERROR(VLOOKUP($G397,今日總結!$A:$AN,31,0),"")</f>
        <v>0</v>
      </c>
      <c r="M397" s="337">
        <f>IFERROR(VLOOKUP($G397,今日總結!$A:$AN,32,0),"")</f>
        <v>0</v>
      </c>
      <c r="N397" s="240">
        <f t="shared" si="136"/>
        <v>0</v>
      </c>
      <c r="O397" s="359">
        <f>IFERROR(VLOOKUP($G397,融外自投!$A:$J,7,0),"無")</f>
        <v>572</v>
      </c>
      <c r="P397" s="79" t="str">
        <f>IFERROR(VLOOKUP($G397,融外自投!$A:$J,9,0),"無")</f>
        <v>無</v>
      </c>
      <c r="Q397" s="342">
        <f>IFERROR(VLOOKUP($G397,融外自投!$A:$J,8,0),"無")</f>
        <v>1019</v>
      </c>
      <c r="R397" s="81">
        <f>IFERROR(VLOOKUP($G397,融外自投!$A:$J,10,0),"無")</f>
        <v>122</v>
      </c>
      <c r="S397" s="324">
        <f>IFERROR(VLOOKUP($G397,'321買'!$A:$E,5,0),"'沒有資料'")</f>
        <v>0</v>
      </c>
      <c r="T397" s="185">
        <v>2.2999999999999998</v>
      </c>
      <c r="U397" s="308"/>
      <c r="V397" s="94">
        <f t="shared" si="137"/>
        <v>4.2990654205607472E-2</v>
      </c>
      <c r="W397" s="161">
        <v>53.5</v>
      </c>
      <c r="X397" s="155">
        <v>52.8</v>
      </c>
      <c r="Y397" s="162">
        <f t="shared" si="141"/>
        <v>0.70000000000000284</v>
      </c>
      <c r="Z397" s="158">
        <f t="shared" si="142"/>
        <v>1.3257575757575812E-2</v>
      </c>
      <c r="AA397" s="184" t="s">
        <v>2000</v>
      </c>
      <c r="AB397" s="376"/>
      <c r="AC397" s="166" t="s">
        <v>2909</v>
      </c>
      <c r="AD397" s="84">
        <v>44196</v>
      </c>
      <c r="AE397" s="83">
        <v>44202</v>
      </c>
      <c r="AF397" s="33">
        <f t="shared" ref="AF397:AF402" si="143">AE397-AD397</f>
        <v>6</v>
      </c>
      <c r="AG397" s="116" t="s">
        <v>2910</v>
      </c>
      <c r="AH397" s="163"/>
    </row>
    <row r="398" spans="1:46" s="248" customFormat="1">
      <c r="A398" s="127" t="s">
        <v>2908</v>
      </c>
      <c r="B398" s="79">
        <v>24</v>
      </c>
      <c r="C398" s="79">
        <v>33</v>
      </c>
      <c r="D398" s="79">
        <v>7</v>
      </c>
      <c r="E398" s="79">
        <v>14</v>
      </c>
      <c r="F398" s="57">
        <v>15.22</v>
      </c>
      <c r="G398" s="79">
        <v>5439</v>
      </c>
      <c r="H398" s="30" t="s">
        <v>2904</v>
      </c>
      <c r="I398" s="166" t="s">
        <v>2909</v>
      </c>
      <c r="J398" s="8">
        <f>IFERROR(VLOOKUP($G398,今日總結!$A:$AN,33,0),"")</f>
        <v>0</v>
      </c>
      <c r="K398" s="5">
        <f>IFERROR(VLOOKUP($G398,今日總結!$A:$AN,34,0),"")</f>
        <v>24</v>
      </c>
      <c r="L398" s="156">
        <f>IFERROR(VLOOKUP($G398,今日總結!$A:$AN,31,0),"")</f>
        <v>0</v>
      </c>
      <c r="M398" s="337">
        <f>IFERROR(VLOOKUP($G398,今日總結!$A:$AN,32,0),"")</f>
        <v>0</v>
      </c>
      <c r="N398" s="240">
        <f t="shared" si="136"/>
        <v>0</v>
      </c>
      <c r="O398" s="359">
        <f>IFERROR(VLOOKUP($G398,融外自投!$A:$J,7,0),"無")</f>
        <v>572</v>
      </c>
      <c r="P398" s="79" t="str">
        <f>IFERROR(VLOOKUP($G398,融外自投!$A:$J,9,0),"無")</f>
        <v>無</v>
      </c>
      <c r="Q398" s="342">
        <f>IFERROR(VLOOKUP($G398,融外自投!$A:$J,8,0),"無")</f>
        <v>1019</v>
      </c>
      <c r="R398" s="81">
        <f>IFERROR(VLOOKUP($G398,融外自投!$A:$J,10,0),"無")</f>
        <v>122</v>
      </c>
      <c r="S398" s="324">
        <f>IFERROR(VLOOKUP($G398,'321買'!$A:$E,5,0),"'沒有資料'")</f>
        <v>0</v>
      </c>
      <c r="T398" s="185">
        <v>2.2999999999999998</v>
      </c>
      <c r="U398" s="308"/>
      <c r="V398" s="94">
        <f t="shared" si="137"/>
        <v>4.2990654205607472E-2</v>
      </c>
      <c r="W398" s="161">
        <v>53.5</v>
      </c>
      <c r="X398" s="155">
        <v>52.7</v>
      </c>
      <c r="Y398" s="162">
        <f t="shared" si="141"/>
        <v>0.79999999999999716</v>
      </c>
      <c r="Z398" s="158">
        <f t="shared" si="142"/>
        <v>1.5180265654648901E-2</v>
      </c>
      <c r="AA398" s="184" t="s">
        <v>1673</v>
      </c>
      <c r="AB398" s="376"/>
      <c r="AC398" s="166" t="s">
        <v>2909</v>
      </c>
      <c r="AD398" s="84">
        <v>44195</v>
      </c>
      <c r="AE398" s="83">
        <v>44202</v>
      </c>
      <c r="AF398" s="33">
        <f t="shared" si="143"/>
        <v>7</v>
      </c>
      <c r="AG398" s="116" t="s">
        <v>2910</v>
      </c>
      <c r="AH398" s="163"/>
    </row>
    <row r="399" spans="1:46" s="248" customFormat="1">
      <c r="A399" s="142" t="s">
        <v>2915</v>
      </c>
      <c r="B399" s="79">
        <v>52</v>
      </c>
      <c r="C399" s="79">
        <v>39</v>
      </c>
      <c r="D399" s="80">
        <v>-8</v>
      </c>
      <c r="E399" s="80">
        <v>-3</v>
      </c>
      <c r="F399" s="6">
        <v>5.07</v>
      </c>
      <c r="G399" s="79">
        <v>3037</v>
      </c>
      <c r="H399" s="30" t="s">
        <v>2904</v>
      </c>
      <c r="I399" s="153" t="s">
        <v>2916</v>
      </c>
      <c r="J399" s="8">
        <f>IFERROR(VLOOKUP($G399,今日總結!$A:$AN,33,0),"")</f>
        <v>0</v>
      </c>
      <c r="K399" s="5">
        <f>IFERROR(VLOOKUP($G399,今日總結!$A:$AN,34,0),"")</f>
        <v>0</v>
      </c>
      <c r="L399" s="156">
        <f>IFERROR(VLOOKUP($G399,今日總結!$A:$AN,31,0),"")</f>
        <v>0</v>
      </c>
      <c r="M399" s="337">
        <f>IFERROR(VLOOKUP($G399,今日總結!$A:$AN,32,0),"")</f>
        <v>0</v>
      </c>
      <c r="N399" s="240">
        <f t="shared" ref="N399:N408" si="144">IFERROR(L399-M399,"")</f>
        <v>0</v>
      </c>
      <c r="O399" s="359">
        <f>IFERROR(VLOOKUP($G399,融外自投!$A:$J,7,0),"無")</f>
        <v>637</v>
      </c>
      <c r="P399" s="79">
        <f>IFERROR(VLOOKUP($G399,融外自投!$A:$J,9,0),"無")</f>
        <v>161</v>
      </c>
      <c r="Q399" s="342">
        <f>IFERROR(VLOOKUP($G399,融外自投!$A:$J,8,0),"無")</f>
        <v>118</v>
      </c>
      <c r="R399" s="81">
        <f>IFERROR(VLOOKUP($G399,融外自投!$A:$J,10,0),"無")</f>
        <v>23</v>
      </c>
      <c r="S399" s="324">
        <f>IFERROR(VLOOKUP($G399,'321買'!$A:$E,5,0),"'沒有資料'")</f>
        <v>0</v>
      </c>
      <c r="T399" s="185">
        <v>1.0900000000000001</v>
      </c>
      <c r="U399" s="308"/>
      <c r="V399" s="94">
        <f t="shared" si="137"/>
        <v>1.1534391534391536E-2</v>
      </c>
      <c r="W399" s="165">
        <v>94.5</v>
      </c>
      <c r="X399" s="65">
        <v>85.3</v>
      </c>
      <c r="Y399" s="162">
        <f t="shared" si="141"/>
        <v>9.2000000000000028</v>
      </c>
      <c r="Z399" s="158">
        <f t="shared" si="142"/>
        <v>0.10785463071512313</v>
      </c>
      <c r="AA399" s="184" t="s">
        <v>3033</v>
      </c>
      <c r="AB399" s="376"/>
      <c r="AC399" s="153" t="s">
        <v>2916</v>
      </c>
      <c r="AD399" s="84">
        <v>44189</v>
      </c>
      <c r="AE399" s="83">
        <v>44202</v>
      </c>
      <c r="AF399" s="33">
        <f t="shared" si="143"/>
        <v>13</v>
      </c>
      <c r="AG399" s="116" t="s">
        <v>2910</v>
      </c>
      <c r="AH399" s="160"/>
      <c r="AT399" s="11"/>
    </row>
    <row r="400" spans="1:46" s="248" customFormat="1">
      <c r="A400" s="127" t="s">
        <v>2917</v>
      </c>
      <c r="B400" s="79">
        <v>57</v>
      </c>
      <c r="C400" s="79">
        <v>47</v>
      </c>
      <c r="D400" s="79">
        <v>4</v>
      </c>
      <c r="E400" s="79">
        <v>0</v>
      </c>
      <c r="F400" s="57">
        <v>12.43</v>
      </c>
      <c r="G400" s="79">
        <v>8358</v>
      </c>
      <c r="H400" s="30" t="s">
        <v>2919</v>
      </c>
      <c r="I400" s="166" t="s">
        <v>2918</v>
      </c>
      <c r="J400" s="8">
        <f>IFERROR(VLOOKUP($G400,今日總結!$A:$AN,33,0),"")</f>
        <v>1</v>
      </c>
      <c r="K400" s="5">
        <f>IFERROR(VLOOKUP($G400,今日總結!$A:$AN,34,0),"")</f>
        <v>0</v>
      </c>
      <c r="L400" s="156">
        <f>IFERROR(VLOOKUP($G400,今日總結!$A:$AN,31,0),"")</f>
        <v>1</v>
      </c>
      <c r="M400" s="337">
        <f>IFERROR(VLOOKUP($G400,今日總結!$A:$AN,32,0),"")</f>
        <v>2</v>
      </c>
      <c r="N400" s="240">
        <f t="shared" si="144"/>
        <v>-1</v>
      </c>
      <c r="O400" s="359">
        <f>IFERROR(VLOOKUP($G400,融外自投!$A:$J,7,0),"無")</f>
        <v>308</v>
      </c>
      <c r="P400" s="79">
        <f>IFERROR(VLOOKUP($G400,融外自投!$A:$J,9,0),"無")</f>
        <v>310</v>
      </c>
      <c r="Q400" s="342">
        <f>IFERROR(VLOOKUP($G400,融外自投!$A:$J,8,0),"無")</f>
        <v>627</v>
      </c>
      <c r="R400" s="81">
        <f>IFERROR(VLOOKUP($G400,融外自投!$A:$J,10,0),"無")</f>
        <v>61</v>
      </c>
      <c r="S400" s="324">
        <f>IFERROR(VLOOKUP($G400,'321買'!$A:$E,5,0),"'沒有資料'")</f>
        <v>0</v>
      </c>
      <c r="T400" s="185">
        <v>2</v>
      </c>
      <c r="U400" s="308"/>
      <c r="V400" s="94">
        <f t="shared" si="137"/>
        <v>3.7383177570093455E-2</v>
      </c>
      <c r="W400" s="161">
        <v>53.5</v>
      </c>
      <c r="X400" s="155">
        <v>52.8</v>
      </c>
      <c r="Y400" s="162">
        <f t="shared" si="141"/>
        <v>0.70000000000000284</v>
      </c>
      <c r="Z400" s="158">
        <f t="shared" si="142"/>
        <v>1.3257575757575812E-2</v>
      </c>
      <c r="AA400" s="184" t="s">
        <v>2000</v>
      </c>
      <c r="AB400" s="376"/>
      <c r="AC400" s="166" t="s">
        <v>2918</v>
      </c>
      <c r="AD400" s="84">
        <v>44200</v>
      </c>
      <c r="AE400" s="83">
        <v>44202</v>
      </c>
      <c r="AF400" s="33">
        <f t="shared" si="143"/>
        <v>2</v>
      </c>
      <c r="AG400" s="116" t="s">
        <v>2920</v>
      </c>
      <c r="AH400" s="163"/>
    </row>
    <row r="401" spans="1:46" s="248" customFormat="1">
      <c r="A401" s="127" t="s">
        <v>2921</v>
      </c>
      <c r="B401" s="79">
        <v>57</v>
      </c>
      <c r="C401" s="79">
        <v>47</v>
      </c>
      <c r="D401" s="79">
        <v>4</v>
      </c>
      <c r="E401" s="79">
        <v>0</v>
      </c>
      <c r="F401" s="57">
        <v>12.43</v>
      </c>
      <c r="G401" s="79">
        <v>8358</v>
      </c>
      <c r="H401" s="30" t="s">
        <v>2919</v>
      </c>
      <c r="I401" s="166" t="s">
        <v>2918</v>
      </c>
      <c r="J401" s="8">
        <f>IFERROR(VLOOKUP($G401,今日總結!$A:$AN,33,0),"")</f>
        <v>1</v>
      </c>
      <c r="K401" s="5">
        <f>IFERROR(VLOOKUP($G401,今日總結!$A:$AN,34,0),"")</f>
        <v>0</v>
      </c>
      <c r="L401" s="156">
        <f>IFERROR(VLOOKUP($G401,今日總結!$A:$AN,31,0),"")</f>
        <v>1</v>
      </c>
      <c r="M401" s="337">
        <f>IFERROR(VLOOKUP($G401,今日總結!$A:$AN,32,0),"")</f>
        <v>2</v>
      </c>
      <c r="N401" s="240">
        <f t="shared" si="144"/>
        <v>-1</v>
      </c>
      <c r="O401" s="359">
        <f>IFERROR(VLOOKUP($G401,融外自投!$A:$J,7,0),"無")</f>
        <v>308</v>
      </c>
      <c r="P401" s="79">
        <f>IFERROR(VLOOKUP($G401,融外自投!$A:$J,9,0),"無")</f>
        <v>310</v>
      </c>
      <c r="Q401" s="342">
        <f>IFERROR(VLOOKUP($G401,融外自投!$A:$J,8,0),"無")</f>
        <v>627</v>
      </c>
      <c r="R401" s="81">
        <f>IFERROR(VLOOKUP($G401,融外自投!$A:$J,10,0),"無")</f>
        <v>61</v>
      </c>
      <c r="S401" s="324">
        <f>IFERROR(VLOOKUP($G401,'321買'!$A:$E,5,0),"'沒有資料'")</f>
        <v>0</v>
      </c>
      <c r="T401" s="185">
        <v>2</v>
      </c>
      <c r="U401" s="308"/>
      <c r="V401" s="94">
        <f t="shared" si="137"/>
        <v>3.7383177570093455E-2</v>
      </c>
      <c r="W401" s="161">
        <v>53.5</v>
      </c>
      <c r="X401" s="155">
        <v>54.1</v>
      </c>
      <c r="Y401" s="162">
        <f t="shared" si="141"/>
        <v>-0.60000000000000142</v>
      </c>
      <c r="Z401" s="164">
        <f t="shared" si="142"/>
        <v>-1.1090573012939028E-2</v>
      </c>
      <c r="AA401" s="196" t="s">
        <v>3034</v>
      </c>
      <c r="AB401" s="376"/>
      <c r="AC401" s="166" t="s">
        <v>2918</v>
      </c>
      <c r="AD401" s="84">
        <v>44194</v>
      </c>
      <c r="AE401" s="83">
        <v>44202</v>
      </c>
      <c r="AF401" s="33">
        <f t="shared" si="143"/>
        <v>8</v>
      </c>
      <c r="AG401" s="116" t="s">
        <v>2920</v>
      </c>
      <c r="AH401" s="163"/>
    </row>
    <row r="402" spans="1:46" s="248" customFormat="1">
      <c r="A402" s="127" t="s">
        <v>2921</v>
      </c>
      <c r="B402" s="79">
        <v>57</v>
      </c>
      <c r="C402" s="79">
        <v>47</v>
      </c>
      <c r="D402" s="79">
        <v>4</v>
      </c>
      <c r="E402" s="79">
        <v>0</v>
      </c>
      <c r="F402" s="57">
        <v>12.43</v>
      </c>
      <c r="G402" s="79">
        <v>8358</v>
      </c>
      <c r="H402" s="30" t="s">
        <v>2919</v>
      </c>
      <c r="I402" s="166" t="s">
        <v>2918</v>
      </c>
      <c r="J402" s="8">
        <f>IFERROR(VLOOKUP($G402,今日總結!$A:$AN,33,0),"")</f>
        <v>1</v>
      </c>
      <c r="K402" s="5">
        <f>IFERROR(VLOOKUP($G402,今日總結!$A:$AN,34,0),"")</f>
        <v>0</v>
      </c>
      <c r="L402" s="156">
        <f>IFERROR(VLOOKUP($G402,今日總結!$A:$AN,31,0),"")</f>
        <v>1</v>
      </c>
      <c r="M402" s="337">
        <f>IFERROR(VLOOKUP($G402,今日總結!$A:$AN,32,0),"")</f>
        <v>2</v>
      </c>
      <c r="N402" s="240">
        <f t="shared" si="144"/>
        <v>-1</v>
      </c>
      <c r="O402" s="359">
        <f>IFERROR(VLOOKUP($G402,融外自投!$A:$J,7,0),"無")</f>
        <v>308</v>
      </c>
      <c r="P402" s="79">
        <f>IFERROR(VLOOKUP($G402,融外自投!$A:$J,9,0),"無")</f>
        <v>310</v>
      </c>
      <c r="Q402" s="342">
        <f>IFERROR(VLOOKUP($G402,融外自投!$A:$J,8,0),"無")</f>
        <v>627</v>
      </c>
      <c r="R402" s="81">
        <f>IFERROR(VLOOKUP($G402,融外自投!$A:$J,10,0),"無")</f>
        <v>61</v>
      </c>
      <c r="S402" s="324">
        <f>IFERROR(VLOOKUP($G402,'321買'!$A:$E,5,0),"'沒有資料'")</f>
        <v>0</v>
      </c>
      <c r="T402" s="185">
        <v>2</v>
      </c>
      <c r="U402" s="308"/>
      <c r="V402" s="94">
        <f t="shared" si="137"/>
        <v>3.7383177570093455E-2</v>
      </c>
      <c r="W402" s="161">
        <v>53.5</v>
      </c>
      <c r="X402" s="155">
        <v>51.9</v>
      </c>
      <c r="Y402" s="162">
        <f t="shared" si="141"/>
        <v>1.6000000000000014</v>
      </c>
      <c r="Z402" s="158">
        <f t="shared" si="142"/>
        <v>3.0828516377649353E-2</v>
      </c>
      <c r="AA402" s="184" t="s">
        <v>2969</v>
      </c>
      <c r="AB402" s="376"/>
      <c r="AC402" s="166" t="s">
        <v>2918</v>
      </c>
      <c r="AD402" s="84">
        <v>44189</v>
      </c>
      <c r="AE402" s="83">
        <v>44202</v>
      </c>
      <c r="AF402" s="33">
        <f t="shared" si="143"/>
        <v>13</v>
      </c>
      <c r="AG402" s="116" t="s">
        <v>2920</v>
      </c>
      <c r="AH402" s="163"/>
    </row>
    <row r="403" spans="1:46" s="248" customFormat="1">
      <c r="A403" s="142"/>
      <c r="B403" s="79"/>
      <c r="C403" s="79"/>
      <c r="D403" s="80"/>
      <c r="E403" s="80"/>
      <c r="F403" s="6"/>
      <c r="G403" s="41"/>
      <c r="H403" s="54"/>
      <c r="I403" s="153"/>
      <c r="J403" s="8"/>
      <c r="K403" s="5"/>
      <c r="L403" s="156"/>
      <c r="M403" s="337"/>
      <c r="N403" s="240"/>
      <c r="O403" s="89"/>
      <c r="P403" s="73"/>
      <c r="Q403" s="350"/>
      <c r="R403" s="300"/>
      <c r="S403" s="319"/>
      <c r="T403" s="185"/>
      <c r="U403" s="308"/>
      <c r="V403" s="94"/>
      <c r="W403" s="161">
        <f>SUM(W382:W402)</f>
        <v>1351.9499999999998</v>
      </c>
      <c r="X403" s="65">
        <f>SUM(X382:X402)</f>
        <v>1318.7999999999997</v>
      </c>
      <c r="Y403" s="162">
        <f>SUM(Y382:Y402)</f>
        <v>33.150000000000027</v>
      </c>
      <c r="Z403" s="158">
        <f t="shared" si="142"/>
        <v>2.5136487716105577E-2</v>
      </c>
      <c r="AA403" s="167"/>
      <c r="AB403" s="376"/>
      <c r="AC403" s="153">
        <f>W403*(0.001425*0.65)+W403*0.003+X403*(0.001425*0.65)</f>
        <v>6.529632187499999</v>
      </c>
      <c r="AD403" s="6">
        <f>Y403-AC403</f>
        <v>26.620367812500028</v>
      </c>
      <c r="AE403" s="83"/>
      <c r="AF403" s="116"/>
      <c r="AG403" s="116"/>
      <c r="AH403" s="160"/>
      <c r="AT403" s="11"/>
    </row>
    <row r="404" spans="1:46" s="248" customFormat="1">
      <c r="A404" s="142"/>
      <c r="B404" s="79"/>
      <c r="C404" s="79"/>
      <c r="D404" s="80"/>
      <c r="E404" s="80"/>
      <c r="F404" s="6"/>
      <c r="G404" s="41"/>
      <c r="H404" s="4"/>
      <c r="I404" s="153"/>
      <c r="J404" s="8"/>
      <c r="K404" s="5"/>
      <c r="L404" s="156"/>
      <c r="M404" s="337"/>
      <c r="N404" s="240"/>
      <c r="O404" s="89"/>
      <c r="P404" s="73"/>
      <c r="Q404" s="350"/>
      <c r="R404" s="300"/>
      <c r="S404" s="319"/>
      <c r="T404" s="185"/>
      <c r="U404" s="308"/>
      <c r="V404" s="94"/>
      <c r="W404" s="161"/>
      <c r="X404" s="65"/>
      <c r="Y404" s="162"/>
      <c r="Z404" s="158"/>
      <c r="AA404" s="167"/>
      <c r="AB404" s="376"/>
      <c r="AC404" s="153"/>
      <c r="AD404" s="84"/>
      <c r="AE404" s="83"/>
      <c r="AF404" s="116"/>
      <c r="AG404" s="116"/>
      <c r="AH404" s="160"/>
      <c r="AT404" s="11"/>
    </row>
    <row r="405" spans="1:46" s="255" customFormat="1">
      <c r="A405" s="127" t="s">
        <v>2242</v>
      </c>
      <c r="B405" s="90" t="s">
        <v>2243</v>
      </c>
      <c r="C405" s="90" t="s">
        <v>2244</v>
      </c>
      <c r="D405" s="90" t="s">
        <v>2245</v>
      </c>
      <c r="E405" s="90" t="s">
        <v>2246</v>
      </c>
      <c r="F405" s="8" t="s">
        <v>2247</v>
      </c>
      <c r="G405" s="26" t="s">
        <v>3441</v>
      </c>
      <c r="H405" s="55" t="s">
        <v>2252</v>
      </c>
      <c r="I405" s="1" t="s">
        <v>2248</v>
      </c>
      <c r="J405" s="8"/>
      <c r="K405" s="5"/>
      <c r="L405" s="156"/>
      <c r="M405" s="337"/>
      <c r="N405" s="240"/>
      <c r="O405" s="89"/>
      <c r="P405" s="73"/>
      <c r="Q405" s="350"/>
      <c r="R405" s="104" t="s">
        <v>3414</v>
      </c>
      <c r="S405" s="318" t="s">
        <v>3338</v>
      </c>
      <c r="T405" s="10" t="s">
        <v>2948</v>
      </c>
      <c r="U405" s="308"/>
      <c r="V405" s="68" t="s">
        <v>2946</v>
      </c>
      <c r="W405" s="28" t="s">
        <v>2947</v>
      </c>
      <c r="X405" s="17" t="s">
        <v>2949</v>
      </c>
      <c r="Y405" s="14" t="s">
        <v>2249</v>
      </c>
      <c r="Z405" s="21" t="s">
        <v>2250</v>
      </c>
      <c r="AA405" s="25" t="s">
        <v>2251</v>
      </c>
      <c r="AB405" s="376"/>
      <c r="AC405" s="1" t="s">
        <v>2248</v>
      </c>
      <c r="AD405" s="71" t="s">
        <v>2253</v>
      </c>
      <c r="AE405" s="72" t="s">
        <v>2254</v>
      </c>
      <c r="AF405" s="32" t="s">
        <v>1157</v>
      </c>
      <c r="AG405" s="46" t="s">
        <v>2257</v>
      </c>
      <c r="AH405" s="163"/>
    </row>
    <row r="406" spans="1:46" s="171" customFormat="1" ht="17.100000000000001" customHeight="1">
      <c r="A406" s="127" t="s">
        <v>2258</v>
      </c>
      <c r="B406" s="79">
        <v>79</v>
      </c>
      <c r="C406" s="79">
        <v>153</v>
      </c>
      <c r="D406" s="79">
        <v>6</v>
      </c>
      <c r="E406" s="79">
        <v>34</v>
      </c>
      <c r="F406" s="57">
        <v>10.11</v>
      </c>
      <c r="G406" s="79">
        <v>6284</v>
      </c>
      <c r="H406" s="30" t="s">
        <v>2255</v>
      </c>
      <c r="I406" s="166" t="s">
        <v>2259</v>
      </c>
      <c r="J406" s="8">
        <f>IFERROR(VLOOKUP($G406,今日總結!$A:$AN,33,0),"")</f>
        <v>0</v>
      </c>
      <c r="K406" s="5">
        <f>IFERROR(VLOOKUP($G406,今日總結!$A:$AN,34,0),"")</f>
        <v>0</v>
      </c>
      <c r="L406" s="156">
        <f>IFERROR(VLOOKUP($G406,今日總結!$A:$AN,31,0),"")</f>
        <v>1</v>
      </c>
      <c r="M406" s="337">
        <f>IFERROR(VLOOKUP($G406,今日總結!$A:$AN,32,0),"")</f>
        <v>0</v>
      </c>
      <c r="N406" s="240">
        <f t="shared" si="144"/>
        <v>1</v>
      </c>
      <c r="O406" s="359">
        <f>IFERROR(VLOOKUP($G406,融外自投!$A:$J,7,0),"無")</f>
        <v>346</v>
      </c>
      <c r="P406" s="79">
        <f>IFERROR(VLOOKUP($G406,融外自投!$A:$J,9,0),"無")</f>
        <v>515</v>
      </c>
      <c r="Q406" s="342">
        <f>IFERROR(VLOOKUP($G406,融外自投!$A:$J,8,0),"無")</f>
        <v>1237</v>
      </c>
      <c r="R406" s="81">
        <f>IFERROR(VLOOKUP($G406,融外自投!$A:$J,10,0),"無")</f>
        <v>318</v>
      </c>
      <c r="S406" s="324">
        <f>IFERROR(VLOOKUP($G406,'321買'!$A:$E,5,0),"'沒有資料'")</f>
        <v>0</v>
      </c>
      <c r="T406" s="185">
        <v>0.5</v>
      </c>
      <c r="U406" s="308"/>
      <c r="V406" s="57">
        <f>T406/W406</f>
        <v>7.0422535211267607E-3</v>
      </c>
      <c r="W406" s="161">
        <v>71</v>
      </c>
      <c r="X406" s="155">
        <v>62.1</v>
      </c>
      <c r="Y406" s="162">
        <f>W406-X406</f>
        <v>8.8999999999999986</v>
      </c>
      <c r="Z406" s="158">
        <f>Y406/X406</f>
        <v>0.14331723027375198</v>
      </c>
      <c r="AA406" s="167" t="s">
        <v>3035</v>
      </c>
      <c r="AB406" s="376"/>
      <c r="AC406" s="166" t="s">
        <v>2259</v>
      </c>
      <c r="AD406" s="84">
        <v>44190</v>
      </c>
      <c r="AE406" s="83">
        <v>44195</v>
      </c>
      <c r="AF406" s="33">
        <f>AE406-AD406</f>
        <v>5</v>
      </c>
      <c r="AG406" s="116" t="s">
        <v>2256</v>
      </c>
      <c r="AH406" s="121"/>
      <c r="AI406" s="11"/>
      <c r="AJ406" s="11"/>
      <c r="AK406" s="11"/>
      <c r="AL406" s="11"/>
      <c r="AM406" s="11"/>
    </row>
    <row r="407" spans="1:46" s="248" customFormat="1">
      <c r="A407" s="142" t="s">
        <v>2260</v>
      </c>
      <c r="B407" s="79">
        <v>307</v>
      </c>
      <c r="C407" s="79">
        <v>153</v>
      </c>
      <c r="D407" s="79">
        <v>3</v>
      </c>
      <c r="E407" s="79">
        <v>199</v>
      </c>
      <c r="F407" s="6">
        <v>8.8800000000000008</v>
      </c>
      <c r="G407" s="79">
        <v>6237</v>
      </c>
      <c r="H407" s="30" t="s">
        <v>2255</v>
      </c>
      <c r="I407" s="166" t="s">
        <v>2261</v>
      </c>
      <c r="J407" s="8">
        <f>IFERROR(VLOOKUP($G407,今日總結!$A:$AN,33,0),"")</f>
        <v>1</v>
      </c>
      <c r="K407" s="5">
        <f>IFERROR(VLOOKUP($G407,今日總結!$A:$AN,34,0),"")</f>
        <v>0</v>
      </c>
      <c r="L407" s="156">
        <f>IFERROR(VLOOKUP($G407,今日總結!$A:$AN,31,0),"")</f>
        <v>6</v>
      </c>
      <c r="M407" s="337">
        <f>IFERROR(VLOOKUP($G407,今日總結!$A:$AN,32,0),"")</f>
        <v>0</v>
      </c>
      <c r="N407" s="240">
        <f t="shared" si="144"/>
        <v>6</v>
      </c>
      <c r="O407" s="359">
        <f>IFERROR(VLOOKUP($G407,融外自投!$A:$J,7,0),"無")</f>
        <v>102</v>
      </c>
      <c r="P407" s="79">
        <f>IFERROR(VLOOKUP($G407,融外自投!$A:$J,9,0),"無")</f>
        <v>109</v>
      </c>
      <c r="Q407" s="342">
        <f>IFERROR(VLOOKUP($G407,融外自投!$A:$J,8,0),"無")</f>
        <v>999</v>
      </c>
      <c r="R407" s="81" t="str">
        <f>IFERROR(VLOOKUP($G407,融外自投!$A:$J,10,0),"無")</f>
        <v>無</v>
      </c>
      <c r="S407" s="324">
        <f>IFERROR(VLOOKUP($G407,'321買'!$A:$E,5,0),"'沒有資料'")</f>
        <v>0</v>
      </c>
      <c r="T407" s="185">
        <v>0.25</v>
      </c>
      <c r="U407" s="308"/>
      <c r="V407" s="57">
        <f>T407/W407</f>
        <v>3.2425421530479898E-3</v>
      </c>
      <c r="W407" s="161">
        <v>77.099999999999994</v>
      </c>
      <c r="X407" s="155">
        <v>61.2</v>
      </c>
      <c r="Y407" s="162">
        <f>W407-X407</f>
        <v>15.899999999999991</v>
      </c>
      <c r="Z407" s="158">
        <f>Y407/X407</f>
        <v>0.25980392156862731</v>
      </c>
      <c r="AA407" s="99" t="s">
        <v>3036</v>
      </c>
      <c r="AB407" s="376"/>
      <c r="AC407" s="166" t="s">
        <v>2261</v>
      </c>
      <c r="AD407" s="84">
        <v>44183</v>
      </c>
      <c r="AE407" s="83">
        <v>44195</v>
      </c>
      <c r="AF407" s="33">
        <f>AE407-AD407</f>
        <v>12</v>
      </c>
      <c r="AG407" s="116" t="s">
        <v>2262</v>
      </c>
      <c r="AH407" s="163"/>
    </row>
    <row r="408" spans="1:46" s="248" customFormat="1">
      <c r="A408" s="142" t="s">
        <v>2260</v>
      </c>
      <c r="B408" s="79">
        <v>307</v>
      </c>
      <c r="C408" s="79">
        <v>153</v>
      </c>
      <c r="D408" s="79">
        <v>3</v>
      </c>
      <c r="E408" s="79">
        <v>199</v>
      </c>
      <c r="F408" s="6">
        <v>8.8800000000000008</v>
      </c>
      <c r="G408" s="79">
        <v>6237</v>
      </c>
      <c r="H408" s="30" t="s">
        <v>2255</v>
      </c>
      <c r="I408" s="166" t="s">
        <v>2261</v>
      </c>
      <c r="J408" s="8">
        <f>IFERROR(VLOOKUP($G408,今日總結!$A:$AN,33,0),"")</f>
        <v>1</v>
      </c>
      <c r="K408" s="5">
        <f>IFERROR(VLOOKUP($G408,今日總結!$A:$AN,34,0),"")</f>
        <v>0</v>
      </c>
      <c r="L408" s="156">
        <f>IFERROR(VLOOKUP($G408,今日總結!$A:$AN,31,0),"")</f>
        <v>6</v>
      </c>
      <c r="M408" s="337">
        <f>IFERROR(VLOOKUP($G408,今日總結!$A:$AN,32,0),"")</f>
        <v>0</v>
      </c>
      <c r="N408" s="240">
        <f t="shared" si="144"/>
        <v>6</v>
      </c>
      <c r="O408" s="359">
        <f>IFERROR(VLOOKUP($G408,融外自投!$A:$J,7,0),"無")</f>
        <v>102</v>
      </c>
      <c r="P408" s="79">
        <f>IFERROR(VLOOKUP($G408,融外自投!$A:$J,9,0),"無")</f>
        <v>109</v>
      </c>
      <c r="Q408" s="342">
        <f>IFERROR(VLOOKUP($G408,融外自投!$A:$J,8,0),"無")</f>
        <v>999</v>
      </c>
      <c r="R408" s="81" t="str">
        <f>IFERROR(VLOOKUP($G408,融外自投!$A:$J,10,0),"無")</f>
        <v>無</v>
      </c>
      <c r="S408" s="324">
        <f>IFERROR(VLOOKUP($G408,'321買'!$A:$E,5,0),"'沒有資料'")</f>
        <v>0</v>
      </c>
      <c r="T408" s="185">
        <v>0.25</v>
      </c>
      <c r="U408" s="308"/>
      <c r="V408" s="57">
        <f>T408/W408</f>
        <v>4.1597337770382693E-3</v>
      </c>
      <c r="W408" s="161">
        <v>60.1</v>
      </c>
      <c r="X408" s="155">
        <v>51</v>
      </c>
      <c r="Y408" s="162">
        <f>W408-X408</f>
        <v>9.1000000000000014</v>
      </c>
      <c r="Z408" s="158">
        <f>Y408/X408</f>
        <v>0.17843137254901964</v>
      </c>
      <c r="AA408" s="99" t="s">
        <v>3037</v>
      </c>
      <c r="AB408" s="376"/>
      <c r="AC408" s="166" t="s">
        <v>2261</v>
      </c>
      <c r="AD408" s="84">
        <v>44183</v>
      </c>
      <c r="AE408" s="83">
        <v>44187</v>
      </c>
      <c r="AF408" s="33">
        <f>AE408-AD408</f>
        <v>4</v>
      </c>
      <c r="AG408" s="116" t="s">
        <v>2262</v>
      </c>
      <c r="AH408" s="163"/>
    </row>
    <row r="409" spans="1:46" s="248" customFormat="1">
      <c r="A409" s="141"/>
      <c r="B409" s="79"/>
      <c r="C409" s="80"/>
      <c r="D409" s="79"/>
      <c r="E409" s="80"/>
      <c r="F409" s="6"/>
      <c r="G409" s="41"/>
      <c r="H409" s="54"/>
      <c r="I409" s="166"/>
      <c r="J409" s="1"/>
      <c r="K409" s="1"/>
      <c r="L409" s="123"/>
      <c r="M409" s="234"/>
      <c r="N409" s="338"/>
      <c r="O409" s="89"/>
      <c r="P409" s="73"/>
      <c r="Q409" s="350"/>
      <c r="R409" s="81"/>
      <c r="S409" s="324"/>
      <c r="T409" s="185"/>
      <c r="U409" s="308"/>
      <c r="V409" s="94"/>
      <c r="W409" s="165">
        <f>SUM(W406:W408)</f>
        <v>208.2</v>
      </c>
      <c r="X409" s="155">
        <f>SUM(X406:X408)</f>
        <v>174.3</v>
      </c>
      <c r="Y409" s="162">
        <f>SUM(Y406:Y408)</f>
        <v>33.899999999999991</v>
      </c>
      <c r="Z409" s="158">
        <f>Y409/X409</f>
        <v>0.19449225473321852</v>
      </c>
      <c r="AA409" s="113"/>
      <c r="AB409" s="376"/>
      <c r="AC409" s="153">
        <f>W409*(0.001425*0.65)+W409*0.003+X409*(0.001425*0.65)</f>
        <v>0.97889062500000001</v>
      </c>
      <c r="AD409" s="6">
        <f>Y409-AC409</f>
        <v>32.921109374999993</v>
      </c>
      <c r="AE409" s="83"/>
      <c r="AF409" s="33"/>
      <c r="AG409" s="138"/>
      <c r="AH409" s="163"/>
    </row>
    <row r="410" spans="1:46">
      <c r="B410" s="79"/>
      <c r="C410" s="80"/>
      <c r="D410" s="79"/>
      <c r="E410" s="80"/>
      <c r="F410" s="6"/>
      <c r="G410" s="41"/>
      <c r="H410" s="50"/>
      <c r="I410" s="16"/>
      <c r="L410" s="123"/>
      <c r="T410" s="34"/>
      <c r="V410" s="94"/>
      <c r="W410" s="13"/>
      <c r="X410" s="45"/>
      <c r="Y410" s="15"/>
      <c r="Z410" s="76"/>
      <c r="AA410" s="113"/>
      <c r="AC410" s="16"/>
      <c r="AF410" s="33"/>
    </row>
    <row r="411" spans="1:46">
      <c r="A411" s="127" t="s">
        <v>1672</v>
      </c>
      <c r="B411" s="90" t="s">
        <v>1571</v>
      </c>
      <c r="C411" s="90" t="s">
        <v>1572</v>
      </c>
      <c r="D411" s="90" t="s">
        <v>1573</v>
      </c>
      <c r="E411" s="90" t="s">
        <v>1574</v>
      </c>
      <c r="F411" s="8" t="s">
        <v>1059</v>
      </c>
      <c r="G411" s="26" t="s">
        <v>3441</v>
      </c>
      <c r="H411" s="55" t="s">
        <v>320</v>
      </c>
      <c r="I411" s="1" t="s">
        <v>69</v>
      </c>
      <c r="L411" s="123"/>
      <c r="R411" s="104" t="s">
        <v>3414</v>
      </c>
      <c r="S411" s="318" t="s">
        <v>3338</v>
      </c>
      <c r="T411" s="10" t="s">
        <v>2948</v>
      </c>
      <c r="V411" s="68" t="s">
        <v>2946</v>
      </c>
      <c r="W411" s="28" t="s">
        <v>2947</v>
      </c>
      <c r="X411" s="17" t="s">
        <v>2949</v>
      </c>
      <c r="Y411" s="14" t="s">
        <v>5</v>
      </c>
      <c r="Z411" s="21" t="s">
        <v>3</v>
      </c>
      <c r="AA411" s="25" t="s">
        <v>105</v>
      </c>
      <c r="AC411" s="1" t="s">
        <v>69</v>
      </c>
      <c r="AD411" s="71" t="s">
        <v>1399</v>
      </c>
      <c r="AE411" s="72" t="s">
        <v>1156</v>
      </c>
      <c r="AF411" s="32" t="s">
        <v>1157</v>
      </c>
      <c r="AG411" s="46" t="s">
        <v>1565</v>
      </c>
    </row>
    <row r="412" spans="1:46" ht="16.5" customHeight="1">
      <c r="A412" s="132"/>
      <c r="B412" s="90"/>
      <c r="C412" s="132"/>
      <c r="D412" s="90"/>
      <c r="E412" s="90"/>
      <c r="F412" s="6"/>
      <c r="G412" s="79">
        <v>632</v>
      </c>
      <c r="H412" s="8" t="s">
        <v>1402</v>
      </c>
      <c r="I412" s="22" t="s">
        <v>207</v>
      </c>
      <c r="L412" s="123"/>
      <c r="T412" s="34"/>
      <c r="V412" s="94">
        <f>T412/W412</f>
        <v>0</v>
      </c>
      <c r="W412" s="13">
        <v>6.97</v>
      </c>
      <c r="X412" s="66">
        <v>18.57</v>
      </c>
      <c r="Y412" s="15">
        <f>W412-X412</f>
        <v>-11.600000000000001</v>
      </c>
      <c r="Z412" s="76">
        <f>Y412/X412</f>
        <v>-0.62466343564889615</v>
      </c>
      <c r="AA412" s="113" t="s">
        <v>1855</v>
      </c>
      <c r="AC412" s="22" t="s">
        <v>207</v>
      </c>
      <c r="AF412" s="33" t="e">
        <f>AE412-#REF!</f>
        <v>#REF!</v>
      </c>
      <c r="AG412" s="49" t="s">
        <v>1857</v>
      </c>
      <c r="AH412" s="247"/>
      <c r="AI412" s="247"/>
      <c r="AJ412" s="75"/>
      <c r="AK412" s="66"/>
      <c r="AL412" s="75"/>
      <c r="AM412" s="66"/>
      <c r="AN412" s="41"/>
      <c r="AO412" s="22"/>
    </row>
    <row r="413" spans="1:46" ht="16.5" customHeight="1">
      <c r="A413" s="132"/>
      <c r="B413" s="90"/>
      <c r="C413" s="132"/>
      <c r="D413" s="90"/>
      <c r="E413" s="90"/>
      <c r="F413" s="6"/>
      <c r="G413" s="79">
        <v>632</v>
      </c>
      <c r="H413" s="50" t="s">
        <v>1494</v>
      </c>
      <c r="I413" s="22" t="s">
        <v>207</v>
      </c>
      <c r="L413" s="123"/>
      <c r="T413" s="34"/>
      <c r="V413" s="94">
        <f>T413/W413</f>
        <v>0</v>
      </c>
      <c r="W413" s="13">
        <v>6.95</v>
      </c>
      <c r="X413" s="66">
        <v>16.73</v>
      </c>
      <c r="Y413" s="15">
        <f>W413-X413</f>
        <v>-9.7800000000000011</v>
      </c>
      <c r="Z413" s="76">
        <f>Y413/X413</f>
        <v>-0.58457860131500305</v>
      </c>
      <c r="AA413" s="113" t="s">
        <v>1858</v>
      </c>
      <c r="AC413" s="22" t="s">
        <v>207</v>
      </c>
      <c r="AF413" s="33" t="e">
        <f>AE413-#REF!</f>
        <v>#REF!</v>
      </c>
      <c r="AG413" s="49" t="s">
        <v>1680</v>
      </c>
      <c r="AH413" s="247"/>
      <c r="AI413" s="247"/>
      <c r="AJ413" s="75"/>
      <c r="AK413" s="66"/>
      <c r="AL413" s="75"/>
      <c r="AM413" s="66"/>
      <c r="AN413" s="41"/>
      <c r="AO413" s="22"/>
    </row>
    <row r="414" spans="1:46">
      <c r="A414" s="127"/>
      <c r="B414" s="90"/>
      <c r="C414" s="90"/>
      <c r="D414" s="90"/>
      <c r="E414" s="90"/>
      <c r="F414" s="8"/>
      <c r="G414" s="25"/>
      <c r="H414" s="55"/>
      <c r="I414" s="1"/>
      <c r="L414" s="123"/>
      <c r="T414" s="10"/>
      <c r="V414" s="68"/>
      <c r="W414" s="28"/>
      <c r="X414" s="17"/>
      <c r="Y414" s="14"/>
      <c r="Z414" s="21"/>
      <c r="AA414" s="25"/>
      <c r="AC414" s="1"/>
      <c r="AD414" s="71"/>
      <c r="AE414" s="72"/>
      <c r="AF414" s="32"/>
      <c r="AG414" s="46"/>
    </row>
    <row r="415" spans="1:46">
      <c r="A415" s="127" t="s">
        <v>1672</v>
      </c>
      <c r="B415" s="90" t="s">
        <v>1571</v>
      </c>
      <c r="C415" s="90" t="s">
        <v>1572</v>
      </c>
      <c r="D415" s="90" t="s">
        <v>1573</v>
      </c>
      <c r="E415" s="90" t="s">
        <v>1574</v>
      </c>
      <c r="F415" s="8" t="s">
        <v>1059</v>
      </c>
      <c r="G415" s="26" t="s">
        <v>3441</v>
      </c>
      <c r="H415" s="55" t="s">
        <v>320</v>
      </c>
      <c r="I415" s="1" t="s">
        <v>69</v>
      </c>
      <c r="L415" s="123"/>
      <c r="R415" s="104" t="s">
        <v>3414</v>
      </c>
      <c r="S415" s="318" t="s">
        <v>3338</v>
      </c>
      <c r="T415" s="10" t="s">
        <v>2948</v>
      </c>
      <c r="V415" s="68" t="s">
        <v>2946</v>
      </c>
      <c r="W415" s="28" t="s">
        <v>2947</v>
      </c>
      <c r="X415" s="17" t="s">
        <v>2949</v>
      </c>
      <c r="Y415" s="14" t="s">
        <v>5</v>
      </c>
      <c r="Z415" s="21" t="s">
        <v>3</v>
      </c>
      <c r="AA415" s="25" t="s">
        <v>105</v>
      </c>
      <c r="AC415" s="1" t="s">
        <v>69</v>
      </c>
      <c r="AD415" s="71" t="s">
        <v>1399</v>
      </c>
      <c r="AE415" s="72" t="s">
        <v>1156</v>
      </c>
      <c r="AF415" s="32" t="s">
        <v>1157</v>
      </c>
      <c r="AG415" s="46" t="s">
        <v>1912</v>
      </c>
    </row>
    <row r="416" spans="1:46">
      <c r="B416" s="80">
        <v>-61</v>
      </c>
      <c r="C416" s="79">
        <v>22</v>
      </c>
      <c r="D416" s="80">
        <v>-61</v>
      </c>
      <c r="E416" s="79">
        <v>22</v>
      </c>
      <c r="F416" s="6">
        <v>-16.91</v>
      </c>
      <c r="G416" s="79">
        <v>2390</v>
      </c>
      <c r="H416" s="8" t="s">
        <v>1402</v>
      </c>
      <c r="I416" s="22" t="s">
        <v>493</v>
      </c>
      <c r="J416" s="8">
        <f>IFERROR(VLOOKUP($G416,今日總結!$A:$AN,33,0),"")</f>
        <v>0</v>
      </c>
      <c r="K416" s="5">
        <f>IFERROR(VLOOKUP($G416,今日總結!$A:$AN,34,0),"")</f>
        <v>0</v>
      </c>
      <c r="L416" s="156">
        <f>IFERROR(VLOOKUP($G416,今日總結!$A:$AN,31,0),"")</f>
        <v>0</v>
      </c>
      <c r="M416" s="337">
        <f>IFERROR(VLOOKUP($G416,今日總結!$A:$AN,32,0),"")</f>
        <v>1</v>
      </c>
      <c r="N416" s="240">
        <f t="shared" ref="N416:N418" si="145">IFERROR(L416-M416,"")</f>
        <v>-1</v>
      </c>
      <c r="O416" s="359">
        <f>IFERROR(VLOOKUP($G416,融外自投!$A:$J,7,0),"無")</f>
        <v>113</v>
      </c>
      <c r="P416" s="79">
        <f>IFERROR(VLOOKUP($G416,融外自投!$A:$J,9,0),"無")</f>
        <v>649</v>
      </c>
      <c r="Q416" s="342">
        <f>IFERROR(VLOOKUP($G416,融外自投!$A:$J,8,0),"無")</f>
        <v>1150</v>
      </c>
      <c r="R416" s="81" t="str">
        <f>IFERROR(VLOOKUP($G416,融外自投!$A:$J,10,0),"無")</f>
        <v>無</v>
      </c>
      <c r="S416" s="324">
        <f>IFERROR(VLOOKUP($G416,'321買'!$A:$E,5,0),"'沒有資料'")</f>
        <v>0</v>
      </c>
      <c r="T416" s="34">
        <v>0</v>
      </c>
      <c r="V416" s="94">
        <f>T416/W416</f>
        <v>0</v>
      </c>
      <c r="W416" s="13">
        <v>11.8</v>
      </c>
      <c r="X416" s="45">
        <v>13.57</v>
      </c>
      <c r="Y416" s="15">
        <f>W416-X416</f>
        <v>-1.7699999999999996</v>
      </c>
      <c r="Z416" s="76">
        <f>Y416/X416</f>
        <v>-0.13043478260869562</v>
      </c>
      <c r="AA416" s="113" t="s">
        <v>1915</v>
      </c>
      <c r="AC416" s="22" t="s">
        <v>493</v>
      </c>
      <c r="AD416" s="84">
        <v>43362</v>
      </c>
      <c r="AF416" s="33">
        <f>AE416-AD416</f>
        <v>-43362</v>
      </c>
      <c r="AG416" s="41" t="s">
        <v>1121</v>
      </c>
      <c r="AJ416" s="11"/>
      <c r="AK416" s="11"/>
      <c r="AL416" s="11"/>
      <c r="AM416" s="11"/>
      <c r="AP416" s="7"/>
      <c r="AQ416" s="31"/>
      <c r="AR416" s="7"/>
      <c r="AS416" s="7"/>
    </row>
    <row r="417" spans="1:45">
      <c r="B417" s="80">
        <v>-61</v>
      </c>
      <c r="C417" s="79">
        <v>22</v>
      </c>
      <c r="D417" s="80">
        <v>-61</v>
      </c>
      <c r="E417" s="79">
        <v>22</v>
      </c>
      <c r="F417" s="6">
        <v>-16.91</v>
      </c>
      <c r="G417" s="79">
        <v>2390</v>
      </c>
      <c r="H417" s="50" t="s">
        <v>1403</v>
      </c>
      <c r="I417" s="22" t="s">
        <v>493</v>
      </c>
      <c r="J417" s="8">
        <f>IFERROR(VLOOKUP($G417,今日總結!$A:$AN,33,0),"")</f>
        <v>0</v>
      </c>
      <c r="K417" s="5">
        <f>IFERROR(VLOOKUP($G417,今日總結!$A:$AN,34,0),"")</f>
        <v>0</v>
      </c>
      <c r="L417" s="156">
        <f>IFERROR(VLOOKUP($G417,今日總結!$A:$AN,31,0),"")</f>
        <v>0</v>
      </c>
      <c r="M417" s="337">
        <f>IFERROR(VLOOKUP($G417,今日總結!$A:$AN,32,0),"")</f>
        <v>1</v>
      </c>
      <c r="N417" s="240">
        <f t="shared" si="145"/>
        <v>-1</v>
      </c>
      <c r="O417" s="359">
        <f>IFERROR(VLOOKUP($G417,融外自投!$A:$J,7,0),"無")</f>
        <v>113</v>
      </c>
      <c r="P417" s="79">
        <f>IFERROR(VLOOKUP($G417,融外自投!$A:$J,9,0),"無")</f>
        <v>649</v>
      </c>
      <c r="Q417" s="342">
        <f>IFERROR(VLOOKUP($G417,融外自投!$A:$J,8,0),"無")</f>
        <v>1150</v>
      </c>
      <c r="R417" s="81" t="str">
        <f>IFERROR(VLOOKUP($G417,融外自投!$A:$J,10,0),"無")</f>
        <v>無</v>
      </c>
      <c r="S417" s="324">
        <f>IFERROR(VLOOKUP($G417,'321買'!$A:$E,5,0),"'沒有資料'")</f>
        <v>0</v>
      </c>
      <c r="T417" s="34">
        <v>0</v>
      </c>
      <c r="V417" s="94">
        <f>T417/W417</f>
        <v>0</v>
      </c>
      <c r="W417" s="13">
        <v>11.8</v>
      </c>
      <c r="X417" s="45">
        <v>13.57</v>
      </c>
      <c r="Y417" s="15">
        <f>W417-X417</f>
        <v>-1.7699999999999996</v>
      </c>
      <c r="Z417" s="76">
        <f>Y417/X417</f>
        <v>-0.13043478260869562</v>
      </c>
      <c r="AA417" s="113" t="s">
        <v>1916</v>
      </c>
      <c r="AC417" s="22" t="s">
        <v>493</v>
      </c>
      <c r="AD417" s="84">
        <v>43362</v>
      </c>
      <c r="AF417" s="33">
        <f>AE417-AD417</f>
        <v>-43362</v>
      </c>
      <c r="AG417" s="116" t="s">
        <v>1595</v>
      </c>
      <c r="AJ417" s="11"/>
      <c r="AK417" s="11"/>
      <c r="AL417" s="11"/>
      <c r="AM417" s="11"/>
      <c r="AP417" s="7"/>
      <c r="AQ417" s="31"/>
      <c r="AR417" s="7"/>
      <c r="AS417" s="7"/>
    </row>
    <row r="418" spans="1:45" ht="16.5" customHeight="1">
      <c r="A418" s="143"/>
      <c r="B418" s="80">
        <v>-66</v>
      </c>
      <c r="C418" s="80">
        <v>-17</v>
      </c>
      <c r="D418" s="80">
        <v>-66</v>
      </c>
      <c r="E418" s="80">
        <v>-17</v>
      </c>
      <c r="F418" s="6">
        <v>-25.81</v>
      </c>
      <c r="G418" s="79">
        <v>2390</v>
      </c>
      <c r="H418" s="50" t="s">
        <v>1403</v>
      </c>
      <c r="I418" s="22" t="s">
        <v>493</v>
      </c>
      <c r="J418" s="8">
        <f>IFERROR(VLOOKUP($G418,今日總結!$A:$AN,33,0),"")</f>
        <v>0</v>
      </c>
      <c r="K418" s="5">
        <f>IFERROR(VLOOKUP($G418,今日總結!$A:$AN,34,0),"")</f>
        <v>0</v>
      </c>
      <c r="L418" s="156">
        <f>IFERROR(VLOOKUP($G418,今日總結!$A:$AN,31,0),"")</f>
        <v>0</v>
      </c>
      <c r="M418" s="337">
        <f>IFERROR(VLOOKUP($G418,今日總結!$A:$AN,32,0),"")</f>
        <v>1</v>
      </c>
      <c r="N418" s="240">
        <f t="shared" si="145"/>
        <v>-1</v>
      </c>
      <c r="O418" s="359">
        <f>IFERROR(VLOOKUP($G418,融外自投!$A:$J,7,0),"無")</f>
        <v>113</v>
      </c>
      <c r="P418" s="79">
        <f>IFERROR(VLOOKUP($G418,融外自投!$A:$J,9,0),"無")</f>
        <v>649</v>
      </c>
      <c r="Q418" s="342">
        <f>IFERROR(VLOOKUP($G418,融外自投!$A:$J,8,0),"無")</f>
        <v>1150</v>
      </c>
      <c r="R418" s="81" t="str">
        <f>IFERROR(VLOOKUP($G418,融外自投!$A:$J,10,0),"無")</f>
        <v>無</v>
      </c>
      <c r="S418" s="324">
        <f>IFERROR(VLOOKUP($G418,'321買'!$A:$E,5,0),"'沒有資料'")</f>
        <v>0</v>
      </c>
      <c r="T418" s="34">
        <v>0</v>
      </c>
      <c r="V418" s="94">
        <f>T418/W418</f>
        <v>0</v>
      </c>
      <c r="W418" s="36">
        <v>11.8</v>
      </c>
      <c r="X418" s="45">
        <v>11.3</v>
      </c>
      <c r="Y418" s="15">
        <f>W418-X418</f>
        <v>0.5</v>
      </c>
      <c r="Z418" s="63">
        <f>Y418/X418</f>
        <v>4.4247787610619468E-2</v>
      </c>
      <c r="AA418" s="111" t="s">
        <v>1913</v>
      </c>
      <c r="AC418" s="22" t="s">
        <v>493</v>
      </c>
      <c r="AD418" s="84">
        <v>43711</v>
      </c>
      <c r="AF418" s="33">
        <f>AE418-AD418</f>
        <v>-43711</v>
      </c>
      <c r="AG418" s="116"/>
      <c r="AH418" s="245"/>
    </row>
    <row r="419" spans="1:45" ht="16.5" customHeight="1">
      <c r="B419" s="80">
        <v>-66</v>
      </c>
      <c r="C419" s="80">
        <v>-17</v>
      </c>
      <c r="D419" s="80">
        <v>-66</v>
      </c>
      <c r="E419" s="80">
        <v>-17</v>
      </c>
      <c r="F419" s="6">
        <v>-25.81</v>
      </c>
      <c r="G419" s="79">
        <v>2390</v>
      </c>
      <c r="H419" s="50" t="s">
        <v>1403</v>
      </c>
      <c r="I419" s="22" t="s">
        <v>493</v>
      </c>
      <c r="J419" s="8">
        <f>IFERROR(VLOOKUP($G419,今日總結!$A:$AN,33,0),"")</f>
        <v>0</v>
      </c>
      <c r="K419" s="5">
        <f>IFERROR(VLOOKUP($G419,今日總結!$A:$AN,34,0),"")</f>
        <v>0</v>
      </c>
      <c r="L419" s="156">
        <f>IFERROR(VLOOKUP($G419,今日總結!$A:$AN,31,0),"")</f>
        <v>0</v>
      </c>
      <c r="M419" s="337">
        <f>IFERROR(VLOOKUP($G419,今日總結!$A:$AN,32,0),"")</f>
        <v>1</v>
      </c>
      <c r="N419" s="240">
        <f t="shared" ref="N419" si="146">IFERROR(L419-M419,"")</f>
        <v>-1</v>
      </c>
      <c r="O419" s="359">
        <f>IFERROR(VLOOKUP($G419,融外自投!$A:$J,7,0),"無")</f>
        <v>113</v>
      </c>
      <c r="P419" s="79">
        <f>IFERROR(VLOOKUP($G419,融外自投!$A:$J,9,0),"無")</f>
        <v>649</v>
      </c>
      <c r="Q419" s="342">
        <f>IFERROR(VLOOKUP($G419,融外自投!$A:$J,8,0),"無")</f>
        <v>1150</v>
      </c>
      <c r="R419" s="81" t="str">
        <f>IFERROR(VLOOKUP($G419,融外自投!$A:$J,10,0),"無")</f>
        <v>無</v>
      </c>
      <c r="S419" s="324">
        <f>IFERROR(VLOOKUP($G419,'321買'!$A:$E,5,0),"'沒有資料'")</f>
        <v>0</v>
      </c>
      <c r="T419" s="34">
        <v>0</v>
      </c>
      <c r="V419" s="94">
        <f>T419/W419</f>
        <v>0</v>
      </c>
      <c r="W419" s="36">
        <v>11.8</v>
      </c>
      <c r="X419" s="45">
        <v>11.25</v>
      </c>
      <c r="Y419" s="15">
        <f>W419-X419</f>
        <v>0.55000000000000071</v>
      </c>
      <c r="Z419" s="63">
        <f>Y419/X419</f>
        <v>4.8888888888888954E-2</v>
      </c>
      <c r="AA419" s="111" t="s">
        <v>1914</v>
      </c>
      <c r="AC419" s="22" t="s">
        <v>493</v>
      </c>
      <c r="AD419" s="84">
        <v>43698</v>
      </c>
      <c r="AF419" s="33">
        <f>AE419-AD419</f>
        <v>-43698</v>
      </c>
      <c r="AG419" s="116"/>
    </row>
    <row r="420" spans="1:45">
      <c r="B420" s="80"/>
      <c r="C420" s="79"/>
      <c r="D420" s="80"/>
      <c r="E420" s="79"/>
      <c r="F420" s="6"/>
      <c r="G420" s="41"/>
      <c r="H420" s="8"/>
      <c r="I420" s="22"/>
      <c r="L420" s="123"/>
      <c r="T420" s="34"/>
      <c r="V420" s="94"/>
      <c r="W420" s="13">
        <f>SUM(W416:W419)</f>
        <v>47.2</v>
      </c>
      <c r="X420" s="45">
        <f>SUM(X416:X419)</f>
        <v>49.69</v>
      </c>
      <c r="Y420" s="15">
        <f>W420-X420</f>
        <v>-2.4899999999999949</v>
      </c>
      <c r="Z420" s="76">
        <f>Y420/X420</f>
        <v>-5.0110686254779532E-2</v>
      </c>
      <c r="AA420" s="113"/>
      <c r="AC420" s="22"/>
      <c r="AF420" s="33"/>
      <c r="AG420" s="116"/>
      <c r="AJ420" s="11"/>
      <c r="AK420" s="11"/>
      <c r="AL420" s="11"/>
      <c r="AM420" s="11"/>
      <c r="AP420" s="7"/>
      <c r="AQ420" s="31"/>
      <c r="AR420" s="7"/>
      <c r="AS420" s="7"/>
    </row>
    <row r="421" spans="1:45">
      <c r="A421" s="127" t="s">
        <v>1672</v>
      </c>
      <c r="B421" s="90" t="s">
        <v>1571</v>
      </c>
      <c r="C421" s="90" t="s">
        <v>1572</v>
      </c>
      <c r="D421" s="90" t="s">
        <v>1573</v>
      </c>
      <c r="E421" s="90" t="s">
        <v>1574</v>
      </c>
      <c r="F421" s="8" t="s">
        <v>1059</v>
      </c>
      <c r="G421" s="26" t="s">
        <v>3441</v>
      </c>
      <c r="H421" s="55" t="s">
        <v>320</v>
      </c>
      <c r="I421" s="1" t="s">
        <v>69</v>
      </c>
      <c r="L421" s="123"/>
      <c r="R421" s="104" t="s">
        <v>3414</v>
      </c>
      <c r="S421" s="318" t="s">
        <v>3338</v>
      </c>
      <c r="T421" s="10" t="s">
        <v>2948</v>
      </c>
      <c r="V421" s="68" t="s">
        <v>2946</v>
      </c>
      <c r="W421" s="28" t="s">
        <v>2947</v>
      </c>
      <c r="X421" s="17" t="s">
        <v>2949</v>
      </c>
      <c r="Y421" s="14" t="s">
        <v>5</v>
      </c>
      <c r="Z421" s="21" t="s">
        <v>3</v>
      </c>
      <c r="AA421" s="25" t="s">
        <v>105</v>
      </c>
      <c r="AC421" s="1" t="s">
        <v>69</v>
      </c>
      <c r="AD421" s="71" t="s">
        <v>1399</v>
      </c>
      <c r="AE421" s="72" t="s">
        <v>1156</v>
      </c>
      <c r="AF421" s="32" t="s">
        <v>1157</v>
      </c>
      <c r="AG421" s="46" t="s">
        <v>1872</v>
      </c>
    </row>
    <row r="422" spans="1:45" ht="16.5" customHeight="1">
      <c r="A422" s="132"/>
      <c r="B422" s="90"/>
      <c r="C422" s="132"/>
      <c r="D422" s="90"/>
      <c r="E422" s="90"/>
      <c r="F422" s="6"/>
      <c r="G422" s="79">
        <v>648</v>
      </c>
      <c r="H422" s="8" t="s">
        <v>1402</v>
      </c>
      <c r="I422" s="22" t="s">
        <v>1493</v>
      </c>
      <c r="L422" s="123"/>
      <c r="R422" s="81" t="str">
        <f>IFERROR(VLOOKUP($G422,'321買'!A:D,3,0),"'沒有資料'")</f>
        <v>'沒有資料'</v>
      </c>
      <c r="T422" s="34"/>
      <c r="V422" s="94">
        <f>T422/W422</f>
        <v>0</v>
      </c>
      <c r="W422" s="36">
        <v>13.88</v>
      </c>
      <c r="X422" s="45">
        <v>19.579999999999998</v>
      </c>
      <c r="Y422" s="15">
        <f>W422-X422</f>
        <v>-5.6999999999999975</v>
      </c>
      <c r="Z422" s="76">
        <f>Y422/X422</f>
        <v>-0.29111338100102135</v>
      </c>
      <c r="AA422" s="113" t="s">
        <v>1860</v>
      </c>
      <c r="AC422" s="22" t="s">
        <v>1493</v>
      </c>
      <c r="AD422" s="115"/>
      <c r="AF422" s="33">
        <f>AE422-AD422</f>
        <v>0</v>
      </c>
      <c r="AG422" s="49" t="s">
        <v>1856</v>
      </c>
      <c r="AH422" s="247"/>
      <c r="AI422" s="247"/>
      <c r="AJ422" s="75"/>
      <c r="AK422" s="66"/>
      <c r="AL422" s="75"/>
      <c r="AM422" s="66"/>
      <c r="AN422" s="41"/>
      <c r="AO422" s="22"/>
    </row>
    <row r="423" spans="1:45" ht="16.5" customHeight="1">
      <c r="A423" s="132"/>
      <c r="B423" s="90"/>
      <c r="C423" s="132"/>
      <c r="D423" s="90"/>
      <c r="E423" s="90"/>
      <c r="F423" s="6"/>
      <c r="G423" s="41"/>
      <c r="H423" s="8"/>
      <c r="I423" s="22"/>
      <c r="L423" s="123"/>
      <c r="T423" s="34"/>
      <c r="V423" s="94"/>
      <c r="W423" s="13">
        <f>W422*AG422</f>
        <v>749.5200000000001</v>
      </c>
      <c r="X423" s="189">
        <f>X422*AG422</f>
        <v>1057.32</v>
      </c>
      <c r="Y423" s="137">
        <f>W423-X423</f>
        <v>-307.79999999999984</v>
      </c>
      <c r="Z423" s="76">
        <f>Y423/X423</f>
        <v>-0.2911133810010213</v>
      </c>
      <c r="AA423" s="113"/>
      <c r="AC423" s="22"/>
      <c r="AD423" s="115"/>
      <c r="AF423" s="33"/>
      <c r="AG423" s="49"/>
      <c r="AH423" s="247"/>
      <c r="AI423" s="247"/>
      <c r="AJ423" s="75"/>
      <c r="AK423" s="66"/>
      <c r="AL423" s="75"/>
      <c r="AM423" s="66"/>
      <c r="AN423" s="41"/>
      <c r="AO423" s="22"/>
    </row>
    <row r="424" spans="1:45">
      <c r="B424" s="79"/>
      <c r="C424" s="80"/>
      <c r="D424" s="79"/>
      <c r="E424" s="80"/>
      <c r="F424" s="6"/>
      <c r="G424" s="41"/>
      <c r="H424" s="50"/>
      <c r="I424" s="16"/>
      <c r="L424" s="123"/>
      <c r="T424" s="34"/>
      <c r="V424" s="94"/>
      <c r="W424" s="13"/>
      <c r="X424" s="45"/>
      <c r="Y424" s="15"/>
      <c r="Z424" s="76"/>
      <c r="AA424" s="113"/>
      <c r="AC424" s="16"/>
      <c r="AF424" s="33"/>
    </row>
    <row r="425" spans="1:45">
      <c r="A425" s="127" t="s">
        <v>1672</v>
      </c>
      <c r="B425" s="90" t="s">
        <v>1571</v>
      </c>
      <c r="C425" s="90" t="s">
        <v>1572</v>
      </c>
      <c r="D425" s="90" t="s">
        <v>1573</v>
      </c>
      <c r="E425" s="90" t="s">
        <v>1574</v>
      </c>
      <c r="F425" s="8" t="s">
        <v>1059</v>
      </c>
      <c r="G425" s="26" t="s">
        <v>3441</v>
      </c>
      <c r="H425" s="55" t="s">
        <v>320</v>
      </c>
      <c r="I425" s="1" t="s">
        <v>69</v>
      </c>
      <c r="L425" s="123"/>
      <c r="S425" s="318" t="s">
        <v>3338</v>
      </c>
      <c r="T425" s="10" t="s">
        <v>66</v>
      </c>
      <c r="V425" s="68" t="s">
        <v>1492</v>
      </c>
      <c r="W425" s="28" t="s">
        <v>2</v>
      </c>
      <c r="X425" s="17" t="s">
        <v>1398</v>
      </c>
      <c r="Y425" s="14" t="s">
        <v>5</v>
      </c>
      <c r="Z425" s="21" t="s">
        <v>3</v>
      </c>
      <c r="AA425" s="25" t="s">
        <v>105</v>
      </c>
      <c r="AC425" s="1" t="s">
        <v>69</v>
      </c>
      <c r="AD425" s="71" t="s">
        <v>1399</v>
      </c>
      <c r="AE425" s="72" t="s">
        <v>1156</v>
      </c>
      <c r="AF425" s="32" t="s">
        <v>1157</v>
      </c>
      <c r="AG425" s="46" t="s">
        <v>1788</v>
      </c>
    </row>
    <row r="426" spans="1:45">
      <c r="A426" s="127" t="s">
        <v>1734</v>
      </c>
      <c r="B426" s="79">
        <v>31</v>
      </c>
      <c r="C426" s="79">
        <v>21</v>
      </c>
      <c r="D426" s="79">
        <v>3</v>
      </c>
      <c r="E426" s="79">
        <v>8</v>
      </c>
      <c r="F426" s="57">
        <v>26.31</v>
      </c>
      <c r="G426" s="81">
        <v>6592</v>
      </c>
      <c r="H426" s="4" t="s">
        <v>235</v>
      </c>
      <c r="I426" s="22" t="s">
        <v>1735</v>
      </c>
      <c r="J426" s="8">
        <f>IFERROR(VLOOKUP($G426,今日總結!$A:$AN,33,0),"")</f>
        <v>0</v>
      </c>
      <c r="K426" s="5">
        <f>IFERROR(VLOOKUP($G426,今日總結!$A:$AN,34,0),"")</f>
        <v>1</v>
      </c>
      <c r="L426" s="156">
        <f>IFERROR(VLOOKUP($G426,今日總結!$A:$AN,31,0),"")</f>
        <v>0</v>
      </c>
      <c r="M426" s="337">
        <f>IFERROR(VLOOKUP($G426,今日總結!$A:$AN,32,0),"")</f>
        <v>1</v>
      </c>
      <c r="N426" s="240">
        <f t="shared" ref="N426" si="147">IFERROR(L426-M426,"")</f>
        <v>-1</v>
      </c>
      <c r="O426" s="359">
        <f>IFERROR(VLOOKUP($G426,融外自投!$A:$J,7,0),"無")</f>
        <v>1235</v>
      </c>
      <c r="P426" s="79">
        <f>IFERROR(VLOOKUP($G426,融外自投!$A:$J,9,0),"無")</f>
        <v>869</v>
      </c>
      <c r="Q426" s="342">
        <f>IFERROR(VLOOKUP($G426,融外自投!$A:$J,8,0),"無")</f>
        <v>197</v>
      </c>
      <c r="R426" s="81">
        <f>IFERROR(VLOOKUP($G426,融外自投!$A:$J,10,0),"無")</f>
        <v>369</v>
      </c>
      <c r="S426" s="324">
        <f>IFERROR(VLOOKUP($G426,'321買'!$A:$E,5,0),"'沒有資料'")</f>
        <v>0</v>
      </c>
      <c r="T426" s="34">
        <v>3.3</v>
      </c>
      <c r="V426" s="94">
        <f>T426/W426</f>
        <v>3.793103448275862E-2</v>
      </c>
      <c r="W426" s="13">
        <v>87</v>
      </c>
      <c r="X426" s="45">
        <f>92.6-3</f>
        <v>89.6</v>
      </c>
      <c r="Y426" s="15">
        <f>W426-X426</f>
        <v>-2.5999999999999943</v>
      </c>
      <c r="Z426" s="76">
        <f>Y426/X426</f>
        <v>-2.9017857142857081E-2</v>
      </c>
      <c r="AA426" s="100" t="s">
        <v>1789</v>
      </c>
      <c r="AC426" s="22" t="s">
        <v>1735</v>
      </c>
      <c r="AE426" s="83">
        <v>43833</v>
      </c>
      <c r="AF426" s="33">
        <f>AE426-AD426</f>
        <v>43833</v>
      </c>
      <c r="AG426" s="49" t="s">
        <v>1121</v>
      </c>
      <c r="AH426" s="247"/>
      <c r="AI426" s="247"/>
      <c r="AJ426" s="75"/>
      <c r="AK426" s="66"/>
      <c r="AL426" s="75"/>
      <c r="AM426" s="66"/>
      <c r="AN426" s="19"/>
      <c r="AO426" s="22"/>
    </row>
    <row r="427" spans="1:45">
      <c r="A427" s="127"/>
      <c r="B427" s="79"/>
      <c r="C427" s="79"/>
      <c r="D427" s="79"/>
      <c r="E427" s="79"/>
      <c r="F427" s="57"/>
      <c r="H427" s="4"/>
      <c r="I427" s="22"/>
      <c r="L427" s="123"/>
      <c r="T427" s="34"/>
      <c r="V427" s="94"/>
      <c r="W427" s="13"/>
      <c r="X427" s="66"/>
      <c r="Y427" s="15"/>
      <c r="Z427" s="76"/>
      <c r="AA427" s="100"/>
      <c r="AC427" s="22"/>
      <c r="AE427" s="126"/>
      <c r="AF427" s="33"/>
      <c r="AG427" s="49"/>
      <c r="AH427" s="247"/>
      <c r="AI427" s="247"/>
      <c r="AJ427" s="75"/>
      <c r="AK427" s="66"/>
      <c r="AL427" s="75"/>
      <c r="AM427" s="66"/>
      <c r="AN427" s="19"/>
      <c r="AO427" s="22"/>
    </row>
    <row r="428" spans="1:45">
      <c r="A428" s="127" t="s">
        <v>1672</v>
      </c>
      <c r="B428" s="90" t="s">
        <v>1571</v>
      </c>
      <c r="C428" s="90" t="s">
        <v>1572</v>
      </c>
      <c r="D428" s="90" t="s">
        <v>1573</v>
      </c>
      <c r="E428" s="90" t="s">
        <v>1574</v>
      </c>
      <c r="F428" s="8" t="s">
        <v>1059</v>
      </c>
      <c r="G428" s="26" t="s">
        <v>3441</v>
      </c>
      <c r="H428" s="55" t="s">
        <v>320</v>
      </c>
      <c r="I428" s="1" t="s">
        <v>69</v>
      </c>
      <c r="L428" s="123"/>
      <c r="S428" s="318" t="s">
        <v>3338</v>
      </c>
      <c r="T428" s="10" t="s">
        <v>66</v>
      </c>
      <c r="V428" s="68" t="s">
        <v>1492</v>
      </c>
      <c r="W428" s="28" t="s">
        <v>2</v>
      </c>
      <c r="X428" s="17" t="s">
        <v>1398</v>
      </c>
      <c r="Y428" s="14" t="s">
        <v>5</v>
      </c>
      <c r="Z428" s="21" t="s">
        <v>3</v>
      </c>
      <c r="AA428" s="25" t="s">
        <v>105</v>
      </c>
      <c r="AC428" s="1" t="s">
        <v>69</v>
      </c>
      <c r="AD428" s="71" t="s">
        <v>1399</v>
      </c>
      <c r="AE428" s="72" t="s">
        <v>1156</v>
      </c>
      <c r="AF428" s="32" t="s">
        <v>1157</v>
      </c>
      <c r="AG428" s="46" t="s">
        <v>1565</v>
      </c>
    </row>
    <row r="429" spans="1:45">
      <c r="A429" s="127" t="s">
        <v>1742</v>
      </c>
      <c r="B429" s="79">
        <v>31</v>
      </c>
      <c r="C429" s="79">
        <v>21</v>
      </c>
      <c r="D429" s="79">
        <v>3</v>
      </c>
      <c r="E429" s="79">
        <v>9</v>
      </c>
      <c r="F429" s="57">
        <v>26.31</v>
      </c>
      <c r="G429" s="81">
        <v>6592</v>
      </c>
      <c r="H429" s="4" t="s">
        <v>235</v>
      </c>
      <c r="I429" s="22" t="s">
        <v>1735</v>
      </c>
      <c r="J429" s="8">
        <f>IFERROR(VLOOKUP($G429,今日總結!$A:$AN,33,0),"")</f>
        <v>0</v>
      </c>
      <c r="K429" s="5">
        <f>IFERROR(VLOOKUP($G429,今日總結!$A:$AN,34,0),"")</f>
        <v>1</v>
      </c>
      <c r="L429" s="156">
        <f>IFERROR(VLOOKUP($G429,今日總結!$A:$AN,31,0),"")</f>
        <v>0</v>
      </c>
      <c r="M429" s="337">
        <f>IFERROR(VLOOKUP($G429,今日總結!$A:$AN,32,0),"")</f>
        <v>1</v>
      </c>
      <c r="N429" s="240">
        <f t="shared" ref="N429" si="148">IFERROR(L429-M429,"")</f>
        <v>-1</v>
      </c>
      <c r="O429" s="359">
        <f>IFERROR(VLOOKUP($G429,融外自投!$A:$J,7,0),"無")</f>
        <v>1235</v>
      </c>
      <c r="P429" s="79">
        <f>IFERROR(VLOOKUP($G429,融外自投!$A:$J,9,0),"無")</f>
        <v>869</v>
      </c>
      <c r="Q429" s="342">
        <f>IFERROR(VLOOKUP($G429,融外自投!$A:$J,8,0),"無")</f>
        <v>197</v>
      </c>
      <c r="R429" s="81">
        <f>IFERROR(VLOOKUP($G429,融外自投!$A:$J,10,0),"無")</f>
        <v>369</v>
      </c>
      <c r="S429" s="324">
        <f>IFERROR(VLOOKUP($G429,'321買'!$A:$E,5,0),"'沒有資料'")</f>
        <v>0</v>
      </c>
      <c r="T429" s="34">
        <v>3.3</v>
      </c>
      <c r="V429" s="94">
        <f>T429/W429</f>
        <v>3.7499999999999999E-2</v>
      </c>
      <c r="W429" s="13">
        <v>88</v>
      </c>
      <c r="X429" s="45">
        <v>85</v>
      </c>
      <c r="Y429" s="15">
        <f>W429-X429</f>
        <v>3</v>
      </c>
      <c r="Z429" s="63">
        <f>Y429/X429</f>
        <v>3.5294117647058823E-2</v>
      </c>
      <c r="AA429" s="101" t="s">
        <v>1645</v>
      </c>
      <c r="AC429" s="22" t="s">
        <v>1735</v>
      </c>
      <c r="AE429" s="83">
        <v>43833</v>
      </c>
      <c r="AF429" s="33">
        <f>AE429-AD429</f>
        <v>43833</v>
      </c>
      <c r="AG429" s="49"/>
      <c r="AH429" s="247"/>
      <c r="AI429" s="247"/>
      <c r="AJ429" s="75"/>
      <c r="AK429" s="66"/>
      <c r="AL429" s="75"/>
      <c r="AM429" s="66"/>
      <c r="AN429" s="19"/>
      <c r="AO429" s="22"/>
    </row>
    <row r="430" spans="1:45">
      <c r="A430" s="127"/>
      <c r="B430" s="79"/>
      <c r="C430" s="79"/>
      <c r="D430" s="79"/>
      <c r="E430" s="79"/>
      <c r="F430" s="57"/>
      <c r="H430" s="4"/>
      <c r="I430" s="22"/>
      <c r="L430" s="123"/>
      <c r="T430" s="34"/>
      <c r="V430" s="94"/>
      <c r="W430" s="36"/>
      <c r="X430" s="66"/>
      <c r="Y430" s="15"/>
      <c r="Z430" s="63"/>
      <c r="AA430" s="101"/>
      <c r="AC430" s="22"/>
      <c r="AE430" s="126"/>
      <c r="AF430" s="33"/>
      <c r="AG430" s="49"/>
      <c r="AH430" s="247"/>
      <c r="AI430" s="247"/>
      <c r="AJ430" s="75"/>
      <c r="AK430" s="66"/>
      <c r="AL430" s="75"/>
      <c r="AM430" s="66"/>
      <c r="AN430" s="19"/>
      <c r="AO430" s="22"/>
    </row>
    <row r="431" spans="1:45">
      <c r="A431" s="127" t="s">
        <v>1672</v>
      </c>
      <c r="B431" s="90" t="s">
        <v>1571</v>
      </c>
      <c r="C431" s="90" t="s">
        <v>1572</v>
      </c>
      <c r="D431" s="90" t="s">
        <v>1573</v>
      </c>
      <c r="E431" s="90" t="s">
        <v>1574</v>
      </c>
      <c r="F431" s="8" t="s">
        <v>1059</v>
      </c>
      <c r="G431" s="26" t="s">
        <v>3441</v>
      </c>
      <c r="H431" s="55" t="s">
        <v>320</v>
      </c>
      <c r="I431" s="1" t="s">
        <v>69</v>
      </c>
      <c r="L431" s="123"/>
      <c r="S431" s="318" t="s">
        <v>3338</v>
      </c>
      <c r="T431" s="10" t="s">
        <v>66</v>
      </c>
      <c r="V431" s="68" t="s">
        <v>1492</v>
      </c>
      <c r="W431" s="28" t="s">
        <v>2</v>
      </c>
      <c r="X431" s="17" t="s">
        <v>1398</v>
      </c>
      <c r="Y431" s="14" t="s">
        <v>5</v>
      </c>
      <c r="Z431" s="21" t="s">
        <v>3</v>
      </c>
      <c r="AA431" s="25" t="s">
        <v>105</v>
      </c>
      <c r="AC431" s="1" t="s">
        <v>69</v>
      </c>
      <c r="AD431" s="71" t="s">
        <v>1399</v>
      </c>
      <c r="AE431" s="72" t="s">
        <v>1156</v>
      </c>
      <c r="AF431" s="32" t="s">
        <v>1157</v>
      </c>
      <c r="AG431" s="46" t="s">
        <v>1743</v>
      </c>
    </row>
    <row r="432" spans="1:45">
      <c r="B432" s="79">
        <v>80</v>
      </c>
      <c r="C432" s="79">
        <v>78</v>
      </c>
      <c r="D432" s="79">
        <v>80</v>
      </c>
      <c r="E432" s="79">
        <v>78</v>
      </c>
      <c r="F432" s="57">
        <v>26.24</v>
      </c>
      <c r="G432" s="79">
        <v>6173</v>
      </c>
      <c r="H432" s="50" t="s">
        <v>1403</v>
      </c>
      <c r="I432" s="16" t="s">
        <v>82</v>
      </c>
      <c r="J432" s="8">
        <f>IFERROR(VLOOKUP($G432,今日總結!$A:$AN,33,0),"")</f>
        <v>0</v>
      </c>
      <c r="K432" s="5">
        <f>IFERROR(VLOOKUP($G432,今日總結!$A:$AN,34,0),"")</f>
        <v>0</v>
      </c>
      <c r="L432" s="156">
        <f>IFERROR(VLOOKUP($G432,今日總結!$A:$AN,31,0),"")</f>
        <v>1</v>
      </c>
      <c r="M432" s="337">
        <f>IFERROR(VLOOKUP($G432,今日總結!$A:$AN,32,0),"")</f>
        <v>0</v>
      </c>
      <c r="N432" s="240">
        <f t="shared" ref="N432:N434" si="149">IFERROR(L432-M432,"")</f>
        <v>1</v>
      </c>
      <c r="O432" s="359">
        <f>IFERROR(VLOOKUP($G432,融外自投!$A:$J,7,0),"無")</f>
        <v>367</v>
      </c>
      <c r="P432" s="79">
        <f>IFERROR(VLOOKUP($G432,融外自投!$A:$J,9,0),"無")</f>
        <v>158</v>
      </c>
      <c r="Q432" s="342">
        <f>IFERROR(VLOOKUP($G432,融外自投!$A:$J,8,0),"無")</f>
        <v>1087</v>
      </c>
      <c r="R432" s="81" t="str">
        <f>IFERROR(VLOOKUP($G432,融外自投!$A:$J,10,0),"無")</f>
        <v>無</v>
      </c>
      <c r="S432" s="324">
        <f>IFERROR(VLOOKUP($G432,'321買'!$A:$E,5,0),"'沒有資料'")</f>
        <v>0</v>
      </c>
      <c r="T432" s="34">
        <v>4.3</v>
      </c>
      <c r="V432" s="57">
        <f>T432/W432</f>
        <v>6.3235294117647056E-2</v>
      </c>
      <c r="W432" s="13">
        <v>68</v>
      </c>
      <c r="X432" s="45">
        <f>63.1-1.6-1.6</f>
        <v>59.9</v>
      </c>
      <c r="Y432" s="15">
        <f>W432-X432</f>
        <v>8.1000000000000014</v>
      </c>
      <c r="Z432" s="63">
        <f>Y432/X432</f>
        <v>0.13522537562604342</v>
      </c>
      <c r="AA432" s="111" t="s">
        <v>1782</v>
      </c>
      <c r="AC432" s="16" t="s">
        <v>82</v>
      </c>
      <c r="AE432" s="83">
        <v>43825</v>
      </c>
      <c r="AF432" s="33">
        <f>AE432-AD432</f>
        <v>43825</v>
      </c>
      <c r="AG432" s="116"/>
    </row>
    <row r="433" spans="1:46">
      <c r="B433" s="80">
        <v>-33</v>
      </c>
      <c r="C433" s="80">
        <v>-21</v>
      </c>
      <c r="D433" s="80">
        <v>2</v>
      </c>
      <c r="E433" s="80">
        <v>-9</v>
      </c>
      <c r="F433" s="57">
        <v>16.489999999999998</v>
      </c>
      <c r="G433" s="79">
        <v>3264</v>
      </c>
      <c r="H433" s="30" t="s">
        <v>1461</v>
      </c>
      <c r="I433" s="16" t="s">
        <v>259</v>
      </c>
      <c r="J433" s="8">
        <f>IFERROR(VLOOKUP($G433,今日總結!$A:$AN,33,0),"")</f>
        <v>2</v>
      </c>
      <c r="K433" s="5">
        <f>IFERROR(VLOOKUP($G433,今日總結!$A:$AN,34,0),"")</f>
        <v>1</v>
      </c>
      <c r="L433" s="156">
        <f>IFERROR(VLOOKUP($G433,今日總結!$A:$AN,31,0),"")</f>
        <v>4</v>
      </c>
      <c r="M433" s="337">
        <f>IFERROR(VLOOKUP($G433,今日總結!$A:$AN,32,0),"")</f>
        <v>0</v>
      </c>
      <c r="N433" s="240">
        <f t="shared" si="149"/>
        <v>4</v>
      </c>
      <c r="O433" s="359">
        <f>IFERROR(VLOOKUP($G433,融外自投!$A:$J,7,0),"無")</f>
        <v>629</v>
      </c>
      <c r="P433" s="79">
        <f>IFERROR(VLOOKUP($G433,融外自投!$A:$J,9,0),"無")</f>
        <v>340</v>
      </c>
      <c r="Q433" s="342">
        <f>IFERROR(VLOOKUP($G433,融外自投!$A:$J,8,0),"無")</f>
        <v>230</v>
      </c>
      <c r="R433" s="81">
        <f>IFERROR(VLOOKUP($G433,融外自投!$A:$J,10,0),"無")</f>
        <v>98</v>
      </c>
      <c r="S433" s="324">
        <f>IFERROR(VLOOKUP($G433,'321買'!$A:$E,5,0),"'沒有資料'")</f>
        <v>0</v>
      </c>
      <c r="T433" s="34">
        <v>1.6</v>
      </c>
      <c r="V433" s="94">
        <f>T433/W433</f>
        <v>1.737242128121607E-2</v>
      </c>
      <c r="W433" s="13">
        <v>92.1</v>
      </c>
      <c r="X433" s="45">
        <v>85.7</v>
      </c>
      <c r="Y433" s="15">
        <f>W433-X433</f>
        <v>6.3999999999999915</v>
      </c>
      <c r="Z433" s="63">
        <f>Y433/X433</f>
        <v>7.4679113185530818E-2</v>
      </c>
      <c r="AA433" s="99" t="s">
        <v>1778</v>
      </c>
      <c r="AC433" s="16" t="s">
        <v>259</v>
      </c>
      <c r="AE433" s="83">
        <v>43822</v>
      </c>
      <c r="AF433" s="33">
        <f>AE433-AD433</f>
        <v>43822</v>
      </c>
      <c r="AG433" s="116" t="s">
        <v>1122</v>
      </c>
      <c r="AT433" s="11"/>
    </row>
    <row r="434" spans="1:46" ht="16.5" customHeight="1">
      <c r="A434" s="116"/>
      <c r="B434" s="80">
        <v>-68</v>
      </c>
      <c r="C434" s="80">
        <v>-85</v>
      </c>
      <c r="D434" s="80">
        <v>-3</v>
      </c>
      <c r="E434" s="80">
        <v>-40</v>
      </c>
      <c r="F434" s="6">
        <v>1.94</v>
      </c>
      <c r="G434" s="79">
        <v>1605</v>
      </c>
      <c r="H434" s="50" t="s">
        <v>1403</v>
      </c>
      <c r="I434" s="22" t="s">
        <v>110</v>
      </c>
      <c r="J434" s="8">
        <f>IFERROR(VLOOKUP($G434,今日總結!$A:$AN,33,0),"")</f>
        <v>0</v>
      </c>
      <c r="K434" s="5">
        <f>IFERROR(VLOOKUP($G434,今日總結!$A:$AN,34,0),"")</f>
        <v>2</v>
      </c>
      <c r="L434" s="156">
        <f>IFERROR(VLOOKUP($G434,今日總結!$A:$AN,31,0),"")</f>
        <v>0</v>
      </c>
      <c r="M434" s="337">
        <f>IFERROR(VLOOKUP($G434,今日總結!$A:$AN,32,0),"")</f>
        <v>0</v>
      </c>
      <c r="N434" s="240">
        <f t="shared" si="149"/>
        <v>0</v>
      </c>
      <c r="O434" s="359">
        <f>IFERROR(VLOOKUP($G434,融外自投!$A:$J,7,0),"無")</f>
        <v>763</v>
      </c>
      <c r="P434" s="79">
        <f>IFERROR(VLOOKUP($G434,融外自投!$A:$J,9,0),"無")</f>
        <v>42</v>
      </c>
      <c r="Q434" s="342">
        <f>IFERROR(VLOOKUP($G434,融外自投!$A:$J,8,0),"無")</f>
        <v>220</v>
      </c>
      <c r="R434" s="81">
        <f>IFERROR(VLOOKUP($G434,融外自投!$A:$J,10,0),"無")</f>
        <v>174</v>
      </c>
      <c r="S434" s="324">
        <f>IFERROR(VLOOKUP($G434,'321買'!$A:$E,5,0),"'沒有資料'")</f>
        <v>0</v>
      </c>
      <c r="T434" s="34">
        <v>1.2</v>
      </c>
      <c r="V434" s="94">
        <f>T434/W434</f>
        <v>8.9186176142697863E-3</v>
      </c>
      <c r="W434" s="13">
        <v>134.55000000000001</v>
      </c>
      <c r="X434" s="45">
        <v>131.4</v>
      </c>
      <c r="Y434" s="15">
        <f>W434-X434</f>
        <v>3.1500000000000057</v>
      </c>
      <c r="Z434" s="63">
        <f>Y434/X434</f>
        <v>2.3972602739726071E-2</v>
      </c>
      <c r="AA434" s="111" t="s">
        <v>1744</v>
      </c>
      <c r="AC434" s="22" t="s">
        <v>110</v>
      </c>
      <c r="AE434" s="83">
        <v>43811</v>
      </c>
      <c r="AF434" s="33">
        <f>AE434-AD434</f>
        <v>43811</v>
      </c>
      <c r="AG434" s="116"/>
      <c r="AH434" s="245"/>
    </row>
    <row r="435" spans="1:46" ht="16.5" customHeight="1">
      <c r="A435" s="116"/>
      <c r="B435" s="80"/>
      <c r="C435" s="80"/>
      <c r="D435" s="80"/>
      <c r="E435" s="80"/>
      <c r="F435" s="6"/>
      <c r="G435" s="41"/>
      <c r="H435" s="50"/>
      <c r="I435" s="22"/>
      <c r="L435" s="123"/>
      <c r="T435" s="34"/>
      <c r="V435" s="94"/>
      <c r="W435" s="13">
        <f>SUM(W432:W434)</f>
        <v>294.64999999999998</v>
      </c>
      <c r="X435" s="45">
        <f>SUM(X432:X434)</f>
        <v>277</v>
      </c>
      <c r="Y435" s="15">
        <f>W435-X435</f>
        <v>17.649999999999977</v>
      </c>
      <c r="Z435" s="63">
        <f>Y435/X435</f>
        <v>6.3718411552346491E-2</v>
      </c>
      <c r="AA435" s="111"/>
      <c r="AC435" s="22"/>
      <c r="AF435" s="33"/>
      <c r="AG435" s="116"/>
      <c r="AH435" s="245"/>
    </row>
    <row r="436" spans="1:46">
      <c r="A436" s="127" t="s">
        <v>1672</v>
      </c>
      <c r="B436" s="90" t="s">
        <v>1571</v>
      </c>
      <c r="C436" s="90" t="s">
        <v>1572</v>
      </c>
      <c r="D436" s="90" t="s">
        <v>1573</v>
      </c>
      <c r="E436" s="90" t="s">
        <v>1574</v>
      </c>
      <c r="F436" s="8" t="s">
        <v>1059</v>
      </c>
      <c r="G436" s="26" t="s">
        <v>3441</v>
      </c>
      <c r="H436" s="55" t="s">
        <v>320</v>
      </c>
      <c r="I436" s="1" t="s">
        <v>69</v>
      </c>
      <c r="L436" s="123"/>
      <c r="S436" s="319" t="s">
        <v>1053</v>
      </c>
      <c r="T436" s="10" t="s">
        <v>66</v>
      </c>
      <c r="V436" s="68" t="s">
        <v>1492</v>
      </c>
      <c r="W436" s="28" t="s">
        <v>2</v>
      </c>
      <c r="X436" s="17" t="s">
        <v>1398</v>
      </c>
      <c r="Y436" s="14" t="s">
        <v>5</v>
      </c>
      <c r="Z436" s="21" t="s">
        <v>3</v>
      </c>
      <c r="AA436" s="25" t="s">
        <v>105</v>
      </c>
      <c r="AC436" s="1" t="s">
        <v>69</v>
      </c>
      <c r="AD436" s="71" t="s">
        <v>1399</v>
      </c>
      <c r="AE436" s="72" t="s">
        <v>1156</v>
      </c>
      <c r="AF436" s="32" t="s">
        <v>1157</v>
      </c>
    </row>
    <row r="437" spans="1:46">
      <c r="B437" s="80">
        <v>-33</v>
      </c>
      <c r="C437" s="80">
        <v>-21</v>
      </c>
      <c r="D437" s="80">
        <v>2</v>
      </c>
      <c r="E437" s="80">
        <v>-9</v>
      </c>
      <c r="F437" s="57">
        <v>16.489999999999998</v>
      </c>
      <c r="G437" s="79">
        <v>3264</v>
      </c>
      <c r="H437" s="30" t="s">
        <v>1461</v>
      </c>
      <c r="I437" s="16" t="s">
        <v>259</v>
      </c>
      <c r="J437" s="8">
        <f>IFERROR(VLOOKUP($G437,今日總結!$A:$AN,33,0),"")</f>
        <v>2</v>
      </c>
      <c r="K437" s="5">
        <f>IFERROR(VLOOKUP($G437,今日總結!$A:$AN,34,0),"")</f>
        <v>1</v>
      </c>
      <c r="L437" s="156">
        <f>IFERROR(VLOOKUP($G437,今日總結!$A:$AN,31,0),"")</f>
        <v>4</v>
      </c>
      <c r="M437" s="337">
        <f>IFERROR(VLOOKUP($G437,今日總結!$A:$AN,32,0),"")</f>
        <v>0</v>
      </c>
      <c r="N437" s="240">
        <f t="shared" ref="N437" si="150">IFERROR(L437-M437,"")</f>
        <v>4</v>
      </c>
      <c r="O437" s="359">
        <f>IFERROR(VLOOKUP($G437,融外自投!$A:$J,7,0),"無")</f>
        <v>629</v>
      </c>
      <c r="P437" s="79">
        <f>IFERROR(VLOOKUP($G437,融外自投!$A:$J,9,0),"無")</f>
        <v>340</v>
      </c>
      <c r="Q437" s="342">
        <f>IFERROR(VLOOKUP($G437,融外自投!$A:$J,8,0),"無")</f>
        <v>230</v>
      </c>
      <c r="R437" s="81">
        <f>IFERROR(VLOOKUP($G437,融外自投!$A:$J,10,0),"無")</f>
        <v>98</v>
      </c>
      <c r="S437" s="324">
        <f>IFERROR(VLOOKUP($G437,'321買'!$A:$E,5,0),"'沒有資料'")</f>
        <v>0</v>
      </c>
      <c r="T437" s="34">
        <v>1.6</v>
      </c>
      <c r="V437" s="94">
        <f>T437/W437</f>
        <v>5.2117263843648211E-2</v>
      </c>
      <c r="W437" s="36">
        <v>30.7</v>
      </c>
      <c r="X437" s="66">
        <v>28.75</v>
      </c>
      <c r="Y437" s="15">
        <f>W437-X437</f>
        <v>1.9499999999999993</v>
      </c>
      <c r="Z437" s="63">
        <f>Y437/X437</f>
        <v>6.7826086956521717E-2</v>
      </c>
      <c r="AA437" s="99" t="s">
        <v>1773</v>
      </c>
      <c r="AC437" s="16" t="s">
        <v>259</v>
      </c>
      <c r="AD437" s="84">
        <v>43732</v>
      </c>
      <c r="AF437" s="33">
        <f>AE437-AD437</f>
        <v>-43732</v>
      </c>
      <c r="AG437" s="116" t="s">
        <v>1122</v>
      </c>
      <c r="AT437" s="11"/>
    </row>
    <row r="438" spans="1:46">
      <c r="B438" s="80">
        <v>-33</v>
      </c>
      <c r="C438" s="80">
        <v>-21</v>
      </c>
      <c r="D438" s="80">
        <v>2</v>
      </c>
      <c r="E438" s="80">
        <v>-9</v>
      </c>
      <c r="F438" s="57">
        <v>16.489999999999998</v>
      </c>
      <c r="G438" s="79">
        <v>3264</v>
      </c>
      <c r="H438" s="30" t="s">
        <v>1461</v>
      </c>
      <c r="I438" s="16" t="s">
        <v>259</v>
      </c>
      <c r="J438" s="8">
        <f>IFERROR(VLOOKUP($G438,今日總結!$A:$AN,33,0),"")</f>
        <v>2</v>
      </c>
      <c r="K438" s="5">
        <f>IFERROR(VLOOKUP($G438,今日總結!$A:$AN,34,0),"")</f>
        <v>1</v>
      </c>
      <c r="L438" s="156">
        <f>IFERROR(VLOOKUP($G438,今日總結!$A:$AN,31,0),"")</f>
        <v>4</v>
      </c>
      <c r="M438" s="337">
        <f>IFERROR(VLOOKUP($G438,今日總結!$A:$AN,32,0),"")</f>
        <v>0</v>
      </c>
      <c r="N438" s="240">
        <f t="shared" ref="N438:N440" si="151">IFERROR(L438-M438,"")</f>
        <v>4</v>
      </c>
      <c r="O438" s="359">
        <f>IFERROR(VLOOKUP($G438,融外自投!$A:$J,7,0),"無")</f>
        <v>629</v>
      </c>
      <c r="P438" s="79">
        <f>IFERROR(VLOOKUP($G438,融外自投!$A:$J,9,0),"無")</f>
        <v>340</v>
      </c>
      <c r="Q438" s="342">
        <f>IFERROR(VLOOKUP($G438,融外自投!$A:$J,8,0),"無")</f>
        <v>230</v>
      </c>
      <c r="R438" s="81">
        <f>IFERROR(VLOOKUP($G438,融外自投!$A:$J,10,0),"無")</f>
        <v>98</v>
      </c>
      <c r="S438" s="324">
        <f>IFERROR(VLOOKUP($G438,'321買'!$A:$E,5,0),"'沒有資料'")</f>
        <v>0</v>
      </c>
      <c r="T438" s="34">
        <v>1.6</v>
      </c>
      <c r="V438" s="94">
        <f>T438/W438</f>
        <v>5.2117263843648211E-2</v>
      </c>
      <c r="W438" s="36">
        <v>30.7</v>
      </c>
      <c r="X438" s="66">
        <v>28.7</v>
      </c>
      <c r="Y438" s="15">
        <f>W438-X438</f>
        <v>2</v>
      </c>
      <c r="Z438" s="63">
        <f>Y438/X438</f>
        <v>6.968641114982578E-2</v>
      </c>
      <c r="AA438" s="99" t="s">
        <v>1729</v>
      </c>
      <c r="AC438" s="16" t="s">
        <v>259</v>
      </c>
      <c r="AD438" s="84">
        <v>43733</v>
      </c>
      <c r="AF438" s="33">
        <f>AE438-AD438</f>
        <v>-43733</v>
      </c>
      <c r="AG438" s="116"/>
      <c r="AT438" s="11"/>
    </row>
    <row r="439" spans="1:46">
      <c r="B439" s="80">
        <v>-33</v>
      </c>
      <c r="C439" s="80">
        <v>-21</v>
      </c>
      <c r="D439" s="80">
        <v>2</v>
      </c>
      <c r="E439" s="80">
        <v>-9</v>
      </c>
      <c r="F439" s="57">
        <v>16.489999999999998</v>
      </c>
      <c r="G439" s="79">
        <v>3264</v>
      </c>
      <c r="H439" s="30" t="s">
        <v>1461</v>
      </c>
      <c r="I439" s="16" t="s">
        <v>259</v>
      </c>
      <c r="J439" s="8">
        <f>IFERROR(VLOOKUP($G439,今日總結!$A:$AN,33,0),"")</f>
        <v>2</v>
      </c>
      <c r="K439" s="5">
        <f>IFERROR(VLOOKUP($G439,今日總結!$A:$AN,34,0),"")</f>
        <v>1</v>
      </c>
      <c r="L439" s="156">
        <f>IFERROR(VLOOKUP($G439,今日總結!$A:$AN,31,0),"")</f>
        <v>4</v>
      </c>
      <c r="M439" s="337">
        <f>IFERROR(VLOOKUP($G439,今日總結!$A:$AN,32,0),"")</f>
        <v>0</v>
      </c>
      <c r="N439" s="240">
        <f t="shared" si="151"/>
        <v>4</v>
      </c>
      <c r="O439" s="359">
        <f>IFERROR(VLOOKUP($G439,融外自投!$A:$J,7,0),"無")</f>
        <v>629</v>
      </c>
      <c r="P439" s="79">
        <f>IFERROR(VLOOKUP($G439,融外自投!$A:$J,9,0),"無")</f>
        <v>340</v>
      </c>
      <c r="Q439" s="342">
        <f>IFERROR(VLOOKUP($G439,融外自投!$A:$J,8,0),"無")</f>
        <v>230</v>
      </c>
      <c r="R439" s="81">
        <f>IFERROR(VLOOKUP($G439,融外自投!$A:$J,10,0),"無")</f>
        <v>98</v>
      </c>
      <c r="S439" s="324">
        <f>IFERROR(VLOOKUP($G439,'321買'!$A:$E,5,0),"'沒有資料'")</f>
        <v>0</v>
      </c>
      <c r="T439" s="34">
        <v>1.6</v>
      </c>
      <c r="V439" s="94">
        <f>T439/W439</f>
        <v>5.2117263843648211E-2</v>
      </c>
      <c r="W439" s="36">
        <v>30.7</v>
      </c>
      <c r="X439" s="66">
        <v>28.25</v>
      </c>
      <c r="Y439" s="15">
        <f>W439-X439</f>
        <v>2.4499999999999993</v>
      </c>
      <c r="Z439" s="63">
        <f>Y439/X439</f>
        <v>8.672566371681413E-2</v>
      </c>
      <c r="AA439" s="99" t="s">
        <v>1745</v>
      </c>
      <c r="AC439" s="16" t="s">
        <v>259</v>
      </c>
      <c r="AD439" s="84">
        <v>43734</v>
      </c>
      <c r="AF439" s="33">
        <f>AE439-AD439</f>
        <v>-43734</v>
      </c>
      <c r="AG439" s="116"/>
      <c r="AT439" s="11"/>
    </row>
    <row r="440" spans="1:46">
      <c r="B440" s="80">
        <v>-33</v>
      </c>
      <c r="C440" s="80">
        <v>-21</v>
      </c>
      <c r="D440" s="80">
        <v>-1</v>
      </c>
      <c r="E440" s="80">
        <v>-2</v>
      </c>
      <c r="F440" s="57">
        <v>16.489999999999998</v>
      </c>
      <c r="G440" s="81">
        <v>3264</v>
      </c>
      <c r="H440" s="30" t="s">
        <v>1461</v>
      </c>
      <c r="I440" s="16" t="s">
        <v>259</v>
      </c>
      <c r="J440" s="8">
        <f>IFERROR(VLOOKUP($G440,今日總結!$A:$AN,33,0),"")</f>
        <v>2</v>
      </c>
      <c r="K440" s="5">
        <f>IFERROR(VLOOKUP($G440,今日總結!$A:$AN,34,0),"")</f>
        <v>1</v>
      </c>
      <c r="L440" s="156">
        <f>IFERROR(VLOOKUP($G440,今日總結!$A:$AN,31,0),"")</f>
        <v>4</v>
      </c>
      <c r="M440" s="337">
        <f>IFERROR(VLOOKUP($G440,今日總結!$A:$AN,32,0),"")</f>
        <v>0</v>
      </c>
      <c r="N440" s="240">
        <f t="shared" si="151"/>
        <v>4</v>
      </c>
      <c r="O440" s="359">
        <f>IFERROR(VLOOKUP($G440,融外自投!$A:$J,7,0),"無")</f>
        <v>629</v>
      </c>
      <c r="P440" s="79">
        <f>IFERROR(VLOOKUP($G440,融外自投!$A:$J,9,0),"無")</f>
        <v>340</v>
      </c>
      <c r="Q440" s="342">
        <f>IFERROR(VLOOKUP($G440,融外自投!$A:$J,8,0),"無")</f>
        <v>230</v>
      </c>
      <c r="R440" s="81">
        <f>IFERROR(VLOOKUP($G440,融外自投!$A:$J,10,0),"無")</f>
        <v>98</v>
      </c>
      <c r="S440" s="324">
        <f>IFERROR(VLOOKUP($G440,'321買'!$A:$E,5,0),"'沒有資料'")</f>
        <v>0</v>
      </c>
      <c r="T440" s="34">
        <v>1.6</v>
      </c>
      <c r="V440" s="94">
        <f>T440/W440</f>
        <v>5.2117263843648211E-2</v>
      </c>
      <c r="W440" s="36">
        <v>30.7</v>
      </c>
      <c r="X440" s="66">
        <v>27.6</v>
      </c>
      <c r="Y440" s="15">
        <f>W440-X440</f>
        <v>3.0999999999999979</v>
      </c>
      <c r="Z440" s="63">
        <f>Y440/X440</f>
        <v>0.11231884057971006</v>
      </c>
      <c r="AA440" s="99" t="s">
        <v>1637</v>
      </c>
      <c r="AC440" s="16" t="s">
        <v>259</v>
      </c>
      <c r="AD440" s="84">
        <v>43760</v>
      </c>
      <c r="AF440" s="33">
        <f>AE440-AD440</f>
        <v>-43760</v>
      </c>
      <c r="AG440" s="116"/>
      <c r="AH440" s="245"/>
      <c r="AS440" s="11"/>
    </row>
    <row r="441" spans="1:46">
      <c r="B441" s="80"/>
      <c r="C441" s="80"/>
      <c r="D441" s="80"/>
      <c r="E441" s="80"/>
      <c r="F441" s="57"/>
      <c r="G441" s="41"/>
      <c r="H441" s="30"/>
      <c r="I441" s="16"/>
      <c r="L441" s="123"/>
      <c r="T441" s="34"/>
      <c r="V441" s="94"/>
      <c r="W441" s="13">
        <f>SUM(W437:W439)</f>
        <v>92.1</v>
      </c>
      <c r="X441" s="45">
        <f>SUM(X437:X439)</f>
        <v>85.7</v>
      </c>
      <c r="Y441" s="15">
        <f>W441-X441</f>
        <v>6.3999999999999915</v>
      </c>
      <c r="Z441" s="63">
        <f>Y441/X441</f>
        <v>7.4679113185530818E-2</v>
      </c>
      <c r="AA441" s="99"/>
      <c r="AC441" s="16"/>
      <c r="AF441" s="33"/>
      <c r="AG441" s="116"/>
      <c r="AT441" s="11"/>
    </row>
    <row r="442" spans="1:46">
      <c r="A442" s="127" t="s">
        <v>1672</v>
      </c>
      <c r="B442" s="90" t="s">
        <v>1571</v>
      </c>
      <c r="C442" s="90" t="s">
        <v>1572</v>
      </c>
      <c r="D442" s="90" t="s">
        <v>1573</v>
      </c>
      <c r="E442" s="90" t="s">
        <v>1574</v>
      </c>
      <c r="F442" s="8" t="s">
        <v>1059</v>
      </c>
      <c r="G442" s="26" t="s">
        <v>3441</v>
      </c>
      <c r="H442" s="55" t="s">
        <v>320</v>
      </c>
      <c r="I442" s="1" t="s">
        <v>69</v>
      </c>
      <c r="L442" s="123"/>
      <c r="S442" s="319" t="s">
        <v>1053</v>
      </c>
      <c r="T442" s="10" t="s">
        <v>66</v>
      </c>
      <c r="V442" s="68" t="s">
        <v>1492</v>
      </c>
      <c r="W442" s="28" t="s">
        <v>2</v>
      </c>
      <c r="X442" s="17" t="s">
        <v>1398</v>
      </c>
      <c r="Y442" s="14" t="s">
        <v>5</v>
      </c>
      <c r="Z442" s="21" t="s">
        <v>3</v>
      </c>
      <c r="AA442" s="25" t="s">
        <v>105</v>
      </c>
      <c r="AC442" s="1" t="s">
        <v>69</v>
      </c>
      <c r="AD442" s="71" t="s">
        <v>1399</v>
      </c>
      <c r="AE442" s="72" t="s">
        <v>1156</v>
      </c>
      <c r="AF442" s="32" t="s">
        <v>1157</v>
      </c>
    </row>
    <row r="443" spans="1:46" ht="16.5" customHeight="1">
      <c r="A443" s="116"/>
      <c r="B443" s="80">
        <v>-68</v>
      </c>
      <c r="C443" s="80">
        <v>-85</v>
      </c>
      <c r="D443" s="80">
        <v>-3</v>
      </c>
      <c r="E443" s="80">
        <v>-40</v>
      </c>
      <c r="F443" s="6">
        <v>1.94</v>
      </c>
      <c r="G443" s="79">
        <v>1605</v>
      </c>
      <c r="H443" s="50" t="s">
        <v>1403</v>
      </c>
      <c r="I443" s="22" t="s">
        <v>110</v>
      </c>
      <c r="J443" s="8">
        <f>IFERROR(VLOOKUP($G443,今日總結!$A:$AN,33,0),"")</f>
        <v>0</v>
      </c>
      <c r="K443" s="5">
        <f>IFERROR(VLOOKUP($G443,今日總結!$A:$AN,34,0),"")</f>
        <v>2</v>
      </c>
      <c r="L443" s="156">
        <f>IFERROR(VLOOKUP($G443,今日總結!$A:$AN,31,0),"")</f>
        <v>0</v>
      </c>
      <c r="M443" s="337">
        <f>IFERROR(VLOOKUP($G443,今日總結!$A:$AN,32,0),"")</f>
        <v>0</v>
      </c>
      <c r="N443" s="240">
        <f t="shared" ref="N443:N446" si="152">IFERROR(L443-M443,"")</f>
        <v>0</v>
      </c>
      <c r="O443" s="359">
        <f>IFERROR(VLOOKUP($G443,融外自投!$A:$J,7,0),"無")</f>
        <v>763</v>
      </c>
      <c r="P443" s="79">
        <f>IFERROR(VLOOKUP($G443,融外自投!$A:$J,9,0),"無")</f>
        <v>42</v>
      </c>
      <c r="Q443" s="342">
        <f>IFERROR(VLOOKUP($G443,融外自投!$A:$J,8,0),"無")</f>
        <v>220</v>
      </c>
      <c r="R443" s="81">
        <f>IFERROR(VLOOKUP($G443,融外自投!$A:$J,10,0),"無")</f>
        <v>174</v>
      </c>
      <c r="S443" s="324">
        <f>IFERROR(VLOOKUP($G443,'321買'!$A:$E,5,0),"'沒有資料'")</f>
        <v>0</v>
      </c>
      <c r="T443" s="34">
        <v>1.2</v>
      </c>
      <c r="V443" s="94">
        <f>T443/W443</f>
        <v>4.0133779264214048E-2</v>
      </c>
      <c r="W443" s="36">
        <f>14.95*2</f>
        <v>29.9</v>
      </c>
      <c r="X443" s="66">
        <f>14.85*AG443</f>
        <v>29.7</v>
      </c>
      <c r="Y443" s="15">
        <f t="shared" ref="Y443:Y448" si="153">W443-X443</f>
        <v>0.19999999999999929</v>
      </c>
      <c r="Z443" s="76">
        <f t="shared" ref="Z443:Z448" si="154">Y443/X443</f>
        <v>6.7340067340067103E-3</v>
      </c>
      <c r="AA443" s="112" t="s">
        <v>1639</v>
      </c>
      <c r="AC443" s="22" t="s">
        <v>110</v>
      </c>
      <c r="AD443" s="84">
        <v>43728</v>
      </c>
      <c r="AF443" s="33">
        <f>AE443-AD443</f>
        <v>-43728</v>
      </c>
      <c r="AG443" s="116" t="s">
        <v>1501</v>
      </c>
      <c r="AH443" s="245"/>
    </row>
    <row r="444" spans="1:46" ht="16.5" customHeight="1">
      <c r="A444" s="116"/>
      <c r="B444" s="80">
        <v>-68</v>
      </c>
      <c r="C444" s="80">
        <v>-85</v>
      </c>
      <c r="D444" s="80">
        <v>-3</v>
      </c>
      <c r="E444" s="80">
        <v>-40</v>
      </c>
      <c r="F444" s="6">
        <v>1.94</v>
      </c>
      <c r="G444" s="79">
        <v>1605</v>
      </c>
      <c r="H444" s="50" t="s">
        <v>1403</v>
      </c>
      <c r="I444" s="22" t="s">
        <v>110</v>
      </c>
      <c r="J444" s="8">
        <f>IFERROR(VLOOKUP($G444,今日總結!$A:$AN,33,0),"")</f>
        <v>0</v>
      </c>
      <c r="K444" s="5">
        <f>IFERROR(VLOOKUP($G444,今日總結!$A:$AN,34,0),"")</f>
        <v>2</v>
      </c>
      <c r="L444" s="156">
        <f>IFERROR(VLOOKUP($G444,今日總結!$A:$AN,31,0),"")</f>
        <v>0</v>
      </c>
      <c r="M444" s="337">
        <f>IFERROR(VLOOKUP($G444,今日總結!$A:$AN,32,0),"")</f>
        <v>0</v>
      </c>
      <c r="N444" s="240">
        <f t="shared" si="152"/>
        <v>0</v>
      </c>
      <c r="O444" s="359">
        <f>IFERROR(VLOOKUP($G444,融外自投!$A:$J,7,0),"無")</f>
        <v>763</v>
      </c>
      <c r="P444" s="79">
        <f>IFERROR(VLOOKUP($G444,融外自投!$A:$J,9,0),"無")</f>
        <v>42</v>
      </c>
      <c r="Q444" s="342">
        <f>IFERROR(VLOOKUP($G444,融外自投!$A:$J,8,0),"無")</f>
        <v>220</v>
      </c>
      <c r="R444" s="81">
        <f>IFERROR(VLOOKUP($G444,融外自投!$A:$J,10,0),"無")</f>
        <v>174</v>
      </c>
      <c r="S444" s="324">
        <f>IFERROR(VLOOKUP($G444,'321買'!$A:$E,5,0),"'沒有資料'")</f>
        <v>0</v>
      </c>
      <c r="T444" s="34">
        <v>1.2</v>
      </c>
      <c r="V444" s="94">
        <f>T444/W444</f>
        <v>2.6755852842809368E-2</v>
      </c>
      <c r="W444" s="36">
        <f>14.95*3</f>
        <v>44.849999999999994</v>
      </c>
      <c r="X444" s="66">
        <f>14.8*AG444</f>
        <v>44.400000000000006</v>
      </c>
      <c r="Y444" s="15">
        <f t="shared" si="153"/>
        <v>0.44999999999998863</v>
      </c>
      <c r="Z444" s="63">
        <f t="shared" si="154"/>
        <v>1.0135135135134877E-2</v>
      </c>
      <c r="AA444" s="111" t="s">
        <v>1738</v>
      </c>
      <c r="AC444" s="22" t="s">
        <v>110</v>
      </c>
      <c r="AD444" s="84">
        <v>43728</v>
      </c>
      <c r="AF444" s="33">
        <f>AE444-AD444</f>
        <v>-43728</v>
      </c>
      <c r="AG444" s="116" t="s">
        <v>1601</v>
      </c>
      <c r="AH444" s="245"/>
    </row>
    <row r="445" spans="1:46" ht="16.5" customHeight="1">
      <c r="A445" s="116"/>
      <c r="B445" s="80">
        <v>-68</v>
      </c>
      <c r="C445" s="80">
        <v>-85</v>
      </c>
      <c r="D445" s="80">
        <v>-3</v>
      </c>
      <c r="E445" s="80">
        <v>-40</v>
      </c>
      <c r="F445" s="6">
        <v>1.94</v>
      </c>
      <c r="G445" s="79">
        <v>1605</v>
      </c>
      <c r="H445" s="50" t="s">
        <v>1403</v>
      </c>
      <c r="I445" s="22" t="s">
        <v>110</v>
      </c>
      <c r="J445" s="8">
        <f>IFERROR(VLOOKUP($G445,今日總結!$A:$AN,33,0),"")</f>
        <v>0</v>
      </c>
      <c r="K445" s="5">
        <f>IFERROR(VLOOKUP($G445,今日總結!$A:$AN,34,0),"")</f>
        <v>2</v>
      </c>
      <c r="L445" s="156">
        <f>IFERROR(VLOOKUP($G445,今日總結!$A:$AN,31,0),"")</f>
        <v>0</v>
      </c>
      <c r="M445" s="337">
        <f>IFERROR(VLOOKUP($G445,今日總結!$A:$AN,32,0),"")</f>
        <v>0</v>
      </c>
      <c r="N445" s="240">
        <f t="shared" si="152"/>
        <v>0</v>
      </c>
      <c r="O445" s="359">
        <f>IFERROR(VLOOKUP($G445,融外自投!$A:$J,7,0),"無")</f>
        <v>763</v>
      </c>
      <c r="P445" s="79">
        <f>IFERROR(VLOOKUP($G445,融外自投!$A:$J,9,0),"無")</f>
        <v>42</v>
      </c>
      <c r="Q445" s="342">
        <f>IFERROR(VLOOKUP($G445,融外自投!$A:$J,8,0),"無")</f>
        <v>220</v>
      </c>
      <c r="R445" s="81">
        <f>IFERROR(VLOOKUP($G445,融外自投!$A:$J,10,0),"無")</f>
        <v>174</v>
      </c>
      <c r="S445" s="324">
        <f>IFERROR(VLOOKUP($G445,'321買'!$A:$E,5,0),"'沒有資料'")</f>
        <v>0</v>
      </c>
      <c r="T445" s="34">
        <v>1.2</v>
      </c>
      <c r="V445" s="94">
        <f>T445/W445</f>
        <v>8.0267558528428096E-2</v>
      </c>
      <c r="W445" s="36">
        <v>14.95</v>
      </c>
      <c r="X445" s="66">
        <v>14.75</v>
      </c>
      <c r="Y445" s="15">
        <f t="shared" si="153"/>
        <v>0.19999999999999929</v>
      </c>
      <c r="Z445" s="63">
        <f t="shared" si="154"/>
        <v>1.3559322033898256E-2</v>
      </c>
      <c r="AA445" s="111" t="s">
        <v>1737</v>
      </c>
      <c r="AC445" s="22" t="s">
        <v>110</v>
      </c>
      <c r="AD445" s="84">
        <v>43728</v>
      </c>
      <c r="AF445" s="33">
        <f>AE445-AD445</f>
        <v>-43728</v>
      </c>
      <c r="AG445" s="116" t="s">
        <v>1600</v>
      </c>
      <c r="AH445" s="245"/>
    </row>
    <row r="446" spans="1:46" ht="16.5" customHeight="1">
      <c r="A446" s="116"/>
      <c r="B446" s="80">
        <v>-68</v>
      </c>
      <c r="C446" s="80">
        <v>-85</v>
      </c>
      <c r="D446" s="80">
        <v>-3</v>
      </c>
      <c r="E446" s="80">
        <v>-40</v>
      </c>
      <c r="F446" s="6">
        <v>1.94</v>
      </c>
      <c r="G446" s="79">
        <v>1605</v>
      </c>
      <c r="H446" s="50" t="s">
        <v>1403</v>
      </c>
      <c r="I446" s="22" t="s">
        <v>110</v>
      </c>
      <c r="J446" s="8">
        <f>IFERROR(VLOOKUP($G446,今日總結!$A:$AN,33,0),"")</f>
        <v>0</v>
      </c>
      <c r="K446" s="5">
        <f>IFERROR(VLOOKUP($G446,今日總結!$A:$AN,34,0),"")</f>
        <v>2</v>
      </c>
      <c r="L446" s="156">
        <f>IFERROR(VLOOKUP($G446,今日總結!$A:$AN,31,0),"")</f>
        <v>0</v>
      </c>
      <c r="M446" s="337">
        <f>IFERROR(VLOOKUP($G446,今日總結!$A:$AN,32,0),"")</f>
        <v>0</v>
      </c>
      <c r="N446" s="240">
        <f t="shared" si="152"/>
        <v>0</v>
      </c>
      <c r="O446" s="359">
        <f>IFERROR(VLOOKUP($G446,融外自投!$A:$J,7,0),"無")</f>
        <v>763</v>
      </c>
      <c r="P446" s="79">
        <f>IFERROR(VLOOKUP($G446,融外自投!$A:$J,9,0),"無")</f>
        <v>42</v>
      </c>
      <c r="Q446" s="342">
        <f>IFERROR(VLOOKUP($G446,融外自投!$A:$J,8,0),"無")</f>
        <v>220</v>
      </c>
      <c r="R446" s="81">
        <f>IFERROR(VLOOKUP($G446,融外自投!$A:$J,10,0),"無")</f>
        <v>174</v>
      </c>
      <c r="S446" s="324">
        <f>IFERROR(VLOOKUP($G446,'321買'!$A:$E,5,0),"'沒有資料'")</f>
        <v>0</v>
      </c>
      <c r="T446" s="34">
        <v>1.2</v>
      </c>
      <c r="V446" s="94">
        <f>T446/W446</f>
        <v>8.0267558528428096E-2</v>
      </c>
      <c r="W446" s="36">
        <v>14.95</v>
      </c>
      <c r="X446" s="66">
        <v>14.55</v>
      </c>
      <c r="Y446" s="15">
        <f>W446-X446</f>
        <v>0.39999999999999858</v>
      </c>
      <c r="Z446" s="63">
        <f>Y446/X446</f>
        <v>2.7491408934707806E-2</v>
      </c>
      <c r="AA446" s="111" t="s">
        <v>1739</v>
      </c>
      <c r="AC446" s="22" t="s">
        <v>110</v>
      </c>
      <c r="AD446" s="84">
        <v>43742</v>
      </c>
      <c r="AF446" s="33">
        <f>AE446-AD446</f>
        <v>-43742</v>
      </c>
      <c r="AG446" s="116" t="s">
        <v>1121</v>
      </c>
      <c r="AH446" s="245"/>
    </row>
    <row r="447" spans="1:46" ht="16.5" customHeight="1">
      <c r="A447" s="142">
        <v>332</v>
      </c>
      <c r="B447" s="80">
        <v>-76</v>
      </c>
      <c r="C447" s="80">
        <v>-79</v>
      </c>
      <c r="D447" s="80">
        <v>-1</v>
      </c>
      <c r="E447" s="80">
        <v>-28</v>
      </c>
      <c r="F447" s="6">
        <v>2.0499999999999998</v>
      </c>
      <c r="G447" s="79">
        <v>1605</v>
      </c>
      <c r="H447" s="50" t="s">
        <v>1403</v>
      </c>
      <c r="I447" s="22" t="s">
        <v>110</v>
      </c>
      <c r="J447" s="8">
        <f>IFERROR(VLOOKUP($G447,今日總結!$A:$AN,33,0),"")</f>
        <v>0</v>
      </c>
      <c r="K447" s="5">
        <f>IFERROR(VLOOKUP($G447,今日總結!$A:$AN,34,0),"")</f>
        <v>2</v>
      </c>
      <c r="L447" s="156">
        <f>IFERROR(VLOOKUP($G447,今日總結!$A:$AN,31,0),"")</f>
        <v>0</v>
      </c>
      <c r="M447" s="337">
        <f>IFERROR(VLOOKUP($G447,今日總結!$A:$AN,32,0),"")</f>
        <v>0</v>
      </c>
      <c r="N447" s="240">
        <f t="shared" ref="N447" si="155">IFERROR(L447-M447,"")</f>
        <v>0</v>
      </c>
      <c r="O447" s="359">
        <f>IFERROR(VLOOKUP($G447,融外自投!$A:$J,7,0),"無")</f>
        <v>763</v>
      </c>
      <c r="P447" s="79">
        <f>IFERROR(VLOOKUP($G447,融外自投!$A:$J,9,0),"無")</f>
        <v>42</v>
      </c>
      <c r="Q447" s="342">
        <f>IFERROR(VLOOKUP($G447,融外自投!$A:$J,8,0),"無")</f>
        <v>220</v>
      </c>
      <c r="R447" s="81">
        <f>IFERROR(VLOOKUP($G447,融外自投!$A:$J,10,0),"無")</f>
        <v>174</v>
      </c>
      <c r="S447" s="324">
        <f>IFERROR(VLOOKUP($G447,'321買'!$A:$E,5,0),"'沒有資料'")</f>
        <v>0</v>
      </c>
      <c r="T447" s="34">
        <v>1.2</v>
      </c>
      <c r="V447" s="94">
        <f>T447/W447</f>
        <v>4.0133779264214048E-2</v>
      </c>
      <c r="W447" s="36">
        <f>14.95*2</f>
        <v>29.9</v>
      </c>
      <c r="X447" s="66">
        <f>14*2</f>
        <v>28</v>
      </c>
      <c r="Y447" s="15">
        <f>W447-X447</f>
        <v>1.8999999999999986</v>
      </c>
      <c r="Z447" s="63">
        <f>Y447/X447</f>
        <v>6.785714285714281E-2</v>
      </c>
      <c r="AA447" s="111" t="s">
        <v>1740</v>
      </c>
      <c r="AC447" s="22" t="s">
        <v>110</v>
      </c>
      <c r="AD447" s="84">
        <v>43782</v>
      </c>
      <c r="AF447" s="33">
        <f>AE447-AD447</f>
        <v>-43782</v>
      </c>
      <c r="AG447" s="116" t="s">
        <v>1501</v>
      </c>
      <c r="AH447" s="245"/>
    </row>
    <row r="448" spans="1:46" ht="16.5" customHeight="1">
      <c r="A448" s="116"/>
      <c r="B448" s="80"/>
      <c r="C448" s="80"/>
      <c r="D448" s="80"/>
      <c r="E448" s="80"/>
      <c r="F448" s="6"/>
      <c r="G448" s="41"/>
      <c r="H448" s="5"/>
      <c r="I448" s="22"/>
      <c r="L448" s="123"/>
      <c r="T448" s="34"/>
      <c r="V448" s="94"/>
      <c r="W448" s="13">
        <f>SUM(W443:W447)</f>
        <v>134.55000000000001</v>
      </c>
      <c r="X448" s="45">
        <f>SUM(X443:X447)</f>
        <v>131.4</v>
      </c>
      <c r="Y448" s="15">
        <f t="shared" si="153"/>
        <v>3.1500000000000057</v>
      </c>
      <c r="Z448" s="63">
        <f t="shared" si="154"/>
        <v>2.3972602739726071E-2</v>
      </c>
      <c r="AA448" s="111"/>
      <c r="AC448" s="22"/>
      <c r="AD448" s="115"/>
      <c r="AE448" s="126"/>
      <c r="AF448" s="33"/>
      <c r="AG448" s="116" t="s">
        <v>1711</v>
      </c>
      <c r="AH448" s="245"/>
    </row>
    <row r="449" spans="1:45">
      <c r="A449" s="127" t="s">
        <v>1672</v>
      </c>
      <c r="B449" s="90" t="s">
        <v>1571</v>
      </c>
      <c r="C449" s="90" t="s">
        <v>1572</v>
      </c>
      <c r="D449" s="90" t="s">
        <v>1573</v>
      </c>
      <c r="E449" s="90" t="s">
        <v>1574</v>
      </c>
      <c r="F449" s="8" t="s">
        <v>1059</v>
      </c>
      <c r="G449" s="26" t="s">
        <v>3441</v>
      </c>
      <c r="H449" s="55" t="s">
        <v>320</v>
      </c>
      <c r="I449" s="1" t="s">
        <v>69</v>
      </c>
      <c r="L449" s="123"/>
      <c r="S449" s="319" t="s">
        <v>1053</v>
      </c>
      <c r="T449" s="10" t="s">
        <v>66</v>
      </c>
      <c r="V449" s="68" t="s">
        <v>1492</v>
      </c>
      <c r="W449" s="28" t="s">
        <v>2</v>
      </c>
      <c r="X449" s="17" t="s">
        <v>1398</v>
      </c>
      <c r="Y449" s="14" t="s">
        <v>5</v>
      </c>
      <c r="Z449" s="21" t="s">
        <v>3</v>
      </c>
      <c r="AA449" s="25" t="s">
        <v>105</v>
      </c>
      <c r="AC449" s="1" t="s">
        <v>69</v>
      </c>
      <c r="AD449" s="71" t="s">
        <v>1399</v>
      </c>
      <c r="AE449" s="72" t="s">
        <v>1156</v>
      </c>
      <c r="AF449" s="32" t="s">
        <v>1157</v>
      </c>
      <c r="AG449" s="46" t="s">
        <v>1685</v>
      </c>
    </row>
    <row r="450" spans="1:45" ht="16.5" customHeight="1">
      <c r="B450" s="80">
        <v>-49</v>
      </c>
      <c r="C450" s="80">
        <v>-36</v>
      </c>
      <c r="D450" s="80">
        <v>-49</v>
      </c>
      <c r="E450" s="80">
        <v>-36</v>
      </c>
      <c r="F450" s="57">
        <v>12.88</v>
      </c>
      <c r="G450" s="79">
        <v>1789</v>
      </c>
      <c r="H450" s="50" t="s">
        <v>1403</v>
      </c>
      <c r="I450" s="22" t="s">
        <v>130</v>
      </c>
      <c r="J450" s="8">
        <f>IFERROR(VLOOKUP($G450,今日總結!$A:$AN,33,0),"")</f>
        <v>0</v>
      </c>
      <c r="K450" s="5">
        <f>IFERROR(VLOOKUP($G450,今日總結!$A:$AN,34,0),"")</f>
        <v>0</v>
      </c>
      <c r="L450" s="156">
        <f>IFERROR(VLOOKUP($G450,今日總結!$A:$AN,31,0),"")</f>
        <v>0</v>
      </c>
      <c r="M450" s="337">
        <f>IFERROR(VLOOKUP($G450,今日總結!$A:$AN,32,0),"")</f>
        <v>0</v>
      </c>
      <c r="N450" s="240">
        <f t="shared" ref="N450:N454" si="156">IFERROR(L450-M450,"")</f>
        <v>0</v>
      </c>
      <c r="O450" s="359">
        <f>IFERROR(VLOOKUP($G450,融外自投!$A:$J,7,0),"無")</f>
        <v>1094</v>
      </c>
      <c r="P450" s="79">
        <f>IFERROR(VLOOKUP($G450,融外自投!$A:$J,9,0),"無")</f>
        <v>741</v>
      </c>
      <c r="Q450" s="342">
        <f>IFERROR(VLOOKUP($G450,融外自投!$A:$J,8,0),"無")</f>
        <v>864</v>
      </c>
      <c r="R450" s="81" t="str">
        <f>IFERROR(VLOOKUP($G450,融外自投!$A:$J,10,0),"無")</f>
        <v>無</v>
      </c>
      <c r="S450" s="324">
        <f>IFERROR(VLOOKUP($G450,'321買'!$A:$E,5,0),"'沒有資料'")</f>
        <v>0</v>
      </c>
      <c r="T450" s="34">
        <v>0.49</v>
      </c>
      <c r="V450" s="57">
        <f>T450/W450</f>
        <v>4.5539033457249068E-3</v>
      </c>
      <c r="W450" s="13">
        <v>107.6</v>
      </c>
      <c r="X450" s="45">
        <v>103.27</v>
      </c>
      <c r="Y450" s="15">
        <f t="shared" ref="Y450:Y455" si="157">W450-X450</f>
        <v>4.3299999999999983</v>
      </c>
      <c r="Z450" s="63">
        <f t="shared" ref="Z450:Z455" si="158">Y450/X450</f>
        <v>4.1928924179335705E-2</v>
      </c>
      <c r="AA450" s="111" t="s">
        <v>1714</v>
      </c>
      <c r="AC450" s="22" t="s">
        <v>130</v>
      </c>
      <c r="AE450" s="83">
        <v>43789</v>
      </c>
      <c r="AF450" s="33">
        <f>AE450-AD450</f>
        <v>43789</v>
      </c>
      <c r="AG450" s="116"/>
    </row>
    <row r="451" spans="1:45" s="7" customFormat="1" ht="17.100000000000001" customHeight="1">
      <c r="A451" s="125"/>
      <c r="B451" s="79">
        <v>0.6</v>
      </c>
      <c r="C451" s="80">
        <v>-34</v>
      </c>
      <c r="D451" s="79">
        <v>0.6</v>
      </c>
      <c r="E451" s="80">
        <v>-34</v>
      </c>
      <c r="F451" s="6">
        <v>1.53</v>
      </c>
      <c r="G451" s="79">
        <v>2317</v>
      </c>
      <c r="H451" s="50" t="s">
        <v>1403</v>
      </c>
      <c r="I451" s="22" t="s">
        <v>4</v>
      </c>
      <c r="J451" s="8">
        <f>IFERROR(VLOOKUP($G451,今日總結!$A:$AN,33,0),"")</f>
        <v>0</v>
      </c>
      <c r="K451" s="5">
        <f>IFERROR(VLOOKUP($G451,今日總結!$A:$AN,34,0),"")</f>
        <v>0</v>
      </c>
      <c r="L451" s="156">
        <f>IFERROR(VLOOKUP($G451,今日總結!$A:$AN,31,0),"")</f>
        <v>2</v>
      </c>
      <c r="M451" s="337">
        <f>IFERROR(VLOOKUP($G451,今日總結!$A:$AN,32,0),"")</f>
        <v>0</v>
      </c>
      <c r="N451" s="240">
        <f t="shared" si="156"/>
        <v>2</v>
      </c>
      <c r="O451" s="359">
        <f>IFERROR(VLOOKUP($G451,融外自投!$A:$J,7,0),"無")</f>
        <v>1173</v>
      </c>
      <c r="P451" s="79">
        <f>IFERROR(VLOOKUP($G451,融外自投!$A:$J,9,0),"無")</f>
        <v>331</v>
      </c>
      <c r="Q451" s="342">
        <f>IFERROR(VLOOKUP($G451,融外自投!$A:$J,8,0),"無")</f>
        <v>94</v>
      </c>
      <c r="R451" s="81">
        <f>IFERROR(VLOOKUP($G451,融外自投!$A:$J,10,0),"無")</f>
        <v>161</v>
      </c>
      <c r="S451" s="324">
        <f>IFERROR(VLOOKUP($G451,'321買'!$A:$E,5,0),"'沒有資料'")</f>
        <v>0</v>
      </c>
      <c r="T451" s="186">
        <v>4</v>
      </c>
      <c r="U451" s="308"/>
      <c r="V451" s="94">
        <f>T451/W451</f>
        <v>5.5248618784530384E-2</v>
      </c>
      <c r="W451" s="13">
        <f>90.5*0.8</f>
        <v>72.400000000000006</v>
      </c>
      <c r="X451" s="45">
        <f>94.93-4-4*0.8</f>
        <v>87.73</v>
      </c>
      <c r="Y451" s="45">
        <f t="shared" si="157"/>
        <v>-15.329999999999998</v>
      </c>
      <c r="Z451" s="76">
        <f t="shared" si="158"/>
        <v>-0.17474068163684028</v>
      </c>
      <c r="AA451" s="112" t="s">
        <v>1700</v>
      </c>
      <c r="AB451" s="376"/>
      <c r="AC451" s="22" t="s">
        <v>4</v>
      </c>
      <c r="AD451" s="84"/>
      <c r="AE451" s="83">
        <v>43777</v>
      </c>
      <c r="AF451" s="33">
        <f>AE451-AD451</f>
        <v>43777</v>
      </c>
      <c r="AG451" s="116"/>
      <c r="AH451" s="125"/>
      <c r="AI451" s="37"/>
      <c r="AJ451" s="37"/>
      <c r="AK451" s="37"/>
      <c r="AL451" s="37"/>
      <c r="AM451" s="37"/>
      <c r="AN451" s="245"/>
      <c r="AO451" s="245"/>
    </row>
    <row r="452" spans="1:45">
      <c r="B452" s="79">
        <v>100</v>
      </c>
      <c r="C452" s="79">
        <v>67</v>
      </c>
      <c r="D452" s="79">
        <v>100</v>
      </c>
      <c r="E452" s="79">
        <v>67</v>
      </c>
      <c r="F452" s="57">
        <v>18.75</v>
      </c>
      <c r="G452" s="81">
        <v>9940</v>
      </c>
      <c r="H452" s="50" t="s">
        <v>1403</v>
      </c>
      <c r="I452" s="22" t="s">
        <v>92</v>
      </c>
      <c r="J452" s="8">
        <f>IFERROR(VLOOKUP($G452,今日總結!$A:$AN,33,0),"")</f>
        <v>0</v>
      </c>
      <c r="K452" s="5">
        <f>IFERROR(VLOOKUP($G452,今日總結!$A:$AN,34,0),"")</f>
        <v>0</v>
      </c>
      <c r="L452" s="156">
        <f>IFERROR(VLOOKUP($G452,今日總結!$A:$AN,31,0),"")</f>
        <v>0</v>
      </c>
      <c r="M452" s="337">
        <f>IFERROR(VLOOKUP($G452,今日總結!$A:$AN,32,0),"")</f>
        <v>0</v>
      </c>
      <c r="N452" s="240">
        <f t="shared" si="156"/>
        <v>0</v>
      </c>
      <c r="O452" s="359">
        <f>IFERROR(VLOOKUP($G452,融外自投!$A:$J,7,0),"無")</f>
        <v>1360</v>
      </c>
      <c r="P452" s="79">
        <f>IFERROR(VLOOKUP($G452,融外自投!$A:$J,9,0),"無")</f>
        <v>825</v>
      </c>
      <c r="Q452" s="342">
        <f>IFERROR(VLOOKUP($G452,融外自投!$A:$J,8,0),"無")</f>
        <v>718</v>
      </c>
      <c r="R452" s="81">
        <f>IFERROR(VLOOKUP($G452,融外自投!$A:$J,10,0),"無")</f>
        <v>276</v>
      </c>
      <c r="S452" s="324">
        <f>IFERROR(VLOOKUP($G452,'321買'!$A:$E,5,0),"'沒有資料'")</f>
        <v>0</v>
      </c>
      <c r="T452" s="34">
        <v>1.3</v>
      </c>
      <c r="V452" s="57">
        <f>T452/W452</f>
        <v>2.0280811232449302E-2</v>
      </c>
      <c r="W452" s="13">
        <v>64.099999999999994</v>
      </c>
      <c r="X452" s="45">
        <v>63.2</v>
      </c>
      <c r="Y452" s="70">
        <f t="shared" si="157"/>
        <v>0.89999999999999147</v>
      </c>
      <c r="Z452" s="63">
        <f t="shared" si="158"/>
        <v>1.4240506329113788E-2</v>
      </c>
      <c r="AA452" s="111" t="s">
        <v>1611</v>
      </c>
      <c r="AC452" s="22" t="s">
        <v>92</v>
      </c>
      <c r="AE452" s="83">
        <v>43776</v>
      </c>
      <c r="AF452" s="33">
        <f>AE452-AD452</f>
        <v>43776</v>
      </c>
      <c r="AG452" s="116"/>
    </row>
    <row r="453" spans="1:45">
      <c r="B453" s="79">
        <v>11</v>
      </c>
      <c r="C453" s="79">
        <v>7</v>
      </c>
      <c r="D453" s="79">
        <v>1</v>
      </c>
      <c r="E453" s="80">
        <v>-11</v>
      </c>
      <c r="F453" s="57">
        <v>24.12</v>
      </c>
      <c r="G453" s="81">
        <v>5347</v>
      </c>
      <c r="H453" s="50" t="s">
        <v>1403</v>
      </c>
      <c r="I453" s="16" t="s">
        <v>33</v>
      </c>
      <c r="J453" s="8">
        <f>IFERROR(VLOOKUP($G453,今日總結!$A:$AN,33,0),"")</f>
        <v>0</v>
      </c>
      <c r="K453" s="5">
        <f>IFERROR(VLOOKUP($G453,今日總結!$A:$AN,34,0),"")</f>
        <v>0</v>
      </c>
      <c r="L453" s="156">
        <f>IFERROR(VLOOKUP($G453,今日總結!$A:$AN,31,0),"")</f>
        <v>0</v>
      </c>
      <c r="M453" s="337">
        <f>IFERROR(VLOOKUP($G453,今日總結!$A:$AN,32,0),"")</f>
        <v>1</v>
      </c>
      <c r="N453" s="240">
        <f t="shared" si="156"/>
        <v>-1</v>
      </c>
      <c r="O453" s="359">
        <f>IFERROR(VLOOKUP($G453,融外自投!$A:$J,7,0),"無")</f>
        <v>1194</v>
      </c>
      <c r="P453" s="79">
        <f>IFERROR(VLOOKUP($G453,融外自投!$A:$J,9,0),"無")</f>
        <v>403</v>
      </c>
      <c r="Q453" s="342">
        <f>IFERROR(VLOOKUP($G453,融外自投!$A:$J,8,0),"無")</f>
        <v>172</v>
      </c>
      <c r="R453" s="81">
        <f>IFERROR(VLOOKUP($G453,融外自投!$A:$J,10,0),"無")</f>
        <v>141</v>
      </c>
      <c r="S453" s="324">
        <f>IFERROR(VLOOKUP($G453,'321買'!$A:$E,5,0),"'沒有資料'")</f>
        <v>0</v>
      </c>
      <c r="T453" s="34">
        <v>3.2</v>
      </c>
      <c r="V453" s="57">
        <f>T453/W453</f>
        <v>4.7976011994002997E-2</v>
      </c>
      <c r="W453" s="13">
        <v>66.7</v>
      </c>
      <c r="X453" s="45">
        <v>62.8</v>
      </c>
      <c r="Y453" s="15">
        <f t="shared" si="157"/>
        <v>3.9000000000000057</v>
      </c>
      <c r="Z453" s="63">
        <f t="shared" si="158"/>
        <v>6.2101910828025568E-2</v>
      </c>
      <c r="AA453" s="99" t="s">
        <v>1686</v>
      </c>
      <c r="AC453" s="16" t="s">
        <v>33</v>
      </c>
      <c r="AE453" s="83">
        <v>43774</v>
      </c>
      <c r="AF453" s="33">
        <f>AE453-AD453</f>
        <v>43774</v>
      </c>
      <c r="AG453" s="118"/>
    </row>
    <row r="454" spans="1:45">
      <c r="B454" s="80">
        <v>-211</v>
      </c>
      <c r="C454" s="93">
        <v>-5489</v>
      </c>
      <c r="D454" s="80">
        <v>-211</v>
      </c>
      <c r="E454" s="93">
        <v>-5489</v>
      </c>
      <c r="F454" s="6">
        <v>-13.71</v>
      </c>
      <c r="G454" s="79">
        <v>3545</v>
      </c>
      <c r="H454" s="50" t="s">
        <v>1403</v>
      </c>
      <c r="I454" s="22" t="s">
        <v>347</v>
      </c>
      <c r="J454" s="8">
        <f>IFERROR(VLOOKUP($G454,今日總結!$A:$AN,33,0),"")</f>
        <v>3</v>
      </c>
      <c r="K454" s="5">
        <f>IFERROR(VLOOKUP($G454,今日總結!$A:$AN,34,0),"")</f>
        <v>0</v>
      </c>
      <c r="L454" s="156">
        <f>IFERROR(VLOOKUP($G454,今日總結!$A:$AN,31,0),"")</f>
        <v>0</v>
      </c>
      <c r="M454" s="337">
        <f>IFERROR(VLOOKUP($G454,今日總結!$A:$AN,32,0),"")</f>
        <v>1</v>
      </c>
      <c r="N454" s="240">
        <f t="shared" si="156"/>
        <v>-1</v>
      </c>
      <c r="O454" s="359">
        <f>IFERROR(VLOOKUP($G454,融外自投!$A:$J,7,0),"無")</f>
        <v>56</v>
      </c>
      <c r="P454" s="79">
        <f>IFERROR(VLOOKUP($G454,融外自投!$A:$J,9,0),"無")</f>
        <v>88</v>
      </c>
      <c r="Q454" s="342">
        <f>IFERROR(VLOOKUP($G454,融外自投!$A:$J,8,0),"無")</f>
        <v>397</v>
      </c>
      <c r="R454" s="81">
        <f>IFERROR(VLOOKUP($G454,融外自投!$A:$J,10,0),"無")</f>
        <v>495</v>
      </c>
      <c r="S454" s="324">
        <f>IFERROR(VLOOKUP($G454,'321買'!$A:$E,5,0),"'沒有資料'")</f>
        <v>0</v>
      </c>
      <c r="T454" s="34">
        <v>0.5</v>
      </c>
      <c r="V454" s="94">
        <f>T454/W454</f>
        <v>5.208333333333333E-3</v>
      </c>
      <c r="W454" s="13">
        <v>96</v>
      </c>
      <c r="X454" s="45">
        <v>94.67</v>
      </c>
      <c r="Y454" s="15">
        <f t="shared" si="157"/>
        <v>1.3299999999999983</v>
      </c>
      <c r="Z454" s="63">
        <f t="shared" si="158"/>
        <v>1.404880109855285E-2</v>
      </c>
      <c r="AA454" s="111" t="s">
        <v>1693</v>
      </c>
      <c r="AC454" s="22" t="s">
        <v>347</v>
      </c>
      <c r="AE454" s="83">
        <v>43774</v>
      </c>
      <c r="AF454" s="33">
        <f>AE454-AD454</f>
        <v>43774</v>
      </c>
      <c r="AG454" s="116"/>
      <c r="AJ454" s="11"/>
      <c r="AK454" s="11"/>
      <c r="AL454" s="11"/>
      <c r="AM454" s="11"/>
      <c r="AP454" s="7"/>
      <c r="AQ454" s="4"/>
    </row>
    <row r="455" spans="1:45">
      <c r="A455" s="127"/>
      <c r="B455" s="90"/>
      <c r="C455" s="90"/>
      <c r="D455" s="90"/>
      <c r="E455" s="90"/>
      <c r="F455" s="8"/>
      <c r="G455" s="25"/>
      <c r="H455" s="55"/>
      <c r="I455" s="1"/>
      <c r="L455" s="123"/>
      <c r="T455" s="10"/>
      <c r="V455" s="68"/>
      <c r="W455" s="28">
        <f>SUM(W450:W454)</f>
        <v>406.8</v>
      </c>
      <c r="X455" s="17">
        <f>SUM(X450:X454)</f>
        <v>411.67</v>
      </c>
      <c r="Y455" s="15">
        <f t="shared" si="157"/>
        <v>-4.8700000000000045</v>
      </c>
      <c r="Z455" s="76">
        <f t="shared" si="158"/>
        <v>-1.1829863725799802E-2</v>
      </c>
      <c r="AA455" s="25"/>
      <c r="AC455" s="1"/>
      <c r="AD455" s="71"/>
      <c r="AE455" s="72"/>
      <c r="AF455" s="32"/>
      <c r="AG455" s="46"/>
    </row>
    <row r="456" spans="1:45">
      <c r="A456" s="127" t="s">
        <v>1672</v>
      </c>
      <c r="B456" s="90" t="s">
        <v>1571</v>
      </c>
      <c r="C456" s="90" t="s">
        <v>1572</v>
      </c>
      <c r="D456" s="90" t="s">
        <v>1573</v>
      </c>
      <c r="E456" s="90" t="s">
        <v>1574</v>
      </c>
      <c r="F456" s="8" t="s">
        <v>1059</v>
      </c>
      <c r="G456" s="26" t="s">
        <v>3441</v>
      </c>
      <c r="H456" s="55" t="s">
        <v>320</v>
      </c>
      <c r="I456" s="1" t="s">
        <v>69</v>
      </c>
      <c r="L456" s="123"/>
      <c r="S456" s="319" t="s">
        <v>1053</v>
      </c>
      <c r="T456" s="10" t="s">
        <v>66</v>
      </c>
      <c r="V456" s="68" t="s">
        <v>1492</v>
      </c>
      <c r="W456" s="28" t="s">
        <v>2</v>
      </c>
      <c r="X456" s="17" t="s">
        <v>1398</v>
      </c>
      <c r="Y456" s="14" t="s">
        <v>5</v>
      </c>
      <c r="Z456" s="21" t="s">
        <v>3</v>
      </c>
      <c r="AA456" s="25" t="s">
        <v>105</v>
      </c>
      <c r="AC456" s="1" t="s">
        <v>69</v>
      </c>
      <c r="AD456" s="71" t="s">
        <v>1399</v>
      </c>
      <c r="AE456" s="72" t="s">
        <v>1156</v>
      </c>
      <c r="AF456" s="32" t="s">
        <v>1157</v>
      </c>
    </row>
    <row r="457" spans="1:45" s="7" customFormat="1" ht="17.100000000000001" customHeight="1">
      <c r="A457" s="120"/>
      <c r="B457" s="80">
        <v>-49</v>
      </c>
      <c r="C457" s="80">
        <v>-36</v>
      </c>
      <c r="D457" s="80">
        <v>-49</v>
      </c>
      <c r="E457" s="80">
        <v>-36</v>
      </c>
      <c r="F457" s="57">
        <v>12.88</v>
      </c>
      <c r="G457" s="79">
        <v>1789</v>
      </c>
      <c r="H457" s="50" t="s">
        <v>1403</v>
      </c>
      <c r="I457" s="22" t="s">
        <v>130</v>
      </c>
      <c r="J457" s="8">
        <f>IFERROR(VLOOKUP($G457,今日總結!$A:$AN,33,0),"")</f>
        <v>0</v>
      </c>
      <c r="K457" s="5">
        <f>IFERROR(VLOOKUP($G457,今日總結!$A:$AN,34,0),"")</f>
        <v>0</v>
      </c>
      <c r="L457" s="156">
        <f>IFERROR(VLOOKUP($G457,今日總結!$A:$AN,31,0),"")</f>
        <v>0</v>
      </c>
      <c r="M457" s="337">
        <f>IFERROR(VLOOKUP($G457,今日總結!$A:$AN,32,0),"")</f>
        <v>0</v>
      </c>
      <c r="N457" s="240">
        <f t="shared" ref="N457:N460" si="159">IFERROR(L457-M457,"")</f>
        <v>0</v>
      </c>
      <c r="O457" s="359">
        <f>IFERROR(VLOOKUP($G457,融外自投!$A:$J,7,0),"無")</f>
        <v>1094</v>
      </c>
      <c r="P457" s="79">
        <f>IFERROR(VLOOKUP($G457,融外自投!$A:$J,9,0),"無")</f>
        <v>741</v>
      </c>
      <c r="Q457" s="342">
        <f>IFERROR(VLOOKUP($G457,融外自投!$A:$J,8,0),"無")</f>
        <v>864</v>
      </c>
      <c r="R457" s="81" t="str">
        <f>IFERROR(VLOOKUP($G457,融外自投!$A:$J,10,0),"無")</f>
        <v>無</v>
      </c>
      <c r="S457" s="324">
        <f>IFERROR(VLOOKUP($G457,'321買'!$A:$E,5,0),"'沒有資料'")</f>
        <v>0</v>
      </c>
      <c r="T457" s="34">
        <v>0.49</v>
      </c>
      <c r="U457" s="308"/>
      <c r="V457" s="57">
        <f>T457/W457</f>
        <v>1.8215613382899627E-2</v>
      </c>
      <c r="W457" s="13">
        <v>26.9</v>
      </c>
      <c r="X457" s="66">
        <f>32.54-0.48-0.49</f>
        <v>31.570000000000004</v>
      </c>
      <c r="Y457" s="15">
        <f>W457-X457</f>
        <v>-4.6700000000000053</v>
      </c>
      <c r="Z457" s="76">
        <f>Y457/X457</f>
        <v>-0.14792524548622124</v>
      </c>
      <c r="AA457" s="112" t="s">
        <v>1715</v>
      </c>
      <c r="AB457" s="376"/>
      <c r="AC457" s="22" t="s">
        <v>130</v>
      </c>
      <c r="AD457" s="84">
        <v>43216</v>
      </c>
      <c r="AE457" s="83"/>
      <c r="AF457" s="33">
        <f>AE457-AD457</f>
        <v>-43216</v>
      </c>
      <c r="AG457" s="116" t="s">
        <v>1122</v>
      </c>
      <c r="AH457" s="120"/>
      <c r="AI457" s="33"/>
      <c r="AJ457" s="11"/>
      <c r="AK457" s="11"/>
      <c r="AL457" s="11"/>
      <c r="AM457" s="11"/>
      <c r="AN457" s="245"/>
      <c r="AO457" s="245"/>
      <c r="AQ457" s="4"/>
      <c r="AR457" s="245"/>
      <c r="AS457" s="245"/>
    </row>
    <row r="458" spans="1:45" ht="16.5" customHeight="1">
      <c r="A458" s="143"/>
      <c r="B458" s="80">
        <v>-49</v>
      </c>
      <c r="C458" s="80">
        <v>-36</v>
      </c>
      <c r="D458" s="80">
        <v>-49</v>
      </c>
      <c r="E458" s="80">
        <v>-36</v>
      </c>
      <c r="F458" s="57">
        <v>12.88</v>
      </c>
      <c r="G458" s="79">
        <v>1789</v>
      </c>
      <c r="H458" s="50" t="s">
        <v>1403</v>
      </c>
      <c r="I458" s="22" t="s">
        <v>130</v>
      </c>
      <c r="J458" s="8">
        <f>IFERROR(VLOOKUP($G458,今日總結!$A:$AN,33,0),"")</f>
        <v>0</v>
      </c>
      <c r="K458" s="5">
        <f>IFERROR(VLOOKUP($G458,今日總結!$A:$AN,34,0),"")</f>
        <v>0</v>
      </c>
      <c r="L458" s="156">
        <f>IFERROR(VLOOKUP($G458,今日總結!$A:$AN,31,0),"")</f>
        <v>0</v>
      </c>
      <c r="M458" s="337">
        <f>IFERROR(VLOOKUP($G458,今日總結!$A:$AN,32,0),"")</f>
        <v>0</v>
      </c>
      <c r="N458" s="240">
        <f t="shared" si="159"/>
        <v>0</v>
      </c>
      <c r="O458" s="359">
        <f>IFERROR(VLOOKUP($G458,融外自投!$A:$J,7,0),"無")</f>
        <v>1094</v>
      </c>
      <c r="P458" s="79">
        <f>IFERROR(VLOOKUP($G458,融外自投!$A:$J,9,0),"無")</f>
        <v>741</v>
      </c>
      <c r="Q458" s="342">
        <f>IFERROR(VLOOKUP($G458,融外自投!$A:$J,8,0),"無")</f>
        <v>864</v>
      </c>
      <c r="R458" s="81" t="str">
        <f>IFERROR(VLOOKUP($G458,融外自投!$A:$J,10,0),"無")</f>
        <v>無</v>
      </c>
      <c r="S458" s="324">
        <f>IFERROR(VLOOKUP($G458,'321買'!$A:$E,5,0),"'沒有資料'")</f>
        <v>0</v>
      </c>
      <c r="T458" s="34">
        <v>0.49</v>
      </c>
      <c r="V458" s="57">
        <f>T458/W458</f>
        <v>1.8215613382899627E-2</v>
      </c>
      <c r="W458" s="36">
        <v>26.9</v>
      </c>
      <c r="X458" s="66">
        <v>24.05</v>
      </c>
      <c r="Y458" s="15">
        <f>W458-X458</f>
        <v>2.8499999999999979</v>
      </c>
      <c r="Z458" s="63">
        <f>Y458/X458</f>
        <v>0.11850311850311841</v>
      </c>
      <c r="AA458" s="111" t="s">
        <v>1716</v>
      </c>
      <c r="AC458" s="22" t="s">
        <v>130</v>
      </c>
      <c r="AD458" s="84">
        <v>43735</v>
      </c>
      <c r="AF458" s="33">
        <f>AE458-AD458</f>
        <v>-43735</v>
      </c>
      <c r="AG458" s="116"/>
      <c r="AH458" s="245"/>
    </row>
    <row r="459" spans="1:45" ht="16.5" customHeight="1">
      <c r="A459" s="143"/>
      <c r="B459" s="80">
        <v>-49</v>
      </c>
      <c r="C459" s="80">
        <v>-36</v>
      </c>
      <c r="D459" s="80">
        <v>-49</v>
      </c>
      <c r="E459" s="80">
        <v>-36</v>
      </c>
      <c r="F459" s="57">
        <v>12.88</v>
      </c>
      <c r="G459" s="79">
        <v>1789</v>
      </c>
      <c r="H459" s="50" t="s">
        <v>1403</v>
      </c>
      <c r="I459" s="22" t="s">
        <v>130</v>
      </c>
      <c r="J459" s="8">
        <f>IFERROR(VLOOKUP($G459,今日總結!$A:$AN,33,0),"")</f>
        <v>0</v>
      </c>
      <c r="K459" s="5">
        <f>IFERROR(VLOOKUP($G459,今日總結!$A:$AN,34,0),"")</f>
        <v>0</v>
      </c>
      <c r="L459" s="156">
        <f>IFERROR(VLOOKUP($G459,今日總結!$A:$AN,31,0),"")</f>
        <v>0</v>
      </c>
      <c r="M459" s="337">
        <f>IFERROR(VLOOKUP($G459,今日總結!$A:$AN,32,0),"")</f>
        <v>0</v>
      </c>
      <c r="N459" s="240">
        <f t="shared" si="159"/>
        <v>0</v>
      </c>
      <c r="O459" s="359">
        <f>IFERROR(VLOOKUP($G459,融外自投!$A:$J,7,0),"無")</f>
        <v>1094</v>
      </c>
      <c r="P459" s="79">
        <f>IFERROR(VLOOKUP($G459,融外自投!$A:$J,9,0),"無")</f>
        <v>741</v>
      </c>
      <c r="Q459" s="342">
        <f>IFERROR(VLOOKUP($G459,融外自投!$A:$J,8,0),"無")</f>
        <v>864</v>
      </c>
      <c r="R459" s="81" t="str">
        <f>IFERROR(VLOOKUP($G459,融外自投!$A:$J,10,0),"無")</f>
        <v>無</v>
      </c>
      <c r="S459" s="324">
        <f>IFERROR(VLOOKUP($G459,'321買'!$A:$E,5,0),"'沒有資料'")</f>
        <v>0</v>
      </c>
      <c r="T459" s="34">
        <v>0.49</v>
      </c>
      <c r="V459" s="57">
        <f>T459/W459</f>
        <v>1.8215613382899627E-2</v>
      </c>
      <c r="W459" s="36">
        <v>26.9</v>
      </c>
      <c r="X459" s="66">
        <v>23.9</v>
      </c>
      <c r="Y459" s="15">
        <f>W459-X459</f>
        <v>3</v>
      </c>
      <c r="Z459" s="63">
        <f>Y459/X459</f>
        <v>0.12552301255230125</v>
      </c>
      <c r="AA459" s="111" t="s">
        <v>1717</v>
      </c>
      <c r="AC459" s="22" t="s">
        <v>130</v>
      </c>
      <c r="AD459" s="84">
        <v>43710</v>
      </c>
      <c r="AF459" s="33">
        <f>AE459-AD459</f>
        <v>-43710</v>
      </c>
      <c r="AG459" s="116"/>
      <c r="AH459" s="245"/>
    </row>
    <row r="460" spans="1:45" ht="16.5" customHeight="1">
      <c r="B460" s="80">
        <v>-49</v>
      </c>
      <c r="C460" s="80">
        <v>-36</v>
      </c>
      <c r="D460" s="80">
        <v>-49</v>
      </c>
      <c r="E460" s="80">
        <v>-36</v>
      </c>
      <c r="F460" s="57">
        <v>12.88</v>
      </c>
      <c r="G460" s="79">
        <v>1789</v>
      </c>
      <c r="H460" s="50" t="s">
        <v>1403</v>
      </c>
      <c r="I460" s="22" t="s">
        <v>130</v>
      </c>
      <c r="J460" s="8">
        <f>IFERROR(VLOOKUP($G460,今日總結!$A:$AN,33,0),"")</f>
        <v>0</v>
      </c>
      <c r="K460" s="5">
        <f>IFERROR(VLOOKUP($G460,今日總結!$A:$AN,34,0),"")</f>
        <v>0</v>
      </c>
      <c r="L460" s="156">
        <f>IFERROR(VLOOKUP($G460,今日總結!$A:$AN,31,0),"")</f>
        <v>0</v>
      </c>
      <c r="M460" s="337">
        <f>IFERROR(VLOOKUP($G460,今日總結!$A:$AN,32,0),"")</f>
        <v>0</v>
      </c>
      <c r="N460" s="240">
        <f t="shared" si="159"/>
        <v>0</v>
      </c>
      <c r="O460" s="359">
        <f>IFERROR(VLOOKUP($G460,融外自投!$A:$J,7,0),"無")</f>
        <v>1094</v>
      </c>
      <c r="P460" s="79">
        <f>IFERROR(VLOOKUP($G460,融外自投!$A:$J,9,0),"無")</f>
        <v>741</v>
      </c>
      <c r="Q460" s="342">
        <f>IFERROR(VLOOKUP($G460,融外自投!$A:$J,8,0),"無")</f>
        <v>864</v>
      </c>
      <c r="R460" s="81" t="str">
        <f>IFERROR(VLOOKUP($G460,融外自投!$A:$J,10,0),"無")</f>
        <v>無</v>
      </c>
      <c r="S460" s="324">
        <f>IFERROR(VLOOKUP($G460,'321買'!$A:$E,5,0),"'沒有資料'")</f>
        <v>0</v>
      </c>
      <c r="T460" s="34">
        <v>0.49</v>
      </c>
      <c r="V460" s="57">
        <f>T460/W460</f>
        <v>1.8215613382899627E-2</v>
      </c>
      <c r="W460" s="36">
        <v>26.9</v>
      </c>
      <c r="X460" s="66">
        <v>23.75</v>
      </c>
      <c r="Y460" s="15">
        <f>W460-X460</f>
        <v>3.1499999999999986</v>
      </c>
      <c r="Z460" s="63">
        <f>Y460/X460</f>
        <v>0.13263157894736835</v>
      </c>
      <c r="AA460" s="111" t="s">
        <v>1718</v>
      </c>
      <c r="AC460" s="22" t="s">
        <v>130</v>
      </c>
      <c r="AD460" s="84">
        <v>43698</v>
      </c>
      <c r="AF460" s="33">
        <f>AE460-AD460</f>
        <v>-43698</v>
      </c>
      <c r="AG460" s="116"/>
    </row>
    <row r="461" spans="1:45" s="7" customFormat="1" ht="17.100000000000001" customHeight="1">
      <c r="A461" s="120"/>
      <c r="B461" s="80"/>
      <c r="C461" s="80"/>
      <c r="D461" s="80"/>
      <c r="E461" s="80"/>
      <c r="F461" s="57"/>
      <c r="G461" s="41"/>
      <c r="H461" s="50"/>
      <c r="I461" s="22"/>
      <c r="J461" s="8"/>
      <c r="K461" s="5"/>
      <c r="L461" s="156"/>
      <c r="M461" s="337"/>
      <c r="N461" s="240"/>
      <c r="O461" s="359"/>
      <c r="P461" s="79"/>
      <c r="Q461" s="342"/>
      <c r="R461" s="81"/>
      <c r="S461" s="324"/>
      <c r="T461" s="34"/>
      <c r="U461" s="308"/>
      <c r="V461" s="57"/>
      <c r="W461" s="13">
        <f>SUM(W457:W460)</f>
        <v>107.6</v>
      </c>
      <c r="X461" s="45">
        <f>SUM(X457:X460)</f>
        <v>103.27000000000001</v>
      </c>
      <c r="Y461" s="15">
        <f>W461-X461</f>
        <v>4.3299999999999841</v>
      </c>
      <c r="Z461" s="63">
        <f>Y461/X461</f>
        <v>4.1928924179335567E-2</v>
      </c>
      <c r="AA461" s="112"/>
      <c r="AB461" s="376"/>
      <c r="AC461" s="22"/>
      <c r="AD461" s="84"/>
      <c r="AE461" s="83"/>
      <c r="AF461" s="33"/>
      <c r="AG461" s="116"/>
      <c r="AH461" s="120"/>
      <c r="AI461" s="33"/>
      <c r="AJ461" s="11"/>
      <c r="AK461" s="11"/>
      <c r="AL461" s="11"/>
      <c r="AM461" s="11"/>
      <c r="AN461" s="245"/>
      <c r="AO461" s="245"/>
      <c r="AQ461" s="4"/>
      <c r="AR461" s="245"/>
      <c r="AS461" s="245"/>
    </row>
    <row r="462" spans="1:45">
      <c r="A462" s="127" t="s">
        <v>1672</v>
      </c>
      <c r="B462" s="90" t="s">
        <v>1571</v>
      </c>
      <c r="C462" s="90" t="s">
        <v>1572</v>
      </c>
      <c r="D462" s="90" t="s">
        <v>1573</v>
      </c>
      <c r="E462" s="90" t="s">
        <v>1574</v>
      </c>
      <c r="F462" s="8" t="s">
        <v>1059</v>
      </c>
      <c r="G462" s="25" t="s">
        <v>386</v>
      </c>
      <c r="H462" s="55" t="s">
        <v>320</v>
      </c>
      <c r="I462" s="1" t="s">
        <v>69</v>
      </c>
      <c r="L462" s="245"/>
      <c r="S462" s="319" t="s">
        <v>1053</v>
      </c>
      <c r="T462" s="10" t="s">
        <v>66</v>
      </c>
      <c r="V462" s="68" t="s">
        <v>1492</v>
      </c>
      <c r="W462" s="28" t="s">
        <v>2</v>
      </c>
      <c r="X462" s="17" t="s">
        <v>1398</v>
      </c>
      <c r="Y462" s="14" t="s">
        <v>5</v>
      </c>
      <c r="Z462" s="21" t="s">
        <v>3</v>
      </c>
      <c r="AA462" s="25" t="s">
        <v>105</v>
      </c>
      <c r="AC462" s="1" t="s">
        <v>69</v>
      </c>
      <c r="AD462" s="71" t="s">
        <v>1399</v>
      </c>
      <c r="AE462" s="72" t="s">
        <v>1156</v>
      </c>
      <c r="AF462" s="32" t="s">
        <v>1157</v>
      </c>
      <c r="AG462" s="46" t="s">
        <v>1565</v>
      </c>
    </row>
    <row r="463" spans="1:45" ht="16.5" customHeight="1">
      <c r="A463" s="127" t="s">
        <v>1658</v>
      </c>
      <c r="B463" s="80">
        <v>-26</v>
      </c>
      <c r="C463" s="80">
        <v>-18</v>
      </c>
      <c r="D463" s="80">
        <v>-1</v>
      </c>
      <c r="E463" s="80">
        <v>-40</v>
      </c>
      <c r="F463" s="57">
        <v>23.76</v>
      </c>
      <c r="G463" s="79">
        <v>6173</v>
      </c>
      <c r="H463" s="50" t="s">
        <v>1403</v>
      </c>
      <c r="I463" s="16" t="s">
        <v>82</v>
      </c>
      <c r="J463" s="8">
        <f>IFERROR(VLOOKUP($G463,今日總結!$A:$AN,33,0),"")</f>
        <v>0</v>
      </c>
      <c r="K463" s="5">
        <f>IFERROR(VLOOKUP($G463,今日總結!$A:$AN,34,0),"")</f>
        <v>0</v>
      </c>
      <c r="L463" s="156">
        <f>IFERROR(VLOOKUP($G463,今日總結!$A:$AN,31,0),"")</f>
        <v>1</v>
      </c>
      <c r="M463" s="337">
        <f>IFERROR(VLOOKUP($G463,今日總結!$A:$AN,32,0),"")</f>
        <v>0</v>
      </c>
      <c r="N463" s="240">
        <f t="shared" ref="N463" si="160">IFERROR(L463-M463,"")</f>
        <v>1</v>
      </c>
      <c r="O463" s="359">
        <f>IFERROR(VLOOKUP($G463,融外自投!$A:$J,7,0),"無")</f>
        <v>367</v>
      </c>
      <c r="P463" s="79">
        <f>IFERROR(VLOOKUP($G463,融外自投!$A:$J,9,0),"無")</f>
        <v>158</v>
      </c>
      <c r="Q463" s="342">
        <f>IFERROR(VLOOKUP($G463,融外自投!$A:$J,8,0),"無")</f>
        <v>1087</v>
      </c>
      <c r="R463" s="81" t="str">
        <f>IFERROR(VLOOKUP($G463,融外自投!$A:$J,10,0),"無")</f>
        <v>無</v>
      </c>
      <c r="S463" s="324">
        <f>IFERROR(VLOOKUP($G463,'321買'!$A:$E,5,0),"'沒有資料'")</f>
        <v>0</v>
      </c>
      <c r="T463" s="34">
        <v>4.3</v>
      </c>
      <c r="V463" s="57">
        <f>T463/W463</f>
        <v>7.5438596491228069E-2</v>
      </c>
      <c r="W463" s="36">
        <v>57</v>
      </c>
      <c r="X463" s="45">
        <v>55.4</v>
      </c>
      <c r="Y463" s="15">
        <f>W463-X463</f>
        <v>1.6000000000000014</v>
      </c>
      <c r="Z463" s="63">
        <f>Y463/X463</f>
        <v>2.8880866425992805E-2</v>
      </c>
      <c r="AA463" s="111" t="s">
        <v>1638</v>
      </c>
      <c r="AC463" s="16" t="s">
        <v>82</v>
      </c>
      <c r="AE463" s="83">
        <v>43783</v>
      </c>
      <c r="AF463" s="33">
        <f>AE463-AD463</f>
        <v>43783</v>
      </c>
      <c r="AG463" s="49" t="s">
        <v>1710</v>
      </c>
      <c r="AH463" s="245"/>
    </row>
    <row r="464" spans="1:45">
      <c r="A464" s="127"/>
      <c r="B464" s="90"/>
      <c r="C464" s="90"/>
      <c r="D464" s="90"/>
      <c r="E464" s="90"/>
      <c r="F464" s="8"/>
      <c r="G464" s="25"/>
      <c r="H464" s="55"/>
      <c r="I464" s="1"/>
      <c r="L464" s="245"/>
      <c r="T464" s="10"/>
      <c r="V464" s="68"/>
      <c r="W464" s="28"/>
      <c r="X464" s="17"/>
      <c r="Y464" s="15"/>
      <c r="Z464" s="63"/>
      <c r="AA464" s="25"/>
      <c r="AC464" s="1"/>
      <c r="AD464" s="71"/>
      <c r="AE464" s="72"/>
      <c r="AF464" s="32"/>
      <c r="AG464" s="46"/>
    </row>
    <row r="465" spans="1:46">
      <c r="A465" s="127" t="s">
        <v>1672</v>
      </c>
      <c r="B465" s="90" t="s">
        <v>1571</v>
      </c>
      <c r="C465" s="90" t="s">
        <v>1572</v>
      </c>
      <c r="D465" s="90" t="s">
        <v>1573</v>
      </c>
      <c r="E465" s="90" t="s">
        <v>1574</v>
      </c>
      <c r="F465" s="8" t="s">
        <v>1059</v>
      </c>
      <c r="G465" s="25" t="s">
        <v>386</v>
      </c>
      <c r="H465" s="55" t="s">
        <v>320</v>
      </c>
      <c r="I465" s="1" t="s">
        <v>69</v>
      </c>
      <c r="L465" s="123"/>
      <c r="S465" s="319" t="s">
        <v>1053</v>
      </c>
      <c r="T465" s="10" t="s">
        <v>66</v>
      </c>
      <c r="V465" s="68" t="s">
        <v>1492</v>
      </c>
      <c r="W465" s="28" t="s">
        <v>2</v>
      </c>
      <c r="X465" s="17" t="s">
        <v>1398</v>
      </c>
      <c r="Y465" s="14" t="s">
        <v>5</v>
      </c>
      <c r="Z465" s="21" t="s">
        <v>3</v>
      </c>
      <c r="AA465" s="25" t="s">
        <v>105</v>
      </c>
      <c r="AC465" s="1" t="s">
        <v>69</v>
      </c>
      <c r="AD465" s="71" t="s">
        <v>1399</v>
      </c>
      <c r="AE465" s="72" t="s">
        <v>1156</v>
      </c>
      <c r="AF465" s="32" t="s">
        <v>1157</v>
      </c>
    </row>
    <row r="466" spans="1:46">
      <c r="B466" s="79">
        <v>100</v>
      </c>
      <c r="C466" s="79">
        <v>67</v>
      </c>
      <c r="D466" s="79">
        <v>100</v>
      </c>
      <c r="E466" s="79">
        <v>67</v>
      </c>
      <c r="F466" s="57">
        <v>18.75</v>
      </c>
      <c r="G466" s="81">
        <v>9940</v>
      </c>
      <c r="H466" s="30" t="s">
        <v>1461</v>
      </c>
      <c r="I466" s="22" t="s">
        <v>92</v>
      </c>
      <c r="J466" s="8">
        <f>IFERROR(VLOOKUP($G466,今日總結!$A:$AN,33,0),"")</f>
        <v>0</v>
      </c>
      <c r="K466" s="5">
        <f>IFERROR(VLOOKUP($G466,今日總結!$A:$AN,34,0),"")</f>
        <v>0</v>
      </c>
      <c r="L466" s="156">
        <f>IFERROR(VLOOKUP($G466,今日總結!$A:$AN,31,0),"")</f>
        <v>0</v>
      </c>
      <c r="M466" s="337">
        <f>IFERROR(VLOOKUP($G466,今日總結!$A:$AN,32,0),"")</f>
        <v>0</v>
      </c>
      <c r="N466" s="240">
        <f t="shared" ref="N466" si="161">IFERROR(L466-M466,"")</f>
        <v>0</v>
      </c>
      <c r="O466" s="359">
        <f>IFERROR(VLOOKUP($G466,融外自投!$A:$J,7,0),"無")</f>
        <v>1360</v>
      </c>
      <c r="P466" s="79">
        <f>IFERROR(VLOOKUP($G466,融外自投!$A:$J,9,0),"無")</f>
        <v>825</v>
      </c>
      <c r="Q466" s="342">
        <f>IFERROR(VLOOKUP($G466,融外自投!$A:$J,8,0),"無")</f>
        <v>718</v>
      </c>
      <c r="R466" s="81">
        <f>IFERROR(VLOOKUP($G466,融外自投!$A:$J,10,0),"無")</f>
        <v>276</v>
      </c>
      <c r="S466" s="324">
        <f>IFERROR(VLOOKUP($G466,'321買'!$A:$E,5,0),"'沒有資料'")</f>
        <v>0</v>
      </c>
      <c r="T466" s="34">
        <v>1.3</v>
      </c>
      <c r="V466" s="57">
        <f>T466/W466</f>
        <v>4.0561622464898604E-2</v>
      </c>
      <c r="W466" s="13">
        <v>32.049999999999997</v>
      </c>
      <c r="X466" s="66">
        <v>31.6</v>
      </c>
      <c r="Y466" s="45">
        <f>W466-X466</f>
        <v>0.44999999999999574</v>
      </c>
      <c r="Z466" s="63">
        <f>Y466/X466</f>
        <v>1.4240506329113788E-2</v>
      </c>
      <c r="AA466" s="111" t="s">
        <v>1619</v>
      </c>
      <c r="AC466" s="22" t="s">
        <v>92</v>
      </c>
      <c r="AD466" s="84">
        <v>43689</v>
      </c>
      <c r="AF466" s="33">
        <f>AE466-AD466</f>
        <v>-43689</v>
      </c>
      <c r="AG466" s="41" t="s">
        <v>1121</v>
      </c>
    </row>
    <row r="467" spans="1:46">
      <c r="B467" s="79">
        <v>100</v>
      </c>
      <c r="C467" s="79">
        <v>67</v>
      </c>
      <c r="D467" s="79">
        <v>100</v>
      </c>
      <c r="E467" s="79">
        <v>67</v>
      </c>
      <c r="F467" s="57">
        <v>18.75</v>
      </c>
      <c r="G467" s="81">
        <v>9940</v>
      </c>
      <c r="H467" s="50" t="s">
        <v>1403</v>
      </c>
      <c r="I467" s="22" t="s">
        <v>92</v>
      </c>
      <c r="J467" s="8">
        <f>IFERROR(VLOOKUP($G467,今日總結!$A:$AN,33,0),"")</f>
        <v>0</v>
      </c>
      <c r="K467" s="5">
        <f>IFERROR(VLOOKUP($G467,今日總結!$A:$AN,34,0),"")</f>
        <v>0</v>
      </c>
      <c r="L467" s="156">
        <f>IFERROR(VLOOKUP($G467,今日總結!$A:$AN,31,0),"")</f>
        <v>0</v>
      </c>
      <c r="M467" s="337">
        <f>IFERROR(VLOOKUP($G467,今日總結!$A:$AN,32,0),"")</f>
        <v>0</v>
      </c>
      <c r="N467" s="240">
        <f t="shared" ref="N467" si="162">IFERROR(L467-M467,"")</f>
        <v>0</v>
      </c>
      <c r="O467" s="359">
        <f>IFERROR(VLOOKUP($G467,融外自投!$A:$J,7,0),"無")</f>
        <v>1360</v>
      </c>
      <c r="P467" s="79">
        <f>IFERROR(VLOOKUP($G467,融外自投!$A:$J,9,0),"無")</f>
        <v>825</v>
      </c>
      <c r="Q467" s="342">
        <f>IFERROR(VLOOKUP($G467,融外自投!$A:$J,8,0),"無")</f>
        <v>718</v>
      </c>
      <c r="R467" s="81">
        <f>IFERROR(VLOOKUP($G467,融外自投!$A:$J,10,0),"無")</f>
        <v>276</v>
      </c>
      <c r="S467" s="324">
        <f>IFERROR(VLOOKUP($G467,'321買'!$A:$E,5,0),"'沒有資料'")</f>
        <v>0</v>
      </c>
      <c r="T467" s="34">
        <v>1.3</v>
      </c>
      <c r="V467" s="57">
        <f>T467/W467</f>
        <v>4.0561622464898604E-2</v>
      </c>
      <c r="W467" s="13">
        <v>32.049999999999997</v>
      </c>
      <c r="X467" s="66">
        <v>31.6</v>
      </c>
      <c r="Y467" s="45">
        <f>W467-X467</f>
        <v>0.44999999999999574</v>
      </c>
      <c r="Z467" s="63">
        <f>Y467/X467</f>
        <v>1.4240506329113788E-2</v>
      </c>
      <c r="AA467" s="111" t="s">
        <v>1619</v>
      </c>
      <c r="AC467" s="22" t="s">
        <v>92</v>
      </c>
      <c r="AD467" s="84">
        <v>43689</v>
      </c>
      <c r="AF467" s="33">
        <f>AE467-AD467</f>
        <v>-43689</v>
      </c>
      <c r="AG467" s="116" t="s">
        <v>1596</v>
      </c>
    </row>
    <row r="468" spans="1:46">
      <c r="B468" s="79"/>
      <c r="C468" s="79"/>
      <c r="D468" s="79"/>
      <c r="E468" s="79"/>
      <c r="F468" s="57"/>
      <c r="H468" s="30"/>
      <c r="I468" s="22"/>
      <c r="L468" s="123"/>
      <c r="T468" s="34"/>
      <c r="V468" s="57"/>
      <c r="W468" s="13">
        <f>SUM(W466:W467)</f>
        <v>64.099999999999994</v>
      </c>
      <c r="X468" s="45">
        <f>SUM(X466:X467)</f>
        <v>63.2</v>
      </c>
      <c r="Y468" s="15">
        <f>W468-X468</f>
        <v>0.89999999999999147</v>
      </c>
      <c r="Z468" s="63">
        <f>Y468/X468</f>
        <v>1.4240506329113788E-2</v>
      </c>
      <c r="AA468" s="111"/>
      <c r="AC468" s="22"/>
      <c r="AF468" s="33"/>
      <c r="AG468" s="116"/>
    </row>
    <row r="469" spans="1:46">
      <c r="A469" s="127" t="s">
        <v>1672</v>
      </c>
      <c r="B469" s="90" t="s">
        <v>1571</v>
      </c>
      <c r="C469" s="90" t="s">
        <v>1572</v>
      </c>
      <c r="D469" s="90" t="s">
        <v>1573</v>
      </c>
      <c r="E469" s="90" t="s">
        <v>1574</v>
      </c>
      <c r="F469" s="8" t="s">
        <v>1059</v>
      </c>
      <c r="G469" s="25" t="s">
        <v>386</v>
      </c>
      <c r="H469" s="55" t="s">
        <v>320</v>
      </c>
      <c r="I469" s="1" t="s">
        <v>69</v>
      </c>
      <c r="L469" s="123"/>
      <c r="S469" s="319" t="s">
        <v>1053</v>
      </c>
      <c r="T469" s="10" t="s">
        <v>66</v>
      </c>
      <c r="V469" s="68" t="s">
        <v>1492</v>
      </c>
      <c r="W469" s="28" t="s">
        <v>2</v>
      </c>
      <c r="X469" s="17" t="s">
        <v>1398</v>
      </c>
      <c r="Y469" s="14" t="s">
        <v>5</v>
      </c>
      <c r="Z469" s="21" t="s">
        <v>3</v>
      </c>
      <c r="AA469" s="25" t="s">
        <v>105</v>
      </c>
      <c r="AC469" s="1" t="s">
        <v>69</v>
      </c>
      <c r="AD469" s="71" t="s">
        <v>1399</v>
      </c>
      <c r="AE469" s="72" t="s">
        <v>1156</v>
      </c>
      <c r="AF469" s="32" t="s">
        <v>1157</v>
      </c>
    </row>
    <row r="470" spans="1:46">
      <c r="B470" s="80">
        <v>-211</v>
      </c>
      <c r="C470" s="93">
        <v>-5489</v>
      </c>
      <c r="D470" s="80">
        <v>-211</v>
      </c>
      <c r="E470" s="93">
        <v>-5489</v>
      </c>
      <c r="F470" s="6">
        <v>-13.71</v>
      </c>
      <c r="G470" s="79">
        <v>3545</v>
      </c>
      <c r="H470" s="8" t="s">
        <v>1402</v>
      </c>
      <c r="I470" s="22" t="s">
        <v>347</v>
      </c>
      <c r="J470" s="8">
        <f>IFERROR(VLOOKUP($G470,今日總結!$A:$AN,33,0),"")</f>
        <v>3</v>
      </c>
      <c r="K470" s="5">
        <f>IFERROR(VLOOKUP($G470,今日總結!$A:$AN,34,0),"")</f>
        <v>0</v>
      </c>
      <c r="L470" s="156">
        <f>IFERROR(VLOOKUP($G470,今日總結!$A:$AN,31,0),"")</f>
        <v>0</v>
      </c>
      <c r="M470" s="337">
        <f>IFERROR(VLOOKUP($G470,今日總結!$A:$AN,32,0),"")</f>
        <v>1</v>
      </c>
      <c r="N470" s="240">
        <f t="shared" ref="N470:N473" si="163">IFERROR(L470-M470,"")</f>
        <v>-1</v>
      </c>
      <c r="O470" s="359">
        <f>IFERROR(VLOOKUP($G470,融外自投!$A:$J,7,0),"無")</f>
        <v>56</v>
      </c>
      <c r="P470" s="79">
        <f>IFERROR(VLOOKUP($G470,融外自投!$A:$J,9,0),"無")</f>
        <v>88</v>
      </c>
      <c r="Q470" s="342">
        <f>IFERROR(VLOOKUP($G470,融外自投!$A:$J,8,0),"無")</f>
        <v>397</v>
      </c>
      <c r="R470" s="81">
        <f>IFERROR(VLOOKUP($G470,融外自投!$A:$J,10,0),"無")</f>
        <v>495</v>
      </c>
      <c r="S470" s="324">
        <f>IFERROR(VLOOKUP($G470,'321買'!$A:$E,5,0),"'沒有資料'")</f>
        <v>0</v>
      </c>
      <c r="T470" s="34">
        <v>0.5</v>
      </c>
      <c r="V470" s="94">
        <f>T470/W470</f>
        <v>2.0833333333333332E-2</v>
      </c>
      <c r="W470" s="36">
        <v>24</v>
      </c>
      <c r="X470" s="45">
        <f>26.73-0.52</f>
        <v>26.21</v>
      </c>
      <c r="Y470" s="15">
        <f>W470-X470</f>
        <v>-2.2100000000000009</v>
      </c>
      <c r="Z470" s="76">
        <f>Y470/X470</f>
        <v>-8.4318962228157227E-2</v>
      </c>
      <c r="AA470" s="112" t="s">
        <v>1682</v>
      </c>
      <c r="AC470" s="22" t="s">
        <v>347</v>
      </c>
      <c r="AD470" s="84">
        <v>43353</v>
      </c>
      <c r="AF470" s="33">
        <f>AE470-AD470</f>
        <v>-43353</v>
      </c>
      <c r="AG470" s="116" t="s">
        <v>1121</v>
      </c>
      <c r="AJ470" s="11"/>
      <c r="AK470" s="11"/>
      <c r="AL470" s="11"/>
      <c r="AM470" s="11"/>
      <c r="AP470" s="7"/>
      <c r="AQ470" s="4"/>
    </row>
    <row r="471" spans="1:46">
      <c r="B471" s="80">
        <v>-211</v>
      </c>
      <c r="C471" s="93">
        <v>-5489</v>
      </c>
      <c r="D471" s="80">
        <v>-211</v>
      </c>
      <c r="E471" s="93">
        <v>-5489</v>
      </c>
      <c r="F471" s="6">
        <v>-13.71</v>
      </c>
      <c r="G471" s="79">
        <v>3545</v>
      </c>
      <c r="H471" s="50" t="s">
        <v>1403</v>
      </c>
      <c r="I471" s="22" t="s">
        <v>347</v>
      </c>
      <c r="J471" s="8">
        <f>IFERROR(VLOOKUP($G471,今日總結!$A:$AN,33,0),"")</f>
        <v>3</v>
      </c>
      <c r="K471" s="5">
        <f>IFERROR(VLOOKUP($G471,今日總結!$A:$AN,34,0),"")</f>
        <v>0</v>
      </c>
      <c r="L471" s="156">
        <f>IFERROR(VLOOKUP($G471,今日總結!$A:$AN,31,0),"")</f>
        <v>0</v>
      </c>
      <c r="M471" s="337">
        <f>IFERROR(VLOOKUP($G471,今日總結!$A:$AN,32,0),"")</f>
        <v>1</v>
      </c>
      <c r="N471" s="240">
        <f t="shared" si="163"/>
        <v>-1</v>
      </c>
      <c r="O471" s="359">
        <f>IFERROR(VLOOKUP($G471,融外自投!$A:$J,7,0),"無")</f>
        <v>56</v>
      </c>
      <c r="P471" s="79">
        <f>IFERROR(VLOOKUP($G471,融外自投!$A:$J,9,0),"無")</f>
        <v>88</v>
      </c>
      <c r="Q471" s="342">
        <f>IFERROR(VLOOKUP($G471,融外自投!$A:$J,8,0),"無")</f>
        <v>397</v>
      </c>
      <c r="R471" s="81">
        <f>IFERROR(VLOOKUP($G471,融外自投!$A:$J,10,0),"無")</f>
        <v>495</v>
      </c>
      <c r="S471" s="324">
        <f>IFERROR(VLOOKUP($G471,'321買'!$A:$E,5,0),"'沒有資料'")</f>
        <v>0</v>
      </c>
      <c r="T471" s="34">
        <v>0.5</v>
      </c>
      <c r="V471" s="94">
        <f>T471/W471</f>
        <v>2.0833333333333332E-2</v>
      </c>
      <c r="W471" s="36">
        <v>24</v>
      </c>
      <c r="X471" s="45">
        <f>26.73-0.52-1.7</f>
        <v>24.51</v>
      </c>
      <c r="Y471" s="15">
        <f>W471-X471</f>
        <v>-0.51000000000000156</v>
      </c>
      <c r="Z471" s="76">
        <f>Y471/X471</f>
        <v>-2.0807833537331764E-2</v>
      </c>
      <c r="AA471" s="112" t="s">
        <v>1683</v>
      </c>
      <c r="AC471" s="22" t="s">
        <v>347</v>
      </c>
      <c r="AD471" s="84">
        <v>43353</v>
      </c>
      <c r="AF471" s="33">
        <f>AE471-AD471</f>
        <v>-43353</v>
      </c>
      <c r="AG471" s="116" t="s">
        <v>1550</v>
      </c>
      <c r="AJ471" s="11"/>
      <c r="AK471" s="11"/>
      <c r="AL471" s="11"/>
      <c r="AM471" s="11"/>
      <c r="AP471" s="7"/>
      <c r="AQ471" s="4"/>
    </row>
    <row r="472" spans="1:46">
      <c r="B472" s="80">
        <v>-211</v>
      </c>
      <c r="C472" s="93">
        <v>-5489</v>
      </c>
      <c r="D472" s="80">
        <v>-211</v>
      </c>
      <c r="E472" s="93">
        <v>-5489</v>
      </c>
      <c r="F472" s="6">
        <v>-13.71</v>
      </c>
      <c r="G472" s="79">
        <v>3545</v>
      </c>
      <c r="H472" s="50" t="s">
        <v>1403</v>
      </c>
      <c r="I472" s="22" t="s">
        <v>347</v>
      </c>
      <c r="J472" s="8">
        <f>IFERROR(VLOOKUP($G472,今日總結!$A:$AN,33,0),"")</f>
        <v>3</v>
      </c>
      <c r="K472" s="5">
        <f>IFERROR(VLOOKUP($G472,今日總結!$A:$AN,34,0),"")</f>
        <v>0</v>
      </c>
      <c r="L472" s="156">
        <f>IFERROR(VLOOKUP($G472,今日總結!$A:$AN,31,0),"")</f>
        <v>0</v>
      </c>
      <c r="M472" s="337">
        <f>IFERROR(VLOOKUP($G472,今日總結!$A:$AN,32,0),"")</f>
        <v>1</v>
      </c>
      <c r="N472" s="240">
        <f t="shared" si="163"/>
        <v>-1</v>
      </c>
      <c r="O472" s="359">
        <f>IFERROR(VLOOKUP($G472,融外自投!$A:$J,7,0),"無")</f>
        <v>56</v>
      </c>
      <c r="P472" s="79">
        <f>IFERROR(VLOOKUP($G472,融外自投!$A:$J,9,0),"無")</f>
        <v>88</v>
      </c>
      <c r="Q472" s="342">
        <f>IFERROR(VLOOKUP($G472,融外自投!$A:$J,8,0),"無")</f>
        <v>397</v>
      </c>
      <c r="R472" s="81">
        <f>IFERROR(VLOOKUP($G472,融外自投!$A:$J,10,0),"無")</f>
        <v>495</v>
      </c>
      <c r="S472" s="324">
        <f>IFERROR(VLOOKUP($G472,'321買'!$A:$E,5,0),"'沒有資料'")</f>
        <v>0</v>
      </c>
      <c r="T472" s="34">
        <v>0.5</v>
      </c>
      <c r="V472" s="94">
        <f>T472/W472</f>
        <v>2.0833333333333332E-2</v>
      </c>
      <c r="W472" s="36">
        <v>24</v>
      </c>
      <c r="X472" s="45">
        <v>22.05</v>
      </c>
      <c r="Y472" s="15">
        <f>W472-X472</f>
        <v>1.9499999999999993</v>
      </c>
      <c r="Z472" s="63">
        <f>Y472/X472</f>
        <v>8.8435374149659823E-2</v>
      </c>
      <c r="AA472" s="111" t="s">
        <v>1684</v>
      </c>
      <c r="AC472" s="22" t="s">
        <v>347</v>
      </c>
      <c r="AD472" s="84">
        <v>43731</v>
      </c>
      <c r="AF472" s="33">
        <f>AE472-AD472</f>
        <v>-43731</v>
      </c>
      <c r="AG472" s="116"/>
      <c r="AJ472" s="11"/>
      <c r="AK472" s="11"/>
      <c r="AL472" s="11"/>
      <c r="AM472" s="11"/>
      <c r="AP472" s="7"/>
      <c r="AQ472" s="4"/>
    </row>
    <row r="473" spans="1:46">
      <c r="B473" s="80">
        <v>-211</v>
      </c>
      <c r="C473" s="93">
        <v>-5489</v>
      </c>
      <c r="D473" s="80">
        <v>-211</v>
      </c>
      <c r="E473" s="93">
        <v>-5489</v>
      </c>
      <c r="F473" s="6">
        <v>-13.71</v>
      </c>
      <c r="G473" s="79">
        <v>3545</v>
      </c>
      <c r="H473" s="50" t="s">
        <v>1403</v>
      </c>
      <c r="I473" s="22" t="s">
        <v>347</v>
      </c>
      <c r="J473" s="8">
        <f>IFERROR(VLOOKUP($G473,今日總結!$A:$AN,33,0),"")</f>
        <v>3</v>
      </c>
      <c r="K473" s="5">
        <f>IFERROR(VLOOKUP($G473,今日總結!$A:$AN,34,0),"")</f>
        <v>0</v>
      </c>
      <c r="L473" s="156">
        <f>IFERROR(VLOOKUP($G473,今日總結!$A:$AN,31,0),"")</f>
        <v>0</v>
      </c>
      <c r="M473" s="337">
        <f>IFERROR(VLOOKUP($G473,今日總結!$A:$AN,32,0),"")</f>
        <v>1</v>
      </c>
      <c r="N473" s="240">
        <f t="shared" si="163"/>
        <v>-1</v>
      </c>
      <c r="O473" s="359">
        <f>IFERROR(VLOOKUP($G473,融外自投!$A:$J,7,0),"無")</f>
        <v>56</v>
      </c>
      <c r="P473" s="79">
        <f>IFERROR(VLOOKUP($G473,融外自投!$A:$J,9,0),"無")</f>
        <v>88</v>
      </c>
      <c r="Q473" s="342">
        <f>IFERROR(VLOOKUP($G473,融外自投!$A:$J,8,0),"無")</f>
        <v>397</v>
      </c>
      <c r="R473" s="81">
        <f>IFERROR(VLOOKUP($G473,融外自投!$A:$J,10,0),"無")</f>
        <v>495</v>
      </c>
      <c r="S473" s="324">
        <f>IFERROR(VLOOKUP($G473,'321買'!$A:$E,5,0),"'沒有資料'")</f>
        <v>0</v>
      </c>
      <c r="T473" s="34">
        <v>0.5</v>
      </c>
      <c r="V473" s="94">
        <f>T473/W473</f>
        <v>2.0833333333333332E-2</v>
      </c>
      <c r="W473" s="36">
        <v>24</v>
      </c>
      <c r="X473" s="45">
        <v>21.9</v>
      </c>
      <c r="Y473" s="15">
        <f>W473-X473</f>
        <v>2.1000000000000014</v>
      </c>
      <c r="Z473" s="63">
        <f>Y473/X473</f>
        <v>9.5890410958904188E-2</v>
      </c>
      <c r="AA473" s="111" t="s">
        <v>1567</v>
      </c>
      <c r="AC473" s="22" t="s">
        <v>347</v>
      </c>
      <c r="AD473" s="84">
        <v>43732</v>
      </c>
      <c r="AF473" s="33">
        <f>AE473-AD473</f>
        <v>-43732</v>
      </c>
      <c r="AG473" s="116"/>
      <c r="AJ473" s="11"/>
      <c r="AK473" s="11"/>
      <c r="AL473" s="11"/>
      <c r="AM473" s="11"/>
      <c r="AP473" s="7"/>
      <c r="AQ473" s="4"/>
    </row>
    <row r="474" spans="1:46">
      <c r="A474" s="19"/>
      <c r="B474" s="80"/>
      <c r="C474" s="80"/>
      <c r="D474" s="80"/>
      <c r="E474" s="80"/>
      <c r="F474" s="6"/>
      <c r="H474" s="8"/>
      <c r="I474" s="22"/>
      <c r="L474" s="123"/>
      <c r="T474" s="34"/>
      <c r="V474" s="94"/>
      <c r="W474" s="13">
        <f>SUM(W470:W473)</f>
        <v>96</v>
      </c>
      <c r="X474" s="45">
        <f>SUM(X470:X473)</f>
        <v>94.669999999999987</v>
      </c>
      <c r="Y474" s="15">
        <f>W474-X474</f>
        <v>1.3300000000000125</v>
      </c>
      <c r="Z474" s="63">
        <f>Y474/X474</f>
        <v>1.4048801098553002E-2</v>
      </c>
      <c r="AA474" s="113"/>
      <c r="AC474" s="22"/>
      <c r="AF474" s="33"/>
      <c r="AG474" s="41"/>
    </row>
    <row r="475" spans="1:46">
      <c r="A475" s="127" t="s">
        <v>1672</v>
      </c>
      <c r="B475" s="90" t="s">
        <v>1571</v>
      </c>
      <c r="C475" s="90" t="s">
        <v>1572</v>
      </c>
      <c r="D475" s="90" t="s">
        <v>1573</v>
      </c>
      <c r="E475" s="90" t="s">
        <v>1574</v>
      </c>
      <c r="F475" s="8" t="s">
        <v>1059</v>
      </c>
      <c r="G475" s="25" t="s">
        <v>386</v>
      </c>
      <c r="H475" s="55" t="s">
        <v>320</v>
      </c>
      <c r="I475" s="1" t="s">
        <v>69</v>
      </c>
      <c r="L475" s="123"/>
      <c r="S475" s="319" t="s">
        <v>1053</v>
      </c>
      <c r="T475" s="10" t="s">
        <v>66</v>
      </c>
      <c r="V475" s="68" t="s">
        <v>1492</v>
      </c>
      <c r="W475" s="28" t="s">
        <v>2</v>
      </c>
      <c r="X475" s="17" t="s">
        <v>1398</v>
      </c>
      <c r="Y475" s="14" t="s">
        <v>5</v>
      </c>
      <c r="Z475" s="21" t="s">
        <v>3</v>
      </c>
      <c r="AA475" s="25" t="s">
        <v>105</v>
      </c>
      <c r="AC475" s="1" t="s">
        <v>69</v>
      </c>
      <c r="AD475" s="71" t="s">
        <v>1399</v>
      </c>
      <c r="AE475" s="72" t="s">
        <v>1156</v>
      </c>
      <c r="AF475" s="32" t="s">
        <v>1157</v>
      </c>
      <c r="AG475" s="46" t="s">
        <v>1634</v>
      </c>
    </row>
    <row r="476" spans="1:46">
      <c r="A476" s="116"/>
      <c r="B476" s="79">
        <v>2</v>
      </c>
      <c r="C476" s="80">
        <v>-30</v>
      </c>
      <c r="D476" s="79">
        <v>2</v>
      </c>
      <c r="E476" s="80">
        <v>-30</v>
      </c>
      <c r="F476" s="57">
        <v>10.220000000000001</v>
      </c>
      <c r="G476" s="79">
        <v>2704</v>
      </c>
      <c r="H476" s="50"/>
      <c r="I476" s="22" t="s">
        <v>0</v>
      </c>
      <c r="J476" s="8">
        <f>IFERROR(VLOOKUP($G476,今日總結!$A:$AN,33,0),"")</f>
        <v>0</v>
      </c>
      <c r="K476" s="5">
        <f>IFERROR(VLOOKUP($G476,今日總結!$A:$AN,34,0),"")</f>
        <v>0</v>
      </c>
      <c r="L476" s="156">
        <f>IFERROR(VLOOKUP($G476,今日總結!$A:$AN,31,0),"")</f>
        <v>3</v>
      </c>
      <c r="M476" s="337">
        <f>IFERROR(VLOOKUP($G476,今日總結!$A:$AN,32,0),"")</f>
        <v>0</v>
      </c>
      <c r="N476" s="240">
        <f t="shared" ref="N476:N477" si="164">IFERROR(L476-M476,"")</f>
        <v>3</v>
      </c>
      <c r="O476" s="359">
        <f>IFERROR(VLOOKUP($G476,融外自投!$A:$J,7,0),"無")</f>
        <v>1183</v>
      </c>
      <c r="P476" s="79">
        <f>IFERROR(VLOOKUP($G476,融外自投!$A:$J,9,0),"無")</f>
        <v>550</v>
      </c>
      <c r="Q476" s="342">
        <f>IFERROR(VLOOKUP($G476,融外自投!$A:$J,8,0),"無")</f>
        <v>498</v>
      </c>
      <c r="R476" s="81">
        <f>IFERROR(VLOOKUP($G476,融外自投!$A:$J,10,0),"無")</f>
        <v>427</v>
      </c>
      <c r="S476" s="324">
        <f>IFERROR(VLOOKUP($G476,'321買'!$A:$E,5,0),"'沒有資料'")</f>
        <v>0</v>
      </c>
      <c r="T476" s="34">
        <v>0.4</v>
      </c>
      <c r="V476" s="94">
        <f>T476/W476</f>
        <v>8.3682008368200847E-3</v>
      </c>
      <c r="W476" s="36">
        <v>47.8</v>
      </c>
      <c r="X476" s="66">
        <v>43.78</v>
      </c>
      <c r="Y476" s="15">
        <f>W476-X476</f>
        <v>4.019999999999996</v>
      </c>
      <c r="Z476" s="63">
        <f>Y476/X476</f>
        <v>9.1822750114207305E-2</v>
      </c>
      <c r="AA476" s="111"/>
      <c r="AC476" s="22" t="s">
        <v>0</v>
      </c>
      <c r="AE476" s="83">
        <v>43769</v>
      </c>
      <c r="AF476" s="33">
        <f>AE476-AD476</f>
        <v>43769</v>
      </c>
      <c r="AG476" s="116"/>
      <c r="AH476" s="245"/>
    </row>
    <row r="477" spans="1:46">
      <c r="B477" s="80">
        <v>-8</v>
      </c>
      <c r="C477" s="79">
        <v>15</v>
      </c>
      <c r="D477" s="79">
        <v>2</v>
      </c>
      <c r="E477" s="80">
        <v>-31</v>
      </c>
      <c r="F477" s="57">
        <v>23.94</v>
      </c>
      <c r="G477" s="79">
        <v>6182</v>
      </c>
      <c r="H477" s="50"/>
      <c r="I477" s="16" t="s">
        <v>166</v>
      </c>
      <c r="J477" s="8">
        <f>IFERROR(VLOOKUP($G477,今日總結!$A:$AN,33,0),"")</f>
        <v>1</v>
      </c>
      <c r="K477" s="5">
        <f>IFERROR(VLOOKUP($G477,今日總結!$A:$AN,34,0),"")</f>
        <v>0</v>
      </c>
      <c r="L477" s="156">
        <f>IFERROR(VLOOKUP($G477,今日總結!$A:$AN,31,0),"")</f>
        <v>0</v>
      </c>
      <c r="M477" s="337">
        <f>IFERROR(VLOOKUP($G477,今日總結!$A:$AN,32,0),"")</f>
        <v>1</v>
      </c>
      <c r="N477" s="240">
        <f t="shared" si="164"/>
        <v>-1</v>
      </c>
      <c r="O477" s="359">
        <f>IFERROR(VLOOKUP($G477,融外自投!$A:$J,7,0),"無")</f>
        <v>100</v>
      </c>
      <c r="P477" s="79">
        <f>IFERROR(VLOOKUP($G477,融外自投!$A:$J,9,0),"無")</f>
        <v>696</v>
      </c>
      <c r="Q477" s="342">
        <f>IFERROR(VLOOKUP($G477,融外自投!$A:$J,8,0),"無")</f>
        <v>368</v>
      </c>
      <c r="R477" s="81">
        <f>IFERROR(VLOOKUP($G477,融外自投!$A:$J,10,0),"無")</f>
        <v>314</v>
      </c>
      <c r="S477" s="324">
        <f>IFERROR(VLOOKUP($G477,'321買'!$A:$E,5,0),"'沒有資料'")</f>
        <v>0</v>
      </c>
      <c r="T477" s="34">
        <v>2.5</v>
      </c>
      <c r="V477" s="94">
        <f>T477/W477</f>
        <v>1.7857142857142856E-2</v>
      </c>
      <c r="W477" s="36">
        <v>140</v>
      </c>
      <c r="X477" s="45">
        <v>136.1</v>
      </c>
      <c r="Y477" s="15">
        <f>W477-X477</f>
        <v>3.9000000000000057</v>
      </c>
      <c r="Z477" s="63">
        <f>Y477/X477</f>
        <v>2.8655400440852359E-2</v>
      </c>
      <c r="AA477" s="101" t="s">
        <v>1648</v>
      </c>
      <c r="AC477" s="16" t="s">
        <v>166</v>
      </c>
      <c r="AE477" s="83">
        <v>43769</v>
      </c>
      <c r="AF477" s="33">
        <f>AE477-AD477</f>
        <v>43769</v>
      </c>
      <c r="AG477" s="116"/>
      <c r="AT477" s="11"/>
    </row>
    <row r="478" spans="1:46">
      <c r="A478" s="41"/>
      <c r="B478" s="79"/>
      <c r="C478" s="80"/>
      <c r="D478" s="79"/>
      <c r="E478" s="80"/>
      <c r="F478" s="6"/>
      <c r="H478" s="50"/>
      <c r="I478" s="22"/>
      <c r="L478" s="123"/>
      <c r="T478" s="186"/>
      <c r="V478" s="94"/>
      <c r="W478" s="13">
        <f>SUM(W476:W477)</f>
        <v>187.8</v>
      </c>
      <c r="X478" s="45">
        <f>SUM(X476:X477)</f>
        <v>179.88</v>
      </c>
      <c r="Y478" s="15">
        <f>W478-X478</f>
        <v>7.9200000000000159</v>
      </c>
      <c r="Z478" s="63">
        <f>Y478/X478</f>
        <v>4.4029352901934715E-2</v>
      </c>
      <c r="AA478" s="112"/>
      <c r="AC478" s="22"/>
      <c r="AF478" s="33"/>
      <c r="AG478" s="116"/>
    </row>
    <row r="479" spans="1:46">
      <c r="A479" s="127" t="s">
        <v>1672</v>
      </c>
      <c r="B479" s="90" t="s">
        <v>1571</v>
      </c>
      <c r="C479" s="90" t="s">
        <v>1572</v>
      </c>
      <c r="D479" s="90" t="s">
        <v>1573</v>
      </c>
      <c r="E479" s="90" t="s">
        <v>1574</v>
      </c>
      <c r="F479" s="8" t="s">
        <v>1059</v>
      </c>
      <c r="G479" s="25" t="s">
        <v>386</v>
      </c>
      <c r="H479" s="55" t="s">
        <v>320</v>
      </c>
      <c r="I479" s="1" t="s">
        <v>69</v>
      </c>
      <c r="L479" s="123"/>
      <c r="S479" s="319" t="s">
        <v>1053</v>
      </c>
      <c r="T479" s="10" t="s">
        <v>66</v>
      </c>
      <c r="V479" s="68" t="s">
        <v>1492</v>
      </c>
      <c r="W479" s="28" t="s">
        <v>2</v>
      </c>
      <c r="X479" s="17" t="s">
        <v>1398</v>
      </c>
      <c r="Y479" s="14" t="s">
        <v>5</v>
      </c>
      <c r="Z479" s="21" t="s">
        <v>3</v>
      </c>
      <c r="AA479" s="25" t="s">
        <v>105</v>
      </c>
      <c r="AC479" s="1" t="s">
        <v>69</v>
      </c>
      <c r="AD479" s="71" t="s">
        <v>1399</v>
      </c>
      <c r="AE479" s="72" t="s">
        <v>1156</v>
      </c>
      <c r="AF479" s="32" t="s">
        <v>1157</v>
      </c>
    </row>
    <row r="480" spans="1:46">
      <c r="B480" s="80">
        <v>-8</v>
      </c>
      <c r="C480" s="79">
        <v>15</v>
      </c>
      <c r="D480" s="79">
        <v>2</v>
      </c>
      <c r="E480" s="80">
        <v>-31</v>
      </c>
      <c r="F480" s="57">
        <v>23.94</v>
      </c>
      <c r="G480" s="79">
        <v>6182</v>
      </c>
      <c r="H480" s="50" t="s">
        <v>1403</v>
      </c>
      <c r="I480" s="16" t="s">
        <v>166</v>
      </c>
      <c r="J480" s="8">
        <f>IFERROR(VLOOKUP($G480,今日總結!$A:$AN,33,0),"")</f>
        <v>1</v>
      </c>
      <c r="K480" s="5">
        <f>IFERROR(VLOOKUP($G480,今日總結!$A:$AN,34,0),"")</f>
        <v>0</v>
      </c>
      <c r="L480" s="156">
        <f>IFERROR(VLOOKUP($G480,今日總結!$A:$AN,31,0),"")</f>
        <v>0</v>
      </c>
      <c r="M480" s="337">
        <f>IFERROR(VLOOKUP($G480,今日總結!$A:$AN,32,0),"")</f>
        <v>1</v>
      </c>
      <c r="N480" s="240">
        <f t="shared" ref="N480:N483" si="165">IFERROR(L480-M480,"")</f>
        <v>-1</v>
      </c>
      <c r="O480" s="359">
        <f>IFERROR(VLOOKUP($G480,融外自投!$A:$J,7,0),"無")</f>
        <v>100</v>
      </c>
      <c r="P480" s="79">
        <f>IFERROR(VLOOKUP($G480,融外自投!$A:$J,9,0),"無")</f>
        <v>696</v>
      </c>
      <c r="Q480" s="342">
        <f>IFERROR(VLOOKUP($G480,融外自投!$A:$J,8,0),"無")</f>
        <v>368</v>
      </c>
      <c r="R480" s="81">
        <f>IFERROR(VLOOKUP($G480,融外自投!$A:$J,10,0),"無")</f>
        <v>314</v>
      </c>
      <c r="S480" s="324">
        <f>IFERROR(VLOOKUP($G480,'321買'!$A:$E,5,0),"'沒有資料'")</f>
        <v>0</v>
      </c>
      <c r="T480" s="34">
        <v>2.5</v>
      </c>
      <c r="V480" s="94">
        <f>T480/W480</f>
        <v>7.1428571428571425E-2</v>
      </c>
      <c r="W480" s="36">
        <v>35</v>
      </c>
      <c r="X480" s="45">
        <v>34.25</v>
      </c>
      <c r="Y480" s="15">
        <f>W480-X480</f>
        <v>0.75</v>
      </c>
      <c r="Z480" s="63">
        <f>Y480/X480</f>
        <v>2.1897810218978103E-2</v>
      </c>
      <c r="AA480" s="101" t="s">
        <v>1648</v>
      </c>
      <c r="AC480" s="16" t="s">
        <v>166</v>
      </c>
      <c r="AD480" s="84">
        <v>43733</v>
      </c>
      <c r="AF480" s="33">
        <f>AE480-AD480</f>
        <v>-43733</v>
      </c>
      <c r="AG480" s="116" t="s">
        <v>1620</v>
      </c>
      <c r="AT480" s="11"/>
    </row>
    <row r="481" spans="1:46">
      <c r="B481" s="80">
        <v>-8</v>
      </c>
      <c r="C481" s="79">
        <v>15</v>
      </c>
      <c r="D481" s="79">
        <v>2</v>
      </c>
      <c r="E481" s="80">
        <v>-31</v>
      </c>
      <c r="F481" s="57">
        <v>23.94</v>
      </c>
      <c r="G481" s="79">
        <v>6182</v>
      </c>
      <c r="H481" s="50" t="s">
        <v>1403</v>
      </c>
      <c r="I481" s="16" t="s">
        <v>166</v>
      </c>
      <c r="J481" s="8">
        <f>IFERROR(VLOOKUP($G481,今日總結!$A:$AN,33,0),"")</f>
        <v>1</v>
      </c>
      <c r="K481" s="5">
        <f>IFERROR(VLOOKUP($G481,今日總結!$A:$AN,34,0),"")</f>
        <v>0</v>
      </c>
      <c r="L481" s="156">
        <f>IFERROR(VLOOKUP($G481,今日總結!$A:$AN,31,0),"")</f>
        <v>0</v>
      </c>
      <c r="M481" s="337">
        <f>IFERROR(VLOOKUP($G481,今日總結!$A:$AN,32,0),"")</f>
        <v>1</v>
      </c>
      <c r="N481" s="240">
        <f t="shared" si="165"/>
        <v>-1</v>
      </c>
      <c r="O481" s="359">
        <f>IFERROR(VLOOKUP($G481,融外自投!$A:$J,7,0),"無")</f>
        <v>100</v>
      </c>
      <c r="P481" s="79">
        <f>IFERROR(VLOOKUP($G481,融外自投!$A:$J,9,0),"無")</f>
        <v>696</v>
      </c>
      <c r="Q481" s="342">
        <f>IFERROR(VLOOKUP($G481,融外自投!$A:$J,8,0),"無")</f>
        <v>368</v>
      </c>
      <c r="R481" s="81">
        <f>IFERROR(VLOOKUP($G481,融外自投!$A:$J,10,0),"無")</f>
        <v>314</v>
      </c>
      <c r="S481" s="324">
        <f>IFERROR(VLOOKUP($G481,'321買'!$A:$E,5,0),"'沒有資料'")</f>
        <v>0</v>
      </c>
      <c r="T481" s="34">
        <v>2.5</v>
      </c>
      <c r="V481" s="94">
        <f>T481/W481</f>
        <v>7.1428571428571425E-2</v>
      </c>
      <c r="W481" s="36">
        <v>35</v>
      </c>
      <c r="X481" s="45">
        <v>34.200000000000003</v>
      </c>
      <c r="Y481" s="15">
        <f>W481-X481</f>
        <v>0.79999999999999716</v>
      </c>
      <c r="Z481" s="63">
        <f>Y481/X481</f>
        <v>2.3391812865496991E-2</v>
      </c>
      <c r="AA481" s="101" t="s">
        <v>1566</v>
      </c>
      <c r="AC481" s="16" t="s">
        <v>166</v>
      </c>
      <c r="AD481" s="84">
        <v>43733</v>
      </c>
      <c r="AF481" s="33">
        <f>AE481-AD481</f>
        <v>-43733</v>
      </c>
      <c r="AG481" s="116"/>
      <c r="AT481" s="11"/>
    </row>
    <row r="482" spans="1:46">
      <c r="B482" s="80">
        <v>-8</v>
      </c>
      <c r="C482" s="79">
        <v>15</v>
      </c>
      <c r="D482" s="79">
        <v>2</v>
      </c>
      <c r="E482" s="80">
        <v>-31</v>
      </c>
      <c r="F482" s="57">
        <v>23.94</v>
      </c>
      <c r="G482" s="79">
        <v>6182</v>
      </c>
      <c r="H482" s="50" t="s">
        <v>1403</v>
      </c>
      <c r="I482" s="16" t="s">
        <v>166</v>
      </c>
      <c r="J482" s="8">
        <f>IFERROR(VLOOKUP($G482,今日總結!$A:$AN,33,0),"")</f>
        <v>1</v>
      </c>
      <c r="K482" s="5">
        <f>IFERROR(VLOOKUP($G482,今日總結!$A:$AN,34,0),"")</f>
        <v>0</v>
      </c>
      <c r="L482" s="156">
        <f>IFERROR(VLOOKUP($G482,今日總結!$A:$AN,31,0),"")</f>
        <v>0</v>
      </c>
      <c r="M482" s="337">
        <f>IFERROR(VLOOKUP($G482,今日總結!$A:$AN,32,0),"")</f>
        <v>1</v>
      </c>
      <c r="N482" s="240">
        <f t="shared" si="165"/>
        <v>-1</v>
      </c>
      <c r="O482" s="359">
        <f>IFERROR(VLOOKUP($G482,融外自投!$A:$J,7,0),"無")</f>
        <v>100</v>
      </c>
      <c r="P482" s="79">
        <f>IFERROR(VLOOKUP($G482,融外自投!$A:$J,9,0),"無")</f>
        <v>696</v>
      </c>
      <c r="Q482" s="342">
        <f>IFERROR(VLOOKUP($G482,融外自投!$A:$J,8,0),"無")</f>
        <v>368</v>
      </c>
      <c r="R482" s="81">
        <f>IFERROR(VLOOKUP($G482,融外自投!$A:$J,10,0),"無")</f>
        <v>314</v>
      </c>
      <c r="S482" s="324">
        <f>IFERROR(VLOOKUP($G482,'321買'!$A:$E,5,0),"'沒有資料'")</f>
        <v>0</v>
      </c>
      <c r="T482" s="34">
        <v>2.5</v>
      </c>
      <c r="V482" s="94">
        <f>T482/W482</f>
        <v>7.1428571428571425E-2</v>
      </c>
      <c r="W482" s="36">
        <v>35</v>
      </c>
      <c r="X482" s="45">
        <v>33.9</v>
      </c>
      <c r="Y482" s="15">
        <f>W482-X482</f>
        <v>1.1000000000000014</v>
      </c>
      <c r="Z482" s="63">
        <f>Y482/X482</f>
        <v>3.2448377581120985E-2</v>
      </c>
      <c r="AA482" s="101" t="s">
        <v>1592</v>
      </c>
      <c r="AC482" s="16" t="s">
        <v>166</v>
      </c>
      <c r="AD482" s="84">
        <v>43733</v>
      </c>
      <c r="AF482" s="33">
        <f>AE482-AD482</f>
        <v>-43733</v>
      </c>
      <c r="AG482" s="116"/>
      <c r="AT482" s="11"/>
    </row>
    <row r="483" spans="1:46">
      <c r="B483" s="80">
        <v>-8</v>
      </c>
      <c r="C483" s="79">
        <v>15</v>
      </c>
      <c r="D483" s="79">
        <v>2</v>
      </c>
      <c r="E483" s="80">
        <v>-31</v>
      </c>
      <c r="F483" s="57">
        <v>23.94</v>
      </c>
      <c r="G483" s="79">
        <v>6182</v>
      </c>
      <c r="H483" s="50" t="s">
        <v>1403</v>
      </c>
      <c r="I483" s="16" t="s">
        <v>166</v>
      </c>
      <c r="J483" s="8">
        <f>IFERROR(VLOOKUP($G483,今日總結!$A:$AN,33,0),"")</f>
        <v>1</v>
      </c>
      <c r="K483" s="5">
        <f>IFERROR(VLOOKUP($G483,今日總結!$A:$AN,34,0),"")</f>
        <v>0</v>
      </c>
      <c r="L483" s="156">
        <f>IFERROR(VLOOKUP($G483,今日總結!$A:$AN,31,0),"")</f>
        <v>0</v>
      </c>
      <c r="M483" s="337">
        <f>IFERROR(VLOOKUP($G483,今日總結!$A:$AN,32,0),"")</f>
        <v>1</v>
      </c>
      <c r="N483" s="240">
        <f t="shared" si="165"/>
        <v>-1</v>
      </c>
      <c r="O483" s="359">
        <f>IFERROR(VLOOKUP($G483,融外自投!$A:$J,7,0),"無")</f>
        <v>100</v>
      </c>
      <c r="P483" s="79">
        <f>IFERROR(VLOOKUP($G483,融外自投!$A:$J,9,0),"無")</f>
        <v>696</v>
      </c>
      <c r="Q483" s="342">
        <f>IFERROR(VLOOKUP($G483,融外自投!$A:$J,8,0),"無")</f>
        <v>368</v>
      </c>
      <c r="R483" s="81">
        <f>IFERROR(VLOOKUP($G483,融外自投!$A:$J,10,0),"無")</f>
        <v>314</v>
      </c>
      <c r="S483" s="324">
        <f>IFERROR(VLOOKUP($G483,'321買'!$A:$E,5,0),"'沒有資料'")</f>
        <v>0</v>
      </c>
      <c r="T483" s="34">
        <v>2.5</v>
      </c>
      <c r="V483" s="94">
        <f>T483/W483</f>
        <v>7.1428571428571425E-2</v>
      </c>
      <c r="W483" s="36">
        <v>35</v>
      </c>
      <c r="X483" s="45">
        <v>33.75</v>
      </c>
      <c r="Y483" s="15">
        <f>W483-X483</f>
        <v>1.25</v>
      </c>
      <c r="Z483" s="63">
        <f>Y483/X483</f>
        <v>3.7037037037037035E-2</v>
      </c>
      <c r="AA483" s="101" t="s">
        <v>1647</v>
      </c>
      <c r="AC483" s="16" t="s">
        <v>166</v>
      </c>
      <c r="AD483" s="84">
        <v>43731</v>
      </c>
      <c r="AF483" s="33">
        <f>AE483-AD483</f>
        <v>-43731</v>
      </c>
      <c r="AG483" s="116"/>
      <c r="AT483" s="11"/>
    </row>
    <row r="484" spans="1:46">
      <c r="B484" s="80"/>
      <c r="C484" s="79"/>
      <c r="D484" s="79"/>
      <c r="E484" s="80"/>
      <c r="F484" s="57"/>
      <c r="G484" s="41"/>
      <c r="H484" s="50"/>
      <c r="I484" s="16"/>
      <c r="L484" s="123"/>
      <c r="T484" s="34"/>
      <c r="V484" s="94"/>
      <c r="W484" s="13">
        <f>SUM(W480:W483)</f>
        <v>140</v>
      </c>
      <c r="X484" s="45">
        <f>SUM(X480:X483)</f>
        <v>136.1</v>
      </c>
      <c r="Y484" s="15">
        <f>W484-X484</f>
        <v>3.9000000000000057</v>
      </c>
      <c r="Z484" s="63">
        <f>Y484/X484</f>
        <v>2.8655400440852359E-2</v>
      </c>
      <c r="AA484" s="101"/>
      <c r="AC484" s="16"/>
      <c r="AF484" s="33"/>
      <c r="AG484" s="116"/>
      <c r="AT484" s="11"/>
    </row>
    <row r="485" spans="1:46">
      <c r="A485" s="127" t="s">
        <v>1672</v>
      </c>
      <c r="B485" s="90" t="s">
        <v>1571</v>
      </c>
      <c r="C485" s="90" t="s">
        <v>1572</v>
      </c>
      <c r="D485" s="90" t="s">
        <v>1573</v>
      </c>
      <c r="E485" s="90" t="s">
        <v>1574</v>
      </c>
      <c r="F485" s="8" t="s">
        <v>1059</v>
      </c>
      <c r="G485" s="25" t="s">
        <v>386</v>
      </c>
      <c r="H485" s="55" t="s">
        <v>320</v>
      </c>
      <c r="I485" s="1" t="s">
        <v>69</v>
      </c>
      <c r="L485" s="123"/>
      <c r="S485" s="319" t="s">
        <v>1053</v>
      </c>
      <c r="T485" s="10" t="s">
        <v>66</v>
      </c>
      <c r="V485" s="68" t="s">
        <v>1492</v>
      </c>
      <c r="W485" s="28" t="s">
        <v>2</v>
      </c>
      <c r="X485" s="17" t="s">
        <v>1398</v>
      </c>
      <c r="Y485" s="14" t="s">
        <v>5</v>
      </c>
      <c r="Z485" s="21" t="s">
        <v>3</v>
      </c>
      <c r="AA485" s="25" t="s">
        <v>105</v>
      </c>
      <c r="AC485" s="1" t="s">
        <v>69</v>
      </c>
      <c r="AD485" s="71" t="s">
        <v>1399</v>
      </c>
      <c r="AE485" s="72" t="s">
        <v>1156</v>
      </c>
      <c r="AF485" s="32" t="s">
        <v>1157</v>
      </c>
    </row>
    <row r="486" spans="1:46" s="7" customFormat="1" ht="17.100000000000001" customHeight="1">
      <c r="A486" s="56"/>
      <c r="B486" s="80">
        <v>-5</v>
      </c>
      <c r="C486" s="80">
        <v>-17</v>
      </c>
      <c r="D486" s="80">
        <v>-5</v>
      </c>
      <c r="E486" s="80">
        <v>-17</v>
      </c>
      <c r="F486" s="57">
        <v>14.01</v>
      </c>
      <c r="G486" s="79">
        <v>2704</v>
      </c>
      <c r="H486" s="8" t="s">
        <v>1402</v>
      </c>
      <c r="I486" s="22" t="s">
        <v>0</v>
      </c>
      <c r="J486" s="8">
        <f>IFERROR(VLOOKUP($G486,今日總結!$A:$AN,33,0),"")</f>
        <v>0</v>
      </c>
      <c r="K486" s="5">
        <f>IFERROR(VLOOKUP($G486,今日總結!$A:$AN,34,0),"")</f>
        <v>0</v>
      </c>
      <c r="L486" s="156">
        <f>IFERROR(VLOOKUP($G486,今日總結!$A:$AN,31,0),"")</f>
        <v>3</v>
      </c>
      <c r="M486" s="337">
        <f>IFERROR(VLOOKUP($G486,今日總結!$A:$AN,32,0),"")</f>
        <v>0</v>
      </c>
      <c r="N486" s="240">
        <f t="shared" ref="N486:N487" si="166">IFERROR(L486-M486,"")</f>
        <v>3</v>
      </c>
      <c r="O486" s="359">
        <f>IFERROR(VLOOKUP($G486,融外自投!$A:$J,7,0),"無")</f>
        <v>1183</v>
      </c>
      <c r="P486" s="79">
        <f>IFERROR(VLOOKUP($G486,融外自投!$A:$J,9,0),"無")</f>
        <v>550</v>
      </c>
      <c r="Q486" s="342">
        <f>IFERROR(VLOOKUP($G486,融外自投!$A:$J,8,0),"無")</f>
        <v>498</v>
      </c>
      <c r="R486" s="81">
        <f>IFERROR(VLOOKUP($G486,融外自投!$A:$J,10,0),"無")</f>
        <v>427</v>
      </c>
      <c r="S486" s="324">
        <f>IFERROR(VLOOKUP($G486,'321買'!$A:$E,5,0),"'沒有資料'")</f>
        <v>0</v>
      </c>
      <c r="T486" s="34">
        <v>0.4</v>
      </c>
      <c r="U486" s="308"/>
      <c r="V486" s="94">
        <f>T486/W486</f>
        <v>1.6736401673640169E-2</v>
      </c>
      <c r="W486" s="13">
        <v>23.9</v>
      </c>
      <c r="X486" s="66">
        <f>23.88-0.7-0.4-0.4</f>
        <v>22.380000000000003</v>
      </c>
      <c r="Y486" s="15">
        <f>W486-X486</f>
        <v>1.519999999999996</v>
      </c>
      <c r="Z486" s="63">
        <f>Y486/X486</f>
        <v>6.7917783735477924E-2</v>
      </c>
      <c r="AA486" s="128" t="s">
        <v>1637</v>
      </c>
      <c r="AB486" s="376"/>
      <c r="AC486" s="22" t="s">
        <v>0</v>
      </c>
      <c r="AD486" s="84">
        <v>42800</v>
      </c>
      <c r="AE486" s="83"/>
      <c r="AF486" s="33">
        <f>AE486-AD486</f>
        <v>-42800</v>
      </c>
      <c r="AG486" s="41" t="s">
        <v>1121</v>
      </c>
      <c r="AH486" s="51"/>
      <c r="AI486" s="18"/>
      <c r="AJ486" s="245"/>
      <c r="AK486" s="245"/>
      <c r="AL486" s="245"/>
      <c r="AM486" s="245"/>
      <c r="AN486" s="245"/>
      <c r="AO486" s="245"/>
      <c r="AP486" s="245"/>
      <c r="AQ486" s="245"/>
      <c r="AR486" s="245"/>
      <c r="AS486" s="245"/>
    </row>
    <row r="487" spans="1:46">
      <c r="A487" s="116"/>
      <c r="B487" s="79">
        <v>2</v>
      </c>
      <c r="C487" s="80">
        <v>-30</v>
      </c>
      <c r="D487" s="79">
        <v>2</v>
      </c>
      <c r="E487" s="80">
        <v>-30</v>
      </c>
      <c r="F487" s="57">
        <v>10.220000000000001</v>
      </c>
      <c r="G487" s="79">
        <v>2704</v>
      </c>
      <c r="H487" s="50" t="s">
        <v>1403</v>
      </c>
      <c r="I487" s="22" t="s">
        <v>0</v>
      </c>
      <c r="J487" s="8">
        <f>IFERROR(VLOOKUP($G487,今日總結!$A:$AN,33,0),"")</f>
        <v>0</v>
      </c>
      <c r="K487" s="5">
        <f>IFERROR(VLOOKUP($G487,今日總結!$A:$AN,34,0),"")</f>
        <v>0</v>
      </c>
      <c r="L487" s="156">
        <f>IFERROR(VLOOKUP($G487,今日總結!$A:$AN,31,0),"")</f>
        <v>3</v>
      </c>
      <c r="M487" s="337">
        <f>IFERROR(VLOOKUP($G487,今日總結!$A:$AN,32,0),"")</f>
        <v>0</v>
      </c>
      <c r="N487" s="240">
        <f t="shared" si="166"/>
        <v>3</v>
      </c>
      <c r="O487" s="359">
        <f>IFERROR(VLOOKUP($G487,融外自投!$A:$J,7,0),"無")</f>
        <v>1183</v>
      </c>
      <c r="P487" s="79">
        <f>IFERROR(VLOOKUP($G487,融外自投!$A:$J,9,0),"無")</f>
        <v>550</v>
      </c>
      <c r="Q487" s="342">
        <f>IFERROR(VLOOKUP($G487,融外自投!$A:$J,8,0),"無")</f>
        <v>498</v>
      </c>
      <c r="R487" s="81">
        <f>IFERROR(VLOOKUP($G487,融外自投!$A:$J,10,0),"無")</f>
        <v>427</v>
      </c>
      <c r="S487" s="324">
        <f>IFERROR(VLOOKUP($G487,'321買'!$A:$E,5,0),"'沒有資料'")</f>
        <v>0</v>
      </c>
      <c r="T487" s="34">
        <v>0.4</v>
      </c>
      <c r="V487" s="94">
        <f>T487/W487</f>
        <v>1.6736401673640169E-2</v>
      </c>
      <c r="W487" s="36">
        <v>23.9</v>
      </c>
      <c r="X487" s="66">
        <v>21.4</v>
      </c>
      <c r="Y487" s="15">
        <f>W487-X487</f>
        <v>2.5</v>
      </c>
      <c r="Z487" s="63">
        <f>Y487/X487</f>
        <v>0.11682242990654207</v>
      </c>
      <c r="AA487" s="111" t="s">
        <v>1646</v>
      </c>
      <c r="AC487" s="22" t="s">
        <v>0</v>
      </c>
      <c r="AD487" s="84">
        <v>43705</v>
      </c>
      <c r="AF487" s="33">
        <f>AE487-AD487</f>
        <v>-43705</v>
      </c>
      <c r="AG487" s="116" t="s">
        <v>1121</v>
      </c>
      <c r="AH487" s="245"/>
    </row>
    <row r="488" spans="1:46" s="7" customFormat="1" ht="17.100000000000001" customHeight="1">
      <c r="A488" s="56"/>
      <c r="B488" s="80"/>
      <c r="C488" s="80"/>
      <c r="D488" s="80"/>
      <c r="E488" s="80"/>
      <c r="F488" s="57"/>
      <c r="G488" s="41"/>
      <c r="H488" s="8"/>
      <c r="I488" s="22"/>
      <c r="J488" s="1"/>
      <c r="K488" s="1"/>
      <c r="L488" s="123"/>
      <c r="M488" s="234"/>
      <c r="N488" s="338"/>
      <c r="O488" s="89"/>
      <c r="P488" s="73"/>
      <c r="Q488" s="350"/>
      <c r="R488" s="300"/>
      <c r="S488" s="319"/>
      <c r="T488" s="34"/>
      <c r="U488" s="308"/>
      <c r="V488" s="94"/>
      <c r="W488" s="13">
        <f>SUM(W486:W487)</f>
        <v>47.8</v>
      </c>
      <c r="X488" s="45">
        <f>SUM(X486:X487)</f>
        <v>43.78</v>
      </c>
      <c r="Y488" s="15">
        <f>W488-X488</f>
        <v>4.019999999999996</v>
      </c>
      <c r="Z488" s="63">
        <f>Y488/X488</f>
        <v>9.1822750114207305E-2</v>
      </c>
      <c r="AA488" s="112"/>
      <c r="AB488" s="376"/>
      <c r="AC488" s="22"/>
      <c r="AD488" s="84"/>
      <c r="AE488" s="83"/>
      <c r="AF488" s="33"/>
      <c r="AG488" s="116"/>
      <c r="AH488" s="51"/>
      <c r="AI488" s="18"/>
      <c r="AJ488" s="245"/>
      <c r="AK488" s="245"/>
      <c r="AL488" s="245"/>
      <c r="AM488" s="245"/>
      <c r="AN488" s="245"/>
      <c r="AO488" s="245"/>
      <c r="AP488" s="245"/>
      <c r="AQ488" s="245"/>
      <c r="AR488" s="245"/>
      <c r="AS488" s="245"/>
    </row>
    <row r="489" spans="1:46">
      <c r="A489" s="127" t="s">
        <v>1672</v>
      </c>
      <c r="B489" s="90" t="s">
        <v>1571</v>
      </c>
      <c r="C489" s="90" t="s">
        <v>1572</v>
      </c>
      <c r="D489" s="90" t="s">
        <v>1573</v>
      </c>
      <c r="E489" s="90" t="s">
        <v>1574</v>
      </c>
      <c r="F489" s="8" t="s">
        <v>1059</v>
      </c>
      <c r="G489" s="25" t="s">
        <v>386</v>
      </c>
      <c r="H489" s="55" t="s">
        <v>320</v>
      </c>
      <c r="I489" s="1" t="s">
        <v>69</v>
      </c>
      <c r="L489" s="123"/>
      <c r="S489" s="319" t="s">
        <v>1053</v>
      </c>
      <c r="T489" s="10" t="s">
        <v>66</v>
      </c>
      <c r="V489" s="68" t="s">
        <v>1492</v>
      </c>
      <c r="W489" s="28" t="s">
        <v>2</v>
      </c>
      <c r="X489" s="17" t="s">
        <v>1398</v>
      </c>
      <c r="Y489" s="14" t="s">
        <v>5</v>
      </c>
      <c r="Z489" s="21" t="s">
        <v>3</v>
      </c>
      <c r="AA489" s="25" t="s">
        <v>105</v>
      </c>
      <c r="AC489" s="1" t="s">
        <v>69</v>
      </c>
      <c r="AD489" s="71" t="s">
        <v>1399</v>
      </c>
      <c r="AE489" s="72" t="s">
        <v>1156</v>
      </c>
      <c r="AF489" s="32" t="s">
        <v>1157</v>
      </c>
      <c r="AG489" s="46" t="s">
        <v>1577</v>
      </c>
    </row>
    <row r="490" spans="1:46">
      <c r="B490" s="80"/>
      <c r="C490" s="80"/>
      <c r="D490" s="80"/>
      <c r="E490" s="80"/>
      <c r="F490" s="6"/>
      <c r="G490" s="79">
        <v>2354</v>
      </c>
      <c r="H490" s="30"/>
      <c r="I490" s="22" t="s">
        <v>16</v>
      </c>
      <c r="L490" s="123"/>
      <c r="T490" s="34"/>
      <c r="V490" s="94"/>
      <c r="W490" s="13">
        <v>197.4</v>
      </c>
      <c r="X490" s="45">
        <v>189.1</v>
      </c>
      <c r="Y490" s="15">
        <f t="shared" ref="Y490:Y495" si="167">W490-X490</f>
        <v>8.3000000000000114</v>
      </c>
      <c r="Z490" s="63">
        <f t="shared" ref="Z490:Z495" si="168">Y490/X490</f>
        <v>4.3892120571126451E-2</v>
      </c>
      <c r="AA490" s="111"/>
      <c r="AC490" s="22" t="s">
        <v>16</v>
      </c>
      <c r="AE490" s="83">
        <v>43733</v>
      </c>
      <c r="AF490" s="33">
        <f>AE490-AD490</f>
        <v>43733</v>
      </c>
      <c r="AG490" s="116"/>
    </row>
    <row r="491" spans="1:46">
      <c r="B491" s="79"/>
      <c r="C491" s="92"/>
      <c r="D491" s="79"/>
      <c r="E491" s="92"/>
      <c r="F491" s="57"/>
      <c r="G491" s="79">
        <v>2855</v>
      </c>
      <c r="H491" s="8"/>
      <c r="I491" s="22" t="s">
        <v>335</v>
      </c>
      <c r="L491" s="123"/>
      <c r="T491" s="34"/>
      <c r="V491" s="94"/>
      <c r="W491" s="13">
        <v>80.099999999999994</v>
      </c>
      <c r="X491" s="45">
        <v>78.260000000000005</v>
      </c>
      <c r="Y491" s="15">
        <f t="shared" si="167"/>
        <v>1.8399999999999892</v>
      </c>
      <c r="Z491" s="63">
        <f t="shared" si="168"/>
        <v>2.351137234858151E-2</v>
      </c>
      <c r="AA491" s="112"/>
      <c r="AC491" s="22" t="s">
        <v>335</v>
      </c>
      <c r="AE491" s="83">
        <v>43724</v>
      </c>
      <c r="AF491" s="33">
        <f>AE491-AD491</f>
        <v>43724</v>
      </c>
      <c r="AG491" s="116"/>
      <c r="AJ491" s="11"/>
      <c r="AK491" s="11"/>
      <c r="AL491" s="11"/>
      <c r="AM491" s="11"/>
      <c r="AP491" s="7"/>
      <c r="AQ491" s="31"/>
      <c r="AR491" s="7"/>
      <c r="AS491" s="7"/>
    </row>
    <row r="492" spans="1:46">
      <c r="B492" s="80"/>
      <c r="C492" s="80"/>
      <c r="D492" s="80"/>
      <c r="E492" s="80"/>
      <c r="F492" s="6"/>
      <c r="G492" s="79">
        <v>1710</v>
      </c>
      <c r="H492" s="30"/>
      <c r="I492" s="22" t="s">
        <v>317</v>
      </c>
      <c r="L492" s="123"/>
      <c r="T492" s="34"/>
      <c r="V492" s="94"/>
      <c r="W492" s="13">
        <v>135.6</v>
      </c>
      <c r="X492" s="45">
        <v>133.6</v>
      </c>
      <c r="Y492" s="15">
        <f t="shared" si="167"/>
        <v>2</v>
      </c>
      <c r="Z492" s="63">
        <f t="shared" si="168"/>
        <v>1.4970059880239521E-2</v>
      </c>
      <c r="AA492" s="112"/>
      <c r="AC492" s="22" t="s">
        <v>317</v>
      </c>
      <c r="AE492" s="83">
        <v>43724</v>
      </c>
      <c r="AF492" s="33">
        <f>AE492-AD492</f>
        <v>43724</v>
      </c>
      <c r="AG492" s="116"/>
    </row>
    <row r="493" spans="1:46">
      <c r="B493" s="80"/>
      <c r="C493" s="80"/>
      <c r="D493" s="80"/>
      <c r="E493" s="80"/>
      <c r="F493" s="6"/>
      <c r="G493" s="79">
        <v>1605</v>
      </c>
      <c r="H493" s="30"/>
      <c r="I493" s="22" t="s">
        <v>110</v>
      </c>
      <c r="L493" s="123"/>
      <c r="T493" s="34"/>
      <c r="V493" s="94"/>
      <c r="W493" s="13">
        <v>147.5</v>
      </c>
      <c r="X493" s="45">
        <v>140.85</v>
      </c>
      <c r="Y493" s="15">
        <f t="shared" si="167"/>
        <v>6.6500000000000057</v>
      </c>
      <c r="Z493" s="63">
        <f t="shared" si="168"/>
        <v>4.7213347532836396E-2</v>
      </c>
      <c r="AA493" s="111"/>
      <c r="AC493" s="22" t="s">
        <v>110</v>
      </c>
      <c r="AE493" s="83">
        <v>43724</v>
      </c>
      <c r="AF493" s="33">
        <f>AE493-AD493</f>
        <v>43724</v>
      </c>
      <c r="AG493" s="116"/>
    </row>
    <row r="494" spans="1:46" s="7" customFormat="1" ht="17.100000000000001" customHeight="1">
      <c r="A494" s="41"/>
      <c r="B494" s="80"/>
      <c r="C494" s="80"/>
      <c r="D494" s="80"/>
      <c r="E494" s="80"/>
      <c r="F494" s="6"/>
      <c r="G494" s="79">
        <v>1304</v>
      </c>
      <c r="H494" s="8"/>
      <c r="I494" s="22" t="s">
        <v>64</v>
      </c>
      <c r="J494" s="1"/>
      <c r="K494" s="1"/>
      <c r="L494" s="123"/>
      <c r="M494" s="234"/>
      <c r="N494" s="338"/>
      <c r="O494" s="89"/>
      <c r="P494" s="73"/>
      <c r="Q494" s="350"/>
      <c r="R494" s="300"/>
      <c r="S494" s="319"/>
      <c r="T494" s="34"/>
      <c r="U494" s="308"/>
      <c r="V494" s="94"/>
      <c r="W494" s="13">
        <v>135.80000000000001</v>
      </c>
      <c r="X494" s="45">
        <v>133.85</v>
      </c>
      <c r="Y494" s="15">
        <f t="shared" si="167"/>
        <v>1.9500000000000171</v>
      </c>
      <c r="Z494" s="63">
        <f t="shared" si="168"/>
        <v>1.4568546880836886E-2</v>
      </c>
      <c r="AA494" s="113"/>
      <c r="AB494" s="376"/>
      <c r="AC494" s="22" t="s">
        <v>64</v>
      </c>
      <c r="AD494" s="84"/>
      <c r="AE494" s="83">
        <v>43724</v>
      </c>
      <c r="AF494" s="33">
        <f>AE494-AD494</f>
        <v>43724</v>
      </c>
      <c r="AG494" s="116"/>
      <c r="AH494" s="27"/>
      <c r="AI494" s="17"/>
      <c r="AJ494" s="11"/>
      <c r="AK494" s="11"/>
      <c r="AL494" s="11"/>
      <c r="AM494" s="11"/>
      <c r="AN494" s="245"/>
      <c r="AO494" s="245"/>
      <c r="AQ494" s="4"/>
      <c r="AR494" s="245"/>
      <c r="AS494" s="245"/>
    </row>
    <row r="495" spans="1:46" s="7" customFormat="1" ht="17.100000000000001" customHeight="1">
      <c r="A495" s="41"/>
      <c r="B495" s="80"/>
      <c r="C495" s="80"/>
      <c r="D495" s="80"/>
      <c r="E495" s="80"/>
      <c r="F495" s="6"/>
      <c r="G495" s="41"/>
      <c r="H495" s="8"/>
      <c r="I495" s="22"/>
      <c r="J495" s="1"/>
      <c r="K495" s="1"/>
      <c r="L495" s="123"/>
      <c r="M495" s="234"/>
      <c r="N495" s="338"/>
      <c r="O495" s="89"/>
      <c r="P495" s="73"/>
      <c r="Q495" s="350"/>
      <c r="R495" s="300"/>
      <c r="S495" s="319"/>
      <c r="T495" s="34"/>
      <c r="U495" s="308"/>
      <c r="V495" s="94"/>
      <c r="W495" s="13">
        <f>SUM(W490:W494)</f>
        <v>696.40000000000009</v>
      </c>
      <c r="X495" s="45">
        <f>SUM(X490:X494)</f>
        <v>675.66000000000008</v>
      </c>
      <c r="Y495" s="15">
        <f t="shared" si="167"/>
        <v>20.740000000000009</v>
      </c>
      <c r="Z495" s="63">
        <f t="shared" si="168"/>
        <v>3.0695912145161777E-2</v>
      </c>
      <c r="AA495" s="113"/>
      <c r="AB495" s="376"/>
      <c r="AC495" s="22"/>
      <c r="AD495" s="84"/>
      <c r="AE495" s="83"/>
      <c r="AF495" s="33"/>
      <c r="AG495" s="116"/>
      <c r="AH495" s="27"/>
      <c r="AI495" s="17"/>
      <c r="AJ495" s="11"/>
      <c r="AK495" s="11"/>
      <c r="AL495" s="11"/>
      <c r="AM495" s="11"/>
      <c r="AN495" s="245"/>
      <c r="AO495" s="245"/>
      <c r="AQ495" s="4"/>
      <c r="AR495" s="245"/>
      <c r="AS495" s="245"/>
    </row>
    <row r="496" spans="1:46">
      <c r="A496" s="127" t="s">
        <v>1672</v>
      </c>
      <c r="B496" s="90" t="s">
        <v>1571</v>
      </c>
      <c r="C496" s="90" t="s">
        <v>1572</v>
      </c>
      <c r="D496" s="90" t="s">
        <v>1573</v>
      </c>
      <c r="E496" s="90" t="s">
        <v>1574</v>
      </c>
      <c r="F496" s="8" t="s">
        <v>1059</v>
      </c>
      <c r="G496" s="25" t="s">
        <v>386</v>
      </c>
      <c r="H496" s="55" t="s">
        <v>320</v>
      </c>
      <c r="I496" s="1" t="s">
        <v>69</v>
      </c>
      <c r="L496" s="123"/>
      <c r="S496" s="319" t="s">
        <v>1053</v>
      </c>
      <c r="T496" s="10" t="s">
        <v>66</v>
      </c>
      <c r="V496" s="68" t="s">
        <v>1492</v>
      </c>
      <c r="W496" s="28" t="s">
        <v>2</v>
      </c>
      <c r="X496" s="17" t="s">
        <v>1398</v>
      </c>
      <c r="Y496" s="14" t="s">
        <v>5</v>
      </c>
      <c r="Z496" s="21" t="s">
        <v>3</v>
      </c>
      <c r="AA496" s="25" t="s">
        <v>105</v>
      </c>
      <c r="AC496" s="1" t="s">
        <v>69</v>
      </c>
      <c r="AD496" s="71" t="s">
        <v>1399</v>
      </c>
      <c r="AE496" s="72" t="s">
        <v>1156</v>
      </c>
      <c r="AF496" s="32" t="s">
        <v>1157</v>
      </c>
      <c r="AG496" s="46" t="s">
        <v>1609</v>
      </c>
    </row>
    <row r="497" spans="1:45">
      <c r="B497" s="79">
        <v>80</v>
      </c>
      <c r="C497" s="79">
        <v>78</v>
      </c>
      <c r="D497" s="79">
        <v>80</v>
      </c>
      <c r="E497" s="79">
        <v>78</v>
      </c>
      <c r="F497" s="57">
        <v>26.24</v>
      </c>
      <c r="G497" s="79">
        <v>6173</v>
      </c>
      <c r="H497" s="30" t="s">
        <v>1461</v>
      </c>
      <c r="I497" s="16" t="s">
        <v>82</v>
      </c>
      <c r="J497" s="8">
        <f>IFERROR(VLOOKUP($G497,今日總結!$A:$AN,33,0),"")</f>
        <v>0</v>
      </c>
      <c r="K497" s="5">
        <f>IFERROR(VLOOKUP($G497,今日總結!$A:$AN,34,0),"")</f>
        <v>0</v>
      </c>
      <c r="L497" s="156">
        <f>IFERROR(VLOOKUP($G497,今日總結!$A:$AN,31,0),"")</f>
        <v>1</v>
      </c>
      <c r="M497" s="337">
        <f>IFERROR(VLOOKUP($G497,今日總結!$A:$AN,32,0),"")</f>
        <v>0</v>
      </c>
      <c r="N497" s="240">
        <f t="shared" ref="N497:N501" si="169">IFERROR(L497-M497,"")</f>
        <v>1</v>
      </c>
      <c r="O497" s="359">
        <f>IFERROR(VLOOKUP($G497,融外自投!$A:$J,7,0),"無")</f>
        <v>367</v>
      </c>
      <c r="P497" s="79">
        <f>IFERROR(VLOOKUP($G497,融外自投!$A:$J,9,0),"無")</f>
        <v>158</v>
      </c>
      <c r="Q497" s="342">
        <f>IFERROR(VLOOKUP($G497,融外自投!$A:$J,8,0),"無")</f>
        <v>1087</v>
      </c>
      <c r="R497" s="81" t="str">
        <f>IFERROR(VLOOKUP($G497,融外自投!$A:$J,10,0),"無")</f>
        <v>無</v>
      </c>
      <c r="S497" s="324">
        <f>IFERROR(VLOOKUP($G497,'321買'!$A:$E,5,0),"'沒有資料'")</f>
        <v>0</v>
      </c>
      <c r="T497" s="34">
        <v>4.3</v>
      </c>
      <c r="V497" s="57">
        <f>T497/W497</f>
        <v>7.5438596491228069E-2</v>
      </c>
      <c r="W497" s="13">
        <v>57</v>
      </c>
      <c r="X497" s="45">
        <v>63.1</v>
      </c>
      <c r="Y497" s="15">
        <f t="shared" ref="Y497:Y502" si="170">W497-X497</f>
        <v>-6.1000000000000014</v>
      </c>
      <c r="Z497" s="63">
        <f t="shared" ref="Z497:Z502" si="171">Y497/X497</f>
        <v>-9.667194928684629E-2</v>
      </c>
      <c r="AA497" s="111" t="s">
        <v>1610</v>
      </c>
      <c r="AC497" s="16" t="s">
        <v>82</v>
      </c>
      <c r="AD497" s="84">
        <v>43677</v>
      </c>
      <c r="AE497" s="83">
        <v>43734</v>
      </c>
      <c r="AF497" s="33">
        <f>AE497-AD497</f>
        <v>57</v>
      </c>
      <c r="AG497" s="116" t="s">
        <v>1501</v>
      </c>
    </row>
    <row r="498" spans="1:45" ht="16.5" customHeight="1">
      <c r="A498" s="116"/>
      <c r="B498" s="80">
        <v>-26</v>
      </c>
      <c r="C498" s="80">
        <v>-18</v>
      </c>
      <c r="D498" s="80">
        <v>-26</v>
      </c>
      <c r="E498" s="80">
        <v>-18</v>
      </c>
      <c r="F498" s="57">
        <v>23.76</v>
      </c>
      <c r="G498" s="79">
        <v>6173</v>
      </c>
      <c r="H498" s="30" t="s">
        <v>1461</v>
      </c>
      <c r="I498" s="16" t="s">
        <v>82</v>
      </c>
      <c r="J498" s="8">
        <f>IFERROR(VLOOKUP($G498,今日總結!$A:$AN,33,0),"")</f>
        <v>0</v>
      </c>
      <c r="K498" s="5">
        <f>IFERROR(VLOOKUP($G498,今日總結!$A:$AN,34,0),"")</f>
        <v>0</v>
      </c>
      <c r="L498" s="156">
        <f>IFERROR(VLOOKUP($G498,今日總結!$A:$AN,31,0),"")</f>
        <v>1</v>
      </c>
      <c r="M498" s="337">
        <f>IFERROR(VLOOKUP($G498,今日總結!$A:$AN,32,0),"")</f>
        <v>0</v>
      </c>
      <c r="N498" s="240">
        <f t="shared" si="169"/>
        <v>1</v>
      </c>
      <c r="O498" s="359">
        <f>IFERROR(VLOOKUP($G498,融外自投!$A:$J,7,0),"無")</f>
        <v>367</v>
      </c>
      <c r="P498" s="79">
        <f>IFERROR(VLOOKUP($G498,融外自投!$A:$J,9,0),"無")</f>
        <v>158</v>
      </c>
      <c r="Q498" s="342">
        <f>IFERROR(VLOOKUP($G498,融外自投!$A:$J,8,0),"無")</f>
        <v>1087</v>
      </c>
      <c r="R498" s="81" t="str">
        <f>IFERROR(VLOOKUP($G498,融外自投!$A:$J,10,0),"無")</f>
        <v>無</v>
      </c>
      <c r="S498" s="324">
        <f>IFERROR(VLOOKUP($G498,'321買'!$A:$E,5,0),"'沒有資料'")</f>
        <v>0</v>
      </c>
      <c r="T498" s="34">
        <v>4.3</v>
      </c>
      <c r="V498" s="57">
        <f>T498/W498</f>
        <v>7.5438596491228069E-2</v>
      </c>
      <c r="W498" s="36">
        <v>57</v>
      </c>
      <c r="X498" s="45">
        <v>56.2</v>
      </c>
      <c r="Y498" s="15">
        <f t="shared" si="170"/>
        <v>0.79999999999999716</v>
      </c>
      <c r="Z498" s="63">
        <f t="shared" si="171"/>
        <v>1.4234875444839807E-2</v>
      </c>
      <c r="AA498" s="111" t="s">
        <v>1611</v>
      </c>
      <c r="AC498" s="16" t="s">
        <v>82</v>
      </c>
      <c r="AD498" s="84">
        <v>43710</v>
      </c>
      <c r="AE498" s="83">
        <v>43734</v>
      </c>
      <c r="AF498" s="33">
        <f>AE498-AD498</f>
        <v>24</v>
      </c>
      <c r="AG498" s="116"/>
      <c r="AH498" s="245"/>
    </row>
    <row r="499" spans="1:45" ht="16.5" customHeight="1">
      <c r="A499" s="116"/>
      <c r="B499" s="80">
        <v>-26</v>
      </c>
      <c r="C499" s="80">
        <v>-18</v>
      </c>
      <c r="D499" s="80">
        <v>-26</v>
      </c>
      <c r="E499" s="80">
        <v>-18</v>
      </c>
      <c r="F499" s="57">
        <v>23.76</v>
      </c>
      <c r="G499" s="79">
        <v>6173</v>
      </c>
      <c r="H499" s="50" t="s">
        <v>1403</v>
      </c>
      <c r="I499" s="16" t="s">
        <v>82</v>
      </c>
      <c r="J499" s="8">
        <f>IFERROR(VLOOKUP($G499,今日總結!$A:$AN,33,0),"")</f>
        <v>0</v>
      </c>
      <c r="K499" s="5">
        <f>IFERROR(VLOOKUP($G499,今日總結!$A:$AN,34,0),"")</f>
        <v>0</v>
      </c>
      <c r="L499" s="156">
        <f>IFERROR(VLOOKUP($G499,今日總結!$A:$AN,31,0),"")</f>
        <v>1</v>
      </c>
      <c r="M499" s="337">
        <f>IFERROR(VLOOKUP($G499,今日總結!$A:$AN,32,0),"")</f>
        <v>0</v>
      </c>
      <c r="N499" s="240">
        <f t="shared" si="169"/>
        <v>1</v>
      </c>
      <c r="O499" s="359">
        <f>IFERROR(VLOOKUP($G499,融外自投!$A:$J,7,0),"無")</f>
        <v>367</v>
      </c>
      <c r="P499" s="79">
        <f>IFERROR(VLOOKUP($G499,融外自投!$A:$J,9,0),"無")</f>
        <v>158</v>
      </c>
      <c r="Q499" s="342">
        <f>IFERROR(VLOOKUP($G499,融外自投!$A:$J,8,0),"無")</f>
        <v>1087</v>
      </c>
      <c r="R499" s="81" t="str">
        <f>IFERROR(VLOOKUP($G499,融外自投!$A:$J,10,0),"無")</f>
        <v>無</v>
      </c>
      <c r="S499" s="324">
        <f>IFERROR(VLOOKUP($G499,'321買'!$A:$E,5,0),"'沒有資料'")</f>
        <v>0</v>
      </c>
      <c r="T499" s="34">
        <v>4.3</v>
      </c>
      <c r="V499" s="57">
        <f>T499/W499</f>
        <v>7.5174825174825169E-2</v>
      </c>
      <c r="W499" s="36">
        <v>57.2</v>
      </c>
      <c r="X499" s="45">
        <v>56.2</v>
      </c>
      <c r="Y499" s="15">
        <f t="shared" si="170"/>
        <v>1</v>
      </c>
      <c r="Z499" s="63">
        <f t="shared" si="171"/>
        <v>1.779359430604982E-2</v>
      </c>
      <c r="AA499" s="111" t="s">
        <v>1612</v>
      </c>
      <c r="AC499" s="16" t="s">
        <v>82</v>
      </c>
      <c r="AD499" s="84">
        <v>43710</v>
      </c>
      <c r="AE499" s="83">
        <v>43734</v>
      </c>
      <c r="AF499" s="33">
        <f>AE499-AD499</f>
        <v>24</v>
      </c>
      <c r="AG499" s="116" t="s">
        <v>1608</v>
      </c>
      <c r="AH499" s="245"/>
    </row>
    <row r="500" spans="1:45" ht="16.5" customHeight="1">
      <c r="A500" s="116"/>
      <c r="B500" s="80">
        <v>-26</v>
      </c>
      <c r="C500" s="80">
        <v>-18</v>
      </c>
      <c r="D500" s="79">
        <v>2</v>
      </c>
      <c r="E500" s="80">
        <v>-51</v>
      </c>
      <c r="F500" s="57">
        <v>23.76</v>
      </c>
      <c r="G500" s="79">
        <v>6173</v>
      </c>
      <c r="H500" s="50" t="s">
        <v>1403</v>
      </c>
      <c r="I500" s="16" t="s">
        <v>82</v>
      </c>
      <c r="J500" s="8">
        <f>IFERROR(VLOOKUP($G500,今日總結!$A:$AN,33,0),"")</f>
        <v>0</v>
      </c>
      <c r="K500" s="5">
        <f>IFERROR(VLOOKUP($G500,今日總結!$A:$AN,34,0),"")</f>
        <v>0</v>
      </c>
      <c r="L500" s="156">
        <f>IFERROR(VLOOKUP($G500,今日總結!$A:$AN,31,0),"")</f>
        <v>1</v>
      </c>
      <c r="M500" s="337">
        <f>IFERROR(VLOOKUP($G500,今日總結!$A:$AN,32,0),"")</f>
        <v>0</v>
      </c>
      <c r="N500" s="240">
        <f t="shared" si="169"/>
        <v>1</v>
      </c>
      <c r="O500" s="359">
        <f>IFERROR(VLOOKUP($G500,融外自投!$A:$J,7,0),"無")</f>
        <v>367</v>
      </c>
      <c r="P500" s="79">
        <f>IFERROR(VLOOKUP($G500,融外自投!$A:$J,9,0),"無")</f>
        <v>158</v>
      </c>
      <c r="Q500" s="342">
        <f>IFERROR(VLOOKUP($G500,融外自投!$A:$J,8,0),"無")</f>
        <v>1087</v>
      </c>
      <c r="R500" s="81" t="str">
        <f>IFERROR(VLOOKUP($G500,融外自投!$A:$J,10,0),"無")</f>
        <v>無</v>
      </c>
      <c r="S500" s="324">
        <f>IFERROR(VLOOKUP($G500,'321買'!$A:$E,5,0),"'沒有資料'")</f>
        <v>0</v>
      </c>
      <c r="T500" s="34">
        <v>4.3</v>
      </c>
      <c r="V500" s="57">
        <f>T500/W500</f>
        <v>7.5174825174825169E-2</v>
      </c>
      <c r="W500" s="36">
        <v>57.2</v>
      </c>
      <c r="X500" s="45">
        <v>54.4</v>
      </c>
      <c r="Y500" s="15">
        <f t="shared" si="170"/>
        <v>2.8000000000000043</v>
      </c>
      <c r="Z500" s="63">
        <f t="shared" si="171"/>
        <v>5.1470588235294198E-2</v>
      </c>
      <c r="AA500" s="111" t="s">
        <v>1613</v>
      </c>
      <c r="AC500" s="16" t="s">
        <v>82</v>
      </c>
      <c r="AD500" s="84">
        <v>43727</v>
      </c>
      <c r="AE500" s="83">
        <v>43734</v>
      </c>
      <c r="AF500" s="33">
        <f>AE500-AD500</f>
        <v>7</v>
      </c>
      <c r="AG500" s="116"/>
      <c r="AH500" s="245"/>
    </row>
    <row r="501" spans="1:45" ht="16.5" customHeight="1">
      <c r="A501" s="116"/>
      <c r="B501" s="80">
        <v>-26</v>
      </c>
      <c r="C501" s="80">
        <v>-18</v>
      </c>
      <c r="D501" s="79">
        <v>2</v>
      </c>
      <c r="E501" s="80">
        <v>-51</v>
      </c>
      <c r="F501" s="57">
        <v>23.76</v>
      </c>
      <c r="G501" s="79">
        <v>6173</v>
      </c>
      <c r="H501" s="50" t="s">
        <v>1403</v>
      </c>
      <c r="I501" s="16" t="s">
        <v>82</v>
      </c>
      <c r="J501" s="8">
        <f>IFERROR(VLOOKUP($G501,今日總結!$A:$AN,33,0),"")</f>
        <v>0</v>
      </c>
      <c r="K501" s="5">
        <f>IFERROR(VLOOKUP($G501,今日總結!$A:$AN,34,0),"")</f>
        <v>0</v>
      </c>
      <c r="L501" s="156">
        <f>IFERROR(VLOOKUP($G501,今日總結!$A:$AN,31,0),"")</f>
        <v>1</v>
      </c>
      <c r="M501" s="337">
        <f>IFERROR(VLOOKUP($G501,今日總結!$A:$AN,32,0),"")</f>
        <v>0</v>
      </c>
      <c r="N501" s="240">
        <f t="shared" si="169"/>
        <v>1</v>
      </c>
      <c r="O501" s="359">
        <f>IFERROR(VLOOKUP($G501,融外自投!$A:$J,7,0),"無")</f>
        <v>367</v>
      </c>
      <c r="P501" s="79">
        <f>IFERROR(VLOOKUP($G501,融外自投!$A:$J,9,0),"無")</f>
        <v>158</v>
      </c>
      <c r="Q501" s="342">
        <f>IFERROR(VLOOKUP($G501,融外自投!$A:$J,8,0),"無")</f>
        <v>1087</v>
      </c>
      <c r="R501" s="81" t="str">
        <f>IFERROR(VLOOKUP($G501,融外自投!$A:$J,10,0),"無")</f>
        <v>無</v>
      </c>
      <c r="S501" s="324">
        <f>IFERROR(VLOOKUP($G501,'321買'!$A:$E,5,0),"'沒有資料'")</f>
        <v>0</v>
      </c>
      <c r="T501" s="34">
        <v>4.3</v>
      </c>
      <c r="V501" s="57">
        <f>T501/W501</f>
        <v>7.5174825174825169E-2</v>
      </c>
      <c r="W501" s="36">
        <v>57.2</v>
      </c>
      <c r="X501" s="45">
        <v>54.1</v>
      </c>
      <c r="Y501" s="15">
        <f t="shared" si="170"/>
        <v>3.1000000000000014</v>
      </c>
      <c r="Z501" s="63">
        <f t="shared" si="171"/>
        <v>5.7301293900184867E-2</v>
      </c>
      <c r="AA501" s="111" t="s">
        <v>1614</v>
      </c>
      <c r="AC501" s="16" t="s">
        <v>82</v>
      </c>
      <c r="AD501" s="84">
        <v>43733</v>
      </c>
      <c r="AE501" s="83">
        <v>43734</v>
      </c>
      <c r="AF501" s="33">
        <f>AE501-AD501</f>
        <v>1</v>
      </c>
      <c r="AG501" s="116"/>
      <c r="AH501" s="245"/>
    </row>
    <row r="502" spans="1:45">
      <c r="B502" s="79"/>
      <c r="C502" s="79"/>
      <c r="D502" s="79"/>
      <c r="E502" s="79"/>
      <c r="F502" s="57"/>
      <c r="G502" s="41"/>
      <c r="H502" s="30"/>
      <c r="I502" s="16"/>
      <c r="L502" s="123"/>
      <c r="T502" s="34"/>
      <c r="V502" s="57"/>
      <c r="W502" s="13">
        <f>SUM(W497:W501)</f>
        <v>285.59999999999997</v>
      </c>
      <c r="X502" s="45">
        <f>SUM(X497:X501)</f>
        <v>284</v>
      </c>
      <c r="Y502" s="15">
        <f t="shared" si="170"/>
        <v>1.5999999999999659</v>
      </c>
      <c r="Z502" s="63">
        <f t="shared" si="171"/>
        <v>5.6338028169012882E-3</v>
      </c>
      <c r="AA502" s="111"/>
      <c r="AC502" s="16"/>
      <c r="AF502" s="33"/>
      <c r="AG502" s="116"/>
    </row>
    <row r="503" spans="1:45">
      <c r="A503" s="127" t="s">
        <v>1672</v>
      </c>
      <c r="B503" s="90" t="s">
        <v>1571</v>
      </c>
      <c r="C503" s="90" t="s">
        <v>1572</v>
      </c>
      <c r="D503" s="90" t="s">
        <v>1573</v>
      </c>
      <c r="E503" s="90" t="s">
        <v>1574</v>
      </c>
      <c r="F503" s="8" t="s">
        <v>1059</v>
      </c>
      <c r="G503" s="25" t="s">
        <v>386</v>
      </c>
      <c r="H503" s="55" t="s">
        <v>320</v>
      </c>
      <c r="I503" s="1" t="s">
        <v>69</v>
      </c>
      <c r="L503" s="123"/>
      <c r="S503" s="319" t="s">
        <v>1053</v>
      </c>
      <c r="T503" s="10" t="s">
        <v>66</v>
      </c>
      <c r="V503" s="68" t="s">
        <v>1492</v>
      </c>
      <c r="W503" s="28" t="s">
        <v>2</v>
      </c>
      <c r="X503" s="17" t="s">
        <v>1398</v>
      </c>
      <c r="Y503" s="14" t="s">
        <v>5</v>
      </c>
      <c r="Z503" s="21" t="s">
        <v>3</v>
      </c>
      <c r="AA503" s="25" t="s">
        <v>105</v>
      </c>
      <c r="AC503" s="1" t="s">
        <v>69</v>
      </c>
      <c r="AD503" s="71" t="s">
        <v>1399</v>
      </c>
      <c r="AE503" s="72" t="s">
        <v>1156</v>
      </c>
      <c r="AF503" s="32" t="s">
        <v>1157</v>
      </c>
    </row>
    <row r="504" spans="1:45">
      <c r="B504" s="80">
        <v>0</v>
      </c>
      <c r="C504" s="80">
        <v>-49</v>
      </c>
      <c r="D504" s="80">
        <v>0</v>
      </c>
      <c r="E504" s="80">
        <v>-49</v>
      </c>
      <c r="F504" s="6">
        <v>3.54</v>
      </c>
      <c r="G504" s="79">
        <v>2354</v>
      </c>
      <c r="H504" s="30" t="s">
        <v>1461</v>
      </c>
      <c r="I504" s="22" t="s">
        <v>16</v>
      </c>
      <c r="J504" s="8">
        <f>IFERROR(VLOOKUP($G504,今日總結!$A:$AN,33,0),"")</f>
        <v>1</v>
      </c>
      <c r="K504" s="5">
        <f>IFERROR(VLOOKUP($G504,今日總結!$A:$AN,34,0),"")</f>
        <v>2</v>
      </c>
      <c r="L504" s="156">
        <f>IFERROR(VLOOKUP($G504,今日總結!$A:$AN,31,0),"")</f>
        <v>0</v>
      </c>
      <c r="M504" s="337">
        <f>IFERROR(VLOOKUP($G504,今日總結!$A:$AN,32,0),"")</f>
        <v>2</v>
      </c>
      <c r="N504" s="240">
        <f t="shared" ref="N504:N505" si="172">IFERROR(L504-M504,"")</f>
        <v>-2</v>
      </c>
      <c r="O504" s="359">
        <f>IFERROR(VLOOKUP($G504,融外自投!$A:$J,7,0),"無")</f>
        <v>917</v>
      </c>
      <c r="P504" s="79">
        <f>IFERROR(VLOOKUP($G504,融外自投!$A:$J,9,0),"無")</f>
        <v>403</v>
      </c>
      <c r="Q504" s="342">
        <f>IFERROR(VLOOKUP($G504,融外自投!$A:$J,8,0),"無")</f>
        <v>272</v>
      </c>
      <c r="R504" s="81">
        <f>IFERROR(VLOOKUP($G504,融外自投!$A:$J,10,0),"無")</f>
        <v>114</v>
      </c>
      <c r="S504" s="324">
        <f>IFERROR(VLOOKUP($G504,'321買'!$A:$E,5,0),"'沒有資料'")</f>
        <v>0</v>
      </c>
      <c r="T504" s="34">
        <v>3.2</v>
      </c>
      <c r="V504" s="94">
        <f>T504/W504</f>
        <v>4.8632218844984809E-2</v>
      </c>
      <c r="W504" s="36">
        <v>65.8</v>
      </c>
      <c r="X504" s="66">
        <v>62.3</v>
      </c>
      <c r="Y504" s="15">
        <f>W504-X504</f>
        <v>3.5</v>
      </c>
      <c r="Z504" s="63">
        <f>Y504/X504</f>
        <v>5.6179775280898882E-2</v>
      </c>
      <c r="AA504" s="111" t="s">
        <v>1478</v>
      </c>
      <c r="AC504" s="22" t="s">
        <v>16</v>
      </c>
      <c r="AD504" s="84">
        <v>43696</v>
      </c>
      <c r="AE504" s="83">
        <v>43733</v>
      </c>
      <c r="AF504" s="33">
        <f>AE504-AD504</f>
        <v>37</v>
      </c>
      <c r="AG504" s="116" t="s">
        <v>1593</v>
      </c>
    </row>
    <row r="505" spans="1:45">
      <c r="A505" s="143"/>
      <c r="B505" s="80">
        <v>0</v>
      </c>
      <c r="C505" s="80">
        <v>-49</v>
      </c>
      <c r="D505" s="80">
        <v>0</v>
      </c>
      <c r="E505" s="80">
        <v>-49</v>
      </c>
      <c r="F505" s="6">
        <v>3.54</v>
      </c>
      <c r="G505" s="79">
        <v>2354</v>
      </c>
      <c r="H505" s="30" t="s">
        <v>1461</v>
      </c>
      <c r="I505" s="22" t="s">
        <v>16</v>
      </c>
      <c r="J505" s="8">
        <f>IFERROR(VLOOKUP($G505,今日總結!$A:$AN,33,0),"")</f>
        <v>1</v>
      </c>
      <c r="K505" s="5">
        <f>IFERROR(VLOOKUP($G505,今日總結!$A:$AN,34,0),"")</f>
        <v>2</v>
      </c>
      <c r="L505" s="156">
        <f>IFERROR(VLOOKUP($G505,今日總結!$A:$AN,31,0),"")</f>
        <v>0</v>
      </c>
      <c r="M505" s="337">
        <f>IFERROR(VLOOKUP($G505,今日總結!$A:$AN,32,0),"")</f>
        <v>2</v>
      </c>
      <c r="N505" s="240">
        <f t="shared" si="172"/>
        <v>-2</v>
      </c>
      <c r="O505" s="359">
        <f>IFERROR(VLOOKUP($G505,融外自投!$A:$J,7,0),"無")</f>
        <v>917</v>
      </c>
      <c r="P505" s="79">
        <f>IFERROR(VLOOKUP($G505,融外自投!$A:$J,9,0),"無")</f>
        <v>403</v>
      </c>
      <c r="Q505" s="342">
        <f>IFERROR(VLOOKUP($G505,融外自投!$A:$J,8,0),"無")</f>
        <v>272</v>
      </c>
      <c r="R505" s="81">
        <f>IFERROR(VLOOKUP($G505,融外自投!$A:$J,10,0),"無")</f>
        <v>114</v>
      </c>
      <c r="S505" s="324">
        <f>IFERROR(VLOOKUP($G505,'321買'!$A:$E,5,0),"'沒有資料'")</f>
        <v>0</v>
      </c>
      <c r="T505" s="34">
        <v>3.2</v>
      </c>
      <c r="V505" s="94">
        <f>T505/W505</f>
        <v>4.8632218844984809E-2</v>
      </c>
      <c r="W505" s="36">
        <v>65.8</v>
      </c>
      <c r="X505" s="66">
        <v>63.4</v>
      </c>
      <c r="Y505" s="15">
        <f>W505-X505</f>
        <v>2.3999999999999986</v>
      </c>
      <c r="Z505" s="63">
        <f>Y505/X505</f>
        <v>3.7854889589905343E-2</v>
      </c>
      <c r="AA505" s="111" t="s">
        <v>1481</v>
      </c>
      <c r="AC505" s="22" t="s">
        <v>16</v>
      </c>
      <c r="AD505" s="84">
        <v>43710</v>
      </c>
      <c r="AE505" s="83">
        <v>43733</v>
      </c>
      <c r="AF505" s="33">
        <f>AE505-AD505</f>
        <v>23</v>
      </c>
      <c r="AG505" s="116"/>
      <c r="AH505" s="245"/>
    </row>
    <row r="506" spans="1:45">
      <c r="A506" s="143"/>
      <c r="B506" s="80">
        <v>0</v>
      </c>
      <c r="C506" s="80">
        <v>-49</v>
      </c>
      <c r="D506" s="80">
        <v>0</v>
      </c>
      <c r="E506" s="80">
        <v>-49</v>
      </c>
      <c r="F506" s="6">
        <v>3.54</v>
      </c>
      <c r="G506" s="79">
        <v>2354</v>
      </c>
      <c r="H506" s="30" t="s">
        <v>1461</v>
      </c>
      <c r="I506" s="22" t="s">
        <v>16</v>
      </c>
      <c r="J506" s="8">
        <f>IFERROR(VLOOKUP($G506,今日總結!$A:$AN,33,0),"")</f>
        <v>1</v>
      </c>
      <c r="K506" s="5">
        <f>IFERROR(VLOOKUP($G506,今日總結!$A:$AN,34,0),"")</f>
        <v>2</v>
      </c>
      <c r="L506" s="156">
        <f>IFERROR(VLOOKUP($G506,今日總結!$A:$AN,31,0),"")</f>
        <v>0</v>
      </c>
      <c r="M506" s="337">
        <f>IFERROR(VLOOKUP($G506,今日總結!$A:$AN,32,0),"")</f>
        <v>2</v>
      </c>
      <c r="N506" s="240">
        <f t="shared" ref="N506" si="173">IFERROR(L506-M506,"")</f>
        <v>-2</v>
      </c>
      <c r="O506" s="359">
        <f>IFERROR(VLOOKUP($G506,融外自投!$A:$J,7,0),"無")</f>
        <v>917</v>
      </c>
      <c r="P506" s="79">
        <f>IFERROR(VLOOKUP($G506,融外自投!$A:$J,9,0),"無")</f>
        <v>403</v>
      </c>
      <c r="Q506" s="342">
        <f>IFERROR(VLOOKUP($G506,融外自投!$A:$J,8,0),"無")</f>
        <v>272</v>
      </c>
      <c r="R506" s="81">
        <f>IFERROR(VLOOKUP($G506,融外自投!$A:$J,10,0),"無")</f>
        <v>114</v>
      </c>
      <c r="S506" s="324">
        <f>IFERROR(VLOOKUP($G506,'321買'!$A:$E,5,0),"'沒有資料'")</f>
        <v>0</v>
      </c>
      <c r="T506" s="34">
        <v>3.2</v>
      </c>
      <c r="V506" s="94">
        <f>T506/W506</f>
        <v>4.8632218844984809E-2</v>
      </c>
      <c r="W506" s="36">
        <v>65.8</v>
      </c>
      <c r="X506" s="66">
        <v>63.4</v>
      </c>
      <c r="Y506" s="15">
        <f>W506-X506</f>
        <v>2.3999999999999986</v>
      </c>
      <c r="Z506" s="63">
        <f>Y506/X506</f>
        <v>3.7854889589905343E-2</v>
      </c>
      <c r="AA506" s="111" t="s">
        <v>1481</v>
      </c>
      <c r="AC506" s="22" t="s">
        <v>16</v>
      </c>
      <c r="AD506" s="84">
        <v>43710</v>
      </c>
      <c r="AE506" s="83">
        <v>43733</v>
      </c>
      <c r="AF506" s="33">
        <f>AE506-AD506</f>
        <v>23</v>
      </c>
      <c r="AG506" s="116"/>
      <c r="AH506" s="245"/>
    </row>
    <row r="507" spans="1:45">
      <c r="B507" s="80"/>
      <c r="C507" s="80"/>
      <c r="D507" s="80"/>
      <c r="E507" s="80"/>
      <c r="F507" s="6"/>
      <c r="G507" s="41"/>
      <c r="H507" s="30"/>
      <c r="I507" s="22"/>
      <c r="L507" s="123"/>
      <c r="S507" s="324"/>
      <c r="T507" s="34"/>
      <c r="V507" s="94"/>
      <c r="W507" s="13">
        <f>SUM(W504:W506)</f>
        <v>197.39999999999998</v>
      </c>
      <c r="X507" s="45">
        <f>SUM(X504:X506)</f>
        <v>189.1</v>
      </c>
      <c r="Y507" s="15">
        <f>W507-X507</f>
        <v>8.2999999999999829</v>
      </c>
      <c r="Z507" s="63">
        <f>Y507/X507</f>
        <v>4.3892120571126299E-2</v>
      </c>
      <c r="AA507" s="111"/>
      <c r="AC507" s="22"/>
      <c r="AF507" s="33"/>
      <c r="AG507" s="116"/>
    </row>
    <row r="508" spans="1:45">
      <c r="A508" s="127" t="s">
        <v>1672</v>
      </c>
      <c r="B508" s="90" t="s">
        <v>1571</v>
      </c>
      <c r="C508" s="90" t="s">
        <v>1572</v>
      </c>
      <c r="D508" s="90" t="s">
        <v>1573</v>
      </c>
      <c r="E508" s="90" t="s">
        <v>1574</v>
      </c>
      <c r="F508" s="8" t="s">
        <v>1059</v>
      </c>
      <c r="G508" s="25" t="s">
        <v>386</v>
      </c>
      <c r="H508" s="55" t="s">
        <v>320</v>
      </c>
      <c r="I508" s="1" t="s">
        <v>69</v>
      </c>
      <c r="L508" s="123"/>
      <c r="S508" s="319" t="s">
        <v>1053</v>
      </c>
      <c r="T508" s="10" t="s">
        <v>66</v>
      </c>
      <c r="V508" s="68" t="s">
        <v>1492</v>
      </c>
      <c r="W508" s="28" t="s">
        <v>2</v>
      </c>
      <c r="X508" s="17" t="s">
        <v>1398</v>
      </c>
      <c r="Y508" s="14" t="s">
        <v>5</v>
      </c>
      <c r="Z508" s="21" t="s">
        <v>3</v>
      </c>
      <c r="AA508" s="25" t="s">
        <v>105</v>
      </c>
      <c r="AC508" s="1" t="s">
        <v>69</v>
      </c>
      <c r="AD508" s="71" t="s">
        <v>1399</v>
      </c>
      <c r="AE508" s="72" t="s">
        <v>1156</v>
      </c>
      <c r="AF508" s="32" t="s">
        <v>1157</v>
      </c>
    </row>
    <row r="509" spans="1:45">
      <c r="B509" s="79">
        <v>705</v>
      </c>
      <c r="C509" s="92">
        <v>1518</v>
      </c>
      <c r="D509" s="79">
        <v>705</v>
      </c>
      <c r="E509" s="92">
        <v>1518</v>
      </c>
      <c r="F509" s="57">
        <v>40.08</v>
      </c>
      <c r="G509" s="79">
        <v>2855</v>
      </c>
      <c r="H509" s="8" t="s">
        <v>1402</v>
      </c>
      <c r="I509" s="22" t="s">
        <v>335</v>
      </c>
      <c r="J509" s="8">
        <f>IFERROR(VLOOKUP($G509,今日總結!$A:$AN,33,0),"")</f>
        <v>0</v>
      </c>
      <c r="K509" s="5">
        <f>IFERROR(VLOOKUP($G509,今日總結!$A:$AN,34,0),"")</f>
        <v>0</v>
      </c>
      <c r="L509" s="156">
        <f>IFERROR(VLOOKUP($G509,今日總結!$A:$AN,31,0),"")</f>
        <v>2</v>
      </c>
      <c r="M509" s="337">
        <f>IFERROR(VLOOKUP($G509,今日總結!$A:$AN,32,0),"")</f>
        <v>1</v>
      </c>
      <c r="N509" s="240">
        <f t="shared" ref="N509:N511" si="174">IFERROR(L509-M509,"")</f>
        <v>1</v>
      </c>
      <c r="O509" s="359">
        <f>IFERROR(VLOOKUP($G509,融外自投!$A:$J,7,0),"無")</f>
        <v>1283</v>
      </c>
      <c r="P509" s="79">
        <f>IFERROR(VLOOKUP($G509,融外自投!$A:$J,9,0),"無")</f>
        <v>1051</v>
      </c>
      <c r="Q509" s="342">
        <f>IFERROR(VLOOKUP($G509,融外自投!$A:$J,8,0),"無")</f>
        <v>571</v>
      </c>
      <c r="R509" s="81">
        <f>IFERROR(VLOOKUP($G509,融外自投!$A:$J,10,0),"無")</f>
        <v>413</v>
      </c>
      <c r="S509" s="324">
        <f>IFERROR(VLOOKUP($G509,'321買'!$A:$E,5,0),"'沒有資料'")</f>
        <v>0</v>
      </c>
      <c r="T509" s="34">
        <v>0.69</v>
      </c>
      <c r="V509" s="94">
        <f t="shared" ref="V509:V514" si="175">T509/W509</f>
        <v>5.1685393258426963E-2</v>
      </c>
      <c r="W509" s="13">
        <v>13.35</v>
      </c>
      <c r="X509" s="66">
        <f>14.32-0.69</f>
        <v>13.63</v>
      </c>
      <c r="Y509" s="15">
        <f t="shared" ref="Y509:Y515" si="176">W509-X509</f>
        <v>-0.28000000000000114</v>
      </c>
      <c r="Z509" s="76">
        <f t="shared" ref="Z509:Z515" si="177">Y509/X509</f>
        <v>-2.0542920029347111E-2</v>
      </c>
      <c r="AA509" s="112" t="s">
        <v>1590</v>
      </c>
      <c r="AC509" s="22" t="s">
        <v>335</v>
      </c>
      <c r="AD509" s="84">
        <v>43362</v>
      </c>
      <c r="AE509" s="83">
        <v>43724</v>
      </c>
      <c r="AF509" s="33">
        <f t="shared" ref="AF509:AF514" si="178">AE509-AD509</f>
        <v>362</v>
      </c>
      <c r="AG509" s="116"/>
      <c r="AJ509" s="11"/>
      <c r="AK509" s="11"/>
      <c r="AL509" s="11"/>
      <c r="AM509" s="11"/>
      <c r="AP509" s="7"/>
      <c r="AQ509" s="31"/>
      <c r="AR509" s="7"/>
      <c r="AS509" s="7"/>
    </row>
    <row r="510" spans="1:45">
      <c r="B510" s="79">
        <v>705</v>
      </c>
      <c r="C510" s="92">
        <v>1518</v>
      </c>
      <c r="D510" s="79">
        <v>705</v>
      </c>
      <c r="E510" s="92">
        <v>1518</v>
      </c>
      <c r="F510" s="57">
        <v>40.08</v>
      </c>
      <c r="G510" s="79">
        <v>2855</v>
      </c>
      <c r="H510" s="8" t="s">
        <v>1402</v>
      </c>
      <c r="I510" s="22" t="s">
        <v>335</v>
      </c>
      <c r="J510" s="8">
        <f>IFERROR(VLOOKUP($G510,今日總結!$A:$AN,33,0),"")</f>
        <v>0</v>
      </c>
      <c r="K510" s="5">
        <f>IFERROR(VLOOKUP($G510,今日總結!$A:$AN,34,0),"")</f>
        <v>0</v>
      </c>
      <c r="L510" s="156">
        <f>IFERROR(VLOOKUP($G510,今日總結!$A:$AN,31,0),"")</f>
        <v>2</v>
      </c>
      <c r="M510" s="337">
        <f>IFERROR(VLOOKUP($G510,今日總結!$A:$AN,32,0),"")</f>
        <v>1</v>
      </c>
      <c r="N510" s="240">
        <f t="shared" si="174"/>
        <v>1</v>
      </c>
      <c r="O510" s="359">
        <f>IFERROR(VLOOKUP($G510,融外自投!$A:$J,7,0),"無")</f>
        <v>1283</v>
      </c>
      <c r="P510" s="79">
        <f>IFERROR(VLOOKUP($G510,融外自投!$A:$J,9,0),"無")</f>
        <v>1051</v>
      </c>
      <c r="Q510" s="342">
        <f>IFERROR(VLOOKUP($G510,融外自投!$A:$J,8,0),"無")</f>
        <v>571</v>
      </c>
      <c r="R510" s="81">
        <f>IFERROR(VLOOKUP($G510,融外自投!$A:$J,10,0),"無")</f>
        <v>413</v>
      </c>
      <c r="S510" s="324">
        <f>IFERROR(VLOOKUP($G510,'321買'!$A:$E,5,0),"'沒有資料'")</f>
        <v>0</v>
      </c>
      <c r="T510" s="34">
        <v>0.69</v>
      </c>
      <c r="V510" s="94">
        <f t="shared" si="175"/>
        <v>5.1685393258426963E-2</v>
      </c>
      <c r="W510" s="13">
        <v>13.35</v>
      </c>
      <c r="X510" s="66">
        <v>12.75</v>
      </c>
      <c r="Y510" s="15">
        <f t="shared" si="176"/>
        <v>0.59999999999999964</v>
      </c>
      <c r="Z510" s="63">
        <f t="shared" si="177"/>
        <v>4.7058823529411736E-2</v>
      </c>
      <c r="AA510" s="111" t="s">
        <v>1581</v>
      </c>
      <c r="AC510" s="22" t="s">
        <v>335</v>
      </c>
      <c r="AD510" s="84">
        <v>43689</v>
      </c>
      <c r="AE510" s="83">
        <v>43724</v>
      </c>
      <c r="AF510" s="33">
        <f t="shared" si="178"/>
        <v>35</v>
      </c>
      <c r="AG510" s="116"/>
      <c r="AJ510" s="11"/>
      <c r="AK510" s="11"/>
      <c r="AL510" s="11"/>
      <c r="AM510" s="11"/>
      <c r="AP510" s="7"/>
      <c r="AQ510" s="31"/>
      <c r="AR510" s="7"/>
      <c r="AS510" s="7"/>
    </row>
    <row r="511" spans="1:45">
      <c r="B511" s="79">
        <v>705</v>
      </c>
      <c r="C511" s="92">
        <v>1518</v>
      </c>
      <c r="D511" s="79">
        <v>705</v>
      </c>
      <c r="E511" s="92">
        <v>1518</v>
      </c>
      <c r="F511" s="57">
        <v>40.08</v>
      </c>
      <c r="G511" s="79">
        <v>2855</v>
      </c>
      <c r="H511" s="30" t="s">
        <v>1461</v>
      </c>
      <c r="I511" s="22" t="s">
        <v>335</v>
      </c>
      <c r="J511" s="8">
        <f>IFERROR(VLOOKUP($G511,今日總結!$A:$AN,33,0),"")</f>
        <v>0</v>
      </c>
      <c r="K511" s="5">
        <f>IFERROR(VLOOKUP($G511,今日總結!$A:$AN,34,0),"")</f>
        <v>0</v>
      </c>
      <c r="L511" s="156">
        <f>IFERROR(VLOOKUP($G511,今日總結!$A:$AN,31,0),"")</f>
        <v>2</v>
      </c>
      <c r="M511" s="337">
        <f>IFERROR(VLOOKUP($G511,今日總結!$A:$AN,32,0),"")</f>
        <v>1</v>
      </c>
      <c r="N511" s="240">
        <f t="shared" si="174"/>
        <v>1</v>
      </c>
      <c r="O511" s="359">
        <f>IFERROR(VLOOKUP($G511,融外自投!$A:$J,7,0),"無")</f>
        <v>1283</v>
      </c>
      <c r="P511" s="79">
        <f>IFERROR(VLOOKUP($G511,融外自投!$A:$J,9,0),"無")</f>
        <v>1051</v>
      </c>
      <c r="Q511" s="342">
        <f>IFERROR(VLOOKUP($G511,融外自投!$A:$J,8,0),"無")</f>
        <v>571</v>
      </c>
      <c r="R511" s="81">
        <f>IFERROR(VLOOKUP($G511,融外自投!$A:$J,10,0),"無")</f>
        <v>413</v>
      </c>
      <c r="S511" s="324">
        <f>IFERROR(VLOOKUP($G511,'321買'!$A:$E,5,0),"'沒有資料'")</f>
        <v>0</v>
      </c>
      <c r="T511" s="34">
        <v>0.69</v>
      </c>
      <c r="V511" s="94">
        <f t="shared" si="175"/>
        <v>5.1685393258426963E-2</v>
      </c>
      <c r="W511" s="13">
        <v>13.35</v>
      </c>
      <c r="X511" s="66">
        <v>12.75</v>
      </c>
      <c r="Y511" s="15">
        <f t="shared" si="176"/>
        <v>0.59999999999999964</v>
      </c>
      <c r="Z511" s="63">
        <f t="shared" si="177"/>
        <v>4.7058823529411736E-2</v>
      </c>
      <c r="AA511" s="111" t="s">
        <v>1581</v>
      </c>
      <c r="AC511" s="22" t="s">
        <v>335</v>
      </c>
      <c r="AD511" s="84">
        <v>43689</v>
      </c>
      <c r="AE511" s="83">
        <v>43724</v>
      </c>
      <c r="AF511" s="33">
        <f t="shared" si="178"/>
        <v>35</v>
      </c>
      <c r="AG511" s="116"/>
      <c r="AJ511" s="11"/>
      <c r="AK511" s="11"/>
      <c r="AL511" s="11"/>
      <c r="AM511" s="11"/>
      <c r="AP511" s="7"/>
      <c r="AQ511" s="31"/>
      <c r="AR511" s="7"/>
      <c r="AS511" s="7"/>
    </row>
    <row r="512" spans="1:45">
      <c r="B512" s="79">
        <v>705</v>
      </c>
      <c r="C512" s="92">
        <v>1518</v>
      </c>
      <c r="D512" s="79">
        <v>705</v>
      </c>
      <c r="E512" s="92">
        <v>1518</v>
      </c>
      <c r="F512" s="57">
        <v>40.08</v>
      </c>
      <c r="G512" s="79">
        <v>2855</v>
      </c>
      <c r="H512" s="30" t="s">
        <v>1461</v>
      </c>
      <c r="I512" s="22" t="s">
        <v>335</v>
      </c>
      <c r="J512" s="8">
        <f>IFERROR(VLOOKUP($G512,今日總結!$A:$AN,33,0),"")</f>
        <v>0</v>
      </c>
      <c r="K512" s="5">
        <f>IFERROR(VLOOKUP($G512,今日總結!$A:$AN,34,0),"")</f>
        <v>0</v>
      </c>
      <c r="L512" s="156">
        <f>IFERROR(VLOOKUP($G512,今日總結!$A:$AN,31,0),"")</f>
        <v>2</v>
      </c>
      <c r="M512" s="337">
        <f>IFERROR(VLOOKUP($G512,今日總結!$A:$AN,32,0),"")</f>
        <v>1</v>
      </c>
      <c r="N512" s="240">
        <f t="shared" ref="N512:N514" si="179">IFERROR(L512-M512,"")</f>
        <v>1</v>
      </c>
      <c r="O512" s="359">
        <f>IFERROR(VLOOKUP($G512,融外自投!$A:$J,7,0),"無")</f>
        <v>1283</v>
      </c>
      <c r="P512" s="79">
        <f>IFERROR(VLOOKUP($G512,融外自投!$A:$J,9,0),"無")</f>
        <v>1051</v>
      </c>
      <c r="Q512" s="342">
        <f>IFERROR(VLOOKUP($G512,融外自投!$A:$J,8,0),"無")</f>
        <v>571</v>
      </c>
      <c r="R512" s="81">
        <f>IFERROR(VLOOKUP($G512,融外自投!$A:$J,10,0),"無")</f>
        <v>413</v>
      </c>
      <c r="S512" s="324">
        <f>IFERROR(VLOOKUP($G512,'321買'!$A:$E,5,0),"'沒有資料'")</f>
        <v>0</v>
      </c>
      <c r="T512" s="34">
        <v>0.69</v>
      </c>
      <c r="V512" s="94">
        <f t="shared" si="175"/>
        <v>5.1685393258426963E-2</v>
      </c>
      <c r="W512" s="13">
        <v>13.35</v>
      </c>
      <c r="X512" s="66">
        <v>12.75</v>
      </c>
      <c r="Y512" s="15">
        <f t="shared" si="176"/>
        <v>0.59999999999999964</v>
      </c>
      <c r="Z512" s="63">
        <f t="shared" si="177"/>
        <v>4.7058823529411736E-2</v>
      </c>
      <c r="AA512" s="111" t="s">
        <v>1581</v>
      </c>
      <c r="AC512" s="22" t="s">
        <v>335</v>
      </c>
      <c r="AD512" s="84">
        <v>43689</v>
      </c>
      <c r="AE512" s="83">
        <v>43724</v>
      </c>
      <c r="AF512" s="33">
        <f t="shared" si="178"/>
        <v>35</v>
      </c>
      <c r="AG512" s="116"/>
      <c r="AJ512" s="11"/>
      <c r="AK512" s="11"/>
      <c r="AL512" s="11"/>
      <c r="AM512" s="11"/>
      <c r="AP512" s="7"/>
      <c r="AQ512" s="31"/>
      <c r="AR512" s="7"/>
      <c r="AS512" s="7"/>
    </row>
    <row r="513" spans="1:45">
      <c r="B513" s="79">
        <v>705</v>
      </c>
      <c r="C513" s="92">
        <v>1518</v>
      </c>
      <c r="D513" s="79">
        <v>705</v>
      </c>
      <c r="E513" s="92">
        <v>1518</v>
      </c>
      <c r="F513" s="57">
        <v>40.08</v>
      </c>
      <c r="G513" s="79">
        <v>2855</v>
      </c>
      <c r="H513" s="50" t="s">
        <v>1403</v>
      </c>
      <c r="I513" s="22" t="s">
        <v>335</v>
      </c>
      <c r="J513" s="8">
        <f>IFERROR(VLOOKUP($G513,今日總結!$A:$AN,33,0),"")</f>
        <v>0</v>
      </c>
      <c r="K513" s="5">
        <f>IFERROR(VLOOKUP($G513,今日總結!$A:$AN,34,0),"")</f>
        <v>0</v>
      </c>
      <c r="L513" s="156">
        <f>IFERROR(VLOOKUP($G513,今日總結!$A:$AN,31,0),"")</f>
        <v>2</v>
      </c>
      <c r="M513" s="337">
        <f>IFERROR(VLOOKUP($G513,今日總結!$A:$AN,32,0),"")</f>
        <v>1</v>
      </c>
      <c r="N513" s="240">
        <f t="shared" si="179"/>
        <v>1</v>
      </c>
      <c r="O513" s="359">
        <f>IFERROR(VLOOKUP($G513,融外自投!$A:$J,7,0),"無")</f>
        <v>1283</v>
      </c>
      <c r="P513" s="79">
        <f>IFERROR(VLOOKUP($G513,融外自投!$A:$J,9,0),"無")</f>
        <v>1051</v>
      </c>
      <c r="Q513" s="342">
        <f>IFERROR(VLOOKUP($G513,融外自投!$A:$J,8,0),"無")</f>
        <v>571</v>
      </c>
      <c r="R513" s="81">
        <f>IFERROR(VLOOKUP($G513,融外自投!$A:$J,10,0),"無")</f>
        <v>413</v>
      </c>
      <c r="S513" s="324">
        <f>IFERROR(VLOOKUP($G513,'321買'!$A:$E,5,0),"'沒有資料'")</f>
        <v>0</v>
      </c>
      <c r="T513" s="34">
        <v>0.69</v>
      </c>
      <c r="V513" s="94">
        <f t="shared" si="175"/>
        <v>5.1685393258426963E-2</v>
      </c>
      <c r="W513" s="13">
        <v>13.35</v>
      </c>
      <c r="X513" s="66">
        <f>14.32-0.69</f>
        <v>13.63</v>
      </c>
      <c r="Y513" s="15">
        <f t="shared" si="176"/>
        <v>-0.28000000000000114</v>
      </c>
      <c r="Z513" s="76">
        <f t="shared" si="177"/>
        <v>-2.0542920029347111E-2</v>
      </c>
      <c r="AA513" s="112" t="s">
        <v>1590</v>
      </c>
      <c r="AC513" s="22" t="s">
        <v>335</v>
      </c>
      <c r="AD513" s="84">
        <v>43368</v>
      </c>
      <c r="AE513" s="83">
        <v>43724</v>
      </c>
      <c r="AF513" s="33">
        <f t="shared" si="178"/>
        <v>356</v>
      </c>
      <c r="AG513" s="116"/>
      <c r="AJ513" s="11"/>
      <c r="AK513" s="11"/>
      <c r="AL513" s="11"/>
      <c r="AM513" s="11"/>
      <c r="AP513" s="7"/>
      <c r="AQ513" s="31"/>
      <c r="AR513" s="7"/>
      <c r="AS513" s="7"/>
    </row>
    <row r="514" spans="1:45">
      <c r="B514" s="79">
        <v>705</v>
      </c>
      <c r="C514" s="92">
        <v>1518</v>
      </c>
      <c r="D514" s="79">
        <v>705</v>
      </c>
      <c r="E514" s="92">
        <v>1518</v>
      </c>
      <c r="F514" s="57">
        <v>40.08</v>
      </c>
      <c r="G514" s="79">
        <v>2855</v>
      </c>
      <c r="H514" s="50" t="s">
        <v>1403</v>
      </c>
      <c r="I514" s="22" t="s">
        <v>335</v>
      </c>
      <c r="J514" s="8">
        <f>IFERROR(VLOOKUP($G514,今日總結!$A:$AN,33,0),"")</f>
        <v>0</v>
      </c>
      <c r="K514" s="5">
        <f>IFERROR(VLOOKUP($G514,今日總結!$A:$AN,34,0),"")</f>
        <v>0</v>
      </c>
      <c r="L514" s="156">
        <f>IFERROR(VLOOKUP($G514,今日總結!$A:$AN,31,0),"")</f>
        <v>2</v>
      </c>
      <c r="M514" s="337">
        <f>IFERROR(VLOOKUP($G514,今日總結!$A:$AN,32,0),"")</f>
        <v>1</v>
      </c>
      <c r="N514" s="240">
        <f t="shared" si="179"/>
        <v>1</v>
      </c>
      <c r="O514" s="359">
        <f>IFERROR(VLOOKUP($G514,融外自投!$A:$J,7,0),"無")</f>
        <v>1283</v>
      </c>
      <c r="P514" s="79">
        <f>IFERROR(VLOOKUP($G514,融外自投!$A:$J,9,0),"無")</f>
        <v>1051</v>
      </c>
      <c r="Q514" s="342">
        <f>IFERROR(VLOOKUP($G514,融外自投!$A:$J,8,0),"無")</f>
        <v>571</v>
      </c>
      <c r="R514" s="81">
        <f>IFERROR(VLOOKUP($G514,融外自投!$A:$J,10,0),"無")</f>
        <v>413</v>
      </c>
      <c r="S514" s="324">
        <f>IFERROR(VLOOKUP($G514,'321買'!$A:$E,5,0),"'沒有資料'")</f>
        <v>0</v>
      </c>
      <c r="T514" s="34">
        <v>0.69</v>
      </c>
      <c r="V514" s="94">
        <f t="shared" si="175"/>
        <v>5.1685393258426963E-2</v>
      </c>
      <c r="W514" s="13">
        <v>13.35</v>
      </c>
      <c r="X514" s="66">
        <v>12.75</v>
      </c>
      <c r="Y514" s="15">
        <f t="shared" si="176"/>
        <v>0.59999999999999964</v>
      </c>
      <c r="Z514" s="63">
        <f t="shared" si="177"/>
        <v>4.7058823529411736E-2</v>
      </c>
      <c r="AA514" s="111" t="s">
        <v>1581</v>
      </c>
      <c r="AC514" s="22" t="s">
        <v>335</v>
      </c>
      <c r="AD514" s="84">
        <v>43689</v>
      </c>
      <c r="AE514" s="83">
        <v>43724</v>
      </c>
      <c r="AF514" s="33">
        <f t="shared" si="178"/>
        <v>35</v>
      </c>
      <c r="AG514" s="116"/>
      <c r="AJ514" s="11"/>
      <c r="AK514" s="11"/>
      <c r="AL514" s="11"/>
      <c r="AM514" s="11"/>
      <c r="AP514" s="7"/>
      <c r="AQ514" s="31"/>
      <c r="AR514" s="7"/>
      <c r="AS514" s="7"/>
    </row>
    <row r="515" spans="1:45">
      <c r="B515" s="80"/>
      <c r="C515" s="80"/>
      <c r="D515" s="80"/>
      <c r="E515" s="80"/>
      <c r="F515" s="57"/>
      <c r="H515" s="8"/>
      <c r="I515" s="22"/>
      <c r="L515" s="123"/>
      <c r="T515" s="34"/>
      <c r="V515" s="94"/>
      <c r="W515" s="13">
        <f>SUM(W509:W514)</f>
        <v>80.099999999999994</v>
      </c>
      <c r="X515" s="45">
        <f>SUM(X509:X514)</f>
        <v>78.260000000000005</v>
      </c>
      <c r="Y515" s="15">
        <f t="shared" si="176"/>
        <v>1.8399999999999892</v>
      </c>
      <c r="Z515" s="63">
        <f t="shared" si="177"/>
        <v>2.351137234858151E-2</v>
      </c>
      <c r="AA515" s="112"/>
      <c r="AC515" s="22"/>
      <c r="AF515" s="33"/>
    </row>
    <row r="516" spans="1:45">
      <c r="A516" s="127" t="s">
        <v>1672</v>
      </c>
      <c r="B516" s="90" t="s">
        <v>1571</v>
      </c>
      <c r="C516" s="90" t="s">
        <v>1572</v>
      </c>
      <c r="D516" s="90" t="s">
        <v>1573</v>
      </c>
      <c r="E516" s="90" t="s">
        <v>1574</v>
      </c>
      <c r="F516" s="8" t="s">
        <v>1059</v>
      </c>
      <c r="G516" s="25" t="s">
        <v>386</v>
      </c>
      <c r="H516" s="55" t="s">
        <v>320</v>
      </c>
      <c r="I516" s="1" t="s">
        <v>69</v>
      </c>
      <c r="L516" s="123"/>
      <c r="S516" s="319" t="s">
        <v>1053</v>
      </c>
      <c r="T516" s="10" t="s">
        <v>66</v>
      </c>
      <c r="V516" s="68" t="s">
        <v>1492</v>
      </c>
      <c r="W516" s="28" t="s">
        <v>2</v>
      </c>
      <c r="X516" s="17" t="s">
        <v>1398</v>
      </c>
      <c r="Y516" s="14" t="s">
        <v>5</v>
      </c>
      <c r="Z516" s="21" t="s">
        <v>3</v>
      </c>
      <c r="AA516" s="25" t="s">
        <v>105</v>
      </c>
      <c r="AC516" s="1" t="s">
        <v>69</v>
      </c>
      <c r="AD516" s="71" t="s">
        <v>1399</v>
      </c>
      <c r="AE516" s="72" t="s">
        <v>1156</v>
      </c>
      <c r="AF516" s="32" t="s">
        <v>1157</v>
      </c>
    </row>
    <row r="517" spans="1:45">
      <c r="B517" s="80">
        <v>-73</v>
      </c>
      <c r="C517" s="80">
        <v>-96</v>
      </c>
      <c r="D517" s="80">
        <v>-73</v>
      </c>
      <c r="E517" s="80">
        <v>-96</v>
      </c>
      <c r="F517" s="6">
        <v>0.63</v>
      </c>
      <c r="G517" s="79">
        <v>1710</v>
      </c>
      <c r="H517" s="30" t="s">
        <v>1461</v>
      </c>
      <c r="I517" s="22" t="s">
        <v>317</v>
      </c>
      <c r="J517" s="8">
        <f>IFERROR(VLOOKUP($G517,今日總結!$A:$AN,33,0),"")</f>
        <v>0</v>
      </c>
      <c r="K517" s="5">
        <f>IFERROR(VLOOKUP($G517,今日總結!$A:$AN,34,0),"")</f>
        <v>0</v>
      </c>
      <c r="L517" s="156">
        <f>IFERROR(VLOOKUP($G517,今日總結!$A:$AN,31,0),"")</f>
        <v>0</v>
      </c>
      <c r="M517" s="337">
        <f>IFERROR(VLOOKUP($G517,今日總結!$A:$AN,32,0),"")</f>
        <v>0</v>
      </c>
      <c r="N517" s="240">
        <f t="shared" ref="N517:N522" si="180">IFERROR(L517-M517,"")</f>
        <v>0</v>
      </c>
      <c r="O517" s="359">
        <f>IFERROR(VLOOKUP($G517,融外自投!$A:$J,7,0),"無")</f>
        <v>896</v>
      </c>
      <c r="P517" s="79">
        <f>IFERROR(VLOOKUP($G517,融外自投!$A:$J,9,0),"無")</f>
        <v>213</v>
      </c>
      <c r="Q517" s="342">
        <f>IFERROR(VLOOKUP($G517,融外自投!$A:$J,8,0),"無")</f>
        <v>586</v>
      </c>
      <c r="R517" s="81">
        <f>IFERROR(VLOOKUP($G517,融外自投!$A:$J,10,0),"無")</f>
        <v>439</v>
      </c>
      <c r="S517" s="324">
        <f>IFERROR(VLOOKUP($G517,'321買'!$A:$E,5,0),"'沒有資料'")</f>
        <v>0</v>
      </c>
      <c r="T517" s="34">
        <v>1.75</v>
      </c>
      <c r="V517" s="94">
        <f t="shared" ref="V517:V522" si="181">T517/W517</f>
        <v>7.7433628318584066E-2</v>
      </c>
      <c r="W517" s="13">
        <v>22.6</v>
      </c>
      <c r="X517" s="66">
        <v>23.9</v>
      </c>
      <c r="Y517" s="15">
        <f t="shared" ref="Y517:Y523" si="182">W517-X517</f>
        <v>-1.2999999999999972</v>
      </c>
      <c r="Z517" s="76">
        <f t="shared" ref="Z517:Z523" si="183">Y517/X517</f>
        <v>-5.4393305439330429E-2</v>
      </c>
      <c r="AA517" s="112" t="s">
        <v>1552</v>
      </c>
      <c r="AC517" s="22" t="s">
        <v>317</v>
      </c>
      <c r="AD517" s="84">
        <v>43675</v>
      </c>
      <c r="AE517" s="83">
        <v>43724</v>
      </c>
      <c r="AF517" s="33">
        <f t="shared" ref="AF517:AF522" si="184">AE517-AD517</f>
        <v>49</v>
      </c>
      <c r="AG517" s="116"/>
    </row>
    <row r="518" spans="1:45" ht="16.5" customHeight="1">
      <c r="A518" s="116"/>
      <c r="B518" s="80">
        <v>-105</v>
      </c>
      <c r="C518" s="80">
        <v>-112</v>
      </c>
      <c r="D518" s="80">
        <v>-105</v>
      </c>
      <c r="E518" s="80">
        <v>-112</v>
      </c>
      <c r="F518" s="6">
        <v>-1.92</v>
      </c>
      <c r="G518" s="79">
        <v>1710</v>
      </c>
      <c r="H518" s="30" t="s">
        <v>1461</v>
      </c>
      <c r="I518" s="22" t="s">
        <v>317</v>
      </c>
      <c r="J518" s="8">
        <f>IFERROR(VLOOKUP($G518,今日總結!$A:$AN,33,0),"")</f>
        <v>0</v>
      </c>
      <c r="K518" s="5">
        <f>IFERROR(VLOOKUP($G518,今日總結!$A:$AN,34,0),"")</f>
        <v>0</v>
      </c>
      <c r="L518" s="156">
        <f>IFERROR(VLOOKUP($G518,今日總結!$A:$AN,31,0),"")</f>
        <v>0</v>
      </c>
      <c r="M518" s="337">
        <f>IFERROR(VLOOKUP($G518,今日總結!$A:$AN,32,0),"")</f>
        <v>0</v>
      </c>
      <c r="N518" s="240">
        <f t="shared" si="180"/>
        <v>0</v>
      </c>
      <c r="O518" s="359">
        <f>IFERROR(VLOOKUP($G518,融外自投!$A:$J,7,0),"無")</f>
        <v>896</v>
      </c>
      <c r="P518" s="79">
        <f>IFERROR(VLOOKUP($G518,融外自投!$A:$J,9,0),"無")</f>
        <v>213</v>
      </c>
      <c r="Q518" s="342">
        <f>IFERROR(VLOOKUP($G518,融外自投!$A:$J,8,0),"無")</f>
        <v>586</v>
      </c>
      <c r="R518" s="81">
        <f>IFERROR(VLOOKUP($G518,融外自投!$A:$J,10,0),"無")</f>
        <v>439</v>
      </c>
      <c r="S518" s="324">
        <f>IFERROR(VLOOKUP($G518,'321買'!$A:$E,5,0),"'沒有資料'")</f>
        <v>0</v>
      </c>
      <c r="T518" s="34">
        <v>1.75</v>
      </c>
      <c r="V518" s="94">
        <f t="shared" si="181"/>
        <v>7.7433628318584066E-2</v>
      </c>
      <c r="W518" s="36">
        <v>22.6</v>
      </c>
      <c r="X518" s="66">
        <v>21.15</v>
      </c>
      <c r="Y518" s="15">
        <f t="shared" si="182"/>
        <v>1.4500000000000028</v>
      </c>
      <c r="Z518" s="63">
        <f t="shared" si="183"/>
        <v>6.855791962174955E-2</v>
      </c>
      <c r="AA518" s="111" t="s">
        <v>1580</v>
      </c>
      <c r="AC518" s="22" t="s">
        <v>317</v>
      </c>
      <c r="AD518" s="84">
        <v>43707</v>
      </c>
      <c r="AE518" s="83">
        <v>43724</v>
      </c>
      <c r="AF518" s="33">
        <f t="shared" si="184"/>
        <v>17</v>
      </c>
      <c r="AG518" s="116"/>
      <c r="AH518" s="245"/>
    </row>
    <row r="519" spans="1:45" ht="16.5" customHeight="1">
      <c r="A519" s="116"/>
      <c r="B519" s="80">
        <v>-105</v>
      </c>
      <c r="C519" s="80">
        <v>-112</v>
      </c>
      <c r="D519" s="80">
        <v>-105</v>
      </c>
      <c r="E519" s="80">
        <v>-112</v>
      </c>
      <c r="F519" s="6">
        <v>-1.92</v>
      </c>
      <c r="G519" s="79">
        <v>1710</v>
      </c>
      <c r="H519" s="30" t="s">
        <v>1461</v>
      </c>
      <c r="I519" s="22" t="s">
        <v>317</v>
      </c>
      <c r="J519" s="8">
        <f>IFERROR(VLOOKUP($G519,今日總結!$A:$AN,33,0),"")</f>
        <v>0</v>
      </c>
      <c r="K519" s="5">
        <f>IFERROR(VLOOKUP($G519,今日總結!$A:$AN,34,0),"")</f>
        <v>0</v>
      </c>
      <c r="L519" s="156">
        <f>IFERROR(VLOOKUP($G519,今日總結!$A:$AN,31,0),"")</f>
        <v>0</v>
      </c>
      <c r="M519" s="337">
        <f>IFERROR(VLOOKUP($G519,今日總結!$A:$AN,32,0),"")</f>
        <v>0</v>
      </c>
      <c r="N519" s="240">
        <f t="shared" si="180"/>
        <v>0</v>
      </c>
      <c r="O519" s="359">
        <f>IFERROR(VLOOKUP($G519,融外自投!$A:$J,7,0),"無")</f>
        <v>896</v>
      </c>
      <c r="P519" s="79">
        <f>IFERROR(VLOOKUP($G519,融外自投!$A:$J,9,0),"無")</f>
        <v>213</v>
      </c>
      <c r="Q519" s="342">
        <f>IFERROR(VLOOKUP($G519,融外自投!$A:$J,8,0),"無")</f>
        <v>586</v>
      </c>
      <c r="R519" s="81">
        <f>IFERROR(VLOOKUP($G519,融外自投!$A:$J,10,0),"無")</f>
        <v>439</v>
      </c>
      <c r="S519" s="324">
        <f>IFERROR(VLOOKUP($G519,'321買'!$A:$E,5,0),"'沒有資料'")</f>
        <v>0</v>
      </c>
      <c r="T519" s="34">
        <v>1.75</v>
      </c>
      <c r="V519" s="94">
        <f t="shared" si="181"/>
        <v>7.7433628318584066E-2</v>
      </c>
      <c r="W519" s="36">
        <v>22.6</v>
      </c>
      <c r="X519" s="66">
        <v>21.75</v>
      </c>
      <c r="Y519" s="15">
        <f t="shared" si="182"/>
        <v>0.85000000000000142</v>
      </c>
      <c r="Z519" s="63">
        <f t="shared" si="183"/>
        <v>3.9080459770115004E-2</v>
      </c>
      <c r="AA519" s="111" t="s">
        <v>1591</v>
      </c>
      <c r="AC519" s="22" t="s">
        <v>317</v>
      </c>
      <c r="AD519" s="84">
        <v>43711</v>
      </c>
      <c r="AE519" s="83">
        <v>43724</v>
      </c>
      <c r="AF519" s="33">
        <f t="shared" si="184"/>
        <v>13</v>
      </c>
      <c r="AG519" s="116"/>
      <c r="AH519" s="245"/>
    </row>
    <row r="520" spans="1:45">
      <c r="B520" s="80">
        <v>-73</v>
      </c>
      <c r="C520" s="80">
        <v>-96</v>
      </c>
      <c r="D520" s="80">
        <v>-73</v>
      </c>
      <c r="E520" s="80">
        <v>-96</v>
      </c>
      <c r="F520" s="6">
        <v>0.63</v>
      </c>
      <c r="G520" s="79">
        <v>1710</v>
      </c>
      <c r="H520" s="50" t="s">
        <v>1403</v>
      </c>
      <c r="I520" s="22" t="s">
        <v>317</v>
      </c>
      <c r="J520" s="8">
        <f>IFERROR(VLOOKUP($G520,今日總結!$A:$AN,33,0),"")</f>
        <v>0</v>
      </c>
      <c r="K520" s="5">
        <f>IFERROR(VLOOKUP($G520,今日總結!$A:$AN,34,0),"")</f>
        <v>0</v>
      </c>
      <c r="L520" s="156">
        <f>IFERROR(VLOOKUP($G520,今日總結!$A:$AN,31,0),"")</f>
        <v>0</v>
      </c>
      <c r="M520" s="337">
        <f>IFERROR(VLOOKUP($G520,今日總結!$A:$AN,32,0),"")</f>
        <v>0</v>
      </c>
      <c r="N520" s="240">
        <f t="shared" si="180"/>
        <v>0</v>
      </c>
      <c r="O520" s="359">
        <f>IFERROR(VLOOKUP($G520,融外自投!$A:$J,7,0),"無")</f>
        <v>896</v>
      </c>
      <c r="P520" s="79">
        <f>IFERROR(VLOOKUP($G520,融外自投!$A:$J,9,0),"無")</f>
        <v>213</v>
      </c>
      <c r="Q520" s="342">
        <f>IFERROR(VLOOKUP($G520,融外自投!$A:$J,8,0),"無")</f>
        <v>586</v>
      </c>
      <c r="R520" s="81">
        <f>IFERROR(VLOOKUP($G520,融外自投!$A:$J,10,0),"無")</f>
        <v>439</v>
      </c>
      <c r="S520" s="324">
        <f>IFERROR(VLOOKUP($G520,'321買'!$A:$E,5,0),"'沒有資料'")</f>
        <v>0</v>
      </c>
      <c r="T520" s="34">
        <v>1.75</v>
      </c>
      <c r="V520" s="94">
        <f t="shared" si="181"/>
        <v>7.7433628318584066E-2</v>
      </c>
      <c r="W520" s="13">
        <v>22.6</v>
      </c>
      <c r="X520" s="66">
        <v>23.9</v>
      </c>
      <c r="Y520" s="15">
        <f t="shared" si="182"/>
        <v>-1.2999999999999972</v>
      </c>
      <c r="Z520" s="76">
        <f t="shared" si="183"/>
        <v>-5.4393305439330429E-2</v>
      </c>
      <c r="AA520" s="112" t="s">
        <v>1552</v>
      </c>
      <c r="AC520" s="22" t="s">
        <v>317</v>
      </c>
      <c r="AD520" s="84">
        <v>43675</v>
      </c>
      <c r="AE520" s="83">
        <v>43724</v>
      </c>
      <c r="AF520" s="33">
        <f t="shared" si="184"/>
        <v>49</v>
      </c>
      <c r="AG520" s="116"/>
    </row>
    <row r="521" spans="1:45" ht="16.5" customHeight="1">
      <c r="A521" s="116"/>
      <c r="B521" s="80">
        <v>-105</v>
      </c>
      <c r="C521" s="80">
        <v>-112</v>
      </c>
      <c r="D521" s="80">
        <v>-105</v>
      </c>
      <c r="E521" s="80">
        <v>-112</v>
      </c>
      <c r="F521" s="6">
        <v>-1.92</v>
      </c>
      <c r="G521" s="79">
        <v>1710</v>
      </c>
      <c r="H521" s="50" t="s">
        <v>1403</v>
      </c>
      <c r="I521" s="22" t="s">
        <v>317</v>
      </c>
      <c r="J521" s="8">
        <f>IFERROR(VLOOKUP($G521,今日總結!$A:$AN,33,0),"")</f>
        <v>0</v>
      </c>
      <c r="K521" s="5">
        <f>IFERROR(VLOOKUP($G521,今日總結!$A:$AN,34,0),"")</f>
        <v>0</v>
      </c>
      <c r="L521" s="156">
        <f>IFERROR(VLOOKUP($G521,今日總結!$A:$AN,31,0),"")</f>
        <v>0</v>
      </c>
      <c r="M521" s="337">
        <f>IFERROR(VLOOKUP($G521,今日總結!$A:$AN,32,0),"")</f>
        <v>0</v>
      </c>
      <c r="N521" s="240">
        <f t="shared" si="180"/>
        <v>0</v>
      </c>
      <c r="O521" s="359">
        <f>IFERROR(VLOOKUP($G521,融外自投!$A:$J,7,0),"無")</f>
        <v>896</v>
      </c>
      <c r="P521" s="79">
        <f>IFERROR(VLOOKUP($G521,融外自投!$A:$J,9,0),"無")</f>
        <v>213</v>
      </c>
      <c r="Q521" s="342">
        <f>IFERROR(VLOOKUP($G521,融外自投!$A:$J,8,0),"無")</f>
        <v>586</v>
      </c>
      <c r="R521" s="81">
        <f>IFERROR(VLOOKUP($G521,融外自投!$A:$J,10,0),"無")</f>
        <v>439</v>
      </c>
      <c r="S521" s="324">
        <f>IFERROR(VLOOKUP($G521,'321買'!$A:$E,5,0),"'沒有資料'")</f>
        <v>0</v>
      </c>
      <c r="T521" s="34">
        <v>1.75</v>
      </c>
      <c r="V521" s="94">
        <f t="shared" si="181"/>
        <v>7.7433628318584066E-2</v>
      </c>
      <c r="W521" s="36">
        <v>22.6</v>
      </c>
      <c r="X521" s="66">
        <v>21.15</v>
      </c>
      <c r="Y521" s="15">
        <f t="shared" si="182"/>
        <v>1.4500000000000028</v>
      </c>
      <c r="Z521" s="63">
        <f t="shared" si="183"/>
        <v>6.855791962174955E-2</v>
      </c>
      <c r="AA521" s="111" t="s">
        <v>1580</v>
      </c>
      <c r="AC521" s="22" t="s">
        <v>317</v>
      </c>
      <c r="AD521" s="84">
        <v>43707</v>
      </c>
      <c r="AE521" s="83">
        <v>43724</v>
      </c>
      <c r="AF521" s="33">
        <f t="shared" si="184"/>
        <v>17</v>
      </c>
      <c r="AG521" s="116"/>
      <c r="AH521" s="245"/>
    </row>
    <row r="522" spans="1:45" ht="16.5" customHeight="1">
      <c r="A522" s="116"/>
      <c r="B522" s="80">
        <v>-105</v>
      </c>
      <c r="C522" s="80">
        <v>-112</v>
      </c>
      <c r="D522" s="80">
        <v>-105</v>
      </c>
      <c r="E522" s="80">
        <v>-112</v>
      </c>
      <c r="F522" s="6">
        <v>-1.92</v>
      </c>
      <c r="G522" s="79">
        <v>1710</v>
      </c>
      <c r="H522" s="50" t="s">
        <v>1403</v>
      </c>
      <c r="I522" s="22" t="s">
        <v>317</v>
      </c>
      <c r="J522" s="8">
        <f>IFERROR(VLOOKUP($G522,今日總結!$A:$AN,33,0),"")</f>
        <v>0</v>
      </c>
      <c r="K522" s="5">
        <f>IFERROR(VLOOKUP($G522,今日總結!$A:$AN,34,0),"")</f>
        <v>0</v>
      </c>
      <c r="L522" s="156">
        <f>IFERROR(VLOOKUP($G522,今日總結!$A:$AN,31,0),"")</f>
        <v>0</v>
      </c>
      <c r="M522" s="337">
        <f>IFERROR(VLOOKUP($G522,今日總結!$A:$AN,32,0),"")</f>
        <v>0</v>
      </c>
      <c r="N522" s="240">
        <f t="shared" si="180"/>
        <v>0</v>
      </c>
      <c r="O522" s="359">
        <f>IFERROR(VLOOKUP($G522,融外自投!$A:$J,7,0),"無")</f>
        <v>896</v>
      </c>
      <c r="P522" s="79">
        <f>IFERROR(VLOOKUP($G522,融外自投!$A:$J,9,0),"無")</f>
        <v>213</v>
      </c>
      <c r="Q522" s="342">
        <f>IFERROR(VLOOKUP($G522,融外自投!$A:$J,8,0),"無")</f>
        <v>586</v>
      </c>
      <c r="R522" s="81">
        <f>IFERROR(VLOOKUP($G522,融外自投!$A:$J,10,0),"無")</f>
        <v>439</v>
      </c>
      <c r="S522" s="324">
        <f>IFERROR(VLOOKUP($G522,'321買'!$A:$E,5,0),"'沒有資料'")</f>
        <v>0</v>
      </c>
      <c r="T522" s="34">
        <v>1.75</v>
      </c>
      <c r="V522" s="94">
        <f t="shared" si="181"/>
        <v>7.7433628318584066E-2</v>
      </c>
      <c r="W522" s="36">
        <v>22.6</v>
      </c>
      <c r="X522" s="66">
        <v>21.75</v>
      </c>
      <c r="Y522" s="15">
        <f t="shared" si="182"/>
        <v>0.85000000000000142</v>
      </c>
      <c r="Z522" s="63">
        <f t="shared" si="183"/>
        <v>3.9080459770115004E-2</v>
      </c>
      <c r="AA522" s="111" t="s">
        <v>1591</v>
      </c>
      <c r="AC522" s="22" t="s">
        <v>317</v>
      </c>
      <c r="AD522" s="84">
        <v>43711</v>
      </c>
      <c r="AE522" s="83">
        <v>43724</v>
      </c>
      <c r="AF522" s="33">
        <f t="shared" si="184"/>
        <v>13</v>
      </c>
      <c r="AG522" s="116"/>
      <c r="AH522" s="245"/>
    </row>
    <row r="523" spans="1:45">
      <c r="B523" s="80"/>
      <c r="C523" s="80"/>
      <c r="D523" s="80"/>
      <c r="E523" s="80"/>
      <c r="F523" s="6"/>
      <c r="G523" s="41"/>
      <c r="H523" s="8"/>
      <c r="I523" s="22"/>
      <c r="L523" s="123"/>
      <c r="T523" s="34"/>
      <c r="V523" s="94"/>
      <c r="W523" s="13">
        <f>SUM(W517:W522)</f>
        <v>135.6</v>
      </c>
      <c r="X523" s="66">
        <f>SUM(X517:X522)</f>
        <v>133.6</v>
      </c>
      <c r="Y523" s="15">
        <f t="shared" si="182"/>
        <v>2</v>
      </c>
      <c r="Z523" s="63">
        <f t="shared" si="183"/>
        <v>1.4970059880239521E-2</v>
      </c>
      <c r="AA523" s="112"/>
      <c r="AC523" s="22"/>
      <c r="AF523" s="33"/>
      <c r="AG523" s="116"/>
    </row>
    <row r="524" spans="1:45">
      <c r="A524" s="127" t="s">
        <v>1672</v>
      </c>
      <c r="B524" s="90" t="s">
        <v>1571</v>
      </c>
      <c r="C524" s="90" t="s">
        <v>1572</v>
      </c>
      <c r="D524" s="90" t="s">
        <v>1573</v>
      </c>
      <c r="E524" s="90" t="s">
        <v>1574</v>
      </c>
      <c r="F524" s="8" t="s">
        <v>1059</v>
      </c>
      <c r="G524" s="25" t="s">
        <v>386</v>
      </c>
      <c r="H524" s="55" t="s">
        <v>320</v>
      </c>
      <c r="I524" s="1" t="s">
        <v>69</v>
      </c>
      <c r="L524" s="123"/>
      <c r="S524" s="319" t="s">
        <v>1053</v>
      </c>
      <c r="T524" s="10" t="s">
        <v>66</v>
      </c>
      <c r="V524" s="68" t="s">
        <v>1492</v>
      </c>
      <c r="W524" s="28" t="s">
        <v>2</v>
      </c>
      <c r="X524" s="17" t="s">
        <v>1398</v>
      </c>
      <c r="Y524" s="14" t="s">
        <v>5</v>
      </c>
      <c r="Z524" s="21" t="s">
        <v>3</v>
      </c>
      <c r="AA524" s="25" t="s">
        <v>105</v>
      </c>
      <c r="AC524" s="1" t="s">
        <v>69</v>
      </c>
      <c r="AD524" s="71" t="s">
        <v>1399</v>
      </c>
      <c r="AE524" s="72" t="s">
        <v>1156</v>
      </c>
      <c r="AF524" s="32" t="s">
        <v>1157</v>
      </c>
    </row>
    <row r="525" spans="1:45">
      <c r="B525" s="80">
        <v>-68</v>
      </c>
      <c r="C525" s="80">
        <v>-85</v>
      </c>
      <c r="D525" s="80">
        <v>-68</v>
      </c>
      <c r="E525" s="80">
        <v>-85</v>
      </c>
      <c r="F525" s="6">
        <v>1.94</v>
      </c>
      <c r="G525" s="79">
        <v>1605</v>
      </c>
      <c r="H525" s="30" t="s">
        <v>1461</v>
      </c>
      <c r="I525" s="22" t="s">
        <v>110</v>
      </c>
      <c r="J525" s="8">
        <f>IFERROR(VLOOKUP($G525,今日總結!$A:$AN,33,0),"")</f>
        <v>0</v>
      </c>
      <c r="K525" s="5">
        <f>IFERROR(VLOOKUP($G525,今日總結!$A:$AN,34,0),"")</f>
        <v>2</v>
      </c>
      <c r="L525" s="156">
        <f>IFERROR(VLOOKUP($G525,今日總結!$A:$AN,31,0),"")</f>
        <v>0</v>
      </c>
      <c r="M525" s="337">
        <f>IFERROR(VLOOKUP($G525,今日總結!$A:$AN,32,0),"")</f>
        <v>0</v>
      </c>
      <c r="N525" s="240">
        <f t="shared" ref="N525:N530" si="185">IFERROR(L525-M525,"")</f>
        <v>0</v>
      </c>
      <c r="O525" s="359">
        <f>IFERROR(VLOOKUP($G525,融外自投!$A:$J,7,0),"無")</f>
        <v>763</v>
      </c>
      <c r="P525" s="79">
        <f>IFERROR(VLOOKUP($G525,融外自投!$A:$J,9,0),"無")</f>
        <v>42</v>
      </c>
      <c r="Q525" s="342">
        <f>IFERROR(VLOOKUP($G525,融外自投!$A:$J,8,0),"無")</f>
        <v>220</v>
      </c>
      <c r="R525" s="81">
        <f>IFERROR(VLOOKUP($G525,融外自投!$A:$J,10,0),"無")</f>
        <v>174</v>
      </c>
      <c r="S525" s="324">
        <f>IFERROR(VLOOKUP($G525,'321買'!$A:$E,5,0),"'沒有資料'")</f>
        <v>0</v>
      </c>
      <c r="T525" s="34">
        <v>1.2</v>
      </c>
      <c r="V525" s="94">
        <f t="shared" ref="V525:V534" si="186">T525/W525</f>
        <v>8.1355932203389825E-2</v>
      </c>
      <c r="W525" s="13">
        <v>14.75</v>
      </c>
      <c r="X525" s="66">
        <v>15</v>
      </c>
      <c r="Y525" s="15">
        <f t="shared" ref="Y525:Y531" si="187">W525-X525</f>
        <v>-0.25</v>
      </c>
      <c r="Z525" s="63">
        <f t="shared" ref="Z525:Z531" si="188">Y525/X525</f>
        <v>-1.6666666666666666E-2</v>
      </c>
      <c r="AA525" s="111" t="s">
        <v>1499</v>
      </c>
      <c r="AC525" s="22" t="s">
        <v>110</v>
      </c>
      <c r="AD525" s="84">
        <v>43675</v>
      </c>
      <c r="AE525" s="83">
        <v>43724</v>
      </c>
      <c r="AF525" s="33">
        <f t="shared" ref="AF525:AF531" si="189">AE525-AD525</f>
        <v>49</v>
      </c>
      <c r="AG525" s="116"/>
    </row>
    <row r="526" spans="1:45" ht="16.5" customHeight="1">
      <c r="B526" s="80">
        <v>-68</v>
      </c>
      <c r="C526" s="80">
        <v>-85</v>
      </c>
      <c r="D526" s="80">
        <v>-68</v>
      </c>
      <c r="E526" s="80">
        <v>-85</v>
      </c>
      <c r="F526" s="6">
        <v>1.94</v>
      </c>
      <c r="G526" s="79">
        <v>1605</v>
      </c>
      <c r="H526" s="30" t="s">
        <v>1461</v>
      </c>
      <c r="I526" s="22" t="s">
        <v>110</v>
      </c>
      <c r="J526" s="8">
        <f>IFERROR(VLOOKUP($G526,今日總結!$A:$AN,33,0),"")</f>
        <v>0</v>
      </c>
      <c r="K526" s="5">
        <f>IFERROR(VLOOKUP($G526,今日總結!$A:$AN,34,0),"")</f>
        <v>2</v>
      </c>
      <c r="L526" s="156">
        <f>IFERROR(VLOOKUP($G526,今日總結!$A:$AN,31,0),"")</f>
        <v>0</v>
      </c>
      <c r="M526" s="337">
        <f>IFERROR(VLOOKUP($G526,今日總結!$A:$AN,32,0),"")</f>
        <v>0</v>
      </c>
      <c r="N526" s="240">
        <f t="shared" si="185"/>
        <v>0</v>
      </c>
      <c r="O526" s="359">
        <f>IFERROR(VLOOKUP($G526,融外自投!$A:$J,7,0),"無")</f>
        <v>763</v>
      </c>
      <c r="P526" s="79">
        <f>IFERROR(VLOOKUP($G526,融外自投!$A:$J,9,0),"無")</f>
        <v>42</v>
      </c>
      <c r="Q526" s="342">
        <f>IFERROR(VLOOKUP($G526,融外自投!$A:$J,8,0),"無")</f>
        <v>220</v>
      </c>
      <c r="R526" s="81">
        <f>IFERROR(VLOOKUP($G526,融外自投!$A:$J,10,0),"無")</f>
        <v>174</v>
      </c>
      <c r="S526" s="324">
        <f>IFERROR(VLOOKUP($G526,'321買'!$A:$E,5,0),"'沒有資料'")</f>
        <v>0</v>
      </c>
      <c r="T526" s="34">
        <v>1.2</v>
      </c>
      <c r="V526" s="94">
        <f t="shared" si="186"/>
        <v>8.1355932203389825E-2</v>
      </c>
      <c r="W526" s="36">
        <v>14.75</v>
      </c>
      <c r="X526" s="66">
        <v>13.65</v>
      </c>
      <c r="Y526" s="15">
        <f t="shared" si="187"/>
        <v>1.0999999999999996</v>
      </c>
      <c r="Z526" s="63">
        <f t="shared" si="188"/>
        <v>8.0586080586080563E-2</v>
      </c>
      <c r="AA526" s="111" t="s">
        <v>1579</v>
      </c>
      <c r="AC526" s="22" t="s">
        <v>110</v>
      </c>
      <c r="AD526" s="84">
        <v>43699</v>
      </c>
      <c r="AE526" s="83">
        <v>43724</v>
      </c>
      <c r="AF526" s="33">
        <f t="shared" si="189"/>
        <v>25</v>
      </c>
      <c r="AG526" s="116"/>
    </row>
    <row r="527" spans="1:45" ht="16.5" customHeight="1">
      <c r="B527" s="80">
        <v>-68</v>
      </c>
      <c r="C527" s="80">
        <v>-85</v>
      </c>
      <c r="D527" s="80">
        <v>-68</v>
      </c>
      <c r="E527" s="80">
        <v>-85</v>
      </c>
      <c r="F527" s="6">
        <v>1.94</v>
      </c>
      <c r="G527" s="79">
        <v>1605</v>
      </c>
      <c r="H527" s="30" t="s">
        <v>1461</v>
      </c>
      <c r="I527" s="22" t="s">
        <v>110</v>
      </c>
      <c r="J527" s="8">
        <f>IFERROR(VLOOKUP($G527,今日總結!$A:$AN,33,0),"")</f>
        <v>0</v>
      </c>
      <c r="K527" s="5">
        <f>IFERROR(VLOOKUP($G527,今日總結!$A:$AN,34,0),"")</f>
        <v>2</v>
      </c>
      <c r="L527" s="156">
        <f>IFERROR(VLOOKUP($G527,今日總結!$A:$AN,31,0),"")</f>
        <v>0</v>
      </c>
      <c r="M527" s="337">
        <f>IFERROR(VLOOKUP($G527,今日總結!$A:$AN,32,0),"")</f>
        <v>0</v>
      </c>
      <c r="N527" s="240">
        <f t="shared" si="185"/>
        <v>0</v>
      </c>
      <c r="O527" s="359">
        <f>IFERROR(VLOOKUP($G527,融外自投!$A:$J,7,0),"無")</f>
        <v>763</v>
      </c>
      <c r="P527" s="79">
        <f>IFERROR(VLOOKUP($G527,融外自投!$A:$J,9,0),"無")</f>
        <v>42</v>
      </c>
      <c r="Q527" s="342">
        <f>IFERROR(VLOOKUP($G527,融外自投!$A:$J,8,0),"無")</f>
        <v>220</v>
      </c>
      <c r="R527" s="81">
        <f>IFERROR(VLOOKUP($G527,融外自投!$A:$J,10,0),"無")</f>
        <v>174</v>
      </c>
      <c r="S527" s="324">
        <f>IFERROR(VLOOKUP($G527,'321買'!$A:$E,5,0),"'沒有資料'")</f>
        <v>0</v>
      </c>
      <c r="T527" s="34">
        <v>1.2</v>
      </c>
      <c r="V527" s="94">
        <f t="shared" si="186"/>
        <v>8.1355932203389825E-2</v>
      </c>
      <c r="W527" s="36">
        <v>14.75</v>
      </c>
      <c r="X527" s="66">
        <v>13.65</v>
      </c>
      <c r="Y527" s="15">
        <f t="shared" si="187"/>
        <v>1.0999999999999996</v>
      </c>
      <c r="Z527" s="63">
        <f t="shared" si="188"/>
        <v>8.0586080586080563E-2</v>
      </c>
      <c r="AA527" s="111" t="s">
        <v>1579</v>
      </c>
      <c r="AC527" s="22" t="s">
        <v>110</v>
      </c>
      <c r="AD527" s="84">
        <v>43699</v>
      </c>
      <c r="AE527" s="83">
        <v>43724</v>
      </c>
      <c r="AF527" s="33">
        <f t="shared" si="189"/>
        <v>25</v>
      </c>
      <c r="AG527" s="116"/>
    </row>
    <row r="528" spans="1:45" ht="16.5" customHeight="1">
      <c r="A528" s="116"/>
      <c r="B528" s="80">
        <v>-68</v>
      </c>
      <c r="C528" s="80">
        <v>-85</v>
      </c>
      <c r="D528" s="80">
        <v>-68</v>
      </c>
      <c r="E528" s="80">
        <v>-85</v>
      </c>
      <c r="F528" s="6">
        <v>1.94</v>
      </c>
      <c r="G528" s="79">
        <v>1605</v>
      </c>
      <c r="H528" s="30" t="s">
        <v>1461</v>
      </c>
      <c r="I528" s="22" t="s">
        <v>110</v>
      </c>
      <c r="J528" s="8">
        <f>IFERROR(VLOOKUP($G528,今日總結!$A:$AN,33,0),"")</f>
        <v>0</v>
      </c>
      <c r="K528" s="5">
        <f>IFERROR(VLOOKUP($G528,今日總結!$A:$AN,34,0),"")</f>
        <v>2</v>
      </c>
      <c r="L528" s="156">
        <f>IFERROR(VLOOKUP($G528,今日總結!$A:$AN,31,0),"")</f>
        <v>0</v>
      </c>
      <c r="M528" s="337">
        <f>IFERROR(VLOOKUP($G528,今日總結!$A:$AN,32,0),"")</f>
        <v>0</v>
      </c>
      <c r="N528" s="240">
        <f t="shared" si="185"/>
        <v>0</v>
      </c>
      <c r="O528" s="359">
        <f>IFERROR(VLOOKUP($G528,融外自投!$A:$J,7,0),"無")</f>
        <v>763</v>
      </c>
      <c r="P528" s="79">
        <f>IFERROR(VLOOKUP($G528,融外自投!$A:$J,9,0),"無")</f>
        <v>42</v>
      </c>
      <c r="Q528" s="342">
        <f>IFERROR(VLOOKUP($G528,融外自投!$A:$J,8,0),"無")</f>
        <v>220</v>
      </c>
      <c r="R528" s="81">
        <f>IFERROR(VLOOKUP($G528,融外自投!$A:$J,10,0),"無")</f>
        <v>174</v>
      </c>
      <c r="S528" s="324">
        <f>IFERROR(VLOOKUP($G528,'321買'!$A:$E,5,0),"'沒有資料'")</f>
        <v>0</v>
      </c>
      <c r="T528" s="34">
        <v>1.2</v>
      </c>
      <c r="V528" s="94">
        <f t="shared" si="186"/>
        <v>8.1355932203389825E-2</v>
      </c>
      <c r="W528" s="36">
        <v>14.75</v>
      </c>
      <c r="X528" s="66">
        <v>14</v>
      </c>
      <c r="Y528" s="15">
        <f>W528-X528</f>
        <v>0.75</v>
      </c>
      <c r="Z528" s="63">
        <f>Y528/X528</f>
        <v>5.3571428571428568E-2</v>
      </c>
      <c r="AA528" s="111" t="s">
        <v>1458</v>
      </c>
      <c r="AC528" s="22" t="s">
        <v>110</v>
      </c>
      <c r="AD528" s="84">
        <v>43710</v>
      </c>
      <c r="AE528" s="83">
        <v>43724</v>
      </c>
      <c r="AF528" s="33">
        <f>AE528-AD528</f>
        <v>14</v>
      </c>
      <c r="AG528" s="116"/>
      <c r="AH528" s="245"/>
    </row>
    <row r="529" spans="1:45">
      <c r="B529" s="80">
        <v>-68</v>
      </c>
      <c r="C529" s="80">
        <v>-85</v>
      </c>
      <c r="D529" s="80">
        <v>-68</v>
      </c>
      <c r="E529" s="80">
        <v>-85</v>
      </c>
      <c r="F529" s="6">
        <v>1.94</v>
      </c>
      <c r="G529" s="79">
        <v>1605</v>
      </c>
      <c r="H529" s="50" t="s">
        <v>1403</v>
      </c>
      <c r="I529" s="22" t="s">
        <v>110</v>
      </c>
      <c r="J529" s="8">
        <f>IFERROR(VLOOKUP($G529,今日總結!$A:$AN,33,0),"")</f>
        <v>0</v>
      </c>
      <c r="K529" s="5">
        <f>IFERROR(VLOOKUP($G529,今日總結!$A:$AN,34,0),"")</f>
        <v>2</v>
      </c>
      <c r="L529" s="156">
        <f>IFERROR(VLOOKUP($G529,今日總結!$A:$AN,31,0),"")</f>
        <v>0</v>
      </c>
      <c r="M529" s="337">
        <f>IFERROR(VLOOKUP($G529,今日總結!$A:$AN,32,0),"")</f>
        <v>0</v>
      </c>
      <c r="N529" s="240">
        <f t="shared" si="185"/>
        <v>0</v>
      </c>
      <c r="O529" s="359">
        <f>IFERROR(VLOOKUP($G529,融外自投!$A:$J,7,0),"無")</f>
        <v>763</v>
      </c>
      <c r="P529" s="79">
        <f>IFERROR(VLOOKUP($G529,融外自投!$A:$J,9,0),"無")</f>
        <v>42</v>
      </c>
      <c r="Q529" s="342">
        <f>IFERROR(VLOOKUP($G529,融外自投!$A:$J,8,0),"無")</f>
        <v>220</v>
      </c>
      <c r="R529" s="81">
        <f>IFERROR(VLOOKUP($G529,融外自投!$A:$J,10,0),"無")</f>
        <v>174</v>
      </c>
      <c r="S529" s="324">
        <f>IFERROR(VLOOKUP($G529,'321買'!$A:$E,5,0),"'沒有資料'")</f>
        <v>0</v>
      </c>
      <c r="T529" s="34">
        <v>1.2</v>
      </c>
      <c r="V529" s="94">
        <f t="shared" si="186"/>
        <v>8.1355932203389825E-2</v>
      </c>
      <c r="W529" s="13">
        <v>14.75</v>
      </c>
      <c r="X529" s="66">
        <v>15</v>
      </c>
      <c r="Y529" s="15">
        <f t="shared" si="187"/>
        <v>-0.25</v>
      </c>
      <c r="Z529" s="63">
        <f t="shared" si="188"/>
        <v>-1.6666666666666666E-2</v>
      </c>
      <c r="AA529" s="111" t="s">
        <v>1499</v>
      </c>
      <c r="AC529" s="22" t="s">
        <v>110</v>
      </c>
      <c r="AD529" s="84">
        <v>43675</v>
      </c>
      <c r="AE529" s="83">
        <v>43724</v>
      </c>
      <c r="AF529" s="33">
        <f t="shared" si="189"/>
        <v>49</v>
      </c>
      <c r="AG529" s="116"/>
    </row>
    <row r="530" spans="1:45" ht="16.5" customHeight="1">
      <c r="B530" s="80">
        <v>-68</v>
      </c>
      <c r="C530" s="80">
        <v>-85</v>
      </c>
      <c r="D530" s="80">
        <v>-68</v>
      </c>
      <c r="E530" s="80">
        <v>-85</v>
      </c>
      <c r="F530" s="6">
        <v>1.94</v>
      </c>
      <c r="G530" s="79">
        <v>1605</v>
      </c>
      <c r="H530" s="50" t="s">
        <v>1403</v>
      </c>
      <c r="I530" s="22" t="s">
        <v>110</v>
      </c>
      <c r="J530" s="8">
        <f>IFERROR(VLOOKUP($G530,今日總結!$A:$AN,33,0),"")</f>
        <v>0</v>
      </c>
      <c r="K530" s="5">
        <f>IFERROR(VLOOKUP($G530,今日總結!$A:$AN,34,0),"")</f>
        <v>2</v>
      </c>
      <c r="L530" s="156">
        <f>IFERROR(VLOOKUP($G530,今日總結!$A:$AN,31,0),"")</f>
        <v>0</v>
      </c>
      <c r="M530" s="337">
        <f>IFERROR(VLOOKUP($G530,今日總結!$A:$AN,32,0),"")</f>
        <v>0</v>
      </c>
      <c r="N530" s="240">
        <f t="shared" si="185"/>
        <v>0</v>
      </c>
      <c r="O530" s="359">
        <f>IFERROR(VLOOKUP($G530,融外自投!$A:$J,7,0),"無")</f>
        <v>763</v>
      </c>
      <c r="P530" s="79">
        <f>IFERROR(VLOOKUP($G530,融外自投!$A:$J,9,0),"無")</f>
        <v>42</v>
      </c>
      <c r="Q530" s="342">
        <f>IFERROR(VLOOKUP($G530,融外自投!$A:$J,8,0),"無")</f>
        <v>220</v>
      </c>
      <c r="R530" s="81">
        <f>IFERROR(VLOOKUP($G530,融外自投!$A:$J,10,0),"無")</f>
        <v>174</v>
      </c>
      <c r="S530" s="324">
        <f>IFERROR(VLOOKUP($G530,'321買'!$A:$E,5,0),"'沒有資料'")</f>
        <v>0</v>
      </c>
      <c r="T530" s="34">
        <v>1.2</v>
      </c>
      <c r="V530" s="94">
        <f t="shared" si="186"/>
        <v>8.1355932203389825E-2</v>
      </c>
      <c r="W530" s="36">
        <v>14.75</v>
      </c>
      <c r="X530" s="66">
        <v>13.65</v>
      </c>
      <c r="Y530" s="15">
        <f t="shared" si="187"/>
        <v>1.0999999999999996</v>
      </c>
      <c r="Z530" s="63">
        <f t="shared" si="188"/>
        <v>8.0586080586080563E-2</v>
      </c>
      <c r="AA530" s="111" t="s">
        <v>1579</v>
      </c>
      <c r="AC530" s="22" t="s">
        <v>110</v>
      </c>
      <c r="AD530" s="84">
        <v>43699</v>
      </c>
      <c r="AE530" s="83">
        <v>43724</v>
      </c>
      <c r="AF530" s="33">
        <f t="shared" si="189"/>
        <v>25</v>
      </c>
      <c r="AG530" s="116"/>
    </row>
    <row r="531" spans="1:45" ht="16.5" customHeight="1">
      <c r="B531" s="80">
        <v>-68</v>
      </c>
      <c r="C531" s="80">
        <v>-85</v>
      </c>
      <c r="D531" s="80">
        <v>-68</v>
      </c>
      <c r="E531" s="80">
        <v>-85</v>
      </c>
      <c r="F531" s="6">
        <v>1.94</v>
      </c>
      <c r="G531" s="79">
        <v>1605</v>
      </c>
      <c r="H531" s="50" t="s">
        <v>1403</v>
      </c>
      <c r="I531" s="22" t="s">
        <v>110</v>
      </c>
      <c r="J531" s="8">
        <f>IFERROR(VLOOKUP($G531,今日總結!$A:$AN,33,0),"")</f>
        <v>0</v>
      </c>
      <c r="K531" s="5">
        <f>IFERROR(VLOOKUP($G531,今日總結!$A:$AN,34,0),"")</f>
        <v>2</v>
      </c>
      <c r="L531" s="156">
        <f>IFERROR(VLOOKUP($G531,今日總結!$A:$AN,31,0),"")</f>
        <v>0</v>
      </c>
      <c r="M531" s="337">
        <f>IFERROR(VLOOKUP($G531,今日總結!$A:$AN,32,0),"")</f>
        <v>0</v>
      </c>
      <c r="N531" s="240">
        <f t="shared" ref="N531:N534" si="190">IFERROR(L531-M531,"")</f>
        <v>0</v>
      </c>
      <c r="O531" s="359">
        <f>IFERROR(VLOOKUP($G531,融外自投!$A:$J,7,0),"無")</f>
        <v>763</v>
      </c>
      <c r="P531" s="79">
        <f>IFERROR(VLOOKUP($G531,融外自投!$A:$J,9,0),"無")</f>
        <v>42</v>
      </c>
      <c r="Q531" s="342">
        <f>IFERROR(VLOOKUP($G531,融外自投!$A:$J,8,0),"無")</f>
        <v>220</v>
      </c>
      <c r="R531" s="81">
        <f>IFERROR(VLOOKUP($G531,融外自投!$A:$J,10,0),"無")</f>
        <v>174</v>
      </c>
      <c r="S531" s="324">
        <f>IFERROR(VLOOKUP($G531,'321買'!$A:$E,5,0),"'沒有資料'")</f>
        <v>0</v>
      </c>
      <c r="T531" s="34">
        <v>1.2</v>
      </c>
      <c r="V531" s="94">
        <f t="shared" si="186"/>
        <v>8.1355932203389825E-2</v>
      </c>
      <c r="W531" s="36">
        <v>14.75</v>
      </c>
      <c r="X531" s="66">
        <v>13.65</v>
      </c>
      <c r="Y531" s="15">
        <f t="shared" si="187"/>
        <v>1.0999999999999996</v>
      </c>
      <c r="Z531" s="63">
        <f t="shared" si="188"/>
        <v>8.0586080586080563E-2</v>
      </c>
      <c r="AA531" s="111" t="s">
        <v>1579</v>
      </c>
      <c r="AC531" s="22" t="s">
        <v>110</v>
      </c>
      <c r="AD531" s="84">
        <v>43699</v>
      </c>
      <c r="AE531" s="83">
        <v>43724</v>
      </c>
      <c r="AF531" s="33">
        <f t="shared" si="189"/>
        <v>25</v>
      </c>
      <c r="AG531" s="116"/>
    </row>
    <row r="532" spans="1:45" ht="16.5" customHeight="1">
      <c r="A532" s="116"/>
      <c r="B532" s="80">
        <v>-68</v>
      </c>
      <c r="C532" s="80">
        <v>-85</v>
      </c>
      <c r="D532" s="80">
        <v>-68</v>
      </c>
      <c r="E532" s="80">
        <v>-85</v>
      </c>
      <c r="F532" s="6">
        <v>1.94</v>
      </c>
      <c r="G532" s="79">
        <v>1605</v>
      </c>
      <c r="H532" s="50" t="s">
        <v>1403</v>
      </c>
      <c r="I532" s="22" t="s">
        <v>110</v>
      </c>
      <c r="J532" s="8">
        <f>IFERROR(VLOOKUP($G532,今日總結!$A:$AN,33,0),"")</f>
        <v>0</v>
      </c>
      <c r="K532" s="5">
        <f>IFERROR(VLOOKUP($G532,今日總結!$A:$AN,34,0),"")</f>
        <v>2</v>
      </c>
      <c r="L532" s="156">
        <f>IFERROR(VLOOKUP($G532,今日總結!$A:$AN,31,0),"")</f>
        <v>0</v>
      </c>
      <c r="M532" s="337">
        <f>IFERROR(VLOOKUP($G532,今日總結!$A:$AN,32,0),"")</f>
        <v>0</v>
      </c>
      <c r="N532" s="240">
        <f t="shared" si="190"/>
        <v>0</v>
      </c>
      <c r="O532" s="359">
        <f>IFERROR(VLOOKUP($G532,融外自投!$A:$J,7,0),"無")</f>
        <v>763</v>
      </c>
      <c r="P532" s="79">
        <f>IFERROR(VLOOKUP($G532,融外自投!$A:$J,9,0),"無")</f>
        <v>42</v>
      </c>
      <c r="Q532" s="342">
        <f>IFERROR(VLOOKUP($G532,融外自投!$A:$J,8,0),"無")</f>
        <v>220</v>
      </c>
      <c r="R532" s="81">
        <f>IFERROR(VLOOKUP($G532,融外自投!$A:$J,10,0),"無")</f>
        <v>174</v>
      </c>
      <c r="S532" s="324">
        <f>IFERROR(VLOOKUP($G532,'321買'!$A:$E,5,0),"'沒有資料'")</f>
        <v>0</v>
      </c>
      <c r="T532" s="34">
        <v>1.2</v>
      </c>
      <c r="V532" s="94">
        <f t="shared" si="186"/>
        <v>8.1355932203389825E-2</v>
      </c>
      <c r="W532" s="36">
        <v>14.75</v>
      </c>
      <c r="X532" s="66">
        <v>13.95</v>
      </c>
      <c r="Y532" s="15">
        <f>W532-X532</f>
        <v>0.80000000000000071</v>
      </c>
      <c r="Z532" s="63">
        <f>Y532/X532</f>
        <v>5.7347670250896113E-2</v>
      </c>
      <c r="AA532" s="111" t="s">
        <v>1582</v>
      </c>
      <c r="AC532" s="22" t="s">
        <v>110</v>
      </c>
      <c r="AD532" s="84">
        <v>43710</v>
      </c>
      <c r="AE532" s="83">
        <v>43724</v>
      </c>
      <c r="AF532" s="33">
        <f>AE532-AD532</f>
        <v>14</v>
      </c>
      <c r="AG532" s="116"/>
      <c r="AH532" s="245"/>
    </row>
    <row r="533" spans="1:45" ht="16.5" customHeight="1">
      <c r="A533" s="116"/>
      <c r="B533" s="80">
        <v>-68</v>
      </c>
      <c r="C533" s="80">
        <v>-85</v>
      </c>
      <c r="D533" s="80">
        <v>-68</v>
      </c>
      <c r="E533" s="80">
        <v>-85</v>
      </c>
      <c r="F533" s="6">
        <v>1.94</v>
      </c>
      <c r="G533" s="79">
        <v>1605</v>
      </c>
      <c r="H533" s="50" t="s">
        <v>1403</v>
      </c>
      <c r="I533" s="22" t="s">
        <v>110</v>
      </c>
      <c r="J533" s="8">
        <f>IFERROR(VLOOKUP($G533,今日總結!$A:$AN,33,0),"")</f>
        <v>0</v>
      </c>
      <c r="K533" s="5">
        <f>IFERROR(VLOOKUP($G533,今日總結!$A:$AN,34,0),"")</f>
        <v>2</v>
      </c>
      <c r="L533" s="156">
        <f>IFERROR(VLOOKUP($G533,今日總結!$A:$AN,31,0),"")</f>
        <v>0</v>
      </c>
      <c r="M533" s="337">
        <f>IFERROR(VLOOKUP($G533,今日總結!$A:$AN,32,0),"")</f>
        <v>0</v>
      </c>
      <c r="N533" s="240">
        <f t="shared" si="190"/>
        <v>0</v>
      </c>
      <c r="O533" s="359">
        <f>IFERROR(VLOOKUP($G533,融外自投!$A:$J,7,0),"無")</f>
        <v>763</v>
      </c>
      <c r="P533" s="79">
        <f>IFERROR(VLOOKUP($G533,融外自投!$A:$J,9,0),"無")</f>
        <v>42</v>
      </c>
      <c r="Q533" s="342">
        <f>IFERROR(VLOOKUP($G533,融外自投!$A:$J,8,0),"無")</f>
        <v>220</v>
      </c>
      <c r="R533" s="81">
        <f>IFERROR(VLOOKUP($G533,融外自投!$A:$J,10,0),"無")</f>
        <v>174</v>
      </c>
      <c r="S533" s="324">
        <f>IFERROR(VLOOKUP($G533,'321買'!$A:$E,5,0),"'沒有資料'")</f>
        <v>0</v>
      </c>
      <c r="T533" s="34">
        <v>1.2</v>
      </c>
      <c r="V533" s="94">
        <f t="shared" si="186"/>
        <v>8.1355932203389825E-2</v>
      </c>
      <c r="W533" s="36">
        <v>14.75</v>
      </c>
      <c r="X533" s="66">
        <v>14.15</v>
      </c>
      <c r="Y533" s="15">
        <f>W533-X533</f>
        <v>0.59999999999999964</v>
      </c>
      <c r="Z533" s="63">
        <f>Y533/X533</f>
        <v>4.240282685512365E-2</v>
      </c>
      <c r="AA533" s="111" t="s">
        <v>1583</v>
      </c>
      <c r="AC533" s="22" t="s">
        <v>110</v>
      </c>
      <c r="AD533" s="84">
        <v>43711</v>
      </c>
      <c r="AE533" s="83">
        <v>43724</v>
      </c>
      <c r="AF533" s="33">
        <f>AE533-AD533</f>
        <v>13</v>
      </c>
      <c r="AG533" s="116"/>
      <c r="AH533" s="245"/>
    </row>
    <row r="534" spans="1:45" ht="16.5" customHeight="1">
      <c r="A534" s="116"/>
      <c r="B534" s="80">
        <v>-68</v>
      </c>
      <c r="C534" s="80">
        <v>-85</v>
      </c>
      <c r="D534" s="80">
        <v>-68</v>
      </c>
      <c r="E534" s="80">
        <v>-85</v>
      </c>
      <c r="F534" s="6">
        <v>1.94</v>
      </c>
      <c r="G534" s="79">
        <v>1605</v>
      </c>
      <c r="H534" s="50" t="s">
        <v>1403</v>
      </c>
      <c r="I534" s="22" t="s">
        <v>110</v>
      </c>
      <c r="J534" s="8">
        <f>IFERROR(VLOOKUP($G534,今日總結!$A:$AN,33,0),"")</f>
        <v>0</v>
      </c>
      <c r="K534" s="5">
        <f>IFERROR(VLOOKUP($G534,今日總結!$A:$AN,34,0),"")</f>
        <v>2</v>
      </c>
      <c r="L534" s="156">
        <f>IFERROR(VLOOKUP($G534,今日總結!$A:$AN,31,0),"")</f>
        <v>0</v>
      </c>
      <c r="M534" s="337">
        <f>IFERROR(VLOOKUP($G534,今日總結!$A:$AN,32,0),"")</f>
        <v>0</v>
      </c>
      <c r="N534" s="240">
        <f t="shared" si="190"/>
        <v>0</v>
      </c>
      <c r="O534" s="359">
        <f>IFERROR(VLOOKUP($G534,融外自投!$A:$J,7,0),"無")</f>
        <v>763</v>
      </c>
      <c r="P534" s="79">
        <f>IFERROR(VLOOKUP($G534,融外自投!$A:$J,9,0),"無")</f>
        <v>42</v>
      </c>
      <c r="Q534" s="342">
        <f>IFERROR(VLOOKUP($G534,融外自投!$A:$J,8,0),"無")</f>
        <v>220</v>
      </c>
      <c r="R534" s="81">
        <f>IFERROR(VLOOKUP($G534,融外自投!$A:$J,10,0),"無")</f>
        <v>174</v>
      </c>
      <c r="S534" s="324">
        <f>IFERROR(VLOOKUP($G534,'321買'!$A:$E,5,0),"'沒有資料'")</f>
        <v>0</v>
      </c>
      <c r="T534" s="34">
        <v>1.2</v>
      </c>
      <c r="V534" s="94">
        <f t="shared" si="186"/>
        <v>8.1355932203389825E-2</v>
      </c>
      <c r="W534" s="36">
        <v>14.75</v>
      </c>
      <c r="X534" s="66">
        <v>14.15</v>
      </c>
      <c r="Y534" s="15">
        <f>W534-X534</f>
        <v>0.59999999999999964</v>
      </c>
      <c r="Z534" s="63">
        <f>Y534/X534</f>
        <v>4.240282685512365E-2</v>
      </c>
      <c r="AA534" s="111" t="s">
        <v>1583</v>
      </c>
      <c r="AC534" s="22" t="s">
        <v>110</v>
      </c>
      <c r="AD534" s="84">
        <v>43711</v>
      </c>
      <c r="AE534" s="83">
        <v>43724</v>
      </c>
      <c r="AF534" s="33">
        <f>AE534-AD534</f>
        <v>13</v>
      </c>
      <c r="AG534" s="116"/>
      <c r="AH534" s="245"/>
    </row>
    <row r="535" spans="1:45">
      <c r="B535" s="80"/>
      <c r="C535" s="80"/>
      <c r="D535" s="80"/>
      <c r="E535" s="80"/>
      <c r="F535" s="6"/>
      <c r="G535" s="41"/>
      <c r="H535" s="8"/>
      <c r="I535" s="22"/>
      <c r="L535" s="123"/>
      <c r="T535" s="34"/>
      <c r="V535" s="94"/>
      <c r="W535" s="13">
        <f>SUM(W525:W534)</f>
        <v>147.5</v>
      </c>
      <c r="X535" s="66">
        <f>SUM(X525:X534)</f>
        <v>140.85000000000002</v>
      </c>
      <c r="Y535" s="15">
        <f>W535-X535</f>
        <v>6.6499999999999773</v>
      </c>
      <c r="Z535" s="63">
        <f>Y535/X535</f>
        <v>4.7213347532836181E-2</v>
      </c>
      <c r="AA535" s="111"/>
      <c r="AC535" s="22"/>
      <c r="AF535" s="33"/>
      <c r="AG535" s="116"/>
    </row>
    <row r="536" spans="1:45">
      <c r="A536" s="127" t="s">
        <v>1672</v>
      </c>
      <c r="B536" s="90" t="s">
        <v>1571</v>
      </c>
      <c r="C536" s="90" t="s">
        <v>1572</v>
      </c>
      <c r="D536" s="90" t="s">
        <v>1573</v>
      </c>
      <c r="E536" s="90" t="s">
        <v>1574</v>
      </c>
      <c r="F536" s="8" t="s">
        <v>1059</v>
      </c>
      <c r="G536" s="25" t="s">
        <v>386</v>
      </c>
      <c r="H536" s="55" t="s">
        <v>320</v>
      </c>
      <c r="I536" s="1" t="s">
        <v>69</v>
      </c>
      <c r="L536" s="123"/>
      <c r="S536" s="319" t="s">
        <v>1053</v>
      </c>
      <c r="T536" s="10" t="s">
        <v>66</v>
      </c>
      <c r="V536" s="68" t="s">
        <v>1492</v>
      </c>
      <c r="W536" s="28" t="s">
        <v>2</v>
      </c>
      <c r="X536" s="17" t="s">
        <v>1398</v>
      </c>
      <c r="Y536" s="14" t="s">
        <v>5</v>
      </c>
      <c r="Z536" s="21" t="s">
        <v>3</v>
      </c>
      <c r="AA536" s="25" t="s">
        <v>105</v>
      </c>
      <c r="AC536" s="1" t="s">
        <v>69</v>
      </c>
      <c r="AD536" s="71" t="s">
        <v>1399</v>
      </c>
      <c r="AE536" s="72" t="s">
        <v>1156</v>
      </c>
      <c r="AF536" s="32" t="s">
        <v>1157</v>
      </c>
      <c r="AG536" s="41"/>
    </row>
    <row r="537" spans="1:45" s="7" customFormat="1" ht="17.100000000000001" customHeight="1">
      <c r="A537" s="41"/>
      <c r="B537" s="80">
        <v>-28</v>
      </c>
      <c r="C537" s="80">
        <v>-33</v>
      </c>
      <c r="D537" s="80">
        <v>-28</v>
      </c>
      <c r="E537" s="80">
        <v>-33</v>
      </c>
      <c r="F537" s="6">
        <v>4.51</v>
      </c>
      <c r="G537" s="79">
        <v>1304</v>
      </c>
      <c r="H537" s="8" t="s">
        <v>1402</v>
      </c>
      <c r="I537" s="22" t="s">
        <v>64</v>
      </c>
      <c r="J537" s="8">
        <f>IFERROR(VLOOKUP($G537,今日總結!$A:$AN,33,0),"")</f>
        <v>0</v>
      </c>
      <c r="K537" s="5">
        <f>IFERROR(VLOOKUP($G537,今日總結!$A:$AN,34,0),"")</f>
        <v>0</v>
      </c>
      <c r="L537" s="156">
        <f>IFERROR(VLOOKUP($G537,今日總結!$A:$AN,31,0),"")</f>
        <v>3</v>
      </c>
      <c r="M537" s="337">
        <f>IFERROR(VLOOKUP($G537,今日總結!$A:$AN,32,0),"")</f>
        <v>0</v>
      </c>
      <c r="N537" s="240">
        <f t="shared" ref="N537" si="191">IFERROR(L537-M537,"")</f>
        <v>3</v>
      </c>
      <c r="O537" s="359">
        <f>IFERROR(VLOOKUP($G537,融外自投!$A:$J,7,0),"無")</f>
        <v>883</v>
      </c>
      <c r="P537" s="79">
        <f>IFERROR(VLOOKUP($G537,融外自投!$A:$J,9,0),"無")</f>
        <v>550</v>
      </c>
      <c r="Q537" s="342">
        <f>IFERROR(VLOOKUP($G537,融外自投!$A:$J,8,0),"無")</f>
        <v>158</v>
      </c>
      <c r="R537" s="81">
        <f>IFERROR(VLOOKUP($G537,融外自投!$A:$J,10,0),"無")</f>
        <v>495</v>
      </c>
      <c r="S537" s="324">
        <f>IFERROR(VLOOKUP($G537,'321買'!$A:$E,5,0),"'沒有資料'")</f>
        <v>0</v>
      </c>
      <c r="T537" s="34">
        <v>0.3</v>
      </c>
      <c r="U537" s="308"/>
      <c r="V537" s="94">
        <f t="shared" ref="V537:V546" si="192">T537/W537</f>
        <v>2.1660649819494584E-2</v>
      </c>
      <c r="W537" s="13">
        <v>13.85</v>
      </c>
      <c r="X537" s="66">
        <f>16.97-0.3-0.3-0.47</f>
        <v>15.899999999999997</v>
      </c>
      <c r="Y537" s="15">
        <f>W537-X537</f>
        <v>-2.0499999999999972</v>
      </c>
      <c r="Z537" s="76">
        <f>Y537/X537</f>
        <v>-0.12893081761006275</v>
      </c>
      <c r="AA537" s="113" t="s">
        <v>1584</v>
      </c>
      <c r="AB537" s="376"/>
      <c r="AC537" s="22" t="s">
        <v>64</v>
      </c>
      <c r="AD537" s="84">
        <v>42719</v>
      </c>
      <c r="AE537" s="83">
        <v>43724</v>
      </c>
      <c r="AF537" s="33">
        <f>AE537-AD537</f>
        <v>1005</v>
      </c>
      <c r="AG537" s="116"/>
      <c r="AH537" s="27"/>
      <c r="AI537" s="17"/>
      <c r="AJ537" s="11"/>
      <c r="AK537" s="11"/>
      <c r="AL537" s="11"/>
      <c r="AM537" s="11"/>
      <c r="AN537" s="245"/>
      <c r="AO537" s="245"/>
      <c r="AQ537" s="4"/>
      <c r="AR537" s="245"/>
      <c r="AS537" s="245"/>
    </row>
    <row r="538" spans="1:45" s="7" customFormat="1" ht="17.100000000000001" customHeight="1">
      <c r="A538" s="41"/>
      <c r="B538" s="80">
        <v>-28</v>
      </c>
      <c r="C538" s="80">
        <v>-33</v>
      </c>
      <c r="D538" s="80">
        <v>-28</v>
      </c>
      <c r="E538" s="80">
        <v>-33</v>
      </c>
      <c r="F538" s="6">
        <v>4.51</v>
      </c>
      <c r="G538" s="79">
        <v>1304</v>
      </c>
      <c r="H538" s="50" t="s">
        <v>1403</v>
      </c>
      <c r="I538" s="22" t="s">
        <v>64</v>
      </c>
      <c r="J538" s="8">
        <f>IFERROR(VLOOKUP($G538,今日總結!$A:$AN,33,0),"")</f>
        <v>0</v>
      </c>
      <c r="K538" s="5">
        <f>IFERROR(VLOOKUP($G538,今日總結!$A:$AN,34,0),"")</f>
        <v>0</v>
      </c>
      <c r="L538" s="156">
        <f>IFERROR(VLOOKUP($G538,今日總結!$A:$AN,31,0),"")</f>
        <v>3</v>
      </c>
      <c r="M538" s="337">
        <f>IFERROR(VLOOKUP($G538,今日總結!$A:$AN,32,0),"")</f>
        <v>0</v>
      </c>
      <c r="N538" s="240">
        <f t="shared" ref="N538:N546" si="193">IFERROR(L538-M538,"")</f>
        <v>3</v>
      </c>
      <c r="O538" s="359">
        <f>IFERROR(VLOOKUP($G538,融外自投!$A:$J,7,0),"無")</f>
        <v>883</v>
      </c>
      <c r="P538" s="79">
        <f>IFERROR(VLOOKUP($G538,融外自投!$A:$J,9,0),"無")</f>
        <v>550</v>
      </c>
      <c r="Q538" s="342">
        <f>IFERROR(VLOOKUP($G538,融外自投!$A:$J,8,0),"無")</f>
        <v>158</v>
      </c>
      <c r="R538" s="81">
        <f>IFERROR(VLOOKUP($G538,融外自投!$A:$J,10,0),"無")</f>
        <v>495</v>
      </c>
      <c r="S538" s="324">
        <f>IFERROR(VLOOKUP($G538,'321買'!$A:$E,5,0),"'沒有資料'")</f>
        <v>0</v>
      </c>
      <c r="T538" s="34">
        <v>0.3</v>
      </c>
      <c r="U538" s="308"/>
      <c r="V538" s="94">
        <f t="shared" si="192"/>
        <v>2.1660649819494584E-2</v>
      </c>
      <c r="W538" s="13">
        <v>13.85</v>
      </c>
      <c r="X538" s="66">
        <f>16.87-0.3-0.3-0.46</f>
        <v>15.809999999999999</v>
      </c>
      <c r="Y538" s="15">
        <f>W538-X538</f>
        <v>-1.9599999999999991</v>
      </c>
      <c r="Z538" s="76">
        <f>Y538/X538</f>
        <v>-0.12397216951296643</v>
      </c>
      <c r="AA538" s="113" t="s">
        <v>1585</v>
      </c>
      <c r="AB538" s="376"/>
      <c r="AC538" s="22" t="s">
        <v>64</v>
      </c>
      <c r="AD538" s="84">
        <v>42718</v>
      </c>
      <c r="AE538" s="83">
        <v>43724</v>
      </c>
      <c r="AF538" s="33">
        <f>AE538-AD538</f>
        <v>1006</v>
      </c>
      <c r="AG538" s="116"/>
      <c r="AH538" s="27"/>
      <c r="AI538" s="17"/>
      <c r="AJ538" s="11"/>
      <c r="AK538" s="11"/>
      <c r="AL538" s="11"/>
      <c r="AM538" s="11"/>
      <c r="AN538" s="245"/>
      <c r="AO538" s="245"/>
      <c r="AQ538" s="4"/>
      <c r="AR538" s="245"/>
      <c r="AS538" s="245"/>
    </row>
    <row r="539" spans="1:45" s="7" customFormat="1" ht="17.100000000000001" customHeight="1">
      <c r="A539" s="41"/>
      <c r="B539" s="80">
        <v>-28</v>
      </c>
      <c r="C539" s="80">
        <v>-33</v>
      </c>
      <c r="D539" s="80">
        <v>-28</v>
      </c>
      <c r="E539" s="80">
        <v>-33</v>
      </c>
      <c r="F539" s="6">
        <v>4.51</v>
      </c>
      <c r="G539" s="79">
        <v>1304</v>
      </c>
      <c r="H539" s="8" t="s">
        <v>1402</v>
      </c>
      <c r="I539" s="22" t="s">
        <v>64</v>
      </c>
      <c r="J539" s="8">
        <f>IFERROR(VLOOKUP($G539,今日總結!$A:$AN,33,0),"")</f>
        <v>0</v>
      </c>
      <c r="K539" s="5">
        <f>IFERROR(VLOOKUP($G539,今日總結!$A:$AN,34,0),"")</f>
        <v>0</v>
      </c>
      <c r="L539" s="156">
        <f>IFERROR(VLOOKUP($G539,今日總結!$A:$AN,31,0),"")</f>
        <v>3</v>
      </c>
      <c r="M539" s="337">
        <f>IFERROR(VLOOKUP($G539,今日總結!$A:$AN,32,0),"")</f>
        <v>0</v>
      </c>
      <c r="N539" s="240">
        <f t="shared" si="193"/>
        <v>3</v>
      </c>
      <c r="O539" s="359">
        <f>IFERROR(VLOOKUP($G539,融外自投!$A:$J,7,0),"無")</f>
        <v>883</v>
      </c>
      <c r="P539" s="79">
        <f>IFERROR(VLOOKUP($G539,融外自投!$A:$J,9,0),"無")</f>
        <v>550</v>
      </c>
      <c r="Q539" s="342">
        <f>IFERROR(VLOOKUP($G539,融外自投!$A:$J,8,0),"無")</f>
        <v>158</v>
      </c>
      <c r="R539" s="81">
        <f>IFERROR(VLOOKUP($G539,融外自投!$A:$J,10,0),"無")</f>
        <v>495</v>
      </c>
      <c r="S539" s="324">
        <f>IFERROR(VLOOKUP($G539,'321買'!$A:$E,5,0),"'沒有資料'")</f>
        <v>0</v>
      </c>
      <c r="T539" s="34">
        <v>0.3</v>
      </c>
      <c r="U539" s="308"/>
      <c r="V539" s="94">
        <f t="shared" si="192"/>
        <v>2.3255813953488372E-2</v>
      </c>
      <c r="W539" s="13">
        <v>12.9</v>
      </c>
      <c r="X539" s="66">
        <f>13.82-0.3</f>
        <v>13.52</v>
      </c>
      <c r="Y539" s="15">
        <f>W539-X539</f>
        <v>-0.61999999999999922</v>
      </c>
      <c r="Z539" s="76">
        <f>Y539/X539</f>
        <v>-4.5857988165680416E-2</v>
      </c>
      <c r="AA539" s="113" t="s">
        <v>1578</v>
      </c>
      <c r="AB539" s="376"/>
      <c r="AC539" s="22" t="s">
        <v>64</v>
      </c>
      <c r="AD539" s="84">
        <v>43350</v>
      </c>
      <c r="AE539" s="83">
        <v>43724</v>
      </c>
      <c r="AF539" s="33">
        <f>AE539-AD539</f>
        <v>374</v>
      </c>
      <c r="AG539" s="116"/>
      <c r="AH539" s="27"/>
      <c r="AI539" s="17"/>
      <c r="AJ539" s="11"/>
      <c r="AK539" s="11"/>
      <c r="AL539" s="11"/>
      <c r="AM539" s="11"/>
      <c r="AN539" s="245"/>
      <c r="AO539" s="245"/>
      <c r="AQ539" s="4"/>
      <c r="AR539" s="245"/>
      <c r="AS539" s="245"/>
    </row>
    <row r="540" spans="1:45" s="7" customFormat="1" ht="17.100000000000001" customHeight="1">
      <c r="A540" s="41"/>
      <c r="B540" s="80">
        <v>-28</v>
      </c>
      <c r="C540" s="80">
        <v>-33</v>
      </c>
      <c r="D540" s="80">
        <v>-28</v>
      </c>
      <c r="E540" s="80">
        <v>-33</v>
      </c>
      <c r="F540" s="6">
        <v>4.51</v>
      </c>
      <c r="G540" s="79">
        <v>1304</v>
      </c>
      <c r="H540" s="50" t="s">
        <v>1403</v>
      </c>
      <c r="I540" s="22" t="s">
        <v>64</v>
      </c>
      <c r="J540" s="8">
        <f>IFERROR(VLOOKUP($G540,今日總結!$A:$AN,33,0),"")</f>
        <v>0</v>
      </c>
      <c r="K540" s="5">
        <f>IFERROR(VLOOKUP($G540,今日總結!$A:$AN,34,0),"")</f>
        <v>0</v>
      </c>
      <c r="L540" s="156">
        <f>IFERROR(VLOOKUP($G540,今日總結!$A:$AN,31,0),"")</f>
        <v>3</v>
      </c>
      <c r="M540" s="337">
        <f>IFERROR(VLOOKUP($G540,今日總結!$A:$AN,32,0),"")</f>
        <v>0</v>
      </c>
      <c r="N540" s="240">
        <f t="shared" si="193"/>
        <v>3</v>
      </c>
      <c r="O540" s="359">
        <f>IFERROR(VLOOKUP($G540,融外自投!$A:$J,7,0),"無")</f>
        <v>883</v>
      </c>
      <c r="P540" s="79">
        <f>IFERROR(VLOOKUP($G540,融外自投!$A:$J,9,0),"無")</f>
        <v>550</v>
      </c>
      <c r="Q540" s="342">
        <f>IFERROR(VLOOKUP($G540,融外自投!$A:$J,8,0),"無")</f>
        <v>158</v>
      </c>
      <c r="R540" s="81">
        <f>IFERROR(VLOOKUP($G540,融外自投!$A:$J,10,0),"無")</f>
        <v>495</v>
      </c>
      <c r="S540" s="324">
        <f>IFERROR(VLOOKUP($G540,'321買'!$A:$E,5,0),"'沒有資料'")</f>
        <v>0</v>
      </c>
      <c r="T540" s="34">
        <v>0.3</v>
      </c>
      <c r="U540" s="308"/>
      <c r="V540" s="94">
        <f t="shared" si="192"/>
        <v>2.2058823529411766E-2</v>
      </c>
      <c r="W540" s="13">
        <v>13.6</v>
      </c>
      <c r="X540" s="66">
        <f>13.82-0.3</f>
        <v>13.52</v>
      </c>
      <c r="Y540" s="15">
        <f>W540-X540</f>
        <v>8.0000000000000071E-2</v>
      </c>
      <c r="Z540" s="76">
        <f>Y540/X540</f>
        <v>5.9171597633136145E-3</v>
      </c>
      <c r="AA540" s="113" t="s">
        <v>1586</v>
      </c>
      <c r="AB540" s="376"/>
      <c r="AC540" s="22" t="s">
        <v>64</v>
      </c>
      <c r="AD540" s="84">
        <v>43350</v>
      </c>
      <c r="AE540" s="83">
        <v>43724</v>
      </c>
      <c r="AF540" s="33">
        <f>AE540-AD540</f>
        <v>374</v>
      </c>
      <c r="AG540" s="116"/>
      <c r="AH540" s="27"/>
      <c r="AI540" s="17"/>
      <c r="AJ540" s="11"/>
      <c r="AK540" s="11"/>
      <c r="AL540" s="11"/>
      <c r="AM540" s="11"/>
      <c r="AN540" s="245"/>
      <c r="AO540" s="245"/>
      <c r="AQ540" s="4"/>
      <c r="AR540" s="245"/>
      <c r="AS540" s="245"/>
    </row>
    <row r="541" spans="1:45" ht="16.5" customHeight="1">
      <c r="B541" s="80">
        <v>-22</v>
      </c>
      <c r="C541" s="80">
        <v>-32</v>
      </c>
      <c r="D541" s="80">
        <v>-22</v>
      </c>
      <c r="E541" s="80">
        <v>-32</v>
      </c>
      <c r="F541" s="6">
        <v>4.38</v>
      </c>
      <c r="G541" s="79">
        <v>1304</v>
      </c>
      <c r="H541" s="50" t="s">
        <v>1403</v>
      </c>
      <c r="I541" s="22" t="s">
        <v>64</v>
      </c>
      <c r="J541" s="8">
        <f>IFERROR(VLOOKUP($G541,今日總結!$A:$AN,33,0),"")</f>
        <v>0</v>
      </c>
      <c r="K541" s="5">
        <f>IFERROR(VLOOKUP($G541,今日總結!$A:$AN,34,0),"")</f>
        <v>0</v>
      </c>
      <c r="L541" s="156">
        <f>IFERROR(VLOOKUP($G541,今日總結!$A:$AN,31,0),"")</f>
        <v>3</v>
      </c>
      <c r="M541" s="337">
        <f>IFERROR(VLOOKUP($G541,今日總結!$A:$AN,32,0),"")</f>
        <v>0</v>
      </c>
      <c r="N541" s="240">
        <f t="shared" si="193"/>
        <v>3</v>
      </c>
      <c r="O541" s="359">
        <f>IFERROR(VLOOKUP($G541,融外自投!$A:$J,7,0),"無")</f>
        <v>883</v>
      </c>
      <c r="P541" s="79">
        <f>IFERROR(VLOOKUP($G541,融外自投!$A:$J,9,0),"無")</f>
        <v>550</v>
      </c>
      <c r="Q541" s="342">
        <f>IFERROR(VLOOKUP($G541,融外自投!$A:$J,8,0),"無")</f>
        <v>158</v>
      </c>
      <c r="R541" s="81">
        <f>IFERROR(VLOOKUP($G541,融外自投!$A:$J,10,0),"無")</f>
        <v>495</v>
      </c>
      <c r="S541" s="324">
        <f>IFERROR(VLOOKUP($G541,'321買'!$A:$E,5,0),"'沒有資料'")</f>
        <v>0</v>
      </c>
      <c r="T541" s="34">
        <v>0.3</v>
      </c>
      <c r="V541" s="94">
        <f t="shared" si="192"/>
        <v>2.2058823529411766E-2</v>
      </c>
      <c r="W541" s="36">
        <v>13.6</v>
      </c>
      <c r="X541" s="66">
        <v>12.25</v>
      </c>
      <c r="Y541" s="15">
        <f t="shared" ref="Y541:Y546" si="194">W541-X541</f>
        <v>1.3499999999999996</v>
      </c>
      <c r="Z541" s="63">
        <f t="shared" ref="Z541:Z546" si="195">Y541/X541</f>
        <v>0.11020408163265304</v>
      </c>
      <c r="AA541" s="111" t="s">
        <v>1570</v>
      </c>
      <c r="AC541" s="22" t="s">
        <v>64</v>
      </c>
      <c r="AD541" s="84">
        <v>43697</v>
      </c>
      <c r="AE541" s="83">
        <v>43724</v>
      </c>
      <c r="AF541" s="33">
        <f t="shared" ref="AF541:AF546" si="196">AE541-AD541</f>
        <v>27</v>
      </c>
      <c r="AG541" s="116"/>
    </row>
    <row r="542" spans="1:45" ht="16.5" customHeight="1">
      <c r="B542" s="80">
        <v>-22</v>
      </c>
      <c r="C542" s="80">
        <v>-32</v>
      </c>
      <c r="D542" s="80">
        <v>-22</v>
      </c>
      <c r="E542" s="80">
        <v>-32</v>
      </c>
      <c r="F542" s="6">
        <v>4.38</v>
      </c>
      <c r="G542" s="79">
        <v>1304</v>
      </c>
      <c r="H542" s="50" t="s">
        <v>1403</v>
      </c>
      <c r="I542" s="22" t="s">
        <v>64</v>
      </c>
      <c r="J542" s="8">
        <f>IFERROR(VLOOKUP($G542,今日總結!$A:$AN,33,0),"")</f>
        <v>0</v>
      </c>
      <c r="K542" s="5">
        <f>IFERROR(VLOOKUP($G542,今日總結!$A:$AN,34,0),"")</f>
        <v>0</v>
      </c>
      <c r="L542" s="156">
        <f>IFERROR(VLOOKUP($G542,今日總結!$A:$AN,31,0),"")</f>
        <v>3</v>
      </c>
      <c r="M542" s="337">
        <f>IFERROR(VLOOKUP($G542,今日總結!$A:$AN,32,0),"")</f>
        <v>0</v>
      </c>
      <c r="N542" s="240">
        <f t="shared" si="193"/>
        <v>3</v>
      </c>
      <c r="O542" s="359">
        <f>IFERROR(VLOOKUP($G542,融外自投!$A:$J,7,0),"無")</f>
        <v>883</v>
      </c>
      <c r="P542" s="79">
        <f>IFERROR(VLOOKUP($G542,融外自投!$A:$J,9,0),"無")</f>
        <v>550</v>
      </c>
      <c r="Q542" s="342">
        <f>IFERROR(VLOOKUP($G542,融外自投!$A:$J,8,0),"無")</f>
        <v>158</v>
      </c>
      <c r="R542" s="81">
        <f>IFERROR(VLOOKUP($G542,融外自投!$A:$J,10,0),"無")</f>
        <v>495</v>
      </c>
      <c r="S542" s="324">
        <f>IFERROR(VLOOKUP($G542,'321買'!$A:$E,5,0),"'沒有資料'")</f>
        <v>0</v>
      </c>
      <c r="T542" s="34">
        <v>0.3</v>
      </c>
      <c r="V542" s="94">
        <f t="shared" si="192"/>
        <v>2.2058823529411766E-2</v>
      </c>
      <c r="W542" s="36">
        <v>13.6</v>
      </c>
      <c r="X542" s="66">
        <v>12.25</v>
      </c>
      <c r="Y542" s="15">
        <f t="shared" si="194"/>
        <v>1.3499999999999996</v>
      </c>
      <c r="Z542" s="63">
        <f t="shared" si="195"/>
        <v>0.11020408163265304</v>
      </c>
      <c r="AA542" s="111" t="s">
        <v>1570</v>
      </c>
      <c r="AC542" s="22" t="s">
        <v>64</v>
      </c>
      <c r="AD542" s="84">
        <v>43697</v>
      </c>
      <c r="AE542" s="83">
        <v>43724</v>
      </c>
      <c r="AF542" s="33">
        <f t="shared" si="196"/>
        <v>27</v>
      </c>
      <c r="AG542" s="116"/>
    </row>
    <row r="543" spans="1:45" ht="16.5" customHeight="1">
      <c r="A543" s="143"/>
      <c r="B543" s="80">
        <v>-22</v>
      </c>
      <c r="C543" s="80">
        <v>-32</v>
      </c>
      <c r="D543" s="80">
        <v>-22</v>
      </c>
      <c r="E543" s="80">
        <v>-32</v>
      </c>
      <c r="F543" s="6">
        <v>4.38</v>
      </c>
      <c r="G543" s="81">
        <v>1304</v>
      </c>
      <c r="H543" s="50" t="s">
        <v>1403</v>
      </c>
      <c r="I543" s="22" t="s">
        <v>64</v>
      </c>
      <c r="J543" s="8">
        <f>IFERROR(VLOOKUP($G543,今日總結!$A:$AN,33,0),"")</f>
        <v>0</v>
      </c>
      <c r="K543" s="5">
        <f>IFERROR(VLOOKUP($G543,今日總結!$A:$AN,34,0),"")</f>
        <v>0</v>
      </c>
      <c r="L543" s="156">
        <f>IFERROR(VLOOKUP($G543,今日總結!$A:$AN,31,0),"")</f>
        <v>3</v>
      </c>
      <c r="M543" s="337">
        <f>IFERROR(VLOOKUP($G543,今日總結!$A:$AN,32,0),"")</f>
        <v>0</v>
      </c>
      <c r="N543" s="240">
        <f t="shared" si="193"/>
        <v>3</v>
      </c>
      <c r="O543" s="359">
        <f>IFERROR(VLOOKUP($G543,融外自投!$A:$J,7,0),"無")</f>
        <v>883</v>
      </c>
      <c r="P543" s="79">
        <f>IFERROR(VLOOKUP($G543,融外自投!$A:$J,9,0),"無")</f>
        <v>550</v>
      </c>
      <c r="Q543" s="342">
        <f>IFERROR(VLOOKUP($G543,融外自投!$A:$J,8,0),"無")</f>
        <v>158</v>
      </c>
      <c r="R543" s="81">
        <f>IFERROR(VLOOKUP($G543,融外自投!$A:$J,10,0),"無")</f>
        <v>495</v>
      </c>
      <c r="S543" s="324">
        <f>IFERROR(VLOOKUP($G543,'321買'!$A:$E,5,0),"'沒有資料'")</f>
        <v>0</v>
      </c>
      <c r="T543" s="34">
        <v>0.3</v>
      </c>
      <c r="V543" s="94">
        <f t="shared" si="192"/>
        <v>2.2058823529411766E-2</v>
      </c>
      <c r="W543" s="36">
        <v>13.6</v>
      </c>
      <c r="X543" s="66">
        <v>12.6</v>
      </c>
      <c r="Y543" s="15">
        <f t="shared" si="194"/>
        <v>1</v>
      </c>
      <c r="Z543" s="63">
        <f t="shared" si="195"/>
        <v>7.9365079365079361E-2</v>
      </c>
      <c r="AA543" s="111" t="s">
        <v>1587</v>
      </c>
      <c r="AC543" s="22" t="s">
        <v>64</v>
      </c>
      <c r="AD543" s="84">
        <v>43704</v>
      </c>
      <c r="AE543" s="83">
        <v>43724</v>
      </c>
      <c r="AF543" s="33">
        <f t="shared" si="196"/>
        <v>20</v>
      </c>
      <c r="AG543" s="116"/>
      <c r="AH543" s="245"/>
    </row>
    <row r="544" spans="1:45" ht="16.5" customHeight="1">
      <c r="A544" s="143"/>
      <c r="B544" s="80">
        <v>-22</v>
      </c>
      <c r="C544" s="80">
        <v>-32</v>
      </c>
      <c r="D544" s="80">
        <v>-22</v>
      </c>
      <c r="E544" s="80">
        <v>-32</v>
      </c>
      <c r="F544" s="6">
        <v>4.38</v>
      </c>
      <c r="G544" s="81">
        <v>1304</v>
      </c>
      <c r="H544" s="50" t="s">
        <v>1403</v>
      </c>
      <c r="I544" s="22" t="s">
        <v>64</v>
      </c>
      <c r="J544" s="8">
        <f>IFERROR(VLOOKUP($G544,今日總結!$A:$AN,33,0),"")</f>
        <v>0</v>
      </c>
      <c r="K544" s="5">
        <f>IFERROR(VLOOKUP($G544,今日總結!$A:$AN,34,0),"")</f>
        <v>0</v>
      </c>
      <c r="L544" s="156">
        <f>IFERROR(VLOOKUP($G544,今日總結!$A:$AN,31,0),"")</f>
        <v>3</v>
      </c>
      <c r="M544" s="337">
        <f>IFERROR(VLOOKUP($G544,今日總結!$A:$AN,32,0),"")</f>
        <v>0</v>
      </c>
      <c r="N544" s="240">
        <f t="shared" si="193"/>
        <v>3</v>
      </c>
      <c r="O544" s="359">
        <f>IFERROR(VLOOKUP($G544,融外自投!$A:$J,7,0),"無")</f>
        <v>883</v>
      </c>
      <c r="P544" s="79">
        <f>IFERROR(VLOOKUP($G544,融外自投!$A:$J,9,0),"無")</f>
        <v>550</v>
      </c>
      <c r="Q544" s="342">
        <f>IFERROR(VLOOKUP($G544,融外自投!$A:$J,8,0),"無")</f>
        <v>158</v>
      </c>
      <c r="R544" s="81">
        <f>IFERROR(VLOOKUP($G544,融外自投!$A:$J,10,0),"無")</f>
        <v>495</v>
      </c>
      <c r="S544" s="324">
        <f>IFERROR(VLOOKUP($G544,'321買'!$A:$E,5,0),"'沒有資料'")</f>
        <v>0</v>
      </c>
      <c r="T544" s="34">
        <v>0.3</v>
      </c>
      <c r="V544" s="94">
        <f t="shared" si="192"/>
        <v>2.2058823529411766E-2</v>
      </c>
      <c r="W544" s="36">
        <v>13.6</v>
      </c>
      <c r="X544" s="66">
        <v>12.6</v>
      </c>
      <c r="Y544" s="15">
        <f t="shared" si="194"/>
        <v>1</v>
      </c>
      <c r="Z544" s="63">
        <f t="shared" si="195"/>
        <v>7.9365079365079361E-2</v>
      </c>
      <c r="AA544" s="111" t="s">
        <v>1587</v>
      </c>
      <c r="AC544" s="22" t="s">
        <v>64</v>
      </c>
      <c r="AD544" s="84">
        <v>43704</v>
      </c>
      <c r="AE544" s="83">
        <v>43724</v>
      </c>
      <c r="AF544" s="33">
        <f t="shared" si="196"/>
        <v>20</v>
      </c>
      <c r="AG544" s="116"/>
      <c r="AH544" s="245"/>
    </row>
    <row r="545" spans="1:34" ht="16.5" customHeight="1">
      <c r="A545" s="143"/>
      <c r="B545" s="80">
        <v>-22</v>
      </c>
      <c r="C545" s="80">
        <v>-32</v>
      </c>
      <c r="D545" s="80">
        <v>-22</v>
      </c>
      <c r="E545" s="80">
        <v>-32</v>
      </c>
      <c r="F545" s="6">
        <v>4.38</v>
      </c>
      <c r="G545" s="81">
        <v>1304</v>
      </c>
      <c r="H545" s="50" t="s">
        <v>1403</v>
      </c>
      <c r="I545" s="22" t="s">
        <v>64</v>
      </c>
      <c r="J545" s="8">
        <f>IFERROR(VLOOKUP($G545,今日總結!$A:$AN,33,0),"")</f>
        <v>0</v>
      </c>
      <c r="K545" s="5">
        <f>IFERROR(VLOOKUP($G545,今日總結!$A:$AN,34,0),"")</f>
        <v>0</v>
      </c>
      <c r="L545" s="156">
        <f>IFERROR(VLOOKUP($G545,今日總結!$A:$AN,31,0),"")</f>
        <v>3</v>
      </c>
      <c r="M545" s="337">
        <f>IFERROR(VLOOKUP($G545,今日總結!$A:$AN,32,0),"")</f>
        <v>0</v>
      </c>
      <c r="N545" s="240">
        <f t="shared" si="193"/>
        <v>3</v>
      </c>
      <c r="O545" s="359">
        <f>IFERROR(VLOOKUP($G545,融外自投!$A:$J,7,0),"無")</f>
        <v>883</v>
      </c>
      <c r="P545" s="79">
        <f>IFERROR(VLOOKUP($G545,融外自投!$A:$J,9,0),"無")</f>
        <v>550</v>
      </c>
      <c r="Q545" s="342">
        <f>IFERROR(VLOOKUP($G545,融外自投!$A:$J,8,0),"無")</f>
        <v>158</v>
      </c>
      <c r="R545" s="81">
        <f>IFERROR(VLOOKUP($G545,融外自投!$A:$J,10,0),"無")</f>
        <v>495</v>
      </c>
      <c r="S545" s="324">
        <f>IFERROR(VLOOKUP($G545,'321買'!$A:$E,5,0),"'沒有資料'")</f>
        <v>0</v>
      </c>
      <c r="T545" s="34">
        <v>0.3</v>
      </c>
      <c r="V545" s="94">
        <f t="shared" si="192"/>
        <v>2.2058823529411766E-2</v>
      </c>
      <c r="W545" s="36">
        <v>13.6</v>
      </c>
      <c r="X545" s="66">
        <v>12.7</v>
      </c>
      <c r="Y545" s="15">
        <f t="shared" si="194"/>
        <v>0.90000000000000036</v>
      </c>
      <c r="Z545" s="63">
        <f t="shared" si="195"/>
        <v>7.0866141732283491E-2</v>
      </c>
      <c r="AA545" s="111" t="s">
        <v>1588</v>
      </c>
      <c r="AC545" s="22" t="s">
        <v>64</v>
      </c>
      <c r="AD545" s="84">
        <v>43710</v>
      </c>
      <c r="AE545" s="83">
        <v>43724</v>
      </c>
      <c r="AF545" s="33">
        <f t="shared" si="196"/>
        <v>14</v>
      </c>
      <c r="AG545" s="116"/>
      <c r="AH545" s="245"/>
    </row>
    <row r="546" spans="1:34" ht="16.5" customHeight="1">
      <c r="A546" s="143"/>
      <c r="B546" s="80">
        <v>-22</v>
      </c>
      <c r="C546" s="80">
        <v>-32</v>
      </c>
      <c r="D546" s="80">
        <v>-22</v>
      </c>
      <c r="E546" s="80">
        <v>-32</v>
      </c>
      <c r="F546" s="6">
        <v>4.38</v>
      </c>
      <c r="G546" s="81">
        <v>1304</v>
      </c>
      <c r="H546" s="50" t="s">
        <v>1403</v>
      </c>
      <c r="I546" s="22" t="s">
        <v>64</v>
      </c>
      <c r="J546" s="8">
        <f>IFERROR(VLOOKUP($G546,今日總結!$A:$AN,33,0),"")</f>
        <v>0</v>
      </c>
      <c r="K546" s="5">
        <f>IFERROR(VLOOKUP($G546,今日總結!$A:$AN,34,0),"")</f>
        <v>0</v>
      </c>
      <c r="L546" s="156">
        <f>IFERROR(VLOOKUP($G546,今日總結!$A:$AN,31,0),"")</f>
        <v>3</v>
      </c>
      <c r="M546" s="337">
        <f>IFERROR(VLOOKUP($G546,今日總結!$A:$AN,32,0),"")</f>
        <v>0</v>
      </c>
      <c r="N546" s="240">
        <f t="shared" si="193"/>
        <v>3</v>
      </c>
      <c r="O546" s="359">
        <f>IFERROR(VLOOKUP($G546,融外自投!$A:$J,7,0),"無")</f>
        <v>883</v>
      </c>
      <c r="P546" s="79">
        <f>IFERROR(VLOOKUP($G546,融外自投!$A:$J,9,0),"無")</f>
        <v>550</v>
      </c>
      <c r="Q546" s="342">
        <f>IFERROR(VLOOKUP($G546,融外自投!$A:$J,8,0),"無")</f>
        <v>158</v>
      </c>
      <c r="R546" s="81">
        <f>IFERROR(VLOOKUP($G546,融外自投!$A:$J,10,0),"無")</f>
        <v>495</v>
      </c>
      <c r="S546" s="324">
        <f>IFERROR(VLOOKUP($G546,'321買'!$A:$E,5,0),"'沒有資料'")</f>
        <v>0</v>
      </c>
      <c r="T546" s="34">
        <v>0.3</v>
      </c>
      <c r="V546" s="94">
        <f t="shared" si="192"/>
        <v>2.2058823529411766E-2</v>
      </c>
      <c r="W546" s="36">
        <v>13.6</v>
      </c>
      <c r="X546" s="66">
        <v>12.7</v>
      </c>
      <c r="Y546" s="15">
        <f t="shared" si="194"/>
        <v>0.90000000000000036</v>
      </c>
      <c r="Z546" s="63">
        <f t="shared" si="195"/>
        <v>7.0866141732283491E-2</v>
      </c>
      <c r="AA546" s="111" t="s">
        <v>1589</v>
      </c>
      <c r="AC546" s="22" t="s">
        <v>64</v>
      </c>
      <c r="AD546" s="84">
        <v>43710</v>
      </c>
      <c r="AE546" s="83">
        <v>43724</v>
      </c>
      <c r="AF546" s="33">
        <f t="shared" si="196"/>
        <v>14</v>
      </c>
      <c r="AG546" s="116"/>
      <c r="AH546" s="245"/>
    </row>
    <row r="547" spans="1:34">
      <c r="B547" s="80"/>
      <c r="C547" s="80"/>
      <c r="D547" s="80"/>
      <c r="E547" s="80"/>
      <c r="F547" s="6"/>
      <c r="G547" s="41"/>
      <c r="H547" s="8"/>
      <c r="I547" s="22"/>
      <c r="L547" s="123"/>
      <c r="T547" s="34"/>
      <c r="V547" s="57"/>
      <c r="W547" s="13">
        <f>SUM(W537:W546)</f>
        <v>135.79999999999998</v>
      </c>
      <c r="X547" s="66">
        <f>SUM(X537:X546)</f>
        <v>133.84999999999997</v>
      </c>
      <c r="Y547" s="15">
        <f>W547-X547</f>
        <v>1.9500000000000171</v>
      </c>
      <c r="Z547" s="63">
        <f>Y547/X547</f>
        <v>1.4568546880836889E-2</v>
      </c>
      <c r="AA547" s="113"/>
      <c r="AC547" s="22"/>
      <c r="AF547" s="33"/>
    </row>
    <row r="548" spans="1:34">
      <c r="A548" s="127" t="s">
        <v>1672</v>
      </c>
      <c r="B548" s="90" t="s">
        <v>1571</v>
      </c>
      <c r="C548" s="90" t="s">
        <v>1572</v>
      </c>
      <c r="D548" s="90" t="s">
        <v>1573</v>
      </c>
      <c r="E548" s="90" t="s">
        <v>1574</v>
      </c>
      <c r="F548" s="8" t="s">
        <v>1059</v>
      </c>
      <c r="G548" s="25" t="s">
        <v>386</v>
      </c>
      <c r="H548" s="55" t="s">
        <v>320</v>
      </c>
      <c r="I548" s="1" t="s">
        <v>69</v>
      </c>
      <c r="L548" s="123"/>
      <c r="S548" s="319" t="s">
        <v>1053</v>
      </c>
      <c r="T548" s="10" t="s">
        <v>66</v>
      </c>
      <c r="V548" s="68" t="s">
        <v>1492</v>
      </c>
      <c r="W548" s="28" t="s">
        <v>2</v>
      </c>
      <c r="X548" s="17" t="s">
        <v>1398</v>
      </c>
      <c r="Y548" s="14" t="s">
        <v>5</v>
      </c>
      <c r="Z548" s="21" t="s">
        <v>3</v>
      </c>
      <c r="AA548" s="25" t="s">
        <v>105</v>
      </c>
      <c r="AC548" s="1" t="s">
        <v>69</v>
      </c>
      <c r="AD548" s="71" t="s">
        <v>1399</v>
      </c>
      <c r="AE548" s="72" t="s">
        <v>1156</v>
      </c>
      <c r="AF548" s="32" t="s">
        <v>1157</v>
      </c>
      <c r="AG548" s="46" t="s">
        <v>1569</v>
      </c>
    </row>
    <row r="549" spans="1:34" ht="16.5" customHeight="1">
      <c r="B549" s="80">
        <v>-467</v>
      </c>
      <c r="C549" s="80">
        <v>-992</v>
      </c>
      <c r="D549" s="80">
        <v>-467</v>
      </c>
      <c r="E549" s="80">
        <v>-992</v>
      </c>
      <c r="F549" s="6">
        <v>-9.84</v>
      </c>
      <c r="G549" s="79">
        <v>3545</v>
      </c>
      <c r="H549" s="50" t="s">
        <v>1403</v>
      </c>
      <c r="I549" s="22" t="s">
        <v>347</v>
      </c>
      <c r="J549" s="8">
        <f>IFERROR(VLOOKUP($G549,今日總結!$A:$AN,33,0),"")</f>
        <v>3</v>
      </c>
      <c r="K549" s="5">
        <f>IFERROR(VLOOKUP($G549,今日總結!$A:$AN,34,0),"")</f>
        <v>0</v>
      </c>
      <c r="L549" s="156">
        <f>IFERROR(VLOOKUP($G549,今日總結!$A:$AN,31,0),"")</f>
        <v>0</v>
      </c>
      <c r="M549" s="337">
        <f>IFERROR(VLOOKUP($G549,今日總結!$A:$AN,32,0),"")</f>
        <v>1</v>
      </c>
      <c r="N549" s="240">
        <f t="shared" ref="N549:N550" si="197">IFERROR(L549-M549,"")</f>
        <v>-1</v>
      </c>
      <c r="O549" s="359">
        <f>IFERROR(VLOOKUP($G549,融外自投!$A:$J,7,0),"無")</f>
        <v>56</v>
      </c>
      <c r="P549" s="79">
        <f>IFERROR(VLOOKUP($G549,融外自投!$A:$J,9,0),"無")</f>
        <v>88</v>
      </c>
      <c r="Q549" s="342">
        <f>IFERROR(VLOOKUP($G549,融外自投!$A:$J,8,0),"無")</f>
        <v>397</v>
      </c>
      <c r="R549" s="81">
        <f>IFERROR(VLOOKUP($G549,融外自投!$A:$J,10,0),"無")</f>
        <v>495</v>
      </c>
      <c r="S549" s="324">
        <f>IFERROR(VLOOKUP($G549,'321買'!$A:$E,5,0),"'沒有資料'")</f>
        <v>0</v>
      </c>
      <c r="T549" s="34">
        <v>0.52</v>
      </c>
      <c r="V549" s="94">
        <f>T549/W549</f>
        <v>2.2365591397849462E-2</v>
      </c>
      <c r="W549" s="36">
        <v>23.25</v>
      </c>
      <c r="X549" s="45">
        <v>22.4</v>
      </c>
      <c r="Y549" s="15">
        <f>W549-X549</f>
        <v>0.85000000000000142</v>
      </c>
      <c r="Z549" s="63">
        <f>Y549/X549</f>
        <v>3.7946428571428638E-2</v>
      </c>
      <c r="AA549" s="111" t="s">
        <v>1568</v>
      </c>
      <c r="AC549" s="22" t="s">
        <v>347</v>
      </c>
      <c r="AD549" s="84">
        <v>43696</v>
      </c>
      <c r="AE549" s="83">
        <v>43713</v>
      </c>
      <c r="AF549" s="33">
        <f>AE549-AD549</f>
        <v>17</v>
      </c>
      <c r="AG549" s="116"/>
    </row>
    <row r="550" spans="1:34" ht="16.5" customHeight="1">
      <c r="B550" s="80">
        <v>-467</v>
      </c>
      <c r="C550" s="80">
        <v>-992</v>
      </c>
      <c r="D550" s="80">
        <v>-467</v>
      </c>
      <c r="E550" s="80">
        <v>-992</v>
      </c>
      <c r="F550" s="6">
        <v>-9.84</v>
      </c>
      <c r="G550" s="79">
        <v>3545</v>
      </c>
      <c r="H550" s="50" t="s">
        <v>1403</v>
      </c>
      <c r="I550" s="22" t="s">
        <v>347</v>
      </c>
      <c r="J550" s="8">
        <f>IFERROR(VLOOKUP($G550,今日總結!$A:$AN,33,0),"")</f>
        <v>3</v>
      </c>
      <c r="K550" s="5">
        <f>IFERROR(VLOOKUP($G550,今日總結!$A:$AN,34,0),"")</f>
        <v>0</v>
      </c>
      <c r="L550" s="156">
        <f>IFERROR(VLOOKUP($G550,今日總結!$A:$AN,31,0),"")</f>
        <v>0</v>
      </c>
      <c r="M550" s="337">
        <f>IFERROR(VLOOKUP($G550,今日總結!$A:$AN,32,0),"")</f>
        <v>1</v>
      </c>
      <c r="N550" s="240">
        <f t="shared" si="197"/>
        <v>-1</v>
      </c>
      <c r="O550" s="359">
        <f>IFERROR(VLOOKUP($G550,融外自投!$A:$J,7,0),"無")</f>
        <v>56</v>
      </c>
      <c r="P550" s="79">
        <f>IFERROR(VLOOKUP($G550,融外自投!$A:$J,9,0),"無")</f>
        <v>88</v>
      </c>
      <c r="Q550" s="342">
        <f>IFERROR(VLOOKUP($G550,融外自投!$A:$J,8,0),"無")</f>
        <v>397</v>
      </c>
      <c r="R550" s="81">
        <f>IFERROR(VLOOKUP($G550,融外自投!$A:$J,10,0),"無")</f>
        <v>495</v>
      </c>
      <c r="S550" s="324">
        <f>IFERROR(VLOOKUP($G550,'321買'!$A:$E,5,0),"'沒有資料'")</f>
        <v>0</v>
      </c>
      <c r="T550" s="34">
        <v>0.52</v>
      </c>
      <c r="V550" s="94">
        <f>T550/W550</f>
        <v>2.2365591397849462E-2</v>
      </c>
      <c r="W550" s="36">
        <v>23.25</v>
      </c>
      <c r="X550" s="45">
        <v>22.4</v>
      </c>
      <c r="Y550" s="15">
        <f>W550-X550</f>
        <v>0.85000000000000142</v>
      </c>
      <c r="Z550" s="63">
        <f>Y550/X550</f>
        <v>3.7946428571428638E-2</v>
      </c>
      <c r="AA550" s="111" t="s">
        <v>1568</v>
      </c>
      <c r="AC550" s="22" t="s">
        <v>347</v>
      </c>
      <c r="AD550" s="84">
        <v>43696</v>
      </c>
      <c r="AE550" s="83">
        <v>43713</v>
      </c>
      <c r="AF550" s="33">
        <f>AE550-AD550</f>
        <v>17</v>
      </c>
      <c r="AG550" s="49"/>
    </row>
    <row r="551" spans="1:34" ht="16.5" customHeight="1">
      <c r="B551" s="80"/>
      <c r="C551" s="80"/>
      <c r="D551" s="80"/>
      <c r="E551" s="80"/>
      <c r="F551" s="6"/>
      <c r="G551" s="41"/>
      <c r="H551" s="50"/>
      <c r="I551" s="22"/>
      <c r="L551" s="123"/>
      <c r="R551" s="81"/>
      <c r="S551" s="324"/>
      <c r="T551" s="34"/>
      <c r="V551" s="94"/>
      <c r="W551" s="36">
        <f>SUM(W549:W550)</f>
        <v>46.5</v>
      </c>
      <c r="X551" s="45">
        <f>SUM(X549:X550)</f>
        <v>44.8</v>
      </c>
      <c r="Y551" s="15">
        <f>SUM(Y549:Y550)</f>
        <v>1.7000000000000028</v>
      </c>
      <c r="Z551" s="63">
        <f>Y551/X551</f>
        <v>3.7946428571428638E-2</v>
      </c>
      <c r="AA551" s="111"/>
      <c r="AC551" s="22"/>
      <c r="AF551" s="33"/>
      <c r="AG551" s="49"/>
    </row>
    <row r="552" spans="1:34">
      <c r="A552" s="127" t="s">
        <v>1672</v>
      </c>
      <c r="B552" s="90" t="s">
        <v>1571</v>
      </c>
      <c r="C552" s="90" t="s">
        <v>1572</v>
      </c>
      <c r="D552" s="90" t="s">
        <v>1573</v>
      </c>
      <c r="E552" s="90" t="s">
        <v>1574</v>
      </c>
      <c r="F552" s="8" t="s">
        <v>1059</v>
      </c>
      <c r="G552" s="25" t="s">
        <v>386</v>
      </c>
      <c r="H552" s="55" t="s">
        <v>320</v>
      </c>
      <c r="I552" s="1" t="s">
        <v>69</v>
      </c>
      <c r="L552" s="123"/>
      <c r="S552" s="319" t="s">
        <v>1053</v>
      </c>
      <c r="T552" s="10" t="s">
        <v>66</v>
      </c>
      <c r="V552" s="68" t="s">
        <v>1492</v>
      </c>
      <c r="W552" s="28" t="s">
        <v>2</v>
      </c>
      <c r="X552" s="17" t="s">
        <v>1398</v>
      </c>
      <c r="Y552" s="14" t="s">
        <v>5</v>
      </c>
      <c r="Z552" s="21" t="s">
        <v>3</v>
      </c>
      <c r="AA552" s="25" t="s">
        <v>105</v>
      </c>
      <c r="AC552" s="1" t="s">
        <v>69</v>
      </c>
      <c r="AD552" s="71" t="s">
        <v>1399</v>
      </c>
      <c r="AE552" s="72" t="s">
        <v>1156</v>
      </c>
      <c r="AF552" s="32" t="s">
        <v>1157</v>
      </c>
      <c r="AG552" s="46" t="s">
        <v>1576</v>
      </c>
    </row>
    <row r="553" spans="1:34">
      <c r="B553" s="80">
        <v>-45</v>
      </c>
      <c r="C553" s="80">
        <v>-62</v>
      </c>
      <c r="D553" s="80">
        <v>-45</v>
      </c>
      <c r="E553" s="80">
        <v>-62</v>
      </c>
      <c r="F553" s="57">
        <v>10.51</v>
      </c>
      <c r="G553" s="81">
        <v>6216</v>
      </c>
      <c r="H553" s="50" t="s">
        <v>1403</v>
      </c>
      <c r="I553" s="22" t="s">
        <v>523</v>
      </c>
      <c r="J553" s="8">
        <f>IFERROR(VLOOKUP($G553,今日總結!$A:$AN,33,0),"")</f>
        <v>6</v>
      </c>
      <c r="K553" s="5">
        <f>IFERROR(VLOOKUP($G553,今日總結!$A:$AN,34,0),"")</f>
        <v>0</v>
      </c>
      <c r="L553" s="156">
        <f>IFERROR(VLOOKUP($G553,今日總結!$A:$AN,31,0),"")</f>
        <v>3</v>
      </c>
      <c r="M553" s="337">
        <f>IFERROR(VLOOKUP($G553,今日總結!$A:$AN,32,0),"")</f>
        <v>0</v>
      </c>
      <c r="N553" s="240">
        <f t="shared" ref="N553:N554" si="198">IFERROR(L553-M553,"")</f>
        <v>3</v>
      </c>
      <c r="O553" s="359">
        <f>IFERROR(VLOOKUP($G553,融外自投!$A:$J,7,0),"無")</f>
        <v>671</v>
      </c>
      <c r="P553" s="79">
        <f>IFERROR(VLOOKUP($G553,融外自投!$A:$J,9,0),"無")</f>
        <v>442</v>
      </c>
      <c r="Q553" s="342">
        <f>IFERROR(VLOOKUP($G553,融外自投!$A:$J,8,0),"無")</f>
        <v>1130</v>
      </c>
      <c r="R553" s="81" t="str">
        <f>IFERROR(VLOOKUP($G553,融外自投!$A:$J,10,0),"無")</f>
        <v>無</v>
      </c>
      <c r="S553" s="324">
        <f>IFERROR(VLOOKUP($G553,'321買'!$A:$E,5,0),"'沒有資料'")</f>
        <v>0</v>
      </c>
      <c r="T553" s="34">
        <v>1.98</v>
      </c>
      <c r="V553" s="94">
        <f>T553/W553</f>
        <v>6.815834767641997E-2</v>
      </c>
      <c r="W553" s="36">
        <v>29.05</v>
      </c>
      <c r="X553" s="66">
        <f>30.34-2.06</f>
        <v>28.28</v>
      </c>
      <c r="Y553" s="15">
        <f>W553-X553</f>
        <v>0.76999999999999957</v>
      </c>
      <c r="Z553" s="63">
        <f>Y553/X553</f>
        <v>2.722772277227721E-2</v>
      </c>
      <c r="AA553" s="128" t="s">
        <v>1495</v>
      </c>
      <c r="AC553" s="22" t="s">
        <v>523</v>
      </c>
      <c r="AD553" s="84">
        <v>43321</v>
      </c>
      <c r="AE553" s="83">
        <v>43697</v>
      </c>
      <c r="AF553" s="33">
        <f>AE553-AD553</f>
        <v>376</v>
      </c>
      <c r="AG553" s="49"/>
    </row>
    <row r="554" spans="1:34">
      <c r="B554" s="79">
        <v>525</v>
      </c>
      <c r="C554" s="79">
        <v>8</v>
      </c>
      <c r="D554" s="79">
        <v>525</v>
      </c>
      <c r="E554" s="79">
        <v>8</v>
      </c>
      <c r="F554" s="6">
        <v>4.24</v>
      </c>
      <c r="G554" s="79">
        <v>6108</v>
      </c>
      <c r="H554" s="50" t="s">
        <v>1403</v>
      </c>
      <c r="I554" s="22" t="s">
        <v>394</v>
      </c>
      <c r="J554" s="8">
        <f>IFERROR(VLOOKUP($G554,今日總結!$A:$AN,33,0),"")</f>
        <v>0</v>
      </c>
      <c r="K554" s="5">
        <f>IFERROR(VLOOKUP($G554,今日總結!$A:$AN,34,0),"")</f>
        <v>0</v>
      </c>
      <c r="L554" s="156">
        <f>IFERROR(VLOOKUP($G554,今日總結!$A:$AN,31,0),"")</f>
        <v>0</v>
      </c>
      <c r="M554" s="337">
        <f>IFERROR(VLOOKUP($G554,今日總結!$A:$AN,32,0),"")</f>
        <v>0</v>
      </c>
      <c r="N554" s="240">
        <f t="shared" si="198"/>
        <v>0</v>
      </c>
      <c r="O554" s="359">
        <f>IFERROR(VLOOKUP($G554,融外自投!$A:$J,7,0),"無")</f>
        <v>800</v>
      </c>
      <c r="P554" s="79">
        <f>IFERROR(VLOOKUP($G554,融外自投!$A:$J,9,0),"無")</f>
        <v>908</v>
      </c>
      <c r="Q554" s="342">
        <f>IFERROR(VLOOKUP($G554,融外自投!$A:$J,8,0),"無")</f>
        <v>862</v>
      </c>
      <c r="R554" s="81" t="str">
        <f>IFERROR(VLOOKUP($G554,融外自投!$A:$J,10,0),"無")</f>
        <v>無</v>
      </c>
      <c r="S554" s="324">
        <f>IFERROR(VLOOKUP($G554,'321買'!$A:$E,5,0),"'沒有資料'")</f>
        <v>0</v>
      </c>
      <c r="T554" s="34">
        <v>2.5</v>
      </c>
      <c r="V554" s="94">
        <f>T554/W554</f>
        <v>9.727626459143969E-2</v>
      </c>
      <c r="W554" s="36">
        <v>25.7</v>
      </c>
      <c r="X554" s="66">
        <f>27.08-2.5</f>
        <v>24.58</v>
      </c>
      <c r="Y554" s="15">
        <f>W554-X554</f>
        <v>1.120000000000001</v>
      </c>
      <c r="Z554" s="63">
        <f>Y554/X554</f>
        <v>4.5565500406834866E-2</v>
      </c>
      <c r="AA554" s="128" t="s">
        <v>1484</v>
      </c>
      <c r="AC554" s="22" t="s">
        <v>394</v>
      </c>
      <c r="AD554" s="84">
        <v>43335</v>
      </c>
      <c r="AE554" s="83">
        <v>43690</v>
      </c>
      <c r="AF554" s="33">
        <f>AE554-AD554</f>
        <v>355</v>
      </c>
      <c r="AG554" s="49"/>
    </row>
    <row r="555" spans="1:34">
      <c r="B555" s="79">
        <v>525</v>
      </c>
      <c r="C555" s="79">
        <v>8</v>
      </c>
      <c r="D555" s="79">
        <v>525</v>
      </c>
      <c r="E555" s="79">
        <v>8</v>
      </c>
      <c r="F555" s="6">
        <v>4.24</v>
      </c>
      <c r="G555" s="79">
        <v>6108</v>
      </c>
      <c r="H555" s="8" t="s">
        <v>1402</v>
      </c>
      <c r="I555" s="22" t="s">
        <v>394</v>
      </c>
      <c r="J555" s="8">
        <f>IFERROR(VLOOKUP($G555,今日總結!$A:$AN,33,0),"")</f>
        <v>0</v>
      </c>
      <c r="K555" s="5">
        <f>IFERROR(VLOOKUP($G555,今日總結!$A:$AN,34,0),"")</f>
        <v>0</v>
      </c>
      <c r="L555" s="156">
        <f>IFERROR(VLOOKUP($G555,今日總結!$A:$AN,31,0),"")</f>
        <v>0</v>
      </c>
      <c r="M555" s="337">
        <f>IFERROR(VLOOKUP($G555,今日總結!$A:$AN,32,0),"")</f>
        <v>0</v>
      </c>
      <c r="N555" s="240">
        <f t="shared" ref="N555" si="199">IFERROR(L555-M555,"")</f>
        <v>0</v>
      </c>
      <c r="O555" s="359">
        <f>IFERROR(VLOOKUP($G555,融外自投!$A:$J,7,0),"無")</f>
        <v>800</v>
      </c>
      <c r="P555" s="79">
        <f>IFERROR(VLOOKUP($G555,融外自投!$A:$J,9,0),"無")</f>
        <v>908</v>
      </c>
      <c r="Q555" s="342">
        <f>IFERROR(VLOOKUP($G555,融外自投!$A:$J,8,0),"無")</f>
        <v>862</v>
      </c>
      <c r="R555" s="81" t="str">
        <f>IFERROR(VLOOKUP($G555,融外自投!$A:$J,10,0),"無")</f>
        <v>無</v>
      </c>
      <c r="S555" s="324">
        <f>IFERROR(VLOOKUP($G555,'321買'!$A:$E,5,0),"'沒有資料'")</f>
        <v>0</v>
      </c>
      <c r="T555" s="34">
        <v>2.5</v>
      </c>
      <c r="V555" s="94">
        <f>T555/W555</f>
        <v>9.727626459143969E-2</v>
      </c>
      <c r="W555" s="36">
        <v>25.7</v>
      </c>
      <c r="X555" s="66">
        <f>27.03-2.5</f>
        <v>24.53</v>
      </c>
      <c r="Y555" s="15">
        <f>W555-X555</f>
        <v>1.1699999999999982</v>
      </c>
      <c r="Z555" s="63">
        <f>Y555/X555</f>
        <v>4.7696697920913092E-2</v>
      </c>
      <c r="AA555" s="128" t="s">
        <v>1483</v>
      </c>
      <c r="AC555" s="22" t="s">
        <v>394</v>
      </c>
      <c r="AD555" s="84">
        <v>43360</v>
      </c>
      <c r="AE555" s="83">
        <v>43690</v>
      </c>
      <c r="AF555" s="33">
        <f>AE555-AD555</f>
        <v>330</v>
      </c>
      <c r="AG555" s="49"/>
    </row>
    <row r="556" spans="1:34">
      <c r="B556" s="79"/>
      <c r="C556" s="79"/>
      <c r="D556" s="79"/>
      <c r="E556" s="79"/>
      <c r="F556" s="6"/>
      <c r="H556" s="8"/>
      <c r="I556" s="22"/>
      <c r="L556" s="123"/>
      <c r="T556" s="34"/>
      <c r="V556" s="94"/>
      <c r="W556" s="13">
        <f>SUM(W553:W555)</f>
        <v>80.45</v>
      </c>
      <c r="X556" s="45">
        <f>SUM(X553:X555)</f>
        <v>77.39</v>
      </c>
      <c r="Y556" s="15">
        <f>W556-X556</f>
        <v>3.0600000000000023</v>
      </c>
      <c r="Z556" s="63">
        <f>Y556/X556</f>
        <v>3.9539992247060375E-2</v>
      </c>
      <c r="AA556" s="128"/>
      <c r="AC556" s="22"/>
      <c r="AF556" s="33"/>
      <c r="AG556" s="121"/>
    </row>
    <row r="557" spans="1:34">
      <c r="A557" s="127" t="s">
        <v>1672</v>
      </c>
      <c r="B557" s="90" t="s">
        <v>1571</v>
      </c>
      <c r="C557" s="90" t="s">
        <v>1572</v>
      </c>
      <c r="D557" s="90" t="s">
        <v>1573</v>
      </c>
      <c r="E557" s="90" t="s">
        <v>1574</v>
      </c>
      <c r="F557" s="8" t="s">
        <v>1059</v>
      </c>
      <c r="G557" s="25" t="s">
        <v>386</v>
      </c>
      <c r="H557" s="55" t="s">
        <v>320</v>
      </c>
      <c r="I557" s="1" t="s">
        <v>69</v>
      </c>
      <c r="L557" s="123"/>
      <c r="S557" s="319" t="s">
        <v>1053</v>
      </c>
      <c r="T557" s="10" t="s">
        <v>66</v>
      </c>
      <c r="V557" s="68" t="s">
        <v>1492</v>
      </c>
      <c r="W557" s="28" t="s">
        <v>2</v>
      </c>
      <c r="X557" s="17" t="s">
        <v>1398</v>
      </c>
      <c r="Y557" s="14" t="s">
        <v>5</v>
      </c>
      <c r="Z557" s="21" t="s">
        <v>3</v>
      </c>
      <c r="AA557" s="25" t="s">
        <v>105</v>
      </c>
      <c r="AC557" s="1" t="s">
        <v>69</v>
      </c>
      <c r="AD557" s="71" t="s">
        <v>1399</v>
      </c>
      <c r="AE557" s="72" t="s">
        <v>1156</v>
      </c>
      <c r="AF557" s="32" t="s">
        <v>1157</v>
      </c>
      <c r="AG557" s="46" t="s">
        <v>1575</v>
      </c>
    </row>
    <row r="558" spans="1:34">
      <c r="A558" s="41"/>
      <c r="B558" s="80">
        <v>-92</v>
      </c>
      <c r="C558" s="80">
        <v>-95</v>
      </c>
      <c r="D558" s="80">
        <v>-92</v>
      </c>
      <c r="E558" s="80">
        <v>-95</v>
      </c>
      <c r="F558" s="6">
        <v>1.42</v>
      </c>
      <c r="G558" s="81">
        <v>2337</v>
      </c>
      <c r="H558" s="50" t="s">
        <v>1403</v>
      </c>
      <c r="I558" s="22" t="s">
        <v>42</v>
      </c>
      <c r="J558" s="8">
        <f>IFERROR(VLOOKUP($G558,今日總結!$A:$AN,33,0),"")</f>
        <v>0</v>
      </c>
      <c r="K558" s="5">
        <f>IFERROR(VLOOKUP($G558,今日總結!$A:$AN,34,0),"")</f>
        <v>0</v>
      </c>
      <c r="L558" s="156">
        <f>IFERROR(VLOOKUP($G558,今日總結!$A:$AN,31,0),"")</f>
        <v>5</v>
      </c>
      <c r="M558" s="337">
        <f>IFERROR(VLOOKUP($G558,今日總結!$A:$AN,32,0),"")</f>
        <v>0</v>
      </c>
      <c r="N558" s="240">
        <f t="shared" ref="N558:N560" si="200">IFERROR(L558-M558,"")</f>
        <v>5</v>
      </c>
      <c r="O558" s="359">
        <f>IFERROR(VLOOKUP($G558,融外自投!$A:$J,7,0),"無")</f>
        <v>570</v>
      </c>
      <c r="P558" s="79">
        <f>IFERROR(VLOOKUP($G558,融外自投!$A:$J,9,0),"無")</f>
        <v>102</v>
      </c>
      <c r="Q558" s="342">
        <f>IFERROR(VLOOKUP($G558,融外自投!$A:$J,8,0),"無")</f>
        <v>239</v>
      </c>
      <c r="R558" s="81">
        <f>IFERROR(VLOOKUP($G558,融外自投!$A:$J,10,0),"無")</f>
        <v>102</v>
      </c>
      <c r="S558" s="324">
        <f>IFERROR(VLOOKUP($G558,'321買'!$A:$E,5,0),"'沒有資料'")</f>
        <v>0</v>
      </c>
      <c r="T558" s="34">
        <v>1.2</v>
      </c>
      <c r="V558" s="94">
        <f t="shared" ref="V558:V564" si="201">T558/W558</f>
        <v>3.8399999999999997E-2</v>
      </c>
      <c r="W558" s="36">
        <v>31.25</v>
      </c>
      <c r="X558" s="66">
        <v>21.58</v>
      </c>
      <c r="Y558" s="15">
        <f t="shared" ref="Y558:Y564" si="202">W558-X558</f>
        <v>9.6700000000000017</v>
      </c>
      <c r="Z558" s="63">
        <f t="shared" ref="Z558:Z565" si="203">Y558/X558</f>
        <v>0.44810009267840606</v>
      </c>
      <c r="AA558" s="111" t="s">
        <v>1460</v>
      </c>
      <c r="AC558" s="22" t="s">
        <v>42</v>
      </c>
      <c r="AD558" s="84">
        <v>43566</v>
      </c>
      <c r="AE558" s="83">
        <v>43676</v>
      </c>
      <c r="AF558" s="33">
        <f t="shared" ref="AF558:AF564" si="204">AE558-AD558</f>
        <v>110</v>
      </c>
      <c r="AG558" s="49"/>
    </row>
    <row r="559" spans="1:34">
      <c r="A559" s="41"/>
      <c r="B559" s="79">
        <v>249</v>
      </c>
      <c r="C559" s="79">
        <v>39</v>
      </c>
      <c r="D559" s="79">
        <v>249</v>
      </c>
      <c r="E559" s="79">
        <v>39</v>
      </c>
      <c r="F559" s="57">
        <v>12.02</v>
      </c>
      <c r="G559" s="81">
        <v>4164</v>
      </c>
      <c r="H559" s="50" t="s">
        <v>1403</v>
      </c>
      <c r="I559" s="22" t="s">
        <v>634</v>
      </c>
      <c r="J559" s="8">
        <f>IFERROR(VLOOKUP($G559,今日總結!$A:$AN,33,0),"")</f>
        <v>0</v>
      </c>
      <c r="K559" s="5">
        <f>IFERROR(VLOOKUP($G559,今日總結!$A:$AN,34,0),"")</f>
        <v>0</v>
      </c>
      <c r="L559" s="156">
        <f>IFERROR(VLOOKUP($G559,今日總結!$A:$AN,31,0),"")</f>
        <v>0</v>
      </c>
      <c r="M559" s="337">
        <f>IFERROR(VLOOKUP($G559,今日總結!$A:$AN,32,0),"")</f>
        <v>9</v>
      </c>
      <c r="N559" s="240">
        <f t="shared" si="200"/>
        <v>-9</v>
      </c>
      <c r="O559" s="359">
        <f>IFERROR(VLOOKUP($G559,融外自投!$A:$J,7,0),"無")</f>
        <v>920</v>
      </c>
      <c r="P559" s="79">
        <f>IFERROR(VLOOKUP($G559,融外自投!$A:$J,9,0),"無")</f>
        <v>596</v>
      </c>
      <c r="Q559" s="342">
        <f>IFERROR(VLOOKUP($G559,融外自投!$A:$J,8,0),"無")</f>
        <v>194</v>
      </c>
      <c r="R559" s="81">
        <f>IFERROR(VLOOKUP($G559,融外自投!$A:$J,10,0),"無")</f>
        <v>256</v>
      </c>
      <c r="S559" s="324">
        <f>IFERROR(VLOOKUP($G559,'321買'!$A:$E,5,0),"'沒有資料'")</f>
        <v>0</v>
      </c>
      <c r="T559" s="34">
        <v>1.8</v>
      </c>
      <c r="V559" s="57">
        <f t="shared" si="201"/>
        <v>3.7460978147762752E-2</v>
      </c>
      <c r="W559" s="13">
        <v>48.05</v>
      </c>
      <c r="X559" s="66">
        <f>35.75-1.8</f>
        <v>33.950000000000003</v>
      </c>
      <c r="Y559" s="15">
        <f t="shared" si="202"/>
        <v>14.099999999999994</v>
      </c>
      <c r="Z559" s="63">
        <f t="shared" si="203"/>
        <v>0.41531664212076563</v>
      </c>
      <c r="AA559" s="128" t="s">
        <v>1472</v>
      </c>
      <c r="AC559" s="22" t="s">
        <v>634</v>
      </c>
      <c r="AD559" s="84">
        <v>43362</v>
      </c>
      <c r="AE559" s="83">
        <v>43676</v>
      </c>
      <c r="AF559" s="33">
        <f t="shared" si="204"/>
        <v>314</v>
      </c>
      <c r="AG559" s="49"/>
    </row>
    <row r="560" spans="1:34">
      <c r="A560" s="41"/>
      <c r="B560" s="79">
        <v>249</v>
      </c>
      <c r="C560" s="79">
        <v>39</v>
      </c>
      <c r="D560" s="79">
        <v>249</v>
      </c>
      <c r="E560" s="79">
        <v>39</v>
      </c>
      <c r="F560" s="57">
        <v>12.02</v>
      </c>
      <c r="G560" s="81">
        <v>4164</v>
      </c>
      <c r="H560" s="8" t="s">
        <v>1402</v>
      </c>
      <c r="I560" s="22" t="s">
        <v>634</v>
      </c>
      <c r="J560" s="8">
        <f>IFERROR(VLOOKUP($G560,今日總結!$A:$AN,33,0),"")</f>
        <v>0</v>
      </c>
      <c r="K560" s="5">
        <f>IFERROR(VLOOKUP($G560,今日總結!$A:$AN,34,0),"")</f>
        <v>0</v>
      </c>
      <c r="L560" s="156">
        <f>IFERROR(VLOOKUP($G560,今日總結!$A:$AN,31,0),"")</f>
        <v>0</v>
      </c>
      <c r="M560" s="337">
        <f>IFERROR(VLOOKUP($G560,今日總結!$A:$AN,32,0),"")</f>
        <v>9</v>
      </c>
      <c r="N560" s="240">
        <f t="shared" si="200"/>
        <v>-9</v>
      </c>
      <c r="O560" s="359">
        <f>IFERROR(VLOOKUP($G560,融外自投!$A:$J,7,0),"無")</f>
        <v>920</v>
      </c>
      <c r="P560" s="79">
        <f>IFERROR(VLOOKUP($G560,融外自投!$A:$J,9,0),"無")</f>
        <v>596</v>
      </c>
      <c r="Q560" s="342">
        <f>IFERROR(VLOOKUP($G560,融外自投!$A:$J,8,0),"無")</f>
        <v>194</v>
      </c>
      <c r="R560" s="81">
        <f>IFERROR(VLOOKUP($G560,融外自投!$A:$J,10,0),"無")</f>
        <v>256</v>
      </c>
      <c r="S560" s="324">
        <f>IFERROR(VLOOKUP($G560,'321買'!$A:$E,5,0),"'沒有資料'")</f>
        <v>0</v>
      </c>
      <c r="T560" s="34">
        <v>1.8</v>
      </c>
      <c r="V560" s="57">
        <f t="shared" si="201"/>
        <v>3.7460978147762752E-2</v>
      </c>
      <c r="W560" s="13">
        <v>48.05</v>
      </c>
      <c r="X560" s="66">
        <f>35.75-1.8</f>
        <v>33.950000000000003</v>
      </c>
      <c r="Y560" s="15">
        <f t="shared" si="202"/>
        <v>14.099999999999994</v>
      </c>
      <c r="Z560" s="63">
        <f t="shared" si="203"/>
        <v>0.41531664212076563</v>
      </c>
      <c r="AA560" s="128" t="s">
        <v>1472</v>
      </c>
      <c r="AC560" s="22" t="s">
        <v>634</v>
      </c>
      <c r="AD560" s="84">
        <v>43362</v>
      </c>
      <c r="AE560" s="83">
        <v>43676</v>
      </c>
      <c r="AF560" s="33">
        <f t="shared" si="204"/>
        <v>314</v>
      </c>
      <c r="AG560" s="49"/>
    </row>
    <row r="561" spans="1:46">
      <c r="A561" s="41"/>
      <c r="B561" s="79">
        <v>476</v>
      </c>
      <c r="C561" s="79">
        <v>181</v>
      </c>
      <c r="D561" s="79">
        <v>476</v>
      </c>
      <c r="E561" s="79">
        <v>181</v>
      </c>
      <c r="F561" s="6">
        <v>3.5</v>
      </c>
      <c r="G561" s="81">
        <v>1813</v>
      </c>
      <c r="H561" s="50" t="s">
        <v>1403</v>
      </c>
      <c r="I561" s="16" t="s">
        <v>608</v>
      </c>
      <c r="J561" s="8" t="str">
        <f>IFERROR(VLOOKUP($G561,今日總結!$A:$AN,33,0),"")</f>
        <v/>
      </c>
      <c r="K561" s="5" t="str">
        <f>IFERROR(VLOOKUP($G561,今日總結!$A:$AN,34,0),"")</f>
        <v/>
      </c>
      <c r="L561" s="156" t="str">
        <f>IFERROR(VLOOKUP($G561,今日總結!$A:$AN,31,0),"")</f>
        <v/>
      </c>
      <c r="M561" s="337" t="str">
        <f>IFERROR(VLOOKUP($G561,今日總結!$A:$AN,32,0),"")</f>
        <v/>
      </c>
      <c r="N561" s="240" t="str">
        <f t="shared" ref="N561:N564" si="205">IFERROR(L561-M561,"")</f>
        <v/>
      </c>
      <c r="O561" s="359">
        <f>IFERROR(VLOOKUP($G561,融外自投!$A:$J,7,0),"無")</f>
        <v>1065</v>
      </c>
      <c r="P561" s="79" t="str">
        <f>IFERROR(VLOOKUP($G561,融外自投!$A:$J,9,0),"無")</f>
        <v>無</v>
      </c>
      <c r="Q561" s="342">
        <f>IFERROR(VLOOKUP($G561,融外自投!$A:$J,8,0),"無")</f>
        <v>506</v>
      </c>
      <c r="R561" s="81" t="str">
        <f>IFERROR(VLOOKUP($G561,融外自投!$A:$J,10,0),"無")</f>
        <v>無</v>
      </c>
      <c r="S561" s="324" t="str">
        <f>IFERROR(VLOOKUP($G561,'321買'!$A:$E,5,0),"'沒有資料'")</f>
        <v>'沒有資料'</v>
      </c>
      <c r="T561" s="34">
        <v>2</v>
      </c>
      <c r="V561" s="57">
        <f t="shared" si="201"/>
        <v>8.4033613445378144E-2</v>
      </c>
      <c r="W561" s="36">
        <v>23.8</v>
      </c>
      <c r="X561" s="66">
        <f>22.33-2</f>
        <v>20.329999999999998</v>
      </c>
      <c r="Y561" s="15">
        <f t="shared" si="202"/>
        <v>3.4700000000000024</v>
      </c>
      <c r="Z561" s="63">
        <f t="shared" si="203"/>
        <v>0.17068371864240053</v>
      </c>
      <c r="AA561" s="128" t="s">
        <v>1473</v>
      </c>
      <c r="AC561" s="16" t="s">
        <v>608</v>
      </c>
      <c r="AD561" s="84">
        <v>43360</v>
      </c>
      <c r="AE561" s="83">
        <v>43676</v>
      </c>
      <c r="AF561" s="33">
        <f t="shared" si="204"/>
        <v>316</v>
      </c>
      <c r="AG561" s="49"/>
    </row>
    <row r="562" spans="1:46">
      <c r="A562" s="41"/>
      <c r="B562" s="79">
        <v>476</v>
      </c>
      <c r="C562" s="79">
        <v>181</v>
      </c>
      <c r="D562" s="79">
        <v>476</v>
      </c>
      <c r="E562" s="79">
        <v>181</v>
      </c>
      <c r="F562" s="6">
        <v>3.5</v>
      </c>
      <c r="G562" s="81">
        <v>1813</v>
      </c>
      <c r="H562" s="8" t="s">
        <v>1402</v>
      </c>
      <c r="I562" s="16" t="s">
        <v>608</v>
      </c>
      <c r="J562" s="8" t="str">
        <f>IFERROR(VLOOKUP($G562,今日總結!$A:$AN,33,0),"")</f>
        <v/>
      </c>
      <c r="K562" s="5" t="str">
        <f>IFERROR(VLOOKUP($G562,今日總結!$A:$AN,34,0),"")</f>
        <v/>
      </c>
      <c r="L562" s="156" t="str">
        <f>IFERROR(VLOOKUP($G562,今日總結!$A:$AN,31,0),"")</f>
        <v/>
      </c>
      <c r="M562" s="337" t="str">
        <f>IFERROR(VLOOKUP($G562,今日總結!$A:$AN,32,0),"")</f>
        <v/>
      </c>
      <c r="N562" s="240" t="str">
        <f t="shared" si="205"/>
        <v/>
      </c>
      <c r="O562" s="359">
        <f>IFERROR(VLOOKUP($G562,融外自投!$A:$J,7,0),"無")</f>
        <v>1065</v>
      </c>
      <c r="P562" s="79" t="str">
        <f>IFERROR(VLOOKUP($G562,融外自投!$A:$J,9,0),"無")</f>
        <v>無</v>
      </c>
      <c r="Q562" s="342">
        <f>IFERROR(VLOOKUP($G562,融外自投!$A:$J,8,0),"無")</f>
        <v>506</v>
      </c>
      <c r="R562" s="81" t="str">
        <f>IFERROR(VLOOKUP($G562,融外自投!$A:$J,10,0),"無")</f>
        <v>無</v>
      </c>
      <c r="S562" s="324" t="str">
        <f>IFERROR(VLOOKUP($G562,'321買'!$A:$E,5,0),"'沒有資料'")</f>
        <v>'沒有資料'</v>
      </c>
      <c r="T562" s="34">
        <v>2</v>
      </c>
      <c r="V562" s="57">
        <f t="shared" si="201"/>
        <v>8.4033613445378144E-2</v>
      </c>
      <c r="W562" s="36">
        <v>23.8</v>
      </c>
      <c r="X562" s="66">
        <f>21.78-2</f>
        <v>19.78</v>
      </c>
      <c r="Y562" s="15">
        <f t="shared" si="202"/>
        <v>4.0199999999999996</v>
      </c>
      <c r="Z562" s="63">
        <f t="shared" si="203"/>
        <v>0.20323559150657225</v>
      </c>
      <c r="AA562" s="128" t="s">
        <v>1474</v>
      </c>
      <c r="AC562" s="16" t="s">
        <v>608</v>
      </c>
      <c r="AD562" s="84">
        <v>43354</v>
      </c>
      <c r="AE562" s="83">
        <v>43676</v>
      </c>
      <c r="AF562" s="33">
        <f t="shared" si="204"/>
        <v>322</v>
      </c>
      <c r="AG562" s="49"/>
    </row>
    <row r="563" spans="1:46">
      <c r="A563" s="41"/>
      <c r="B563" s="79">
        <v>26</v>
      </c>
      <c r="C563" s="80">
        <v>-22</v>
      </c>
      <c r="D563" s="79">
        <v>26</v>
      </c>
      <c r="E563" s="80">
        <v>-22</v>
      </c>
      <c r="F563" s="6">
        <v>6.6</v>
      </c>
      <c r="G563" s="81">
        <v>1733</v>
      </c>
      <c r="H563" s="50" t="s">
        <v>1403</v>
      </c>
      <c r="I563" s="22" t="s">
        <v>284</v>
      </c>
      <c r="J563" s="8">
        <f>IFERROR(VLOOKUP($G563,今日總結!$A:$AN,33,0),"")</f>
        <v>1</v>
      </c>
      <c r="K563" s="5">
        <f>IFERROR(VLOOKUP($G563,今日總結!$A:$AN,34,0),"")</f>
        <v>0</v>
      </c>
      <c r="L563" s="156">
        <f>IFERROR(VLOOKUP($G563,今日總結!$A:$AN,31,0),"")</f>
        <v>4</v>
      </c>
      <c r="M563" s="337">
        <f>IFERROR(VLOOKUP($G563,今日總結!$A:$AN,32,0),"")</f>
        <v>0</v>
      </c>
      <c r="N563" s="240">
        <f t="shared" si="205"/>
        <v>4</v>
      </c>
      <c r="O563" s="359">
        <f>IFERROR(VLOOKUP($G563,融外自投!$A:$J,7,0),"無")</f>
        <v>726</v>
      </c>
      <c r="P563" s="79">
        <f>IFERROR(VLOOKUP($G563,融外自投!$A:$J,9,0),"無")</f>
        <v>84</v>
      </c>
      <c r="Q563" s="342">
        <f>IFERROR(VLOOKUP($G563,融外自投!$A:$J,8,0),"無")</f>
        <v>689</v>
      </c>
      <c r="R563" s="81" t="str">
        <f>IFERROR(VLOOKUP($G563,融外自投!$A:$J,10,0),"無")</f>
        <v>無</v>
      </c>
      <c r="S563" s="324">
        <f>IFERROR(VLOOKUP($G563,'321買'!$A:$E,5,0),"'沒有資料'")</f>
        <v>0</v>
      </c>
      <c r="T563" s="34">
        <v>0.85</v>
      </c>
      <c r="V563" s="94">
        <f t="shared" si="201"/>
        <v>2.8192371475953566E-2</v>
      </c>
      <c r="W563" s="36">
        <v>30.15</v>
      </c>
      <c r="X563" s="66">
        <f>31.74-1.5-0.85</f>
        <v>29.389999999999997</v>
      </c>
      <c r="Y563" s="15">
        <f t="shared" si="202"/>
        <v>0.76000000000000156</v>
      </c>
      <c r="Z563" s="63">
        <f t="shared" si="203"/>
        <v>2.5859135760462799E-2</v>
      </c>
      <c r="AA563" s="128" t="s">
        <v>1475</v>
      </c>
      <c r="AC563" s="22" t="s">
        <v>284</v>
      </c>
      <c r="AD563" s="84">
        <v>43215</v>
      </c>
      <c r="AE563" s="83">
        <v>43676</v>
      </c>
      <c r="AF563" s="33">
        <f t="shared" si="204"/>
        <v>461</v>
      </c>
      <c r="AG563" s="49"/>
    </row>
    <row r="564" spans="1:46">
      <c r="A564" s="41"/>
      <c r="B564" s="79">
        <v>26</v>
      </c>
      <c r="C564" s="80">
        <v>-22</v>
      </c>
      <c r="D564" s="79">
        <v>26</v>
      </c>
      <c r="E564" s="80">
        <v>-22</v>
      </c>
      <c r="F564" s="6">
        <v>6.6</v>
      </c>
      <c r="G564" s="81">
        <v>1733</v>
      </c>
      <c r="H564" s="8" t="s">
        <v>1402</v>
      </c>
      <c r="I564" s="22" t="s">
        <v>284</v>
      </c>
      <c r="J564" s="8">
        <f>IFERROR(VLOOKUP($G564,今日總結!$A:$AN,33,0),"")</f>
        <v>1</v>
      </c>
      <c r="K564" s="5">
        <f>IFERROR(VLOOKUP($G564,今日總結!$A:$AN,34,0),"")</f>
        <v>0</v>
      </c>
      <c r="L564" s="156">
        <f>IFERROR(VLOOKUP($G564,今日總結!$A:$AN,31,0),"")</f>
        <v>4</v>
      </c>
      <c r="M564" s="337">
        <f>IFERROR(VLOOKUP($G564,今日總結!$A:$AN,32,0),"")</f>
        <v>0</v>
      </c>
      <c r="N564" s="240">
        <f t="shared" si="205"/>
        <v>4</v>
      </c>
      <c r="O564" s="359">
        <f>IFERROR(VLOOKUP($G564,融外自投!$A:$J,7,0),"無")</f>
        <v>726</v>
      </c>
      <c r="P564" s="79">
        <f>IFERROR(VLOOKUP($G564,融外自投!$A:$J,9,0),"無")</f>
        <v>84</v>
      </c>
      <c r="Q564" s="342">
        <f>IFERROR(VLOOKUP($G564,融外自投!$A:$J,8,0),"無")</f>
        <v>689</v>
      </c>
      <c r="R564" s="81" t="str">
        <f>IFERROR(VLOOKUP($G564,融外自投!$A:$J,10,0),"無")</f>
        <v>無</v>
      </c>
      <c r="S564" s="324">
        <f>IFERROR(VLOOKUP($G564,'321買'!$A:$E,5,0),"'沒有資料'")</f>
        <v>0</v>
      </c>
      <c r="T564" s="34">
        <v>0.85</v>
      </c>
      <c r="V564" s="94">
        <f t="shared" si="201"/>
        <v>2.8192371475953566E-2</v>
      </c>
      <c r="W564" s="36">
        <v>30.15</v>
      </c>
      <c r="X564" s="66">
        <f>29.24-0.85</f>
        <v>28.389999999999997</v>
      </c>
      <c r="Y564" s="15">
        <f t="shared" si="202"/>
        <v>1.7600000000000016</v>
      </c>
      <c r="Z564" s="63">
        <f t="shared" si="203"/>
        <v>6.1993659739344904E-2</v>
      </c>
      <c r="AA564" s="128" t="s">
        <v>1476</v>
      </c>
      <c r="AC564" s="22" t="s">
        <v>284</v>
      </c>
      <c r="AD564" s="84">
        <v>43361</v>
      </c>
      <c r="AE564" s="83">
        <v>43676</v>
      </c>
      <c r="AF564" s="33">
        <f t="shared" si="204"/>
        <v>315</v>
      </c>
      <c r="AG564" s="49"/>
    </row>
    <row r="565" spans="1:46">
      <c r="F565" s="245"/>
      <c r="H565" s="245"/>
      <c r="L565" s="123"/>
      <c r="O565" s="359"/>
      <c r="P565" s="79"/>
      <c r="Q565" s="342"/>
      <c r="R565" s="81"/>
      <c r="T565" s="70"/>
      <c r="V565" s="217"/>
      <c r="W565" s="13">
        <f>SUM(W558:W564)</f>
        <v>235.25000000000003</v>
      </c>
      <c r="X565" s="45">
        <f>SUM(X558:X564)</f>
        <v>187.36999999999998</v>
      </c>
      <c r="Y565" s="70">
        <f>SUM(Y558:Y564)</f>
        <v>47.879999999999995</v>
      </c>
      <c r="Z565" s="63">
        <f t="shared" si="203"/>
        <v>0.25553717243955809</v>
      </c>
      <c r="AA565" s="129"/>
      <c r="AC565" s="15"/>
      <c r="AD565" s="257"/>
      <c r="AE565" s="257"/>
      <c r="AF565" s="7"/>
      <c r="AG565" s="121"/>
    </row>
    <row r="566" spans="1:46">
      <c r="A566" s="127" t="s">
        <v>1672</v>
      </c>
      <c r="B566" s="90" t="s">
        <v>1571</v>
      </c>
      <c r="C566" s="90" t="s">
        <v>1572</v>
      </c>
      <c r="D566" s="90" t="s">
        <v>1573</v>
      </c>
      <c r="E566" s="90" t="s">
        <v>1574</v>
      </c>
      <c r="F566" s="8" t="s">
        <v>1059</v>
      </c>
      <c r="G566" s="25" t="s">
        <v>386</v>
      </c>
      <c r="H566" s="55" t="s">
        <v>320</v>
      </c>
      <c r="I566" s="1" t="s">
        <v>69</v>
      </c>
      <c r="L566" s="123"/>
      <c r="O566" s="359"/>
      <c r="P566" s="79"/>
      <c r="Q566" s="342"/>
      <c r="R566" s="81"/>
      <c r="S566" s="319" t="s">
        <v>1053</v>
      </c>
      <c r="T566" s="10" t="s">
        <v>66</v>
      </c>
      <c r="V566" s="68" t="s">
        <v>1492</v>
      </c>
      <c r="W566" s="28" t="s">
        <v>1463</v>
      </c>
      <c r="X566" s="17" t="s">
        <v>1464</v>
      </c>
      <c r="Y566" s="14" t="s">
        <v>1465</v>
      </c>
      <c r="Z566" s="21" t="s">
        <v>3</v>
      </c>
      <c r="AA566" s="25" t="s">
        <v>105</v>
      </c>
      <c r="AC566" s="1" t="s">
        <v>69</v>
      </c>
      <c r="AD566" s="71" t="s">
        <v>1399</v>
      </c>
      <c r="AE566" s="72" t="s">
        <v>1156</v>
      </c>
      <c r="AF566" s="32" t="s">
        <v>1157</v>
      </c>
      <c r="AG566" s="46" t="s">
        <v>1597</v>
      </c>
    </row>
    <row r="567" spans="1:46">
      <c r="A567" s="41"/>
      <c r="B567" s="80" t="s">
        <v>283</v>
      </c>
      <c r="C567" s="79" t="s">
        <v>290</v>
      </c>
      <c r="D567" s="80" t="s">
        <v>283</v>
      </c>
      <c r="E567" s="79" t="s">
        <v>290</v>
      </c>
      <c r="F567" s="6">
        <v>-70.83</v>
      </c>
      <c r="G567" s="80">
        <v>2514</v>
      </c>
      <c r="H567" s="50" t="s">
        <v>1403</v>
      </c>
      <c r="I567" s="22" t="s">
        <v>676</v>
      </c>
      <c r="J567" s="8">
        <f>IFERROR(VLOOKUP($G567,今日總結!$A:$AN,33,0),"")</f>
        <v>0</v>
      </c>
      <c r="K567" s="5">
        <f>IFERROR(VLOOKUP($G567,今日總結!$A:$AN,34,0),"")</f>
        <v>0</v>
      </c>
      <c r="L567" s="156">
        <f>IFERROR(VLOOKUP($G567,今日總結!$A:$AN,31,0),"")</f>
        <v>1</v>
      </c>
      <c r="M567" s="337">
        <f>IFERROR(VLOOKUP($G567,今日總結!$A:$AN,32,0),"")</f>
        <v>0</v>
      </c>
      <c r="N567" s="240">
        <f t="shared" ref="N567:N573" si="206">IFERROR(L567-M567,"")</f>
        <v>1</v>
      </c>
      <c r="O567" s="359">
        <f>IFERROR(VLOOKUP($G567,融外自投!$A:$J,7,0),"無")</f>
        <v>989</v>
      </c>
      <c r="P567" s="79">
        <f>IFERROR(VLOOKUP($G567,融外自投!$A:$J,9,0),"無")</f>
        <v>144</v>
      </c>
      <c r="Q567" s="342">
        <f>IFERROR(VLOOKUP($G567,融外自投!$A:$J,8,0),"無")</f>
        <v>1130</v>
      </c>
      <c r="R567" s="81" t="str">
        <f>IFERROR(VLOOKUP($G567,融外自投!$A:$J,10,0),"無")</f>
        <v>無</v>
      </c>
      <c r="S567" s="324">
        <f>IFERROR(VLOOKUP($G567,'321買'!$A:$E,5,0),"'沒有資料'")</f>
        <v>0</v>
      </c>
      <c r="T567" s="34">
        <v>0.5</v>
      </c>
      <c r="V567" s="94">
        <f t="shared" ref="V567:V573" si="207">T567/W567</f>
        <v>3.1446540880503145E-2</v>
      </c>
      <c r="W567" s="13">
        <v>15.9</v>
      </c>
      <c r="X567" s="144">
        <v>25</v>
      </c>
      <c r="Y567" s="74">
        <f t="shared" ref="Y567:Y572" si="208">W567*X567</f>
        <v>397.5</v>
      </c>
      <c r="Z567" s="3">
        <f t="shared" ref="Z567:Z573" si="209">Y567/X567</f>
        <v>15.9</v>
      </c>
      <c r="AA567" s="128"/>
      <c r="AC567" s="22" t="s">
        <v>676</v>
      </c>
      <c r="AF567" s="33">
        <f t="shared" ref="AF567:AF572" si="210">AE567-AD567</f>
        <v>0</v>
      </c>
      <c r="AG567" s="49"/>
    </row>
    <row r="568" spans="1:46">
      <c r="A568" s="41"/>
      <c r="B568" s="79" t="s">
        <v>283</v>
      </c>
      <c r="C568" s="79"/>
      <c r="D568" s="79" t="s">
        <v>283</v>
      </c>
      <c r="E568" s="79"/>
      <c r="F568" s="6"/>
      <c r="G568" s="81">
        <v>2834</v>
      </c>
      <c r="H568" s="50" t="s">
        <v>1403</v>
      </c>
      <c r="I568" s="22" t="s">
        <v>263</v>
      </c>
      <c r="J568" s="8">
        <f>IFERROR(VLOOKUP($G568,今日總結!$A:$AN,33,0),"")</f>
        <v>0</v>
      </c>
      <c r="K568" s="5">
        <f>IFERROR(VLOOKUP($G568,今日總結!$A:$AN,34,0),"")</f>
        <v>0</v>
      </c>
      <c r="L568" s="156">
        <f>IFERROR(VLOOKUP($G568,今日總結!$A:$AN,31,0),"")</f>
        <v>8</v>
      </c>
      <c r="M568" s="337">
        <f>IFERROR(VLOOKUP($G568,今日總結!$A:$AN,32,0),"")</f>
        <v>1</v>
      </c>
      <c r="N568" s="240">
        <f t="shared" si="206"/>
        <v>7</v>
      </c>
      <c r="O568" s="359">
        <f>IFERROR(VLOOKUP($G568,融外自投!$A:$J,7,0),"無")</f>
        <v>1101</v>
      </c>
      <c r="P568" s="79">
        <f>IFERROR(VLOOKUP($G568,融外自投!$A:$J,9,0),"無")</f>
        <v>649</v>
      </c>
      <c r="Q568" s="342">
        <f>IFERROR(VLOOKUP($G568,融外自投!$A:$J,8,0),"無")</f>
        <v>523</v>
      </c>
      <c r="R568" s="81">
        <f>IFERROR(VLOOKUP($G568,融外自投!$A:$J,10,0),"無")</f>
        <v>262</v>
      </c>
      <c r="S568" s="324">
        <f>IFERROR(VLOOKUP($G568,'321買'!$A:$E,5,0),"'沒有資料'")</f>
        <v>0</v>
      </c>
      <c r="T568" s="34">
        <v>0.8</v>
      </c>
      <c r="V568" s="94">
        <f t="shared" si="207"/>
        <v>5.9479553903345729E-2</v>
      </c>
      <c r="W568" s="13">
        <v>13.45</v>
      </c>
      <c r="X568" s="190">
        <v>31</v>
      </c>
      <c r="Y568" s="74">
        <f t="shared" si="208"/>
        <v>416.95</v>
      </c>
      <c r="Z568" s="3">
        <f t="shared" si="209"/>
        <v>13.45</v>
      </c>
      <c r="AA568" s="130"/>
      <c r="AC568" s="22" t="s">
        <v>263</v>
      </c>
      <c r="AF568" s="33">
        <f t="shared" si="210"/>
        <v>0</v>
      </c>
      <c r="AG568" s="49"/>
    </row>
    <row r="569" spans="1:46">
      <c r="A569" s="41"/>
      <c r="B569" s="79" t="s">
        <v>283</v>
      </c>
      <c r="C569" s="79" t="s">
        <v>290</v>
      </c>
      <c r="D569" s="79" t="s">
        <v>283</v>
      </c>
      <c r="E569" s="79" t="s">
        <v>290</v>
      </c>
      <c r="F569" s="6">
        <v>7.08</v>
      </c>
      <c r="G569" s="81">
        <v>4927</v>
      </c>
      <c r="H569" s="50" t="s">
        <v>1403</v>
      </c>
      <c r="I569" s="22" t="s">
        <v>447</v>
      </c>
      <c r="J569" s="8">
        <f>IFERROR(VLOOKUP($G569,今日總結!$A:$AN,33,0),"")</f>
        <v>0</v>
      </c>
      <c r="K569" s="5">
        <f>IFERROR(VLOOKUP($G569,今日總結!$A:$AN,34,0),"")</f>
        <v>0</v>
      </c>
      <c r="L569" s="156">
        <f>IFERROR(VLOOKUP($G569,今日總結!$A:$AN,31,0),"")</f>
        <v>1</v>
      </c>
      <c r="M569" s="337">
        <f>IFERROR(VLOOKUP($G569,今日總結!$A:$AN,32,0),"")</f>
        <v>7</v>
      </c>
      <c r="N569" s="240">
        <f t="shared" si="206"/>
        <v>-6</v>
      </c>
      <c r="O569" s="359">
        <f>IFERROR(VLOOKUP($G569,融外自投!$A:$J,7,0),"無")</f>
        <v>275</v>
      </c>
      <c r="P569" s="79">
        <f>IFERROR(VLOOKUP($G569,融外自投!$A:$J,9,0),"無")</f>
        <v>213</v>
      </c>
      <c r="Q569" s="342">
        <f>IFERROR(VLOOKUP($G569,融外自投!$A:$J,8,0),"無")</f>
        <v>289</v>
      </c>
      <c r="R569" s="81">
        <f>IFERROR(VLOOKUP($G569,融外自投!$A:$J,10,0),"無")</f>
        <v>39</v>
      </c>
      <c r="S569" s="324">
        <f>IFERROR(VLOOKUP($G569,'321買'!$A:$E,5,0),"'沒有資料'")</f>
        <v>0</v>
      </c>
      <c r="T569" s="34">
        <v>2.56</v>
      </c>
      <c r="V569" s="94">
        <f t="shared" si="207"/>
        <v>4.8301886792452828E-2</v>
      </c>
      <c r="W569" s="13">
        <v>53</v>
      </c>
      <c r="X569" s="144">
        <v>32</v>
      </c>
      <c r="Y569" s="74">
        <f t="shared" si="208"/>
        <v>1696</v>
      </c>
      <c r="Z569" s="3">
        <f t="shared" si="209"/>
        <v>53</v>
      </c>
      <c r="AA569" s="128"/>
      <c r="AC569" s="22" t="s">
        <v>447</v>
      </c>
      <c r="AF569" s="33">
        <f t="shared" si="210"/>
        <v>0</v>
      </c>
      <c r="AG569" s="49"/>
    </row>
    <row r="570" spans="1:46">
      <c r="A570" s="41"/>
      <c r="B570" s="79" t="s">
        <v>283</v>
      </c>
      <c r="C570" s="79" t="s">
        <v>290</v>
      </c>
      <c r="D570" s="79" t="s">
        <v>283</v>
      </c>
      <c r="E570" s="79" t="s">
        <v>290</v>
      </c>
      <c r="F570" s="6">
        <v>4.6100000000000003</v>
      </c>
      <c r="G570" s="79">
        <v>6485</v>
      </c>
      <c r="H570" s="50" t="s">
        <v>1403</v>
      </c>
      <c r="I570" s="16" t="s">
        <v>232</v>
      </c>
      <c r="J570" s="8">
        <f>IFERROR(VLOOKUP($G570,今日總結!$A:$AN,33,0),"")</f>
        <v>1</v>
      </c>
      <c r="K570" s="5">
        <f>IFERROR(VLOOKUP($G570,今日總結!$A:$AN,34,0),"")</f>
        <v>0</v>
      </c>
      <c r="L570" s="156">
        <f>IFERROR(VLOOKUP($G570,今日總結!$A:$AN,31,0),"")</f>
        <v>0</v>
      </c>
      <c r="M570" s="337">
        <f>IFERROR(VLOOKUP($G570,今日總結!$A:$AN,32,0),"")</f>
        <v>1</v>
      </c>
      <c r="N570" s="240">
        <f t="shared" si="206"/>
        <v>-1</v>
      </c>
      <c r="O570" s="359">
        <f>IFERROR(VLOOKUP($G570,融外自投!$A:$J,7,0),"無")</f>
        <v>15</v>
      </c>
      <c r="P570" s="79">
        <f>IFERROR(VLOOKUP($G570,融外自投!$A:$J,9,0),"無")</f>
        <v>125</v>
      </c>
      <c r="Q570" s="342">
        <f>IFERROR(VLOOKUP($G570,融外自投!$A:$J,8,0),"無")</f>
        <v>797</v>
      </c>
      <c r="R570" s="81">
        <f>IFERROR(VLOOKUP($G570,融外自投!$A:$J,10,0),"無")</f>
        <v>413</v>
      </c>
      <c r="S570" s="324">
        <f>IFERROR(VLOOKUP($G570,'321買'!$A:$E,5,0),"'沒有資料'")</f>
        <v>0</v>
      </c>
      <c r="T570" s="34">
        <v>0</v>
      </c>
      <c r="V570" s="94">
        <f t="shared" si="207"/>
        <v>0</v>
      </c>
      <c r="W570" s="36">
        <v>38.85</v>
      </c>
      <c r="X570" s="144">
        <v>19</v>
      </c>
      <c r="Y570" s="74">
        <f t="shared" si="208"/>
        <v>738.15</v>
      </c>
      <c r="Z570" s="3">
        <f t="shared" si="209"/>
        <v>38.85</v>
      </c>
      <c r="AA570" s="128"/>
      <c r="AC570" s="16" t="s">
        <v>232</v>
      </c>
      <c r="AF570" s="33">
        <f t="shared" si="210"/>
        <v>0</v>
      </c>
      <c r="AG570" s="49"/>
    </row>
    <row r="571" spans="1:46">
      <c r="A571" s="41"/>
      <c r="B571" s="79" t="s">
        <v>283</v>
      </c>
      <c r="C571" s="79" t="s">
        <v>290</v>
      </c>
      <c r="D571" s="79" t="s">
        <v>283</v>
      </c>
      <c r="E571" s="79" t="s">
        <v>290</v>
      </c>
      <c r="F571" s="6">
        <v>4.6100000000000003</v>
      </c>
      <c r="G571" s="79">
        <v>6485</v>
      </c>
      <c r="H571" s="50" t="s">
        <v>1403</v>
      </c>
      <c r="I571" s="16" t="s">
        <v>232</v>
      </c>
      <c r="J571" s="8">
        <f>IFERROR(VLOOKUP($G571,今日總結!$A:$AN,33,0),"")</f>
        <v>1</v>
      </c>
      <c r="K571" s="5">
        <f>IFERROR(VLOOKUP($G571,今日總結!$A:$AN,34,0),"")</f>
        <v>0</v>
      </c>
      <c r="L571" s="156">
        <f>IFERROR(VLOOKUP($G571,今日總結!$A:$AN,31,0),"")</f>
        <v>0</v>
      </c>
      <c r="M571" s="337">
        <f>IFERROR(VLOOKUP($G571,今日總結!$A:$AN,32,0),"")</f>
        <v>1</v>
      </c>
      <c r="N571" s="240">
        <f t="shared" si="206"/>
        <v>-1</v>
      </c>
      <c r="O571" s="359">
        <f>IFERROR(VLOOKUP($G571,融外自投!$A:$J,7,0),"無")</f>
        <v>15</v>
      </c>
      <c r="P571" s="79">
        <f>IFERROR(VLOOKUP($G571,融外自投!$A:$J,9,0),"無")</f>
        <v>125</v>
      </c>
      <c r="Q571" s="342">
        <f>IFERROR(VLOOKUP($G571,融外自投!$A:$J,8,0),"無")</f>
        <v>797</v>
      </c>
      <c r="R571" s="81">
        <f>IFERROR(VLOOKUP($G571,融外自投!$A:$J,10,0),"無")</f>
        <v>413</v>
      </c>
      <c r="S571" s="324">
        <f>IFERROR(VLOOKUP($G571,'321買'!$A:$E,5,0),"'沒有資料'")</f>
        <v>0</v>
      </c>
      <c r="T571" s="34">
        <v>0</v>
      </c>
      <c r="V571" s="94">
        <f t="shared" si="207"/>
        <v>0</v>
      </c>
      <c r="W571" s="36">
        <v>37.799999999999997</v>
      </c>
      <c r="X571" s="144">
        <v>78</v>
      </c>
      <c r="Y571" s="74">
        <f>W571*X571</f>
        <v>2948.3999999999996</v>
      </c>
      <c r="Z571" s="3">
        <f t="shared" si="209"/>
        <v>37.799999999999997</v>
      </c>
      <c r="AA571" s="128"/>
      <c r="AC571" s="16" t="s">
        <v>232</v>
      </c>
      <c r="AF571" s="33">
        <f>AE571-AD571</f>
        <v>0</v>
      </c>
      <c r="AG571" s="49"/>
    </row>
    <row r="572" spans="1:46">
      <c r="A572" s="41"/>
      <c r="B572" s="79" t="s">
        <v>283</v>
      </c>
      <c r="C572" s="79" t="s">
        <v>290</v>
      </c>
      <c r="D572" s="79" t="s">
        <v>283</v>
      </c>
      <c r="E572" s="79" t="s">
        <v>290</v>
      </c>
      <c r="F572" s="57">
        <v>11.06</v>
      </c>
      <c r="G572" s="79">
        <v>2027</v>
      </c>
      <c r="H572" s="8" t="s">
        <v>1402</v>
      </c>
      <c r="I572" s="22" t="s">
        <v>280</v>
      </c>
      <c r="J572" s="8">
        <f>IFERROR(VLOOKUP($G572,今日總結!$A:$AN,33,0),"")</f>
        <v>0</v>
      </c>
      <c r="K572" s="5">
        <f>IFERROR(VLOOKUP($G572,今日總結!$A:$AN,34,0),"")</f>
        <v>2</v>
      </c>
      <c r="L572" s="156">
        <f>IFERROR(VLOOKUP($G572,今日總結!$A:$AN,31,0),"")</f>
        <v>1</v>
      </c>
      <c r="M572" s="337">
        <f>IFERROR(VLOOKUP($G572,今日總結!$A:$AN,32,0),"")</f>
        <v>1</v>
      </c>
      <c r="N572" s="240">
        <f t="shared" si="206"/>
        <v>0</v>
      </c>
      <c r="O572" s="359">
        <f>IFERROR(VLOOKUP($G572,融外自投!$A:$J,7,0),"無")</f>
        <v>430</v>
      </c>
      <c r="P572" s="79">
        <f>IFERROR(VLOOKUP($G572,融外自投!$A:$J,9,0),"無")</f>
        <v>54</v>
      </c>
      <c r="Q572" s="342">
        <f>IFERROR(VLOOKUP($G572,融外自投!$A:$J,8,0),"無")</f>
        <v>342</v>
      </c>
      <c r="R572" s="81">
        <f>IFERROR(VLOOKUP($G572,融外自投!$A:$J,10,0),"無")</f>
        <v>227</v>
      </c>
      <c r="S572" s="324">
        <f>IFERROR(VLOOKUP($G572,'321買'!$A:$E,5,0),"'沒有資料'")</f>
        <v>0</v>
      </c>
      <c r="T572" s="34">
        <v>3</v>
      </c>
      <c r="V572" s="94">
        <f t="shared" si="207"/>
        <v>6.5146579804560262E-2</v>
      </c>
      <c r="W572" s="13">
        <v>46.05</v>
      </c>
      <c r="X572" s="190">
        <v>30</v>
      </c>
      <c r="Y572" s="74">
        <f t="shared" si="208"/>
        <v>1381.5</v>
      </c>
      <c r="Z572" s="3">
        <f t="shared" si="209"/>
        <v>46.05</v>
      </c>
      <c r="AA572" s="130" t="s">
        <v>214</v>
      </c>
      <c r="AC572" s="22" t="s">
        <v>280</v>
      </c>
      <c r="AF572" s="33">
        <f t="shared" si="210"/>
        <v>0</v>
      </c>
      <c r="AG572" s="49"/>
    </row>
    <row r="573" spans="1:46">
      <c r="B573" s="79" t="s">
        <v>283</v>
      </c>
      <c r="C573" s="79"/>
      <c r="D573" s="79" t="s">
        <v>283</v>
      </c>
      <c r="E573" s="79"/>
      <c r="F573" s="6"/>
      <c r="G573" s="80">
        <v>2890</v>
      </c>
      <c r="H573" s="109" t="s">
        <v>1494</v>
      </c>
      <c r="I573" s="22" t="s">
        <v>1</v>
      </c>
      <c r="J573" s="8">
        <f>IFERROR(VLOOKUP($G573,今日總結!$A:$AN,33,0),"")</f>
        <v>0</v>
      </c>
      <c r="K573" s="5">
        <f>IFERROR(VLOOKUP($G573,今日總結!$A:$AN,34,0),"")</f>
        <v>0</v>
      </c>
      <c r="L573" s="156">
        <f>IFERROR(VLOOKUP($G573,今日總結!$A:$AN,31,0),"")</f>
        <v>0</v>
      </c>
      <c r="M573" s="337">
        <f>IFERROR(VLOOKUP($G573,今日總結!$A:$AN,32,0),"")</f>
        <v>4</v>
      </c>
      <c r="N573" s="240">
        <f t="shared" si="206"/>
        <v>-4</v>
      </c>
      <c r="O573" s="359">
        <f>IFERROR(VLOOKUP($G573,融外自投!$A:$J,7,0),"無")</f>
        <v>1402</v>
      </c>
      <c r="P573" s="79">
        <f>IFERROR(VLOOKUP($G573,融外自投!$A:$J,9,0),"無")</f>
        <v>525</v>
      </c>
      <c r="Q573" s="342">
        <f>IFERROR(VLOOKUP($G573,融外自投!$A:$J,8,0),"無")</f>
        <v>191</v>
      </c>
      <c r="R573" s="81">
        <f>IFERROR(VLOOKUP($G573,融外自投!$A:$J,10,0),"無")</f>
        <v>125</v>
      </c>
      <c r="S573" s="324">
        <f>IFERROR(VLOOKUP($G573,'321買'!$A:$E,5,0),"'沒有資料'")</f>
        <v>0</v>
      </c>
      <c r="T573" s="34">
        <v>0.64</v>
      </c>
      <c r="V573" s="94">
        <f t="shared" si="207"/>
        <v>5.245901639344263E-2</v>
      </c>
      <c r="W573" s="13">
        <v>12.2</v>
      </c>
      <c r="X573" s="190">
        <v>107</v>
      </c>
      <c r="Y573" s="74">
        <f>W573*X573</f>
        <v>1305.3999999999999</v>
      </c>
      <c r="Z573" s="3">
        <f t="shared" si="209"/>
        <v>12.2</v>
      </c>
      <c r="AA573" s="130" t="s">
        <v>1396</v>
      </c>
      <c r="AC573" s="22" t="s">
        <v>1</v>
      </c>
      <c r="AG573" s="49"/>
      <c r="AT573" s="11"/>
    </row>
    <row r="574" spans="1:46">
      <c r="A574" s="41"/>
      <c r="B574" s="79"/>
      <c r="C574" s="79"/>
      <c r="D574" s="79"/>
      <c r="E574" s="79"/>
      <c r="F574" s="57"/>
      <c r="G574" s="41"/>
      <c r="H574" s="8"/>
      <c r="I574" s="22"/>
      <c r="L574" s="123"/>
      <c r="R574" s="81"/>
      <c r="S574" s="324"/>
      <c r="T574" s="34"/>
      <c r="V574" s="94"/>
      <c r="W574" s="13"/>
      <c r="X574" s="190"/>
      <c r="Y574" s="15">
        <f>SUM(Y567:Y573)/1000</f>
        <v>8.8838999999999988</v>
      </c>
      <c r="Z574" s="3"/>
      <c r="AA574" s="130"/>
      <c r="AC574" s="22"/>
      <c r="AF574" s="33"/>
      <c r="AG574" s="49"/>
    </row>
    <row r="575" spans="1:46">
      <c r="F575" s="245"/>
      <c r="H575" s="245"/>
      <c r="L575" s="123"/>
      <c r="R575" s="81"/>
      <c r="S575" s="324"/>
      <c r="T575" s="106"/>
      <c r="V575" s="216"/>
      <c r="W575" s="245"/>
      <c r="X575" s="187"/>
      <c r="Y575" s="245"/>
      <c r="Z575" s="245"/>
      <c r="AA575" s="129"/>
      <c r="AC575" s="245"/>
      <c r="AD575" s="257"/>
      <c r="AE575" s="257"/>
      <c r="AF575" s="7"/>
    </row>
    <row r="576" spans="1:46">
      <c r="L576" s="123"/>
      <c r="R576" s="81"/>
      <c r="S576" s="324"/>
    </row>
    <row r="577" spans="12:12">
      <c r="L577" s="123"/>
    </row>
    <row r="578" spans="12:12">
      <c r="L578" s="123"/>
    </row>
    <row r="579" spans="12:12">
      <c r="L579" s="123"/>
    </row>
    <row r="580" spans="12:12">
      <c r="L580" s="123"/>
    </row>
    <row r="581" spans="12:12">
      <c r="L581" s="123"/>
    </row>
    <row r="582" spans="12:12">
      <c r="L582" s="123"/>
    </row>
    <row r="583" spans="12:12">
      <c r="L583" s="123"/>
    </row>
    <row r="584" spans="12:12">
      <c r="L584" s="123"/>
    </row>
    <row r="585" spans="12:12">
      <c r="L585" s="33"/>
    </row>
    <row r="586" spans="12:12">
      <c r="L586" s="123"/>
    </row>
    <row r="587" spans="12:12">
      <c r="L587" s="123"/>
    </row>
    <row r="588" spans="12:12">
      <c r="L588" s="245"/>
    </row>
    <row r="589" spans="12:12">
      <c r="L589" s="123"/>
    </row>
    <row r="590" spans="12:12">
      <c r="L590" s="123"/>
    </row>
    <row r="591" spans="12:12">
      <c r="L591" s="123"/>
    </row>
    <row r="592" spans="12:12">
      <c r="L592" s="123"/>
    </row>
    <row r="593" spans="12:12">
      <c r="L593" s="123"/>
    </row>
    <row r="594" spans="12:12">
      <c r="L594" s="245"/>
    </row>
    <row r="595" spans="12:12">
      <c r="L595" s="123"/>
    </row>
    <row r="596" spans="12:12">
      <c r="L596" s="123"/>
    </row>
    <row r="597" spans="12:12">
      <c r="L597" s="123"/>
    </row>
    <row r="598" spans="12:12">
      <c r="L598" s="123"/>
    </row>
    <row r="599" spans="12:12">
      <c r="L599" s="123"/>
    </row>
    <row r="600" spans="12:12">
      <c r="L600" s="123"/>
    </row>
    <row r="601" spans="12:12">
      <c r="L601" s="123"/>
    </row>
    <row r="602" spans="12:12">
      <c r="L602" s="123"/>
    </row>
    <row r="603" spans="12:12">
      <c r="L603" s="123"/>
    </row>
    <row r="604" spans="12:12">
      <c r="L604" s="123"/>
    </row>
    <row r="605" spans="12:12">
      <c r="L605" s="245"/>
    </row>
    <row r="606" spans="12:12">
      <c r="L606" s="123"/>
    </row>
    <row r="607" spans="12:12">
      <c r="L607" s="123"/>
    </row>
    <row r="608" spans="12:12">
      <c r="L608" s="123"/>
    </row>
    <row r="609" spans="12:12">
      <c r="L609" s="123"/>
    </row>
    <row r="610" spans="12:12">
      <c r="L610" s="123"/>
    </row>
    <row r="611" spans="12:12">
      <c r="L611" s="123"/>
    </row>
    <row r="612" spans="12:12">
      <c r="L612" s="123"/>
    </row>
    <row r="613" spans="12:12">
      <c r="L613" s="123"/>
    </row>
    <row r="614" spans="12:12">
      <c r="L614" s="123"/>
    </row>
    <row r="615" spans="12:12">
      <c r="L615" s="245"/>
    </row>
    <row r="616" spans="12:12">
      <c r="L616" s="123"/>
    </row>
    <row r="617" spans="12:12">
      <c r="L617" s="123"/>
    </row>
    <row r="618" spans="12:12">
      <c r="L618" s="123"/>
    </row>
    <row r="619" spans="12:12">
      <c r="L619" s="123"/>
    </row>
    <row r="620" spans="12:12">
      <c r="L620" s="123"/>
    </row>
    <row r="621" spans="12:12">
      <c r="L621" s="123"/>
    </row>
    <row r="622" spans="12:12">
      <c r="L622" s="123"/>
    </row>
    <row r="623" spans="12:12">
      <c r="L623" s="245"/>
    </row>
    <row r="624" spans="12:12">
      <c r="L624" s="123"/>
    </row>
    <row r="625" spans="12:12">
      <c r="L625" s="123"/>
    </row>
    <row r="626" spans="12:12">
      <c r="L626" s="123"/>
    </row>
    <row r="627" spans="12:12">
      <c r="L627" s="123"/>
    </row>
    <row r="628" spans="12:12">
      <c r="L628" s="123"/>
    </row>
    <row r="629" spans="12:12">
      <c r="L629" s="123"/>
    </row>
    <row r="630" spans="12:12">
      <c r="L630" s="123"/>
    </row>
    <row r="631" spans="12:12">
      <c r="L631" s="123"/>
    </row>
    <row r="632" spans="12:12">
      <c r="L632" s="123"/>
    </row>
    <row r="633" spans="12:12">
      <c r="L633" s="245"/>
    </row>
    <row r="634" spans="12:12">
      <c r="L634" s="123"/>
    </row>
    <row r="635" spans="12:12">
      <c r="L635" s="123"/>
    </row>
    <row r="636" spans="12:12">
      <c r="L636" s="123"/>
    </row>
    <row r="637" spans="12:12">
      <c r="L637" s="123"/>
    </row>
    <row r="638" spans="12:12">
      <c r="L638" s="123"/>
    </row>
    <row r="639" spans="12:12">
      <c r="L639" s="123"/>
    </row>
    <row r="640" spans="12:12">
      <c r="L640" s="123"/>
    </row>
    <row r="641" spans="12:12">
      <c r="L641" s="123"/>
    </row>
    <row r="642" spans="12:12">
      <c r="L642" s="123"/>
    </row>
    <row r="643" spans="12:12">
      <c r="L643" s="123"/>
    </row>
    <row r="644" spans="12:12">
      <c r="L644" s="123"/>
    </row>
    <row r="645" spans="12:12">
      <c r="L645" s="123"/>
    </row>
    <row r="646" spans="12:12">
      <c r="L646" s="123"/>
    </row>
    <row r="647" spans="12:12">
      <c r="L647" s="123"/>
    </row>
    <row r="648" spans="12:12">
      <c r="L648" s="123"/>
    </row>
    <row r="649" spans="12:12">
      <c r="L649" s="123"/>
    </row>
    <row r="650" spans="12:12">
      <c r="L650" s="123"/>
    </row>
    <row r="651" spans="12:12">
      <c r="L651" s="123"/>
    </row>
    <row r="652" spans="12:12">
      <c r="L652" s="123"/>
    </row>
    <row r="653" spans="12:12">
      <c r="L653" s="123"/>
    </row>
    <row r="654" spans="12:12">
      <c r="L654" s="245"/>
    </row>
    <row r="655" spans="12:12">
      <c r="L655" s="123"/>
    </row>
    <row r="656" spans="12:12">
      <c r="L656" s="123"/>
    </row>
    <row r="657" spans="12:12">
      <c r="L657" s="123"/>
    </row>
    <row r="659" spans="12:12">
      <c r="L659" s="123"/>
    </row>
    <row r="660" spans="12:12">
      <c r="L660" s="123"/>
    </row>
    <row r="661" spans="12:12">
      <c r="L661" s="123"/>
    </row>
    <row r="662" spans="12:12">
      <c r="L662" s="123"/>
    </row>
    <row r="663" spans="12:12">
      <c r="L663" s="123"/>
    </row>
    <row r="664" spans="12:12">
      <c r="L664" s="123"/>
    </row>
    <row r="665" spans="12:12">
      <c r="L665" s="123"/>
    </row>
    <row r="666" spans="12:12">
      <c r="L666" s="123"/>
    </row>
    <row r="667" spans="12:12">
      <c r="L667" s="245"/>
    </row>
    <row r="668" spans="12:12">
      <c r="L668" s="123"/>
    </row>
    <row r="669" spans="12:12">
      <c r="L669" s="123"/>
    </row>
    <row r="670" spans="12:12">
      <c r="L670" s="123"/>
    </row>
    <row r="671" spans="12:12">
      <c r="L671" s="245"/>
    </row>
    <row r="672" spans="12:12">
      <c r="L672" s="123"/>
    </row>
    <row r="673" spans="12:12">
      <c r="L673" s="123"/>
    </row>
    <row r="674" spans="12:12">
      <c r="L674" s="123"/>
    </row>
    <row r="675" spans="12:12">
      <c r="L675" s="123"/>
    </row>
    <row r="676" spans="12:12">
      <c r="L676" s="123"/>
    </row>
    <row r="677" spans="12:12">
      <c r="L677" s="123"/>
    </row>
    <row r="678" spans="12:12">
      <c r="L678" s="123"/>
    </row>
    <row r="679" spans="12:12">
      <c r="L679" s="123"/>
    </row>
    <row r="680" spans="12:12">
      <c r="L680" s="123"/>
    </row>
    <row r="681" spans="12:12">
      <c r="L681" s="123"/>
    </row>
    <row r="682" spans="12:12">
      <c r="L682" s="123"/>
    </row>
    <row r="683" spans="12:12">
      <c r="L683" s="123"/>
    </row>
    <row r="684" spans="12:12">
      <c r="L684" s="123"/>
    </row>
    <row r="685" spans="12:12">
      <c r="L685" s="123"/>
    </row>
    <row r="686" spans="12:12">
      <c r="L686" s="123"/>
    </row>
    <row r="687" spans="12:12">
      <c r="L687" s="123"/>
    </row>
    <row r="688" spans="12:12">
      <c r="L688" s="123"/>
    </row>
    <row r="689" spans="12:12">
      <c r="L689" s="123"/>
    </row>
    <row r="690" spans="12:12">
      <c r="L690" s="123"/>
    </row>
    <row r="691" spans="12:12">
      <c r="L691" s="123"/>
    </row>
    <row r="692" spans="12:12">
      <c r="L692" s="123"/>
    </row>
    <row r="693" spans="12:12">
      <c r="L693" s="123"/>
    </row>
    <row r="694" spans="12:12">
      <c r="L694" s="123"/>
    </row>
    <row r="695" spans="12:12">
      <c r="L695" s="123"/>
    </row>
    <row r="696" spans="12:12">
      <c r="L696" s="123"/>
    </row>
    <row r="697" spans="12:12">
      <c r="L697" s="123"/>
    </row>
    <row r="698" spans="12:12">
      <c r="L698" s="123"/>
    </row>
    <row r="699" spans="12:12">
      <c r="L699" s="123"/>
    </row>
    <row r="700" spans="12:12">
      <c r="L700" s="123"/>
    </row>
    <row r="701" spans="12:12">
      <c r="L701" s="123"/>
    </row>
    <row r="702" spans="12:12">
      <c r="L702" s="123"/>
    </row>
    <row r="703" spans="12:12">
      <c r="L703" s="123"/>
    </row>
    <row r="704" spans="12:12">
      <c r="L704" s="123"/>
    </row>
    <row r="705" spans="12:12">
      <c r="L705" s="123"/>
    </row>
    <row r="706" spans="12:12">
      <c r="L706" s="123"/>
    </row>
    <row r="707" spans="12:12">
      <c r="L707" s="123"/>
    </row>
    <row r="708" spans="12:12">
      <c r="L708" s="123"/>
    </row>
    <row r="709" spans="12:12">
      <c r="L709" s="123"/>
    </row>
    <row r="710" spans="12:12">
      <c r="L710" s="123"/>
    </row>
    <row r="711" spans="12:12">
      <c r="L711" s="123"/>
    </row>
    <row r="712" spans="12:12">
      <c r="L712" s="123"/>
    </row>
    <row r="713" spans="12:12">
      <c r="L713" s="123"/>
    </row>
    <row r="714" spans="12:12">
      <c r="L714" s="123"/>
    </row>
    <row r="715" spans="12:12">
      <c r="L715" s="123"/>
    </row>
    <row r="716" spans="12:12">
      <c r="L716" s="27"/>
    </row>
    <row r="717" spans="12:12">
      <c r="L717" s="123"/>
    </row>
    <row r="718" spans="12:12">
      <c r="L718" s="123"/>
    </row>
    <row r="719" spans="12:12">
      <c r="L719" s="123"/>
    </row>
    <row r="720" spans="12:12">
      <c r="L720" s="123"/>
    </row>
    <row r="721" spans="12:28">
      <c r="L721" s="123"/>
    </row>
    <row r="722" spans="12:28">
      <c r="L722" s="123"/>
    </row>
    <row r="723" spans="12:28">
      <c r="L723" s="123"/>
    </row>
    <row r="724" spans="12:28">
      <c r="L724" s="123"/>
    </row>
    <row r="725" spans="12:28">
      <c r="L725" s="123"/>
    </row>
    <row r="726" spans="12:28">
      <c r="L726" s="123"/>
    </row>
    <row r="727" spans="12:28">
      <c r="L727" s="123"/>
      <c r="AB727" s="377"/>
    </row>
    <row r="728" spans="12:28">
      <c r="L728" s="123"/>
    </row>
    <row r="729" spans="12:28">
      <c r="L729" s="123"/>
    </row>
    <row r="730" spans="12:28">
      <c r="L730" s="123"/>
    </row>
    <row r="731" spans="12:28">
      <c r="L731" s="123"/>
    </row>
    <row r="732" spans="12:28">
      <c r="L732" s="123"/>
    </row>
    <row r="733" spans="12:28">
      <c r="L733" s="123"/>
    </row>
    <row r="734" spans="12:28">
      <c r="L734" s="123"/>
    </row>
    <row r="735" spans="12:28">
      <c r="L735" s="123"/>
    </row>
    <row r="736" spans="12:28">
      <c r="L736" s="123"/>
    </row>
    <row r="737" spans="12:12">
      <c r="L737" s="123"/>
    </row>
    <row r="738" spans="12:12">
      <c r="L738" s="123"/>
    </row>
    <row r="739" spans="12:12">
      <c r="L739" s="123"/>
    </row>
    <row r="740" spans="12:12">
      <c r="L740" s="123"/>
    </row>
    <row r="741" spans="12:12">
      <c r="L741" s="123"/>
    </row>
    <row r="742" spans="12:12">
      <c r="L742" s="123"/>
    </row>
    <row r="743" spans="12:12">
      <c r="L743" s="123"/>
    </row>
    <row r="744" spans="12:12">
      <c r="L744" s="123"/>
    </row>
    <row r="745" spans="12:12">
      <c r="L745" s="123"/>
    </row>
    <row r="746" spans="12:12">
      <c r="L746" s="123"/>
    </row>
    <row r="747" spans="12:12">
      <c r="L747" s="123"/>
    </row>
    <row r="748" spans="12:12">
      <c r="L748" s="123"/>
    </row>
    <row r="749" spans="12:12">
      <c r="L749" s="245"/>
    </row>
    <row r="750" spans="12:12">
      <c r="L750" s="245"/>
    </row>
    <row r="751" spans="12:12">
      <c r="L751" s="123"/>
    </row>
    <row r="752" spans="12:12">
      <c r="L752" s="123"/>
    </row>
    <row r="753" spans="12:28">
      <c r="L753" s="123"/>
    </row>
    <row r="754" spans="12:28">
      <c r="L754" s="123"/>
    </row>
    <row r="755" spans="12:28">
      <c r="L755" s="123"/>
    </row>
    <row r="756" spans="12:28">
      <c r="L756" s="123"/>
    </row>
    <row r="757" spans="12:28">
      <c r="L757" s="123"/>
      <c r="AB757" s="377"/>
    </row>
    <row r="758" spans="12:28">
      <c r="L758" s="123"/>
    </row>
    <row r="759" spans="12:28">
      <c r="L759" s="123"/>
    </row>
    <row r="760" spans="12:28">
      <c r="L760" s="123"/>
    </row>
    <row r="761" spans="12:28">
      <c r="L761" s="123"/>
    </row>
    <row r="762" spans="12:28">
      <c r="L762" s="123"/>
    </row>
    <row r="763" spans="12:28">
      <c r="L763" s="123"/>
    </row>
    <row r="764" spans="12:28">
      <c r="L764" s="123"/>
    </row>
    <row r="765" spans="12:28">
      <c r="L765" s="123"/>
    </row>
    <row r="766" spans="12:28">
      <c r="L766" s="123"/>
    </row>
    <row r="767" spans="12:28">
      <c r="L767" s="123"/>
    </row>
    <row r="768" spans="12:28">
      <c r="L768" s="123"/>
    </row>
    <row r="769" spans="12:12">
      <c r="L769" s="123"/>
    </row>
    <row r="770" spans="12:12">
      <c r="L770" s="123"/>
    </row>
    <row r="771" spans="12:12">
      <c r="L771" s="123"/>
    </row>
    <row r="772" spans="12:12">
      <c r="L772" s="123"/>
    </row>
    <row r="773" spans="12:12">
      <c r="L773" s="123"/>
    </row>
    <row r="774" spans="12:12">
      <c r="L774" s="123"/>
    </row>
    <row r="775" spans="12:12">
      <c r="L775" s="123"/>
    </row>
    <row r="776" spans="12:12">
      <c r="L776" s="123"/>
    </row>
    <row r="777" spans="12:12">
      <c r="L777" s="123"/>
    </row>
    <row r="778" spans="12:12">
      <c r="L778" s="123"/>
    </row>
    <row r="779" spans="12:12">
      <c r="L779" s="123"/>
    </row>
    <row r="780" spans="12:12">
      <c r="L780" s="123"/>
    </row>
    <row r="781" spans="12:12">
      <c r="L781" s="123"/>
    </row>
    <row r="782" spans="12:12">
      <c r="L782" s="123"/>
    </row>
    <row r="783" spans="12:12">
      <c r="L783" s="123"/>
    </row>
    <row r="784" spans="12:12">
      <c r="L784" s="123"/>
    </row>
    <row r="785" spans="12:12">
      <c r="L785" s="123"/>
    </row>
    <row r="786" spans="12:12">
      <c r="L786" s="123"/>
    </row>
    <row r="787" spans="12:12">
      <c r="L787" s="123"/>
    </row>
    <row r="788" spans="12:12">
      <c r="L788" s="123"/>
    </row>
    <row r="789" spans="12:12">
      <c r="L789" s="245"/>
    </row>
    <row r="790" spans="12:12">
      <c r="L790" s="123"/>
    </row>
    <row r="791" spans="12:12">
      <c r="L791" s="123"/>
    </row>
    <row r="792" spans="12:12">
      <c r="L792" s="123"/>
    </row>
    <row r="793" spans="12:12">
      <c r="L793" s="123"/>
    </row>
    <row r="794" spans="12:12">
      <c r="L794" s="123"/>
    </row>
    <row r="795" spans="12:12">
      <c r="L795" s="123"/>
    </row>
    <row r="796" spans="12:12">
      <c r="L796" s="123"/>
    </row>
    <row r="797" spans="12:12">
      <c r="L797" s="123"/>
    </row>
    <row r="798" spans="12:12">
      <c r="L798" s="123"/>
    </row>
    <row r="799" spans="12:12">
      <c r="L799" s="123"/>
    </row>
    <row r="800" spans="12:12">
      <c r="L800" s="123"/>
    </row>
    <row r="801" spans="12:12">
      <c r="L801" s="123"/>
    </row>
    <row r="802" spans="12:12">
      <c r="L802" s="123"/>
    </row>
    <row r="803" spans="12:12">
      <c r="L803" s="123"/>
    </row>
    <row r="804" spans="12:12">
      <c r="L804" s="123"/>
    </row>
    <row r="805" spans="12:12">
      <c r="L805" s="123"/>
    </row>
    <row r="806" spans="12:12">
      <c r="L806" s="123"/>
    </row>
    <row r="807" spans="12:12">
      <c r="L807" s="123"/>
    </row>
    <row r="808" spans="12:12">
      <c r="L808" s="123"/>
    </row>
    <row r="809" spans="12:12">
      <c r="L809" s="123"/>
    </row>
    <row r="810" spans="12:12">
      <c r="L810" s="123"/>
    </row>
    <row r="811" spans="12:12">
      <c r="L811" s="123"/>
    </row>
    <row r="812" spans="12:12">
      <c r="L812" s="123"/>
    </row>
    <row r="813" spans="12:12">
      <c r="L813" s="123"/>
    </row>
    <row r="814" spans="12:12">
      <c r="L814" s="123"/>
    </row>
    <row r="815" spans="12:12">
      <c r="L815" s="123"/>
    </row>
    <row r="816" spans="12:12">
      <c r="L816" s="123"/>
    </row>
    <row r="817" spans="12:12">
      <c r="L817" s="123"/>
    </row>
    <row r="818" spans="12:12">
      <c r="L818" s="123"/>
    </row>
    <row r="819" spans="12:12">
      <c r="L819" s="123"/>
    </row>
    <row r="820" spans="12:12">
      <c r="L820" s="123"/>
    </row>
    <row r="821" spans="12:12">
      <c r="L821" s="123"/>
    </row>
    <row r="822" spans="12:12">
      <c r="L822" s="123"/>
    </row>
    <row r="823" spans="12:12">
      <c r="L823" s="123"/>
    </row>
    <row r="824" spans="12:12">
      <c r="L824" s="123"/>
    </row>
    <row r="825" spans="12:12">
      <c r="L825" s="123"/>
    </row>
    <row r="826" spans="12:12">
      <c r="L826" s="123"/>
    </row>
    <row r="827" spans="12:12">
      <c r="L827" s="123"/>
    </row>
    <row r="828" spans="12:12">
      <c r="L828" s="123"/>
    </row>
    <row r="829" spans="12:12">
      <c r="L829" s="123"/>
    </row>
    <row r="830" spans="12:12">
      <c r="L830" s="123"/>
    </row>
    <row r="831" spans="12:12">
      <c r="L831" s="123"/>
    </row>
    <row r="832" spans="12:12">
      <c r="L832" s="123"/>
    </row>
    <row r="833" spans="12:12">
      <c r="L833" s="123"/>
    </row>
    <row r="834" spans="12:12">
      <c r="L834" s="123"/>
    </row>
    <row r="835" spans="12:12">
      <c r="L835" s="123"/>
    </row>
    <row r="836" spans="12:12">
      <c r="L836" s="123"/>
    </row>
    <row r="837" spans="12:12">
      <c r="L837" s="123"/>
    </row>
    <row r="838" spans="12:12">
      <c r="L838" s="123"/>
    </row>
    <row r="839" spans="12:12">
      <c r="L839" s="123"/>
    </row>
    <row r="840" spans="12:12">
      <c r="L840" s="123"/>
    </row>
    <row r="841" spans="12:12">
      <c r="L841" s="123"/>
    </row>
    <row r="842" spans="12:12">
      <c r="L842" s="123"/>
    </row>
    <row r="843" spans="12:12">
      <c r="L843" s="123"/>
    </row>
    <row r="844" spans="12:12">
      <c r="L844" s="123"/>
    </row>
    <row r="845" spans="12:12">
      <c r="L845" s="123"/>
    </row>
    <row r="846" spans="12:12">
      <c r="L846" s="123"/>
    </row>
    <row r="847" spans="12:12">
      <c r="L847" s="245"/>
    </row>
    <row r="848" spans="12:12">
      <c r="L848" s="123"/>
    </row>
    <row r="849" spans="12:12">
      <c r="L849" s="123"/>
    </row>
    <row r="850" spans="12:12">
      <c r="L850" s="123"/>
    </row>
    <row r="851" spans="12:12">
      <c r="L851" s="123"/>
    </row>
    <row r="852" spans="12:12">
      <c r="L852" s="123"/>
    </row>
    <row r="853" spans="12:12">
      <c r="L853" s="123"/>
    </row>
    <row r="854" spans="12:12">
      <c r="L854" s="123"/>
    </row>
    <row r="855" spans="12:12">
      <c r="L855" s="123"/>
    </row>
    <row r="856" spans="12:12">
      <c r="L856" s="123"/>
    </row>
    <row r="857" spans="12:12">
      <c r="L857" s="123"/>
    </row>
    <row r="858" spans="12:12">
      <c r="L858" s="123"/>
    </row>
    <row r="859" spans="12:12">
      <c r="L859" s="123"/>
    </row>
    <row r="860" spans="12:12">
      <c r="L860" s="123"/>
    </row>
    <row r="861" spans="12:12">
      <c r="L861" s="123"/>
    </row>
    <row r="862" spans="12:12">
      <c r="L862" s="123"/>
    </row>
    <row r="863" spans="12:12">
      <c r="L863" s="123"/>
    </row>
    <row r="864" spans="12:12">
      <c r="L864" s="123"/>
    </row>
    <row r="865" spans="12:12">
      <c r="L865" s="123"/>
    </row>
    <row r="866" spans="12:12">
      <c r="L866" s="123"/>
    </row>
    <row r="867" spans="12:12">
      <c r="L867" s="123"/>
    </row>
    <row r="868" spans="12:12">
      <c r="L868" s="123"/>
    </row>
    <row r="869" spans="12:12">
      <c r="L869" s="123"/>
    </row>
    <row r="870" spans="12:12">
      <c r="L870" s="123"/>
    </row>
    <row r="871" spans="12:12">
      <c r="L871" s="123"/>
    </row>
    <row r="872" spans="12:12">
      <c r="L872" s="123"/>
    </row>
    <row r="873" spans="12:12">
      <c r="L873" s="123"/>
    </row>
    <row r="874" spans="12:12">
      <c r="L874" s="123"/>
    </row>
    <row r="875" spans="12:12">
      <c r="L875" s="123"/>
    </row>
    <row r="876" spans="12:12">
      <c r="L876" s="123"/>
    </row>
    <row r="877" spans="12:12">
      <c r="L877" s="123"/>
    </row>
    <row r="878" spans="12:12">
      <c r="L878" s="123"/>
    </row>
    <row r="879" spans="12:12">
      <c r="L879" s="123"/>
    </row>
    <row r="880" spans="12:12">
      <c r="L880" s="123"/>
    </row>
    <row r="881" spans="12:12">
      <c r="L881" s="123"/>
    </row>
    <row r="882" spans="12:12">
      <c r="L882" s="123"/>
    </row>
    <row r="883" spans="12:12">
      <c r="L883" s="123"/>
    </row>
    <row r="884" spans="12:12">
      <c r="L884" s="123"/>
    </row>
    <row r="885" spans="12:12">
      <c r="L885" s="123"/>
    </row>
    <row r="886" spans="12:12">
      <c r="L886" s="123"/>
    </row>
    <row r="887" spans="12:12">
      <c r="L887" s="123"/>
    </row>
    <row r="888" spans="12:12">
      <c r="L888" s="123"/>
    </row>
    <row r="889" spans="12:12">
      <c r="L889" s="123"/>
    </row>
    <row r="890" spans="12:12">
      <c r="L890" s="123"/>
    </row>
    <row r="891" spans="12:12">
      <c r="L891" s="123"/>
    </row>
    <row r="892" spans="12:12">
      <c r="L892" s="123"/>
    </row>
    <row r="893" spans="12:12">
      <c r="L893" s="123"/>
    </row>
    <row r="894" spans="12:12">
      <c r="L894" s="123"/>
    </row>
    <row r="895" spans="12:12">
      <c r="L895" s="123"/>
    </row>
    <row r="896" spans="12:12">
      <c r="L896" s="123"/>
    </row>
    <row r="897" spans="12:12">
      <c r="L897" s="123"/>
    </row>
    <row r="898" spans="12:12">
      <c r="L898" s="123"/>
    </row>
    <row r="899" spans="12:12">
      <c r="L899" s="123"/>
    </row>
    <row r="900" spans="12:12">
      <c r="L900" s="123"/>
    </row>
    <row r="901" spans="12:12">
      <c r="L901" s="123"/>
    </row>
    <row r="902" spans="12:12">
      <c r="L902" s="123"/>
    </row>
    <row r="903" spans="12:12">
      <c r="L903" s="123"/>
    </row>
    <row r="904" spans="12:12">
      <c r="L904" s="245"/>
    </row>
    <row r="905" spans="12:12">
      <c r="L905" s="123"/>
    </row>
    <row r="906" spans="12:12">
      <c r="L906" s="123"/>
    </row>
    <row r="907" spans="12:12">
      <c r="L907" s="123"/>
    </row>
    <row r="908" spans="12:12">
      <c r="L908" s="123"/>
    </row>
    <row r="909" spans="12:12">
      <c r="L909" s="123"/>
    </row>
    <row r="910" spans="12:12">
      <c r="L910" s="123"/>
    </row>
    <row r="911" spans="12:12">
      <c r="L911" s="123"/>
    </row>
    <row r="912" spans="12:12">
      <c r="L912" s="123"/>
    </row>
    <row r="913" spans="12:12">
      <c r="L913" s="123"/>
    </row>
    <row r="914" spans="12:12">
      <c r="L914" s="123"/>
    </row>
    <row r="915" spans="12:12">
      <c r="L915" s="123"/>
    </row>
    <row r="916" spans="12:12">
      <c r="L916" s="123"/>
    </row>
    <row r="917" spans="12:12">
      <c r="L917" s="123"/>
    </row>
    <row r="918" spans="12:12">
      <c r="L918" s="123"/>
    </row>
    <row r="919" spans="12:12">
      <c r="L919" s="123"/>
    </row>
    <row r="920" spans="12:12">
      <c r="L920" s="123"/>
    </row>
    <row r="921" spans="12:12">
      <c r="L921" s="123"/>
    </row>
    <row r="922" spans="12:12">
      <c r="L922" s="123"/>
    </row>
    <row r="923" spans="12:12">
      <c r="L923" s="123"/>
    </row>
    <row r="924" spans="12:12">
      <c r="L924" s="123"/>
    </row>
    <row r="925" spans="12:12">
      <c r="L925" s="123"/>
    </row>
    <row r="926" spans="12:12">
      <c r="L926" s="123"/>
    </row>
    <row r="927" spans="12:12">
      <c r="L927" s="123"/>
    </row>
    <row r="928" spans="12:12">
      <c r="L928" s="123"/>
    </row>
    <row r="929" spans="12:12">
      <c r="L929" s="123"/>
    </row>
    <row r="930" spans="12:12">
      <c r="L930" s="123"/>
    </row>
    <row r="931" spans="12:12">
      <c r="L931" s="123"/>
    </row>
    <row r="932" spans="12:12">
      <c r="L932" s="225"/>
    </row>
    <row r="933" spans="12:12">
      <c r="L933" s="123"/>
    </row>
    <row r="934" spans="12:12">
      <c r="L934" s="123"/>
    </row>
    <row r="935" spans="12:12">
      <c r="L935" s="123"/>
    </row>
    <row r="936" spans="12:12">
      <c r="L936" s="123"/>
    </row>
    <row r="937" spans="12:12">
      <c r="L937" s="123"/>
    </row>
    <row r="938" spans="12:12">
      <c r="L938" s="123"/>
    </row>
    <row r="939" spans="12:12">
      <c r="L939" s="123"/>
    </row>
    <row r="940" spans="12:12">
      <c r="L940" s="123"/>
    </row>
    <row r="941" spans="12:12">
      <c r="L941" s="123"/>
    </row>
    <row r="942" spans="12:12">
      <c r="L942" s="123"/>
    </row>
    <row r="943" spans="12:12">
      <c r="L943" s="123"/>
    </row>
    <row r="944" spans="12:12">
      <c r="L944" s="123"/>
    </row>
    <row r="945" spans="12:12">
      <c r="L945" s="123"/>
    </row>
    <row r="946" spans="12:12">
      <c r="L946" s="245"/>
    </row>
    <row r="947" spans="12:12">
      <c r="L947" s="123"/>
    </row>
    <row r="948" spans="12:12">
      <c r="L948" s="123"/>
    </row>
    <row r="949" spans="12:12">
      <c r="L949" s="123"/>
    </row>
    <row r="950" spans="12:12">
      <c r="L950" s="123"/>
    </row>
    <row r="951" spans="12:12">
      <c r="L951" s="123"/>
    </row>
    <row r="952" spans="12:12">
      <c r="L952" s="123"/>
    </row>
    <row r="953" spans="12:12">
      <c r="L953" s="123"/>
    </row>
    <row r="954" spans="12:12">
      <c r="L954" s="123"/>
    </row>
    <row r="956" spans="12:12">
      <c r="L956" s="123"/>
    </row>
    <row r="957" spans="12:12">
      <c r="L957" s="123"/>
    </row>
    <row r="958" spans="12:12">
      <c r="L958" s="245"/>
    </row>
    <row r="959" spans="12:12">
      <c r="L959" s="123"/>
    </row>
    <row r="960" spans="12:12">
      <c r="L960" s="245"/>
    </row>
    <row r="961" spans="12:12">
      <c r="L961" s="123"/>
    </row>
    <row r="962" spans="12:12">
      <c r="L962" s="123"/>
    </row>
    <row r="963" spans="12:12">
      <c r="L963" s="123"/>
    </row>
    <row r="964" spans="12:12">
      <c r="L964" s="245"/>
    </row>
    <row r="965" spans="12:12">
      <c r="L965" s="120"/>
    </row>
    <row r="967" spans="12:12">
      <c r="L967" s="123"/>
    </row>
    <row r="968" spans="12:12">
      <c r="L968" s="245"/>
    </row>
    <row r="969" spans="12:12">
      <c r="L969" s="123"/>
    </row>
    <row r="970" spans="12:12">
      <c r="L970" s="123"/>
    </row>
    <row r="971" spans="12:12">
      <c r="L971" s="245"/>
    </row>
    <row r="972" spans="12:12">
      <c r="L972" s="123"/>
    </row>
    <row r="973" spans="12:12">
      <c r="L973" s="123"/>
    </row>
    <row r="974" spans="12:12">
      <c r="L974" s="123"/>
    </row>
    <row r="975" spans="12:12">
      <c r="L975" s="123"/>
    </row>
    <row r="976" spans="12:12">
      <c r="L976" s="123"/>
    </row>
    <row r="977" spans="12:12">
      <c r="L977" s="245"/>
    </row>
    <row r="978" spans="12:12">
      <c r="L978" s="123"/>
    </row>
    <row r="979" spans="12:12">
      <c r="L979" s="123"/>
    </row>
    <row r="980" spans="12:12">
      <c r="L980" s="123"/>
    </row>
    <row r="981" spans="12:12">
      <c r="L981" s="123"/>
    </row>
    <row r="983" spans="12:12">
      <c r="L983" s="245"/>
    </row>
    <row r="984" spans="12:12">
      <c r="L984" s="123"/>
    </row>
    <row r="985" spans="12:12">
      <c r="L985" s="123"/>
    </row>
    <row r="986" spans="12:12">
      <c r="L986" s="123"/>
    </row>
    <row r="987" spans="12:12">
      <c r="L987" s="123"/>
    </row>
    <row r="988" spans="12:12">
      <c r="L988" s="123"/>
    </row>
    <row r="989" spans="12:12">
      <c r="L989" s="123"/>
    </row>
    <row r="990" spans="12:12">
      <c r="L990" s="123"/>
    </row>
    <row r="991" spans="12:12">
      <c r="L991" s="123"/>
    </row>
    <row r="992" spans="12:12">
      <c r="L992" s="26"/>
    </row>
    <row r="993" spans="12:12">
      <c r="L993" s="123"/>
    </row>
    <row r="994" spans="12:12">
      <c r="L994" s="123"/>
    </row>
    <row r="995" spans="12:12">
      <c r="L995" s="123"/>
    </row>
    <row r="996" spans="12:12">
      <c r="L996" s="123"/>
    </row>
    <row r="997" spans="12:12">
      <c r="L997" s="123"/>
    </row>
    <row r="998" spans="12:12">
      <c r="L998" s="123"/>
    </row>
    <row r="999" spans="12:12">
      <c r="L999" s="123"/>
    </row>
    <row r="1000" spans="12:12">
      <c r="L1000" s="245"/>
    </row>
    <row r="1001" spans="12:12">
      <c r="L1001" s="123"/>
    </row>
    <row r="1002" spans="12:12">
      <c r="L1002" s="123"/>
    </row>
    <row r="1003" spans="12:12">
      <c r="L1003" s="123"/>
    </row>
    <row r="1004" spans="12:12">
      <c r="L1004" s="123"/>
    </row>
    <row r="1005" spans="12:12">
      <c r="L1005" s="123"/>
    </row>
    <row r="1006" spans="12:12">
      <c r="L1006" s="123"/>
    </row>
    <row r="1007" spans="12:12">
      <c r="L1007" s="245"/>
    </row>
    <row r="1008" spans="12:12">
      <c r="L1008" s="123"/>
    </row>
    <row r="1009" spans="12:12">
      <c r="L1009" s="123"/>
    </row>
    <row r="1010" spans="12:12">
      <c r="L1010" s="123"/>
    </row>
    <row r="1011" spans="12:12">
      <c r="L1011" s="123"/>
    </row>
    <row r="1012" spans="12:12">
      <c r="L1012" s="123"/>
    </row>
    <row r="1013" spans="12:12">
      <c r="L1013" s="123"/>
    </row>
    <row r="1014" spans="12:12">
      <c r="L1014" s="123"/>
    </row>
    <row r="1015" spans="12:12">
      <c r="L1015" s="245"/>
    </row>
    <row r="1016" spans="12:12">
      <c r="L1016" s="123"/>
    </row>
    <row r="1017" spans="12:12">
      <c r="L1017" s="123"/>
    </row>
    <row r="1018" spans="12:12">
      <c r="L1018" s="123"/>
    </row>
    <row r="1019" spans="12:12">
      <c r="L1019" s="123"/>
    </row>
    <row r="1020" spans="12:12">
      <c r="L1020" s="123"/>
    </row>
    <row r="1021" spans="12:12">
      <c r="L1021" s="123"/>
    </row>
    <row r="1022" spans="12:12">
      <c r="L1022" s="123"/>
    </row>
    <row r="1023" spans="12:12">
      <c r="L1023" s="123"/>
    </row>
    <row r="1024" spans="12:12">
      <c r="L1024" s="123"/>
    </row>
    <row r="1025" spans="12:12">
      <c r="L1025" s="120"/>
    </row>
    <row r="1026" spans="12:12">
      <c r="L1026" s="120"/>
    </row>
    <row r="1027" spans="12:12">
      <c r="L1027" s="123"/>
    </row>
    <row r="1028" spans="12:12">
      <c r="L1028" s="123"/>
    </row>
    <row r="1029" spans="12:12">
      <c r="L1029" s="123"/>
    </row>
    <row r="1030" spans="12:12">
      <c r="L1030" s="123"/>
    </row>
    <row r="1031" spans="12:12">
      <c r="L1031" s="123"/>
    </row>
    <row r="1032" spans="12:12">
      <c r="L1032" s="123"/>
    </row>
    <row r="1033" spans="12:12">
      <c r="L1033" s="123"/>
    </row>
    <row r="1034" spans="12:12">
      <c r="L1034" s="123"/>
    </row>
    <row r="1035" spans="12:12">
      <c r="L1035" s="123"/>
    </row>
    <row r="1036" spans="12:12">
      <c r="L1036" s="123"/>
    </row>
    <row r="1037" spans="12:12">
      <c r="L1037" s="123"/>
    </row>
    <row r="1038" spans="12:12">
      <c r="L1038" s="245"/>
    </row>
    <row r="1039" spans="12:12">
      <c r="L1039" s="123"/>
    </row>
    <row r="1040" spans="12:12">
      <c r="L1040" s="123"/>
    </row>
    <row r="1041" spans="12:12">
      <c r="L1041" s="245"/>
    </row>
    <row r="1042" spans="12:12">
      <c r="L1042" s="123"/>
    </row>
    <row r="1043" spans="12:12">
      <c r="L1043" s="123"/>
    </row>
    <row r="1044" spans="12:12">
      <c r="L1044" s="123"/>
    </row>
    <row r="1045" spans="12:12">
      <c r="L1045" s="43"/>
    </row>
    <row r="1047" spans="12:12">
      <c r="L1047" s="123"/>
    </row>
    <row r="1048" spans="12:12">
      <c r="L1048" s="123"/>
    </row>
    <row r="1049" spans="12:12">
      <c r="L1049" s="123"/>
    </row>
    <row r="1050" spans="12:12">
      <c r="L1050" s="123"/>
    </row>
    <row r="1051" spans="12:12">
      <c r="L1051" s="123"/>
    </row>
    <row r="1052" spans="12:12">
      <c r="L1052" s="123"/>
    </row>
    <row r="1053" spans="12:12">
      <c r="L1053" s="123"/>
    </row>
    <row r="1054" spans="12:12">
      <c r="L1054" s="123"/>
    </row>
    <row r="1055" spans="12:12">
      <c r="L1055" s="120"/>
    </row>
    <row r="1056" spans="12:12">
      <c r="L1056" s="123"/>
    </row>
    <row r="1057" spans="12:12">
      <c r="L1057" s="123"/>
    </row>
    <row r="1058" spans="12:12">
      <c r="L1058" s="123"/>
    </row>
    <row r="1059" spans="12:12">
      <c r="L1059" s="123"/>
    </row>
    <row r="1060" spans="12:12">
      <c r="L1060" s="123"/>
    </row>
    <row r="1061" spans="12:12">
      <c r="L1061" s="123"/>
    </row>
    <row r="1062" spans="12:12">
      <c r="L1062" s="123"/>
    </row>
    <row r="1063" spans="12:12">
      <c r="L1063" s="123"/>
    </row>
    <row r="1065" spans="12:12">
      <c r="L1065" s="123"/>
    </row>
    <row r="1066" spans="12:12">
      <c r="L1066" s="123"/>
    </row>
    <row r="1067" spans="12:12">
      <c r="L1067" s="123"/>
    </row>
    <row r="1068" spans="12:12">
      <c r="L1068" s="123"/>
    </row>
    <row r="1069" spans="12:12">
      <c r="L1069" s="245"/>
    </row>
    <row r="1070" spans="12:12">
      <c r="L1070" s="123"/>
    </row>
    <row r="1071" spans="12:12">
      <c r="L1071" s="123"/>
    </row>
    <row r="1072" spans="12:12">
      <c r="L1072" s="123"/>
    </row>
    <row r="1073" spans="12:12">
      <c r="L1073" s="123"/>
    </row>
    <row r="1074" spans="12:12">
      <c r="L1074" s="123"/>
    </row>
    <row r="1075" spans="12:12">
      <c r="L1075" s="123"/>
    </row>
    <row r="1076" spans="12:12">
      <c r="L1076" s="120"/>
    </row>
    <row r="1077" spans="12:12">
      <c r="L1077" s="123"/>
    </row>
    <row r="1078" spans="12:12">
      <c r="L1078" s="245"/>
    </row>
    <row r="1079" spans="12:12">
      <c r="L1079" s="123"/>
    </row>
    <row r="1080" spans="12:12">
      <c r="L1080" s="123"/>
    </row>
    <row r="1081" spans="12:12">
      <c r="L1081" s="123"/>
    </row>
    <row r="1082" spans="12:12">
      <c r="L1082" s="123"/>
    </row>
    <row r="1083" spans="12:12">
      <c r="L1083" s="123"/>
    </row>
    <row r="1084" spans="12:12">
      <c r="L1084" s="123"/>
    </row>
    <row r="1085" spans="12:12">
      <c r="L1085" s="123"/>
    </row>
    <row r="1086" spans="12:12">
      <c r="L1086" s="123"/>
    </row>
    <row r="1087" spans="12:12">
      <c r="L1087" s="123"/>
    </row>
    <row r="1088" spans="12:12">
      <c r="L1088" s="123"/>
    </row>
    <row r="1089" spans="12:12">
      <c r="L1089" s="123"/>
    </row>
    <row r="1090" spans="12:12">
      <c r="L1090" s="123"/>
    </row>
    <row r="1091" spans="12:12">
      <c r="L1091" s="123"/>
    </row>
    <row r="1092" spans="12:12">
      <c r="L1092" s="123"/>
    </row>
    <row r="1093" spans="12:12">
      <c r="L1093" s="123"/>
    </row>
    <row r="1094" spans="12:12">
      <c r="L1094" s="123"/>
    </row>
    <row r="1095" spans="12:12">
      <c r="L1095" s="123"/>
    </row>
    <row r="1096" spans="12:12">
      <c r="L1096" s="123"/>
    </row>
    <row r="1097" spans="12:12">
      <c r="L1097" s="120"/>
    </row>
    <row r="1098" spans="12:12">
      <c r="L1098" s="123"/>
    </row>
    <row r="1099" spans="12:12">
      <c r="L1099" s="123"/>
    </row>
    <row r="1100" spans="12:12">
      <c r="L1100" s="123"/>
    </row>
    <row r="1101" spans="12:12">
      <c r="L1101" s="123"/>
    </row>
    <row r="1102" spans="12:12">
      <c r="L1102" s="123"/>
    </row>
    <row r="1103" spans="12:12">
      <c r="L1103" s="27"/>
    </row>
    <row r="1104" spans="12:12">
      <c r="L1104" s="120"/>
    </row>
    <row r="1105" spans="12:12">
      <c r="L1105" s="245"/>
    </row>
    <row r="1106" spans="12:12">
      <c r="L1106" s="245"/>
    </row>
    <row r="1107" spans="12:12">
      <c r="L1107" s="123"/>
    </row>
    <row r="1108" spans="12:12">
      <c r="L1108" s="120"/>
    </row>
    <row r="1109" spans="12:12">
      <c r="L1109" s="123"/>
    </row>
    <row r="1110" spans="12:12">
      <c r="L1110" s="123"/>
    </row>
    <row r="1111" spans="12:12">
      <c r="L1111" s="123"/>
    </row>
    <row r="1112" spans="12:12">
      <c r="L1112" s="43"/>
    </row>
    <row r="1113" spans="12:12">
      <c r="L1113" s="123"/>
    </row>
    <row r="1115" spans="12:12">
      <c r="L1115" s="123"/>
    </row>
    <row r="1116" spans="12:12">
      <c r="L1116" s="120"/>
    </row>
    <row r="1117" spans="12:12">
      <c r="L1117" s="123"/>
    </row>
    <row r="1118" spans="12:12">
      <c r="L1118" s="123"/>
    </row>
    <row r="1119" spans="12:12">
      <c r="L1119" s="120"/>
    </row>
    <row r="1120" spans="12:12">
      <c r="L1120" s="123"/>
    </row>
    <row r="1121" spans="12:12">
      <c r="L1121" s="123"/>
    </row>
    <row r="1122" spans="12:12">
      <c r="L1122" s="123"/>
    </row>
    <row r="1123" spans="12:12">
      <c r="L1123" s="123"/>
    </row>
    <row r="1124" spans="12:12">
      <c r="L1124" s="123"/>
    </row>
    <row r="1125" spans="12:12">
      <c r="L1125" s="123"/>
    </row>
    <row r="1126" spans="12:12">
      <c r="L1126" s="123"/>
    </row>
    <row r="1127" spans="12:12">
      <c r="L1127" s="123"/>
    </row>
    <row r="1128" spans="12:12">
      <c r="L1128" s="123"/>
    </row>
    <row r="1129" spans="12:12">
      <c r="L1129" s="123"/>
    </row>
    <row r="1130" spans="12:12">
      <c r="L1130" s="245"/>
    </row>
    <row r="1131" spans="12:12">
      <c r="L1131" s="123"/>
    </row>
    <row r="1132" spans="12:12">
      <c r="L1132" s="123"/>
    </row>
    <row r="1133" spans="12:12">
      <c r="L1133" s="123"/>
    </row>
    <row r="1134" spans="12:12">
      <c r="L1134" s="123"/>
    </row>
    <row r="1135" spans="12:12">
      <c r="L1135" s="123"/>
    </row>
    <row r="1136" spans="12:12">
      <c r="L1136" s="123"/>
    </row>
    <row r="1137" spans="12:28">
      <c r="L1137" s="120"/>
      <c r="AB1137" s="377"/>
    </row>
    <row r="1138" spans="12:28">
      <c r="L1138" s="123"/>
    </row>
    <row r="1139" spans="12:28">
      <c r="L1139" s="123"/>
    </row>
    <row r="1140" spans="12:28">
      <c r="L1140" s="123"/>
    </row>
    <row r="1141" spans="12:28">
      <c r="L1141" s="123"/>
    </row>
    <row r="1142" spans="12:28">
      <c r="L1142" s="245"/>
    </row>
    <row r="1144" spans="12:28">
      <c r="L1144" s="123"/>
    </row>
    <row r="1145" spans="12:28">
      <c r="L1145" s="123"/>
    </row>
    <row r="1146" spans="12:28">
      <c r="L1146" s="123"/>
    </row>
    <row r="1147" spans="12:28">
      <c r="L1147" s="27"/>
    </row>
    <row r="1148" spans="12:28">
      <c r="L1148" s="123"/>
    </row>
    <row r="1149" spans="12:28">
      <c r="L1149" s="245"/>
    </row>
    <row r="1150" spans="12:28">
      <c r="L1150" s="120"/>
    </row>
    <row r="1151" spans="12:28">
      <c r="L1151" s="123"/>
    </row>
    <row r="1152" spans="12:28">
      <c r="L1152" s="123"/>
    </row>
    <row r="1153" spans="12:12">
      <c r="L1153" s="123"/>
    </row>
    <row r="1154" spans="12:12">
      <c r="L1154" s="123"/>
    </row>
    <row r="1155" spans="12:12">
      <c r="L1155" s="123"/>
    </row>
    <row r="1156" spans="12:12">
      <c r="L1156" s="123"/>
    </row>
    <row r="1157" spans="12:12">
      <c r="L1157" s="123"/>
    </row>
    <row r="1158" spans="12:12">
      <c r="L1158" s="123"/>
    </row>
    <row r="1159" spans="12:12">
      <c r="L1159" s="123"/>
    </row>
    <row r="1160" spans="12:12">
      <c r="L1160" s="123"/>
    </row>
    <row r="1161" spans="12:12">
      <c r="L1161" s="123"/>
    </row>
    <row r="1162" spans="12:12">
      <c r="L1162" s="123"/>
    </row>
    <row r="1163" spans="12:12">
      <c r="L1163" s="123"/>
    </row>
    <row r="1164" spans="12:12">
      <c r="L1164" s="245"/>
    </row>
    <row r="1166" spans="12:12">
      <c r="L1166" s="123"/>
    </row>
    <row r="1167" spans="12:12">
      <c r="L1167" s="123"/>
    </row>
    <row r="1168" spans="12:12">
      <c r="L1168" s="123"/>
    </row>
    <row r="1169" spans="12:12">
      <c r="L1169" s="123"/>
    </row>
    <row r="1170" spans="12:12">
      <c r="L1170" s="123"/>
    </row>
    <row r="1171" spans="12:12">
      <c r="L1171" s="123"/>
    </row>
    <row r="1172" spans="12:12">
      <c r="L1172" s="123"/>
    </row>
    <row r="1173" spans="12:12">
      <c r="L1173" s="123"/>
    </row>
    <row r="1174" spans="12:12">
      <c r="L1174" s="123"/>
    </row>
    <row r="1175" spans="12:12">
      <c r="L1175" s="123"/>
    </row>
    <row r="1176" spans="12:12">
      <c r="L1176" s="123"/>
    </row>
    <row r="1177" spans="12:12">
      <c r="L1177" s="123"/>
    </row>
    <row r="1178" spans="12:12">
      <c r="L1178" s="123"/>
    </row>
    <row r="1179" spans="12:12">
      <c r="L1179" s="123"/>
    </row>
    <row r="1181" spans="12:12">
      <c r="L1181" s="123"/>
    </row>
    <row r="1182" spans="12:12">
      <c r="L1182" s="120"/>
    </row>
    <row r="1183" spans="12:12">
      <c r="L1183" s="123"/>
    </row>
    <row r="1184" spans="12:12">
      <c r="L1184" s="123"/>
    </row>
    <row r="1185" spans="12:12">
      <c r="L1185" s="123"/>
    </row>
    <row r="1186" spans="12:12">
      <c r="L1186" s="123"/>
    </row>
    <row r="1187" spans="12:12">
      <c r="L1187" s="123"/>
    </row>
    <row r="1188" spans="12:12">
      <c r="L1188" s="123"/>
    </row>
    <row r="1190" spans="12:12">
      <c r="L1190" s="123"/>
    </row>
    <row r="1191" spans="12:12">
      <c r="L1191" s="123"/>
    </row>
    <row r="1192" spans="12:12">
      <c r="L1192" s="123"/>
    </row>
    <row r="1193" spans="12:12">
      <c r="L1193" s="123"/>
    </row>
    <row r="1194" spans="12:12">
      <c r="L1194" s="123"/>
    </row>
    <row r="1195" spans="12:12">
      <c r="L1195" s="123"/>
    </row>
    <row r="1196" spans="12:12">
      <c r="L1196" s="123"/>
    </row>
    <row r="1197" spans="12:12">
      <c r="L1197" s="123"/>
    </row>
    <row r="1198" spans="12:12">
      <c r="L1198" s="123"/>
    </row>
    <row r="1199" spans="12:12">
      <c r="L1199" s="120"/>
    </row>
    <row r="1200" spans="12:12">
      <c r="L1200" s="123"/>
    </row>
    <row r="1201" spans="12:12">
      <c r="L1201" s="123"/>
    </row>
    <row r="1202" spans="12:12">
      <c r="L1202" s="123"/>
    </row>
    <row r="1204" spans="12:12">
      <c r="L1204" s="123"/>
    </row>
    <row r="1205" spans="12:12">
      <c r="L1205" s="123"/>
    </row>
    <row r="1206" spans="12:12">
      <c r="L1206" s="245"/>
    </row>
    <row r="1207" spans="12:12">
      <c r="L1207" s="123"/>
    </row>
    <row r="1208" spans="12:12">
      <c r="L1208" s="245"/>
    </row>
    <row r="1209" spans="12:12">
      <c r="L1209" s="123"/>
    </row>
    <row r="1210" spans="12:12">
      <c r="L1210" s="123"/>
    </row>
    <row r="1211" spans="12:12">
      <c r="L1211" s="123"/>
    </row>
    <row r="1212" spans="12:12">
      <c r="L1212" s="245"/>
    </row>
    <row r="1213" spans="12:12">
      <c r="L1213" s="245"/>
    </row>
    <row r="1214" spans="12:12">
      <c r="L1214" s="123"/>
    </row>
    <row r="1215" spans="12:12">
      <c r="L1215" s="123"/>
    </row>
    <row r="1216" spans="12:12">
      <c r="L1216" s="123"/>
    </row>
    <row r="1217" spans="12:12">
      <c r="L1217" s="123"/>
    </row>
    <row r="1218" spans="12:12">
      <c r="L1218" s="245"/>
    </row>
    <row r="1219" spans="12:12">
      <c r="L1219" s="123"/>
    </row>
    <row r="1220" spans="12:12">
      <c r="L1220" s="245"/>
    </row>
    <row r="1221" spans="12:12">
      <c r="L1221" s="123"/>
    </row>
    <row r="1222" spans="12:12">
      <c r="L1222" s="245"/>
    </row>
    <row r="1223" spans="12:12">
      <c r="L1223" s="123"/>
    </row>
    <row r="1224" spans="12:12">
      <c r="L1224" s="123"/>
    </row>
    <row r="1225" spans="12:12">
      <c r="L1225" s="123"/>
    </row>
    <row r="1226" spans="12:12">
      <c r="L1226" s="123"/>
    </row>
    <row r="1227" spans="12:12">
      <c r="L1227" s="123"/>
    </row>
    <row r="1228" spans="12:12">
      <c r="L1228" s="123"/>
    </row>
    <row r="1229" spans="12:12">
      <c r="L1229" s="123"/>
    </row>
    <row r="1230" spans="12:12">
      <c r="L1230" s="123"/>
    </row>
    <row r="1231" spans="12:12">
      <c r="L1231" s="123"/>
    </row>
    <row r="1232" spans="12:12">
      <c r="L1232" s="123"/>
    </row>
    <row r="1233" spans="12:12">
      <c r="L1233" s="123"/>
    </row>
    <row r="1234" spans="12:12">
      <c r="L1234" s="123"/>
    </row>
    <row r="1235" spans="12:12">
      <c r="L1235" s="123"/>
    </row>
    <row r="1236" spans="12:12">
      <c r="L1236" s="123"/>
    </row>
    <row r="1237" spans="12:12">
      <c r="L1237" s="123"/>
    </row>
    <row r="1238" spans="12:12">
      <c r="L1238" s="123"/>
    </row>
    <row r="1239" spans="12:12">
      <c r="L1239" s="245"/>
    </row>
    <row r="1240" spans="12:12">
      <c r="L1240" s="123"/>
    </row>
    <row r="1241" spans="12:12">
      <c r="L1241" s="123"/>
    </row>
    <row r="1242" spans="12:12">
      <c r="L1242" s="123"/>
    </row>
    <row r="1243" spans="12:12">
      <c r="L1243" s="123"/>
    </row>
    <row r="1244" spans="12:12">
      <c r="L1244" s="123"/>
    </row>
    <row r="1245" spans="12:12">
      <c r="L1245" s="123"/>
    </row>
    <row r="1246" spans="12:12">
      <c r="L1246" s="123"/>
    </row>
    <row r="1247" spans="12:12">
      <c r="L1247" s="245"/>
    </row>
    <row r="1248" spans="12:12">
      <c r="L1248" s="123"/>
    </row>
    <row r="1249" spans="12:12">
      <c r="L1249" s="123"/>
    </row>
    <row r="1250" spans="12:12">
      <c r="L1250" s="123"/>
    </row>
    <row r="1251" spans="12:12">
      <c r="L1251" s="123"/>
    </row>
    <row r="1252" spans="12:12">
      <c r="L1252" s="123"/>
    </row>
    <row r="1253" spans="12:12">
      <c r="L1253" s="123"/>
    </row>
    <row r="1254" spans="12:12">
      <c r="L1254" s="123"/>
    </row>
    <row r="1255" spans="12:12">
      <c r="L1255" s="123"/>
    </row>
    <row r="1256" spans="12:12">
      <c r="L1256" s="123"/>
    </row>
    <row r="1257" spans="12:12">
      <c r="L1257" s="123"/>
    </row>
    <row r="1258" spans="12:12">
      <c r="L1258" s="120"/>
    </row>
    <row r="1259" spans="12:12">
      <c r="L1259" s="123"/>
    </row>
    <row r="1260" spans="12:12">
      <c r="L1260" s="123"/>
    </row>
    <row r="1261" spans="12:12">
      <c r="L1261" s="245"/>
    </row>
    <row r="1262" spans="12:12">
      <c r="L1262" s="123"/>
    </row>
    <row r="1263" spans="12:12">
      <c r="L1263" s="123"/>
    </row>
    <row r="1264" spans="12:12">
      <c r="L1264" s="123"/>
    </row>
    <row r="1265" spans="12:12">
      <c r="L1265" s="123"/>
    </row>
    <row r="1266" spans="12:12">
      <c r="L1266" s="123"/>
    </row>
    <row r="1267" spans="12:12">
      <c r="L1267" s="123"/>
    </row>
    <row r="1268" spans="12:12">
      <c r="L1268" s="123"/>
    </row>
    <row r="1269" spans="12:12">
      <c r="L1269" s="245"/>
    </row>
    <row r="1270" spans="12:12">
      <c r="L1270" s="245"/>
    </row>
    <row r="1271" spans="12:12">
      <c r="L1271" s="123"/>
    </row>
    <row r="1272" spans="12:12">
      <c r="L1272" s="245"/>
    </row>
    <row r="1273" spans="12:12">
      <c r="L1273" s="123"/>
    </row>
    <row r="1274" spans="12:12">
      <c r="L1274" s="123"/>
    </row>
    <row r="1275" spans="12:12">
      <c r="L1275" s="123"/>
    </row>
    <row r="1276" spans="12:12">
      <c r="L1276" s="123"/>
    </row>
    <row r="1277" spans="12:12">
      <c r="L1277" s="123"/>
    </row>
    <row r="1278" spans="12:12">
      <c r="L1278" s="123"/>
    </row>
    <row r="1279" spans="12:12">
      <c r="L1279" s="123"/>
    </row>
    <row r="1280" spans="12:12">
      <c r="L1280" s="245"/>
    </row>
    <row r="1281" spans="12:12">
      <c r="L1281" s="123"/>
    </row>
    <row r="1282" spans="12:12">
      <c r="L1282" s="123"/>
    </row>
    <row r="1283" spans="12:12">
      <c r="L1283" s="123"/>
    </row>
    <row r="1284" spans="12:12">
      <c r="L1284" s="123"/>
    </row>
    <row r="1285" spans="12:12">
      <c r="L1285" s="123"/>
    </row>
    <row r="1286" spans="12:12">
      <c r="L1286" s="123"/>
    </row>
    <row r="1287" spans="12:12">
      <c r="L1287" s="123"/>
    </row>
    <row r="1288" spans="12:12">
      <c r="L1288" s="123"/>
    </row>
    <row r="1289" spans="12:12">
      <c r="L1289" s="123"/>
    </row>
    <row r="1290" spans="12:12">
      <c r="L1290" s="123"/>
    </row>
    <row r="1291" spans="12:12">
      <c r="L1291" s="123"/>
    </row>
    <row r="1292" spans="12:12">
      <c r="L1292" s="124"/>
    </row>
    <row r="1293" spans="12:12">
      <c r="L1293" s="123"/>
    </row>
    <row r="1294" spans="12:12">
      <c r="L1294" s="123"/>
    </row>
    <row r="1295" spans="12:12">
      <c r="L1295" s="123"/>
    </row>
    <row r="1296" spans="12:12">
      <c r="L1296" s="123"/>
    </row>
    <row r="1297" spans="12:17">
      <c r="L1297" s="123"/>
    </row>
    <row r="1298" spans="12:17">
      <c r="L1298" s="123"/>
    </row>
    <row r="1299" spans="12:17">
      <c r="L1299" s="123"/>
    </row>
    <row r="1300" spans="12:17">
      <c r="L1300" s="245"/>
    </row>
    <row r="1301" spans="12:17">
      <c r="L1301" s="123"/>
    </row>
    <row r="1302" spans="12:17">
      <c r="L1302" s="123"/>
    </row>
    <row r="1303" spans="12:17">
      <c r="L1303" s="123"/>
    </row>
    <row r="1304" spans="12:17">
      <c r="L1304" s="123"/>
    </row>
    <row r="1305" spans="12:17">
      <c r="L1305" s="123"/>
    </row>
    <row r="1306" spans="12:17">
      <c r="L1306" s="123"/>
    </row>
    <row r="1307" spans="12:17">
      <c r="L1307" s="123"/>
      <c r="O1307" s="360"/>
      <c r="Q1307" s="351"/>
    </row>
    <row r="1308" spans="12:17">
      <c r="L1308" s="123"/>
    </row>
    <row r="1309" spans="12:17">
      <c r="L1309" s="123"/>
    </row>
    <row r="1310" spans="12:17">
      <c r="L1310" s="123"/>
    </row>
    <row r="1311" spans="12:17">
      <c r="L1311" s="123"/>
    </row>
    <row r="1312" spans="12:17">
      <c r="L1312" s="123"/>
    </row>
    <row r="1313" spans="12:17">
      <c r="L1313" s="123"/>
    </row>
    <row r="1314" spans="12:17">
      <c r="L1314" s="123"/>
    </row>
    <row r="1315" spans="12:17">
      <c r="L1315" s="245"/>
    </row>
    <row r="1316" spans="12:17">
      <c r="L1316" s="245"/>
    </row>
    <row r="1317" spans="12:17">
      <c r="L1317" s="123"/>
      <c r="O1317" s="360"/>
      <c r="Q1317" s="351"/>
    </row>
    <row r="1318" spans="12:17">
      <c r="L1318" s="123"/>
    </row>
    <row r="1319" spans="12:17">
      <c r="L1319" s="123"/>
    </row>
    <row r="1320" spans="12:17">
      <c r="L1320" s="123"/>
    </row>
    <row r="1321" spans="12:17">
      <c r="L1321" s="123"/>
      <c r="O1321" s="360"/>
      <c r="Q1321" s="351"/>
    </row>
    <row r="1322" spans="12:17">
      <c r="L1322" s="123"/>
    </row>
    <row r="1323" spans="12:17">
      <c r="L1323" s="123"/>
    </row>
    <row r="1324" spans="12:17">
      <c r="L1324" s="123"/>
    </row>
    <row r="1325" spans="12:17">
      <c r="L1325" s="123"/>
    </row>
    <row r="1326" spans="12:17">
      <c r="L1326" s="245"/>
      <c r="O1326" s="360"/>
      <c r="Q1326" s="351"/>
    </row>
    <row r="1327" spans="12:17">
      <c r="L1327" s="123"/>
      <c r="O1327" s="360"/>
      <c r="Q1327" s="351"/>
    </row>
    <row r="1328" spans="12:17">
      <c r="L1328" s="123"/>
      <c r="O1328" s="360"/>
      <c r="Q1328" s="351"/>
    </row>
    <row r="1329" spans="12:17">
      <c r="L1329" s="123"/>
    </row>
    <row r="1330" spans="12:17">
      <c r="L1330" s="123"/>
      <c r="O1330" s="360"/>
      <c r="Q1330" s="351"/>
    </row>
    <row r="1331" spans="12:17">
      <c r="L1331" s="123"/>
      <c r="O1331" s="360"/>
      <c r="Q1331" s="351"/>
    </row>
    <row r="1332" spans="12:17">
      <c r="L1332" s="123"/>
    </row>
    <row r="1333" spans="12:17">
      <c r="L1333" s="120"/>
      <c r="O1333" s="360"/>
      <c r="Q1333" s="351"/>
    </row>
    <row r="1334" spans="12:17">
      <c r="L1334" s="123"/>
    </row>
    <row r="1335" spans="12:17">
      <c r="O1335" s="360"/>
      <c r="Q1335" s="351"/>
    </row>
    <row r="1336" spans="12:17">
      <c r="L1336" s="123"/>
      <c r="O1336" s="360"/>
      <c r="Q1336" s="351"/>
    </row>
    <row r="1337" spans="12:17">
      <c r="L1337" s="245"/>
      <c r="O1337" s="360"/>
      <c r="Q1337" s="351"/>
    </row>
    <row r="1338" spans="12:17">
      <c r="L1338" s="123"/>
      <c r="O1338" s="360"/>
      <c r="Q1338" s="351"/>
    </row>
    <row r="1339" spans="12:17">
      <c r="L1339" s="123"/>
      <c r="O1339" s="360"/>
      <c r="Q1339" s="351"/>
    </row>
    <row r="1340" spans="12:17">
      <c r="L1340" s="123"/>
      <c r="O1340" s="360"/>
      <c r="Q1340" s="351"/>
    </row>
    <row r="1341" spans="12:17">
      <c r="L1341" s="123"/>
      <c r="O1341" s="360"/>
      <c r="Q1341" s="351"/>
    </row>
    <row r="1342" spans="12:17">
      <c r="L1342" s="123"/>
      <c r="O1342" s="360"/>
      <c r="Q1342" s="351"/>
    </row>
    <row r="1343" spans="12:17">
      <c r="L1343" s="123"/>
    </row>
    <row r="1344" spans="12:17">
      <c r="L1344" s="123"/>
    </row>
    <row r="1345" spans="12:17">
      <c r="L1345" s="123"/>
    </row>
    <row r="1346" spans="12:17">
      <c r="L1346" s="123"/>
    </row>
    <row r="1347" spans="12:17">
      <c r="L1347" s="123"/>
    </row>
    <row r="1348" spans="12:17">
      <c r="L1348" s="123"/>
    </row>
    <row r="1349" spans="12:17">
      <c r="L1349" s="123"/>
    </row>
    <row r="1350" spans="12:17">
      <c r="L1350" s="123"/>
    </row>
    <row r="1351" spans="12:17">
      <c r="L1351" s="123"/>
      <c r="O1351" s="360"/>
      <c r="Q1351" s="351"/>
    </row>
    <row r="1352" spans="12:17">
      <c r="L1352" s="123"/>
      <c r="O1352" s="360"/>
      <c r="Q1352" s="351"/>
    </row>
    <row r="1353" spans="12:17">
      <c r="L1353" s="123"/>
      <c r="O1353" s="360"/>
      <c r="Q1353" s="351"/>
    </row>
    <row r="1354" spans="12:17">
      <c r="L1354" s="123"/>
    </row>
    <row r="1355" spans="12:17">
      <c r="L1355" s="123"/>
      <c r="O1355" s="360"/>
      <c r="Q1355" s="351"/>
    </row>
    <row r="1356" spans="12:17">
      <c r="L1356" s="123"/>
      <c r="O1356" s="360"/>
      <c r="Q1356" s="351"/>
    </row>
    <row r="1357" spans="12:17">
      <c r="L1357" s="123"/>
      <c r="O1357" s="360"/>
      <c r="Q1357" s="351"/>
    </row>
    <row r="1358" spans="12:17">
      <c r="L1358" s="123"/>
      <c r="O1358" s="360"/>
      <c r="Q1358" s="351"/>
    </row>
    <row r="1359" spans="12:17">
      <c r="L1359" s="123"/>
    </row>
    <row r="1360" spans="12:17">
      <c r="L1360" s="123"/>
    </row>
    <row r="1362" spans="12:28">
      <c r="L1362" s="123"/>
    </row>
    <row r="1363" spans="12:28">
      <c r="L1363" s="123"/>
    </row>
    <row r="1364" spans="12:28">
      <c r="L1364" s="123"/>
    </row>
    <row r="1365" spans="12:28">
      <c r="L1365" s="123"/>
    </row>
    <row r="1366" spans="12:28">
      <c r="L1366" s="123"/>
    </row>
    <row r="1367" spans="12:28">
      <c r="L1367" s="123"/>
    </row>
    <row r="1368" spans="12:28">
      <c r="L1368" s="123"/>
    </row>
    <row r="1369" spans="12:28">
      <c r="L1369" s="123"/>
    </row>
    <row r="1370" spans="12:28">
      <c r="L1370" s="51"/>
    </row>
    <row r="1371" spans="12:28">
      <c r="L1371" s="123"/>
    </row>
    <row r="1372" spans="12:28">
      <c r="L1372" s="123"/>
    </row>
    <row r="1373" spans="12:28">
      <c r="L1373" s="123"/>
    </row>
    <row r="1374" spans="12:28">
      <c r="L1374" s="123"/>
      <c r="AB1374" s="377"/>
    </row>
    <row r="1375" spans="12:28">
      <c r="L1375" s="123"/>
    </row>
    <row r="1376" spans="12:28">
      <c r="L1376" s="123"/>
    </row>
    <row r="1377" spans="12:12">
      <c r="L1377" s="123"/>
    </row>
    <row r="1378" spans="12:12">
      <c r="L1378" s="123"/>
    </row>
    <row r="1379" spans="12:12">
      <c r="L1379" s="123"/>
    </row>
    <row r="1380" spans="12:12">
      <c r="L1380" s="123"/>
    </row>
    <row r="1381" spans="12:12">
      <c r="L1381" s="245"/>
    </row>
    <row r="1382" spans="12:12">
      <c r="L1382" s="26"/>
    </row>
    <row r="1383" spans="12:12">
      <c r="L1383" s="245"/>
    </row>
    <row r="1384" spans="12:12">
      <c r="L1384" s="123"/>
    </row>
    <row r="1385" spans="12:12">
      <c r="L1385" s="123"/>
    </row>
    <row r="1386" spans="12:12">
      <c r="L1386" s="123"/>
    </row>
    <row r="1387" spans="12:12">
      <c r="L1387" s="123"/>
    </row>
    <row r="1388" spans="12:12">
      <c r="L1388" s="123"/>
    </row>
    <row r="1389" spans="12:12">
      <c r="L1389" s="123"/>
    </row>
    <row r="1390" spans="12:12">
      <c r="L1390" s="123"/>
    </row>
    <row r="1391" spans="12:12">
      <c r="L1391" s="123"/>
    </row>
    <row r="1392" spans="12:12">
      <c r="L1392" s="123"/>
    </row>
    <row r="1393" spans="12:12">
      <c r="L1393" s="123"/>
    </row>
    <row r="1394" spans="12:12">
      <c r="L1394" s="123"/>
    </row>
    <row r="1395" spans="12:12">
      <c r="L1395" s="123"/>
    </row>
    <row r="1396" spans="12:12">
      <c r="L1396" s="123"/>
    </row>
    <row r="1397" spans="12:12">
      <c r="L1397" s="123"/>
    </row>
    <row r="1398" spans="12:12">
      <c r="L1398" s="123"/>
    </row>
    <row r="1399" spans="12:12">
      <c r="L1399" s="123"/>
    </row>
    <row r="1400" spans="12:12">
      <c r="L1400" s="123"/>
    </row>
    <row r="1401" spans="12:12">
      <c r="L1401" s="123"/>
    </row>
    <row r="1402" spans="12:12">
      <c r="L1402" s="123"/>
    </row>
    <row r="1403" spans="12:12">
      <c r="L1403" s="123"/>
    </row>
    <row r="1404" spans="12:12">
      <c r="L1404" s="123"/>
    </row>
    <row r="1405" spans="12:12">
      <c r="L1405" s="245"/>
    </row>
    <row r="1406" spans="12:12">
      <c r="L1406" s="245"/>
    </row>
    <row r="1407" spans="12:12">
      <c r="L1407" s="27"/>
    </row>
    <row r="1408" spans="12:12">
      <c r="L1408" s="123"/>
    </row>
    <row r="1409" spans="12:12">
      <c r="L1409" s="123"/>
    </row>
    <row r="1410" spans="12:12">
      <c r="L1410" s="123"/>
    </row>
    <row r="1411" spans="12:12">
      <c r="L1411" s="123"/>
    </row>
    <row r="1412" spans="12:12">
      <c r="L1412" s="123"/>
    </row>
    <row r="1413" spans="12:12">
      <c r="L1413" s="123"/>
    </row>
    <row r="1414" spans="12:12">
      <c r="L1414" s="123"/>
    </row>
    <row r="1415" spans="12:12">
      <c r="L1415" s="123"/>
    </row>
    <row r="1416" spans="12:12">
      <c r="L1416" s="123"/>
    </row>
    <row r="1417" spans="12:12">
      <c r="L1417" s="123"/>
    </row>
    <row r="1418" spans="12:12">
      <c r="L1418" s="123"/>
    </row>
    <row r="1419" spans="12:12">
      <c r="L1419" s="123"/>
    </row>
    <row r="1420" spans="12:12">
      <c r="L1420" s="123"/>
    </row>
    <row r="1421" spans="12:12">
      <c r="L1421" s="245"/>
    </row>
    <row r="1422" spans="12:12">
      <c r="L1422" s="123"/>
    </row>
    <row r="1423" spans="12:12">
      <c r="L1423" s="123"/>
    </row>
    <row r="1424" spans="12:12">
      <c r="L1424" s="123"/>
    </row>
    <row r="1425" spans="12:12">
      <c r="L1425" s="123"/>
    </row>
    <row r="1426" spans="12:12">
      <c r="L1426" s="123"/>
    </row>
    <row r="1427" spans="12:12">
      <c r="L1427" s="123"/>
    </row>
    <row r="1428" spans="12:12">
      <c r="L1428" s="123"/>
    </row>
    <row r="1429" spans="12:12">
      <c r="L1429" s="123"/>
    </row>
    <row r="1430" spans="12:12">
      <c r="L1430" s="123"/>
    </row>
    <row r="1431" spans="12:12">
      <c r="L1431" s="123"/>
    </row>
    <row r="1432" spans="12:12">
      <c r="L1432" s="123"/>
    </row>
    <row r="1433" spans="12:12">
      <c r="L1433" s="27"/>
    </row>
    <row r="1434" spans="12:12">
      <c r="L1434" s="123"/>
    </row>
    <row r="1435" spans="12:12">
      <c r="L1435" s="123"/>
    </row>
    <row r="1436" spans="12:12">
      <c r="L1436" s="123"/>
    </row>
    <row r="1437" spans="12:12">
      <c r="L1437" s="123"/>
    </row>
    <row r="1438" spans="12:12">
      <c r="L1438" s="123"/>
    </row>
    <row r="1439" spans="12:12">
      <c r="L1439" s="123"/>
    </row>
    <row r="1440" spans="12:12">
      <c r="L1440" s="120"/>
    </row>
    <row r="1441" spans="12:12">
      <c r="L1441" s="123"/>
    </row>
    <row r="1442" spans="12:12">
      <c r="L1442" s="123"/>
    </row>
    <row r="1443" spans="12:12">
      <c r="L1443" s="123"/>
    </row>
    <row r="1444" spans="12:12">
      <c r="L1444" s="123"/>
    </row>
    <row r="1445" spans="12:12">
      <c r="L1445" s="123"/>
    </row>
    <row r="1446" spans="12:12">
      <c r="L1446" s="123"/>
    </row>
    <row r="1447" spans="12:12">
      <c r="L1447" s="123"/>
    </row>
    <row r="1448" spans="12:12">
      <c r="L1448" s="123"/>
    </row>
    <row r="1449" spans="12:12">
      <c r="L1449" s="123"/>
    </row>
    <row r="1450" spans="12:12">
      <c r="L1450" s="123"/>
    </row>
    <row r="1451" spans="12:12">
      <c r="L1451" s="123"/>
    </row>
    <row r="1452" spans="12:12">
      <c r="L1452" s="123"/>
    </row>
    <row r="1453" spans="12:12">
      <c r="L1453" s="123"/>
    </row>
    <row r="1454" spans="12:12">
      <c r="L1454" s="123"/>
    </row>
    <row r="1455" spans="12:12">
      <c r="L1455" s="123"/>
    </row>
    <row r="1456" spans="12:12">
      <c r="L1456" s="123"/>
    </row>
    <row r="1457" spans="12:12">
      <c r="L1457" s="123"/>
    </row>
    <row r="1458" spans="12:12">
      <c r="L1458" s="123"/>
    </row>
    <row r="1459" spans="12:12">
      <c r="L1459" s="123"/>
    </row>
    <row r="1460" spans="12:12">
      <c r="L1460" s="123"/>
    </row>
    <row r="1461" spans="12:12">
      <c r="L1461" s="123"/>
    </row>
    <row r="1462" spans="12:12">
      <c r="L1462" s="123"/>
    </row>
    <row r="1463" spans="12:12">
      <c r="L1463" s="123"/>
    </row>
    <row r="1464" spans="12:12">
      <c r="L1464" s="123"/>
    </row>
    <row r="1465" spans="12:12">
      <c r="L1465" s="123"/>
    </row>
    <row r="1466" spans="12:12">
      <c r="L1466" s="123"/>
    </row>
    <row r="1467" spans="12:12">
      <c r="L1467" s="123"/>
    </row>
    <row r="1468" spans="12:12">
      <c r="L1468" s="123"/>
    </row>
    <row r="1469" spans="12:12">
      <c r="L1469" s="123"/>
    </row>
    <row r="1470" spans="12:12">
      <c r="L1470" s="123"/>
    </row>
    <row r="1471" spans="12:12">
      <c r="L1471" s="123"/>
    </row>
    <row r="1472" spans="12:12">
      <c r="L1472" s="123"/>
    </row>
    <row r="1473" spans="12:17">
      <c r="L1473" s="123"/>
    </row>
    <row r="1474" spans="12:17">
      <c r="L1474" s="123"/>
    </row>
    <row r="1475" spans="12:17">
      <c r="L1475" s="123"/>
    </row>
    <row r="1476" spans="12:17">
      <c r="L1476" s="123"/>
    </row>
    <row r="1477" spans="12:17">
      <c r="L1477" s="123"/>
    </row>
    <row r="1478" spans="12:17">
      <c r="L1478" s="123"/>
    </row>
    <row r="1479" spans="12:17">
      <c r="L1479" s="123"/>
    </row>
    <row r="1480" spans="12:17">
      <c r="L1480" s="245"/>
    </row>
    <row r="1481" spans="12:17">
      <c r="L1481" s="123"/>
    </row>
    <row r="1482" spans="12:17">
      <c r="L1482" s="123"/>
    </row>
    <row r="1483" spans="12:17">
      <c r="L1483" s="123"/>
    </row>
    <row r="1484" spans="12:17">
      <c r="L1484" s="123"/>
      <c r="O1484" s="360"/>
      <c r="Q1484" s="351"/>
    </row>
    <row r="1485" spans="12:17">
      <c r="L1485" s="247"/>
    </row>
    <row r="1486" spans="12:17">
      <c r="L1486" s="123"/>
    </row>
    <row r="1487" spans="12:17">
      <c r="L1487" s="123"/>
    </row>
    <row r="1488" spans="12:17">
      <c r="L1488" s="123"/>
    </row>
    <row r="1489" spans="12:17">
      <c r="L1489" s="123"/>
    </row>
    <row r="1490" spans="12:17">
      <c r="L1490" s="123"/>
    </row>
    <row r="1491" spans="12:17">
      <c r="L1491" s="123"/>
    </row>
    <row r="1492" spans="12:17">
      <c r="L1492" s="211"/>
    </row>
    <row r="1493" spans="12:17">
      <c r="L1493" s="123"/>
    </row>
    <row r="1494" spans="12:17">
      <c r="L1494" s="123"/>
      <c r="O1494" s="360"/>
      <c r="Q1494" s="351"/>
    </row>
    <row r="1495" spans="12:17">
      <c r="L1495" s="123"/>
    </row>
    <row r="1496" spans="12:17">
      <c r="L1496" s="123"/>
    </row>
    <row r="1497" spans="12:17">
      <c r="L1497" s="123"/>
    </row>
    <row r="1498" spans="12:17">
      <c r="L1498" s="123"/>
      <c r="O1498" s="360"/>
      <c r="Q1498" s="351"/>
    </row>
    <row r="1499" spans="12:17">
      <c r="L1499" s="123"/>
    </row>
    <row r="1500" spans="12:17">
      <c r="L1500" s="123"/>
    </row>
    <row r="1501" spans="12:17">
      <c r="L1501" s="123"/>
    </row>
    <row r="1502" spans="12:17">
      <c r="L1502" s="123"/>
    </row>
    <row r="1503" spans="12:17">
      <c r="L1503" s="245"/>
      <c r="O1503" s="360"/>
      <c r="Q1503" s="351"/>
    </row>
    <row r="1504" spans="12:17">
      <c r="L1504" s="123"/>
      <c r="O1504" s="360"/>
      <c r="Q1504" s="351"/>
    </row>
    <row r="1505" spans="12:17">
      <c r="L1505" s="123"/>
      <c r="O1505" s="360"/>
      <c r="Q1505" s="351"/>
    </row>
    <row r="1506" spans="12:17">
      <c r="L1506" s="123"/>
    </row>
    <row r="1507" spans="12:17">
      <c r="L1507" s="123"/>
      <c r="O1507" s="360"/>
      <c r="Q1507" s="351"/>
    </row>
    <row r="1508" spans="12:17">
      <c r="L1508" s="123"/>
      <c r="O1508" s="360"/>
      <c r="Q1508" s="351"/>
    </row>
    <row r="1509" spans="12:17">
      <c r="L1509" s="123"/>
    </row>
    <row r="1510" spans="12:17">
      <c r="L1510" s="123"/>
      <c r="O1510" s="360"/>
      <c r="Q1510" s="351"/>
    </row>
    <row r="1511" spans="12:17">
      <c r="L1511" s="123"/>
    </row>
    <row r="1512" spans="12:17">
      <c r="L1512" s="123"/>
      <c r="O1512" s="360"/>
      <c r="Q1512" s="351"/>
    </row>
    <row r="1513" spans="12:17">
      <c r="L1513" s="123"/>
      <c r="O1513" s="360"/>
      <c r="Q1513" s="351"/>
    </row>
    <row r="1514" spans="12:17">
      <c r="L1514" s="123"/>
      <c r="O1514" s="360"/>
      <c r="Q1514" s="351"/>
    </row>
    <row r="1515" spans="12:17">
      <c r="L1515" s="245"/>
      <c r="O1515" s="360"/>
      <c r="Q1515" s="351"/>
    </row>
    <row r="1516" spans="12:17">
      <c r="L1516" s="123"/>
      <c r="O1516" s="360"/>
      <c r="Q1516" s="351"/>
    </row>
    <row r="1517" spans="12:17">
      <c r="L1517" s="27"/>
      <c r="O1517" s="360"/>
      <c r="Q1517" s="351"/>
    </row>
    <row r="1518" spans="12:17">
      <c r="L1518" s="245"/>
      <c r="O1518" s="360"/>
      <c r="Q1518" s="351"/>
    </row>
    <row r="1519" spans="12:17">
      <c r="L1519" s="123"/>
      <c r="O1519" s="360"/>
      <c r="Q1519" s="351"/>
    </row>
    <row r="1520" spans="12:17">
      <c r="L1520" s="123"/>
      <c r="O1520" s="360"/>
      <c r="Q1520" s="351"/>
    </row>
    <row r="1521" spans="12:17">
      <c r="L1521" s="123"/>
      <c r="O1521" s="360"/>
      <c r="Q1521" s="351"/>
    </row>
    <row r="1522" spans="12:17">
      <c r="L1522" s="123"/>
    </row>
    <row r="1523" spans="12:17">
      <c r="L1523" s="245"/>
      <c r="O1523" s="360"/>
      <c r="Q1523" s="351"/>
    </row>
    <row r="1524" spans="12:17">
      <c r="L1524" s="123"/>
      <c r="O1524" s="360"/>
      <c r="Q1524" s="351"/>
    </row>
    <row r="1525" spans="12:17">
      <c r="L1525" s="123"/>
      <c r="O1525" s="360"/>
      <c r="Q1525" s="351"/>
    </row>
    <row r="1526" spans="12:17">
      <c r="L1526" s="123"/>
      <c r="O1526" s="360"/>
      <c r="Q1526" s="351"/>
    </row>
    <row r="1527" spans="12:17">
      <c r="L1527" s="123"/>
      <c r="O1527" s="360"/>
      <c r="Q1527" s="351"/>
    </row>
    <row r="1528" spans="12:17">
      <c r="L1528" s="123"/>
      <c r="O1528" s="360"/>
      <c r="Q1528" s="351"/>
    </row>
    <row r="1529" spans="12:17">
      <c r="L1529" s="123"/>
      <c r="O1529" s="360"/>
      <c r="Q1529" s="351"/>
    </row>
    <row r="1530" spans="12:17">
      <c r="L1530" s="123"/>
      <c r="O1530" s="360"/>
      <c r="Q1530" s="351"/>
    </row>
    <row r="1531" spans="12:17">
      <c r="L1531" s="123"/>
    </row>
    <row r="1532" spans="12:17">
      <c r="L1532" s="123"/>
      <c r="O1532" s="360"/>
      <c r="Q1532" s="351"/>
    </row>
    <row r="1533" spans="12:17">
      <c r="L1533" s="123"/>
      <c r="O1533" s="360"/>
      <c r="Q1533" s="351"/>
    </row>
    <row r="1534" spans="12:17">
      <c r="L1534" s="123"/>
      <c r="O1534" s="360"/>
      <c r="Q1534" s="351"/>
    </row>
    <row r="1535" spans="12:17">
      <c r="L1535" s="123"/>
      <c r="O1535" s="360"/>
      <c r="Q1535" s="351"/>
    </row>
    <row r="1536" spans="12:17">
      <c r="L1536" s="123"/>
      <c r="O1536" s="360"/>
      <c r="Q1536" s="351"/>
    </row>
    <row r="1537" spans="12:17">
      <c r="L1537" s="123"/>
      <c r="O1537" s="360"/>
      <c r="Q1537" s="351"/>
    </row>
    <row r="1538" spans="12:17">
      <c r="L1538" s="123"/>
      <c r="O1538" s="360"/>
      <c r="Q1538" s="351"/>
    </row>
    <row r="1539" spans="12:17">
      <c r="L1539" s="123"/>
      <c r="O1539" s="360"/>
      <c r="Q1539" s="351"/>
    </row>
    <row r="1540" spans="12:17">
      <c r="L1540" s="123"/>
      <c r="O1540" s="360"/>
      <c r="Q1540" s="351"/>
    </row>
    <row r="1541" spans="12:17">
      <c r="L1541" s="123"/>
      <c r="O1541" s="360"/>
      <c r="Q1541" s="351"/>
    </row>
    <row r="1542" spans="12:17">
      <c r="L1542" s="123"/>
      <c r="O1542" s="360"/>
      <c r="Q1542" s="351"/>
    </row>
    <row r="1543" spans="12:17">
      <c r="L1543" s="245"/>
    </row>
    <row r="1544" spans="12:17">
      <c r="L1544" s="123"/>
      <c r="O1544" s="360"/>
      <c r="Q1544" s="351"/>
    </row>
    <row r="1545" spans="12:17">
      <c r="L1545" s="123"/>
      <c r="O1545" s="360"/>
      <c r="Q1545" s="351"/>
    </row>
    <row r="1546" spans="12:17">
      <c r="L1546" s="123"/>
      <c r="O1546" s="360"/>
      <c r="Q1546" s="351"/>
    </row>
    <row r="1547" spans="12:17">
      <c r="L1547" s="123"/>
      <c r="O1547" s="360"/>
      <c r="Q1547" s="351"/>
    </row>
    <row r="1548" spans="12:17">
      <c r="L1548" s="123"/>
      <c r="O1548" s="360"/>
      <c r="Q1548" s="351"/>
    </row>
    <row r="1549" spans="12:17">
      <c r="L1549" s="123"/>
      <c r="O1549" s="360"/>
      <c r="Q1549" s="351"/>
    </row>
    <row r="1550" spans="12:17">
      <c r="L1550" s="123"/>
      <c r="O1550" s="360"/>
      <c r="Q1550" s="351"/>
    </row>
    <row r="1551" spans="12:17">
      <c r="L1551" s="123"/>
      <c r="O1551" s="360"/>
      <c r="Q1551" s="351"/>
    </row>
    <row r="1552" spans="12:17">
      <c r="L1552" s="123"/>
    </row>
    <row r="1553" spans="12:17">
      <c r="L1553" s="123"/>
      <c r="O1553" s="360"/>
      <c r="Q1553" s="351"/>
    </row>
    <row r="1554" spans="12:17">
      <c r="L1554" s="123"/>
      <c r="O1554" s="360"/>
      <c r="Q1554" s="351"/>
    </row>
    <row r="1555" spans="12:17">
      <c r="L1555" s="123"/>
      <c r="O1555" s="360"/>
      <c r="Q1555" s="351"/>
    </row>
    <row r="1556" spans="12:17">
      <c r="L1556" s="123"/>
      <c r="O1556" s="360"/>
      <c r="Q1556" s="351"/>
    </row>
    <row r="1557" spans="12:17">
      <c r="L1557" s="123"/>
      <c r="O1557" s="360"/>
      <c r="Q1557" s="351"/>
    </row>
    <row r="1558" spans="12:17">
      <c r="L1558" s="123"/>
      <c r="O1558" s="360"/>
      <c r="Q1558" s="351"/>
    </row>
    <row r="1559" spans="12:17">
      <c r="L1559" s="123"/>
      <c r="O1559" s="360"/>
      <c r="Q1559" s="351"/>
    </row>
    <row r="1560" spans="12:17">
      <c r="L1560" s="123"/>
      <c r="O1560" s="360"/>
      <c r="Q1560" s="351"/>
    </row>
    <row r="1561" spans="12:17">
      <c r="L1561" s="123"/>
      <c r="O1561" s="360"/>
      <c r="Q1561" s="351"/>
    </row>
    <row r="1562" spans="12:17">
      <c r="L1562" s="123"/>
      <c r="O1562" s="360"/>
      <c r="Q1562" s="351"/>
    </row>
    <row r="1563" spans="12:17">
      <c r="L1563" s="123"/>
      <c r="O1563" s="360"/>
      <c r="Q1563" s="351"/>
    </row>
    <row r="1564" spans="12:17">
      <c r="L1564" s="123"/>
      <c r="O1564" s="360"/>
      <c r="Q1564" s="351"/>
    </row>
    <row r="1565" spans="12:17">
      <c r="L1565" s="123"/>
      <c r="O1565" s="360"/>
      <c r="Q1565" s="351"/>
    </row>
    <row r="1566" spans="12:17">
      <c r="L1566" s="123"/>
      <c r="O1566" s="360"/>
      <c r="Q1566" s="351"/>
    </row>
    <row r="1567" spans="12:17">
      <c r="L1567" s="123"/>
      <c r="O1567" s="360"/>
      <c r="Q1567" s="351"/>
    </row>
    <row r="1568" spans="12:17">
      <c r="L1568" s="123"/>
      <c r="O1568" s="360"/>
      <c r="Q1568" s="351"/>
    </row>
    <row r="1569" spans="12:17">
      <c r="L1569" s="123"/>
      <c r="O1569" s="360"/>
      <c r="Q1569" s="351"/>
    </row>
    <row r="1570" spans="12:17">
      <c r="L1570" s="123"/>
      <c r="O1570" s="360"/>
      <c r="Q1570" s="351"/>
    </row>
    <row r="1571" spans="12:17">
      <c r="L1571" s="123"/>
      <c r="O1571" s="360"/>
      <c r="Q1571" s="351"/>
    </row>
    <row r="1572" spans="12:17">
      <c r="L1572" s="123"/>
      <c r="O1572" s="360"/>
      <c r="Q1572" s="351"/>
    </row>
    <row r="1573" spans="12:17">
      <c r="L1573" s="123"/>
      <c r="O1573" s="360"/>
      <c r="Q1573" s="351"/>
    </row>
    <row r="1574" spans="12:17">
      <c r="L1574" s="123"/>
      <c r="O1574" s="360"/>
      <c r="Q1574" s="351"/>
    </row>
    <row r="1575" spans="12:17">
      <c r="L1575" s="123"/>
      <c r="O1575" s="360"/>
      <c r="Q1575" s="351"/>
    </row>
    <row r="1576" spans="12:17">
      <c r="L1576" s="123"/>
      <c r="O1576" s="360"/>
      <c r="Q1576" s="351"/>
    </row>
    <row r="1577" spans="12:17">
      <c r="L1577" s="123"/>
      <c r="O1577" s="360"/>
      <c r="Q1577" s="351"/>
    </row>
    <row r="1578" spans="12:17">
      <c r="L1578" s="123"/>
      <c r="O1578" s="360"/>
      <c r="Q1578" s="351"/>
    </row>
    <row r="1579" spans="12:17">
      <c r="L1579" s="123"/>
      <c r="O1579" s="360"/>
      <c r="Q1579" s="351"/>
    </row>
    <row r="1580" spans="12:17">
      <c r="L1580" s="123"/>
      <c r="O1580" s="360"/>
      <c r="Q1580" s="351"/>
    </row>
    <row r="1581" spans="12:17">
      <c r="L1581" s="123"/>
      <c r="O1581" s="360"/>
      <c r="Q1581" s="351"/>
    </row>
    <row r="1582" spans="12:17">
      <c r="L1582" s="245"/>
      <c r="O1582" s="360"/>
      <c r="Q1582" s="351"/>
    </row>
    <row r="1583" spans="12:17">
      <c r="L1583" s="123"/>
      <c r="O1583" s="360"/>
      <c r="Q1583" s="351"/>
    </row>
    <row r="1584" spans="12:17">
      <c r="L1584" s="123"/>
      <c r="O1584" s="360"/>
      <c r="Q1584" s="351"/>
    </row>
    <row r="1585" spans="12:17">
      <c r="L1585" s="123"/>
      <c r="O1585" s="360"/>
      <c r="Q1585" s="351"/>
    </row>
    <row r="1586" spans="12:17">
      <c r="L1586" s="123"/>
      <c r="O1586" s="360"/>
      <c r="Q1586" s="351"/>
    </row>
    <row r="1587" spans="12:17">
      <c r="L1587" s="123"/>
      <c r="O1587" s="360"/>
      <c r="Q1587" s="351"/>
    </row>
    <row r="1588" spans="12:17">
      <c r="L1588" s="123"/>
      <c r="O1588" s="360"/>
      <c r="Q1588" s="351"/>
    </row>
    <row r="1589" spans="12:17">
      <c r="L1589" s="123"/>
      <c r="O1589" s="360"/>
      <c r="Q1589" s="351"/>
    </row>
    <row r="1590" spans="12:17">
      <c r="L1590" s="123"/>
      <c r="O1590" s="360"/>
      <c r="Q1590" s="351"/>
    </row>
    <row r="1591" spans="12:17">
      <c r="L1591" s="123"/>
      <c r="O1591" s="360"/>
      <c r="Q1591" s="351"/>
    </row>
    <row r="1592" spans="12:17">
      <c r="L1592" s="123"/>
      <c r="O1592" s="360"/>
      <c r="Q1592" s="351"/>
    </row>
    <row r="1593" spans="12:17">
      <c r="L1593" s="123"/>
      <c r="O1593" s="360"/>
      <c r="Q1593" s="351"/>
    </row>
    <row r="1594" spans="12:17">
      <c r="L1594" s="123"/>
      <c r="O1594" s="360"/>
      <c r="Q1594" s="351"/>
    </row>
    <row r="1595" spans="12:17">
      <c r="L1595" s="123"/>
      <c r="O1595" s="360"/>
      <c r="Q1595" s="351"/>
    </row>
    <row r="1596" spans="12:17">
      <c r="L1596" s="123"/>
      <c r="O1596" s="360"/>
      <c r="Q1596" s="351"/>
    </row>
    <row r="1597" spans="12:17">
      <c r="L1597" s="123"/>
      <c r="O1597" s="360"/>
      <c r="Q1597" s="351"/>
    </row>
    <row r="1598" spans="12:17">
      <c r="L1598" s="123"/>
      <c r="O1598" s="360"/>
      <c r="Q1598" s="351"/>
    </row>
    <row r="1599" spans="12:17">
      <c r="L1599" s="123"/>
      <c r="O1599" s="360"/>
      <c r="Q1599" s="351"/>
    </row>
    <row r="1600" spans="12:17">
      <c r="L1600" s="123"/>
      <c r="O1600" s="360"/>
      <c r="Q1600" s="351"/>
    </row>
    <row r="1601" spans="12:17">
      <c r="L1601" s="123"/>
      <c r="O1601" s="360"/>
      <c r="Q1601" s="351"/>
    </row>
    <row r="1602" spans="12:17">
      <c r="L1602" s="123"/>
      <c r="O1602" s="360"/>
      <c r="Q1602" s="351"/>
    </row>
    <row r="1603" spans="12:17">
      <c r="L1603" s="123"/>
      <c r="O1603" s="360"/>
      <c r="Q1603" s="351"/>
    </row>
    <row r="1604" spans="12:17">
      <c r="L1604" s="123"/>
      <c r="O1604" s="360"/>
      <c r="Q1604" s="351"/>
    </row>
    <row r="1605" spans="12:17">
      <c r="L1605" s="123"/>
      <c r="O1605" s="360"/>
      <c r="Q1605" s="351"/>
    </row>
    <row r="1606" spans="12:17">
      <c r="L1606" s="123"/>
      <c r="O1606" s="360"/>
      <c r="Q1606" s="351"/>
    </row>
    <row r="1607" spans="12:17">
      <c r="L1607" s="123"/>
      <c r="O1607" s="360"/>
      <c r="Q1607" s="351"/>
    </row>
    <row r="1608" spans="12:17">
      <c r="L1608" s="123"/>
      <c r="O1608" s="360"/>
      <c r="Q1608" s="351"/>
    </row>
    <row r="1609" spans="12:17">
      <c r="L1609" s="123"/>
      <c r="O1609" s="360"/>
      <c r="Q1609" s="351"/>
    </row>
    <row r="1610" spans="12:17">
      <c r="L1610" s="123"/>
      <c r="O1610" s="360"/>
      <c r="Q1610" s="351"/>
    </row>
    <row r="1611" spans="12:17">
      <c r="L1611" s="123"/>
      <c r="O1611" s="360"/>
      <c r="Q1611" s="351"/>
    </row>
    <row r="1612" spans="12:17">
      <c r="L1612" s="123"/>
      <c r="O1612" s="360"/>
      <c r="Q1612" s="351"/>
    </row>
    <row r="1613" spans="12:17">
      <c r="L1613" s="123"/>
      <c r="O1613" s="360"/>
      <c r="Q1613" s="351"/>
    </row>
    <row r="1614" spans="12:17">
      <c r="L1614" s="123"/>
      <c r="O1614" s="360"/>
      <c r="Q1614" s="351"/>
    </row>
    <row r="1615" spans="12:17">
      <c r="L1615" s="120"/>
      <c r="O1615" s="360"/>
      <c r="Q1615" s="351"/>
    </row>
    <row r="1616" spans="12:17">
      <c r="L1616" s="123"/>
      <c r="O1616" s="360"/>
      <c r="Q1616" s="351"/>
    </row>
    <row r="1617" spans="12:17">
      <c r="L1617" s="123"/>
      <c r="O1617" s="360"/>
      <c r="Q1617" s="351"/>
    </row>
    <row r="1618" spans="12:17">
      <c r="L1618" s="123"/>
      <c r="O1618" s="360"/>
      <c r="Q1618" s="351"/>
    </row>
    <row r="1619" spans="12:17">
      <c r="L1619" s="123"/>
      <c r="O1619" s="360"/>
      <c r="Q1619" s="351"/>
    </row>
    <row r="1620" spans="12:17">
      <c r="L1620" s="123"/>
      <c r="O1620" s="360"/>
      <c r="Q1620" s="351"/>
    </row>
    <row r="1621" spans="12:17">
      <c r="L1621" s="123"/>
      <c r="O1621" s="360"/>
      <c r="Q1621" s="351"/>
    </row>
    <row r="1622" spans="12:17">
      <c r="L1622" s="123"/>
      <c r="O1622" s="360"/>
      <c r="Q1622" s="351"/>
    </row>
    <row r="1623" spans="12:17">
      <c r="L1623" s="123"/>
      <c r="O1623" s="360"/>
      <c r="Q1623" s="351"/>
    </row>
    <row r="1624" spans="12:17">
      <c r="L1624" s="123"/>
      <c r="O1624" s="360"/>
      <c r="Q1624" s="351"/>
    </row>
    <row r="1625" spans="12:17">
      <c r="L1625" s="123"/>
      <c r="O1625" s="360"/>
      <c r="Q1625" s="351"/>
    </row>
    <row r="1626" spans="12:17">
      <c r="L1626" s="123"/>
      <c r="O1626" s="360"/>
      <c r="Q1626" s="351"/>
    </row>
    <row r="1627" spans="12:17">
      <c r="L1627" s="123"/>
      <c r="O1627" s="360"/>
      <c r="Q1627" s="351"/>
    </row>
    <row r="1628" spans="12:17">
      <c r="L1628" s="123"/>
      <c r="O1628" s="360"/>
      <c r="Q1628" s="351"/>
    </row>
    <row r="1629" spans="12:17">
      <c r="L1629" s="245"/>
      <c r="O1629" s="360"/>
      <c r="Q1629" s="351"/>
    </row>
    <row r="1630" spans="12:17">
      <c r="L1630" s="123"/>
      <c r="O1630" s="360"/>
      <c r="Q1630" s="351"/>
    </row>
    <row r="1631" spans="12:17">
      <c r="L1631" s="123"/>
      <c r="O1631" s="360"/>
      <c r="Q1631" s="351"/>
    </row>
    <row r="1632" spans="12:17">
      <c r="L1632" s="123"/>
      <c r="O1632" s="360"/>
      <c r="Q1632" s="351"/>
    </row>
    <row r="1633" spans="12:17">
      <c r="L1633" s="123"/>
      <c r="O1633" s="360"/>
      <c r="Q1633" s="351"/>
    </row>
    <row r="1634" spans="12:17">
      <c r="L1634" s="123"/>
      <c r="O1634" s="360"/>
      <c r="Q1634" s="351"/>
    </row>
    <row r="1635" spans="12:17">
      <c r="L1635" s="123"/>
      <c r="O1635" s="360"/>
      <c r="Q1635" s="351"/>
    </row>
    <row r="1636" spans="12:17">
      <c r="L1636" s="123"/>
      <c r="O1636" s="360"/>
      <c r="Q1636" s="351"/>
    </row>
    <row r="1637" spans="12:17">
      <c r="L1637" s="123"/>
      <c r="O1637" s="360"/>
      <c r="Q1637" s="351"/>
    </row>
    <row r="1638" spans="12:17">
      <c r="L1638" s="123"/>
      <c r="O1638" s="360"/>
      <c r="Q1638" s="351"/>
    </row>
    <row r="1639" spans="12:17">
      <c r="L1639" s="123"/>
      <c r="O1639" s="360"/>
      <c r="Q1639" s="351"/>
    </row>
    <row r="1640" spans="12:17">
      <c r="L1640" s="123"/>
      <c r="O1640" s="360"/>
      <c r="Q1640" s="351"/>
    </row>
    <row r="1641" spans="12:17">
      <c r="L1641" s="123"/>
      <c r="O1641" s="360"/>
      <c r="Q1641" s="351"/>
    </row>
    <row r="1642" spans="12:17">
      <c r="L1642" s="123"/>
      <c r="O1642" s="360"/>
      <c r="Q1642" s="351"/>
    </row>
    <row r="1643" spans="12:17">
      <c r="L1643" s="123"/>
      <c r="O1643" s="360"/>
      <c r="Q1643" s="351"/>
    </row>
    <row r="1644" spans="12:17">
      <c r="L1644" s="27"/>
      <c r="O1644" s="360"/>
      <c r="Q1644" s="351"/>
    </row>
    <row r="1645" spans="12:17">
      <c r="L1645" s="123"/>
      <c r="O1645" s="360"/>
      <c r="Q1645" s="351"/>
    </row>
    <row r="1646" spans="12:17">
      <c r="L1646" s="123"/>
      <c r="O1646" s="360"/>
      <c r="Q1646" s="351"/>
    </row>
    <row r="1647" spans="12:17">
      <c r="L1647" s="123"/>
      <c r="O1647" s="360"/>
      <c r="Q1647" s="351"/>
    </row>
    <row r="1648" spans="12:17">
      <c r="L1648" s="123"/>
      <c r="O1648" s="360"/>
      <c r="Q1648" s="351"/>
    </row>
    <row r="1649" spans="12:17">
      <c r="L1649" s="123"/>
      <c r="O1649" s="360"/>
      <c r="Q1649" s="351"/>
    </row>
    <row r="1650" spans="12:17">
      <c r="L1650" s="123"/>
      <c r="O1650" s="360"/>
      <c r="Q1650" s="351"/>
    </row>
    <row r="1651" spans="12:17">
      <c r="L1651" s="123"/>
      <c r="O1651" s="360"/>
      <c r="Q1651" s="351"/>
    </row>
    <row r="1652" spans="12:17">
      <c r="L1652" s="123"/>
      <c r="O1652" s="360"/>
      <c r="Q1652" s="351"/>
    </row>
    <row r="1653" spans="12:17">
      <c r="L1653" s="123"/>
      <c r="O1653" s="360"/>
      <c r="Q1653" s="351"/>
    </row>
    <row r="1654" spans="12:17">
      <c r="L1654" s="123"/>
      <c r="O1654" s="360"/>
      <c r="Q1654" s="351"/>
    </row>
    <row r="1655" spans="12:17">
      <c r="L1655" s="123"/>
      <c r="O1655" s="360"/>
      <c r="Q1655" s="351"/>
    </row>
    <row r="1656" spans="12:17">
      <c r="L1656" s="123"/>
      <c r="O1656" s="360"/>
      <c r="Q1656" s="351"/>
    </row>
    <row r="1657" spans="12:17">
      <c r="L1657" s="123"/>
      <c r="O1657" s="360"/>
      <c r="Q1657" s="351"/>
    </row>
    <row r="1658" spans="12:17">
      <c r="L1658" s="245"/>
      <c r="O1658" s="360"/>
      <c r="Q1658" s="351"/>
    </row>
    <row r="1659" spans="12:17">
      <c r="L1659" s="123"/>
      <c r="O1659" s="360"/>
      <c r="Q1659" s="351"/>
    </row>
    <row r="1660" spans="12:17">
      <c r="L1660" s="123"/>
      <c r="O1660" s="360"/>
      <c r="Q1660" s="351"/>
    </row>
    <row r="1661" spans="12:17">
      <c r="L1661" s="123"/>
      <c r="O1661" s="360"/>
      <c r="Q1661" s="351"/>
    </row>
    <row r="1662" spans="12:17">
      <c r="L1662" s="123"/>
      <c r="O1662" s="360"/>
      <c r="Q1662" s="351"/>
    </row>
    <row r="1663" spans="12:17">
      <c r="L1663" s="123"/>
      <c r="O1663" s="360"/>
      <c r="Q1663" s="351"/>
    </row>
    <row r="1664" spans="12:17">
      <c r="L1664" s="123"/>
      <c r="O1664" s="360"/>
      <c r="Q1664" s="351"/>
    </row>
    <row r="1665" spans="12:17">
      <c r="L1665" s="123"/>
      <c r="O1665" s="360"/>
      <c r="Q1665" s="351"/>
    </row>
    <row r="1666" spans="12:17">
      <c r="L1666" s="123"/>
      <c r="O1666" s="360"/>
      <c r="Q1666" s="351"/>
    </row>
    <row r="1667" spans="12:17">
      <c r="L1667" s="123"/>
      <c r="O1667" s="360"/>
      <c r="Q1667" s="351"/>
    </row>
    <row r="1668" spans="12:17">
      <c r="L1668" s="123"/>
      <c r="O1668" s="360"/>
      <c r="Q1668" s="351"/>
    </row>
    <row r="1669" spans="12:17">
      <c r="L1669" s="245"/>
      <c r="O1669" s="360"/>
      <c r="Q1669" s="351"/>
    </row>
    <row r="1670" spans="12:17">
      <c r="L1670" s="123"/>
      <c r="O1670" s="360"/>
      <c r="Q1670" s="351"/>
    </row>
    <row r="1671" spans="12:17">
      <c r="L1671" s="123"/>
      <c r="O1671" s="360"/>
      <c r="Q1671" s="351"/>
    </row>
    <row r="1672" spans="12:17">
      <c r="L1672" s="245"/>
      <c r="O1672" s="360"/>
      <c r="Q1672" s="351"/>
    </row>
    <row r="1673" spans="12:17">
      <c r="L1673" s="123"/>
      <c r="O1673" s="360"/>
      <c r="Q1673" s="351"/>
    </row>
    <row r="1674" spans="12:17">
      <c r="L1674" s="123"/>
      <c r="O1674" s="360"/>
      <c r="Q1674" s="351"/>
    </row>
    <row r="1675" spans="12:17">
      <c r="L1675" s="123"/>
      <c r="O1675" s="360"/>
      <c r="Q1675" s="351"/>
    </row>
    <row r="1676" spans="12:17">
      <c r="L1676" s="123"/>
      <c r="O1676" s="360"/>
      <c r="Q1676" s="351"/>
    </row>
    <row r="1677" spans="12:17">
      <c r="L1677" s="123"/>
      <c r="O1677" s="360"/>
      <c r="Q1677" s="351"/>
    </row>
    <row r="1678" spans="12:17">
      <c r="L1678" s="123"/>
      <c r="O1678" s="360"/>
      <c r="Q1678" s="351"/>
    </row>
    <row r="1679" spans="12:17">
      <c r="L1679" s="123"/>
      <c r="O1679" s="360"/>
      <c r="Q1679" s="351"/>
    </row>
    <row r="1680" spans="12:17">
      <c r="L1680" s="123"/>
      <c r="O1680" s="360"/>
      <c r="Q1680" s="351"/>
    </row>
    <row r="1681" spans="12:17">
      <c r="L1681" s="123"/>
      <c r="O1681" s="360"/>
      <c r="Q1681" s="351"/>
    </row>
    <row r="1682" spans="12:17">
      <c r="L1682" s="123"/>
      <c r="O1682" s="360"/>
      <c r="Q1682" s="351"/>
    </row>
    <row r="1683" spans="12:17">
      <c r="L1683" s="123"/>
      <c r="O1683" s="360"/>
      <c r="Q1683" s="351"/>
    </row>
    <row r="1684" spans="12:17">
      <c r="L1684" s="123"/>
      <c r="O1684" s="360"/>
      <c r="Q1684" s="351"/>
    </row>
    <row r="1685" spans="12:17">
      <c r="L1685" s="123"/>
      <c r="O1685" s="360"/>
      <c r="Q1685" s="351"/>
    </row>
    <row r="1686" spans="12:17">
      <c r="L1686" s="123"/>
      <c r="O1686" s="360"/>
      <c r="Q1686" s="351"/>
    </row>
    <row r="1687" spans="12:17">
      <c r="L1687" s="123"/>
      <c r="O1687" s="360"/>
      <c r="Q1687" s="351"/>
    </row>
    <row r="1688" spans="12:17">
      <c r="L1688" s="123"/>
      <c r="O1688" s="360"/>
      <c r="Q1688" s="351"/>
    </row>
    <row r="1689" spans="12:17">
      <c r="L1689" s="123"/>
      <c r="O1689" s="360"/>
      <c r="Q1689" s="351"/>
    </row>
    <row r="1690" spans="12:17">
      <c r="L1690" s="123"/>
      <c r="O1690" s="360"/>
      <c r="Q1690" s="351"/>
    </row>
    <row r="1691" spans="12:17">
      <c r="L1691" s="123"/>
      <c r="O1691" s="360"/>
      <c r="Q1691" s="351"/>
    </row>
    <row r="1692" spans="12:17">
      <c r="L1692" s="123"/>
      <c r="O1692" s="360"/>
      <c r="Q1692" s="351"/>
    </row>
    <row r="1693" spans="12:17">
      <c r="L1693" s="123"/>
      <c r="O1693" s="360"/>
      <c r="Q1693" s="351"/>
    </row>
    <row r="1694" spans="12:17">
      <c r="L1694" s="123"/>
      <c r="O1694" s="360"/>
      <c r="Q1694" s="351"/>
    </row>
    <row r="1695" spans="12:17">
      <c r="L1695" s="245"/>
      <c r="O1695" s="360"/>
      <c r="Q1695" s="351"/>
    </row>
    <row r="1696" spans="12:17">
      <c r="L1696" s="123"/>
      <c r="O1696" s="360"/>
      <c r="Q1696" s="351"/>
    </row>
    <row r="1697" spans="12:17">
      <c r="L1697" s="123"/>
      <c r="O1697" s="360"/>
      <c r="Q1697" s="351"/>
    </row>
    <row r="1698" spans="12:17">
      <c r="L1698" s="123"/>
      <c r="O1698" s="360"/>
      <c r="Q1698" s="351"/>
    </row>
    <row r="1699" spans="12:17">
      <c r="L1699" s="123"/>
      <c r="O1699" s="360"/>
      <c r="Q1699" s="351"/>
    </row>
    <row r="1700" spans="12:17">
      <c r="L1700" s="123"/>
      <c r="O1700" s="360"/>
      <c r="Q1700" s="351"/>
    </row>
    <row r="1701" spans="12:17">
      <c r="L1701" s="123"/>
      <c r="O1701" s="360"/>
      <c r="Q1701" s="351"/>
    </row>
    <row r="1702" spans="12:17">
      <c r="L1702" s="123"/>
      <c r="O1702" s="360"/>
      <c r="Q1702" s="351"/>
    </row>
    <row r="1703" spans="12:17">
      <c r="L1703" s="123"/>
      <c r="O1703" s="360"/>
      <c r="Q1703" s="351"/>
    </row>
    <row r="1704" spans="12:17">
      <c r="L1704" s="123"/>
      <c r="O1704" s="360"/>
      <c r="Q1704" s="351"/>
    </row>
    <row r="1705" spans="12:17">
      <c r="L1705" s="123"/>
      <c r="O1705" s="360"/>
      <c r="Q1705" s="351"/>
    </row>
    <row r="1706" spans="12:17">
      <c r="L1706" s="123"/>
      <c r="O1706" s="360"/>
      <c r="Q1706" s="351"/>
    </row>
    <row r="1707" spans="12:17">
      <c r="L1707" s="123"/>
      <c r="O1707" s="360"/>
      <c r="Q1707" s="351"/>
    </row>
    <row r="1708" spans="12:17">
      <c r="L1708" s="123"/>
      <c r="O1708" s="360"/>
      <c r="Q1708" s="351"/>
    </row>
    <row r="1709" spans="12:17">
      <c r="L1709" s="123"/>
      <c r="O1709" s="360"/>
      <c r="Q1709" s="351"/>
    </row>
    <row r="1710" spans="12:17">
      <c r="L1710" s="123"/>
      <c r="O1710" s="360"/>
      <c r="Q1710" s="351"/>
    </row>
    <row r="1711" spans="12:17">
      <c r="L1711" s="123"/>
      <c r="O1711" s="360"/>
      <c r="Q1711" s="351"/>
    </row>
    <row r="1712" spans="12:17">
      <c r="L1712" s="123"/>
      <c r="O1712" s="360"/>
      <c r="Q1712" s="351"/>
    </row>
    <row r="1713" spans="12:17">
      <c r="L1713" s="123"/>
      <c r="O1713" s="360"/>
      <c r="Q1713" s="351"/>
    </row>
    <row r="1714" spans="12:17">
      <c r="L1714" s="123"/>
      <c r="O1714" s="360"/>
      <c r="Q1714" s="351"/>
    </row>
    <row r="1715" spans="12:17">
      <c r="L1715" s="123"/>
      <c r="O1715" s="360"/>
      <c r="Q1715" s="351"/>
    </row>
    <row r="1716" spans="12:17">
      <c r="L1716" s="123"/>
      <c r="O1716" s="360"/>
      <c r="Q1716" s="351"/>
    </row>
    <row r="1717" spans="12:17">
      <c r="L1717" s="123"/>
      <c r="O1717" s="360"/>
      <c r="Q1717" s="351"/>
    </row>
    <row r="1718" spans="12:17">
      <c r="L1718" s="123"/>
      <c r="O1718" s="360"/>
      <c r="Q1718" s="351"/>
    </row>
    <row r="1719" spans="12:17">
      <c r="L1719" s="123"/>
      <c r="O1719" s="360"/>
      <c r="Q1719" s="351"/>
    </row>
    <row r="1720" spans="12:17">
      <c r="L1720" s="123"/>
      <c r="O1720" s="360"/>
      <c r="Q1720" s="351"/>
    </row>
    <row r="1721" spans="12:17">
      <c r="L1721" s="123"/>
      <c r="O1721" s="360"/>
      <c r="Q1721" s="351"/>
    </row>
    <row r="1722" spans="12:17">
      <c r="L1722" s="123"/>
      <c r="O1722" s="360"/>
      <c r="Q1722" s="351"/>
    </row>
    <row r="1723" spans="12:17">
      <c r="L1723" s="123"/>
      <c r="O1723" s="360"/>
      <c r="Q1723" s="351"/>
    </row>
    <row r="1724" spans="12:17">
      <c r="L1724" s="123"/>
      <c r="O1724" s="360"/>
      <c r="Q1724" s="351"/>
    </row>
    <row r="1725" spans="12:17">
      <c r="L1725" s="123"/>
      <c r="O1725" s="360"/>
      <c r="Q1725" s="351"/>
    </row>
    <row r="1726" spans="12:17">
      <c r="L1726" s="123"/>
      <c r="O1726" s="360"/>
      <c r="Q1726" s="351"/>
    </row>
    <row r="1727" spans="12:17">
      <c r="L1727" s="123"/>
      <c r="O1727" s="360"/>
      <c r="Q1727" s="351"/>
    </row>
    <row r="1728" spans="12:17">
      <c r="L1728" s="245"/>
      <c r="O1728" s="360"/>
      <c r="Q1728" s="351"/>
    </row>
    <row r="1729" spans="12:17">
      <c r="L1729" s="245"/>
      <c r="O1729" s="360"/>
      <c r="Q1729" s="351"/>
    </row>
    <row r="1730" spans="12:17">
      <c r="L1730" s="123"/>
      <c r="O1730" s="360"/>
      <c r="Q1730" s="351"/>
    </row>
    <row r="1731" spans="12:17">
      <c r="L1731" s="123"/>
      <c r="O1731" s="360"/>
      <c r="Q1731" s="351"/>
    </row>
    <row r="1732" spans="12:17">
      <c r="L1732" s="123"/>
      <c r="O1732" s="360"/>
      <c r="Q1732" s="351"/>
    </row>
    <row r="1733" spans="12:17">
      <c r="L1733" s="123"/>
      <c r="O1733" s="360"/>
      <c r="Q1733" s="351"/>
    </row>
    <row r="1734" spans="12:17">
      <c r="L1734" s="123"/>
      <c r="O1734" s="360"/>
      <c r="Q1734" s="351"/>
    </row>
    <row r="1735" spans="12:17">
      <c r="L1735" s="123"/>
      <c r="O1735" s="360"/>
      <c r="Q1735" s="351"/>
    </row>
    <row r="1736" spans="12:17">
      <c r="L1736" s="123"/>
      <c r="O1736" s="360"/>
      <c r="Q1736" s="351"/>
    </row>
    <row r="1737" spans="12:17">
      <c r="L1737" s="123"/>
      <c r="O1737" s="360"/>
      <c r="Q1737" s="351"/>
    </row>
    <row r="1738" spans="12:17">
      <c r="L1738" s="245"/>
      <c r="O1738" s="360"/>
      <c r="Q1738" s="351"/>
    </row>
    <row r="1739" spans="12:17">
      <c r="L1739" s="123"/>
      <c r="O1739" s="360"/>
      <c r="Q1739" s="351"/>
    </row>
    <row r="1740" spans="12:17">
      <c r="L1740" s="123"/>
      <c r="O1740" s="360"/>
      <c r="Q1740" s="351"/>
    </row>
    <row r="1741" spans="12:17">
      <c r="L1741" s="123"/>
      <c r="O1741" s="360"/>
      <c r="Q1741" s="351"/>
    </row>
    <row r="1742" spans="12:17">
      <c r="L1742" s="123"/>
      <c r="O1742" s="360"/>
      <c r="Q1742" s="351"/>
    </row>
    <row r="1743" spans="12:17">
      <c r="L1743" s="123"/>
      <c r="O1743" s="360"/>
      <c r="Q1743" s="351"/>
    </row>
    <row r="1744" spans="12:17">
      <c r="L1744" s="123"/>
      <c r="O1744" s="360"/>
      <c r="Q1744" s="351"/>
    </row>
    <row r="1745" spans="12:17">
      <c r="L1745" s="123"/>
      <c r="O1745" s="360"/>
      <c r="Q1745" s="351"/>
    </row>
    <row r="1746" spans="12:17">
      <c r="L1746" s="123"/>
      <c r="O1746" s="360"/>
      <c r="Q1746" s="351"/>
    </row>
    <row r="1747" spans="12:17">
      <c r="L1747" s="123"/>
      <c r="O1747" s="360"/>
      <c r="Q1747" s="351"/>
    </row>
    <row r="1748" spans="12:17">
      <c r="L1748" s="245"/>
      <c r="O1748" s="360"/>
      <c r="Q1748" s="351"/>
    </row>
    <row r="1749" spans="12:17">
      <c r="L1749" s="123"/>
      <c r="O1749" s="360"/>
      <c r="Q1749" s="351"/>
    </row>
    <row r="1750" spans="12:17">
      <c r="L1750" s="123"/>
      <c r="O1750" s="360"/>
      <c r="Q1750" s="351"/>
    </row>
    <row r="1751" spans="12:17">
      <c r="L1751" s="123"/>
      <c r="O1751" s="360"/>
      <c r="Q1751" s="351"/>
    </row>
    <row r="1752" spans="12:17">
      <c r="L1752" s="245"/>
      <c r="O1752" s="360"/>
      <c r="Q1752" s="351"/>
    </row>
    <row r="1753" spans="12:17">
      <c r="L1753" s="123"/>
      <c r="O1753" s="360"/>
      <c r="Q1753" s="351"/>
    </row>
    <row r="1754" spans="12:17">
      <c r="L1754" s="123"/>
      <c r="O1754" s="360"/>
      <c r="Q1754" s="351"/>
    </row>
    <row r="1755" spans="12:17">
      <c r="L1755" s="123"/>
      <c r="O1755" s="360"/>
      <c r="Q1755" s="351"/>
    </row>
    <row r="1756" spans="12:17">
      <c r="L1756" s="123"/>
      <c r="O1756" s="360"/>
      <c r="Q1756" s="351"/>
    </row>
    <row r="1757" spans="12:17">
      <c r="L1757" s="123"/>
      <c r="O1757" s="360"/>
      <c r="Q1757" s="351"/>
    </row>
    <row r="1758" spans="12:17">
      <c r="L1758" s="123"/>
      <c r="O1758" s="360"/>
      <c r="Q1758" s="351"/>
    </row>
    <row r="1759" spans="12:17">
      <c r="L1759" s="123"/>
      <c r="O1759" s="360"/>
      <c r="Q1759" s="351"/>
    </row>
    <row r="1760" spans="12:17">
      <c r="L1760" s="123"/>
      <c r="O1760" s="360"/>
      <c r="Q1760" s="351"/>
    </row>
    <row r="1761" spans="12:17">
      <c r="L1761" s="123"/>
      <c r="O1761" s="360"/>
      <c r="Q1761" s="351"/>
    </row>
    <row r="1762" spans="12:17">
      <c r="L1762" s="123"/>
      <c r="O1762" s="360"/>
      <c r="Q1762" s="351"/>
    </row>
    <row r="1763" spans="12:17">
      <c r="L1763" s="123"/>
      <c r="O1763" s="360"/>
      <c r="Q1763" s="351"/>
    </row>
    <row r="1764" spans="12:17">
      <c r="L1764" s="123"/>
      <c r="O1764" s="360"/>
      <c r="Q1764" s="351"/>
    </row>
    <row r="1765" spans="12:17">
      <c r="L1765" s="123"/>
      <c r="O1765" s="360"/>
      <c r="Q1765" s="351"/>
    </row>
    <row r="1766" spans="12:17">
      <c r="L1766" s="123"/>
      <c r="O1766" s="360"/>
      <c r="Q1766" s="351"/>
    </row>
    <row r="1767" spans="12:17">
      <c r="L1767" s="123"/>
      <c r="O1767" s="360"/>
      <c r="Q1767" s="351"/>
    </row>
    <row r="1768" spans="12:17">
      <c r="L1768" s="123"/>
      <c r="O1768" s="360"/>
      <c r="Q1768" s="351"/>
    </row>
    <row r="1769" spans="12:17">
      <c r="L1769" s="123"/>
      <c r="O1769" s="360"/>
      <c r="Q1769" s="351"/>
    </row>
    <row r="1770" spans="12:17">
      <c r="L1770" s="123"/>
      <c r="O1770" s="360"/>
      <c r="Q1770" s="351"/>
    </row>
    <row r="1771" spans="12:17">
      <c r="L1771" s="123"/>
      <c r="O1771" s="360"/>
      <c r="Q1771" s="351"/>
    </row>
    <row r="1772" spans="12:17">
      <c r="L1772" s="123"/>
      <c r="O1772" s="360"/>
      <c r="Q1772" s="351"/>
    </row>
    <row r="1773" spans="12:17">
      <c r="L1773" s="123"/>
      <c r="O1773" s="360"/>
      <c r="Q1773" s="351"/>
    </row>
    <row r="1774" spans="12:17">
      <c r="O1774" s="360"/>
      <c r="Q1774" s="351"/>
    </row>
    <row r="1775" spans="12:17">
      <c r="L1775" s="123"/>
      <c r="O1775" s="360"/>
      <c r="Q1775" s="351"/>
    </row>
    <row r="1776" spans="12:17">
      <c r="L1776" s="123"/>
      <c r="O1776" s="360"/>
      <c r="Q1776" s="351"/>
    </row>
    <row r="1777" spans="12:17">
      <c r="L1777" s="123"/>
      <c r="O1777" s="360"/>
      <c r="Q1777" s="351"/>
    </row>
    <row r="1778" spans="12:17">
      <c r="L1778" s="123"/>
      <c r="O1778" s="360"/>
      <c r="Q1778" s="351"/>
    </row>
    <row r="1779" spans="12:17">
      <c r="L1779" s="123"/>
      <c r="O1779" s="360"/>
      <c r="Q1779" s="351"/>
    </row>
    <row r="1780" spans="12:17">
      <c r="L1780" s="123"/>
      <c r="O1780" s="360"/>
      <c r="Q1780" s="351"/>
    </row>
    <row r="1781" spans="12:17">
      <c r="L1781" s="123"/>
      <c r="O1781" s="360"/>
      <c r="Q1781" s="351"/>
    </row>
    <row r="1782" spans="12:17">
      <c r="L1782" s="123"/>
      <c r="O1782" s="360"/>
      <c r="Q1782" s="351"/>
    </row>
    <row r="1783" spans="12:17">
      <c r="L1783" s="123"/>
      <c r="O1783" s="360"/>
      <c r="Q1783" s="351"/>
    </row>
    <row r="1784" spans="12:17">
      <c r="L1784" s="123"/>
      <c r="O1784" s="360"/>
      <c r="Q1784" s="351"/>
    </row>
    <row r="1785" spans="12:17">
      <c r="L1785" s="123"/>
      <c r="O1785" s="360"/>
      <c r="Q1785" s="351"/>
    </row>
    <row r="1786" spans="12:17">
      <c r="L1786" s="123"/>
      <c r="O1786" s="360"/>
      <c r="Q1786" s="351"/>
    </row>
    <row r="1787" spans="12:17">
      <c r="L1787" s="123"/>
      <c r="O1787" s="360"/>
      <c r="Q1787" s="351"/>
    </row>
    <row r="1788" spans="12:17">
      <c r="L1788" s="123"/>
      <c r="O1788" s="360"/>
      <c r="Q1788" s="351"/>
    </row>
    <row r="1789" spans="12:17">
      <c r="L1789" s="123"/>
      <c r="O1789" s="360"/>
      <c r="Q1789" s="351"/>
    </row>
    <row r="1790" spans="12:17">
      <c r="L1790" s="123"/>
      <c r="O1790" s="360"/>
      <c r="Q1790" s="351"/>
    </row>
    <row r="1791" spans="12:17">
      <c r="L1791" s="123"/>
      <c r="O1791" s="360"/>
      <c r="Q1791" s="351"/>
    </row>
    <row r="1792" spans="12:17">
      <c r="L1792" s="123"/>
      <c r="O1792" s="360"/>
      <c r="Q1792" s="351"/>
    </row>
    <row r="1793" spans="12:17">
      <c r="L1793" s="123"/>
      <c r="O1793" s="360"/>
      <c r="Q1793" s="351"/>
    </row>
    <row r="1794" spans="12:17">
      <c r="L1794" s="123"/>
      <c r="O1794" s="360"/>
      <c r="Q1794" s="351"/>
    </row>
    <row r="1795" spans="12:17">
      <c r="L1795" s="123"/>
      <c r="O1795" s="360"/>
      <c r="Q1795" s="351"/>
    </row>
    <row r="1796" spans="12:17">
      <c r="L1796" s="123"/>
      <c r="O1796" s="360"/>
      <c r="Q1796" s="351"/>
    </row>
    <row r="1797" spans="12:17">
      <c r="L1797" s="123"/>
      <c r="O1797" s="360"/>
      <c r="Q1797" s="351"/>
    </row>
    <row r="1798" spans="12:17">
      <c r="L1798" s="123"/>
      <c r="O1798" s="360"/>
      <c r="Q1798" s="351"/>
    </row>
    <row r="1799" spans="12:17">
      <c r="L1799" s="123"/>
      <c r="O1799" s="360"/>
      <c r="Q1799" s="351"/>
    </row>
    <row r="1800" spans="12:17">
      <c r="L1800" s="123"/>
      <c r="O1800" s="360"/>
      <c r="Q1800" s="351"/>
    </row>
    <row r="1801" spans="12:17">
      <c r="L1801" s="123"/>
      <c r="O1801" s="360"/>
      <c r="Q1801" s="351"/>
    </row>
    <row r="1802" spans="12:17">
      <c r="L1802" s="123"/>
      <c r="O1802" s="360"/>
      <c r="Q1802" s="351"/>
    </row>
    <row r="1803" spans="12:17">
      <c r="L1803" s="123"/>
      <c r="O1803" s="360"/>
      <c r="Q1803" s="351"/>
    </row>
    <row r="1804" spans="12:17">
      <c r="L1804" s="123"/>
      <c r="O1804" s="360"/>
      <c r="Q1804" s="351"/>
    </row>
    <row r="1805" spans="12:17">
      <c r="L1805" s="123"/>
      <c r="O1805" s="360"/>
      <c r="Q1805" s="351"/>
    </row>
    <row r="1806" spans="12:17">
      <c r="L1806" s="123"/>
      <c r="O1806" s="360"/>
      <c r="Q1806" s="351"/>
    </row>
    <row r="1807" spans="12:17">
      <c r="L1807" s="123"/>
      <c r="O1807" s="360"/>
      <c r="Q1807" s="351"/>
    </row>
    <row r="1808" spans="12:17">
      <c r="L1808" s="123"/>
      <c r="O1808" s="360"/>
      <c r="Q1808" s="351"/>
    </row>
    <row r="1809" spans="12:17">
      <c r="L1809" s="123"/>
      <c r="O1809" s="360"/>
      <c r="Q1809" s="351"/>
    </row>
    <row r="1810" spans="12:17">
      <c r="L1810" s="123"/>
      <c r="O1810" s="360"/>
      <c r="Q1810" s="351"/>
    </row>
    <row r="1811" spans="12:17">
      <c r="L1811" s="123"/>
      <c r="O1811" s="360"/>
      <c r="Q1811" s="351"/>
    </row>
    <row r="1812" spans="12:17">
      <c r="L1812" s="123"/>
      <c r="O1812" s="360"/>
      <c r="Q1812" s="351"/>
    </row>
    <row r="1813" spans="12:17">
      <c r="L1813" s="123"/>
      <c r="O1813" s="360"/>
      <c r="Q1813" s="351"/>
    </row>
    <row r="1814" spans="12:17">
      <c r="L1814" s="123"/>
      <c r="O1814" s="360"/>
      <c r="Q1814" s="351"/>
    </row>
    <row r="1815" spans="12:17">
      <c r="L1815" s="123"/>
      <c r="O1815" s="360"/>
      <c r="Q1815" s="351"/>
    </row>
    <row r="1816" spans="12:17">
      <c r="L1816" s="123"/>
      <c r="O1816" s="360"/>
      <c r="Q1816" s="351"/>
    </row>
    <row r="1817" spans="12:17">
      <c r="L1817" s="123"/>
      <c r="O1817" s="360"/>
      <c r="Q1817" s="351"/>
    </row>
    <row r="1818" spans="12:17">
      <c r="L1818" s="123"/>
      <c r="O1818" s="360"/>
      <c r="Q1818" s="351"/>
    </row>
    <row r="1819" spans="12:17">
      <c r="L1819" s="245"/>
      <c r="O1819" s="360"/>
      <c r="Q1819" s="351"/>
    </row>
    <row r="1820" spans="12:17">
      <c r="L1820" s="123"/>
      <c r="O1820" s="360"/>
      <c r="Q1820" s="351"/>
    </row>
    <row r="1821" spans="12:17">
      <c r="L1821" s="123"/>
      <c r="O1821" s="360"/>
      <c r="Q1821" s="351"/>
    </row>
    <row r="1822" spans="12:17">
      <c r="L1822" s="123"/>
      <c r="O1822" s="360"/>
      <c r="Q1822" s="351"/>
    </row>
    <row r="1823" spans="12:17">
      <c r="L1823" s="123"/>
      <c r="O1823" s="360"/>
      <c r="Q1823" s="351"/>
    </row>
    <row r="1824" spans="12:17">
      <c r="L1824" s="123"/>
      <c r="O1824" s="360"/>
      <c r="Q1824" s="351"/>
    </row>
    <row r="1825" spans="12:17">
      <c r="L1825" s="123"/>
      <c r="O1825" s="360"/>
      <c r="Q1825" s="351"/>
    </row>
    <row r="1826" spans="12:17">
      <c r="L1826" s="123"/>
      <c r="O1826" s="360"/>
      <c r="Q1826" s="351"/>
    </row>
    <row r="1827" spans="12:17">
      <c r="L1827" s="123"/>
      <c r="O1827" s="360"/>
      <c r="Q1827" s="351"/>
    </row>
    <row r="1828" spans="12:17">
      <c r="L1828" s="123"/>
      <c r="O1828" s="360"/>
      <c r="Q1828" s="351"/>
    </row>
    <row r="1829" spans="12:17">
      <c r="L1829" s="123"/>
      <c r="O1829" s="360"/>
      <c r="Q1829" s="351"/>
    </row>
    <row r="1830" spans="12:17">
      <c r="L1830" s="123"/>
      <c r="O1830" s="360"/>
      <c r="Q1830" s="351"/>
    </row>
    <row r="1831" spans="12:17">
      <c r="L1831" s="123"/>
      <c r="O1831" s="360"/>
      <c r="Q1831" s="351"/>
    </row>
    <row r="1832" spans="12:17">
      <c r="L1832" s="123"/>
      <c r="O1832" s="360"/>
      <c r="Q1832" s="351"/>
    </row>
    <row r="1833" spans="12:17">
      <c r="L1833" s="123"/>
      <c r="O1833" s="360"/>
      <c r="Q1833" s="351"/>
    </row>
    <row r="1834" spans="12:17">
      <c r="L1834" s="123"/>
      <c r="O1834" s="360"/>
      <c r="Q1834" s="351"/>
    </row>
    <row r="1835" spans="12:17">
      <c r="L1835" s="123"/>
      <c r="O1835" s="360"/>
      <c r="Q1835" s="351"/>
    </row>
    <row r="1836" spans="12:17">
      <c r="L1836" s="123"/>
      <c r="O1836" s="360"/>
      <c r="Q1836" s="351"/>
    </row>
    <row r="1837" spans="12:17">
      <c r="L1837" s="123"/>
      <c r="O1837" s="360"/>
      <c r="Q1837" s="351"/>
    </row>
    <row r="1838" spans="12:17">
      <c r="L1838" s="123"/>
      <c r="O1838" s="360"/>
      <c r="Q1838" s="351"/>
    </row>
    <row r="1839" spans="12:17">
      <c r="L1839" s="123"/>
      <c r="O1839" s="360"/>
      <c r="Q1839" s="351"/>
    </row>
    <row r="1840" spans="12:17">
      <c r="L1840" s="123"/>
      <c r="O1840" s="360"/>
      <c r="Q1840" s="351"/>
    </row>
    <row r="1841" spans="12:17">
      <c r="L1841" s="123"/>
      <c r="O1841" s="360"/>
      <c r="Q1841" s="351"/>
    </row>
    <row r="1842" spans="12:17">
      <c r="L1842" s="123"/>
      <c r="O1842" s="360"/>
      <c r="Q1842" s="351"/>
    </row>
    <row r="1843" spans="12:17">
      <c r="L1843" s="123"/>
      <c r="O1843" s="360"/>
      <c r="Q1843" s="351"/>
    </row>
    <row r="1844" spans="12:17">
      <c r="L1844" s="123"/>
      <c r="O1844" s="360"/>
      <c r="Q1844" s="351"/>
    </row>
    <row r="1845" spans="12:17">
      <c r="L1845" s="123"/>
      <c r="O1845" s="360"/>
      <c r="Q1845" s="351"/>
    </row>
    <row r="1846" spans="12:17">
      <c r="L1846" s="123"/>
      <c r="O1846" s="360"/>
      <c r="Q1846" s="351"/>
    </row>
    <row r="1847" spans="12:17">
      <c r="L1847" s="123"/>
      <c r="O1847" s="360"/>
      <c r="Q1847" s="351"/>
    </row>
    <row r="1848" spans="12:17">
      <c r="L1848" s="123"/>
      <c r="O1848" s="360"/>
      <c r="Q1848" s="351"/>
    </row>
    <row r="1849" spans="12:17">
      <c r="L1849" s="123"/>
      <c r="O1849" s="360"/>
      <c r="Q1849" s="351"/>
    </row>
    <row r="1850" spans="12:17">
      <c r="L1850" s="123"/>
      <c r="O1850" s="360"/>
      <c r="Q1850" s="351"/>
    </row>
    <row r="1851" spans="12:17">
      <c r="L1851" s="123"/>
      <c r="O1851" s="360"/>
      <c r="Q1851" s="351"/>
    </row>
    <row r="1852" spans="12:17">
      <c r="L1852" s="123"/>
      <c r="O1852" s="360"/>
      <c r="Q1852" s="351"/>
    </row>
    <row r="1853" spans="12:17">
      <c r="L1853" s="123"/>
      <c r="O1853" s="360"/>
      <c r="Q1853" s="351"/>
    </row>
    <row r="1854" spans="12:17">
      <c r="L1854" s="123"/>
      <c r="O1854" s="360"/>
      <c r="Q1854" s="351"/>
    </row>
    <row r="1855" spans="12:17">
      <c r="L1855" s="123"/>
      <c r="O1855" s="360"/>
      <c r="Q1855" s="351"/>
    </row>
    <row r="1856" spans="12:17">
      <c r="L1856" s="123"/>
      <c r="O1856" s="360"/>
      <c r="Q1856" s="351"/>
    </row>
    <row r="1857" spans="12:17">
      <c r="L1857" s="123"/>
      <c r="O1857" s="360"/>
      <c r="Q1857" s="351"/>
    </row>
    <row r="1858" spans="12:17">
      <c r="L1858" s="123"/>
      <c r="O1858" s="360"/>
      <c r="Q1858" s="351"/>
    </row>
    <row r="1859" spans="12:17">
      <c r="L1859" s="123"/>
      <c r="O1859" s="360"/>
      <c r="Q1859" s="351"/>
    </row>
    <row r="1860" spans="12:17">
      <c r="L1860" s="123"/>
      <c r="O1860" s="360"/>
      <c r="Q1860" s="351"/>
    </row>
    <row r="1861" spans="12:17">
      <c r="L1861" s="123"/>
      <c r="O1861" s="360"/>
      <c r="Q1861" s="351"/>
    </row>
    <row r="1862" spans="12:17">
      <c r="L1862" s="245"/>
      <c r="O1862" s="360"/>
      <c r="Q1862" s="351"/>
    </row>
    <row r="1863" spans="12:17">
      <c r="L1863" s="245"/>
      <c r="O1863" s="360"/>
      <c r="Q1863" s="351"/>
    </row>
    <row r="1864" spans="12:17">
      <c r="L1864" s="123"/>
      <c r="O1864" s="360"/>
      <c r="Q1864" s="351"/>
    </row>
    <row r="1865" spans="12:17">
      <c r="L1865" s="123"/>
      <c r="O1865" s="360"/>
      <c r="Q1865" s="351"/>
    </row>
    <row r="1866" spans="12:17">
      <c r="L1866" s="123"/>
      <c r="O1866" s="360"/>
      <c r="Q1866" s="351"/>
    </row>
    <row r="1867" spans="12:17">
      <c r="L1867" s="123"/>
      <c r="O1867" s="360"/>
      <c r="Q1867" s="351"/>
    </row>
    <row r="1868" spans="12:17">
      <c r="L1868" s="123"/>
      <c r="O1868" s="360"/>
      <c r="Q1868" s="351"/>
    </row>
    <row r="1869" spans="12:17">
      <c r="L1869" s="123"/>
      <c r="O1869" s="360"/>
      <c r="Q1869" s="351"/>
    </row>
    <row r="1870" spans="12:17">
      <c r="L1870" s="123"/>
      <c r="O1870" s="360"/>
      <c r="Q1870" s="351"/>
    </row>
    <row r="1871" spans="12:17">
      <c r="L1871" s="123"/>
      <c r="O1871" s="360"/>
      <c r="Q1871" s="351"/>
    </row>
    <row r="1872" spans="12:17">
      <c r="L1872" s="123"/>
      <c r="O1872" s="360"/>
      <c r="Q1872" s="351"/>
    </row>
    <row r="1873" spans="12:17">
      <c r="L1873" s="123"/>
      <c r="O1873" s="360"/>
      <c r="Q1873" s="351"/>
    </row>
    <row r="1874" spans="12:17">
      <c r="L1874" s="123"/>
      <c r="O1874" s="360"/>
      <c r="Q1874" s="351"/>
    </row>
    <row r="1875" spans="12:17">
      <c r="L1875" s="123"/>
      <c r="O1875" s="360"/>
      <c r="Q1875" s="351"/>
    </row>
    <row r="1876" spans="12:17">
      <c r="L1876" s="245"/>
      <c r="O1876" s="360"/>
      <c r="Q1876" s="351"/>
    </row>
    <row r="1877" spans="12:17">
      <c r="L1877" s="123"/>
      <c r="O1877" s="360"/>
      <c r="Q1877" s="351"/>
    </row>
    <row r="1878" spans="12:17">
      <c r="L1878" s="123"/>
      <c r="O1878" s="360"/>
      <c r="Q1878" s="351"/>
    </row>
    <row r="1879" spans="12:17">
      <c r="L1879" s="123"/>
      <c r="O1879" s="360"/>
      <c r="Q1879" s="351"/>
    </row>
    <row r="1880" spans="12:17">
      <c r="L1880" s="123"/>
      <c r="O1880" s="360"/>
      <c r="Q1880" s="351"/>
    </row>
    <row r="1881" spans="12:17">
      <c r="L1881" s="123"/>
      <c r="O1881" s="360"/>
      <c r="Q1881" s="351"/>
    </row>
    <row r="1882" spans="12:17">
      <c r="L1882" s="123"/>
      <c r="O1882" s="360"/>
      <c r="Q1882" s="351"/>
    </row>
    <row r="1883" spans="12:17">
      <c r="L1883" s="51"/>
      <c r="O1883" s="360"/>
      <c r="Q1883" s="351"/>
    </row>
    <row r="1884" spans="12:17">
      <c r="L1884" s="123"/>
      <c r="O1884" s="360"/>
      <c r="Q1884" s="351"/>
    </row>
    <row r="1885" spans="12:17">
      <c r="L1885" s="123"/>
      <c r="O1885" s="360"/>
      <c r="Q1885" s="351"/>
    </row>
    <row r="1886" spans="12:17">
      <c r="L1886" s="123"/>
      <c r="O1886" s="360"/>
      <c r="Q1886" s="351"/>
    </row>
    <row r="1887" spans="12:17">
      <c r="L1887" s="123"/>
      <c r="O1887" s="360"/>
      <c r="Q1887" s="351"/>
    </row>
    <row r="1888" spans="12:17">
      <c r="L1888" s="123"/>
      <c r="O1888" s="360"/>
      <c r="Q1888" s="351"/>
    </row>
    <row r="1889" spans="12:17">
      <c r="L1889" s="123"/>
      <c r="O1889" s="360"/>
      <c r="Q1889" s="351"/>
    </row>
    <row r="1890" spans="12:17">
      <c r="L1890" s="123"/>
      <c r="O1890" s="360"/>
      <c r="Q1890" s="351"/>
    </row>
    <row r="1891" spans="12:17">
      <c r="L1891" s="123"/>
      <c r="O1891" s="360"/>
      <c r="Q1891" s="351"/>
    </row>
    <row r="1892" spans="12:17">
      <c r="L1892" s="123"/>
      <c r="O1892" s="360"/>
      <c r="Q1892" s="351"/>
    </row>
    <row r="1893" spans="12:17">
      <c r="L1893" s="123"/>
      <c r="O1893" s="360"/>
      <c r="Q1893" s="351"/>
    </row>
    <row r="1894" spans="12:17">
      <c r="L1894" s="123"/>
      <c r="O1894" s="360"/>
      <c r="Q1894" s="351"/>
    </row>
    <row r="1895" spans="12:17">
      <c r="L1895" s="123"/>
      <c r="O1895" s="360"/>
      <c r="Q1895" s="351"/>
    </row>
    <row r="1896" spans="12:17">
      <c r="L1896" s="123"/>
      <c r="O1896" s="360"/>
      <c r="Q1896" s="351"/>
    </row>
    <row r="1897" spans="12:17">
      <c r="L1897" s="123"/>
      <c r="O1897" s="360"/>
      <c r="Q1897" s="351"/>
    </row>
    <row r="1898" spans="12:17">
      <c r="L1898" s="123"/>
      <c r="O1898" s="360"/>
      <c r="Q1898" s="351"/>
    </row>
    <row r="1899" spans="12:17">
      <c r="L1899" s="123"/>
      <c r="O1899" s="360"/>
      <c r="Q1899" s="351"/>
    </row>
    <row r="1900" spans="12:17">
      <c r="L1900" s="123"/>
      <c r="O1900" s="360"/>
      <c r="Q1900" s="351"/>
    </row>
    <row r="1901" spans="12:17">
      <c r="L1901" s="123"/>
      <c r="O1901" s="360"/>
      <c r="Q1901" s="351"/>
    </row>
    <row r="1902" spans="12:17">
      <c r="L1902" s="123"/>
      <c r="O1902" s="360"/>
      <c r="Q1902" s="351"/>
    </row>
    <row r="1903" spans="12:17">
      <c r="L1903" s="123"/>
      <c r="O1903" s="360"/>
      <c r="Q1903" s="351"/>
    </row>
    <row r="1904" spans="12:17">
      <c r="L1904" s="123"/>
      <c r="O1904" s="360"/>
      <c r="Q1904" s="351"/>
    </row>
    <row r="1905" spans="12:17">
      <c r="L1905" s="123"/>
      <c r="O1905" s="360"/>
      <c r="Q1905" s="351"/>
    </row>
    <row r="1906" spans="12:17">
      <c r="L1906" s="123"/>
      <c r="O1906" s="360"/>
      <c r="Q1906" s="351"/>
    </row>
    <row r="1907" spans="12:17">
      <c r="L1907" s="123"/>
      <c r="O1907" s="360"/>
      <c r="Q1907" s="351"/>
    </row>
    <row r="1908" spans="12:17">
      <c r="L1908" s="123"/>
      <c r="O1908" s="360"/>
      <c r="Q1908" s="351"/>
    </row>
    <row r="1909" spans="12:17">
      <c r="L1909" s="123"/>
      <c r="O1909" s="360"/>
      <c r="Q1909" s="351"/>
    </row>
    <row r="1910" spans="12:17">
      <c r="L1910" s="123"/>
      <c r="O1910" s="360"/>
      <c r="Q1910" s="351"/>
    </row>
    <row r="1911" spans="12:17">
      <c r="L1911" s="123"/>
      <c r="O1911" s="360"/>
      <c r="Q1911" s="351"/>
    </row>
    <row r="1912" spans="12:17">
      <c r="L1912" s="123"/>
      <c r="O1912" s="360"/>
      <c r="Q1912" s="351"/>
    </row>
    <row r="1913" spans="12:17">
      <c r="L1913" s="123"/>
      <c r="O1913" s="360"/>
      <c r="Q1913" s="351"/>
    </row>
    <row r="1914" spans="12:17">
      <c r="L1914" s="123"/>
      <c r="O1914" s="360"/>
      <c r="Q1914" s="351"/>
    </row>
    <row r="1915" spans="12:17">
      <c r="L1915" s="123"/>
      <c r="O1915" s="360"/>
      <c r="Q1915" s="351"/>
    </row>
    <row r="1916" spans="12:17">
      <c r="L1916" s="120"/>
      <c r="O1916" s="360"/>
      <c r="Q1916" s="351"/>
    </row>
    <row r="1917" spans="12:17">
      <c r="L1917" s="123"/>
      <c r="O1917" s="360"/>
      <c r="Q1917" s="351"/>
    </row>
    <row r="1918" spans="12:17">
      <c r="L1918" s="123"/>
      <c r="O1918" s="360"/>
      <c r="Q1918" s="351"/>
    </row>
    <row r="1919" spans="12:17">
      <c r="L1919" s="123"/>
      <c r="O1919" s="360"/>
      <c r="Q1919" s="351"/>
    </row>
    <row r="1920" spans="12:17">
      <c r="L1920" s="123"/>
      <c r="O1920" s="360"/>
      <c r="Q1920" s="351"/>
    </row>
    <row r="1921" spans="12:17">
      <c r="L1921" s="123"/>
      <c r="O1921" s="360"/>
      <c r="Q1921" s="351"/>
    </row>
    <row r="1922" spans="12:17">
      <c r="L1922" s="123"/>
      <c r="O1922" s="360"/>
      <c r="Q1922" s="351"/>
    </row>
    <row r="1923" spans="12:17">
      <c r="L1923" s="123"/>
      <c r="O1923" s="360"/>
      <c r="Q1923" s="351"/>
    </row>
    <row r="1924" spans="12:17">
      <c r="L1924" s="123"/>
      <c r="O1924" s="360"/>
      <c r="Q1924" s="351"/>
    </row>
    <row r="1925" spans="12:17">
      <c r="L1925" s="123"/>
      <c r="O1925" s="360"/>
      <c r="Q1925" s="351"/>
    </row>
    <row r="1926" spans="12:17">
      <c r="L1926" s="123"/>
      <c r="O1926" s="360"/>
      <c r="Q1926" s="351"/>
    </row>
    <row r="1927" spans="12:17">
      <c r="L1927" s="123"/>
      <c r="O1927" s="360"/>
      <c r="Q1927" s="351"/>
    </row>
    <row r="1928" spans="12:17">
      <c r="L1928" s="123"/>
      <c r="O1928" s="360"/>
      <c r="Q1928" s="351"/>
    </row>
    <row r="1929" spans="12:17">
      <c r="L1929" s="123"/>
      <c r="O1929" s="360"/>
      <c r="Q1929" s="351"/>
    </row>
    <row r="1930" spans="12:17">
      <c r="L1930" s="123"/>
      <c r="O1930" s="360"/>
      <c r="Q1930" s="351"/>
    </row>
    <row r="1931" spans="12:17">
      <c r="L1931" s="123"/>
      <c r="O1931" s="360"/>
      <c r="Q1931" s="351"/>
    </row>
    <row r="1932" spans="12:17">
      <c r="L1932" s="123"/>
      <c r="O1932" s="360"/>
      <c r="Q1932" s="351"/>
    </row>
    <row r="1933" spans="12:17">
      <c r="L1933" s="123"/>
      <c r="O1933" s="360"/>
      <c r="Q1933" s="351"/>
    </row>
    <row r="1934" spans="12:17">
      <c r="L1934" s="123"/>
      <c r="O1934" s="360"/>
      <c r="Q1934" s="351"/>
    </row>
    <row r="1935" spans="12:17">
      <c r="L1935" s="123"/>
      <c r="O1935" s="360"/>
      <c r="Q1935" s="351"/>
    </row>
    <row r="1936" spans="12:17">
      <c r="L1936" s="123"/>
      <c r="O1936" s="360"/>
      <c r="Q1936" s="351"/>
    </row>
    <row r="1937" spans="12:17">
      <c r="L1937" s="123"/>
      <c r="O1937" s="360"/>
      <c r="Q1937" s="351"/>
    </row>
    <row r="1938" spans="12:17">
      <c r="L1938" s="123"/>
      <c r="O1938" s="360"/>
      <c r="Q1938" s="351"/>
    </row>
    <row r="1939" spans="12:17">
      <c r="L1939" s="123"/>
      <c r="O1939" s="360"/>
      <c r="Q1939" s="351"/>
    </row>
    <row r="1940" spans="12:17">
      <c r="L1940" s="245"/>
      <c r="O1940" s="360"/>
      <c r="Q1940" s="351"/>
    </row>
    <row r="1941" spans="12:17">
      <c r="L1941" s="123"/>
      <c r="O1941" s="360"/>
      <c r="Q1941" s="351"/>
    </row>
    <row r="1942" spans="12:17">
      <c r="L1942" s="123"/>
      <c r="O1942" s="360"/>
      <c r="Q1942" s="351"/>
    </row>
    <row r="1943" spans="12:17">
      <c r="L1943" s="123"/>
      <c r="O1943" s="360"/>
      <c r="Q1943" s="351"/>
    </row>
    <row r="1944" spans="12:17">
      <c r="L1944" s="123"/>
      <c r="O1944" s="360"/>
      <c r="Q1944" s="351"/>
    </row>
    <row r="1945" spans="12:17">
      <c r="L1945" s="245"/>
      <c r="O1945" s="360"/>
      <c r="Q1945" s="351"/>
    </row>
    <row r="1946" spans="12:17">
      <c r="L1946" s="123"/>
      <c r="O1946" s="360"/>
      <c r="Q1946" s="351"/>
    </row>
    <row r="1947" spans="12:17">
      <c r="L1947" s="123"/>
      <c r="O1947" s="360"/>
      <c r="Q1947" s="351"/>
    </row>
    <row r="1948" spans="12:17">
      <c r="L1948" s="123"/>
      <c r="O1948" s="360"/>
      <c r="Q1948" s="351"/>
    </row>
    <row r="1949" spans="12:17">
      <c r="L1949" s="123"/>
      <c r="O1949" s="360"/>
      <c r="Q1949" s="351"/>
    </row>
    <row r="1950" spans="12:17">
      <c r="L1950" s="123"/>
      <c r="O1950" s="360"/>
      <c r="Q1950" s="351"/>
    </row>
    <row r="1951" spans="12:17">
      <c r="L1951" s="123"/>
      <c r="O1951" s="360"/>
      <c r="Q1951" s="351"/>
    </row>
    <row r="1952" spans="12:17">
      <c r="L1952" s="123"/>
      <c r="O1952" s="360"/>
      <c r="Q1952" s="351"/>
    </row>
    <row r="1953" spans="12:17">
      <c r="L1953" s="123"/>
      <c r="O1953" s="360"/>
      <c r="Q1953" s="351"/>
    </row>
    <row r="1954" spans="12:17">
      <c r="L1954" s="123"/>
      <c r="O1954" s="360"/>
      <c r="Q1954" s="351"/>
    </row>
    <row r="1955" spans="12:17">
      <c r="L1955" s="123"/>
      <c r="O1955" s="360"/>
      <c r="Q1955" s="351"/>
    </row>
    <row r="1956" spans="12:17">
      <c r="L1956" s="123"/>
      <c r="O1956" s="360"/>
      <c r="Q1956" s="351"/>
    </row>
    <row r="1957" spans="12:17">
      <c r="L1957" s="245"/>
      <c r="O1957" s="360"/>
      <c r="Q1957" s="351"/>
    </row>
    <row r="1958" spans="12:17">
      <c r="L1958" s="245"/>
      <c r="O1958" s="360"/>
      <c r="Q1958" s="351"/>
    </row>
    <row r="1959" spans="12:17">
      <c r="L1959" s="245"/>
      <c r="O1959" s="360"/>
      <c r="Q1959" s="351"/>
    </row>
    <row r="1960" spans="12:17">
      <c r="L1960" s="245"/>
      <c r="O1960" s="360"/>
      <c r="Q1960" s="351"/>
    </row>
    <row r="1961" spans="12:17">
      <c r="L1961" s="245"/>
      <c r="O1961" s="360"/>
      <c r="Q1961" s="351"/>
    </row>
    <row r="1962" spans="12:17">
      <c r="L1962" s="245"/>
      <c r="O1962" s="360"/>
      <c r="Q1962" s="351"/>
    </row>
    <row r="1963" spans="12:17">
      <c r="L1963" s="245"/>
      <c r="O1963" s="360"/>
      <c r="Q1963" s="351"/>
    </row>
    <row r="1964" spans="12:17">
      <c r="L1964" s="245"/>
      <c r="O1964" s="360"/>
      <c r="Q1964" s="351"/>
    </row>
    <row r="1965" spans="12:17">
      <c r="L1965" s="245"/>
      <c r="O1965" s="360"/>
      <c r="Q1965" s="351"/>
    </row>
    <row r="1966" spans="12:17">
      <c r="L1966" s="123"/>
      <c r="O1966" s="360"/>
      <c r="Q1966" s="351"/>
    </row>
    <row r="1967" spans="12:17">
      <c r="L1967" s="245"/>
      <c r="O1967" s="360"/>
      <c r="Q1967" s="351"/>
    </row>
    <row r="1968" spans="12:17">
      <c r="L1968" s="245"/>
      <c r="O1968" s="360"/>
      <c r="Q1968" s="351"/>
    </row>
    <row r="1969" spans="12:17">
      <c r="L1969" s="245"/>
      <c r="O1969" s="360"/>
      <c r="Q1969" s="351"/>
    </row>
    <row r="1970" spans="12:17">
      <c r="L1970" s="123"/>
      <c r="O1970" s="360"/>
      <c r="Q1970" s="351"/>
    </row>
    <row r="1971" spans="12:17">
      <c r="L1971" s="245"/>
      <c r="O1971" s="360"/>
      <c r="Q1971" s="351"/>
    </row>
    <row r="1972" spans="12:17">
      <c r="L1972" s="245"/>
      <c r="O1972" s="360"/>
      <c r="Q1972" s="351"/>
    </row>
    <row r="1973" spans="12:17">
      <c r="L1973" s="123"/>
      <c r="O1973" s="360"/>
      <c r="Q1973" s="351"/>
    </row>
    <row r="1974" spans="12:17">
      <c r="L1974" s="123"/>
      <c r="O1974" s="360"/>
      <c r="Q1974" s="351"/>
    </row>
    <row r="1975" spans="12:17">
      <c r="O1975" s="360"/>
      <c r="Q1975" s="351"/>
    </row>
    <row r="1976" spans="12:17">
      <c r="O1976" s="360"/>
      <c r="Q1976" s="351"/>
    </row>
    <row r="1977" spans="12:17">
      <c r="O1977" s="360"/>
      <c r="Q1977" s="351"/>
    </row>
    <row r="1978" spans="12:17">
      <c r="O1978" s="360"/>
      <c r="Q1978" s="351"/>
    </row>
    <row r="1979" spans="12:17">
      <c r="O1979" s="360"/>
      <c r="Q1979" s="351"/>
    </row>
    <row r="1980" spans="12:17">
      <c r="O1980" s="360"/>
      <c r="Q1980" s="351"/>
    </row>
    <row r="1981" spans="12:17">
      <c r="O1981" s="360"/>
      <c r="Q1981" s="351"/>
    </row>
    <row r="1982" spans="12:17">
      <c r="O1982" s="360"/>
      <c r="Q1982" s="351"/>
    </row>
    <row r="1983" spans="12:17">
      <c r="O1983" s="360"/>
      <c r="Q1983" s="351"/>
    </row>
    <row r="1984" spans="12:17">
      <c r="O1984" s="360"/>
      <c r="Q1984" s="351"/>
    </row>
    <row r="1985" spans="15:17">
      <c r="O1985" s="360"/>
      <c r="Q1985" s="351"/>
    </row>
    <row r="1986" spans="15:17">
      <c r="O1986" s="360"/>
      <c r="Q1986" s="351"/>
    </row>
    <row r="1987" spans="15:17">
      <c r="O1987" s="360"/>
      <c r="Q1987" s="351"/>
    </row>
    <row r="1988" spans="15:17">
      <c r="O1988" s="360"/>
      <c r="Q1988" s="351"/>
    </row>
    <row r="1989" spans="15:17">
      <c r="O1989" s="360"/>
      <c r="Q1989" s="351"/>
    </row>
    <row r="1990" spans="15:17">
      <c r="O1990" s="360"/>
      <c r="Q1990" s="351"/>
    </row>
    <row r="1991" spans="15:17">
      <c r="O1991" s="360"/>
      <c r="Q1991" s="351"/>
    </row>
    <row r="1992" spans="15:17">
      <c r="O1992" s="360"/>
      <c r="Q1992" s="351"/>
    </row>
    <row r="1993" spans="15:17">
      <c r="O1993" s="360"/>
      <c r="Q1993" s="351"/>
    </row>
    <row r="1994" spans="15:17">
      <c r="O1994" s="360"/>
      <c r="Q1994" s="351"/>
    </row>
    <row r="1995" spans="15:17">
      <c r="O1995" s="360"/>
      <c r="Q1995" s="351"/>
    </row>
    <row r="1996" spans="15:17">
      <c r="O1996" s="360"/>
      <c r="Q1996" s="351"/>
    </row>
    <row r="1997" spans="15:17">
      <c r="O1997" s="360"/>
      <c r="Q1997" s="351"/>
    </row>
    <row r="1998" spans="15:17">
      <c r="O1998" s="360"/>
      <c r="Q1998" s="351"/>
    </row>
    <row r="1999" spans="15:17">
      <c r="O1999" s="360"/>
      <c r="Q1999" s="351"/>
    </row>
    <row r="2000" spans="15:17">
      <c r="O2000" s="360"/>
      <c r="Q2000" s="351"/>
    </row>
    <row r="2001" spans="15:17">
      <c r="O2001" s="360"/>
      <c r="Q2001" s="351"/>
    </row>
    <row r="2002" spans="15:17">
      <c r="O2002" s="360"/>
      <c r="Q2002" s="351"/>
    </row>
    <row r="2003" spans="15:17">
      <c r="O2003" s="360"/>
      <c r="Q2003" s="351"/>
    </row>
    <row r="2004" spans="15:17">
      <c r="O2004" s="360"/>
      <c r="Q2004" s="351"/>
    </row>
    <row r="2005" spans="15:17">
      <c r="O2005" s="360"/>
      <c r="Q2005" s="351"/>
    </row>
    <row r="2006" spans="15:17">
      <c r="O2006" s="360"/>
      <c r="Q2006" s="351"/>
    </row>
    <row r="2007" spans="15:17">
      <c r="O2007" s="360"/>
      <c r="Q2007" s="351"/>
    </row>
    <row r="2008" spans="15:17">
      <c r="O2008" s="360"/>
      <c r="Q2008" s="351"/>
    </row>
    <row r="2009" spans="15:17">
      <c r="O2009" s="360"/>
      <c r="Q2009" s="351"/>
    </row>
    <row r="2010" spans="15:17">
      <c r="O2010" s="360"/>
      <c r="Q2010" s="351"/>
    </row>
    <row r="2011" spans="15:17">
      <c r="O2011" s="360"/>
      <c r="Q2011" s="351"/>
    </row>
    <row r="2012" spans="15:17">
      <c r="O2012" s="360"/>
      <c r="Q2012" s="351"/>
    </row>
    <row r="2013" spans="15:17">
      <c r="O2013" s="360"/>
      <c r="Q2013" s="351"/>
    </row>
    <row r="2014" spans="15:17">
      <c r="O2014" s="360"/>
      <c r="Q2014" s="351"/>
    </row>
    <row r="2015" spans="15:17">
      <c r="O2015" s="360"/>
      <c r="Q2015" s="351"/>
    </row>
    <row r="2016" spans="15:17">
      <c r="O2016" s="360"/>
      <c r="Q2016" s="351"/>
    </row>
    <row r="2017" spans="15:17">
      <c r="O2017" s="360"/>
      <c r="Q2017" s="351"/>
    </row>
    <row r="2018" spans="15:17">
      <c r="O2018" s="360"/>
      <c r="Q2018" s="351"/>
    </row>
    <row r="2019" spans="15:17">
      <c r="O2019" s="360"/>
      <c r="Q2019" s="351"/>
    </row>
    <row r="2020" spans="15:17">
      <c r="O2020" s="360"/>
      <c r="Q2020" s="351"/>
    </row>
    <row r="2021" spans="15:17">
      <c r="O2021" s="360"/>
      <c r="Q2021" s="351"/>
    </row>
    <row r="2022" spans="15:17">
      <c r="O2022" s="360"/>
      <c r="Q2022" s="351"/>
    </row>
    <row r="2023" spans="15:17">
      <c r="O2023" s="360"/>
      <c r="Q2023" s="351"/>
    </row>
    <row r="2024" spans="15:17">
      <c r="O2024" s="360"/>
      <c r="Q2024" s="351"/>
    </row>
    <row r="2025" spans="15:17">
      <c r="O2025" s="360"/>
      <c r="Q2025" s="351"/>
    </row>
    <row r="2026" spans="15:17">
      <c r="O2026" s="360"/>
      <c r="Q2026" s="351"/>
    </row>
    <row r="2027" spans="15:17">
      <c r="O2027" s="360"/>
      <c r="Q2027" s="351"/>
    </row>
    <row r="2028" spans="15:17">
      <c r="O2028" s="360"/>
      <c r="Q2028" s="351"/>
    </row>
    <row r="2029" spans="15:17">
      <c r="O2029" s="360"/>
      <c r="Q2029" s="351"/>
    </row>
    <row r="2030" spans="15:17">
      <c r="O2030" s="360"/>
      <c r="Q2030" s="351"/>
    </row>
    <row r="2031" spans="15:17">
      <c r="O2031" s="360"/>
      <c r="Q2031" s="351"/>
    </row>
    <row r="2032" spans="15:17">
      <c r="O2032" s="360"/>
      <c r="Q2032" s="351"/>
    </row>
    <row r="2033" spans="15:17">
      <c r="O2033" s="360"/>
      <c r="Q2033" s="351"/>
    </row>
    <row r="2034" spans="15:17">
      <c r="O2034" s="360"/>
      <c r="Q2034" s="351"/>
    </row>
    <row r="2035" spans="15:17">
      <c r="O2035" s="360"/>
      <c r="Q2035" s="351"/>
    </row>
    <row r="2036" spans="15:17">
      <c r="O2036" s="360"/>
      <c r="Q2036" s="351"/>
    </row>
    <row r="2037" spans="15:17">
      <c r="O2037" s="360"/>
      <c r="Q2037" s="351"/>
    </row>
    <row r="2038" spans="15:17">
      <c r="O2038" s="360"/>
      <c r="Q2038" s="351"/>
    </row>
    <row r="2039" spans="15:17">
      <c r="O2039" s="360"/>
      <c r="Q2039" s="351"/>
    </row>
    <row r="2040" spans="15:17">
      <c r="O2040" s="360"/>
      <c r="Q2040" s="351"/>
    </row>
    <row r="2041" spans="15:17">
      <c r="O2041" s="360"/>
      <c r="Q2041" s="351"/>
    </row>
    <row r="2042" spans="15:17">
      <c r="O2042" s="360"/>
      <c r="Q2042" s="351"/>
    </row>
    <row r="2043" spans="15:17">
      <c r="O2043" s="360"/>
      <c r="Q2043" s="351"/>
    </row>
    <row r="2044" spans="15:17">
      <c r="O2044" s="360"/>
      <c r="Q2044" s="351"/>
    </row>
    <row r="2045" spans="15:17">
      <c r="O2045" s="360"/>
      <c r="Q2045" s="351"/>
    </row>
    <row r="2046" spans="15:17">
      <c r="O2046" s="360"/>
      <c r="Q2046" s="351"/>
    </row>
    <row r="2047" spans="15:17">
      <c r="O2047" s="360"/>
      <c r="Q2047" s="351"/>
    </row>
    <row r="2048" spans="15:17">
      <c r="O2048" s="360"/>
      <c r="Q2048" s="351"/>
    </row>
    <row r="2049" spans="15:17">
      <c r="O2049" s="360"/>
      <c r="Q2049" s="351"/>
    </row>
    <row r="2050" spans="15:17">
      <c r="O2050" s="360"/>
      <c r="Q2050" s="351"/>
    </row>
    <row r="2051" spans="15:17">
      <c r="O2051" s="360"/>
      <c r="Q2051" s="351"/>
    </row>
    <row r="2052" spans="15:17">
      <c r="O2052" s="360"/>
      <c r="Q2052" s="351"/>
    </row>
    <row r="2053" spans="15:17">
      <c r="O2053" s="360"/>
      <c r="Q2053" s="351"/>
    </row>
    <row r="2054" spans="15:17">
      <c r="O2054" s="360"/>
      <c r="Q2054" s="351"/>
    </row>
    <row r="2055" spans="15:17">
      <c r="O2055" s="360"/>
      <c r="Q2055" s="351"/>
    </row>
    <row r="2056" spans="15:17">
      <c r="O2056" s="360"/>
      <c r="Q2056" s="351"/>
    </row>
    <row r="2057" spans="15:17">
      <c r="O2057" s="360"/>
      <c r="Q2057" s="351"/>
    </row>
    <row r="2058" spans="15:17">
      <c r="O2058" s="360"/>
      <c r="Q2058" s="351"/>
    </row>
    <row r="2059" spans="15:17">
      <c r="O2059" s="360"/>
      <c r="Q2059" s="351"/>
    </row>
    <row r="2060" spans="15:17">
      <c r="O2060" s="360"/>
      <c r="Q2060" s="351"/>
    </row>
    <row r="2061" spans="15:17">
      <c r="O2061" s="360"/>
      <c r="Q2061" s="351"/>
    </row>
    <row r="2062" spans="15:17">
      <c r="O2062" s="360"/>
      <c r="Q2062" s="351"/>
    </row>
    <row r="2063" spans="15:17">
      <c r="O2063" s="360"/>
      <c r="Q2063" s="351"/>
    </row>
    <row r="2064" spans="15:17">
      <c r="O2064" s="360"/>
      <c r="Q2064" s="351"/>
    </row>
    <row r="2065" spans="15:17">
      <c r="O2065" s="360"/>
      <c r="Q2065" s="351"/>
    </row>
    <row r="2066" spans="15:17">
      <c r="O2066" s="360"/>
      <c r="Q2066" s="351"/>
    </row>
    <row r="2067" spans="15:17">
      <c r="O2067" s="360"/>
      <c r="Q2067" s="351"/>
    </row>
    <row r="2068" spans="15:17">
      <c r="O2068" s="360"/>
      <c r="Q2068" s="351"/>
    </row>
    <row r="2069" spans="15:17">
      <c r="O2069" s="360"/>
      <c r="Q2069" s="351"/>
    </row>
    <row r="2070" spans="15:17">
      <c r="O2070" s="360"/>
      <c r="Q2070" s="351"/>
    </row>
    <row r="2071" spans="15:17">
      <c r="O2071" s="360"/>
      <c r="Q2071" s="351"/>
    </row>
    <row r="2072" spans="15:17">
      <c r="O2072" s="360"/>
      <c r="Q2072" s="351"/>
    </row>
    <row r="2073" spans="15:17">
      <c r="O2073" s="360"/>
      <c r="Q2073" s="351"/>
    </row>
    <row r="2074" spans="15:17">
      <c r="O2074" s="360"/>
      <c r="Q2074" s="351"/>
    </row>
    <row r="2075" spans="15:17">
      <c r="O2075" s="360"/>
      <c r="Q2075" s="351"/>
    </row>
    <row r="2076" spans="15:17">
      <c r="O2076" s="360"/>
      <c r="Q2076" s="351"/>
    </row>
    <row r="2077" spans="15:17">
      <c r="O2077" s="360"/>
      <c r="Q2077" s="351"/>
    </row>
    <row r="2078" spans="15:17">
      <c r="O2078" s="360"/>
      <c r="Q2078" s="351"/>
    </row>
    <row r="2079" spans="15:17">
      <c r="O2079" s="360"/>
      <c r="Q2079" s="351"/>
    </row>
    <row r="2080" spans="15:17">
      <c r="O2080" s="360"/>
      <c r="Q2080" s="351"/>
    </row>
    <row r="2081" spans="15:17">
      <c r="O2081" s="360"/>
      <c r="Q2081" s="351"/>
    </row>
    <row r="2082" spans="15:17">
      <c r="O2082" s="360"/>
      <c r="Q2082" s="351"/>
    </row>
    <row r="2083" spans="15:17">
      <c r="O2083" s="360"/>
      <c r="Q2083" s="351"/>
    </row>
    <row r="2084" spans="15:17">
      <c r="O2084" s="360"/>
      <c r="Q2084" s="351"/>
    </row>
    <row r="2085" spans="15:17">
      <c r="O2085" s="360"/>
      <c r="Q2085" s="351"/>
    </row>
    <row r="2086" spans="15:17">
      <c r="O2086" s="360"/>
      <c r="Q2086" s="351"/>
    </row>
    <row r="2087" spans="15:17">
      <c r="O2087" s="360"/>
      <c r="Q2087" s="351"/>
    </row>
    <row r="2088" spans="15:17">
      <c r="O2088" s="360"/>
      <c r="Q2088" s="351"/>
    </row>
    <row r="2089" spans="15:17">
      <c r="O2089" s="360"/>
      <c r="Q2089" s="351"/>
    </row>
    <row r="2090" spans="15:17">
      <c r="O2090" s="360"/>
      <c r="Q2090" s="351"/>
    </row>
    <row r="2091" spans="15:17">
      <c r="O2091" s="360"/>
      <c r="Q2091" s="351"/>
    </row>
    <row r="2092" spans="15:17">
      <c r="O2092" s="360"/>
      <c r="Q2092" s="351"/>
    </row>
    <row r="2093" spans="15:17">
      <c r="O2093" s="360"/>
      <c r="Q2093" s="351"/>
    </row>
    <row r="2094" spans="15:17">
      <c r="O2094" s="360"/>
      <c r="Q2094" s="351"/>
    </row>
    <row r="2095" spans="15:17">
      <c r="O2095" s="360"/>
      <c r="Q2095" s="351"/>
    </row>
    <row r="2096" spans="15:17">
      <c r="O2096" s="360"/>
      <c r="Q2096" s="351"/>
    </row>
    <row r="2097" spans="15:17">
      <c r="O2097" s="360"/>
      <c r="Q2097" s="351"/>
    </row>
    <row r="2098" spans="15:17">
      <c r="O2098" s="360"/>
      <c r="Q2098" s="351"/>
    </row>
    <row r="2099" spans="15:17">
      <c r="O2099" s="360"/>
      <c r="Q2099" s="351"/>
    </row>
    <row r="2100" spans="15:17">
      <c r="O2100" s="360"/>
      <c r="Q2100" s="351"/>
    </row>
    <row r="2101" spans="15:17">
      <c r="O2101" s="360"/>
      <c r="Q2101" s="351"/>
    </row>
    <row r="2102" spans="15:17">
      <c r="O2102" s="360"/>
      <c r="Q2102" s="351"/>
    </row>
    <row r="2103" spans="15:17">
      <c r="O2103" s="360"/>
      <c r="Q2103" s="351"/>
    </row>
    <row r="2104" spans="15:17">
      <c r="O2104" s="360"/>
      <c r="Q2104" s="351"/>
    </row>
    <row r="2105" spans="15:17">
      <c r="O2105" s="360"/>
      <c r="Q2105" s="351"/>
    </row>
    <row r="2106" spans="15:17">
      <c r="O2106" s="360"/>
      <c r="Q2106" s="351"/>
    </row>
    <row r="2107" spans="15:17">
      <c r="O2107" s="360"/>
      <c r="Q2107" s="351"/>
    </row>
    <row r="2108" spans="15:17">
      <c r="O2108" s="360"/>
      <c r="Q2108" s="351"/>
    </row>
    <row r="2109" spans="15:17">
      <c r="O2109" s="360"/>
      <c r="Q2109" s="351"/>
    </row>
    <row r="2110" spans="15:17">
      <c r="O2110" s="360"/>
      <c r="Q2110" s="351"/>
    </row>
    <row r="2111" spans="15:17">
      <c r="O2111" s="360"/>
      <c r="Q2111" s="351"/>
    </row>
    <row r="2112" spans="15:17">
      <c r="O2112" s="360"/>
      <c r="Q2112" s="351"/>
    </row>
    <row r="2113" spans="15:17">
      <c r="O2113" s="360"/>
      <c r="Q2113" s="351"/>
    </row>
    <row r="2114" spans="15:17">
      <c r="O2114" s="360"/>
      <c r="Q2114" s="351"/>
    </row>
    <row r="2115" spans="15:17">
      <c r="O2115" s="360"/>
      <c r="Q2115" s="351"/>
    </row>
    <row r="2116" spans="15:17">
      <c r="O2116" s="360"/>
      <c r="Q2116" s="351"/>
    </row>
    <row r="2117" spans="15:17">
      <c r="O2117" s="360"/>
      <c r="Q2117" s="351"/>
    </row>
    <row r="2118" spans="15:17">
      <c r="O2118" s="360"/>
      <c r="Q2118" s="351"/>
    </row>
    <row r="2119" spans="15:17">
      <c r="O2119" s="360"/>
      <c r="Q2119" s="351"/>
    </row>
    <row r="2120" spans="15:17">
      <c r="O2120" s="360"/>
      <c r="Q2120" s="351"/>
    </row>
    <row r="2121" spans="15:17">
      <c r="O2121" s="360"/>
      <c r="Q2121" s="351"/>
    </row>
    <row r="2122" spans="15:17">
      <c r="O2122" s="360"/>
      <c r="Q2122" s="351"/>
    </row>
    <row r="2123" spans="15:17">
      <c r="O2123" s="360"/>
      <c r="Q2123" s="351"/>
    </row>
    <row r="2124" spans="15:17">
      <c r="O2124" s="360"/>
      <c r="Q2124" s="351"/>
    </row>
    <row r="2125" spans="15:17">
      <c r="O2125" s="360"/>
      <c r="Q2125" s="351"/>
    </row>
    <row r="2126" spans="15:17">
      <c r="O2126" s="360"/>
      <c r="Q2126" s="351"/>
    </row>
    <row r="2127" spans="15:17">
      <c r="O2127" s="360"/>
      <c r="Q2127" s="351"/>
    </row>
    <row r="2128" spans="15:17">
      <c r="O2128" s="360"/>
      <c r="Q2128" s="351"/>
    </row>
    <row r="2129" spans="15:17">
      <c r="O2129" s="360"/>
      <c r="Q2129" s="351"/>
    </row>
    <row r="2130" spans="15:17">
      <c r="O2130" s="360"/>
      <c r="Q2130" s="351"/>
    </row>
    <row r="2131" spans="15:17">
      <c r="O2131" s="360"/>
      <c r="Q2131" s="351"/>
    </row>
    <row r="2132" spans="15:17">
      <c r="O2132" s="360"/>
      <c r="Q2132" s="351"/>
    </row>
    <row r="2133" spans="15:17">
      <c r="O2133" s="360"/>
      <c r="Q2133" s="351"/>
    </row>
    <row r="2134" spans="15:17">
      <c r="O2134" s="360"/>
      <c r="Q2134" s="351"/>
    </row>
    <row r="2135" spans="15:17">
      <c r="O2135" s="360"/>
      <c r="Q2135" s="351"/>
    </row>
    <row r="2136" spans="15:17">
      <c r="O2136" s="360"/>
      <c r="Q2136" s="351"/>
    </row>
    <row r="2137" spans="15:17">
      <c r="O2137" s="360"/>
      <c r="Q2137" s="351"/>
    </row>
    <row r="2138" spans="15:17">
      <c r="O2138" s="360"/>
      <c r="Q2138" s="351"/>
    </row>
    <row r="2139" spans="15:17">
      <c r="O2139" s="360"/>
      <c r="Q2139" s="351"/>
    </row>
    <row r="2140" spans="15:17">
      <c r="O2140" s="360"/>
      <c r="Q2140" s="351"/>
    </row>
    <row r="2141" spans="15:17">
      <c r="O2141" s="360"/>
      <c r="Q2141" s="351"/>
    </row>
    <row r="2142" spans="15:17">
      <c r="O2142" s="360"/>
      <c r="Q2142" s="351"/>
    </row>
    <row r="2143" spans="15:17">
      <c r="O2143" s="360"/>
      <c r="Q2143" s="351"/>
    </row>
    <row r="2144" spans="15:17">
      <c r="O2144" s="360"/>
      <c r="Q2144" s="351"/>
    </row>
    <row r="2145" spans="15:17">
      <c r="O2145" s="360"/>
      <c r="Q2145" s="351"/>
    </row>
    <row r="2146" spans="15:17">
      <c r="O2146" s="360"/>
      <c r="Q2146" s="351"/>
    </row>
    <row r="2147" spans="15:17">
      <c r="O2147" s="360"/>
      <c r="Q2147" s="351"/>
    </row>
    <row r="2148" spans="15:17">
      <c r="O2148" s="360"/>
      <c r="Q2148" s="351"/>
    </row>
    <row r="2149" spans="15:17">
      <c r="O2149" s="360"/>
      <c r="Q2149" s="351"/>
    </row>
    <row r="2150" spans="15:17">
      <c r="O2150" s="360"/>
      <c r="Q2150" s="351"/>
    </row>
    <row r="2151" spans="15:17">
      <c r="O2151" s="360"/>
      <c r="Q2151" s="351"/>
    </row>
    <row r="2152" spans="15:17">
      <c r="O2152" s="360"/>
      <c r="Q2152" s="351"/>
    </row>
    <row r="2153" spans="15:17">
      <c r="O2153" s="360"/>
      <c r="Q2153" s="351"/>
    </row>
    <row r="2154" spans="15:17">
      <c r="O2154" s="360"/>
      <c r="Q2154" s="351"/>
    </row>
    <row r="2155" spans="15:17">
      <c r="O2155" s="360"/>
      <c r="Q2155" s="351"/>
    </row>
    <row r="2156" spans="15:17">
      <c r="O2156" s="360"/>
      <c r="Q2156" s="351"/>
    </row>
    <row r="2157" spans="15:17">
      <c r="O2157" s="360"/>
      <c r="Q2157" s="351"/>
    </row>
    <row r="2158" spans="15:17">
      <c r="O2158" s="360"/>
      <c r="Q2158" s="351"/>
    </row>
    <row r="2159" spans="15:17">
      <c r="O2159" s="360"/>
      <c r="Q2159" s="351"/>
    </row>
    <row r="2160" spans="15:17">
      <c r="O2160" s="360"/>
      <c r="Q2160" s="351"/>
    </row>
    <row r="2161" spans="15:17">
      <c r="O2161" s="360"/>
      <c r="Q2161" s="351"/>
    </row>
    <row r="2162" spans="15:17">
      <c r="O2162" s="360"/>
      <c r="Q2162" s="351"/>
    </row>
    <row r="2163" spans="15:17">
      <c r="O2163" s="360"/>
      <c r="Q2163" s="351"/>
    </row>
    <row r="2164" spans="15:17">
      <c r="O2164" s="360"/>
      <c r="Q2164" s="351"/>
    </row>
    <row r="2165" spans="15:17">
      <c r="O2165" s="360"/>
      <c r="Q2165" s="351"/>
    </row>
    <row r="2166" spans="15:17">
      <c r="O2166" s="360"/>
      <c r="Q2166" s="351"/>
    </row>
    <row r="2167" spans="15:17">
      <c r="O2167" s="360"/>
      <c r="Q2167" s="351"/>
    </row>
    <row r="2168" spans="15:17">
      <c r="O2168" s="360"/>
      <c r="Q2168" s="351"/>
    </row>
    <row r="2169" spans="15:17">
      <c r="O2169" s="360"/>
      <c r="Q2169" s="351"/>
    </row>
    <row r="2170" spans="15:17">
      <c r="O2170" s="360"/>
      <c r="Q2170" s="351"/>
    </row>
    <row r="2171" spans="15:17">
      <c r="O2171" s="360"/>
      <c r="Q2171" s="351"/>
    </row>
    <row r="2172" spans="15:17">
      <c r="O2172" s="360"/>
      <c r="Q2172" s="351"/>
    </row>
    <row r="2173" spans="15:17">
      <c r="O2173" s="360"/>
      <c r="Q2173" s="351"/>
    </row>
    <row r="2174" spans="15:17">
      <c r="O2174" s="360"/>
      <c r="Q2174" s="351"/>
    </row>
    <row r="2175" spans="15:17">
      <c r="O2175" s="360"/>
      <c r="Q2175" s="351"/>
    </row>
    <row r="2176" spans="15:17">
      <c r="O2176" s="360"/>
      <c r="Q2176" s="351"/>
    </row>
    <row r="2177" spans="15:20">
      <c r="O2177" s="360"/>
      <c r="Q2177" s="351"/>
    </row>
    <row r="2178" spans="15:20">
      <c r="O2178" s="360"/>
      <c r="Q2178" s="351"/>
    </row>
    <row r="2179" spans="15:20">
      <c r="O2179" s="360"/>
      <c r="Q2179" s="351"/>
    </row>
    <row r="2180" spans="15:20">
      <c r="O2180" s="360"/>
      <c r="Q2180" s="351"/>
    </row>
    <row r="2181" spans="15:20">
      <c r="O2181" s="360"/>
      <c r="Q2181" s="351"/>
    </row>
    <row r="2182" spans="15:20">
      <c r="O2182" s="360"/>
      <c r="Q2182" s="351"/>
    </row>
    <row r="2183" spans="15:20">
      <c r="O2183" s="360"/>
      <c r="Q2183" s="351"/>
    </row>
    <row r="2184" spans="15:20">
      <c r="O2184" s="360"/>
      <c r="Q2184" s="351"/>
    </row>
    <row r="2185" spans="15:20">
      <c r="O2185" s="360"/>
      <c r="Q2185" s="351"/>
    </row>
    <row r="2186" spans="15:20">
      <c r="O2186" s="360"/>
      <c r="Q2186" s="351"/>
    </row>
    <row r="2187" spans="15:20">
      <c r="O2187" s="360"/>
      <c r="Q2187" s="351"/>
    </row>
    <row r="2188" spans="15:20">
      <c r="O2188" s="360"/>
      <c r="Q2188" s="351"/>
    </row>
    <row r="2189" spans="15:20" ht="26.25">
      <c r="O2189" s="360"/>
      <c r="Q2189" s="351"/>
      <c r="T2189" s="85" ph="1"/>
    </row>
    <row r="2190" spans="15:20">
      <c r="O2190" s="360"/>
      <c r="Q2190" s="351"/>
    </row>
    <row r="2191" spans="15:20">
      <c r="O2191" s="360"/>
      <c r="Q2191" s="351"/>
    </row>
    <row r="2192" spans="15:20">
      <c r="O2192" s="360"/>
      <c r="Q2192" s="351"/>
    </row>
    <row r="2193" spans="15:17">
      <c r="O2193" s="360"/>
      <c r="Q2193" s="351"/>
    </row>
    <row r="2194" spans="15:17">
      <c r="O2194" s="360"/>
      <c r="Q2194" s="351"/>
    </row>
    <row r="2195" spans="15:17">
      <c r="O2195" s="360"/>
      <c r="Q2195" s="351"/>
    </row>
    <row r="2196" spans="15:17">
      <c r="O2196" s="360"/>
      <c r="Q2196" s="351"/>
    </row>
    <row r="2197" spans="15:17">
      <c r="O2197" s="360"/>
      <c r="Q2197" s="351"/>
    </row>
    <row r="2198" spans="15:17">
      <c r="O2198" s="360"/>
      <c r="Q2198" s="351"/>
    </row>
    <row r="2199" spans="15:17">
      <c r="O2199" s="360"/>
      <c r="Q2199" s="351"/>
    </row>
    <row r="2200" spans="15:17">
      <c r="O2200" s="360"/>
      <c r="Q2200" s="351"/>
    </row>
    <row r="2201" spans="15:17">
      <c r="O2201" s="360"/>
      <c r="Q2201" s="351"/>
    </row>
    <row r="2202" spans="15:17">
      <c r="O2202" s="360"/>
      <c r="Q2202" s="351"/>
    </row>
    <row r="2203" spans="15:17">
      <c r="O2203" s="360"/>
      <c r="Q2203" s="351"/>
    </row>
    <row r="2204" spans="15:17">
      <c r="O2204" s="360"/>
      <c r="Q2204" s="351"/>
    </row>
    <row r="2205" spans="15:17">
      <c r="O2205" s="360"/>
      <c r="Q2205" s="351"/>
    </row>
    <row r="2206" spans="15:17">
      <c r="O2206" s="360"/>
      <c r="Q2206" s="351"/>
    </row>
    <row r="2207" spans="15:17">
      <c r="O2207" s="360"/>
      <c r="Q2207" s="351"/>
    </row>
    <row r="2208" spans="15:17">
      <c r="O2208" s="360"/>
      <c r="Q2208" s="351"/>
    </row>
    <row r="2209" spans="15:17">
      <c r="O2209" s="360"/>
      <c r="Q2209" s="351"/>
    </row>
    <row r="2210" spans="15:17">
      <c r="O2210" s="360"/>
      <c r="Q2210" s="351"/>
    </row>
    <row r="2211" spans="15:17">
      <c r="O2211" s="360"/>
      <c r="Q2211" s="351"/>
    </row>
    <row r="2212" spans="15:17">
      <c r="O2212" s="360"/>
      <c r="Q2212" s="351"/>
    </row>
    <row r="2213" spans="15:17">
      <c r="O2213" s="360"/>
      <c r="Q2213" s="351"/>
    </row>
    <row r="2214" spans="15:17">
      <c r="O2214" s="360"/>
      <c r="Q2214" s="351"/>
    </row>
    <row r="2215" spans="15:17">
      <c r="O2215" s="360"/>
      <c r="Q2215" s="351"/>
    </row>
    <row r="2216" spans="15:17">
      <c r="O2216" s="360"/>
      <c r="Q2216" s="351"/>
    </row>
    <row r="2217" spans="15:17">
      <c r="O2217" s="360"/>
      <c r="Q2217" s="351"/>
    </row>
    <row r="2218" spans="15:17">
      <c r="O2218" s="360"/>
      <c r="Q2218" s="351"/>
    </row>
    <row r="2219" spans="15:17">
      <c r="O2219" s="360"/>
      <c r="Q2219" s="351"/>
    </row>
    <row r="2220" spans="15:17">
      <c r="O2220" s="360"/>
      <c r="Q2220" s="351"/>
    </row>
    <row r="2221" spans="15:17">
      <c r="O2221" s="360"/>
      <c r="Q2221" s="351"/>
    </row>
    <row r="2222" spans="15:17">
      <c r="O2222" s="360"/>
      <c r="Q2222" s="351"/>
    </row>
    <row r="2223" spans="15:17">
      <c r="O2223" s="360"/>
      <c r="Q2223" s="351"/>
    </row>
    <row r="2224" spans="15:17">
      <c r="O2224" s="360"/>
      <c r="Q2224" s="351"/>
    </row>
    <row r="2225" spans="15:17">
      <c r="O2225" s="360"/>
      <c r="Q2225" s="351"/>
    </row>
    <row r="2226" spans="15:17">
      <c r="O2226" s="360"/>
      <c r="Q2226" s="351"/>
    </row>
    <row r="2227" spans="15:17">
      <c r="O2227" s="360"/>
      <c r="Q2227" s="351"/>
    </row>
    <row r="2228" spans="15:17">
      <c r="O2228" s="360"/>
      <c r="Q2228" s="351"/>
    </row>
    <row r="2229" spans="15:17">
      <c r="O2229" s="360"/>
      <c r="Q2229" s="351"/>
    </row>
    <row r="2230" spans="15:17">
      <c r="O2230" s="360"/>
      <c r="Q2230" s="351"/>
    </row>
    <row r="2231" spans="15:17">
      <c r="O2231" s="360"/>
      <c r="Q2231" s="351"/>
    </row>
    <row r="2232" spans="15:17">
      <c r="O2232" s="360"/>
      <c r="Q2232" s="351"/>
    </row>
    <row r="2233" spans="15:17">
      <c r="O2233" s="360"/>
      <c r="Q2233" s="351"/>
    </row>
    <row r="2234" spans="15:17">
      <c r="O2234" s="360"/>
      <c r="Q2234" s="351"/>
    </row>
    <row r="2235" spans="15:17">
      <c r="O2235" s="360"/>
      <c r="Q2235" s="351"/>
    </row>
    <row r="2236" spans="15:17">
      <c r="O2236" s="360"/>
      <c r="Q2236" s="351"/>
    </row>
    <row r="2237" spans="15:17">
      <c r="O2237" s="360"/>
      <c r="Q2237" s="351"/>
    </row>
    <row r="2238" spans="15:17">
      <c r="O2238" s="360"/>
      <c r="Q2238" s="351"/>
    </row>
    <row r="2239" spans="15:17">
      <c r="O2239" s="360"/>
      <c r="Q2239" s="351"/>
    </row>
    <row r="2240" spans="15:17">
      <c r="O2240" s="360"/>
      <c r="Q2240" s="351"/>
    </row>
    <row r="2241" spans="15:17">
      <c r="O2241" s="360"/>
      <c r="Q2241" s="351"/>
    </row>
    <row r="2242" spans="15:17">
      <c r="O2242" s="360"/>
      <c r="Q2242" s="351"/>
    </row>
    <row r="2243" spans="15:17">
      <c r="O2243" s="360"/>
      <c r="Q2243" s="351"/>
    </row>
    <row r="2244" spans="15:17">
      <c r="O2244" s="360"/>
      <c r="Q2244" s="351"/>
    </row>
    <row r="2245" spans="15:17">
      <c r="O2245" s="360"/>
      <c r="Q2245" s="351"/>
    </row>
    <row r="2246" spans="15:17">
      <c r="O2246" s="360"/>
      <c r="Q2246" s="351"/>
    </row>
    <row r="2247" spans="15:17">
      <c r="O2247" s="360"/>
      <c r="Q2247" s="351"/>
    </row>
    <row r="2248" spans="15:17">
      <c r="O2248" s="360"/>
      <c r="Q2248" s="351"/>
    </row>
    <row r="2249" spans="15:17">
      <c r="O2249" s="360"/>
      <c r="Q2249" s="351"/>
    </row>
    <row r="2250" spans="15:17">
      <c r="O2250" s="360"/>
      <c r="Q2250" s="351"/>
    </row>
    <row r="2251" spans="15:17">
      <c r="O2251" s="360"/>
      <c r="Q2251" s="351"/>
    </row>
    <row r="2252" spans="15:17">
      <c r="O2252" s="360"/>
      <c r="Q2252" s="351"/>
    </row>
    <row r="2253" spans="15:17">
      <c r="O2253" s="360"/>
      <c r="Q2253" s="351"/>
    </row>
    <row r="2254" spans="15:17">
      <c r="O2254" s="360"/>
      <c r="Q2254" s="351"/>
    </row>
    <row r="2255" spans="15:17">
      <c r="O2255" s="360"/>
      <c r="Q2255" s="351"/>
    </row>
    <row r="2256" spans="15:17">
      <c r="O2256" s="360"/>
      <c r="Q2256" s="351"/>
    </row>
    <row r="2257" spans="15:17">
      <c r="O2257" s="360"/>
      <c r="Q2257" s="351"/>
    </row>
    <row r="2258" spans="15:17">
      <c r="O2258" s="360"/>
      <c r="Q2258" s="351"/>
    </row>
    <row r="2259" spans="15:17">
      <c r="O2259" s="360"/>
      <c r="Q2259" s="351"/>
    </row>
    <row r="2260" spans="15:17">
      <c r="O2260" s="360"/>
      <c r="Q2260" s="351"/>
    </row>
    <row r="2261" spans="15:17">
      <c r="O2261" s="360"/>
      <c r="Q2261" s="351"/>
    </row>
    <row r="2262" spans="15:17">
      <c r="O2262" s="360"/>
      <c r="Q2262" s="351"/>
    </row>
    <row r="2263" spans="15:17">
      <c r="O2263" s="360"/>
      <c r="Q2263" s="351"/>
    </row>
    <row r="2264" spans="15:17">
      <c r="O2264" s="360"/>
      <c r="Q2264" s="351"/>
    </row>
    <row r="2265" spans="15:17">
      <c r="O2265" s="360"/>
      <c r="Q2265" s="351"/>
    </row>
    <row r="2266" spans="15:17">
      <c r="O2266" s="360"/>
      <c r="Q2266" s="351"/>
    </row>
    <row r="2267" spans="15:17">
      <c r="O2267" s="360"/>
      <c r="Q2267" s="351"/>
    </row>
    <row r="2268" spans="15:17">
      <c r="O2268" s="360"/>
      <c r="Q2268" s="351"/>
    </row>
    <row r="2269" spans="15:17">
      <c r="O2269" s="360"/>
      <c r="Q2269" s="351"/>
    </row>
    <row r="2270" spans="15:17">
      <c r="O2270" s="360"/>
      <c r="Q2270" s="351"/>
    </row>
    <row r="2271" spans="15:17">
      <c r="O2271" s="360"/>
      <c r="Q2271" s="351"/>
    </row>
    <row r="2272" spans="15:17">
      <c r="O2272" s="360"/>
      <c r="Q2272" s="351"/>
    </row>
    <row r="2273" spans="15:17">
      <c r="O2273" s="360"/>
      <c r="Q2273" s="351"/>
    </row>
    <row r="2274" spans="15:17">
      <c r="O2274" s="360"/>
      <c r="Q2274" s="351"/>
    </row>
    <row r="2275" spans="15:17">
      <c r="O2275" s="360"/>
      <c r="Q2275" s="351"/>
    </row>
    <row r="2276" spans="15:17">
      <c r="O2276" s="360"/>
      <c r="Q2276" s="351"/>
    </row>
    <row r="2277" spans="15:17">
      <c r="O2277" s="360"/>
      <c r="Q2277" s="351"/>
    </row>
    <row r="2278" spans="15:17">
      <c r="O2278" s="360"/>
      <c r="Q2278" s="351"/>
    </row>
    <row r="2279" spans="15:17">
      <c r="O2279" s="360"/>
      <c r="Q2279" s="351"/>
    </row>
    <row r="2280" spans="15:17">
      <c r="O2280" s="360"/>
      <c r="Q2280" s="351"/>
    </row>
    <row r="2281" spans="15:17">
      <c r="O2281" s="360"/>
      <c r="Q2281" s="351"/>
    </row>
    <row r="2282" spans="15:17">
      <c r="O2282" s="360"/>
      <c r="Q2282" s="351"/>
    </row>
    <row r="2283" spans="15:17">
      <c r="O2283" s="360"/>
      <c r="Q2283" s="351"/>
    </row>
    <row r="2284" spans="15:17">
      <c r="O2284" s="360"/>
      <c r="Q2284" s="351"/>
    </row>
    <row r="2285" spans="15:17">
      <c r="O2285" s="360"/>
      <c r="Q2285" s="351"/>
    </row>
    <row r="2286" spans="15:17">
      <c r="O2286" s="360"/>
      <c r="Q2286" s="351"/>
    </row>
    <row r="2287" spans="15:17">
      <c r="O2287" s="360"/>
      <c r="Q2287" s="351"/>
    </row>
    <row r="2288" spans="15:17">
      <c r="O2288" s="360"/>
      <c r="Q2288" s="351"/>
    </row>
    <row r="2289" spans="15:17">
      <c r="O2289" s="360"/>
      <c r="Q2289" s="351"/>
    </row>
    <row r="2290" spans="15:17">
      <c r="O2290" s="360"/>
      <c r="Q2290" s="351"/>
    </row>
    <row r="2291" spans="15:17">
      <c r="O2291" s="360"/>
      <c r="Q2291" s="351"/>
    </row>
    <row r="2292" spans="15:17">
      <c r="O2292" s="360"/>
      <c r="Q2292" s="351"/>
    </row>
    <row r="2293" spans="15:17">
      <c r="O2293" s="360"/>
      <c r="Q2293" s="351"/>
    </row>
    <row r="2294" spans="15:17">
      <c r="O2294" s="360"/>
      <c r="Q2294" s="351"/>
    </row>
    <row r="2295" spans="15:17">
      <c r="O2295" s="360"/>
      <c r="Q2295" s="351"/>
    </row>
    <row r="2296" spans="15:17">
      <c r="O2296" s="360"/>
      <c r="Q2296" s="351"/>
    </row>
    <row r="2297" spans="15:17">
      <c r="O2297" s="360"/>
      <c r="Q2297" s="351"/>
    </row>
    <row r="2298" spans="15:17">
      <c r="O2298" s="360"/>
      <c r="Q2298" s="351"/>
    </row>
    <row r="2299" spans="15:17">
      <c r="O2299" s="360"/>
      <c r="Q2299" s="351"/>
    </row>
    <row r="2300" spans="15:17">
      <c r="O2300" s="360"/>
      <c r="Q2300" s="351"/>
    </row>
    <row r="2301" spans="15:17">
      <c r="O2301" s="360"/>
      <c r="Q2301" s="351"/>
    </row>
    <row r="2302" spans="15:17">
      <c r="O2302" s="360"/>
      <c r="Q2302" s="351"/>
    </row>
    <row r="2303" spans="15:17">
      <c r="O2303" s="360"/>
      <c r="Q2303" s="351"/>
    </row>
    <row r="2304" spans="15:17">
      <c r="O2304" s="360"/>
      <c r="Q2304" s="351"/>
    </row>
    <row r="2305" spans="15:17">
      <c r="O2305" s="360"/>
      <c r="Q2305" s="351"/>
    </row>
    <row r="2306" spans="15:17">
      <c r="O2306" s="360"/>
      <c r="Q2306" s="351"/>
    </row>
    <row r="2307" spans="15:17">
      <c r="O2307" s="360"/>
      <c r="Q2307" s="351"/>
    </row>
    <row r="2308" spans="15:17">
      <c r="O2308" s="360"/>
      <c r="Q2308" s="351"/>
    </row>
    <row r="2309" spans="15:17">
      <c r="O2309" s="360"/>
      <c r="Q2309" s="351"/>
    </row>
    <row r="2310" spans="15:17">
      <c r="O2310" s="360"/>
      <c r="Q2310" s="351"/>
    </row>
    <row r="2311" spans="15:17">
      <c r="O2311" s="360"/>
      <c r="Q2311" s="351"/>
    </row>
    <row r="2312" spans="15:17">
      <c r="O2312" s="360"/>
      <c r="Q2312" s="351"/>
    </row>
    <row r="2313" spans="15:17">
      <c r="O2313" s="360"/>
      <c r="Q2313" s="351"/>
    </row>
    <row r="2314" spans="15:17">
      <c r="O2314" s="360"/>
      <c r="Q2314" s="351"/>
    </row>
    <row r="2315" spans="15:17">
      <c r="O2315" s="360"/>
      <c r="Q2315" s="351"/>
    </row>
    <row r="2316" spans="15:17">
      <c r="O2316" s="360"/>
      <c r="Q2316" s="351"/>
    </row>
    <row r="2317" spans="15:17">
      <c r="O2317" s="360"/>
      <c r="Q2317" s="351"/>
    </row>
    <row r="2318" spans="15:17">
      <c r="O2318" s="360"/>
      <c r="Q2318" s="351"/>
    </row>
    <row r="2319" spans="15:17">
      <c r="O2319" s="360"/>
      <c r="Q2319" s="351"/>
    </row>
  </sheetData>
  <phoneticPr fontId="1" type="noConversion"/>
  <conditionalFormatting sqref="R1:R1048576 O1:P1048576">
    <cfRule type="cellIs" dxfId="145" priority="46" operator="between">
      <formula>100</formula>
      <formula>1</formula>
    </cfRule>
  </conditionalFormatting>
  <conditionalFormatting sqref="Q1:Q1048576">
    <cfRule type="cellIs" dxfId="144" priority="45" operator="between">
      <formula>200</formula>
      <formula>1</formula>
    </cfRule>
  </conditionalFormatting>
  <conditionalFormatting sqref="S1:S1048576">
    <cfRule type="cellIs" dxfId="143" priority="38" operator="between">
      <formula>100</formula>
      <formula>1</formula>
    </cfRule>
  </conditionalFormatting>
  <conditionalFormatting sqref="B12:E12 B8:E10">
    <cfRule type="cellIs" dxfId="142" priority="34" operator="lessThan">
      <formula>0</formula>
    </cfRule>
  </conditionalFormatting>
  <conditionalFormatting sqref="F12 F8:F10">
    <cfRule type="cellIs" dxfId="141" priority="33" operator="greaterThan">
      <formula>10</formula>
    </cfRule>
  </conditionalFormatting>
  <conditionalFormatting sqref="A12">
    <cfRule type="expression" dxfId="140" priority="32">
      <formula>IF($F12&gt;0,$A12,"")</formula>
    </cfRule>
  </conditionalFormatting>
  <conditionalFormatting sqref="T12 T8:T10">
    <cfRule type="cellIs" dxfId="139" priority="31" operator="greaterThanOrEqual">
      <formula>3</formula>
    </cfRule>
  </conditionalFormatting>
  <conditionalFormatting sqref="V12">
    <cfRule type="expression" dxfId="138" priority="30">
      <formula>IF($V12&lt;$T12,$V12,"")</formula>
    </cfRule>
  </conditionalFormatting>
  <conditionalFormatting sqref="A8:A10">
    <cfRule type="expression" dxfId="137" priority="24">
      <formula>IF($F8&gt;0,$A8,"")</formula>
    </cfRule>
  </conditionalFormatting>
  <conditionalFormatting sqref="V8:V10">
    <cfRule type="expression" dxfId="136" priority="22">
      <formula>IF($V8&lt;$T8,$V8,"")</formula>
    </cfRule>
  </conditionalFormatting>
  <conditionalFormatting sqref="B133:E133">
    <cfRule type="cellIs" dxfId="135" priority="21" operator="lessThan">
      <formula>0</formula>
    </cfRule>
  </conditionalFormatting>
  <conditionalFormatting sqref="F133">
    <cfRule type="cellIs" dxfId="134" priority="20" operator="greaterThan">
      <formula>10</formula>
    </cfRule>
  </conditionalFormatting>
  <conditionalFormatting sqref="T133">
    <cfRule type="cellIs" dxfId="133" priority="19" operator="greaterThanOrEqual">
      <formula>3</formula>
    </cfRule>
  </conditionalFormatting>
  <conditionalFormatting sqref="A133">
    <cfRule type="expression" dxfId="132" priority="18">
      <formula>IF($F133&gt;0,$A133,"")</formula>
    </cfRule>
  </conditionalFormatting>
  <conditionalFormatting sqref="V133">
    <cfRule type="expression" dxfId="131" priority="17">
      <formula>IF($V133&lt;$T133,$V133,"")</formula>
    </cfRule>
  </conditionalFormatting>
  <conditionalFormatting sqref="B132:E132">
    <cfRule type="cellIs" dxfId="130" priority="16" operator="lessThan">
      <formula>0</formula>
    </cfRule>
  </conditionalFormatting>
  <conditionalFormatting sqref="F132">
    <cfRule type="cellIs" dxfId="129" priority="15" operator="greaterThan">
      <formula>10</formula>
    </cfRule>
  </conditionalFormatting>
  <conditionalFormatting sqref="A132">
    <cfRule type="expression" dxfId="128" priority="14">
      <formula>IF($F132&gt;0,$A132,"")</formula>
    </cfRule>
  </conditionalFormatting>
  <conditionalFormatting sqref="T132">
    <cfRule type="cellIs" dxfId="127" priority="13" operator="greaterThanOrEqual">
      <formula>3</formula>
    </cfRule>
  </conditionalFormatting>
  <conditionalFormatting sqref="V132">
    <cfRule type="expression" dxfId="126" priority="12">
      <formula>IF($V132&lt;$T132,$V132,"")</formula>
    </cfRule>
  </conditionalFormatting>
  <conditionalFormatting sqref="R8 O8:P8">
    <cfRule type="cellIs" dxfId="125" priority="11" operator="between">
      <formula>100</formula>
      <formula>1</formula>
    </cfRule>
  </conditionalFormatting>
  <conditionalFormatting sqref="Q8">
    <cfRule type="cellIs" dxfId="124" priority="10" operator="between">
      <formula>200</formula>
      <formula>1</formula>
    </cfRule>
  </conditionalFormatting>
  <conditionalFormatting sqref="S8">
    <cfRule type="cellIs" dxfId="123" priority="9" operator="between">
      <formula>100</formula>
      <formula>1</formula>
    </cfRule>
  </conditionalFormatting>
  <conditionalFormatting sqref="B8:E8">
    <cfRule type="cellIs" dxfId="122" priority="8" operator="lessThan">
      <formula>0</formula>
    </cfRule>
  </conditionalFormatting>
  <conditionalFormatting sqref="F8">
    <cfRule type="cellIs" dxfId="121" priority="7" operator="greaterThan">
      <formula>10</formula>
    </cfRule>
  </conditionalFormatting>
  <conditionalFormatting sqref="A8">
    <cfRule type="expression" dxfId="120" priority="6">
      <formula>IF($F8&gt;0,$A8,"")</formula>
    </cfRule>
  </conditionalFormatting>
  <conditionalFormatting sqref="T8">
    <cfRule type="cellIs" dxfId="119" priority="5" operator="greaterThanOrEqual">
      <formula>3</formula>
    </cfRule>
  </conditionalFormatting>
  <conditionalFormatting sqref="V8">
    <cfRule type="expression" dxfId="118" priority="4">
      <formula>IF($V8&lt;$T8,$V8,"")</formula>
    </cfRule>
  </conditionalFormatting>
  <conditionalFormatting sqref="S8">
    <cfRule type="cellIs" dxfId="117" priority="2" operator="between">
      <formula>101</formula>
      <formula>200</formula>
    </cfRule>
    <cfRule type="cellIs" dxfId="116" priority="3" operator="between">
      <formula>100</formula>
      <formula>1</formula>
    </cfRule>
  </conditionalFormatting>
  <conditionalFormatting sqref="Z8">
    <cfRule type="cellIs" dxfId="115" priority="1" operator="lessThanOrEqual">
      <formula>-0.1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工作表2">
    <tabColor rgb="FF0070C0"/>
  </sheetPr>
  <dimension ref="A1:D1410"/>
  <sheetViews>
    <sheetView workbookViewId="0"/>
  </sheetViews>
  <sheetFormatPr defaultRowHeight="15.75"/>
  <cols>
    <col min="1" max="1" width="5.5703125" customWidth="1"/>
    <col min="2" max="2" width="13.5703125" customWidth="1"/>
  </cols>
  <sheetData>
    <row r="1" spans="1:4" s="245" customFormat="1">
      <c r="A1" s="257" t="s">
        <v>6102</v>
      </c>
      <c r="B1" s="245" t="s">
        <v>6103</v>
      </c>
      <c r="C1" s="257" t="s">
        <v>6771</v>
      </c>
      <c r="D1" s="257" t="s">
        <v>4715</v>
      </c>
    </row>
    <row r="2" spans="1:4">
      <c r="A2">
        <v>4157</v>
      </c>
      <c r="B2" t="s">
        <v>5529</v>
      </c>
      <c r="C2">
        <v>169</v>
      </c>
      <c r="D2">
        <v>1</v>
      </c>
    </row>
    <row r="3" spans="1:4">
      <c r="A3">
        <v>6104</v>
      </c>
      <c r="B3" t="s">
        <v>5740</v>
      </c>
      <c r="C3">
        <v>157</v>
      </c>
      <c r="D3">
        <v>2</v>
      </c>
    </row>
    <row r="4" spans="1:4">
      <c r="A4">
        <v>3141</v>
      </c>
      <c r="B4" t="s">
        <v>5326</v>
      </c>
      <c r="C4">
        <v>124</v>
      </c>
      <c r="D4">
        <v>3</v>
      </c>
    </row>
    <row r="5" spans="1:4">
      <c r="A5">
        <v>3035</v>
      </c>
      <c r="B5" t="s">
        <v>5290</v>
      </c>
      <c r="C5">
        <v>123</v>
      </c>
      <c r="D5">
        <v>4</v>
      </c>
    </row>
    <row r="6" spans="1:4">
      <c r="A6">
        <v>6411</v>
      </c>
      <c r="B6" t="s">
        <v>5860</v>
      </c>
      <c r="C6">
        <v>104</v>
      </c>
      <c r="D6">
        <v>5</v>
      </c>
    </row>
    <row r="7" spans="1:4">
      <c r="A7">
        <v>6548</v>
      </c>
      <c r="B7" t="s">
        <v>5904</v>
      </c>
      <c r="C7">
        <v>103</v>
      </c>
      <c r="D7">
        <v>6</v>
      </c>
    </row>
    <row r="8" spans="1:4">
      <c r="A8">
        <v>8155</v>
      </c>
      <c r="B8" t="s">
        <v>5992</v>
      </c>
      <c r="C8">
        <v>102</v>
      </c>
      <c r="D8">
        <v>7</v>
      </c>
    </row>
    <row r="9" spans="1:4">
      <c r="A9">
        <v>6485</v>
      </c>
      <c r="B9" t="s">
        <v>5883</v>
      </c>
      <c r="C9">
        <v>95</v>
      </c>
      <c r="D9">
        <v>8</v>
      </c>
    </row>
    <row r="10" spans="1:4">
      <c r="A10">
        <v>6217</v>
      </c>
      <c r="B10" t="s">
        <v>5814</v>
      </c>
      <c r="C10">
        <v>94</v>
      </c>
      <c r="D10">
        <v>9</v>
      </c>
    </row>
    <row r="11" spans="1:4">
      <c r="A11">
        <v>3169</v>
      </c>
      <c r="B11" t="s">
        <v>5333</v>
      </c>
      <c r="C11">
        <v>89</v>
      </c>
      <c r="D11">
        <v>10</v>
      </c>
    </row>
    <row r="12" spans="1:4">
      <c r="A12">
        <v>6138</v>
      </c>
      <c r="B12" t="s">
        <v>5760</v>
      </c>
      <c r="C12">
        <v>89</v>
      </c>
      <c r="D12">
        <v>10</v>
      </c>
    </row>
    <row r="13" spans="1:4">
      <c r="A13">
        <v>4721</v>
      </c>
      <c r="B13" t="s">
        <v>5587</v>
      </c>
      <c r="C13">
        <v>86</v>
      </c>
      <c r="D13">
        <v>12</v>
      </c>
    </row>
    <row r="14" spans="1:4">
      <c r="A14">
        <v>4739</v>
      </c>
      <c r="B14" t="s">
        <v>5593</v>
      </c>
      <c r="C14">
        <v>85</v>
      </c>
      <c r="D14">
        <v>13</v>
      </c>
    </row>
    <row r="15" spans="1:4">
      <c r="A15">
        <v>3707</v>
      </c>
      <c r="B15" t="s">
        <v>5500</v>
      </c>
      <c r="C15">
        <v>84</v>
      </c>
      <c r="D15">
        <v>14</v>
      </c>
    </row>
    <row r="16" spans="1:4">
      <c r="A16">
        <v>3006</v>
      </c>
      <c r="B16" t="s">
        <v>5268</v>
      </c>
      <c r="C16">
        <v>83</v>
      </c>
      <c r="D16">
        <v>15</v>
      </c>
    </row>
    <row r="17" spans="1:4">
      <c r="A17">
        <v>3491</v>
      </c>
      <c r="B17" t="s">
        <v>5418</v>
      </c>
      <c r="C17">
        <v>81</v>
      </c>
      <c r="D17">
        <v>16</v>
      </c>
    </row>
    <row r="18" spans="1:4">
      <c r="A18">
        <v>5425</v>
      </c>
      <c r="B18" t="s">
        <v>5685</v>
      </c>
      <c r="C18">
        <v>80</v>
      </c>
      <c r="D18">
        <v>17</v>
      </c>
    </row>
    <row r="19" spans="1:4">
      <c r="A19">
        <v>5351</v>
      </c>
      <c r="B19" t="s">
        <v>5676</v>
      </c>
      <c r="C19">
        <v>79</v>
      </c>
      <c r="D19">
        <v>18</v>
      </c>
    </row>
    <row r="20" spans="1:4">
      <c r="A20">
        <v>4919</v>
      </c>
      <c r="B20" t="s">
        <v>5611</v>
      </c>
      <c r="C20">
        <v>78</v>
      </c>
      <c r="D20">
        <v>19</v>
      </c>
    </row>
    <row r="21" spans="1:4">
      <c r="A21">
        <v>3122</v>
      </c>
      <c r="B21" t="s">
        <v>5322</v>
      </c>
      <c r="C21">
        <v>77</v>
      </c>
      <c r="D21">
        <v>20</v>
      </c>
    </row>
    <row r="22" spans="1:4">
      <c r="A22">
        <v>2481</v>
      </c>
      <c r="B22" t="s">
        <v>5139</v>
      </c>
      <c r="C22">
        <v>76</v>
      </c>
      <c r="D22">
        <v>21</v>
      </c>
    </row>
    <row r="23" spans="1:4">
      <c r="A23">
        <v>3675</v>
      </c>
      <c r="B23" t="s">
        <v>5485</v>
      </c>
      <c r="C23">
        <v>75</v>
      </c>
      <c r="D23">
        <v>22</v>
      </c>
    </row>
    <row r="24" spans="1:4">
      <c r="A24">
        <v>1732</v>
      </c>
      <c r="B24" t="s">
        <v>4940</v>
      </c>
      <c r="C24">
        <v>73</v>
      </c>
      <c r="D24">
        <v>23</v>
      </c>
    </row>
    <row r="25" spans="1:4">
      <c r="A25">
        <v>3624</v>
      </c>
      <c r="B25" t="s">
        <v>5470</v>
      </c>
      <c r="C25">
        <v>73</v>
      </c>
      <c r="D25">
        <v>23</v>
      </c>
    </row>
    <row r="26" spans="1:4">
      <c r="A26">
        <v>8070</v>
      </c>
      <c r="B26" t="s">
        <v>5968</v>
      </c>
      <c r="C26">
        <v>73</v>
      </c>
      <c r="D26">
        <v>23</v>
      </c>
    </row>
    <row r="27" spans="1:4">
      <c r="A27">
        <v>3324</v>
      </c>
      <c r="B27" t="s">
        <v>5378</v>
      </c>
      <c r="C27">
        <v>72</v>
      </c>
      <c r="D27">
        <v>26</v>
      </c>
    </row>
    <row r="28" spans="1:4">
      <c r="A28">
        <v>3588</v>
      </c>
      <c r="B28" t="s">
        <v>5457</v>
      </c>
      <c r="C28">
        <v>72</v>
      </c>
      <c r="D28">
        <v>26</v>
      </c>
    </row>
    <row r="29" spans="1:4">
      <c r="A29">
        <v>6531</v>
      </c>
      <c r="B29" t="s">
        <v>5900</v>
      </c>
      <c r="C29">
        <v>72</v>
      </c>
      <c r="D29">
        <v>26</v>
      </c>
    </row>
    <row r="30" spans="1:4">
      <c r="A30">
        <v>8261</v>
      </c>
      <c r="B30" t="s">
        <v>6006</v>
      </c>
      <c r="C30">
        <v>72</v>
      </c>
      <c r="D30">
        <v>26</v>
      </c>
    </row>
    <row r="31" spans="1:4">
      <c r="A31">
        <v>3017</v>
      </c>
      <c r="B31" t="s">
        <v>5275</v>
      </c>
      <c r="C31">
        <v>71</v>
      </c>
      <c r="D31">
        <v>30</v>
      </c>
    </row>
    <row r="32" spans="1:4">
      <c r="A32">
        <v>6150</v>
      </c>
      <c r="B32" t="s">
        <v>5768</v>
      </c>
      <c r="C32">
        <v>71</v>
      </c>
      <c r="D32">
        <v>30</v>
      </c>
    </row>
    <row r="33" spans="1:4">
      <c r="A33">
        <v>8255</v>
      </c>
      <c r="B33" t="s">
        <v>6005</v>
      </c>
      <c r="C33">
        <v>70</v>
      </c>
      <c r="D33">
        <v>32</v>
      </c>
    </row>
    <row r="34" spans="1:4">
      <c r="A34">
        <v>2368</v>
      </c>
      <c r="B34" t="s">
        <v>5068</v>
      </c>
      <c r="C34">
        <v>68</v>
      </c>
      <c r="D34">
        <v>33</v>
      </c>
    </row>
    <row r="35" spans="1:4">
      <c r="A35">
        <v>4927</v>
      </c>
      <c r="B35" t="s">
        <v>5612</v>
      </c>
      <c r="C35">
        <v>68</v>
      </c>
      <c r="D35">
        <v>33</v>
      </c>
    </row>
    <row r="36" spans="1:4">
      <c r="A36">
        <v>6182</v>
      </c>
      <c r="B36" t="s">
        <v>5789</v>
      </c>
      <c r="C36">
        <v>68</v>
      </c>
      <c r="D36">
        <v>33</v>
      </c>
    </row>
    <row r="37" spans="1:4">
      <c r="A37">
        <v>6706</v>
      </c>
      <c r="B37" t="s">
        <v>5939</v>
      </c>
      <c r="C37">
        <v>68</v>
      </c>
      <c r="D37">
        <v>33</v>
      </c>
    </row>
    <row r="38" spans="1:4">
      <c r="A38">
        <v>1708</v>
      </c>
      <c r="B38" t="s">
        <v>4923</v>
      </c>
      <c r="C38">
        <v>66</v>
      </c>
      <c r="D38">
        <v>37</v>
      </c>
    </row>
    <row r="39" spans="1:4">
      <c r="A39">
        <v>2436</v>
      </c>
      <c r="B39" t="s">
        <v>5111</v>
      </c>
      <c r="C39">
        <v>65</v>
      </c>
      <c r="D39">
        <v>38</v>
      </c>
    </row>
    <row r="40" spans="1:4">
      <c r="A40">
        <v>3661</v>
      </c>
      <c r="B40" t="s">
        <v>5478</v>
      </c>
      <c r="C40">
        <v>64</v>
      </c>
      <c r="D40">
        <v>39</v>
      </c>
    </row>
    <row r="41" spans="1:4">
      <c r="A41">
        <v>6237</v>
      </c>
      <c r="B41" t="s">
        <v>5828</v>
      </c>
      <c r="C41">
        <v>64</v>
      </c>
      <c r="D41">
        <v>39</v>
      </c>
    </row>
    <row r="42" spans="1:4">
      <c r="A42">
        <v>2636</v>
      </c>
      <c r="B42" t="s">
        <v>5198</v>
      </c>
      <c r="C42">
        <v>62</v>
      </c>
      <c r="D42">
        <v>41</v>
      </c>
    </row>
    <row r="43" spans="1:4">
      <c r="A43">
        <v>3687</v>
      </c>
      <c r="B43" t="s">
        <v>5489</v>
      </c>
      <c r="C43">
        <v>61</v>
      </c>
      <c r="D43">
        <v>42</v>
      </c>
    </row>
    <row r="44" spans="1:4">
      <c r="A44">
        <v>6223</v>
      </c>
      <c r="B44" t="s">
        <v>5818</v>
      </c>
      <c r="C44">
        <v>61</v>
      </c>
      <c r="D44">
        <v>42</v>
      </c>
    </row>
    <row r="45" spans="1:4">
      <c r="A45">
        <v>6271</v>
      </c>
      <c r="B45" t="s">
        <v>5843</v>
      </c>
      <c r="C45">
        <v>61</v>
      </c>
      <c r="D45">
        <v>42</v>
      </c>
    </row>
    <row r="46" spans="1:4">
      <c r="A46">
        <v>3689</v>
      </c>
      <c r="B46" t="s">
        <v>5490</v>
      </c>
      <c r="C46">
        <v>60</v>
      </c>
      <c r="D46">
        <v>45</v>
      </c>
    </row>
    <row r="47" spans="1:4">
      <c r="A47">
        <v>1560</v>
      </c>
      <c r="B47" t="s">
        <v>4889</v>
      </c>
      <c r="C47">
        <v>59</v>
      </c>
      <c r="D47">
        <v>46</v>
      </c>
    </row>
    <row r="48" spans="1:4">
      <c r="A48">
        <v>3232</v>
      </c>
      <c r="B48" t="s">
        <v>5351</v>
      </c>
      <c r="C48">
        <v>59</v>
      </c>
      <c r="D48">
        <v>46</v>
      </c>
    </row>
    <row r="49" spans="1:4">
      <c r="A49">
        <v>6509</v>
      </c>
      <c r="B49" t="s">
        <v>5893</v>
      </c>
      <c r="C49">
        <v>59</v>
      </c>
      <c r="D49">
        <v>46</v>
      </c>
    </row>
    <row r="50" spans="1:4">
      <c r="A50">
        <v>1727</v>
      </c>
      <c r="B50" t="s">
        <v>4937</v>
      </c>
      <c r="C50">
        <v>58</v>
      </c>
      <c r="D50">
        <v>49</v>
      </c>
    </row>
    <row r="51" spans="1:4">
      <c r="A51">
        <v>2340</v>
      </c>
      <c r="B51" t="s">
        <v>5048</v>
      </c>
      <c r="C51">
        <v>58</v>
      </c>
      <c r="D51">
        <v>49</v>
      </c>
    </row>
    <row r="52" spans="1:4">
      <c r="A52">
        <v>3527</v>
      </c>
      <c r="B52" t="s">
        <v>5430</v>
      </c>
      <c r="C52">
        <v>58</v>
      </c>
      <c r="D52">
        <v>49</v>
      </c>
    </row>
    <row r="53" spans="1:4">
      <c r="A53">
        <v>3508</v>
      </c>
      <c r="B53" t="s">
        <v>5424</v>
      </c>
      <c r="C53">
        <v>56</v>
      </c>
      <c r="D53">
        <v>52</v>
      </c>
    </row>
    <row r="54" spans="1:4">
      <c r="A54">
        <v>2338</v>
      </c>
      <c r="B54" t="s">
        <v>5047</v>
      </c>
      <c r="C54">
        <v>55</v>
      </c>
      <c r="D54">
        <v>53</v>
      </c>
    </row>
    <row r="55" spans="1:4">
      <c r="A55">
        <v>5608</v>
      </c>
      <c r="B55" t="s">
        <v>5721</v>
      </c>
      <c r="C55">
        <v>55</v>
      </c>
      <c r="D55">
        <v>53</v>
      </c>
    </row>
    <row r="56" spans="1:4">
      <c r="A56">
        <v>6494</v>
      </c>
      <c r="B56" t="s">
        <v>5887</v>
      </c>
      <c r="C56">
        <v>55</v>
      </c>
      <c r="D56">
        <v>53</v>
      </c>
    </row>
    <row r="57" spans="1:4">
      <c r="A57">
        <v>4967</v>
      </c>
      <c r="B57" t="s">
        <v>5628</v>
      </c>
      <c r="C57">
        <v>54</v>
      </c>
      <c r="D57">
        <v>56</v>
      </c>
    </row>
    <row r="58" spans="1:4">
      <c r="A58">
        <v>6443</v>
      </c>
      <c r="B58" t="s">
        <v>5872</v>
      </c>
      <c r="C58">
        <v>53</v>
      </c>
      <c r="D58">
        <v>57</v>
      </c>
    </row>
    <row r="59" spans="1:4">
      <c r="A59">
        <v>6477</v>
      </c>
      <c r="B59" t="s">
        <v>5882</v>
      </c>
      <c r="C59">
        <v>53</v>
      </c>
      <c r="D59">
        <v>57</v>
      </c>
    </row>
    <row r="60" spans="1:4">
      <c r="A60">
        <v>2497</v>
      </c>
      <c r="B60" t="s">
        <v>5152</v>
      </c>
      <c r="C60">
        <v>52</v>
      </c>
      <c r="D60">
        <v>59</v>
      </c>
    </row>
    <row r="61" spans="1:4">
      <c r="A61">
        <v>6457</v>
      </c>
      <c r="B61" t="s">
        <v>5876</v>
      </c>
      <c r="C61">
        <v>52</v>
      </c>
      <c r="D61">
        <v>59</v>
      </c>
    </row>
    <row r="62" spans="1:4">
      <c r="A62">
        <v>8054</v>
      </c>
      <c r="B62" t="s">
        <v>5965</v>
      </c>
      <c r="C62">
        <v>52</v>
      </c>
      <c r="D62">
        <v>59</v>
      </c>
    </row>
    <row r="63" spans="1:4">
      <c r="A63">
        <v>3526</v>
      </c>
      <c r="B63" t="s">
        <v>5429</v>
      </c>
      <c r="C63">
        <v>51</v>
      </c>
      <c r="D63">
        <v>62</v>
      </c>
    </row>
    <row r="64" spans="1:4">
      <c r="A64">
        <v>6205</v>
      </c>
      <c r="B64" t="s">
        <v>5805</v>
      </c>
      <c r="C64">
        <v>49</v>
      </c>
      <c r="D64">
        <v>63</v>
      </c>
    </row>
    <row r="65" spans="1:4">
      <c r="A65">
        <v>8440</v>
      </c>
      <c r="B65" t="s">
        <v>6031</v>
      </c>
      <c r="C65">
        <v>49</v>
      </c>
      <c r="D65">
        <v>63</v>
      </c>
    </row>
    <row r="66" spans="1:4">
      <c r="A66">
        <v>3041</v>
      </c>
      <c r="B66" t="s">
        <v>5295</v>
      </c>
      <c r="C66">
        <v>48</v>
      </c>
      <c r="D66">
        <v>65</v>
      </c>
    </row>
    <row r="67" spans="1:4">
      <c r="A67">
        <v>3545</v>
      </c>
      <c r="B67" t="s">
        <v>5441</v>
      </c>
      <c r="C67">
        <v>48</v>
      </c>
      <c r="D67">
        <v>65</v>
      </c>
    </row>
    <row r="68" spans="1:4">
      <c r="A68">
        <v>6251</v>
      </c>
      <c r="B68" t="s">
        <v>5835</v>
      </c>
      <c r="C68">
        <v>48</v>
      </c>
      <c r="D68">
        <v>65</v>
      </c>
    </row>
    <row r="69" spans="1:4">
      <c r="A69">
        <v>1316</v>
      </c>
      <c r="B69" t="s">
        <v>4812</v>
      </c>
      <c r="C69">
        <v>47</v>
      </c>
      <c r="D69">
        <v>68</v>
      </c>
    </row>
    <row r="70" spans="1:4">
      <c r="A70">
        <v>2358</v>
      </c>
      <c r="B70" t="s">
        <v>5061</v>
      </c>
      <c r="C70">
        <v>47</v>
      </c>
      <c r="D70">
        <v>68</v>
      </c>
    </row>
    <row r="71" spans="1:4">
      <c r="A71">
        <v>6235</v>
      </c>
      <c r="B71" t="s">
        <v>5827</v>
      </c>
      <c r="C71">
        <v>47</v>
      </c>
      <c r="D71">
        <v>68</v>
      </c>
    </row>
    <row r="72" spans="1:4">
      <c r="A72">
        <v>2455</v>
      </c>
      <c r="B72" t="s">
        <v>5120</v>
      </c>
      <c r="C72">
        <v>46</v>
      </c>
      <c r="D72">
        <v>71</v>
      </c>
    </row>
    <row r="73" spans="1:4">
      <c r="A73">
        <v>2498</v>
      </c>
      <c r="B73" t="s">
        <v>5153</v>
      </c>
      <c r="C73">
        <v>46</v>
      </c>
      <c r="D73">
        <v>71</v>
      </c>
    </row>
    <row r="74" spans="1:4">
      <c r="A74">
        <v>3189</v>
      </c>
      <c r="B74" t="s">
        <v>5336</v>
      </c>
      <c r="C74">
        <v>46</v>
      </c>
      <c r="D74">
        <v>71</v>
      </c>
    </row>
    <row r="75" spans="1:4">
      <c r="A75">
        <v>3317</v>
      </c>
      <c r="B75" t="s">
        <v>5376</v>
      </c>
      <c r="C75">
        <v>46</v>
      </c>
      <c r="D75">
        <v>71</v>
      </c>
    </row>
    <row r="76" spans="1:4">
      <c r="A76">
        <v>4961</v>
      </c>
      <c r="B76" t="s">
        <v>5626</v>
      </c>
      <c r="C76">
        <v>46</v>
      </c>
      <c r="D76">
        <v>71</v>
      </c>
    </row>
    <row r="77" spans="1:4">
      <c r="A77">
        <v>8044</v>
      </c>
      <c r="B77" t="s">
        <v>5960</v>
      </c>
      <c r="C77">
        <v>46</v>
      </c>
      <c r="D77">
        <v>71</v>
      </c>
    </row>
    <row r="78" spans="1:4">
      <c r="A78">
        <v>2611</v>
      </c>
      <c r="B78" t="s">
        <v>5188</v>
      </c>
      <c r="C78">
        <v>45</v>
      </c>
      <c r="D78">
        <v>77</v>
      </c>
    </row>
    <row r="79" spans="1:4">
      <c r="A79">
        <v>6226</v>
      </c>
      <c r="B79" t="s">
        <v>5820</v>
      </c>
      <c r="C79">
        <v>45</v>
      </c>
      <c r="D79">
        <v>77</v>
      </c>
    </row>
    <row r="80" spans="1:4">
      <c r="A80">
        <v>2465</v>
      </c>
      <c r="B80" t="s">
        <v>5128</v>
      </c>
      <c r="C80">
        <v>44</v>
      </c>
      <c r="D80">
        <v>79</v>
      </c>
    </row>
    <row r="81" spans="1:4">
      <c r="A81">
        <v>3059</v>
      </c>
      <c r="B81" t="s">
        <v>5307</v>
      </c>
      <c r="C81">
        <v>44</v>
      </c>
      <c r="D81">
        <v>79</v>
      </c>
    </row>
    <row r="82" spans="1:4">
      <c r="A82">
        <v>3207</v>
      </c>
      <c r="B82" t="s">
        <v>5339</v>
      </c>
      <c r="C82">
        <v>44</v>
      </c>
      <c r="D82">
        <v>79</v>
      </c>
    </row>
    <row r="83" spans="1:4">
      <c r="A83">
        <v>3556</v>
      </c>
      <c r="B83" t="s">
        <v>5447</v>
      </c>
      <c r="C83">
        <v>44</v>
      </c>
      <c r="D83">
        <v>79</v>
      </c>
    </row>
    <row r="84" spans="1:4">
      <c r="A84">
        <v>3221</v>
      </c>
      <c r="B84" t="s">
        <v>5346</v>
      </c>
      <c r="C84">
        <v>43</v>
      </c>
      <c r="D84">
        <v>83</v>
      </c>
    </row>
    <row r="85" spans="1:4">
      <c r="A85">
        <v>3455</v>
      </c>
      <c r="B85" t="s">
        <v>5411</v>
      </c>
      <c r="C85">
        <v>43</v>
      </c>
      <c r="D85">
        <v>83</v>
      </c>
    </row>
    <row r="86" spans="1:4">
      <c r="A86">
        <v>5258</v>
      </c>
      <c r="B86" t="s">
        <v>5658</v>
      </c>
      <c r="C86">
        <v>43</v>
      </c>
      <c r="D86">
        <v>83</v>
      </c>
    </row>
    <row r="87" spans="1:4">
      <c r="A87">
        <v>1721</v>
      </c>
      <c r="B87" t="s">
        <v>4933</v>
      </c>
      <c r="C87">
        <v>42</v>
      </c>
      <c r="D87">
        <v>86</v>
      </c>
    </row>
    <row r="88" spans="1:4">
      <c r="A88">
        <v>3443</v>
      </c>
      <c r="B88" t="s">
        <v>5407</v>
      </c>
      <c r="C88">
        <v>42</v>
      </c>
      <c r="D88">
        <v>86</v>
      </c>
    </row>
    <row r="89" spans="1:4">
      <c r="A89">
        <v>4133</v>
      </c>
      <c r="B89" t="s">
        <v>5522</v>
      </c>
      <c r="C89">
        <v>42</v>
      </c>
      <c r="D89">
        <v>86</v>
      </c>
    </row>
    <row r="90" spans="1:4">
      <c r="A90">
        <v>5299</v>
      </c>
      <c r="B90" t="s">
        <v>316</v>
      </c>
      <c r="C90">
        <v>42</v>
      </c>
      <c r="D90">
        <v>86</v>
      </c>
    </row>
    <row r="91" spans="1:4">
      <c r="A91">
        <v>5321</v>
      </c>
      <c r="B91" t="s">
        <v>5673</v>
      </c>
      <c r="C91">
        <v>42</v>
      </c>
      <c r="D91">
        <v>86</v>
      </c>
    </row>
    <row r="92" spans="1:4">
      <c r="A92">
        <v>2030</v>
      </c>
      <c r="B92" t="s">
        <v>4989</v>
      </c>
      <c r="C92">
        <v>41</v>
      </c>
      <c r="D92">
        <v>91</v>
      </c>
    </row>
    <row r="93" spans="1:4">
      <c r="A93">
        <v>2351</v>
      </c>
      <c r="B93" t="s">
        <v>5054</v>
      </c>
      <c r="C93">
        <v>41</v>
      </c>
      <c r="D93">
        <v>91</v>
      </c>
    </row>
    <row r="94" spans="1:4">
      <c r="A94">
        <v>2891</v>
      </c>
      <c r="B94" t="s">
        <v>5245</v>
      </c>
      <c r="C94">
        <v>41</v>
      </c>
      <c r="D94">
        <v>91</v>
      </c>
    </row>
    <row r="95" spans="1:4">
      <c r="A95">
        <v>3406</v>
      </c>
      <c r="B95" t="s">
        <v>5398</v>
      </c>
      <c r="C95">
        <v>41</v>
      </c>
      <c r="D95">
        <v>91</v>
      </c>
    </row>
    <row r="96" spans="1:4">
      <c r="A96">
        <v>3434</v>
      </c>
      <c r="B96" t="s">
        <v>5403</v>
      </c>
      <c r="C96">
        <v>41</v>
      </c>
      <c r="D96">
        <v>91</v>
      </c>
    </row>
    <row r="97" spans="1:4">
      <c r="A97">
        <v>3596</v>
      </c>
      <c r="B97" t="s">
        <v>5460</v>
      </c>
      <c r="C97">
        <v>41</v>
      </c>
      <c r="D97">
        <v>91</v>
      </c>
    </row>
    <row r="98" spans="1:4">
      <c r="A98">
        <v>6187</v>
      </c>
      <c r="B98" t="s">
        <v>5794</v>
      </c>
      <c r="C98">
        <v>41</v>
      </c>
      <c r="D98">
        <v>91</v>
      </c>
    </row>
    <row r="99" spans="1:4">
      <c r="A99">
        <v>6438</v>
      </c>
      <c r="B99" t="s">
        <v>5869</v>
      </c>
      <c r="C99">
        <v>41</v>
      </c>
      <c r="D99">
        <v>91</v>
      </c>
    </row>
    <row r="100" spans="1:4">
      <c r="A100">
        <v>8183</v>
      </c>
      <c r="B100" t="s">
        <v>5996</v>
      </c>
      <c r="C100">
        <v>41</v>
      </c>
      <c r="D100">
        <v>91</v>
      </c>
    </row>
    <row r="101" spans="1:4">
      <c r="A101">
        <v>8289</v>
      </c>
      <c r="B101" t="s">
        <v>6009</v>
      </c>
      <c r="C101">
        <v>41</v>
      </c>
      <c r="D101">
        <v>91</v>
      </c>
    </row>
    <row r="102" spans="1:4">
      <c r="A102">
        <v>2486</v>
      </c>
      <c r="B102" t="s">
        <v>5144</v>
      </c>
      <c r="C102">
        <v>40</v>
      </c>
      <c r="D102">
        <v>101</v>
      </c>
    </row>
    <row r="103" spans="1:4">
      <c r="A103">
        <v>2610</v>
      </c>
      <c r="B103" t="s">
        <v>5187</v>
      </c>
      <c r="C103">
        <v>40</v>
      </c>
      <c r="D103">
        <v>101</v>
      </c>
    </row>
    <row r="104" spans="1:4">
      <c r="A104">
        <v>2641</v>
      </c>
      <c r="B104" t="s">
        <v>5200</v>
      </c>
      <c r="C104">
        <v>40</v>
      </c>
      <c r="D104">
        <v>101</v>
      </c>
    </row>
    <row r="105" spans="1:4">
      <c r="A105">
        <v>3504</v>
      </c>
      <c r="B105" t="s">
        <v>5423</v>
      </c>
      <c r="C105">
        <v>40</v>
      </c>
      <c r="D105">
        <v>101</v>
      </c>
    </row>
    <row r="106" spans="1:4">
      <c r="A106">
        <v>3708</v>
      </c>
      <c r="B106" t="s">
        <v>5501</v>
      </c>
      <c r="C106">
        <v>40</v>
      </c>
      <c r="D106">
        <v>101</v>
      </c>
    </row>
    <row r="107" spans="1:4">
      <c r="A107">
        <v>5285</v>
      </c>
      <c r="B107" t="s">
        <v>5665</v>
      </c>
      <c r="C107">
        <v>40</v>
      </c>
      <c r="D107">
        <v>101</v>
      </c>
    </row>
    <row r="108" spans="1:4">
      <c r="A108">
        <v>8016</v>
      </c>
      <c r="B108" t="s">
        <v>5951</v>
      </c>
      <c r="C108">
        <v>40</v>
      </c>
      <c r="D108">
        <v>101</v>
      </c>
    </row>
    <row r="109" spans="1:4">
      <c r="A109">
        <v>2369</v>
      </c>
      <c r="B109" t="s">
        <v>5069</v>
      </c>
      <c r="C109">
        <v>39</v>
      </c>
      <c r="D109">
        <v>108</v>
      </c>
    </row>
    <row r="110" spans="1:4">
      <c r="A110">
        <v>2884</v>
      </c>
      <c r="B110" t="s">
        <v>5238</v>
      </c>
      <c r="C110">
        <v>39</v>
      </c>
      <c r="D110">
        <v>108</v>
      </c>
    </row>
    <row r="111" spans="1:4">
      <c r="A111">
        <v>5009</v>
      </c>
      <c r="B111" t="s">
        <v>5640</v>
      </c>
      <c r="C111">
        <v>39</v>
      </c>
      <c r="D111">
        <v>108</v>
      </c>
    </row>
    <row r="112" spans="1:4">
      <c r="A112">
        <v>5011</v>
      </c>
      <c r="B112" t="s">
        <v>5641</v>
      </c>
      <c r="C112">
        <v>39</v>
      </c>
      <c r="D112">
        <v>108</v>
      </c>
    </row>
    <row r="113" spans="1:4">
      <c r="A113">
        <v>6229</v>
      </c>
      <c r="B113" t="s">
        <v>5822</v>
      </c>
      <c r="C113">
        <v>39</v>
      </c>
      <c r="D113">
        <v>108</v>
      </c>
    </row>
    <row r="114" spans="1:4">
      <c r="A114">
        <v>6515</v>
      </c>
      <c r="B114" t="s">
        <v>5896</v>
      </c>
      <c r="C114">
        <v>39</v>
      </c>
      <c r="D114">
        <v>108</v>
      </c>
    </row>
    <row r="115" spans="1:4">
      <c r="A115">
        <v>3305</v>
      </c>
      <c r="B115" t="s">
        <v>5371</v>
      </c>
      <c r="C115">
        <v>38</v>
      </c>
      <c r="D115">
        <v>114</v>
      </c>
    </row>
    <row r="116" spans="1:4">
      <c r="A116">
        <v>4968</v>
      </c>
      <c r="B116" t="s">
        <v>5629</v>
      </c>
      <c r="C116">
        <v>38</v>
      </c>
      <c r="D116">
        <v>114</v>
      </c>
    </row>
    <row r="117" spans="1:4">
      <c r="A117">
        <v>6164</v>
      </c>
      <c r="B117" t="s">
        <v>5777</v>
      </c>
      <c r="C117">
        <v>38</v>
      </c>
      <c r="D117">
        <v>114</v>
      </c>
    </row>
    <row r="118" spans="1:4">
      <c r="A118">
        <v>1760</v>
      </c>
      <c r="B118" t="s">
        <v>4948</v>
      </c>
      <c r="C118">
        <v>37</v>
      </c>
      <c r="D118">
        <v>117</v>
      </c>
    </row>
    <row r="119" spans="1:4">
      <c r="A119">
        <v>2618</v>
      </c>
      <c r="B119" t="s">
        <v>5195</v>
      </c>
      <c r="C119">
        <v>37</v>
      </c>
      <c r="D119">
        <v>117</v>
      </c>
    </row>
    <row r="120" spans="1:4">
      <c r="A120">
        <v>3260</v>
      </c>
      <c r="B120" t="s">
        <v>5356</v>
      </c>
      <c r="C120">
        <v>37</v>
      </c>
      <c r="D120">
        <v>117</v>
      </c>
    </row>
    <row r="121" spans="1:4">
      <c r="A121">
        <v>3530</v>
      </c>
      <c r="B121" t="s">
        <v>5433</v>
      </c>
      <c r="C121">
        <v>37</v>
      </c>
      <c r="D121">
        <v>117</v>
      </c>
    </row>
    <row r="122" spans="1:4">
      <c r="A122">
        <v>8069</v>
      </c>
      <c r="B122" t="s">
        <v>5967</v>
      </c>
      <c r="C122">
        <v>37</v>
      </c>
      <c r="D122">
        <v>117</v>
      </c>
    </row>
    <row r="123" spans="1:4">
      <c r="A123">
        <v>8103</v>
      </c>
      <c r="B123" t="s">
        <v>5981</v>
      </c>
      <c r="C123">
        <v>37</v>
      </c>
      <c r="D123">
        <v>117</v>
      </c>
    </row>
    <row r="124" spans="1:4">
      <c r="A124">
        <v>2038</v>
      </c>
      <c r="B124" t="s">
        <v>4995</v>
      </c>
      <c r="C124">
        <v>36</v>
      </c>
      <c r="D124">
        <v>123</v>
      </c>
    </row>
    <row r="125" spans="1:4">
      <c r="A125">
        <v>2603</v>
      </c>
      <c r="B125" t="s">
        <v>5181</v>
      </c>
      <c r="C125">
        <v>36</v>
      </c>
      <c r="D125">
        <v>123</v>
      </c>
    </row>
    <row r="126" spans="1:4">
      <c r="A126">
        <v>2642</v>
      </c>
      <c r="B126" t="s">
        <v>5201</v>
      </c>
      <c r="C126">
        <v>36</v>
      </c>
      <c r="D126">
        <v>123</v>
      </c>
    </row>
    <row r="127" spans="1:4">
      <c r="A127">
        <v>3062</v>
      </c>
      <c r="B127" t="s">
        <v>5309</v>
      </c>
      <c r="C127">
        <v>36</v>
      </c>
      <c r="D127">
        <v>123</v>
      </c>
    </row>
    <row r="128" spans="1:4">
      <c r="A128">
        <v>3264</v>
      </c>
      <c r="B128" t="s">
        <v>5357</v>
      </c>
      <c r="C128">
        <v>36</v>
      </c>
      <c r="D128">
        <v>123</v>
      </c>
    </row>
    <row r="129" spans="1:4">
      <c r="A129">
        <v>5706</v>
      </c>
      <c r="B129" t="s">
        <v>5723</v>
      </c>
      <c r="C129">
        <v>36</v>
      </c>
      <c r="D129">
        <v>123</v>
      </c>
    </row>
    <row r="130" spans="1:4">
      <c r="A130">
        <v>9962</v>
      </c>
      <c r="B130" t="s">
        <v>6101</v>
      </c>
      <c r="C130">
        <v>36</v>
      </c>
      <c r="D130">
        <v>123</v>
      </c>
    </row>
    <row r="131" spans="1:4">
      <c r="A131">
        <v>3515</v>
      </c>
      <c r="B131" t="s">
        <v>5426</v>
      </c>
      <c r="C131">
        <v>35</v>
      </c>
      <c r="D131">
        <v>130</v>
      </c>
    </row>
    <row r="132" spans="1:4">
      <c r="A132">
        <v>3653</v>
      </c>
      <c r="B132" t="s">
        <v>5477</v>
      </c>
      <c r="C132">
        <v>35</v>
      </c>
      <c r="D132">
        <v>130</v>
      </c>
    </row>
    <row r="133" spans="1:4">
      <c r="A133">
        <v>4513</v>
      </c>
      <c r="B133" t="s">
        <v>5556</v>
      </c>
      <c r="C133">
        <v>35</v>
      </c>
      <c r="D133">
        <v>130</v>
      </c>
    </row>
    <row r="134" spans="1:4">
      <c r="A134">
        <v>6118</v>
      </c>
      <c r="B134" t="s">
        <v>5748</v>
      </c>
      <c r="C134">
        <v>35</v>
      </c>
      <c r="D134">
        <v>130</v>
      </c>
    </row>
    <row r="135" spans="1:4">
      <c r="A135">
        <v>2342</v>
      </c>
      <c r="B135" t="s">
        <v>5049</v>
      </c>
      <c r="C135">
        <v>34</v>
      </c>
      <c r="D135">
        <v>134</v>
      </c>
    </row>
    <row r="136" spans="1:4">
      <c r="A136">
        <v>2376</v>
      </c>
      <c r="B136" t="s">
        <v>5074</v>
      </c>
      <c r="C136">
        <v>34</v>
      </c>
      <c r="D136">
        <v>134</v>
      </c>
    </row>
    <row r="137" spans="1:4">
      <c r="A137">
        <v>2614</v>
      </c>
      <c r="B137" t="s">
        <v>5191</v>
      </c>
      <c r="C137">
        <v>34</v>
      </c>
      <c r="D137">
        <v>134</v>
      </c>
    </row>
    <row r="138" spans="1:4">
      <c r="A138">
        <v>4931</v>
      </c>
      <c r="B138" t="s">
        <v>5613</v>
      </c>
      <c r="C138">
        <v>34</v>
      </c>
      <c r="D138">
        <v>134</v>
      </c>
    </row>
    <row r="139" spans="1:4">
      <c r="A139">
        <v>6533</v>
      </c>
      <c r="B139" t="s">
        <v>5902</v>
      </c>
      <c r="C139">
        <v>34</v>
      </c>
      <c r="D139">
        <v>134</v>
      </c>
    </row>
    <row r="140" spans="1:4">
      <c r="A140">
        <v>6679</v>
      </c>
      <c r="B140" t="s">
        <v>5937</v>
      </c>
      <c r="C140">
        <v>34</v>
      </c>
      <c r="D140">
        <v>134</v>
      </c>
    </row>
    <row r="141" spans="1:4">
      <c r="A141">
        <v>2313</v>
      </c>
      <c r="B141" t="s">
        <v>5035</v>
      </c>
      <c r="C141">
        <v>33</v>
      </c>
      <c r="D141">
        <v>140</v>
      </c>
    </row>
    <row r="142" spans="1:4">
      <c r="A142">
        <v>3033</v>
      </c>
      <c r="B142" t="s">
        <v>5288</v>
      </c>
      <c r="C142">
        <v>33</v>
      </c>
      <c r="D142">
        <v>140</v>
      </c>
    </row>
    <row r="143" spans="1:4">
      <c r="A143">
        <v>3037</v>
      </c>
      <c r="B143" t="s">
        <v>5292</v>
      </c>
      <c r="C143">
        <v>33</v>
      </c>
      <c r="D143">
        <v>140</v>
      </c>
    </row>
    <row r="144" spans="1:4">
      <c r="A144">
        <v>4171</v>
      </c>
      <c r="B144" t="s">
        <v>5536</v>
      </c>
      <c r="C144">
        <v>33</v>
      </c>
      <c r="D144">
        <v>140</v>
      </c>
    </row>
    <row r="145" spans="1:4">
      <c r="A145">
        <v>1529</v>
      </c>
      <c r="B145" t="s">
        <v>4877</v>
      </c>
      <c r="C145">
        <v>32</v>
      </c>
      <c r="D145">
        <v>144</v>
      </c>
    </row>
    <row r="146" spans="1:4">
      <c r="A146">
        <v>1711</v>
      </c>
      <c r="B146" t="s">
        <v>4926</v>
      </c>
      <c r="C146">
        <v>32</v>
      </c>
      <c r="D146">
        <v>144</v>
      </c>
    </row>
    <row r="147" spans="1:4">
      <c r="A147">
        <v>2014</v>
      </c>
      <c r="B147" t="s">
        <v>4980</v>
      </c>
      <c r="C147">
        <v>32</v>
      </c>
      <c r="D147">
        <v>144</v>
      </c>
    </row>
    <row r="148" spans="1:4">
      <c r="A148">
        <v>2476</v>
      </c>
      <c r="B148" t="s">
        <v>5135</v>
      </c>
      <c r="C148">
        <v>32</v>
      </c>
      <c r="D148">
        <v>144</v>
      </c>
    </row>
    <row r="149" spans="1:4">
      <c r="A149">
        <v>3217</v>
      </c>
      <c r="B149" t="s">
        <v>5343</v>
      </c>
      <c r="C149">
        <v>32</v>
      </c>
      <c r="D149">
        <v>144</v>
      </c>
    </row>
    <row r="150" spans="1:4">
      <c r="A150">
        <v>5388</v>
      </c>
      <c r="B150" t="s">
        <v>5681</v>
      </c>
      <c r="C150">
        <v>32</v>
      </c>
      <c r="D150">
        <v>144</v>
      </c>
    </row>
    <row r="151" spans="1:4">
      <c r="A151">
        <v>1308</v>
      </c>
      <c r="B151" t="s">
        <v>4805</v>
      </c>
      <c r="C151">
        <v>31</v>
      </c>
      <c r="D151">
        <v>150</v>
      </c>
    </row>
    <row r="152" spans="1:4">
      <c r="A152">
        <v>2637</v>
      </c>
      <c r="B152" t="s">
        <v>5199</v>
      </c>
      <c r="C152">
        <v>31</v>
      </c>
      <c r="D152">
        <v>150</v>
      </c>
    </row>
    <row r="153" spans="1:4">
      <c r="A153">
        <v>2743</v>
      </c>
      <c r="B153" t="s">
        <v>5216</v>
      </c>
      <c r="C153">
        <v>31</v>
      </c>
      <c r="D153">
        <v>150</v>
      </c>
    </row>
    <row r="154" spans="1:4">
      <c r="A154">
        <v>2886</v>
      </c>
      <c r="B154" t="s">
        <v>5240</v>
      </c>
      <c r="C154">
        <v>31</v>
      </c>
      <c r="D154">
        <v>150</v>
      </c>
    </row>
    <row r="155" spans="1:4">
      <c r="A155">
        <v>6756</v>
      </c>
      <c r="B155" t="s">
        <v>5945</v>
      </c>
      <c r="C155">
        <v>31</v>
      </c>
      <c r="D155">
        <v>150</v>
      </c>
    </row>
    <row r="156" spans="1:4">
      <c r="A156">
        <v>8071</v>
      </c>
      <c r="B156" t="s">
        <v>5969</v>
      </c>
      <c r="C156">
        <v>31</v>
      </c>
      <c r="D156">
        <v>150</v>
      </c>
    </row>
    <row r="157" spans="1:4">
      <c r="A157">
        <v>2337</v>
      </c>
      <c r="B157" t="s">
        <v>5046</v>
      </c>
      <c r="C157">
        <v>30</v>
      </c>
      <c r="D157">
        <v>156</v>
      </c>
    </row>
    <row r="158" spans="1:4">
      <c r="A158">
        <v>2880</v>
      </c>
      <c r="B158" t="s">
        <v>5234</v>
      </c>
      <c r="C158">
        <v>30</v>
      </c>
      <c r="D158">
        <v>156</v>
      </c>
    </row>
    <row r="159" spans="1:4">
      <c r="A159">
        <v>2892</v>
      </c>
      <c r="B159" t="s">
        <v>5246</v>
      </c>
      <c r="C159">
        <v>30</v>
      </c>
      <c r="D159">
        <v>156</v>
      </c>
    </row>
    <row r="160" spans="1:4">
      <c r="A160">
        <v>3558</v>
      </c>
      <c r="B160" t="s">
        <v>5449</v>
      </c>
      <c r="C160">
        <v>30</v>
      </c>
      <c r="D160">
        <v>156</v>
      </c>
    </row>
    <row r="161" spans="1:4">
      <c r="A161">
        <v>3714</v>
      </c>
      <c r="B161" t="s">
        <v>5504</v>
      </c>
      <c r="C161">
        <v>30</v>
      </c>
      <c r="D161">
        <v>156</v>
      </c>
    </row>
    <row r="162" spans="1:4">
      <c r="A162">
        <v>6190</v>
      </c>
      <c r="B162" t="s">
        <v>5797</v>
      </c>
      <c r="C162">
        <v>30</v>
      </c>
      <c r="D162">
        <v>156</v>
      </c>
    </row>
    <row r="163" spans="1:4">
      <c r="A163">
        <v>6243</v>
      </c>
      <c r="B163" t="s">
        <v>5831</v>
      </c>
      <c r="C163">
        <v>30</v>
      </c>
      <c r="D163">
        <v>156</v>
      </c>
    </row>
    <row r="164" spans="1:4">
      <c r="A164">
        <v>8358</v>
      </c>
      <c r="B164" t="s">
        <v>6013</v>
      </c>
      <c r="C164">
        <v>30</v>
      </c>
      <c r="D164">
        <v>156</v>
      </c>
    </row>
    <row r="165" spans="1:4">
      <c r="A165">
        <v>1762</v>
      </c>
      <c r="B165" t="s">
        <v>4949</v>
      </c>
      <c r="C165">
        <v>29</v>
      </c>
      <c r="D165">
        <v>164</v>
      </c>
    </row>
    <row r="166" spans="1:4">
      <c r="A166">
        <v>2233</v>
      </c>
      <c r="B166" t="s">
        <v>5022</v>
      </c>
      <c r="C166">
        <v>29</v>
      </c>
      <c r="D166">
        <v>164</v>
      </c>
    </row>
    <row r="167" spans="1:4">
      <c r="A167">
        <v>2406</v>
      </c>
      <c r="B167" t="s">
        <v>5091</v>
      </c>
      <c r="C167">
        <v>29</v>
      </c>
      <c r="D167">
        <v>164</v>
      </c>
    </row>
    <row r="168" spans="1:4">
      <c r="A168">
        <v>2606</v>
      </c>
      <c r="B168" t="s">
        <v>5183</v>
      </c>
      <c r="C168">
        <v>29</v>
      </c>
      <c r="D168">
        <v>164</v>
      </c>
    </row>
    <row r="169" spans="1:4">
      <c r="A169">
        <v>3092</v>
      </c>
      <c r="B169" t="s">
        <v>5317</v>
      </c>
      <c r="C169">
        <v>29</v>
      </c>
      <c r="D169">
        <v>164</v>
      </c>
    </row>
    <row r="170" spans="1:4">
      <c r="A170">
        <v>3552</v>
      </c>
      <c r="B170" t="s">
        <v>5446</v>
      </c>
      <c r="C170">
        <v>29</v>
      </c>
      <c r="D170">
        <v>164</v>
      </c>
    </row>
    <row r="171" spans="1:4">
      <c r="A171">
        <v>3583</v>
      </c>
      <c r="B171" t="s">
        <v>5455</v>
      </c>
      <c r="C171">
        <v>29</v>
      </c>
      <c r="D171">
        <v>164</v>
      </c>
    </row>
    <row r="172" spans="1:4">
      <c r="A172">
        <v>3587</v>
      </c>
      <c r="B172" t="s">
        <v>5456</v>
      </c>
      <c r="C172">
        <v>29</v>
      </c>
      <c r="D172">
        <v>164</v>
      </c>
    </row>
    <row r="173" spans="1:4">
      <c r="A173">
        <v>3665</v>
      </c>
      <c r="B173" t="s">
        <v>5480</v>
      </c>
      <c r="C173">
        <v>29</v>
      </c>
      <c r="D173">
        <v>164</v>
      </c>
    </row>
    <row r="174" spans="1:4">
      <c r="A174">
        <v>5014</v>
      </c>
      <c r="B174" t="s">
        <v>5643</v>
      </c>
      <c r="C174">
        <v>29</v>
      </c>
      <c r="D174">
        <v>164</v>
      </c>
    </row>
    <row r="175" spans="1:4">
      <c r="A175">
        <v>5272</v>
      </c>
      <c r="B175" t="s">
        <v>5661</v>
      </c>
      <c r="C175">
        <v>29</v>
      </c>
      <c r="D175">
        <v>164</v>
      </c>
    </row>
    <row r="176" spans="1:4">
      <c r="A176">
        <v>6278</v>
      </c>
      <c r="B176" t="s">
        <v>5848</v>
      </c>
      <c r="C176">
        <v>29</v>
      </c>
      <c r="D176">
        <v>164</v>
      </c>
    </row>
    <row r="177" spans="1:4">
      <c r="A177">
        <v>6435</v>
      </c>
      <c r="B177" t="s">
        <v>5868</v>
      </c>
      <c r="C177">
        <v>29</v>
      </c>
      <c r="D177">
        <v>164</v>
      </c>
    </row>
    <row r="178" spans="1:4">
      <c r="A178">
        <v>8215</v>
      </c>
      <c r="B178" t="s">
        <v>6000</v>
      </c>
      <c r="C178">
        <v>29</v>
      </c>
      <c r="D178">
        <v>164</v>
      </c>
    </row>
    <row r="179" spans="1:4">
      <c r="A179">
        <v>2412</v>
      </c>
      <c r="B179" t="s">
        <v>5094</v>
      </c>
      <c r="C179">
        <v>28</v>
      </c>
      <c r="D179">
        <v>178</v>
      </c>
    </row>
    <row r="180" spans="1:4">
      <c r="A180">
        <v>2457</v>
      </c>
      <c r="B180" t="s">
        <v>5121</v>
      </c>
      <c r="C180">
        <v>28</v>
      </c>
      <c r="D180">
        <v>178</v>
      </c>
    </row>
    <row r="181" spans="1:4">
      <c r="A181">
        <v>2609</v>
      </c>
      <c r="B181" t="s">
        <v>5186</v>
      </c>
      <c r="C181">
        <v>28</v>
      </c>
      <c r="D181">
        <v>178</v>
      </c>
    </row>
    <row r="182" spans="1:4">
      <c r="A182">
        <v>3003</v>
      </c>
      <c r="B182" t="s">
        <v>5265</v>
      </c>
      <c r="C182">
        <v>28</v>
      </c>
      <c r="D182">
        <v>178</v>
      </c>
    </row>
    <row r="183" spans="1:4">
      <c r="A183">
        <v>3535</v>
      </c>
      <c r="B183" t="s">
        <v>5436</v>
      </c>
      <c r="C183">
        <v>28</v>
      </c>
      <c r="D183">
        <v>178</v>
      </c>
    </row>
    <row r="184" spans="1:4">
      <c r="A184">
        <v>5880</v>
      </c>
      <c r="B184" t="s">
        <v>5728</v>
      </c>
      <c r="C184">
        <v>28</v>
      </c>
      <c r="D184">
        <v>178</v>
      </c>
    </row>
    <row r="185" spans="1:4">
      <c r="A185">
        <v>6143</v>
      </c>
      <c r="B185" t="s">
        <v>5764</v>
      </c>
      <c r="C185">
        <v>28</v>
      </c>
      <c r="D185">
        <v>178</v>
      </c>
    </row>
    <row r="186" spans="1:4">
      <c r="A186">
        <v>8040</v>
      </c>
      <c r="B186" t="s">
        <v>5958</v>
      </c>
      <c r="C186">
        <v>28</v>
      </c>
      <c r="D186">
        <v>178</v>
      </c>
    </row>
    <row r="187" spans="1:4">
      <c r="A187">
        <v>1101</v>
      </c>
      <c r="B187" t="s">
        <v>4771</v>
      </c>
      <c r="C187">
        <v>27</v>
      </c>
      <c r="D187">
        <v>186</v>
      </c>
    </row>
    <row r="188" spans="1:4">
      <c r="A188">
        <v>2484</v>
      </c>
      <c r="B188" t="s">
        <v>5142</v>
      </c>
      <c r="C188">
        <v>27</v>
      </c>
      <c r="D188">
        <v>186</v>
      </c>
    </row>
    <row r="189" spans="1:4">
      <c r="A189">
        <v>4755</v>
      </c>
      <c r="B189" t="s">
        <v>5597</v>
      </c>
      <c r="C189">
        <v>27</v>
      </c>
      <c r="D189">
        <v>186</v>
      </c>
    </row>
    <row r="190" spans="1:4">
      <c r="A190">
        <v>6265</v>
      </c>
      <c r="B190" t="s">
        <v>5839</v>
      </c>
      <c r="C190">
        <v>27</v>
      </c>
      <c r="D190">
        <v>186</v>
      </c>
    </row>
    <row r="191" spans="1:4">
      <c r="A191">
        <v>6282</v>
      </c>
      <c r="B191" t="s">
        <v>5851</v>
      </c>
      <c r="C191">
        <v>27</v>
      </c>
      <c r="D191">
        <v>186</v>
      </c>
    </row>
    <row r="192" spans="1:4">
      <c r="A192">
        <v>8104</v>
      </c>
      <c r="B192" t="s">
        <v>5982</v>
      </c>
      <c r="C192">
        <v>27</v>
      </c>
      <c r="D192">
        <v>186</v>
      </c>
    </row>
    <row r="193" spans="1:4">
      <c r="A193">
        <v>1570</v>
      </c>
      <c r="B193" t="s">
        <v>4893</v>
      </c>
      <c r="C193">
        <v>26</v>
      </c>
      <c r="D193">
        <v>192</v>
      </c>
    </row>
    <row r="194" spans="1:4">
      <c r="A194">
        <v>1722</v>
      </c>
      <c r="B194" t="s">
        <v>4934</v>
      </c>
      <c r="C194">
        <v>26</v>
      </c>
      <c r="D194">
        <v>192</v>
      </c>
    </row>
    <row r="195" spans="1:4">
      <c r="A195">
        <v>1795</v>
      </c>
      <c r="B195" t="s">
        <v>4958</v>
      </c>
      <c r="C195">
        <v>26</v>
      </c>
      <c r="D195">
        <v>192</v>
      </c>
    </row>
    <row r="196" spans="1:4">
      <c r="A196">
        <v>2027</v>
      </c>
      <c r="B196" t="s">
        <v>4986</v>
      </c>
      <c r="C196">
        <v>26</v>
      </c>
      <c r="D196">
        <v>192</v>
      </c>
    </row>
    <row r="197" spans="1:4">
      <c r="A197">
        <v>2032</v>
      </c>
      <c r="B197" t="s">
        <v>4991</v>
      </c>
      <c r="C197">
        <v>26</v>
      </c>
      <c r="D197">
        <v>192</v>
      </c>
    </row>
    <row r="198" spans="1:4">
      <c r="A198">
        <v>2371</v>
      </c>
      <c r="B198" t="s">
        <v>5070</v>
      </c>
      <c r="C198">
        <v>26</v>
      </c>
      <c r="D198">
        <v>192</v>
      </c>
    </row>
    <row r="199" spans="1:4">
      <c r="A199">
        <v>4804</v>
      </c>
      <c r="B199" t="s">
        <v>5602</v>
      </c>
      <c r="C199">
        <v>26</v>
      </c>
      <c r="D199">
        <v>192</v>
      </c>
    </row>
    <row r="200" spans="1:4">
      <c r="A200">
        <v>8097</v>
      </c>
      <c r="B200" t="s">
        <v>5979</v>
      </c>
      <c r="C200">
        <v>26</v>
      </c>
      <c r="D200">
        <v>192</v>
      </c>
    </row>
    <row r="201" spans="1:4">
      <c r="A201">
        <v>8299</v>
      </c>
      <c r="B201" t="s">
        <v>6010</v>
      </c>
      <c r="C201">
        <v>26</v>
      </c>
      <c r="D201">
        <v>192</v>
      </c>
    </row>
    <row r="202" spans="1:4">
      <c r="A202">
        <v>9958</v>
      </c>
      <c r="B202" t="s">
        <v>6100</v>
      </c>
      <c r="C202">
        <v>26</v>
      </c>
      <c r="D202">
        <v>192</v>
      </c>
    </row>
    <row r="203" spans="1:4">
      <c r="A203">
        <v>1303</v>
      </c>
      <c r="B203" t="s">
        <v>4801</v>
      </c>
      <c r="C203">
        <v>25</v>
      </c>
      <c r="D203">
        <v>202</v>
      </c>
    </row>
    <row r="204" spans="1:4">
      <c r="A204">
        <v>1605</v>
      </c>
      <c r="B204" t="s">
        <v>4910</v>
      </c>
      <c r="C204">
        <v>25</v>
      </c>
      <c r="D204">
        <v>202</v>
      </c>
    </row>
    <row r="205" spans="1:4">
      <c r="A205">
        <v>2013</v>
      </c>
      <c r="B205" t="s">
        <v>4979</v>
      </c>
      <c r="C205">
        <v>25</v>
      </c>
      <c r="D205">
        <v>202</v>
      </c>
    </row>
    <row r="206" spans="1:4">
      <c r="A206">
        <v>2393</v>
      </c>
      <c r="B206" t="s">
        <v>5084</v>
      </c>
      <c r="C206">
        <v>25</v>
      </c>
      <c r="D206">
        <v>202</v>
      </c>
    </row>
    <row r="207" spans="1:4">
      <c r="A207">
        <v>2612</v>
      </c>
      <c r="B207" t="s">
        <v>5189</v>
      </c>
      <c r="C207">
        <v>25</v>
      </c>
      <c r="D207">
        <v>202</v>
      </c>
    </row>
    <row r="208" spans="1:4">
      <c r="A208">
        <v>3481</v>
      </c>
      <c r="B208" t="s">
        <v>5414</v>
      </c>
      <c r="C208">
        <v>25</v>
      </c>
      <c r="D208">
        <v>202</v>
      </c>
    </row>
    <row r="209" spans="1:4">
      <c r="A209">
        <v>4503</v>
      </c>
      <c r="B209" t="s">
        <v>5553</v>
      </c>
      <c r="C209">
        <v>25</v>
      </c>
      <c r="D209">
        <v>202</v>
      </c>
    </row>
    <row r="210" spans="1:4">
      <c r="A210">
        <v>5609</v>
      </c>
      <c r="B210" t="s">
        <v>5722</v>
      </c>
      <c r="C210">
        <v>25</v>
      </c>
      <c r="D210">
        <v>202</v>
      </c>
    </row>
    <row r="211" spans="1:4">
      <c r="A211">
        <v>6196</v>
      </c>
      <c r="B211" t="s">
        <v>5800</v>
      </c>
      <c r="C211">
        <v>25</v>
      </c>
      <c r="D211">
        <v>202</v>
      </c>
    </row>
    <row r="212" spans="1:4">
      <c r="A212">
        <v>6508</v>
      </c>
      <c r="B212" t="s">
        <v>5892</v>
      </c>
      <c r="C212">
        <v>25</v>
      </c>
      <c r="D212">
        <v>202</v>
      </c>
    </row>
    <row r="213" spans="1:4">
      <c r="A213">
        <v>8112</v>
      </c>
      <c r="B213" t="s">
        <v>5987</v>
      </c>
      <c r="C213">
        <v>25</v>
      </c>
      <c r="D213">
        <v>202</v>
      </c>
    </row>
    <row r="214" spans="1:4">
      <c r="A214">
        <v>8924</v>
      </c>
      <c r="B214" t="s">
        <v>6055</v>
      </c>
      <c r="C214">
        <v>25</v>
      </c>
      <c r="D214">
        <v>202</v>
      </c>
    </row>
    <row r="215" spans="1:4">
      <c r="A215">
        <v>1584</v>
      </c>
      <c r="B215" t="s">
        <v>4897</v>
      </c>
      <c r="C215">
        <v>24</v>
      </c>
      <c r="D215">
        <v>214</v>
      </c>
    </row>
    <row r="216" spans="1:4">
      <c r="A216">
        <v>2069</v>
      </c>
      <c r="B216" t="s">
        <v>5000</v>
      </c>
      <c r="C216">
        <v>24</v>
      </c>
      <c r="D216">
        <v>214</v>
      </c>
    </row>
    <row r="217" spans="1:4">
      <c r="A217">
        <v>2605</v>
      </c>
      <c r="B217" t="s">
        <v>5182</v>
      </c>
      <c r="C217">
        <v>24</v>
      </c>
      <c r="D217">
        <v>214</v>
      </c>
    </row>
    <row r="218" spans="1:4">
      <c r="A218">
        <v>3016</v>
      </c>
      <c r="B218" t="s">
        <v>5274</v>
      </c>
      <c r="C218">
        <v>24</v>
      </c>
      <c r="D218">
        <v>214</v>
      </c>
    </row>
    <row r="219" spans="1:4">
      <c r="A219">
        <v>3322</v>
      </c>
      <c r="B219" t="s">
        <v>6180</v>
      </c>
      <c r="C219">
        <v>24</v>
      </c>
      <c r="D219">
        <v>214</v>
      </c>
    </row>
    <row r="220" spans="1:4">
      <c r="A220">
        <v>3483</v>
      </c>
      <c r="B220" t="s">
        <v>5415</v>
      </c>
      <c r="C220">
        <v>24</v>
      </c>
      <c r="D220">
        <v>214</v>
      </c>
    </row>
    <row r="221" spans="1:4">
      <c r="A221">
        <v>3499</v>
      </c>
      <c r="B221" t="s">
        <v>5421</v>
      </c>
      <c r="C221">
        <v>24</v>
      </c>
      <c r="D221">
        <v>214</v>
      </c>
    </row>
    <row r="222" spans="1:4">
      <c r="A222">
        <v>3551</v>
      </c>
      <c r="B222" t="s">
        <v>5445</v>
      </c>
      <c r="C222">
        <v>24</v>
      </c>
      <c r="D222">
        <v>214</v>
      </c>
    </row>
    <row r="223" spans="1:4">
      <c r="A223">
        <v>3672</v>
      </c>
      <c r="B223" t="s">
        <v>5483</v>
      </c>
      <c r="C223">
        <v>24</v>
      </c>
      <c r="D223">
        <v>214</v>
      </c>
    </row>
    <row r="224" spans="1:4">
      <c r="A224">
        <v>1325</v>
      </c>
      <c r="B224" t="s">
        <v>4817</v>
      </c>
      <c r="C224">
        <v>23</v>
      </c>
      <c r="D224">
        <v>223</v>
      </c>
    </row>
    <row r="225" spans="1:4">
      <c r="A225">
        <v>3014</v>
      </c>
      <c r="B225" t="s">
        <v>5272</v>
      </c>
      <c r="C225">
        <v>23</v>
      </c>
      <c r="D225">
        <v>223</v>
      </c>
    </row>
    <row r="226" spans="1:4">
      <c r="A226">
        <v>3034</v>
      </c>
      <c r="B226" t="s">
        <v>5289</v>
      </c>
      <c r="C226">
        <v>23</v>
      </c>
      <c r="D226">
        <v>223</v>
      </c>
    </row>
    <row r="227" spans="1:4">
      <c r="A227">
        <v>3363</v>
      </c>
      <c r="B227" t="s">
        <v>5388</v>
      </c>
      <c r="C227">
        <v>23</v>
      </c>
      <c r="D227">
        <v>223</v>
      </c>
    </row>
    <row r="228" spans="1:4">
      <c r="A228">
        <v>4760</v>
      </c>
      <c r="B228" t="s">
        <v>5598</v>
      </c>
      <c r="C228">
        <v>23</v>
      </c>
      <c r="D228">
        <v>223</v>
      </c>
    </row>
    <row r="229" spans="1:4">
      <c r="A229">
        <v>4904</v>
      </c>
      <c r="B229" t="s">
        <v>5604</v>
      </c>
      <c r="C229">
        <v>23</v>
      </c>
      <c r="D229">
        <v>223</v>
      </c>
    </row>
    <row r="230" spans="1:4">
      <c r="A230">
        <v>4915</v>
      </c>
      <c r="B230" t="s">
        <v>5609</v>
      </c>
      <c r="C230">
        <v>23</v>
      </c>
      <c r="D230">
        <v>223</v>
      </c>
    </row>
    <row r="231" spans="1:4">
      <c r="A231">
        <v>6672</v>
      </c>
      <c r="B231" t="s">
        <v>5935</v>
      </c>
      <c r="C231">
        <v>23</v>
      </c>
      <c r="D231">
        <v>223</v>
      </c>
    </row>
    <row r="232" spans="1:4">
      <c r="A232">
        <v>1709</v>
      </c>
      <c r="B232" t="s">
        <v>4924</v>
      </c>
      <c r="C232">
        <v>22</v>
      </c>
      <c r="D232">
        <v>231</v>
      </c>
    </row>
    <row r="233" spans="1:4">
      <c r="A233">
        <v>2031</v>
      </c>
      <c r="B233" t="s">
        <v>4990</v>
      </c>
      <c r="C233">
        <v>22</v>
      </c>
      <c r="D233">
        <v>231</v>
      </c>
    </row>
    <row r="234" spans="1:4">
      <c r="A234">
        <v>2401</v>
      </c>
      <c r="B234" t="s">
        <v>5088</v>
      </c>
      <c r="C234">
        <v>22</v>
      </c>
      <c r="D234">
        <v>231</v>
      </c>
    </row>
    <row r="235" spans="1:4">
      <c r="A235">
        <v>2615</v>
      </c>
      <c r="B235" t="s">
        <v>5192</v>
      </c>
      <c r="C235">
        <v>22</v>
      </c>
      <c r="D235">
        <v>231</v>
      </c>
    </row>
    <row r="236" spans="1:4">
      <c r="A236">
        <v>2801</v>
      </c>
      <c r="B236" t="s">
        <v>5218</v>
      </c>
      <c r="C236">
        <v>22</v>
      </c>
      <c r="D236">
        <v>231</v>
      </c>
    </row>
    <row r="237" spans="1:4">
      <c r="A237">
        <v>3094</v>
      </c>
      <c r="B237" t="s">
        <v>5318</v>
      </c>
      <c r="C237">
        <v>22</v>
      </c>
      <c r="D237">
        <v>231</v>
      </c>
    </row>
    <row r="238" spans="1:4">
      <c r="A238">
        <v>3533</v>
      </c>
      <c r="B238" t="s">
        <v>5435</v>
      </c>
      <c r="C238">
        <v>22</v>
      </c>
      <c r="D238">
        <v>231</v>
      </c>
    </row>
    <row r="239" spans="1:4">
      <c r="A239">
        <v>3645</v>
      </c>
      <c r="B239" t="s">
        <v>5474</v>
      </c>
      <c r="C239">
        <v>22</v>
      </c>
      <c r="D239">
        <v>231</v>
      </c>
    </row>
    <row r="240" spans="1:4">
      <c r="A240">
        <v>4121</v>
      </c>
      <c r="B240" t="s">
        <v>5516</v>
      </c>
      <c r="C240">
        <v>22</v>
      </c>
      <c r="D240">
        <v>231</v>
      </c>
    </row>
    <row r="241" spans="1:4">
      <c r="A241">
        <v>4906</v>
      </c>
      <c r="B241" t="s">
        <v>5605</v>
      </c>
      <c r="C241">
        <v>22</v>
      </c>
      <c r="D241">
        <v>231</v>
      </c>
    </row>
    <row r="242" spans="1:4">
      <c r="A242">
        <v>5603</v>
      </c>
      <c r="B242" t="s">
        <v>5719</v>
      </c>
      <c r="C242">
        <v>22</v>
      </c>
      <c r="D242">
        <v>231</v>
      </c>
    </row>
    <row r="243" spans="1:4">
      <c r="A243">
        <v>6603</v>
      </c>
      <c r="B243" t="s">
        <v>5917</v>
      </c>
      <c r="C243">
        <v>22</v>
      </c>
      <c r="D243">
        <v>231</v>
      </c>
    </row>
    <row r="244" spans="1:4">
      <c r="A244">
        <v>8064</v>
      </c>
      <c r="B244" t="s">
        <v>5966</v>
      </c>
      <c r="C244">
        <v>22</v>
      </c>
      <c r="D244">
        <v>231</v>
      </c>
    </row>
    <row r="245" spans="1:4">
      <c r="A245">
        <v>1402</v>
      </c>
      <c r="B245" t="s">
        <v>4825</v>
      </c>
      <c r="C245">
        <v>21</v>
      </c>
      <c r="D245">
        <v>244</v>
      </c>
    </row>
    <row r="246" spans="1:4">
      <c r="A246">
        <v>2329</v>
      </c>
      <c r="B246" t="s">
        <v>5042</v>
      </c>
      <c r="C246">
        <v>21</v>
      </c>
      <c r="D246">
        <v>244</v>
      </c>
    </row>
    <row r="247" spans="1:4">
      <c r="A247">
        <v>2359</v>
      </c>
      <c r="B247" t="s">
        <v>5062</v>
      </c>
      <c r="C247">
        <v>21</v>
      </c>
      <c r="D247">
        <v>244</v>
      </c>
    </row>
    <row r="248" spans="1:4">
      <c r="A248">
        <v>3128</v>
      </c>
      <c r="B248" t="s">
        <v>5323</v>
      </c>
      <c r="C248">
        <v>21</v>
      </c>
      <c r="D248">
        <v>244</v>
      </c>
    </row>
    <row r="249" spans="1:4">
      <c r="A249">
        <v>3419</v>
      </c>
      <c r="B249" t="s">
        <v>5401</v>
      </c>
      <c r="C249">
        <v>21</v>
      </c>
      <c r="D249">
        <v>244</v>
      </c>
    </row>
    <row r="250" spans="1:4">
      <c r="A250">
        <v>6170</v>
      </c>
      <c r="B250" t="s">
        <v>5781</v>
      </c>
      <c r="C250">
        <v>21</v>
      </c>
      <c r="D250">
        <v>244</v>
      </c>
    </row>
    <row r="251" spans="1:4">
      <c r="A251">
        <v>6174</v>
      </c>
      <c r="B251" t="s">
        <v>5783</v>
      </c>
      <c r="C251">
        <v>21</v>
      </c>
      <c r="D251">
        <v>244</v>
      </c>
    </row>
    <row r="252" spans="1:4">
      <c r="A252">
        <v>6233</v>
      </c>
      <c r="B252" t="s">
        <v>5825</v>
      </c>
      <c r="C252">
        <v>21</v>
      </c>
      <c r="D252">
        <v>244</v>
      </c>
    </row>
    <row r="253" spans="1:4">
      <c r="A253">
        <v>8201</v>
      </c>
      <c r="B253" t="s">
        <v>5997</v>
      </c>
      <c r="C253">
        <v>21</v>
      </c>
      <c r="D253">
        <v>244</v>
      </c>
    </row>
    <row r="254" spans="1:4">
      <c r="A254">
        <v>1305</v>
      </c>
      <c r="B254" t="s">
        <v>4803</v>
      </c>
      <c r="C254">
        <v>20</v>
      </c>
      <c r="D254">
        <v>253</v>
      </c>
    </row>
    <row r="255" spans="1:4">
      <c r="A255">
        <v>2002</v>
      </c>
      <c r="B255" t="s">
        <v>4972</v>
      </c>
      <c r="C255">
        <v>20</v>
      </c>
      <c r="D255">
        <v>253</v>
      </c>
    </row>
    <row r="256" spans="1:4">
      <c r="A256">
        <v>2344</v>
      </c>
      <c r="B256" t="s">
        <v>5050</v>
      </c>
      <c r="C256">
        <v>20</v>
      </c>
      <c r="D256">
        <v>253</v>
      </c>
    </row>
    <row r="257" spans="1:4">
      <c r="A257">
        <v>2353</v>
      </c>
      <c r="B257" t="s">
        <v>5056</v>
      </c>
      <c r="C257">
        <v>20</v>
      </c>
      <c r="D257">
        <v>253</v>
      </c>
    </row>
    <row r="258" spans="1:4">
      <c r="A258">
        <v>2356</v>
      </c>
      <c r="B258" t="s">
        <v>5059</v>
      </c>
      <c r="C258">
        <v>20</v>
      </c>
      <c r="D258">
        <v>253</v>
      </c>
    </row>
    <row r="259" spans="1:4">
      <c r="A259">
        <v>2399</v>
      </c>
      <c r="B259" t="s">
        <v>5087</v>
      </c>
      <c r="C259">
        <v>20</v>
      </c>
      <c r="D259">
        <v>253</v>
      </c>
    </row>
    <row r="260" spans="1:4">
      <c r="A260">
        <v>2613</v>
      </c>
      <c r="B260" t="s">
        <v>5190</v>
      </c>
      <c r="C260">
        <v>20</v>
      </c>
      <c r="D260">
        <v>253</v>
      </c>
    </row>
    <row r="261" spans="1:4">
      <c r="A261">
        <v>2887</v>
      </c>
      <c r="B261" t="s">
        <v>5241</v>
      </c>
      <c r="C261">
        <v>20</v>
      </c>
      <c r="D261">
        <v>253</v>
      </c>
    </row>
    <row r="262" spans="1:4">
      <c r="A262">
        <v>3050</v>
      </c>
      <c r="B262" t="s">
        <v>5302</v>
      </c>
      <c r="C262">
        <v>20</v>
      </c>
      <c r="D262">
        <v>253</v>
      </c>
    </row>
    <row r="263" spans="1:4">
      <c r="A263">
        <v>3532</v>
      </c>
      <c r="B263" t="s">
        <v>5434</v>
      </c>
      <c r="C263">
        <v>20</v>
      </c>
      <c r="D263">
        <v>253</v>
      </c>
    </row>
    <row r="264" spans="1:4">
      <c r="A264">
        <v>3546</v>
      </c>
      <c r="B264" t="s">
        <v>5442</v>
      </c>
      <c r="C264">
        <v>20</v>
      </c>
      <c r="D264">
        <v>253</v>
      </c>
    </row>
    <row r="265" spans="1:4">
      <c r="A265">
        <v>3702</v>
      </c>
      <c r="B265" t="s">
        <v>5495</v>
      </c>
      <c r="C265">
        <v>20</v>
      </c>
      <c r="D265">
        <v>253</v>
      </c>
    </row>
    <row r="266" spans="1:4">
      <c r="A266">
        <v>4958</v>
      </c>
      <c r="B266" t="s">
        <v>5624</v>
      </c>
      <c r="C266">
        <v>20</v>
      </c>
      <c r="D266">
        <v>253</v>
      </c>
    </row>
    <row r="267" spans="1:4">
      <c r="A267">
        <v>5245</v>
      </c>
      <c r="B267" t="s">
        <v>5656</v>
      </c>
      <c r="C267">
        <v>20</v>
      </c>
      <c r="D267">
        <v>253</v>
      </c>
    </row>
    <row r="268" spans="1:4">
      <c r="A268">
        <v>6231</v>
      </c>
      <c r="B268" t="s">
        <v>5824</v>
      </c>
      <c r="C268">
        <v>20</v>
      </c>
      <c r="D268">
        <v>253</v>
      </c>
    </row>
    <row r="269" spans="1:4">
      <c r="A269">
        <v>6266</v>
      </c>
      <c r="B269" t="s">
        <v>5840</v>
      </c>
      <c r="C269">
        <v>20</v>
      </c>
      <c r="D269">
        <v>253</v>
      </c>
    </row>
    <row r="270" spans="1:4">
      <c r="A270">
        <v>6510</v>
      </c>
      <c r="B270" t="s">
        <v>5894</v>
      </c>
      <c r="C270">
        <v>20</v>
      </c>
      <c r="D270">
        <v>253</v>
      </c>
    </row>
    <row r="271" spans="1:4">
      <c r="A271">
        <v>8150</v>
      </c>
      <c r="B271" t="s">
        <v>5991</v>
      </c>
      <c r="C271">
        <v>20</v>
      </c>
      <c r="D271">
        <v>253</v>
      </c>
    </row>
    <row r="272" spans="1:4">
      <c r="A272">
        <v>8996</v>
      </c>
      <c r="B272" t="s">
        <v>6064</v>
      </c>
      <c r="C272">
        <v>20</v>
      </c>
      <c r="D272">
        <v>253</v>
      </c>
    </row>
    <row r="273" spans="1:4">
      <c r="A273">
        <v>2221</v>
      </c>
      <c r="B273" t="s">
        <v>5018</v>
      </c>
      <c r="C273">
        <v>19</v>
      </c>
      <c r="D273">
        <v>272</v>
      </c>
    </row>
    <row r="274" spans="1:4">
      <c r="A274">
        <v>2347</v>
      </c>
      <c r="B274" t="s">
        <v>5052</v>
      </c>
      <c r="C274">
        <v>19</v>
      </c>
      <c r="D274">
        <v>272</v>
      </c>
    </row>
    <row r="275" spans="1:4">
      <c r="A275">
        <v>2426</v>
      </c>
      <c r="B275" t="s">
        <v>5104</v>
      </c>
      <c r="C275">
        <v>19</v>
      </c>
      <c r="D275">
        <v>272</v>
      </c>
    </row>
    <row r="276" spans="1:4">
      <c r="A276">
        <v>2883</v>
      </c>
      <c r="B276" t="s">
        <v>5237</v>
      </c>
      <c r="C276">
        <v>19</v>
      </c>
      <c r="D276">
        <v>272</v>
      </c>
    </row>
    <row r="277" spans="1:4">
      <c r="A277">
        <v>3374</v>
      </c>
      <c r="B277" t="s">
        <v>5391</v>
      </c>
      <c r="C277">
        <v>19</v>
      </c>
      <c r="D277">
        <v>272</v>
      </c>
    </row>
    <row r="278" spans="1:4">
      <c r="A278">
        <v>4162</v>
      </c>
      <c r="B278" t="s">
        <v>5531</v>
      </c>
      <c r="C278">
        <v>19</v>
      </c>
      <c r="D278">
        <v>272</v>
      </c>
    </row>
    <row r="279" spans="1:4">
      <c r="A279">
        <v>4736</v>
      </c>
      <c r="B279" t="s">
        <v>5591</v>
      </c>
      <c r="C279">
        <v>19</v>
      </c>
      <c r="D279">
        <v>272</v>
      </c>
    </row>
    <row r="280" spans="1:4">
      <c r="A280">
        <v>5269</v>
      </c>
      <c r="B280" t="s">
        <v>5660</v>
      </c>
      <c r="C280">
        <v>19</v>
      </c>
      <c r="D280">
        <v>272</v>
      </c>
    </row>
    <row r="281" spans="1:4">
      <c r="A281">
        <v>6134</v>
      </c>
      <c r="B281" t="s">
        <v>5758</v>
      </c>
      <c r="C281">
        <v>19</v>
      </c>
      <c r="D281">
        <v>272</v>
      </c>
    </row>
    <row r="282" spans="1:4">
      <c r="A282">
        <v>6525</v>
      </c>
      <c r="B282" t="s">
        <v>5899</v>
      </c>
      <c r="C282">
        <v>19</v>
      </c>
      <c r="D282">
        <v>272</v>
      </c>
    </row>
    <row r="283" spans="1:4">
      <c r="A283">
        <v>8024</v>
      </c>
      <c r="B283" t="s">
        <v>5953</v>
      </c>
      <c r="C283">
        <v>19</v>
      </c>
      <c r="D283">
        <v>272</v>
      </c>
    </row>
    <row r="284" spans="1:4">
      <c r="A284">
        <v>8081</v>
      </c>
      <c r="B284" t="s">
        <v>5973</v>
      </c>
      <c r="C284">
        <v>19</v>
      </c>
      <c r="D284">
        <v>272</v>
      </c>
    </row>
    <row r="285" spans="1:4">
      <c r="A285">
        <v>8111</v>
      </c>
      <c r="B285" t="s">
        <v>5986</v>
      </c>
      <c r="C285">
        <v>19</v>
      </c>
      <c r="D285">
        <v>272</v>
      </c>
    </row>
    <row r="286" spans="1:4">
      <c r="A286">
        <v>8431</v>
      </c>
      <c r="B286" t="s">
        <v>6026</v>
      </c>
      <c r="C286">
        <v>19</v>
      </c>
      <c r="D286">
        <v>272</v>
      </c>
    </row>
    <row r="287" spans="1:4">
      <c r="A287">
        <v>2303</v>
      </c>
      <c r="B287" t="s">
        <v>5031</v>
      </c>
      <c r="C287">
        <v>18</v>
      </c>
      <c r="D287">
        <v>286</v>
      </c>
    </row>
    <row r="288" spans="1:4">
      <c r="A288">
        <v>2323</v>
      </c>
      <c r="B288" t="s">
        <v>5038</v>
      </c>
      <c r="C288">
        <v>18</v>
      </c>
      <c r="D288">
        <v>286</v>
      </c>
    </row>
    <row r="289" spans="1:4">
      <c r="A289">
        <v>2363</v>
      </c>
      <c r="B289" t="s">
        <v>5065</v>
      </c>
      <c r="C289">
        <v>18</v>
      </c>
      <c r="D289">
        <v>286</v>
      </c>
    </row>
    <row r="290" spans="1:4">
      <c r="A290">
        <v>2388</v>
      </c>
      <c r="B290" t="s">
        <v>5081</v>
      </c>
      <c r="C290">
        <v>18</v>
      </c>
      <c r="D290">
        <v>286</v>
      </c>
    </row>
    <row r="291" spans="1:4">
      <c r="A291">
        <v>2409</v>
      </c>
      <c r="B291" t="s">
        <v>5093</v>
      </c>
      <c r="C291">
        <v>18</v>
      </c>
      <c r="D291">
        <v>286</v>
      </c>
    </row>
    <row r="292" spans="1:4">
      <c r="A292">
        <v>2442</v>
      </c>
      <c r="B292" t="s">
        <v>5114</v>
      </c>
      <c r="C292">
        <v>18</v>
      </c>
      <c r="D292">
        <v>286</v>
      </c>
    </row>
    <row r="293" spans="1:4">
      <c r="A293">
        <v>3042</v>
      </c>
      <c r="B293" t="s">
        <v>5296</v>
      </c>
      <c r="C293">
        <v>18</v>
      </c>
      <c r="D293">
        <v>286</v>
      </c>
    </row>
    <row r="294" spans="1:4">
      <c r="A294">
        <v>3045</v>
      </c>
      <c r="B294" t="s">
        <v>5298</v>
      </c>
      <c r="C294">
        <v>18</v>
      </c>
      <c r="D294">
        <v>286</v>
      </c>
    </row>
    <row r="295" spans="1:4">
      <c r="A295">
        <v>4952</v>
      </c>
      <c r="B295" t="s">
        <v>5621</v>
      </c>
      <c r="C295">
        <v>18</v>
      </c>
      <c r="D295">
        <v>286</v>
      </c>
    </row>
    <row r="296" spans="1:4">
      <c r="A296">
        <v>4976</v>
      </c>
      <c r="B296" t="s">
        <v>5633</v>
      </c>
      <c r="C296">
        <v>18</v>
      </c>
      <c r="D296">
        <v>286</v>
      </c>
    </row>
    <row r="297" spans="1:4">
      <c r="A297">
        <v>6158</v>
      </c>
      <c r="B297" t="s">
        <v>5774</v>
      </c>
      <c r="C297">
        <v>18</v>
      </c>
      <c r="D297">
        <v>286</v>
      </c>
    </row>
    <row r="298" spans="1:4">
      <c r="A298">
        <v>6168</v>
      </c>
      <c r="B298" t="s">
        <v>5780</v>
      </c>
      <c r="C298">
        <v>18</v>
      </c>
      <c r="D298">
        <v>286</v>
      </c>
    </row>
    <row r="299" spans="1:4">
      <c r="A299">
        <v>6732</v>
      </c>
      <c r="B299" t="s">
        <v>5941</v>
      </c>
      <c r="C299">
        <v>18</v>
      </c>
      <c r="D299">
        <v>286</v>
      </c>
    </row>
    <row r="300" spans="1:4">
      <c r="A300">
        <v>8028</v>
      </c>
      <c r="B300" t="s">
        <v>5955</v>
      </c>
      <c r="C300">
        <v>18</v>
      </c>
      <c r="D300">
        <v>286</v>
      </c>
    </row>
    <row r="301" spans="1:4">
      <c r="A301">
        <v>1102</v>
      </c>
      <c r="B301" t="s">
        <v>4772</v>
      </c>
      <c r="C301">
        <v>17</v>
      </c>
      <c r="D301">
        <v>300</v>
      </c>
    </row>
    <row r="302" spans="1:4">
      <c r="A302">
        <v>1609</v>
      </c>
      <c r="B302" t="s">
        <v>4912</v>
      </c>
      <c r="C302">
        <v>17</v>
      </c>
      <c r="D302">
        <v>300</v>
      </c>
    </row>
    <row r="303" spans="1:4">
      <c r="A303">
        <v>1611</v>
      </c>
      <c r="B303" t="s">
        <v>4913</v>
      </c>
      <c r="C303">
        <v>17</v>
      </c>
      <c r="D303">
        <v>300</v>
      </c>
    </row>
    <row r="304" spans="1:4">
      <c r="A304">
        <v>2374</v>
      </c>
      <c r="B304" t="s">
        <v>5072</v>
      </c>
      <c r="C304">
        <v>17</v>
      </c>
      <c r="D304">
        <v>300</v>
      </c>
    </row>
    <row r="305" spans="1:4">
      <c r="A305">
        <v>2617</v>
      </c>
      <c r="B305" t="s">
        <v>5194</v>
      </c>
      <c r="C305">
        <v>17</v>
      </c>
      <c r="D305">
        <v>300</v>
      </c>
    </row>
    <row r="306" spans="1:4">
      <c r="A306">
        <v>2882</v>
      </c>
      <c r="B306" t="s">
        <v>5236</v>
      </c>
      <c r="C306">
        <v>17</v>
      </c>
      <c r="D306">
        <v>300</v>
      </c>
    </row>
    <row r="307" spans="1:4">
      <c r="A307">
        <v>2888</v>
      </c>
      <c r="B307" t="s">
        <v>5242</v>
      </c>
      <c r="C307">
        <v>17</v>
      </c>
      <c r="D307">
        <v>300</v>
      </c>
    </row>
    <row r="308" spans="1:4">
      <c r="A308">
        <v>2890</v>
      </c>
      <c r="B308" t="s">
        <v>5244</v>
      </c>
      <c r="C308">
        <v>17</v>
      </c>
      <c r="D308">
        <v>300</v>
      </c>
    </row>
    <row r="309" spans="1:4">
      <c r="A309">
        <v>2906</v>
      </c>
      <c r="B309" t="s">
        <v>5252</v>
      </c>
      <c r="C309">
        <v>17</v>
      </c>
      <c r="D309">
        <v>300</v>
      </c>
    </row>
    <row r="310" spans="1:4">
      <c r="A310">
        <v>3290</v>
      </c>
      <c r="B310" t="s">
        <v>5365</v>
      </c>
      <c r="C310">
        <v>17</v>
      </c>
      <c r="D310">
        <v>300</v>
      </c>
    </row>
    <row r="311" spans="1:4">
      <c r="A311">
        <v>3413</v>
      </c>
      <c r="B311" t="s">
        <v>5399</v>
      </c>
      <c r="C311">
        <v>17</v>
      </c>
      <c r="D311">
        <v>300</v>
      </c>
    </row>
    <row r="312" spans="1:4">
      <c r="A312">
        <v>3605</v>
      </c>
      <c r="B312" t="s">
        <v>5462</v>
      </c>
      <c r="C312">
        <v>17</v>
      </c>
      <c r="D312">
        <v>300</v>
      </c>
    </row>
    <row r="313" spans="1:4">
      <c r="A313">
        <v>3663</v>
      </c>
      <c r="B313" t="s">
        <v>5479</v>
      </c>
      <c r="C313">
        <v>17</v>
      </c>
      <c r="D313">
        <v>300</v>
      </c>
    </row>
    <row r="314" spans="1:4">
      <c r="A314">
        <v>4960</v>
      </c>
      <c r="B314" t="s">
        <v>5625</v>
      </c>
      <c r="C314">
        <v>17</v>
      </c>
      <c r="D314">
        <v>300</v>
      </c>
    </row>
    <row r="315" spans="1:4">
      <c r="A315">
        <v>5483</v>
      </c>
      <c r="B315" t="s">
        <v>5701</v>
      </c>
      <c r="C315">
        <v>17</v>
      </c>
      <c r="D315">
        <v>300</v>
      </c>
    </row>
    <row r="316" spans="1:4">
      <c r="A316">
        <v>6202</v>
      </c>
      <c r="B316" t="s">
        <v>5803</v>
      </c>
      <c r="C316">
        <v>17</v>
      </c>
      <c r="D316">
        <v>300</v>
      </c>
    </row>
    <row r="317" spans="1:4">
      <c r="A317">
        <v>6257</v>
      </c>
      <c r="B317" t="s">
        <v>5836</v>
      </c>
      <c r="C317">
        <v>17</v>
      </c>
      <c r="D317">
        <v>300</v>
      </c>
    </row>
    <row r="318" spans="1:4">
      <c r="A318">
        <v>6275</v>
      </c>
      <c r="B318" t="s">
        <v>5845</v>
      </c>
      <c r="C318">
        <v>17</v>
      </c>
      <c r="D318">
        <v>300</v>
      </c>
    </row>
    <row r="319" spans="1:4">
      <c r="A319">
        <v>6667</v>
      </c>
      <c r="B319" t="s">
        <v>5930</v>
      </c>
      <c r="C319">
        <v>17</v>
      </c>
      <c r="D319">
        <v>300</v>
      </c>
    </row>
    <row r="320" spans="1:4">
      <c r="A320">
        <v>8021</v>
      </c>
      <c r="B320" t="s">
        <v>5952</v>
      </c>
      <c r="C320">
        <v>17</v>
      </c>
      <c r="D320">
        <v>300</v>
      </c>
    </row>
    <row r="321" spans="1:4">
      <c r="A321">
        <v>8478</v>
      </c>
      <c r="B321" t="s">
        <v>6045</v>
      </c>
      <c r="C321">
        <v>17</v>
      </c>
      <c r="D321">
        <v>300</v>
      </c>
    </row>
    <row r="322" spans="1:4">
      <c r="A322">
        <v>1513</v>
      </c>
      <c r="B322" t="s">
        <v>4864</v>
      </c>
      <c r="C322">
        <v>16</v>
      </c>
      <c r="D322">
        <v>321</v>
      </c>
    </row>
    <row r="323" spans="1:4">
      <c r="A323">
        <v>1783</v>
      </c>
      <c r="B323" t="s">
        <v>4952</v>
      </c>
      <c r="C323">
        <v>16</v>
      </c>
      <c r="D323">
        <v>321</v>
      </c>
    </row>
    <row r="324" spans="1:4">
      <c r="A324">
        <v>2009</v>
      </c>
      <c r="B324" t="s">
        <v>4976</v>
      </c>
      <c r="C324">
        <v>16</v>
      </c>
      <c r="D324">
        <v>321</v>
      </c>
    </row>
    <row r="325" spans="1:4">
      <c r="A325">
        <v>2033</v>
      </c>
      <c r="B325" t="s">
        <v>4992</v>
      </c>
      <c r="C325">
        <v>16</v>
      </c>
      <c r="D325">
        <v>321</v>
      </c>
    </row>
    <row r="326" spans="1:4">
      <c r="A326">
        <v>2312</v>
      </c>
      <c r="B326" t="s">
        <v>5034</v>
      </c>
      <c r="C326">
        <v>16</v>
      </c>
      <c r="D326">
        <v>321</v>
      </c>
    </row>
    <row r="327" spans="1:4">
      <c r="A327">
        <v>2383</v>
      </c>
      <c r="B327" t="s">
        <v>5078</v>
      </c>
      <c r="C327">
        <v>16</v>
      </c>
      <c r="D327">
        <v>321</v>
      </c>
    </row>
    <row r="328" spans="1:4">
      <c r="A328">
        <v>2461</v>
      </c>
      <c r="B328" t="s">
        <v>5125</v>
      </c>
      <c r="C328">
        <v>16</v>
      </c>
      <c r="D328">
        <v>321</v>
      </c>
    </row>
    <row r="329" spans="1:4">
      <c r="A329">
        <v>3312</v>
      </c>
      <c r="B329" t="s">
        <v>5375</v>
      </c>
      <c r="C329">
        <v>16</v>
      </c>
      <c r="D329">
        <v>321</v>
      </c>
    </row>
    <row r="330" spans="1:4">
      <c r="A330">
        <v>3444</v>
      </c>
      <c r="B330" t="s">
        <v>5408</v>
      </c>
      <c r="C330">
        <v>16</v>
      </c>
      <c r="D330">
        <v>321</v>
      </c>
    </row>
    <row r="331" spans="1:4">
      <c r="A331">
        <v>3490</v>
      </c>
      <c r="B331" t="s">
        <v>5417</v>
      </c>
      <c r="C331">
        <v>16</v>
      </c>
      <c r="D331">
        <v>321</v>
      </c>
    </row>
    <row r="332" spans="1:4">
      <c r="A332">
        <v>3511</v>
      </c>
      <c r="B332" t="s">
        <v>5425</v>
      </c>
      <c r="C332">
        <v>16</v>
      </c>
      <c r="D332">
        <v>321</v>
      </c>
    </row>
    <row r="333" spans="1:4">
      <c r="A333">
        <v>3701</v>
      </c>
      <c r="B333" t="s">
        <v>5494</v>
      </c>
      <c r="C333">
        <v>16</v>
      </c>
      <c r="D333">
        <v>321</v>
      </c>
    </row>
    <row r="334" spans="1:4">
      <c r="A334">
        <v>4956</v>
      </c>
      <c r="B334" t="s">
        <v>5623</v>
      </c>
      <c r="C334">
        <v>16</v>
      </c>
      <c r="D334">
        <v>321</v>
      </c>
    </row>
    <row r="335" spans="1:4">
      <c r="A335">
        <v>5457</v>
      </c>
      <c r="B335" t="s">
        <v>5694</v>
      </c>
      <c r="C335">
        <v>16</v>
      </c>
      <c r="D335">
        <v>321</v>
      </c>
    </row>
    <row r="336" spans="1:4">
      <c r="A336">
        <v>6111</v>
      </c>
      <c r="B336" t="s">
        <v>5742</v>
      </c>
      <c r="C336">
        <v>16</v>
      </c>
      <c r="D336">
        <v>321</v>
      </c>
    </row>
    <row r="337" spans="1:4">
      <c r="A337">
        <v>6125</v>
      </c>
      <c r="B337" t="s">
        <v>5753</v>
      </c>
      <c r="C337">
        <v>16</v>
      </c>
      <c r="D337">
        <v>321</v>
      </c>
    </row>
    <row r="338" spans="1:4">
      <c r="A338">
        <v>6147</v>
      </c>
      <c r="B338" t="s">
        <v>5766</v>
      </c>
      <c r="C338">
        <v>16</v>
      </c>
      <c r="D338">
        <v>321</v>
      </c>
    </row>
    <row r="339" spans="1:4">
      <c r="A339">
        <v>6213</v>
      </c>
      <c r="B339" t="s">
        <v>5810</v>
      </c>
      <c r="C339">
        <v>16</v>
      </c>
      <c r="D339">
        <v>321</v>
      </c>
    </row>
    <row r="340" spans="1:4">
      <c r="A340">
        <v>6414</v>
      </c>
      <c r="B340" t="s">
        <v>5862</v>
      </c>
      <c r="C340">
        <v>16</v>
      </c>
      <c r="D340">
        <v>321</v>
      </c>
    </row>
    <row r="341" spans="1:4">
      <c r="A341">
        <v>6514</v>
      </c>
      <c r="B341" t="s">
        <v>5895</v>
      </c>
      <c r="C341">
        <v>16</v>
      </c>
      <c r="D341">
        <v>321</v>
      </c>
    </row>
    <row r="342" spans="1:4">
      <c r="A342">
        <v>8034</v>
      </c>
      <c r="B342" t="s">
        <v>5956</v>
      </c>
      <c r="C342">
        <v>16</v>
      </c>
      <c r="D342">
        <v>321</v>
      </c>
    </row>
    <row r="343" spans="1:4">
      <c r="A343">
        <v>8450</v>
      </c>
      <c r="B343" t="s">
        <v>6036</v>
      </c>
      <c r="C343">
        <v>16</v>
      </c>
      <c r="D343">
        <v>321</v>
      </c>
    </row>
    <row r="344" spans="1:4">
      <c r="A344">
        <v>1455</v>
      </c>
      <c r="B344" t="s">
        <v>4848</v>
      </c>
      <c r="C344">
        <v>15</v>
      </c>
      <c r="D344">
        <v>343</v>
      </c>
    </row>
    <row r="345" spans="1:4">
      <c r="A345">
        <v>1734</v>
      </c>
      <c r="B345" t="s">
        <v>4942</v>
      </c>
      <c r="C345">
        <v>15</v>
      </c>
      <c r="D345">
        <v>343</v>
      </c>
    </row>
    <row r="346" spans="1:4">
      <c r="A346">
        <v>1785</v>
      </c>
      <c r="B346" t="s">
        <v>4954</v>
      </c>
      <c r="C346">
        <v>15</v>
      </c>
      <c r="D346">
        <v>343</v>
      </c>
    </row>
    <row r="347" spans="1:4">
      <c r="A347">
        <v>2006</v>
      </c>
      <c r="B347" t="s">
        <v>4973</v>
      </c>
      <c r="C347">
        <v>15</v>
      </c>
      <c r="D347">
        <v>343</v>
      </c>
    </row>
    <row r="348" spans="1:4">
      <c r="A348">
        <v>2390</v>
      </c>
      <c r="B348" t="s">
        <v>5082</v>
      </c>
      <c r="C348">
        <v>15</v>
      </c>
      <c r="D348">
        <v>343</v>
      </c>
    </row>
    <row r="349" spans="1:4">
      <c r="A349">
        <v>2417</v>
      </c>
      <c r="B349" t="s">
        <v>5098</v>
      </c>
      <c r="C349">
        <v>15</v>
      </c>
      <c r="D349">
        <v>343</v>
      </c>
    </row>
    <row r="350" spans="1:4">
      <c r="A350">
        <v>2601</v>
      </c>
      <c r="B350" t="s">
        <v>5180</v>
      </c>
      <c r="C350">
        <v>15</v>
      </c>
      <c r="D350">
        <v>343</v>
      </c>
    </row>
    <row r="351" spans="1:4">
      <c r="A351">
        <v>2834</v>
      </c>
      <c r="B351" t="s">
        <v>5224</v>
      </c>
      <c r="C351">
        <v>15</v>
      </c>
      <c r="D351">
        <v>343</v>
      </c>
    </row>
    <row r="352" spans="1:4">
      <c r="A352">
        <v>3019</v>
      </c>
      <c r="B352" t="s">
        <v>5276</v>
      </c>
      <c r="C352">
        <v>15</v>
      </c>
      <c r="D352">
        <v>343</v>
      </c>
    </row>
    <row r="353" spans="1:4">
      <c r="A353">
        <v>3031</v>
      </c>
      <c r="B353" t="s">
        <v>5286</v>
      </c>
      <c r="C353">
        <v>15</v>
      </c>
      <c r="D353">
        <v>343</v>
      </c>
    </row>
    <row r="354" spans="1:4">
      <c r="A354">
        <v>3211</v>
      </c>
      <c r="B354" t="s">
        <v>5341</v>
      </c>
      <c r="C354">
        <v>15</v>
      </c>
      <c r="D354">
        <v>343</v>
      </c>
    </row>
    <row r="355" spans="1:4">
      <c r="A355">
        <v>3227</v>
      </c>
      <c r="B355" t="s">
        <v>5348</v>
      </c>
      <c r="C355">
        <v>15</v>
      </c>
      <c r="D355">
        <v>343</v>
      </c>
    </row>
    <row r="356" spans="1:4">
      <c r="A356">
        <v>3228</v>
      </c>
      <c r="B356" t="s">
        <v>6411</v>
      </c>
      <c r="C356">
        <v>15</v>
      </c>
      <c r="D356">
        <v>343</v>
      </c>
    </row>
    <row r="357" spans="1:4">
      <c r="A357">
        <v>3338</v>
      </c>
      <c r="B357" t="s">
        <v>5380</v>
      </c>
      <c r="C357">
        <v>15</v>
      </c>
      <c r="D357">
        <v>343</v>
      </c>
    </row>
    <row r="358" spans="1:4">
      <c r="A358">
        <v>3691</v>
      </c>
      <c r="B358" t="s">
        <v>5491</v>
      </c>
      <c r="C358">
        <v>15</v>
      </c>
      <c r="D358">
        <v>343</v>
      </c>
    </row>
    <row r="359" spans="1:4">
      <c r="A359">
        <v>4702</v>
      </c>
      <c r="B359" t="s">
        <v>5581</v>
      </c>
      <c r="C359">
        <v>15</v>
      </c>
      <c r="D359">
        <v>343</v>
      </c>
    </row>
    <row r="360" spans="1:4">
      <c r="A360">
        <v>4971</v>
      </c>
      <c r="B360" t="s">
        <v>5630</v>
      </c>
      <c r="C360">
        <v>15</v>
      </c>
      <c r="D360">
        <v>343</v>
      </c>
    </row>
    <row r="361" spans="1:4">
      <c r="A361">
        <v>6161</v>
      </c>
      <c r="B361" t="s">
        <v>5775</v>
      </c>
      <c r="C361">
        <v>15</v>
      </c>
      <c r="D361">
        <v>343</v>
      </c>
    </row>
    <row r="362" spans="1:4">
      <c r="A362">
        <v>6285</v>
      </c>
      <c r="B362" t="s">
        <v>5854</v>
      </c>
      <c r="C362">
        <v>15</v>
      </c>
      <c r="D362">
        <v>343</v>
      </c>
    </row>
    <row r="363" spans="1:4">
      <c r="A363">
        <v>6491</v>
      </c>
      <c r="B363" t="s">
        <v>5886</v>
      </c>
      <c r="C363">
        <v>15</v>
      </c>
      <c r="D363">
        <v>343</v>
      </c>
    </row>
    <row r="364" spans="1:4">
      <c r="A364">
        <v>8091</v>
      </c>
      <c r="B364" t="s">
        <v>5977</v>
      </c>
      <c r="C364">
        <v>15</v>
      </c>
      <c r="D364">
        <v>343</v>
      </c>
    </row>
    <row r="365" spans="1:4">
      <c r="A365">
        <v>8436</v>
      </c>
      <c r="B365" t="s">
        <v>6029</v>
      </c>
      <c r="C365">
        <v>15</v>
      </c>
      <c r="D365">
        <v>343</v>
      </c>
    </row>
    <row r="366" spans="1:4">
      <c r="A366">
        <v>9802</v>
      </c>
      <c r="B366" t="s">
        <v>6065</v>
      </c>
      <c r="C366">
        <v>15</v>
      </c>
      <c r="D366">
        <v>343</v>
      </c>
    </row>
    <row r="367" spans="1:4">
      <c r="A367">
        <v>1906</v>
      </c>
      <c r="B367" t="s">
        <v>4969</v>
      </c>
      <c r="C367">
        <v>14</v>
      </c>
      <c r="D367">
        <v>366</v>
      </c>
    </row>
    <row r="368" spans="1:4">
      <c r="A368">
        <v>2034</v>
      </c>
      <c r="B368" t="s">
        <v>4993</v>
      </c>
      <c r="C368">
        <v>14</v>
      </c>
      <c r="D368">
        <v>366</v>
      </c>
    </row>
    <row r="369" spans="1:4">
      <c r="A369">
        <v>2375</v>
      </c>
      <c r="B369" t="s">
        <v>5073</v>
      </c>
      <c r="C369">
        <v>14</v>
      </c>
      <c r="D369">
        <v>366</v>
      </c>
    </row>
    <row r="370" spans="1:4">
      <c r="A370">
        <v>2404</v>
      </c>
      <c r="B370" t="s">
        <v>5090</v>
      </c>
      <c r="C370">
        <v>14</v>
      </c>
      <c r="D370">
        <v>366</v>
      </c>
    </row>
    <row r="371" spans="1:4">
      <c r="A371">
        <v>2449</v>
      </c>
      <c r="B371" t="s">
        <v>5115</v>
      </c>
      <c r="C371">
        <v>14</v>
      </c>
      <c r="D371">
        <v>366</v>
      </c>
    </row>
    <row r="372" spans="1:4">
      <c r="A372">
        <v>2458</v>
      </c>
      <c r="B372" t="s">
        <v>5122</v>
      </c>
      <c r="C372">
        <v>14</v>
      </c>
      <c r="D372">
        <v>366</v>
      </c>
    </row>
    <row r="373" spans="1:4">
      <c r="A373">
        <v>2607</v>
      </c>
      <c r="B373" t="s">
        <v>5184</v>
      </c>
      <c r="C373">
        <v>14</v>
      </c>
      <c r="D373">
        <v>366</v>
      </c>
    </row>
    <row r="374" spans="1:4">
      <c r="A374">
        <v>3294</v>
      </c>
      <c r="B374" t="s">
        <v>5367</v>
      </c>
      <c r="C374">
        <v>14</v>
      </c>
      <c r="D374">
        <v>366</v>
      </c>
    </row>
    <row r="375" spans="1:4">
      <c r="A375">
        <v>3306</v>
      </c>
      <c r="B375" t="s">
        <v>5372</v>
      </c>
      <c r="C375">
        <v>14</v>
      </c>
      <c r="D375">
        <v>366</v>
      </c>
    </row>
    <row r="376" spans="1:4">
      <c r="A376">
        <v>3354</v>
      </c>
      <c r="B376" t="s">
        <v>5383</v>
      </c>
      <c r="C376">
        <v>14</v>
      </c>
      <c r="D376">
        <v>366</v>
      </c>
    </row>
    <row r="377" spans="1:4">
      <c r="A377">
        <v>4711</v>
      </c>
      <c r="B377" t="s">
        <v>5583</v>
      </c>
      <c r="C377">
        <v>14</v>
      </c>
      <c r="D377">
        <v>366</v>
      </c>
    </row>
    <row r="378" spans="1:4">
      <c r="A378">
        <v>4938</v>
      </c>
      <c r="B378" t="s">
        <v>5616</v>
      </c>
      <c r="C378">
        <v>14</v>
      </c>
      <c r="D378">
        <v>366</v>
      </c>
    </row>
    <row r="379" spans="1:4">
      <c r="A379">
        <v>4945</v>
      </c>
      <c r="B379" t="s">
        <v>5620</v>
      </c>
      <c r="C379">
        <v>14</v>
      </c>
      <c r="D379">
        <v>366</v>
      </c>
    </row>
    <row r="380" spans="1:4">
      <c r="A380">
        <v>4989</v>
      </c>
      <c r="B380" t="s">
        <v>5636</v>
      </c>
      <c r="C380">
        <v>14</v>
      </c>
      <c r="D380">
        <v>366</v>
      </c>
    </row>
    <row r="381" spans="1:4">
      <c r="A381">
        <v>6126</v>
      </c>
      <c r="B381" t="s">
        <v>5754</v>
      </c>
      <c r="C381">
        <v>14</v>
      </c>
      <c r="D381">
        <v>366</v>
      </c>
    </row>
    <row r="382" spans="1:4">
      <c r="A382">
        <v>6274</v>
      </c>
      <c r="B382" t="s">
        <v>5844</v>
      </c>
      <c r="C382">
        <v>14</v>
      </c>
      <c r="D382">
        <v>366</v>
      </c>
    </row>
    <row r="383" spans="1:4">
      <c r="A383">
        <v>6279</v>
      </c>
      <c r="B383" t="s">
        <v>5849</v>
      </c>
      <c r="C383">
        <v>14</v>
      </c>
      <c r="D383">
        <v>366</v>
      </c>
    </row>
    <row r="384" spans="1:4">
      <c r="A384">
        <v>6415</v>
      </c>
      <c r="B384" t="s">
        <v>5863</v>
      </c>
      <c r="C384">
        <v>14</v>
      </c>
      <c r="D384">
        <v>366</v>
      </c>
    </row>
    <row r="385" spans="1:4">
      <c r="A385">
        <v>6418</v>
      </c>
      <c r="B385" t="s">
        <v>5865</v>
      </c>
      <c r="C385">
        <v>14</v>
      </c>
      <c r="D385">
        <v>366</v>
      </c>
    </row>
    <row r="386" spans="1:4">
      <c r="A386">
        <v>6470</v>
      </c>
      <c r="B386" t="s">
        <v>6159</v>
      </c>
      <c r="C386">
        <v>14</v>
      </c>
      <c r="D386">
        <v>366</v>
      </c>
    </row>
    <row r="387" spans="1:4">
      <c r="A387">
        <v>6538</v>
      </c>
      <c r="B387" t="s">
        <v>5903</v>
      </c>
      <c r="C387">
        <v>14</v>
      </c>
      <c r="D387">
        <v>366</v>
      </c>
    </row>
    <row r="388" spans="1:4">
      <c r="A388">
        <v>6591</v>
      </c>
      <c r="B388" t="s">
        <v>5914</v>
      </c>
      <c r="C388">
        <v>14</v>
      </c>
      <c r="D388">
        <v>366</v>
      </c>
    </row>
    <row r="389" spans="1:4">
      <c r="A389">
        <v>6781</v>
      </c>
      <c r="B389" t="s">
        <v>5948</v>
      </c>
      <c r="C389">
        <v>14</v>
      </c>
      <c r="D389">
        <v>366</v>
      </c>
    </row>
    <row r="390" spans="1:4">
      <c r="A390">
        <v>6788</v>
      </c>
      <c r="B390" t="s">
        <v>6205</v>
      </c>
      <c r="C390">
        <v>14</v>
      </c>
      <c r="D390">
        <v>366</v>
      </c>
    </row>
    <row r="391" spans="1:4">
      <c r="A391">
        <v>8110</v>
      </c>
      <c r="B391" t="s">
        <v>5985</v>
      </c>
      <c r="C391">
        <v>14</v>
      </c>
      <c r="D391">
        <v>366</v>
      </c>
    </row>
    <row r="392" spans="1:4">
      <c r="A392">
        <v>8163</v>
      </c>
      <c r="B392" t="s">
        <v>5993</v>
      </c>
      <c r="C392">
        <v>14</v>
      </c>
      <c r="D392">
        <v>366</v>
      </c>
    </row>
    <row r="393" spans="1:4">
      <c r="A393">
        <v>8182</v>
      </c>
      <c r="B393" t="s">
        <v>5995</v>
      </c>
      <c r="C393">
        <v>14</v>
      </c>
      <c r="D393">
        <v>366</v>
      </c>
    </row>
    <row r="394" spans="1:4">
      <c r="A394">
        <v>9955</v>
      </c>
      <c r="B394" t="s">
        <v>6099</v>
      </c>
      <c r="C394">
        <v>14</v>
      </c>
      <c r="D394">
        <v>366</v>
      </c>
    </row>
    <row r="395" spans="1:4">
      <c r="A395">
        <v>1516</v>
      </c>
      <c r="B395" t="s">
        <v>4867</v>
      </c>
      <c r="C395">
        <v>13</v>
      </c>
      <c r="D395">
        <v>394</v>
      </c>
    </row>
    <row r="396" spans="1:4">
      <c r="A396">
        <v>1612</v>
      </c>
      <c r="B396" t="s">
        <v>4914</v>
      </c>
      <c r="C396">
        <v>13</v>
      </c>
      <c r="D396">
        <v>394</v>
      </c>
    </row>
    <row r="397" spans="1:4">
      <c r="A397">
        <v>1712</v>
      </c>
      <c r="B397" t="s">
        <v>4927</v>
      </c>
      <c r="C397">
        <v>13</v>
      </c>
      <c r="D397">
        <v>394</v>
      </c>
    </row>
    <row r="398" spans="1:4">
      <c r="A398">
        <v>2301</v>
      </c>
      <c r="B398" t="s">
        <v>5029</v>
      </c>
      <c r="C398">
        <v>13</v>
      </c>
      <c r="D398">
        <v>394</v>
      </c>
    </row>
    <row r="399" spans="1:4">
      <c r="A399">
        <v>2915</v>
      </c>
      <c r="B399" t="s">
        <v>5258</v>
      </c>
      <c r="C399">
        <v>13</v>
      </c>
      <c r="D399">
        <v>394</v>
      </c>
    </row>
    <row r="400" spans="1:4">
      <c r="A400">
        <v>3138</v>
      </c>
      <c r="B400" t="s">
        <v>5325</v>
      </c>
      <c r="C400">
        <v>13</v>
      </c>
      <c r="D400">
        <v>394</v>
      </c>
    </row>
    <row r="401" spans="1:4">
      <c r="A401">
        <v>3466</v>
      </c>
      <c r="B401" t="s">
        <v>5412</v>
      </c>
      <c r="C401">
        <v>13</v>
      </c>
      <c r="D401">
        <v>394</v>
      </c>
    </row>
    <row r="402" spans="1:4">
      <c r="A402">
        <v>4175</v>
      </c>
      <c r="B402" t="s">
        <v>5539</v>
      </c>
      <c r="C402">
        <v>13</v>
      </c>
      <c r="D402">
        <v>394</v>
      </c>
    </row>
    <row r="403" spans="1:4">
      <c r="A403">
        <v>4714</v>
      </c>
      <c r="B403" t="s">
        <v>5584</v>
      </c>
      <c r="C403">
        <v>13</v>
      </c>
      <c r="D403">
        <v>394</v>
      </c>
    </row>
    <row r="404" spans="1:4">
      <c r="A404">
        <v>4916</v>
      </c>
      <c r="B404" t="s">
        <v>5610</v>
      </c>
      <c r="C404">
        <v>13</v>
      </c>
      <c r="D404">
        <v>394</v>
      </c>
    </row>
    <row r="405" spans="1:4">
      <c r="A405">
        <v>4966</v>
      </c>
      <c r="B405" t="s">
        <v>5627</v>
      </c>
      <c r="C405">
        <v>13</v>
      </c>
      <c r="D405">
        <v>394</v>
      </c>
    </row>
    <row r="406" spans="1:4">
      <c r="A406">
        <v>5439</v>
      </c>
      <c r="B406" t="s">
        <v>5690</v>
      </c>
      <c r="C406">
        <v>13</v>
      </c>
      <c r="D406">
        <v>394</v>
      </c>
    </row>
    <row r="407" spans="1:4">
      <c r="A407">
        <v>6116</v>
      </c>
      <c r="B407" t="s">
        <v>5746</v>
      </c>
      <c r="C407">
        <v>13</v>
      </c>
      <c r="D407">
        <v>394</v>
      </c>
    </row>
    <row r="408" spans="1:4">
      <c r="A408">
        <v>6163</v>
      </c>
      <c r="B408" t="s">
        <v>5776</v>
      </c>
      <c r="C408">
        <v>13</v>
      </c>
      <c r="D408">
        <v>394</v>
      </c>
    </row>
    <row r="409" spans="1:4">
      <c r="A409">
        <v>6290</v>
      </c>
      <c r="B409" t="s">
        <v>5856</v>
      </c>
      <c r="C409">
        <v>13</v>
      </c>
      <c r="D409">
        <v>394</v>
      </c>
    </row>
    <row r="410" spans="1:4">
      <c r="A410">
        <v>8121</v>
      </c>
      <c r="B410" t="s">
        <v>6400</v>
      </c>
      <c r="C410">
        <v>13</v>
      </c>
      <c r="D410">
        <v>394</v>
      </c>
    </row>
    <row r="411" spans="1:4">
      <c r="A411">
        <v>9939</v>
      </c>
      <c r="B411" t="s">
        <v>6090</v>
      </c>
      <c r="C411">
        <v>13</v>
      </c>
      <c r="D411">
        <v>394</v>
      </c>
    </row>
    <row r="412" spans="1:4">
      <c r="A412">
        <v>1477</v>
      </c>
      <c r="B412" t="s">
        <v>4861</v>
      </c>
      <c r="C412">
        <v>12</v>
      </c>
      <c r="D412">
        <v>411</v>
      </c>
    </row>
    <row r="413" spans="1:4">
      <c r="A413">
        <v>1809</v>
      </c>
      <c r="B413" t="s">
        <v>4962</v>
      </c>
      <c r="C413">
        <v>12</v>
      </c>
      <c r="D413">
        <v>411</v>
      </c>
    </row>
    <row r="414" spans="1:4">
      <c r="A414">
        <v>2108</v>
      </c>
      <c r="B414" t="s">
        <v>5008</v>
      </c>
      <c r="C414">
        <v>12</v>
      </c>
      <c r="D414">
        <v>411</v>
      </c>
    </row>
    <row r="415" spans="1:4">
      <c r="A415">
        <v>2324</v>
      </c>
      <c r="B415" t="s">
        <v>5039</v>
      </c>
      <c r="C415">
        <v>12</v>
      </c>
      <c r="D415">
        <v>411</v>
      </c>
    </row>
    <row r="416" spans="1:4">
      <c r="A416">
        <v>2328</v>
      </c>
      <c r="B416" t="s">
        <v>5041</v>
      </c>
      <c r="C416">
        <v>12</v>
      </c>
      <c r="D416">
        <v>411</v>
      </c>
    </row>
    <row r="417" spans="1:4">
      <c r="A417">
        <v>2408</v>
      </c>
      <c r="B417" t="s">
        <v>5092</v>
      </c>
      <c r="C417">
        <v>12</v>
      </c>
      <c r="D417">
        <v>411</v>
      </c>
    </row>
    <row r="418" spans="1:4">
      <c r="A418">
        <v>2430</v>
      </c>
      <c r="B418" t="s">
        <v>5107</v>
      </c>
      <c r="C418">
        <v>12</v>
      </c>
      <c r="D418">
        <v>411</v>
      </c>
    </row>
    <row r="419" spans="1:4">
      <c r="A419">
        <v>2633</v>
      </c>
      <c r="B419" t="s">
        <v>5196</v>
      </c>
      <c r="C419">
        <v>12</v>
      </c>
      <c r="D419">
        <v>411</v>
      </c>
    </row>
    <row r="420" spans="1:4">
      <c r="A420">
        <v>2812</v>
      </c>
      <c r="B420" t="s">
        <v>5220</v>
      </c>
      <c r="C420">
        <v>12</v>
      </c>
      <c r="D420">
        <v>411</v>
      </c>
    </row>
    <row r="421" spans="1:4">
      <c r="A421">
        <v>2845</v>
      </c>
      <c r="B421" t="s">
        <v>5227</v>
      </c>
      <c r="C421">
        <v>12</v>
      </c>
      <c r="D421">
        <v>411</v>
      </c>
    </row>
    <row r="422" spans="1:4">
      <c r="A422">
        <v>3047</v>
      </c>
      <c r="B422" t="s">
        <v>5299</v>
      </c>
      <c r="C422">
        <v>12</v>
      </c>
      <c r="D422">
        <v>411</v>
      </c>
    </row>
    <row r="423" spans="1:4">
      <c r="A423">
        <v>3114</v>
      </c>
      <c r="B423" t="s">
        <v>5320</v>
      </c>
      <c r="C423">
        <v>12</v>
      </c>
      <c r="D423">
        <v>411</v>
      </c>
    </row>
    <row r="424" spans="1:4">
      <c r="A424">
        <v>3231</v>
      </c>
      <c r="B424" t="s">
        <v>5350</v>
      </c>
      <c r="C424">
        <v>12</v>
      </c>
      <c r="D424">
        <v>411</v>
      </c>
    </row>
    <row r="425" spans="1:4">
      <c r="A425">
        <v>3484</v>
      </c>
      <c r="B425" t="s">
        <v>5416</v>
      </c>
      <c r="C425">
        <v>12</v>
      </c>
      <c r="D425">
        <v>411</v>
      </c>
    </row>
    <row r="426" spans="1:4">
      <c r="A426">
        <v>3563</v>
      </c>
      <c r="B426" t="s">
        <v>5450</v>
      </c>
      <c r="C426">
        <v>12</v>
      </c>
      <c r="D426">
        <v>411</v>
      </c>
    </row>
    <row r="427" spans="1:4">
      <c r="A427">
        <v>4106</v>
      </c>
      <c r="B427" t="s">
        <v>630</v>
      </c>
      <c r="C427">
        <v>12</v>
      </c>
      <c r="D427">
        <v>411</v>
      </c>
    </row>
    <row r="428" spans="1:4">
      <c r="A428">
        <v>5222</v>
      </c>
      <c r="B428" t="s">
        <v>6549</v>
      </c>
      <c r="C428">
        <v>12</v>
      </c>
      <c r="D428">
        <v>411</v>
      </c>
    </row>
    <row r="429" spans="1:4">
      <c r="A429">
        <v>5386</v>
      </c>
      <c r="B429" t="s">
        <v>5680</v>
      </c>
      <c r="C429">
        <v>12</v>
      </c>
      <c r="D429">
        <v>411</v>
      </c>
    </row>
    <row r="430" spans="1:4">
      <c r="A430">
        <v>5434</v>
      </c>
      <c r="B430" t="s">
        <v>5688</v>
      </c>
      <c r="C430">
        <v>12</v>
      </c>
      <c r="D430">
        <v>411</v>
      </c>
    </row>
    <row r="431" spans="1:4">
      <c r="A431">
        <v>5438</v>
      </c>
      <c r="B431" t="s">
        <v>5689</v>
      </c>
      <c r="C431">
        <v>12</v>
      </c>
      <c r="D431">
        <v>411</v>
      </c>
    </row>
    <row r="432" spans="1:4">
      <c r="A432">
        <v>5876</v>
      </c>
      <c r="B432" t="s">
        <v>5727</v>
      </c>
      <c r="C432">
        <v>12</v>
      </c>
      <c r="D432">
        <v>411</v>
      </c>
    </row>
    <row r="433" spans="1:4">
      <c r="A433">
        <v>6122</v>
      </c>
      <c r="B433" t="s">
        <v>5751</v>
      </c>
      <c r="C433">
        <v>12</v>
      </c>
      <c r="D433">
        <v>411</v>
      </c>
    </row>
    <row r="434" spans="1:4">
      <c r="A434">
        <v>6129</v>
      </c>
      <c r="B434" t="s">
        <v>6188</v>
      </c>
      <c r="C434">
        <v>12</v>
      </c>
      <c r="D434">
        <v>411</v>
      </c>
    </row>
    <row r="435" spans="1:4">
      <c r="A435">
        <v>6261</v>
      </c>
      <c r="B435" t="s">
        <v>5837</v>
      </c>
      <c r="C435">
        <v>12</v>
      </c>
      <c r="D435">
        <v>411</v>
      </c>
    </row>
    <row r="436" spans="1:4">
      <c r="A436">
        <v>6269</v>
      </c>
      <c r="B436" t="s">
        <v>5841</v>
      </c>
      <c r="C436">
        <v>12</v>
      </c>
      <c r="D436">
        <v>411</v>
      </c>
    </row>
    <row r="437" spans="1:4">
      <c r="A437">
        <v>6505</v>
      </c>
      <c r="B437" t="s">
        <v>5890</v>
      </c>
      <c r="C437">
        <v>12</v>
      </c>
      <c r="D437">
        <v>411</v>
      </c>
    </row>
    <row r="438" spans="1:4">
      <c r="A438">
        <v>6643</v>
      </c>
      <c r="B438" t="s">
        <v>5924</v>
      </c>
      <c r="C438">
        <v>12</v>
      </c>
      <c r="D438">
        <v>411</v>
      </c>
    </row>
    <row r="439" spans="1:4">
      <c r="A439">
        <v>8086</v>
      </c>
      <c r="B439" t="s">
        <v>5974</v>
      </c>
      <c r="C439">
        <v>12</v>
      </c>
      <c r="D439">
        <v>411</v>
      </c>
    </row>
    <row r="440" spans="1:4">
      <c r="A440">
        <v>9919</v>
      </c>
      <c r="B440" t="s">
        <v>6077</v>
      </c>
      <c r="C440">
        <v>12</v>
      </c>
      <c r="D440">
        <v>411</v>
      </c>
    </row>
    <row r="441" spans="1:4">
      <c r="A441">
        <v>1312</v>
      </c>
      <c r="B441" t="s">
        <v>4808</v>
      </c>
      <c r="C441">
        <v>11</v>
      </c>
      <c r="D441">
        <v>440</v>
      </c>
    </row>
    <row r="442" spans="1:4">
      <c r="A442">
        <v>2105</v>
      </c>
      <c r="B442" t="s">
        <v>5005</v>
      </c>
      <c r="C442">
        <v>11</v>
      </c>
      <c r="D442">
        <v>440</v>
      </c>
    </row>
    <row r="443" spans="1:4">
      <c r="A443">
        <v>2354</v>
      </c>
      <c r="B443" t="s">
        <v>5057</v>
      </c>
      <c r="C443">
        <v>11</v>
      </c>
      <c r="D443">
        <v>440</v>
      </c>
    </row>
    <row r="444" spans="1:4">
      <c r="A444">
        <v>2395</v>
      </c>
      <c r="B444" t="s">
        <v>5085</v>
      </c>
      <c r="C444">
        <v>11</v>
      </c>
      <c r="D444">
        <v>440</v>
      </c>
    </row>
    <row r="445" spans="1:4">
      <c r="A445">
        <v>2482</v>
      </c>
      <c r="B445" t="s">
        <v>5140</v>
      </c>
      <c r="C445">
        <v>11</v>
      </c>
      <c r="D445">
        <v>440</v>
      </c>
    </row>
    <row r="446" spans="1:4">
      <c r="A446">
        <v>2809</v>
      </c>
      <c r="B446" t="s">
        <v>5219</v>
      </c>
      <c r="C446">
        <v>11</v>
      </c>
      <c r="D446">
        <v>440</v>
      </c>
    </row>
    <row r="447" spans="1:4">
      <c r="A447">
        <v>2838</v>
      </c>
      <c r="B447" t="s">
        <v>5226</v>
      </c>
      <c r="C447">
        <v>11</v>
      </c>
      <c r="D447">
        <v>440</v>
      </c>
    </row>
    <row r="448" spans="1:4">
      <c r="A448">
        <v>3044</v>
      </c>
      <c r="B448" t="s">
        <v>5297</v>
      </c>
      <c r="C448">
        <v>11</v>
      </c>
      <c r="D448">
        <v>440</v>
      </c>
    </row>
    <row r="449" spans="1:4">
      <c r="A449">
        <v>3105</v>
      </c>
      <c r="B449" t="s">
        <v>5319</v>
      </c>
      <c r="C449">
        <v>11</v>
      </c>
      <c r="D449">
        <v>440</v>
      </c>
    </row>
    <row r="450" spans="1:4">
      <c r="A450">
        <v>3257</v>
      </c>
      <c r="B450" t="s">
        <v>5355</v>
      </c>
      <c r="C450">
        <v>11</v>
      </c>
      <c r="D450">
        <v>440</v>
      </c>
    </row>
    <row r="451" spans="1:4">
      <c r="A451">
        <v>3548</v>
      </c>
      <c r="B451" t="s">
        <v>5443</v>
      </c>
      <c r="C451">
        <v>11</v>
      </c>
      <c r="D451">
        <v>440</v>
      </c>
    </row>
    <row r="452" spans="1:4">
      <c r="A452">
        <v>4406</v>
      </c>
      <c r="B452" t="s">
        <v>5545</v>
      </c>
      <c r="C452">
        <v>11</v>
      </c>
      <c r="D452">
        <v>440</v>
      </c>
    </row>
    <row r="453" spans="1:4">
      <c r="A453">
        <v>5234</v>
      </c>
      <c r="B453" t="s">
        <v>5653</v>
      </c>
      <c r="C453">
        <v>11</v>
      </c>
      <c r="D453">
        <v>440</v>
      </c>
    </row>
    <row r="454" spans="1:4">
      <c r="A454">
        <v>5243</v>
      </c>
      <c r="B454" t="s">
        <v>5655</v>
      </c>
      <c r="C454">
        <v>11</v>
      </c>
      <c r="D454">
        <v>440</v>
      </c>
    </row>
    <row r="455" spans="1:4">
      <c r="A455">
        <v>5371</v>
      </c>
      <c r="B455" t="s">
        <v>5679</v>
      </c>
      <c r="C455">
        <v>11</v>
      </c>
      <c r="D455">
        <v>440</v>
      </c>
    </row>
    <row r="456" spans="1:4">
      <c r="A456">
        <v>5471</v>
      </c>
      <c r="B456" t="s">
        <v>5697</v>
      </c>
      <c r="C456">
        <v>11</v>
      </c>
      <c r="D456">
        <v>440</v>
      </c>
    </row>
    <row r="457" spans="1:4">
      <c r="A457">
        <v>6175</v>
      </c>
      <c r="B457" t="s">
        <v>5784</v>
      </c>
      <c r="C457">
        <v>11</v>
      </c>
      <c r="D457">
        <v>440</v>
      </c>
    </row>
    <row r="458" spans="1:4">
      <c r="A458">
        <v>6176</v>
      </c>
      <c r="B458" t="s">
        <v>5785</v>
      </c>
      <c r="C458">
        <v>11</v>
      </c>
      <c r="D458">
        <v>440</v>
      </c>
    </row>
    <row r="459" spans="1:4">
      <c r="A459">
        <v>6224</v>
      </c>
      <c r="B459" t="s">
        <v>5819</v>
      </c>
      <c r="C459">
        <v>11</v>
      </c>
      <c r="D459">
        <v>440</v>
      </c>
    </row>
    <row r="460" spans="1:4">
      <c r="A460">
        <v>6244</v>
      </c>
      <c r="B460" t="s">
        <v>6593</v>
      </c>
      <c r="C460">
        <v>11</v>
      </c>
      <c r="D460">
        <v>440</v>
      </c>
    </row>
    <row r="461" spans="1:4">
      <c r="A461">
        <v>6741</v>
      </c>
      <c r="B461" t="s">
        <v>5942</v>
      </c>
      <c r="C461">
        <v>11</v>
      </c>
      <c r="D461">
        <v>440</v>
      </c>
    </row>
    <row r="462" spans="1:4">
      <c r="A462">
        <v>8114</v>
      </c>
      <c r="B462" t="s">
        <v>5988</v>
      </c>
      <c r="C462">
        <v>11</v>
      </c>
      <c r="D462">
        <v>440</v>
      </c>
    </row>
    <row r="463" spans="1:4">
      <c r="A463">
        <v>8271</v>
      </c>
      <c r="B463" t="s">
        <v>6007</v>
      </c>
      <c r="C463">
        <v>11</v>
      </c>
      <c r="D463">
        <v>440</v>
      </c>
    </row>
    <row r="464" spans="1:4">
      <c r="A464">
        <v>8367</v>
      </c>
      <c r="B464" t="s">
        <v>6014</v>
      </c>
      <c r="C464">
        <v>11</v>
      </c>
      <c r="D464">
        <v>440</v>
      </c>
    </row>
    <row r="465" spans="1:4">
      <c r="A465">
        <v>9938</v>
      </c>
      <c r="B465" t="s">
        <v>6089</v>
      </c>
      <c r="C465">
        <v>11</v>
      </c>
      <c r="D465">
        <v>440</v>
      </c>
    </row>
    <row r="466" spans="1:4">
      <c r="A466">
        <v>1227</v>
      </c>
      <c r="B466" t="s">
        <v>4788</v>
      </c>
      <c r="C466">
        <v>10</v>
      </c>
      <c r="D466">
        <v>465</v>
      </c>
    </row>
    <row r="467" spans="1:4">
      <c r="A467">
        <v>1229</v>
      </c>
      <c r="B467" t="s">
        <v>4789</v>
      </c>
      <c r="C467">
        <v>10</v>
      </c>
      <c r="D467">
        <v>465</v>
      </c>
    </row>
    <row r="468" spans="1:4">
      <c r="A468">
        <v>1304</v>
      </c>
      <c r="B468" t="s">
        <v>4802</v>
      </c>
      <c r="C468">
        <v>10</v>
      </c>
      <c r="D468">
        <v>465</v>
      </c>
    </row>
    <row r="469" spans="1:4">
      <c r="A469">
        <v>1476</v>
      </c>
      <c r="B469" t="s">
        <v>4860</v>
      </c>
      <c r="C469">
        <v>10</v>
      </c>
      <c r="D469">
        <v>465</v>
      </c>
    </row>
    <row r="470" spans="1:4">
      <c r="A470">
        <v>1526</v>
      </c>
      <c r="B470" t="s">
        <v>4874</v>
      </c>
      <c r="C470">
        <v>10</v>
      </c>
      <c r="D470">
        <v>465</v>
      </c>
    </row>
    <row r="471" spans="1:4">
      <c r="A471">
        <v>1533</v>
      </c>
      <c r="B471" t="s">
        <v>4881</v>
      </c>
      <c r="C471">
        <v>10</v>
      </c>
      <c r="D471">
        <v>465</v>
      </c>
    </row>
    <row r="472" spans="1:4">
      <c r="A472">
        <v>2382</v>
      </c>
      <c r="B472" t="s">
        <v>5077</v>
      </c>
      <c r="C472">
        <v>10</v>
      </c>
      <c r="D472">
        <v>465</v>
      </c>
    </row>
    <row r="473" spans="1:4">
      <c r="A473">
        <v>2441</v>
      </c>
      <c r="B473" t="s">
        <v>5113</v>
      </c>
      <c r="C473">
        <v>10</v>
      </c>
      <c r="D473">
        <v>465</v>
      </c>
    </row>
    <row r="474" spans="1:4">
      <c r="A474">
        <v>2462</v>
      </c>
      <c r="B474" t="s">
        <v>5126</v>
      </c>
      <c r="C474">
        <v>10</v>
      </c>
      <c r="D474">
        <v>465</v>
      </c>
    </row>
    <row r="475" spans="1:4">
      <c r="A475">
        <v>2820</v>
      </c>
      <c r="B475" t="s">
        <v>5222</v>
      </c>
      <c r="C475">
        <v>10</v>
      </c>
      <c r="D475">
        <v>465</v>
      </c>
    </row>
    <row r="476" spans="1:4">
      <c r="A476">
        <v>3049</v>
      </c>
      <c r="B476" t="s">
        <v>5301</v>
      </c>
      <c r="C476">
        <v>10</v>
      </c>
      <c r="D476">
        <v>465</v>
      </c>
    </row>
    <row r="477" spans="1:4">
      <c r="A477">
        <v>3086</v>
      </c>
      <c r="B477" t="s">
        <v>5314</v>
      </c>
      <c r="C477">
        <v>10</v>
      </c>
      <c r="D477">
        <v>465</v>
      </c>
    </row>
    <row r="478" spans="1:4">
      <c r="A478">
        <v>3297</v>
      </c>
      <c r="B478" t="s">
        <v>5369</v>
      </c>
      <c r="C478">
        <v>10</v>
      </c>
      <c r="D478">
        <v>465</v>
      </c>
    </row>
    <row r="479" spans="1:4">
      <c r="A479">
        <v>3373</v>
      </c>
      <c r="B479" t="s">
        <v>5390</v>
      </c>
      <c r="C479">
        <v>10</v>
      </c>
      <c r="D479">
        <v>465</v>
      </c>
    </row>
    <row r="480" spans="1:4">
      <c r="A480">
        <v>3537</v>
      </c>
      <c r="B480" t="s">
        <v>5437</v>
      </c>
      <c r="C480">
        <v>10</v>
      </c>
      <c r="D480">
        <v>465</v>
      </c>
    </row>
    <row r="481" spans="1:4">
      <c r="A481">
        <v>3680</v>
      </c>
      <c r="B481" t="s">
        <v>5487</v>
      </c>
      <c r="C481">
        <v>10</v>
      </c>
      <c r="D481">
        <v>465</v>
      </c>
    </row>
    <row r="482" spans="1:4">
      <c r="A482">
        <v>3704</v>
      </c>
      <c r="B482" t="s">
        <v>5497</v>
      </c>
      <c r="C482">
        <v>10</v>
      </c>
      <c r="D482">
        <v>465</v>
      </c>
    </row>
    <row r="483" spans="1:4">
      <c r="A483">
        <v>4722</v>
      </c>
      <c r="B483" t="s">
        <v>5588</v>
      </c>
      <c r="C483">
        <v>10</v>
      </c>
      <c r="D483">
        <v>465</v>
      </c>
    </row>
    <row r="484" spans="1:4">
      <c r="A484">
        <v>4746</v>
      </c>
      <c r="B484" t="s">
        <v>5596</v>
      </c>
      <c r="C484">
        <v>10</v>
      </c>
      <c r="D484">
        <v>465</v>
      </c>
    </row>
    <row r="485" spans="1:4">
      <c r="A485">
        <v>5211</v>
      </c>
      <c r="B485" t="s">
        <v>5647</v>
      </c>
      <c r="C485">
        <v>10</v>
      </c>
      <c r="D485">
        <v>465</v>
      </c>
    </row>
    <row r="486" spans="1:4">
      <c r="A486">
        <v>5289</v>
      </c>
      <c r="B486" t="s">
        <v>5668</v>
      </c>
      <c r="C486">
        <v>10</v>
      </c>
      <c r="D486">
        <v>465</v>
      </c>
    </row>
    <row r="487" spans="1:4">
      <c r="A487">
        <v>5522</v>
      </c>
      <c r="B487" t="s">
        <v>5709</v>
      </c>
      <c r="C487">
        <v>10</v>
      </c>
      <c r="D487">
        <v>465</v>
      </c>
    </row>
    <row r="488" spans="1:4">
      <c r="A488">
        <v>5905</v>
      </c>
      <c r="B488" t="s">
        <v>5732</v>
      </c>
      <c r="C488">
        <v>10</v>
      </c>
      <c r="D488">
        <v>465</v>
      </c>
    </row>
    <row r="489" spans="1:4">
      <c r="A489">
        <v>6127</v>
      </c>
      <c r="B489" t="s">
        <v>5755</v>
      </c>
      <c r="C489">
        <v>10</v>
      </c>
      <c r="D489">
        <v>465</v>
      </c>
    </row>
    <row r="490" spans="1:4">
      <c r="A490">
        <v>6215</v>
      </c>
      <c r="B490" t="s">
        <v>5812</v>
      </c>
      <c r="C490">
        <v>10</v>
      </c>
      <c r="D490">
        <v>465</v>
      </c>
    </row>
    <row r="491" spans="1:4">
      <c r="A491">
        <v>6284</v>
      </c>
      <c r="B491" t="s">
        <v>5853</v>
      </c>
      <c r="C491">
        <v>10</v>
      </c>
      <c r="D491">
        <v>465</v>
      </c>
    </row>
    <row r="492" spans="1:4">
      <c r="A492">
        <v>6441</v>
      </c>
      <c r="B492" t="s">
        <v>5870</v>
      </c>
      <c r="C492">
        <v>10</v>
      </c>
      <c r="D492">
        <v>465</v>
      </c>
    </row>
    <row r="493" spans="1:4">
      <c r="A493">
        <v>6578</v>
      </c>
      <c r="B493" t="s">
        <v>5910</v>
      </c>
      <c r="C493">
        <v>10</v>
      </c>
      <c r="D493">
        <v>465</v>
      </c>
    </row>
    <row r="494" spans="1:4">
      <c r="A494">
        <v>6598</v>
      </c>
      <c r="B494" t="s">
        <v>5916</v>
      </c>
      <c r="C494">
        <v>10</v>
      </c>
      <c r="D494">
        <v>465</v>
      </c>
    </row>
    <row r="495" spans="1:4">
      <c r="A495">
        <v>8046</v>
      </c>
      <c r="B495" t="s">
        <v>5961</v>
      </c>
      <c r="C495">
        <v>10</v>
      </c>
      <c r="D495">
        <v>465</v>
      </c>
    </row>
    <row r="496" spans="1:4">
      <c r="A496">
        <v>8096</v>
      </c>
      <c r="B496" t="s">
        <v>5978</v>
      </c>
      <c r="C496">
        <v>10</v>
      </c>
      <c r="D496">
        <v>465</v>
      </c>
    </row>
    <row r="497" spans="1:4">
      <c r="A497">
        <v>8938</v>
      </c>
      <c r="B497" t="s">
        <v>6062</v>
      </c>
      <c r="C497">
        <v>10</v>
      </c>
      <c r="D497">
        <v>465</v>
      </c>
    </row>
    <row r="498" spans="1:4">
      <c r="A498">
        <v>1301</v>
      </c>
      <c r="B498" t="s">
        <v>4800</v>
      </c>
      <c r="C498">
        <v>9</v>
      </c>
      <c r="D498">
        <v>497</v>
      </c>
    </row>
    <row r="499" spans="1:4">
      <c r="A499">
        <v>1414</v>
      </c>
      <c r="B499" t="s">
        <v>4828</v>
      </c>
      <c r="C499">
        <v>9</v>
      </c>
      <c r="D499">
        <v>497</v>
      </c>
    </row>
    <row r="500" spans="1:4">
      <c r="A500">
        <v>1440</v>
      </c>
      <c r="B500" t="s">
        <v>4838</v>
      </c>
      <c r="C500">
        <v>9</v>
      </c>
      <c r="D500">
        <v>497</v>
      </c>
    </row>
    <row r="501" spans="1:4">
      <c r="A501">
        <v>1565</v>
      </c>
      <c r="B501" t="s">
        <v>4890</v>
      </c>
      <c r="C501">
        <v>9</v>
      </c>
      <c r="D501">
        <v>497</v>
      </c>
    </row>
    <row r="502" spans="1:4">
      <c r="A502">
        <v>1909</v>
      </c>
      <c r="B502" t="s">
        <v>4971</v>
      </c>
      <c r="C502">
        <v>9</v>
      </c>
      <c r="D502">
        <v>497</v>
      </c>
    </row>
    <row r="503" spans="1:4">
      <c r="A503">
        <v>2064</v>
      </c>
      <c r="B503" t="s">
        <v>4998</v>
      </c>
      <c r="C503">
        <v>9</v>
      </c>
      <c r="D503">
        <v>497</v>
      </c>
    </row>
    <row r="504" spans="1:4">
      <c r="A504">
        <v>2103</v>
      </c>
      <c r="B504" t="s">
        <v>5003</v>
      </c>
      <c r="C504">
        <v>9</v>
      </c>
      <c r="D504">
        <v>497</v>
      </c>
    </row>
    <row r="505" spans="1:4">
      <c r="A505">
        <v>2327</v>
      </c>
      <c r="B505" t="s">
        <v>5040</v>
      </c>
      <c r="C505">
        <v>9</v>
      </c>
      <c r="D505">
        <v>497</v>
      </c>
    </row>
    <row r="506" spans="1:4">
      <c r="A506">
        <v>2385</v>
      </c>
      <c r="B506" t="s">
        <v>5079</v>
      </c>
      <c r="C506">
        <v>9</v>
      </c>
      <c r="D506">
        <v>497</v>
      </c>
    </row>
    <row r="507" spans="1:4">
      <c r="A507">
        <v>2405</v>
      </c>
      <c r="B507" t="s">
        <v>6174</v>
      </c>
      <c r="C507">
        <v>9</v>
      </c>
      <c r="D507">
        <v>497</v>
      </c>
    </row>
    <row r="508" spans="1:4">
      <c r="A508">
        <v>2421</v>
      </c>
      <c r="B508" t="s">
        <v>5101</v>
      </c>
      <c r="C508">
        <v>9</v>
      </c>
      <c r="D508">
        <v>497</v>
      </c>
    </row>
    <row r="509" spans="1:4">
      <c r="A509">
        <v>2485</v>
      </c>
      <c r="B509" t="s">
        <v>5143</v>
      </c>
      <c r="C509">
        <v>9</v>
      </c>
      <c r="D509">
        <v>497</v>
      </c>
    </row>
    <row r="510" spans="1:4">
      <c r="A510">
        <v>2491</v>
      </c>
      <c r="B510" t="s">
        <v>5147</v>
      </c>
      <c r="C510">
        <v>9</v>
      </c>
      <c r="D510">
        <v>497</v>
      </c>
    </row>
    <row r="511" spans="1:4">
      <c r="A511">
        <v>2634</v>
      </c>
      <c r="B511" t="s">
        <v>5197</v>
      </c>
      <c r="C511">
        <v>9</v>
      </c>
      <c r="D511">
        <v>497</v>
      </c>
    </row>
    <row r="512" spans="1:4">
      <c r="A512">
        <v>2885</v>
      </c>
      <c r="B512" t="s">
        <v>5239</v>
      </c>
      <c r="C512">
        <v>9</v>
      </c>
      <c r="D512">
        <v>497</v>
      </c>
    </row>
    <row r="513" spans="1:4">
      <c r="A513">
        <v>3023</v>
      </c>
      <c r="B513" t="s">
        <v>5279</v>
      </c>
      <c r="C513">
        <v>9</v>
      </c>
      <c r="D513">
        <v>497</v>
      </c>
    </row>
    <row r="514" spans="1:4">
      <c r="A514">
        <v>3036</v>
      </c>
      <c r="B514" t="s">
        <v>5291</v>
      </c>
      <c r="C514">
        <v>9</v>
      </c>
      <c r="D514">
        <v>497</v>
      </c>
    </row>
    <row r="515" spans="1:4">
      <c r="A515">
        <v>3048</v>
      </c>
      <c r="B515" t="s">
        <v>5300</v>
      </c>
      <c r="C515">
        <v>9</v>
      </c>
      <c r="D515">
        <v>497</v>
      </c>
    </row>
    <row r="516" spans="1:4">
      <c r="A516">
        <v>3060</v>
      </c>
      <c r="B516" t="s">
        <v>5308</v>
      </c>
      <c r="C516">
        <v>9</v>
      </c>
      <c r="D516">
        <v>497</v>
      </c>
    </row>
    <row r="517" spans="1:4">
      <c r="A517">
        <v>3167</v>
      </c>
      <c r="B517" t="s">
        <v>5332</v>
      </c>
      <c r="C517">
        <v>9</v>
      </c>
      <c r="D517">
        <v>497</v>
      </c>
    </row>
    <row r="518" spans="1:4">
      <c r="A518">
        <v>3402</v>
      </c>
      <c r="B518" t="s">
        <v>5397</v>
      </c>
      <c r="C518">
        <v>9</v>
      </c>
      <c r="D518">
        <v>497</v>
      </c>
    </row>
    <row r="519" spans="1:4">
      <c r="A519">
        <v>3529</v>
      </c>
      <c r="B519" t="s">
        <v>5432</v>
      </c>
      <c r="C519">
        <v>9</v>
      </c>
      <c r="D519">
        <v>497</v>
      </c>
    </row>
    <row r="520" spans="1:4">
      <c r="A520">
        <v>3628</v>
      </c>
      <c r="B520" t="s">
        <v>5472</v>
      </c>
      <c r="C520">
        <v>9</v>
      </c>
      <c r="D520">
        <v>497</v>
      </c>
    </row>
    <row r="521" spans="1:4">
      <c r="A521">
        <v>4142</v>
      </c>
      <c r="B521" t="s">
        <v>5524</v>
      </c>
      <c r="C521">
        <v>9</v>
      </c>
      <c r="D521">
        <v>497</v>
      </c>
    </row>
    <row r="522" spans="1:4">
      <c r="A522">
        <v>5607</v>
      </c>
      <c r="B522" t="s">
        <v>5720</v>
      </c>
      <c r="C522">
        <v>9</v>
      </c>
      <c r="D522">
        <v>497</v>
      </c>
    </row>
    <row r="523" spans="1:4">
      <c r="A523">
        <v>6156</v>
      </c>
      <c r="B523" t="s">
        <v>5773</v>
      </c>
      <c r="C523">
        <v>9</v>
      </c>
      <c r="D523">
        <v>497</v>
      </c>
    </row>
    <row r="524" spans="1:4">
      <c r="A524">
        <v>6188</v>
      </c>
      <c r="B524" t="s">
        <v>5795</v>
      </c>
      <c r="C524">
        <v>9</v>
      </c>
      <c r="D524">
        <v>497</v>
      </c>
    </row>
    <row r="525" spans="1:4">
      <c r="A525">
        <v>6208</v>
      </c>
      <c r="B525" t="s">
        <v>5808</v>
      </c>
      <c r="C525">
        <v>9</v>
      </c>
      <c r="D525">
        <v>497</v>
      </c>
    </row>
    <row r="526" spans="1:4">
      <c r="A526">
        <v>6227</v>
      </c>
      <c r="B526" t="s">
        <v>5821</v>
      </c>
      <c r="C526">
        <v>9</v>
      </c>
      <c r="D526">
        <v>497</v>
      </c>
    </row>
    <row r="527" spans="1:4">
      <c r="A527">
        <v>6469</v>
      </c>
      <c r="B527" t="s">
        <v>5880</v>
      </c>
      <c r="C527">
        <v>9</v>
      </c>
      <c r="D527">
        <v>497</v>
      </c>
    </row>
    <row r="528" spans="1:4">
      <c r="A528">
        <v>6651</v>
      </c>
      <c r="B528" t="s">
        <v>5925</v>
      </c>
      <c r="C528">
        <v>9</v>
      </c>
      <c r="D528">
        <v>497</v>
      </c>
    </row>
    <row r="529" spans="1:4">
      <c r="A529">
        <v>6698</v>
      </c>
      <c r="B529" t="s">
        <v>5938</v>
      </c>
      <c r="C529">
        <v>9</v>
      </c>
      <c r="D529">
        <v>497</v>
      </c>
    </row>
    <row r="530" spans="1:4">
      <c r="A530">
        <v>6712</v>
      </c>
      <c r="B530" t="s">
        <v>6412</v>
      </c>
      <c r="C530">
        <v>9</v>
      </c>
      <c r="D530">
        <v>497</v>
      </c>
    </row>
    <row r="531" spans="1:4">
      <c r="A531">
        <v>1434</v>
      </c>
      <c r="B531" t="s">
        <v>4833</v>
      </c>
      <c r="C531">
        <v>8</v>
      </c>
      <c r="D531">
        <v>530</v>
      </c>
    </row>
    <row r="532" spans="1:4">
      <c r="A532">
        <v>1474</v>
      </c>
      <c r="B532" t="s">
        <v>4859</v>
      </c>
      <c r="C532">
        <v>8</v>
      </c>
      <c r="D532">
        <v>530</v>
      </c>
    </row>
    <row r="533" spans="1:4">
      <c r="A533">
        <v>1591</v>
      </c>
      <c r="B533" t="s">
        <v>4902</v>
      </c>
      <c r="C533">
        <v>8</v>
      </c>
      <c r="D533">
        <v>530</v>
      </c>
    </row>
    <row r="534" spans="1:4">
      <c r="A534">
        <v>1710</v>
      </c>
      <c r="B534" t="s">
        <v>4925</v>
      </c>
      <c r="C534">
        <v>8</v>
      </c>
      <c r="D534">
        <v>530</v>
      </c>
    </row>
    <row r="535" spans="1:4">
      <c r="A535">
        <v>1717</v>
      </c>
      <c r="B535" t="s">
        <v>4930</v>
      </c>
      <c r="C535">
        <v>8</v>
      </c>
      <c r="D535">
        <v>530</v>
      </c>
    </row>
    <row r="536" spans="1:4">
      <c r="A536">
        <v>2201</v>
      </c>
      <c r="B536" t="s">
        <v>5012</v>
      </c>
      <c r="C536">
        <v>8</v>
      </c>
      <c r="D536">
        <v>530</v>
      </c>
    </row>
    <row r="537" spans="1:4">
      <c r="A537">
        <v>2243</v>
      </c>
      <c r="B537" t="s">
        <v>5026</v>
      </c>
      <c r="C537">
        <v>8</v>
      </c>
      <c r="D537">
        <v>530</v>
      </c>
    </row>
    <row r="538" spans="1:4">
      <c r="A538">
        <v>2317</v>
      </c>
      <c r="B538" t="s">
        <v>5037</v>
      </c>
      <c r="C538">
        <v>8</v>
      </c>
      <c r="D538">
        <v>530</v>
      </c>
    </row>
    <row r="539" spans="1:4">
      <c r="A539">
        <v>2352</v>
      </c>
      <c r="B539" t="s">
        <v>5055</v>
      </c>
      <c r="C539">
        <v>8</v>
      </c>
      <c r="D539">
        <v>530</v>
      </c>
    </row>
    <row r="540" spans="1:4">
      <c r="A540">
        <v>2355</v>
      </c>
      <c r="B540" t="s">
        <v>5058</v>
      </c>
      <c r="C540">
        <v>8</v>
      </c>
      <c r="D540">
        <v>530</v>
      </c>
    </row>
    <row r="541" spans="1:4">
      <c r="A541">
        <v>2415</v>
      </c>
      <c r="B541" t="s">
        <v>5097</v>
      </c>
      <c r="C541">
        <v>8</v>
      </c>
      <c r="D541">
        <v>530</v>
      </c>
    </row>
    <row r="542" spans="1:4">
      <c r="A542">
        <v>2474</v>
      </c>
      <c r="B542" t="s">
        <v>5134</v>
      </c>
      <c r="C542">
        <v>8</v>
      </c>
      <c r="D542">
        <v>530</v>
      </c>
    </row>
    <row r="543" spans="1:4">
      <c r="A543">
        <v>2489</v>
      </c>
      <c r="B543" t="s">
        <v>5146</v>
      </c>
      <c r="C543">
        <v>8</v>
      </c>
      <c r="D543">
        <v>530</v>
      </c>
    </row>
    <row r="544" spans="1:4">
      <c r="A544">
        <v>2504</v>
      </c>
      <c r="B544" t="s">
        <v>5155</v>
      </c>
      <c r="C544">
        <v>8</v>
      </c>
      <c r="D544">
        <v>530</v>
      </c>
    </row>
    <row r="545" spans="1:4">
      <c r="A545">
        <v>2912</v>
      </c>
      <c r="B545" t="s">
        <v>5256</v>
      </c>
      <c r="C545">
        <v>8</v>
      </c>
      <c r="D545">
        <v>530</v>
      </c>
    </row>
    <row r="546" spans="1:4">
      <c r="A546">
        <v>3083</v>
      </c>
      <c r="B546" t="s">
        <v>5313</v>
      </c>
      <c r="C546">
        <v>8</v>
      </c>
      <c r="D546">
        <v>530</v>
      </c>
    </row>
    <row r="547" spans="1:4">
      <c r="A547">
        <v>3209</v>
      </c>
      <c r="B547" t="s">
        <v>5340</v>
      </c>
      <c r="C547">
        <v>8</v>
      </c>
      <c r="D547">
        <v>530</v>
      </c>
    </row>
    <row r="548" spans="1:4">
      <c r="A548">
        <v>3230</v>
      </c>
      <c r="B548" t="s">
        <v>5349</v>
      </c>
      <c r="C548">
        <v>8</v>
      </c>
      <c r="D548">
        <v>530</v>
      </c>
    </row>
    <row r="549" spans="1:4">
      <c r="A549">
        <v>3276</v>
      </c>
      <c r="B549" t="s">
        <v>5362</v>
      </c>
      <c r="C549">
        <v>8</v>
      </c>
      <c r="D549">
        <v>530</v>
      </c>
    </row>
    <row r="550" spans="1:4">
      <c r="A550">
        <v>3372</v>
      </c>
      <c r="B550" t="s">
        <v>5389</v>
      </c>
      <c r="C550">
        <v>8</v>
      </c>
      <c r="D550">
        <v>530</v>
      </c>
    </row>
    <row r="551" spans="1:4">
      <c r="A551">
        <v>3437</v>
      </c>
      <c r="B551" t="s">
        <v>5404</v>
      </c>
      <c r="C551">
        <v>8</v>
      </c>
      <c r="D551">
        <v>530</v>
      </c>
    </row>
    <row r="552" spans="1:4">
      <c r="A552">
        <v>3438</v>
      </c>
      <c r="B552" t="s">
        <v>5405</v>
      </c>
      <c r="C552">
        <v>8</v>
      </c>
      <c r="D552">
        <v>530</v>
      </c>
    </row>
    <row r="553" spans="1:4">
      <c r="A553">
        <v>3580</v>
      </c>
      <c r="B553" t="s">
        <v>5453</v>
      </c>
      <c r="C553">
        <v>8</v>
      </c>
      <c r="D553">
        <v>530</v>
      </c>
    </row>
    <row r="554" spans="1:4">
      <c r="A554">
        <v>3607</v>
      </c>
      <c r="B554" t="s">
        <v>5463</v>
      </c>
      <c r="C554">
        <v>8</v>
      </c>
      <c r="D554">
        <v>530</v>
      </c>
    </row>
    <row r="555" spans="1:4">
      <c r="A555">
        <v>3615</v>
      </c>
      <c r="B555" t="s">
        <v>5466</v>
      </c>
      <c r="C555">
        <v>8</v>
      </c>
      <c r="D555">
        <v>530</v>
      </c>
    </row>
    <row r="556" spans="1:4">
      <c r="A556">
        <v>4148</v>
      </c>
      <c r="B556" t="s">
        <v>5526</v>
      </c>
      <c r="C556">
        <v>8</v>
      </c>
      <c r="D556">
        <v>530</v>
      </c>
    </row>
    <row r="557" spans="1:4">
      <c r="A557">
        <v>6113</v>
      </c>
      <c r="B557" t="s">
        <v>6320</v>
      </c>
      <c r="C557">
        <v>8</v>
      </c>
      <c r="D557">
        <v>530</v>
      </c>
    </row>
    <row r="558" spans="1:4">
      <c r="A558">
        <v>6165</v>
      </c>
      <c r="B558" t="s">
        <v>5778</v>
      </c>
      <c r="C558">
        <v>8</v>
      </c>
      <c r="D558">
        <v>530</v>
      </c>
    </row>
    <row r="559" spans="1:4">
      <c r="A559">
        <v>6191</v>
      </c>
      <c r="B559" t="s">
        <v>5798</v>
      </c>
      <c r="C559">
        <v>8</v>
      </c>
      <c r="D559">
        <v>530</v>
      </c>
    </row>
    <row r="560" spans="1:4">
      <c r="A560">
        <v>6462</v>
      </c>
      <c r="B560" t="s">
        <v>5878</v>
      </c>
      <c r="C560">
        <v>8</v>
      </c>
      <c r="D560">
        <v>530</v>
      </c>
    </row>
    <row r="561" spans="1:4">
      <c r="A561">
        <v>6523</v>
      </c>
      <c r="B561" t="s">
        <v>5898</v>
      </c>
      <c r="C561">
        <v>8</v>
      </c>
      <c r="D561">
        <v>530</v>
      </c>
    </row>
    <row r="562" spans="1:4">
      <c r="A562">
        <v>6530</v>
      </c>
      <c r="B562" t="s">
        <v>6299</v>
      </c>
      <c r="C562">
        <v>8</v>
      </c>
      <c r="D562">
        <v>530</v>
      </c>
    </row>
    <row r="563" spans="1:4">
      <c r="A563">
        <v>8390</v>
      </c>
      <c r="B563" t="s">
        <v>6017</v>
      </c>
      <c r="C563">
        <v>8</v>
      </c>
      <c r="D563">
        <v>530</v>
      </c>
    </row>
    <row r="564" spans="1:4">
      <c r="A564">
        <v>9904</v>
      </c>
      <c r="B564" t="s">
        <v>6067</v>
      </c>
      <c r="C564">
        <v>8</v>
      </c>
      <c r="D564">
        <v>530</v>
      </c>
    </row>
    <row r="565" spans="1:4">
      <c r="A565">
        <v>9941</v>
      </c>
      <c r="B565" t="s">
        <v>6092</v>
      </c>
      <c r="C565">
        <v>8</v>
      </c>
      <c r="D565">
        <v>530</v>
      </c>
    </row>
    <row r="566" spans="1:4">
      <c r="A566">
        <v>1453</v>
      </c>
      <c r="B566" t="s">
        <v>4846</v>
      </c>
      <c r="C566">
        <v>7</v>
      </c>
      <c r="D566">
        <v>565</v>
      </c>
    </row>
    <row r="567" spans="1:4">
      <c r="A567">
        <v>1802</v>
      </c>
      <c r="B567" t="s">
        <v>4959</v>
      </c>
      <c r="C567">
        <v>7</v>
      </c>
      <c r="D567">
        <v>565</v>
      </c>
    </row>
    <row r="568" spans="1:4">
      <c r="A568">
        <v>1815</v>
      </c>
      <c r="B568" t="s">
        <v>4964</v>
      </c>
      <c r="C568">
        <v>7</v>
      </c>
      <c r="D568">
        <v>565</v>
      </c>
    </row>
    <row r="569" spans="1:4">
      <c r="A569">
        <v>2015</v>
      </c>
      <c r="B569" t="s">
        <v>4981</v>
      </c>
      <c r="C569">
        <v>7</v>
      </c>
      <c r="D569">
        <v>565</v>
      </c>
    </row>
    <row r="570" spans="1:4">
      <c r="A570">
        <v>2023</v>
      </c>
      <c r="B570" t="s">
        <v>4984</v>
      </c>
      <c r="C570">
        <v>7</v>
      </c>
      <c r="D570">
        <v>565</v>
      </c>
    </row>
    <row r="571" spans="1:4">
      <c r="A571">
        <v>2059</v>
      </c>
      <c r="B571" t="s">
        <v>4997</v>
      </c>
      <c r="C571">
        <v>7</v>
      </c>
      <c r="D571">
        <v>565</v>
      </c>
    </row>
    <row r="572" spans="1:4">
      <c r="A572">
        <v>2231</v>
      </c>
      <c r="B572" t="s">
        <v>5021</v>
      </c>
      <c r="C572">
        <v>7</v>
      </c>
      <c r="D572">
        <v>565</v>
      </c>
    </row>
    <row r="573" spans="1:4">
      <c r="A573">
        <v>2330</v>
      </c>
      <c r="B573" t="s">
        <v>5043</v>
      </c>
      <c r="C573">
        <v>7</v>
      </c>
      <c r="D573">
        <v>565</v>
      </c>
    </row>
    <row r="574" spans="1:4">
      <c r="A574">
        <v>2331</v>
      </c>
      <c r="B574" t="s">
        <v>5044</v>
      </c>
      <c r="C574">
        <v>7</v>
      </c>
      <c r="D574">
        <v>565</v>
      </c>
    </row>
    <row r="575" spans="1:4">
      <c r="A575">
        <v>2357</v>
      </c>
      <c r="B575" t="s">
        <v>5060</v>
      </c>
      <c r="C575">
        <v>7</v>
      </c>
      <c r="D575">
        <v>565</v>
      </c>
    </row>
    <row r="576" spans="1:4">
      <c r="A576">
        <v>2377</v>
      </c>
      <c r="B576" t="s">
        <v>5075</v>
      </c>
      <c r="C576">
        <v>7</v>
      </c>
      <c r="D576">
        <v>565</v>
      </c>
    </row>
    <row r="577" spans="1:4">
      <c r="A577">
        <v>2454</v>
      </c>
      <c r="B577" t="s">
        <v>5119</v>
      </c>
      <c r="C577">
        <v>7</v>
      </c>
      <c r="D577">
        <v>565</v>
      </c>
    </row>
    <row r="578" spans="1:4">
      <c r="A578">
        <v>2492</v>
      </c>
      <c r="B578" t="s">
        <v>5148</v>
      </c>
      <c r="C578">
        <v>7</v>
      </c>
      <c r="D578">
        <v>565</v>
      </c>
    </row>
    <row r="579" spans="1:4">
      <c r="A579">
        <v>2643</v>
      </c>
      <c r="B579" t="s">
        <v>5202</v>
      </c>
      <c r="C579">
        <v>7</v>
      </c>
      <c r="D579">
        <v>565</v>
      </c>
    </row>
    <row r="580" spans="1:4">
      <c r="A580">
        <v>2731</v>
      </c>
      <c r="B580" t="s">
        <v>5213</v>
      </c>
      <c r="C580">
        <v>7</v>
      </c>
      <c r="D580">
        <v>565</v>
      </c>
    </row>
    <row r="581" spans="1:4">
      <c r="A581">
        <v>2881</v>
      </c>
      <c r="B581" t="s">
        <v>5235</v>
      </c>
      <c r="C581">
        <v>7</v>
      </c>
      <c r="D581">
        <v>565</v>
      </c>
    </row>
    <row r="582" spans="1:4">
      <c r="A582">
        <v>2889</v>
      </c>
      <c r="B582" t="s">
        <v>5243</v>
      </c>
      <c r="C582">
        <v>7</v>
      </c>
      <c r="D582">
        <v>565</v>
      </c>
    </row>
    <row r="583" spans="1:4">
      <c r="A583">
        <v>3029</v>
      </c>
      <c r="B583" t="s">
        <v>5284</v>
      </c>
      <c r="C583">
        <v>7</v>
      </c>
      <c r="D583">
        <v>565</v>
      </c>
    </row>
    <row r="584" spans="1:4">
      <c r="A584">
        <v>3088</v>
      </c>
      <c r="B584" t="s">
        <v>5315</v>
      </c>
      <c r="C584">
        <v>7</v>
      </c>
      <c r="D584">
        <v>565</v>
      </c>
    </row>
    <row r="585" spans="1:4">
      <c r="A585">
        <v>3323</v>
      </c>
      <c r="B585" t="s">
        <v>5377</v>
      </c>
      <c r="C585">
        <v>7</v>
      </c>
      <c r="D585">
        <v>565</v>
      </c>
    </row>
    <row r="586" spans="1:4">
      <c r="A586">
        <v>3339</v>
      </c>
      <c r="B586" t="s">
        <v>5381</v>
      </c>
      <c r="C586">
        <v>7</v>
      </c>
      <c r="D586">
        <v>565</v>
      </c>
    </row>
    <row r="587" spans="1:4">
      <c r="A587">
        <v>3550</v>
      </c>
      <c r="B587" t="s">
        <v>5444</v>
      </c>
      <c r="C587">
        <v>7</v>
      </c>
      <c r="D587">
        <v>565</v>
      </c>
    </row>
    <row r="588" spans="1:4">
      <c r="A588">
        <v>3591</v>
      </c>
      <c r="B588" t="s">
        <v>5458</v>
      </c>
      <c r="C588">
        <v>7</v>
      </c>
      <c r="D588">
        <v>565</v>
      </c>
    </row>
    <row r="589" spans="1:4">
      <c r="A589">
        <v>3625</v>
      </c>
      <c r="B589" t="s">
        <v>5471</v>
      </c>
      <c r="C589">
        <v>7</v>
      </c>
      <c r="D589">
        <v>565</v>
      </c>
    </row>
    <row r="590" spans="1:4">
      <c r="A590">
        <v>3711</v>
      </c>
      <c r="B590" t="s">
        <v>5502</v>
      </c>
      <c r="C590">
        <v>7</v>
      </c>
      <c r="D590">
        <v>565</v>
      </c>
    </row>
    <row r="591" spans="1:4">
      <c r="A591">
        <v>4102</v>
      </c>
      <c r="B591" t="s">
        <v>5505</v>
      </c>
      <c r="C591">
        <v>7</v>
      </c>
      <c r="D591">
        <v>565</v>
      </c>
    </row>
    <row r="592" spans="1:4">
      <c r="A592">
        <v>4105</v>
      </c>
      <c r="B592" t="s">
        <v>5507</v>
      </c>
      <c r="C592">
        <v>7</v>
      </c>
      <c r="D592">
        <v>565</v>
      </c>
    </row>
    <row r="593" spans="1:4">
      <c r="A593">
        <v>4720</v>
      </c>
      <c r="B593" t="s">
        <v>5586</v>
      </c>
      <c r="C593">
        <v>7</v>
      </c>
      <c r="D593">
        <v>565</v>
      </c>
    </row>
    <row r="594" spans="1:4">
      <c r="A594">
        <v>4744</v>
      </c>
      <c r="B594" t="s">
        <v>5594</v>
      </c>
      <c r="C594">
        <v>7</v>
      </c>
      <c r="D594">
        <v>565</v>
      </c>
    </row>
    <row r="595" spans="1:4">
      <c r="A595">
        <v>5263</v>
      </c>
      <c r="B595" t="s">
        <v>5659</v>
      </c>
      <c r="C595">
        <v>7</v>
      </c>
      <c r="D595">
        <v>565</v>
      </c>
    </row>
    <row r="596" spans="1:4">
      <c r="A596">
        <v>5536</v>
      </c>
      <c r="B596" t="s">
        <v>5715</v>
      </c>
      <c r="C596">
        <v>7</v>
      </c>
      <c r="D596">
        <v>565</v>
      </c>
    </row>
    <row r="597" spans="1:4">
      <c r="A597">
        <v>5871</v>
      </c>
      <c r="B597" t="s">
        <v>5726</v>
      </c>
      <c r="C597">
        <v>7</v>
      </c>
      <c r="D597">
        <v>565</v>
      </c>
    </row>
    <row r="598" spans="1:4">
      <c r="A598">
        <v>6148</v>
      </c>
      <c r="B598" t="s">
        <v>5767</v>
      </c>
      <c r="C598">
        <v>7</v>
      </c>
      <c r="D598">
        <v>565</v>
      </c>
    </row>
    <row r="599" spans="1:4">
      <c r="A599">
        <v>6180</v>
      </c>
      <c r="B599" t="s">
        <v>5788</v>
      </c>
      <c r="C599">
        <v>7</v>
      </c>
      <c r="D599">
        <v>565</v>
      </c>
    </row>
    <row r="600" spans="1:4">
      <c r="A600">
        <v>6207</v>
      </c>
      <c r="B600" t="s">
        <v>5807</v>
      </c>
      <c r="C600">
        <v>7</v>
      </c>
      <c r="D600">
        <v>565</v>
      </c>
    </row>
    <row r="601" spans="1:4">
      <c r="A601">
        <v>6209</v>
      </c>
      <c r="B601" t="s">
        <v>5809</v>
      </c>
      <c r="C601">
        <v>7</v>
      </c>
      <c r="D601">
        <v>565</v>
      </c>
    </row>
    <row r="602" spans="1:4">
      <c r="A602">
        <v>6239</v>
      </c>
      <c r="B602" t="s">
        <v>5829</v>
      </c>
      <c r="C602">
        <v>7</v>
      </c>
      <c r="D602">
        <v>565</v>
      </c>
    </row>
    <row r="603" spans="1:4">
      <c r="A603">
        <v>6246</v>
      </c>
      <c r="B603" t="s">
        <v>5833</v>
      </c>
      <c r="C603">
        <v>7</v>
      </c>
      <c r="D603">
        <v>565</v>
      </c>
    </row>
    <row r="604" spans="1:4">
      <c r="A604">
        <v>6669</v>
      </c>
      <c r="B604" t="s">
        <v>5932</v>
      </c>
      <c r="C604">
        <v>7</v>
      </c>
      <c r="D604">
        <v>565</v>
      </c>
    </row>
    <row r="605" spans="1:4">
      <c r="A605">
        <v>8249</v>
      </c>
      <c r="B605" t="s">
        <v>6004</v>
      </c>
      <c r="C605">
        <v>7</v>
      </c>
      <c r="D605">
        <v>565</v>
      </c>
    </row>
    <row r="606" spans="1:4">
      <c r="A606">
        <v>9933</v>
      </c>
      <c r="B606" t="s">
        <v>6085</v>
      </c>
      <c r="C606">
        <v>7</v>
      </c>
      <c r="D606">
        <v>565</v>
      </c>
    </row>
    <row r="607" spans="1:4">
      <c r="A607">
        <v>1216</v>
      </c>
      <c r="B607" t="s">
        <v>4782</v>
      </c>
      <c r="C607">
        <v>6</v>
      </c>
      <c r="D607">
        <v>606</v>
      </c>
    </row>
    <row r="608" spans="1:4">
      <c r="A608">
        <v>1220</v>
      </c>
      <c r="B608" t="s">
        <v>4786</v>
      </c>
      <c r="C608">
        <v>6</v>
      </c>
      <c r="D608">
        <v>606</v>
      </c>
    </row>
    <row r="609" spans="1:4">
      <c r="A609">
        <v>1236</v>
      </c>
      <c r="B609" t="s">
        <v>4795</v>
      </c>
      <c r="C609">
        <v>6</v>
      </c>
      <c r="D609">
        <v>606</v>
      </c>
    </row>
    <row r="610" spans="1:4">
      <c r="A610">
        <v>1240</v>
      </c>
      <c r="B610" t="s">
        <v>4796</v>
      </c>
      <c r="C610">
        <v>6</v>
      </c>
      <c r="D610">
        <v>606</v>
      </c>
    </row>
    <row r="611" spans="1:4">
      <c r="A611">
        <v>1310</v>
      </c>
      <c r="B611" t="s">
        <v>4807</v>
      </c>
      <c r="C611">
        <v>6</v>
      </c>
      <c r="D611">
        <v>606</v>
      </c>
    </row>
    <row r="612" spans="1:4">
      <c r="A612">
        <v>1326</v>
      </c>
      <c r="B612" t="s">
        <v>4818</v>
      </c>
      <c r="C612">
        <v>6</v>
      </c>
      <c r="D612">
        <v>606</v>
      </c>
    </row>
    <row r="613" spans="1:4">
      <c r="A613">
        <v>1904</v>
      </c>
      <c r="B613" t="s">
        <v>4967</v>
      </c>
      <c r="C613">
        <v>6</v>
      </c>
      <c r="D613">
        <v>606</v>
      </c>
    </row>
    <row r="614" spans="1:4">
      <c r="A614">
        <v>2007</v>
      </c>
      <c r="B614" t="s">
        <v>4974</v>
      </c>
      <c r="C614">
        <v>6</v>
      </c>
      <c r="D614">
        <v>606</v>
      </c>
    </row>
    <row r="615" spans="1:4">
      <c r="A615">
        <v>2028</v>
      </c>
      <c r="B615" t="s">
        <v>4987</v>
      </c>
      <c r="C615">
        <v>6</v>
      </c>
      <c r="D615">
        <v>606</v>
      </c>
    </row>
    <row r="616" spans="1:4">
      <c r="A616">
        <v>2230</v>
      </c>
      <c r="B616" t="s">
        <v>5020</v>
      </c>
      <c r="C616">
        <v>6</v>
      </c>
      <c r="D616">
        <v>606</v>
      </c>
    </row>
    <row r="617" spans="1:4">
      <c r="A617">
        <v>2305</v>
      </c>
      <c r="B617" t="s">
        <v>5032</v>
      </c>
      <c r="C617">
        <v>6</v>
      </c>
      <c r="D617">
        <v>606</v>
      </c>
    </row>
    <row r="618" spans="1:4">
      <c r="A618">
        <v>2308</v>
      </c>
      <c r="B618" t="s">
        <v>5033</v>
      </c>
      <c r="C618">
        <v>6</v>
      </c>
      <c r="D618">
        <v>606</v>
      </c>
    </row>
    <row r="619" spans="1:4">
      <c r="A619">
        <v>2439</v>
      </c>
      <c r="B619" t="s">
        <v>5112</v>
      </c>
      <c r="C619">
        <v>6</v>
      </c>
      <c r="D619">
        <v>606</v>
      </c>
    </row>
    <row r="620" spans="1:4">
      <c r="A620">
        <v>2453</v>
      </c>
      <c r="B620" t="s">
        <v>5118</v>
      </c>
      <c r="C620">
        <v>6</v>
      </c>
      <c r="D620">
        <v>606</v>
      </c>
    </row>
    <row r="621" spans="1:4">
      <c r="A621">
        <v>2727</v>
      </c>
      <c r="B621" t="s">
        <v>5212</v>
      </c>
      <c r="C621">
        <v>6</v>
      </c>
      <c r="D621">
        <v>606</v>
      </c>
    </row>
    <row r="622" spans="1:4">
      <c r="A622">
        <v>2732</v>
      </c>
      <c r="B622" t="s">
        <v>5214</v>
      </c>
      <c r="C622">
        <v>6</v>
      </c>
      <c r="D622">
        <v>606</v>
      </c>
    </row>
    <row r="623" spans="1:4">
      <c r="A623">
        <v>3025</v>
      </c>
      <c r="B623" t="s">
        <v>5280</v>
      </c>
      <c r="C623">
        <v>6</v>
      </c>
      <c r="D623">
        <v>606</v>
      </c>
    </row>
    <row r="624" spans="1:4">
      <c r="A624">
        <v>3026</v>
      </c>
      <c r="B624" t="s">
        <v>5281</v>
      </c>
      <c r="C624">
        <v>6</v>
      </c>
      <c r="D624">
        <v>606</v>
      </c>
    </row>
    <row r="625" spans="1:4">
      <c r="A625">
        <v>3081</v>
      </c>
      <c r="B625" t="s">
        <v>5312</v>
      </c>
      <c r="C625">
        <v>6</v>
      </c>
      <c r="D625">
        <v>606</v>
      </c>
    </row>
    <row r="626" spans="1:4">
      <c r="A626">
        <v>3178</v>
      </c>
      <c r="B626" t="s">
        <v>5334</v>
      </c>
      <c r="C626">
        <v>6</v>
      </c>
      <c r="D626">
        <v>606</v>
      </c>
    </row>
    <row r="627" spans="1:4">
      <c r="A627">
        <v>3224</v>
      </c>
      <c r="B627" t="s">
        <v>5347</v>
      </c>
      <c r="C627">
        <v>6</v>
      </c>
      <c r="D627">
        <v>606</v>
      </c>
    </row>
    <row r="628" spans="1:4">
      <c r="A628">
        <v>3441</v>
      </c>
      <c r="B628" t="s">
        <v>5406</v>
      </c>
      <c r="C628">
        <v>6</v>
      </c>
      <c r="D628">
        <v>606</v>
      </c>
    </row>
    <row r="629" spans="1:4">
      <c r="A629">
        <v>3541</v>
      </c>
      <c r="B629" t="s">
        <v>5439</v>
      </c>
      <c r="C629">
        <v>6</v>
      </c>
      <c r="D629">
        <v>606</v>
      </c>
    </row>
    <row r="630" spans="1:4">
      <c r="A630">
        <v>3567</v>
      </c>
      <c r="B630" t="s">
        <v>5451</v>
      </c>
      <c r="C630">
        <v>6</v>
      </c>
      <c r="D630">
        <v>606</v>
      </c>
    </row>
    <row r="631" spans="1:4">
      <c r="A631">
        <v>3609</v>
      </c>
      <c r="B631" t="s">
        <v>5464</v>
      </c>
      <c r="C631">
        <v>6</v>
      </c>
      <c r="D631">
        <v>606</v>
      </c>
    </row>
    <row r="632" spans="1:4">
      <c r="A632">
        <v>3706</v>
      </c>
      <c r="B632" t="s">
        <v>5499</v>
      </c>
      <c r="C632">
        <v>6</v>
      </c>
      <c r="D632">
        <v>606</v>
      </c>
    </row>
    <row r="633" spans="1:4">
      <c r="A633">
        <v>4137</v>
      </c>
      <c r="B633" t="s">
        <v>5523</v>
      </c>
      <c r="C633">
        <v>6</v>
      </c>
      <c r="D633">
        <v>606</v>
      </c>
    </row>
    <row r="634" spans="1:4">
      <c r="A634">
        <v>4939</v>
      </c>
      <c r="B634" t="s">
        <v>5617</v>
      </c>
      <c r="C634">
        <v>6</v>
      </c>
      <c r="D634">
        <v>606</v>
      </c>
    </row>
    <row r="635" spans="1:4">
      <c r="A635">
        <v>5251</v>
      </c>
      <c r="B635" t="s">
        <v>5657</v>
      </c>
      <c r="C635">
        <v>6</v>
      </c>
      <c r="D635">
        <v>606</v>
      </c>
    </row>
    <row r="636" spans="1:4">
      <c r="A636">
        <v>5274</v>
      </c>
      <c r="B636" t="s">
        <v>5662</v>
      </c>
      <c r="C636">
        <v>6</v>
      </c>
      <c r="D636">
        <v>606</v>
      </c>
    </row>
    <row r="637" spans="1:4">
      <c r="A637">
        <v>5291</v>
      </c>
      <c r="B637" t="s">
        <v>5669</v>
      </c>
      <c r="C637">
        <v>6</v>
      </c>
      <c r="D637">
        <v>606</v>
      </c>
    </row>
    <row r="638" spans="1:4">
      <c r="A638">
        <v>6026</v>
      </c>
      <c r="B638" t="s">
        <v>5739</v>
      </c>
      <c r="C638">
        <v>6</v>
      </c>
      <c r="D638">
        <v>606</v>
      </c>
    </row>
    <row r="639" spans="1:4">
      <c r="A639">
        <v>6412</v>
      </c>
      <c r="B639" t="s">
        <v>5861</v>
      </c>
      <c r="C639">
        <v>6</v>
      </c>
      <c r="D639">
        <v>606</v>
      </c>
    </row>
    <row r="640" spans="1:4">
      <c r="A640">
        <v>6432</v>
      </c>
      <c r="B640" t="s">
        <v>5867</v>
      </c>
      <c r="C640">
        <v>6</v>
      </c>
      <c r="D640">
        <v>606</v>
      </c>
    </row>
    <row r="641" spans="1:4">
      <c r="A641">
        <v>6488</v>
      </c>
      <c r="B641" t="s">
        <v>5885</v>
      </c>
      <c r="C641">
        <v>6</v>
      </c>
      <c r="D641">
        <v>606</v>
      </c>
    </row>
    <row r="642" spans="1:4">
      <c r="A642">
        <v>6552</v>
      </c>
      <c r="B642" t="s">
        <v>5905</v>
      </c>
      <c r="C642">
        <v>6</v>
      </c>
      <c r="D642">
        <v>606</v>
      </c>
    </row>
    <row r="643" spans="1:4">
      <c r="A643">
        <v>8011</v>
      </c>
      <c r="B643" t="s">
        <v>5950</v>
      </c>
      <c r="C643">
        <v>6</v>
      </c>
      <c r="D643">
        <v>606</v>
      </c>
    </row>
    <row r="644" spans="1:4">
      <c r="A644">
        <v>8027</v>
      </c>
      <c r="B644" t="s">
        <v>5954</v>
      </c>
      <c r="C644">
        <v>6</v>
      </c>
      <c r="D644">
        <v>606</v>
      </c>
    </row>
    <row r="645" spans="1:4">
      <c r="A645">
        <v>8085</v>
      </c>
      <c r="B645" t="s">
        <v>6224</v>
      </c>
      <c r="C645">
        <v>6</v>
      </c>
      <c r="D645">
        <v>606</v>
      </c>
    </row>
    <row r="646" spans="1:4">
      <c r="A646">
        <v>8171</v>
      </c>
      <c r="B646" t="s">
        <v>5994</v>
      </c>
      <c r="C646">
        <v>6</v>
      </c>
      <c r="D646">
        <v>606</v>
      </c>
    </row>
    <row r="647" spans="1:4">
      <c r="A647">
        <v>8422</v>
      </c>
      <c r="B647" t="s">
        <v>6024</v>
      </c>
      <c r="C647">
        <v>6</v>
      </c>
      <c r="D647">
        <v>606</v>
      </c>
    </row>
    <row r="648" spans="1:4">
      <c r="A648">
        <v>8926</v>
      </c>
      <c r="B648" t="s">
        <v>6056</v>
      </c>
      <c r="C648">
        <v>6</v>
      </c>
      <c r="D648">
        <v>606</v>
      </c>
    </row>
    <row r="649" spans="1:4">
      <c r="A649">
        <v>8928</v>
      </c>
      <c r="B649" t="s">
        <v>6058</v>
      </c>
      <c r="C649">
        <v>6</v>
      </c>
      <c r="D649">
        <v>606</v>
      </c>
    </row>
    <row r="650" spans="1:4">
      <c r="A650">
        <v>9910</v>
      </c>
      <c r="B650" t="s">
        <v>6072</v>
      </c>
      <c r="C650">
        <v>6</v>
      </c>
      <c r="D650">
        <v>606</v>
      </c>
    </row>
    <row r="651" spans="1:4">
      <c r="A651">
        <v>1215</v>
      </c>
      <c r="B651" t="s">
        <v>4781</v>
      </c>
      <c r="C651">
        <v>5</v>
      </c>
      <c r="D651">
        <v>650</v>
      </c>
    </row>
    <row r="652" spans="1:4">
      <c r="A652">
        <v>1504</v>
      </c>
      <c r="B652" t="s">
        <v>4863</v>
      </c>
      <c r="C652">
        <v>5</v>
      </c>
      <c r="D652">
        <v>650</v>
      </c>
    </row>
    <row r="653" spans="1:4">
      <c r="A653">
        <v>1524</v>
      </c>
      <c r="B653" t="s">
        <v>4872</v>
      </c>
      <c r="C653">
        <v>5</v>
      </c>
      <c r="D653">
        <v>650</v>
      </c>
    </row>
    <row r="654" spans="1:4">
      <c r="A654">
        <v>1604</v>
      </c>
      <c r="B654" t="s">
        <v>4909</v>
      </c>
      <c r="C654">
        <v>5</v>
      </c>
      <c r="D654">
        <v>650</v>
      </c>
    </row>
    <row r="655" spans="1:4">
      <c r="A655">
        <v>2029</v>
      </c>
      <c r="B655" t="s">
        <v>4988</v>
      </c>
      <c r="C655">
        <v>5</v>
      </c>
      <c r="D655">
        <v>650</v>
      </c>
    </row>
    <row r="656" spans="1:4">
      <c r="A656">
        <v>2204</v>
      </c>
      <c r="B656" t="s">
        <v>5013</v>
      </c>
      <c r="C656">
        <v>5</v>
      </c>
      <c r="D656">
        <v>650</v>
      </c>
    </row>
    <row r="657" spans="1:4">
      <c r="A657">
        <v>2208</v>
      </c>
      <c r="B657" t="s">
        <v>5016</v>
      </c>
      <c r="C657">
        <v>5</v>
      </c>
      <c r="D657">
        <v>650</v>
      </c>
    </row>
    <row r="658" spans="1:4">
      <c r="A658">
        <v>2345</v>
      </c>
      <c r="B658" t="s">
        <v>5051</v>
      </c>
      <c r="C658">
        <v>5</v>
      </c>
      <c r="D658">
        <v>650</v>
      </c>
    </row>
    <row r="659" spans="1:4">
      <c r="A659">
        <v>2367</v>
      </c>
      <c r="B659" t="s">
        <v>5067</v>
      </c>
      <c r="C659">
        <v>5</v>
      </c>
      <c r="D659">
        <v>650</v>
      </c>
    </row>
    <row r="660" spans="1:4">
      <c r="A660">
        <v>2379</v>
      </c>
      <c r="B660" t="s">
        <v>5076</v>
      </c>
      <c r="C660">
        <v>5</v>
      </c>
      <c r="D660">
        <v>650</v>
      </c>
    </row>
    <row r="661" spans="1:4">
      <c r="A661">
        <v>2495</v>
      </c>
      <c r="B661" t="s">
        <v>5150</v>
      </c>
      <c r="C661">
        <v>5</v>
      </c>
      <c r="D661">
        <v>650</v>
      </c>
    </row>
    <row r="662" spans="1:4">
      <c r="A662">
        <v>2535</v>
      </c>
      <c r="B662" t="s">
        <v>5168</v>
      </c>
      <c r="C662">
        <v>5</v>
      </c>
      <c r="D662">
        <v>650</v>
      </c>
    </row>
    <row r="663" spans="1:4">
      <c r="A663">
        <v>2542</v>
      </c>
      <c r="B663" t="s">
        <v>6176</v>
      </c>
      <c r="C663">
        <v>5</v>
      </c>
      <c r="D663">
        <v>650</v>
      </c>
    </row>
    <row r="664" spans="1:4">
      <c r="A664">
        <v>2707</v>
      </c>
      <c r="B664" t="s">
        <v>5207</v>
      </c>
      <c r="C664">
        <v>5</v>
      </c>
      <c r="D664">
        <v>650</v>
      </c>
    </row>
    <row r="665" spans="1:4">
      <c r="A665">
        <v>3008</v>
      </c>
      <c r="B665" t="s">
        <v>5269</v>
      </c>
      <c r="C665">
        <v>5</v>
      </c>
      <c r="D665">
        <v>650</v>
      </c>
    </row>
    <row r="666" spans="1:4">
      <c r="A666">
        <v>3010</v>
      </c>
      <c r="B666" t="s">
        <v>5270</v>
      </c>
      <c r="C666">
        <v>5</v>
      </c>
      <c r="D666">
        <v>650</v>
      </c>
    </row>
    <row r="667" spans="1:4">
      <c r="A667">
        <v>3027</v>
      </c>
      <c r="B667" t="s">
        <v>5282</v>
      </c>
      <c r="C667">
        <v>5</v>
      </c>
      <c r="D667">
        <v>650</v>
      </c>
    </row>
    <row r="668" spans="1:4">
      <c r="A668">
        <v>3051</v>
      </c>
      <c r="B668" t="s">
        <v>6178</v>
      </c>
      <c r="C668">
        <v>5</v>
      </c>
      <c r="D668">
        <v>650</v>
      </c>
    </row>
    <row r="669" spans="1:4">
      <c r="A669">
        <v>3163</v>
      </c>
      <c r="B669" t="s">
        <v>5330</v>
      </c>
      <c r="C669">
        <v>5</v>
      </c>
      <c r="D669">
        <v>650</v>
      </c>
    </row>
    <row r="670" spans="1:4">
      <c r="A670">
        <v>3234</v>
      </c>
      <c r="B670" t="s">
        <v>5352</v>
      </c>
      <c r="C670">
        <v>5</v>
      </c>
      <c r="D670">
        <v>650</v>
      </c>
    </row>
    <row r="671" spans="1:4">
      <c r="A671">
        <v>3265</v>
      </c>
      <c r="B671" t="s">
        <v>5358</v>
      </c>
      <c r="C671">
        <v>5</v>
      </c>
      <c r="D671">
        <v>650</v>
      </c>
    </row>
    <row r="672" spans="1:4">
      <c r="A672">
        <v>3293</v>
      </c>
      <c r="B672" t="s">
        <v>5366</v>
      </c>
      <c r="C672">
        <v>5</v>
      </c>
      <c r="D672">
        <v>650</v>
      </c>
    </row>
    <row r="673" spans="1:4">
      <c r="A673">
        <v>3390</v>
      </c>
      <c r="B673" t="s">
        <v>5396</v>
      </c>
      <c r="C673">
        <v>5</v>
      </c>
      <c r="D673">
        <v>650</v>
      </c>
    </row>
    <row r="674" spans="1:4">
      <c r="A674">
        <v>3432</v>
      </c>
      <c r="B674" t="s">
        <v>5402</v>
      </c>
      <c r="C674">
        <v>5</v>
      </c>
      <c r="D674">
        <v>650</v>
      </c>
    </row>
    <row r="675" spans="1:4">
      <c r="A675">
        <v>3652</v>
      </c>
      <c r="B675" t="s">
        <v>5476</v>
      </c>
      <c r="C675">
        <v>5</v>
      </c>
      <c r="D675">
        <v>650</v>
      </c>
    </row>
    <row r="676" spans="1:4">
      <c r="A676">
        <v>3666</v>
      </c>
      <c r="B676" t="s">
        <v>5481</v>
      </c>
      <c r="C676">
        <v>5</v>
      </c>
      <c r="D676">
        <v>650</v>
      </c>
    </row>
    <row r="677" spans="1:4">
      <c r="A677">
        <v>3693</v>
      </c>
      <c r="B677" t="s">
        <v>5492</v>
      </c>
      <c r="C677">
        <v>5</v>
      </c>
      <c r="D677">
        <v>650</v>
      </c>
    </row>
    <row r="678" spans="1:4">
      <c r="A678">
        <v>4174</v>
      </c>
      <c r="B678" t="s">
        <v>5538</v>
      </c>
      <c r="C678">
        <v>5</v>
      </c>
      <c r="D678">
        <v>650</v>
      </c>
    </row>
    <row r="679" spans="1:4">
      <c r="A679">
        <v>4908</v>
      </c>
      <c r="B679" t="s">
        <v>5606</v>
      </c>
      <c r="C679">
        <v>5</v>
      </c>
      <c r="D679">
        <v>650</v>
      </c>
    </row>
    <row r="680" spans="1:4">
      <c r="A680">
        <v>5356</v>
      </c>
      <c r="B680" t="s">
        <v>5678</v>
      </c>
      <c r="C680">
        <v>5</v>
      </c>
      <c r="D680">
        <v>650</v>
      </c>
    </row>
    <row r="681" spans="1:4">
      <c r="A681">
        <v>6015</v>
      </c>
      <c r="B681" t="s">
        <v>5736</v>
      </c>
      <c r="C681">
        <v>5</v>
      </c>
      <c r="D681">
        <v>650</v>
      </c>
    </row>
    <row r="682" spans="1:4">
      <c r="A682">
        <v>6121</v>
      </c>
      <c r="B682" t="s">
        <v>5750</v>
      </c>
      <c r="C682">
        <v>5</v>
      </c>
      <c r="D682">
        <v>650</v>
      </c>
    </row>
    <row r="683" spans="1:4">
      <c r="A683">
        <v>6140</v>
      </c>
      <c r="B683" t="s">
        <v>5762</v>
      </c>
      <c r="C683">
        <v>5</v>
      </c>
      <c r="D683">
        <v>650</v>
      </c>
    </row>
    <row r="684" spans="1:4">
      <c r="A684">
        <v>6214</v>
      </c>
      <c r="B684" t="s">
        <v>5811</v>
      </c>
      <c r="C684">
        <v>5</v>
      </c>
      <c r="D684">
        <v>650</v>
      </c>
    </row>
    <row r="685" spans="1:4">
      <c r="A685">
        <v>6216</v>
      </c>
      <c r="B685" t="s">
        <v>5813</v>
      </c>
      <c r="C685">
        <v>5</v>
      </c>
      <c r="D685">
        <v>650</v>
      </c>
    </row>
    <row r="686" spans="1:4">
      <c r="A686">
        <v>6456</v>
      </c>
      <c r="B686" t="s">
        <v>5875</v>
      </c>
      <c r="C686">
        <v>5</v>
      </c>
      <c r="D686">
        <v>650</v>
      </c>
    </row>
    <row r="687" spans="1:4">
      <c r="A687">
        <v>6461</v>
      </c>
      <c r="B687" t="s">
        <v>5877</v>
      </c>
      <c r="C687">
        <v>5</v>
      </c>
      <c r="D687">
        <v>650</v>
      </c>
    </row>
    <row r="688" spans="1:4">
      <c r="A688">
        <v>6642</v>
      </c>
      <c r="B688" t="s">
        <v>6290</v>
      </c>
      <c r="C688">
        <v>5</v>
      </c>
      <c r="D688">
        <v>650</v>
      </c>
    </row>
    <row r="689" spans="1:4">
      <c r="A689">
        <v>8039</v>
      </c>
      <c r="B689" t="s">
        <v>5957</v>
      </c>
      <c r="C689">
        <v>5</v>
      </c>
      <c r="D689">
        <v>650</v>
      </c>
    </row>
    <row r="690" spans="1:4">
      <c r="A690">
        <v>8088</v>
      </c>
      <c r="B690" t="s">
        <v>5975</v>
      </c>
      <c r="C690">
        <v>5</v>
      </c>
      <c r="D690">
        <v>650</v>
      </c>
    </row>
    <row r="691" spans="1:4">
      <c r="A691">
        <v>8147</v>
      </c>
      <c r="B691" t="s">
        <v>5990</v>
      </c>
      <c r="C691">
        <v>5</v>
      </c>
      <c r="D691">
        <v>650</v>
      </c>
    </row>
    <row r="692" spans="1:4">
      <c r="A692">
        <v>8213</v>
      </c>
      <c r="B692" t="s">
        <v>5999</v>
      </c>
      <c r="C692">
        <v>5</v>
      </c>
      <c r="D692">
        <v>650</v>
      </c>
    </row>
    <row r="693" spans="1:4">
      <c r="A693">
        <v>8222</v>
      </c>
      <c r="B693" t="s">
        <v>6001</v>
      </c>
      <c r="C693">
        <v>5</v>
      </c>
      <c r="D693">
        <v>650</v>
      </c>
    </row>
    <row r="694" spans="1:4">
      <c r="A694">
        <v>9907</v>
      </c>
      <c r="B694" t="s">
        <v>6070</v>
      </c>
      <c r="C694">
        <v>5</v>
      </c>
      <c r="D694">
        <v>650</v>
      </c>
    </row>
    <row r="695" spans="1:4">
      <c r="A695">
        <v>9921</v>
      </c>
      <c r="B695" t="s">
        <v>6078</v>
      </c>
      <c r="C695">
        <v>5</v>
      </c>
      <c r="D695">
        <v>650</v>
      </c>
    </row>
    <row r="696" spans="1:4">
      <c r="A696">
        <v>9945</v>
      </c>
      <c r="B696" t="s">
        <v>6096</v>
      </c>
      <c r="C696">
        <v>5</v>
      </c>
      <c r="D696">
        <v>650</v>
      </c>
    </row>
    <row r="697" spans="1:4">
      <c r="A697">
        <v>1219</v>
      </c>
      <c r="B697" t="s">
        <v>4785</v>
      </c>
      <c r="C697">
        <v>4</v>
      </c>
      <c r="D697">
        <v>696</v>
      </c>
    </row>
    <row r="698" spans="1:4">
      <c r="A698">
        <v>1309</v>
      </c>
      <c r="B698" t="s">
        <v>4806</v>
      </c>
      <c r="C698">
        <v>4</v>
      </c>
      <c r="D698">
        <v>696</v>
      </c>
    </row>
    <row r="699" spans="1:4">
      <c r="A699">
        <v>1452</v>
      </c>
      <c r="B699" t="s">
        <v>4845</v>
      </c>
      <c r="C699">
        <v>4</v>
      </c>
      <c r="D699">
        <v>696</v>
      </c>
    </row>
    <row r="700" spans="1:4">
      <c r="A700">
        <v>1517</v>
      </c>
      <c r="B700" t="s">
        <v>4868</v>
      </c>
      <c r="C700">
        <v>4</v>
      </c>
      <c r="D700">
        <v>696</v>
      </c>
    </row>
    <row r="701" spans="1:4">
      <c r="A701">
        <v>1702</v>
      </c>
      <c r="B701" t="s">
        <v>4921</v>
      </c>
      <c r="C701">
        <v>4</v>
      </c>
      <c r="D701">
        <v>696</v>
      </c>
    </row>
    <row r="702" spans="1:4">
      <c r="A702">
        <v>1723</v>
      </c>
      <c r="B702" t="s">
        <v>4935</v>
      </c>
      <c r="C702">
        <v>4</v>
      </c>
      <c r="D702">
        <v>696</v>
      </c>
    </row>
    <row r="703" spans="1:4">
      <c r="A703">
        <v>1773</v>
      </c>
      <c r="B703" t="s">
        <v>4950</v>
      </c>
      <c r="C703">
        <v>4</v>
      </c>
      <c r="D703">
        <v>696</v>
      </c>
    </row>
    <row r="704" spans="1:4">
      <c r="A704">
        <v>1776</v>
      </c>
      <c r="B704" t="s">
        <v>4951</v>
      </c>
      <c r="C704">
        <v>4</v>
      </c>
      <c r="D704">
        <v>696</v>
      </c>
    </row>
    <row r="705" spans="1:4">
      <c r="A705">
        <v>1784</v>
      </c>
      <c r="B705" t="s">
        <v>4953</v>
      </c>
      <c r="C705">
        <v>4</v>
      </c>
      <c r="D705">
        <v>696</v>
      </c>
    </row>
    <row r="706" spans="1:4">
      <c r="A706">
        <v>1907</v>
      </c>
      <c r="B706" t="s">
        <v>4970</v>
      </c>
      <c r="C706">
        <v>4</v>
      </c>
      <c r="D706">
        <v>696</v>
      </c>
    </row>
    <row r="707" spans="1:4">
      <c r="A707">
        <v>2010</v>
      </c>
      <c r="B707" t="s">
        <v>4977</v>
      </c>
      <c r="C707">
        <v>4</v>
      </c>
      <c r="D707">
        <v>696</v>
      </c>
    </row>
    <row r="708" spans="1:4">
      <c r="A708">
        <v>2024</v>
      </c>
      <c r="B708" t="s">
        <v>4985</v>
      </c>
      <c r="C708">
        <v>4</v>
      </c>
      <c r="D708">
        <v>696</v>
      </c>
    </row>
    <row r="709" spans="1:4">
      <c r="A709">
        <v>2104</v>
      </c>
      <c r="B709" t="s">
        <v>5004</v>
      </c>
      <c r="C709">
        <v>4</v>
      </c>
      <c r="D709">
        <v>696</v>
      </c>
    </row>
    <row r="710" spans="1:4">
      <c r="A710">
        <v>2332</v>
      </c>
      <c r="B710" t="s">
        <v>5045</v>
      </c>
      <c r="C710">
        <v>4</v>
      </c>
      <c r="D710">
        <v>696</v>
      </c>
    </row>
    <row r="711" spans="1:4">
      <c r="A711">
        <v>2451</v>
      </c>
      <c r="B711" t="s">
        <v>5117</v>
      </c>
      <c r="C711">
        <v>4</v>
      </c>
      <c r="D711">
        <v>696</v>
      </c>
    </row>
    <row r="712" spans="1:4">
      <c r="A712">
        <v>2520</v>
      </c>
      <c r="B712" t="s">
        <v>5162</v>
      </c>
      <c r="C712">
        <v>4</v>
      </c>
      <c r="D712">
        <v>696</v>
      </c>
    </row>
    <row r="713" spans="1:4">
      <c r="A713">
        <v>2537</v>
      </c>
      <c r="B713" t="s">
        <v>5170</v>
      </c>
      <c r="C713">
        <v>4</v>
      </c>
      <c r="D713">
        <v>696</v>
      </c>
    </row>
    <row r="714" spans="1:4">
      <c r="A714">
        <v>2538</v>
      </c>
      <c r="B714" t="s">
        <v>5171</v>
      </c>
      <c r="C714">
        <v>4</v>
      </c>
      <c r="D714">
        <v>696</v>
      </c>
    </row>
    <row r="715" spans="1:4">
      <c r="A715">
        <v>3021</v>
      </c>
      <c r="B715" t="s">
        <v>5277</v>
      </c>
      <c r="C715">
        <v>4</v>
      </c>
      <c r="D715">
        <v>696</v>
      </c>
    </row>
    <row r="716" spans="1:4">
      <c r="A716">
        <v>3030</v>
      </c>
      <c r="B716" t="s">
        <v>5285</v>
      </c>
      <c r="C716">
        <v>4</v>
      </c>
      <c r="D716">
        <v>696</v>
      </c>
    </row>
    <row r="717" spans="1:4">
      <c r="A717">
        <v>3147</v>
      </c>
      <c r="B717" t="s">
        <v>5327</v>
      </c>
      <c r="C717">
        <v>4</v>
      </c>
      <c r="D717">
        <v>696</v>
      </c>
    </row>
    <row r="718" spans="1:4">
      <c r="A718">
        <v>3218</v>
      </c>
      <c r="B718" t="s">
        <v>5344</v>
      </c>
      <c r="C718">
        <v>4</v>
      </c>
      <c r="D718">
        <v>696</v>
      </c>
    </row>
    <row r="719" spans="1:4">
      <c r="A719">
        <v>3346</v>
      </c>
      <c r="B719" t="s">
        <v>5382</v>
      </c>
      <c r="C719">
        <v>4</v>
      </c>
      <c r="D719">
        <v>696</v>
      </c>
    </row>
    <row r="720" spans="1:4">
      <c r="A720">
        <v>3356</v>
      </c>
      <c r="B720" t="s">
        <v>5384</v>
      </c>
      <c r="C720">
        <v>4</v>
      </c>
      <c r="D720">
        <v>696</v>
      </c>
    </row>
    <row r="721" spans="1:4">
      <c r="A721">
        <v>3362</v>
      </c>
      <c r="B721" t="s">
        <v>5387</v>
      </c>
      <c r="C721">
        <v>4</v>
      </c>
      <c r="D721">
        <v>696</v>
      </c>
    </row>
    <row r="722" spans="1:4">
      <c r="A722">
        <v>3376</v>
      </c>
      <c r="B722" t="s">
        <v>5392</v>
      </c>
      <c r="C722">
        <v>4</v>
      </c>
      <c r="D722">
        <v>696</v>
      </c>
    </row>
    <row r="723" spans="1:4">
      <c r="A723">
        <v>3623</v>
      </c>
      <c r="B723" t="s">
        <v>5469</v>
      </c>
      <c r="C723">
        <v>4</v>
      </c>
      <c r="D723">
        <v>696</v>
      </c>
    </row>
    <row r="724" spans="1:4">
      <c r="A724">
        <v>3669</v>
      </c>
      <c r="B724" t="s">
        <v>5482</v>
      </c>
      <c r="C724">
        <v>4</v>
      </c>
      <c r="D724">
        <v>696</v>
      </c>
    </row>
    <row r="725" spans="1:4">
      <c r="A725">
        <v>4119</v>
      </c>
      <c r="B725" t="s">
        <v>5514</v>
      </c>
      <c r="C725">
        <v>4</v>
      </c>
      <c r="D725">
        <v>696</v>
      </c>
    </row>
    <row r="726" spans="1:4">
      <c r="A726">
        <v>4164</v>
      </c>
      <c r="B726" t="s">
        <v>5533</v>
      </c>
      <c r="C726">
        <v>4</v>
      </c>
      <c r="D726">
        <v>696</v>
      </c>
    </row>
    <row r="727" spans="1:4">
      <c r="A727">
        <v>4912</v>
      </c>
      <c r="B727" t="s">
        <v>5608</v>
      </c>
      <c r="C727">
        <v>4</v>
      </c>
      <c r="D727">
        <v>696</v>
      </c>
    </row>
    <row r="728" spans="1:4">
      <c r="A728">
        <v>4942</v>
      </c>
      <c r="B728" t="s">
        <v>5618</v>
      </c>
      <c r="C728">
        <v>4</v>
      </c>
      <c r="D728">
        <v>696</v>
      </c>
    </row>
    <row r="729" spans="1:4">
      <c r="A729">
        <v>5202</v>
      </c>
      <c r="B729" t="s">
        <v>6151</v>
      </c>
      <c r="C729">
        <v>4</v>
      </c>
      <c r="D729">
        <v>696</v>
      </c>
    </row>
    <row r="730" spans="1:4">
      <c r="A730">
        <v>5469</v>
      </c>
      <c r="B730" t="s">
        <v>5696</v>
      </c>
      <c r="C730">
        <v>4</v>
      </c>
      <c r="D730">
        <v>696</v>
      </c>
    </row>
    <row r="731" spans="1:4">
      <c r="A731">
        <v>5474</v>
      </c>
      <c r="B731" t="s">
        <v>5698</v>
      </c>
      <c r="C731">
        <v>4</v>
      </c>
      <c r="D731">
        <v>696</v>
      </c>
    </row>
    <row r="732" spans="1:4">
      <c r="A732">
        <v>5521</v>
      </c>
      <c r="B732" t="s">
        <v>5708</v>
      </c>
      <c r="C732">
        <v>4</v>
      </c>
      <c r="D732">
        <v>696</v>
      </c>
    </row>
    <row r="733" spans="1:4">
      <c r="A733">
        <v>5534</v>
      </c>
      <c r="B733" t="s">
        <v>5714</v>
      </c>
      <c r="C733">
        <v>4</v>
      </c>
      <c r="D733">
        <v>696</v>
      </c>
    </row>
    <row r="734" spans="1:4">
      <c r="A734">
        <v>6136</v>
      </c>
      <c r="B734" t="s">
        <v>5759</v>
      </c>
      <c r="C734">
        <v>4</v>
      </c>
      <c r="D734">
        <v>696</v>
      </c>
    </row>
    <row r="735" spans="1:4">
      <c r="A735">
        <v>6288</v>
      </c>
      <c r="B735" t="s">
        <v>5855</v>
      </c>
      <c r="C735">
        <v>4</v>
      </c>
      <c r="D735">
        <v>696</v>
      </c>
    </row>
    <row r="736" spans="1:4">
      <c r="A736">
        <v>6409</v>
      </c>
      <c r="B736" t="s">
        <v>5859</v>
      </c>
      <c r="C736">
        <v>4</v>
      </c>
      <c r="D736">
        <v>696</v>
      </c>
    </row>
    <row r="737" spans="1:4">
      <c r="A737">
        <v>6506</v>
      </c>
      <c r="B737" t="s">
        <v>5891</v>
      </c>
      <c r="C737">
        <v>4</v>
      </c>
      <c r="D737">
        <v>696</v>
      </c>
    </row>
    <row r="738" spans="1:4">
      <c r="A738">
        <v>6592</v>
      </c>
      <c r="B738" t="s">
        <v>5915</v>
      </c>
      <c r="C738">
        <v>4</v>
      </c>
      <c r="D738">
        <v>696</v>
      </c>
    </row>
    <row r="739" spans="1:4">
      <c r="A739">
        <v>6594</v>
      </c>
      <c r="B739" t="s">
        <v>6189</v>
      </c>
      <c r="C739">
        <v>4</v>
      </c>
      <c r="D739">
        <v>696</v>
      </c>
    </row>
    <row r="740" spans="1:4">
      <c r="A740">
        <v>6654</v>
      </c>
      <c r="B740" t="s">
        <v>5926</v>
      </c>
      <c r="C740">
        <v>4</v>
      </c>
      <c r="D740">
        <v>696</v>
      </c>
    </row>
    <row r="741" spans="1:4">
      <c r="A741">
        <v>6668</v>
      </c>
      <c r="B741" t="s">
        <v>5931</v>
      </c>
      <c r="C741">
        <v>4</v>
      </c>
      <c r="D741">
        <v>696</v>
      </c>
    </row>
    <row r="742" spans="1:4">
      <c r="A742">
        <v>8341</v>
      </c>
      <c r="B742" t="s">
        <v>6011</v>
      </c>
      <c r="C742">
        <v>4</v>
      </c>
      <c r="D742">
        <v>696</v>
      </c>
    </row>
    <row r="743" spans="1:4">
      <c r="A743">
        <v>8415</v>
      </c>
      <c r="B743" t="s">
        <v>6022</v>
      </c>
      <c r="C743">
        <v>4</v>
      </c>
      <c r="D743">
        <v>696</v>
      </c>
    </row>
    <row r="744" spans="1:4">
      <c r="A744">
        <v>1103</v>
      </c>
      <c r="B744" t="s">
        <v>4773</v>
      </c>
      <c r="C744">
        <v>3</v>
      </c>
      <c r="D744">
        <v>743</v>
      </c>
    </row>
    <row r="745" spans="1:4">
      <c r="A745">
        <v>1466</v>
      </c>
      <c r="B745" t="s">
        <v>4855</v>
      </c>
      <c r="C745">
        <v>3</v>
      </c>
      <c r="D745">
        <v>743</v>
      </c>
    </row>
    <row r="746" spans="1:4">
      <c r="A746">
        <v>1514</v>
      </c>
      <c r="B746" t="s">
        <v>4865</v>
      </c>
      <c r="C746">
        <v>3</v>
      </c>
      <c r="D746">
        <v>743</v>
      </c>
    </row>
    <row r="747" spans="1:4">
      <c r="A747">
        <v>1522</v>
      </c>
      <c r="B747" t="s">
        <v>4871</v>
      </c>
      <c r="C747">
        <v>3</v>
      </c>
      <c r="D747">
        <v>743</v>
      </c>
    </row>
    <row r="748" spans="1:4">
      <c r="A748">
        <v>1569</v>
      </c>
      <c r="B748" t="s">
        <v>4892</v>
      </c>
      <c r="C748">
        <v>3</v>
      </c>
      <c r="D748">
        <v>743</v>
      </c>
    </row>
    <row r="749" spans="1:4">
      <c r="A749">
        <v>1599</v>
      </c>
      <c r="B749" t="s">
        <v>4907</v>
      </c>
      <c r="C749">
        <v>3</v>
      </c>
      <c r="D749">
        <v>743</v>
      </c>
    </row>
    <row r="750" spans="1:4">
      <c r="A750">
        <v>1701</v>
      </c>
      <c r="B750" t="s">
        <v>4920</v>
      </c>
      <c r="C750">
        <v>3</v>
      </c>
      <c r="D750">
        <v>743</v>
      </c>
    </row>
    <row r="751" spans="1:4">
      <c r="A751">
        <v>1714</v>
      </c>
      <c r="B751" t="s">
        <v>4929</v>
      </c>
      <c r="C751">
        <v>3</v>
      </c>
      <c r="D751">
        <v>743</v>
      </c>
    </row>
    <row r="752" spans="1:4">
      <c r="A752">
        <v>1718</v>
      </c>
      <c r="B752" t="s">
        <v>4931</v>
      </c>
      <c r="C752">
        <v>3</v>
      </c>
      <c r="D752">
        <v>743</v>
      </c>
    </row>
    <row r="753" spans="1:4">
      <c r="A753">
        <v>1810</v>
      </c>
      <c r="B753" t="s">
        <v>4963</v>
      </c>
      <c r="C753">
        <v>3</v>
      </c>
      <c r="D753">
        <v>743</v>
      </c>
    </row>
    <row r="754" spans="1:4">
      <c r="A754">
        <v>1817</v>
      </c>
      <c r="B754" t="s">
        <v>4965</v>
      </c>
      <c r="C754">
        <v>3</v>
      </c>
      <c r="D754">
        <v>743</v>
      </c>
    </row>
    <row r="755" spans="1:4">
      <c r="A755">
        <v>1905</v>
      </c>
      <c r="B755" t="s">
        <v>4968</v>
      </c>
      <c r="C755">
        <v>3</v>
      </c>
      <c r="D755">
        <v>743</v>
      </c>
    </row>
    <row r="756" spans="1:4">
      <c r="A756">
        <v>2017</v>
      </c>
      <c r="B756" t="s">
        <v>4982</v>
      </c>
      <c r="C756">
        <v>3</v>
      </c>
      <c r="D756">
        <v>743</v>
      </c>
    </row>
    <row r="757" spans="1:4">
      <c r="A757">
        <v>2049</v>
      </c>
      <c r="B757" t="s">
        <v>4996</v>
      </c>
      <c r="C757">
        <v>3</v>
      </c>
      <c r="D757">
        <v>743</v>
      </c>
    </row>
    <row r="758" spans="1:4">
      <c r="A758">
        <v>2114</v>
      </c>
      <c r="B758" t="s">
        <v>5010</v>
      </c>
      <c r="C758">
        <v>3</v>
      </c>
      <c r="D758">
        <v>743</v>
      </c>
    </row>
    <row r="759" spans="1:4">
      <c r="A759">
        <v>2207</v>
      </c>
      <c r="B759" t="s">
        <v>5015</v>
      </c>
      <c r="C759">
        <v>3</v>
      </c>
      <c r="D759">
        <v>743</v>
      </c>
    </row>
    <row r="760" spans="1:4">
      <c r="A760">
        <v>2316</v>
      </c>
      <c r="B760" t="s">
        <v>5036</v>
      </c>
      <c r="C760">
        <v>3</v>
      </c>
      <c r="D760">
        <v>743</v>
      </c>
    </row>
    <row r="761" spans="1:4">
      <c r="A761">
        <v>2387</v>
      </c>
      <c r="B761" t="s">
        <v>5080</v>
      </c>
      <c r="C761">
        <v>3</v>
      </c>
      <c r="D761">
        <v>743</v>
      </c>
    </row>
    <row r="762" spans="1:4">
      <c r="A762">
        <v>2414</v>
      </c>
      <c r="B762" t="s">
        <v>5096</v>
      </c>
      <c r="C762">
        <v>3</v>
      </c>
      <c r="D762">
        <v>743</v>
      </c>
    </row>
    <row r="763" spans="1:4">
      <c r="A763">
        <v>2460</v>
      </c>
      <c r="B763" t="s">
        <v>5124</v>
      </c>
      <c r="C763">
        <v>3</v>
      </c>
      <c r="D763">
        <v>743</v>
      </c>
    </row>
    <row r="764" spans="1:4">
      <c r="A764">
        <v>2467</v>
      </c>
      <c r="B764" t="s">
        <v>5130</v>
      </c>
      <c r="C764">
        <v>3</v>
      </c>
      <c r="D764">
        <v>743</v>
      </c>
    </row>
    <row r="765" spans="1:4">
      <c r="A765">
        <v>2472</v>
      </c>
      <c r="B765" t="s">
        <v>5133</v>
      </c>
      <c r="C765">
        <v>3</v>
      </c>
      <c r="D765">
        <v>743</v>
      </c>
    </row>
    <row r="766" spans="1:4">
      <c r="A766">
        <v>2515</v>
      </c>
      <c r="B766" t="s">
        <v>5161</v>
      </c>
      <c r="C766">
        <v>3</v>
      </c>
      <c r="D766">
        <v>743</v>
      </c>
    </row>
    <row r="767" spans="1:4">
      <c r="A767">
        <v>2723</v>
      </c>
      <c r="B767" t="s">
        <v>5210</v>
      </c>
      <c r="C767">
        <v>3</v>
      </c>
      <c r="D767">
        <v>743</v>
      </c>
    </row>
    <row r="768" spans="1:4">
      <c r="A768">
        <v>2851</v>
      </c>
      <c r="B768" t="s">
        <v>5230</v>
      </c>
      <c r="C768">
        <v>3</v>
      </c>
      <c r="D768">
        <v>743</v>
      </c>
    </row>
    <row r="769" spans="1:4">
      <c r="A769">
        <v>2936</v>
      </c>
      <c r="B769" t="s">
        <v>5262</v>
      </c>
      <c r="C769">
        <v>3</v>
      </c>
      <c r="D769">
        <v>743</v>
      </c>
    </row>
    <row r="770" spans="1:4">
      <c r="A770">
        <v>3005</v>
      </c>
      <c r="B770" t="s">
        <v>5267</v>
      </c>
      <c r="C770">
        <v>3</v>
      </c>
      <c r="D770">
        <v>743</v>
      </c>
    </row>
    <row r="771" spans="1:4">
      <c r="A771">
        <v>3028</v>
      </c>
      <c r="B771" t="s">
        <v>5283</v>
      </c>
      <c r="C771">
        <v>3</v>
      </c>
      <c r="D771">
        <v>743</v>
      </c>
    </row>
    <row r="772" spans="1:4">
      <c r="A772">
        <v>3268</v>
      </c>
      <c r="B772" t="s">
        <v>5360</v>
      </c>
      <c r="C772">
        <v>3</v>
      </c>
      <c r="D772">
        <v>743</v>
      </c>
    </row>
    <row r="773" spans="1:4">
      <c r="A773">
        <v>3673</v>
      </c>
      <c r="B773" t="s">
        <v>5484</v>
      </c>
      <c r="C773">
        <v>3</v>
      </c>
      <c r="D773">
        <v>743</v>
      </c>
    </row>
    <row r="774" spans="1:4">
      <c r="A774">
        <v>3703</v>
      </c>
      <c r="B774" t="s">
        <v>5496</v>
      </c>
      <c r="C774">
        <v>3</v>
      </c>
      <c r="D774">
        <v>743</v>
      </c>
    </row>
    <row r="775" spans="1:4">
      <c r="A775">
        <v>4128</v>
      </c>
      <c r="B775" t="s">
        <v>5519</v>
      </c>
      <c r="C775">
        <v>3</v>
      </c>
      <c r="D775">
        <v>743</v>
      </c>
    </row>
    <row r="776" spans="1:4">
      <c r="A776">
        <v>4130</v>
      </c>
      <c r="B776" t="s">
        <v>5521</v>
      </c>
      <c r="C776">
        <v>3</v>
      </c>
      <c r="D776">
        <v>743</v>
      </c>
    </row>
    <row r="777" spans="1:4">
      <c r="A777">
        <v>4303</v>
      </c>
      <c r="B777" t="s">
        <v>5542</v>
      </c>
      <c r="C777">
        <v>3</v>
      </c>
      <c r="D777">
        <v>743</v>
      </c>
    </row>
    <row r="778" spans="1:4">
      <c r="A778">
        <v>4973</v>
      </c>
      <c r="B778" t="s">
        <v>5631</v>
      </c>
      <c r="C778">
        <v>3</v>
      </c>
      <c r="D778">
        <v>743</v>
      </c>
    </row>
    <row r="779" spans="1:4">
      <c r="A779">
        <v>4974</v>
      </c>
      <c r="B779" t="s">
        <v>5632</v>
      </c>
      <c r="C779">
        <v>3</v>
      </c>
      <c r="D779">
        <v>743</v>
      </c>
    </row>
    <row r="780" spans="1:4">
      <c r="A780">
        <v>5230</v>
      </c>
      <c r="B780" t="s">
        <v>5652</v>
      </c>
      <c r="C780">
        <v>3</v>
      </c>
      <c r="D780">
        <v>743</v>
      </c>
    </row>
    <row r="781" spans="1:4">
      <c r="A781">
        <v>5328</v>
      </c>
      <c r="B781" t="s">
        <v>5674</v>
      </c>
      <c r="C781">
        <v>3</v>
      </c>
      <c r="D781">
        <v>743</v>
      </c>
    </row>
    <row r="782" spans="1:4">
      <c r="A782">
        <v>5344</v>
      </c>
      <c r="B782" t="s">
        <v>6560</v>
      </c>
      <c r="C782">
        <v>3</v>
      </c>
      <c r="D782">
        <v>743</v>
      </c>
    </row>
    <row r="783" spans="1:4">
      <c r="A783">
        <v>5347</v>
      </c>
      <c r="B783" t="s">
        <v>5675</v>
      </c>
      <c r="C783">
        <v>3</v>
      </c>
      <c r="D783">
        <v>743</v>
      </c>
    </row>
    <row r="784" spans="1:4">
      <c r="A784">
        <v>5392</v>
      </c>
      <c r="B784" t="s">
        <v>5682</v>
      </c>
      <c r="C784">
        <v>3</v>
      </c>
      <c r="D784">
        <v>743</v>
      </c>
    </row>
    <row r="785" spans="1:4">
      <c r="A785">
        <v>5498</v>
      </c>
      <c r="B785" t="s">
        <v>5703</v>
      </c>
      <c r="C785">
        <v>3</v>
      </c>
      <c r="D785">
        <v>743</v>
      </c>
    </row>
    <row r="786" spans="1:4">
      <c r="A786">
        <v>6108</v>
      </c>
      <c r="B786" t="s">
        <v>5741</v>
      </c>
      <c r="C786">
        <v>3</v>
      </c>
      <c r="D786">
        <v>743</v>
      </c>
    </row>
    <row r="787" spans="1:4">
      <c r="A787">
        <v>6120</v>
      </c>
      <c r="B787" t="s">
        <v>5749</v>
      </c>
      <c r="C787">
        <v>3</v>
      </c>
      <c r="D787">
        <v>743</v>
      </c>
    </row>
    <row r="788" spans="1:4">
      <c r="A788">
        <v>6154</v>
      </c>
      <c r="B788" t="s">
        <v>5771</v>
      </c>
      <c r="C788">
        <v>3</v>
      </c>
      <c r="D788">
        <v>743</v>
      </c>
    </row>
    <row r="789" spans="1:4">
      <c r="A789">
        <v>6173</v>
      </c>
      <c r="B789" t="s">
        <v>5782</v>
      </c>
      <c r="C789">
        <v>3</v>
      </c>
      <c r="D789">
        <v>743</v>
      </c>
    </row>
    <row r="790" spans="1:4">
      <c r="A790">
        <v>6179</v>
      </c>
      <c r="B790" t="s">
        <v>5787</v>
      </c>
      <c r="C790">
        <v>3</v>
      </c>
      <c r="D790">
        <v>743</v>
      </c>
    </row>
    <row r="791" spans="1:4">
      <c r="A791">
        <v>6425</v>
      </c>
      <c r="B791" t="s">
        <v>6196</v>
      </c>
      <c r="C791">
        <v>3</v>
      </c>
      <c r="D791">
        <v>743</v>
      </c>
    </row>
    <row r="792" spans="1:4">
      <c r="A792">
        <v>6472</v>
      </c>
      <c r="B792" t="s">
        <v>5881</v>
      </c>
      <c r="C792">
        <v>3</v>
      </c>
      <c r="D792">
        <v>743</v>
      </c>
    </row>
    <row r="793" spans="1:4">
      <c r="A793">
        <v>6532</v>
      </c>
      <c r="B793" t="s">
        <v>5901</v>
      </c>
      <c r="C793">
        <v>3</v>
      </c>
      <c r="D793">
        <v>743</v>
      </c>
    </row>
    <row r="794" spans="1:4">
      <c r="A794">
        <v>6664</v>
      </c>
      <c r="B794" t="s">
        <v>5928</v>
      </c>
      <c r="C794">
        <v>3</v>
      </c>
      <c r="D794">
        <v>743</v>
      </c>
    </row>
    <row r="795" spans="1:4">
      <c r="A795">
        <v>6670</v>
      </c>
      <c r="B795" t="s">
        <v>5933</v>
      </c>
      <c r="C795">
        <v>3</v>
      </c>
      <c r="D795">
        <v>743</v>
      </c>
    </row>
    <row r="796" spans="1:4">
      <c r="A796">
        <v>8089</v>
      </c>
      <c r="B796" t="s">
        <v>5976</v>
      </c>
      <c r="C796">
        <v>3</v>
      </c>
      <c r="D796">
        <v>743</v>
      </c>
    </row>
    <row r="797" spans="1:4">
      <c r="A797">
        <v>8429</v>
      </c>
      <c r="B797" t="s">
        <v>6025</v>
      </c>
      <c r="C797">
        <v>3</v>
      </c>
      <c r="D797">
        <v>743</v>
      </c>
    </row>
    <row r="798" spans="1:4">
      <c r="A798">
        <v>8930</v>
      </c>
      <c r="B798" t="s">
        <v>6163</v>
      </c>
      <c r="C798">
        <v>3</v>
      </c>
      <c r="D798">
        <v>743</v>
      </c>
    </row>
    <row r="799" spans="1:4">
      <c r="A799">
        <v>9911</v>
      </c>
      <c r="B799" t="s">
        <v>6073</v>
      </c>
      <c r="C799">
        <v>3</v>
      </c>
      <c r="D799">
        <v>743</v>
      </c>
    </row>
    <row r="800" spans="1:4">
      <c r="A800">
        <v>9914</v>
      </c>
      <c r="B800" t="s">
        <v>6074</v>
      </c>
      <c r="C800">
        <v>3</v>
      </c>
      <c r="D800">
        <v>743</v>
      </c>
    </row>
    <row r="801" spans="1:4">
      <c r="A801">
        <v>9927</v>
      </c>
      <c r="B801" t="s">
        <v>6082</v>
      </c>
      <c r="C801">
        <v>3</v>
      </c>
      <c r="D801">
        <v>743</v>
      </c>
    </row>
    <row r="802" spans="1:4">
      <c r="A802">
        <v>1210</v>
      </c>
      <c r="B802" t="s">
        <v>4780</v>
      </c>
      <c r="C802">
        <v>2</v>
      </c>
      <c r="D802">
        <v>801</v>
      </c>
    </row>
    <row r="803" spans="1:4">
      <c r="A803">
        <v>1231</v>
      </c>
      <c r="B803" t="s">
        <v>4790</v>
      </c>
      <c r="C803">
        <v>2</v>
      </c>
      <c r="D803">
        <v>801</v>
      </c>
    </row>
    <row r="804" spans="1:4">
      <c r="A804">
        <v>1314</v>
      </c>
      <c r="B804" t="s">
        <v>4810</v>
      </c>
      <c r="C804">
        <v>2</v>
      </c>
      <c r="D804">
        <v>801</v>
      </c>
    </row>
    <row r="805" spans="1:4">
      <c r="A805">
        <v>1416</v>
      </c>
      <c r="B805" t="s">
        <v>4829</v>
      </c>
      <c r="C805">
        <v>2</v>
      </c>
      <c r="D805">
        <v>801</v>
      </c>
    </row>
    <row r="806" spans="1:4">
      <c r="A806">
        <v>1442</v>
      </c>
      <c r="B806" t="s">
        <v>4839</v>
      </c>
      <c r="C806">
        <v>2</v>
      </c>
      <c r="D806">
        <v>801</v>
      </c>
    </row>
    <row r="807" spans="1:4">
      <c r="A807">
        <v>1447</v>
      </c>
      <c r="B807" t="s">
        <v>4843</v>
      </c>
      <c r="C807">
        <v>2</v>
      </c>
      <c r="D807">
        <v>801</v>
      </c>
    </row>
    <row r="808" spans="1:4">
      <c r="A808">
        <v>1456</v>
      </c>
      <c r="B808" t="s">
        <v>4849</v>
      </c>
      <c r="C808">
        <v>2</v>
      </c>
      <c r="D808">
        <v>801</v>
      </c>
    </row>
    <row r="809" spans="1:4">
      <c r="A809">
        <v>1464</v>
      </c>
      <c r="B809" t="s">
        <v>4853</v>
      </c>
      <c r="C809">
        <v>2</v>
      </c>
      <c r="D809">
        <v>801</v>
      </c>
    </row>
    <row r="810" spans="1:4">
      <c r="A810">
        <v>1467</v>
      </c>
      <c r="B810" t="s">
        <v>4856</v>
      </c>
      <c r="C810">
        <v>2</v>
      </c>
      <c r="D810">
        <v>801</v>
      </c>
    </row>
    <row r="811" spans="1:4">
      <c r="A811">
        <v>1515</v>
      </c>
      <c r="B811" t="s">
        <v>4866</v>
      </c>
      <c r="C811">
        <v>2</v>
      </c>
      <c r="D811">
        <v>801</v>
      </c>
    </row>
    <row r="812" spans="1:4">
      <c r="A812">
        <v>1528</v>
      </c>
      <c r="B812" t="s">
        <v>4876</v>
      </c>
      <c r="C812">
        <v>2</v>
      </c>
      <c r="D812">
        <v>801</v>
      </c>
    </row>
    <row r="813" spans="1:4">
      <c r="A813">
        <v>1532</v>
      </c>
      <c r="B813" t="s">
        <v>4880</v>
      </c>
      <c r="C813">
        <v>2</v>
      </c>
      <c r="D813">
        <v>801</v>
      </c>
    </row>
    <row r="814" spans="1:4">
      <c r="A814">
        <v>1539</v>
      </c>
      <c r="B814" t="s">
        <v>4885</v>
      </c>
      <c r="C814">
        <v>2</v>
      </c>
      <c r="D814">
        <v>801</v>
      </c>
    </row>
    <row r="815" spans="1:4">
      <c r="A815">
        <v>1590</v>
      </c>
      <c r="B815" t="s">
        <v>4901</v>
      </c>
      <c r="C815">
        <v>2</v>
      </c>
      <c r="D815">
        <v>801</v>
      </c>
    </row>
    <row r="816" spans="1:4">
      <c r="A816">
        <v>1608</v>
      </c>
      <c r="B816" t="s">
        <v>4911</v>
      </c>
      <c r="C816">
        <v>2</v>
      </c>
      <c r="D816">
        <v>801</v>
      </c>
    </row>
    <row r="817" spans="1:4">
      <c r="A817">
        <v>1731</v>
      </c>
      <c r="B817" t="s">
        <v>4939</v>
      </c>
      <c r="C817">
        <v>2</v>
      </c>
      <c r="D817">
        <v>801</v>
      </c>
    </row>
    <row r="818" spans="1:4">
      <c r="A818">
        <v>1733</v>
      </c>
      <c r="B818" t="s">
        <v>4941</v>
      </c>
      <c r="C818">
        <v>2</v>
      </c>
      <c r="D818">
        <v>801</v>
      </c>
    </row>
    <row r="819" spans="1:4">
      <c r="A819">
        <v>1742</v>
      </c>
      <c r="B819" t="s">
        <v>4946</v>
      </c>
      <c r="C819">
        <v>2</v>
      </c>
      <c r="D819">
        <v>801</v>
      </c>
    </row>
    <row r="820" spans="1:4">
      <c r="A820">
        <v>2012</v>
      </c>
      <c r="B820" t="s">
        <v>4978</v>
      </c>
      <c r="C820">
        <v>2</v>
      </c>
      <c r="D820">
        <v>801</v>
      </c>
    </row>
    <row r="821" spans="1:4">
      <c r="A821">
        <v>2101</v>
      </c>
      <c r="B821" t="s">
        <v>5001</v>
      </c>
      <c r="C821">
        <v>2</v>
      </c>
      <c r="D821">
        <v>801</v>
      </c>
    </row>
    <row r="822" spans="1:4">
      <c r="A822">
        <v>2102</v>
      </c>
      <c r="B822" t="s">
        <v>5002</v>
      </c>
      <c r="C822">
        <v>2</v>
      </c>
      <c r="D822">
        <v>801</v>
      </c>
    </row>
    <row r="823" spans="1:4">
      <c r="A823">
        <v>2241</v>
      </c>
      <c r="B823" t="s">
        <v>5025</v>
      </c>
      <c r="C823">
        <v>2</v>
      </c>
      <c r="D823">
        <v>801</v>
      </c>
    </row>
    <row r="824" spans="1:4">
      <c r="A824">
        <v>2250</v>
      </c>
      <c r="B824" t="s">
        <v>5028</v>
      </c>
      <c r="C824">
        <v>2</v>
      </c>
      <c r="D824">
        <v>801</v>
      </c>
    </row>
    <row r="825" spans="1:4">
      <c r="A825">
        <v>2360</v>
      </c>
      <c r="B825" t="s">
        <v>5063</v>
      </c>
      <c r="C825">
        <v>2</v>
      </c>
      <c r="D825">
        <v>801</v>
      </c>
    </row>
    <row r="826" spans="1:4">
      <c r="A826">
        <v>2365</v>
      </c>
      <c r="B826" t="s">
        <v>5066</v>
      </c>
      <c r="C826">
        <v>2</v>
      </c>
      <c r="D826">
        <v>801</v>
      </c>
    </row>
    <row r="827" spans="1:4">
      <c r="A827">
        <v>2392</v>
      </c>
      <c r="B827" t="s">
        <v>5083</v>
      </c>
      <c r="C827">
        <v>2</v>
      </c>
      <c r="D827">
        <v>801</v>
      </c>
    </row>
    <row r="828" spans="1:4">
      <c r="A828">
        <v>2402</v>
      </c>
      <c r="B828" t="s">
        <v>5089</v>
      </c>
      <c r="C828">
        <v>2</v>
      </c>
      <c r="D828">
        <v>801</v>
      </c>
    </row>
    <row r="829" spans="1:4">
      <c r="A829">
        <v>2464</v>
      </c>
      <c r="B829" t="s">
        <v>5127</v>
      </c>
      <c r="C829">
        <v>2</v>
      </c>
      <c r="D829">
        <v>801</v>
      </c>
    </row>
    <row r="830" spans="1:4">
      <c r="A830">
        <v>2471</v>
      </c>
      <c r="B830" t="s">
        <v>5132</v>
      </c>
      <c r="C830">
        <v>2</v>
      </c>
      <c r="D830">
        <v>801</v>
      </c>
    </row>
    <row r="831" spans="1:4">
      <c r="A831">
        <v>2483</v>
      </c>
      <c r="B831" t="s">
        <v>5141</v>
      </c>
      <c r="C831">
        <v>2</v>
      </c>
      <c r="D831">
        <v>801</v>
      </c>
    </row>
    <row r="832" spans="1:4">
      <c r="A832">
        <v>2534</v>
      </c>
      <c r="B832" t="s">
        <v>5167</v>
      </c>
      <c r="C832">
        <v>2</v>
      </c>
      <c r="D832">
        <v>801</v>
      </c>
    </row>
    <row r="833" spans="1:4">
      <c r="A833">
        <v>2545</v>
      </c>
      <c r="B833" t="s">
        <v>5174</v>
      </c>
      <c r="C833">
        <v>2</v>
      </c>
      <c r="D833">
        <v>801</v>
      </c>
    </row>
    <row r="834" spans="1:4">
      <c r="A834">
        <v>2548</v>
      </c>
      <c r="B834" t="s">
        <v>5177</v>
      </c>
      <c r="C834">
        <v>2</v>
      </c>
      <c r="D834">
        <v>801</v>
      </c>
    </row>
    <row r="835" spans="1:4">
      <c r="A835">
        <v>2702</v>
      </c>
      <c r="B835" t="s">
        <v>6226</v>
      </c>
      <c r="C835">
        <v>2</v>
      </c>
      <c r="D835">
        <v>801</v>
      </c>
    </row>
    <row r="836" spans="1:4">
      <c r="A836">
        <v>2726</v>
      </c>
      <c r="B836" t="s">
        <v>5211</v>
      </c>
      <c r="C836">
        <v>2</v>
      </c>
      <c r="D836">
        <v>801</v>
      </c>
    </row>
    <row r="837" spans="1:4">
      <c r="A837">
        <v>3056</v>
      </c>
      <c r="B837" t="s">
        <v>5306</v>
      </c>
      <c r="C837">
        <v>2</v>
      </c>
      <c r="D837">
        <v>801</v>
      </c>
    </row>
    <row r="838" spans="1:4">
      <c r="A838">
        <v>3093</v>
      </c>
      <c r="B838" t="s">
        <v>6289</v>
      </c>
      <c r="C838">
        <v>2</v>
      </c>
      <c r="D838">
        <v>801</v>
      </c>
    </row>
    <row r="839" spans="1:4">
      <c r="A839">
        <v>3152</v>
      </c>
      <c r="B839" t="s">
        <v>5328</v>
      </c>
      <c r="C839">
        <v>2</v>
      </c>
      <c r="D839">
        <v>801</v>
      </c>
    </row>
    <row r="840" spans="1:4">
      <c r="A840">
        <v>3202</v>
      </c>
      <c r="B840" t="s">
        <v>5337</v>
      </c>
      <c r="C840">
        <v>2</v>
      </c>
      <c r="D840">
        <v>801</v>
      </c>
    </row>
    <row r="841" spans="1:4">
      <c r="A841">
        <v>3205</v>
      </c>
      <c r="B841" t="s">
        <v>5338</v>
      </c>
      <c r="C841">
        <v>2</v>
      </c>
      <c r="D841">
        <v>801</v>
      </c>
    </row>
    <row r="842" spans="1:4">
      <c r="A842">
        <v>3213</v>
      </c>
      <c r="B842" t="s">
        <v>5342</v>
      </c>
      <c r="C842">
        <v>2</v>
      </c>
      <c r="D842">
        <v>801</v>
      </c>
    </row>
    <row r="843" spans="1:4">
      <c r="A843">
        <v>3289</v>
      </c>
      <c r="B843" t="s">
        <v>5364</v>
      </c>
      <c r="C843">
        <v>2</v>
      </c>
      <c r="D843">
        <v>801</v>
      </c>
    </row>
    <row r="844" spans="1:4">
      <c r="A844">
        <v>3325</v>
      </c>
      <c r="B844" t="s">
        <v>5379</v>
      </c>
      <c r="C844">
        <v>2</v>
      </c>
      <c r="D844">
        <v>801</v>
      </c>
    </row>
    <row r="845" spans="1:4">
      <c r="A845">
        <v>3360</v>
      </c>
      <c r="B845" t="s">
        <v>5386</v>
      </c>
      <c r="C845">
        <v>2</v>
      </c>
      <c r="D845">
        <v>801</v>
      </c>
    </row>
    <row r="846" spans="1:4">
      <c r="A846">
        <v>3479</v>
      </c>
      <c r="B846" t="s">
        <v>5413</v>
      </c>
      <c r="C846">
        <v>2</v>
      </c>
      <c r="D846">
        <v>801</v>
      </c>
    </row>
    <row r="847" spans="1:4">
      <c r="A847">
        <v>3492</v>
      </c>
      <c r="B847" t="s">
        <v>5419</v>
      </c>
      <c r="C847">
        <v>2</v>
      </c>
      <c r="D847">
        <v>801</v>
      </c>
    </row>
    <row r="848" spans="1:4">
      <c r="A848">
        <v>3518</v>
      </c>
      <c r="B848" t="s">
        <v>5427</v>
      </c>
      <c r="C848">
        <v>2</v>
      </c>
      <c r="D848">
        <v>801</v>
      </c>
    </row>
    <row r="849" spans="1:4">
      <c r="A849">
        <v>3521</v>
      </c>
      <c r="B849" t="s">
        <v>5428</v>
      </c>
      <c r="C849">
        <v>2</v>
      </c>
      <c r="D849">
        <v>801</v>
      </c>
    </row>
    <row r="850" spans="1:4">
      <c r="A850">
        <v>3646</v>
      </c>
      <c r="B850" t="s">
        <v>5475</v>
      </c>
      <c r="C850">
        <v>2</v>
      </c>
      <c r="D850">
        <v>801</v>
      </c>
    </row>
    <row r="851" spans="1:4">
      <c r="A851">
        <v>4153</v>
      </c>
      <c r="B851" t="s">
        <v>5527</v>
      </c>
      <c r="C851">
        <v>2</v>
      </c>
      <c r="D851">
        <v>801</v>
      </c>
    </row>
    <row r="852" spans="1:4">
      <c r="A852">
        <v>4207</v>
      </c>
      <c r="B852" t="s">
        <v>5541</v>
      </c>
      <c r="C852">
        <v>2</v>
      </c>
      <c r="D852">
        <v>801</v>
      </c>
    </row>
    <row r="853" spans="1:4">
      <c r="A853">
        <v>4306</v>
      </c>
      <c r="B853" t="s">
        <v>5543</v>
      </c>
      <c r="C853">
        <v>2</v>
      </c>
      <c r="D853">
        <v>801</v>
      </c>
    </row>
    <row r="854" spans="1:4">
      <c r="A854">
        <v>4529</v>
      </c>
      <c r="B854" t="s">
        <v>5558</v>
      </c>
      <c r="C854">
        <v>2</v>
      </c>
      <c r="D854">
        <v>801</v>
      </c>
    </row>
    <row r="855" spans="1:4">
      <c r="A855">
        <v>4551</v>
      </c>
      <c r="B855" t="s">
        <v>5568</v>
      </c>
      <c r="C855">
        <v>2</v>
      </c>
      <c r="D855">
        <v>801</v>
      </c>
    </row>
    <row r="856" spans="1:4">
      <c r="A856">
        <v>4735</v>
      </c>
      <c r="B856" t="s">
        <v>5590</v>
      </c>
      <c r="C856">
        <v>2</v>
      </c>
      <c r="D856">
        <v>801</v>
      </c>
    </row>
    <row r="857" spans="1:4">
      <c r="A857">
        <v>4930</v>
      </c>
      <c r="B857" t="s">
        <v>6183</v>
      </c>
      <c r="C857">
        <v>2</v>
      </c>
      <c r="D857">
        <v>801</v>
      </c>
    </row>
    <row r="858" spans="1:4">
      <c r="A858">
        <v>4943</v>
      </c>
      <c r="B858" t="s">
        <v>5619</v>
      </c>
      <c r="C858">
        <v>2</v>
      </c>
      <c r="D858">
        <v>801</v>
      </c>
    </row>
    <row r="859" spans="1:4">
      <c r="A859">
        <v>5236</v>
      </c>
      <c r="B859" t="s">
        <v>5654</v>
      </c>
      <c r="C859">
        <v>2</v>
      </c>
      <c r="D859">
        <v>801</v>
      </c>
    </row>
    <row r="860" spans="1:4">
      <c r="A860">
        <v>5288</v>
      </c>
      <c r="B860" t="s">
        <v>5667</v>
      </c>
      <c r="C860">
        <v>2</v>
      </c>
      <c r="D860">
        <v>801</v>
      </c>
    </row>
    <row r="861" spans="1:4">
      <c r="A861">
        <v>5353</v>
      </c>
      <c r="B861" t="s">
        <v>5677</v>
      </c>
      <c r="C861">
        <v>2</v>
      </c>
      <c r="D861">
        <v>801</v>
      </c>
    </row>
    <row r="862" spans="1:4">
      <c r="A862">
        <v>5410</v>
      </c>
      <c r="B862" t="s">
        <v>5684</v>
      </c>
      <c r="C862">
        <v>2</v>
      </c>
      <c r="D862">
        <v>801</v>
      </c>
    </row>
    <row r="863" spans="1:4">
      <c r="A863">
        <v>5443</v>
      </c>
      <c r="B863" t="s">
        <v>5691</v>
      </c>
      <c r="C863">
        <v>2</v>
      </c>
      <c r="D863">
        <v>801</v>
      </c>
    </row>
    <row r="864" spans="1:4">
      <c r="A864">
        <v>5452</v>
      </c>
      <c r="B864" t="s">
        <v>5693</v>
      </c>
      <c r="C864">
        <v>2</v>
      </c>
      <c r="D864">
        <v>801</v>
      </c>
    </row>
    <row r="865" spans="1:4">
      <c r="A865">
        <v>5464</v>
      </c>
      <c r="B865" t="s">
        <v>5695</v>
      </c>
      <c r="C865">
        <v>2</v>
      </c>
      <c r="D865">
        <v>801</v>
      </c>
    </row>
    <row r="866" spans="1:4">
      <c r="A866">
        <v>5481</v>
      </c>
      <c r="B866" t="s">
        <v>5700</v>
      </c>
      <c r="C866">
        <v>2</v>
      </c>
      <c r="D866">
        <v>801</v>
      </c>
    </row>
    <row r="867" spans="1:4">
      <c r="A867">
        <v>6117</v>
      </c>
      <c r="B867" t="s">
        <v>5747</v>
      </c>
      <c r="C867">
        <v>2</v>
      </c>
      <c r="D867">
        <v>801</v>
      </c>
    </row>
    <row r="868" spans="1:4">
      <c r="A868">
        <v>6139</v>
      </c>
      <c r="B868" t="s">
        <v>5761</v>
      </c>
      <c r="C868">
        <v>2</v>
      </c>
      <c r="D868">
        <v>801</v>
      </c>
    </row>
    <row r="869" spans="1:4">
      <c r="A869">
        <v>6160</v>
      </c>
      <c r="B869" t="s">
        <v>6304</v>
      </c>
      <c r="C869">
        <v>2</v>
      </c>
      <c r="D869">
        <v>801</v>
      </c>
    </row>
    <row r="870" spans="1:4">
      <c r="A870">
        <v>6186</v>
      </c>
      <c r="B870" t="s">
        <v>5793</v>
      </c>
      <c r="C870">
        <v>2</v>
      </c>
      <c r="D870">
        <v>801</v>
      </c>
    </row>
    <row r="871" spans="1:4">
      <c r="A871">
        <v>6197</v>
      </c>
      <c r="B871" t="s">
        <v>5801</v>
      </c>
      <c r="C871">
        <v>2</v>
      </c>
      <c r="D871">
        <v>801</v>
      </c>
    </row>
    <row r="872" spans="1:4">
      <c r="A872">
        <v>6206</v>
      </c>
      <c r="B872" t="s">
        <v>5806</v>
      </c>
      <c r="C872">
        <v>2</v>
      </c>
      <c r="D872">
        <v>801</v>
      </c>
    </row>
    <row r="873" spans="1:4">
      <c r="A873">
        <v>6218</v>
      </c>
      <c r="B873" t="s">
        <v>5815</v>
      </c>
      <c r="C873">
        <v>2</v>
      </c>
      <c r="D873">
        <v>801</v>
      </c>
    </row>
    <row r="874" spans="1:4">
      <c r="A874">
        <v>6240</v>
      </c>
      <c r="B874" t="s">
        <v>5830</v>
      </c>
      <c r="C874">
        <v>2</v>
      </c>
      <c r="D874">
        <v>801</v>
      </c>
    </row>
    <row r="875" spans="1:4">
      <c r="A875">
        <v>6245</v>
      </c>
      <c r="B875" t="s">
        <v>5832</v>
      </c>
      <c r="C875">
        <v>2</v>
      </c>
      <c r="D875">
        <v>801</v>
      </c>
    </row>
    <row r="876" spans="1:4">
      <c r="A876">
        <v>6248</v>
      </c>
      <c r="B876" t="s">
        <v>5834</v>
      </c>
      <c r="C876">
        <v>2</v>
      </c>
      <c r="D876">
        <v>801</v>
      </c>
    </row>
    <row r="877" spans="1:4">
      <c r="A877">
        <v>6283</v>
      </c>
      <c r="B877" t="s">
        <v>5852</v>
      </c>
      <c r="C877">
        <v>2</v>
      </c>
      <c r="D877">
        <v>801</v>
      </c>
    </row>
    <row r="878" spans="1:4">
      <c r="A878">
        <v>6451</v>
      </c>
      <c r="B878" t="s">
        <v>5874</v>
      </c>
      <c r="C878">
        <v>2</v>
      </c>
      <c r="D878">
        <v>801</v>
      </c>
    </row>
    <row r="879" spans="1:4">
      <c r="A879">
        <v>6499</v>
      </c>
      <c r="B879" t="s">
        <v>5888</v>
      </c>
      <c r="C879">
        <v>2</v>
      </c>
      <c r="D879">
        <v>801</v>
      </c>
    </row>
    <row r="880" spans="1:4">
      <c r="A880">
        <v>6573</v>
      </c>
      <c r="B880" t="s">
        <v>5909</v>
      </c>
      <c r="C880">
        <v>2</v>
      </c>
      <c r="D880">
        <v>801</v>
      </c>
    </row>
    <row r="881" spans="1:4">
      <c r="A881">
        <v>6612</v>
      </c>
      <c r="B881" t="s">
        <v>5920</v>
      </c>
      <c r="C881">
        <v>2</v>
      </c>
      <c r="D881">
        <v>801</v>
      </c>
    </row>
    <row r="882" spans="1:4">
      <c r="A882">
        <v>8050</v>
      </c>
      <c r="B882" t="s">
        <v>5964</v>
      </c>
      <c r="C882">
        <v>2</v>
      </c>
      <c r="D882">
        <v>801</v>
      </c>
    </row>
    <row r="883" spans="1:4">
      <c r="A883">
        <v>8076</v>
      </c>
      <c r="B883" t="s">
        <v>5972</v>
      </c>
      <c r="C883">
        <v>2</v>
      </c>
      <c r="D883">
        <v>801</v>
      </c>
    </row>
    <row r="884" spans="1:4">
      <c r="A884">
        <v>8131</v>
      </c>
      <c r="B884" t="s">
        <v>5989</v>
      </c>
      <c r="C884">
        <v>2</v>
      </c>
      <c r="D884">
        <v>801</v>
      </c>
    </row>
    <row r="885" spans="1:4">
      <c r="A885">
        <v>8284</v>
      </c>
      <c r="B885" t="s">
        <v>6008</v>
      </c>
      <c r="C885">
        <v>2</v>
      </c>
      <c r="D885">
        <v>801</v>
      </c>
    </row>
    <row r="886" spans="1:4">
      <c r="A886">
        <v>8401</v>
      </c>
      <c r="B886" t="s">
        <v>6018</v>
      </c>
      <c r="C886">
        <v>2</v>
      </c>
      <c r="D886">
        <v>801</v>
      </c>
    </row>
    <row r="887" spans="1:4">
      <c r="A887">
        <v>8454</v>
      </c>
      <c r="B887" t="s">
        <v>6037</v>
      </c>
      <c r="C887">
        <v>2</v>
      </c>
      <c r="D887">
        <v>801</v>
      </c>
    </row>
    <row r="888" spans="1:4">
      <c r="A888">
        <v>8489</v>
      </c>
      <c r="B888" t="s">
        <v>6050</v>
      </c>
      <c r="C888">
        <v>2</v>
      </c>
      <c r="D888">
        <v>801</v>
      </c>
    </row>
    <row r="889" spans="1:4">
      <c r="A889">
        <v>8905</v>
      </c>
      <c r="B889" t="s">
        <v>6052</v>
      </c>
      <c r="C889">
        <v>2</v>
      </c>
      <c r="D889">
        <v>801</v>
      </c>
    </row>
    <row r="890" spans="1:4">
      <c r="A890">
        <v>8936</v>
      </c>
      <c r="B890" t="s">
        <v>6061</v>
      </c>
      <c r="C890">
        <v>2</v>
      </c>
      <c r="D890">
        <v>801</v>
      </c>
    </row>
    <row r="891" spans="1:4">
      <c r="A891">
        <v>9924</v>
      </c>
      <c r="B891" t="s">
        <v>6079</v>
      </c>
      <c r="C891">
        <v>2</v>
      </c>
      <c r="D891">
        <v>801</v>
      </c>
    </row>
    <row r="892" spans="1:4">
      <c r="A892">
        <v>1109</v>
      </c>
      <c r="B892" t="s">
        <v>4776</v>
      </c>
      <c r="C892">
        <v>1</v>
      </c>
      <c r="D892">
        <v>891</v>
      </c>
    </row>
    <row r="893" spans="1:4">
      <c r="A893">
        <v>1217</v>
      </c>
      <c r="B893" t="s">
        <v>4783</v>
      </c>
      <c r="C893">
        <v>1</v>
      </c>
      <c r="D893">
        <v>891</v>
      </c>
    </row>
    <row r="894" spans="1:4">
      <c r="A894">
        <v>1232</v>
      </c>
      <c r="B894" t="s">
        <v>4791</v>
      </c>
      <c r="C894">
        <v>1</v>
      </c>
      <c r="D894">
        <v>891</v>
      </c>
    </row>
    <row r="895" spans="1:4">
      <c r="A895">
        <v>1258</v>
      </c>
      <c r="B895" t="s">
        <v>4798</v>
      </c>
      <c r="C895">
        <v>1</v>
      </c>
      <c r="D895">
        <v>891</v>
      </c>
    </row>
    <row r="896" spans="1:4">
      <c r="A896">
        <v>1315</v>
      </c>
      <c r="B896" t="s">
        <v>4811</v>
      </c>
      <c r="C896">
        <v>1</v>
      </c>
      <c r="D896">
        <v>891</v>
      </c>
    </row>
    <row r="897" spans="1:4">
      <c r="A897">
        <v>1319</v>
      </c>
      <c r="B897" t="s">
        <v>4813</v>
      </c>
      <c r="C897">
        <v>1</v>
      </c>
      <c r="D897">
        <v>891</v>
      </c>
    </row>
    <row r="898" spans="1:4">
      <c r="A898">
        <v>1337</v>
      </c>
      <c r="B898" t="s">
        <v>4820</v>
      </c>
      <c r="C898">
        <v>1</v>
      </c>
      <c r="D898">
        <v>891</v>
      </c>
    </row>
    <row r="899" spans="1:4">
      <c r="A899">
        <v>1409</v>
      </c>
      <c r="B899" t="s">
        <v>4826</v>
      </c>
      <c r="C899">
        <v>1</v>
      </c>
      <c r="D899">
        <v>891</v>
      </c>
    </row>
    <row r="900" spans="1:4">
      <c r="A900">
        <v>1444</v>
      </c>
      <c r="B900" t="s">
        <v>4840</v>
      </c>
      <c r="C900">
        <v>1</v>
      </c>
      <c r="D900">
        <v>891</v>
      </c>
    </row>
    <row r="901" spans="1:4">
      <c r="A901">
        <v>1457</v>
      </c>
      <c r="B901" t="s">
        <v>4850</v>
      </c>
      <c r="C901">
        <v>1</v>
      </c>
      <c r="D901">
        <v>891</v>
      </c>
    </row>
    <row r="902" spans="1:4">
      <c r="A902">
        <v>1527</v>
      </c>
      <c r="B902" t="s">
        <v>4875</v>
      </c>
      <c r="C902">
        <v>1</v>
      </c>
      <c r="D902">
        <v>891</v>
      </c>
    </row>
    <row r="903" spans="1:4">
      <c r="A903">
        <v>1537</v>
      </c>
      <c r="B903" t="s">
        <v>4884</v>
      </c>
      <c r="C903">
        <v>1</v>
      </c>
      <c r="D903">
        <v>891</v>
      </c>
    </row>
    <row r="904" spans="1:4">
      <c r="A904">
        <v>1558</v>
      </c>
      <c r="B904" t="s">
        <v>4888</v>
      </c>
      <c r="C904">
        <v>1</v>
      </c>
      <c r="D904">
        <v>891</v>
      </c>
    </row>
    <row r="905" spans="1:4">
      <c r="A905">
        <v>1582</v>
      </c>
      <c r="B905" t="s">
        <v>4895</v>
      </c>
      <c r="C905">
        <v>1</v>
      </c>
      <c r="D905">
        <v>891</v>
      </c>
    </row>
    <row r="906" spans="1:4">
      <c r="A906">
        <v>1589</v>
      </c>
      <c r="B906" t="s">
        <v>4900</v>
      </c>
      <c r="C906">
        <v>1</v>
      </c>
      <c r="D906">
        <v>891</v>
      </c>
    </row>
    <row r="907" spans="1:4">
      <c r="A907">
        <v>1593</v>
      </c>
      <c r="B907" t="s">
        <v>4903</v>
      </c>
      <c r="C907">
        <v>1</v>
      </c>
      <c r="D907">
        <v>891</v>
      </c>
    </row>
    <row r="908" spans="1:4">
      <c r="A908">
        <v>1595</v>
      </c>
      <c r="B908" t="s">
        <v>4904</v>
      </c>
      <c r="C908">
        <v>1</v>
      </c>
      <c r="D908">
        <v>891</v>
      </c>
    </row>
    <row r="909" spans="1:4">
      <c r="A909">
        <v>1597</v>
      </c>
      <c r="B909" t="s">
        <v>4905</v>
      </c>
      <c r="C909">
        <v>1</v>
      </c>
      <c r="D909">
        <v>891</v>
      </c>
    </row>
    <row r="910" spans="1:4">
      <c r="A910">
        <v>1598</v>
      </c>
      <c r="B910" t="s">
        <v>4906</v>
      </c>
      <c r="C910">
        <v>1</v>
      </c>
      <c r="D910">
        <v>891</v>
      </c>
    </row>
    <row r="911" spans="1:4">
      <c r="A911">
        <v>1603</v>
      </c>
      <c r="B911" t="s">
        <v>4908</v>
      </c>
      <c r="C911">
        <v>1</v>
      </c>
      <c r="D911">
        <v>891</v>
      </c>
    </row>
    <row r="912" spans="1:4">
      <c r="A912">
        <v>1707</v>
      </c>
      <c r="B912" t="s">
        <v>4922</v>
      </c>
      <c r="C912">
        <v>1</v>
      </c>
      <c r="D912">
        <v>891</v>
      </c>
    </row>
    <row r="913" spans="1:4">
      <c r="A913">
        <v>2008</v>
      </c>
      <c r="B913" t="s">
        <v>4975</v>
      </c>
      <c r="C913">
        <v>1</v>
      </c>
      <c r="D913">
        <v>891</v>
      </c>
    </row>
    <row r="914" spans="1:4">
      <c r="A914">
        <v>2020</v>
      </c>
      <c r="B914" t="s">
        <v>4983</v>
      </c>
      <c r="C914">
        <v>1</v>
      </c>
      <c r="D914">
        <v>891</v>
      </c>
    </row>
    <row r="915" spans="1:4">
      <c r="A915">
        <v>2062</v>
      </c>
      <c r="B915" t="s">
        <v>673</v>
      </c>
      <c r="C915">
        <v>1</v>
      </c>
      <c r="D915">
        <v>891</v>
      </c>
    </row>
    <row r="916" spans="1:4">
      <c r="A916">
        <v>2106</v>
      </c>
      <c r="B916" t="s">
        <v>5006</v>
      </c>
      <c r="C916">
        <v>1</v>
      </c>
      <c r="D916">
        <v>891</v>
      </c>
    </row>
    <row r="917" spans="1:4">
      <c r="A917">
        <v>2413</v>
      </c>
      <c r="B917" t="s">
        <v>5095</v>
      </c>
      <c r="C917">
        <v>1</v>
      </c>
      <c r="D917">
        <v>891</v>
      </c>
    </row>
    <row r="918" spans="1:4">
      <c r="A918">
        <v>2419</v>
      </c>
      <c r="B918" t="s">
        <v>5099</v>
      </c>
      <c r="C918">
        <v>1</v>
      </c>
      <c r="D918">
        <v>891</v>
      </c>
    </row>
    <row r="919" spans="1:4">
      <c r="A919">
        <v>2420</v>
      </c>
      <c r="B919" t="s">
        <v>5100</v>
      </c>
      <c r="C919">
        <v>1</v>
      </c>
      <c r="D919">
        <v>891</v>
      </c>
    </row>
    <row r="920" spans="1:4">
      <c r="A920">
        <v>2425</v>
      </c>
      <c r="B920" t="s">
        <v>5103</v>
      </c>
      <c r="C920">
        <v>1</v>
      </c>
      <c r="D920">
        <v>891</v>
      </c>
    </row>
    <row r="921" spans="1:4">
      <c r="A921">
        <v>2428</v>
      </c>
      <c r="B921" t="s">
        <v>5106</v>
      </c>
      <c r="C921">
        <v>1</v>
      </c>
      <c r="D921">
        <v>891</v>
      </c>
    </row>
    <row r="922" spans="1:4">
      <c r="A922">
        <v>2440</v>
      </c>
      <c r="B922" t="s">
        <v>6175</v>
      </c>
      <c r="C922">
        <v>1</v>
      </c>
      <c r="D922">
        <v>891</v>
      </c>
    </row>
    <row r="923" spans="1:4">
      <c r="A923">
        <v>2478</v>
      </c>
      <c r="B923" t="s">
        <v>5137</v>
      </c>
      <c r="C923">
        <v>1</v>
      </c>
      <c r="D923">
        <v>891</v>
      </c>
    </row>
    <row r="924" spans="1:4">
      <c r="A924">
        <v>2480</v>
      </c>
      <c r="B924" t="s">
        <v>5138</v>
      </c>
      <c r="C924">
        <v>1</v>
      </c>
      <c r="D924">
        <v>891</v>
      </c>
    </row>
    <row r="925" spans="1:4">
      <c r="A925">
        <v>2511</v>
      </c>
      <c r="B925" t="s">
        <v>5159</v>
      </c>
      <c r="C925">
        <v>1</v>
      </c>
      <c r="D925">
        <v>891</v>
      </c>
    </row>
    <row r="926" spans="1:4">
      <c r="A926">
        <v>2527</v>
      </c>
      <c r="B926" t="s">
        <v>5164</v>
      </c>
      <c r="C926">
        <v>1</v>
      </c>
      <c r="D926">
        <v>891</v>
      </c>
    </row>
    <row r="927" spans="1:4">
      <c r="A927">
        <v>2608</v>
      </c>
      <c r="B927" t="s">
        <v>5185</v>
      </c>
      <c r="C927">
        <v>1</v>
      </c>
      <c r="D927">
        <v>891</v>
      </c>
    </row>
    <row r="928" spans="1:4">
      <c r="A928">
        <v>2640</v>
      </c>
      <c r="B928" t="s">
        <v>6298</v>
      </c>
      <c r="C928">
        <v>1</v>
      </c>
      <c r="D928">
        <v>891</v>
      </c>
    </row>
    <row r="929" spans="1:4">
      <c r="A929">
        <v>2753</v>
      </c>
      <c r="B929" t="s">
        <v>6141</v>
      </c>
      <c r="C929">
        <v>1</v>
      </c>
      <c r="D929">
        <v>891</v>
      </c>
    </row>
    <row r="930" spans="1:4">
      <c r="A930">
        <v>2849</v>
      </c>
      <c r="B930" t="s">
        <v>5228</v>
      </c>
      <c r="C930">
        <v>1</v>
      </c>
      <c r="D930">
        <v>891</v>
      </c>
    </row>
    <row r="931" spans="1:4">
      <c r="A931">
        <v>2850</v>
      </c>
      <c r="B931" t="s">
        <v>5229</v>
      </c>
      <c r="C931">
        <v>1</v>
      </c>
      <c r="D931">
        <v>891</v>
      </c>
    </row>
    <row r="932" spans="1:4">
      <c r="A932">
        <v>2897</v>
      </c>
      <c r="B932" t="s">
        <v>5247</v>
      </c>
      <c r="C932">
        <v>1</v>
      </c>
      <c r="D932">
        <v>891</v>
      </c>
    </row>
    <row r="933" spans="1:4">
      <c r="A933">
        <v>2911</v>
      </c>
      <c r="B933" t="s">
        <v>5255</v>
      </c>
      <c r="C933">
        <v>1</v>
      </c>
      <c r="D933">
        <v>891</v>
      </c>
    </row>
    <row r="934" spans="1:4">
      <c r="A934">
        <v>3054</v>
      </c>
      <c r="B934" t="s">
        <v>5304</v>
      </c>
      <c r="C934">
        <v>1</v>
      </c>
      <c r="D934">
        <v>891</v>
      </c>
    </row>
    <row r="935" spans="1:4">
      <c r="A935">
        <v>3066</v>
      </c>
      <c r="B935" t="s">
        <v>6334</v>
      </c>
      <c r="C935">
        <v>1</v>
      </c>
      <c r="D935">
        <v>891</v>
      </c>
    </row>
    <row r="936" spans="1:4">
      <c r="A936">
        <v>3071</v>
      </c>
      <c r="B936" t="s">
        <v>5310</v>
      </c>
      <c r="C936">
        <v>1</v>
      </c>
      <c r="D936">
        <v>891</v>
      </c>
    </row>
    <row r="937" spans="1:4">
      <c r="A937">
        <v>3090</v>
      </c>
      <c r="B937" t="s">
        <v>5316</v>
      </c>
      <c r="C937">
        <v>1</v>
      </c>
      <c r="D937">
        <v>891</v>
      </c>
    </row>
    <row r="938" spans="1:4">
      <c r="A938">
        <v>3206</v>
      </c>
      <c r="B938" t="s">
        <v>6243</v>
      </c>
      <c r="C938">
        <v>1</v>
      </c>
      <c r="D938">
        <v>891</v>
      </c>
    </row>
    <row r="939" spans="1:4">
      <c r="A939">
        <v>3236</v>
      </c>
      <c r="B939" t="s">
        <v>5353</v>
      </c>
      <c r="C939">
        <v>1</v>
      </c>
      <c r="D939">
        <v>891</v>
      </c>
    </row>
    <row r="940" spans="1:4">
      <c r="A940">
        <v>3285</v>
      </c>
      <c r="B940" t="s">
        <v>6292</v>
      </c>
      <c r="C940">
        <v>1</v>
      </c>
      <c r="D940">
        <v>891</v>
      </c>
    </row>
    <row r="941" spans="1:4">
      <c r="A941">
        <v>3287</v>
      </c>
      <c r="B941" t="s">
        <v>6179</v>
      </c>
      <c r="C941">
        <v>1</v>
      </c>
      <c r="D941">
        <v>891</v>
      </c>
    </row>
    <row r="942" spans="1:4">
      <c r="A942">
        <v>3296</v>
      </c>
      <c r="B942" t="s">
        <v>5368</v>
      </c>
      <c r="C942">
        <v>1</v>
      </c>
      <c r="D942">
        <v>891</v>
      </c>
    </row>
    <row r="943" spans="1:4">
      <c r="A943">
        <v>3303</v>
      </c>
      <c r="B943" t="s">
        <v>5370</v>
      </c>
      <c r="C943">
        <v>1</v>
      </c>
      <c r="D943">
        <v>891</v>
      </c>
    </row>
    <row r="944" spans="1:4">
      <c r="A944">
        <v>3379</v>
      </c>
      <c r="B944" t="s">
        <v>5393</v>
      </c>
      <c r="C944">
        <v>1</v>
      </c>
      <c r="D944">
        <v>891</v>
      </c>
    </row>
    <row r="945" spans="1:4">
      <c r="A945">
        <v>3380</v>
      </c>
      <c r="B945" t="s">
        <v>5394</v>
      </c>
      <c r="C945">
        <v>1</v>
      </c>
      <c r="D945">
        <v>891</v>
      </c>
    </row>
    <row r="946" spans="1:4">
      <c r="A946">
        <v>3450</v>
      </c>
      <c r="B946" t="s">
        <v>5409</v>
      </c>
      <c r="C946">
        <v>1</v>
      </c>
      <c r="D946">
        <v>891</v>
      </c>
    </row>
    <row r="947" spans="1:4">
      <c r="A947">
        <v>3520</v>
      </c>
      <c r="B947" t="s">
        <v>6331</v>
      </c>
      <c r="C947">
        <v>1</v>
      </c>
      <c r="D947">
        <v>891</v>
      </c>
    </row>
    <row r="948" spans="1:4">
      <c r="A948">
        <v>3581</v>
      </c>
      <c r="B948" t="s">
        <v>5454</v>
      </c>
      <c r="C948">
        <v>1</v>
      </c>
      <c r="D948">
        <v>891</v>
      </c>
    </row>
    <row r="949" spans="1:4">
      <c r="A949">
        <v>3594</v>
      </c>
      <c r="B949" t="s">
        <v>5459</v>
      </c>
      <c r="C949">
        <v>1</v>
      </c>
      <c r="D949">
        <v>891</v>
      </c>
    </row>
    <row r="950" spans="1:4">
      <c r="A950">
        <v>3631</v>
      </c>
      <c r="B950" t="s">
        <v>6288</v>
      </c>
      <c r="C950">
        <v>1</v>
      </c>
      <c r="D950">
        <v>891</v>
      </c>
    </row>
    <row r="951" spans="1:4">
      <c r="A951">
        <v>3685</v>
      </c>
      <c r="B951" t="s">
        <v>5488</v>
      </c>
      <c r="C951">
        <v>1</v>
      </c>
      <c r="D951">
        <v>891</v>
      </c>
    </row>
    <row r="952" spans="1:4">
      <c r="A952">
        <v>3709</v>
      </c>
      <c r="B952" t="s">
        <v>6143</v>
      </c>
      <c r="C952">
        <v>1</v>
      </c>
      <c r="D952">
        <v>891</v>
      </c>
    </row>
    <row r="953" spans="1:4">
      <c r="A953">
        <v>4123</v>
      </c>
      <c r="B953" t="s">
        <v>5517</v>
      </c>
      <c r="C953">
        <v>1</v>
      </c>
      <c r="D953">
        <v>891</v>
      </c>
    </row>
    <row r="954" spans="1:4">
      <c r="A954">
        <v>4147</v>
      </c>
      <c r="B954" t="s">
        <v>5525</v>
      </c>
      <c r="C954">
        <v>1</v>
      </c>
      <c r="D954">
        <v>891</v>
      </c>
    </row>
    <row r="955" spans="1:4">
      <c r="A955">
        <v>4155</v>
      </c>
      <c r="B955" t="s">
        <v>5528</v>
      </c>
      <c r="C955">
        <v>1</v>
      </c>
      <c r="D955">
        <v>891</v>
      </c>
    </row>
    <row r="956" spans="1:4">
      <c r="A956">
        <v>4168</v>
      </c>
      <c r="B956" t="s">
        <v>5535</v>
      </c>
      <c r="C956">
        <v>1</v>
      </c>
      <c r="D956">
        <v>891</v>
      </c>
    </row>
    <row r="957" spans="1:4">
      <c r="A957">
        <v>4173</v>
      </c>
      <c r="B957" t="s">
        <v>5537</v>
      </c>
      <c r="C957">
        <v>1</v>
      </c>
      <c r="D957">
        <v>891</v>
      </c>
    </row>
    <row r="958" spans="1:4">
      <c r="A958">
        <v>4543</v>
      </c>
      <c r="B958" t="s">
        <v>5565</v>
      </c>
      <c r="C958">
        <v>1</v>
      </c>
      <c r="D958">
        <v>891</v>
      </c>
    </row>
    <row r="959" spans="1:4">
      <c r="A959">
        <v>4545</v>
      </c>
      <c r="B959" t="s">
        <v>5566</v>
      </c>
      <c r="C959">
        <v>1</v>
      </c>
      <c r="D959">
        <v>891</v>
      </c>
    </row>
    <row r="960" spans="1:4">
      <c r="A960">
        <v>4550</v>
      </c>
      <c r="B960" t="s">
        <v>6321</v>
      </c>
      <c r="C960">
        <v>1</v>
      </c>
      <c r="D960">
        <v>891</v>
      </c>
    </row>
    <row r="961" spans="1:4">
      <c r="A961">
        <v>4564</v>
      </c>
      <c r="B961" t="s">
        <v>5574</v>
      </c>
      <c r="C961">
        <v>1</v>
      </c>
      <c r="D961">
        <v>891</v>
      </c>
    </row>
    <row r="962" spans="1:4">
      <c r="A962">
        <v>4566</v>
      </c>
      <c r="B962" t="s">
        <v>5575</v>
      </c>
      <c r="C962">
        <v>1</v>
      </c>
      <c r="D962">
        <v>891</v>
      </c>
    </row>
    <row r="963" spans="1:4">
      <c r="A963">
        <v>4580</v>
      </c>
      <c r="B963" t="s">
        <v>5579</v>
      </c>
      <c r="C963">
        <v>1</v>
      </c>
      <c r="D963">
        <v>891</v>
      </c>
    </row>
    <row r="964" spans="1:4">
      <c r="A964">
        <v>4716</v>
      </c>
      <c r="B964" t="s">
        <v>5585</v>
      </c>
      <c r="C964">
        <v>1</v>
      </c>
      <c r="D964">
        <v>891</v>
      </c>
    </row>
    <row r="965" spans="1:4">
      <c r="A965">
        <v>4728</v>
      </c>
      <c r="B965" t="s">
        <v>5589</v>
      </c>
      <c r="C965">
        <v>1</v>
      </c>
      <c r="D965">
        <v>891</v>
      </c>
    </row>
    <row r="966" spans="1:4">
      <c r="A966">
        <v>4909</v>
      </c>
      <c r="B966" t="s">
        <v>5607</v>
      </c>
      <c r="C966">
        <v>1</v>
      </c>
      <c r="D966">
        <v>891</v>
      </c>
    </row>
    <row r="967" spans="1:4">
      <c r="A967">
        <v>4953</v>
      </c>
      <c r="B967" t="s">
        <v>5622</v>
      </c>
      <c r="C967">
        <v>1</v>
      </c>
      <c r="D967">
        <v>891</v>
      </c>
    </row>
    <row r="968" spans="1:4">
      <c r="A968">
        <v>4994</v>
      </c>
      <c r="B968" t="s">
        <v>5637</v>
      </c>
      <c r="C968">
        <v>1</v>
      </c>
      <c r="D968">
        <v>891</v>
      </c>
    </row>
    <row r="969" spans="1:4">
      <c r="A969">
        <v>4999</v>
      </c>
      <c r="B969" t="s">
        <v>5638</v>
      </c>
      <c r="C969">
        <v>1</v>
      </c>
      <c r="D969">
        <v>891</v>
      </c>
    </row>
    <row r="970" spans="1:4">
      <c r="A970">
        <v>5203</v>
      </c>
      <c r="B970" t="s">
        <v>5645</v>
      </c>
      <c r="C970">
        <v>1</v>
      </c>
      <c r="D970">
        <v>891</v>
      </c>
    </row>
    <row r="971" spans="1:4">
      <c r="A971">
        <v>5426</v>
      </c>
      <c r="B971" t="s">
        <v>5686</v>
      </c>
      <c r="C971">
        <v>1</v>
      </c>
      <c r="D971">
        <v>891</v>
      </c>
    </row>
    <row r="972" spans="1:4">
      <c r="A972">
        <v>5478</v>
      </c>
      <c r="B972" t="s">
        <v>5699</v>
      </c>
      <c r="C972">
        <v>1</v>
      </c>
      <c r="D972">
        <v>891</v>
      </c>
    </row>
    <row r="973" spans="1:4">
      <c r="A973">
        <v>5543</v>
      </c>
      <c r="B973" t="s">
        <v>5717</v>
      </c>
      <c r="C973">
        <v>1</v>
      </c>
      <c r="D973">
        <v>891</v>
      </c>
    </row>
    <row r="974" spans="1:4">
      <c r="A974">
        <v>5864</v>
      </c>
      <c r="B974" t="s">
        <v>5725</v>
      </c>
      <c r="C974">
        <v>1</v>
      </c>
      <c r="D974">
        <v>891</v>
      </c>
    </row>
    <row r="975" spans="1:4">
      <c r="A975">
        <v>6016</v>
      </c>
      <c r="B975" t="s">
        <v>5737</v>
      </c>
      <c r="C975">
        <v>1</v>
      </c>
      <c r="D975">
        <v>891</v>
      </c>
    </row>
    <row r="976" spans="1:4">
      <c r="A976">
        <v>6021</v>
      </c>
      <c r="B976" t="s">
        <v>6247</v>
      </c>
      <c r="C976">
        <v>1</v>
      </c>
      <c r="D976">
        <v>891</v>
      </c>
    </row>
    <row r="977" spans="1:4">
      <c r="A977">
        <v>6155</v>
      </c>
      <c r="B977" t="s">
        <v>5772</v>
      </c>
      <c r="C977">
        <v>1</v>
      </c>
      <c r="D977">
        <v>891</v>
      </c>
    </row>
    <row r="978" spans="1:4">
      <c r="A978">
        <v>6219</v>
      </c>
      <c r="B978" t="s">
        <v>5816</v>
      </c>
      <c r="C978">
        <v>1</v>
      </c>
      <c r="D978">
        <v>891</v>
      </c>
    </row>
    <row r="979" spans="1:4">
      <c r="A979">
        <v>6270</v>
      </c>
      <c r="B979" t="s">
        <v>5842</v>
      </c>
      <c r="C979">
        <v>1</v>
      </c>
      <c r="D979">
        <v>891</v>
      </c>
    </row>
    <row r="980" spans="1:4">
      <c r="A980">
        <v>6292</v>
      </c>
      <c r="B980" t="s">
        <v>5857</v>
      </c>
      <c r="C980">
        <v>1</v>
      </c>
      <c r="D980">
        <v>891</v>
      </c>
    </row>
    <row r="981" spans="1:4">
      <c r="A981">
        <v>6405</v>
      </c>
      <c r="B981" t="s">
        <v>5858</v>
      </c>
      <c r="C981">
        <v>1</v>
      </c>
      <c r="D981">
        <v>891</v>
      </c>
    </row>
    <row r="982" spans="1:4">
      <c r="A982">
        <v>6416</v>
      </c>
      <c r="B982" t="s">
        <v>5864</v>
      </c>
      <c r="C982">
        <v>1</v>
      </c>
      <c r="D982">
        <v>891</v>
      </c>
    </row>
    <row r="983" spans="1:4">
      <c r="A983">
        <v>6426</v>
      </c>
      <c r="B983" t="s">
        <v>5866</v>
      </c>
      <c r="C983">
        <v>1</v>
      </c>
      <c r="D983">
        <v>891</v>
      </c>
    </row>
    <row r="984" spans="1:4">
      <c r="A984">
        <v>6558</v>
      </c>
      <c r="B984" t="s">
        <v>5906</v>
      </c>
      <c r="C984">
        <v>1</v>
      </c>
      <c r="D984">
        <v>891</v>
      </c>
    </row>
    <row r="985" spans="1:4">
      <c r="A985">
        <v>6715</v>
      </c>
      <c r="B985" t="s">
        <v>5940</v>
      </c>
      <c r="C985">
        <v>1</v>
      </c>
      <c r="D985">
        <v>891</v>
      </c>
    </row>
    <row r="986" spans="1:4">
      <c r="A986">
        <v>8043</v>
      </c>
      <c r="B986" t="s">
        <v>5959</v>
      </c>
      <c r="C986">
        <v>1</v>
      </c>
      <c r="D986">
        <v>891</v>
      </c>
    </row>
    <row r="987" spans="1:4">
      <c r="A987">
        <v>8049</v>
      </c>
      <c r="B987" t="s">
        <v>5963</v>
      </c>
      <c r="C987">
        <v>1</v>
      </c>
      <c r="D987">
        <v>891</v>
      </c>
    </row>
    <row r="988" spans="1:4">
      <c r="A988">
        <v>8066</v>
      </c>
      <c r="B988" t="s">
        <v>6302</v>
      </c>
      <c r="C988">
        <v>1</v>
      </c>
      <c r="D988">
        <v>891</v>
      </c>
    </row>
    <row r="989" spans="1:4">
      <c r="A989">
        <v>8074</v>
      </c>
      <c r="B989" t="s">
        <v>5971</v>
      </c>
      <c r="C989">
        <v>1</v>
      </c>
      <c r="D989">
        <v>891</v>
      </c>
    </row>
    <row r="990" spans="1:4">
      <c r="A990">
        <v>8099</v>
      </c>
      <c r="B990" t="s">
        <v>5980</v>
      </c>
      <c r="C990">
        <v>1</v>
      </c>
      <c r="D990">
        <v>891</v>
      </c>
    </row>
    <row r="991" spans="1:4">
      <c r="A991">
        <v>8105</v>
      </c>
      <c r="B991" t="s">
        <v>5983</v>
      </c>
      <c r="C991">
        <v>1</v>
      </c>
      <c r="D991">
        <v>891</v>
      </c>
    </row>
    <row r="992" spans="1:4">
      <c r="A992">
        <v>8210</v>
      </c>
      <c r="B992" t="s">
        <v>5998</v>
      </c>
      <c r="C992">
        <v>1</v>
      </c>
      <c r="D992">
        <v>891</v>
      </c>
    </row>
    <row r="993" spans="1:4">
      <c r="A993">
        <v>8403</v>
      </c>
      <c r="B993" t="s">
        <v>6019</v>
      </c>
      <c r="C993">
        <v>1</v>
      </c>
      <c r="D993">
        <v>891</v>
      </c>
    </row>
    <row r="994" spans="1:4">
      <c r="A994">
        <v>8420</v>
      </c>
      <c r="B994" t="s">
        <v>6023</v>
      </c>
      <c r="C994">
        <v>1</v>
      </c>
      <c r="D994">
        <v>891</v>
      </c>
    </row>
    <row r="995" spans="1:4">
      <c r="A995">
        <v>8446</v>
      </c>
      <c r="B995" t="s">
        <v>6035</v>
      </c>
      <c r="C995">
        <v>1</v>
      </c>
      <c r="D995">
        <v>891</v>
      </c>
    </row>
    <row r="996" spans="1:4">
      <c r="A996">
        <v>8464</v>
      </c>
      <c r="B996" t="s">
        <v>6040</v>
      </c>
      <c r="C996">
        <v>1</v>
      </c>
      <c r="D996">
        <v>891</v>
      </c>
    </row>
    <row r="997" spans="1:4">
      <c r="A997">
        <v>8927</v>
      </c>
      <c r="B997" t="s">
        <v>6057</v>
      </c>
      <c r="C997">
        <v>1</v>
      </c>
      <c r="D997">
        <v>891</v>
      </c>
    </row>
    <row r="998" spans="1:4">
      <c r="A998">
        <v>8932</v>
      </c>
      <c r="B998" t="s">
        <v>6301</v>
      </c>
      <c r="C998">
        <v>1</v>
      </c>
      <c r="D998">
        <v>891</v>
      </c>
    </row>
    <row r="999" spans="1:4">
      <c r="A999">
        <v>9902</v>
      </c>
      <c r="B999" t="s">
        <v>6066</v>
      </c>
      <c r="C999">
        <v>1</v>
      </c>
      <c r="D999">
        <v>891</v>
      </c>
    </row>
    <row r="1000" spans="1:4">
      <c r="A1000">
        <v>9917</v>
      </c>
      <c r="B1000" t="s">
        <v>6075</v>
      </c>
      <c r="C1000">
        <v>1</v>
      </c>
      <c r="D1000">
        <v>891</v>
      </c>
    </row>
    <row r="1001" spans="1:4">
      <c r="A1001">
        <v>9940</v>
      </c>
      <c r="B1001" t="s">
        <v>6091</v>
      </c>
      <c r="C1001">
        <v>1</v>
      </c>
      <c r="D1001">
        <v>891</v>
      </c>
    </row>
    <row r="1002" spans="1:4">
      <c r="A1002">
        <v>9951</v>
      </c>
      <c r="B1002" t="s">
        <v>6098</v>
      </c>
      <c r="C1002">
        <v>1</v>
      </c>
      <c r="D1002">
        <v>891</v>
      </c>
    </row>
    <row r="1003" spans="1:4">
      <c r="A1003">
        <v>1104</v>
      </c>
      <c r="B1003" t="s">
        <v>4774</v>
      </c>
      <c r="C1003">
        <v>0</v>
      </c>
      <c r="D1003">
        <v>1002</v>
      </c>
    </row>
    <row r="1004" spans="1:4">
      <c r="A1004">
        <v>1108</v>
      </c>
      <c r="B1004" t="s">
        <v>4775</v>
      </c>
      <c r="C1004">
        <v>0</v>
      </c>
      <c r="D1004">
        <v>1002</v>
      </c>
    </row>
    <row r="1005" spans="1:4">
      <c r="A1005">
        <v>1110</v>
      </c>
      <c r="B1005" t="s">
        <v>4777</v>
      </c>
      <c r="C1005">
        <v>0</v>
      </c>
      <c r="D1005">
        <v>1002</v>
      </c>
    </row>
    <row r="1006" spans="1:4">
      <c r="A1006">
        <v>1201</v>
      </c>
      <c r="B1006" t="s">
        <v>4778</v>
      </c>
      <c r="C1006">
        <v>0</v>
      </c>
      <c r="D1006">
        <v>1002</v>
      </c>
    </row>
    <row r="1007" spans="1:4">
      <c r="A1007">
        <v>1203</v>
      </c>
      <c r="B1007" t="s">
        <v>4779</v>
      </c>
      <c r="C1007">
        <v>0</v>
      </c>
      <c r="D1007">
        <v>1002</v>
      </c>
    </row>
    <row r="1008" spans="1:4">
      <c r="A1008">
        <v>1218</v>
      </c>
      <c r="B1008" t="s">
        <v>4784</v>
      </c>
      <c r="C1008">
        <v>0</v>
      </c>
      <c r="D1008">
        <v>1002</v>
      </c>
    </row>
    <row r="1009" spans="1:4">
      <c r="A1009">
        <v>1225</v>
      </c>
      <c r="B1009" t="s">
        <v>4787</v>
      </c>
      <c r="C1009">
        <v>0</v>
      </c>
      <c r="D1009">
        <v>1002</v>
      </c>
    </row>
    <row r="1010" spans="1:4">
      <c r="A1010">
        <v>1233</v>
      </c>
      <c r="B1010" t="s">
        <v>4792</v>
      </c>
      <c r="C1010">
        <v>0</v>
      </c>
      <c r="D1010">
        <v>1002</v>
      </c>
    </row>
    <row r="1011" spans="1:4">
      <c r="A1011">
        <v>1234</v>
      </c>
      <c r="B1011" t="s">
        <v>4793</v>
      </c>
      <c r="C1011">
        <v>0</v>
      </c>
      <c r="D1011">
        <v>1002</v>
      </c>
    </row>
    <row r="1012" spans="1:4">
      <c r="A1012">
        <v>1235</v>
      </c>
      <c r="B1012" t="s">
        <v>4794</v>
      </c>
      <c r="C1012">
        <v>0</v>
      </c>
      <c r="D1012">
        <v>1002</v>
      </c>
    </row>
    <row r="1013" spans="1:4">
      <c r="A1013">
        <v>1256</v>
      </c>
      <c r="B1013" t="s">
        <v>4797</v>
      </c>
      <c r="C1013">
        <v>0</v>
      </c>
      <c r="D1013">
        <v>1002</v>
      </c>
    </row>
    <row r="1014" spans="1:4">
      <c r="A1014">
        <v>1264</v>
      </c>
      <c r="B1014" t="s">
        <v>4799</v>
      </c>
      <c r="C1014">
        <v>0</v>
      </c>
      <c r="D1014">
        <v>1002</v>
      </c>
    </row>
    <row r="1015" spans="1:4">
      <c r="A1015">
        <v>1307</v>
      </c>
      <c r="B1015" t="s">
        <v>4804</v>
      </c>
      <c r="C1015">
        <v>0</v>
      </c>
      <c r="D1015">
        <v>1002</v>
      </c>
    </row>
    <row r="1016" spans="1:4">
      <c r="A1016">
        <v>1313</v>
      </c>
      <c r="B1016" t="s">
        <v>4809</v>
      </c>
      <c r="C1016">
        <v>0</v>
      </c>
      <c r="D1016">
        <v>1002</v>
      </c>
    </row>
    <row r="1017" spans="1:4">
      <c r="A1017">
        <v>1321</v>
      </c>
      <c r="B1017" t="s">
        <v>4814</v>
      </c>
      <c r="C1017">
        <v>0</v>
      </c>
      <c r="D1017">
        <v>1002</v>
      </c>
    </row>
    <row r="1018" spans="1:4">
      <c r="A1018">
        <v>1323</v>
      </c>
      <c r="B1018" t="s">
        <v>4815</v>
      </c>
      <c r="C1018">
        <v>0</v>
      </c>
      <c r="D1018">
        <v>1002</v>
      </c>
    </row>
    <row r="1019" spans="1:4">
      <c r="A1019">
        <v>1324</v>
      </c>
      <c r="B1019" t="s">
        <v>4816</v>
      </c>
      <c r="C1019">
        <v>0</v>
      </c>
      <c r="D1019">
        <v>1002</v>
      </c>
    </row>
    <row r="1020" spans="1:4">
      <c r="A1020">
        <v>1338</v>
      </c>
      <c r="B1020" t="s">
        <v>4821</v>
      </c>
      <c r="C1020">
        <v>0</v>
      </c>
      <c r="D1020">
        <v>1002</v>
      </c>
    </row>
    <row r="1021" spans="1:4">
      <c r="A1021">
        <v>1339</v>
      </c>
      <c r="B1021" t="s">
        <v>4822</v>
      </c>
      <c r="C1021">
        <v>0</v>
      </c>
      <c r="D1021">
        <v>1002</v>
      </c>
    </row>
    <row r="1022" spans="1:4">
      <c r="A1022">
        <v>1340</v>
      </c>
      <c r="B1022" t="s">
        <v>4823</v>
      </c>
      <c r="C1022">
        <v>0</v>
      </c>
      <c r="D1022">
        <v>1002</v>
      </c>
    </row>
    <row r="1023" spans="1:4">
      <c r="A1023">
        <v>1342</v>
      </c>
      <c r="B1023" t="s">
        <v>4824</v>
      </c>
      <c r="C1023">
        <v>0</v>
      </c>
      <c r="D1023">
        <v>1002</v>
      </c>
    </row>
    <row r="1024" spans="1:4">
      <c r="A1024">
        <v>1410</v>
      </c>
      <c r="B1024" t="s">
        <v>4827</v>
      </c>
      <c r="C1024">
        <v>0</v>
      </c>
      <c r="D1024">
        <v>1002</v>
      </c>
    </row>
    <row r="1025" spans="1:4">
      <c r="A1025">
        <v>1417</v>
      </c>
      <c r="B1025" t="s">
        <v>4830</v>
      </c>
      <c r="C1025">
        <v>0</v>
      </c>
      <c r="D1025">
        <v>1002</v>
      </c>
    </row>
    <row r="1026" spans="1:4">
      <c r="A1026">
        <v>1419</v>
      </c>
      <c r="B1026" t="s">
        <v>4831</v>
      </c>
      <c r="C1026">
        <v>0</v>
      </c>
      <c r="D1026">
        <v>1002</v>
      </c>
    </row>
    <row r="1027" spans="1:4">
      <c r="A1027">
        <v>1423</v>
      </c>
      <c r="B1027" t="s">
        <v>4832</v>
      </c>
      <c r="C1027">
        <v>0</v>
      </c>
      <c r="D1027">
        <v>1002</v>
      </c>
    </row>
    <row r="1028" spans="1:4">
      <c r="A1028">
        <v>1436</v>
      </c>
      <c r="B1028" t="s">
        <v>4834</v>
      </c>
      <c r="C1028">
        <v>0</v>
      </c>
      <c r="D1028">
        <v>1002</v>
      </c>
    </row>
    <row r="1029" spans="1:4">
      <c r="A1029">
        <v>1437</v>
      </c>
      <c r="B1029" t="s">
        <v>4835</v>
      </c>
      <c r="C1029">
        <v>0</v>
      </c>
      <c r="D1029">
        <v>1002</v>
      </c>
    </row>
    <row r="1030" spans="1:4">
      <c r="A1030">
        <v>1438</v>
      </c>
      <c r="B1030" t="s">
        <v>4836</v>
      </c>
      <c r="C1030">
        <v>0</v>
      </c>
      <c r="D1030">
        <v>1002</v>
      </c>
    </row>
    <row r="1031" spans="1:4">
      <c r="A1031">
        <v>1439</v>
      </c>
      <c r="B1031" t="s">
        <v>4837</v>
      </c>
      <c r="C1031">
        <v>0</v>
      </c>
      <c r="D1031">
        <v>1002</v>
      </c>
    </row>
    <row r="1032" spans="1:4">
      <c r="A1032">
        <v>1445</v>
      </c>
      <c r="B1032" t="s">
        <v>4841</v>
      </c>
      <c r="C1032">
        <v>0</v>
      </c>
      <c r="D1032">
        <v>1002</v>
      </c>
    </row>
    <row r="1033" spans="1:4">
      <c r="A1033">
        <v>1446</v>
      </c>
      <c r="B1033" t="s">
        <v>4842</v>
      </c>
      <c r="C1033">
        <v>0</v>
      </c>
      <c r="D1033">
        <v>1002</v>
      </c>
    </row>
    <row r="1034" spans="1:4">
      <c r="A1034">
        <v>1449</v>
      </c>
      <c r="B1034" t="s">
        <v>6172</v>
      </c>
      <c r="C1034">
        <v>0</v>
      </c>
      <c r="D1034">
        <v>1002</v>
      </c>
    </row>
    <row r="1035" spans="1:4">
      <c r="A1035">
        <v>1451</v>
      </c>
      <c r="B1035" t="s">
        <v>4844</v>
      </c>
      <c r="C1035">
        <v>0</v>
      </c>
      <c r="D1035">
        <v>1002</v>
      </c>
    </row>
    <row r="1036" spans="1:4">
      <c r="A1036">
        <v>1454</v>
      </c>
      <c r="B1036" t="s">
        <v>4847</v>
      </c>
      <c r="C1036">
        <v>0</v>
      </c>
      <c r="D1036">
        <v>1002</v>
      </c>
    </row>
    <row r="1037" spans="1:4">
      <c r="A1037">
        <v>1459</v>
      </c>
      <c r="B1037" t="s">
        <v>4851</v>
      </c>
      <c r="C1037">
        <v>0</v>
      </c>
      <c r="D1037">
        <v>1002</v>
      </c>
    </row>
    <row r="1038" spans="1:4">
      <c r="A1038">
        <v>1460</v>
      </c>
      <c r="B1038" t="s">
        <v>6227</v>
      </c>
      <c r="C1038">
        <v>0</v>
      </c>
      <c r="D1038">
        <v>1002</v>
      </c>
    </row>
    <row r="1039" spans="1:4">
      <c r="A1039">
        <v>1463</v>
      </c>
      <c r="B1039" t="s">
        <v>4852</v>
      </c>
      <c r="C1039">
        <v>0</v>
      </c>
      <c r="D1039">
        <v>1002</v>
      </c>
    </row>
    <row r="1040" spans="1:4">
      <c r="A1040">
        <v>1465</v>
      </c>
      <c r="B1040" t="s">
        <v>4854</v>
      </c>
      <c r="C1040">
        <v>0</v>
      </c>
      <c r="D1040">
        <v>1002</v>
      </c>
    </row>
    <row r="1041" spans="1:4">
      <c r="A1041">
        <v>1470</v>
      </c>
      <c r="B1041" t="s">
        <v>4857</v>
      </c>
      <c r="C1041">
        <v>0</v>
      </c>
      <c r="D1041">
        <v>1002</v>
      </c>
    </row>
    <row r="1042" spans="1:4">
      <c r="A1042">
        <v>1473</v>
      </c>
      <c r="B1042" t="s">
        <v>4858</v>
      </c>
      <c r="C1042">
        <v>0</v>
      </c>
      <c r="D1042">
        <v>1002</v>
      </c>
    </row>
    <row r="1043" spans="1:4">
      <c r="A1043">
        <v>1475</v>
      </c>
      <c r="B1043" t="s">
        <v>6300</v>
      </c>
      <c r="C1043">
        <v>0</v>
      </c>
      <c r="D1043">
        <v>1002</v>
      </c>
    </row>
    <row r="1044" spans="1:4">
      <c r="A1044">
        <v>1503</v>
      </c>
      <c r="B1044" t="s">
        <v>4862</v>
      </c>
      <c r="C1044">
        <v>0</v>
      </c>
      <c r="D1044">
        <v>1002</v>
      </c>
    </row>
    <row r="1045" spans="1:4">
      <c r="A1045">
        <v>1519</v>
      </c>
      <c r="B1045" t="s">
        <v>4869</v>
      </c>
      <c r="C1045">
        <v>0</v>
      </c>
      <c r="D1045">
        <v>1002</v>
      </c>
    </row>
    <row r="1046" spans="1:4">
      <c r="A1046">
        <v>1521</v>
      </c>
      <c r="B1046" t="s">
        <v>4870</v>
      </c>
      <c r="C1046">
        <v>0</v>
      </c>
      <c r="D1046">
        <v>1002</v>
      </c>
    </row>
    <row r="1047" spans="1:4">
      <c r="A1047">
        <v>1525</v>
      </c>
      <c r="B1047" t="s">
        <v>4873</v>
      </c>
      <c r="C1047">
        <v>0</v>
      </c>
      <c r="D1047">
        <v>1002</v>
      </c>
    </row>
    <row r="1048" spans="1:4">
      <c r="A1048">
        <v>1530</v>
      </c>
      <c r="B1048" t="s">
        <v>4878</v>
      </c>
      <c r="C1048">
        <v>0</v>
      </c>
      <c r="D1048">
        <v>1002</v>
      </c>
    </row>
    <row r="1049" spans="1:4">
      <c r="A1049">
        <v>1531</v>
      </c>
      <c r="B1049" t="s">
        <v>4879</v>
      </c>
      <c r="C1049">
        <v>0</v>
      </c>
      <c r="D1049">
        <v>1002</v>
      </c>
    </row>
    <row r="1050" spans="1:4">
      <c r="A1050">
        <v>1535</v>
      </c>
      <c r="B1050" t="s">
        <v>4882</v>
      </c>
      <c r="C1050">
        <v>0</v>
      </c>
      <c r="D1050">
        <v>1002</v>
      </c>
    </row>
    <row r="1051" spans="1:4">
      <c r="A1051">
        <v>1536</v>
      </c>
      <c r="B1051" t="s">
        <v>4883</v>
      </c>
      <c r="C1051">
        <v>0</v>
      </c>
      <c r="D1051">
        <v>1002</v>
      </c>
    </row>
    <row r="1052" spans="1:4">
      <c r="A1052">
        <v>1540</v>
      </c>
      <c r="B1052" t="s">
        <v>4886</v>
      </c>
      <c r="C1052">
        <v>0</v>
      </c>
      <c r="D1052">
        <v>1002</v>
      </c>
    </row>
    <row r="1053" spans="1:4">
      <c r="A1053">
        <v>1541</v>
      </c>
      <c r="B1053" t="s">
        <v>4887</v>
      </c>
      <c r="C1053">
        <v>0</v>
      </c>
      <c r="D1053">
        <v>1002</v>
      </c>
    </row>
    <row r="1054" spans="1:4">
      <c r="A1054">
        <v>1568</v>
      </c>
      <c r="B1054" t="s">
        <v>4891</v>
      </c>
      <c r="C1054">
        <v>0</v>
      </c>
      <c r="D1054">
        <v>1002</v>
      </c>
    </row>
    <row r="1055" spans="1:4">
      <c r="A1055">
        <v>1580</v>
      </c>
      <c r="B1055" t="s">
        <v>4894</v>
      </c>
      <c r="C1055">
        <v>0</v>
      </c>
      <c r="D1055">
        <v>1002</v>
      </c>
    </row>
    <row r="1056" spans="1:4">
      <c r="A1056">
        <v>1583</v>
      </c>
      <c r="B1056" t="s">
        <v>4896</v>
      </c>
      <c r="C1056">
        <v>0</v>
      </c>
      <c r="D1056">
        <v>1002</v>
      </c>
    </row>
    <row r="1057" spans="1:4">
      <c r="A1057">
        <v>1586</v>
      </c>
      <c r="B1057" t="s">
        <v>4898</v>
      </c>
      <c r="C1057">
        <v>0</v>
      </c>
      <c r="D1057">
        <v>1002</v>
      </c>
    </row>
    <row r="1058" spans="1:4">
      <c r="A1058">
        <v>1587</v>
      </c>
      <c r="B1058" t="s">
        <v>4899</v>
      </c>
      <c r="C1058">
        <v>0</v>
      </c>
      <c r="D1058">
        <v>1002</v>
      </c>
    </row>
    <row r="1059" spans="1:4">
      <c r="A1059">
        <v>1614</v>
      </c>
      <c r="B1059" t="s">
        <v>4915</v>
      </c>
      <c r="C1059">
        <v>0</v>
      </c>
      <c r="D1059">
        <v>1002</v>
      </c>
    </row>
    <row r="1060" spans="1:4">
      <c r="A1060">
        <v>1615</v>
      </c>
      <c r="B1060" t="s">
        <v>4916</v>
      </c>
      <c r="C1060">
        <v>0</v>
      </c>
      <c r="D1060">
        <v>1002</v>
      </c>
    </row>
    <row r="1061" spans="1:4">
      <c r="A1061">
        <v>1617</v>
      </c>
      <c r="B1061" t="s">
        <v>4917</v>
      </c>
      <c r="C1061">
        <v>0</v>
      </c>
      <c r="D1061">
        <v>1002</v>
      </c>
    </row>
    <row r="1062" spans="1:4">
      <c r="A1062">
        <v>1618</v>
      </c>
      <c r="B1062" t="s">
        <v>4918</v>
      </c>
      <c r="C1062">
        <v>0</v>
      </c>
      <c r="D1062">
        <v>1002</v>
      </c>
    </row>
    <row r="1063" spans="1:4">
      <c r="A1063">
        <v>1626</v>
      </c>
      <c r="B1063" t="s">
        <v>4919</v>
      </c>
      <c r="C1063">
        <v>0</v>
      </c>
      <c r="D1063">
        <v>1002</v>
      </c>
    </row>
    <row r="1064" spans="1:4">
      <c r="A1064">
        <v>1713</v>
      </c>
      <c r="B1064" t="s">
        <v>4928</v>
      </c>
      <c r="C1064">
        <v>0</v>
      </c>
      <c r="D1064">
        <v>1002</v>
      </c>
    </row>
    <row r="1065" spans="1:4">
      <c r="A1065">
        <v>1720</v>
      </c>
      <c r="B1065" t="s">
        <v>4932</v>
      </c>
      <c r="C1065">
        <v>0</v>
      </c>
      <c r="D1065">
        <v>1002</v>
      </c>
    </row>
    <row r="1066" spans="1:4">
      <c r="A1066">
        <v>1725</v>
      </c>
      <c r="B1066" t="s">
        <v>765</v>
      </c>
      <c r="C1066">
        <v>0</v>
      </c>
      <c r="D1066">
        <v>1002</v>
      </c>
    </row>
    <row r="1067" spans="1:4">
      <c r="A1067">
        <v>1726</v>
      </c>
      <c r="B1067" t="s">
        <v>4936</v>
      </c>
      <c r="C1067">
        <v>0</v>
      </c>
      <c r="D1067">
        <v>1002</v>
      </c>
    </row>
    <row r="1068" spans="1:4">
      <c r="A1068">
        <v>1730</v>
      </c>
      <c r="B1068" t="s">
        <v>4938</v>
      </c>
      <c r="C1068">
        <v>0</v>
      </c>
      <c r="D1068">
        <v>1002</v>
      </c>
    </row>
    <row r="1069" spans="1:4">
      <c r="A1069">
        <v>1735</v>
      </c>
      <c r="B1069" t="s">
        <v>4943</v>
      </c>
      <c r="C1069">
        <v>0</v>
      </c>
      <c r="D1069">
        <v>1002</v>
      </c>
    </row>
    <row r="1070" spans="1:4">
      <c r="A1070">
        <v>1736</v>
      </c>
      <c r="B1070" t="s">
        <v>4944</v>
      </c>
      <c r="C1070">
        <v>0</v>
      </c>
      <c r="D1070">
        <v>1002</v>
      </c>
    </row>
    <row r="1071" spans="1:4">
      <c r="A1071">
        <v>1737</v>
      </c>
      <c r="B1071" t="s">
        <v>4945</v>
      </c>
      <c r="C1071">
        <v>0</v>
      </c>
      <c r="D1071">
        <v>1002</v>
      </c>
    </row>
    <row r="1072" spans="1:4">
      <c r="A1072">
        <v>1752</v>
      </c>
      <c r="B1072" t="s">
        <v>4947</v>
      </c>
      <c r="C1072">
        <v>0</v>
      </c>
      <c r="D1072">
        <v>1002</v>
      </c>
    </row>
    <row r="1073" spans="1:4">
      <c r="A1073">
        <v>1786</v>
      </c>
      <c r="B1073" t="s">
        <v>4955</v>
      </c>
      <c r="C1073">
        <v>0</v>
      </c>
      <c r="D1073">
        <v>1002</v>
      </c>
    </row>
    <row r="1074" spans="1:4">
      <c r="A1074">
        <v>1789</v>
      </c>
      <c r="B1074" t="s">
        <v>4957</v>
      </c>
      <c r="C1074">
        <v>0</v>
      </c>
      <c r="D1074">
        <v>1002</v>
      </c>
    </row>
    <row r="1075" spans="1:4">
      <c r="A1075">
        <v>1806</v>
      </c>
      <c r="B1075" t="s">
        <v>4960</v>
      </c>
      <c r="C1075">
        <v>0</v>
      </c>
      <c r="D1075">
        <v>1002</v>
      </c>
    </row>
    <row r="1076" spans="1:4">
      <c r="A1076">
        <v>1808</v>
      </c>
      <c r="B1076" t="s">
        <v>4961</v>
      </c>
      <c r="C1076">
        <v>0</v>
      </c>
      <c r="D1076">
        <v>1002</v>
      </c>
    </row>
    <row r="1077" spans="1:4">
      <c r="A1077">
        <v>1903</v>
      </c>
      <c r="B1077" t="s">
        <v>4966</v>
      </c>
      <c r="C1077">
        <v>0</v>
      </c>
      <c r="D1077">
        <v>1002</v>
      </c>
    </row>
    <row r="1078" spans="1:4">
      <c r="A1078">
        <v>2035</v>
      </c>
      <c r="B1078" t="s">
        <v>4994</v>
      </c>
      <c r="C1078">
        <v>0</v>
      </c>
      <c r="D1078">
        <v>1002</v>
      </c>
    </row>
    <row r="1079" spans="1:4">
      <c r="A1079">
        <v>2063</v>
      </c>
      <c r="B1079" t="s">
        <v>6173</v>
      </c>
      <c r="C1079">
        <v>0</v>
      </c>
      <c r="D1079">
        <v>1002</v>
      </c>
    </row>
    <row r="1080" spans="1:4">
      <c r="A1080">
        <v>2065</v>
      </c>
      <c r="B1080" t="s">
        <v>4999</v>
      </c>
      <c r="C1080">
        <v>0</v>
      </c>
      <c r="D1080">
        <v>1002</v>
      </c>
    </row>
    <row r="1081" spans="1:4">
      <c r="A1081">
        <v>2066</v>
      </c>
      <c r="B1081" t="s">
        <v>6194</v>
      </c>
      <c r="C1081">
        <v>0</v>
      </c>
      <c r="D1081">
        <v>1002</v>
      </c>
    </row>
    <row r="1082" spans="1:4">
      <c r="A1082">
        <v>2107</v>
      </c>
      <c r="B1082" t="s">
        <v>5007</v>
      </c>
      <c r="C1082">
        <v>0</v>
      </c>
      <c r="D1082">
        <v>1002</v>
      </c>
    </row>
    <row r="1083" spans="1:4">
      <c r="A1083">
        <v>2109</v>
      </c>
      <c r="B1083" t="s">
        <v>5009</v>
      </c>
      <c r="C1083">
        <v>0</v>
      </c>
      <c r="D1083">
        <v>1002</v>
      </c>
    </row>
    <row r="1084" spans="1:4">
      <c r="A1084">
        <v>2115</v>
      </c>
      <c r="B1084" t="s">
        <v>5011</v>
      </c>
      <c r="C1084">
        <v>0</v>
      </c>
      <c r="D1084">
        <v>1002</v>
      </c>
    </row>
    <row r="1085" spans="1:4">
      <c r="A1085">
        <v>2206</v>
      </c>
      <c r="B1085" t="s">
        <v>5014</v>
      </c>
      <c r="C1085">
        <v>0</v>
      </c>
      <c r="D1085">
        <v>1002</v>
      </c>
    </row>
    <row r="1086" spans="1:4">
      <c r="A1086">
        <v>2211</v>
      </c>
      <c r="B1086" t="s">
        <v>5017</v>
      </c>
      <c r="C1086">
        <v>0</v>
      </c>
      <c r="D1086">
        <v>1002</v>
      </c>
    </row>
    <row r="1087" spans="1:4">
      <c r="A1087">
        <v>2228</v>
      </c>
      <c r="B1087" t="s">
        <v>5019</v>
      </c>
      <c r="C1087">
        <v>0</v>
      </c>
      <c r="D1087">
        <v>1002</v>
      </c>
    </row>
    <row r="1088" spans="1:4">
      <c r="A1088">
        <v>2236</v>
      </c>
      <c r="B1088" t="s">
        <v>5023</v>
      </c>
      <c r="C1088">
        <v>0</v>
      </c>
      <c r="D1088">
        <v>1002</v>
      </c>
    </row>
    <row r="1089" spans="1:4">
      <c r="A1089">
        <v>2239</v>
      </c>
      <c r="B1089" t="s">
        <v>5024</v>
      </c>
      <c r="C1089">
        <v>0</v>
      </c>
      <c r="D1089">
        <v>1002</v>
      </c>
    </row>
    <row r="1090" spans="1:4">
      <c r="A1090">
        <v>2247</v>
      </c>
      <c r="B1090" t="s">
        <v>5027</v>
      </c>
      <c r="C1090">
        <v>0</v>
      </c>
      <c r="D1090">
        <v>1002</v>
      </c>
    </row>
    <row r="1091" spans="1:4">
      <c r="A1091">
        <v>2302</v>
      </c>
      <c r="B1091" t="s">
        <v>5030</v>
      </c>
      <c r="C1091">
        <v>0</v>
      </c>
      <c r="D1091">
        <v>1002</v>
      </c>
    </row>
    <row r="1092" spans="1:4">
      <c r="A1092">
        <v>2348</v>
      </c>
      <c r="B1092" t="s">
        <v>5053</v>
      </c>
      <c r="C1092">
        <v>0</v>
      </c>
      <c r="D1092">
        <v>1002</v>
      </c>
    </row>
    <row r="1093" spans="1:4">
      <c r="A1093">
        <v>2362</v>
      </c>
      <c r="B1093" t="s">
        <v>5064</v>
      </c>
      <c r="C1093">
        <v>0</v>
      </c>
      <c r="D1093">
        <v>1002</v>
      </c>
    </row>
    <row r="1094" spans="1:4">
      <c r="A1094">
        <v>2373</v>
      </c>
      <c r="B1094" t="s">
        <v>5071</v>
      </c>
      <c r="C1094">
        <v>0</v>
      </c>
      <c r="D1094">
        <v>1002</v>
      </c>
    </row>
    <row r="1095" spans="1:4">
      <c r="A1095">
        <v>2397</v>
      </c>
      <c r="B1095" t="s">
        <v>5086</v>
      </c>
      <c r="C1095">
        <v>0</v>
      </c>
      <c r="D1095">
        <v>1002</v>
      </c>
    </row>
    <row r="1096" spans="1:4">
      <c r="A1096">
        <v>2423</v>
      </c>
      <c r="B1096" t="s">
        <v>5102</v>
      </c>
      <c r="C1096">
        <v>0</v>
      </c>
      <c r="D1096">
        <v>1002</v>
      </c>
    </row>
    <row r="1097" spans="1:4">
      <c r="A1097">
        <v>2427</v>
      </c>
      <c r="B1097" t="s">
        <v>5105</v>
      </c>
      <c r="C1097">
        <v>0</v>
      </c>
      <c r="D1097">
        <v>1002</v>
      </c>
    </row>
    <row r="1098" spans="1:4">
      <c r="A1098">
        <v>2431</v>
      </c>
      <c r="B1098" t="s">
        <v>5108</v>
      </c>
      <c r="C1098">
        <v>0</v>
      </c>
      <c r="D1098">
        <v>1002</v>
      </c>
    </row>
    <row r="1099" spans="1:4">
      <c r="A1099">
        <v>2433</v>
      </c>
      <c r="B1099" t="s">
        <v>5109</v>
      </c>
      <c r="C1099">
        <v>0</v>
      </c>
      <c r="D1099">
        <v>1002</v>
      </c>
    </row>
    <row r="1100" spans="1:4">
      <c r="A1100">
        <v>2434</v>
      </c>
      <c r="B1100" t="s">
        <v>5110</v>
      </c>
      <c r="C1100">
        <v>0</v>
      </c>
      <c r="D1100">
        <v>1002</v>
      </c>
    </row>
    <row r="1101" spans="1:4">
      <c r="A1101">
        <v>2450</v>
      </c>
      <c r="B1101" t="s">
        <v>5116</v>
      </c>
      <c r="C1101">
        <v>0</v>
      </c>
      <c r="D1101">
        <v>1002</v>
      </c>
    </row>
    <row r="1102" spans="1:4">
      <c r="A1102">
        <v>2459</v>
      </c>
      <c r="B1102" t="s">
        <v>5123</v>
      </c>
      <c r="C1102">
        <v>0</v>
      </c>
      <c r="D1102">
        <v>1002</v>
      </c>
    </row>
    <row r="1103" spans="1:4">
      <c r="A1103">
        <v>2466</v>
      </c>
      <c r="B1103" t="s">
        <v>5129</v>
      </c>
      <c r="C1103">
        <v>0</v>
      </c>
      <c r="D1103">
        <v>1002</v>
      </c>
    </row>
    <row r="1104" spans="1:4">
      <c r="A1104">
        <v>2468</v>
      </c>
      <c r="B1104" t="s">
        <v>5131</v>
      </c>
      <c r="C1104">
        <v>0</v>
      </c>
      <c r="D1104">
        <v>1002</v>
      </c>
    </row>
    <row r="1105" spans="1:4">
      <c r="A1105">
        <v>2477</v>
      </c>
      <c r="B1105" t="s">
        <v>5136</v>
      </c>
      <c r="C1105">
        <v>0</v>
      </c>
      <c r="D1105">
        <v>1002</v>
      </c>
    </row>
    <row r="1106" spans="1:4">
      <c r="A1106">
        <v>2488</v>
      </c>
      <c r="B1106" t="s">
        <v>5145</v>
      </c>
      <c r="C1106">
        <v>0</v>
      </c>
      <c r="D1106">
        <v>1002</v>
      </c>
    </row>
    <row r="1107" spans="1:4">
      <c r="A1107">
        <v>2493</v>
      </c>
      <c r="B1107" t="s">
        <v>5149</v>
      </c>
      <c r="C1107">
        <v>0</v>
      </c>
      <c r="D1107">
        <v>1002</v>
      </c>
    </row>
    <row r="1108" spans="1:4">
      <c r="A1108">
        <v>2496</v>
      </c>
      <c r="B1108" t="s">
        <v>5151</v>
      </c>
      <c r="C1108">
        <v>0</v>
      </c>
      <c r="D1108">
        <v>1002</v>
      </c>
    </row>
    <row r="1109" spans="1:4">
      <c r="A1109">
        <v>2501</v>
      </c>
      <c r="B1109" t="s">
        <v>5154</v>
      </c>
      <c r="C1109">
        <v>0</v>
      </c>
      <c r="D1109">
        <v>1002</v>
      </c>
    </row>
    <row r="1110" spans="1:4">
      <c r="A1110">
        <v>2505</v>
      </c>
      <c r="B1110" t="s">
        <v>5156</v>
      </c>
      <c r="C1110">
        <v>0</v>
      </c>
      <c r="D1110">
        <v>1002</v>
      </c>
    </row>
    <row r="1111" spans="1:4">
      <c r="A1111">
        <v>2506</v>
      </c>
      <c r="B1111" t="s">
        <v>5157</v>
      </c>
      <c r="C1111">
        <v>0</v>
      </c>
      <c r="D1111">
        <v>1002</v>
      </c>
    </row>
    <row r="1112" spans="1:4">
      <c r="A1112">
        <v>2509</v>
      </c>
      <c r="B1112" t="s">
        <v>5158</v>
      </c>
      <c r="C1112">
        <v>0</v>
      </c>
      <c r="D1112">
        <v>1002</v>
      </c>
    </row>
    <row r="1113" spans="1:4">
      <c r="A1113">
        <v>2514</v>
      </c>
      <c r="B1113" t="s">
        <v>5160</v>
      </c>
      <c r="C1113">
        <v>0</v>
      </c>
      <c r="D1113">
        <v>1002</v>
      </c>
    </row>
    <row r="1114" spans="1:4">
      <c r="A1114">
        <v>2524</v>
      </c>
      <c r="B1114" t="s">
        <v>5163</v>
      </c>
      <c r="C1114">
        <v>0</v>
      </c>
      <c r="D1114">
        <v>1002</v>
      </c>
    </row>
    <row r="1115" spans="1:4">
      <c r="A1115">
        <v>2528</v>
      </c>
      <c r="B1115" t="s">
        <v>5165</v>
      </c>
      <c r="C1115">
        <v>0</v>
      </c>
      <c r="D1115">
        <v>1002</v>
      </c>
    </row>
    <row r="1116" spans="1:4">
      <c r="A1116">
        <v>2530</v>
      </c>
      <c r="B1116" t="s">
        <v>5166</v>
      </c>
      <c r="C1116">
        <v>0</v>
      </c>
      <c r="D1116">
        <v>1002</v>
      </c>
    </row>
    <row r="1117" spans="1:4">
      <c r="A1117">
        <v>2536</v>
      </c>
      <c r="B1117" t="s">
        <v>5169</v>
      </c>
      <c r="C1117">
        <v>0</v>
      </c>
      <c r="D1117">
        <v>1002</v>
      </c>
    </row>
    <row r="1118" spans="1:4">
      <c r="A1118">
        <v>2539</v>
      </c>
      <c r="B1118" t="s">
        <v>5172</v>
      </c>
      <c r="C1118">
        <v>0</v>
      </c>
      <c r="D1118">
        <v>1002</v>
      </c>
    </row>
    <row r="1119" spans="1:4">
      <c r="A1119">
        <v>2540</v>
      </c>
      <c r="B1119" t="s">
        <v>5173</v>
      </c>
      <c r="C1119">
        <v>0</v>
      </c>
      <c r="D1119">
        <v>1002</v>
      </c>
    </row>
    <row r="1120" spans="1:4">
      <c r="A1120">
        <v>2546</v>
      </c>
      <c r="B1120" t="s">
        <v>5175</v>
      </c>
      <c r="C1120">
        <v>0</v>
      </c>
      <c r="D1120">
        <v>1002</v>
      </c>
    </row>
    <row r="1121" spans="1:4">
      <c r="A1121">
        <v>2547</v>
      </c>
      <c r="B1121" t="s">
        <v>5176</v>
      </c>
      <c r="C1121">
        <v>0</v>
      </c>
      <c r="D1121">
        <v>1002</v>
      </c>
    </row>
    <row r="1122" spans="1:4">
      <c r="A1122">
        <v>2596</v>
      </c>
      <c r="B1122" t="s">
        <v>5178</v>
      </c>
      <c r="C1122">
        <v>0</v>
      </c>
      <c r="D1122">
        <v>1002</v>
      </c>
    </row>
    <row r="1123" spans="1:4">
      <c r="A1123">
        <v>2597</v>
      </c>
      <c r="B1123" t="s">
        <v>5179</v>
      </c>
      <c r="C1123">
        <v>0</v>
      </c>
      <c r="D1123">
        <v>1002</v>
      </c>
    </row>
    <row r="1124" spans="1:4">
      <c r="A1124">
        <v>2616</v>
      </c>
      <c r="B1124" t="s">
        <v>5193</v>
      </c>
      <c r="C1124">
        <v>0</v>
      </c>
      <c r="D1124">
        <v>1002</v>
      </c>
    </row>
    <row r="1125" spans="1:4">
      <c r="A1125">
        <v>2701</v>
      </c>
      <c r="B1125" t="s">
        <v>5203</v>
      </c>
      <c r="C1125">
        <v>0</v>
      </c>
      <c r="D1125">
        <v>1002</v>
      </c>
    </row>
    <row r="1126" spans="1:4">
      <c r="A1126">
        <v>2704</v>
      </c>
      <c r="B1126" t="s">
        <v>5204</v>
      </c>
      <c r="C1126">
        <v>0</v>
      </c>
      <c r="D1126">
        <v>1002</v>
      </c>
    </row>
    <row r="1127" spans="1:4">
      <c r="A1127">
        <v>2705</v>
      </c>
      <c r="B1127" t="s">
        <v>5205</v>
      </c>
      <c r="C1127">
        <v>0</v>
      </c>
      <c r="D1127">
        <v>1002</v>
      </c>
    </row>
    <row r="1128" spans="1:4">
      <c r="A1128">
        <v>2706</v>
      </c>
      <c r="B1128" t="s">
        <v>5206</v>
      </c>
      <c r="C1128">
        <v>0</v>
      </c>
      <c r="D1128">
        <v>1002</v>
      </c>
    </row>
    <row r="1129" spans="1:4">
      <c r="A1129">
        <v>2712</v>
      </c>
      <c r="B1129" t="s">
        <v>5208</v>
      </c>
      <c r="C1129">
        <v>0</v>
      </c>
      <c r="D1129">
        <v>1002</v>
      </c>
    </row>
    <row r="1130" spans="1:4">
      <c r="A1130">
        <v>2722</v>
      </c>
      <c r="B1130" t="s">
        <v>5209</v>
      </c>
      <c r="C1130">
        <v>0</v>
      </c>
      <c r="D1130">
        <v>1002</v>
      </c>
    </row>
    <row r="1131" spans="1:4">
      <c r="A1131">
        <v>2736</v>
      </c>
      <c r="B1131" t="s">
        <v>5215</v>
      </c>
      <c r="C1131">
        <v>0</v>
      </c>
      <c r="D1131">
        <v>1002</v>
      </c>
    </row>
    <row r="1132" spans="1:4">
      <c r="A1132">
        <v>2748</v>
      </c>
      <c r="B1132" t="s">
        <v>5217</v>
      </c>
      <c r="C1132">
        <v>0</v>
      </c>
      <c r="D1132">
        <v>1002</v>
      </c>
    </row>
    <row r="1133" spans="1:4">
      <c r="A1133">
        <v>2816</v>
      </c>
      <c r="B1133" t="s">
        <v>5221</v>
      </c>
      <c r="C1133">
        <v>0</v>
      </c>
      <c r="D1133">
        <v>1002</v>
      </c>
    </row>
    <row r="1134" spans="1:4">
      <c r="A1134">
        <v>2832</v>
      </c>
      <c r="B1134" t="s">
        <v>5223</v>
      </c>
      <c r="C1134">
        <v>0</v>
      </c>
      <c r="D1134">
        <v>1002</v>
      </c>
    </row>
    <row r="1135" spans="1:4">
      <c r="A1135">
        <v>2836</v>
      </c>
      <c r="B1135" t="s">
        <v>5225</v>
      </c>
      <c r="C1135">
        <v>0</v>
      </c>
      <c r="D1135">
        <v>1002</v>
      </c>
    </row>
    <row r="1136" spans="1:4">
      <c r="A1136">
        <v>2852</v>
      </c>
      <c r="B1136" t="s">
        <v>5231</v>
      </c>
      <c r="C1136">
        <v>0</v>
      </c>
      <c r="D1136">
        <v>1002</v>
      </c>
    </row>
    <row r="1137" spans="1:4">
      <c r="A1137">
        <v>2855</v>
      </c>
      <c r="B1137" t="s">
        <v>5232</v>
      </c>
      <c r="C1137">
        <v>0</v>
      </c>
      <c r="D1137">
        <v>1002</v>
      </c>
    </row>
    <row r="1138" spans="1:4">
      <c r="A1138">
        <v>2867</v>
      </c>
      <c r="B1138" t="s">
        <v>5233</v>
      </c>
      <c r="C1138">
        <v>0</v>
      </c>
      <c r="D1138">
        <v>1002</v>
      </c>
    </row>
    <row r="1139" spans="1:4">
      <c r="A1139">
        <v>2901</v>
      </c>
      <c r="B1139" t="s">
        <v>5248</v>
      </c>
      <c r="C1139">
        <v>0</v>
      </c>
      <c r="D1139">
        <v>1002</v>
      </c>
    </row>
    <row r="1140" spans="1:4">
      <c r="A1140">
        <v>2903</v>
      </c>
      <c r="B1140" t="s">
        <v>5249</v>
      </c>
      <c r="C1140">
        <v>0</v>
      </c>
      <c r="D1140">
        <v>1002</v>
      </c>
    </row>
    <row r="1141" spans="1:4">
      <c r="A1141">
        <v>2904</v>
      </c>
      <c r="B1141" t="s">
        <v>5250</v>
      </c>
      <c r="C1141">
        <v>0</v>
      </c>
      <c r="D1141">
        <v>1002</v>
      </c>
    </row>
    <row r="1142" spans="1:4">
      <c r="A1142">
        <v>2905</v>
      </c>
      <c r="B1142" t="s">
        <v>5251</v>
      </c>
      <c r="C1142">
        <v>0</v>
      </c>
      <c r="D1142">
        <v>1002</v>
      </c>
    </row>
    <row r="1143" spans="1:4">
      <c r="A1143">
        <v>2908</v>
      </c>
      <c r="B1143" t="s">
        <v>5253</v>
      </c>
      <c r="C1143">
        <v>0</v>
      </c>
      <c r="D1143">
        <v>1002</v>
      </c>
    </row>
    <row r="1144" spans="1:4">
      <c r="A1144">
        <v>2910</v>
      </c>
      <c r="B1144" t="s">
        <v>5254</v>
      </c>
      <c r="C1144">
        <v>0</v>
      </c>
      <c r="D1144">
        <v>1002</v>
      </c>
    </row>
    <row r="1145" spans="1:4">
      <c r="A1145">
        <v>2913</v>
      </c>
      <c r="B1145" t="s">
        <v>5257</v>
      </c>
      <c r="C1145">
        <v>0</v>
      </c>
      <c r="D1145">
        <v>1002</v>
      </c>
    </row>
    <row r="1146" spans="1:4">
      <c r="A1146">
        <v>2916</v>
      </c>
      <c r="B1146" t="s">
        <v>5259</v>
      </c>
      <c r="C1146">
        <v>0</v>
      </c>
      <c r="D1146">
        <v>1002</v>
      </c>
    </row>
    <row r="1147" spans="1:4">
      <c r="A1147">
        <v>2926</v>
      </c>
      <c r="B1147" t="s">
        <v>5260</v>
      </c>
      <c r="C1147">
        <v>0</v>
      </c>
      <c r="D1147">
        <v>1002</v>
      </c>
    </row>
    <row r="1148" spans="1:4">
      <c r="A1148">
        <v>2929</v>
      </c>
      <c r="B1148" t="s">
        <v>5261</v>
      </c>
      <c r="C1148">
        <v>0</v>
      </c>
      <c r="D1148">
        <v>1002</v>
      </c>
    </row>
    <row r="1149" spans="1:4">
      <c r="A1149">
        <v>2939</v>
      </c>
      <c r="B1149" t="s">
        <v>5263</v>
      </c>
      <c r="C1149">
        <v>0</v>
      </c>
      <c r="D1149">
        <v>1002</v>
      </c>
    </row>
    <row r="1150" spans="1:4">
      <c r="A1150">
        <v>3002</v>
      </c>
      <c r="B1150" t="s">
        <v>5264</v>
      </c>
      <c r="C1150">
        <v>0</v>
      </c>
      <c r="D1150">
        <v>1002</v>
      </c>
    </row>
    <row r="1151" spans="1:4">
      <c r="A1151">
        <v>3004</v>
      </c>
      <c r="B1151" t="s">
        <v>5266</v>
      </c>
      <c r="C1151">
        <v>0</v>
      </c>
      <c r="D1151">
        <v>1002</v>
      </c>
    </row>
    <row r="1152" spans="1:4">
      <c r="A1152">
        <v>3013</v>
      </c>
      <c r="B1152" t="s">
        <v>5271</v>
      </c>
      <c r="C1152">
        <v>0</v>
      </c>
      <c r="D1152">
        <v>1002</v>
      </c>
    </row>
    <row r="1153" spans="1:4">
      <c r="A1153">
        <v>3015</v>
      </c>
      <c r="B1153" t="s">
        <v>5273</v>
      </c>
      <c r="C1153">
        <v>0</v>
      </c>
      <c r="D1153">
        <v>1002</v>
      </c>
    </row>
    <row r="1154" spans="1:4">
      <c r="A1154">
        <v>3022</v>
      </c>
      <c r="B1154" t="s">
        <v>5278</v>
      </c>
      <c r="C1154">
        <v>0</v>
      </c>
      <c r="D1154">
        <v>1002</v>
      </c>
    </row>
    <row r="1155" spans="1:4">
      <c r="A1155">
        <v>3024</v>
      </c>
      <c r="B1155" t="s">
        <v>6177</v>
      </c>
      <c r="C1155">
        <v>0</v>
      </c>
      <c r="D1155">
        <v>1002</v>
      </c>
    </row>
    <row r="1156" spans="1:4">
      <c r="A1156">
        <v>3032</v>
      </c>
      <c r="B1156" t="s">
        <v>5287</v>
      </c>
      <c r="C1156">
        <v>0</v>
      </c>
      <c r="D1156">
        <v>1002</v>
      </c>
    </row>
    <row r="1157" spans="1:4">
      <c r="A1157">
        <v>3038</v>
      </c>
      <c r="B1157" t="s">
        <v>5293</v>
      </c>
      <c r="C1157">
        <v>0</v>
      </c>
      <c r="D1157">
        <v>1002</v>
      </c>
    </row>
    <row r="1158" spans="1:4">
      <c r="A1158">
        <v>3040</v>
      </c>
      <c r="B1158" t="s">
        <v>5294</v>
      </c>
      <c r="C1158">
        <v>0</v>
      </c>
      <c r="D1158">
        <v>1002</v>
      </c>
    </row>
    <row r="1159" spans="1:4">
      <c r="A1159">
        <v>3052</v>
      </c>
      <c r="B1159" t="s">
        <v>5303</v>
      </c>
      <c r="C1159">
        <v>0</v>
      </c>
      <c r="D1159">
        <v>1002</v>
      </c>
    </row>
    <row r="1160" spans="1:4">
      <c r="A1160">
        <v>3055</v>
      </c>
      <c r="B1160" t="s">
        <v>5305</v>
      </c>
      <c r="C1160">
        <v>0</v>
      </c>
      <c r="D1160">
        <v>1002</v>
      </c>
    </row>
    <row r="1161" spans="1:4">
      <c r="A1161">
        <v>3078</v>
      </c>
      <c r="B1161" t="s">
        <v>5311</v>
      </c>
      <c r="C1161">
        <v>0</v>
      </c>
      <c r="D1161">
        <v>1002</v>
      </c>
    </row>
    <row r="1162" spans="1:4">
      <c r="A1162">
        <v>3130</v>
      </c>
      <c r="B1162" t="s">
        <v>5324</v>
      </c>
      <c r="C1162">
        <v>0</v>
      </c>
      <c r="D1162">
        <v>1002</v>
      </c>
    </row>
    <row r="1163" spans="1:4">
      <c r="A1163">
        <v>3162</v>
      </c>
      <c r="B1163" t="s">
        <v>5329</v>
      </c>
      <c r="C1163">
        <v>0</v>
      </c>
      <c r="D1163">
        <v>1002</v>
      </c>
    </row>
    <row r="1164" spans="1:4">
      <c r="A1164">
        <v>3164</v>
      </c>
      <c r="B1164" t="s">
        <v>5331</v>
      </c>
      <c r="C1164">
        <v>0</v>
      </c>
      <c r="D1164">
        <v>1002</v>
      </c>
    </row>
    <row r="1165" spans="1:4">
      <c r="A1165">
        <v>3171</v>
      </c>
      <c r="B1165" t="s">
        <v>6313</v>
      </c>
      <c r="C1165">
        <v>0</v>
      </c>
      <c r="D1165">
        <v>1002</v>
      </c>
    </row>
    <row r="1166" spans="1:4">
      <c r="A1166">
        <v>3219</v>
      </c>
      <c r="B1166" t="s">
        <v>5345</v>
      </c>
      <c r="C1166">
        <v>0</v>
      </c>
      <c r="D1166">
        <v>1002</v>
      </c>
    </row>
    <row r="1167" spans="1:4">
      <c r="A1167">
        <v>3252</v>
      </c>
      <c r="B1167" t="s">
        <v>5354</v>
      </c>
      <c r="C1167">
        <v>0</v>
      </c>
      <c r="D1167">
        <v>1002</v>
      </c>
    </row>
    <row r="1168" spans="1:4">
      <c r="A1168">
        <v>3266</v>
      </c>
      <c r="B1168" t="s">
        <v>5359</v>
      </c>
      <c r="C1168">
        <v>0</v>
      </c>
      <c r="D1168">
        <v>1002</v>
      </c>
    </row>
    <row r="1169" spans="1:4">
      <c r="A1169">
        <v>3272</v>
      </c>
      <c r="B1169" t="s">
        <v>5361</v>
      </c>
      <c r="C1169">
        <v>0</v>
      </c>
      <c r="D1169">
        <v>1002</v>
      </c>
    </row>
    <row r="1170" spans="1:4">
      <c r="A1170">
        <v>3284</v>
      </c>
      <c r="B1170" t="s">
        <v>5363</v>
      </c>
      <c r="C1170">
        <v>0</v>
      </c>
      <c r="D1170">
        <v>1002</v>
      </c>
    </row>
    <row r="1171" spans="1:4">
      <c r="A1171">
        <v>3311</v>
      </c>
      <c r="B1171" t="s">
        <v>5374</v>
      </c>
      <c r="C1171">
        <v>0</v>
      </c>
      <c r="D1171">
        <v>1002</v>
      </c>
    </row>
    <row r="1172" spans="1:4">
      <c r="A1172">
        <v>3357</v>
      </c>
      <c r="B1172" t="s">
        <v>5385</v>
      </c>
      <c r="C1172">
        <v>0</v>
      </c>
      <c r="D1172">
        <v>1002</v>
      </c>
    </row>
    <row r="1173" spans="1:4">
      <c r="A1173">
        <v>3388</v>
      </c>
      <c r="B1173" t="s">
        <v>5395</v>
      </c>
      <c r="C1173">
        <v>0</v>
      </c>
      <c r="D1173">
        <v>1002</v>
      </c>
    </row>
    <row r="1174" spans="1:4">
      <c r="A1174">
        <v>3416</v>
      </c>
      <c r="B1174" t="s">
        <v>5400</v>
      </c>
      <c r="C1174">
        <v>0</v>
      </c>
      <c r="D1174">
        <v>1002</v>
      </c>
    </row>
    <row r="1175" spans="1:4">
      <c r="A1175">
        <v>3454</v>
      </c>
      <c r="B1175" t="s">
        <v>5410</v>
      </c>
      <c r="C1175">
        <v>0</v>
      </c>
      <c r="D1175">
        <v>1002</v>
      </c>
    </row>
    <row r="1176" spans="1:4">
      <c r="A1176">
        <v>3498</v>
      </c>
      <c r="B1176" t="s">
        <v>5420</v>
      </c>
      <c r="C1176">
        <v>0</v>
      </c>
      <c r="D1176">
        <v>1002</v>
      </c>
    </row>
    <row r="1177" spans="1:4">
      <c r="A1177">
        <v>3501</v>
      </c>
      <c r="B1177" t="s">
        <v>5422</v>
      </c>
      <c r="C1177">
        <v>0</v>
      </c>
      <c r="D1177">
        <v>1002</v>
      </c>
    </row>
    <row r="1178" spans="1:4">
      <c r="A1178">
        <v>3512</v>
      </c>
      <c r="B1178" t="s">
        <v>6142</v>
      </c>
      <c r="C1178">
        <v>0</v>
      </c>
      <c r="D1178">
        <v>1002</v>
      </c>
    </row>
    <row r="1179" spans="1:4">
      <c r="A1179">
        <v>3516</v>
      </c>
      <c r="B1179" t="s">
        <v>6228</v>
      </c>
      <c r="C1179">
        <v>0</v>
      </c>
      <c r="D1179">
        <v>1002</v>
      </c>
    </row>
    <row r="1180" spans="1:4">
      <c r="A1180">
        <v>3528</v>
      </c>
      <c r="B1180" t="s">
        <v>5431</v>
      </c>
      <c r="C1180">
        <v>0</v>
      </c>
      <c r="D1180">
        <v>1002</v>
      </c>
    </row>
    <row r="1181" spans="1:4">
      <c r="A1181">
        <v>3540</v>
      </c>
      <c r="B1181" t="s">
        <v>5438</v>
      </c>
      <c r="C1181">
        <v>0</v>
      </c>
      <c r="D1181">
        <v>1002</v>
      </c>
    </row>
    <row r="1182" spans="1:4">
      <c r="A1182">
        <v>3543</v>
      </c>
      <c r="B1182" t="s">
        <v>5440</v>
      </c>
      <c r="C1182">
        <v>0</v>
      </c>
      <c r="D1182">
        <v>1002</v>
      </c>
    </row>
    <row r="1183" spans="1:4">
      <c r="A1183">
        <v>3557</v>
      </c>
      <c r="B1183" t="s">
        <v>5448</v>
      </c>
      <c r="C1183">
        <v>0</v>
      </c>
      <c r="D1183">
        <v>1002</v>
      </c>
    </row>
    <row r="1184" spans="1:4">
      <c r="A1184">
        <v>3577</v>
      </c>
      <c r="B1184" t="s">
        <v>5452</v>
      </c>
      <c r="C1184">
        <v>0</v>
      </c>
      <c r="D1184">
        <v>1002</v>
      </c>
    </row>
    <row r="1185" spans="1:4">
      <c r="A1185">
        <v>3611</v>
      </c>
      <c r="B1185" t="s">
        <v>5465</v>
      </c>
      <c r="C1185">
        <v>0</v>
      </c>
      <c r="D1185">
        <v>1002</v>
      </c>
    </row>
    <row r="1186" spans="1:4">
      <c r="A1186">
        <v>3617</v>
      </c>
      <c r="B1186" t="s">
        <v>5467</v>
      </c>
      <c r="C1186">
        <v>0</v>
      </c>
      <c r="D1186">
        <v>1002</v>
      </c>
    </row>
    <row r="1187" spans="1:4">
      <c r="A1187">
        <v>3622</v>
      </c>
      <c r="B1187" t="s">
        <v>5468</v>
      </c>
      <c r="C1187">
        <v>0</v>
      </c>
      <c r="D1187">
        <v>1002</v>
      </c>
    </row>
    <row r="1188" spans="1:4">
      <c r="A1188">
        <v>3630</v>
      </c>
      <c r="B1188" t="s">
        <v>5473</v>
      </c>
      <c r="C1188">
        <v>0</v>
      </c>
      <c r="D1188">
        <v>1002</v>
      </c>
    </row>
    <row r="1189" spans="1:4">
      <c r="A1189">
        <v>3679</v>
      </c>
      <c r="B1189" t="s">
        <v>5486</v>
      </c>
      <c r="C1189">
        <v>0</v>
      </c>
      <c r="D1189">
        <v>1002</v>
      </c>
    </row>
    <row r="1190" spans="1:4">
      <c r="A1190">
        <v>3694</v>
      </c>
      <c r="B1190" t="s">
        <v>5493</v>
      </c>
      <c r="C1190">
        <v>0</v>
      </c>
      <c r="D1190">
        <v>1002</v>
      </c>
    </row>
    <row r="1191" spans="1:4">
      <c r="A1191">
        <v>3705</v>
      </c>
      <c r="B1191" t="s">
        <v>5498</v>
      </c>
      <c r="C1191">
        <v>0</v>
      </c>
      <c r="D1191">
        <v>1002</v>
      </c>
    </row>
    <row r="1192" spans="1:4">
      <c r="A1192">
        <v>3712</v>
      </c>
      <c r="B1192" t="s">
        <v>5503</v>
      </c>
      <c r="C1192">
        <v>0</v>
      </c>
      <c r="D1192">
        <v>1002</v>
      </c>
    </row>
    <row r="1193" spans="1:4">
      <c r="A1193">
        <v>4104</v>
      </c>
      <c r="B1193" t="s">
        <v>5506</v>
      </c>
      <c r="C1193">
        <v>0</v>
      </c>
      <c r="D1193">
        <v>1002</v>
      </c>
    </row>
    <row r="1194" spans="1:4">
      <c r="A1194">
        <v>4107</v>
      </c>
      <c r="B1194" t="s">
        <v>5508</v>
      </c>
      <c r="C1194">
        <v>0</v>
      </c>
      <c r="D1194">
        <v>1002</v>
      </c>
    </row>
    <row r="1195" spans="1:4">
      <c r="A1195">
        <v>4108</v>
      </c>
      <c r="B1195" t="s">
        <v>5509</v>
      </c>
      <c r="C1195">
        <v>0</v>
      </c>
      <c r="D1195">
        <v>1002</v>
      </c>
    </row>
    <row r="1196" spans="1:4">
      <c r="A1196">
        <v>4109</v>
      </c>
      <c r="B1196" t="s">
        <v>5510</v>
      </c>
      <c r="C1196">
        <v>0</v>
      </c>
      <c r="D1196">
        <v>1002</v>
      </c>
    </row>
    <row r="1197" spans="1:4">
      <c r="A1197">
        <v>4113</v>
      </c>
      <c r="B1197" t="s">
        <v>5511</v>
      </c>
      <c r="C1197">
        <v>0</v>
      </c>
      <c r="D1197">
        <v>1002</v>
      </c>
    </row>
    <row r="1198" spans="1:4">
      <c r="A1198">
        <v>4114</v>
      </c>
      <c r="B1198" t="s">
        <v>5512</v>
      </c>
      <c r="C1198">
        <v>0</v>
      </c>
      <c r="D1198">
        <v>1002</v>
      </c>
    </row>
    <row r="1199" spans="1:4">
      <c r="A1199">
        <v>4120</v>
      </c>
      <c r="B1199" t="s">
        <v>5515</v>
      </c>
      <c r="C1199">
        <v>0</v>
      </c>
      <c r="D1199">
        <v>1002</v>
      </c>
    </row>
    <row r="1200" spans="1:4">
      <c r="A1200">
        <v>4126</v>
      </c>
      <c r="B1200" t="s">
        <v>5518</v>
      </c>
      <c r="C1200">
        <v>0</v>
      </c>
      <c r="D1200">
        <v>1002</v>
      </c>
    </row>
    <row r="1201" spans="1:4">
      <c r="A1201">
        <v>4129</v>
      </c>
      <c r="B1201" t="s">
        <v>5520</v>
      </c>
      <c r="C1201">
        <v>0</v>
      </c>
      <c r="D1201">
        <v>1002</v>
      </c>
    </row>
    <row r="1202" spans="1:4">
      <c r="A1202">
        <v>4161</v>
      </c>
      <c r="B1202" t="s">
        <v>5530</v>
      </c>
      <c r="C1202">
        <v>0</v>
      </c>
      <c r="D1202">
        <v>1002</v>
      </c>
    </row>
    <row r="1203" spans="1:4">
      <c r="A1203">
        <v>4163</v>
      </c>
      <c r="B1203" t="s">
        <v>5532</v>
      </c>
      <c r="C1203">
        <v>0</v>
      </c>
      <c r="D1203">
        <v>1002</v>
      </c>
    </row>
    <row r="1204" spans="1:4">
      <c r="A1204">
        <v>4167</v>
      </c>
      <c r="B1204" t="s">
        <v>5534</v>
      </c>
      <c r="C1204">
        <v>0</v>
      </c>
      <c r="D1204">
        <v>1002</v>
      </c>
    </row>
    <row r="1205" spans="1:4">
      <c r="A1205">
        <v>4190</v>
      </c>
      <c r="B1205" t="s">
        <v>5540</v>
      </c>
      <c r="C1205">
        <v>0</v>
      </c>
      <c r="D1205">
        <v>1002</v>
      </c>
    </row>
    <row r="1206" spans="1:4">
      <c r="A1206">
        <v>4205</v>
      </c>
      <c r="B1206" t="s">
        <v>6145</v>
      </c>
      <c r="C1206">
        <v>0</v>
      </c>
      <c r="D1206">
        <v>1002</v>
      </c>
    </row>
    <row r="1207" spans="1:4">
      <c r="A1207">
        <v>4401</v>
      </c>
      <c r="B1207" t="s">
        <v>5544</v>
      </c>
      <c r="C1207">
        <v>0</v>
      </c>
      <c r="D1207">
        <v>1002</v>
      </c>
    </row>
    <row r="1208" spans="1:4">
      <c r="A1208">
        <v>4414</v>
      </c>
      <c r="B1208" t="s">
        <v>5546</v>
      </c>
      <c r="C1208">
        <v>0</v>
      </c>
      <c r="D1208">
        <v>1002</v>
      </c>
    </row>
    <row r="1209" spans="1:4">
      <c r="A1209">
        <v>4420</v>
      </c>
      <c r="B1209" t="s">
        <v>6210</v>
      </c>
      <c r="C1209">
        <v>0</v>
      </c>
      <c r="D1209">
        <v>1002</v>
      </c>
    </row>
    <row r="1210" spans="1:4">
      <c r="A1210">
        <v>4426</v>
      </c>
      <c r="B1210" t="s">
        <v>5548</v>
      </c>
      <c r="C1210">
        <v>0</v>
      </c>
      <c r="D1210">
        <v>1002</v>
      </c>
    </row>
    <row r="1211" spans="1:4">
      <c r="A1211">
        <v>4432</v>
      </c>
      <c r="B1211" t="s">
        <v>5549</v>
      </c>
      <c r="C1211">
        <v>0</v>
      </c>
      <c r="D1211">
        <v>1002</v>
      </c>
    </row>
    <row r="1212" spans="1:4">
      <c r="A1212">
        <v>4433</v>
      </c>
      <c r="B1212" t="s">
        <v>5550</v>
      </c>
      <c r="C1212">
        <v>0</v>
      </c>
      <c r="D1212">
        <v>1002</v>
      </c>
    </row>
    <row r="1213" spans="1:4">
      <c r="A1213">
        <v>4438</v>
      </c>
      <c r="B1213" t="s">
        <v>5551</v>
      </c>
      <c r="C1213">
        <v>0</v>
      </c>
      <c r="D1213">
        <v>1002</v>
      </c>
    </row>
    <row r="1214" spans="1:4">
      <c r="A1214">
        <v>4439</v>
      </c>
      <c r="B1214" t="s">
        <v>5552</v>
      </c>
      <c r="C1214">
        <v>0</v>
      </c>
      <c r="D1214">
        <v>1002</v>
      </c>
    </row>
    <row r="1215" spans="1:4">
      <c r="A1215">
        <v>4440</v>
      </c>
      <c r="B1215" t="s">
        <v>6526</v>
      </c>
      <c r="C1215">
        <v>0</v>
      </c>
      <c r="D1215">
        <v>1002</v>
      </c>
    </row>
    <row r="1216" spans="1:4">
      <c r="A1216">
        <v>4506</v>
      </c>
      <c r="B1216" t="s">
        <v>5554</v>
      </c>
      <c r="C1216">
        <v>0</v>
      </c>
      <c r="D1216">
        <v>1002</v>
      </c>
    </row>
    <row r="1217" spans="1:4">
      <c r="A1217">
        <v>4510</v>
      </c>
      <c r="B1217" t="s">
        <v>5555</v>
      </c>
      <c r="C1217">
        <v>0</v>
      </c>
      <c r="D1217">
        <v>1002</v>
      </c>
    </row>
    <row r="1218" spans="1:4">
      <c r="A1218">
        <v>4523</v>
      </c>
      <c r="B1218" t="s">
        <v>6287</v>
      </c>
      <c r="C1218">
        <v>0</v>
      </c>
      <c r="D1218">
        <v>1002</v>
      </c>
    </row>
    <row r="1219" spans="1:4">
      <c r="A1219">
        <v>4526</v>
      </c>
      <c r="B1219" t="s">
        <v>5557</v>
      </c>
      <c r="C1219">
        <v>0</v>
      </c>
      <c r="D1219">
        <v>1002</v>
      </c>
    </row>
    <row r="1220" spans="1:4">
      <c r="A1220">
        <v>4527</v>
      </c>
      <c r="B1220" t="s">
        <v>6146</v>
      </c>
      <c r="C1220">
        <v>0</v>
      </c>
      <c r="D1220">
        <v>1002</v>
      </c>
    </row>
    <row r="1221" spans="1:4">
      <c r="A1221">
        <v>4532</v>
      </c>
      <c r="B1221" t="s">
        <v>5559</v>
      </c>
      <c r="C1221">
        <v>0</v>
      </c>
      <c r="D1221">
        <v>1002</v>
      </c>
    </row>
    <row r="1222" spans="1:4">
      <c r="A1222">
        <v>4533</v>
      </c>
      <c r="B1222" t="s">
        <v>5560</v>
      </c>
      <c r="C1222">
        <v>0</v>
      </c>
      <c r="D1222">
        <v>1002</v>
      </c>
    </row>
    <row r="1223" spans="1:4">
      <c r="A1223">
        <v>4534</v>
      </c>
      <c r="B1223" t="s">
        <v>5561</v>
      </c>
      <c r="C1223">
        <v>0</v>
      </c>
      <c r="D1223">
        <v>1002</v>
      </c>
    </row>
    <row r="1224" spans="1:4">
      <c r="A1224">
        <v>4535</v>
      </c>
      <c r="B1224" t="s">
        <v>6354</v>
      </c>
      <c r="C1224">
        <v>0</v>
      </c>
      <c r="D1224">
        <v>1002</v>
      </c>
    </row>
    <row r="1225" spans="1:4">
      <c r="A1225">
        <v>4536</v>
      </c>
      <c r="B1225" t="s">
        <v>5562</v>
      </c>
      <c r="C1225">
        <v>0</v>
      </c>
      <c r="D1225">
        <v>1002</v>
      </c>
    </row>
    <row r="1226" spans="1:4">
      <c r="A1226">
        <v>4540</v>
      </c>
      <c r="B1226" t="s">
        <v>5563</v>
      </c>
      <c r="C1226">
        <v>0</v>
      </c>
      <c r="D1226">
        <v>1002</v>
      </c>
    </row>
    <row r="1227" spans="1:4">
      <c r="A1227">
        <v>4541</v>
      </c>
      <c r="B1227" t="s">
        <v>5564</v>
      </c>
      <c r="C1227">
        <v>0</v>
      </c>
      <c r="D1227">
        <v>1002</v>
      </c>
    </row>
    <row r="1228" spans="1:4">
      <c r="A1228">
        <v>4549</v>
      </c>
      <c r="B1228" t="s">
        <v>5567</v>
      </c>
      <c r="C1228">
        <v>0</v>
      </c>
      <c r="D1228">
        <v>1002</v>
      </c>
    </row>
    <row r="1229" spans="1:4">
      <c r="A1229">
        <v>4552</v>
      </c>
      <c r="B1229" t="s">
        <v>5569</v>
      </c>
      <c r="C1229">
        <v>0</v>
      </c>
      <c r="D1229">
        <v>1002</v>
      </c>
    </row>
    <row r="1230" spans="1:4">
      <c r="A1230">
        <v>4555</v>
      </c>
      <c r="B1230" t="s">
        <v>5570</v>
      </c>
      <c r="C1230">
        <v>0</v>
      </c>
      <c r="D1230">
        <v>1002</v>
      </c>
    </row>
    <row r="1231" spans="1:4">
      <c r="A1231">
        <v>4557</v>
      </c>
      <c r="B1231" t="s">
        <v>5571</v>
      </c>
      <c r="C1231">
        <v>0</v>
      </c>
      <c r="D1231">
        <v>1002</v>
      </c>
    </row>
    <row r="1232" spans="1:4">
      <c r="A1232">
        <v>4560</v>
      </c>
      <c r="B1232" t="s">
        <v>5572</v>
      </c>
      <c r="C1232">
        <v>0</v>
      </c>
      <c r="D1232">
        <v>1002</v>
      </c>
    </row>
    <row r="1233" spans="1:4">
      <c r="A1233">
        <v>4562</v>
      </c>
      <c r="B1233" t="s">
        <v>5573</v>
      </c>
      <c r="C1233">
        <v>0</v>
      </c>
      <c r="D1233">
        <v>1002</v>
      </c>
    </row>
    <row r="1234" spans="1:4">
      <c r="A1234">
        <v>4563</v>
      </c>
      <c r="B1234" t="s">
        <v>6182</v>
      </c>
      <c r="C1234">
        <v>0</v>
      </c>
      <c r="D1234">
        <v>1002</v>
      </c>
    </row>
    <row r="1235" spans="1:4">
      <c r="A1235">
        <v>4568</v>
      </c>
      <c r="B1235" t="s">
        <v>6148</v>
      </c>
      <c r="C1235">
        <v>0</v>
      </c>
      <c r="D1235">
        <v>1002</v>
      </c>
    </row>
    <row r="1236" spans="1:4">
      <c r="A1236">
        <v>4571</v>
      </c>
      <c r="B1236" t="s">
        <v>5576</v>
      </c>
      <c r="C1236">
        <v>0</v>
      </c>
      <c r="D1236">
        <v>1002</v>
      </c>
    </row>
    <row r="1237" spans="1:4">
      <c r="A1237">
        <v>4572</v>
      </c>
      <c r="B1237" t="s">
        <v>5577</v>
      </c>
      <c r="C1237">
        <v>0</v>
      </c>
      <c r="D1237">
        <v>1002</v>
      </c>
    </row>
    <row r="1238" spans="1:4">
      <c r="A1238">
        <v>4576</v>
      </c>
      <c r="B1238" t="s">
        <v>5578</v>
      </c>
      <c r="C1238">
        <v>0</v>
      </c>
      <c r="D1238">
        <v>1002</v>
      </c>
    </row>
    <row r="1239" spans="1:4">
      <c r="A1239">
        <v>4581</v>
      </c>
      <c r="B1239" t="s">
        <v>5580</v>
      </c>
      <c r="C1239">
        <v>0</v>
      </c>
      <c r="D1239">
        <v>1002</v>
      </c>
    </row>
    <row r="1240" spans="1:4">
      <c r="A1240">
        <v>4707</v>
      </c>
      <c r="B1240" t="s">
        <v>5582</v>
      </c>
      <c r="C1240">
        <v>0</v>
      </c>
      <c r="D1240">
        <v>1002</v>
      </c>
    </row>
    <row r="1241" spans="1:4">
      <c r="A1241">
        <v>4737</v>
      </c>
      <c r="B1241" t="s">
        <v>5592</v>
      </c>
      <c r="C1241">
        <v>0</v>
      </c>
      <c r="D1241">
        <v>1002</v>
      </c>
    </row>
    <row r="1242" spans="1:4">
      <c r="A1242">
        <v>4745</v>
      </c>
      <c r="B1242" t="s">
        <v>5595</v>
      </c>
      <c r="C1242">
        <v>0</v>
      </c>
      <c r="D1242">
        <v>1002</v>
      </c>
    </row>
    <row r="1243" spans="1:4">
      <c r="A1243">
        <v>4763</v>
      </c>
      <c r="B1243" t="s">
        <v>5599</v>
      </c>
      <c r="C1243">
        <v>0</v>
      </c>
      <c r="D1243">
        <v>1002</v>
      </c>
    </row>
    <row r="1244" spans="1:4">
      <c r="A1244">
        <v>4764</v>
      </c>
      <c r="B1244" t="s">
        <v>5600</v>
      </c>
      <c r="C1244">
        <v>0</v>
      </c>
      <c r="D1244">
        <v>1002</v>
      </c>
    </row>
    <row r="1245" spans="1:4">
      <c r="A1245">
        <v>4766</v>
      </c>
      <c r="B1245" t="s">
        <v>5601</v>
      </c>
      <c r="C1245">
        <v>0</v>
      </c>
      <c r="D1245">
        <v>1002</v>
      </c>
    </row>
    <row r="1246" spans="1:4">
      <c r="A1246">
        <v>4807</v>
      </c>
      <c r="B1246" t="s">
        <v>5603</v>
      </c>
      <c r="C1246">
        <v>0</v>
      </c>
      <c r="D1246">
        <v>1002</v>
      </c>
    </row>
    <row r="1247" spans="1:4">
      <c r="A1247">
        <v>4933</v>
      </c>
      <c r="B1247" t="s">
        <v>5614</v>
      </c>
      <c r="C1247">
        <v>0</v>
      </c>
      <c r="D1247">
        <v>1002</v>
      </c>
    </row>
    <row r="1248" spans="1:4">
      <c r="A1248">
        <v>4935</v>
      </c>
      <c r="B1248" t="s">
        <v>5615</v>
      </c>
      <c r="C1248">
        <v>0</v>
      </c>
      <c r="D1248">
        <v>1002</v>
      </c>
    </row>
    <row r="1249" spans="1:4">
      <c r="A1249">
        <v>4977</v>
      </c>
      <c r="B1249" t="s">
        <v>5634</v>
      </c>
      <c r="C1249">
        <v>0</v>
      </c>
      <c r="D1249">
        <v>1002</v>
      </c>
    </row>
    <row r="1250" spans="1:4">
      <c r="A1250">
        <v>4979</v>
      </c>
      <c r="B1250" t="s">
        <v>5635</v>
      </c>
      <c r="C1250">
        <v>0</v>
      </c>
      <c r="D1250">
        <v>1002</v>
      </c>
    </row>
    <row r="1251" spans="1:4">
      <c r="A1251">
        <v>4991</v>
      </c>
      <c r="B1251" t="s">
        <v>6149</v>
      </c>
      <c r="C1251">
        <v>0</v>
      </c>
      <c r="D1251">
        <v>1002</v>
      </c>
    </row>
    <row r="1252" spans="1:4">
      <c r="A1252">
        <v>4995</v>
      </c>
      <c r="B1252" t="s">
        <v>6195</v>
      </c>
      <c r="C1252">
        <v>0</v>
      </c>
      <c r="D1252">
        <v>1002</v>
      </c>
    </row>
    <row r="1253" spans="1:4">
      <c r="A1253">
        <v>5007</v>
      </c>
      <c r="B1253" t="s">
        <v>5639</v>
      </c>
      <c r="C1253">
        <v>0</v>
      </c>
      <c r="D1253">
        <v>1002</v>
      </c>
    </row>
    <row r="1254" spans="1:4">
      <c r="A1254">
        <v>5013</v>
      </c>
      <c r="B1254" t="s">
        <v>5642</v>
      </c>
      <c r="C1254">
        <v>0</v>
      </c>
      <c r="D1254">
        <v>1002</v>
      </c>
    </row>
    <row r="1255" spans="1:4">
      <c r="A1255">
        <v>5015</v>
      </c>
      <c r="B1255" t="s">
        <v>5644</v>
      </c>
      <c r="C1255">
        <v>0</v>
      </c>
      <c r="D1255">
        <v>1002</v>
      </c>
    </row>
    <row r="1256" spans="1:4">
      <c r="A1256">
        <v>5206</v>
      </c>
      <c r="B1256" t="s">
        <v>5646</v>
      </c>
      <c r="C1256">
        <v>0</v>
      </c>
      <c r="D1256">
        <v>1002</v>
      </c>
    </row>
    <row r="1257" spans="1:4">
      <c r="A1257">
        <v>5213</v>
      </c>
      <c r="B1257" t="s">
        <v>5648</v>
      </c>
      <c r="C1257">
        <v>0</v>
      </c>
      <c r="D1257">
        <v>1002</v>
      </c>
    </row>
    <row r="1258" spans="1:4">
      <c r="A1258">
        <v>5215</v>
      </c>
      <c r="B1258" t="s">
        <v>5649</v>
      </c>
      <c r="C1258">
        <v>0</v>
      </c>
      <c r="D1258">
        <v>1002</v>
      </c>
    </row>
    <row r="1259" spans="1:4">
      <c r="A1259">
        <v>5220</v>
      </c>
      <c r="B1259" t="s">
        <v>6184</v>
      </c>
      <c r="C1259">
        <v>0</v>
      </c>
      <c r="D1259">
        <v>1002</v>
      </c>
    </row>
    <row r="1260" spans="1:4">
      <c r="A1260">
        <v>5223</v>
      </c>
      <c r="B1260" t="s">
        <v>5650</v>
      </c>
      <c r="C1260">
        <v>0</v>
      </c>
      <c r="D1260">
        <v>1002</v>
      </c>
    </row>
    <row r="1261" spans="1:4">
      <c r="A1261">
        <v>5225</v>
      </c>
      <c r="B1261" t="s">
        <v>5651</v>
      </c>
      <c r="C1261">
        <v>0</v>
      </c>
      <c r="D1261">
        <v>1002</v>
      </c>
    </row>
    <row r="1262" spans="1:4">
      <c r="A1262">
        <v>5283</v>
      </c>
      <c r="B1262" t="s">
        <v>5663</v>
      </c>
      <c r="C1262">
        <v>0</v>
      </c>
      <c r="D1262">
        <v>1002</v>
      </c>
    </row>
    <row r="1263" spans="1:4">
      <c r="A1263">
        <v>5284</v>
      </c>
      <c r="B1263" t="s">
        <v>5664</v>
      </c>
      <c r="C1263">
        <v>0</v>
      </c>
      <c r="D1263">
        <v>1002</v>
      </c>
    </row>
    <row r="1264" spans="1:4">
      <c r="A1264">
        <v>5287</v>
      </c>
      <c r="B1264" t="s">
        <v>5666</v>
      </c>
      <c r="C1264">
        <v>0</v>
      </c>
      <c r="D1264">
        <v>1002</v>
      </c>
    </row>
    <row r="1265" spans="1:4">
      <c r="A1265">
        <v>5306</v>
      </c>
      <c r="B1265" t="s">
        <v>5670</v>
      </c>
      <c r="C1265">
        <v>0</v>
      </c>
      <c r="D1265">
        <v>1002</v>
      </c>
    </row>
    <row r="1266" spans="1:4">
      <c r="A1266">
        <v>5315</v>
      </c>
      <c r="B1266" t="s">
        <v>5672</v>
      </c>
      <c r="C1266">
        <v>0</v>
      </c>
      <c r="D1266">
        <v>1002</v>
      </c>
    </row>
    <row r="1267" spans="1:4">
      <c r="A1267">
        <v>5398</v>
      </c>
      <c r="B1267" t="s">
        <v>6152</v>
      </c>
      <c r="C1267">
        <v>0</v>
      </c>
      <c r="D1267">
        <v>1002</v>
      </c>
    </row>
    <row r="1268" spans="1:4">
      <c r="A1268">
        <v>5403</v>
      </c>
      <c r="B1268" t="s">
        <v>5683</v>
      </c>
      <c r="C1268">
        <v>0</v>
      </c>
      <c r="D1268">
        <v>1002</v>
      </c>
    </row>
    <row r="1269" spans="1:4">
      <c r="A1269">
        <v>5432</v>
      </c>
      <c r="B1269" t="s">
        <v>5687</v>
      </c>
      <c r="C1269">
        <v>0</v>
      </c>
      <c r="D1269">
        <v>1002</v>
      </c>
    </row>
    <row r="1270" spans="1:4">
      <c r="A1270">
        <v>5450</v>
      </c>
      <c r="B1270" t="s">
        <v>5692</v>
      </c>
      <c r="C1270">
        <v>0</v>
      </c>
      <c r="D1270">
        <v>1002</v>
      </c>
    </row>
    <row r="1271" spans="1:4">
      <c r="A1271">
        <v>5465</v>
      </c>
      <c r="B1271" t="s">
        <v>6296</v>
      </c>
      <c r="C1271">
        <v>0</v>
      </c>
      <c r="D1271">
        <v>1002</v>
      </c>
    </row>
    <row r="1272" spans="1:4">
      <c r="A1272">
        <v>5490</v>
      </c>
      <c r="B1272" t="s">
        <v>6153</v>
      </c>
      <c r="C1272">
        <v>0</v>
      </c>
      <c r="D1272">
        <v>1002</v>
      </c>
    </row>
    <row r="1273" spans="1:4">
      <c r="A1273">
        <v>5493</v>
      </c>
      <c r="B1273" t="s">
        <v>5702</v>
      </c>
      <c r="C1273">
        <v>0</v>
      </c>
      <c r="D1273">
        <v>1002</v>
      </c>
    </row>
    <row r="1274" spans="1:4">
      <c r="A1274">
        <v>5508</v>
      </c>
      <c r="B1274" t="s">
        <v>5704</v>
      </c>
      <c r="C1274">
        <v>0</v>
      </c>
      <c r="D1274">
        <v>1002</v>
      </c>
    </row>
    <row r="1275" spans="1:4">
      <c r="A1275">
        <v>5511</v>
      </c>
      <c r="B1275" t="s">
        <v>6154</v>
      </c>
      <c r="C1275">
        <v>0</v>
      </c>
      <c r="D1275">
        <v>1002</v>
      </c>
    </row>
    <row r="1276" spans="1:4">
      <c r="A1276">
        <v>5512</v>
      </c>
      <c r="B1276" t="s">
        <v>5705</v>
      </c>
      <c r="C1276">
        <v>0</v>
      </c>
      <c r="D1276">
        <v>1002</v>
      </c>
    </row>
    <row r="1277" spans="1:4">
      <c r="A1277">
        <v>5514</v>
      </c>
      <c r="B1277" t="s">
        <v>6350</v>
      </c>
      <c r="C1277">
        <v>0</v>
      </c>
      <c r="D1277">
        <v>1002</v>
      </c>
    </row>
    <row r="1278" spans="1:4">
      <c r="A1278">
        <v>5515</v>
      </c>
      <c r="B1278" t="s">
        <v>5706</v>
      </c>
      <c r="C1278">
        <v>0</v>
      </c>
      <c r="D1278">
        <v>1002</v>
      </c>
    </row>
    <row r="1279" spans="1:4">
      <c r="A1279">
        <v>5516</v>
      </c>
      <c r="B1279" t="s">
        <v>6185</v>
      </c>
      <c r="C1279">
        <v>0</v>
      </c>
      <c r="D1279">
        <v>1002</v>
      </c>
    </row>
    <row r="1280" spans="1:4">
      <c r="A1280">
        <v>5519</v>
      </c>
      <c r="B1280" t="s">
        <v>5707</v>
      </c>
      <c r="C1280">
        <v>0</v>
      </c>
      <c r="D1280">
        <v>1002</v>
      </c>
    </row>
    <row r="1281" spans="1:4">
      <c r="A1281">
        <v>5520</v>
      </c>
      <c r="B1281" t="s">
        <v>6351</v>
      </c>
      <c r="C1281">
        <v>0</v>
      </c>
      <c r="D1281">
        <v>1002</v>
      </c>
    </row>
    <row r="1282" spans="1:4">
      <c r="A1282">
        <v>5523</v>
      </c>
      <c r="B1282" t="s">
        <v>6312</v>
      </c>
      <c r="C1282">
        <v>0</v>
      </c>
      <c r="D1282">
        <v>1002</v>
      </c>
    </row>
    <row r="1283" spans="1:4">
      <c r="A1283">
        <v>5525</v>
      </c>
      <c r="B1283" t="s">
        <v>5710</v>
      </c>
      <c r="C1283">
        <v>0</v>
      </c>
      <c r="D1283">
        <v>1002</v>
      </c>
    </row>
    <row r="1284" spans="1:4">
      <c r="A1284">
        <v>5530</v>
      </c>
      <c r="B1284" t="s">
        <v>5711</v>
      </c>
      <c r="C1284">
        <v>0</v>
      </c>
      <c r="D1284">
        <v>1002</v>
      </c>
    </row>
    <row r="1285" spans="1:4">
      <c r="A1285">
        <v>5531</v>
      </c>
      <c r="B1285" t="s">
        <v>5712</v>
      </c>
      <c r="C1285">
        <v>0</v>
      </c>
      <c r="D1285">
        <v>1002</v>
      </c>
    </row>
    <row r="1286" spans="1:4">
      <c r="A1286">
        <v>5533</v>
      </c>
      <c r="B1286" t="s">
        <v>5713</v>
      </c>
      <c r="C1286">
        <v>0</v>
      </c>
      <c r="D1286">
        <v>1002</v>
      </c>
    </row>
    <row r="1287" spans="1:4">
      <c r="A1287">
        <v>5538</v>
      </c>
      <c r="B1287" t="s">
        <v>5716</v>
      </c>
      <c r="C1287">
        <v>0</v>
      </c>
      <c r="D1287">
        <v>1002</v>
      </c>
    </row>
    <row r="1288" spans="1:4">
      <c r="A1288">
        <v>5546</v>
      </c>
      <c r="B1288" t="s">
        <v>5718</v>
      </c>
      <c r="C1288">
        <v>0</v>
      </c>
      <c r="D1288">
        <v>1002</v>
      </c>
    </row>
    <row r="1289" spans="1:4">
      <c r="A1289">
        <v>5601</v>
      </c>
      <c r="B1289" t="s">
        <v>6347</v>
      </c>
      <c r="C1289">
        <v>0</v>
      </c>
      <c r="D1289">
        <v>1002</v>
      </c>
    </row>
    <row r="1290" spans="1:4">
      <c r="A1290">
        <v>5604</v>
      </c>
      <c r="B1290" t="s">
        <v>6340</v>
      </c>
      <c r="C1290">
        <v>0</v>
      </c>
      <c r="D1290">
        <v>1002</v>
      </c>
    </row>
    <row r="1291" spans="1:4">
      <c r="A1291">
        <v>5820</v>
      </c>
      <c r="B1291" t="s">
        <v>5724</v>
      </c>
      <c r="C1291">
        <v>0</v>
      </c>
      <c r="D1291">
        <v>1002</v>
      </c>
    </row>
    <row r="1292" spans="1:4">
      <c r="A1292">
        <v>5902</v>
      </c>
      <c r="B1292" t="s">
        <v>5729</v>
      </c>
      <c r="C1292">
        <v>0</v>
      </c>
      <c r="D1292">
        <v>1002</v>
      </c>
    </row>
    <row r="1293" spans="1:4">
      <c r="A1293">
        <v>5903</v>
      </c>
      <c r="B1293" t="s">
        <v>5730</v>
      </c>
      <c r="C1293">
        <v>0</v>
      </c>
      <c r="D1293">
        <v>1002</v>
      </c>
    </row>
    <row r="1294" spans="1:4">
      <c r="A1294">
        <v>5904</v>
      </c>
      <c r="B1294" t="s">
        <v>5731</v>
      </c>
      <c r="C1294">
        <v>0</v>
      </c>
      <c r="D1294">
        <v>1002</v>
      </c>
    </row>
    <row r="1295" spans="1:4">
      <c r="A1295">
        <v>5906</v>
      </c>
      <c r="B1295" t="s">
        <v>5733</v>
      </c>
      <c r="C1295">
        <v>0</v>
      </c>
      <c r="D1295">
        <v>1002</v>
      </c>
    </row>
    <row r="1296" spans="1:4">
      <c r="A1296">
        <v>5907</v>
      </c>
      <c r="B1296" t="s">
        <v>5734</v>
      </c>
      <c r="C1296">
        <v>0</v>
      </c>
      <c r="D1296">
        <v>1002</v>
      </c>
    </row>
    <row r="1297" spans="1:4">
      <c r="A1297">
        <v>6005</v>
      </c>
      <c r="B1297" t="s">
        <v>5735</v>
      </c>
      <c r="C1297">
        <v>0</v>
      </c>
      <c r="D1297">
        <v>1002</v>
      </c>
    </row>
    <row r="1298" spans="1:4">
      <c r="A1298">
        <v>6020</v>
      </c>
      <c r="B1298" t="s">
        <v>6186</v>
      </c>
      <c r="C1298">
        <v>0</v>
      </c>
      <c r="D1298">
        <v>1002</v>
      </c>
    </row>
    <row r="1299" spans="1:4">
      <c r="A1299">
        <v>6023</v>
      </c>
      <c r="B1299" t="s">
        <v>6187</v>
      </c>
      <c r="C1299">
        <v>0</v>
      </c>
      <c r="D1299">
        <v>1002</v>
      </c>
    </row>
    <row r="1300" spans="1:4">
      <c r="A1300">
        <v>6024</v>
      </c>
      <c r="B1300" t="s">
        <v>5738</v>
      </c>
      <c r="C1300">
        <v>0</v>
      </c>
      <c r="D1300">
        <v>1002</v>
      </c>
    </row>
    <row r="1301" spans="1:4">
      <c r="A1301">
        <v>6112</v>
      </c>
      <c r="B1301" t="s">
        <v>5743</v>
      </c>
      <c r="C1301">
        <v>0</v>
      </c>
      <c r="D1301">
        <v>1002</v>
      </c>
    </row>
    <row r="1302" spans="1:4">
      <c r="A1302">
        <v>6114</v>
      </c>
      <c r="B1302" t="s">
        <v>5744</v>
      </c>
      <c r="C1302">
        <v>0</v>
      </c>
      <c r="D1302">
        <v>1002</v>
      </c>
    </row>
    <row r="1303" spans="1:4">
      <c r="A1303">
        <v>6115</v>
      </c>
      <c r="B1303" t="s">
        <v>5745</v>
      </c>
      <c r="C1303">
        <v>0</v>
      </c>
      <c r="D1303">
        <v>1002</v>
      </c>
    </row>
    <row r="1304" spans="1:4">
      <c r="A1304">
        <v>6123</v>
      </c>
      <c r="B1304" t="s">
        <v>5752</v>
      </c>
      <c r="C1304">
        <v>0</v>
      </c>
      <c r="D1304">
        <v>1002</v>
      </c>
    </row>
    <row r="1305" spans="1:4">
      <c r="A1305">
        <v>6128</v>
      </c>
      <c r="B1305" t="s">
        <v>5756</v>
      </c>
      <c r="C1305">
        <v>0</v>
      </c>
      <c r="D1305">
        <v>1002</v>
      </c>
    </row>
    <row r="1306" spans="1:4">
      <c r="A1306">
        <v>6133</v>
      </c>
      <c r="B1306" t="s">
        <v>5757</v>
      </c>
      <c r="C1306">
        <v>0</v>
      </c>
      <c r="D1306">
        <v>1002</v>
      </c>
    </row>
    <row r="1307" spans="1:4">
      <c r="A1307">
        <v>6141</v>
      </c>
      <c r="B1307" t="s">
        <v>5763</v>
      </c>
      <c r="C1307">
        <v>0</v>
      </c>
      <c r="D1307">
        <v>1002</v>
      </c>
    </row>
    <row r="1308" spans="1:4">
      <c r="A1308">
        <v>6146</v>
      </c>
      <c r="B1308" t="s">
        <v>5765</v>
      </c>
      <c r="C1308">
        <v>0</v>
      </c>
      <c r="D1308">
        <v>1002</v>
      </c>
    </row>
    <row r="1309" spans="1:4">
      <c r="A1309">
        <v>6151</v>
      </c>
      <c r="B1309" t="s">
        <v>5769</v>
      </c>
      <c r="C1309">
        <v>0</v>
      </c>
      <c r="D1309">
        <v>1002</v>
      </c>
    </row>
    <row r="1310" spans="1:4">
      <c r="A1310">
        <v>6153</v>
      </c>
      <c r="B1310" t="s">
        <v>5770</v>
      </c>
      <c r="C1310">
        <v>0</v>
      </c>
      <c r="D1310">
        <v>1002</v>
      </c>
    </row>
    <row r="1311" spans="1:4">
      <c r="A1311">
        <v>6166</v>
      </c>
      <c r="B1311" t="s">
        <v>5779</v>
      </c>
      <c r="C1311">
        <v>0</v>
      </c>
      <c r="D1311">
        <v>1002</v>
      </c>
    </row>
    <row r="1312" spans="1:4">
      <c r="A1312">
        <v>6171</v>
      </c>
      <c r="B1312" t="s">
        <v>6155</v>
      </c>
      <c r="C1312">
        <v>0</v>
      </c>
      <c r="D1312">
        <v>1002</v>
      </c>
    </row>
    <row r="1313" spans="1:4">
      <c r="A1313">
        <v>6177</v>
      </c>
      <c r="B1313" t="s">
        <v>5786</v>
      </c>
      <c r="C1313">
        <v>0</v>
      </c>
      <c r="D1313">
        <v>1002</v>
      </c>
    </row>
    <row r="1314" spans="1:4">
      <c r="A1314">
        <v>6183</v>
      </c>
      <c r="B1314" t="s">
        <v>5790</v>
      </c>
      <c r="C1314">
        <v>0</v>
      </c>
      <c r="D1314">
        <v>1002</v>
      </c>
    </row>
    <row r="1315" spans="1:4">
      <c r="A1315">
        <v>6184</v>
      </c>
      <c r="B1315" t="s">
        <v>5791</v>
      </c>
      <c r="C1315">
        <v>0</v>
      </c>
      <c r="D1315">
        <v>1002</v>
      </c>
    </row>
    <row r="1316" spans="1:4">
      <c r="A1316">
        <v>6185</v>
      </c>
      <c r="B1316" t="s">
        <v>5792</v>
      </c>
      <c r="C1316">
        <v>0</v>
      </c>
      <c r="D1316">
        <v>1002</v>
      </c>
    </row>
    <row r="1317" spans="1:4">
      <c r="A1317">
        <v>6189</v>
      </c>
      <c r="B1317" t="s">
        <v>5796</v>
      </c>
      <c r="C1317">
        <v>0</v>
      </c>
      <c r="D1317">
        <v>1002</v>
      </c>
    </row>
    <row r="1318" spans="1:4">
      <c r="A1318">
        <v>6192</v>
      </c>
      <c r="B1318" t="s">
        <v>5799</v>
      </c>
      <c r="C1318">
        <v>0</v>
      </c>
      <c r="D1318">
        <v>1002</v>
      </c>
    </row>
    <row r="1319" spans="1:4">
      <c r="A1319">
        <v>6195</v>
      </c>
      <c r="B1319" t="s">
        <v>6156</v>
      </c>
      <c r="C1319">
        <v>0</v>
      </c>
      <c r="D1319">
        <v>1002</v>
      </c>
    </row>
    <row r="1320" spans="1:4">
      <c r="A1320">
        <v>6201</v>
      </c>
      <c r="B1320" t="s">
        <v>5802</v>
      </c>
      <c r="C1320">
        <v>0</v>
      </c>
      <c r="D1320">
        <v>1002</v>
      </c>
    </row>
    <row r="1321" spans="1:4">
      <c r="A1321">
        <v>6203</v>
      </c>
      <c r="B1321" t="s">
        <v>5804</v>
      </c>
      <c r="C1321">
        <v>0</v>
      </c>
      <c r="D1321">
        <v>1002</v>
      </c>
    </row>
    <row r="1322" spans="1:4">
      <c r="A1322">
        <v>6204</v>
      </c>
      <c r="B1322" t="s">
        <v>6157</v>
      </c>
      <c r="C1322">
        <v>0</v>
      </c>
      <c r="D1322">
        <v>1002</v>
      </c>
    </row>
    <row r="1323" spans="1:4">
      <c r="A1323">
        <v>6210</v>
      </c>
      <c r="B1323" t="s">
        <v>6327</v>
      </c>
      <c r="C1323">
        <v>0</v>
      </c>
      <c r="D1323">
        <v>1002</v>
      </c>
    </row>
    <row r="1324" spans="1:4">
      <c r="A1324">
        <v>6220</v>
      </c>
      <c r="B1324" t="s">
        <v>5817</v>
      </c>
      <c r="C1324">
        <v>0</v>
      </c>
      <c r="D1324">
        <v>1002</v>
      </c>
    </row>
    <row r="1325" spans="1:4">
      <c r="A1325">
        <v>6230</v>
      </c>
      <c r="B1325" t="s">
        <v>5823</v>
      </c>
      <c r="C1325">
        <v>0</v>
      </c>
      <c r="D1325">
        <v>1002</v>
      </c>
    </row>
    <row r="1326" spans="1:4">
      <c r="A1326">
        <v>6234</v>
      </c>
      <c r="B1326" t="s">
        <v>5826</v>
      </c>
      <c r="C1326">
        <v>0</v>
      </c>
      <c r="D1326">
        <v>1002</v>
      </c>
    </row>
    <row r="1327" spans="1:4">
      <c r="A1327">
        <v>6263</v>
      </c>
      <c r="B1327" t="s">
        <v>5838</v>
      </c>
      <c r="C1327">
        <v>0</v>
      </c>
      <c r="D1327">
        <v>1002</v>
      </c>
    </row>
    <row r="1328" spans="1:4">
      <c r="A1328">
        <v>6276</v>
      </c>
      <c r="B1328" t="s">
        <v>5846</v>
      </c>
      <c r="C1328">
        <v>0</v>
      </c>
      <c r="D1328">
        <v>1002</v>
      </c>
    </row>
    <row r="1329" spans="1:4">
      <c r="A1329">
        <v>6277</v>
      </c>
      <c r="B1329" t="s">
        <v>5847</v>
      </c>
      <c r="C1329">
        <v>0</v>
      </c>
      <c r="D1329">
        <v>1002</v>
      </c>
    </row>
    <row r="1330" spans="1:4">
      <c r="A1330">
        <v>6281</v>
      </c>
      <c r="B1330" t="s">
        <v>5850</v>
      </c>
      <c r="C1330">
        <v>0</v>
      </c>
      <c r="D1330">
        <v>1002</v>
      </c>
    </row>
    <row r="1331" spans="1:4">
      <c r="A1331">
        <v>6294</v>
      </c>
      <c r="B1331" t="s">
        <v>6158</v>
      </c>
      <c r="C1331">
        <v>0</v>
      </c>
      <c r="D1331">
        <v>1002</v>
      </c>
    </row>
    <row r="1332" spans="1:4">
      <c r="A1332">
        <v>6442</v>
      </c>
      <c r="B1332" t="s">
        <v>5871</v>
      </c>
      <c r="C1332">
        <v>0</v>
      </c>
      <c r="D1332">
        <v>1002</v>
      </c>
    </row>
    <row r="1333" spans="1:4">
      <c r="A1333">
        <v>6449</v>
      </c>
      <c r="B1333" t="s">
        <v>5873</v>
      </c>
      <c r="C1333">
        <v>0</v>
      </c>
      <c r="D1333">
        <v>1002</v>
      </c>
    </row>
    <row r="1334" spans="1:4">
      <c r="A1334">
        <v>6464</v>
      </c>
      <c r="B1334" t="s">
        <v>5879</v>
      </c>
      <c r="C1334">
        <v>0</v>
      </c>
      <c r="D1334">
        <v>1002</v>
      </c>
    </row>
    <row r="1335" spans="1:4">
      <c r="A1335">
        <v>6486</v>
      </c>
      <c r="B1335" t="s">
        <v>5884</v>
      </c>
      <c r="C1335">
        <v>0</v>
      </c>
      <c r="D1335">
        <v>1002</v>
      </c>
    </row>
    <row r="1336" spans="1:4">
      <c r="A1336">
        <v>6496</v>
      </c>
      <c r="B1336" t="s">
        <v>6245</v>
      </c>
      <c r="C1336">
        <v>0</v>
      </c>
      <c r="D1336">
        <v>1002</v>
      </c>
    </row>
    <row r="1337" spans="1:4">
      <c r="A1337">
        <v>6504</v>
      </c>
      <c r="B1337" t="s">
        <v>5889</v>
      </c>
      <c r="C1337">
        <v>0</v>
      </c>
      <c r="D1337">
        <v>1002</v>
      </c>
    </row>
    <row r="1338" spans="1:4">
      <c r="A1338">
        <v>6516</v>
      </c>
      <c r="B1338" t="s">
        <v>5897</v>
      </c>
      <c r="C1338">
        <v>0</v>
      </c>
      <c r="D1338">
        <v>1002</v>
      </c>
    </row>
    <row r="1339" spans="1:4">
      <c r="A1339">
        <v>6542</v>
      </c>
      <c r="B1339" t="s">
        <v>6323</v>
      </c>
      <c r="C1339">
        <v>0</v>
      </c>
      <c r="D1339">
        <v>1002</v>
      </c>
    </row>
    <row r="1340" spans="1:4">
      <c r="A1340">
        <v>6561</v>
      </c>
      <c r="B1340" t="s">
        <v>5907</v>
      </c>
      <c r="C1340">
        <v>0</v>
      </c>
      <c r="D1340">
        <v>1002</v>
      </c>
    </row>
    <row r="1341" spans="1:4">
      <c r="A1341">
        <v>6570</v>
      </c>
      <c r="B1341" t="s">
        <v>5908</v>
      </c>
      <c r="C1341">
        <v>0</v>
      </c>
      <c r="D1341">
        <v>1002</v>
      </c>
    </row>
    <row r="1342" spans="1:4">
      <c r="A1342">
        <v>6579</v>
      </c>
      <c r="B1342" t="s">
        <v>5911</v>
      </c>
      <c r="C1342">
        <v>0</v>
      </c>
      <c r="D1342">
        <v>1002</v>
      </c>
    </row>
    <row r="1343" spans="1:4">
      <c r="A1343">
        <v>6581</v>
      </c>
      <c r="B1343" t="s">
        <v>5912</v>
      </c>
      <c r="C1343">
        <v>0</v>
      </c>
      <c r="D1343">
        <v>1002</v>
      </c>
    </row>
    <row r="1344" spans="1:4">
      <c r="A1344">
        <v>6582</v>
      </c>
      <c r="B1344" t="s">
        <v>5913</v>
      </c>
      <c r="C1344">
        <v>0</v>
      </c>
      <c r="D1344">
        <v>1002</v>
      </c>
    </row>
    <row r="1345" spans="1:4">
      <c r="A1345">
        <v>6605</v>
      </c>
      <c r="B1345" t="s">
        <v>5918</v>
      </c>
      <c r="C1345">
        <v>0</v>
      </c>
      <c r="D1345">
        <v>1002</v>
      </c>
    </row>
    <row r="1346" spans="1:4">
      <c r="A1346">
        <v>6609</v>
      </c>
      <c r="B1346" t="s">
        <v>5919</v>
      </c>
      <c r="C1346">
        <v>0</v>
      </c>
      <c r="D1346">
        <v>1002</v>
      </c>
    </row>
    <row r="1347" spans="1:4">
      <c r="A1347">
        <v>6613</v>
      </c>
      <c r="B1347" t="s">
        <v>5921</v>
      </c>
      <c r="C1347">
        <v>0</v>
      </c>
      <c r="D1347">
        <v>1002</v>
      </c>
    </row>
    <row r="1348" spans="1:4">
      <c r="A1348">
        <v>6625</v>
      </c>
      <c r="B1348" t="s">
        <v>5922</v>
      </c>
      <c r="C1348">
        <v>0</v>
      </c>
      <c r="D1348">
        <v>1002</v>
      </c>
    </row>
    <row r="1349" spans="1:4">
      <c r="A1349">
        <v>6655</v>
      </c>
      <c r="B1349" t="s">
        <v>5927</v>
      </c>
      <c r="C1349">
        <v>0</v>
      </c>
      <c r="D1349">
        <v>1002</v>
      </c>
    </row>
    <row r="1350" spans="1:4">
      <c r="A1350">
        <v>6666</v>
      </c>
      <c r="B1350" t="s">
        <v>5929</v>
      </c>
      <c r="C1350">
        <v>0</v>
      </c>
      <c r="D1350">
        <v>1002</v>
      </c>
    </row>
    <row r="1351" spans="1:4">
      <c r="A1351">
        <v>6671</v>
      </c>
      <c r="B1351" t="s">
        <v>5934</v>
      </c>
      <c r="C1351">
        <v>0</v>
      </c>
      <c r="D1351">
        <v>1002</v>
      </c>
    </row>
    <row r="1352" spans="1:4">
      <c r="A1352">
        <v>6743</v>
      </c>
      <c r="B1352" t="s">
        <v>5943</v>
      </c>
      <c r="C1352">
        <v>0</v>
      </c>
      <c r="D1352">
        <v>1002</v>
      </c>
    </row>
    <row r="1353" spans="1:4">
      <c r="A1353">
        <v>6754</v>
      </c>
      <c r="B1353" t="s">
        <v>5944</v>
      </c>
      <c r="C1353">
        <v>0</v>
      </c>
      <c r="D1353">
        <v>1002</v>
      </c>
    </row>
    <row r="1354" spans="1:4">
      <c r="A1354">
        <v>6768</v>
      </c>
      <c r="B1354" t="s">
        <v>5946</v>
      </c>
      <c r="C1354">
        <v>0</v>
      </c>
      <c r="D1354">
        <v>1002</v>
      </c>
    </row>
    <row r="1355" spans="1:4">
      <c r="A1355">
        <v>6776</v>
      </c>
      <c r="B1355" t="s">
        <v>5947</v>
      </c>
      <c r="C1355">
        <v>0</v>
      </c>
      <c r="D1355">
        <v>1002</v>
      </c>
    </row>
    <row r="1356" spans="1:4">
      <c r="A1356">
        <v>6790</v>
      </c>
      <c r="B1356" t="s">
        <v>6225</v>
      </c>
      <c r="C1356">
        <v>0</v>
      </c>
      <c r="D1356">
        <v>1002</v>
      </c>
    </row>
    <row r="1357" spans="1:4">
      <c r="A1357">
        <v>6803</v>
      </c>
      <c r="B1357" t="s">
        <v>5949</v>
      </c>
      <c r="C1357">
        <v>0</v>
      </c>
      <c r="D1357">
        <v>1002</v>
      </c>
    </row>
    <row r="1358" spans="1:4">
      <c r="A1358">
        <v>8032</v>
      </c>
      <c r="B1358" t="s">
        <v>6318</v>
      </c>
      <c r="C1358">
        <v>0</v>
      </c>
      <c r="D1358">
        <v>1002</v>
      </c>
    </row>
    <row r="1359" spans="1:4">
      <c r="A1359">
        <v>8047</v>
      </c>
      <c r="B1359" t="s">
        <v>6306</v>
      </c>
      <c r="C1359">
        <v>0</v>
      </c>
      <c r="D1359">
        <v>1002</v>
      </c>
    </row>
    <row r="1360" spans="1:4">
      <c r="A1360">
        <v>8048</v>
      </c>
      <c r="B1360" t="s">
        <v>5962</v>
      </c>
      <c r="C1360">
        <v>0</v>
      </c>
      <c r="D1360">
        <v>1002</v>
      </c>
    </row>
    <row r="1361" spans="1:4">
      <c r="A1361">
        <v>8072</v>
      </c>
      <c r="B1361" t="s">
        <v>5970</v>
      </c>
      <c r="C1361">
        <v>0</v>
      </c>
      <c r="D1361">
        <v>1002</v>
      </c>
    </row>
    <row r="1362" spans="1:4">
      <c r="A1362">
        <v>8107</v>
      </c>
      <c r="B1362" t="s">
        <v>5984</v>
      </c>
      <c r="C1362">
        <v>0</v>
      </c>
      <c r="D1362">
        <v>1002</v>
      </c>
    </row>
    <row r="1363" spans="1:4">
      <c r="A1363">
        <v>8109</v>
      </c>
      <c r="B1363" t="s">
        <v>6161</v>
      </c>
      <c r="C1363">
        <v>0</v>
      </c>
      <c r="D1363">
        <v>1002</v>
      </c>
    </row>
    <row r="1364" spans="1:4">
      <c r="A1364">
        <v>8234</v>
      </c>
      <c r="B1364" t="s">
        <v>6002</v>
      </c>
      <c r="C1364">
        <v>0</v>
      </c>
      <c r="D1364">
        <v>1002</v>
      </c>
    </row>
    <row r="1365" spans="1:4">
      <c r="A1365">
        <v>8240</v>
      </c>
      <c r="B1365" t="s">
        <v>6003</v>
      </c>
      <c r="C1365">
        <v>0</v>
      </c>
      <c r="D1365">
        <v>1002</v>
      </c>
    </row>
    <row r="1366" spans="1:4">
      <c r="A1366">
        <v>8349</v>
      </c>
      <c r="B1366" t="s">
        <v>6012</v>
      </c>
      <c r="C1366">
        <v>0</v>
      </c>
      <c r="D1366">
        <v>1002</v>
      </c>
    </row>
    <row r="1367" spans="1:4">
      <c r="A1367">
        <v>8374</v>
      </c>
      <c r="B1367" t="s">
        <v>6015</v>
      </c>
      <c r="C1367">
        <v>0</v>
      </c>
      <c r="D1367">
        <v>1002</v>
      </c>
    </row>
    <row r="1368" spans="1:4">
      <c r="A1368">
        <v>8383</v>
      </c>
      <c r="B1368" t="s">
        <v>6016</v>
      </c>
      <c r="C1368">
        <v>0</v>
      </c>
      <c r="D1368">
        <v>1002</v>
      </c>
    </row>
    <row r="1369" spans="1:4">
      <c r="A1369">
        <v>8404</v>
      </c>
      <c r="B1369" t="s">
        <v>6020</v>
      </c>
      <c r="C1369">
        <v>0</v>
      </c>
      <c r="D1369">
        <v>1002</v>
      </c>
    </row>
    <row r="1370" spans="1:4">
      <c r="A1370">
        <v>8410</v>
      </c>
      <c r="B1370" t="s">
        <v>6190</v>
      </c>
      <c r="C1370">
        <v>0</v>
      </c>
      <c r="D1370">
        <v>1002</v>
      </c>
    </row>
    <row r="1371" spans="1:4">
      <c r="A1371">
        <v>8411</v>
      </c>
      <c r="B1371" t="s">
        <v>6021</v>
      </c>
      <c r="C1371">
        <v>0</v>
      </c>
      <c r="D1371">
        <v>1002</v>
      </c>
    </row>
    <row r="1372" spans="1:4">
      <c r="A1372">
        <v>8424</v>
      </c>
      <c r="B1372" t="s">
        <v>6209</v>
      </c>
      <c r="C1372">
        <v>0</v>
      </c>
      <c r="D1372">
        <v>1002</v>
      </c>
    </row>
    <row r="1373" spans="1:4">
      <c r="A1373">
        <v>8432</v>
      </c>
      <c r="B1373" t="s">
        <v>6310</v>
      </c>
      <c r="C1373">
        <v>0</v>
      </c>
      <c r="D1373">
        <v>1002</v>
      </c>
    </row>
    <row r="1374" spans="1:4">
      <c r="A1374">
        <v>8433</v>
      </c>
      <c r="B1374" t="s">
        <v>6027</v>
      </c>
      <c r="C1374">
        <v>0</v>
      </c>
      <c r="D1374">
        <v>1002</v>
      </c>
    </row>
    <row r="1375" spans="1:4">
      <c r="A1375">
        <v>8435</v>
      </c>
      <c r="B1375" t="s">
        <v>6028</v>
      </c>
      <c r="C1375">
        <v>0</v>
      </c>
      <c r="D1375">
        <v>1002</v>
      </c>
    </row>
    <row r="1376" spans="1:4">
      <c r="A1376">
        <v>8437</v>
      </c>
      <c r="B1376" t="s">
        <v>6030</v>
      </c>
      <c r="C1376">
        <v>0</v>
      </c>
      <c r="D1376">
        <v>1002</v>
      </c>
    </row>
    <row r="1377" spans="1:4">
      <c r="A1377">
        <v>8442</v>
      </c>
      <c r="B1377" t="s">
        <v>6032</v>
      </c>
      <c r="C1377">
        <v>0</v>
      </c>
      <c r="D1377">
        <v>1002</v>
      </c>
    </row>
    <row r="1378" spans="1:4">
      <c r="A1378">
        <v>8443</v>
      </c>
      <c r="B1378" t="s">
        <v>6033</v>
      </c>
      <c r="C1378">
        <v>0</v>
      </c>
      <c r="D1378">
        <v>1002</v>
      </c>
    </row>
    <row r="1379" spans="1:4">
      <c r="A1379">
        <v>8444</v>
      </c>
      <c r="B1379" t="s">
        <v>6034</v>
      </c>
      <c r="C1379">
        <v>0</v>
      </c>
      <c r="D1379">
        <v>1002</v>
      </c>
    </row>
    <row r="1380" spans="1:4">
      <c r="A1380">
        <v>8462</v>
      </c>
      <c r="B1380" t="s">
        <v>6038</v>
      </c>
      <c r="C1380">
        <v>0</v>
      </c>
      <c r="D1380">
        <v>1002</v>
      </c>
    </row>
    <row r="1381" spans="1:4">
      <c r="A1381">
        <v>8463</v>
      </c>
      <c r="B1381" t="s">
        <v>6039</v>
      </c>
      <c r="C1381">
        <v>0</v>
      </c>
      <c r="D1381">
        <v>1002</v>
      </c>
    </row>
    <row r="1382" spans="1:4">
      <c r="A1382">
        <v>8466</v>
      </c>
      <c r="B1382" t="s">
        <v>6041</v>
      </c>
      <c r="C1382">
        <v>0</v>
      </c>
      <c r="D1382">
        <v>1002</v>
      </c>
    </row>
    <row r="1383" spans="1:4">
      <c r="A1383">
        <v>8467</v>
      </c>
      <c r="B1383" t="s">
        <v>6042</v>
      </c>
      <c r="C1383">
        <v>0</v>
      </c>
      <c r="D1383">
        <v>1002</v>
      </c>
    </row>
    <row r="1384" spans="1:4">
      <c r="A1384">
        <v>8473</v>
      </c>
      <c r="B1384" t="s">
        <v>6043</v>
      </c>
      <c r="C1384">
        <v>0</v>
      </c>
      <c r="D1384">
        <v>1002</v>
      </c>
    </row>
    <row r="1385" spans="1:4">
      <c r="A1385">
        <v>8476</v>
      </c>
      <c r="B1385" t="s">
        <v>6241</v>
      </c>
      <c r="C1385">
        <v>0</v>
      </c>
      <c r="D1385">
        <v>1002</v>
      </c>
    </row>
    <row r="1386" spans="1:4">
      <c r="A1386">
        <v>8480</v>
      </c>
      <c r="B1386" t="s">
        <v>6046</v>
      </c>
      <c r="C1386">
        <v>0</v>
      </c>
      <c r="D1386">
        <v>1002</v>
      </c>
    </row>
    <row r="1387" spans="1:4">
      <c r="A1387">
        <v>8481</v>
      </c>
      <c r="B1387" t="s">
        <v>6047</v>
      </c>
      <c r="C1387">
        <v>0</v>
      </c>
      <c r="D1387">
        <v>1002</v>
      </c>
    </row>
    <row r="1388" spans="1:4">
      <c r="A1388">
        <v>8482</v>
      </c>
      <c r="B1388" t="s">
        <v>6048</v>
      </c>
      <c r="C1388">
        <v>0</v>
      </c>
      <c r="D1388">
        <v>1002</v>
      </c>
    </row>
    <row r="1389" spans="1:4">
      <c r="A1389">
        <v>8499</v>
      </c>
      <c r="B1389" t="s">
        <v>6051</v>
      </c>
      <c r="C1389">
        <v>0</v>
      </c>
      <c r="D1389">
        <v>1002</v>
      </c>
    </row>
    <row r="1390" spans="1:4">
      <c r="A1390">
        <v>8908</v>
      </c>
      <c r="B1390" t="s">
        <v>6053</v>
      </c>
      <c r="C1390">
        <v>0</v>
      </c>
      <c r="D1390">
        <v>1002</v>
      </c>
    </row>
    <row r="1391" spans="1:4">
      <c r="A1391">
        <v>8916</v>
      </c>
      <c r="B1391" t="s">
        <v>6054</v>
      </c>
      <c r="C1391">
        <v>0</v>
      </c>
      <c r="D1391">
        <v>1002</v>
      </c>
    </row>
    <row r="1392" spans="1:4">
      <c r="A1392">
        <v>8929</v>
      </c>
      <c r="B1392" t="s">
        <v>6059</v>
      </c>
      <c r="C1392">
        <v>0</v>
      </c>
      <c r="D1392">
        <v>1002</v>
      </c>
    </row>
    <row r="1393" spans="1:4">
      <c r="A1393">
        <v>8931</v>
      </c>
      <c r="B1393" t="s">
        <v>6060</v>
      </c>
      <c r="C1393">
        <v>0</v>
      </c>
      <c r="D1393">
        <v>1002</v>
      </c>
    </row>
    <row r="1394" spans="1:4">
      <c r="A1394">
        <v>8933</v>
      </c>
      <c r="B1394" t="s">
        <v>6672</v>
      </c>
      <c r="C1394">
        <v>0</v>
      </c>
      <c r="D1394">
        <v>1002</v>
      </c>
    </row>
    <row r="1395" spans="1:4">
      <c r="A1395">
        <v>8942</v>
      </c>
      <c r="B1395" t="s">
        <v>6063</v>
      </c>
      <c r="C1395">
        <v>0</v>
      </c>
      <c r="D1395">
        <v>1002</v>
      </c>
    </row>
    <row r="1396" spans="1:4">
      <c r="A1396">
        <v>9905</v>
      </c>
      <c r="B1396" t="s">
        <v>6068</v>
      </c>
      <c r="C1396">
        <v>0</v>
      </c>
      <c r="D1396">
        <v>1002</v>
      </c>
    </row>
    <row r="1397" spans="1:4">
      <c r="A1397">
        <v>9906</v>
      </c>
      <c r="B1397" t="s">
        <v>6069</v>
      </c>
      <c r="C1397">
        <v>0</v>
      </c>
      <c r="D1397">
        <v>1002</v>
      </c>
    </row>
    <row r="1398" spans="1:4">
      <c r="A1398">
        <v>9908</v>
      </c>
      <c r="B1398" t="s">
        <v>6071</v>
      </c>
      <c r="C1398">
        <v>0</v>
      </c>
      <c r="D1398">
        <v>1002</v>
      </c>
    </row>
    <row r="1399" spans="1:4">
      <c r="A1399">
        <v>9918</v>
      </c>
      <c r="B1399" t="s">
        <v>6076</v>
      </c>
      <c r="C1399">
        <v>0</v>
      </c>
      <c r="D1399">
        <v>1002</v>
      </c>
    </row>
    <row r="1400" spans="1:4">
      <c r="A1400">
        <v>9925</v>
      </c>
      <c r="B1400" t="s">
        <v>6080</v>
      </c>
      <c r="C1400">
        <v>0</v>
      </c>
      <c r="D1400">
        <v>1002</v>
      </c>
    </row>
    <row r="1401" spans="1:4">
      <c r="A1401">
        <v>9926</v>
      </c>
      <c r="B1401" t="s">
        <v>6081</v>
      </c>
      <c r="C1401">
        <v>0</v>
      </c>
      <c r="D1401">
        <v>1002</v>
      </c>
    </row>
    <row r="1402" spans="1:4">
      <c r="A1402">
        <v>9930</v>
      </c>
      <c r="B1402" t="s">
        <v>6083</v>
      </c>
      <c r="C1402">
        <v>0</v>
      </c>
      <c r="D1402">
        <v>1002</v>
      </c>
    </row>
    <row r="1403" spans="1:4">
      <c r="A1403">
        <v>9931</v>
      </c>
      <c r="B1403" t="s">
        <v>6084</v>
      </c>
      <c r="C1403">
        <v>0</v>
      </c>
      <c r="D1403">
        <v>1002</v>
      </c>
    </row>
    <row r="1404" spans="1:4">
      <c r="A1404">
        <v>9934</v>
      </c>
      <c r="B1404" t="s">
        <v>6086</v>
      </c>
      <c r="C1404">
        <v>0</v>
      </c>
      <c r="D1404">
        <v>1002</v>
      </c>
    </row>
    <row r="1405" spans="1:4">
      <c r="A1405">
        <v>9935</v>
      </c>
      <c r="B1405" t="s">
        <v>6087</v>
      </c>
      <c r="C1405">
        <v>0</v>
      </c>
      <c r="D1405">
        <v>1002</v>
      </c>
    </row>
    <row r="1406" spans="1:4">
      <c r="A1406">
        <v>9937</v>
      </c>
      <c r="B1406" t="s">
        <v>6088</v>
      </c>
      <c r="C1406">
        <v>0</v>
      </c>
      <c r="D1406">
        <v>1002</v>
      </c>
    </row>
    <row r="1407" spans="1:4">
      <c r="A1407">
        <v>9942</v>
      </c>
      <c r="B1407" t="s">
        <v>6093</v>
      </c>
      <c r="C1407">
        <v>0</v>
      </c>
      <c r="D1407">
        <v>1002</v>
      </c>
    </row>
    <row r="1408" spans="1:4">
      <c r="A1408">
        <v>9943</v>
      </c>
      <c r="B1408" t="s">
        <v>6094</v>
      </c>
      <c r="C1408">
        <v>0</v>
      </c>
      <c r="D1408">
        <v>1002</v>
      </c>
    </row>
    <row r="1409" spans="1:4">
      <c r="A1409">
        <v>9944</v>
      </c>
      <c r="B1409" t="s">
        <v>6095</v>
      </c>
      <c r="C1409">
        <v>0</v>
      </c>
      <c r="D1409">
        <v>1002</v>
      </c>
    </row>
    <row r="1410" spans="1:4">
      <c r="A1410">
        <v>9946</v>
      </c>
      <c r="B1410" t="s">
        <v>6097</v>
      </c>
      <c r="C1410">
        <v>0</v>
      </c>
      <c r="D1410">
        <v>1002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工作表4">
    <tabColor rgb="FF92D050"/>
  </sheetPr>
  <dimension ref="A1:J1476"/>
  <sheetViews>
    <sheetView workbookViewId="0"/>
  </sheetViews>
  <sheetFormatPr defaultRowHeight="15.75"/>
  <cols>
    <col min="1" max="1" width="5.5703125" customWidth="1"/>
    <col min="3" max="6" width="7.140625" style="367" customWidth="1"/>
    <col min="7" max="10" width="6.5703125" style="367" customWidth="1"/>
  </cols>
  <sheetData>
    <row r="1" spans="1:10" s="245" customFormat="1">
      <c r="A1" s="257" t="s">
        <v>6102</v>
      </c>
      <c r="B1" s="245" t="s">
        <v>6103</v>
      </c>
      <c r="C1" s="357" t="s">
        <v>6280</v>
      </c>
      <c r="D1" s="357" t="s">
        <v>6281</v>
      </c>
      <c r="E1" s="357" t="s">
        <v>6282</v>
      </c>
      <c r="F1" s="357" t="s">
        <v>6272</v>
      </c>
      <c r="G1" s="357" t="s">
        <v>6283</v>
      </c>
      <c r="H1" s="357" t="s">
        <v>6284</v>
      </c>
      <c r="I1" s="357" t="s">
        <v>6285</v>
      </c>
      <c r="J1" s="357" t="s">
        <v>6286</v>
      </c>
    </row>
    <row r="2" spans="1:10">
      <c r="A2">
        <v>3252</v>
      </c>
      <c r="B2" t="s">
        <v>5354</v>
      </c>
      <c r="C2">
        <v>92.98</v>
      </c>
      <c r="D2">
        <v>7.51</v>
      </c>
      <c r="E2">
        <v>0</v>
      </c>
      <c r="F2">
        <v>0</v>
      </c>
      <c r="G2">
        <v>1</v>
      </c>
      <c r="H2">
        <v>602</v>
      </c>
      <c r="I2" t="s">
        <v>6279</v>
      </c>
      <c r="J2" t="s">
        <v>6279</v>
      </c>
    </row>
    <row r="3" spans="1:10">
      <c r="A3">
        <v>8097</v>
      </c>
      <c r="B3" t="s">
        <v>5979</v>
      </c>
      <c r="C3">
        <v>81.95</v>
      </c>
      <c r="D3">
        <v>6.54</v>
      </c>
      <c r="E3">
        <v>7.0000000000000007E-2</v>
      </c>
      <c r="F3">
        <v>0</v>
      </c>
      <c r="G3">
        <v>2</v>
      </c>
      <c r="H3">
        <v>676</v>
      </c>
      <c r="I3">
        <v>825</v>
      </c>
      <c r="J3" t="s">
        <v>6279</v>
      </c>
    </row>
    <row r="4" spans="1:10">
      <c r="A4">
        <v>3516</v>
      </c>
      <c r="B4" t="s">
        <v>6228</v>
      </c>
      <c r="C4">
        <v>66.72</v>
      </c>
      <c r="D4">
        <v>0.38</v>
      </c>
      <c r="E4">
        <v>0</v>
      </c>
      <c r="F4">
        <v>0</v>
      </c>
      <c r="G4">
        <v>3</v>
      </c>
      <c r="H4">
        <v>1369</v>
      </c>
      <c r="I4" t="s">
        <v>6279</v>
      </c>
      <c r="J4" t="s">
        <v>6279</v>
      </c>
    </row>
    <row r="5" spans="1:10">
      <c r="A5">
        <v>4931</v>
      </c>
      <c r="B5" t="s">
        <v>5613</v>
      </c>
      <c r="C5">
        <v>65.709999999999994</v>
      </c>
      <c r="D5">
        <v>35.03</v>
      </c>
      <c r="E5">
        <v>7.0000000000000007E-2</v>
      </c>
      <c r="F5">
        <v>0</v>
      </c>
      <c r="G5">
        <v>4</v>
      </c>
      <c r="H5">
        <v>141</v>
      </c>
      <c r="I5">
        <v>825</v>
      </c>
      <c r="J5" t="s">
        <v>6279</v>
      </c>
    </row>
    <row r="6" spans="1:10">
      <c r="A6">
        <v>3609</v>
      </c>
      <c r="B6" t="s">
        <v>5464</v>
      </c>
      <c r="C6">
        <v>64.22</v>
      </c>
      <c r="D6">
        <v>0.46</v>
      </c>
      <c r="E6">
        <v>0.03</v>
      </c>
      <c r="F6">
        <v>0</v>
      </c>
      <c r="G6">
        <v>5</v>
      </c>
      <c r="H6">
        <v>1344</v>
      </c>
      <c r="I6">
        <v>990</v>
      </c>
      <c r="J6" t="s">
        <v>6279</v>
      </c>
    </row>
    <row r="7" spans="1:10">
      <c r="A7">
        <v>1586</v>
      </c>
      <c r="B7" t="s">
        <v>4898</v>
      </c>
      <c r="C7">
        <v>62.75</v>
      </c>
      <c r="D7">
        <v>1.57</v>
      </c>
      <c r="E7">
        <v>0.32</v>
      </c>
      <c r="F7">
        <v>0</v>
      </c>
      <c r="G7">
        <v>6</v>
      </c>
      <c r="H7">
        <v>1112</v>
      </c>
      <c r="I7">
        <v>442</v>
      </c>
      <c r="J7" t="s">
        <v>6279</v>
      </c>
    </row>
    <row r="8" spans="1:10">
      <c r="A8">
        <v>3232</v>
      </c>
      <c r="B8" t="s">
        <v>5351</v>
      </c>
      <c r="C8">
        <v>61.6</v>
      </c>
      <c r="D8">
        <v>6.86</v>
      </c>
      <c r="E8">
        <v>0.54</v>
      </c>
      <c r="F8">
        <v>0</v>
      </c>
      <c r="G8">
        <v>7</v>
      </c>
      <c r="H8">
        <v>656</v>
      </c>
      <c r="I8">
        <v>302</v>
      </c>
      <c r="J8" t="s">
        <v>6279</v>
      </c>
    </row>
    <row r="9" spans="1:10">
      <c r="A9">
        <v>8171</v>
      </c>
      <c r="B9" t="s">
        <v>5994</v>
      </c>
      <c r="C9">
        <v>60.15</v>
      </c>
      <c r="D9">
        <v>0.52</v>
      </c>
      <c r="E9">
        <v>0</v>
      </c>
      <c r="F9">
        <v>0.89</v>
      </c>
      <c r="G9">
        <v>8</v>
      </c>
      <c r="H9">
        <v>1327</v>
      </c>
      <c r="I9" t="s">
        <v>6279</v>
      </c>
      <c r="J9">
        <v>201</v>
      </c>
    </row>
    <row r="10" spans="1:10">
      <c r="A10">
        <v>3483</v>
      </c>
      <c r="B10" t="s">
        <v>5415</v>
      </c>
      <c r="C10">
        <v>59.23</v>
      </c>
      <c r="D10">
        <v>1.36</v>
      </c>
      <c r="E10">
        <v>0.08</v>
      </c>
      <c r="F10">
        <v>0.42</v>
      </c>
      <c r="G10">
        <v>9</v>
      </c>
      <c r="H10">
        <v>1153</v>
      </c>
      <c r="I10">
        <v>790</v>
      </c>
      <c r="J10">
        <v>269</v>
      </c>
    </row>
    <row r="11" spans="1:10">
      <c r="A11">
        <v>3290</v>
      </c>
      <c r="B11" t="s">
        <v>5365</v>
      </c>
      <c r="C11">
        <v>57.93</v>
      </c>
      <c r="D11">
        <v>2.63</v>
      </c>
      <c r="E11">
        <v>0</v>
      </c>
      <c r="F11">
        <v>0</v>
      </c>
      <c r="G11">
        <v>10</v>
      </c>
      <c r="H11">
        <v>968</v>
      </c>
      <c r="I11" t="s">
        <v>6279</v>
      </c>
      <c r="J11" t="s">
        <v>6279</v>
      </c>
    </row>
    <row r="12" spans="1:10">
      <c r="A12">
        <v>5291</v>
      </c>
      <c r="B12" t="s">
        <v>5669</v>
      </c>
      <c r="C12">
        <v>57.26</v>
      </c>
      <c r="D12">
        <v>1.98</v>
      </c>
      <c r="E12">
        <v>0.01</v>
      </c>
      <c r="F12">
        <v>0</v>
      </c>
      <c r="G12">
        <v>11</v>
      </c>
      <c r="H12">
        <v>1060</v>
      </c>
      <c r="I12">
        <v>1123</v>
      </c>
      <c r="J12" t="s">
        <v>6279</v>
      </c>
    </row>
    <row r="13" spans="1:10">
      <c r="A13">
        <v>6470</v>
      </c>
      <c r="B13" t="s">
        <v>6159</v>
      </c>
      <c r="C13">
        <v>55.46</v>
      </c>
      <c r="D13">
        <v>6.4</v>
      </c>
      <c r="E13">
        <v>0.03</v>
      </c>
      <c r="F13">
        <v>2.0299999999999998</v>
      </c>
      <c r="G13">
        <v>12</v>
      </c>
      <c r="H13">
        <v>687</v>
      </c>
      <c r="I13">
        <v>990</v>
      </c>
      <c r="J13">
        <v>122</v>
      </c>
    </row>
    <row r="14" spans="1:10">
      <c r="A14">
        <v>6217</v>
      </c>
      <c r="B14" t="s">
        <v>5814</v>
      </c>
      <c r="C14">
        <v>55.38</v>
      </c>
      <c r="D14">
        <v>3.12</v>
      </c>
      <c r="E14">
        <v>1.42</v>
      </c>
      <c r="F14">
        <v>5.9</v>
      </c>
      <c r="G14">
        <v>13</v>
      </c>
      <c r="H14">
        <v>916</v>
      </c>
      <c r="I14">
        <v>118</v>
      </c>
      <c r="J14">
        <v>37</v>
      </c>
    </row>
    <row r="15" spans="1:10">
      <c r="A15">
        <v>4971</v>
      </c>
      <c r="B15" t="s">
        <v>5630</v>
      </c>
      <c r="C15">
        <v>54.24</v>
      </c>
      <c r="D15">
        <v>15.15</v>
      </c>
      <c r="E15">
        <v>0.26</v>
      </c>
      <c r="F15">
        <v>0.43</v>
      </c>
      <c r="G15">
        <v>14</v>
      </c>
      <c r="H15">
        <v>354</v>
      </c>
      <c r="I15">
        <v>501</v>
      </c>
      <c r="J15">
        <v>268</v>
      </c>
    </row>
    <row r="16" spans="1:10">
      <c r="A16">
        <v>6485</v>
      </c>
      <c r="B16" t="s">
        <v>5883</v>
      </c>
      <c r="C16">
        <v>52.73</v>
      </c>
      <c r="D16">
        <v>4.7300000000000004</v>
      </c>
      <c r="E16">
        <v>1.34</v>
      </c>
      <c r="F16">
        <v>0.06</v>
      </c>
      <c r="G16">
        <v>15</v>
      </c>
      <c r="H16">
        <v>797</v>
      </c>
      <c r="I16">
        <v>125</v>
      </c>
      <c r="J16">
        <v>413</v>
      </c>
    </row>
    <row r="17" spans="1:10">
      <c r="A17">
        <v>8071</v>
      </c>
      <c r="B17" t="s">
        <v>5969</v>
      </c>
      <c r="C17">
        <v>51.73</v>
      </c>
      <c r="D17">
        <v>1.77</v>
      </c>
      <c r="E17">
        <v>0.23</v>
      </c>
      <c r="F17">
        <v>0</v>
      </c>
      <c r="G17">
        <v>16</v>
      </c>
      <c r="H17">
        <v>1085</v>
      </c>
      <c r="I17">
        <v>525</v>
      </c>
      <c r="J17" t="s">
        <v>6279</v>
      </c>
    </row>
    <row r="18" spans="1:10">
      <c r="A18">
        <v>3207</v>
      </c>
      <c r="B18" t="s">
        <v>5339</v>
      </c>
      <c r="C18">
        <v>51.65</v>
      </c>
      <c r="D18">
        <v>7.32</v>
      </c>
      <c r="E18">
        <v>0</v>
      </c>
      <c r="F18">
        <v>0</v>
      </c>
      <c r="G18">
        <v>17</v>
      </c>
      <c r="H18">
        <v>611</v>
      </c>
      <c r="I18" t="s">
        <v>6279</v>
      </c>
      <c r="J18" t="s">
        <v>6279</v>
      </c>
    </row>
    <row r="19" spans="1:10">
      <c r="A19">
        <v>8431</v>
      </c>
      <c r="B19" t="s">
        <v>6026</v>
      </c>
      <c r="C19">
        <v>50.72</v>
      </c>
      <c r="D19">
        <v>1.1000000000000001</v>
      </c>
      <c r="E19">
        <v>0.17</v>
      </c>
      <c r="F19">
        <v>0.7</v>
      </c>
      <c r="G19">
        <v>18</v>
      </c>
      <c r="H19">
        <v>1205</v>
      </c>
      <c r="I19">
        <v>596</v>
      </c>
      <c r="J19">
        <v>227</v>
      </c>
    </row>
    <row r="20" spans="1:10">
      <c r="A20">
        <v>3169</v>
      </c>
      <c r="B20" t="s">
        <v>5333</v>
      </c>
      <c r="C20">
        <v>49.82</v>
      </c>
      <c r="D20">
        <v>2.73</v>
      </c>
      <c r="E20">
        <v>0.8</v>
      </c>
      <c r="F20">
        <v>1.59</v>
      </c>
      <c r="G20">
        <v>19</v>
      </c>
      <c r="H20">
        <v>952</v>
      </c>
      <c r="I20">
        <v>216</v>
      </c>
      <c r="J20">
        <v>152</v>
      </c>
    </row>
    <row r="21" spans="1:10">
      <c r="A21">
        <v>8027</v>
      </c>
      <c r="B21" t="s">
        <v>5954</v>
      </c>
      <c r="C21">
        <v>47.1</v>
      </c>
      <c r="D21">
        <v>5.77</v>
      </c>
      <c r="E21">
        <v>0.01</v>
      </c>
      <c r="F21">
        <v>0.12</v>
      </c>
      <c r="G21">
        <v>20</v>
      </c>
      <c r="H21">
        <v>723</v>
      </c>
      <c r="I21">
        <v>1123</v>
      </c>
      <c r="J21">
        <v>358</v>
      </c>
    </row>
    <row r="22" spans="1:10">
      <c r="A22">
        <v>6104</v>
      </c>
      <c r="B22" t="s">
        <v>5740</v>
      </c>
      <c r="C22">
        <v>46.96</v>
      </c>
      <c r="D22">
        <v>16.8</v>
      </c>
      <c r="E22">
        <v>1.51</v>
      </c>
      <c r="F22">
        <v>6.93</v>
      </c>
      <c r="G22">
        <v>21</v>
      </c>
      <c r="H22">
        <v>334</v>
      </c>
      <c r="I22">
        <v>104</v>
      </c>
      <c r="J22">
        <v>30</v>
      </c>
    </row>
    <row r="23" spans="1:10">
      <c r="A23">
        <v>3141</v>
      </c>
      <c r="B23" t="s">
        <v>5326</v>
      </c>
      <c r="C23">
        <v>46.63</v>
      </c>
      <c r="D23">
        <v>6.39</v>
      </c>
      <c r="E23">
        <v>0.94</v>
      </c>
      <c r="F23">
        <v>1.03</v>
      </c>
      <c r="G23">
        <v>22</v>
      </c>
      <c r="H23">
        <v>688</v>
      </c>
      <c r="I23">
        <v>186</v>
      </c>
      <c r="J23">
        <v>192</v>
      </c>
    </row>
    <row r="24" spans="1:10">
      <c r="A24">
        <v>1742</v>
      </c>
      <c r="B24" t="s">
        <v>4946</v>
      </c>
      <c r="C24">
        <v>46.44</v>
      </c>
      <c r="D24">
        <v>0.3</v>
      </c>
      <c r="E24">
        <v>7.0000000000000007E-2</v>
      </c>
      <c r="F24">
        <v>0</v>
      </c>
      <c r="G24">
        <v>23</v>
      </c>
      <c r="H24">
        <v>1395</v>
      </c>
      <c r="I24">
        <v>825</v>
      </c>
      <c r="J24" t="s">
        <v>6279</v>
      </c>
    </row>
    <row r="25" spans="1:10">
      <c r="A25">
        <v>3511</v>
      </c>
      <c r="B25" t="s">
        <v>5425</v>
      </c>
      <c r="C25">
        <v>46.34</v>
      </c>
      <c r="D25">
        <v>0.96</v>
      </c>
      <c r="E25">
        <v>0.27</v>
      </c>
      <c r="F25">
        <v>0</v>
      </c>
      <c r="G25">
        <v>24</v>
      </c>
      <c r="H25">
        <v>1230</v>
      </c>
      <c r="I25">
        <v>487</v>
      </c>
      <c r="J25" t="s">
        <v>6279</v>
      </c>
    </row>
    <row r="26" spans="1:10">
      <c r="A26">
        <v>3672</v>
      </c>
      <c r="B26" t="s">
        <v>5483</v>
      </c>
      <c r="C26">
        <v>46.27</v>
      </c>
      <c r="D26">
        <v>0.37</v>
      </c>
      <c r="E26">
        <v>0.03</v>
      </c>
      <c r="F26">
        <v>0</v>
      </c>
      <c r="G26">
        <v>25</v>
      </c>
      <c r="H26">
        <v>1373</v>
      </c>
      <c r="I26">
        <v>990</v>
      </c>
      <c r="J26" t="s">
        <v>6279</v>
      </c>
    </row>
    <row r="27" spans="1:10">
      <c r="A27">
        <v>3006</v>
      </c>
      <c r="B27" t="s">
        <v>5268</v>
      </c>
      <c r="C27">
        <v>44.68</v>
      </c>
      <c r="D27">
        <v>14.55</v>
      </c>
      <c r="E27">
        <v>7.0000000000000007E-2</v>
      </c>
      <c r="F27">
        <v>1.07</v>
      </c>
      <c r="G27">
        <v>26</v>
      </c>
      <c r="H27">
        <v>369</v>
      </c>
      <c r="I27">
        <v>825</v>
      </c>
      <c r="J27">
        <v>188</v>
      </c>
    </row>
    <row r="28" spans="1:10">
      <c r="A28">
        <v>1316</v>
      </c>
      <c r="B28" t="s">
        <v>4812</v>
      </c>
      <c r="C28">
        <v>44.37</v>
      </c>
      <c r="D28">
        <v>1.1000000000000001</v>
      </c>
      <c r="E28">
        <v>0</v>
      </c>
      <c r="F28">
        <v>0</v>
      </c>
      <c r="G28">
        <v>27</v>
      </c>
      <c r="H28">
        <v>1205</v>
      </c>
      <c r="I28" t="s">
        <v>6279</v>
      </c>
      <c r="J28" t="s">
        <v>6279</v>
      </c>
    </row>
    <row r="29" spans="1:10">
      <c r="A29">
        <v>4523</v>
      </c>
      <c r="B29" t="s">
        <v>6287</v>
      </c>
      <c r="C29">
        <v>44.1</v>
      </c>
      <c r="D29">
        <v>1.86</v>
      </c>
      <c r="E29">
        <v>0.03</v>
      </c>
      <c r="F29">
        <v>0</v>
      </c>
      <c r="G29">
        <v>28</v>
      </c>
      <c r="H29">
        <v>1070</v>
      </c>
      <c r="I29">
        <v>990</v>
      </c>
      <c r="J29" t="s">
        <v>6279</v>
      </c>
    </row>
    <row r="30" spans="1:10">
      <c r="A30">
        <v>6150</v>
      </c>
      <c r="B30" t="s">
        <v>5768</v>
      </c>
      <c r="C30">
        <v>43.84</v>
      </c>
      <c r="D30">
        <v>11.42</v>
      </c>
      <c r="E30">
        <v>4.58</v>
      </c>
      <c r="F30">
        <v>0</v>
      </c>
      <c r="G30">
        <v>29</v>
      </c>
      <c r="H30">
        <v>448</v>
      </c>
      <c r="I30">
        <v>31</v>
      </c>
      <c r="J30" t="s">
        <v>6279</v>
      </c>
    </row>
    <row r="31" spans="1:10">
      <c r="A31">
        <v>8054</v>
      </c>
      <c r="B31" t="s">
        <v>5965</v>
      </c>
      <c r="C31">
        <v>43.68</v>
      </c>
      <c r="D31">
        <v>2.17</v>
      </c>
      <c r="E31">
        <v>0.55000000000000004</v>
      </c>
      <c r="F31">
        <v>0</v>
      </c>
      <c r="G31">
        <v>30</v>
      </c>
      <c r="H31">
        <v>1020</v>
      </c>
      <c r="I31">
        <v>298</v>
      </c>
      <c r="J31" t="s">
        <v>6279</v>
      </c>
    </row>
    <row r="32" spans="1:10">
      <c r="A32">
        <v>3317</v>
      </c>
      <c r="B32" t="s">
        <v>5376</v>
      </c>
      <c r="C32">
        <v>42.65</v>
      </c>
      <c r="D32">
        <v>2.68</v>
      </c>
      <c r="E32">
        <v>0.3</v>
      </c>
      <c r="F32">
        <v>0</v>
      </c>
      <c r="G32">
        <v>31</v>
      </c>
      <c r="H32">
        <v>960</v>
      </c>
      <c r="I32">
        <v>460</v>
      </c>
      <c r="J32" t="s">
        <v>6279</v>
      </c>
    </row>
    <row r="33" spans="1:10">
      <c r="A33">
        <v>3230</v>
      </c>
      <c r="B33" t="s">
        <v>5349</v>
      </c>
      <c r="C33">
        <v>42.21</v>
      </c>
      <c r="D33">
        <v>0.46</v>
      </c>
      <c r="E33">
        <v>0</v>
      </c>
      <c r="F33">
        <v>0</v>
      </c>
      <c r="G33">
        <v>32</v>
      </c>
      <c r="H33">
        <v>1344</v>
      </c>
      <c r="I33" t="s">
        <v>6279</v>
      </c>
      <c r="J33" t="s">
        <v>6279</v>
      </c>
    </row>
    <row r="34" spans="1:10">
      <c r="A34">
        <v>4995</v>
      </c>
      <c r="B34" t="s">
        <v>6195</v>
      </c>
      <c r="C34">
        <v>41.72</v>
      </c>
      <c r="D34">
        <v>2.98</v>
      </c>
      <c r="E34">
        <v>0</v>
      </c>
      <c r="F34">
        <v>0</v>
      </c>
      <c r="G34">
        <v>33</v>
      </c>
      <c r="H34">
        <v>931</v>
      </c>
      <c r="I34" t="s">
        <v>6279</v>
      </c>
      <c r="J34" t="s">
        <v>6279</v>
      </c>
    </row>
    <row r="35" spans="1:10">
      <c r="A35">
        <v>5011</v>
      </c>
      <c r="B35" t="s">
        <v>5641</v>
      </c>
      <c r="C35">
        <v>41.72</v>
      </c>
      <c r="D35">
        <v>2.06</v>
      </c>
      <c r="E35">
        <v>0.61</v>
      </c>
      <c r="F35">
        <v>0</v>
      </c>
      <c r="G35">
        <v>33</v>
      </c>
      <c r="H35">
        <v>1043</v>
      </c>
      <c r="I35">
        <v>280</v>
      </c>
      <c r="J35" t="s">
        <v>6279</v>
      </c>
    </row>
    <row r="36" spans="1:10">
      <c r="A36">
        <v>3689</v>
      </c>
      <c r="B36" t="s">
        <v>5490</v>
      </c>
      <c r="C36">
        <v>40.619999999999997</v>
      </c>
      <c r="D36">
        <v>2.0499999999999998</v>
      </c>
      <c r="E36">
        <v>0.42</v>
      </c>
      <c r="F36">
        <v>0</v>
      </c>
      <c r="G36">
        <v>35</v>
      </c>
      <c r="H36">
        <v>1047</v>
      </c>
      <c r="I36">
        <v>357</v>
      </c>
      <c r="J36" t="s">
        <v>6279</v>
      </c>
    </row>
    <row r="37" spans="1:10">
      <c r="A37">
        <v>1529</v>
      </c>
      <c r="B37" t="s">
        <v>4877</v>
      </c>
      <c r="C37">
        <v>40.39</v>
      </c>
      <c r="D37">
        <v>0.8</v>
      </c>
      <c r="E37">
        <v>8.86</v>
      </c>
      <c r="F37">
        <v>0</v>
      </c>
      <c r="G37">
        <v>36</v>
      </c>
      <c r="H37">
        <v>1262</v>
      </c>
      <c r="I37">
        <v>6</v>
      </c>
      <c r="J37" t="s">
        <v>6279</v>
      </c>
    </row>
    <row r="38" spans="1:10">
      <c r="A38">
        <v>8996</v>
      </c>
      <c r="B38" t="s">
        <v>6064</v>
      </c>
      <c r="C38">
        <v>40.340000000000003</v>
      </c>
      <c r="D38">
        <v>4.38</v>
      </c>
      <c r="E38">
        <v>0.17</v>
      </c>
      <c r="F38">
        <v>0.75</v>
      </c>
      <c r="G38">
        <v>37</v>
      </c>
      <c r="H38">
        <v>820</v>
      </c>
      <c r="I38">
        <v>596</v>
      </c>
      <c r="J38">
        <v>218</v>
      </c>
    </row>
    <row r="39" spans="1:10">
      <c r="A39">
        <v>4967</v>
      </c>
      <c r="B39" t="s">
        <v>5628</v>
      </c>
      <c r="C39">
        <v>40.32</v>
      </c>
      <c r="D39">
        <v>2.12</v>
      </c>
      <c r="E39">
        <v>0.22</v>
      </c>
      <c r="F39">
        <v>0</v>
      </c>
      <c r="G39">
        <v>38</v>
      </c>
      <c r="H39">
        <v>1030</v>
      </c>
      <c r="I39">
        <v>537</v>
      </c>
      <c r="J39" t="s">
        <v>6279</v>
      </c>
    </row>
    <row r="40" spans="1:10">
      <c r="A40">
        <v>8261</v>
      </c>
      <c r="B40" t="s">
        <v>6006</v>
      </c>
      <c r="C40">
        <v>40.04</v>
      </c>
      <c r="D40">
        <v>13.94</v>
      </c>
      <c r="E40">
        <v>1.68</v>
      </c>
      <c r="F40">
        <v>0.01</v>
      </c>
      <c r="G40">
        <v>39</v>
      </c>
      <c r="H40">
        <v>387</v>
      </c>
      <c r="I40">
        <v>93</v>
      </c>
      <c r="J40">
        <v>495</v>
      </c>
    </row>
    <row r="41" spans="1:10">
      <c r="A41">
        <v>3580</v>
      </c>
      <c r="B41" t="s">
        <v>5453</v>
      </c>
      <c r="C41">
        <v>39.71</v>
      </c>
      <c r="D41">
        <v>5.93</v>
      </c>
      <c r="E41">
        <v>0.09</v>
      </c>
      <c r="F41">
        <v>0</v>
      </c>
      <c r="G41">
        <v>40</v>
      </c>
      <c r="H41">
        <v>708</v>
      </c>
      <c r="I41">
        <v>762</v>
      </c>
      <c r="J41" t="s">
        <v>6279</v>
      </c>
    </row>
    <row r="42" spans="1:10">
      <c r="A42">
        <v>6205</v>
      </c>
      <c r="B42" t="s">
        <v>5805</v>
      </c>
      <c r="C42">
        <v>39.43</v>
      </c>
      <c r="D42">
        <v>2.23</v>
      </c>
      <c r="E42">
        <v>0.11</v>
      </c>
      <c r="F42">
        <v>0.64</v>
      </c>
      <c r="G42">
        <v>41</v>
      </c>
      <c r="H42">
        <v>1017</v>
      </c>
      <c r="I42">
        <v>717</v>
      </c>
      <c r="J42">
        <v>236</v>
      </c>
    </row>
    <row r="43" spans="1:10">
      <c r="A43">
        <v>6223</v>
      </c>
      <c r="B43" t="s">
        <v>5818</v>
      </c>
      <c r="C43">
        <v>37.619999999999997</v>
      </c>
      <c r="D43">
        <v>3.35</v>
      </c>
      <c r="E43">
        <v>0.21</v>
      </c>
      <c r="F43">
        <v>4.8099999999999996</v>
      </c>
      <c r="G43">
        <v>42</v>
      </c>
      <c r="H43">
        <v>894</v>
      </c>
      <c r="I43">
        <v>550</v>
      </c>
      <c r="J43">
        <v>60</v>
      </c>
    </row>
    <row r="44" spans="1:10">
      <c r="A44">
        <v>6229</v>
      </c>
      <c r="B44" t="s">
        <v>5822</v>
      </c>
      <c r="C44">
        <v>37.44</v>
      </c>
      <c r="D44">
        <v>1.22</v>
      </c>
      <c r="E44">
        <v>1.36</v>
      </c>
      <c r="F44">
        <v>0</v>
      </c>
      <c r="G44">
        <v>43</v>
      </c>
      <c r="H44">
        <v>1183</v>
      </c>
      <c r="I44">
        <v>123</v>
      </c>
      <c r="J44" t="s">
        <v>6279</v>
      </c>
    </row>
    <row r="45" spans="1:10">
      <c r="A45">
        <v>2342</v>
      </c>
      <c r="B45" t="s">
        <v>5049</v>
      </c>
      <c r="C45">
        <v>37.32</v>
      </c>
      <c r="D45">
        <v>5.19</v>
      </c>
      <c r="E45">
        <v>0.16</v>
      </c>
      <c r="F45">
        <v>0</v>
      </c>
      <c r="G45">
        <v>44</v>
      </c>
      <c r="H45">
        <v>765</v>
      </c>
      <c r="I45">
        <v>615</v>
      </c>
      <c r="J45" t="s">
        <v>6279</v>
      </c>
    </row>
    <row r="46" spans="1:10">
      <c r="A46">
        <v>4171</v>
      </c>
      <c r="B46" t="s">
        <v>5536</v>
      </c>
      <c r="C46">
        <v>37.11</v>
      </c>
      <c r="D46">
        <v>26.09</v>
      </c>
      <c r="E46">
        <v>1.25</v>
      </c>
      <c r="F46">
        <v>0</v>
      </c>
      <c r="G46">
        <v>45</v>
      </c>
      <c r="H46">
        <v>209</v>
      </c>
      <c r="I46">
        <v>136</v>
      </c>
      <c r="J46" t="s">
        <v>6279</v>
      </c>
    </row>
    <row r="47" spans="1:10">
      <c r="A47">
        <v>3548</v>
      </c>
      <c r="B47" t="s">
        <v>5443</v>
      </c>
      <c r="C47">
        <v>37.090000000000003</v>
      </c>
      <c r="D47">
        <v>6.79</v>
      </c>
      <c r="E47">
        <v>0.48</v>
      </c>
      <c r="F47">
        <v>0.02</v>
      </c>
      <c r="G47">
        <v>46</v>
      </c>
      <c r="H47">
        <v>662</v>
      </c>
      <c r="I47">
        <v>329</v>
      </c>
      <c r="J47">
        <v>476</v>
      </c>
    </row>
    <row r="48" spans="1:10">
      <c r="A48">
        <v>5321</v>
      </c>
      <c r="B48" t="s">
        <v>5673</v>
      </c>
      <c r="C48">
        <v>36.71</v>
      </c>
      <c r="D48">
        <v>1.68</v>
      </c>
      <c r="E48">
        <v>1.05</v>
      </c>
      <c r="F48">
        <v>0</v>
      </c>
      <c r="G48">
        <v>47</v>
      </c>
      <c r="H48">
        <v>1102</v>
      </c>
      <c r="I48">
        <v>164</v>
      </c>
      <c r="J48" t="s">
        <v>6279</v>
      </c>
    </row>
    <row r="49" spans="1:10">
      <c r="A49">
        <v>5014</v>
      </c>
      <c r="B49" t="s">
        <v>5643</v>
      </c>
      <c r="C49">
        <v>36.549999999999997</v>
      </c>
      <c r="D49">
        <v>1.54</v>
      </c>
      <c r="E49">
        <v>0.6</v>
      </c>
      <c r="F49">
        <v>0</v>
      </c>
      <c r="G49">
        <v>48</v>
      </c>
      <c r="H49">
        <v>1117</v>
      </c>
      <c r="I49">
        <v>283</v>
      </c>
      <c r="J49" t="s">
        <v>6279</v>
      </c>
    </row>
    <row r="50" spans="1:10">
      <c r="A50">
        <v>5425</v>
      </c>
      <c r="B50" t="s">
        <v>5685</v>
      </c>
      <c r="C50">
        <v>36.54</v>
      </c>
      <c r="D50">
        <v>9.49</v>
      </c>
      <c r="E50">
        <v>0.74</v>
      </c>
      <c r="F50">
        <v>13.48</v>
      </c>
      <c r="G50">
        <v>49</v>
      </c>
      <c r="H50">
        <v>531</v>
      </c>
      <c r="I50">
        <v>225</v>
      </c>
      <c r="J50">
        <v>9</v>
      </c>
    </row>
    <row r="51" spans="1:10">
      <c r="A51">
        <v>8024</v>
      </c>
      <c r="B51" t="s">
        <v>5953</v>
      </c>
      <c r="C51">
        <v>36.51</v>
      </c>
      <c r="D51">
        <v>4.25</v>
      </c>
      <c r="E51">
        <v>0.28000000000000003</v>
      </c>
      <c r="F51">
        <v>0</v>
      </c>
      <c r="G51">
        <v>50</v>
      </c>
      <c r="H51">
        <v>832</v>
      </c>
      <c r="I51">
        <v>478</v>
      </c>
      <c r="J51" t="s">
        <v>6279</v>
      </c>
    </row>
    <row r="52" spans="1:10">
      <c r="A52">
        <v>3122</v>
      </c>
      <c r="B52" t="s">
        <v>5322</v>
      </c>
      <c r="C52">
        <v>36.47</v>
      </c>
      <c r="D52">
        <v>2.3199999999999998</v>
      </c>
      <c r="E52">
        <v>2.87</v>
      </c>
      <c r="F52">
        <v>0</v>
      </c>
      <c r="G52">
        <v>51</v>
      </c>
      <c r="H52">
        <v>1007</v>
      </c>
      <c r="I52">
        <v>52</v>
      </c>
      <c r="J52" t="s">
        <v>6279</v>
      </c>
    </row>
    <row r="53" spans="1:10">
      <c r="A53">
        <v>3646</v>
      </c>
      <c r="B53" t="s">
        <v>5475</v>
      </c>
      <c r="C53">
        <v>36.19</v>
      </c>
      <c r="D53">
        <v>7.28</v>
      </c>
      <c r="E53">
        <v>0</v>
      </c>
      <c r="F53">
        <v>0</v>
      </c>
      <c r="G53">
        <v>52</v>
      </c>
      <c r="H53">
        <v>615</v>
      </c>
      <c r="I53" t="s">
        <v>6279</v>
      </c>
      <c r="J53" t="s">
        <v>6279</v>
      </c>
    </row>
    <row r="54" spans="1:10">
      <c r="A54">
        <v>3324</v>
      </c>
      <c r="B54" t="s">
        <v>5378</v>
      </c>
      <c r="C54">
        <v>35.85</v>
      </c>
      <c r="D54">
        <v>12.88</v>
      </c>
      <c r="E54">
        <v>1.87</v>
      </c>
      <c r="F54">
        <v>3.01</v>
      </c>
      <c r="G54">
        <v>53</v>
      </c>
      <c r="H54">
        <v>410</v>
      </c>
      <c r="I54">
        <v>81</v>
      </c>
      <c r="J54">
        <v>88</v>
      </c>
    </row>
    <row r="55" spans="1:10">
      <c r="A55">
        <v>6235</v>
      </c>
      <c r="B55" t="s">
        <v>5827</v>
      </c>
      <c r="C55">
        <v>35.729999999999997</v>
      </c>
      <c r="D55">
        <v>2.38</v>
      </c>
      <c r="E55">
        <v>0.48</v>
      </c>
      <c r="F55">
        <v>0.09</v>
      </c>
      <c r="G55">
        <v>54</v>
      </c>
      <c r="H55">
        <v>999</v>
      </c>
      <c r="I55">
        <v>329</v>
      </c>
      <c r="J55">
        <v>389</v>
      </c>
    </row>
    <row r="56" spans="1:10">
      <c r="A56">
        <v>6494</v>
      </c>
      <c r="B56" t="s">
        <v>5887</v>
      </c>
      <c r="C56">
        <v>35.520000000000003</v>
      </c>
      <c r="D56">
        <v>9.1199999999999992</v>
      </c>
      <c r="E56">
        <v>1.51</v>
      </c>
      <c r="F56">
        <v>0.04</v>
      </c>
      <c r="G56">
        <v>55</v>
      </c>
      <c r="H56">
        <v>543</v>
      </c>
      <c r="I56">
        <v>104</v>
      </c>
      <c r="J56">
        <v>439</v>
      </c>
    </row>
    <row r="57" spans="1:10">
      <c r="A57">
        <v>3545</v>
      </c>
      <c r="B57" t="s">
        <v>5441</v>
      </c>
      <c r="C57">
        <v>35.299999999999997</v>
      </c>
      <c r="D57">
        <v>13.42</v>
      </c>
      <c r="E57">
        <v>1.77</v>
      </c>
      <c r="F57">
        <v>0.01</v>
      </c>
      <c r="G57">
        <v>56</v>
      </c>
      <c r="H57">
        <v>397</v>
      </c>
      <c r="I57">
        <v>88</v>
      </c>
      <c r="J57">
        <v>495</v>
      </c>
    </row>
    <row r="58" spans="1:10">
      <c r="A58">
        <v>2436</v>
      </c>
      <c r="B58" t="s">
        <v>5111</v>
      </c>
      <c r="C58">
        <v>35.1</v>
      </c>
      <c r="D58">
        <v>6.34</v>
      </c>
      <c r="E58">
        <v>0.39</v>
      </c>
      <c r="F58">
        <v>0.1</v>
      </c>
      <c r="G58">
        <v>57</v>
      </c>
      <c r="H58">
        <v>691</v>
      </c>
      <c r="I58">
        <v>383</v>
      </c>
      <c r="J58">
        <v>377</v>
      </c>
    </row>
    <row r="59" spans="1:10">
      <c r="A59">
        <v>1591</v>
      </c>
      <c r="B59" t="s">
        <v>4902</v>
      </c>
      <c r="C59">
        <v>34.53</v>
      </c>
      <c r="D59">
        <v>16.46</v>
      </c>
      <c r="E59">
        <v>0.28999999999999998</v>
      </c>
      <c r="F59">
        <v>0</v>
      </c>
      <c r="G59">
        <v>58</v>
      </c>
      <c r="H59">
        <v>339</v>
      </c>
      <c r="I59">
        <v>467</v>
      </c>
      <c r="J59" t="s">
        <v>6279</v>
      </c>
    </row>
    <row r="60" spans="1:10">
      <c r="A60">
        <v>4168</v>
      </c>
      <c r="B60" t="s">
        <v>5535</v>
      </c>
      <c r="C60">
        <v>34.520000000000003</v>
      </c>
      <c r="D60">
        <v>5.56</v>
      </c>
      <c r="E60">
        <v>0</v>
      </c>
      <c r="F60">
        <v>0</v>
      </c>
      <c r="G60">
        <v>59</v>
      </c>
      <c r="H60">
        <v>742</v>
      </c>
      <c r="I60" t="s">
        <v>6279</v>
      </c>
      <c r="J60" t="s">
        <v>6279</v>
      </c>
    </row>
    <row r="61" spans="1:10">
      <c r="A61">
        <v>8099</v>
      </c>
      <c r="B61" t="s">
        <v>5980</v>
      </c>
      <c r="C61">
        <v>34.42</v>
      </c>
      <c r="D61">
        <v>1.8</v>
      </c>
      <c r="E61">
        <v>0.28999999999999998</v>
      </c>
      <c r="F61">
        <v>0</v>
      </c>
      <c r="G61">
        <v>60</v>
      </c>
      <c r="H61">
        <v>1078</v>
      </c>
      <c r="I61">
        <v>467</v>
      </c>
      <c r="J61" t="s">
        <v>6279</v>
      </c>
    </row>
    <row r="62" spans="1:10">
      <c r="A62">
        <v>2743</v>
      </c>
      <c r="B62" t="s">
        <v>5216</v>
      </c>
      <c r="C62">
        <v>34.26</v>
      </c>
      <c r="D62">
        <v>1.36</v>
      </c>
      <c r="E62">
        <v>0</v>
      </c>
      <c r="F62">
        <v>0</v>
      </c>
      <c r="G62">
        <v>61</v>
      </c>
      <c r="H62">
        <v>1153</v>
      </c>
      <c r="I62" t="s">
        <v>6279</v>
      </c>
      <c r="J62" t="s">
        <v>6279</v>
      </c>
    </row>
    <row r="63" spans="1:10">
      <c r="A63">
        <v>2358</v>
      </c>
      <c r="B63" t="s">
        <v>5061</v>
      </c>
      <c r="C63">
        <v>34.020000000000003</v>
      </c>
      <c r="D63">
        <v>2.2599999999999998</v>
      </c>
      <c r="E63">
        <v>0.02</v>
      </c>
      <c r="F63">
        <v>0</v>
      </c>
      <c r="G63">
        <v>62</v>
      </c>
      <c r="H63">
        <v>1011</v>
      </c>
      <c r="I63">
        <v>1051</v>
      </c>
      <c r="J63" t="s">
        <v>6279</v>
      </c>
    </row>
    <row r="64" spans="1:10">
      <c r="A64">
        <v>4716</v>
      </c>
      <c r="B64" t="s">
        <v>5585</v>
      </c>
      <c r="C64">
        <v>33.72</v>
      </c>
      <c r="D64">
        <v>0.71</v>
      </c>
      <c r="E64">
        <v>0.08</v>
      </c>
      <c r="F64">
        <v>0</v>
      </c>
      <c r="G64">
        <v>63</v>
      </c>
      <c r="H64">
        <v>1280</v>
      </c>
      <c r="I64">
        <v>790</v>
      </c>
      <c r="J64" t="s">
        <v>6279</v>
      </c>
    </row>
    <row r="65" spans="1:10">
      <c r="A65">
        <v>3219</v>
      </c>
      <c r="B65" t="s">
        <v>5345</v>
      </c>
      <c r="C65">
        <v>33.21</v>
      </c>
      <c r="D65">
        <v>2.54</v>
      </c>
      <c r="E65">
        <v>0.01</v>
      </c>
      <c r="F65">
        <v>0</v>
      </c>
      <c r="G65">
        <v>64</v>
      </c>
      <c r="H65">
        <v>977</v>
      </c>
      <c r="I65">
        <v>1123</v>
      </c>
      <c r="J65" t="s">
        <v>6279</v>
      </c>
    </row>
    <row r="66" spans="1:10">
      <c r="A66">
        <v>6246</v>
      </c>
      <c r="B66" t="s">
        <v>5833</v>
      </c>
      <c r="C66">
        <v>33.17</v>
      </c>
      <c r="D66">
        <v>0.33</v>
      </c>
      <c r="E66">
        <v>0</v>
      </c>
      <c r="F66">
        <v>0</v>
      </c>
      <c r="G66">
        <v>65</v>
      </c>
      <c r="H66">
        <v>1382</v>
      </c>
      <c r="I66" t="s">
        <v>6279</v>
      </c>
      <c r="J66" t="s">
        <v>6279</v>
      </c>
    </row>
    <row r="67" spans="1:10">
      <c r="A67">
        <v>6531</v>
      </c>
      <c r="B67" t="s">
        <v>5900</v>
      </c>
      <c r="C67">
        <v>33.14</v>
      </c>
      <c r="D67">
        <v>14.91</v>
      </c>
      <c r="E67">
        <v>0.43</v>
      </c>
      <c r="F67">
        <v>0.37</v>
      </c>
      <c r="G67">
        <v>66</v>
      </c>
      <c r="H67">
        <v>360</v>
      </c>
      <c r="I67">
        <v>350</v>
      </c>
      <c r="J67">
        <v>276</v>
      </c>
    </row>
    <row r="68" spans="1:10">
      <c r="A68">
        <v>5493</v>
      </c>
      <c r="B68" t="s">
        <v>5702</v>
      </c>
      <c r="C68">
        <v>33.119999999999997</v>
      </c>
      <c r="D68">
        <v>0.49</v>
      </c>
      <c r="E68">
        <v>0</v>
      </c>
      <c r="F68">
        <v>0</v>
      </c>
      <c r="G68">
        <v>67</v>
      </c>
      <c r="H68">
        <v>1330</v>
      </c>
      <c r="I68" t="s">
        <v>6279</v>
      </c>
      <c r="J68" t="s">
        <v>6279</v>
      </c>
    </row>
    <row r="69" spans="1:10">
      <c r="A69">
        <v>3631</v>
      </c>
      <c r="B69" t="s">
        <v>6288</v>
      </c>
      <c r="C69">
        <v>33.1</v>
      </c>
      <c r="D69">
        <v>12.85</v>
      </c>
      <c r="E69">
        <v>0</v>
      </c>
      <c r="F69">
        <v>0</v>
      </c>
      <c r="G69">
        <v>68</v>
      </c>
      <c r="H69">
        <v>412</v>
      </c>
      <c r="I69" t="s">
        <v>6279</v>
      </c>
      <c r="J69" t="s">
        <v>6279</v>
      </c>
    </row>
    <row r="70" spans="1:10">
      <c r="A70">
        <v>3550</v>
      </c>
      <c r="B70" t="s">
        <v>5444</v>
      </c>
      <c r="C70">
        <v>33.04</v>
      </c>
      <c r="D70">
        <v>1.65</v>
      </c>
      <c r="E70">
        <v>0.14000000000000001</v>
      </c>
      <c r="F70">
        <v>0</v>
      </c>
      <c r="G70">
        <v>69</v>
      </c>
      <c r="H70">
        <v>1104</v>
      </c>
      <c r="I70">
        <v>649</v>
      </c>
      <c r="J70" t="s">
        <v>6279</v>
      </c>
    </row>
    <row r="71" spans="1:10">
      <c r="A71">
        <v>3296</v>
      </c>
      <c r="B71" t="s">
        <v>5368</v>
      </c>
      <c r="C71">
        <v>32.9</v>
      </c>
      <c r="D71">
        <v>2.2400000000000002</v>
      </c>
      <c r="E71">
        <v>0.02</v>
      </c>
      <c r="F71">
        <v>0</v>
      </c>
      <c r="G71">
        <v>70</v>
      </c>
      <c r="H71">
        <v>1014</v>
      </c>
      <c r="I71">
        <v>1051</v>
      </c>
      <c r="J71" t="s">
        <v>6279</v>
      </c>
    </row>
    <row r="72" spans="1:10">
      <c r="A72">
        <v>3224</v>
      </c>
      <c r="B72" t="s">
        <v>5347</v>
      </c>
      <c r="C72">
        <v>32.590000000000003</v>
      </c>
      <c r="D72">
        <v>1.29</v>
      </c>
      <c r="E72">
        <v>0.09</v>
      </c>
      <c r="F72">
        <v>0</v>
      </c>
      <c r="G72">
        <v>71</v>
      </c>
      <c r="H72">
        <v>1164</v>
      </c>
      <c r="I72">
        <v>762</v>
      </c>
      <c r="J72" t="s">
        <v>6279</v>
      </c>
    </row>
    <row r="73" spans="1:10">
      <c r="A73">
        <v>2726</v>
      </c>
      <c r="B73" t="s">
        <v>5211</v>
      </c>
      <c r="C73">
        <v>32.47</v>
      </c>
      <c r="D73">
        <v>37.83</v>
      </c>
      <c r="E73">
        <v>0</v>
      </c>
      <c r="F73">
        <v>0</v>
      </c>
      <c r="G73">
        <v>72</v>
      </c>
      <c r="H73">
        <v>130</v>
      </c>
      <c r="I73" t="s">
        <v>6279</v>
      </c>
      <c r="J73" t="s">
        <v>6279</v>
      </c>
    </row>
    <row r="74" spans="1:10">
      <c r="A74">
        <v>3093</v>
      </c>
      <c r="B74" t="s">
        <v>6289</v>
      </c>
      <c r="C74">
        <v>32.07</v>
      </c>
      <c r="D74">
        <v>68.319999999999993</v>
      </c>
      <c r="E74">
        <v>7.0000000000000007E-2</v>
      </c>
      <c r="F74">
        <v>0</v>
      </c>
      <c r="G74">
        <v>73</v>
      </c>
      <c r="H74">
        <v>27</v>
      </c>
      <c r="I74">
        <v>825</v>
      </c>
      <c r="J74" t="s">
        <v>6279</v>
      </c>
    </row>
    <row r="75" spans="1:10">
      <c r="A75">
        <v>6509</v>
      </c>
      <c r="B75" t="s">
        <v>5893</v>
      </c>
      <c r="C75">
        <v>32.049999999999997</v>
      </c>
      <c r="D75">
        <v>4.4400000000000004</v>
      </c>
      <c r="E75">
        <v>0.24</v>
      </c>
      <c r="F75">
        <v>0.05</v>
      </c>
      <c r="G75">
        <v>74</v>
      </c>
      <c r="H75">
        <v>817</v>
      </c>
      <c r="I75">
        <v>515</v>
      </c>
      <c r="J75">
        <v>427</v>
      </c>
    </row>
    <row r="76" spans="1:10">
      <c r="A76">
        <v>6143</v>
      </c>
      <c r="B76" t="s">
        <v>5764</v>
      </c>
      <c r="C76">
        <v>31.77</v>
      </c>
      <c r="D76">
        <v>3.56</v>
      </c>
      <c r="E76">
        <v>0.95</v>
      </c>
      <c r="F76">
        <v>1.91</v>
      </c>
      <c r="G76">
        <v>75</v>
      </c>
      <c r="H76">
        <v>870</v>
      </c>
      <c r="I76">
        <v>183</v>
      </c>
      <c r="J76">
        <v>133</v>
      </c>
    </row>
    <row r="77" spans="1:10">
      <c r="A77">
        <v>3552</v>
      </c>
      <c r="B77" t="s">
        <v>5446</v>
      </c>
      <c r="C77">
        <v>31.59</v>
      </c>
      <c r="D77">
        <v>13.75</v>
      </c>
      <c r="E77">
        <v>2.41</v>
      </c>
      <c r="F77">
        <v>0.04</v>
      </c>
      <c r="G77">
        <v>76</v>
      </c>
      <c r="H77">
        <v>394</v>
      </c>
      <c r="I77">
        <v>62</v>
      </c>
      <c r="J77">
        <v>439</v>
      </c>
    </row>
    <row r="78" spans="1:10">
      <c r="A78">
        <v>1708</v>
      </c>
      <c r="B78" t="s">
        <v>4923</v>
      </c>
      <c r="C78">
        <v>31.42</v>
      </c>
      <c r="D78">
        <v>16.09</v>
      </c>
      <c r="E78">
        <v>0.86</v>
      </c>
      <c r="F78">
        <v>0.27</v>
      </c>
      <c r="G78">
        <v>77</v>
      </c>
      <c r="H78">
        <v>341</v>
      </c>
      <c r="I78">
        <v>200</v>
      </c>
      <c r="J78">
        <v>302</v>
      </c>
    </row>
    <row r="79" spans="1:10">
      <c r="A79">
        <v>5351</v>
      </c>
      <c r="B79" t="s">
        <v>5676</v>
      </c>
      <c r="C79">
        <v>31.29</v>
      </c>
      <c r="D79">
        <v>7.14</v>
      </c>
      <c r="E79">
        <v>1.1000000000000001</v>
      </c>
      <c r="F79">
        <v>7.0000000000000007E-2</v>
      </c>
      <c r="G79">
        <v>78</v>
      </c>
      <c r="H79">
        <v>628</v>
      </c>
      <c r="I79">
        <v>159</v>
      </c>
      <c r="J79">
        <v>403</v>
      </c>
    </row>
    <row r="80" spans="1:10">
      <c r="A80">
        <v>2233</v>
      </c>
      <c r="B80" t="s">
        <v>5022</v>
      </c>
      <c r="C80">
        <v>31.05</v>
      </c>
      <c r="D80">
        <v>9.93</v>
      </c>
      <c r="E80">
        <v>0.45</v>
      </c>
      <c r="F80">
        <v>2.75</v>
      </c>
      <c r="G80">
        <v>79</v>
      </c>
      <c r="H80">
        <v>511</v>
      </c>
      <c r="I80">
        <v>340</v>
      </c>
      <c r="J80">
        <v>97</v>
      </c>
    </row>
    <row r="81" spans="1:10">
      <c r="A81">
        <v>3687</v>
      </c>
      <c r="B81" t="s">
        <v>5489</v>
      </c>
      <c r="C81">
        <v>31.01</v>
      </c>
      <c r="D81">
        <v>4.12</v>
      </c>
      <c r="E81">
        <v>1.03</v>
      </c>
      <c r="F81">
        <v>0.09</v>
      </c>
      <c r="G81">
        <v>80</v>
      </c>
      <c r="H81">
        <v>839</v>
      </c>
      <c r="I81">
        <v>167</v>
      </c>
      <c r="J81">
        <v>389</v>
      </c>
    </row>
    <row r="82" spans="1:10">
      <c r="A82">
        <v>8183</v>
      </c>
      <c r="B82" t="s">
        <v>5996</v>
      </c>
      <c r="C82">
        <v>30.73</v>
      </c>
      <c r="D82">
        <v>0.96</v>
      </c>
      <c r="E82">
        <v>0.4</v>
      </c>
      <c r="F82">
        <v>2.8</v>
      </c>
      <c r="G82">
        <v>81</v>
      </c>
      <c r="H82">
        <v>1230</v>
      </c>
      <c r="I82">
        <v>378</v>
      </c>
      <c r="J82">
        <v>94</v>
      </c>
    </row>
    <row r="83" spans="1:10">
      <c r="A83">
        <v>6411</v>
      </c>
      <c r="B83" t="s">
        <v>5860</v>
      </c>
      <c r="C83">
        <v>30.53</v>
      </c>
      <c r="D83">
        <v>14.85</v>
      </c>
      <c r="E83">
        <v>0.23</v>
      </c>
      <c r="F83">
        <v>0.16</v>
      </c>
      <c r="G83">
        <v>82</v>
      </c>
      <c r="H83">
        <v>363</v>
      </c>
      <c r="I83">
        <v>525</v>
      </c>
      <c r="J83">
        <v>341</v>
      </c>
    </row>
    <row r="84" spans="1:10">
      <c r="A84">
        <v>3591</v>
      </c>
      <c r="B84" t="s">
        <v>5458</v>
      </c>
      <c r="C84">
        <v>30.49</v>
      </c>
      <c r="D84">
        <v>2.67</v>
      </c>
      <c r="E84">
        <v>0.1</v>
      </c>
      <c r="F84">
        <v>0</v>
      </c>
      <c r="G84">
        <v>83</v>
      </c>
      <c r="H84">
        <v>962</v>
      </c>
      <c r="I84">
        <v>741</v>
      </c>
      <c r="J84" t="s">
        <v>6279</v>
      </c>
    </row>
    <row r="85" spans="1:10">
      <c r="A85">
        <v>6219</v>
      </c>
      <c r="B85" t="s">
        <v>5816</v>
      </c>
      <c r="C85">
        <v>30.43</v>
      </c>
      <c r="D85">
        <v>2.0499999999999998</v>
      </c>
      <c r="E85">
        <v>0</v>
      </c>
      <c r="F85">
        <v>0</v>
      </c>
      <c r="G85">
        <v>84</v>
      </c>
      <c r="H85">
        <v>1047</v>
      </c>
      <c r="I85" t="s">
        <v>6279</v>
      </c>
      <c r="J85" t="s">
        <v>6279</v>
      </c>
    </row>
    <row r="86" spans="1:10">
      <c r="A86">
        <v>2305</v>
      </c>
      <c r="B86" t="s">
        <v>5032</v>
      </c>
      <c r="C86">
        <v>30.35</v>
      </c>
      <c r="D86">
        <v>5.4</v>
      </c>
      <c r="E86">
        <v>0.08</v>
      </c>
      <c r="F86">
        <v>0</v>
      </c>
      <c r="G86">
        <v>85</v>
      </c>
      <c r="H86">
        <v>751</v>
      </c>
      <c r="I86">
        <v>790</v>
      </c>
      <c r="J86" t="s">
        <v>6279</v>
      </c>
    </row>
    <row r="87" spans="1:10">
      <c r="A87">
        <v>1467</v>
      </c>
      <c r="B87" t="s">
        <v>4856</v>
      </c>
      <c r="C87">
        <v>30.33</v>
      </c>
      <c r="D87">
        <v>20.16</v>
      </c>
      <c r="E87">
        <v>0.15</v>
      </c>
      <c r="F87">
        <v>0</v>
      </c>
      <c r="G87">
        <v>86</v>
      </c>
      <c r="H87">
        <v>278</v>
      </c>
      <c r="I87">
        <v>635</v>
      </c>
      <c r="J87" t="s">
        <v>6279</v>
      </c>
    </row>
    <row r="88" spans="1:10">
      <c r="A88">
        <v>5258</v>
      </c>
      <c r="B88" t="s">
        <v>5658</v>
      </c>
      <c r="C88">
        <v>30.31</v>
      </c>
      <c r="D88">
        <v>7.66</v>
      </c>
      <c r="E88">
        <v>0.1</v>
      </c>
      <c r="F88">
        <v>0</v>
      </c>
      <c r="G88">
        <v>87</v>
      </c>
      <c r="H88">
        <v>596</v>
      </c>
      <c r="I88">
        <v>741</v>
      </c>
      <c r="J88" t="s">
        <v>6279</v>
      </c>
    </row>
    <row r="89" spans="1:10">
      <c r="A89">
        <v>4728</v>
      </c>
      <c r="B89" t="s">
        <v>5589</v>
      </c>
      <c r="C89">
        <v>30.01</v>
      </c>
      <c r="D89">
        <v>14.9</v>
      </c>
      <c r="E89">
        <v>0.32</v>
      </c>
      <c r="F89">
        <v>0</v>
      </c>
      <c r="G89">
        <v>88</v>
      </c>
      <c r="H89">
        <v>361</v>
      </c>
      <c r="I89">
        <v>442</v>
      </c>
      <c r="J89" t="s">
        <v>6279</v>
      </c>
    </row>
    <row r="90" spans="1:10">
      <c r="A90">
        <v>3310</v>
      </c>
      <c r="B90" t="s">
        <v>5373</v>
      </c>
      <c r="C90">
        <v>29.85</v>
      </c>
      <c r="D90">
        <v>0.09</v>
      </c>
      <c r="E90">
        <v>0</v>
      </c>
      <c r="F90">
        <v>0</v>
      </c>
      <c r="G90">
        <v>89</v>
      </c>
      <c r="H90">
        <v>1446</v>
      </c>
      <c r="I90" t="s">
        <v>6279</v>
      </c>
      <c r="J90" t="s">
        <v>6279</v>
      </c>
    </row>
    <row r="91" spans="1:10">
      <c r="A91">
        <v>6140</v>
      </c>
      <c r="B91" t="s">
        <v>5762</v>
      </c>
      <c r="C91">
        <v>29.77</v>
      </c>
      <c r="D91">
        <v>0.47</v>
      </c>
      <c r="E91">
        <v>0.33</v>
      </c>
      <c r="F91">
        <v>0</v>
      </c>
      <c r="G91">
        <v>90</v>
      </c>
      <c r="H91">
        <v>1341</v>
      </c>
      <c r="I91">
        <v>433</v>
      </c>
      <c r="J91" t="s">
        <v>6279</v>
      </c>
    </row>
    <row r="92" spans="1:10">
      <c r="A92">
        <v>8928</v>
      </c>
      <c r="B92" t="s">
        <v>6058</v>
      </c>
      <c r="C92">
        <v>29.72</v>
      </c>
      <c r="D92">
        <v>1.26</v>
      </c>
      <c r="E92">
        <v>0</v>
      </c>
      <c r="F92">
        <v>0.61</v>
      </c>
      <c r="G92">
        <v>91</v>
      </c>
      <c r="H92">
        <v>1174</v>
      </c>
      <c r="I92" t="s">
        <v>6279</v>
      </c>
      <c r="J92">
        <v>238</v>
      </c>
    </row>
    <row r="93" spans="1:10">
      <c r="A93">
        <v>4744</v>
      </c>
      <c r="B93" t="s">
        <v>5594</v>
      </c>
      <c r="C93">
        <v>29.62</v>
      </c>
      <c r="D93">
        <v>2.71</v>
      </c>
      <c r="E93">
        <v>7.0000000000000007E-2</v>
      </c>
      <c r="F93">
        <v>0.02</v>
      </c>
      <c r="G93">
        <v>92</v>
      </c>
      <c r="H93">
        <v>955</v>
      </c>
      <c r="I93">
        <v>825</v>
      </c>
      <c r="J93">
        <v>476</v>
      </c>
    </row>
    <row r="94" spans="1:10">
      <c r="A94">
        <v>2636</v>
      </c>
      <c r="B94" t="s">
        <v>5198</v>
      </c>
      <c r="C94">
        <v>29.49</v>
      </c>
      <c r="D94">
        <v>12.39</v>
      </c>
      <c r="E94">
        <v>0.97</v>
      </c>
      <c r="F94">
        <v>0.01</v>
      </c>
      <c r="G94">
        <v>93</v>
      </c>
      <c r="H94">
        <v>420</v>
      </c>
      <c r="I94">
        <v>178</v>
      </c>
      <c r="J94">
        <v>495</v>
      </c>
    </row>
    <row r="95" spans="1:10">
      <c r="A95">
        <v>3092</v>
      </c>
      <c r="B95" t="s">
        <v>5317</v>
      </c>
      <c r="C95">
        <v>29.49</v>
      </c>
      <c r="D95">
        <v>1.93</v>
      </c>
      <c r="E95">
        <v>0</v>
      </c>
      <c r="F95">
        <v>0</v>
      </c>
      <c r="G95">
        <v>93</v>
      </c>
      <c r="H95">
        <v>1065</v>
      </c>
      <c r="I95" t="s">
        <v>6279</v>
      </c>
      <c r="J95" t="s">
        <v>6279</v>
      </c>
    </row>
    <row r="96" spans="1:10">
      <c r="A96">
        <v>6706</v>
      </c>
      <c r="B96" t="s">
        <v>5939</v>
      </c>
      <c r="C96">
        <v>29.42</v>
      </c>
      <c r="D96">
        <v>10.32</v>
      </c>
      <c r="E96">
        <v>0.28000000000000003</v>
      </c>
      <c r="F96">
        <v>0</v>
      </c>
      <c r="G96">
        <v>95</v>
      </c>
      <c r="H96">
        <v>494</v>
      </c>
      <c r="I96">
        <v>478</v>
      </c>
      <c r="J96" t="s">
        <v>6279</v>
      </c>
    </row>
    <row r="97" spans="1:10">
      <c r="A97">
        <v>6283</v>
      </c>
      <c r="B97" t="s">
        <v>5852</v>
      </c>
      <c r="C97">
        <v>29.38</v>
      </c>
      <c r="D97">
        <v>18.48</v>
      </c>
      <c r="E97">
        <v>0.14000000000000001</v>
      </c>
      <c r="F97">
        <v>0</v>
      </c>
      <c r="G97">
        <v>96</v>
      </c>
      <c r="H97">
        <v>299</v>
      </c>
      <c r="I97">
        <v>649</v>
      </c>
      <c r="J97" t="s">
        <v>6279</v>
      </c>
    </row>
    <row r="98" spans="1:10">
      <c r="A98">
        <v>3305</v>
      </c>
      <c r="B98" t="s">
        <v>5371</v>
      </c>
      <c r="C98">
        <v>29.22</v>
      </c>
      <c r="D98">
        <v>3.68</v>
      </c>
      <c r="E98">
        <v>0.42</v>
      </c>
      <c r="F98">
        <v>0.15</v>
      </c>
      <c r="G98">
        <v>97</v>
      </c>
      <c r="H98">
        <v>860</v>
      </c>
      <c r="I98">
        <v>357</v>
      </c>
      <c r="J98">
        <v>346</v>
      </c>
    </row>
    <row r="99" spans="1:10">
      <c r="A99">
        <v>2497</v>
      </c>
      <c r="B99" t="s">
        <v>5152</v>
      </c>
      <c r="C99">
        <v>29.21</v>
      </c>
      <c r="D99">
        <v>3.92</v>
      </c>
      <c r="E99">
        <v>0.35</v>
      </c>
      <c r="F99">
        <v>0</v>
      </c>
      <c r="G99">
        <v>98</v>
      </c>
      <c r="H99">
        <v>851</v>
      </c>
      <c r="I99">
        <v>414</v>
      </c>
      <c r="J99" t="s">
        <v>6279</v>
      </c>
    </row>
    <row r="100" spans="1:10">
      <c r="A100">
        <v>1810</v>
      </c>
      <c r="B100" t="s">
        <v>4963</v>
      </c>
      <c r="C100">
        <v>29.2</v>
      </c>
      <c r="D100">
        <v>5.3</v>
      </c>
      <c r="E100">
        <v>0</v>
      </c>
      <c r="F100">
        <v>0</v>
      </c>
      <c r="G100">
        <v>99</v>
      </c>
      <c r="H100">
        <v>758</v>
      </c>
      <c r="I100" t="s">
        <v>6279</v>
      </c>
      <c r="J100" t="s">
        <v>6279</v>
      </c>
    </row>
    <row r="101" spans="1:10">
      <c r="A101">
        <v>6182</v>
      </c>
      <c r="B101" t="s">
        <v>5789</v>
      </c>
      <c r="C101">
        <v>29.09</v>
      </c>
      <c r="D101">
        <v>14.61</v>
      </c>
      <c r="E101">
        <v>0.12</v>
      </c>
      <c r="F101">
        <v>0.23</v>
      </c>
      <c r="G101">
        <v>100</v>
      </c>
      <c r="H101">
        <v>368</v>
      </c>
      <c r="I101">
        <v>696</v>
      </c>
      <c r="J101">
        <v>314</v>
      </c>
    </row>
    <row r="102" spans="1:10">
      <c r="A102">
        <v>2457</v>
      </c>
      <c r="B102" t="s">
        <v>5121</v>
      </c>
      <c r="C102">
        <v>29</v>
      </c>
      <c r="D102">
        <v>5.16</v>
      </c>
      <c r="E102">
        <v>1.29</v>
      </c>
      <c r="F102">
        <v>0</v>
      </c>
      <c r="G102">
        <v>101</v>
      </c>
      <c r="H102">
        <v>767</v>
      </c>
      <c r="I102">
        <v>130</v>
      </c>
      <c r="J102" t="s">
        <v>6279</v>
      </c>
    </row>
    <row r="103" spans="1:10">
      <c r="A103">
        <v>6237</v>
      </c>
      <c r="B103" t="s">
        <v>5828</v>
      </c>
      <c r="C103">
        <v>28.94</v>
      </c>
      <c r="D103">
        <v>2.38</v>
      </c>
      <c r="E103">
        <v>1.5</v>
      </c>
      <c r="F103">
        <v>0</v>
      </c>
      <c r="G103">
        <v>102</v>
      </c>
      <c r="H103">
        <v>999</v>
      </c>
      <c r="I103">
        <v>109</v>
      </c>
      <c r="J103" t="s">
        <v>6279</v>
      </c>
    </row>
    <row r="104" spans="1:10">
      <c r="A104">
        <v>3163</v>
      </c>
      <c r="B104" t="s">
        <v>5330</v>
      </c>
      <c r="C104">
        <v>28.93</v>
      </c>
      <c r="D104">
        <v>7.2</v>
      </c>
      <c r="E104">
        <v>0.3</v>
      </c>
      <c r="F104">
        <v>0</v>
      </c>
      <c r="G104">
        <v>103</v>
      </c>
      <c r="H104">
        <v>623</v>
      </c>
      <c r="I104">
        <v>460</v>
      </c>
      <c r="J104" t="s">
        <v>6279</v>
      </c>
    </row>
    <row r="105" spans="1:10">
      <c r="A105">
        <v>4739</v>
      </c>
      <c r="B105" t="s">
        <v>5593</v>
      </c>
      <c r="C105">
        <v>28.7</v>
      </c>
      <c r="D105">
        <v>4.2300000000000004</v>
      </c>
      <c r="E105">
        <v>7.0000000000000007E-2</v>
      </c>
      <c r="F105">
        <v>2.39</v>
      </c>
      <c r="G105">
        <v>104</v>
      </c>
      <c r="H105">
        <v>834</v>
      </c>
      <c r="I105">
        <v>825</v>
      </c>
      <c r="J105">
        <v>108</v>
      </c>
    </row>
    <row r="106" spans="1:10">
      <c r="A106">
        <v>3527</v>
      </c>
      <c r="B106" t="s">
        <v>5430</v>
      </c>
      <c r="C106">
        <v>28.65</v>
      </c>
      <c r="D106">
        <v>7.28</v>
      </c>
      <c r="E106">
        <v>0.52</v>
      </c>
      <c r="F106">
        <v>0.95</v>
      </c>
      <c r="G106">
        <v>105</v>
      </c>
      <c r="H106">
        <v>615</v>
      </c>
      <c r="I106">
        <v>313</v>
      </c>
      <c r="J106">
        <v>198</v>
      </c>
    </row>
    <row r="107" spans="1:10">
      <c r="A107">
        <v>2359</v>
      </c>
      <c r="B107" t="s">
        <v>5062</v>
      </c>
      <c r="C107">
        <v>28.59</v>
      </c>
      <c r="D107">
        <v>4.3</v>
      </c>
      <c r="E107">
        <v>0.45</v>
      </c>
      <c r="F107">
        <v>0.1</v>
      </c>
      <c r="G107">
        <v>106</v>
      </c>
      <c r="H107">
        <v>823</v>
      </c>
      <c r="I107">
        <v>340</v>
      </c>
      <c r="J107">
        <v>377</v>
      </c>
    </row>
    <row r="108" spans="1:10">
      <c r="A108">
        <v>6667</v>
      </c>
      <c r="B108" t="s">
        <v>5930</v>
      </c>
      <c r="C108">
        <v>28.54</v>
      </c>
      <c r="D108">
        <v>3.45</v>
      </c>
      <c r="E108">
        <v>0.27</v>
      </c>
      <c r="F108">
        <v>0.45</v>
      </c>
      <c r="G108">
        <v>107</v>
      </c>
      <c r="H108">
        <v>887</v>
      </c>
      <c r="I108">
        <v>487</v>
      </c>
      <c r="J108">
        <v>262</v>
      </c>
    </row>
    <row r="109" spans="1:10">
      <c r="A109">
        <v>4721</v>
      </c>
      <c r="B109" t="s">
        <v>5587</v>
      </c>
      <c r="C109">
        <v>28.53</v>
      </c>
      <c r="D109">
        <v>1.5</v>
      </c>
      <c r="E109">
        <v>0.9</v>
      </c>
      <c r="F109">
        <v>0.03</v>
      </c>
      <c r="G109">
        <v>108</v>
      </c>
      <c r="H109">
        <v>1125</v>
      </c>
      <c r="I109">
        <v>195</v>
      </c>
      <c r="J109">
        <v>459</v>
      </c>
    </row>
    <row r="110" spans="1:10">
      <c r="A110">
        <v>2231</v>
      </c>
      <c r="B110" t="s">
        <v>5021</v>
      </c>
      <c r="C110">
        <v>28.46</v>
      </c>
      <c r="D110">
        <v>7.55</v>
      </c>
      <c r="E110">
        <v>0.04</v>
      </c>
      <c r="F110">
        <v>0.05</v>
      </c>
      <c r="G110">
        <v>109</v>
      </c>
      <c r="H110">
        <v>601</v>
      </c>
      <c r="I110">
        <v>946</v>
      </c>
      <c r="J110">
        <v>427</v>
      </c>
    </row>
    <row r="111" spans="1:10">
      <c r="A111">
        <v>3558</v>
      </c>
      <c r="B111" t="s">
        <v>5449</v>
      </c>
      <c r="C111">
        <v>28.28</v>
      </c>
      <c r="D111">
        <v>3.49</v>
      </c>
      <c r="E111">
        <v>1.1200000000000001</v>
      </c>
      <c r="F111">
        <v>12.08</v>
      </c>
      <c r="G111">
        <v>110</v>
      </c>
      <c r="H111">
        <v>878</v>
      </c>
      <c r="I111">
        <v>157</v>
      </c>
      <c r="J111">
        <v>11</v>
      </c>
    </row>
    <row r="112" spans="1:10">
      <c r="A112">
        <v>6591</v>
      </c>
      <c r="B112" t="s">
        <v>5914</v>
      </c>
      <c r="C112">
        <v>27.83</v>
      </c>
      <c r="D112">
        <v>21.92</v>
      </c>
      <c r="E112">
        <v>1.44</v>
      </c>
      <c r="F112">
        <v>1.1599999999999999</v>
      </c>
      <c r="G112">
        <v>111</v>
      </c>
      <c r="H112">
        <v>255</v>
      </c>
      <c r="I112">
        <v>114</v>
      </c>
      <c r="J112">
        <v>179</v>
      </c>
    </row>
    <row r="113" spans="1:10">
      <c r="A113">
        <v>3588</v>
      </c>
      <c r="B113" t="s">
        <v>5457</v>
      </c>
      <c r="C113">
        <v>27.78</v>
      </c>
      <c r="D113">
        <v>5.73</v>
      </c>
      <c r="E113">
        <v>0.2</v>
      </c>
      <c r="F113">
        <v>0.01</v>
      </c>
      <c r="G113">
        <v>112</v>
      </c>
      <c r="H113">
        <v>726</v>
      </c>
      <c r="I113">
        <v>565</v>
      </c>
      <c r="J113">
        <v>495</v>
      </c>
    </row>
    <row r="114" spans="1:10">
      <c r="A114">
        <v>2390</v>
      </c>
      <c r="B114" t="s">
        <v>5082</v>
      </c>
      <c r="C114">
        <v>27.74</v>
      </c>
      <c r="D114">
        <v>1.38</v>
      </c>
      <c r="E114">
        <v>0.14000000000000001</v>
      </c>
      <c r="F114">
        <v>0</v>
      </c>
      <c r="G114">
        <v>113</v>
      </c>
      <c r="H114">
        <v>1150</v>
      </c>
      <c r="I114">
        <v>649</v>
      </c>
      <c r="J114" t="s">
        <v>6279</v>
      </c>
    </row>
    <row r="115" spans="1:10">
      <c r="A115">
        <v>3027</v>
      </c>
      <c r="B115" t="s">
        <v>5282</v>
      </c>
      <c r="C115">
        <v>27.53</v>
      </c>
      <c r="D115">
        <v>1.1299999999999999</v>
      </c>
      <c r="E115">
        <v>0.12</v>
      </c>
      <c r="F115">
        <v>0</v>
      </c>
      <c r="G115">
        <v>114</v>
      </c>
      <c r="H115">
        <v>1202</v>
      </c>
      <c r="I115">
        <v>696</v>
      </c>
      <c r="J115" t="s">
        <v>6279</v>
      </c>
    </row>
    <row r="116" spans="1:10">
      <c r="A116">
        <v>3455</v>
      </c>
      <c r="B116" t="s">
        <v>5411</v>
      </c>
      <c r="C116">
        <v>27.52</v>
      </c>
      <c r="D116">
        <v>4.43</v>
      </c>
      <c r="E116">
        <v>0.51</v>
      </c>
      <c r="F116">
        <v>1.94</v>
      </c>
      <c r="G116">
        <v>115</v>
      </c>
      <c r="H116">
        <v>818</v>
      </c>
      <c r="I116">
        <v>317</v>
      </c>
      <c r="J116">
        <v>130</v>
      </c>
    </row>
    <row r="117" spans="1:10">
      <c r="A117">
        <v>6443</v>
      </c>
      <c r="B117" t="s">
        <v>5872</v>
      </c>
      <c r="C117">
        <v>27.17</v>
      </c>
      <c r="D117">
        <v>17.77</v>
      </c>
      <c r="E117">
        <v>0.47</v>
      </c>
      <c r="F117">
        <v>6.08</v>
      </c>
      <c r="G117">
        <v>116</v>
      </c>
      <c r="H117">
        <v>312</v>
      </c>
      <c r="I117">
        <v>331</v>
      </c>
      <c r="J117">
        <v>36</v>
      </c>
    </row>
    <row r="118" spans="1:10">
      <c r="A118">
        <v>4102</v>
      </c>
      <c r="B118" t="s">
        <v>5505</v>
      </c>
      <c r="C118">
        <v>27.16</v>
      </c>
      <c r="D118">
        <v>2.52</v>
      </c>
      <c r="E118">
        <v>0.13</v>
      </c>
      <c r="F118">
        <v>0</v>
      </c>
      <c r="G118">
        <v>117</v>
      </c>
      <c r="H118">
        <v>979</v>
      </c>
      <c r="I118">
        <v>671</v>
      </c>
      <c r="J118" t="s">
        <v>6279</v>
      </c>
    </row>
    <row r="119" spans="1:10">
      <c r="A119">
        <v>6111</v>
      </c>
      <c r="B119" t="s">
        <v>5742</v>
      </c>
      <c r="C119">
        <v>27.03</v>
      </c>
      <c r="D119">
        <v>28.72</v>
      </c>
      <c r="E119">
        <v>0.33</v>
      </c>
      <c r="F119">
        <v>0</v>
      </c>
      <c r="G119">
        <v>118</v>
      </c>
      <c r="H119">
        <v>190</v>
      </c>
      <c r="I119">
        <v>433</v>
      </c>
      <c r="J119" t="s">
        <v>6279</v>
      </c>
    </row>
    <row r="120" spans="1:10">
      <c r="A120">
        <v>3221</v>
      </c>
      <c r="B120" t="s">
        <v>5346</v>
      </c>
      <c r="C120">
        <v>26.78</v>
      </c>
      <c r="D120">
        <v>5.46</v>
      </c>
      <c r="E120">
        <v>0.2</v>
      </c>
      <c r="F120">
        <v>0</v>
      </c>
      <c r="G120">
        <v>119</v>
      </c>
      <c r="H120">
        <v>748</v>
      </c>
      <c r="I120">
        <v>565</v>
      </c>
      <c r="J120" t="s">
        <v>6279</v>
      </c>
    </row>
    <row r="121" spans="1:10">
      <c r="A121">
        <v>5245</v>
      </c>
      <c r="B121" t="s">
        <v>5656</v>
      </c>
      <c r="C121">
        <v>26.76</v>
      </c>
      <c r="D121">
        <v>13.34</v>
      </c>
      <c r="E121">
        <v>0.73</v>
      </c>
      <c r="F121">
        <v>0.18</v>
      </c>
      <c r="G121">
        <v>120</v>
      </c>
      <c r="H121">
        <v>400</v>
      </c>
      <c r="I121">
        <v>234</v>
      </c>
      <c r="J121">
        <v>332</v>
      </c>
    </row>
    <row r="122" spans="1:10">
      <c r="A122">
        <v>6113</v>
      </c>
      <c r="B122" t="s">
        <v>6320</v>
      </c>
      <c r="C122">
        <v>26.74</v>
      </c>
      <c r="D122">
        <v>0.09</v>
      </c>
      <c r="E122">
        <v>0.41</v>
      </c>
      <c r="F122">
        <v>0</v>
      </c>
      <c r="G122">
        <v>121</v>
      </c>
      <c r="H122">
        <v>1446</v>
      </c>
      <c r="I122">
        <v>365</v>
      </c>
      <c r="J122" t="s">
        <v>6279</v>
      </c>
    </row>
    <row r="123" spans="1:10">
      <c r="A123">
        <v>8440</v>
      </c>
      <c r="B123" t="s">
        <v>6031</v>
      </c>
      <c r="C123">
        <v>26.64</v>
      </c>
      <c r="D123">
        <v>2.33</v>
      </c>
      <c r="E123">
        <v>1.51</v>
      </c>
      <c r="F123">
        <v>0</v>
      </c>
      <c r="G123">
        <v>122</v>
      </c>
      <c r="H123">
        <v>1006</v>
      </c>
      <c r="I123">
        <v>104</v>
      </c>
      <c r="J123" t="s">
        <v>6279</v>
      </c>
    </row>
    <row r="124" spans="1:10">
      <c r="A124">
        <v>3041</v>
      </c>
      <c r="B124" t="s">
        <v>5295</v>
      </c>
      <c r="C124">
        <v>26.59</v>
      </c>
      <c r="D124">
        <v>12.61</v>
      </c>
      <c r="E124">
        <v>0.59</v>
      </c>
      <c r="F124">
        <v>0.01</v>
      </c>
      <c r="G124">
        <v>123</v>
      </c>
      <c r="H124">
        <v>417</v>
      </c>
      <c r="I124">
        <v>286</v>
      </c>
      <c r="J124">
        <v>495</v>
      </c>
    </row>
    <row r="125" spans="1:10">
      <c r="A125">
        <v>6438</v>
      </c>
      <c r="B125" t="s">
        <v>5869</v>
      </c>
      <c r="C125">
        <v>26.45</v>
      </c>
      <c r="D125">
        <v>14.04</v>
      </c>
      <c r="E125">
        <v>0.27</v>
      </c>
      <c r="F125">
        <v>5.69</v>
      </c>
      <c r="G125">
        <v>124</v>
      </c>
      <c r="H125">
        <v>386</v>
      </c>
      <c r="I125">
        <v>487</v>
      </c>
      <c r="J125">
        <v>42</v>
      </c>
    </row>
    <row r="126" spans="1:10">
      <c r="A126">
        <v>5706</v>
      </c>
      <c r="B126" t="s">
        <v>5723</v>
      </c>
      <c r="C126">
        <v>26.44</v>
      </c>
      <c r="D126">
        <v>2.72</v>
      </c>
      <c r="E126">
        <v>0.03</v>
      </c>
      <c r="F126">
        <v>0</v>
      </c>
      <c r="G126">
        <v>125</v>
      </c>
      <c r="H126">
        <v>953</v>
      </c>
      <c r="I126">
        <v>990</v>
      </c>
      <c r="J126" t="s">
        <v>6279</v>
      </c>
    </row>
    <row r="127" spans="1:10">
      <c r="A127">
        <v>2465</v>
      </c>
      <c r="B127" t="s">
        <v>5128</v>
      </c>
      <c r="C127">
        <v>26.4</v>
      </c>
      <c r="D127">
        <v>2.4900000000000002</v>
      </c>
      <c r="E127">
        <v>0.62</v>
      </c>
      <c r="F127">
        <v>0</v>
      </c>
      <c r="G127">
        <v>126</v>
      </c>
      <c r="H127">
        <v>982</v>
      </c>
      <c r="I127">
        <v>276</v>
      </c>
      <c r="J127" t="s">
        <v>6279</v>
      </c>
    </row>
    <row r="128" spans="1:10">
      <c r="A128">
        <v>2462</v>
      </c>
      <c r="B128" t="s">
        <v>5126</v>
      </c>
      <c r="C128">
        <v>26.32</v>
      </c>
      <c r="D128">
        <v>1.1599999999999999</v>
      </c>
      <c r="E128">
        <v>0.35</v>
      </c>
      <c r="F128">
        <v>0</v>
      </c>
      <c r="G128">
        <v>127</v>
      </c>
      <c r="H128">
        <v>1196</v>
      </c>
      <c r="I128">
        <v>414</v>
      </c>
      <c r="J128" t="s">
        <v>6279</v>
      </c>
    </row>
    <row r="129" spans="1:10">
      <c r="A129">
        <v>6435</v>
      </c>
      <c r="B129" t="s">
        <v>5868</v>
      </c>
      <c r="C129">
        <v>26.3</v>
      </c>
      <c r="D129">
        <v>3.62</v>
      </c>
      <c r="E129">
        <v>1.56</v>
      </c>
      <c r="F129">
        <v>0</v>
      </c>
      <c r="G129">
        <v>128</v>
      </c>
      <c r="H129">
        <v>868</v>
      </c>
      <c r="I129">
        <v>100</v>
      </c>
      <c r="J129" t="s">
        <v>6279</v>
      </c>
    </row>
    <row r="130" spans="1:10">
      <c r="A130">
        <v>2486</v>
      </c>
      <c r="B130" t="s">
        <v>5144</v>
      </c>
      <c r="C130">
        <v>26.22</v>
      </c>
      <c r="D130">
        <v>2.12</v>
      </c>
      <c r="E130">
        <v>0.01</v>
      </c>
      <c r="F130">
        <v>0</v>
      </c>
      <c r="G130">
        <v>129</v>
      </c>
      <c r="H130">
        <v>1030</v>
      </c>
      <c r="I130">
        <v>1123</v>
      </c>
      <c r="J130" t="s">
        <v>6279</v>
      </c>
    </row>
    <row r="131" spans="1:10">
      <c r="A131">
        <v>3535</v>
      </c>
      <c r="B131" t="s">
        <v>5436</v>
      </c>
      <c r="C131">
        <v>26.17</v>
      </c>
      <c r="D131">
        <v>8.0500000000000007</v>
      </c>
      <c r="E131">
        <v>1.23</v>
      </c>
      <c r="F131">
        <v>0</v>
      </c>
      <c r="G131">
        <v>130</v>
      </c>
      <c r="H131">
        <v>580</v>
      </c>
      <c r="I131">
        <v>138</v>
      </c>
      <c r="J131" t="s">
        <v>6279</v>
      </c>
    </row>
    <row r="132" spans="1:10">
      <c r="A132">
        <v>6441</v>
      </c>
      <c r="B132" t="s">
        <v>5870</v>
      </c>
      <c r="C132">
        <v>26.16</v>
      </c>
      <c r="D132">
        <v>0.75</v>
      </c>
      <c r="E132">
        <v>0.53</v>
      </c>
      <c r="F132">
        <v>0</v>
      </c>
      <c r="G132">
        <v>131</v>
      </c>
      <c r="H132">
        <v>1273</v>
      </c>
      <c r="I132">
        <v>310</v>
      </c>
      <c r="J132" t="s">
        <v>6279</v>
      </c>
    </row>
    <row r="133" spans="1:10">
      <c r="A133">
        <v>4153</v>
      </c>
      <c r="B133" t="s">
        <v>5527</v>
      </c>
      <c r="C133">
        <v>26.15</v>
      </c>
      <c r="D133">
        <v>0.13</v>
      </c>
      <c r="E133">
        <v>0.06</v>
      </c>
      <c r="F133">
        <v>0</v>
      </c>
      <c r="G133">
        <v>132</v>
      </c>
      <c r="H133">
        <v>1431</v>
      </c>
      <c r="I133">
        <v>869</v>
      </c>
      <c r="J133" t="s">
        <v>6279</v>
      </c>
    </row>
    <row r="134" spans="1:10">
      <c r="A134">
        <v>9944</v>
      </c>
      <c r="B134" t="s">
        <v>6095</v>
      </c>
      <c r="C134">
        <v>25.98</v>
      </c>
      <c r="D134">
        <v>1.85</v>
      </c>
      <c r="E134">
        <v>0.2</v>
      </c>
      <c r="F134">
        <v>0</v>
      </c>
      <c r="G134">
        <v>133</v>
      </c>
      <c r="H134">
        <v>1073</v>
      </c>
      <c r="I134">
        <v>565</v>
      </c>
      <c r="J134" t="s">
        <v>6279</v>
      </c>
    </row>
    <row r="135" spans="1:10">
      <c r="A135">
        <v>3050</v>
      </c>
      <c r="B135" t="s">
        <v>5302</v>
      </c>
      <c r="C135">
        <v>25.83</v>
      </c>
      <c r="D135">
        <v>10.71</v>
      </c>
      <c r="E135">
        <v>0.12</v>
      </c>
      <c r="F135">
        <v>0</v>
      </c>
      <c r="G135">
        <v>134</v>
      </c>
      <c r="H135">
        <v>482</v>
      </c>
      <c r="I135">
        <v>696</v>
      </c>
      <c r="J135" t="s">
        <v>6279</v>
      </c>
    </row>
    <row r="136" spans="1:10">
      <c r="A136">
        <v>3708</v>
      </c>
      <c r="B136" t="s">
        <v>5501</v>
      </c>
      <c r="C136">
        <v>25.75</v>
      </c>
      <c r="D136">
        <v>14.96</v>
      </c>
      <c r="E136">
        <v>1.21</v>
      </c>
      <c r="F136">
        <v>10.62</v>
      </c>
      <c r="G136">
        <v>135</v>
      </c>
      <c r="H136">
        <v>357</v>
      </c>
      <c r="I136">
        <v>142</v>
      </c>
      <c r="J136">
        <v>14</v>
      </c>
    </row>
    <row r="137" spans="1:10">
      <c r="A137">
        <v>5299</v>
      </c>
      <c r="B137" t="s">
        <v>316</v>
      </c>
      <c r="C137">
        <v>25.74</v>
      </c>
      <c r="D137">
        <v>2.64</v>
      </c>
      <c r="E137">
        <v>0.31</v>
      </c>
      <c r="F137">
        <v>0</v>
      </c>
      <c r="G137">
        <v>136</v>
      </c>
      <c r="H137">
        <v>967</v>
      </c>
      <c r="I137">
        <v>451</v>
      </c>
      <c r="J137" t="s">
        <v>6279</v>
      </c>
    </row>
    <row r="138" spans="1:10">
      <c r="A138">
        <v>4746</v>
      </c>
      <c r="B138" t="s">
        <v>5596</v>
      </c>
      <c r="C138">
        <v>25.73</v>
      </c>
      <c r="D138">
        <v>2.74</v>
      </c>
      <c r="E138">
        <v>1.1299999999999999</v>
      </c>
      <c r="F138">
        <v>0</v>
      </c>
      <c r="G138">
        <v>137</v>
      </c>
      <c r="H138">
        <v>950</v>
      </c>
      <c r="I138">
        <v>154</v>
      </c>
      <c r="J138" t="s">
        <v>6279</v>
      </c>
    </row>
    <row r="139" spans="1:10">
      <c r="A139">
        <v>9802</v>
      </c>
      <c r="B139" t="s">
        <v>6065</v>
      </c>
      <c r="C139">
        <v>25.57</v>
      </c>
      <c r="D139">
        <v>45.02</v>
      </c>
      <c r="E139">
        <v>0.54</v>
      </c>
      <c r="F139">
        <v>5.0199999999999996</v>
      </c>
      <c r="G139">
        <v>138</v>
      </c>
      <c r="H139">
        <v>89</v>
      </c>
      <c r="I139">
        <v>302</v>
      </c>
      <c r="J139">
        <v>57</v>
      </c>
    </row>
    <row r="140" spans="1:10">
      <c r="A140">
        <v>2481</v>
      </c>
      <c r="B140" t="s">
        <v>5139</v>
      </c>
      <c r="C140">
        <v>25.52</v>
      </c>
      <c r="D140">
        <v>12.13</v>
      </c>
      <c r="E140">
        <v>0.5</v>
      </c>
      <c r="F140">
        <v>1.37</v>
      </c>
      <c r="G140">
        <v>139</v>
      </c>
      <c r="H140">
        <v>429</v>
      </c>
      <c r="I140">
        <v>319</v>
      </c>
      <c r="J140">
        <v>161</v>
      </c>
    </row>
    <row r="141" spans="1:10">
      <c r="A141">
        <v>3294</v>
      </c>
      <c r="B141" t="s">
        <v>5367</v>
      </c>
      <c r="C141">
        <v>25.47</v>
      </c>
      <c r="D141">
        <v>6.93</v>
      </c>
      <c r="E141">
        <v>0.17</v>
      </c>
      <c r="F141">
        <v>0</v>
      </c>
      <c r="G141">
        <v>140</v>
      </c>
      <c r="H141">
        <v>647</v>
      </c>
      <c r="I141">
        <v>596</v>
      </c>
      <c r="J141" t="s">
        <v>6279</v>
      </c>
    </row>
    <row r="142" spans="1:10">
      <c r="A142">
        <v>2371</v>
      </c>
      <c r="B142" t="s">
        <v>5070</v>
      </c>
      <c r="C142">
        <v>25.35</v>
      </c>
      <c r="D142">
        <v>19.12</v>
      </c>
      <c r="E142">
        <v>1.51</v>
      </c>
      <c r="F142">
        <v>0.18</v>
      </c>
      <c r="G142">
        <v>141</v>
      </c>
      <c r="H142">
        <v>291</v>
      </c>
      <c r="I142">
        <v>104</v>
      </c>
      <c r="J142">
        <v>332</v>
      </c>
    </row>
    <row r="143" spans="1:10">
      <c r="A143">
        <v>1337</v>
      </c>
      <c r="B143" t="s">
        <v>4820</v>
      </c>
      <c r="C143">
        <v>25.32</v>
      </c>
      <c r="D143">
        <v>24.17</v>
      </c>
      <c r="E143">
        <v>7.0000000000000007E-2</v>
      </c>
      <c r="F143">
        <v>0</v>
      </c>
      <c r="G143">
        <v>142</v>
      </c>
      <c r="H143">
        <v>232</v>
      </c>
      <c r="I143">
        <v>825</v>
      </c>
      <c r="J143" t="s">
        <v>6279</v>
      </c>
    </row>
    <row r="144" spans="1:10">
      <c r="A144">
        <v>2641</v>
      </c>
      <c r="B144" t="s">
        <v>5200</v>
      </c>
      <c r="C144">
        <v>25.1</v>
      </c>
      <c r="D144">
        <v>2.67</v>
      </c>
      <c r="E144">
        <v>0.12</v>
      </c>
      <c r="F144">
        <v>0</v>
      </c>
      <c r="G144">
        <v>143</v>
      </c>
      <c r="H144">
        <v>962</v>
      </c>
      <c r="I144">
        <v>696</v>
      </c>
      <c r="J144" t="s">
        <v>6279</v>
      </c>
    </row>
    <row r="145" spans="1:10">
      <c r="A145">
        <v>1526</v>
      </c>
      <c r="B145" t="s">
        <v>4874</v>
      </c>
      <c r="C145">
        <v>25.08</v>
      </c>
      <c r="D145">
        <v>3.48</v>
      </c>
      <c r="E145">
        <v>0.28999999999999998</v>
      </c>
      <c r="F145">
        <v>0</v>
      </c>
      <c r="G145">
        <v>144</v>
      </c>
      <c r="H145">
        <v>881</v>
      </c>
      <c r="I145">
        <v>467</v>
      </c>
      <c r="J145" t="s">
        <v>6279</v>
      </c>
    </row>
    <row r="146" spans="1:10">
      <c r="A146">
        <v>6231</v>
      </c>
      <c r="B146" t="s">
        <v>5824</v>
      </c>
      <c r="C146">
        <v>24.85</v>
      </c>
      <c r="D146">
        <v>16.72</v>
      </c>
      <c r="E146">
        <v>0.46</v>
      </c>
      <c r="F146">
        <v>0.48</v>
      </c>
      <c r="G146">
        <v>145</v>
      </c>
      <c r="H146">
        <v>336</v>
      </c>
      <c r="I146">
        <v>336</v>
      </c>
      <c r="J146">
        <v>256</v>
      </c>
    </row>
    <row r="147" spans="1:10">
      <c r="A147">
        <v>2375</v>
      </c>
      <c r="B147" t="s">
        <v>5073</v>
      </c>
      <c r="C147">
        <v>24.75</v>
      </c>
      <c r="D147">
        <v>5.83</v>
      </c>
      <c r="E147">
        <v>0.02</v>
      </c>
      <c r="F147">
        <v>0</v>
      </c>
      <c r="G147">
        <v>146</v>
      </c>
      <c r="H147">
        <v>716</v>
      </c>
      <c r="I147">
        <v>1051</v>
      </c>
      <c r="J147" t="s">
        <v>6279</v>
      </c>
    </row>
    <row r="148" spans="1:10">
      <c r="A148">
        <v>6642</v>
      </c>
      <c r="B148" t="s">
        <v>6290</v>
      </c>
      <c r="C148">
        <v>24.74</v>
      </c>
      <c r="D148">
        <v>3.32</v>
      </c>
      <c r="E148">
        <v>0</v>
      </c>
      <c r="F148">
        <v>0</v>
      </c>
      <c r="G148">
        <v>147</v>
      </c>
      <c r="H148">
        <v>898</v>
      </c>
      <c r="I148" t="s">
        <v>6279</v>
      </c>
      <c r="J148" t="s">
        <v>6279</v>
      </c>
    </row>
    <row r="149" spans="1:10">
      <c r="A149">
        <v>2482</v>
      </c>
      <c r="B149" t="s">
        <v>5140</v>
      </c>
      <c r="C149">
        <v>24.72</v>
      </c>
      <c r="D149">
        <v>5.46</v>
      </c>
      <c r="E149">
        <v>0.13</v>
      </c>
      <c r="F149">
        <v>0</v>
      </c>
      <c r="G149">
        <v>148</v>
      </c>
      <c r="H149">
        <v>748</v>
      </c>
      <c r="I149">
        <v>671</v>
      </c>
      <c r="J149" t="s">
        <v>6279</v>
      </c>
    </row>
    <row r="150" spans="1:10">
      <c r="A150">
        <v>2338</v>
      </c>
      <c r="B150" t="s">
        <v>5047</v>
      </c>
      <c r="C150">
        <v>24.56</v>
      </c>
      <c r="D150">
        <v>6.74</v>
      </c>
      <c r="E150">
        <v>0.01</v>
      </c>
      <c r="F150">
        <v>4.2</v>
      </c>
      <c r="G150">
        <v>149</v>
      </c>
      <c r="H150">
        <v>665</v>
      </c>
      <c r="I150">
        <v>1123</v>
      </c>
      <c r="J150">
        <v>67</v>
      </c>
    </row>
    <row r="151" spans="1:10">
      <c r="A151">
        <v>6417</v>
      </c>
      <c r="B151" t="s">
        <v>6291</v>
      </c>
      <c r="C151">
        <v>24.56</v>
      </c>
      <c r="D151">
        <v>11.61</v>
      </c>
      <c r="E151">
        <v>0</v>
      </c>
      <c r="F151">
        <v>0</v>
      </c>
      <c r="G151">
        <v>149</v>
      </c>
      <c r="H151">
        <v>444</v>
      </c>
      <c r="I151" t="s">
        <v>6279</v>
      </c>
      <c r="J151" t="s">
        <v>6279</v>
      </c>
    </row>
    <row r="152" spans="1:10">
      <c r="A152">
        <v>4133</v>
      </c>
      <c r="B152" t="s">
        <v>5522</v>
      </c>
      <c r="C152">
        <v>24.53</v>
      </c>
      <c r="D152">
        <v>20.58</v>
      </c>
      <c r="E152">
        <v>3.78</v>
      </c>
      <c r="F152">
        <v>0</v>
      </c>
      <c r="G152">
        <v>151</v>
      </c>
      <c r="H152">
        <v>273</v>
      </c>
      <c r="I152">
        <v>37</v>
      </c>
      <c r="J152" t="s">
        <v>6279</v>
      </c>
    </row>
    <row r="153" spans="1:10">
      <c r="A153">
        <v>4968</v>
      </c>
      <c r="B153" t="s">
        <v>5629</v>
      </c>
      <c r="C153">
        <v>24.48</v>
      </c>
      <c r="D153">
        <v>30.94</v>
      </c>
      <c r="E153">
        <v>1.65</v>
      </c>
      <c r="F153">
        <v>2.79</v>
      </c>
      <c r="G153">
        <v>152</v>
      </c>
      <c r="H153">
        <v>175</v>
      </c>
      <c r="I153">
        <v>97</v>
      </c>
      <c r="J153">
        <v>96</v>
      </c>
    </row>
    <row r="154" spans="1:10">
      <c r="A154">
        <v>6276</v>
      </c>
      <c r="B154" t="s">
        <v>5846</v>
      </c>
      <c r="C154">
        <v>24.34</v>
      </c>
      <c r="D154">
        <v>3.2</v>
      </c>
      <c r="E154">
        <v>0.03</v>
      </c>
      <c r="F154">
        <v>0</v>
      </c>
      <c r="G154">
        <v>153</v>
      </c>
      <c r="H154">
        <v>908</v>
      </c>
      <c r="I154">
        <v>990</v>
      </c>
      <c r="J154" t="s">
        <v>6279</v>
      </c>
    </row>
    <row r="155" spans="1:10">
      <c r="A155">
        <v>4121</v>
      </c>
      <c r="B155" t="s">
        <v>5516</v>
      </c>
      <c r="C155">
        <v>24.3</v>
      </c>
      <c r="D155">
        <v>4.2699999999999996</v>
      </c>
      <c r="E155">
        <v>1.48</v>
      </c>
      <c r="F155">
        <v>0</v>
      </c>
      <c r="G155">
        <v>154</v>
      </c>
      <c r="H155">
        <v>829</v>
      </c>
      <c r="I155">
        <v>111</v>
      </c>
      <c r="J155" t="s">
        <v>6279</v>
      </c>
    </row>
    <row r="156" spans="1:10">
      <c r="A156">
        <v>6251</v>
      </c>
      <c r="B156" t="s">
        <v>5835</v>
      </c>
      <c r="C156">
        <v>24.29</v>
      </c>
      <c r="D156">
        <v>16.37</v>
      </c>
      <c r="E156">
        <v>0.94</v>
      </c>
      <c r="F156">
        <v>0</v>
      </c>
      <c r="G156">
        <v>155</v>
      </c>
      <c r="H156">
        <v>340</v>
      </c>
      <c r="I156">
        <v>186</v>
      </c>
      <c r="J156" t="s">
        <v>6279</v>
      </c>
    </row>
    <row r="157" spans="1:10">
      <c r="A157">
        <v>3594</v>
      </c>
      <c r="B157" t="s">
        <v>5459</v>
      </c>
      <c r="C157">
        <v>24.26</v>
      </c>
      <c r="D157">
        <v>0.31</v>
      </c>
      <c r="E157">
        <v>0.4</v>
      </c>
      <c r="F157">
        <v>1.78</v>
      </c>
      <c r="G157">
        <v>156</v>
      </c>
      <c r="H157">
        <v>1387</v>
      </c>
      <c r="I157">
        <v>378</v>
      </c>
      <c r="J157">
        <v>139</v>
      </c>
    </row>
    <row r="158" spans="1:10">
      <c r="A158">
        <v>3707</v>
      </c>
      <c r="B158" t="s">
        <v>5500</v>
      </c>
      <c r="C158">
        <v>24.17</v>
      </c>
      <c r="D158">
        <v>10.38</v>
      </c>
      <c r="E158">
        <v>0.43</v>
      </c>
      <c r="F158">
        <v>5.18</v>
      </c>
      <c r="G158">
        <v>157</v>
      </c>
      <c r="H158">
        <v>493</v>
      </c>
      <c r="I158">
        <v>350</v>
      </c>
      <c r="J158">
        <v>54</v>
      </c>
    </row>
    <row r="159" spans="1:10">
      <c r="A159">
        <v>2484</v>
      </c>
      <c r="B159" t="s">
        <v>5142</v>
      </c>
      <c r="C159">
        <v>24.15</v>
      </c>
      <c r="D159">
        <v>5.39</v>
      </c>
      <c r="E159">
        <v>0.13</v>
      </c>
      <c r="F159">
        <v>0</v>
      </c>
      <c r="G159">
        <v>158</v>
      </c>
      <c r="H159">
        <v>752</v>
      </c>
      <c r="I159">
        <v>671</v>
      </c>
      <c r="J159" t="s">
        <v>6279</v>
      </c>
    </row>
    <row r="160" spans="1:10">
      <c r="A160">
        <v>6190</v>
      </c>
      <c r="B160" t="s">
        <v>5797</v>
      </c>
      <c r="C160">
        <v>24.12</v>
      </c>
      <c r="D160">
        <v>1.1200000000000001</v>
      </c>
      <c r="E160">
        <v>0.02</v>
      </c>
      <c r="F160">
        <v>0</v>
      </c>
      <c r="G160">
        <v>159</v>
      </c>
      <c r="H160">
        <v>1204</v>
      </c>
      <c r="I160">
        <v>1051</v>
      </c>
      <c r="J160" t="s">
        <v>6279</v>
      </c>
    </row>
    <row r="161" spans="1:10">
      <c r="A161">
        <v>5608</v>
      </c>
      <c r="B161" t="s">
        <v>5721</v>
      </c>
      <c r="C161">
        <v>24.04</v>
      </c>
      <c r="D161">
        <v>5.13</v>
      </c>
      <c r="E161">
        <v>0.92</v>
      </c>
      <c r="F161">
        <v>0.01</v>
      </c>
      <c r="G161">
        <v>160</v>
      </c>
      <c r="H161">
        <v>771</v>
      </c>
      <c r="I161">
        <v>190</v>
      </c>
      <c r="J161">
        <v>495</v>
      </c>
    </row>
    <row r="162" spans="1:10">
      <c r="A162">
        <v>1727</v>
      </c>
      <c r="B162" t="s">
        <v>4937</v>
      </c>
      <c r="C162">
        <v>23.89</v>
      </c>
      <c r="D162">
        <v>2.41</v>
      </c>
      <c r="E162">
        <v>0.52</v>
      </c>
      <c r="F162">
        <v>0.1</v>
      </c>
      <c r="G162">
        <v>161</v>
      </c>
      <c r="H162">
        <v>993</v>
      </c>
      <c r="I162">
        <v>313</v>
      </c>
      <c r="J162">
        <v>377</v>
      </c>
    </row>
    <row r="163" spans="1:10">
      <c r="A163">
        <v>3491</v>
      </c>
      <c r="B163" t="s">
        <v>5418</v>
      </c>
      <c r="C163">
        <v>23.88</v>
      </c>
      <c r="D163">
        <v>13.88</v>
      </c>
      <c r="E163">
        <v>0.76</v>
      </c>
      <c r="F163">
        <v>1.4</v>
      </c>
      <c r="G163">
        <v>162</v>
      </c>
      <c r="H163">
        <v>389</v>
      </c>
      <c r="I163">
        <v>221</v>
      </c>
      <c r="J163">
        <v>159</v>
      </c>
    </row>
    <row r="164" spans="1:10">
      <c r="A164">
        <v>6538</v>
      </c>
      <c r="B164" t="s">
        <v>5903</v>
      </c>
      <c r="C164">
        <v>23.82</v>
      </c>
      <c r="D164">
        <v>3.74</v>
      </c>
      <c r="E164">
        <v>0.71</v>
      </c>
      <c r="F164">
        <v>1.07</v>
      </c>
      <c r="G164">
        <v>163</v>
      </c>
      <c r="H164">
        <v>858</v>
      </c>
      <c r="I164">
        <v>251</v>
      </c>
      <c r="J164">
        <v>188</v>
      </c>
    </row>
    <row r="165" spans="1:10">
      <c r="A165">
        <v>5201</v>
      </c>
      <c r="B165" t="s">
        <v>6293</v>
      </c>
      <c r="C165">
        <v>23.72</v>
      </c>
      <c r="D165">
        <v>5.6</v>
      </c>
      <c r="E165">
        <v>0.13</v>
      </c>
      <c r="F165">
        <v>0</v>
      </c>
      <c r="G165">
        <v>164</v>
      </c>
      <c r="H165">
        <v>739</v>
      </c>
      <c r="I165">
        <v>671</v>
      </c>
      <c r="J165" t="s">
        <v>6279</v>
      </c>
    </row>
    <row r="166" spans="1:10">
      <c r="A166">
        <v>3128</v>
      </c>
      <c r="B166" t="s">
        <v>5323</v>
      </c>
      <c r="C166">
        <v>23.7</v>
      </c>
      <c r="D166">
        <v>2.87</v>
      </c>
      <c r="E166">
        <v>0.74</v>
      </c>
      <c r="F166">
        <v>0</v>
      </c>
      <c r="G166">
        <v>165</v>
      </c>
      <c r="H166">
        <v>938</v>
      </c>
      <c r="I166">
        <v>225</v>
      </c>
      <c r="J166" t="s">
        <v>6279</v>
      </c>
    </row>
    <row r="167" spans="1:10">
      <c r="A167">
        <v>3714</v>
      </c>
      <c r="B167" t="s">
        <v>5504</v>
      </c>
      <c r="C167">
        <v>23.66</v>
      </c>
      <c r="D167">
        <v>14.23</v>
      </c>
      <c r="E167">
        <v>0.02</v>
      </c>
      <c r="F167">
        <v>0.39</v>
      </c>
      <c r="G167">
        <v>166</v>
      </c>
      <c r="H167">
        <v>381</v>
      </c>
      <c r="I167">
        <v>1051</v>
      </c>
      <c r="J167">
        <v>272</v>
      </c>
    </row>
    <row r="168" spans="1:10">
      <c r="A168">
        <v>4961</v>
      </c>
      <c r="B168" t="s">
        <v>5626</v>
      </c>
      <c r="C168">
        <v>23.6</v>
      </c>
      <c r="D168">
        <v>7.66</v>
      </c>
      <c r="E168">
        <v>0.99</v>
      </c>
      <c r="F168">
        <v>0.21</v>
      </c>
      <c r="G168">
        <v>167</v>
      </c>
      <c r="H168">
        <v>596</v>
      </c>
      <c r="I168">
        <v>174</v>
      </c>
      <c r="J168">
        <v>324</v>
      </c>
    </row>
    <row r="169" spans="1:10">
      <c r="A169">
        <v>6290</v>
      </c>
      <c r="B169" t="s">
        <v>5856</v>
      </c>
      <c r="C169">
        <v>23.54</v>
      </c>
      <c r="D169">
        <v>2.79</v>
      </c>
      <c r="E169">
        <v>0.08</v>
      </c>
      <c r="F169">
        <v>7.0000000000000007E-2</v>
      </c>
      <c r="G169">
        <v>168</v>
      </c>
      <c r="H169">
        <v>942</v>
      </c>
      <c r="I169">
        <v>790</v>
      </c>
      <c r="J169">
        <v>403</v>
      </c>
    </row>
    <row r="170" spans="1:10">
      <c r="A170">
        <v>3285</v>
      </c>
      <c r="B170" t="s">
        <v>6292</v>
      </c>
      <c r="C170">
        <v>23.5</v>
      </c>
      <c r="D170">
        <v>0.81</v>
      </c>
      <c r="E170">
        <v>0</v>
      </c>
      <c r="F170">
        <v>0</v>
      </c>
      <c r="G170">
        <v>169</v>
      </c>
      <c r="H170">
        <v>1259</v>
      </c>
      <c r="I170" t="s">
        <v>6279</v>
      </c>
      <c r="J170" t="s">
        <v>6279</v>
      </c>
    </row>
    <row r="171" spans="1:10">
      <c r="A171">
        <v>3490</v>
      </c>
      <c r="B171" t="s">
        <v>5417</v>
      </c>
      <c r="C171">
        <v>23.38</v>
      </c>
      <c r="D171">
        <v>4.21</v>
      </c>
      <c r="E171">
        <v>0.59</v>
      </c>
      <c r="F171">
        <v>0</v>
      </c>
      <c r="G171">
        <v>170</v>
      </c>
      <c r="H171">
        <v>836</v>
      </c>
      <c r="I171">
        <v>286</v>
      </c>
      <c r="J171" t="s">
        <v>6279</v>
      </c>
    </row>
    <row r="172" spans="1:10">
      <c r="A172">
        <v>6233</v>
      </c>
      <c r="B172" t="s">
        <v>5825</v>
      </c>
      <c r="C172">
        <v>23.38</v>
      </c>
      <c r="D172">
        <v>4.1100000000000003</v>
      </c>
      <c r="E172">
        <v>0.85</v>
      </c>
      <c r="F172">
        <v>0</v>
      </c>
      <c r="G172">
        <v>170</v>
      </c>
      <c r="H172">
        <v>840</v>
      </c>
      <c r="I172">
        <v>204</v>
      </c>
      <c r="J172" t="s">
        <v>6279</v>
      </c>
    </row>
    <row r="173" spans="1:10">
      <c r="A173">
        <v>3055</v>
      </c>
      <c r="B173" t="s">
        <v>5305</v>
      </c>
      <c r="C173">
        <v>23.27</v>
      </c>
      <c r="D173">
        <v>1.69</v>
      </c>
      <c r="E173">
        <v>0.04</v>
      </c>
      <c r="F173">
        <v>0</v>
      </c>
      <c r="G173">
        <v>172</v>
      </c>
      <c r="H173">
        <v>1100</v>
      </c>
      <c r="I173">
        <v>946</v>
      </c>
      <c r="J173" t="s">
        <v>6279</v>
      </c>
    </row>
    <row r="174" spans="1:10">
      <c r="A174">
        <v>5902</v>
      </c>
      <c r="B174" t="s">
        <v>5729</v>
      </c>
      <c r="C174">
        <v>23.26</v>
      </c>
      <c r="D174">
        <v>0.11</v>
      </c>
      <c r="E174">
        <v>0.16</v>
      </c>
      <c r="F174">
        <v>0</v>
      </c>
      <c r="G174">
        <v>173</v>
      </c>
      <c r="H174">
        <v>1440</v>
      </c>
      <c r="I174">
        <v>615</v>
      </c>
      <c r="J174" t="s">
        <v>6279</v>
      </c>
    </row>
    <row r="175" spans="1:10">
      <c r="A175">
        <v>2406</v>
      </c>
      <c r="B175" t="s">
        <v>5091</v>
      </c>
      <c r="C175">
        <v>23.22</v>
      </c>
      <c r="D175">
        <v>5.15</v>
      </c>
      <c r="E175">
        <v>0.41</v>
      </c>
      <c r="F175">
        <v>0</v>
      </c>
      <c r="G175">
        <v>174</v>
      </c>
      <c r="H175">
        <v>768</v>
      </c>
      <c r="I175">
        <v>365</v>
      </c>
      <c r="J175" t="s">
        <v>6279</v>
      </c>
    </row>
    <row r="176" spans="1:10">
      <c r="A176">
        <v>2455</v>
      </c>
      <c r="B176" t="s">
        <v>5120</v>
      </c>
      <c r="C176">
        <v>23.17</v>
      </c>
      <c r="D176">
        <v>27.68</v>
      </c>
      <c r="E176">
        <v>1.81</v>
      </c>
      <c r="F176">
        <v>1.08</v>
      </c>
      <c r="G176">
        <v>175</v>
      </c>
      <c r="H176">
        <v>198</v>
      </c>
      <c r="I176">
        <v>85</v>
      </c>
      <c r="J176">
        <v>187</v>
      </c>
    </row>
    <row r="177" spans="1:10">
      <c r="A177">
        <v>4720</v>
      </c>
      <c r="B177" t="s">
        <v>5586</v>
      </c>
      <c r="C177">
        <v>22.95</v>
      </c>
      <c r="D177">
        <v>3.33</v>
      </c>
      <c r="E177">
        <v>0.42</v>
      </c>
      <c r="F177">
        <v>0</v>
      </c>
      <c r="G177">
        <v>176</v>
      </c>
      <c r="H177">
        <v>897</v>
      </c>
      <c r="I177">
        <v>357</v>
      </c>
      <c r="J177" t="s">
        <v>6279</v>
      </c>
    </row>
    <row r="178" spans="1:10">
      <c r="A178">
        <v>3025</v>
      </c>
      <c r="B178" t="s">
        <v>5280</v>
      </c>
      <c r="C178">
        <v>22.92</v>
      </c>
      <c r="D178">
        <v>1.46</v>
      </c>
      <c r="E178">
        <v>0.36</v>
      </c>
      <c r="F178">
        <v>0</v>
      </c>
      <c r="G178">
        <v>177</v>
      </c>
      <c r="H178">
        <v>1133</v>
      </c>
      <c r="I178">
        <v>403</v>
      </c>
      <c r="J178" t="s">
        <v>6279</v>
      </c>
    </row>
    <row r="179" spans="1:10">
      <c r="A179">
        <v>4976</v>
      </c>
      <c r="B179" t="s">
        <v>5633</v>
      </c>
      <c r="C179">
        <v>22.84</v>
      </c>
      <c r="D179">
        <v>1.04</v>
      </c>
      <c r="E179">
        <v>0.21</v>
      </c>
      <c r="F179">
        <v>0</v>
      </c>
      <c r="G179">
        <v>178</v>
      </c>
      <c r="H179">
        <v>1216</v>
      </c>
      <c r="I179">
        <v>550</v>
      </c>
      <c r="J179" t="s">
        <v>6279</v>
      </c>
    </row>
    <row r="180" spans="1:10">
      <c r="A180">
        <v>9958</v>
      </c>
      <c r="B180" t="s">
        <v>6100</v>
      </c>
      <c r="C180">
        <v>22.74</v>
      </c>
      <c r="D180">
        <v>9.99</v>
      </c>
      <c r="E180">
        <v>0.43</v>
      </c>
      <c r="F180">
        <v>4.8600000000000003</v>
      </c>
      <c r="G180">
        <v>179</v>
      </c>
      <c r="H180">
        <v>509</v>
      </c>
      <c r="I180">
        <v>350</v>
      </c>
      <c r="J180">
        <v>59</v>
      </c>
    </row>
    <row r="181" spans="1:10">
      <c r="A181">
        <v>3508</v>
      </c>
      <c r="B181" t="s">
        <v>5424</v>
      </c>
      <c r="C181">
        <v>22.7</v>
      </c>
      <c r="D181">
        <v>6.33</v>
      </c>
      <c r="E181">
        <v>2.41</v>
      </c>
      <c r="F181">
        <v>0</v>
      </c>
      <c r="G181">
        <v>180</v>
      </c>
      <c r="H181">
        <v>692</v>
      </c>
      <c r="I181">
        <v>62</v>
      </c>
      <c r="J181" t="s">
        <v>6279</v>
      </c>
    </row>
    <row r="182" spans="1:10">
      <c r="A182">
        <v>6477</v>
      </c>
      <c r="B182" t="s">
        <v>5882</v>
      </c>
      <c r="C182">
        <v>22.66</v>
      </c>
      <c r="D182">
        <v>3.35</v>
      </c>
      <c r="E182">
        <v>0.7</v>
      </c>
      <c r="F182">
        <v>7.22</v>
      </c>
      <c r="G182">
        <v>181</v>
      </c>
      <c r="H182">
        <v>894</v>
      </c>
      <c r="I182">
        <v>253</v>
      </c>
      <c r="J182">
        <v>27</v>
      </c>
    </row>
    <row r="183" spans="1:10">
      <c r="A183">
        <v>4912</v>
      </c>
      <c r="B183" t="s">
        <v>5608</v>
      </c>
      <c r="C183">
        <v>22.52</v>
      </c>
      <c r="D183">
        <v>30.49</v>
      </c>
      <c r="E183">
        <v>7.0000000000000007E-2</v>
      </c>
      <c r="F183">
        <v>0</v>
      </c>
      <c r="G183">
        <v>182</v>
      </c>
      <c r="H183">
        <v>180</v>
      </c>
      <c r="I183">
        <v>825</v>
      </c>
      <c r="J183" t="s">
        <v>6279</v>
      </c>
    </row>
    <row r="184" spans="1:10">
      <c r="A184">
        <v>3260</v>
      </c>
      <c r="B184" t="s">
        <v>5356</v>
      </c>
      <c r="C184">
        <v>22.47</v>
      </c>
      <c r="D184">
        <v>7.48</v>
      </c>
      <c r="E184">
        <v>0.54</v>
      </c>
      <c r="F184">
        <v>0.06</v>
      </c>
      <c r="G184">
        <v>183</v>
      </c>
      <c r="H184">
        <v>605</v>
      </c>
      <c r="I184">
        <v>302</v>
      </c>
      <c r="J184">
        <v>413</v>
      </c>
    </row>
    <row r="185" spans="1:10">
      <c r="A185">
        <v>2030</v>
      </c>
      <c r="B185" t="s">
        <v>4989</v>
      </c>
      <c r="C185">
        <v>21.95</v>
      </c>
      <c r="D185">
        <v>4.87</v>
      </c>
      <c r="E185">
        <v>0.72</v>
      </c>
      <c r="F185">
        <v>0.03</v>
      </c>
      <c r="G185">
        <v>184</v>
      </c>
      <c r="H185">
        <v>789</v>
      </c>
      <c r="I185">
        <v>240</v>
      </c>
      <c r="J185">
        <v>459</v>
      </c>
    </row>
    <row r="186" spans="1:10">
      <c r="A186">
        <v>6122</v>
      </c>
      <c r="B186" t="s">
        <v>5751</v>
      </c>
      <c r="C186">
        <v>21.94</v>
      </c>
      <c r="D186">
        <v>3.24</v>
      </c>
      <c r="E186">
        <v>0.02</v>
      </c>
      <c r="F186">
        <v>0</v>
      </c>
      <c r="G186">
        <v>185</v>
      </c>
      <c r="H186">
        <v>904</v>
      </c>
      <c r="I186">
        <v>1051</v>
      </c>
      <c r="J186" t="s">
        <v>6279</v>
      </c>
    </row>
    <row r="187" spans="1:10">
      <c r="A187">
        <v>8103</v>
      </c>
      <c r="B187" t="s">
        <v>5981</v>
      </c>
      <c r="C187">
        <v>21.93</v>
      </c>
      <c r="D187">
        <v>13.25</v>
      </c>
      <c r="E187">
        <v>0.88</v>
      </c>
      <c r="F187">
        <v>0</v>
      </c>
      <c r="G187">
        <v>186</v>
      </c>
      <c r="H187">
        <v>403</v>
      </c>
      <c r="I187">
        <v>197</v>
      </c>
      <c r="J187" t="s">
        <v>6279</v>
      </c>
    </row>
    <row r="188" spans="1:10">
      <c r="A188">
        <v>6243</v>
      </c>
      <c r="B188" t="s">
        <v>5831</v>
      </c>
      <c r="C188">
        <v>21.89</v>
      </c>
      <c r="D188">
        <v>0.97</v>
      </c>
      <c r="E188">
        <v>0.72</v>
      </c>
      <c r="F188">
        <v>0.13</v>
      </c>
      <c r="G188">
        <v>187</v>
      </c>
      <c r="H188">
        <v>1226</v>
      </c>
      <c r="I188">
        <v>240</v>
      </c>
      <c r="J188">
        <v>354</v>
      </c>
    </row>
    <row r="189" spans="1:10">
      <c r="A189">
        <v>3615</v>
      </c>
      <c r="B189" t="s">
        <v>5466</v>
      </c>
      <c r="C189">
        <v>21.85</v>
      </c>
      <c r="D189">
        <v>0.91</v>
      </c>
      <c r="E189">
        <v>0.12</v>
      </c>
      <c r="F189">
        <v>0</v>
      </c>
      <c r="G189">
        <v>188</v>
      </c>
      <c r="H189">
        <v>1240</v>
      </c>
      <c r="I189">
        <v>696</v>
      </c>
      <c r="J189" t="s">
        <v>6279</v>
      </c>
    </row>
    <row r="190" spans="1:10">
      <c r="A190">
        <v>3062</v>
      </c>
      <c r="B190" t="s">
        <v>5309</v>
      </c>
      <c r="C190">
        <v>21.8</v>
      </c>
      <c r="D190">
        <v>11.92</v>
      </c>
      <c r="E190">
        <v>0.25</v>
      </c>
      <c r="F190">
        <v>0</v>
      </c>
      <c r="G190">
        <v>189</v>
      </c>
      <c r="H190">
        <v>434</v>
      </c>
      <c r="I190">
        <v>508</v>
      </c>
      <c r="J190" t="s">
        <v>6279</v>
      </c>
    </row>
    <row r="191" spans="1:10">
      <c r="A191">
        <v>6462</v>
      </c>
      <c r="B191" t="s">
        <v>5878</v>
      </c>
      <c r="C191">
        <v>21.78</v>
      </c>
      <c r="D191">
        <v>17.82</v>
      </c>
      <c r="E191">
        <v>2.2599999999999998</v>
      </c>
      <c r="F191">
        <v>0</v>
      </c>
      <c r="G191">
        <v>190</v>
      </c>
      <c r="H191">
        <v>310</v>
      </c>
      <c r="I191">
        <v>71</v>
      </c>
      <c r="J191" t="s">
        <v>6279</v>
      </c>
    </row>
    <row r="192" spans="1:10">
      <c r="A192">
        <v>3094</v>
      </c>
      <c r="B192" t="s">
        <v>5318</v>
      </c>
      <c r="C192">
        <v>21.67</v>
      </c>
      <c r="D192">
        <v>2.16</v>
      </c>
      <c r="E192">
        <v>0.12</v>
      </c>
      <c r="F192">
        <v>0</v>
      </c>
      <c r="G192">
        <v>191</v>
      </c>
      <c r="H192">
        <v>1021</v>
      </c>
      <c r="I192">
        <v>696</v>
      </c>
      <c r="J192" t="s">
        <v>6279</v>
      </c>
    </row>
    <row r="193" spans="1:10">
      <c r="A193">
        <v>6165</v>
      </c>
      <c r="B193" t="s">
        <v>5778</v>
      </c>
      <c r="C193">
        <v>21.65</v>
      </c>
      <c r="D193">
        <v>2.0299999999999998</v>
      </c>
      <c r="E193">
        <v>0.02</v>
      </c>
      <c r="F193">
        <v>0</v>
      </c>
      <c r="G193">
        <v>192</v>
      </c>
      <c r="H193">
        <v>1050</v>
      </c>
      <c r="I193">
        <v>1051</v>
      </c>
      <c r="J193" t="s">
        <v>6279</v>
      </c>
    </row>
    <row r="194" spans="1:10">
      <c r="A194">
        <v>1721</v>
      </c>
      <c r="B194" t="s">
        <v>4933</v>
      </c>
      <c r="C194">
        <v>21.57</v>
      </c>
      <c r="D194">
        <v>1.65</v>
      </c>
      <c r="E194">
        <v>1.72</v>
      </c>
      <c r="F194">
        <v>0</v>
      </c>
      <c r="G194">
        <v>193</v>
      </c>
      <c r="H194">
        <v>1104</v>
      </c>
      <c r="I194">
        <v>89</v>
      </c>
      <c r="J194" t="s">
        <v>6279</v>
      </c>
    </row>
    <row r="195" spans="1:10">
      <c r="A195">
        <v>6405</v>
      </c>
      <c r="B195" t="s">
        <v>5858</v>
      </c>
      <c r="C195">
        <v>21.55</v>
      </c>
      <c r="D195">
        <v>0.57999999999999996</v>
      </c>
      <c r="E195">
        <v>0.03</v>
      </c>
      <c r="F195">
        <v>0</v>
      </c>
      <c r="G195">
        <v>194</v>
      </c>
      <c r="H195">
        <v>1312</v>
      </c>
      <c r="I195">
        <v>990</v>
      </c>
      <c r="J195" t="s">
        <v>6279</v>
      </c>
    </row>
    <row r="196" spans="1:10">
      <c r="A196">
        <v>8016</v>
      </c>
      <c r="B196" t="s">
        <v>5951</v>
      </c>
      <c r="C196">
        <v>21.32</v>
      </c>
      <c r="D196">
        <v>25.49</v>
      </c>
      <c r="E196">
        <v>0.59</v>
      </c>
      <c r="F196">
        <v>1.1000000000000001</v>
      </c>
      <c r="G196">
        <v>195</v>
      </c>
      <c r="H196">
        <v>218</v>
      </c>
      <c r="I196">
        <v>286</v>
      </c>
      <c r="J196">
        <v>184</v>
      </c>
    </row>
    <row r="197" spans="1:10">
      <c r="A197">
        <v>1760</v>
      </c>
      <c r="B197" t="s">
        <v>4948</v>
      </c>
      <c r="C197">
        <v>21.19</v>
      </c>
      <c r="D197">
        <v>11.39</v>
      </c>
      <c r="E197">
        <v>1.7</v>
      </c>
      <c r="F197">
        <v>0</v>
      </c>
      <c r="G197">
        <v>196</v>
      </c>
      <c r="H197">
        <v>453</v>
      </c>
      <c r="I197">
        <v>91</v>
      </c>
      <c r="J197" t="s">
        <v>6279</v>
      </c>
    </row>
    <row r="198" spans="1:10">
      <c r="A198">
        <v>4804</v>
      </c>
      <c r="B198" t="s">
        <v>5602</v>
      </c>
      <c r="C198">
        <v>20.99</v>
      </c>
      <c r="D198">
        <v>12.29</v>
      </c>
      <c r="E198">
        <v>0.46</v>
      </c>
      <c r="F198">
        <v>0</v>
      </c>
      <c r="G198">
        <v>197</v>
      </c>
      <c r="H198">
        <v>424</v>
      </c>
      <c r="I198">
        <v>336</v>
      </c>
      <c r="J198" t="s">
        <v>6279</v>
      </c>
    </row>
    <row r="199" spans="1:10">
      <c r="A199">
        <v>8086</v>
      </c>
      <c r="B199" t="s">
        <v>5974</v>
      </c>
      <c r="C199">
        <v>20.99</v>
      </c>
      <c r="D199">
        <v>9.6999999999999993</v>
      </c>
      <c r="E199">
        <v>0.55000000000000004</v>
      </c>
      <c r="F199">
        <v>0.22</v>
      </c>
      <c r="G199">
        <v>197</v>
      </c>
      <c r="H199">
        <v>519</v>
      </c>
      <c r="I199">
        <v>298</v>
      </c>
      <c r="J199">
        <v>318</v>
      </c>
    </row>
    <row r="200" spans="1:10">
      <c r="A200">
        <v>6170</v>
      </c>
      <c r="B200" t="s">
        <v>5781</v>
      </c>
      <c r="C200">
        <v>20.96</v>
      </c>
      <c r="D200">
        <v>1.53</v>
      </c>
      <c r="E200">
        <v>1.02</v>
      </c>
      <c r="F200">
        <v>0</v>
      </c>
      <c r="G200">
        <v>199</v>
      </c>
      <c r="H200">
        <v>1120</v>
      </c>
      <c r="I200">
        <v>169</v>
      </c>
      <c r="J200" t="s">
        <v>6279</v>
      </c>
    </row>
    <row r="201" spans="1:10">
      <c r="A201">
        <v>6138</v>
      </c>
      <c r="B201" t="s">
        <v>5760</v>
      </c>
      <c r="C201">
        <v>20.95</v>
      </c>
      <c r="D201">
        <v>18.11</v>
      </c>
      <c r="E201">
        <v>1.26</v>
      </c>
      <c r="F201">
        <v>5.69</v>
      </c>
      <c r="G201">
        <v>200</v>
      </c>
      <c r="H201">
        <v>305</v>
      </c>
      <c r="I201">
        <v>134</v>
      </c>
      <c r="J201">
        <v>42</v>
      </c>
    </row>
    <row r="202" spans="1:10">
      <c r="A202">
        <v>1454</v>
      </c>
      <c r="B202" t="s">
        <v>4847</v>
      </c>
      <c r="C202">
        <v>20.89</v>
      </c>
      <c r="D202">
        <v>0.91</v>
      </c>
      <c r="E202">
        <v>0.03</v>
      </c>
      <c r="F202">
        <v>0</v>
      </c>
      <c r="G202">
        <v>201</v>
      </c>
      <c r="H202">
        <v>1240</v>
      </c>
      <c r="I202">
        <v>990</v>
      </c>
      <c r="J202" t="s">
        <v>6279</v>
      </c>
    </row>
    <row r="203" spans="1:10">
      <c r="A203">
        <v>6532</v>
      </c>
      <c r="B203" t="s">
        <v>5901</v>
      </c>
      <c r="C203">
        <v>20.73</v>
      </c>
      <c r="D203">
        <v>2.36</v>
      </c>
      <c r="E203">
        <v>0.5</v>
      </c>
      <c r="F203">
        <v>0</v>
      </c>
      <c r="G203">
        <v>202</v>
      </c>
      <c r="H203">
        <v>1002</v>
      </c>
      <c r="I203">
        <v>319</v>
      </c>
      <c r="J203" t="s">
        <v>6279</v>
      </c>
    </row>
    <row r="204" spans="1:10">
      <c r="A204">
        <v>4116</v>
      </c>
      <c r="B204" t="s">
        <v>5513</v>
      </c>
      <c r="C204">
        <v>20.67</v>
      </c>
      <c r="D204">
        <v>0.31</v>
      </c>
      <c r="E204">
        <v>0.14000000000000001</v>
      </c>
      <c r="F204">
        <v>0</v>
      </c>
      <c r="G204">
        <v>203</v>
      </c>
      <c r="H204">
        <v>1387</v>
      </c>
      <c r="I204">
        <v>649</v>
      </c>
      <c r="J204" t="s">
        <v>6279</v>
      </c>
    </row>
    <row r="205" spans="1:10">
      <c r="A205">
        <v>5432</v>
      </c>
      <c r="B205" t="s">
        <v>5687</v>
      </c>
      <c r="C205">
        <v>20.67</v>
      </c>
      <c r="D205">
        <v>0.06</v>
      </c>
      <c r="E205">
        <v>0</v>
      </c>
      <c r="F205">
        <v>0</v>
      </c>
      <c r="G205">
        <v>203</v>
      </c>
      <c r="H205">
        <v>1454</v>
      </c>
      <c r="I205" t="s">
        <v>6279</v>
      </c>
      <c r="J205" t="s">
        <v>6279</v>
      </c>
    </row>
    <row r="206" spans="1:10">
      <c r="A206">
        <v>4139</v>
      </c>
      <c r="B206" t="s">
        <v>6294</v>
      </c>
      <c r="C206">
        <v>20.65</v>
      </c>
      <c r="D206">
        <v>23.33</v>
      </c>
      <c r="E206">
        <v>0.65</v>
      </c>
      <c r="F206">
        <v>0</v>
      </c>
      <c r="G206">
        <v>205</v>
      </c>
      <c r="H206">
        <v>237</v>
      </c>
      <c r="I206">
        <v>269</v>
      </c>
      <c r="J206" t="s">
        <v>6279</v>
      </c>
    </row>
    <row r="207" spans="1:10">
      <c r="A207">
        <v>6164</v>
      </c>
      <c r="B207" t="s">
        <v>5777</v>
      </c>
      <c r="C207">
        <v>20.62</v>
      </c>
      <c r="D207">
        <v>0.97</v>
      </c>
      <c r="E207">
        <v>0.09</v>
      </c>
      <c r="F207">
        <v>0</v>
      </c>
      <c r="G207">
        <v>206</v>
      </c>
      <c r="H207">
        <v>1226</v>
      </c>
      <c r="I207">
        <v>762</v>
      </c>
      <c r="J207" t="s">
        <v>6279</v>
      </c>
    </row>
    <row r="208" spans="1:10">
      <c r="A208">
        <v>8936</v>
      </c>
      <c r="B208" t="s">
        <v>6061</v>
      </c>
      <c r="C208">
        <v>20.61</v>
      </c>
      <c r="D208">
        <v>5.84</v>
      </c>
      <c r="E208">
        <v>0.02</v>
      </c>
      <c r="F208">
        <v>0</v>
      </c>
      <c r="G208">
        <v>207</v>
      </c>
      <c r="H208">
        <v>714</v>
      </c>
      <c r="I208">
        <v>1051</v>
      </c>
      <c r="J208" t="s">
        <v>6279</v>
      </c>
    </row>
    <row r="209" spans="1:10">
      <c r="A209">
        <v>3339</v>
      </c>
      <c r="B209" t="s">
        <v>5381</v>
      </c>
      <c r="C209">
        <v>20.56</v>
      </c>
      <c r="D209">
        <v>2.83</v>
      </c>
      <c r="E209">
        <v>0.41</v>
      </c>
      <c r="F209">
        <v>0</v>
      </c>
      <c r="G209">
        <v>208</v>
      </c>
      <c r="H209">
        <v>941</v>
      </c>
      <c r="I209">
        <v>365</v>
      </c>
      <c r="J209" t="s">
        <v>6279</v>
      </c>
    </row>
    <row r="210" spans="1:10">
      <c r="A210">
        <v>6672</v>
      </c>
      <c r="B210" t="s">
        <v>5935</v>
      </c>
      <c r="C210">
        <v>20.48</v>
      </c>
      <c r="D210">
        <v>25.29</v>
      </c>
      <c r="E210">
        <v>0.02</v>
      </c>
      <c r="F210">
        <v>0</v>
      </c>
      <c r="G210">
        <v>209</v>
      </c>
      <c r="H210">
        <v>222</v>
      </c>
      <c r="I210">
        <v>1051</v>
      </c>
      <c r="J210" t="s">
        <v>6279</v>
      </c>
    </row>
    <row r="211" spans="1:10">
      <c r="A211">
        <v>3059</v>
      </c>
      <c r="B211" t="s">
        <v>5307</v>
      </c>
      <c r="C211">
        <v>20.34</v>
      </c>
      <c r="D211">
        <v>12.25</v>
      </c>
      <c r="E211">
        <v>0.78</v>
      </c>
      <c r="F211">
        <v>1.86</v>
      </c>
      <c r="G211">
        <v>210</v>
      </c>
      <c r="H211">
        <v>426</v>
      </c>
      <c r="I211">
        <v>218</v>
      </c>
      <c r="J211">
        <v>136</v>
      </c>
    </row>
    <row r="212" spans="1:10">
      <c r="A212">
        <v>3363</v>
      </c>
      <c r="B212" t="s">
        <v>5388</v>
      </c>
      <c r="C212">
        <v>20.329999999999998</v>
      </c>
      <c r="D212">
        <v>5.83</v>
      </c>
      <c r="E212">
        <v>0</v>
      </c>
      <c r="F212">
        <v>0</v>
      </c>
      <c r="G212">
        <v>211</v>
      </c>
      <c r="H212">
        <v>716</v>
      </c>
      <c r="I212" t="s">
        <v>6279</v>
      </c>
      <c r="J212" t="s">
        <v>6279</v>
      </c>
    </row>
    <row r="213" spans="1:10">
      <c r="A213">
        <v>6127</v>
      </c>
      <c r="B213" t="s">
        <v>5755</v>
      </c>
      <c r="C213">
        <v>20.27</v>
      </c>
      <c r="D213">
        <v>1.45</v>
      </c>
      <c r="E213">
        <v>0.09</v>
      </c>
      <c r="F213">
        <v>0</v>
      </c>
      <c r="G213">
        <v>212</v>
      </c>
      <c r="H213">
        <v>1138</v>
      </c>
      <c r="I213">
        <v>762</v>
      </c>
      <c r="J213" t="s">
        <v>6279</v>
      </c>
    </row>
    <row r="214" spans="1:10">
      <c r="A214">
        <v>4106</v>
      </c>
      <c r="B214" t="s">
        <v>630</v>
      </c>
      <c r="C214">
        <v>20.239999999999998</v>
      </c>
      <c r="D214">
        <v>2.95</v>
      </c>
      <c r="E214">
        <v>0.68</v>
      </c>
      <c r="F214">
        <v>0</v>
      </c>
      <c r="G214">
        <v>213</v>
      </c>
      <c r="H214">
        <v>932</v>
      </c>
      <c r="I214">
        <v>260</v>
      </c>
      <c r="J214" t="s">
        <v>6279</v>
      </c>
    </row>
    <row r="215" spans="1:10">
      <c r="A215">
        <v>4534</v>
      </c>
      <c r="B215" t="s">
        <v>5561</v>
      </c>
      <c r="C215">
        <v>20.12</v>
      </c>
      <c r="D215">
        <v>0.47</v>
      </c>
      <c r="E215">
        <v>0.03</v>
      </c>
      <c r="F215">
        <v>0</v>
      </c>
      <c r="G215">
        <v>214</v>
      </c>
      <c r="H215">
        <v>1341</v>
      </c>
      <c r="I215">
        <v>990</v>
      </c>
      <c r="J215" t="s">
        <v>6279</v>
      </c>
    </row>
    <row r="216" spans="1:10">
      <c r="A216">
        <v>1732</v>
      </c>
      <c r="B216" t="s">
        <v>4940</v>
      </c>
      <c r="C216">
        <v>20.03</v>
      </c>
      <c r="D216">
        <v>4.43</v>
      </c>
      <c r="E216">
        <v>2.08</v>
      </c>
      <c r="F216">
        <v>7.0000000000000007E-2</v>
      </c>
      <c r="G216">
        <v>215</v>
      </c>
      <c r="H216">
        <v>818</v>
      </c>
      <c r="I216">
        <v>77</v>
      </c>
      <c r="J216">
        <v>403</v>
      </c>
    </row>
    <row r="217" spans="1:10">
      <c r="A217">
        <v>6158</v>
      </c>
      <c r="B217" t="s">
        <v>5774</v>
      </c>
      <c r="C217">
        <v>20.010000000000002</v>
      </c>
      <c r="D217">
        <v>4.03</v>
      </c>
      <c r="E217">
        <v>0.54</v>
      </c>
      <c r="F217">
        <v>0</v>
      </c>
      <c r="G217">
        <v>216</v>
      </c>
      <c r="H217">
        <v>844</v>
      </c>
      <c r="I217">
        <v>302</v>
      </c>
      <c r="J217" t="s">
        <v>6279</v>
      </c>
    </row>
    <row r="218" spans="1:10">
      <c r="A218">
        <v>4960</v>
      </c>
      <c r="B218" t="s">
        <v>5625</v>
      </c>
      <c r="C218">
        <v>20</v>
      </c>
      <c r="D218">
        <v>3.67</v>
      </c>
      <c r="E218">
        <v>0.2</v>
      </c>
      <c r="F218">
        <v>0</v>
      </c>
      <c r="G218">
        <v>217</v>
      </c>
      <c r="H218">
        <v>862</v>
      </c>
      <c r="I218">
        <v>565</v>
      </c>
      <c r="J218" t="s">
        <v>6279</v>
      </c>
    </row>
    <row r="219" spans="1:10">
      <c r="A219">
        <v>3623</v>
      </c>
      <c r="B219" t="s">
        <v>5469</v>
      </c>
      <c r="C219">
        <v>19.87</v>
      </c>
      <c r="D219">
        <v>0.42</v>
      </c>
      <c r="E219">
        <v>0.37</v>
      </c>
      <c r="F219">
        <v>0</v>
      </c>
      <c r="G219">
        <v>218</v>
      </c>
      <c r="H219">
        <v>1352</v>
      </c>
      <c r="I219">
        <v>397</v>
      </c>
      <c r="J219" t="s">
        <v>6279</v>
      </c>
    </row>
    <row r="220" spans="1:10">
      <c r="A220">
        <v>3162</v>
      </c>
      <c r="B220" t="s">
        <v>5329</v>
      </c>
      <c r="C220">
        <v>19.809999999999999</v>
      </c>
      <c r="D220">
        <v>51.21</v>
      </c>
      <c r="E220">
        <v>0</v>
      </c>
      <c r="F220">
        <v>0</v>
      </c>
      <c r="G220">
        <v>219</v>
      </c>
      <c r="H220">
        <v>73</v>
      </c>
      <c r="I220" t="s">
        <v>6279</v>
      </c>
      <c r="J220" t="s">
        <v>6279</v>
      </c>
    </row>
    <row r="221" spans="1:10">
      <c r="A221">
        <v>3441</v>
      </c>
      <c r="B221" t="s">
        <v>5406</v>
      </c>
      <c r="C221">
        <v>19.649999999999999</v>
      </c>
      <c r="D221">
        <v>0.78</v>
      </c>
      <c r="E221">
        <v>0.7</v>
      </c>
      <c r="F221">
        <v>0</v>
      </c>
      <c r="G221">
        <v>220</v>
      </c>
      <c r="H221">
        <v>1267</v>
      </c>
      <c r="I221">
        <v>253</v>
      </c>
      <c r="J221" t="s">
        <v>6279</v>
      </c>
    </row>
    <row r="222" spans="1:10">
      <c r="A222">
        <v>3019</v>
      </c>
      <c r="B222" t="s">
        <v>5276</v>
      </c>
      <c r="C222">
        <v>19.55</v>
      </c>
      <c r="D222">
        <v>8.16</v>
      </c>
      <c r="E222">
        <v>0.74</v>
      </c>
      <c r="F222">
        <v>0.21</v>
      </c>
      <c r="G222">
        <v>221</v>
      </c>
      <c r="H222">
        <v>575</v>
      </c>
      <c r="I222">
        <v>225</v>
      </c>
      <c r="J222">
        <v>324</v>
      </c>
    </row>
    <row r="223" spans="1:10">
      <c r="A223">
        <v>3556</v>
      </c>
      <c r="B223" t="s">
        <v>5447</v>
      </c>
      <c r="C223">
        <v>19.53</v>
      </c>
      <c r="D223">
        <v>6.88</v>
      </c>
      <c r="E223">
        <v>0.47</v>
      </c>
      <c r="F223">
        <v>0.28000000000000003</v>
      </c>
      <c r="G223">
        <v>222</v>
      </c>
      <c r="H223">
        <v>654</v>
      </c>
      <c r="I223">
        <v>331</v>
      </c>
      <c r="J223">
        <v>300</v>
      </c>
    </row>
    <row r="224" spans="1:10">
      <c r="A224">
        <v>6187</v>
      </c>
      <c r="B224" t="s">
        <v>5794</v>
      </c>
      <c r="C224">
        <v>19.46</v>
      </c>
      <c r="D224">
        <v>2.4</v>
      </c>
      <c r="E224">
        <v>2.94</v>
      </c>
      <c r="F224">
        <v>16.760000000000002</v>
      </c>
      <c r="G224">
        <v>223</v>
      </c>
      <c r="H224">
        <v>995</v>
      </c>
      <c r="I224">
        <v>48</v>
      </c>
      <c r="J224">
        <v>5</v>
      </c>
    </row>
    <row r="225" spans="1:10">
      <c r="A225">
        <v>6209</v>
      </c>
      <c r="B225" t="s">
        <v>5809</v>
      </c>
      <c r="C225">
        <v>19.46</v>
      </c>
      <c r="D225">
        <v>1.25</v>
      </c>
      <c r="E225">
        <v>0.19</v>
      </c>
      <c r="F225">
        <v>0</v>
      </c>
      <c r="G225">
        <v>223</v>
      </c>
      <c r="H225">
        <v>1178</v>
      </c>
      <c r="I225">
        <v>577</v>
      </c>
      <c r="J225" t="s">
        <v>6279</v>
      </c>
    </row>
    <row r="226" spans="1:10">
      <c r="A226">
        <v>5202</v>
      </c>
      <c r="B226" t="s">
        <v>6151</v>
      </c>
      <c r="C226">
        <v>19.41</v>
      </c>
      <c r="D226">
        <v>0.41</v>
      </c>
      <c r="E226">
        <v>0</v>
      </c>
      <c r="F226">
        <v>0</v>
      </c>
      <c r="G226">
        <v>225</v>
      </c>
      <c r="H226">
        <v>1354</v>
      </c>
      <c r="I226" t="s">
        <v>6279</v>
      </c>
      <c r="J226" t="s">
        <v>6279</v>
      </c>
    </row>
    <row r="227" spans="1:10">
      <c r="A227">
        <v>1524</v>
      </c>
      <c r="B227" t="s">
        <v>4872</v>
      </c>
      <c r="C227">
        <v>19.399999999999999</v>
      </c>
      <c r="D227">
        <v>0.72</v>
      </c>
      <c r="E227">
        <v>7.0000000000000007E-2</v>
      </c>
      <c r="F227">
        <v>0</v>
      </c>
      <c r="G227">
        <v>226</v>
      </c>
      <c r="H227">
        <v>1276</v>
      </c>
      <c r="I227">
        <v>825</v>
      </c>
      <c r="J227" t="s">
        <v>6279</v>
      </c>
    </row>
    <row r="228" spans="1:10">
      <c r="A228">
        <v>6426</v>
      </c>
      <c r="B228" t="s">
        <v>5866</v>
      </c>
      <c r="C228">
        <v>19.399999999999999</v>
      </c>
      <c r="D228">
        <v>5.81</v>
      </c>
      <c r="E228">
        <v>0.17</v>
      </c>
      <c r="F228">
        <v>0</v>
      </c>
      <c r="G228">
        <v>226</v>
      </c>
      <c r="H228">
        <v>721</v>
      </c>
      <c r="I228">
        <v>596</v>
      </c>
      <c r="J228" t="s">
        <v>6279</v>
      </c>
    </row>
    <row r="229" spans="1:10">
      <c r="A229">
        <v>8104</v>
      </c>
      <c r="B229" t="s">
        <v>5982</v>
      </c>
      <c r="C229">
        <v>19.27</v>
      </c>
      <c r="D229">
        <v>5.73</v>
      </c>
      <c r="E229">
        <v>0.09</v>
      </c>
      <c r="F229">
        <v>4.3600000000000003</v>
      </c>
      <c r="G229">
        <v>228</v>
      </c>
      <c r="H229">
        <v>726</v>
      </c>
      <c r="I229">
        <v>762</v>
      </c>
      <c r="J229">
        <v>64</v>
      </c>
    </row>
    <row r="230" spans="1:10">
      <c r="A230">
        <v>2013</v>
      </c>
      <c r="B230" t="s">
        <v>4979</v>
      </c>
      <c r="C230">
        <v>19.190000000000001</v>
      </c>
      <c r="D230">
        <v>7.41</v>
      </c>
      <c r="E230">
        <v>0.67</v>
      </c>
      <c r="F230">
        <v>0</v>
      </c>
      <c r="G230">
        <v>229</v>
      </c>
      <c r="H230">
        <v>608</v>
      </c>
      <c r="I230">
        <v>261</v>
      </c>
      <c r="J230" t="s">
        <v>6279</v>
      </c>
    </row>
    <row r="231" spans="1:10">
      <c r="A231">
        <v>8034</v>
      </c>
      <c r="B231" t="s">
        <v>5956</v>
      </c>
      <c r="C231">
        <v>19.18</v>
      </c>
      <c r="D231">
        <v>2.94</v>
      </c>
      <c r="E231">
        <v>0.95</v>
      </c>
      <c r="F231">
        <v>0</v>
      </c>
      <c r="G231">
        <v>230</v>
      </c>
      <c r="H231">
        <v>934</v>
      </c>
      <c r="I231">
        <v>183</v>
      </c>
      <c r="J231" t="s">
        <v>6279</v>
      </c>
    </row>
    <row r="232" spans="1:10">
      <c r="A232">
        <v>8028</v>
      </c>
      <c r="B232" t="s">
        <v>5955</v>
      </c>
      <c r="C232">
        <v>19.16</v>
      </c>
      <c r="D232">
        <v>14.12</v>
      </c>
      <c r="E232">
        <v>0.09</v>
      </c>
      <c r="F232">
        <v>0.61</v>
      </c>
      <c r="G232">
        <v>231</v>
      </c>
      <c r="H232">
        <v>382</v>
      </c>
      <c r="I232">
        <v>762</v>
      </c>
      <c r="J232">
        <v>238</v>
      </c>
    </row>
    <row r="233" spans="1:10">
      <c r="A233">
        <v>3346</v>
      </c>
      <c r="B233" t="s">
        <v>5382</v>
      </c>
      <c r="C233">
        <v>19.14</v>
      </c>
      <c r="D233">
        <v>3.27</v>
      </c>
      <c r="E233">
        <v>0</v>
      </c>
      <c r="F233">
        <v>0</v>
      </c>
      <c r="G233">
        <v>232</v>
      </c>
      <c r="H233">
        <v>901</v>
      </c>
      <c r="I233" t="s">
        <v>6279</v>
      </c>
      <c r="J233" t="s">
        <v>6279</v>
      </c>
    </row>
    <row r="234" spans="1:10">
      <c r="A234">
        <v>1465</v>
      </c>
      <c r="B234" t="s">
        <v>4854</v>
      </c>
      <c r="C234">
        <v>19.12</v>
      </c>
      <c r="D234">
        <v>0.41</v>
      </c>
      <c r="E234">
        <v>0.03</v>
      </c>
      <c r="F234">
        <v>0</v>
      </c>
      <c r="G234">
        <v>233</v>
      </c>
      <c r="H234">
        <v>1354</v>
      </c>
      <c r="I234">
        <v>990</v>
      </c>
      <c r="J234" t="s">
        <v>6279</v>
      </c>
    </row>
    <row r="235" spans="1:10">
      <c r="A235">
        <v>6275</v>
      </c>
      <c r="B235" t="s">
        <v>5845</v>
      </c>
      <c r="C235">
        <v>19.11</v>
      </c>
      <c r="D235">
        <v>1.55</v>
      </c>
      <c r="E235">
        <v>0.45</v>
      </c>
      <c r="F235">
        <v>0</v>
      </c>
      <c r="G235">
        <v>234</v>
      </c>
      <c r="H235">
        <v>1116</v>
      </c>
      <c r="I235">
        <v>340</v>
      </c>
      <c r="J235" t="s">
        <v>6279</v>
      </c>
    </row>
    <row r="236" spans="1:10">
      <c r="A236">
        <v>6416</v>
      </c>
      <c r="B236" t="s">
        <v>5864</v>
      </c>
      <c r="C236">
        <v>19.04</v>
      </c>
      <c r="D236">
        <v>0.76</v>
      </c>
      <c r="E236">
        <v>0.05</v>
      </c>
      <c r="F236">
        <v>0</v>
      </c>
      <c r="G236">
        <v>235</v>
      </c>
      <c r="H236">
        <v>1272</v>
      </c>
      <c r="I236">
        <v>908</v>
      </c>
      <c r="J236" t="s">
        <v>6279</v>
      </c>
    </row>
    <row r="237" spans="1:10">
      <c r="A237">
        <v>3518</v>
      </c>
      <c r="B237" t="s">
        <v>5427</v>
      </c>
      <c r="C237">
        <v>19.02</v>
      </c>
      <c r="D237">
        <v>7.68</v>
      </c>
      <c r="E237">
        <v>0.34</v>
      </c>
      <c r="F237">
        <v>0</v>
      </c>
      <c r="G237">
        <v>236</v>
      </c>
      <c r="H237">
        <v>595</v>
      </c>
      <c r="I237">
        <v>426</v>
      </c>
      <c r="J237" t="s">
        <v>6279</v>
      </c>
    </row>
    <row r="238" spans="1:10">
      <c r="A238">
        <v>6603</v>
      </c>
      <c r="B238" t="s">
        <v>5917</v>
      </c>
      <c r="C238">
        <v>18.96</v>
      </c>
      <c r="D238">
        <v>0.85</v>
      </c>
      <c r="E238">
        <v>0.16</v>
      </c>
      <c r="F238">
        <v>0</v>
      </c>
      <c r="G238">
        <v>237</v>
      </c>
      <c r="H238">
        <v>1252</v>
      </c>
      <c r="I238">
        <v>615</v>
      </c>
      <c r="J238" t="s">
        <v>6279</v>
      </c>
    </row>
    <row r="239" spans="1:10">
      <c r="A239">
        <v>3323</v>
      </c>
      <c r="B239" t="s">
        <v>5377</v>
      </c>
      <c r="C239">
        <v>18.91</v>
      </c>
      <c r="D239">
        <v>1.73</v>
      </c>
      <c r="E239">
        <v>0.4</v>
      </c>
      <c r="F239">
        <v>0</v>
      </c>
      <c r="G239">
        <v>238</v>
      </c>
      <c r="H239">
        <v>1094</v>
      </c>
      <c r="I239">
        <v>378</v>
      </c>
      <c r="J239" t="s">
        <v>6279</v>
      </c>
    </row>
    <row r="240" spans="1:10">
      <c r="A240">
        <v>2498</v>
      </c>
      <c r="B240" t="s">
        <v>5153</v>
      </c>
      <c r="C240">
        <v>18.89</v>
      </c>
      <c r="D240">
        <v>15.96</v>
      </c>
      <c r="E240">
        <v>4.4000000000000004</v>
      </c>
      <c r="F240">
        <v>0.21</v>
      </c>
      <c r="G240">
        <v>239</v>
      </c>
      <c r="H240">
        <v>342</v>
      </c>
      <c r="I240">
        <v>32</v>
      </c>
      <c r="J240">
        <v>324</v>
      </c>
    </row>
    <row r="241" spans="1:10">
      <c r="A241">
        <v>3419</v>
      </c>
      <c r="B241" t="s">
        <v>5401</v>
      </c>
      <c r="C241">
        <v>18.850000000000001</v>
      </c>
      <c r="D241">
        <v>7.09</v>
      </c>
      <c r="E241">
        <v>0.33</v>
      </c>
      <c r="F241">
        <v>0</v>
      </c>
      <c r="G241">
        <v>240</v>
      </c>
      <c r="H241">
        <v>634</v>
      </c>
      <c r="I241">
        <v>433</v>
      </c>
      <c r="J241" t="s">
        <v>6279</v>
      </c>
    </row>
    <row r="242" spans="1:10">
      <c r="A242">
        <v>3276</v>
      </c>
      <c r="B242" t="s">
        <v>5362</v>
      </c>
      <c r="C242">
        <v>18.829999999999998</v>
      </c>
      <c r="D242">
        <v>0.55000000000000004</v>
      </c>
      <c r="E242">
        <v>0.02</v>
      </c>
      <c r="F242">
        <v>0</v>
      </c>
      <c r="G242">
        <v>241</v>
      </c>
      <c r="H242">
        <v>1320</v>
      </c>
      <c r="I242">
        <v>1051</v>
      </c>
      <c r="J242" t="s">
        <v>6279</v>
      </c>
    </row>
    <row r="243" spans="1:10">
      <c r="A243">
        <v>3338</v>
      </c>
      <c r="B243" t="s">
        <v>5380</v>
      </c>
      <c r="C243">
        <v>18.77</v>
      </c>
      <c r="D243">
        <v>4.76</v>
      </c>
      <c r="E243">
        <v>0.31</v>
      </c>
      <c r="F243">
        <v>0</v>
      </c>
      <c r="G243">
        <v>242</v>
      </c>
      <c r="H243">
        <v>796</v>
      </c>
      <c r="I243">
        <v>451</v>
      </c>
      <c r="J243" t="s">
        <v>6279</v>
      </c>
    </row>
    <row r="244" spans="1:10">
      <c r="A244">
        <v>3406</v>
      </c>
      <c r="B244" t="s">
        <v>5398</v>
      </c>
      <c r="C244">
        <v>18.72</v>
      </c>
      <c r="D244">
        <v>27.07</v>
      </c>
      <c r="E244">
        <v>5.65</v>
      </c>
      <c r="F244">
        <v>1.93</v>
      </c>
      <c r="G244">
        <v>243</v>
      </c>
      <c r="H244">
        <v>202</v>
      </c>
      <c r="I244">
        <v>15</v>
      </c>
      <c r="J244">
        <v>131</v>
      </c>
    </row>
    <row r="245" spans="1:10">
      <c r="A245">
        <v>8155</v>
      </c>
      <c r="B245" t="s">
        <v>5992</v>
      </c>
      <c r="C245">
        <v>18.72</v>
      </c>
      <c r="D245">
        <v>1.61</v>
      </c>
      <c r="E245">
        <v>0.92</v>
      </c>
      <c r="F245">
        <v>23.02</v>
      </c>
      <c r="G245">
        <v>243</v>
      </c>
      <c r="H245">
        <v>1107</v>
      </c>
      <c r="I245">
        <v>190</v>
      </c>
      <c r="J245">
        <v>1</v>
      </c>
    </row>
    <row r="246" spans="1:10">
      <c r="A246">
        <v>3234</v>
      </c>
      <c r="B246" t="s">
        <v>5352</v>
      </c>
      <c r="C246">
        <v>18.7</v>
      </c>
      <c r="D246">
        <v>1.95</v>
      </c>
      <c r="E246">
        <v>3.51</v>
      </c>
      <c r="F246">
        <v>0</v>
      </c>
      <c r="G246">
        <v>245</v>
      </c>
      <c r="H246">
        <v>1064</v>
      </c>
      <c r="I246">
        <v>40</v>
      </c>
      <c r="J246" t="s">
        <v>6279</v>
      </c>
    </row>
    <row r="247" spans="1:10">
      <c r="A247">
        <v>6126</v>
      </c>
      <c r="B247" t="s">
        <v>5754</v>
      </c>
      <c r="C247">
        <v>18.62</v>
      </c>
      <c r="D247">
        <v>2.0099999999999998</v>
      </c>
      <c r="E247">
        <v>0.21</v>
      </c>
      <c r="F247">
        <v>0</v>
      </c>
      <c r="G247">
        <v>246</v>
      </c>
      <c r="H247">
        <v>1053</v>
      </c>
      <c r="I247">
        <v>550</v>
      </c>
      <c r="J247" t="s">
        <v>6279</v>
      </c>
    </row>
    <row r="248" spans="1:10">
      <c r="A248">
        <v>2038</v>
      </c>
      <c r="B248" t="s">
        <v>4995</v>
      </c>
      <c r="C248">
        <v>18.59</v>
      </c>
      <c r="D248">
        <v>1.76</v>
      </c>
      <c r="E248">
        <v>0.39</v>
      </c>
      <c r="F248">
        <v>0</v>
      </c>
      <c r="G248">
        <v>247</v>
      </c>
      <c r="H248">
        <v>1087</v>
      </c>
      <c r="I248">
        <v>383</v>
      </c>
      <c r="J248" t="s">
        <v>6279</v>
      </c>
    </row>
    <row r="249" spans="1:10">
      <c r="A249">
        <v>3530</v>
      </c>
      <c r="B249" t="s">
        <v>5433</v>
      </c>
      <c r="C249">
        <v>18.59</v>
      </c>
      <c r="D249">
        <v>43.53</v>
      </c>
      <c r="E249">
        <v>0.67</v>
      </c>
      <c r="F249">
        <v>0.04</v>
      </c>
      <c r="G249">
        <v>247</v>
      </c>
      <c r="H249">
        <v>99</v>
      </c>
      <c r="I249">
        <v>261</v>
      </c>
      <c r="J249">
        <v>439</v>
      </c>
    </row>
    <row r="250" spans="1:10">
      <c r="A250">
        <v>4939</v>
      </c>
      <c r="B250" t="s">
        <v>5617</v>
      </c>
      <c r="C250">
        <v>18.5</v>
      </c>
      <c r="D250">
        <v>3.63</v>
      </c>
      <c r="E250">
        <v>0.15</v>
      </c>
      <c r="F250">
        <v>0</v>
      </c>
      <c r="G250">
        <v>249</v>
      </c>
      <c r="H250">
        <v>867</v>
      </c>
      <c r="I250">
        <v>635</v>
      </c>
      <c r="J250" t="s">
        <v>6279</v>
      </c>
    </row>
    <row r="251" spans="1:10">
      <c r="A251">
        <v>1762</v>
      </c>
      <c r="B251" t="s">
        <v>4949</v>
      </c>
      <c r="C251">
        <v>18.489999999999998</v>
      </c>
      <c r="D251">
        <v>2.67</v>
      </c>
      <c r="E251">
        <v>0.74</v>
      </c>
      <c r="F251">
        <v>0.97</v>
      </c>
      <c r="G251">
        <v>250</v>
      </c>
      <c r="H251">
        <v>962</v>
      </c>
      <c r="I251">
        <v>225</v>
      </c>
      <c r="J251">
        <v>196</v>
      </c>
    </row>
    <row r="252" spans="1:10">
      <c r="A252">
        <v>6578</v>
      </c>
      <c r="B252" t="s">
        <v>5910</v>
      </c>
      <c r="C252">
        <v>18.48</v>
      </c>
      <c r="D252">
        <v>0.9</v>
      </c>
      <c r="E252">
        <v>0</v>
      </c>
      <c r="F252">
        <v>0</v>
      </c>
      <c r="G252">
        <v>251</v>
      </c>
      <c r="H252">
        <v>1243</v>
      </c>
      <c r="I252" t="s">
        <v>6279</v>
      </c>
      <c r="J252" t="s">
        <v>6279</v>
      </c>
    </row>
    <row r="253" spans="1:10">
      <c r="A253">
        <v>2340</v>
      </c>
      <c r="B253" t="s">
        <v>5048</v>
      </c>
      <c r="C253">
        <v>18.440000000000001</v>
      </c>
      <c r="D253">
        <v>17.46</v>
      </c>
      <c r="E253">
        <v>1.1000000000000001</v>
      </c>
      <c r="F253">
        <v>0.02</v>
      </c>
      <c r="G253">
        <v>252</v>
      </c>
      <c r="H253">
        <v>320</v>
      </c>
      <c r="I253">
        <v>159</v>
      </c>
      <c r="J253">
        <v>476</v>
      </c>
    </row>
    <row r="254" spans="1:10">
      <c r="A254">
        <v>1795</v>
      </c>
      <c r="B254" t="s">
        <v>4958</v>
      </c>
      <c r="C254">
        <v>18.420000000000002</v>
      </c>
      <c r="D254">
        <v>73.239999999999995</v>
      </c>
      <c r="E254">
        <v>0.31</v>
      </c>
      <c r="F254">
        <v>4.6500000000000004</v>
      </c>
      <c r="G254">
        <v>253</v>
      </c>
      <c r="H254">
        <v>18</v>
      </c>
      <c r="I254">
        <v>451</v>
      </c>
      <c r="J254">
        <v>62</v>
      </c>
    </row>
    <row r="255" spans="1:10">
      <c r="A255">
        <v>4760</v>
      </c>
      <c r="B255" t="s">
        <v>5598</v>
      </c>
      <c r="C255">
        <v>18.41</v>
      </c>
      <c r="D255">
        <v>1.23</v>
      </c>
      <c r="E255">
        <v>0.03</v>
      </c>
      <c r="F255">
        <v>0</v>
      </c>
      <c r="G255">
        <v>254</v>
      </c>
      <c r="H255">
        <v>1180</v>
      </c>
      <c r="I255">
        <v>990</v>
      </c>
      <c r="J255" t="s">
        <v>6279</v>
      </c>
    </row>
    <row r="256" spans="1:10">
      <c r="A256">
        <v>1584</v>
      </c>
      <c r="B256" t="s">
        <v>4897</v>
      </c>
      <c r="C256">
        <v>18.399999999999999</v>
      </c>
      <c r="D256">
        <v>2.14</v>
      </c>
      <c r="E256">
        <v>0.33</v>
      </c>
      <c r="F256">
        <v>0</v>
      </c>
      <c r="G256">
        <v>255</v>
      </c>
      <c r="H256">
        <v>1026</v>
      </c>
      <c r="I256">
        <v>433</v>
      </c>
      <c r="J256" t="s">
        <v>6279</v>
      </c>
    </row>
    <row r="257" spans="1:10">
      <c r="A257">
        <v>5009</v>
      </c>
      <c r="B257" t="s">
        <v>5640</v>
      </c>
      <c r="C257">
        <v>18.38</v>
      </c>
      <c r="D257">
        <v>12.86</v>
      </c>
      <c r="E257">
        <v>1.18</v>
      </c>
      <c r="F257">
        <v>7.42</v>
      </c>
      <c r="G257">
        <v>256</v>
      </c>
      <c r="H257">
        <v>411</v>
      </c>
      <c r="I257">
        <v>144</v>
      </c>
      <c r="J257">
        <v>25</v>
      </c>
    </row>
    <row r="258" spans="1:10">
      <c r="A258">
        <v>3624</v>
      </c>
      <c r="B258" t="s">
        <v>5470</v>
      </c>
      <c r="C258">
        <v>18.25</v>
      </c>
      <c r="D258">
        <v>44.3</v>
      </c>
      <c r="E258">
        <v>0.99</v>
      </c>
      <c r="F258">
        <v>12.29</v>
      </c>
      <c r="G258">
        <v>257</v>
      </c>
      <c r="H258">
        <v>95</v>
      </c>
      <c r="I258">
        <v>174</v>
      </c>
      <c r="J258">
        <v>10</v>
      </c>
    </row>
    <row r="259" spans="1:10">
      <c r="A259">
        <v>8429</v>
      </c>
      <c r="B259" t="s">
        <v>6025</v>
      </c>
      <c r="C259">
        <v>18.25</v>
      </c>
      <c r="D259">
        <v>33.61</v>
      </c>
      <c r="E259">
        <v>7.0000000000000007E-2</v>
      </c>
      <c r="F259">
        <v>0</v>
      </c>
      <c r="G259">
        <v>257</v>
      </c>
      <c r="H259">
        <v>152</v>
      </c>
      <c r="I259">
        <v>825</v>
      </c>
      <c r="J259" t="s">
        <v>6279</v>
      </c>
    </row>
    <row r="260" spans="1:10">
      <c r="A260">
        <v>1312</v>
      </c>
      <c r="B260" t="s">
        <v>4808</v>
      </c>
      <c r="C260">
        <v>18.21</v>
      </c>
      <c r="D260">
        <v>14.96</v>
      </c>
      <c r="E260">
        <v>5.64</v>
      </c>
      <c r="F260">
        <v>0.01</v>
      </c>
      <c r="G260">
        <v>259</v>
      </c>
      <c r="H260">
        <v>357</v>
      </c>
      <c r="I260">
        <v>16</v>
      </c>
      <c r="J260">
        <v>495</v>
      </c>
    </row>
    <row r="261" spans="1:10">
      <c r="A261">
        <v>8040</v>
      </c>
      <c r="B261" t="s">
        <v>5958</v>
      </c>
      <c r="C261">
        <v>18.170000000000002</v>
      </c>
      <c r="D261">
        <v>6.88</v>
      </c>
      <c r="E261">
        <v>1.25</v>
      </c>
      <c r="F261">
        <v>0</v>
      </c>
      <c r="G261">
        <v>260</v>
      </c>
      <c r="H261">
        <v>654</v>
      </c>
      <c r="I261">
        <v>136</v>
      </c>
      <c r="J261" t="s">
        <v>6279</v>
      </c>
    </row>
    <row r="262" spans="1:10">
      <c r="A262">
        <v>3042</v>
      </c>
      <c r="B262" t="s">
        <v>5296</v>
      </c>
      <c r="C262">
        <v>18.16</v>
      </c>
      <c r="D262">
        <v>11.81</v>
      </c>
      <c r="E262">
        <v>0.61</v>
      </c>
      <c r="F262">
        <v>1.01</v>
      </c>
      <c r="G262">
        <v>261</v>
      </c>
      <c r="H262">
        <v>440</v>
      </c>
      <c r="I262">
        <v>280</v>
      </c>
      <c r="J262">
        <v>194</v>
      </c>
    </row>
    <row r="263" spans="1:10">
      <c r="A263">
        <v>6508</v>
      </c>
      <c r="B263" t="s">
        <v>5892</v>
      </c>
      <c r="C263">
        <v>18.12</v>
      </c>
      <c r="D263">
        <v>1.79</v>
      </c>
      <c r="E263">
        <v>0.1</v>
      </c>
      <c r="F263">
        <v>0</v>
      </c>
      <c r="G263">
        <v>262</v>
      </c>
      <c r="H263">
        <v>1082</v>
      </c>
      <c r="I263">
        <v>741</v>
      </c>
      <c r="J263" t="s">
        <v>6279</v>
      </c>
    </row>
    <row r="264" spans="1:10">
      <c r="A264">
        <v>1560</v>
      </c>
      <c r="B264" t="s">
        <v>4889</v>
      </c>
      <c r="C264">
        <v>18.04</v>
      </c>
      <c r="D264">
        <v>11.37</v>
      </c>
      <c r="E264">
        <v>0.98</v>
      </c>
      <c r="F264">
        <v>5.81</v>
      </c>
      <c r="G264">
        <v>263</v>
      </c>
      <c r="H264">
        <v>456</v>
      </c>
      <c r="I264">
        <v>177</v>
      </c>
      <c r="J264">
        <v>40</v>
      </c>
    </row>
    <row r="265" spans="1:10">
      <c r="A265">
        <v>4909</v>
      </c>
      <c r="B265" t="s">
        <v>5607</v>
      </c>
      <c r="C265">
        <v>17.97</v>
      </c>
      <c r="D265">
        <v>3.82</v>
      </c>
      <c r="E265">
        <v>0.28999999999999998</v>
      </c>
      <c r="F265">
        <v>0.04</v>
      </c>
      <c r="G265">
        <v>264</v>
      </c>
      <c r="H265">
        <v>853</v>
      </c>
      <c r="I265">
        <v>467</v>
      </c>
      <c r="J265">
        <v>439</v>
      </c>
    </row>
    <row r="266" spans="1:10">
      <c r="A266">
        <v>2426</v>
      </c>
      <c r="B266" t="s">
        <v>5104</v>
      </c>
      <c r="C266">
        <v>17.940000000000001</v>
      </c>
      <c r="D266">
        <v>8.0399999999999991</v>
      </c>
      <c r="E266">
        <v>0.18</v>
      </c>
      <c r="F266">
        <v>0.02</v>
      </c>
      <c r="G266">
        <v>265</v>
      </c>
      <c r="H266">
        <v>582</v>
      </c>
      <c r="I266">
        <v>584</v>
      </c>
      <c r="J266">
        <v>476</v>
      </c>
    </row>
    <row r="267" spans="1:10">
      <c r="A267">
        <v>4714</v>
      </c>
      <c r="B267" t="s">
        <v>5584</v>
      </c>
      <c r="C267">
        <v>17.93</v>
      </c>
      <c r="D267">
        <v>1.06</v>
      </c>
      <c r="E267">
        <v>0.36</v>
      </c>
      <c r="F267">
        <v>0</v>
      </c>
      <c r="G267">
        <v>266</v>
      </c>
      <c r="H267">
        <v>1211</v>
      </c>
      <c r="I267">
        <v>403</v>
      </c>
      <c r="J267" t="s">
        <v>6279</v>
      </c>
    </row>
    <row r="268" spans="1:10">
      <c r="A268">
        <v>5285</v>
      </c>
      <c r="B268" t="s">
        <v>5665</v>
      </c>
      <c r="C268">
        <v>17.93</v>
      </c>
      <c r="D268">
        <v>2.86</v>
      </c>
      <c r="E268">
        <v>0.74</v>
      </c>
      <c r="F268">
        <v>0</v>
      </c>
      <c r="G268">
        <v>266</v>
      </c>
      <c r="H268">
        <v>939</v>
      </c>
      <c r="I268">
        <v>225</v>
      </c>
      <c r="J268" t="s">
        <v>6279</v>
      </c>
    </row>
    <row r="269" spans="1:10">
      <c r="A269">
        <v>6552</v>
      </c>
      <c r="B269" t="s">
        <v>5905</v>
      </c>
      <c r="C269">
        <v>17.809999999999999</v>
      </c>
      <c r="D269">
        <v>0.78</v>
      </c>
      <c r="E269">
        <v>0.26</v>
      </c>
      <c r="F269">
        <v>0</v>
      </c>
      <c r="G269">
        <v>268</v>
      </c>
      <c r="H269">
        <v>1267</v>
      </c>
      <c r="I269">
        <v>501</v>
      </c>
      <c r="J269" t="s">
        <v>6279</v>
      </c>
    </row>
    <row r="270" spans="1:10">
      <c r="A270">
        <v>4736</v>
      </c>
      <c r="B270" t="s">
        <v>5591</v>
      </c>
      <c r="C270">
        <v>17.8</v>
      </c>
      <c r="D270">
        <v>14.53</v>
      </c>
      <c r="E270">
        <v>0.56999999999999995</v>
      </c>
      <c r="F270">
        <v>0.14000000000000001</v>
      </c>
      <c r="G270">
        <v>269</v>
      </c>
      <c r="H270">
        <v>370</v>
      </c>
      <c r="I270">
        <v>294</v>
      </c>
      <c r="J270">
        <v>348</v>
      </c>
    </row>
    <row r="271" spans="1:10">
      <c r="A271">
        <v>2476</v>
      </c>
      <c r="B271" t="s">
        <v>5135</v>
      </c>
      <c r="C271">
        <v>17.75</v>
      </c>
      <c r="D271">
        <v>4.5</v>
      </c>
      <c r="E271">
        <v>7.0000000000000007E-2</v>
      </c>
      <c r="F271">
        <v>0</v>
      </c>
      <c r="G271">
        <v>270</v>
      </c>
      <c r="H271">
        <v>813</v>
      </c>
      <c r="I271">
        <v>825</v>
      </c>
      <c r="J271" t="s">
        <v>6279</v>
      </c>
    </row>
    <row r="272" spans="1:10">
      <c r="A272">
        <v>4952</v>
      </c>
      <c r="B272" t="s">
        <v>5621</v>
      </c>
      <c r="C272">
        <v>17.579999999999998</v>
      </c>
      <c r="D272">
        <v>6.79</v>
      </c>
      <c r="E272">
        <v>0.24</v>
      </c>
      <c r="F272">
        <v>0.08</v>
      </c>
      <c r="G272">
        <v>271</v>
      </c>
      <c r="H272">
        <v>662</v>
      </c>
      <c r="I272">
        <v>515</v>
      </c>
      <c r="J272">
        <v>395</v>
      </c>
    </row>
    <row r="273" spans="1:10">
      <c r="A273">
        <v>2461</v>
      </c>
      <c r="B273" t="s">
        <v>5125</v>
      </c>
      <c r="C273">
        <v>17.57</v>
      </c>
      <c r="D273">
        <v>7.04</v>
      </c>
      <c r="E273">
        <v>0.03</v>
      </c>
      <c r="F273">
        <v>0</v>
      </c>
      <c r="G273">
        <v>272</v>
      </c>
      <c r="H273">
        <v>641</v>
      </c>
      <c r="I273">
        <v>990</v>
      </c>
      <c r="J273" t="s">
        <v>6279</v>
      </c>
    </row>
    <row r="274" spans="1:10">
      <c r="A274">
        <v>2331</v>
      </c>
      <c r="B274" t="s">
        <v>5044</v>
      </c>
      <c r="C274">
        <v>17.559999999999999</v>
      </c>
      <c r="D274">
        <v>5.68</v>
      </c>
      <c r="E274">
        <v>1.1399999999999999</v>
      </c>
      <c r="F274">
        <v>0</v>
      </c>
      <c r="G274">
        <v>273</v>
      </c>
      <c r="H274">
        <v>733</v>
      </c>
      <c r="I274">
        <v>151</v>
      </c>
      <c r="J274" t="s">
        <v>6279</v>
      </c>
    </row>
    <row r="275" spans="1:10">
      <c r="A275">
        <v>3437</v>
      </c>
      <c r="B275" t="s">
        <v>5404</v>
      </c>
      <c r="C275">
        <v>17.52</v>
      </c>
      <c r="D275">
        <v>4</v>
      </c>
      <c r="E275">
        <v>0.26</v>
      </c>
      <c r="F275">
        <v>0</v>
      </c>
      <c r="G275">
        <v>274</v>
      </c>
      <c r="H275">
        <v>847</v>
      </c>
      <c r="I275">
        <v>501</v>
      </c>
      <c r="J275" t="s">
        <v>6279</v>
      </c>
    </row>
    <row r="276" spans="1:10">
      <c r="A276">
        <v>4927</v>
      </c>
      <c r="B276" t="s">
        <v>5612</v>
      </c>
      <c r="C276">
        <v>17.510000000000002</v>
      </c>
      <c r="D276">
        <v>19.34</v>
      </c>
      <c r="E276">
        <v>0.81</v>
      </c>
      <c r="F276">
        <v>5.85</v>
      </c>
      <c r="G276">
        <v>275</v>
      </c>
      <c r="H276">
        <v>289</v>
      </c>
      <c r="I276">
        <v>213</v>
      </c>
      <c r="J276">
        <v>39</v>
      </c>
    </row>
    <row r="277" spans="1:10">
      <c r="A277">
        <v>1589</v>
      </c>
      <c r="B277" t="s">
        <v>4900</v>
      </c>
      <c r="C277">
        <v>17.5</v>
      </c>
      <c r="D277">
        <v>4.3</v>
      </c>
      <c r="E277">
        <v>0.49</v>
      </c>
      <c r="F277">
        <v>0</v>
      </c>
      <c r="G277">
        <v>276</v>
      </c>
      <c r="H277">
        <v>823</v>
      </c>
      <c r="I277">
        <v>324</v>
      </c>
      <c r="J277" t="s">
        <v>6279</v>
      </c>
    </row>
    <row r="278" spans="1:10">
      <c r="A278">
        <v>5457</v>
      </c>
      <c r="B278" t="s">
        <v>5694</v>
      </c>
      <c r="C278">
        <v>17.489999999999998</v>
      </c>
      <c r="D278">
        <v>37.799999999999997</v>
      </c>
      <c r="E278">
        <v>0.18</v>
      </c>
      <c r="F278">
        <v>1.28</v>
      </c>
      <c r="G278">
        <v>277</v>
      </c>
      <c r="H278">
        <v>131</v>
      </c>
      <c r="I278">
        <v>584</v>
      </c>
      <c r="J278">
        <v>170</v>
      </c>
    </row>
    <row r="279" spans="1:10">
      <c r="A279">
        <v>2399</v>
      </c>
      <c r="B279" t="s">
        <v>5087</v>
      </c>
      <c r="C279">
        <v>17.38</v>
      </c>
      <c r="D279">
        <v>9.65</v>
      </c>
      <c r="E279">
        <v>0.5</v>
      </c>
      <c r="F279">
        <v>0</v>
      </c>
      <c r="G279">
        <v>278</v>
      </c>
      <c r="H279">
        <v>521</v>
      </c>
      <c r="I279">
        <v>319</v>
      </c>
      <c r="J279" t="s">
        <v>6279</v>
      </c>
    </row>
    <row r="280" spans="1:10">
      <c r="A280">
        <v>2417</v>
      </c>
      <c r="B280" t="s">
        <v>5098</v>
      </c>
      <c r="C280">
        <v>17.36</v>
      </c>
      <c r="D280">
        <v>0.95</v>
      </c>
      <c r="E280">
        <v>1</v>
      </c>
      <c r="F280">
        <v>0</v>
      </c>
      <c r="G280">
        <v>279</v>
      </c>
      <c r="H280">
        <v>1233</v>
      </c>
      <c r="I280">
        <v>171</v>
      </c>
      <c r="J280" t="s">
        <v>6279</v>
      </c>
    </row>
    <row r="281" spans="1:10">
      <c r="A281">
        <v>3605</v>
      </c>
      <c r="B281" t="s">
        <v>5462</v>
      </c>
      <c r="C281">
        <v>17.36</v>
      </c>
      <c r="D281">
        <v>9.2100000000000009</v>
      </c>
      <c r="E281">
        <v>0.11</v>
      </c>
      <c r="F281">
        <v>0</v>
      </c>
      <c r="G281">
        <v>279</v>
      </c>
      <c r="H281">
        <v>538</v>
      </c>
      <c r="I281">
        <v>717</v>
      </c>
      <c r="J281" t="s">
        <v>6279</v>
      </c>
    </row>
    <row r="282" spans="1:10">
      <c r="A282">
        <v>1817</v>
      </c>
      <c r="B282" t="s">
        <v>4965</v>
      </c>
      <c r="C282">
        <v>17.34</v>
      </c>
      <c r="D282">
        <v>2.09</v>
      </c>
      <c r="E282">
        <v>0.31</v>
      </c>
      <c r="F282">
        <v>0.14000000000000001</v>
      </c>
      <c r="G282">
        <v>281</v>
      </c>
      <c r="H282">
        <v>1035</v>
      </c>
      <c r="I282">
        <v>451</v>
      </c>
      <c r="J282">
        <v>348</v>
      </c>
    </row>
    <row r="283" spans="1:10">
      <c r="A283">
        <v>4174</v>
      </c>
      <c r="B283" t="s">
        <v>5538</v>
      </c>
      <c r="C283">
        <v>17.3</v>
      </c>
      <c r="D283">
        <v>11.39</v>
      </c>
      <c r="E283">
        <v>0.01</v>
      </c>
      <c r="F283">
        <v>0</v>
      </c>
      <c r="G283">
        <v>282</v>
      </c>
      <c r="H283">
        <v>453</v>
      </c>
      <c r="I283">
        <v>1123</v>
      </c>
      <c r="J283" t="s">
        <v>6279</v>
      </c>
    </row>
    <row r="284" spans="1:10">
      <c r="A284">
        <v>2614</v>
      </c>
      <c r="B284" t="s">
        <v>5191</v>
      </c>
      <c r="C284">
        <v>17.29</v>
      </c>
      <c r="D284">
        <v>2.1</v>
      </c>
      <c r="E284">
        <v>0.85</v>
      </c>
      <c r="F284">
        <v>0</v>
      </c>
      <c r="G284">
        <v>283</v>
      </c>
      <c r="H284">
        <v>1033</v>
      </c>
      <c r="I284">
        <v>204</v>
      </c>
      <c r="J284" t="s">
        <v>6279</v>
      </c>
    </row>
    <row r="285" spans="1:10">
      <c r="A285">
        <v>8044</v>
      </c>
      <c r="B285" t="s">
        <v>5960</v>
      </c>
      <c r="C285">
        <v>17.27</v>
      </c>
      <c r="D285">
        <v>19.27</v>
      </c>
      <c r="E285">
        <v>0.84</v>
      </c>
      <c r="F285">
        <v>0.34</v>
      </c>
      <c r="G285">
        <v>284</v>
      </c>
      <c r="H285">
        <v>290</v>
      </c>
      <c r="I285">
        <v>207</v>
      </c>
      <c r="J285">
        <v>287</v>
      </c>
    </row>
    <row r="286" spans="1:10">
      <c r="A286">
        <v>6643</v>
      </c>
      <c r="B286" t="s">
        <v>5924</v>
      </c>
      <c r="C286">
        <v>17.2</v>
      </c>
      <c r="D286">
        <v>9.15</v>
      </c>
      <c r="E286">
        <v>0.04</v>
      </c>
      <c r="F286">
        <v>0</v>
      </c>
      <c r="G286">
        <v>285</v>
      </c>
      <c r="H286">
        <v>541</v>
      </c>
      <c r="I286">
        <v>946</v>
      </c>
      <c r="J286" t="s">
        <v>6279</v>
      </c>
    </row>
    <row r="287" spans="1:10">
      <c r="A287">
        <v>2906</v>
      </c>
      <c r="B287" t="s">
        <v>5252</v>
      </c>
      <c r="C287">
        <v>17.149999999999999</v>
      </c>
      <c r="D287">
        <v>7.27</v>
      </c>
      <c r="E287">
        <v>3.56</v>
      </c>
      <c r="F287">
        <v>0</v>
      </c>
      <c r="G287">
        <v>286</v>
      </c>
      <c r="H287">
        <v>617</v>
      </c>
      <c r="I287">
        <v>39</v>
      </c>
      <c r="J287" t="s">
        <v>6279</v>
      </c>
    </row>
    <row r="288" spans="1:10">
      <c r="A288">
        <v>6533</v>
      </c>
      <c r="B288" t="s">
        <v>5902</v>
      </c>
      <c r="C288">
        <v>17.14</v>
      </c>
      <c r="D288">
        <v>24.75</v>
      </c>
      <c r="E288">
        <v>0.63</v>
      </c>
      <c r="F288">
        <v>0.11</v>
      </c>
      <c r="G288">
        <v>287</v>
      </c>
      <c r="H288">
        <v>223</v>
      </c>
      <c r="I288">
        <v>272</v>
      </c>
      <c r="J288">
        <v>369</v>
      </c>
    </row>
    <row r="289" spans="1:10">
      <c r="A289">
        <v>8390</v>
      </c>
      <c r="B289" t="s">
        <v>6017</v>
      </c>
      <c r="C289">
        <v>17.11</v>
      </c>
      <c r="D289">
        <v>16.989999999999998</v>
      </c>
      <c r="E289">
        <v>0.42</v>
      </c>
      <c r="F289">
        <v>0</v>
      </c>
      <c r="G289">
        <v>288</v>
      </c>
      <c r="H289">
        <v>332</v>
      </c>
      <c r="I289">
        <v>357</v>
      </c>
      <c r="J289" t="s">
        <v>6279</v>
      </c>
    </row>
    <row r="290" spans="1:10">
      <c r="A290">
        <v>6265</v>
      </c>
      <c r="B290" t="s">
        <v>5839</v>
      </c>
      <c r="C290">
        <v>17.09</v>
      </c>
      <c r="D290">
        <v>4.5199999999999996</v>
      </c>
      <c r="E290">
        <v>0.41</v>
      </c>
      <c r="F290">
        <v>0</v>
      </c>
      <c r="G290">
        <v>289</v>
      </c>
      <c r="H290">
        <v>811</v>
      </c>
      <c r="I290">
        <v>365</v>
      </c>
      <c r="J290" t="s">
        <v>6279</v>
      </c>
    </row>
    <row r="291" spans="1:10">
      <c r="A291">
        <v>3035</v>
      </c>
      <c r="B291" t="s">
        <v>5290</v>
      </c>
      <c r="C291">
        <v>17.079999999999998</v>
      </c>
      <c r="D291">
        <v>28.93</v>
      </c>
      <c r="E291">
        <v>1.97</v>
      </c>
      <c r="F291">
        <v>20.34</v>
      </c>
      <c r="G291">
        <v>290</v>
      </c>
      <c r="H291">
        <v>188</v>
      </c>
      <c r="I291">
        <v>79</v>
      </c>
      <c r="J291">
        <v>2</v>
      </c>
    </row>
    <row r="292" spans="1:10">
      <c r="A292">
        <v>2609</v>
      </c>
      <c r="B292" t="s">
        <v>5186</v>
      </c>
      <c r="C292">
        <v>17.07</v>
      </c>
      <c r="D292">
        <v>15.44</v>
      </c>
      <c r="E292">
        <v>0.14000000000000001</v>
      </c>
      <c r="F292">
        <v>0.83</v>
      </c>
      <c r="G292">
        <v>291</v>
      </c>
      <c r="H292">
        <v>348</v>
      </c>
      <c r="I292">
        <v>649</v>
      </c>
      <c r="J292">
        <v>208</v>
      </c>
    </row>
    <row r="293" spans="1:10">
      <c r="A293">
        <v>4503</v>
      </c>
      <c r="B293" t="s">
        <v>5553</v>
      </c>
      <c r="C293">
        <v>17.07</v>
      </c>
      <c r="D293">
        <v>0.08</v>
      </c>
      <c r="E293">
        <v>0.17</v>
      </c>
      <c r="F293">
        <v>0</v>
      </c>
      <c r="G293">
        <v>291</v>
      </c>
      <c r="H293">
        <v>1450</v>
      </c>
      <c r="I293">
        <v>596</v>
      </c>
      <c r="J293" t="s">
        <v>6279</v>
      </c>
    </row>
    <row r="294" spans="1:10">
      <c r="A294">
        <v>3557</v>
      </c>
      <c r="B294" t="s">
        <v>5448</v>
      </c>
      <c r="C294">
        <v>17.059999999999999</v>
      </c>
      <c r="D294">
        <v>19.010000000000002</v>
      </c>
      <c r="E294">
        <v>0</v>
      </c>
      <c r="F294">
        <v>0</v>
      </c>
      <c r="G294">
        <v>293</v>
      </c>
      <c r="H294">
        <v>293</v>
      </c>
      <c r="I294" t="s">
        <v>6279</v>
      </c>
      <c r="J294" t="s">
        <v>6279</v>
      </c>
    </row>
    <row r="295" spans="1:10">
      <c r="A295">
        <v>4919</v>
      </c>
      <c r="B295" t="s">
        <v>5611</v>
      </c>
      <c r="C295">
        <v>17.059999999999999</v>
      </c>
      <c r="D295">
        <v>6.64</v>
      </c>
      <c r="E295">
        <v>0.74</v>
      </c>
      <c r="F295">
        <v>9.74</v>
      </c>
      <c r="G295">
        <v>293</v>
      </c>
      <c r="H295">
        <v>670</v>
      </c>
      <c r="I295">
        <v>225</v>
      </c>
      <c r="J295">
        <v>16</v>
      </c>
    </row>
    <row r="296" spans="1:10">
      <c r="A296">
        <v>5223</v>
      </c>
      <c r="B296" t="s">
        <v>5650</v>
      </c>
      <c r="C296">
        <v>17.02</v>
      </c>
      <c r="D296">
        <v>42.82</v>
      </c>
      <c r="E296">
        <v>0</v>
      </c>
      <c r="F296">
        <v>0</v>
      </c>
      <c r="G296">
        <v>295</v>
      </c>
      <c r="H296">
        <v>103</v>
      </c>
      <c r="I296" t="s">
        <v>6279</v>
      </c>
      <c r="J296" t="s">
        <v>6279</v>
      </c>
    </row>
    <row r="297" spans="1:10">
      <c r="A297">
        <v>2472</v>
      </c>
      <c r="B297" t="s">
        <v>5133</v>
      </c>
      <c r="C297">
        <v>17.010000000000002</v>
      </c>
      <c r="D297">
        <v>1.28</v>
      </c>
      <c r="E297">
        <v>0.22</v>
      </c>
      <c r="F297">
        <v>0.01</v>
      </c>
      <c r="G297">
        <v>296</v>
      </c>
      <c r="H297">
        <v>1169</v>
      </c>
      <c r="I297">
        <v>537</v>
      </c>
      <c r="J297">
        <v>495</v>
      </c>
    </row>
    <row r="298" spans="1:10">
      <c r="A298">
        <v>6432</v>
      </c>
      <c r="B298" t="s">
        <v>5867</v>
      </c>
      <c r="C298">
        <v>16.97</v>
      </c>
      <c r="D298">
        <v>0.73</v>
      </c>
      <c r="E298">
        <v>0.01</v>
      </c>
      <c r="F298">
        <v>0</v>
      </c>
      <c r="G298">
        <v>297</v>
      </c>
      <c r="H298">
        <v>1275</v>
      </c>
      <c r="I298">
        <v>1123</v>
      </c>
      <c r="J298" t="s">
        <v>6279</v>
      </c>
    </row>
    <row r="299" spans="1:10">
      <c r="A299">
        <v>9960</v>
      </c>
      <c r="B299" t="s">
        <v>6249</v>
      </c>
      <c r="C299">
        <v>16.87</v>
      </c>
      <c r="D299">
        <v>7.89</v>
      </c>
      <c r="E299">
        <v>0</v>
      </c>
      <c r="F299">
        <v>0</v>
      </c>
      <c r="G299">
        <v>298</v>
      </c>
      <c r="H299">
        <v>589</v>
      </c>
      <c r="I299" t="s">
        <v>6279</v>
      </c>
      <c r="J299" t="s">
        <v>6279</v>
      </c>
    </row>
    <row r="300" spans="1:10">
      <c r="A300">
        <v>4162</v>
      </c>
      <c r="B300" t="s">
        <v>5531</v>
      </c>
      <c r="C300">
        <v>16.850000000000001</v>
      </c>
      <c r="D300">
        <v>6.91</v>
      </c>
      <c r="E300">
        <v>0.36</v>
      </c>
      <c r="F300">
        <v>0.28999999999999998</v>
      </c>
      <c r="G300">
        <v>299</v>
      </c>
      <c r="H300">
        <v>649</v>
      </c>
      <c r="I300">
        <v>403</v>
      </c>
      <c r="J300">
        <v>297</v>
      </c>
    </row>
    <row r="301" spans="1:10">
      <c r="A301">
        <v>3002</v>
      </c>
      <c r="B301" t="s">
        <v>5264</v>
      </c>
      <c r="C301">
        <v>16.84</v>
      </c>
      <c r="D301">
        <v>0.65</v>
      </c>
      <c r="E301">
        <v>0.03</v>
      </c>
      <c r="F301">
        <v>0</v>
      </c>
      <c r="G301">
        <v>300</v>
      </c>
      <c r="H301">
        <v>1294</v>
      </c>
      <c r="I301">
        <v>990</v>
      </c>
      <c r="J301" t="s">
        <v>6279</v>
      </c>
    </row>
    <row r="302" spans="1:10">
      <c r="A302">
        <v>3390</v>
      </c>
      <c r="B302" t="s">
        <v>5396</v>
      </c>
      <c r="C302">
        <v>16.84</v>
      </c>
      <c r="D302">
        <v>1.86</v>
      </c>
      <c r="E302">
        <v>0.02</v>
      </c>
      <c r="F302">
        <v>0</v>
      </c>
      <c r="G302">
        <v>300</v>
      </c>
      <c r="H302">
        <v>1070</v>
      </c>
      <c r="I302">
        <v>1051</v>
      </c>
      <c r="J302" t="s">
        <v>6279</v>
      </c>
    </row>
    <row r="303" spans="1:10">
      <c r="A303">
        <v>8111</v>
      </c>
      <c r="B303" t="s">
        <v>5986</v>
      </c>
      <c r="C303">
        <v>16.829999999999998</v>
      </c>
      <c r="D303">
        <v>2.4300000000000002</v>
      </c>
      <c r="E303">
        <v>0.74</v>
      </c>
      <c r="F303">
        <v>0</v>
      </c>
      <c r="G303">
        <v>302</v>
      </c>
      <c r="H303">
        <v>991</v>
      </c>
      <c r="I303">
        <v>225</v>
      </c>
      <c r="J303" t="s">
        <v>6279</v>
      </c>
    </row>
    <row r="304" spans="1:10">
      <c r="A304">
        <v>3374</v>
      </c>
      <c r="B304" t="s">
        <v>5391</v>
      </c>
      <c r="C304">
        <v>16.809999999999999</v>
      </c>
      <c r="D304">
        <v>6.38</v>
      </c>
      <c r="E304">
        <v>0.85</v>
      </c>
      <c r="F304">
        <v>4.0199999999999996</v>
      </c>
      <c r="G304">
        <v>303</v>
      </c>
      <c r="H304">
        <v>689</v>
      </c>
      <c r="I304">
        <v>204</v>
      </c>
      <c r="J304">
        <v>71</v>
      </c>
    </row>
    <row r="305" spans="1:10">
      <c r="A305">
        <v>2431</v>
      </c>
      <c r="B305" t="s">
        <v>5108</v>
      </c>
      <c r="C305">
        <v>16.79</v>
      </c>
      <c r="D305">
        <v>0.72</v>
      </c>
      <c r="E305">
        <v>0.3</v>
      </c>
      <c r="F305">
        <v>0</v>
      </c>
      <c r="G305">
        <v>304</v>
      </c>
      <c r="H305">
        <v>1276</v>
      </c>
      <c r="I305">
        <v>460</v>
      </c>
      <c r="J305" t="s">
        <v>6279</v>
      </c>
    </row>
    <row r="306" spans="1:10">
      <c r="A306">
        <v>9962</v>
      </c>
      <c r="B306" t="s">
        <v>6101</v>
      </c>
      <c r="C306">
        <v>16.71</v>
      </c>
      <c r="D306">
        <v>3.25</v>
      </c>
      <c r="E306">
        <v>2.31</v>
      </c>
      <c r="F306">
        <v>0</v>
      </c>
      <c r="G306">
        <v>305</v>
      </c>
      <c r="H306">
        <v>903</v>
      </c>
      <c r="I306">
        <v>70</v>
      </c>
      <c r="J306" t="s">
        <v>6279</v>
      </c>
    </row>
    <row r="307" spans="1:10">
      <c r="A307">
        <v>1516</v>
      </c>
      <c r="B307" t="s">
        <v>4867</v>
      </c>
      <c r="C307">
        <v>16.63</v>
      </c>
      <c r="D307">
        <v>3.65</v>
      </c>
      <c r="E307">
        <v>0.72</v>
      </c>
      <c r="F307">
        <v>0.1</v>
      </c>
      <c r="G307">
        <v>306</v>
      </c>
      <c r="H307">
        <v>865</v>
      </c>
      <c r="I307">
        <v>240</v>
      </c>
      <c r="J307">
        <v>377</v>
      </c>
    </row>
    <row r="308" spans="1:10">
      <c r="A308">
        <v>6514</v>
      </c>
      <c r="B308" t="s">
        <v>5895</v>
      </c>
      <c r="C308">
        <v>16.63</v>
      </c>
      <c r="D308">
        <v>55.05</v>
      </c>
      <c r="E308">
        <v>0</v>
      </c>
      <c r="F308">
        <v>0.23</v>
      </c>
      <c r="G308">
        <v>306</v>
      </c>
      <c r="H308">
        <v>56</v>
      </c>
      <c r="I308" t="s">
        <v>6279</v>
      </c>
      <c r="J308">
        <v>314</v>
      </c>
    </row>
    <row r="309" spans="1:10">
      <c r="A309">
        <v>8358</v>
      </c>
      <c r="B309" t="s">
        <v>6013</v>
      </c>
      <c r="C309">
        <v>16.62</v>
      </c>
      <c r="D309">
        <v>7.17</v>
      </c>
      <c r="E309">
        <v>0.53</v>
      </c>
      <c r="F309">
        <v>4.6900000000000004</v>
      </c>
      <c r="G309">
        <v>308</v>
      </c>
      <c r="H309">
        <v>627</v>
      </c>
      <c r="I309">
        <v>310</v>
      </c>
      <c r="J309">
        <v>61</v>
      </c>
    </row>
    <row r="310" spans="1:10">
      <c r="A310">
        <v>3413</v>
      </c>
      <c r="B310" t="s">
        <v>5399</v>
      </c>
      <c r="C310">
        <v>16.61</v>
      </c>
      <c r="D310">
        <v>22.36</v>
      </c>
      <c r="E310">
        <v>0.04</v>
      </c>
      <c r="F310">
        <v>1.69</v>
      </c>
      <c r="G310">
        <v>309</v>
      </c>
      <c r="H310">
        <v>248</v>
      </c>
      <c r="I310">
        <v>946</v>
      </c>
      <c r="J310">
        <v>148</v>
      </c>
    </row>
    <row r="311" spans="1:10">
      <c r="A311">
        <v>6715</v>
      </c>
      <c r="B311" t="s">
        <v>5940</v>
      </c>
      <c r="C311">
        <v>16.54</v>
      </c>
      <c r="D311">
        <v>1.51</v>
      </c>
      <c r="E311">
        <v>0.05</v>
      </c>
      <c r="F311">
        <v>0</v>
      </c>
      <c r="G311">
        <v>310</v>
      </c>
      <c r="H311">
        <v>1124</v>
      </c>
      <c r="I311">
        <v>908</v>
      </c>
      <c r="J311" t="s">
        <v>6279</v>
      </c>
    </row>
    <row r="312" spans="1:10">
      <c r="A312">
        <v>6156</v>
      </c>
      <c r="B312" t="s">
        <v>5773</v>
      </c>
      <c r="C312">
        <v>16.5</v>
      </c>
      <c r="D312">
        <v>4.2699999999999996</v>
      </c>
      <c r="E312">
        <v>0.02</v>
      </c>
      <c r="F312">
        <v>0</v>
      </c>
      <c r="G312">
        <v>311</v>
      </c>
      <c r="H312">
        <v>829</v>
      </c>
      <c r="I312">
        <v>1051</v>
      </c>
      <c r="J312" t="s">
        <v>6279</v>
      </c>
    </row>
    <row r="313" spans="1:10">
      <c r="A313">
        <v>2603</v>
      </c>
      <c r="B313" t="s">
        <v>5181</v>
      </c>
      <c r="C313">
        <v>16.47</v>
      </c>
      <c r="D313">
        <v>26.87</v>
      </c>
      <c r="E313">
        <v>1.47</v>
      </c>
      <c r="F313">
        <v>2.68</v>
      </c>
      <c r="G313">
        <v>312</v>
      </c>
      <c r="H313">
        <v>203</v>
      </c>
      <c r="I313">
        <v>113</v>
      </c>
      <c r="J313">
        <v>98</v>
      </c>
    </row>
    <row r="314" spans="1:10">
      <c r="A314">
        <v>4956</v>
      </c>
      <c r="B314" t="s">
        <v>5623</v>
      </c>
      <c r="C314">
        <v>16.440000000000001</v>
      </c>
      <c r="D314">
        <v>7.04</v>
      </c>
      <c r="E314">
        <v>0.33</v>
      </c>
      <c r="F314">
        <v>0</v>
      </c>
      <c r="G314">
        <v>313</v>
      </c>
      <c r="H314">
        <v>641</v>
      </c>
      <c r="I314">
        <v>433</v>
      </c>
      <c r="J314" t="s">
        <v>6279</v>
      </c>
    </row>
    <row r="315" spans="1:10">
      <c r="A315">
        <v>6179</v>
      </c>
      <c r="B315" t="s">
        <v>5787</v>
      </c>
      <c r="C315">
        <v>16.37</v>
      </c>
      <c r="D315">
        <v>0.64</v>
      </c>
      <c r="E315">
        <v>0</v>
      </c>
      <c r="F315">
        <v>0</v>
      </c>
      <c r="G315">
        <v>314</v>
      </c>
      <c r="H315">
        <v>1297</v>
      </c>
      <c r="I315" t="s">
        <v>6279</v>
      </c>
      <c r="J315" t="s">
        <v>6279</v>
      </c>
    </row>
    <row r="316" spans="1:10">
      <c r="A316">
        <v>3645</v>
      </c>
      <c r="B316" t="s">
        <v>5474</v>
      </c>
      <c r="C316">
        <v>16.32</v>
      </c>
      <c r="D316">
        <v>14.38</v>
      </c>
      <c r="E316">
        <v>0.39</v>
      </c>
      <c r="F316">
        <v>1.03</v>
      </c>
      <c r="G316">
        <v>315</v>
      </c>
      <c r="H316">
        <v>376</v>
      </c>
      <c r="I316">
        <v>383</v>
      </c>
      <c r="J316">
        <v>192</v>
      </c>
    </row>
    <row r="317" spans="1:10">
      <c r="A317">
        <v>2617</v>
      </c>
      <c r="B317" t="s">
        <v>5194</v>
      </c>
      <c r="C317">
        <v>16.170000000000002</v>
      </c>
      <c r="D317">
        <v>2.92</v>
      </c>
      <c r="E317">
        <v>0.14000000000000001</v>
      </c>
      <c r="F317">
        <v>0</v>
      </c>
      <c r="G317">
        <v>316</v>
      </c>
      <c r="H317">
        <v>936</v>
      </c>
      <c r="I317">
        <v>649</v>
      </c>
      <c r="J317" t="s">
        <v>6279</v>
      </c>
    </row>
    <row r="318" spans="1:10">
      <c r="A318">
        <v>6163</v>
      </c>
      <c r="B318" t="s">
        <v>5776</v>
      </c>
      <c r="C318">
        <v>16.16</v>
      </c>
      <c r="D318">
        <v>2.14</v>
      </c>
      <c r="E318">
        <v>0.06</v>
      </c>
      <c r="F318">
        <v>0</v>
      </c>
      <c r="G318">
        <v>317</v>
      </c>
      <c r="H318">
        <v>1026</v>
      </c>
      <c r="I318">
        <v>869</v>
      </c>
      <c r="J318" t="s">
        <v>6279</v>
      </c>
    </row>
    <row r="319" spans="1:10">
      <c r="A319">
        <v>2736</v>
      </c>
      <c r="B319" t="s">
        <v>5215</v>
      </c>
      <c r="C319">
        <v>16.11</v>
      </c>
      <c r="D319">
        <v>0.23</v>
      </c>
      <c r="E319">
        <v>0</v>
      </c>
      <c r="F319">
        <v>0</v>
      </c>
      <c r="G319">
        <v>318</v>
      </c>
      <c r="H319">
        <v>1405</v>
      </c>
      <c r="I319" t="s">
        <v>6279</v>
      </c>
      <c r="J319" t="s">
        <v>6279</v>
      </c>
    </row>
    <row r="320" spans="1:10">
      <c r="A320">
        <v>2323</v>
      </c>
      <c r="B320" t="s">
        <v>5038</v>
      </c>
      <c r="C320">
        <v>16.09</v>
      </c>
      <c r="D320">
        <v>10.130000000000001</v>
      </c>
      <c r="E320">
        <v>4.25</v>
      </c>
      <c r="F320">
        <v>0.01</v>
      </c>
      <c r="G320">
        <v>319</v>
      </c>
      <c r="H320">
        <v>505</v>
      </c>
      <c r="I320">
        <v>33</v>
      </c>
      <c r="J320">
        <v>495</v>
      </c>
    </row>
    <row r="321" spans="1:10">
      <c r="A321">
        <v>1325</v>
      </c>
      <c r="B321" t="s">
        <v>4817</v>
      </c>
      <c r="C321">
        <v>16.059999999999999</v>
      </c>
      <c r="D321">
        <v>4.25</v>
      </c>
      <c r="E321">
        <v>5.08</v>
      </c>
      <c r="F321">
        <v>0</v>
      </c>
      <c r="G321">
        <v>320</v>
      </c>
      <c r="H321">
        <v>832</v>
      </c>
      <c r="I321">
        <v>24</v>
      </c>
      <c r="J321" t="s">
        <v>6279</v>
      </c>
    </row>
    <row r="322" spans="1:10">
      <c r="A322">
        <v>5386</v>
      </c>
      <c r="B322" t="s">
        <v>5680</v>
      </c>
      <c r="C322">
        <v>16.059999999999999</v>
      </c>
      <c r="D322">
        <v>1.08</v>
      </c>
      <c r="E322">
        <v>5.23</v>
      </c>
      <c r="F322">
        <v>0</v>
      </c>
      <c r="G322">
        <v>320</v>
      </c>
      <c r="H322">
        <v>1207</v>
      </c>
      <c r="I322">
        <v>20</v>
      </c>
      <c r="J322" t="s">
        <v>6279</v>
      </c>
    </row>
    <row r="323" spans="1:10">
      <c r="A323">
        <v>3675</v>
      </c>
      <c r="B323" t="s">
        <v>5485</v>
      </c>
      <c r="C323">
        <v>16.02</v>
      </c>
      <c r="D323">
        <v>52.18</v>
      </c>
      <c r="E323">
        <v>0.75</v>
      </c>
      <c r="F323">
        <v>18.739999999999998</v>
      </c>
      <c r="G323">
        <v>322</v>
      </c>
      <c r="H323">
        <v>69</v>
      </c>
      <c r="I323">
        <v>224</v>
      </c>
      <c r="J323">
        <v>3</v>
      </c>
    </row>
    <row r="324" spans="1:10">
      <c r="A324">
        <v>4303</v>
      </c>
      <c r="B324" t="s">
        <v>5542</v>
      </c>
      <c r="C324">
        <v>16.010000000000002</v>
      </c>
      <c r="D324">
        <v>0.48</v>
      </c>
      <c r="E324">
        <v>0</v>
      </c>
      <c r="F324">
        <v>0</v>
      </c>
      <c r="G324">
        <v>323</v>
      </c>
      <c r="H324">
        <v>1337</v>
      </c>
      <c r="I324" t="s">
        <v>6279</v>
      </c>
      <c r="J324" t="s">
        <v>6279</v>
      </c>
    </row>
    <row r="325" spans="1:10">
      <c r="A325">
        <v>8096</v>
      </c>
      <c r="B325" t="s">
        <v>5978</v>
      </c>
      <c r="C325">
        <v>15.95</v>
      </c>
      <c r="D325">
        <v>21.6</v>
      </c>
      <c r="E325">
        <v>0.06</v>
      </c>
      <c r="F325">
        <v>0</v>
      </c>
      <c r="G325">
        <v>324</v>
      </c>
      <c r="H325">
        <v>258</v>
      </c>
      <c r="I325">
        <v>869</v>
      </c>
      <c r="J325" t="s">
        <v>6279</v>
      </c>
    </row>
    <row r="326" spans="1:10">
      <c r="A326">
        <v>6136</v>
      </c>
      <c r="B326" t="s">
        <v>5759</v>
      </c>
      <c r="C326">
        <v>15.94</v>
      </c>
      <c r="D326">
        <v>4.47</v>
      </c>
      <c r="E326">
        <v>0.05</v>
      </c>
      <c r="F326">
        <v>0</v>
      </c>
      <c r="G326">
        <v>325</v>
      </c>
      <c r="H326">
        <v>815</v>
      </c>
      <c r="I326">
        <v>908</v>
      </c>
      <c r="J326" t="s">
        <v>6279</v>
      </c>
    </row>
    <row r="327" spans="1:10">
      <c r="A327">
        <v>2329</v>
      </c>
      <c r="B327" t="s">
        <v>5042</v>
      </c>
      <c r="C327">
        <v>15.88</v>
      </c>
      <c r="D327">
        <v>8.92</v>
      </c>
      <c r="E327">
        <v>0.09</v>
      </c>
      <c r="F327">
        <v>0.02</v>
      </c>
      <c r="G327">
        <v>326</v>
      </c>
      <c r="H327">
        <v>550</v>
      </c>
      <c r="I327">
        <v>762</v>
      </c>
      <c r="J327">
        <v>476</v>
      </c>
    </row>
    <row r="328" spans="1:10">
      <c r="A328">
        <v>3434</v>
      </c>
      <c r="B328" t="s">
        <v>5403</v>
      </c>
      <c r="C328">
        <v>15.88</v>
      </c>
      <c r="D328">
        <v>4.99</v>
      </c>
      <c r="E328">
        <v>1.1299999999999999</v>
      </c>
      <c r="F328">
        <v>0</v>
      </c>
      <c r="G328">
        <v>326</v>
      </c>
      <c r="H328">
        <v>781</v>
      </c>
      <c r="I328">
        <v>154</v>
      </c>
      <c r="J328" t="s">
        <v>6279</v>
      </c>
    </row>
    <row r="329" spans="1:10">
      <c r="A329">
        <v>3287</v>
      </c>
      <c r="B329" t="s">
        <v>6179</v>
      </c>
      <c r="C329">
        <v>15.78</v>
      </c>
      <c r="D329">
        <v>0.54</v>
      </c>
      <c r="E329">
        <v>0</v>
      </c>
      <c r="F329">
        <v>0</v>
      </c>
      <c r="G329">
        <v>328</v>
      </c>
      <c r="H329">
        <v>1321</v>
      </c>
      <c r="I329" t="s">
        <v>6279</v>
      </c>
      <c r="J329" t="s">
        <v>6279</v>
      </c>
    </row>
    <row r="330" spans="1:10">
      <c r="A330">
        <v>2415</v>
      </c>
      <c r="B330" t="s">
        <v>5097</v>
      </c>
      <c r="C330">
        <v>15.77</v>
      </c>
      <c r="D330">
        <v>1.77</v>
      </c>
      <c r="E330">
        <v>0.14000000000000001</v>
      </c>
      <c r="F330">
        <v>0</v>
      </c>
      <c r="G330">
        <v>329</v>
      </c>
      <c r="H330">
        <v>1085</v>
      </c>
      <c r="I330">
        <v>649</v>
      </c>
      <c r="J330" t="s">
        <v>6279</v>
      </c>
    </row>
    <row r="331" spans="1:10">
      <c r="A331">
        <v>4979</v>
      </c>
      <c r="B331" t="s">
        <v>5635</v>
      </c>
      <c r="C331">
        <v>15.75</v>
      </c>
      <c r="D331">
        <v>4.03</v>
      </c>
      <c r="E331">
        <v>0.23</v>
      </c>
      <c r="F331">
        <v>0</v>
      </c>
      <c r="G331">
        <v>330</v>
      </c>
      <c r="H331">
        <v>844</v>
      </c>
      <c r="I331">
        <v>525</v>
      </c>
      <c r="J331" t="s">
        <v>6279</v>
      </c>
    </row>
    <row r="332" spans="1:10">
      <c r="A332">
        <v>1513</v>
      </c>
      <c r="B332" t="s">
        <v>4864</v>
      </c>
      <c r="C332">
        <v>15.74</v>
      </c>
      <c r="D332">
        <v>10.93</v>
      </c>
      <c r="E332">
        <v>0.02</v>
      </c>
      <c r="F332">
        <v>2.56</v>
      </c>
      <c r="G332">
        <v>331</v>
      </c>
      <c r="H332">
        <v>472</v>
      </c>
      <c r="I332">
        <v>1051</v>
      </c>
      <c r="J332">
        <v>100</v>
      </c>
    </row>
    <row r="333" spans="1:10">
      <c r="A333">
        <v>2031</v>
      </c>
      <c r="B333" t="s">
        <v>4990</v>
      </c>
      <c r="C333">
        <v>15.64</v>
      </c>
      <c r="D333">
        <v>11.2</v>
      </c>
      <c r="E333">
        <v>0.45</v>
      </c>
      <c r="F333">
        <v>0.96</v>
      </c>
      <c r="G333">
        <v>332</v>
      </c>
      <c r="H333">
        <v>461</v>
      </c>
      <c r="I333">
        <v>340</v>
      </c>
      <c r="J333">
        <v>197</v>
      </c>
    </row>
    <row r="334" spans="1:10">
      <c r="A334">
        <v>3438</v>
      </c>
      <c r="B334" t="s">
        <v>5405</v>
      </c>
      <c r="C334">
        <v>15.64</v>
      </c>
      <c r="D334">
        <v>2</v>
      </c>
      <c r="E334">
        <v>4.5999999999999996</v>
      </c>
      <c r="F334">
        <v>0</v>
      </c>
      <c r="G334">
        <v>332</v>
      </c>
      <c r="H334">
        <v>1055</v>
      </c>
      <c r="I334">
        <v>29</v>
      </c>
      <c r="J334" t="s">
        <v>6279</v>
      </c>
    </row>
    <row r="335" spans="1:10">
      <c r="A335">
        <v>1785</v>
      </c>
      <c r="B335" t="s">
        <v>4954</v>
      </c>
      <c r="C335">
        <v>15.62</v>
      </c>
      <c r="D335">
        <v>6.89</v>
      </c>
      <c r="E335">
        <v>0.03</v>
      </c>
      <c r="F335">
        <v>0.06</v>
      </c>
      <c r="G335">
        <v>334</v>
      </c>
      <c r="H335">
        <v>652</v>
      </c>
      <c r="I335">
        <v>990</v>
      </c>
      <c r="J335">
        <v>413</v>
      </c>
    </row>
    <row r="336" spans="1:10">
      <c r="A336">
        <v>3583</v>
      </c>
      <c r="B336" t="s">
        <v>5455</v>
      </c>
      <c r="C336">
        <v>15.61</v>
      </c>
      <c r="D336">
        <v>10.08</v>
      </c>
      <c r="E336">
        <v>0.09</v>
      </c>
      <c r="F336">
        <v>0</v>
      </c>
      <c r="G336">
        <v>335</v>
      </c>
      <c r="H336">
        <v>507</v>
      </c>
      <c r="I336">
        <v>762</v>
      </c>
      <c r="J336" t="s">
        <v>6279</v>
      </c>
    </row>
    <row r="337" spans="1:10">
      <c r="A337">
        <v>3546</v>
      </c>
      <c r="B337" t="s">
        <v>5442</v>
      </c>
      <c r="C337">
        <v>15.53</v>
      </c>
      <c r="D337">
        <v>11.11</v>
      </c>
      <c r="E337">
        <v>7.0000000000000007E-2</v>
      </c>
      <c r="F337">
        <v>0</v>
      </c>
      <c r="G337">
        <v>336</v>
      </c>
      <c r="H337">
        <v>463</v>
      </c>
      <c r="I337">
        <v>825</v>
      </c>
      <c r="J337" t="s">
        <v>6279</v>
      </c>
    </row>
    <row r="338" spans="1:10">
      <c r="A338">
        <v>2069</v>
      </c>
      <c r="B338" t="s">
        <v>5000</v>
      </c>
      <c r="C338">
        <v>15.51</v>
      </c>
      <c r="D338">
        <v>1.1499999999999999</v>
      </c>
      <c r="E338">
        <v>0.17</v>
      </c>
      <c r="F338">
        <v>0</v>
      </c>
      <c r="G338">
        <v>337</v>
      </c>
      <c r="H338">
        <v>1198</v>
      </c>
      <c r="I338">
        <v>596</v>
      </c>
      <c r="J338" t="s">
        <v>6279</v>
      </c>
    </row>
    <row r="339" spans="1:10">
      <c r="A339">
        <v>5243</v>
      </c>
      <c r="B339" t="s">
        <v>5655</v>
      </c>
      <c r="C339">
        <v>15.44</v>
      </c>
      <c r="D339">
        <v>52.95</v>
      </c>
      <c r="E339">
        <v>0.09</v>
      </c>
      <c r="F339">
        <v>0</v>
      </c>
      <c r="G339">
        <v>338</v>
      </c>
      <c r="H339">
        <v>66</v>
      </c>
      <c r="I339">
        <v>762</v>
      </c>
      <c r="J339" t="s">
        <v>6279</v>
      </c>
    </row>
    <row r="340" spans="1:10">
      <c r="A340">
        <v>3056</v>
      </c>
      <c r="B340" t="s">
        <v>5306</v>
      </c>
      <c r="C340">
        <v>15.43</v>
      </c>
      <c r="D340">
        <v>4.84</v>
      </c>
      <c r="E340">
        <v>0.05</v>
      </c>
      <c r="F340">
        <v>0.03</v>
      </c>
      <c r="G340">
        <v>339</v>
      </c>
      <c r="H340">
        <v>790</v>
      </c>
      <c r="I340">
        <v>908</v>
      </c>
      <c r="J340">
        <v>459</v>
      </c>
    </row>
    <row r="341" spans="1:10">
      <c r="A341">
        <v>3003</v>
      </c>
      <c r="B341" t="s">
        <v>5265</v>
      </c>
      <c r="C341">
        <v>15.41</v>
      </c>
      <c r="D341">
        <v>4.58</v>
      </c>
      <c r="E341">
        <v>0.16</v>
      </c>
      <c r="F341">
        <v>0</v>
      </c>
      <c r="G341">
        <v>340</v>
      </c>
      <c r="H341">
        <v>807</v>
      </c>
      <c r="I341">
        <v>615</v>
      </c>
      <c r="J341" t="s">
        <v>6279</v>
      </c>
    </row>
    <row r="342" spans="1:10">
      <c r="A342">
        <v>2369</v>
      </c>
      <c r="B342" t="s">
        <v>5069</v>
      </c>
      <c r="C342">
        <v>15.34</v>
      </c>
      <c r="D342">
        <v>14.87</v>
      </c>
      <c r="E342">
        <v>0.14000000000000001</v>
      </c>
      <c r="F342">
        <v>0.01</v>
      </c>
      <c r="G342">
        <v>341</v>
      </c>
      <c r="H342">
        <v>362</v>
      </c>
      <c r="I342">
        <v>649</v>
      </c>
      <c r="J342">
        <v>495</v>
      </c>
    </row>
    <row r="343" spans="1:10">
      <c r="A343">
        <v>4953</v>
      </c>
      <c r="B343" t="s">
        <v>5622</v>
      </c>
      <c r="C343">
        <v>15.33</v>
      </c>
      <c r="D343">
        <v>9.9</v>
      </c>
      <c r="E343">
        <v>0.84</v>
      </c>
      <c r="F343">
        <v>0.83</v>
      </c>
      <c r="G343">
        <v>342</v>
      </c>
      <c r="H343">
        <v>512</v>
      </c>
      <c r="I343">
        <v>207</v>
      </c>
      <c r="J343">
        <v>208</v>
      </c>
    </row>
    <row r="344" spans="1:10">
      <c r="A344">
        <v>9902</v>
      </c>
      <c r="B344" t="s">
        <v>6066</v>
      </c>
      <c r="C344">
        <v>15.31</v>
      </c>
      <c r="D344">
        <v>0.6</v>
      </c>
      <c r="E344">
        <v>0.24</v>
      </c>
      <c r="F344">
        <v>0</v>
      </c>
      <c r="G344">
        <v>343</v>
      </c>
      <c r="H344">
        <v>1308</v>
      </c>
      <c r="I344">
        <v>515</v>
      </c>
      <c r="J344" t="s">
        <v>6279</v>
      </c>
    </row>
    <row r="345" spans="1:10">
      <c r="A345">
        <v>3379</v>
      </c>
      <c r="B345" t="s">
        <v>5393</v>
      </c>
      <c r="C345">
        <v>15.29</v>
      </c>
      <c r="D345">
        <v>0.23</v>
      </c>
      <c r="E345">
        <v>0.16</v>
      </c>
      <c r="F345">
        <v>0</v>
      </c>
      <c r="G345">
        <v>344</v>
      </c>
      <c r="H345">
        <v>1405</v>
      </c>
      <c r="I345">
        <v>615</v>
      </c>
      <c r="J345" t="s">
        <v>6279</v>
      </c>
    </row>
    <row r="346" spans="1:10">
      <c r="A346">
        <v>6266</v>
      </c>
      <c r="B346" t="s">
        <v>5840</v>
      </c>
      <c r="C346">
        <v>15.19</v>
      </c>
      <c r="D346">
        <v>3.01</v>
      </c>
      <c r="E346">
        <v>0.67</v>
      </c>
      <c r="F346">
        <v>0</v>
      </c>
      <c r="G346">
        <v>345</v>
      </c>
      <c r="H346">
        <v>930</v>
      </c>
      <c r="I346">
        <v>261</v>
      </c>
      <c r="J346" t="s">
        <v>6279</v>
      </c>
    </row>
    <row r="347" spans="1:10">
      <c r="A347">
        <v>2611</v>
      </c>
      <c r="B347" t="s">
        <v>5188</v>
      </c>
      <c r="C347">
        <v>15.17</v>
      </c>
      <c r="D347">
        <v>1.47</v>
      </c>
      <c r="E347">
        <v>0.96</v>
      </c>
      <c r="F347">
        <v>0</v>
      </c>
      <c r="G347">
        <v>346</v>
      </c>
      <c r="H347">
        <v>1130</v>
      </c>
      <c r="I347">
        <v>182</v>
      </c>
      <c r="J347" t="s">
        <v>6279</v>
      </c>
    </row>
    <row r="348" spans="1:10">
      <c r="A348">
        <v>6284</v>
      </c>
      <c r="B348" t="s">
        <v>5853</v>
      </c>
      <c r="C348">
        <v>15.17</v>
      </c>
      <c r="D348">
        <v>0.93</v>
      </c>
      <c r="E348">
        <v>0.24</v>
      </c>
      <c r="F348">
        <v>0.22</v>
      </c>
      <c r="G348">
        <v>346</v>
      </c>
      <c r="H348">
        <v>1237</v>
      </c>
      <c r="I348">
        <v>515</v>
      </c>
      <c r="J348">
        <v>318</v>
      </c>
    </row>
    <row r="349" spans="1:10">
      <c r="A349">
        <v>1338</v>
      </c>
      <c r="B349" t="s">
        <v>4821</v>
      </c>
      <c r="C349">
        <v>15.11</v>
      </c>
      <c r="D349">
        <v>8.67</v>
      </c>
      <c r="E349">
        <v>0.1</v>
      </c>
      <c r="F349">
        <v>0</v>
      </c>
      <c r="G349">
        <v>348</v>
      </c>
      <c r="H349">
        <v>558</v>
      </c>
      <c r="I349">
        <v>741</v>
      </c>
      <c r="J349" t="s">
        <v>6279</v>
      </c>
    </row>
    <row r="350" spans="1:10">
      <c r="A350">
        <v>3450</v>
      </c>
      <c r="B350" t="s">
        <v>5409</v>
      </c>
      <c r="C350">
        <v>15.11</v>
      </c>
      <c r="D350">
        <v>7.18</v>
      </c>
      <c r="E350">
        <v>0.15</v>
      </c>
      <c r="F350">
        <v>0</v>
      </c>
      <c r="G350">
        <v>348</v>
      </c>
      <c r="H350">
        <v>626</v>
      </c>
      <c r="I350">
        <v>635</v>
      </c>
      <c r="J350" t="s">
        <v>6279</v>
      </c>
    </row>
    <row r="351" spans="1:10">
      <c r="A351">
        <v>8088</v>
      </c>
      <c r="B351" t="s">
        <v>5975</v>
      </c>
      <c r="C351">
        <v>15.09</v>
      </c>
      <c r="D351">
        <v>9.6999999999999993</v>
      </c>
      <c r="E351">
        <v>0.22</v>
      </c>
      <c r="F351">
        <v>0</v>
      </c>
      <c r="G351">
        <v>350</v>
      </c>
      <c r="H351">
        <v>519</v>
      </c>
      <c r="I351">
        <v>537</v>
      </c>
      <c r="J351" t="s">
        <v>6279</v>
      </c>
    </row>
    <row r="352" spans="1:10">
      <c r="A352">
        <v>4906</v>
      </c>
      <c r="B352" t="s">
        <v>5605</v>
      </c>
      <c r="C352">
        <v>15.07</v>
      </c>
      <c r="D352">
        <v>10.92</v>
      </c>
      <c r="E352">
        <v>0</v>
      </c>
      <c r="F352">
        <v>0</v>
      </c>
      <c r="G352">
        <v>351</v>
      </c>
      <c r="H352">
        <v>474</v>
      </c>
      <c r="I352" t="s">
        <v>6279</v>
      </c>
      <c r="J352" t="s">
        <v>6279</v>
      </c>
    </row>
    <row r="353" spans="1:10">
      <c r="A353">
        <v>6516</v>
      </c>
      <c r="B353" t="s">
        <v>5897</v>
      </c>
      <c r="C353">
        <v>15.02</v>
      </c>
      <c r="D353">
        <v>0.32</v>
      </c>
      <c r="E353">
        <v>0</v>
      </c>
      <c r="F353">
        <v>0</v>
      </c>
      <c r="G353">
        <v>352</v>
      </c>
      <c r="H353">
        <v>1384</v>
      </c>
      <c r="I353" t="s">
        <v>6279</v>
      </c>
      <c r="J353" t="s">
        <v>6279</v>
      </c>
    </row>
    <row r="354" spans="1:10">
      <c r="A354">
        <v>5471</v>
      </c>
      <c r="B354" t="s">
        <v>5697</v>
      </c>
      <c r="C354">
        <v>14.99</v>
      </c>
      <c r="D354">
        <v>12.26</v>
      </c>
      <c r="E354">
        <v>0.05</v>
      </c>
      <c r="F354">
        <v>0.09</v>
      </c>
      <c r="G354">
        <v>353</v>
      </c>
      <c r="H354">
        <v>425</v>
      </c>
      <c r="I354">
        <v>908</v>
      </c>
      <c r="J354">
        <v>389</v>
      </c>
    </row>
    <row r="355" spans="1:10">
      <c r="A355">
        <v>2007</v>
      </c>
      <c r="B355" t="s">
        <v>4974</v>
      </c>
      <c r="C355">
        <v>14.98</v>
      </c>
      <c r="D355">
        <v>0.7</v>
      </c>
      <c r="E355">
        <v>0.11</v>
      </c>
      <c r="F355">
        <v>0</v>
      </c>
      <c r="G355">
        <v>354</v>
      </c>
      <c r="H355">
        <v>1285</v>
      </c>
      <c r="I355">
        <v>717</v>
      </c>
      <c r="J355" t="s">
        <v>6279</v>
      </c>
    </row>
    <row r="356" spans="1:10">
      <c r="A356">
        <v>2485</v>
      </c>
      <c r="B356" t="s">
        <v>5143</v>
      </c>
      <c r="C356">
        <v>14.95</v>
      </c>
      <c r="D356">
        <v>5</v>
      </c>
      <c r="E356">
        <v>0.16</v>
      </c>
      <c r="F356">
        <v>0</v>
      </c>
      <c r="G356">
        <v>355</v>
      </c>
      <c r="H356">
        <v>780</v>
      </c>
      <c r="I356">
        <v>615</v>
      </c>
      <c r="J356" t="s">
        <v>6279</v>
      </c>
    </row>
    <row r="357" spans="1:10">
      <c r="A357">
        <v>5272</v>
      </c>
      <c r="B357" t="s">
        <v>5661</v>
      </c>
      <c r="C357">
        <v>14.94</v>
      </c>
      <c r="D357">
        <v>4.67</v>
      </c>
      <c r="E357">
        <v>0.35</v>
      </c>
      <c r="F357">
        <v>0</v>
      </c>
      <c r="G357">
        <v>356</v>
      </c>
      <c r="H357">
        <v>802</v>
      </c>
      <c r="I357">
        <v>414</v>
      </c>
      <c r="J357" t="s">
        <v>6279</v>
      </c>
    </row>
    <row r="358" spans="1:10">
      <c r="A358">
        <v>6414</v>
      </c>
      <c r="B358" t="s">
        <v>5862</v>
      </c>
      <c r="C358">
        <v>14.92</v>
      </c>
      <c r="D358">
        <v>10.86</v>
      </c>
      <c r="E358">
        <v>0.16</v>
      </c>
      <c r="F358">
        <v>0.49</v>
      </c>
      <c r="G358">
        <v>357</v>
      </c>
      <c r="H358">
        <v>477</v>
      </c>
      <c r="I358">
        <v>615</v>
      </c>
      <c r="J358">
        <v>254</v>
      </c>
    </row>
    <row r="359" spans="1:10">
      <c r="A359">
        <v>1784</v>
      </c>
      <c r="B359" t="s">
        <v>4953</v>
      </c>
      <c r="C359">
        <v>14.88</v>
      </c>
      <c r="D359">
        <v>1.53</v>
      </c>
      <c r="E359">
        <v>0.11</v>
      </c>
      <c r="F359">
        <v>0</v>
      </c>
      <c r="G359">
        <v>358</v>
      </c>
      <c r="H359">
        <v>1120</v>
      </c>
      <c r="I359">
        <v>717</v>
      </c>
      <c r="J359" t="s">
        <v>6279</v>
      </c>
    </row>
    <row r="360" spans="1:10">
      <c r="A360">
        <v>8299</v>
      </c>
      <c r="B360" t="s">
        <v>6010</v>
      </c>
      <c r="C360">
        <v>14.88</v>
      </c>
      <c r="D360">
        <v>36.74</v>
      </c>
      <c r="E360">
        <v>1.54</v>
      </c>
      <c r="F360">
        <v>3.34</v>
      </c>
      <c r="G360">
        <v>358</v>
      </c>
      <c r="H360">
        <v>133</v>
      </c>
      <c r="I360">
        <v>103</v>
      </c>
      <c r="J360">
        <v>83</v>
      </c>
    </row>
    <row r="361" spans="1:10">
      <c r="A361">
        <v>1815</v>
      </c>
      <c r="B361" t="s">
        <v>4964</v>
      </c>
      <c r="C361">
        <v>14.86</v>
      </c>
      <c r="D361">
        <v>2.72</v>
      </c>
      <c r="E361">
        <v>0</v>
      </c>
      <c r="F361">
        <v>0</v>
      </c>
      <c r="G361">
        <v>360</v>
      </c>
      <c r="H361">
        <v>953</v>
      </c>
      <c r="I361" t="s">
        <v>6279</v>
      </c>
      <c r="J361" t="s">
        <v>6279</v>
      </c>
    </row>
    <row r="362" spans="1:10">
      <c r="A362">
        <v>2468</v>
      </c>
      <c r="B362" t="s">
        <v>5131</v>
      </c>
      <c r="C362">
        <v>14.81</v>
      </c>
      <c r="D362">
        <v>0.26</v>
      </c>
      <c r="E362">
        <v>0.03</v>
      </c>
      <c r="F362">
        <v>0</v>
      </c>
      <c r="G362">
        <v>361</v>
      </c>
      <c r="H362">
        <v>1402</v>
      </c>
      <c r="I362">
        <v>990</v>
      </c>
      <c r="J362" t="s">
        <v>6279</v>
      </c>
    </row>
    <row r="363" spans="1:10">
      <c r="A363">
        <v>1609</v>
      </c>
      <c r="B363" t="s">
        <v>4912</v>
      </c>
      <c r="C363">
        <v>14.77</v>
      </c>
      <c r="D363">
        <v>9.01</v>
      </c>
      <c r="E363">
        <v>0.08</v>
      </c>
      <c r="F363">
        <v>0.12</v>
      </c>
      <c r="G363">
        <v>362</v>
      </c>
      <c r="H363">
        <v>546</v>
      </c>
      <c r="I363">
        <v>790</v>
      </c>
      <c r="J363">
        <v>358</v>
      </c>
    </row>
    <row r="364" spans="1:10">
      <c r="A364">
        <v>6245</v>
      </c>
      <c r="B364" t="s">
        <v>5832</v>
      </c>
      <c r="C364">
        <v>14.77</v>
      </c>
      <c r="D364">
        <v>13.41</v>
      </c>
      <c r="E364">
        <v>0.13</v>
      </c>
      <c r="F364">
        <v>0.17</v>
      </c>
      <c r="G364">
        <v>362</v>
      </c>
      <c r="H364">
        <v>398</v>
      </c>
      <c r="I364">
        <v>671</v>
      </c>
      <c r="J364">
        <v>336</v>
      </c>
    </row>
    <row r="365" spans="1:10">
      <c r="A365">
        <v>8064</v>
      </c>
      <c r="B365" t="s">
        <v>5966</v>
      </c>
      <c r="C365">
        <v>14.77</v>
      </c>
      <c r="D365">
        <v>8.64</v>
      </c>
      <c r="E365">
        <v>0.21</v>
      </c>
      <c r="F365">
        <v>0</v>
      </c>
      <c r="G365">
        <v>362</v>
      </c>
      <c r="H365">
        <v>560</v>
      </c>
      <c r="I365">
        <v>550</v>
      </c>
      <c r="J365" t="s">
        <v>6279</v>
      </c>
    </row>
    <row r="366" spans="1:10">
      <c r="A366">
        <v>4930</v>
      </c>
      <c r="B366" t="s">
        <v>6183</v>
      </c>
      <c r="C366">
        <v>14.73</v>
      </c>
      <c r="D366">
        <v>5.0999999999999996</v>
      </c>
      <c r="E366">
        <v>0.41</v>
      </c>
      <c r="F366">
        <v>0</v>
      </c>
      <c r="G366">
        <v>365</v>
      </c>
      <c r="H366">
        <v>773</v>
      </c>
      <c r="I366">
        <v>365</v>
      </c>
      <c r="J366" t="s">
        <v>6279</v>
      </c>
    </row>
    <row r="367" spans="1:10">
      <c r="A367">
        <v>8255</v>
      </c>
      <c r="B367" t="s">
        <v>6005</v>
      </c>
      <c r="C367">
        <v>14.72</v>
      </c>
      <c r="D367">
        <v>8.34</v>
      </c>
      <c r="E367">
        <v>0.6</v>
      </c>
      <c r="F367">
        <v>2.9</v>
      </c>
      <c r="G367">
        <v>366</v>
      </c>
      <c r="H367">
        <v>570</v>
      </c>
      <c r="I367">
        <v>283</v>
      </c>
      <c r="J367">
        <v>91</v>
      </c>
    </row>
    <row r="368" spans="1:10">
      <c r="A368">
        <v>6173</v>
      </c>
      <c r="B368" t="s">
        <v>5782</v>
      </c>
      <c r="C368">
        <v>14.71</v>
      </c>
      <c r="D368">
        <v>1.76</v>
      </c>
      <c r="E368">
        <v>1.1100000000000001</v>
      </c>
      <c r="F368">
        <v>0</v>
      </c>
      <c r="G368">
        <v>367</v>
      </c>
      <c r="H368">
        <v>1087</v>
      </c>
      <c r="I368">
        <v>158</v>
      </c>
      <c r="J368" t="s">
        <v>6279</v>
      </c>
    </row>
    <row r="369" spans="1:10">
      <c r="A369">
        <v>6161</v>
      </c>
      <c r="B369" t="s">
        <v>5775</v>
      </c>
      <c r="C369">
        <v>14.6</v>
      </c>
      <c r="D369">
        <v>7.82</v>
      </c>
      <c r="E369">
        <v>0</v>
      </c>
      <c r="F369">
        <v>0</v>
      </c>
      <c r="G369">
        <v>368</v>
      </c>
      <c r="H369">
        <v>590</v>
      </c>
      <c r="I369" t="s">
        <v>6279</v>
      </c>
      <c r="J369" t="s">
        <v>6279</v>
      </c>
    </row>
    <row r="370" spans="1:10">
      <c r="A370">
        <v>3444</v>
      </c>
      <c r="B370" t="s">
        <v>5408</v>
      </c>
      <c r="C370">
        <v>14.56</v>
      </c>
      <c r="D370">
        <v>9.41</v>
      </c>
      <c r="E370">
        <v>0.74</v>
      </c>
      <c r="F370">
        <v>0</v>
      </c>
      <c r="G370">
        <v>369</v>
      </c>
      <c r="H370">
        <v>532</v>
      </c>
      <c r="I370">
        <v>225</v>
      </c>
      <c r="J370" t="s">
        <v>6279</v>
      </c>
    </row>
    <row r="371" spans="1:10">
      <c r="A371">
        <v>2434</v>
      </c>
      <c r="B371" t="s">
        <v>5110</v>
      </c>
      <c r="C371">
        <v>14.51</v>
      </c>
      <c r="D371">
        <v>1.05</v>
      </c>
      <c r="E371">
        <v>0.04</v>
      </c>
      <c r="F371">
        <v>0</v>
      </c>
      <c r="G371">
        <v>370</v>
      </c>
      <c r="H371">
        <v>1214</v>
      </c>
      <c r="I371">
        <v>946</v>
      </c>
      <c r="J371" t="s">
        <v>6279</v>
      </c>
    </row>
    <row r="372" spans="1:10">
      <c r="A372">
        <v>3362</v>
      </c>
      <c r="B372" t="s">
        <v>5387</v>
      </c>
      <c r="C372">
        <v>14.49</v>
      </c>
      <c r="D372">
        <v>0.97</v>
      </c>
      <c r="E372">
        <v>1.34</v>
      </c>
      <c r="F372">
        <v>0</v>
      </c>
      <c r="G372">
        <v>371</v>
      </c>
      <c r="H372">
        <v>1226</v>
      </c>
      <c r="I372">
        <v>125</v>
      </c>
      <c r="J372" t="s">
        <v>6279</v>
      </c>
    </row>
    <row r="373" spans="1:10">
      <c r="A373">
        <v>4128</v>
      </c>
      <c r="B373" t="s">
        <v>5519</v>
      </c>
      <c r="C373">
        <v>14.49</v>
      </c>
      <c r="D373">
        <v>5.85</v>
      </c>
      <c r="E373">
        <v>0.14000000000000001</v>
      </c>
      <c r="F373">
        <v>0.02</v>
      </c>
      <c r="G373">
        <v>371</v>
      </c>
      <c r="H373">
        <v>712</v>
      </c>
      <c r="I373">
        <v>649</v>
      </c>
      <c r="J373">
        <v>476</v>
      </c>
    </row>
    <row r="374" spans="1:10">
      <c r="A374">
        <v>2605</v>
      </c>
      <c r="B374" t="s">
        <v>5182</v>
      </c>
      <c r="C374">
        <v>14.48</v>
      </c>
      <c r="D374">
        <v>36.340000000000003</v>
      </c>
      <c r="E374">
        <v>0.26</v>
      </c>
      <c r="F374">
        <v>0.88</v>
      </c>
      <c r="G374">
        <v>373</v>
      </c>
      <c r="H374">
        <v>137</v>
      </c>
      <c r="I374">
        <v>501</v>
      </c>
      <c r="J374">
        <v>203</v>
      </c>
    </row>
    <row r="375" spans="1:10">
      <c r="A375">
        <v>1618</v>
      </c>
      <c r="B375" t="s">
        <v>4918</v>
      </c>
      <c r="C375">
        <v>14.47</v>
      </c>
      <c r="D375">
        <v>0.81</v>
      </c>
      <c r="E375">
        <v>0.13</v>
      </c>
      <c r="F375">
        <v>0</v>
      </c>
      <c r="G375">
        <v>374</v>
      </c>
      <c r="H375">
        <v>1259</v>
      </c>
      <c r="I375">
        <v>671</v>
      </c>
      <c r="J375" t="s">
        <v>6279</v>
      </c>
    </row>
    <row r="376" spans="1:10">
      <c r="A376">
        <v>8182</v>
      </c>
      <c r="B376" t="s">
        <v>5995</v>
      </c>
      <c r="C376">
        <v>14.45</v>
      </c>
      <c r="D376">
        <v>51.78</v>
      </c>
      <c r="E376">
        <v>0.03</v>
      </c>
      <c r="F376">
        <v>0</v>
      </c>
      <c r="G376">
        <v>375</v>
      </c>
      <c r="H376">
        <v>71</v>
      </c>
      <c r="I376">
        <v>990</v>
      </c>
      <c r="J376" t="s">
        <v>6279</v>
      </c>
    </row>
    <row r="377" spans="1:10">
      <c r="A377">
        <v>2612</v>
      </c>
      <c r="B377" t="s">
        <v>5189</v>
      </c>
      <c r="C377">
        <v>14.35</v>
      </c>
      <c r="D377">
        <v>2.44</v>
      </c>
      <c r="E377">
        <v>0.06</v>
      </c>
      <c r="F377">
        <v>0.01</v>
      </c>
      <c r="G377">
        <v>376</v>
      </c>
      <c r="H377">
        <v>988</v>
      </c>
      <c r="I377">
        <v>869</v>
      </c>
      <c r="J377">
        <v>495</v>
      </c>
    </row>
    <row r="378" spans="1:10">
      <c r="A378">
        <v>3673</v>
      </c>
      <c r="B378" t="s">
        <v>5484</v>
      </c>
      <c r="C378">
        <v>14.35</v>
      </c>
      <c r="D378">
        <v>33.33</v>
      </c>
      <c r="E378">
        <v>2.39</v>
      </c>
      <c r="F378">
        <v>0</v>
      </c>
      <c r="G378">
        <v>376</v>
      </c>
      <c r="H378">
        <v>154</v>
      </c>
      <c r="I378">
        <v>65</v>
      </c>
      <c r="J378" t="s">
        <v>6279</v>
      </c>
    </row>
    <row r="379" spans="1:10">
      <c r="A379">
        <v>3060</v>
      </c>
      <c r="B379" t="s">
        <v>5308</v>
      </c>
      <c r="C379">
        <v>14.32</v>
      </c>
      <c r="D379">
        <v>6.8</v>
      </c>
      <c r="E379">
        <v>1.32</v>
      </c>
      <c r="F379">
        <v>0.01</v>
      </c>
      <c r="G379">
        <v>378</v>
      </c>
      <c r="H379">
        <v>660</v>
      </c>
      <c r="I379">
        <v>128</v>
      </c>
      <c r="J379">
        <v>495</v>
      </c>
    </row>
    <row r="380" spans="1:10">
      <c r="A380">
        <v>3499</v>
      </c>
      <c r="B380" t="s">
        <v>5421</v>
      </c>
      <c r="C380">
        <v>14.32</v>
      </c>
      <c r="D380">
        <v>3.46</v>
      </c>
      <c r="E380">
        <v>0.18</v>
      </c>
      <c r="F380">
        <v>0</v>
      </c>
      <c r="G380">
        <v>378</v>
      </c>
      <c r="H380">
        <v>885</v>
      </c>
      <c r="I380">
        <v>584</v>
      </c>
      <c r="J380" t="s">
        <v>6279</v>
      </c>
    </row>
    <row r="381" spans="1:10">
      <c r="A381">
        <v>6221</v>
      </c>
      <c r="B381" t="s">
        <v>6295</v>
      </c>
      <c r="C381">
        <v>14.32</v>
      </c>
      <c r="D381">
        <v>0.21</v>
      </c>
      <c r="E381">
        <v>0</v>
      </c>
      <c r="F381">
        <v>0</v>
      </c>
      <c r="G381">
        <v>378</v>
      </c>
      <c r="H381">
        <v>1411</v>
      </c>
      <c r="I381" t="s">
        <v>6279</v>
      </c>
      <c r="J381" t="s">
        <v>6279</v>
      </c>
    </row>
    <row r="382" spans="1:10">
      <c r="A382">
        <v>2028</v>
      </c>
      <c r="B382" t="s">
        <v>4987</v>
      </c>
      <c r="C382">
        <v>14.28</v>
      </c>
      <c r="D382">
        <v>0.68</v>
      </c>
      <c r="E382">
        <v>0.1</v>
      </c>
      <c r="F382">
        <v>0</v>
      </c>
      <c r="G382">
        <v>381</v>
      </c>
      <c r="H382">
        <v>1287</v>
      </c>
      <c r="I382">
        <v>741</v>
      </c>
      <c r="J382" t="s">
        <v>6279</v>
      </c>
    </row>
    <row r="383" spans="1:10">
      <c r="A383">
        <v>6226</v>
      </c>
      <c r="B383" t="s">
        <v>5820</v>
      </c>
      <c r="C383">
        <v>14.28</v>
      </c>
      <c r="D383">
        <v>3.51</v>
      </c>
      <c r="E383">
        <v>0.32</v>
      </c>
      <c r="F383">
        <v>0</v>
      </c>
      <c r="G383">
        <v>381</v>
      </c>
      <c r="H383">
        <v>876</v>
      </c>
      <c r="I383">
        <v>442</v>
      </c>
      <c r="J383" t="s">
        <v>6279</v>
      </c>
    </row>
    <row r="384" spans="1:10">
      <c r="A384">
        <v>3661</v>
      </c>
      <c r="B384" t="s">
        <v>5478</v>
      </c>
      <c r="C384">
        <v>14.25</v>
      </c>
      <c r="D384">
        <v>56.25</v>
      </c>
      <c r="E384">
        <v>1.37</v>
      </c>
      <c r="F384">
        <v>17.11</v>
      </c>
      <c r="G384">
        <v>383</v>
      </c>
      <c r="H384">
        <v>54</v>
      </c>
      <c r="I384">
        <v>122</v>
      </c>
      <c r="J384">
        <v>4</v>
      </c>
    </row>
    <row r="385" spans="1:10">
      <c r="A385">
        <v>3663</v>
      </c>
      <c r="B385" t="s">
        <v>5479</v>
      </c>
      <c r="C385">
        <v>14.25</v>
      </c>
      <c r="D385">
        <v>0.41</v>
      </c>
      <c r="E385">
        <v>0.28000000000000003</v>
      </c>
      <c r="F385">
        <v>0</v>
      </c>
      <c r="G385">
        <v>383</v>
      </c>
      <c r="H385">
        <v>1354</v>
      </c>
      <c r="I385">
        <v>478</v>
      </c>
      <c r="J385" t="s">
        <v>6279</v>
      </c>
    </row>
    <row r="386" spans="1:10">
      <c r="A386">
        <v>3086</v>
      </c>
      <c r="B386" t="s">
        <v>5314</v>
      </c>
      <c r="C386">
        <v>14.22</v>
      </c>
      <c r="D386">
        <v>28.92</v>
      </c>
      <c r="E386">
        <v>0</v>
      </c>
      <c r="F386">
        <v>0</v>
      </c>
      <c r="G386">
        <v>385</v>
      </c>
      <c r="H386">
        <v>189</v>
      </c>
      <c r="I386" t="s">
        <v>6279</v>
      </c>
      <c r="J386" t="s">
        <v>6279</v>
      </c>
    </row>
    <row r="387" spans="1:10">
      <c r="A387">
        <v>4973</v>
      </c>
      <c r="B387" t="s">
        <v>5631</v>
      </c>
      <c r="C387">
        <v>14.22</v>
      </c>
      <c r="D387">
        <v>0.36</v>
      </c>
      <c r="E387">
        <v>0</v>
      </c>
      <c r="F387">
        <v>0</v>
      </c>
      <c r="G387">
        <v>385</v>
      </c>
      <c r="H387">
        <v>1376</v>
      </c>
      <c r="I387" t="s">
        <v>6279</v>
      </c>
      <c r="J387" t="s">
        <v>6279</v>
      </c>
    </row>
    <row r="388" spans="1:10">
      <c r="A388">
        <v>8450</v>
      </c>
      <c r="B388" t="s">
        <v>6036</v>
      </c>
      <c r="C388">
        <v>14.12</v>
      </c>
      <c r="D388">
        <v>1.79</v>
      </c>
      <c r="E388">
        <v>0.83</v>
      </c>
      <c r="F388">
        <v>0</v>
      </c>
      <c r="G388">
        <v>387</v>
      </c>
      <c r="H388">
        <v>1082</v>
      </c>
      <c r="I388">
        <v>210</v>
      </c>
      <c r="J388" t="s">
        <v>6279</v>
      </c>
    </row>
    <row r="389" spans="1:10">
      <c r="A389">
        <v>6125</v>
      </c>
      <c r="B389" t="s">
        <v>5753</v>
      </c>
      <c r="C389">
        <v>14.11</v>
      </c>
      <c r="D389">
        <v>1.82</v>
      </c>
      <c r="E389">
        <v>0.24</v>
      </c>
      <c r="F389">
        <v>0.01</v>
      </c>
      <c r="G389">
        <v>388</v>
      </c>
      <c r="H389">
        <v>1075</v>
      </c>
      <c r="I389">
        <v>515</v>
      </c>
      <c r="J389">
        <v>495</v>
      </c>
    </row>
    <row r="390" spans="1:10">
      <c r="A390">
        <v>1314</v>
      </c>
      <c r="B390" t="s">
        <v>4810</v>
      </c>
      <c r="C390">
        <v>14.09</v>
      </c>
      <c r="D390">
        <v>9.56</v>
      </c>
      <c r="E390">
        <v>0.17</v>
      </c>
      <c r="F390">
        <v>0</v>
      </c>
      <c r="G390">
        <v>389</v>
      </c>
      <c r="H390">
        <v>528</v>
      </c>
      <c r="I390">
        <v>596</v>
      </c>
      <c r="J390" t="s">
        <v>6279</v>
      </c>
    </row>
    <row r="391" spans="1:10">
      <c r="A391">
        <v>6278</v>
      </c>
      <c r="B391" t="s">
        <v>5848</v>
      </c>
      <c r="C391">
        <v>14.05</v>
      </c>
      <c r="D391">
        <v>14.36</v>
      </c>
      <c r="E391">
        <v>0.63</v>
      </c>
      <c r="F391">
        <v>1.83</v>
      </c>
      <c r="G391">
        <v>390</v>
      </c>
      <c r="H391">
        <v>377</v>
      </c>
      <c r="I391">
        <v>272</v>
      </c>
      <c r="J391">
        <v>137</v>
      </c>
    </row>
    <row r="392" spans="1:10">
      <c r="A392">
        <v>3325</v>
      </c>
      <c r="B392" t="s">
        <v>5379</v>
      </c>
      <c r="C392">
        <v>14.01</v>
      </c>
      <c r="D392">
        <v>0.84</v>
      </c>
      <c r="E392">
        <v>0</v>
      </c>
      <c r="F392">
        <v>0</v>
      </c>
      <c r="G392">
        <v>391</v>
      </c>
      <c r="H392">
        <v>1254</v>
      </c>
      <c r="I392" t="s">
        <v>6279</v>
      </c>
      <c r="J392" t="s">
        <v>6279</v>
      </c>
    </row>
    <row r="393" spans="1:10">
      <c r="A393">
        <v>5465</v>
      </c>
      <c r="B393" t="s">
        <v>6296</v>
      </c>
      <c r="C393">
        <v>13.97</v>
      </c>
      <c r="D393">
        <v>0.18</v>
      </c>
      <c r="E393">
        <v>0</v>
      </c>
      <c r="F393">
        <v>0</v>
      </c>
      <c r="G393">
        <v>392</v>
      </c>
      <c r="H393">
        <v>1416</v>
      </c>
      <c r="I393" t="s">
        <v>6279</v>
      </c>
      <c r="J393" t="s">
        <v>6279</v>
      </c>
    </row>
    <row r="394" spans="1:10">
      <c r="A394">
        <v>3504</v>
      </c>
      <c r="B394" t="s">
        <v>5423</v>
      </c>
      <c r="C394">
        <v>13.84</v>
      </c>
      <c r="D394">
        <v>5.75</v>
      </c>
      <c r="E394">
        <v>1.67</v>
      </c>
      <c r="F394">
        <v>0.04</v>
      </c>
      <c r="G394">
        <v>393</v>
      </c>
      <c r="H394">
        <v>725</v>
      </c>
      <c r="I394">
        <v>94</v>
      </c>
      <c r="J394">
        <v>439</v>
      </c>
    </row>
    <row r="395" spans="1:10">
      <c r="A395">
        <v>3189</v>
      </c>
      <c r="B395" t="s">
        <v>5336</v>
      </c>
      <c r="C395">
        <v>13.83</v>
      </c>
      <c r="D395">
        <v>17.96</v>
      </c>
      <c r="E395">
        <v>0.92</v>
      </c>
      <c r="F395">
        <v>5.56</v>
      </c>
      <c r="G395">
        <v>394</v>
      </c>
      <c r="H395">
        <v>308</v>
      </c>
      <c r="I395">
        <v>190</v>
      </c>
      <c r="J395">
        <v>46</v>
      </c>
    </row>
    <row r="396" spans="1:10">
      <c r="A396">
        <v>2425</v>
      </c>
      <c r="B396" t="s">
        <v>5103</v>
      </c>
      <c r="C396">
        <v>13.81</v>
      </c>
      <c r="D396">
        <v>17.32</v>
      </c>
      <c r="E396">
        <v>0.11</v>
      </c>
      <c r="F396">
        <v>0</v>
      </c>
      <c r="G396">
        <v>395</v>
      </c>
      <c r="H396">
        <v>323</v>
      </c>
      <c r="I396">
        <v>717</v>
      </c>
      <c r="J396" t="s">
        <v>6279</v>
      </c>
    </row>
    <row r="397" spans="1:10">
      <c r="A397">
        <v>5251</v>
      </c>
      <c r="B397" t="s">
        <v>5657</v>
      </c>
      <c r="C397">
        <v>13.74</v>
      </c>
      <c r="D397">
        <v>22.13</v>
      </c>
      <c r="E397">
        <v>0.08</v>
      </c>
      <c r="F397">
        <v>0</v>
      </c>
      <c r="G397">
        <v>396</v>
      </c>
      <c r="H397">
        <v>252</v>
      </c>
      <c r="I397">
        <v>790</v>
      </c>
      <c r="J397" t="s">
        <v>6279</v>
      </c>
    </row>
    <row r="398" spans="1:10">
      <c r="A398">
        <v>3484</v>
      </c>
      <c r="B398" t="s">
        <v>5416</v>
      </c>
      <c r="C398">
        <v>13.71</v>
      </c>
      <c r="D398">
        <v>2.7</v>
      </c>
      <c r="E398">
        <v>0.18</v>
      </c>
      <c r="F398">
        <v>0</v>
      </c>
      <c r="G398">
        <v>397</v>
      </c>
      <c r="H398">
        <v>958</v>
      </c>
      <c r="I398">
        <v>584</v>
      </c>
      <c r="J398" t="s">
        <v>6279</v>
      </c>
    </row>
    <row r="399" spans="1:10">
      <c r="A399">
        <v>6026</v>
      </c>
      <c r="B399" t="s">
        <v>5739</v>
      </c>
      <c r="C399">
        <v>13.7</v>
      </c>
      <c r="D399">
        <v>1.72</v>
      </c>
      <c r="E399">
        <v>0</v>
      </c>
      <c r="F399">
        <v>0</v>
      </c>
      <c r="G399">
        <v>398</v>
      </c>
      <c r="H399">
        <v>1096</v>
      </c>
      <c r="I399" t="s">
        <v>6279</v>
      </c>
      <c r="J399" t="s">
        <v>6279</v>
      </c>
    </row>
    <row r="400" spans="1:10">
      <c r="A400">
        <v>1783</v>
      </c>
      <c r="B400" t="s">
        <v>4952</v>
      </c>
      <c r="C400">
        <v>13.68</v>
      </c>
      <c r="D400">
        <v>6.25</v>
      </c>
      <c r="E400">
        <v>0.34</v>
      </c>
      <c r="F400">
        <v>0</v>
      </c>
      <c r="G400">
        <v>399</v>
      </c>
      <c r="H400">
        <v>696</v>
      </c>
      <c r="I400">
        <v>426</v>
      </c>
      <c r="J400" t="s">
        <v>6279</v>
      </c>
    </row>
    <row r="401" spans="1:10">
      <c r="A401">
        <v>3466</v>
      </c>
      <c r="B401" t="s">
        <v>5412</v>
      </c>
      <c r="C401">
        <v>13.67</v>
      </c>
      <c r="D401">
        <v>7.5</v>
      </c>
      <c r="E401">
        <v>0</v>
      </c>
      <c r="F401">
        <v>0</v>
      </c>
      <c r="G401">
        <v>400</v>
      </c>
      <c r="H401">
        <v>604</v>
      </c>
      <c r="I401" t="s">
        <v>6279</v>
      </c>
      <c r="J401" t="s">
        <v>6279</v>
      </c>
    </row>
    <row r="402" spans="1:10">
      <c r="A402">
        <v>8091</v>
      </c>
      <c r="B402" t="s">
        <v>5977</v>
      </c>
      <c r="C402">
        <v>13.64</v>
      </c>
      <c r="D402">
        <v>5.57</v>
      </c>
      <c r="E402">
        <v>1.99</v>
      </c>
      <c r="F402">
        <v>0.44</v>
      </c>
      <c r="G402">
        <v>401</v>
      </c>
      <c r="H402">
        <v>741</v>
      </c>
      <c r="I402">
        <v>78</v>
      </c>
      <c r="J402">
        <v>265</v>
      </c>
    </row>
    <row r="403" spans="1:10">
      <c r="A403">
        <v>1612</v>
      </c>
      <c r="B403" t="s">
        <v>4914</v>
      </c>
      <c r="C403">
        <v>13.53</v>
      </c>
      <c r="D403">
        <v>14.26</v>
      </c>
      <c r="E403">
        <v>0.53</v>
      </c>
      <c r="F403">
        <v>0.08</v>
      </c>
      <c r="G403">
        <v>402</v>
      </c>
      <c r="H403">
        <v>380</v>
      </c>
      <c r="I403">
        <v>310</v>
      </c>
      <c r="J403">
        <v>395</v>
      </c>
    </row>
    <row r="404" spans="1:10">
      <c r="A404">
        <v>1809</v>
      </c>
      <c r="B404" t="s">
        <v>4962</v>
      </c>
      <c r="C404">
        <v>13.53</v>
      </c>
      <c r="D404">
        <v>2.39</v>
      </c>
      <c r="E404">
        <v>0.03</v>
      </c>
      <c r="F404">
        <v>0</v>
      </c>
      <c r="G404">
        <v>402</v>
      </c>
      <c r="H404">
        <v>997</v>
      </c>
      <c r="I404">
        <v>990</v>
      </c>
      <c r="J404" t="s">
        <v>6279</v>
      </c>
    </row>
    <row r="405" spans="1:10">
      <c r="A405">
        <v>3047</v>
      </c>
      <c r="B405" t="s">
        <v>5299</v>
      </c>
      <c r="C405">
        <v>13.52</v>
      </c>
      <c r="D405">
        <v>3.46</v>
      </c>
      <c r="E405">
        <v>0.38</v>
      </c>
      <c r="F405">
        <v>0</v>
      </c>
      <c r="G405">
        <v>404</v>
      </c>
      <c r="H405">
        <v>885</v>
      </c>
      <c r="I405">
        <v>392</v>
      </c>
      <c r="J405" t="s">
        <v>6279</v>
      </c>
    </row>
    <row r="406" spans="1:10">
      <c r="A406">
        <v>6191</v>
      </c>
      <c r="B406" t="s">
        <v>5798</v>
      </c>
      <c r="C406">
        <v>13.52</v>
      </c>
      <c r="D406">
        <v>6.22</v>
      </c>
      <c r="E406">
        <v>0.11</v>
      </c>
      <c r="F406">
        <v>0</v>
      </c>
      <c r="G406">
        <v>404</v>
      </c>
      <c r="H406">
        <v>698</v>
      </c>
      <c r="I406">
        <v>717</v>
      </c>
      <c r="J406" t="s">
        <v>6279</v>
      </c>
    </row>
    <row r="407" spans="1:10">
      <c r="A407">
        <v>1569</v>
      </c>
      <c r="B407" t="s">
        <v>4892</v>
      </c>
      <c r="C407">
        <v>13.45</v>
      </c>
      <c r="D407">
        <v>2.79</v>
      </c>
      <c r="E407">
        <v>0.13</v>
      </c>
      <c r="F407">
        <v>0.01</v>
      </c>
      <c r="G407">
        <v>406</v>
      </c>
      <c r="H407">
        <v>942</v>
      </c>
      <c r="I407">
        <v>671</v>
      </c>
      <c r="J407">
        <v>495</v>
      </c>
    </row>
    <row r="408" spans="1:10">
      <c r="A408">
        <v>1734</v>
      </c>
      <c r="B408" t="s">
        <v>4942</v>
      </c>
      <c r="C408">
        <v>13.45</v>
      </c>
      <c r="D408">
        <v>2.58</v>
      </c>
      <c r="E408">
        <v>0.28999999999999998</v>
      </c>
      <c r="F408">
        <v>0</v>
      </c>
      <c r="G408">
        <v>406</v>
      </c>
      <c r="H408">
        <v>973</v>
      </c>
      <c r="I408">
        <v>467</v>
      </c>
      <c r="J408" t="s">
        <v>6279</v>
      </c>
    </row>
    <row r="409" spans="1:10">
      <c r="A409">
        <v>2610</v>
      </c>
      <c r="B409" t="s">
        <v>5187</v>
      </c>
      <c r="C409">
        <v>13.44</v>
      </c>
      <c r="D409">
        <v>15.01</v>
      </c>
      <c r="E409">
        <v>0.03</v>
      </c>
      <c r="F409">
        <v>2.02</v>
      </c>
      <c r="G409">
        <v>408</v>
      </c>
      <c r="H409">
        <v>356</v>
      </c>
      <c r="I409">
        <v>990</v>
      </c>
      <c r="J409">
        <v>124</v>
      </c>
    </row>
    <row r="410" spans="1:10">
      <c r="A410">
        <v>5443</v>
      </c>
      <c r="B410" t="s">
        <v>5691</v>
      </c>
      <c r="C410">
        <v>13.44</v>
      </c>
      <c r="D410">
        <v>2.63</v>
      </c>
      <c r="E410">
        <v>0.13</v>
      </c>
      <c r="F410">
        <v>0</v>
      </c>
      <c r="G410">
        <v>408</v>
      </c>
      <c r="H410">
        <v>968</v>
      </c>
      <c r="I410">
        <v>671</v>
      </c>
      <c r="J410" t="s">
        <v>6279</v>
      </c>
    </row>
    <row r="411" spans="1:10">
      <c r="A411">
        <v>1235</v>
      </c>
      <c r="B411" t="s">
        <v>4794</v>
      </c>
      <c r="C411">
        <v>13.39</v>
      </c>
      <c r="D411">
        <v>0.11</v>
      </c>
      <c r="E411">
        <v>0</v>
      </c>
      <c r="F411">
        <v>0</v>
      </c>
      <c r="G411">
        <v>410</v>
      </c>
      <c r="H411">
        <v>1440</v>
      </c>
      <c r="I411" t="s">
        <v>6279</v>
      </c>
      <c r="J411" t="s">
        <v>6279</v>
      </c>
    </row>
    <row r="412" spans="1:10">
      <c r="A412">
        <v>1455</v>
      </c>
      <c r="B412" t="s">
        <v>4848</v>
      </c>
      <c r="C412">
        <v>13.33</v>
      </c>
      <c r="D412">
        <v>1.46</v>
      </c>
      <c r="E412">
        <v>0.59</v>
      </c>
      <c r="F412">
        <v>0</v>
      </c>
      <c r="G412">
        <v>411</v>
      </c>
      <c r="H412">
        <v>1133</v>
      </c>
      <c r="I412">
        <v>286</v>
      </c>
      <c r="J412" t="s">
        <v>6279</v>
      </c>
    </row>
    <row r="413" spans="1:10">
      <c r="A413">
        <v>4142</v>
      </c>
      <c r="B413" t="s">
        <v>5524</v>
      </c>
      <c r="C413">
        <v>13.3</v>
      </c>
      <c r="D413">
        <v>7.36</v>
      </c>
      <c r="E413">
        <v>1</v>
      </c>
      <c r="F413">
        <v>0.12</v>
      </c>
      <c r="G413">
        <v>412</v>
      </c>
      <c r="H413">
        <v>610</v>
      </c>
      <c r="I413">
        <v>171</v>
      </c>
      <c r="J413">
        <v>358</v>
      </c>
    </row>
    <row r="414" spans="1:10">
      <c r="A414">
        <v>3289</v>
      </c>
      <c r="B414" t="s">
        <v>5364</v>
      </c>
      <c r="C414">
        <v>13.27</v>
      </c>
      <c r="D414">
        <v>5.59</v>
      </c>
      <c r="E414">
        <v>0.25</v>
      </c>
      <c r="F414">
        <v>0</v>
      </c>
      <c r="G414">
        <v>413</v>
      </c>
      <c r="H414">
        <v>740</v>
      </c>
      <c r="I414">
        <v>508</v>
      </c>
      <c r="J414" t="s">
        <v>6279</v>
      </c>
    </row>
    <row r="415" spans="1:10">
      <c r="A415">
        <v>4916</v>
      </c>
      <c r="B415" t="s">
        <v>5610</v>
      </c>
      <c r="C415">
        <v>13.21</v>
      </c>
      <c r="D415">
        <v>1.82</v>
      </c>
      <c r="E415">
        <v>0.02</v>
      </c>
      <c r="F415">
        <v>0</v>
      </c>
      <c r="G415">
        <v>414</v>
      </c>
      <c r="H415">
        <v>1075</v>
      </c>
      <c r="I415">
        <v>1051</v>
      </c>
      <c r="J415" t="s">
        <v>6279</v>
      </c>
    </row>
    <row r="416" spans="1:10">
      <c r="A416">
        <v>2642</v>
      </c>
      <c r="B416" t="s">
        <v>5201</v>
      </c>
      <c r="C416">
        <v>13.19</v>
      </c>
      <c r="D416">
        <v>4.93</v>
      </c>
      <c r="E416">
        <v>2.1</v>
      </c>
      <c r="F416">
        <v>0</v>
      </c>
      <c r="G416">
        <v>415</v>
      </c>
      <c r="H416">
        <v>785</v>
      </c>
      <c r="I416">
        <v>74</v>
      </c>
      <c r="J416" t="s">
        <v>6279</v>
      </c>
    </row>
    <row r="417" spans="1:10">
      <c r="A417">
        <v>6510</v>
      </c>
      <c r="B417" t="s">
        <v>5894</v>
      </c>
      <c r="C417">
        <v>13.18</v>
      </c>
      <c r="D417">
        <v>11.06</v>
      </c>
      <c r="E417">
        <v>0.73</v>
      </c>
      <c r="F417">
        <v>0.56999999999999995</v>
      </c>
      <c r="G417">
        <v>416</v>
      </c>
      <c r="H417">
        <v>466</v>
      </c>
      <c r="I417">
        <v>234</v>
      </c>
      <c r="J417">
        <v>245</v>
      </c>
    </row>
    <row r="418" spans="1:10">
      <c r="A418">
        <v>2442</v>
      </c>
      <c r="B418" t="s">
        <v>5114</v>
      </c>
      <c r="C418">
        <v>13.16</v>
      </c>
      <c r="D418">
        <v>3.18</v>
      </c>
      <c r="E418">
        <v>0.06</v>
      </c>
      <c r="F418">
        <v>0</v>
      </c>
      <c r="G418">
        <v>417</v>
      </c>
      <c r="H418">
        <v>910</v>
      </c>
      <c r="I418">
        <v>869</v>
      </c>
      <c r="J418" t="s">
        <v>6279</v>
      </c>
    </row>
    <row r="419" spans="1:10">
      <c r="A419">
        <v>6679</v>
      </c>
      <c r="B419" t="s">
        <v>5937</v>
      </c>
      <c r="C419">
        <v>13.06</v>
      </c>
      <c r="D419">
        <v>11.61</v>
      </c>
      <c r="E419">
        <v>0.22</v>
      </c>
      <c r="F419">
        <v>7.09</v>
      </c>
      <c r="G419">
        <v>418</v>
      </c>
      <c r="H419">
        <v>444</v>
      </c>
      <c r="I419">
        <v>537</v>
      </c>
      <c r="J419">
        <v>28</v>
      </c>
    </row>
    <row r="420" spans="1:10">
      <c r="A420">
        <v>8011</v>
      </c>
      <c r="B420" t="s">
        <v>5950</v>
      </c>
      <c r="C420">
        <v>13.06</v>
      </c>
      <c r="D420">
        <v>2.41</v>
      </c>
      <c r="E420">
        <v>0</v>
      </c>
      <c r="F420">
        <v>0</v>
      </c>
      <c r="G420">
        <v>418</v>
      </c>
      <c r="H420">
        <v>993</v>
      </c>
      <c r="I420" t="s">
        <v>6279</v>
      </c>
      <c r="J420" t="s">
        <v>6279</v>
      </c>
    </row>
    <row r="421" spans="1:10">
      <c r="A421">
        <v>2401</v>
      </c>
      <c r="B421" t="s">
        <v>5088</v>
      </c>
      <c r="C421">
        <v>13.04</v>
      </c>
      <c r="D421">
        <v>12.91</v>
      </c>
      <c r="E421">
        <v>0.09</v>
      </c>
      <c r="F421">
        <v>0</v>
      </c>
      <c r="G421">
        <v>420</v>
      </c>
      <c r="H421">
        <v>409</v>
      </c>
      <c r="I421">
        <v>762</v>
      </c>
      <c r="J421" t="s">
        <v>6279</v>
      </c>
    </row>
    <row r="422" spans="1:10">
      <c r="A422">
        <v>3701</v>
      </c>
      <c r="B422" t="s">
        <v>5494</v>
      </c>
      <c r="C422">
        <v>13.03</v>
      </c>
      <c r="D422">
        <v>3.81</v>
      </c>
      <c r="E422">
        <v>0</v>
      </c>
      <c r="F422">
        <v>0.01</v>
      </c>
      <c r="G422">
        <v>421</v>
      </c>
      <c r="H422">
        <v>854</v>
      </c>
      <c r="I422" t="s">
        <v>6279</v>
      </c>
      <c r="J422">
        <v>495</v>
      </c>
    </row>
    <row r="423" spans="1:10">
      <c r="A423">
        <v>9906</v>
      </c>
      <c r="B423" t="s">
        <v>6069</v>
      </c>
      <c r="C423">
        <v>12.99</v>
      </c>
      <c r="D423">
        <v>0.75</v>
      </c>
      <c r="E423">
        <v>0.01</v>
      </c>
      <c r="F423">
        <v>0</v>
      </c>
      <c r="G423">
        <v>422</v>
      </c>
      <c r="H423">
        <v>1273</v>
      </c>
      <c r="I423">
        <v>1123</v>
      </c>
      <c r="J423" t="s">
        <v>6279</v>
      </c>
    </row>
    <row r="424" spans="1:10">
      <c r="A424">
        <v>2328</v>
      </c>
      <c r="B424" t="s">
        <v>5041</v>
      </c>
      <c r="C424">
        <v>12.98</v>
      </c>
      <c r="D424">
        <v>9.59</v>
      </c>
      <c r="E424">
        <v>0.17</v>
      </c>
      <c r="F424">
        <v>0</v>
      </c>
      <c r="G424">
        <v>423</v>
      </c>
      <c r="H424">
        <v>527</v>
      </c>
      <c r="I424">
        <v>596</v>
      </c>
      <c r="J424" t="s">
        <v>6279</v>
      </c>
    </row>
    <row r="425" spans="1:10">
      <c r="A425">
        <v>2478</v>
      </c>
      <c r="B425" t="s">
        <v>5137</v>
      </c>
      <c r="C425">
        <v>12.92</v>
      </c>
      <c r="D425">
        <v>4.99</v>
      </c>
      <c r="E425">
        <v>0.27</v>
      </c>
      <c r="F425">
        <v>0</v>
      </c>
      <c r="G425">
        <v>424</v>
      </c>
      <c r="H425">
        <v>781</v>
      </c>
      <c r="I425">
        <v>487</v>
      </c>
      <c r="J425" t="s">
        <v>6279</v>
      </c>
    </row>
    <row r="426" spans="1:10">
      <c r="A426">
        <v>3227</v>
      </c>
      <c r="B426" t="s">
        <v>5348</v>
      </c>
      <c r="C426">
        <v>12.9</v>
      </c>
      <c r="D426">
        <v>15.37</v>
      </c>
      <c r="E426">
        <v>1.64</v>
      </c>
      <c r="F426">
        <v>0.1</v>
      </c>
      <c r="G426">
        <v>425</v>
      </c>
      <c r="H426">
        <v>349</v>
      </c>
      <c r="I426">
        <v>99</v>
      </c>
      <c r="J426">
        <v>377</v>
      </c>
    </row>
    <row r="427" spans="1:10">
      <c r="A427">
        <v>3284</v>
      </c>
      <c r="B427" t="s">
        <v>5363</v>
      </c>
      <c r="C427">
        <v>12.86</v>
      </c>
      <c r="D427">
        <v>0.53</v>
      </c>
      <c r="E427">
        <v>0.12</v>
      </c>
      <c r="F427">
        <v>0</v>
      </c>
      <c r="G427">
        <v>426</v>
      </c>
      <c r="H427">
        <v>1325</v>
      </c>
      <c r="I427">
        <v>696</v>
      </c>
      <c r="J427" t="s">
        <v>6279</v>
      </c>
    </row>
    <row r="428" spans="1:10">
      <c r="A428">
        <v>3038</v>
      </c>
      <c r="B428" t="s">
        <v>5293</v>
      </c>
      <c r="C428">
        <v>12.83</v>
      </c>
      <c r="D428">
        <v>1.8</v>
      </c>
      <c r="E428">
        <v>0.09</v>
      </c>
      <c r="F428">
        <v>0</v>
      </c>
      <c r="G428">
        <v>427</v>
      </c>
      <c r="H428">
        <v>1078</v>
      </c>
      <c r="I428">
        <v>762</v>
      </c>
      <c r="J428" t="s">
        <v>6279</v>
      </c>
    </row>
    <row r="429" spans="1:10">
      <c r="A429">
        <v>3492</v>
      </c>
      <c r="B429" t="s">
        <v>5419</v>
      </c>
      <c r="C429">
        <v>12.81</v>
      </c>
      <c r="D429">
        <v>0.34</v>
      </c>
      <c r="E429">
        <v>0</v>
      </c>
      <c r="F429">
        <v>0</v>
      </c>
      <c r="G429">
        <v>428</v>
      </c>
      <c r="H429">
        <v>1379</v>
      </c>
      <c r="I429" t="s">
        <v>6279</v>
      </c>
      <c r="J429" t="s">
        <v>6279</v>
      </c>
    </row>
    <row r="430" spans="1:10">
      <c r="A430">
        <v>4702</v>
      </c>
      <c r="B430" t="s">
        <v>5581</v>
      </c>
      <c r="C430">
        <v>12.78</v>
      </c>
      <c r="D430">
        <v>48.68</v>
      </c>
      <c r="E430">
        <v>0</v>
      </c>
      <c r="F430">
        <v>0</v>
      </c>
      <c r="G430">
        <v>429</v>
      </c>
      <c r="H430">
        <v>79</v>
      </c>
      <c r="I430" t="s">
        <v>6279</v>
      </c>
      <c r="J430" t="s">
        <v>6279</v>
      </c>
    </row>
    <row r="431" spans="1:10">
      <c r="A431">
        <v>1475</v>
      </c>
      <c r="B431" t="s">
        <v>6300</v>
      </c>
      <c r="C431">
        <v>12.66</v>
      </c>
      <c r="D431">
        <v>0.18</v>
      </c>
      <c r="E431">
        <v>0.12</v>
      </c>
      <c r="F431">
        <v>0</v>
      </c>
      <c r="G431">
        <v>430</v>
      </c>
      <c r="H431">
        <v>1416</v>
      </c>
      <c r="I431">
        <v>696</v>
      </c>
      <c r="J431" t="s">
        <v>6279</v>
      </c>
    </row>
    <row r="432" spans="1:10">
      <c r="A432">
        <v>2027</v>
      </c>
      <c r="B432" t="s">
        <v>4986</v>
      </c>
      <c r="C432">
        <v>12.66</v>
      </c>
      <c r="D432">
        <v>15.96</v>
      </c>
      <c r="E432">
        <v>2.78</v>
      </c>
      <c r="F432">
        <v>0.7</v>
      </c>
      <c r="G432">
        <v>430</v>
      </c>
      <c r="H432">
        <v>342</v>
      </c>
      <c r="I432">
        <v>54</v>
      </c>
      <c r="J432">
        <v>227</v>
      </c>
    </row>
    <row r="433" spans="1:10">
      <c r="A433">
        <v>3138</v>
      </c>
      <c r="B433" t="s">
        <v>5325</v>
      </c>
      <c r="C433">
        <v>12.66</v>
      </c>
      <c r="D433">
        <v>0.63</v>
      </c>
      <c r="E433">
        <v>0.15</v>
      </c>
      <c r="F433">
        <v>0</v>
      </c>
      <c r="G433">
        <v>430</v>
      </c>
      <c r="H433">
        <v>1300</v>
      </c>
      <c r="I433">
        <v>635</v>
      </c>
      <c r="J433" t="s">
        <v>6279</v>
      </c>
    </row>
    <row r="434" spans="1:10">
      <c r="A434">
        <v>5452</v>
      </c>
      <c r="B434" t="s">
        <v>5693</v>
      </c>
      <c r="C434">
        <v>12.66</v>
      </c>
      <c r="D434">
        <v>10.49</v>
      </c>
      <c r="E434">
        <v>0.36</v>
      </c>
      <c r="F434">
        <v>0</v>
      </c>
      <c r="G434">
        <v>430</v>
      </c>
      <c r="H434">
        <v>487</v>
      </c>
      <c r="I434">
        <v>403</v>
      </c>
      <c r="J434" t="s">
        <v>6279</v>
      </c>
    </row>
    <row r="435" spans="1:10">
      <c r="A435">
        <v>1611</v>
      </c>
      <c r="B435" t="s">
        <v>4913</v>
      </c>
      <c r="C435">
        <v>12.65</v>
      </c>
      <c r="D435">
        <v>10.82</v>
      </c>
      <c r="E435">
        <v>0.21</v>
      </c>
      <c r="F435">
        <v>0</v>
      </c>
      <c r="G435">
        <v>434</v>
      </c>
      <c r="H435">
        <v>479</v>
      </c>
      <c r="I435">
        <v>550</v>
      </c>
      <c r="J435" t="s">
        <v>6279</v>
      </c>
    </row>
    <row r="436" spans="1:10">
      <c r="A436">
        <v>3691</v>
      </c>
      <c r="B436" t="s">
        <v>5491</v>
      </c>
      <c r="C436">
        <v>12.65</v>
      </c>
      <c r="D436">
        <v>6.52</v>
      </c>
      <c r="E436">
        <v>5.18</v>
      </c>
      <c r="F436">
        <v>0</v>
      </c>
      <c r="G436">
        <v>434</v>
      </c>
      <c r="H436">
        <v>678</v>
      </c>
      <c r="I436">
        <v>23</v>
      </c>
      <c r="J436" t="s">
        <v>6279</v>
      </c>
    </row>
    <row r="437" spans="1:10">
      <c r="A437">
        <v>6451</v>
      </c>
      <c r="B437" t="s">
        <v>5874</v>
      </c>
      <c r="C437">
        <v>12.65</v>
      </c>
      <c r="D437">
        <v>61.83</v>
      </c>
      <c r="E437">
        <v>1.49</v>
      </c>
      <c r="F437">
        <v>0.09</v>
      </c>
      <c r="G437">
        <v>434</v>
      </c>
      <c r="H437">
        <v>44</v>
      </c>
      <c r="I437">
        <v>110</v>
      </c>
      <c r="J437">
        <v>389</v>
      </c>
    </row>
    <row r="438" spans="1:10">
      <c r="A438">
        <v>8215</v>
      </c>
      <c r="B438" t="s">
        <v>6000</v>
      </c>
      <c r="C438">
        <v>12.64</v>
      </c>
      <c r="D438">
        <v>3.02</v>
      </c>
      <c r="E438">
        <v>0.24</v>
      </c>
      <c r="F438">
        <v>0.06</v>
      </c>
      <c r="G438">
        <v>437</v>
      </c>
      <c r="H438">
        <v>929</v>
      </c>
      <c r="I438">
        <v>515</v>
      </c>
      <c r="J438">
        <v>413</v>
      </c>
    </row>
    <row r="439" spans="1:10">
      <c r="A439">
        <v>5603</v>
      </c>
      <c r="B439" t="s">
        <v>5719</v>
      </c>
      <c r="C439">
        <v>12.63</v>
      </c>
      <c r="D439">
        <v>15.63</v>
      </c>
      <c r="E439">
        <v>1.22</v>
      </c>
      <c r="F439">
        <v>0</v>
      </c>
      <c r="G439">
        <v>438</v>
      </c>
      <c r="H439">
        <v>345</v>
      </c>
      <c r="I439">
        <v>140</v>
      </c>
      <c r="J439" t="s">
        <v>6279</v>
      </c>
    </row>
    <row r="440" spans="1:10">
      <c r="A440">
        <v>6279</v>
      </c>
      <c r="B440" t="s">
        <v>5849</v>
      </c>
      <c r="C440">
        <v>12.63</v>
      </c>
      <c r="D440">
        <v>9.18</v>
      </c>
      <c r="E440">
        <v>0.27</v>
      </c>
      <c r="F440">
        <v>2.4700000000000002</v>
      </c>
      <c r="G440">
        <v>438</v>
      </c>
      <c r="H440">
        <v>540</v>
      </c>
      <c r="I440">
        <v>487</v>
      </c>
      <c r="J440">
        <v>105</v>
      </c>
    </row>
    <row r="441" spans="1:10">
      <c r="A441">
        <v>3432</v>
      </c>
      <c r="B441" t="s">
        <v>5402</v>
      </c>
      <c r="C441">
        <v>12.56</v>
      </c>
      <c r="D441">
        <v>4.7699999999999996</v>
      </c>
      <c r="E441">
        <v>0.05</v>
      </c>
      <c r="F441">
        <v>0</v>
      </c>
      <c r="G441">
        <v>440</v>
      </c>
      <c r="H441">
        <v>795</v>
      </c>
      <c r="I441">
        <v>908</v>
      </c>
      <c r="J441" t="s">
        <v>6279</v>
      </c>
    </row>
    <row r="442" spans="1:10">
      <c r="A442">
        <v>6148</v>
      </c>
      <c r="B442" t="s">
        <v>5767</v>
      </c>
      <c r="C442">
        <v>12.51</v>
      </c>
      <c r="D442">
        <v>0.68</v>
      </c>
      <c r="E442">
        <v>0.22</v>
      </c>
      <c r="F442">
        <v>0</v>
      </c>
      <c r="G442">
        <v>441</v>
      </c>
      <c r="H442">
        <v>1287</v>
      </c>
      <c r="I442">
        <v>537</v>
      </c>
      <c r="J442" t="s">
        <v>6279</v>
      </c>
    </row>
    <row r="443" spans="1:10">
      <c r="A443">
        <v>3016</v>
      </c>
      <c r="B443" t="s">
        <v>5274</v>
      </c>
      <c r="C443">
        <v>12.45</v>
      </c>
      <c r="D443">
        <v>3.81</v>
      </c>
      <c r="E443">
        <v>0.13</v>
      </c>
      <c r="F443">
        <v>0.02</v>
      </c>
      <c r="G443">
        <v>442</v>
      </c>
      <c r="H443">
        <v>854</v>
      </c>
      <c r="I443">
        <v>671</v>
      </c>
      <c r="J443">
        <v>476</v>
      </c>
    </row>
    <row r="444" spans="1:10">
      <c r="A444">
        <v>3567</v>
      </c>
      <c r="B444" t="s">
        <v>5451</v>
      </c>
      <c r="C444">
        <v>12.43</v>
      </c>
      <c r="D444">
        <v>1.49</v>
      </c>
      <c r="E444">
        <v>0</v>
      </c>
      <c r="F444">
        <v>2.14</v>
      </c>
      <c r="G444">
        <v>443</v>
      </c>
      <c r="H444">
        <v>1126</v>
      </c>
      <c r="I444" t="s">
        <v>6279</v>
      </c>
      <c r="J444">
        <v>118</v>
      </c>
    </row>
    <row r="445" spans="1:10">
      <c r="A445">
        <v>3563</v>
      </c>
      <c r="B445" t="s">
        <v>5450</v>
      </c>
      <c r="C445">
        <v>12.4</v>
      </c>
      <c r="D445">
        <v>8.67</v>
      </c>
      <c r="E445">
        <v>1.81</v>
      </c>
      <c r="F445">
        <v>0</v>
      </c>
      <c r="G445">
        <v>444</v>
      </c>
      <c r="H445">
        <v>558</v>
      </c>
      <c r="I445">
        <v>85</v>
      </c>
      <c r="J445" t="s">
        <v>6279</v>
      </c>
    </row>
    <row r="446" spans="1:10">
      <c r="A446">
        <v>6015</v>
      </c>
      <c r="B446" t="s">
        <v>5736</v>
      </c>
      <c r="C446">
        <v>12.4</v>
      </c>
      <c r="D446">
        <v>1.46</v>
      </c>
      <c r="E446">
        <v>0</v>
      </c>
      <c r="F446">
        <v>0</v>
      </c>
      <c r="G446">
        <v>444</v>
      </c>
      <c r="H446">
        <v>1133</v>
      </c>
      <c r="I446" t="s">
        <v>6279</v>
      </c>
      <c r="J446" t="s">
        <v>6279</v>
      </c>
    </row>
    <row r="447" spans="1:10">
      <c r="A447">
        <v>6282</v>
      </c>
      <c r="B447" t="s">
        <v>5851</v>
      </c>
      <c r="C447">
        <v>12.36</v>
      </c>
      <c r="D447">
        <v>9.41</v>
      </c>
      <c r="E447">
        <v>0.08</v>
      </c>
      <c r="F447">
        <v>0.01</v>
      </c>
      <c r="G447">
        <v>446</v>
      </c>
      <c r="H447">
        <v>532</v>
      </c>
      <c r="I447">
        <v>790</v>
      </c>
      <c r="J447">
        <v>495</v>
      </c>
    </row>
    <row r="448" spans="1:10">
      <c r="A448">
        <v>3236</v>
      </c>
      <c r="B448" t="s">
        <v>5353</v>
      </c>
      <c r="C448">
        <v>12.34</v>
      </c>
      <c r="D448">
        <v>10.44</v>
      </c>
      <c r="E448">
        <v>0</v>
      </c>
      <c r="F448">
        <v>0</v>
      </c>
      <c r="G448">
        <v>447</v>
      </c>
      <c r="H448">
        <v>489</v>
      </c>
      <c r="I448" t="s">
        <v>6279</v>
      </c>
      <c r="J448" t="s">
        <v>6279</v>
      </c>
    </row>
    <row r="449" spans="1:10">
      <c r="A449">
        <v>3481</v>
      </c>
      <c r="B449" t="s">
        <v>5414</v>
      </c>
      <c r="C449">
        <v>12.32</v>
      </c>
      <c r="D449">
        <v>22.75</v>
      </c>
      <c r="E449">
        <v>1.22</v>
      </c>
      <c r="F449">
        <v>2.8</v>
      </c>
      <c r="G449">
        <v>448</v>
      </c>
      <c r="H449">
        <v>243</v>
      </c>
      <c r="I449">
        <v>140</v>
      </c>
      <c r="J449">
        <v>94</v>
      </c>
    </row>
    <row r="450" spans="1:10">
      <c r="A450">
        <v>3306</v>
      </c>
      <c r="B450" t="s">
        <v>5372</v>
      </c>
      <c r="C450">
        <v>12.28</v>
      </c>
      <c r="D450">
        <v>2.4</v>
      </c>
      <c r="E450">
        <v>0.25</v>
      </c>
      <c r="F450">
        <v>0</v>
      </c>
      <c r="G450">
        <v>449</v>
      </c>
      <c r="H450">
        <v>995</v>
      </c>
      <c r="I450">
        <v>508</v>
      </c>
      <c r="J450" t="s">
        <v>6279</v>
      </c>
    </row>
    <row r="451" spans="1:10">
      <c r="A451">
        <v>5543</v>
      </c>
      <c r="B451" t="s">
        <v>5717</v>
      </c>
      <c r="C451">
        <v>12.28</v>
      </c>
      <c r="D451">
        <v>0.71</v>
      </c>
      <c r="E451">
        <v>0</v>
      </c>
      <c r="F451">
        <v>0</v>
      </c>
      <c r="G451">
        <v>449</v>
      </c>
      <c r="H451">
        <v>1280</v>
      </c>
      <c r="I451" t="s">
        <v>6279</v>
      </c>
      <c r="J451" t="s">
        <v>6279</v>
      </c>
    </row>
    <row r="452" spans="1:10">
      <c r="A452">
        <v>8289</v>
      </c>
      <c r="B452" t="s">
        <v>6009</v>
      </c>
      <c r="C452">
        <v>12.26</v>
      </c>
      <c r="D452">
        <v>7.77</v>
      </c>
      <c r="E452">
        <v>0.36</v>
      </c>
      <c r="F452">
        <v>0</v>
      </c>
      <c r="G452">
        <v>451</v>
      </c>
      <c r="H452">
        <v>592</v>
      </c>
      <c r="I452">
        <v>403</v>
      </c>
      <c r="J452" t="s">
        <v>6279</v>
      </c>
    </row>
    <row r="453" spans="1:10">
      <c r="A453">
        <v>3217</v>
      </c>
      <c r="B453" t="s">
        <v>5343</v>
      </c>
      <c r="C453">
        <v>12.24</v>
      </c>
      <c r="D453">
        <v>4.55</v>
      </c>
      <c r="E453">
        <v>0.08</v>
      </c>
      <c r="F453">
        <v>3.48</v>
      </c>
      <c r="G453">
        <v>452</v>
      </c>
      <c r="H453">
        <v>809</v>
      </c>
      <c r="I453">
        <v>790</v>
      </c>
      <c r="J453">
        <v>80</v>
      </c>
    </row>
    <row r="454" spans="1:10">
      <c r="A454">
        <v>4908</v>
      </c>
      <c r="B454" t="s">
        <v>5606</v>
      </c>
      <c r="C454">
        <v>12.23</v>
      </c>
      <c r="D454">
        <v>4.04</v>
      </c>
      <c r="E454">
        <v>0.3</v>
      </c>
      <c r="F454">
        <v>0</v>
      </c>
      <c r="G454">
        <v>453</v>
      </c>
      <c r="H454">
        <v>843</v>
      </c>
      <c r="I454">
        <v>460</v>
      </c>
      <c r="J454" t="s">
        <v>6279</v>
      </c>
    </row>
    <row r="455" spans="1:10">
      <c r="A455">
        <v>6168</v>
      </c>
      <c r="B455" t="s">
        <v>5780</v>
      </c>
      <c r="C455">
        <v>12.2</v>
      </c>
      <c r="D455">
        <v>2.21</v>
      </c>
      <c r="E455">
        <v>0.74</v>
      </c>
      <c r="F455">
        <v>0.01</v>
      </c>
      <c r="G455">
        <v>454</v>
      </c>
      <c r="H455">
        <v>1018</v>
      </c>
      <c r="I455">
        <v>225</v>
      </c>
      <c r="J455">
        <v>495</v>
      </c>
    </row>
    <row r="456" spans="1:10">
      <c r="A456">
        <v>4755</v>
      </c>
      <c r="B456" t="s">
        <v>5597</v>
      </c>
      <c r="C456">
        <v>12.16</v>
      </c>
      <c r="D456">
        <v>31.24</v>
      </c>
      <c r="E456">
        <v>0.19</v>
      </c>
      <c r="F456">
        <v>0.77</v>
      </c>
      <c r="G456">
        <v>455</v>
      </c>
      <c r="H456">
        <v>170</v>
      </c>
      <c r="I456">
        <v>577</v>
      </c>
      <c r="J456">
        <v>213</v>
      </c>
    </row>
    <row r="457" spans="1:10">
      <c r="A457">
        <v>3265</v>
      </c>
      <c r="B457" t="s">
        <v>5358</v>
      </c>
      <c r="C457">
        <v>12.06</v>
      </c>
      <c r="D457">
        <v>5.65</v>
      </c>
      <c r="E457">
        <v>3.08</v>
      </c>
      <c r="F457">
        <v>0</v>
      </c>
      <c r="G457">
        <v>456</v>
      </c>
      <c r="H457">
        <v>735</v>
      </c>
      <c r="I457">
        <v>45</v>
      </c>
      <c r="J457" t="s">
        <v>6279</v>
      </c>
    </row>
    <row r="458" spans="1:10">
      <c r="A458">
        <v>3597</v>
      </c>
      <c r="B458" t="s">
        <v>5461</v>
      </c>
      <c r="C458">
        <v>12</v>
      </c>
      <c r="D458">
        <v>0.28000000000000003</v>
      </c>
      <c r="E458">
        <v>0</v>
      </c>
      <c r="F458">
        <v>0</v>
      </c>
      <c r="G458">
        <v>457</v>
      </c>
      <c r="H458">
        <v>1397</v>
      </c>
      <c r="I458" t="s">
        <v>6279</v>
      </c>
      <c r="J458" t="s">
        <v>6279</v>
      </c>
    </row>
    <row r="459" spans="1:10">
      <c r="A459">
        <v>9919</v>
      </c>
      <c r="B459" t="s">
        <v>6077</v>
      </c>
      <c r="C459">
        <v>11.99</v>
      </c>
      <c r="D459">
        <v>3.05</v>
      </c>
      <c r="E459">
        <v>1.4</v>
      </c>
      <c r="F459">
        <v>0.03</v>
      </c>
      <c r="G459">
        <v>458</v>
      </c>
      <c r="H459">
        <v>926</v>
      </c>
      <c r="I459">
        <v>119</v>
      </c>
      <c r="J459">
        <v>459</v>
      </c>
    </row>
    <row r="460" spans="1:10">
      <c r="A460">
        <v>8489</v>
      </c>
      <c r="B460" t="s">
        <v>6050</v>
      </c>
      <c r="C460">
        <v>11.98</v>
      </c>
      <c r="D460">
        <v>1.29</v>
      </c>
      <c r="E460">
        <v>0</v>
      </c>
      <c r="F460">
        <v>0</v>
      </c>
      <c r="G460">
        <v>459</v>
      </c>
      <c r="H460">
        <v>1164</v>
      </c>
      <c r="I460" t="s">
        <v>6279</v>
      </c>
      <c r="J460" t="s">
        <v>6279</v>
      </c>
    </row>
    <row r="461" spans="1:10">
      <c r="A461">
        <v>6215</v>
      </c>
      <c r="B461" t="s">
        <v>5812</v>
      </c>
      <c r="C461">
        <v>11.97</v>
      </c>
      <c r="D461">
        <v>6.57</v>
      </c>
      <c r="E461">
        <v>0.03</v>
      </c>
      <c r="F461">
        <v>0</v>
      </c>
      <c r="G461">
        <v>460</v>
      </c>
      <c r="H461">
        <v>675</v>
      </c>
      <c r="I461">
        <v>990</v>
      </c>
      <c r="J461" t="s">
        <v>6279</v>
      </c>
    </row>
    <row r="462" spans="1:10">
      <c r="A462">
        <v>6118</v>
      </c>
      <c r="B462" t="s">
        <v>5748</v>
      </c>
      <c r="C462">
        <v>11.94</v>
      </c>
      <c r="D462">
        <v>2.08</v>
      </c>
      <c r="E462">
        <v>1.1299999999999999</v>
      </c>
      <c r="F462">
        <v>0</v>
      </c>
      <c r="G462">
        <v>461</v>
      </c>
      <c r="H462">
        <v>1036</v>
      </c>
      <c r="I462">
        <v>154</v>
      </c>
      <c r="J462" t="s">
        <v>6279</v>
      </c>
    </row>
    <row r="463" spans="1:10">
      <c r="A463">
        <v>8201</v>
      </c>
      <c r="B463" t="s">
        <v>5997</v>
      </c>
      <c r="C463">
        <v>11.94</v>
      </c>
      <c r="D463">
        <v>2.95</v>
      </c>
      <c r="E463">
        <v>0.34</v>
      </c>
      <c r="F463">
        <v>0</v>
      </c>
      <c r="G463">
        <v>461</v>
      </c>
      <c r="H463">
        <v>932</v>
      </c>
      <c r="I463">
        <v>426</v>
      </c>
      <c r="J463" t="s">
        <v>6279</v>
      </c>
    </row>
    <row r="464" spans="1:10">
      <c r="A464">
        <v>3167</v>
      </c>
      <c r="B464" t="s">
        <v>5332</v>
      </c>
      <c r="C464">
        <v>11.93</v>
      </c>
      <c r="D464">
        <v>1.56</v>
      </c>
      <c r="E464">
        <v>7.0000000000000007E-2</v>
      </c>
      <c r="F464">
        <v>0.03</v>
      </c>
      <c r="G464">
        <v>463</v>
      </c>
      <c r="H464">
        <v>1114</v>
      </c>
      <c r="I464">
        <v>825</v>
      </c>
      <c r="J464">
        <v>459</v>
      </c>
    </row>
    <row r="465" spans="1:10">
      <c r="A465">
        <v>2618</v>
      </c>
      <c r="B465" t="s">
        <v>5195</v>
      </c>
      <c r="C465">
        <v>11.9</v>
      </c>
      <c r="D465">
        <v>26.02</v>
      </c>
      <c r="E465">
        <v>0</v>
      </c>
      <c r="F465">
        <v>3.07</v>
      </c>
      <c r="G465">
        <v>464</v>
      </c>
      <c r="H465">
        <v>210</v>
      </c>
      <c r="I465" t="s">
        <v>6279</v>
      </c>
      <c r="J465">
        <v>86</v>
      </c>
    </row>
    <row r="466" spans="1:10">
      <c r="A466">
        <v>3373</v>
      </c>
      <c r="B466" t="s">
        <v>5390</v>
      </c>
      <c r="C466">
        <v>11.88</v>
      </c>
      <c r="D466">
        <v>1.42</v>
      </c>
      <c r="E466">
        <v>5.32</v>
      </c>
      <c r="F466">
        <v>0</v>
      </c>
      <c r="G466">
        <v>465</v>
      </c>
      <c r="H466">
        <v>1144</v>
      </c>
      <c r="I466">
        <v>18</v>
      </c>
      <c r="J466" t="s">
        <v>6279</v>
      </c>
    </row>
    <row r="467" spans="1:10">
      <c r="A467">
        <v>3071</v>
      </c>
      <c r="B467" t="s">
        <v>5310</v>
      </c>
      <c r="C467">
        <v>11.87</v>
      </c>
      <c r="D467">
        <v>2.02</v>
      </c>
      <c r="E467">
        <v>0.05</v>
      </c>
      <c r="F467">
        <v>0.12</v>
      </c>
      <c r="G467">
        <v>466</v>
      </c>
      <c r="H467">
        <v>1051</v>
      </c>
      <c r="I467">
        <v>908</v>
      </c>
      <c r="J467">
        <v>358</v>
      </c>
    </row>
    <row r="468" spans="1:10">
      <c r="A468">
        <v>6153</v>
      </c>
      <c r="B468" t="s">
        <v>5770</v>
      </c>
      <c r="C468">
        <v>11.86</v>
      </c>
      <c r="D468">
        <v>8.4499999999999993</v>
      </c>
      <c r="E468">
        <v>0.37</v>
      </c>
      <c r="F468">
        <v>0</v>
      </c>
      <c r="G468">
        <v>467</v>
      </c>
      <c r="H468">
        <v>564</v>
      </c>
      <c r="I468">
        <v>397</v>
      </c>
      <c r="J468" t="s">
        <v>6279</v>
      </c>
    </row>
    <row r="469" spans="1:10">
      <c r="A469">
        <v>6558</v>
      </c>
      <c r="B469" t="s">
        <v>5906</v>
      </c>
      <c r="C469">
        <v>11.86</v>
      </c>
      <c r="D469">
        <v>2.0699999999999998</v>
      </c>
      <c r="E469">
        <v>0.02</v>
      </c>
      <c r="F469">
        <v>0</v>
      </c>
      <c r="G469">
        <v>467</v>
      </c>
      <c r="H469">
        <v>1039</v>
      </c>
      <c r="I469">
        <v>1051</v>
      </c>
      <c r="J469" t="s">
        <v>6279</v>
      </c>
    </row>
    <row r="470" spans="1:10">
      <c r="A470">
        <v>8924</v>
      </c>
      <c r="B470" t="s">
        <v>6055</v>
      </c>
      <c r="C470">
        <v>11.82</v>
      </c>
      <c r="D470">
        <v>3.04</v>
      </c>
      <c r="E470">
        <v>1.28</v>
      </c>
      <c r="F470">
        <v>3.02</v>
      </c>
      <c r="G470">
        <v>469</v>
      </c>
      <c r="H470">
        <v>928</v>
      </c>
      <c r="I470">
        <v>132</v>
      </c>
      <c r="J470">
        <v>87</v>
      </c>
    </row>
    <row r="471" spans="1:10">
      <c r="A471">
        <v>2601</v>
      </c>
      <c r="B471" t="s">
        <v>5180</v>
      </c>
      <c r="C471">
        <v>11.8</v>
      </c>
      <c r="D471">
        <v>10.41</v>
      </c>
      <c r="E471">
        <v>0.14000000000000001</v>
      </c>
      <c r="F471">
        <v>0</v>
      </c>
      <c r="G471">
        <v>470</v>
      </c>
      <c r="H471">
        <v>492</v>
      </c>
      <c r="I471">
        <v>649</v>
      </c>
      <c r="J471" t="s">
        <v>6279</v>
      </c>
    </row>
    <row r="472" spans="1:10">
      <c r="A472">
        <v>3498</v>
      </c>
      <c r="B472" t="s">
        <v>5420</v>
      </c>
      <c r="C472">
        <v>11.78</v>
      </c>
      <c r="D472">
        <v>2.0699999999999998</v>
      </c>
      <c r="E472">
        <v>1.17</v>
      </c>
      <c r="F472">
        <v>0</v>
      </c>
      <c r="G472">
        <v>471</v>
      </c>
      <c r="H472">
        <v>1039</v>
      </c>
      <c r="I472">
        <v>147</v>
      </c>
      <c r="J472" t="s">
        <v>6279</v>
      </c>
    </row>
    <row r="473" spans="1:10">
      <c r="A473">
        <v>3680</v>
      </c>
      <c r="B473" t="s">
        <v>5487</v>
      </c>
      <c r="C473">
        <v>11.77</v>
      </c>
      <c r="D473">
        <v>8.76</v>
      </c>
      <c r="E473">
        <v>1.43</v>
      </c>
      <c r="F473">
        <v>4.1500000000000004</v>
      </c>
      <c r="G473">
        <v>472</v>
      </c>
      <c r="H473">
        <v>555</v>
      </c>
      <c r="I473">
        <v>116</v>
      </c>
      <c r="J473">
        <v>69</v>
      </c>
    </row>
    <row r="474" spans="1:10">
      <c r="A474">
        <v>3178</v>
      </c>
      <c r="B474" t="s">
        <v>5334</v>
      </c>
      <c r="C474">
        <v>11.75</v>
      </c>
      <c r="D474">
        <v>0.93</v>
      </c>
      <c r="E474">
        <v>0.08</v>
      </c>
      <c r="F474">
        <v>0</v>
      </c>
      <c r="G474">
        <v>473</v>
      </c>
      <c r="H474">
        <v>1237</v>
      </c>
      <c r="I474">
        <v>790</v>
      </c>
      <c r="J474" t="s">
        <v>6279</v>
      </c>
    </row>
    <row r="475" spans="1:10">
      <c r="A475">
        <v>2367</v>
      </c>
      <c r="B475" t="s">
        <v>5067</v>
      </c>
      <c r="C475">
        <v>11.74</v>
      </c>
      <c r="D475">
        <v>6.21</v>
      </c>
      <c r="E475">
        <v>0.35</v>
      </c>
      <c r="F475">
        <v>0.03</v>
      </c>
      <c r="G475">
        <v>474</v>
      </c>
      <c r="H475">
        <v>699</v>
      </c>
      <c r="I475">
        <v>414</v>
      </c>
      <c r="J475">
        <v>459</v>
      </c>
    </row>
    <row r="476" spans="1:10">
      <c r="A476">
        <v>3704</v>
      </c>
      <c r="B476" t="s">
        <v>5497</v>
      </c>
      <c r="C476">
        <v>11.72</v>
      </c>
      <c r="D476">
        <v>7.08</v>
      </c>
      <c r="E476">
        <v>0.17</v>
      </c>
      <c r="F476">
        <v>0</v>
      </c>
      <c r="G476">
        <v>475</v>
      </c>
      <c r="H476">
        <v>637</v>
      </c>
      <c r="I476">
        <v>596</v>
      </c>
      <c r="J476" t="s">
        <v>6279</v>
      </c>
    </row>
    <row r="477" spans="1:10">
      <c r="A477">
        <v>8076</v>
      </c>
      <c r="B477" t="s">
        <v>5972</v>
      </c>
      <c r="C477">
        <v>11.71</v>
      </c>
      <c r="D477">
        <v>3.42</v>
      </c>
      <c r="E477">
        <v>0.59</v>
      </c>
      <c r="F477">
        <v>0</v>
      </c>
      <c r="G477">
        <v>476</v>
      </c>
      <c r="H477">
        <v>889</v>
      </c>
      <c r="I477">
        <v>286</v>
      </c>
      <c r="J477" t="s">
        <v>6279</v>
      </c>
    </row>
    <row r="478" spans="1:10">
      <c r="A478">
        <v>3272</v>
      </c>
      <c r="B478" t="s">
        <v>5361</v>
      </c>
      <c r="C478">
        <v>11.67</v>
      </c>
      <c r="D478">
        <v>0.49</v>
      </c>
      <c r="E478">
        <v>0.01</v>
      </c>
      <c r="F478">
        <v>7.0000000000000007E-2</v>
      </c>
      <c r="G478">
        <v>477</v>
      </c>
      <c r="H478">
        <v>1330</v>
      </c>
      <c r="I478">
        <v>1123</v>
      </c>
      <c r="J478">
        <v>403</v>
      </c>
    </row>
    <row r="479" spans="1:10">
      <c r="A479">
        <v>5263</v>
      </c>
      <c r="B479" t="s">
        <v>5659</v>
      </c>
      <c r="C479">
        <v>11.62</v>
      </c>
      <c r="D479">
        <v>14.1</v>
      </c>
      <c r="E479">
        <v>0</v>
      </c>
      <c r="F479">
        <v>5.34</v>
      </c>
      <c r="G479">
        <v>478</v>
      </c>
      <c r="H479">
        <v>383</v>
      </c>
      <c r="I479" t="s">
        <v>6279</v>
      </c>
      <c r="J479">
        <v>50</v>
      </c>
    </row>
    <row r="480" spans="1:10">
      <c r="A480">
        <v>8906</v>
      </c>
      <c r="B480" t="s">
        <v>6297</v>
      </c>
      <c r="C480">
        <v>11.61</v>
      </c>
      <c r="D480">
        <v>0.08</v>
      </c>
      <c r="E480">
        <v>0</v>
      </c>
      <c r="F480">
        <v>0.5</v>
      </c>
      <c r="G480">
        <v>479</v>
      </c>
      <c r="H480">
        <v>1450</v>
      </c>
      <c r="I480" t="s">
        <v>6279</v>
      </c>
      <c r="J480">
        <v>252</v>
      </c>
    </row>
    <row r="481" spans="1:10">
      <c r="A481">
        <v>1466</v>
      </c>
      <c r="B481" t="s">
        <v>4855</v>
      </c>
      <c r="C481">
        <v>11.59</v>
      </c>
      <c r="D481">
        <v>0.95</v>
      </c>
      <c r="E481">
        <v>0.27</v>
      </c>
      <c r="F481">
        <v>0</v>
      </c>
      <c r="G481">
        <v>480</v>
      </c>
      <c r="H481">
        <v>1233</v>
      </c>
      <c r="I481">
        <v>487</v>
      </c>
      <c r="J481" t="s">
        <v>6279</v>
      </c>
    </row>
    <row r="482" spans="1:10">
      <c r="A482">
        <v>8081</v>
      </c>
      <c r="B482" t="s">
        <v>5973</v>
      </c>
      <c r="C482">
        <v>11.56</v>
      </c>
      <c r="D482">
        <v>19.77</v>
      </c>
      <c r="E482">
        <v>0.41</v>
      </c>
      <c r="F482">
        <v>0.25</v>
      </c>
      <c r="G482">
        <v>481</v>
      </c>
      <c r="H482">
        <v>286</v>
      </c>
      <c r="I482">
        <v>365</v>
      </c>
      <c r="J482">
        <v>308</v>
      </c>
    </row>
    <row r="483" spans="1:10">
      <c r="A483">
        <v>5474</v>
      </c>
      <c r="B483" t="s">
        <v>5698</v>
      </c>
      <c r="C483">
        <v>11.5</v>
      </c>
      <c r="D483">
        <v>3.08</v>
      </c>
      <c r="E483">
        <v>0.14000000000000001</v>
      </c>
      <c r="F483">
        <v>0</v>
      </c>
      <c r="G483">
        <v>482</v>
      </c>
      <c r="H483">
        <v>923</v>
      </c>
      <c r="I483">
        <v>649</v>
      </c>
      <c r="J483" t="s">
        <v>6279</v>
      </c>
    </row>
    <row r="484" spans="1:10">
      <c r="A484">
        <v>3712</v>
      </c>
      <c r="B484" t="s">
        <v>5503</v>
      </c>
      <c r="C484">
        <v>11.46</v>
      </c>
      <c r="D484">
        <v>1.2</v>
      </c>
      <c r="E484">
        <v>0.15</v>
      </c>
      <c r="F484">
        <v>0</v>
      </c>
      <c r="G484">
        <v>483</v>
      </c>
      <c r="H484">
        <v>1186</v>
      </c>
      <c r="I484">
        <v>635</v>
      </c>
      <c r="J484" t="s">
        <v>6279</v>
      </c>
    </row>
    <row r="485" spans="1:10">
      <c r="A485">
        <v>8107</v>
      </c>
      <c r="B485" t="s">
        <v>5984</v>
      </c>
      <c r="C485">
        <v>11.43</v>
      </c>
      <c r="D485">
        <v>1.92</v>
      </c>
      <c r="E485">
        <v>0.14000000000000001</v>
      </c>
      <c r="F485">
        <v>0.03</v>
      </c>
      <c r="G485">
        <v>484</v>
      </c>
      <c r="H485">
        <v>1066</v>
      </c>
      <c r="I485">
        <v>649</v>
      </c>
      <c r="J485">
        <v>459</v>
      </c>
    </row>
    <row r="486" spans="1:10">
      <c r="A486">
        <v>3360</v>
      </c>
      <c r="B486" t="s">
        <v>5386</v>
      </c>
      <c r="C486">
        <v>11.41</v>
      </c>
      <c r="D486">
        <v>1.99</v>
      </c>
      <c r="E486">
        <v>0</v>
      </c>
      <c r="F486">
        <v>0</v>
      </c>
      <c r="G486">
        <v>485</v>
      </c>
      <c r="H486">
        <v>1057</v>
      </c>
      <c r="I486" t="s">
        <v>6279</v>
      </c>
      <c r="J486" t="s">
        <v>6279</v>
      </c>
    </row>
    <row r="487" spans="1:10">
      <c r="A487">
        <v>6668</v>
      </c>
      <c r="B487" t="s">
        <v>5931</v>
      </c>
      <c r="C487">
        <v>11.4</v>
      </c>
      <c r="D487">
        <v>21.6</v>
      </c>
      <c r="E487">
        <v>0.72</v>
      </c>
      <c r="F487">
        <v>0</v>
      </c>
      <c r="G487">
        <v>486</v>
      </c>
      <c r="H487">
        <v>258</v>
      </c>
      <c r="I487">
        <v>240</v>
      </c>
      <c r="J487" t="s">
        <v>6279</v>
      </c>
    </row>
    <row r="488" spans="1:10">
      <c r="A488">
        <v>3694</v>
      </c>
      <c r="B488" t="s">
        <v>5493</v>
      </c>
      <c r="C488">
        <v>11.39</v>
      </c>
      <c r="D488">
        <v>1.54</v>
      </c>
      <c r="E488">
        <v>7.0000000000000007E-2</v>
      </c>
      <c r="F488">
        <v>0</v>
      </c>
      <c r="G488">
        <v>487</v>
      </c>
      <c r="H488">
        <v>1117</v>
      </c>
      <c r="I488">
        <v>825</v>
      </c>
      <c r="J488" t="s">
        <v>6279</v>
      </c>
    </row>
    <row r="489" spans="1:10">
      <c r="A489">
        <v>2413</v>
      </c>
      <c r="B489" t="s">
        <v>5095</v>
      </c>
      <c r="C489">
        <v>11.37</v>
      </c>
      <c r="D489">
        <v>0.44</v>
      </c>
      <c r="E489">
        <v>0.41</v>
      </c>
      <c r="F489">
        <v>0</v>
      </c>
      <c r="G489">
        <v>488</v>
      </c>
      <c r="H489">
        <v>1348</v>
      </c>
      <c r="I489">
        <v>365</v>
      </c>
      <c r="J489" t="s">
        <v>6279</v>
      </c>
    </row>
    <row r="490" spans="1:10">
      <c r="A490">
        <v>6224</v>
      </c>
      <c r="B490" t="s">
        <v>5819</v>
      </c>
      <c r="C490">
        <v>11.33</v>
      </c>
      <c r="D490">
        <v>8.2799999999999994</v>
      </c>
      <c r="E490">
        <v>0.04</v>
      </c>
      <c r="F490">
        <v>0</v>
      </c>
      <c r="G490">
        <v>489</v>
      </c>
      <c r="H490">
        <v>572</v>
      </c>
      <c r="I490">
        <v>946</v>
      </c>
      <c r="J490" t="s">
        <v>6279</v>
      </c>
    </row>
    <row r="491" spans="1:10">
      <c r="A491">
        <v>2537</v>
      </c>
      <c r="B491" t="s">
        <v>5170</v>
      </c>
      <c r="C491">
        <v>11.26</v>
      </c>
      <c r="D491">
        <v>6.98</v>
      </c>
      <c r="E491">
        <v>0.11</v>
      </c>
      <c r="F491">
        <v>0</v>
      </c>
      <c r="G491">
        <v>490</v>
      </c>
      <c r="H491">
        <v>645</v>
      </c>
      <c r="I491">
        <v>717</v>
      </c>
      <c r="J491" t="s">
        <v>6279</v>
      </c>
    </row>
    <row r="492" spans="1:10">
      <c r="A492">
        <v>3013</v>
      </c>
      <c r="B492" t="s">
        <v>5271</v>
      </c>
      <c r="C492">
        <v>11.25</v>
      </c>
      <c r="D492">
        <v>1.48</v>
      </c>
      <c r="E492">
        <v>0.05</v>
      </c>
      <c r="F492">
        <v>0</v>
      </c>
      <c r="G492">
        <v>491</v>
      </c>
      <c r="H492">
        <v>1129</v>
      </c>
      <c r="I492">
        <v>908</v>
      </c>
      <c r="J492" t="s">
        <v>6279</v>
      </c>
    </row>
    <row r="493" spans="1:10">
      <c r="A493">
        <v>3512</v>
      </c>
      <c r="B493" t="s">
        <v>6142</v>
      </c>
      <c r="C493">
        <v>11.24</v>
      </c>
      <c r="D493">
        <v>0.12</v>
      </c>
      <c r="E493">
        <v>0</v>
      </c>
      <c r="F493">
        <v>0</v>
      </c>
      <c r="G493">
        <v>492</v>
      </c>
      <c r="H493">
        <v>1439</v>
      </c>
      <c r="I493" t="s">
        <v>6279</v>
      </c>
      <c r="J493" t="s">
        <v>6279</v>
      </c>
    </row>
    <row r="494" spans="1:10">
      <c r="A494">
        <v>5215</v>
      </c>
      <c r="B494" t="s">
        <v>5649</v>
      </c>
      <c r="C494">
        <v>11.24</v>
      </c>
      <c r="D494">
        <v>25.54</v>
      </c>
      <c r="E494">
        <v>0.01</v>
      </c>
      <c r="F494">
        <v>0</v>
      </c>
      <c r="G494">
        <v>492</v>
      </c>
      <c r="H494">
        <v>216</v>
      </c>
      <c r="I494">
        <v>1123</v>
      </c>
      <c r="J494" t="s">
        <v>6279</v>
      </c>
    </row>
    <row r="495" spans="1:10">
      <c r="A495">
        <v>6188</v>
      </c>
      <c r="B495" t="s">
        <v>5795</v>
      </c>
      <c r="C495">
        <v>11.23</v>
      </c>
      <c r="D495">
        <v>6.29</v>
      </c>
      <c r="E495">
        <v>0.51</v>
      </c>
      <c r="F495">
        <v>0.01</v>
      </c>
      <c r="G495">
        <v>494</v>
      </c>
      <c r="H495">
        <v>694</v>
      </c>
      <c r="I495">
        <v>317</v>
      </c>
      <c r="J495">
        <v>495</v>
      </c>
    </row>
    <row r="496" spans="1:10">
      <c r="A496">
        <v>8074</v>
      </c>
      <c r="B496" t="s">
        <v>5971</v>
      </c>
      <c r="C496">
        <v>11.23</v>
      </c>
      <c r="D496">
        <v>2.4900000000000002</v>
      </c>
      <c r="E496">
        <v>0.16</v>
      </c>
      <c r="F496">
        <v>0</v>
      </c>
      <c r="G496">
        <v>494</v>
      </c>
      <c r="H496">
        <v>982</v>
      </c>
      <c r="I496">
        <v>615</v>
      </c>
      <c r="J496" t="s">
        <v>6279</v>
      </c>
    </row>
    <row r="497" spans="1:10">
      <c r="A497">
        <v>1593</v>
      </c>
      <c r="B497" t="s">
        <v>4903</v>
      </c>
      <c r="C497">
        <v>11.22</v>
      </c>
      <c r="D497">
        <v>1.8</v>
      </c>
      <c r="E497">
        <v>0.24</v>
      </c>
      <c r="F497">
        <v>0</v>
      </c>
      <c r="G497">
        <v>496</v>
      </c>
      <c r="H497">
        <v>1078</v>
      </c>
      <c r="I497">
        <v>515</v>
      </c>
      <c r="J497" t="s">
        <v>6279</v>
      </c>
    </row>
    <row r="498" spans="1:10">
      <c r="A498">
        <v>5516</v>
      </c>
      <c r="B498" t="s">
        <v>6185</v>
      </c>
      <c r="C498">
        <v>11.22</v>
      </c>
      <c r="D498">
        <v>7.0000000000000007E-2</v>
      </c>
      <c r="E498">
        <v>0</v>
      </c>
      <c r="F498">
        <v>0</v>
      </c>
      <c r="G498">
        <v>496</v>
      </c>
      <c r="H498">
        <v>1453</v>
      </c>
      <c r="I498" t="s">
        <v>6279</v>
      </c>
      <c r="J498" t="s">
        <v>6279</v>
      </c>
    </row>
    <row r="499" spans="1:10">
      <c r="A499">
        <v>2032</v>
      </c>
      <c r="B499" t="s">
        <v>4991</v>
      </c>
      <c r="C499">
        <v>11.19</v>
      </c>
      <c r="D499">
        <v>2.15</v>
      </c>
      <c r="E499">
        <v>0.09</v>
      </c>
      <c r="F499">
        <v>0</v>
      </c>
      <c r="G499">
        <v>498</v>
      </c>
      <c r="H499">
        <v>1023</v>
      </c>
      <c r="I499">
        <v>762</v>
      </c>
      <c r="J499" t="s">
        <v>6279</v>
      </c>
    </row>
    <row r="500" spans="1:10">
      <c r="A500">
        <v>3356</v>
      </c>
      <c r="B500" t="s">
        <v>5384</v>
      </c>
      <c r="C500">
        <v>11.19</v>
      </c>
      <c r="D500">
        <v>3.52</v>
      </c>
      <c r="E500">
        <v>0.12</v>
      </c>
      <c r="F500">
        <v>0</v>
      </c>
      <c r="G500">
        <v>498</v>
      </c>
      <c r="H500">
        <v>875</v>
      </c>
      <c r="I500">
        <v>696</v>
      </c>
      <c r="J500" t="s">
        <v>6279</v>
      </c>
    </row>
    <row r="501" spans="1:10">
      <c r="A501">
        <v>1515</v>
      </c>
      <c r="B501" t="s">
        <v>4866</v>
      </c>
      <c r="C501">
        <v>11.17</v>
      </c>
      <c r="D501">
        <v>10.31</v>
      </c>
      <c r="E501">
        <v>0.25</v>
      </c>
      <c r="F501">
        <v>0.01</v>
      </c>
      <c r="G501">
        <v>500</v>
      </c>
      <c r="H501">
        <v>495</v>
      </c>
      <c r="I501">
        <v>508</v>
      </c>
      <c r="J501">
        <v>495</v>
      </c>
    </row>
    <row r="502" spans="1:10">
      <c r="A502">
        <v>6442</v>
      </c>
      <c r="B502" t="s">
        <v>5871</v>
      </c>
      <c r="C502">
        <v>11.17</v>
      </c>
      <c r="D502">
        <v>33.130000000000003</v>
      </c>
      <c r="E502">
        <v>0.03</v>
      </c>
      <c r="F502">
        <v>0</v>
      </c>
      <c r="G502">
        <v>500</v>
      </c>
      <c r="H502">
        <v>156</v>
      </c>
      <c r="I502">
        <v>990</v>
      </c>
      <c r="J502" t="s">
        <v>6279</v>
      </c>
    </row>
    <row r="503" spans="1:10">
      <c r="A503">
        <v>8147</v>
      </c>
      <c r="B503" t="s">
        <v>5990</v>
      </c>
      <c r="C503">
        <v>11.1</v>
      </c>
      <c r="D503">
        <v>4.49</v>
      </c>
      <c r="E503">
        <v>0.16</v>
      </c>
      <c r="F503">
        <v>0</v>
      </c>
      <c r="G503">
        <v>502</v>
      </c>
      <c r="H503">
        <v>814</v>
      </c>
      <c r="I503">
        <v>615</v>
      </c>
      <c r="J503" t="s">
        <v>6279</v>
      </c>
    </row>
    <row r="504" spans="1:10">
      <c r="A504">
        <v>1474</v>
      </c>
      <c r="B504" t="s">
        <v>4859</v>
      </c>
      <c r="C504">
        <v>11.06</v>
      </c>
      <c r="D504">
        <v>0.86</v>
      </c>
      <c r="E504">
        <v>0.06</v>
      </c>
      <c r="F504">
        <v>0</v>
      </c>
      <c r="G504">
        <v>503</v>
      </c>
      <c r="H504">
        <v>1248</v>
      </c>
      <c r="I504">
        <v>869</v>
      </c>
      <c r="J504" t="s">
        <v>6279</v>
      </c>
    </row>
    <row r="505" spans="1:10">
      <c r="A505">
        <v>3551</v>
      </c>
      <c r="B505" t="s">
        <v>5445</v>
      </c>
      <c r="C505">
        <v>11.04</v>
      </c>
      <c r="D505">
        <v>5.85</v>
      </c>
      <c r="E505">
        <v>0.6</v>
      </c>
      <c r="F505">
        <v>0.57999999999999996</v>
      </c>
      <c r="G505">
        <v>504</v>
      </c>
      <c r="H505">
        <v>712</v>
      </c>
      <c r="I505">
        <v>283</v>
      </c>
      <c r="J505">
        <v>244</v>
      </c>
    </row>
    <row r="506" spans="1:10">
      <c r="A506">
        <v>4406</v>
      </c>
      <c r="B506" t="s">
        <v>5545</v>
      </c>
      <c r="C506">
        <v>11.04</v>
      </c>
      <c r="D506">
        <v>0.61</v>
      </c>
      <c r="E506">
        <v>0.08</v>
      </c>
      <c r="F506">
        <v>0</v>
      </c>
      <c r="G506">
        <v>504</v>
      </c>
      <c r="H506">
        <v>1305</v>
      </c>
      <c r="I506">
        <v>790</v>
      </c>
      <c r="J506" t="s">
        <v>6279</v>
      </c>
    </row>
    <row r="507" spans="1:10">
      <c r="A507">
        <v>4763</v>
      </c>
      <c r="B507" t="s">
        <v>5599</v>
      </c>
      <c r="C507">
        <v>11.04</v>
      </c>
      <c r="D507">
        <v>66.180000000000007</v>
      </c>
      <c r="E507">
        <v>0.03</v>
      </c>
      <c r="F507">
        <v>0</v>
      </c>
      <c r="G507">
        <v>504</v>
      </c>
      <c r="H507">
        <v>32</v>
      </c>
      <c r="I507">
        <v>990</v>
      </c>
      <c r="J507" t="s">
        <v>6279</v>
      </c>
    </row>
    <row r="508" spans="1:10">
      <c r="A508">
        <v>3017</v>
      </c>
      <c r="B508" t="s">
        <v>5275</v>
      </c>
      <c r="C508">
        <v>11</v>
      </c>
      <c r="D508">
        <v>39.409999999999997</v>
      </c>
      <c r="E508">
        <v>0.41</v>
      </c>
      <c r="F508">
        <v>14.75</v>
      </c>
      <c r="G508">
        <v>507</v>
      </c>
      <c r="H508">
        <v>124</v>
      </c>
      <c r="I508">
        <v>365</v>
      </c>
      <c r="J508">
        <v>7</v>
      </c>
    </row>
    <row r="509" spans="1:10">
      <c r="A509">
        <v>1711</v>
      </c>
      <c r="B509" t="s">
        <v>4926</v>
      </c>
      <c r="C509">
        <v>10.98</v>
      </c>
      <c r="D509">
        <v>7.07</v>
      </c>
      <c r="E509">
        <v>0.16</v>
      </c>
      <c r="F509">
        <v>0</v>
      </c>
      <c r="G509">
        <v>508</v>
      </c>
      <c r="H509">
        <v>639</v>
      </c>
      <c r="I509">
        <v>615</v>
      </c>
      <c r="J509" t="s">
        <v>6279</v>
      </c>
    </row>
    <row r="510" spans="1:10">
      <c r="A510">
        <v>3312</v>
      </c>
      <c r="B510" t="s">
        <v>5375</v>
      </c>
      <c r="C510">
        <v>10.97</v>
      </c>
      <c r="D510">
        <v>4.5999999999999996</v>
      </c>
      <c r="E510">
        <v>0.02</v>
      </c>
      <c r="F510">
        <v>0.13</v>
      </c>
      <c r="G510">
        <v>509</v>
      </c>
      <c r="H510">
        <v>806</v>
      </c>
      <c r="I510">
        <v>1051</v>
      </c>
      <c r="J510">
        <v>354</v>
      </c>
    </row>
    <row r="511" spans="1:10">
      <c r="A511">
        <v>3596</v>
      </c>
      <c r="B511" t="s">
        <v>5460</v>
      </c>
      <c r="C511">
        <v>10.94</v>
      </c>
      <c r="D511">
        <v>11.81</v>
      </c>
      <c r="E511">
        <v>0.22</v>
      </c>
      <c r="F511">
        <v>9.26</v>
      </c>
      <c r="G511">
        <v>510</v>
      </c>
      <c r="H511">
        <v>440</v>
      </c>
      <c r="I511">
        <v>537</v>
      </c>
      <c r="J511">
        <v>18</v>
      </c>
    </row>
    <row r="512" spans="1:10">
      <c r="A512">
        <v>6698</v>
      </c>
      <c r="B512" t="s">
        <v>5938</v>
      </c>
      <c r="C512">
        <v>10.94</v>
      </c>
      <c r="D512">
        <v>1.76</v>
      </c>
      <c r="E512">
        <v>0.03</v>
      </c>
      <c r="F512">
        <v>1.33</v>
      </c>
      <c r="G512">
        <v>510</v>
      </c>
      <c r="H512">
        <v>1087</v>
      </c>
      <c r="I512">
        <v>990</v>
      </c>
      <c r="J512">
        <v>166</v>
      </c>
    </row>
    <row r="513" spans="1:10">
      <c r="A513">
        <v>6756</v>
      </c>
      <c r="B513" t="s">
        <v>5945</v>
      </c>
      <c r="C513">
        <v>10.93</v>
      </c>
      <c r="D513">
        <v>6.11</v>
      </c>
      <c r="E513">
        <v>0.08</v>
      </c>
      <c r="F513">
        <v>0</v>
      </c>
      <c r="G513">
        <v>512</v>
      </c>
      <c r="H513">
        <v>701</v>
      </c>
      <c r="I513">
        <v>790</v>
      </c>
      <c r="J513" t="s">
        <v>6279</v>
      </c>
    </row>
    <row r="514" spans="1:10">
      <c r="A514">
        <v>2640</v>
      </c>
      <c r="B514" t="s">
        <v>6298</v>
      </c>
      <c r="C514">
        <v>10.89</v>
      </c>
      <c r="D514">
        <v>5.73</v>
      </c>
      <c r="E514">
        <v>0.01</v>
      </c>
      <c r="F514">
        <v>0.69</v>
      </c>
      <c r="G514">
        <v>513</v>
      </c>
      <c r="H514">
        <v>726</v>
      </c>
      <c r="I514">
        <v>1123</v>
      </c>
      <c r="J514">
        <v>229</v>
      </c>
    </row>
    <row r="515" spans="1:10">
      <c r="A515">
        <v>1598</v>
      </c>
      <c r="B515" t="s">
        <v>4906</v>
      </c>
      <c r="C515">
        <v>10.88</v>
      </c>
      <c r="D515">
        <v>4.3099999999999996</v>
      </c>
      <c r="E515">
        <v>0.32</v>
      </c>
      <c r="F515">
        <v>0.01</v>
      </c>
      <c r="G515">
        <v>514</v>
      </c>
      <c r="H515">
        <v>822</v>
      </c>
      <c r="I515">
        <v>442</v>
      </c>
      <c r="J515">
        <v>495</v>
      </c>
    </row>
    <row r="516" spans="1:10">
      <c r="A516">
        <v>8930</v>
      </c>
      <c r="B516" t="s">
        <v>6163</v>
      </c>
      <c r="C516">
        <v>10.88</v>
      </c>
      <c r="D516">
        <v>2.67</v>
      </c>
      <c r="E516">
        <v>0</v>
      </c>
      <c r="F516">
        <v>0</v>
      </c>
      <c r="G516">
        <v>514</v>
      </c>
      <c r="H516">
        <v>962</v>
      </c>
      <c r="I516" t="s">
        <v>6279</v>
      </c>
      <c r="J516" t="s">
        <v>6279</v>
      </c>
    </row>
    <row r="517" spans="1:10">
      <c r="A517">
        <v>5481</v>
      </c>
      <c r="B517" t="s">
        <v>5700</v>
      </c>
      <c r="C517">
        <v>10.83</v>
      </c>
      <c r="D517">
        <v>26.51</v>
      </c>
      <c r="E517">
        <v>0.04</v>
      </c>
      <c r="F517">
        <v>0</v>
      </c>
      <c r="G517">
        <v>516</v>
      </c>
      <c r="H517">
        <v>205</v>
      </c>
      <c r="I517">
        <v>946</v>
      </c>
      <c r="J517" t="s">
        <v>6279</v>
      </c>
    </row>
    <row r="518" spans="1:10">
      <c r="A518">
        <v>6114</v>
      </c>
      <c r="B518" t="s">
        <v>5744</v>
      </c>
      <c r="C518">
        <v>10.78</v>
      </c>
      <c r="D518">
        <v>0.41</v>
      </c>
      <c r="E518">
        <v>0</v>
      </c>
      <c r="F518">
        <v>0</v>
      </c>
      <c r="G518">
        <v>517</v>
      </c>
      <c r="H518">
        <v>1354</v>
      </c>
      <c r="I518" t="s">
        <v>6279</v>
      </c>
      <c r="J518" t="s">
        <v>6279</v>
      </c>
    </row>
    <row r="519" spans="1:10">
      <c r="A519">
        <v>6530</v>
      </c>
      <c r="B519" t="s">
        <v>6299</v>
      </c>
      <c r="C519">
        <v>10.76</v>
      </c>
      <c r="D519">
        <v>1.04</v>
      </c>
      <c r="E519">
        <v>0.04</v>
      </c>
      <c r="F519">
        <v>0</v>
      </c>
      <c r="G519">
        <v>518</v>
      </c>
      <c r="H519">
        <v>1216</v>
      </c>
      <c r="I519">
        <v>946</v>
      </c>
      <c r="J519" t="s">
        <v>6279</v>
      </c>
    </row>
    <row r="520" spans="1:10">
      <c r="A520">
        <v>6174</v>
      </c>
      <c r="B520" t="s">
        <v>5783</v>
      </c>
      <c r="C520">
        <v>10.75</v>
      </c>
      <c r="D520">
        <v>5.84</v>
      </c>
      <c r="E520">
        <v>0.1</v>
      </c>
      <c r="F520">
        <v>0</v>
      </c>
      <c r="G520">
        <v>519</v>
      </c>
      <c r="H520">
        <v>714</v>
      </c>
      <c r="I520">
        <v>741</v>
      </c>
      <c r="J520" t="s">
        <v>6279</v>
      </c>
    </row>
    <row r="521" spans="1:10">
      <c r="A521">
        <v>2374</v>
      </c>
      <c r="B521" t="s">
        <v>5072</v>
      </c>
      <c r="C521">
        <v>10.71</v>
      </c>
      <c r="D521">
        <v>6.93</v>
      </c>
      <c r="E521">
        <v>1.03</v>
      </c>
      <c r="F521">
        <v>0</v>
      </c>
      <c r="G521">
        <v>520</v>
      </c>
      <c r="H521">
        <v>647</v>
      </c>
      <c r="I521">
        <v>167</v>
      </c>
      <c r="J521" t="s">
        <v>6279</v>
      </c>
    </row>
    <row r="522" spans="1:10">
      <c r="A522">
        <v>3666</v>
      </c>
      <c r="B522" t="s">
        <v>5481</v>
      </c>
      <c r="C522">
        <v>10.65</v>
      </c>
      <c r="D522">
        <v>4.8099999999999996</v>
      </c>
      <c r="E522">
        <v>0.32</v>
      </c>
      <c r="F522">
        <v>0</v>
      </c>
      <c r="G522">
        <v>521</v>
      </c>
      <c r="H522">
        <v>793</v>
      </c>
      <c r="I522">
        <v>442</v>
      </c>
      <c r="J522" t="s">
        <v>6279</v>
      </c>
    </row>
    <row r="523" spans="1:10">
      <c r="A523">
        <v>6134</v>
      </c>
      <c r="B523" t="s">
        <v>5758</v>
      </c>
      <c r="C523">
        <v>10.57</v>
      </c>
      <c r="D523">
        <v>22.37</v>
      </c>
      <c r="E523">
        <v>0.45</v>
      </c>
      <c r="F523">
        <v>0</v>
      </c>
      <c r="G523">
        <v>522</v>
      </c>
      <c r="H523">
        <v>247</v>
      </c>
      <c r="I523">
        <v>340</v>
      </c>
      <c r="J523" t="s">
        <v>6279</v>
      </c>
    </row>
    <row r="524" spans="1:10">
      <c r="A524">
        <v>4173</v>
      </c>
      <c r="B524" t="s">
        <v>5537</v>
      </c>
      <c r="C524">
        <v>10.56</v>
      </c>
      <c r="D524">
        <v>0.56999999999999995</v>
      </c>
      <c r="E524">
        <v>0</v>
      </c>
      <c r="F524">
        <v>0</v>
      </c>
      <c r="G524">
        <v>523</v>
      </c>
      <c r="H524">
        <v>1314</v>
      </c>
      <c r="I524" t="s">
        <v>6279</v>
      </c>
      <c r="J524" t="s">
        <v>6279</v>
      </c>
    </row>
    <row r="525" spans="1:10">
      <c r="A525">
        <v>3607</v>
      </c>
      <c r="B525" t="s">
        <v>5463</v>
      </c>
      <c r="C525">
        <v>10.47</v>
      </c>
      <c r="D525">
        <v>5.14</v>
      </c>
      <c r="E525">
        <v>0.08</v>
      </c>
      <c r="F525">
        <v>0</v>
      </c>
      <c r="G525">
        <v>524</v>
      </c>
      <c r="H525">
        <v>769</v>
      </c>
      <c r="I525">
        <v>790</v>
      </c>
      <c r="J525" t="s">
        <v>6279</v>
      </c>
    </row>
    <row r="526" spans="1:10">
      <c r="A526">
        <v>5609</v>
      </c>
      <c r="B526" t="s">
        <v>5722</v>
      </c>
      <c r="C526">
        <v>10.47</v>
      </c>
      <c r="D526">
        <v>18.899999999999999</v>
      </c>
      <c r="E526">
        <v>0.11</v>
      </c>
      <c r="F526">
        <v>0.69</v>
      </c>
      <c r="G526">
        <v>524</v>
      </c>
      <c r="H526">
        <v>294</v>
      </c>
      <c r="I526">
        <v>717</v>
      </c>
      <c r="J526">
        <v>229</v>
      </c>
    </row>
    <row r="527" spans="1:10">
      <c r="A527">
        <v>6288</v>
      </c>
      <c r="B527" t="s">
        <v>5855</v>
      </c>
      <c r="C527">
        <v>10.46</v>
      </c>
      <c r="D527">
        <v>0.86</v>
      </c>
      <c r="E527">
        <v>0.41</v>
      </c>
      <c r="F527">
        <v>0.56000000000000005</v>
      </c>
      <c r="G527">
        <v>526</v>
      </c>
      <c r="H527">
        <v>1248</v>
      </c>
      <c r="I527">
        <v>365</v>
      </c>
      <c r="J527">
        <v>246</v>
      </c>
    </row>
    <row r="528" spans="1:10">
      <c r="A528">
        <v>2230</v>
      </c>
      <c r="B528" t="s">
        <v>5020</v>
      </c>
      <c r="C528">
        <v>10.43</v>
      </c>
      <c r="D528">
        <v>8.25</v>
      </c>
      <c r="E528">
        <v>0</v>
      </c>
      <c r="F528">
        <v>0</v>
      </c>
      <c r="G528">
        <v>527</v>
      </c>
      <c r="H528">
        <v>573</v>
      </c>
      <c r="I528" t="s">
        <v>6279</v>
      </c>
      <c r="J528" t="s">
        <v>6279</v>
      </c>
    </row>
    <row r="529" spans="1:10">
      <c r="A529">
        <v>3083</v>
      </c>
      <c r="B529" t="s">
        <v>5313</v>
      </c>
      <c r="C529">
        <v>10.41</v>
      </c>
      <c r="D529">
        <v>0.31</v>
      </c>
      <c r="E529">
        <v>0.46</v>
      </c>
      <c r="F529">
        <v>0.66</v>
      </c>
      <c r="G529">
        <v>528</v>
      </c>
      <c r="H529">
        <v>1387</v>
      </c>
      <c r="I529">
        <v>336</v>
      </c>
      <c r="J529">
        <v>233</v>
      </c>
    </row>
    <row r="530" spans="1:10">
      <c r="A530">
        <v>3625</v>
      </c>
      <c r="B530" t="s">
        <v>5471</v>
      </c>
      <c r="C530">
        <v>10.4</v>
      </c>
      <c r="D530">
        <v>6.75</v>
      </c>
      <c r="E530">
        <v>0</v>
      </c>
      <c r="F530">
        <v>0</v>
      </c>
      <c r="G530">
        <v>529</v>
      </c>
      <c r="H530">
        <v>664</v>
      </c>
      <c r="I530" t="s">
        <v>6279</v>
      </c>
      <c r="J530" t="s">
        <v>6279</v>
      </c>
    </row>
    <row r="531" spans="1:10">
      <c r="A531">
        <v>6425</v>
      </c>
      <c r="B531" t="s">
        <v>6196</v>
      </c>
      <c r="C531">
        <v>10.4</v>
      </c>
      <c r="D531">
        <v>0.14000000000000001</v>
      </c>
      <c r="E531">
        <v>0</v>
      </c>
      <c r="F531">
        <v>0</v>
      </c>
      <c r="G531">
        <v>529</v>
      </c>
      <c r="H531">
        <v>1425</v>
      </c>
      <c r="I531" t="s">
        <v>6279</v>
      </c>
      <c r="J531" t="s">
        <v>6279</v>
      </c>
    </row>
    <row r="532" spans="1:10">
      <c r="A532">
        <v>2643</v>
      </c>
      <c r="B532" t="s">
        <v>5202</v>
      </c>
      <c r="C532">
        <v>10.36</v>
      </c>
      <c r="D532">
        <v>1.06</v>
      </c>
      <c r="E532">
        <v>0.11</v>
      </c>
      <c r="F532">
        <v>0</v>
      </c>
      <c r="G532">
        <v>531</v>
      </c>
      <c r="H532">
        <v>1211</v>
      </c>
      <c r="I532">
        <v>717</v>
      </c>
      <c r="J532" t="s">
        <v>6279</v>
      </c>
    </row>
    <row r="533" spans="1:10">
      <c r="A533">
        <v>3311</v>
      </c>
      <c r="B533" t="s">
        <v>5374</v>
      </c>
      <c r="C533">
        <v>10.33</v>
      </c>
      <c r="D533">
        <v>0.56999999999999995</v>
      </c>
      <c r="E533">
        <v>0.14000000000000001</v>
      </c>
      <c r="F533">
        <v>0</v>
      </c>
      <c r="G533">
        <v>532</v>
      </c>
      <c r="H533">
        <v>1314</v>
      </c>
      <c r="I533">
        <v>649</v>
      </c>
      <c r="J533" t="s">
        <v>6279</v>
      </c>
    </row>
    <row r="534" spans="1:10">
      <c r="A534">
        <v>2753</v>
      </c>
      <c r="B534" t="s">
        <v>6141</v>
      </c>
      <c r="C534">
        <v>10.27</v>
      </c>
      <c r="D534">
        <v>2.39</v>
      </c>
      <c r="E534">
        <v>0</v>
      </c>
      <c r="F534">
        <v>0</v>
      </c>
      <c r="G534">
        <v>533</v>
      </c>
      <c r="H534">
        <v>997</v>
      </c>
      <c r="I534" t="s">
        <v>6279</v>
      </c>
      <c r="J534" t="s">
        <v>6279</v>
      </c>
    </row>
    <row r="535" spans="1:10">
      <c r="A535">
        <v>6207</v>
      </c>
      <c r="B535" t="s">
        <v>5807</v>
      </c>
      <c r="C535">
        <v>10.24</v>
      </c>
      <c r="D535">
        <v>1.99</v>
      </c>
      <c r="E535">
        <v>0.23</v>
      </c>
      <c r="F535">
        <v>0</v>
      </c>
      <c r="G535">
        <v>534</v>
      </c>
      <c r="H535">
        <v>1057</v>
      </c>
      <c r="I535">
        <v>525</v>
      </c>
      <c r="J535" t="s">
        <v>6279</v>
      </c>
    </row>
    <row r="536" spans="1:10">
      <c r="A536">
        <v>1626</v>
      </c>
      <c r="B536" t="s">
        <v>4919</v>
      </c>
      <c r="C536">
        <v>10.23</v>
      </c>
      <c r="D536">
        <v>44.11</v>
      </c>
      <c r="E536">
        <v>7.0000000000000007E-2</v>
      </c>
      <c r="F536">
        <v>0</v>
      </c>
      <c r="G536">
        <v>535</v>
      </c>
      <c r="H536">
        <v>96</v>
      </c>
      <c r="I536">
        <v>825</v>
      </c>
      <c r="J536" t="s">
        <v>6279</v>
      </c>
    </row>
    <row r="537" spans="1:10">
      <c r="A537">
        <v>2439</v>
      </c>
      <c r="B537" t="s">
        <v>5112</v>
      </c>
      <c r="C537">
        <v>10.23</v>
      </c>
      <c r="D537">
        <v>10.25</v>
      </c>
      <c r="E537">
        <v>5.38</v>
      </c>
      <c r="F537">
        <v>0.01</v>
      </c>
      <c r="G537">
        <v>535</v>
      </c>
      <c r="H537">
        <v>499</v>
      </c>
      <c r="I537">
        <v>17</v>
      </c>
      <c r="J537">
        <v>495</v>
      </c>
    </row>
    <row r="538" spans="1:10">
      <c r="A538">
        <v>2731</v>
      </c>
      <c r="B538" t="s">
        <v>5213</v>
      </c>
      <c r="C538">
        <v>10.210000000000001</v>
      </c>
      <c r="D538">
        <v>1.34</v>
      </c>
      <c r="E538">
        <v>0.03</v>
      </c>
      <c r="F538">
        <v>0.68</v>
      </c>
      <c r="G538">
        <v>537</v>
      </c>
      <c r="H538">
        <v>1156</v>
      </c>
      <c r="I538">
        <v>990</v>
      </c>
      <c r="J538">
        <v>231</v>
      </c>
    </row>
    <row r="539" spans="1:10">
      <c r="A539">
        <v>5230</v>
      </c>
      <c r="B539" t="s">
        <v>5652</v>
      </c>
      <c r="C539">
        <v>10.210000000000001</v>
      </c>
      <c r="D539">
        <v>2.54</v>
      </c>
      <c r="E539">
        <v>0.3</v>
      </c>
      <c r="F539">
        <v>0.73</v>
      </c>
      <c r="G539">
        <v>537</v>
      </c>
      <c r="H539">
        <v>977</v>
      </c>
      <c r="I539">
        <v>460</v>
      </c>
      <c r="J539">
        <v>221</v>
      </c>
    </row>
    <row r="540" spans="1:10">
      <c r="A540">
        <v>1533</v>
      </c>
      <c r="B540" t="s">
        <v>4881</v>
      </c>
      <c r="C540">
        <v>10.199999999999999</v>
      </c>
      <c r="D540">
        <v>5.91</v>
      </c>
      <c r="E540">
        <v>0</v>
      </c>
      <c r="F540">
        <v>0</v>
      </c>
      <c r="G540">
        <v>539</v>
      </c>
      <c r="H540">
        <v>710</v>
      </c>
      <c r="I540" t="s">
        <v>6279</v>
      </c>
      <c r="J540" t="s">
        <v>6279</v>
      </c>
    </row>
    <row r="541" spans="1:10">
      <c r="A541">
        <v>5211</v>
      </c>
      <c r="B541" t="s">
        <v>5647</v>
      </c>
      <c r="C541">
        <v>10.19</v>
      </c>
      <c r="D541">
        <v>8.93</v>
      </c>
      <c r="E541">
        <v>0</v>
      </c>
      <c r="F541">
        <v>0</v>
      </c>
      <c r="G541">
        <v>540</v>
      </c>
      <c r="H541">
        <v>549</v>
      </c>
      <c r="I541" t="s">
        <v>6279</v>
      </c>
      <c r="J541" t="s">
        <v>6279</v>
      </c>
    </row>
    <row r="542" spans="1:10">
      <c r="A542">
        <v>3526</v>
      </c>
      <c r="B542" t="s">
        <v>5429</v>
      </c>
      <c r="C542">
        <v>10.18</v>
      </c>
      <c r="D542">
        <v>4.3499999999999996</v>
      </c>
      <c r="E542">
        <v>1.83</v>
      </c>
      <c r="F542">
        <v>4.16</v>
      </c>
      <c r="G542">
        <v>541</v>
      </c>
      <c r="H542">
        <v>821</v>
      </c>
      <c r="I542">
        <v>83</v>
      </c>
      <c r="J542">
        <v>68</v>
      </c>
    </row>
    <row r="543" spans="1:10">
      <c r="A543">
        <v>3693</v>
      </c>
      <c r="B543" t="s">
        <v>5492</v>
      </c>
      <c r="C543">
        <v>10.18</v>
      </c>
      <c r="D543">
        <v>1.07</v>
      </c>
      <c r="E543">
        <v>0.87</v>
      </c>
      <c r="F543">
        <v>0</v>
      </c>
      <c r="G543">
        <v>541</v>
      </c>
      <c r="H543">
        <v>1208</v>
      </c>
      <c r="I543">
        <v>198</v>
      </c>
      <c r="J543" t="s">
        <v>6279</v>
      </c>
    </row>
    <row r="544" spans="1:10">
      <c r="A544">
        <v>2492</v>
      </c>
      <c r="B544" t="s">
        <v>5148</v>
      </c>
      <c r="C544">
        <v>10.17</v>
      </c>
      <c r="D544">
        <v>14.43</v>
      </c>
      <c r="E544">
        <v>2.98</v>
      </c>
      <c r="F544">
        <v>0.12</v>
      </c>
      <c r="G544">
        <v>543</v>
      </c>
      <c r="H544">
        <v>375</v>
      </c>
      <c r="I544">
        <v>46</v>
      </c>
      <c r="J544">
        <v>358</v>
      </c>
    </row>
    <row r="545" spans="1:10">
      <c r="A545">
        <v>3078</v>
      </c>
      <c r="B545" t="s">
        <v>5311</v>
      </c>
      <c r="C545">
        <v>10.17</v>
      </c>
      <c r="D545">
        <v>0.05</v>
      </c>
      <c r="E545">
        <v>0.71</v>
      </c>
      <c r="F545">
        <v>0</v>
      </c>
      <c r="G545">
        <v>543</v>
      </c>
      <c r="H545">
        <v>1459</v>
      </c>
      <c r="I545">
        <v>251</v>
      </c>
      <c r="J545" t="s">
        <v>6279</v>
      </c>
    </row>
    <row r="546" spans="1:10">
      <c r="A546">
        <v>3402</v>
      </c>
      <c r="B546" t="s">
        <v>5397</v>
      </c>
      <c r="C546">
        <v>10.14</v>
      </c>
      <c r="D546">
        <v>5.79</v>
      </c>
      <c r="E546">
        <v>0.02</v>
      </c>
      <c r="F546">
        <v>0</v>
      </c>
      <c r="G546">
        <v>545</v>
      </c>
      <c r="H546">
        <v>722</v>
      </c>
      <c r="I546">
        <v>1051</v>
      </c>
      <c r="J546" t="s">
        <v>6279</v>
      </c>
    </row>
    <row r="547" spans="1:10">
      <c r="A547">
        <v>1570</v>
      </c>
      <c r="B547" t="s">
        <v>4893</v>
      </c>
      <c r="C547">
        <v>10.130000000000001</v>
      </c>
      <c r="D547">
        <v>3.76</v>
      </c>
      <c r="E547">
        <v>0</v>
      </c>
      <c r="F547">
        <v>0.65</v>
      </c>
      <c r="G547">
        <v>546</v>
      </c>
      <c r="H547">
        <v>857</v>
      </c>
      <c r="I547" t="s">
        <v>6279</v>
      </c>
      <c r="J547">
        <v>234</v>
      </c>
    </row>
    <row r="548" spans="1:10">
      <c r="A548">
        <v>8021</v>
      </c>
      <c r="B548" t="s">
        <v>5952</v>
      </c>
      <c r="C548">
        <v>10.1</v>
      </c>
      <c r="D548">
        <v>9.2100000000000009</v>
      </c>
      <c r="E548">
        <v>0.27</v>
      </c>
      <c r="F548">
        <v>0</v>
      </c>
      <c r="G548">
        <v>547</v>
      </c>
      <c r="H548">
        <v>538</v>
      </c>
      <c r="I548">
        <v>487</v>
      </c>
      <c r="J548" t="s">
        <v>6279</v>
      </c>
    </row>
    <row r="549" spans="1:10">
      <c r="A549">
        <v>3114</v>
      </c>
      <c r="B549" t="s">
        <v>5320</v>
      </c>
      <c r="C549">
        <v>10.09</v>
      </c>
      <c r="D549">
        <v>0.63</v>
      </c>
      <c r="E549">
        <v>0.19</v>
      </c>
      <c r="F549">
        <v>0</v>
      </c>
      <c r="G549">
        <v>548</v>
      </c>
      <c r="H549">
        <v>1300</v>
      </c>
      <c r="I549">
        <v>577</v>
      </c>
      <c r="J549" t="s">
        <v>6279</v>
      </c>
    </row>
    <row r="550" spans="1:10">
      <c r="A550">
        <v>2332</v>
      </c>
      <c r="B550" t="s">
        <v>5045</v>
      </c>
      <c r="C550">
        <v>10.07</v>
      </c>
      <c r="D550">
        <v>7.42</v>
      </c>
      <c r="E550">
        <v>0.08</v>
      </c>
      <c r="F550">
        <v>0</v>
      </c>
      <c r="G550">
        <v>549</v>
      </c>
      <c r="H550">
        <v>607</v>
      </c>
      <c r="I550">
        <v>790</v>
      </c>
      <c r="J550" t="s">
        <v>6279</v>
      </c>
    </row>
    <row r="551" spans="1:10">
      <c r="A551">
        <v>5905</v>
      </c>
      <c r="B551" t="s">
        <v>5732</v>
      </c>
      <c r="C551">
        <v>10.06</v>
      </c>
      <c r="D551">
        <v>1.43</v>
      </c>
      <c r="E551">
        <v>0.21</v>
      </c>
      <c r="F551">
        <v>0</v>
      </c>
      <c r="G551">
        <v>550</v>
      </c>
      <c r="H551">
        <v>1142</v>
      </c>
      <c r="I551">
        <v>550</v>
      </c>
      <c r="J551" t="s">
        <v>6279</v>
      </c>
    </row>
    <row r="552" spans="1:10">
      <c r="A552">
        <v>2613</v>
      </c>
      <c r="B552" t="s">
        <v>5190</v>
      </c>
      <c r="C552">
        <v>10.039999999999999</v>
      </c>
      <c r="D552">
        <v>0.83</v>
      </c>
      <c r="E552">
        <v>0.39</v>
      </c>
      <c r="F552">
        <v>0</v>
      </c>
      <c r="G552">
        <v>551</v>
      </c>
      <c r="H552">
        <v>1255</v>
      </c>
      <c r="I552">
        <v>383</v>
      </c>
      <c r="J552" t="s">
        <v>6279</v>
      </c>
    </row>
    <row r="553" spans="1:10">
      <c r="A553">
        <v>6175</v>
      </c>
      <c r="B553" t="s">
        <v>5784</v>
      </c>
      <c r="C553">
        <v>10.039999999999999</v>
      </c>
      <c r="D553">
        <v>17.18</v>
      </c>
      <c r="E553">
        <v>0</v>
      </c>
      <c r="F553">
        <v>0</v>
      </c>
      <c r="G553">
        <v>551</v>
      </c>
      <c r="H553">
        <v>328</v>
      </c>
      <c r="I553" t="s">
        <v>6279</v>
      </c>
      <c r="J553" t="s">
        <v>6279</v>
      </c>
    </row>
    <row r="554" spans="1:10">
      <c r="A554">
        <v>1453</v>
      </c>
      <c r="B554" t="s">
        <v>4846</v>
      </c>
      <c r="C554">
        <v>10.029999999999999</v>
      </c>
      <c r="D554">
        <v>0.93</v>
      </c>
      <c r="E554">
        <v>0.03</v>
      </c>
      <c r="F554">
        <v>0</v>
      </c>
      <c r="G554">
        <v>553</v>
      </c>
      <c r="H554">
        <v>1237</v>
      </c>
      <c r="I554">
        <v>990</v>
      </c>
      <c r="J554" t="s">
        <v>6279</v>
      </c>
    </row>
    <row r="555" spans="1:10">
      <c r="A555">
        <v>4935</v>
      </c>
      <c r="B555" t="s">
        <v>5615</v>
      </c>
      <c r="C555">
        <v>10.01</v>
      </c>
      <c r="D555">
        <v>25.44</v>
      </c>
      <c r="E555">
        <v>0.24</v>
      </c>
      <c r="F555">
        <v>0</v>
      </c>
      <c r="G555">
        <v>554</v>
      </c>
      <c r="H555">
        <v>220</v>
      </c>
      <c r="I555">
        <v>515</v>
      </c>
      <c r="J555" t="s">
        <v>6279</v>
      </c>
    </row>
    <row r="556" spans="1:10">
      <c r="A556">
        <v>3630</v>
      </c>
      <c r="B556" t="s">
        <v>5473</v>
      </c>
      <c r="C556">
        <v>10</v>
      </c>
      <c r="D556">
        <v>35.74</v>
      </c>
      <c r="E556">
        <v>0.35</v>
      </c>
      <c r="F556">
        <v>0</v>
      </c>
      <c r="G556">
        <v>555</v>
      </c>
      <c r="H556">
        <v>140</v>
      </c>
      <c r="I556">
        <v>414</v>
      </c>
      <c r="J556" t="s">
        <v>6279</v>
      </c>
    </row>
    <row r="557" spans="1:10">
      <c r="A557">
        <v>3014</v>
      </c>
      <c r="B557" t="s">
        <v>5272</v>
      </c>
      <c r="C557">
        <v>9.99</v>
      </c>
      <c r="D557">
        <v>8.99</v>
      </c>
      <c r="E557">
        <v>0.16</v>
      </c>
      <c r="F557">
        <v>0.14000000000000001</v>
      </c>
      <c r="G557">
        <v>556</v>
      </c>
      <c r="H557">
        <v>547</v>
      </c>
      <c r="I557">
        <v>615</v>
      </c>
      <c r="J557">
        <v>348</v>
      </c>
    </row>
    <row r="558" spans="1:10">
      <c r="A558">
        <v>6116</v>
      </c>
      <c r="B558" t="s">
        <v>5746</v>
      </c>
      <c r="C558">
        <v>9.99</v>
      </c>
      <c r="D558">
        <v>7.25</v>
      </c>
      <c r="E558">
        <v>2.42</v>
      </c>
      <c r="F558">
        <v>0.03</v>
      </c>
      <c r="G558">
        <v>556</v>
      </c>
      <c r="H558">
        <v>618</v>
      </c>
      <c r="I558">
        <v>61</v>
      </c>
      <c r="J558">
        <v>459</v>
      </c>
    </row>
    <row r="559" spans="1:10">
      <c r="A559">
        <v>3479</v>
      </c>
      <c r="B559" t="s">
        <v>5413</v>
      </c>
      <c r="C559">
        <v>9.98</v>
      </c>
      <c r="D559">
        <v>4.1500000000000004</v>
      </c>
      <c r="E559">
        <v>0.52</v>
      </c>
      <c r="F559">
        <v>1.27</v>
      </c>
      <c r="G559">
        <v>558</v>
      </c>
      <c r="H559">
        <v>837</v>
      </c>
      <c r="I559">
        <v>313</v>
      </c>
      <c r="J559">
        <v>172</v>
      </c>
    </row>
    <row r="560" spans="1:10">
      <c r="A560">
        <v>3669</v>
      </c>
      <c r="B560" t="s">
        <v>5482</v>
      </c>
      <c r="C560">
        <v>9.9499999999999993</v>
      </c>
      <c r="D560">
        <v>0.78</v>
      </c>
      <c r="E560">
        <v>0.31</v>
      </c>
      <c r="F560">
        <v>0.45</v>
      </c>
      <c r="G560">
        <v>559</v>
      </c>
      <c r="H560">
        <v>1267</v>
      </c>
      <c r="I560">
        <v>451</v>
      </c>
      <c r="J560">
        <v>262</v>
      </c>
    </row>
    <row r="561" spans="1:10">
      <c r="A561">
        <v>6654</v>
      </c>
      <c r="B561" t="s">
        <v>5926</v>
      </c>
      <c r="C561">
        <v>9.93</v>
      </c>
      <c r="D561">
        <v>1.17</v>
      </c>
      <c r="E561">
        <v>7.0000000000000007E-2</v>
      </c>
      <c r="F561">
        <v>0</v>
      </c>
      <c r="G561">
        <v>560</v>
      </c>
      <c r="H561">
        <v>1195</v>
      </c>
      <c r="I561">
        <v>825</v>
      </c>
      <c r="J561" t="s">
        <v>6279</v>
      </c>
    </row>
    <row r="562" spans="1:10">
      <c r="A562">
        <v>1414</v>
      </c>
      <c r="B562" t="s">
        <v>4828</v>
      </c>
      <c r="C562">
        <v>9.8800000000000008</v>
      </c>
      <c r="D562">
        <v>0.56999999999999995</v>
      </c>
      <c r="E562">
        <v>0.01</v>
      </c>
      <c r="F562">
        <v>0</v>
      </c>
      <c r="G562">
        <v>561</v>
      </c>
      <c r="H562">
        <v>1314</v>
      </c>
      <c r="I562">
        <v>1123</v>
      </c>
      <c r="J562" t="s">
        <v>6279</v>
      </c>
    </row>
    <row r="563" spans="1:10">
      <c r="A563">
        <v>5356</v>
      </c>
      <c r="B563" t="s">
        <v>5678</v>
      </c>
      <c r="C563">
        <v>9.8800000000000008</v>
      </c>
      <c r="D563">
        <v>2.91</v>
      </c>
      <c r="E563">
        <v>0.02</v>
      </c>
      <c r="F563">
        <v>0</v>
      </c>
      <c r="G563">
        <v>561</v>
      </c>
      <c r="H563">
        <v>937</v>
      </c>
      <c r="I563">
        <v>1051</v>
      </c>
      <c r="J563" t="s">
        <v>6279</v>
      </c>
    </row>
    <row r="564" spans="1:10">
      <c r="A564">
        <v>6418</v>
      </c>
      <c r="B564" t="s">
        <v>5865</v>
      </c>
      <c r="C564">
        <v>9.86</v>
      </c>
      <c r="D564">
        <v>0.01</v>
      </c>
      <c r="E564">
        <v>0</v>
      </c>
      <c r="F564">
        <v>0</v>
      </c>
      <c r="G564">
        <v>563</v>
      </c>
      <c r="H564">
        <v>1469</v>
      </c>
      <c r="I564" t="s">
        <v>6279</v>
      </c>
      <c r="J564" t="s">
        <v>6279</v>
      </c>
    </row>
    <row r="565" spans="1:10">
      <c r="A565">
        <v>2427</v>
      </c>
      <c r="B565" t="s">
        <v>5105</v>
      </c>
      <c r="C565">
        <v>9.84</v>
      </c>
      <c r="D565">
        <v>2.63</v>
      </c>
      <c r="E565">
        <v>0.06</v>
      </c>
      <c r="F565">
        <v>0</v>
      </c>
      <c r="G565">
        <v>564</v>
      </c>
      <c r="H565">
        <v>968</v>
      </c>
      <c r="I565">
        <v>869</v>
      </c>
      <c r="J565" t="s">
        <v>6279</v>
      </c>
    </row>
    <row r="566" spans="1:10">
      <c r="A566">
        <v>1217</v>
      </c>
      <c r="B566" t="s">
        <v>4783</v>
      </c>
      <c r="C566">
        <v>9.83</v>
      </c>
      <c r="D566">
        <v>5.65</v>
      </c>
      <c r="E566">
        <v>0.02</v>
      </c>
      <c r="F566">
        <v>0</v>
      </c>
      <c r="G566">
        <v>565</v>
      </c>
      <c r="H566">
        <v>735</v>
      </c>
      <c r="I566">
        <v>1051</v>
      </c>
      <c r="J566" t="s">
        <v>6279</v>
      </c>
    </row>
    <row r="567" spans="1:10">
      <c r="A567">
        <v>6202</v>
      </c>
      <c r="B567" t="s">
        <v>5803</v>
      </c>
      <c r="C567">
        <v>9.8000000000000007</v>
      </c>
      <c r="D567">
        <v>17.23</v>
      </c>
      <c r="E567">
        <v>0.12</v>
      </c>
      <c r="F567">
        <v>0.12</v>
      </c>
      <c r="G567">
        <v>566</v>
      </c>
      <c r="H567">
        <v>327</v>
      </c>
      <c r="I567">
        <v>696</v>
      </c>
      <c r="J567">
        <v>358</v>
      </c>
    </row>
    <row r="568" spans="1:10">
      <c r="A568">
        <v>8436</v>
      </c>
      <c r="B568" t="s">
        <v>6029</v>
      </c>
      <c r="C568">
        <v>9.8000000000000007</v>
      </c>
      <c r="D568">
        <v>31.8</v>
      </c>
      <c r="E568">
        <v>0.7</v>
      </c>
      <c r="F568">
        <v>0.27</v>
      </c>
      <c r="G568">
        <v>566</v>
      </c>
      <c r="H568">
        <v>163</v>
      </c>
      <c r="I568">
        <v>253</v>
      </c>
      <c r="J568">
        <v>302</v>
      </c>
    </row>
    <row r="569" spans="1:10">
      <c r="A569">
        <v>2495</v>
      </c>
      <c r="B569" t="s">
        <v>5150</v>
      </c>
      <c r="C569">
        <v>9.77</v>
      </c>
      <c r="D569">
        <v>17.66</v>
      </c>
      <c r="E569">
        <v>0.18</v>
      </c>
      <c r="F569">
        <v>0</v>
      </c>
      <c r="G569">
        <v>568</v>
      </c>
      <c r="H569">
        <v>315</v>
      </c>
      <c r="I569">
        <v>584</v>
      </c>
      <c r="J569" t="s">
        <v>6279</v>
      </c>
    </row>
    <row r="570" spans="1:10">
      <c r="A570">
        <v>3049</v>
      </c>
      <c r="B570" t="s">
        <v>5301</v>
      </c>
      <c r="C570">
        <v>9.77</v>
      </c>
      <c r="D570">
        <v>6.64</v>
      </c>
      <c r="E570">
        <v>0.01</v>
      </c>
      <c r="F570">
        <v>0.01</v>
      </c>
      <c r="G570">
        <v>568</v>
      </c>
      <c r="H570">
        <v>670</v>
      </c>
      <c r="I570">
        <v>1123</v>
      </c>
      <c r="J570">
        <v>495</v>
      </c>
    </row>
    <row r="571" spans="1:10">
      <c r="A571">
        <v>2337</v>
      </c>
      <c r="B571" t="s">
        <v>5046</v>
      </c>
      <c r="C571">
        <v>9.76</v>
      </c>
      <c r="D571">
        <v>23.25</v>
      </c>
      <c r="E571">
        <v>1.55</v>
      </c>
      <c r="F571">
        <v>2.52</v>
      </c>
      <c r="G571">
        <v>570</v>
      </c>
      <c r="H571">
        <v>239</v>
      </c>
      <c r="I571">
        <v>102</v>
      </c>
      <c r="J571">
        <v>102</v>
      </c>
    </row>
    <row r="572" spans="1:10">
      <c r="A572">
        <v>6257</v>
      </c>
      <c r="B572" t="s">
        <v>5836</v>
      </c>
      <c r="C572">
        <v>9.76</v>
      </c>
      <c r="D572">
        <v>22.24</v>
      </c>
      <c r="E572">
        <v>0</v>
      </c>
      <c r="F572">
        <v>0.4</v>
      </c>
      <c r="G572">
        <v>570</v>
      </c>
      <c r="H572">
        <v>250</v>
      </c>
      <c r="I572" t="s">
        <v>6279</v>
      </c>
      <c r="J572">
        <v>271</v>
      </c>
    </row>
    <row r="573" spans="1:10">
      <c r="A573">
        <v>5439</v>
      </c>
      <c r="B573" t="s">
        <v>5690</v>
      </c>
      <c r="C573">
        <v>9.74</v>
      </c>
      <c r="D573">
        <v>2.19</v>
      </c>
      <c r="E573">
        <v>0</v>
      </c>
      <c r="F573">
        <v>2.0299999999999998</v>
      </c>
      <c r="G573">
        <v>572</v>
      </c>
      <c r="H573">
        <v>1019</v>
      </c>
      <c r="I573" t="s">
        <v>6279</v>
      </c>
      <c r="J573">
        <v>122</v>
      </c>
    </row>
    <row r="574" spans="1:10">
      <c r="A574">
        <v>1599</v>
      </c>
      <c r="B574" t="s">
        <v>4907</v>
      </c>
      <c r="C574">
        <v>9.73</v>
      </c>
      <c r="D574">
        <v>13.86</v>
      </c>
      <c r="E574">
        <v>0.04</v>
      </c>
      <c r="F574">
        <v>0</v>
      </c>
      <c r="G574">
        <v>573</v>
      </c>
      <c r="H574">
        <v>391</v>
      </c>
      <c r="I574">
        <v>946</v>
      </c>
      <c r="J574" t="s">
        <v>6279</v>
      </c>
    </row>
    <row r="575" spans="1:10">
      <c r="A575">
        <v>2901</v>
      </c>
      <c r="B575" t="s">
        <v>5248</v>
      </c>
      <c r="C575">
        <v>9.7200000000000006</v>
      </c>
      <c r="D575">
        <v>0.16</v>
      </c>
      <c r="E575">
        <v>0.03</v>
      </c>
      <c r="F575">
        <v>0</v>
      </c>
      <c r="G575">
        <v>574</v>
      </c>
      <c r="H575">
        <v>1423</v>
      </c>
      <c r="I575">
        <v>990</v>
      </c>
      <c r="J575" t="s">
        <v>6279</v>
      </c>
    </row>
    <row r="576" spans="1:10">
      <c r="A576">
        <v>2034</v>
      </c>
      <c r="B576" t="s">
        <v>4993</v>
      </c>
      <c r="C576">
        <v>9.68</v>
      </c>
      <c r="D576">
        <v>8.8000000000000007</v>
      </c>
      <c r="E576">
        <v>0.04</v>
      </c>
      <c r="F576">
        <v>0.54</v>
      </c>
      <c r="G576">
        <v>575</v>
      </c>
      <c r="H576">
        <v>552</v>
      </c>
      <c r="I576">
        <v>946</v>
      </c>
      <c r="J576">
        <v>248</v>
      </c>
    </row>
    <row r="577" spans="1:10">
      <c r="A577">
        <v>5288</v>
      </c>
      <c r="B577" t="s">
        <v>5667</v>
      </c>
      <c r="C577">
        <v>9.67</v>
      </c>
      <c r="D577">
        <v>65.45</v>
      </c>
      <c r="E577">
        <v>0.22</v>
      </c>
      <c r="F577">
        <v>0.19</v>
      </c>
      <c r="G577">
        <v>576</v>
      </c>
      <c r="H577">
        <v>36</v>
      </c>
      <c r="I577">
        <v>537</v>
      </c>
      <c r="J577">
        <v>331</v>
      </c>
    </row>
    <row r="578" spans="1:10">
      <c r="A578">
        <v>8271</v>
      </c>
      <c r="B578" t="s">
        <v>6007</v>
      </c>
      <c r="C578">
        <v>9.66</v>
      </c>
      <c r="D578">
        <v>2.71</v>
      </c>
      <c r="E578">
        <v>0.14000000000000001</v>
      </c>
      <c r="F578">
        <v>0</v>
      </c>
      <c r="G578">
        <v>577</v>
      </c>
      <c r="H578">
        <v>955</v>
      </c>
      <c r="I578">
        <v>649</v>
      </c>
      <c r="J578" t="s">
        <v>6279</v>
      </c>
    </row>
    <row r="579" spans="1:10">
      <c r="A579">
        <v>1446</v>
      </c>
      <c r="B579" t="s">
        <v>4842</v>
      </c>
      <c r="C579">
        <v>9.65</v>
      </c>
      <c r="D579">
        <v>1.1499999999999999</v>
      </c>
      <c r="E579">
        <v>0</v>
      </c>
      <c r="F579">
        <v>0</v>
      </c>
      <c r="G579">
        <v>578</v>
      </c>
      <c r="H579">
        <v>1198</v>
      </c>
      <c r="I579" t="s">
        <v>6279</v>
      </c>
      <c r="J579" t="s">
        <v>6279</v>
      </c>
    </row>
    <row r="580" spans="1:10">
      <c r="A580">
        <v>2524</v>
      </c>
      <c r="B580" t="s">
        <v>5163</v>
      </c>
      <c r="C580">
        <v>9.65</v>
      </c>
      <c r="D580">
        <v>0.86</v>
      </c>
      <c r="E580">
        <v>0.01</v>
      </c>
      <c r="F580">
        <v>0</v>
      </c>
      <c r="G580">
        <v>578</v>
      </c>
      <c r="H580">
        <v>1248</v>
      </c>
      <c r="I580">
        <v>1123</v>
      </c>
      <c r="J580" t="s">
        <v>6279</v>
      </c>
    </row>
    <row r="581" spans="1:10">
      <c r="A581">
        <v>5315</v>
      </c>
      <c r="B581" t="s">
        <v>5672</v>
      </c>
      <c r="C581">
        <v>9.65</v>
      </c>
      <c r="D581">
        <v>5.35</v>
      </c>
      <c r="E581">
        <v>0.13</v>
      </c>
      <c r="F581">
        <v>0</v>
      </c>
      <c r="G581">
        <v>578</v>
      </c>
      <c r="H581">
        <v>755</v>
      </c>
      <c r="I581">
        <v>671</v>
      </c>
      <c r="J581" t="s">
        <v>6279</v>
      </c>
    </row>
    <row r="582" spans="1:10">
      <c r="A582">
        <v>5469</v>
      </c>
      <c r="B582" t="s">
        <v>5696</v>
      </c>
      <c r="C582">
        <v>9.6199999999999992</v>
      </c>
      <c r="D582">
        <v>11.41</v>
      </c>
      <c r="E582">
        <v>0.17</v>
      </c>
      <c r="F582">
        <v>0.37</v>
      </c>
      <c r="G582">
        <v>581</v>
      </c>
      <c r="H582">
        <v>451</v>
      </c>
      <c r="I582">
        <v>596</v>
      </c>
      <c r="J582">
        <v>276</v>
      </c>
    </row>
    <row r="583" spans="1:10">
      <c r="A583">
        <v>5392</v>
      </c>
      <c r="B583" t="s">
        <v>5682</v>
      </c>
      <c r="C583">
        <v>9.61</v>
      </c>
      <c r="D583">
        <v>3.98</v>
      </c>
      <c r="E583">
        <v>0.55000000000000004</v>
      </c>
      <c r="F583">
        <v>0</v>
      </c>
      <c r="G583">
        <v>582</v>
      </c>
      <c r="H583">
        <v>848</v>
      </c>
      <c r="I583">
        <v>298</v>
      </c>
      <c r="J583" t="s">
        <v>6279</v>
      </c>
    </row>
    <row r="584" spans="1:10">
      <c r="A584">
        <v>8403</v>
      </c>
      <c r="B584" t="s">
        <v>6019</v>
      </c>
      <c r="C584">
        <v>9.61</v>
      </c>
      <c r="D584">
        <v>1.96</v>
      </c>
      <c r="E584">
        <v>0.09</v>
      </c>
      <c r="F584">
        <v>0</v>
      </c>
      <c r="G584">
        <v>582</v>
      </c>
      <c r="H584">
        <v>1063</v>
      </c>
      <c r="I584">
        <v>762</v>
      </c>
      <c r="J584" t="s">
        <v>6279</v>
      </c>
    </row>
    <row r="585" spans="1:10">
      <c r="A585">
        <v>2033</v>
      </c>
      <c r="B585" t="s">
        <v>4992</v>
      </c>
      <c r="C585">
        <v>9.6</v>
      </c>
      <c r="D585">
        <v>1.1599999999999999</v>
      </c>
      <c r="E585">
        <v>0.12</v>
      </c>
      <c r="F585">
        <v>0</v>
      </c>
      <c r="G585">
        <v>584</v>
      </c>
      <c r="H585">
        <v>1196</v>
      </c>
      <c r="I585">
        <v>696</v>
      </c>
      <c r="J585" t="s">
        <v>6279</v>
      </c>
    </row>
    <row r="586" spans="1:10">
      <c r="A586">
        <v>6598</v>
      </c>
      <c r="B586" t="s">
        <v>5916</v>
      </c>
      <c r="C586">
        <v>9.56</v>
      </c>
      <c r="D586">
        <v>34.33</v>
      </c>
      <c r="E586">
        <v>0.39</v>
      </c>
      <c r="F586">
        <v>0</v>
      </c>
      <c r="G586">
        <v>585</v>
      </c>
      <c r="H586">
        <v>144</v>
      </c>
      <c r="I586">
        <v>383</v>
      </c>
      <c r="J586" t="s">
        <v>6279</v>
      </c>
    </row>
    <row r="587" spans="1:10">
      <c r="A587">
        <v>8444</v>
      </c>
      <c r="B587" t="s">
        <v>6034</v>
      </c>
      <c r="C587">
        <v>9.56</v>
      </c>
      <c r="D587">
        <v>65.67</v>
      </c>
      <c r="E587">
        <v>0</v>
      </c>
      <c r="F587">
        <v>0</v>
      </c>
      <c r="G587">
        <v>585</v>
      </c>
      <c r="H587">
        <v>35</v>
      </c>
      <c r="I587" t="s">
        <v>6279</v>
      </c>
      <c r="J587" t="s">
        <v>6279</v>
      </c>
    </row>
    <row r="588" spans="1:10">
      <c r="A588">
        <v>2009</v>
      </c>
      <c r="B588" t="s">
        <v>4976</v>
      </c>
      <c r="C588">
        <v>9.52</v>
      </c>
      <c r="D588">
        <v>1.58</v>
      </c>
      <c r="E588">
        <v>0.69</v>
      </c>
      <c r="F588">
        <v>0</v>
      </c>
      <c r="G588">
        <v>587</v>
      </c>
      <c r="H588">
        <v>1110</v>
      </c>
      <c r="I588">
        <v>258</v>
      </c>
      <c r="J588" t="s">
        <v>6279</v>
      </c>
    </row>
    <row r="589" spans="1:10">
      <c r="A589">
        <v>4915</v>
      </c>
      <c r="B589" t="s">
        <v>5609</v>
      </c>
      <c r="C589">
        <v>9.5</v>
      </c>
      <c r="D589">
        <v>44.87</v>
      </c>
      <c r="E589">
        <v>0.97</v>
      </c>
      <c r="F589">
        <v>0.83</v>
      </c>
      <c r="G589">
        <v>588</v>
      </c>
      <c r="H589">
        <v>90</v>
      </c>
      <c r="I589">
        <v>178</v>
      </c>
      <c r="J589">
        <v>208</v>
      </c>
    </row>
    <row r="590" spans="1:10">
      <c r="A590">
        <v>1219</v>
      </c>
      <c r="B590" t="s">
        <v>4785</v>
      </c>
      <c r="C590">
        <v>9.4700000000000006</v>
      </c>
      <c r="D590">
        <v>4.3</v>
      </c>
      <c r="E590">
        <v>0.03</v>
      </c>
      <c r="F590">
        <v>0</v>
      </c>
      <c r="G590">
        <v>589</v>
      </c>
      <c r="H590">
        <v>823</v>
      </c>
      <c r="I590">
        <v>990</v>
      </c>
      <c r="J590" t="s">
        <v>6279</v>
      </c>
    </row>
    <row r="591" spans="1:10">
      <c r="A591">
        <v>4991</v>
      </c>
      <c r="B591" t="s">
        <v>6149</v>
      </c>
      <c r="C591">
        <v>9.4499999999999993</v>
      </c>
      <c r="D591">
        <v>4.58</v>
      </c>
      <c r="E591">
        <v>0.04</v>
      </c>
      <c r="F591">
        <v>0.01</v>
      </c>
      <c r="G591">
        <v>590</v>
      </c>
      <c r="H591">
        <v>807</v>
      </c>
      <c r="I591">
        <v>946</v>
      </c>
      <c r="J591">
        <v>495</v>
      </c>
    </row>
    <row r="592" spans="1:10">
      <c r="A592">
        <v>8110</v>
      </c>
      <c r="B592" t="s">
        <v>5985</v>
      </c>
      <c r="C592">
        <v>9.4499999999999993</v>
      </c>
      <c r="D592">
        <v>2.42</v>
      </c>
      <c r="E592">
        <v>0.23</v>
      </c>
      <c r="F592">
        <v>0.01</v>
      </c>
      <c r="G592">
        <v>590</v>
      </c>
      <c r="H592">
        <v>992</v>
      </c>
      <c r="I592">
        <v>525</v>
      </c>
      <c r="J592">
        <v>495</v>
      </c>
    </row>
    <row r="593" spans="1:10">
      <c r="A593">
        <v>3540</v>
      </c>
      <c r="B593" t="s">
        <v>5438</v>
      </c>
      <c r="C593">
        <v>9.42</v>
      </c>
      <c r="D593">
        <v>2.25</v>
      </c>
      <c r="E593">
        <v>0</v>
      </c>
      <c r="F593">
        <v>0</v>
      </c>
      <c r="G593">
        <v>592</v>
      </c>
      <c r="H593">
        <v>1013</v>
      </c>
      <c r="I593" t="s">
        <v>6279</v>
      </c>
      <c r="J593" t="s">
        <v>6279</v>
      </c>
    </row>
    <row r="594" spans="1:10">
      <c r="A594">
        <v>6269</v>
      </c>
      <c r="B594" t="s">
        <v>5841</v>
      </c>
      <c r="C594">
        <v>9.42</v>
      </c>
      <c r="D594">
        <v>17.13</v>
      </c>
      <c r="E594">
        <v>0.02</v>
      </c>
      <c r="F594">
        <v>2.5099999999999998</v>
      </c>
      <c r="G594">
        <v>592</v>
      </c>
      <c r="H594">
        <v>330</v>
      </c>
      <c r="I594">
        <v>1051</v>
      </c>
      <c r="J594">
        <v>103</v>
      </c>
    </row>
    <row r="595" spans="1:10">
      <c r="A595">
        <v>3541</v>
      </c>
      <c r="B595" t="s">
        <v>5439</v>
      </c>
      <c r="C595">
        <v>9.4</v>
      </c>
      <c r="D595">
        <v>5.71</v>
      </c>
      <c r="E595">
        <v>0.7</v>
      </c>
      <c r="F595">
        <v>0.04</v>
      </c>
      <c r="G595">
        <v>594</v>
      </c>
      <c r="H595">
        <v>731</v>
      </c>
      <c r="I595">
        <v>253</v>
      </c>
      <c r="J595">
        <v>439</v>
      </c>
    </row>
    <row r="596" spans="1:10">
      <c r="A596">
        <v>2313</v>
      </c>
      <c r="B596" t="s">
        <v>5035</v>
      </c>
      <c r="C596">
        <v>9.3800000000000008</v>
      </c>
      <c r="D596">
        <v>27.09</v>
      </c>
      <c r="E596">
        <v>1.28</v>
      </c>
      <c r="F596">
        <v>3.26</v>
      </c>
      <c r="G596">
        <v>595</v>
      </c>
      <c r="H596">
        <v>201</v>
      </c>
      <c r="I596">
        <v>132</v>
      </c>
      <c r="J596">
        <v>85</v>
      </c>
    </row>
    <row r="597" spans="1:10">
      <c r="A597">
        <v>1713</v>
      </c>
      <c r="B597" t="s">
        <v>4928</v>
      </c>
      <c r="C597">
        <v>9.3699999999999992</v>
      </c>
      <c r="D597">
        <v>3.64</v>
      </c>
      <c r="E597">
        <v>0.03</v>
      </c>
      <c r="F597">
        <v>0</v>
      </c>
      <c r="G597">
        <v>596</v>
      </c>
      <c r="H597">
        <v>866</v>
      </c>
      <c r="I597">
        <v>990</v>
      </c>
      <c r="J597" t="s">
        <v>6279</v>
      </c>
    </row>
    <row r="598" spans="1:10">
      <c r="A598">
        <v>5546</v>
      </c>
      <c r="B598" t="s">
        <v>5718</v>
      </c>
      <c r="C598">
        <v>9.3699999999999992</v>
      </c>
      <c r="D598">
        <v>54.11</v>
      </c>
      <c r="E598">
        <v>0</v>
      </c>
      <c r="F598">
        <v>0</v>
      </c>
      <c r="G598">
        <v>596</v>
      </c>
      <c r="H598">
        <v>61</v>
      </c>
      <c r="I598" t="s">
        <v>6279</v>
      </c>
      <c r="J598" t="s">
        <v>6279</v>
      </c>
    </row>
    <row r="599" spans="1:10">
      <c r="A599">
        <v>3372</v>
      </c>
      <c r="B599" t="s">
        <v>5389</v>
      </c>
      <c r="C599">
        <v>9.36</v>
      </c>
      <c r="D599">
        <v>1.23</v>
      </c>
      <c r="E599">
        <v>0.11</v>
      </c>
      <c r="F599">
        <v>1.28</v>
      </c>
      <c r="G599">
        <v>598</v>
      </c>
      <c r="H599">
        <v>1180</v>
      </c>
      <c r="I599">
        <v>717</v>
      </c>
      <c r="J599">
        <v>170</v>
      </c>
    </row>
    <row r="600" spans="1:10">
      <c r="A600">
        <v>8048</v>
      </c>
      <c r="B600" t="s">
        <v>5962</v>
      </c>
      <c r="C600">
        <v>9.36</v>
      </c>
      <c r="D600">
        <v>0.77</v>
      </c>
      <c r="E600">
        <v>0.01</v>
      </c>
      <c r="F600">
        <v>0</v>
      </c>
      <c r="G600">
        <v>598</v>
      </c>
      <c r="H600">
        <v>1270</v>
      </c>
      <c r="I600">
        <v>1123</v>
      </c>
      <c r="J600" t="s">
        <v>6279</v>
      </c>
    </row>
    <row r="601" spans="1:10">
      <c r="A601">
        <v>1416</v>
      </c>
      <c r="B601" t="s">
        <v>4829</v>
      </c>
      <c r="C601">
        <v>9.33</v>
      </c>
      <c r="D601">
        <v>9.0399999999999991</v>
      </c>
      <c r="E601">
        <v>0.03</v>
      </c>
      <c r="F601">
        <v>0</v>
      </c>
      <c r="G601">
        <v>600</v>
      </c>
      <c r="H601">
        <v>545</v>
      </c>
      <c r="I601">
        <v>990</v>
      </c>
      <c r="J601" t="s">
        <v>6279</v>
      </c>
    </row>
    <row r="602" spans="1:10">
      <c r="A602">
        <v>3665</v>
      </c>
      <c r="B602" t="s">
        <v>5480</v>
      </c>
      <c r="C602">
        <v>9.32</v>
      </c>
      <c r="D602">
        <v>47.14</v>
      </c>
      <c r="E602">
        <v>1.72</v>
      </c>
      <c r="F602">
        <v>3.65</v>
      </c>
      <c r="G602">
        <v>601</v>
      </c>
      <c r="H602">
        <v>84</v>
      </c>
      <c r="I602">
        <v>89</v>
      </c>
      <c r="J602">
        <v>77</v>
      </c>
    </row>
    <row r="603" spans="1:10">
      <c r="A603">
        <v>6469</v>
      </c>
      <c r="B603" t="s">
        <v>5880</v>
      </c>
      <c r="C603">
        <v>9.31</v>
      </c>
      <c r="D603">
        <v>5.17</v>
      </c>
      <c r="E603">
        <v>0.13</v>
      </c>
      <c r="F603">
        <v>1.33</v>
      </c>
      <c r="G603">
        <v>602</v>
      </c>
      <c r="H603">
        <v>766</v>
      </c>
      <c r="I603">
        <v>671</v>
      </c>
      <c r="J603">
        <v>166</v>
      </c>
    </row>
    <row r="604" spans="1:10">
      <c r="A604">
        <v>3205</v>
      </c>
      <c r="B604" t="s">
        <v>5338</v>
      </c>
      <c r="C604">
        <v>9.2899999999999991</v>
      </c>
      <c r="D604">
        <v>9.6300000000000008</v>
      </c>
      <c r="E604">
        <v>0.12</v>
      </c>
      <c r="F604">
        <v>0</v>
      </c>
      <c r="G604">
        <v>603</v>
      </c>
      <c r="H604">
        <v>523</v>
      </c>
      <c r="I604">
        <v>696</v>
      </c>
      <c r="J604" t="s">
        <v>6279</v>
      </c>
    </row>
    <row r="605" spans="1:10">
      <c r="A605">
        <v>9955</v>
      </c>
      <c r="B605" t="s">
        <v>6099</v>
      </c>
      <c r="C605">
        <v>9.24</v>
      </c>
      <c r="D605">
        <v>3.11</v>
      </c>
      <c r="E605">
        <v>0.32</v>
      </c>
      <c r="F605">
        <v>0</v>
      </c>
      <c r="G605">
        <v>604</v>
      </c>
      <c r="H605">
        <v>917</v>
      </c>
      <c r="I605">
        <v>442</v>
      </c>
      <c r="J605" t="s">
        <v>6279</v>
      </c>
    </row>
    <row r="606" spans="1:10">
      <c r="A606">
        <v>4977</v>
      </c>
      <c r="B606" t="s">
        <v>5634</v>
      </c>
      <c r="C606">
        <v>9.2200000000000006</v>
      </c>
      <c r="D606">
        <v>39.43</v>
      </c>
      <c r="E606">
        <v>0.24</v>
      </c>
      <c r="F606">
        <v>0</v>
      </c>
      <c r="G606">
        <v>605</v>
      </c>
      <c r="H606">
        <v>123</v>
      </c>
      <c r="I606">
        <v>515</v>
      </c>
      <c r="J606" t="s">
        <v>6279</v>
      </c>
    </row>
    <row r="607" spans="1:10">
      <c r="A607">
        <v>5203</v>
      </c>
      <c r="B607" t="s">
        <v>5645</v>
      </c>
      <c r="C607">
        <v>9.19</v>
      </c>
      <c r="D607">
        <v>14.85</v>
      </c>
      <c r="E607">
        <v>7.0000000000000007E-2</v>
      </c>
      <c r="F607">
        <v>0.04</v>
      </c>
      <c r="G607">
        <v>606</v>
      </c>
      <c r="H607">
        <v>363</v>
      </c>
      <c r="I607">
        <v>825</v>
      </c>
      <c r="J607">
        <v>439</v>
      </c>
    </row>
    <row r="608" spans="1:10">
      <c r="A608">
        <v>3297</v>
      </c>
      <c r="B608" t="s">
        <v>5369</v>
      </c>
      <c r="C608">
        <v>9.18</v>
      </c>
      <c r="D608">
        <v>1.44</v>
      </c>
      <c r="E608">
        <v>0.23</v>
      </c>
      <c r="F608">
        <v>0</v>
      </c>
      <c r="G608">
        <v>607</v>
      </c>
      <c r="H608">
        <v>1140</v>
      </c>
      <c r="I608">
        <v>525</v>
      </c>
      <c r="J608" t="s">
        <v>6279</v>
      </c>
    </row>
    <row r="609" spans="1:10">
      <c r="A609">
        <v>3577</v>
      </c>
      <c r="B609" t="s">
        <v>5452</v>
      </c>
      <c r="C609">
        <v>9.15</v>
      </c>
      <c r="D609">
        <v>1.34</v>
      </c>
      <c r="E609">
        <v>0.11</v>
      </c>
      <c r="F609">
        <v>0</v>
      </c>
      <c r="G609">
        <v>608</v>
      </c>
      <c r="H609">
        <v>1156</v>
      </c>
      <c r="I609">
        <v>717</v>
      </c>
      <c r="J609" t="s">
        <v>6279</v>
      </c>
    </row>
    <row r="610" spans="1:10">
      <c r="A610">
        <v>6461</v>
      </c>
      <c r="B610" t="s">
        <v>5877</v>
      </c>
      <c r="C610">
        <v>9.1300000000000008</v>
      </c>
      <c r="D610">
        <v>0.67</v>
      </c>
      <c r="E610">
        <v>0</v>
      </c>
      <c r="F610">
        <v>0</v>
      </c>
      <c r="G610">
        <v>609</v>
      </c>
      <c r="H610">
        <v>1290</v>
      </c>
      <c r="I610" t="s">
        <v>6279</v>
      </c>
      <c r="J610" t="s">
        <v>6279</v>
      </c>
    </row>
    <row r="611" spans="1:10">
      <c r="A611">
        <v>2607</v>
      </c>
      <c r="B611" t="s">
        <v>5184</v>
      </c>
      <c r="C611">
        <v>9.11</v>
      </c>
      <c r="D611">
        <v>7.32</v>
      </c>
      <c r="E611">
        <v>0.57999999999999996</v>
      </c>
      <c r="F611">
        <v>0</v>
      </c>
      <c r="G611">
        <v>610</v>
      </c>
      <c r="H611">
        <v>611</v>
      </c>
      <c r="I611">
        <v>293</v>
      </c>
      <c r="J611" t="s">
        <v>6279</v>
      </c>
    </row>
    <row r="612" spans="1:10">
      <c r="A612">
        <v>2606</v>
      </c>
      <c r="B612" t="s">
        <v>5183</v>
      </c>
      <c r="C612">
        <v>9.09</v>
      </c>
      <c r="D612">
        <v>10.63</v>
      </c>
      <c r="E612">
        <v>1.17</v>
      </c>
      <c r="F612">
        <v>7.38</v>
      </c>
      <c r="G612">
        <v>611</v>
      </c>
      <c r="H612">
        <v>484</v>
      </c>
      <c r="I612">
        <v>147</v>
      </c>
      <c r="J612">
        <v>26</v>
      </c>
    </row>
    <row r="613" spans="1:10">
      <c r="A613">
        <v>6261</v>
      </c>
      <c r="B613" t="s">
        <v>5837</v>
      </c>
      <c r="C613">
        <v>9.07</v>
      </c>
      <c r="D613">
        <v>3.27</v>
      </c>
      <c r="E613">
        <v>0.42</v>
      </c>
      <c r="F613">
        <v>0</v>
      </c>
      <c r="G613">
        <v>612</v>
      </c>
      <c r="H613">
        <v>901</v>
      </c>
      <c r="I613">
        <v>357</v>
      </c>
      <c r="J613" t="s">
        <v>6279</v>
      </c>
    </row>
    <row r="614" spans="1:10">
      <c r="A614">
        <v>8105</v>
      </c>
      <c r="B614" t="s">
        <v>5983</v>
      </c>
      <c r="C614">
        <v>9.07</v>
      </c>
      <c r="D614">
        <v>57.82</v>
      </c>
      <c r="E614">
        <v>0.77</v>
      </c>
      <c r="F614">
        <v>0</v>
      </c>
      <c r="G614">
        <v>612</v>
      </c>
      <c r="H614">
        <v>51</v>
      </c>
      <c r="I614">
        <v>219</v>
      </c>
      <c r="J614" t="s">
        <v>6279</v>
      </c>
    </row>
    <row r="615" spans="1:10">
      <c r="A615">
        <v>5450</v>
      </c>
      <c r="B615" t="s">
        <v>5692</v>
      </c>
      <c r="C615">
        <v>9.06</v>
      </c>
      <c r="D615">
        <v>0.18</v>
      </c>
      <c r="E615">
        <v>0</v>
      </c>
      <c r="F615">
        <v>0</v>
      </c>
      <c r="G615">
        <v>614</v>
      </c>
      <c r="H615">
        <v>1416</v>
      </c>
      <c r="I615" t="s">
        <v>6279</v>
      </c>
      <c r="J615" t="s">
        <v>6279</v>
      </c>
    </row>
    <row r="616" spans="1:10">
      <c r="A616">
        <v>2014</v>
      </c>
      <c r="B616" t="s">
        <v>4980</v>
      </c>
      <c r="C616">
        <v>9.0299999999999994</v>
      </c>
      <c r="D616">
        <v>5.08</v>
      </c>
      <c r="E616">
        <v>1.05</v>
      </c>
      <c r="F616">
        <v>6.45</v>
      </c>
      <c r="G616">
        <v>615</v>
      </c>
      <c r="H616">
        <v>774</v>
      </c>
      <c r="I616">
        <v>164</v>
      </c>
      <c r="J616">
        <v>34</v>
      </c>
    </row>
    <row r="617" spans="1:10">
      <c r="A617">
        <v>4945</v>
      </c>
      <c r="B617" t="s">
        <v>5620</v>
      </c>
      <c r="C617">
        <v>9.0299999999999994</v>
      </c>
      <c r="D617">
        <v>4.6900000000000004</v>
      </c>
      <c r="E617">
        <v>0.31</v>
      </c>
      <c r="F617">
        <v>0.77</v>
      </c>
      <c r="G617">
        <v>615</v>
      </c>
      <c r="H617">
        <v>799</v>
      </c>
      <c r="I617">
        <v>451</v>
      </c>
      <c r="J617">
        <v>213</v>
      </c>
    </row>
    <row r="618" spans="1:10">
      <c r="A618">
        <v>2368</v>
      </c>
      <c r="B618" t="s">
        <v>5068</v>
      </c>
      <c r="C618">
        <v>8.9700000000000006</v>
      </c>
      <c r="D618">
        <v>17.920000000000002</v>
      </c>
      <c r="E618">
        <v>0.89</v>
      </c>
      <c r="F618">
        <v>14.28</v>
      </c>
      <c r="G618">
        <v>617</v>
      </c>
      <c r="H618">
        <v>309</v>
      </c>
      <c r="I618">
        <v>196</v>
      </c>
      <c r="J618">
        <v>8</v>
      </c>
    </row>
    <row r="619" spans="1:10">
      <c r="A619">
        <v>2387</v>
      </c>
      <c r="B619" t="s">
        <v>5080</v>
      </c>
      <c r="C619">
        <v>8.9700000000000006</v>
      </c>
      <c r="D619">
        <v>2.06</v>
      </c>
      <c r="E619">
        <v>0.16</v>
      </c>
      <c r="F619">
        <v>1.54</v>
      </c>
      <c r="G619">
        <v>617</v>
      </c>
      <c r="H619">
        <v>1043</v>
      </c>
      <c r="I619">
        <v>615</v>
      </c>
      <c r="J619">
        <v>156</v>
      </c>
    </row>
    <row r="620" spans="1:10">
      <c r="A620">
        <v>5398</v>
      </c>
      <c r="B620" t="s">
        <v>6152</v>
      </c>
      <c r="C620">
        <v>8.9600000000000009</v>
      </c>
      <c r="D620">
        <v>2.5</v>
      </c>
      <c r="E620">
        <v>0</v>
      </c>
      <c r="F620">
        <v>0</v>
      </c>
      <c r="G620">
        <v>619</v>
      </c>
      <c r="H620">
        <v>981</v>
      </c>
      <c r="I620" t="s">
        <v>6279</v>
      </c>
      <c r="J620" t="s">
        <v>6279</v>
      </c>
    </row>
    <row r="621" spans="1:10">
      <c r="A621">
        <v>6155</v>
      </c>
      <c r="B621" t="s">
        <v>5772</v>
      </c>
      <c r="C621">
        <v>8.89</v>
      </c>
      <c r="D621">
        <v>2.12</v>
      </c>
      <c r="E621">
        <v>0.03</v>
      </c>
      <c r="F621">
        <v>0</v>
      </c>
      <c r="G621">
        <v>620</v>
      </c>
      <c r="H621">
        <v>1030</v>
      </c>
      <c r="I621">
        <v>990</v>
      </c>
      <c r="J621" t="s">
        <v>6279</v>
      </c>
    </row>
    <row r="622" spans="1:10">
      <c r="A622">
        <v>5498</v>
      </c>
      <c r="B622" t="s">
        <v>5703</v>
      </c>
      <c r="C622">
        <v>8.8800000000000008</v>
      </c>
      <c r="D622">
        <v>1.1399999999999999</v>
      </c>
      <c r="E622">
        <v>0</v>
      </c>
      <c r="F622">
        <v>0</v>
      </c>
      <c r="G622">
        <v>621</v>
      </c>
      <c r="H622">
        <v>1200</v>
      </c>
      <c r="I622" t="s">
        <v>6279</v>
      </c>
      <c r="J622" t="s">
        <v>6279</v>
      </c>
    </row>
    <row r="623" spans="1:10">
      <c r="A623">
        <v>5483</v>
      </c>
      <c r="B623" t="s">
        <v>5701</v>
      </c>
      <c r="C623">
        <v>8.8699999999999992</v>
      </c>
      <c r="D623">
        <v>22.06</v>
      </c>
      <c r="E623">
        <v>0.72</v>
      </c>
      <c r="F623">
        <v>5.55</v>
      </c>
      <c r="G623">
        <v>622</v>
      </c>
      <c r="H623">
        <v>253</v>
      </c>
      <c r="I623">
        <v>240</v>
      </c>
      <c r="J623">
        <v>47</v>
      </c>
    </row>
    <row r="624" spans="1:10">
      <c r="A624">
        <v>3004</v>
      </c>
      <c r="B624" t="s">
        <v>5266</v>
      </c>
      <c r="C624">
        <v>8.83</v>
      </c>
      <c r="D624">
        <v>1.42</v>
      </c>
      <c r="E624">
        <v>0.02</v>
      </c>
      <c r="F624">
        <v>0</v>
      </c>
      <c r="G624">
        <v>623</v>
      </c>
      <c r="H624">
        <v>1144</v>
      </c>
      <c r="I624">
        <v>1051</v>
      </c>
      <c r="J624" t="s">
        <v>6279</v>
      </c>
    </row>
    <row r="625" spans="1:10">
      <c r="A625">
        <v>3147</v>
      </c>
      <c r="B625" t="s">
        <v>5327</v>
      </c>
      <c r="C625">
        <v>8.7899999999999991</v>
      </c>
      <c r="D625">
        <v>0.41</v>
      </c>
      <c r="E625">
        <v>0</v>
      </c>
      <c r="F625">
        <v>0</v>
      </c>
      <c r="G625">
        <v>624</v>
      </c>
      <c r="H625">
        <v>1354</v>
      </c>
      <c r="I625" t="s">
        <v>6279</v>
      </c>
      <c r="J625" t="s">
        <v>6279</v>
      </c>
    </row>
    <row r="626" spans="1:10">
      <c r="A626">
        <v>6208</v>
      </c>
      <c r="B626" t="s">
        <v>5808</v>
      </c>
      <c r="C626">
        <v>8.7899999999999991</v>
      </c>
      <c r="D626">
        <v>1.46</v>
      </c>
      <c r="E626">
        <v>0</v>
      </c>
      <c r="F626">
        <v>0</v>
      </c>
      <c r="G626">
        <v>624</v>
      </c>
      <c r="H626">
        <v>1133</v>
      </c>
      <c r="I626" t="s">
        <v>6279</v>
      </c>
      <c r="J626" t="s">
        <v>6279</v>
      </c>
    </row>
    <row r="627" spans="1:10">
      <c r="A627">
        <v>6456</v>
      </c>
      <c r="B627" t="s">
        <v>5875</v>
      </c>
      <c r="C627">
        <v>8.7799999999999994</v>
      </c>
      <c r="D627">
        <v>54.36</v>
      </c>
      <c r="E627">
        <v>0.41</v>
      </c>
      <c r="F627">
        <v>0.26</v>
      </c>
      <c r="G627">
        <v>626</v>
      </c>
      <c r="H627">
        <v>60</v>
      </c>
      <c r="I627">
        <v>365</v>
      </c>
      <c r="J627">
        <v>307</v>
      </c>
    </row>
    <row r="628" spans="1:10">
      <c r="A628">
        <v>6573</v>
      </c>
      <c r="B628" t="s">
        <v>5909</v>
      </c>
      <c r="C628">
        <v>8.77</v>
      </c>
      <c r="D628">
        <v>58.76</v>
      </c>
      <c r="E628">
        <v>0.11</v>
      </c>
      <c r="F628">
        <v>0</v>
      </c>
      <c r="G628">
        <v>627</v>
      </c>
      <c r="H628">
        <v>50</v>
      </c>
      <c r="I628">
        <v>717</v>
      </c>
      <c r="J628" t="s">
        <v>6279</v>
      </c>
    </row>
    <row r="629" spans="1:10">
      <c r="A629">
        <v>1336</v>
      </c>
      <c r="B629" t="s">
        <v>4819</v>
      </c>
      <c r="C629">
        <v>8.7100000000000009</v>
      </c>
      <c r="D629">
        <v>1.18</v>
      </c>
      <c r="E629">
        <v>0</v>
      </c>
      <c r="F629">
        <v>0</v>
      </c>
      <c r="G629">
        <v>628</v>
      </c>
      <c r="H629">
        <v>1192</v>
      </c>
      <c r="I629" t="s">
        <v>6279</v>
      </c>
      <c r="J629" t="s">
        <v>6279</v>
      </c>
    </row>
    <row r="630" spans="1:10">
      <c r="A630">
        <v>3264</v>
      </c>
      <c r="B630" t="s">
        <v>5357</v>
      </c>
      <c r="C630">
        <v>8.68</v>
      </c>
      <c r="D630">
        <v>24.24</v>
      </c>
      <c r="E630">
        <v>0.45</v>
      </c>
      <c r="F630">
        <v>2.68</v>
      </c>
      <c r="G630">
        <v>629</v>
      </c>
      <c r="H630">
        <v>230</v>
      </c>
      <c r="I630">
        <v>340</v>
      </c>
      <c r="J630">
        <v>98</v>
      </c>
    </row>
    <row r="631" spans="1:10">
      <c r="A631">
        <v>5225</v>
      </c>
      <c r="B631" t="s">
        <v>5651</v>
      </c>
      <c r="C631">
        <v>8.66</v>
      </c>
      <c r="D631">
        <v>53.3</v>
      </c>
      <c r="E631">
        <v>0.08</v>
      </c>
      <c r="F631">
        <v>0.02</v>
      </c>
      <c r="G631">
        <v>630</v>
      </c>
      <c r="H631">
        <v>63</v>
      </c>
      <c r="I631">
        <v>790</v>
      </c>
      <c r="J631">
        <v>476</v>
      </c>
    </row>
    <row r="632" spans="1:10">
      <c r="A632">
        <v>1565</v>
      </c>
      <c r="B632" t="s">
        <v>4890</v>
      </c>
      <c r="C632">
        <v>8.5399999999999991</v>
      </c>
      <c r="D632">
        <v>26.16</v>
      </c>
      <c r="E632">
        <v>1.38</v>
      </c>
      <c r="F632">
        <v>0.65</v>
      </c>
      <c r="G632">
        <v>631</v>
      </c>
      <c r="H632">
        <v>207</v>
      </c>
      <c r="I632">
        <v>121</v>
      </c>
      <c r="J632">
        <v>234</v>
      </c>
    </row>
    <row r="633" spans="1:10">
      <c r="A633">
        <v>3303</v>
      </c>
      <c r="B633" t="s">
        <v>5370</v>
      </c>
      <c r="C633">
        <v>8.5399999999999991</v>
      </c>
      <c r="D633">
        <v>4.55</v>
      </c>
      <c r="E633">
        <v>7.0000000000000007E-2</v>
      </c>
      <c r="F633">
        <v>0</v>
      </c>
      <c r="G633">
        <v>631</v>
      </c>
      <c r="H633">
        <v>809</v>
      </c>
      <c r="I633">
        <v>825</v>
      </c>
      <c r="J633" t="s">
        <v>6279</v>
      </c>
    </row>
    <row r="634" spans="1:10">
      <c r="A634">
        <v>2402</v>
      </c>
      <c r="B634" t="s">
        <v>5089</v>
      </c>
      <c r="C634">
        <v>8.5299999999999994</v>
      </c>
      <c r="D634">
        <v>10.199999999999999</v>
      </c>
      <c r="E634">
        <v>0.67</v>
      </c>
      <c r="F634">
        <v>0.01</v>
      </c>
      <c r="G634">
        <v>633</v>
      </c>
      <c r="H634">
        <v>502</v>
      </c>
      <c r="I634">
        <v>261</v>
      </c>
      <c r="J634">
        <v>495</v>
      </c>
    </row>
    <row r="635" spans="1:10">
      <c r="A635">
        <v>1539</v>
      </c>
      <c r="B635" t="s">
        <v>4885</v>
      </c>
      <c r="C635">
        <v>8.5</v>
      </c>
      <c r="D635">
        <v>0.48</v>
      </c>
      <c r="E635">
        <v>0.03</v>
      </c>
      <c r="F635">
        <v>0</v>
      </c>
      <c r="G635">
        <v>634</v>
      </c>
      <c r="H635">
        <v>1337</v>
      </c>
      <c r="I635">
        <v>990</v>
      </c>
      <c r="J635" t="s">
        <v>6279</v>
      </c>
    </row>
    <row r="636" spans="1:10">
      <c r="A636">
        <v>3587</v>
      </c>
      <c r="B636" t="s">
        <v>5456</v>
      </c>
      <c r="C636">
        <v>8.5</v>
      </c>
      <c r="D636">
        <v>2.2799999999999998</v>
      </c>
      <c r="E636">
        <v>0.17</v>
      </c>
      <c r="F636">
        <v>1.2</v>
      </c>
      <c r="G636">
        <v>634</v>
      </c>
      <c r="H636">
        <v>1009</v>
      </c>
      <c r="I636">
        <v>596</v>
      </c>
      <c r="J636">
        <v>175</v>
      </c>
    </row>
    <row r="637" spans="1:10">
      <c r="A637">
        <v>8932</v>
      </c>
      <c r="B637" t="s">
        <v>6301</v>
      </c>
      <c r="C637">
        <v>8.5</v>
      </c>
      <c r="D637">
        <v>14.08</v>
      </c>
      <c r="E637">
        <v>0</v>
      </c>
      <c r="F637">
        <v>0</v>
      </c>
      <c r="G637">
        <v>634</v>
      </c>
      <c r="H637">
        <v>384</v>
      </c>
      <c r="I637" t="s">
        <v>6279</v>
      </c>
      <c r="J637" t="s">
        <v>6279</v>
      </c>
    </row>
    <row r="638" spans="1:10">
      <c r="A638">
        <v>2101</v>
      </c>
      <c r="B638" t="s">
        <v>5001</v>
      </c>
      <c r="C638">
        <v>8.49</v>
      </c>
      <c r="D638">
        <v>5.53</v>
      </c>
      <c r="E638">
        <v>7.0000000000000007E-2</v>
      </c>
      <c r="F638">
        <v>0</v>
      </c>
      <c r="G638">
        <v>637</v>
      </c>
      <c r="H638">
        <v>743</v>
      </c>
      <c r="I638">
        <v>825</v>
      </c>
      <c r="J638" t="s">
        <v>6279</v>
      </c>
    </row>
    <row r="639" spans="1:10">
      <c r="A639">
        <v>3037</v>
      </c>
      <c r="B639" t="s">
        <v>5292</v>
      </c>
      <c r="C639">
        <v>8.49</v>
      </c>
      <c r="D639">
        <v>40.4</v>
      </c>
      <c r="E639">
        <v>1.0900000000000001</v>
      </c>
      <c r="F639">
        <v>8.15</v>
      </c>
      <c r="G639">
        <v>637</v>
      </c>
      <c r="H639">
        <v>118</v>
      </c>
      <c r="I639">
        <v>161</v>
      </c>
      <c r="J639">
        <v>23</v>
      </c>
    </row>
    <row r="640" spans="1:10">
      <c r="A640">
        <v>8927</v>
      </c>
      <c r="B640" t="s">
        <v>6057</v>
      </c>
      <c r="C640">
        <v>8.48</v>
      </c>
      <c r="D640">
        <v>0.15</v>
      </c>
      <c r="E640">
        <v>0.08</v>
      </c>
      <c r="F640">
        <v>0</v>
      </c>
      <c r="G640">
        <v>639</v>
      </c>
      <c r="H640">
        <v>1424</v>
      </c>
      <c r="I640">
        <v>790</v>
      </c>
      <c r="J640" t="s">
        <v>6279</v>
      </c>
    </row>
    <row r="641" spans="1:10">
      <c r="A641">
        <v>2363</v>
      </c>
      <c r="B641" t="s">
        <v>5065</v>
      </c>
      <c r="C641">
        <v>8.4700000000000006</v>
      </c>
      <c r="D641">
        <v>4.83</v>
      </c>
      <c r="E641">
        <v>2.88</v>
      </c>
      <c r="F641">
        <v>0</v>
      </c>
      <c r="G641">
        <v>640</v>
      </c>
      <c r="H641">
        <v>791</v>
      </c>
      <c r="I641">
        <v>50</v>
      </c>
      <c r="J641" t="s">
        <v>6279</v>
      </c>
    </row>
    <row r="642" spans="1:10">
      <c r="A642">
        <v>2365</v>
      </c>
      <c r="B642" t="s">
        <v>5066</v>
      </c>
      <c r="C642">
        <v>8.4600000000000009</v>
      </c>
      <c r="D642">
        <v>7.9</v>
      </c>
      <c r="E642">
        <v>0.04</v>
      </c>
      <c r="F642">
        <v>0</v>
      </c>
      <c r="G642">
        <v>641</v>
      </c>
      <c r="H642">
        <v>588</v>
      </c>
      <c r="I642">
        <v>946</v>
      </c>
      <c r="J642" t="s">
        <v>6279</v>
      </c>
    </row>
    <row r="643" spans="1:10">
      <c r="A643">
        <v>1718</v>
      </c>
      <c r="B643" t="s">
        <v>4931</v>
      </c>
      <c r="C643">
        <v>8.43</v>
      </c>
      <c r="D643">
        <v>7.82</v>
      </c>
      <c r="E643">
        <v>0.09</v>
      </c>
      <c r="F643">
        <v>0</v>
      </c>
      <c r="G643">
        <v>642</v>
      </c>
      <c r="H643">
        <v>590</v>
      </c>
      <c r="I643">
        <v>762</v>
      </c>
      <c r="J643" t="s">
        <v>6279</v>
      </c>
    </row>
    <row r="644" spans="1:10">
      <c r="A644">
        <v>1423</v>
      </c>
      <c r="B644" t="s">
        <v>4832</v>
      </c>
      <c r="C644">
        <v>8.41</v>
      </c>
      <c r="D644">
        <v>1.1299999999999999</v>
      </c>
      <c r="E644">
        <v>0.04</v>
      </c>
      <c r="F644">
        <v>0</v>
      </c>
      <c r="G644">
        <v>643</v>
      </c>
      <c r="H644">
        <v>1202</v>
      </c>
      <c r="I644">
        <v>946</v>
      </c>
      <c r="J644" t="s">
        <v>6279</v>
      </c>
    </row>
    <row r="645" spans="1:10">
      <c r="A645">
        <v>2327</v>
      </c>
      <c r="B645" t="s">
        <v>5040</v>
      </c>
      <c r="C645">
        <v>8.41</v>
      </c>
      <c r="D645">
        <v>41.7</v>
      </c>
      <c r="E645">
        <v>4.8099999999999996</v>
      </c>
      <c r="F645">
        <v>2.11</v>
      </c>
      <c r="G645">
        <v>643</v>
      </c>
      <c r="H645">
        <v>111</v>
      </c>
      <c r="I645">
        <v>27</v>
      </c>
      <c r="J645">
        <v>119</v>
      </c>
    </row>
    <row r="646" spans="1:10">
      <c r="A646">
        <v>3081</v>
      </c>
      <c r="B646" t="s">
        <v>5312</v>
      </c>
      <c r="C646">
        <v>8.41</v>
      </c>
      <c r="D646">
        <v>50.55</v>
      </c>
      <c r="E646">
        <v>0.91</v>
      </c>
      <c r="F646">
        <v>0.14000000000000001</v>
      </c>
      <c r="G646">
        <v>643</v>
      </c>
      <c r="H646">
        <v>77</v>
      </c>
      <c r="I646">
        <v>194</v>
      </c>
      <c r="J646">
        <v>348</v>
      </c>
    </row>
    <row r="647" spans="1:10">
      <c r="A647">
        <v>8222</v>
      </c>
      <c r="B647" t="s">
        <v>6001</v>
      </c>
      <c r="C647">
        <v>8.41</v>
      </c>
      <c r="D647">
        <v>0.72</v>
      </c>
      <c r="E647">
        <v>0.03</v>
      </c>
      <c r="F647">
        <v>0</v>
      </c>
      <c r="G647">
        <v>643</v>
      </c>
      <c r="H647">
        <v>1276</v>
      </c>
      <c r="I647">
        <v>990</v>
      </c>
      <c r="J647" t="s">
        <v>6279</v>
      </c>
    </row>
    <row r="648" spans="1:10">
      <c r="A648">
        <v>2460</v>
      </c>
      <c r="B648" t="s">
        <v>5124</v>
      </c>
      <c r="C648">
        <v>8.36</v>
      </c>
      <c r="D648">
        <v>0.62</v>
      </c>
      <c r="E648">
        <v>0.1</v>
      </c>
      <c r="F648">
        <v>0</v>
      </c>
      <c r="G648">
        <v>647</v>
      </c>
      <c r="H648">
        <v>1304</v>
      </c>
      <c r="I648">
        <v>741</v>
      </c>
      <c r="J648" t="s">
        <v>6279</v>
      </c>
    </row>
    <row r="649" spans="1:10">
      <c r="A649">
        <v>6732</v>
      </c>
      <c r="B649" t="s">
        <v>5941</v>
      </c>
      <c r="C649">
        <v>8.31</v>
      </c>
      <c r="D649">
        <v>6.89</v>
      </c>
      <c r="E649">
        <v>0.01</v>
      </c>
      <c r="F649">
        <v>2.19</v>
      </c>
      <c r="G649">
        <v>648</v>
      </c>
      <c r="H649">
        <v>652</v>
      </c>
      <c r="I649">
        <v>1123</v>
      </c>
      <c r="J649">
        <v>116</v>
      </c>
    </row>
    <row r="650" spans="1:10">
      <c r="A650">
        <v>4513</v>
      </c>
      <c r="B650" t="s">
        <v>5556</v>
      </c>
      <c r="C650">
        <v>8.3000000000000007</v>
      </c>
      <c r="D650">
        <v>8.44</v>
      </c>
      <c r="E650">
        <v>0.15</v>
      </c>
      <c r="F650">
        <v>0</v>
      </c>
      <c r="G650">
        <v>649</v>
      </c>
      <c r="H650">
        <v>566</v>
      </c>
      <c r="I650">
        <v>635</v>
      </c>
      <c r="J650" t="s">
        <v>6279</v>
      </c>
    </row>
    <row r="651" spans="1:10">
      <c r="A651">
        <v>2312</v>
      </c>
      <c r="B651" t="s">
        <v>5034</v>
      </c>
      <c r="C651">
        <v>8.2799999999999994</v>
      </c>
      <c r="D651">
        <v>10.71</v>
      </c>
      <c r="E651">
        <v>0.06</v>
      </c>
      <c r="F651">
        <v>0.02</v>
      </c>
      <c r="G651">
        <v>650</v>
      </c>
      <c r="H651">
        <v>482</v>
      </c>
      <c r="I651">
        <v>869</v>
      </c>
      <c r="J651">
        <v>476</v>
      </c>
    </row>
    <row r="652" spans="1:10">
      <c r="A652">
        <v>3228</v>
      </c>
      <c r="B652" t="s">
        <v>6411</v>
      </c>
      <c r="C652">
        <v>8.27</v>
      </c>
      <c r="D652">
        <v>7.2</v>
      </c>
      <c r="E652">
        <v>0.36</v>
      </c>
      <c r="F652">
        <v>3.42</v>
      </c>
      <c r="G652">
        <v>651</v>
      </c>
      <c r="H652">
        <v>623</v>
      </c>
      <c r="I652">
        <v>403</v>
      </c>
      <c r="J652">
        <v>82</v>
      </c>
    </row>
    <row r="653" spans="1:10">
      <c r="A653">
        <v>1225</v>
      </c>
      <c r="B653" t="s">
        <v>4787</v>
      </c>
      <c r="C653">
        <v>8.26</v>
      </c>
      <c r="D653">
        <v>0.67</v>
      </c>
      <c r="E653">
        <v>0.01</v>
      </c>
      <c r="F653">
        <v>0</v>
      </c>
      <c r="G653">
        <v>652</v>
      </c>
      <c r="H653">
        <v>1290</v>
      </c>
      <c r="I653">
        <v>1123</v>
      </c>
      <c r="J653" t="s">
        <v>6279</v>
      </c>
    </row>
    <row r="654" spans="1:10">
      <c r="A654">
        <v>6271</v>
      </c>
      <c r="B654" t="s">
        <v>5843</v>
      </c>
      <c r="C654">
        <v>8.26</v>
      </c>
      <c r="D654">
        <v>40.69</v>
      </c>
      <c r="E654">
        <v>1.26</v>
      </c>
      <c r="F654">
        <v>11.43</v>
      </c>
      <c r="G654">
        <v>652</v>
      </c>
      <c r="H654">
        <v>116</v>
      </c>
      <c r="I654">
        <v>134</v>
      </c>
      <c r="J654">
        <v>12</v>
      </c>
    </row>
    <row r="655" spans="1:10">
      <c r="A655">
        <v>1417</v>
      </c>
      <c r="B655" t="s">
        <v>4830</v>
      </c>
      <c r="C655">
        <v>8.24</v>
      </c>
      <c r="D655">
        <v>2.79</v>
      </c>
      <c r="E655">
        <v>0.05</v>
      </c>
      <c r="F655">
        <v>0</v>
      </c>
      <c r="G655">
        <v>654</v>
      </c>
      <c r="H655">
        <v>942</v>
      </c>
      <c r="I655">
        <v>908</v>
      </c>
      <c r="J655" t="s">
        <v>6279</v>
      </c>
    </row>
    <row r="656" spans="1:10">
      <c r="A656">
        <v>2908</v>
      </c>
      <c r="B656" t="s">
        <v>5253</v>
      </c>
      <c r="C656">
        <v>8.19</v>
      </c>
      <c r="D656">
        <v>3.89</v>
      </c>
      <c r="E656">
        <v>0</v>
      </c>
      <c r="F656">
        <v>0</v>
      </c>
      <c r="G656">
        <v>655</v>
      </c>
      <c r="H656">
        <v>852</v>
      </c>
      <c r="I656" t="s">
        <v>6279</v>
      </c>
      <c r="J656" t="s">
        <v>6279</v>
      </c>
    </row>
    <row r="657" spans="1:10">
      <c r="A657">
        <v>1528</v>
      </c>
      <c r="B657" t="s">
        <v>4876</v>
      </c>
      <c r="C657">
        <v>8.15</v>
      </c>
      <c r="D657">
        <v>1.44</v>
      </c>
      <c r="E657">
        <v>0.02</v>
      </c>
      <c r="F657">
        <v>0</v>
      </c>
      <c r="G657">
        <v>656</v>
      </c>
      <c r="H657">
        <v>1140</v>
      </c>
      <c r="I657">
        <v>1051</v>
      </c>
      <c r="J657" t="s">
        <v>6279</v>
      </c>
    </row>
    <row r="658" spans="1:10">
      <c r="A658">
        <v>2534</v>
      </c>
      <c r="B658" t="s">
        <v>5167</v>
      </c>
      <c r="C658">
        <v>8.1199999999999992</v>
      </c>
      <c r="D658">
        <v>8.4499999999999993</v>
      </c>
      <c r="E658">
        <v>0.36</v>
      </c>
      <c r="F658">
        <v>0</v>
      </c>
      <c r="G658">
        <v>657</v>
      </c>
      <c r="H658">
        <v>564</v>
      </c>
      <c r="I658">
        <v>403</v>
      </c>
      <c r="J658" t="s">
        <v>6279</v>
      </c>
    </row>
    <row r="659" spans="1:10">
      <c r="A659">
        <v>2913</v>
      </c>
      <c r="B659" t="s">
        <v>5257</v>
      </c>
      <c r="C659">
        <v>8.1</v>
      </c>
      <c r="D659">
        <v>7.32</v>
      </c>
      <c r="E659">
        <v>0.06</v>
      </c>
      <c r="F659">
        <v>0.04</v>
      </c>
      <c r="G659">
        <v>658</v>
      </c>
      <c r="H659">
        <v>611</v>
      </c>
      <c r="I659">
        <v>869</v>
      </c>
      <c r="J659">
        <v>439</v>
      </c>
    </row>
    <row r="660" spans="1:10">
      <c r="A660">
        <v>3581</v>
      </c>
      <c r="B660" t="s">
        <v>5454</v>
      </c>
      <c r="C660">
        <v>8.06</v>
      </c>
      <c r="D660">
        <v>7.71</v>
      </c>
      <c r="E660">
        <v>0</v>
      </c>
      <c r="F660">
        <v>0</v>
      </c>
      <c r="G660">
        <v>659</v>
      </c>
      <c r="H660">
        <v>594</v>
      </c>
      <c r="I660" t="s">
        <v>6279</v>
      </c>
      <c r="J660" t="s">
        <v>6279</v>
      </c>
    </row>
    <row r="661" spans="1:10">
      <c r="A661">
        <v>6139</v>
      </c>
      <c r="B661" t="s">
        <v>5761</v>
      </c>
      <c r="C661">
        <v>8.0299999999999994</v>
      </c>
      <c r="D661">
        <v>16.61</v>
      </c>
      <c r="E661">
        <v>0.15</v>
      </c>
      <c r="F661">
        <v>0.08</v>
      </c>
      <c r="G661">
        <v>660</v>
      </c>
      <c r="H661">
        <v>337</v>
      </c>
      <c r="I661">
        <v>635</v>
      </c>
      <c r="J661">
        <v>395</v>
      </c>
    </row>
    <row r="662" spans="1:10">
      <c r="A662">
        <v>6186</v>
      </c>
      <c r="B662" t="s">
        <v>5793</v>
      </c>
      <c r="C662">
        <v>8.02</v>
      </c>
      <c r="D662">
        <v>0.59</v>
      </c>
      <c r="E662">
        <v>0</v>
      </c>
      <c r="F662">
        <v>0</v>
      </c>
      <c r="G662">
        <v>661</v>
      </c>
      <c r="H662">
        <v>1309</v>
      </c>
      <c r="I662" t="s">
        <v>6279</v>
      </c>
      <c r="J662" t="s">
        <v>6279</v>
      </c>
    </row>
    <row r="663" spans="1:10">
      <c r="A663">
        <v>1236</v>
      </c>
      <c r="B663" t="s">
        <v>4795</v>
      </c>
      <c r="C663">
        <v>7.98</v>
      </c>
      <c r="D663">
        <v>0.31</v>
      </c>
      <c r="E663">
        <v>0.34</v>
      </c>
      <c r="F663">
        <v>0</v>
      </c>
      <c r="G663">
        <v>662</v>
      </c>
      <c r="H663">
        <v>1387</v>
      </c>
      <c r="I663">
        <v>426</v>
      </c>
      <c r="J663" t="s">
        <v>6279</v>
      </c>
    </row>
    <row r="664" spans="1:10">
      <c r="A664">
        <v>6141</v>
      </c>
      <c r="B664" t="s">
        <v>5763</v>
      </c>
      <c r="C664">
        <v>7.97</v>
      </c>
      <c r="D664">
        <v>3.49</v>
      </c>
      <c r="E664">
        <v>0.2</v>
      </c>
      <c r="F664">
        <v>0</v>
      </c>
      <c r="G664">
        <v>663</v>
      </c>
      <c r="H664">
        <v>878</v>
      </c>
      <c r="I664">
        <v>565</v>
      </c>
      <c r="J664" t="s">
        <v>6279</v>
      </c>
    </row>
    <row r="665" spans="1:10">
      <c r="A665">
        <v>2419</v>
      </c>
      <c r="B665" t="s">
        <v>5099</v>
      </c>
      <c r="C665">
        <v>7.95</v>
      </c>
      <c r="D665">
        <v>1.18</v>
      </c>
      <c r="E665">
        <v>0.16</v>
      </c>
      <c r="F665">
        <v>0</v>
      </c>
      <c r="G665">
        <v>664</v>
      </c>
      <c r="H665">
        <v>1192</v>
      </c>
      <c r="I665">
        <v>615</v>
      </c>
      <c r="J665" t="s">
        <v>6279</v>
      </c>
    </row>
    <row r="666" spans="1:10">
      <c r="A666">
        <v>1580</v>
      </c>
      <c r="B666" t="s">
        <v>4894</v>
      </c>
      <c r="C666">
        <v>7.93</v>
      </c>
      <c r="D666">
        <v>7.09</v>
      </c>
      <c r="E666">
        <v>0.05</v>
      </c>
      <c r="F666">
        <v>0.18</v>
      </c>
      <c r="G666">
        <v>665</v>
      </c>
      <c r="H666">
        <v>634</v>
      </c>
      <c r="I666">
        <v>908</v>
      </c>
      <c r="J666">
        <v>332</v>
      </c>
    </row>
    <row r="667" spans="1:10">
      <c r="A667">
        <v>4543</v>
      </c>
      <c r="B667" t="s">
        <v>5565</v>
      </c>
      <c r="C667">
        <v>7.92</v>
      </c>
      <c r="D667">
        <v>6.44</v>
      </c>
      <c r="E667">
        <v>0</v>
      </c>
      <c r="F667">
        <v>0</v>
      </c>
      <c r="G667">
        <v>666</v>
      </c>
      <c r="H667">
        <v>683</v>
      </c>
      <c r="I667" t="s">
        <v>6279</v>
      </c>
      <c r="J667" t="s">
        <v>6279</v>
      </c>
    </row>
    <row r="668" spans="1:10">
      <c r="A668">
        <v>3048</v>
      </c>
      <c r="B668" t="s">
        <v>5300</v>
      </c>
      <c r="C668">
        <v>7.87</v>
      </c>
      <c r="D668">
        <v>5.26</v>
      </c>
      <c r="E668">
        <v>0.02</v>
      </c>
      <c r="F668">
        <v>0</v>
      </c>
      <c r="G668">
        <v>667</v>
      </c>
      <c r="H668">
        <v>760</v>
      </c>
      <c r="I668">
        <v>1051</v>
      </c>
      <c r="J668" t="s">
        <v>6279</v>
      </c>
    </row>
    <row r="669" spans="1:10">
      <c r="A669">
        <v>4130</v>
      </c>
      <c r="B669" t="s">
        <v>5521</v>
      </c>
      <c r="C669">
        <v>7.87</v>
      </c>
      <c r="D669">
        <v>0.61</v>
      </c>
      <c r="E669">
        <v>0.33</v>
      </c>
      <c r="F669">
        <v>0</v>
      </c>
      <c r="G669">
        <v>667</v>
      </c>
      <c r="H669">
        <v>1305</v>
      </c>
      <c r="I669">
        <v>433</v>
      </c>
      <c r="J669" t="s">
        <v>6279</v>
      </c>
    </row>
    <row r="670" spans="1:10">
      <c r="A670">
        <v>3293</v>
      </c>
      <c r="B670" t="s">
        <v>5366</v>
      </c>
      <c r="C670">
        <v>7.85</v>
      </c>
      <c r="D670">
        <v>29.23</v>
      </c>
      <c r="E670">
        <v>2.75</v>
      </c>
      <c r="F670">
        <v>0.71</v>
      </c>
      <c r="G670">
        <v>669</v>
      </c>
      <c r="H670">
        <v>185</v>
      </c>
      <c r="I670">
        <v>55</v>
      </c>
      <c r="J670">
        <v>224</v>
      </c>
    </row>
    <row r="671" spans="1:10">
      <c r="A671">
        <v>3030</v>
      </c>
      <c r="B671" t="s">
        <v>5285</v>
      </c>
      <c r="C671">
        <v>7.8</v>
      </c>
      <c r="D671">
        <v>18.440000000000001</v>
      </c>
      <c r="E671">
        <v>0.25</v>
      </c>
      <c r="F671">
        <v>0.02</v>
      </c>
      <c r="G671">
        <v>670</v>
      </c>
      <c r="H671">
        <v>300</v>
      </c>
      <c r="I671">
        <v>508</v>
      </c>
      <c r="J671">
        <v>476</v>
      </c>
    </row>
    <row r="672" spans="1:10">
      <c r="A672">
        <v>6216</v>
      </c>
      <c r="B672" t="s">
        <v>5813</v>
      </c>
      <c r="C672">
        <v>7.78</v>
      </c>
      <c r="D672">
        <v>1.47</v>
      </c>
      <c r="E672">
        <v>0.32</v>
      </c>
      <c r="F672">
        <v>0</v>
      </c>
      <c r="G672">
        <v>671</v>
      </c>
      <c r="H672">
        <v>1130</v>
      </c>
      <c r="I672">
        <v>442</v>
      </c>
      <c r="J672" t="s">
        <v>6279</v>
      </c>
    </row>
    <row r="673" spans="1:10">
      <c r="A673">
        <v>2637</v>
      </c>
      <c r="B673" t="s">
        <v>5199</v>
      </c>
      <c r="C673">
        <v>7.75</v>
      </c>
      <c r="D673">
        <v>21.05</v>
      </c>
      <c r="E673">
        <v>0.86</v>
      </c>
      <c r="F673">
        <v>3.67</v>
      </c>
      <c r="G673">
        <v>672</v>
      </c>
      <c r="H673">
        <v>268</v>
      </c>
      <c r="I673">
        <v>200</v>
      </c>
      <c r="J673">
        <v>76</v>
      </c>
    </row>
    <row r="674" spans="1:10">
      <c r="A674">
        <v>2515</v>
      </c>
      <c r="B674" t="s">
        <v>5161</v>
      </c>
      <c r="C674">
        <v>7.67</v>
      </c>
      <c r="D674">
        <v>15.21</v>
      </c>
      <c r="E674">
        <v>0.21</v>
      </c>
      <c r="F674">
        <v>0.13</v>
      </c>
      <c r="G674">
        <v>673</v>
      </c>
      <c r="H674">
        <v>352</v>
      </c>
      <c r="I674">
        <v>550</v>
      </c>
      <c r="J674">
        <v>354</v>
      </c>
    </row>
    <row r="675" spans="1:10">
      <c r="A675">
        <v>3257</v>
      </c>
      <c r="B675" t="s">
        <v>5355</v>
      </c>
      <c r="C675">
        <v>7.64</v>
      </c>
      <c r="D675">
        <v>6.6</v>
      </c>
      <c r="E675">
        <v>1.1599999999999999</v>
      </c>
      <c r="F675">
        <v>0</v>
      </c>
      <c r="G675">
        <v>674</v>
      </c>
      <c r="H675">
        <v>673</v>
      </c>
      <c r="I675">
        <v>149</v>
      </c>
      <c r="J675" t="s">
        <v>6279</v>
      </c>
    </row>
    <row r="676" spans="1:10">
      <c r="A676">
        <v>8066</v>
      </c>
      <c r="B676" t="s">
        <v>6302</v>
      </c>
      <c r="C676">
        <v>7.64</v>
      </c>
      <c r="D676">
        <v>3.97</v>
      </c>
      <c r="E676">
        <v>0.22</v>
      </c>
      <c r="F676">
        <v>0</v>
      </c>
      <c r="G676">
        <v>674</v>
      </c>
      <c r="H676">
        <v>849</v>
      </c>
      <c r="I676">
        <v>537</v>
      </c>
      <c r="J676" t="s">
        <v>6279</v>
      </c>
    </row>
    <row r="677" spans="1:10">
      <c r="A677">
        <v>5864</v>
      </c>
      <c r="B677" t="s">
        <v>5725</v>
      </c>
      <c r="C677">
        <v>7.62</v>
      </c>
      <c r="D677">
        <v>0.32</v>
      </c>
      <c r="E677">
        <v>0</v>
      </c>
      <c r="F677">
        <v>0</v>
      </c>
      <c r="G677">
        <v>676</v>
      </c>
      <c r="H677">
        <v>1384</v>
      </c>
      <c r="I677" t="s">
        <v>6279</v>
      </c>
      <c r="J677" t="s">
        <v>6279</v>
      </c>
    </row>
    <row r="678" spans="1:10">
      <c r="A678">
        <v>6609</v>
      </c>
      <c r="B678" t="s">
        <v>5919</v>
      </c>
      <c r="C678">
        <v>7.62</v>
      </c>
      <c r="D678">
        <v>54.01</v>
      </c>
      <c r="E678">
        <v>0.41</v>
      </c>
      <c r="F678">
        <v>0</v>
      </c>
      <c r="G678">
        <v>676</v>
      </c>
      <c r="H678">
        <v>62</v>
      </c>
      <c r="I678">
        <v>365</v>
      </c>
      <c r="J678" t="s">
        <v>6279</v>
      </c>
    </row>
    <row r="679" spans="1:10">
      <c r="A679">
        <v>8464</v>
      </c>
      <c r="B679" t="s">
        <v>6040</v>
      </c>
      <c r="C679">
        <v>7.61</v>
      </c>
      <c r="D679">
        <v>45.56</v>
      </c>
      <c r="E679">
        <v>0.09</v>
      </c>
      <c r="F679">
        <v>0.33</v>
      </c>
      <c r="G679">
        <v>678</v>
      </c>
      <c r="H679">
        <v>88</v>
      </c>
      <c r="I679">
        <v>762</v>
      </c>
      <c r="J679">
        <v>290</v>
      </c>
    </row>
    <row r="680" spans="1:10">
      <c r="A680">
        <v>1517</v>
      </c>
      <c r="B680" t="s">
        <v>4868</v>
      </c>
      <c r="C680">
        <v>7.59</v>
      </c>
      <c r="D680">
        <v>2.15</v>
      </c>
      <c r="E680">
        <v>0.44</v>
      </c>
      <c r="F680">
        <v>0</v>
      </c>
      <c r="G680">
        <v>679</v>
      </c>
      <c r="H680">
        <v>1023</v>
      </c>
      <c r="I680">
        <v>348</v>
      </c>
      <c r="J680" t="s">
        <v>6279</v>
      </c>
    </row>
    <row r="681" spans="1:10">
      <c r="A681">
        <v>4989</v>
      </c>
      <c r="B681" t="s">
        <v>5636</v>
      </c>
      <c r="C681">
        <v>7.58</v>
      </c>
      <c r="D681">
        <v>1.19</v>
      </c>
      <c r="E681">
        <v>0.38</v>
      </c>
      <c r="F681">
        <v>0.12</v>
      </c>
      <c r="G681">
        <v>680</v>
      </c>
      <c r="H681">
        <v>1189</v>
      </c>
      <c r="I681">
        <v>392</v>
      </c>
      <c r="J681">
        <v>358</v>
      </c>
    </row>
    <row r="682" spans="1:10">
      <c r="A682">
        <v>2208</v>
      </c>
      <c r="B682" t="s">
        <v>5016</v>
      </c>
      <c r="C682">
        <v>7.57</v>
      </c>
      <c r="D682">
        <v>5.14</v>
      </c>
      <c r="E682">
        <v>0.01</v>
      </c>
      <c r="F682">
        <v>0.03</v>
      </c>
      <c r="G682">
        <v>681</v>
      </c>
      <c r="H682">
        <v>769</v>
      </c>
      <c r="I682">
        <v>1123</v>
      </c>
      <c r="J682">
        <v>459</v>
      </c>
    </row>
    <row r="683" spans="1:10">
      <c r="A683">
        <v>3188</v>
      </c>
      <c r="B683" t="s">
        <v>5335</v>
      </c>
      <c r="C683">
        <v>7.56</v>
      </c>
      <c r="D683">
        <v>0.23</v>
      </c>
      <c r="E683">
        <v>0.03</v>
      </c>
      <c r="F683">
        <v>0</v>
      </c>
      <c r="G683">
        <v>682</v>
      </c>
      <c r="H683">
        <v>1405</v>
      </c>
      <c r="I683">
        <v>990</v>
      </c>
      <c r="J683" t="s">
        <v>6279</v>
      </c>
    </row>
    <row r="684" spans="1:10">
      <c r="A684">
        <v>4420</v>
      </c>
      <c r="B684" t="s">
        <v>6210</v>
      </c>
      <c r="C684">
        <v>7.54</v>
      </c>
      <c r="D684">
        <v>0.36</v>
      </c>
      <c r="E684">
        <v>0</v>
      </c>
      <c r="F684">
        <v>0</v>
      </c>
      <c r="G684">
        <v>683</v>
      </c>
      <c r="H684">
        <v>1376</v>
      </c>
      <c r="I684" t="s">
        <v>6279</v>
      </c>
      <c r="J684" t="s">
        <v>6279</v>
      </c>
    </row>
    <row r="685" spans="1:10">
      <c r="A685">
        <v>6664</v>
      </c>
      <c r="B685" t="s">
        <v>5928</v>
      </c>
      <c r="C685">
        <v>7.53</v>
      </c>
      <c r="D685">
        <v>3.18</v>
      </c>
      <c r="E685">
        <v>0.35</v>
      </c>
      <c r="F685">
        <v>0</v>
      </c>
      <c r="G685">
        <v>684</v>
      </c>
      <c r="H685">
        <v>910</v>
      </c>
      <c r="I685">
        <v>414</v>
      </c>
      <c r="J685" t="s">
        <v>6279</v>
      </c>
    </row>
    <row r="686" spans="1:10">
      <c r="A686">
        <v>2376</v>
      </c>
      <c r="B686" t="s">
        <v>5074</v>
      </c>
      <c r="C686">
        <v>7.52</v>
      </c>
      <c r="D686">
        <v>20.21</v>
      </c>
      <c r="E686">
        <v>7.95</v>
      </c>
      <c r="F686">
        <v>5.47</v>
      </c>
      <c r="G686">
        <v>685</v>
      </c>
      <c r="H686">
        <v>277</v>
      </c>
      <c r="I686">
        <v>7</v>
      </c>
      <c r="J686">
        <v>49</v>
      </c>
    </row>
    <row r="687" spans="1:10">
      <c r="A687">
        <v>1240</v>
      </c>
      <c r="B687" t="s">
        <v>4796</v>
      </c>
      <c r="C687">
        <v>7.51</v>
      </c>
      <c r="D687">
        <v>0.41</v>
      </c>
      <c r="E687">
        <v>0.01</v>
      </c>
      <c r="F687">
        <v>0</v>
      </c>
      <c r="G687">
        <v>686</v>
      </c>
      <c r="H687">
        <v>1354</v>
      </c>
      <c r="I687">
        <v>1123</v>
      </c>
      <c r="J687" t="s">
        <v>6279</v>
      </c>
    </row>
    <row r="688" spans="1:10">
      <c r="A688">
        <v>2302</v>
      </c>
      <c r="B688" t="s">
        <v>5030</v>
      </c>
      <c r="C688">
        <v>7.51</v>
      </c>
      <c r="D688">
        <v>1.63</v>
      </c>
      <c r="E688">
        <v>0.02</v>
      </c>
      <c r="F688">
        <v>0</v>
      </c>
      <c r="G688">
        <v>686</v>
      </c>
      <c r="H688">
        <v>1106</v>
      </c>
      <c r="I688">
        <v>1051</v>
      </c>
      <c r="J688" t="s">
        <v>6279</v>
      </c>
    </row>
    <row r="689" spans="1:10">
      <c r="A689">
        <v>2409</v>
      </c>
      <c r="B689" t="s">
        <v>5093</v>
      </c>
      <c r="C689">
        <v>7.5</v>
      </c>
      <c r="D689">
        <v>23.12</v>
      </c>
      <c r="E689">
        <v>2.1800000000000002</v>
      </c>
      <c r="F689">
        <v>5.08</v>
      </c>
      <c r="G689">
        <v>688</v>
      </c>
      <c r="H689">
        <v>240</v>
      </c>
      <c r="I689">
        <v>73</v>
      </c>
      <c r="J689">
        <v>56</v>
      </c>
    </row>
    <row r="690" spans="1:10">
      <c r="A690">
        <v>2351</v>
      </c>
      <c r="B690" t="s">
        <v>5054</v>
      </c>
      <c r="C690">
        <v>7.48</v>
      </c>
      <c r="D690">
        <v>18.649999999999999</v>
      </c>
      <c r="E690">
        <v>0.13</v>
      </c>
      <c r="F690">
        <v>8.65</v>
      </c>
      <c r="G690">
        <v>689</v>
      </c>
      <c r="H690">
        <v>298</v>
      </c>
      <c r="I690">
        <v>671</v>
      </c>
      <c r="J690">
        <v>20</v>
      </c>
    </row>
    <row r="691" spans="1:10">
      <c r="A691">
        <v>2453</v>
      </c>
      <c r="B691" t="s">
        <v>5118</v>
      </c>
      <c r="C691">
        <v>7.48</v>
      </c>
      <c r="D691">
        <v>6.01</v>
      </c>
      <c r="E691">
        <v>0.62</v>
      </c>
      <c r="F691">
        <v>0.1</v>
      </c>
      <c r="G691">
        <v>689</v>
      </c>
      <c r="H691">
        <v>704</v>
      </c>
      <c r="I691">
        <v>276</v>
      </c>
      <c r="J691">
        <v>377</v>
      </c>
    </row>
    <row r="692" spans="1:10">
      <c r="A692">
        <v>6525</v>
      </c>
      <c r="B692" t="s">
        <v>5899</v>
      </c>
      <c r="C692">
        <v>7.47</v>
      </c>
      <c r="D692">
        <v>13.57</v>
      </c>
      <c r="E692">
        <v>0.02</v>
      </c>
      <c r="F692">
        <v>0.48</v>
      </c>
      <c r="G692">
        <v>691</v>
      </c>
      <c r="H692">
        <v>396</v>
      </c>
      <c r="I692">
        <v>1051</v>
      </c>
      <c r="J692">
        <v>256</v>
      </c>
    </row>
    <row r="693" spans="1:10">
      <c r="A693">
        <v>3033</v>
      </c>
      <c r="B693" t="s">
        <v>5288</v>
      </c>
      <c r="C693">
        <v>7.45</v>
      </c>
      <c r="D693">
        <v>8.0500000000000007</v>
      </c>
      <c r="E693">
        <v>0</v>
      </c>
      <c r="F693">
        <v>0.01</v>
      </c>
      <c r="G693">
        <v>692</v>
      </c>
      <c r="H693">
        <v>580</v>
      </c>
      <c r="I693" t="s">
        <v>6279</v>
      </c>
      <c r="J693">
        <v>495</v>
      </c>
    </row>
    <row r="694" spans="1:10">
      <c r="A694">
        <v>1447</v>
      </c>
      <c r="B694" t="s">
        <v>4843</v>
      </c>
      <c r="C694">
        <v>7.43</v>
      </c>
      <c r="D694">
        <v>6.17</v>
      </c>
      <c r="E694">
        <v>0.06</v>
      </c>
      <c r="F694">
        <v>0</v>
      </c>
      <c r="G694">
        <v>693</v>
      </c>
      <c r="H694">
        <v>700</v>
      </c>
      <c r="I694">
        <v>869</v>
      </c>
      <c r="J694" t="s">
        <v>6279</v>
      </c>
    </row>
    <row r="695" spans="1:10">
      <c r="A695">
        <v>6194</v>
      </c>
      <c r="B695" t="s">
        <v>6303</v>
      </c>
      <c r="C695">
        <v>7.41</v>
      </c>
      <c r="D695">
        <v>0.47</v>
      </c>
      <c r="E695">
        <v>0.03</v>
      </c>
      <c r="F695">
        <v>0.11</v>
      </c>
      <c r="G695">
        <v>694</v>
      </c>
      <c r="H695">
        <v>1341</v>
      </c>
      <c r="I695">
        <v>990</v>
      </c>
      <c r="J695">
        <v>369</v>
      </c>
    </row>
    <row r="696" spans="1:10">
      <c r="A696">
        <v>4190</v>
      </c>
      <c r="B696" t="s">
        <v>5540</v>
      </c>
      <c r="C696">
        <v>7.4</v>
      </c>
      <c r="D696">
        <v>63.63</v>
      </c>
      <c r="E696">
        <v>0.16</v>
      </c>
      <c r="F696">
        <v>0</v>
      </c>
      <c r="G696">
        <v>695</v>
      </c>
      <c r="H696">
        <v>40</v>
      </c>
      <c r="I696">
        <v>615</v>
      </c>
      <c r="J696" t="s">
        <v>6279</v>
      </c>
    </row>
    <row r="697" spans="1:10">
      <c r="A697">
        <v>5328</v>
      </c>
      <c r="B697" t="s">
        <v>5674</v>
      </c>
      <c r="C697">
        <v>7.37</v>
      </c>
      <c r="D697">
        <v>0.67</v>
      </c>
      <c r="E697">
        <v>0</v>
      </c>
      <c r="F697">
        <v>0</v>
      </c>
      <c r="G697">
        <v>696</v>
      </c>
      <c r="H697">
        <v>1290</v>
      </c>
      <c r="I697" t="s">
        <v>6279</v>
      </c>
      <c r="J697" t="s">
        <v>6279</v>
      </c>
    </row>
    <row r="698" spans="1:10">
      <c r="A698">
        <v>1456</v>
      </c>
      <c r="B698" t="s">
        <v>4849</v>
      </c>
      <c r="C698">
        <v>7.34</v>
      </c>
      <c r="D698">
        <v>0.28000000000000003</v>
      </c>
      <c r="E698">
        <v>13.17</v>
      </c>
      <c r="F698">
        <v>0</v>
      </c>
      <c r="G698">
        <v>697</v>
      </c>
      <c r="H698">
        <v>1397</v>
      </c>
      <c r="I698">
        <v>2</v>
      </c>
      <c r="J698" t="s">
        <v>6279</v>
      </c>
    </row>
    <row r="699" spans="1:10">
      <c r="A699">
        <v>8070</v>
      </c>
      <c r="B699" t="s">
        <v>5968</v>
      </c>
      <c r="C699">
        <v>7.31</v>
      </c>
      <c r="D699">
        <v>11.39</v>
      </c>
      <c r="E699">
        <v>0.04</v>
      </c>
      <c r="F699">
        <v>0</v>
      </c>
      <c r="G699">
        <v>698</v>
      </c>
      <c r="H699">
        <v>453</v>
      </c>
      <c r="I699">
        <v>946</v>
      </c>
      <c r="J699" t="s">
        <v>6279</v>
      </c>
    </row>
    <row r="700" spans="1:10">
      <c r="A700">
        <v>8163</v>
      </c>
      <c r="B700" t="s">
        <v>5993</v>
      </c>
      <c r="C700">
        <v>7.3</v>
      </c>
      <c r="D700">
        <v>12.31</v>
      </c>
      <c r="E700">
        <v>0.43</v>
      </c>
      <c r="F700">
        <v>7.0000000000000007E-2</v>
      </c>
      <c r="G700">
        <v>699</v>
      </c>
      <c r="H700">
        <v>423</v>
      </c>
      <c r="I700">
        <v>350</v>
      </c>
      <c r="J700">
        <v>403</v>
      </c>
    </row>
    <row r="701" spans="1:10">
      <c r="A701">
        <v>2316</v>
      </c>
      <c r="B701" t="s">
        <v>5036</v>
      </c>
      <c r="C701">
        <v>7.27</v>
      </c>
      <c r="D701">
        <v>26.82</v>
      </c>
      <c r="E701">
        <v>0.18</v>
      </c>
      <c r="F701">
        <v>0</v>
      </c>
      <c r="G701">
        <v>700</v>
      </c>
      <c r="H701">
        <v>204</v>
      </c>
      <c r="I701">
        <v>584</v>
      </c>
      <c r="J701" t="s">
        <v>6279</v>
      </c>
    </row>
    <row r="702" spans="1:10">
      <c r="A702">
        <v>1514</v>
      </c>
      <c r="B702" t="s">
        <v>4865</v>
      </c>
      <c r="C702">
        <v>7.26</v>
      </c>
      <c r="D702">
        <v>8.6199999999999992</v>
      </c>
      <c r="E702">
        <v>0.1</v>
      </c>
      <c r="F702">
        <v>0.11</v>
      </c>
      <c r="G702">
        <v>701</v>
      </c>
      <c r="H702">
        <v>561</v>
      </c>
      <c r="I702">
        <v>741</v>
      </c>
      <c r="J702">
        <v>369</v>
      </c>
    </row>
    <row r="703" spans="1:10">
      <c r="A703">
        <v>4994</v>
      </c>
      <c r="B703" t="s">
        <v>5637</v>
      </c>
      <c r="C703">
        <v>7.26</v>
      </c>
      <c r="D703">
        <v>1.07</v>
      </c>
      <c r="E703">
        <v>0.11</v>
      </c>
      <c r="F703">
        <v>0</v>
      </c>
      <c r="G703">
        <v>701</v>
      </c>
      <c r="H703">
        <v>1208</v>
      </c>
      <c r="I703">
        <v>717</v>
      </c>
      <c r="J703" t="s">
        <v>6279</v>
      </c>
    </row>
    <row r="704" spans="1:10">
      <c r="A704">
        <v>2303</v>
      </c>
      <c r="B704" t="s">
        <v>5031</v>
      </c>
      <c r="C704">
        <v>7.25</v>
      </c>
      <c r="D704">
        <v>31.5</v>
      </c>
      <c r="E704">
        <v>0.97</v>
      </c>
      <c r="F704">
        <v>2.83</v>
      </c>
      <c r="G704">
        <v>703</v>
      </c>
      <c r="H704">
        <v>166</v>
      </c>
      <c r="I704">
        <v>178</v>
      </c>
      <c r="J704">
        <v>92</v>
      </c>
    </row>
    <row r="705" spans="1:10">
      <c r="A705">
        <v>4175</v>
      </c>
      <c r="B705" t="s">
        <v>5539</v>
      </c>
      <c r="C705">
        <v>7.25</v>
      </c>
      <c r="D705">
        <v>0.38</v>
      </c>
      <c r="E705">
        <v>0.09</v>
      </c>
      <c r="F705">
        <v>0.28999999999999998</v>
      </c>
      <c r="G705">
        <v>703</v>
      </c>
      <c r="H705">
        <v>1369</v>
      </c>
      <c r="I705">
        <v>762</v>
      </c>
      <c r="J705">
        <v>297</v>
      </c>
    </row>
    <row r="706" spans="1:10">
      <c r="A706">
        <v>4207</v>
      </c>
      <c r="B706" t="s">
        <v>5541</v>
      </c>
      <c r="C706">
        <v>7.25</v>
      </c>
      <c r="D706">
        <v>0.67</v>
      </c>
      <c r="E706">
        <v>0</v>
      </c>
      <c r="F706">
        <v>0</v>
      </c>
      <c r="G706">
        <v>703</v>
      </c>
      <c r="H706">
        <v>1290</v>
      </c>
      <c r="I706" t="s">
        <v>6279</v>
      </c>
      <c r="J706" t="s">
        <v>6279</v>
      </c>
    </row>
    <row r="707" spans="1:10">
      <c r="A707">
        <v>1806</v>
      </c>
      <c r="B707" t="s">
        <v>4960</v>
      </c>
      <c r="C707">
        <v>7.23</v>
      </c>
      <c r="D707">
        <v>9.84</v>
      </c>
      <c r="E707">
        <v>0.02</v>
      </c>
      <c r="F707">
        <v>0.12</v>
      </c>
      <c r="G707">
        <v>706</v>
      </c>
      <c r="H707">
        <v>515</v>
      </c>
      <c r="I707">
        <v>1051</v>
      </c>
      <c r="J707">
        <v>358</v>
      </c>
    </row>
    <row r="708" spans="1:10">
      <c r="A708">
        <v>4564</v>
      </c>
      <c r="B708" t="s">
        <v>5574</v>
      </c>
      <c r="C708">
        <v>7.23</v>
      </c>
      <c r="D708">
        <v>2.0099999999999998</v>
      </c>
      <c r="E708">
        <v>0</v>
      </c>
      <c r="F708">
        <v>0</v>
      </c>
      <c r="G708">
        <v>706</v>
      </c>
      <c r="H708">
        <v>1053</v>
      </c>
      <c r="I708" t="s">
        <v>6279</v>
      </c>
      <c r="J708" t="s">
        <v>6279</v>
      </c>
    </row>
    <row r="709" spans="1:10">
      <c r="A709">
        <v>3354</v>
      </c>
      <c r="B709" t="s">
        <v>5383</v>
      </c>
      <c r="C709">
        <v>7.21</v>
      </c>
      <c r="D709">
        <v>1.27</v>
      </c>
      <c r="E709">
        <v>0</v>
      </c>
      <c r="F709">
        <v>0</v>
      </c>
      <c r="G709">
        <v>708</v>
      </c>
      <c r="H709">
        <v>1172</v>
      </c>
      <c r="I709" t="s">
        <v>6279</v>
      </c>
      <c r="J709" t="s">
        <v>6279</v>
      </c>
    </row>
    <row r="710" spans="1:10">
      <c r="A710">
        <v>2102</v>
      </c>
      <c r="B710" t="s">
        <v>5002</v>
      </c>
      <c r="C710">
        <v>7.2</v>
      </c>
      <c r="D710">
        <v>5.94</v>
      </c>
      <c r="E710">
        <v>0.25</v>
      </c>
      <c r="F710">
        <v>0</v>
      </c>
      <c r="G710">
        <v>709</v>
      </c>
      <c r="H710">
        <v>707</v>
      </c>
      <c r="I710">
        <v>508</v>
      </c>
      <c r="J710" t="s">
        <v>6279</v>
      </c>
    </row>
    <row r="711" spans="1:10">
      <c r="A711">
        <v>6457</v>
      </c>
      <c r="B711" t="s">
        <v>5876</v>
      </c>
      <c r="C711">
        <v>7.2</v>
      </c>
      <c r="D711">
        <v>4.6900000000000004</v>
      </c>
      <c r="E711">
        <v>0.09</v>
      </c>
      <c r="F711">
        <v>0</v>
      </c>
      <c r="G711">
        <v>709</v>
      </c>
      <c r="H711">
        <v>799</v>
      </c>
      <c r="I711">
        <v>762</v>
      </c>
      <c r="J711" t="s">
        <v>6279</v>
      </c>
    </row>
    <row r="712" spans="1:10">
      <c r="A712">
        <v>8478</v>
      </c>
      <c r="B712" t="s">
        <v>6045</v>
      </c>
      <c r="C712">
        <v>7.2</v>
      </c>
      <c r="D712">
        <v>42.93</v>
      </c>
      <c r="E712">
        <v>0.41</v>
      </c>
      <c r="F712">
        <v>1.06</v>
      </c>
      <c r="G712">
        <v>709</v>
      </c>
      <c r="H712">
        <v>101</v>
      </c>
      <c r="I712">
        <v>365</v>
      </c>
      <c r="J712">
        <v>191</v>
      </c>
    </row>
    <row r="713" spans="1:10">
      <c r="A713">
        <v>2029</v>
      </c>
      <c r="B713" t="s">
        <v>4988</v>
      </c>
      <c r="C713">
        <v>7.18</v>
      </c>
      <c r="D713">
        <v>68.94</v>
      </c>
      <c r="E713">
        <v>0.3</v>
      </c>
      <c r="F713">
        <v>0</v>
      </c>
      <c r="G713">
        <v>712</v>
      </c>
      <c r="H713">
        <v>25</v>
      </c>
      <c r="I713">
        <v>460</v>
      </c>
      <c r="J713" t="s">
        <v>6279</v>
      </c>
    </row>
    <row r="714" spans="1:10">
      <c r="A714">
        <v>3376</v>
      </c>
      <c r="B714" t="s">
        <v>5392</v>
      </c>
      <c r="C714">
        <v>7.18</v>
      </c>
      <c r="D714">
        <v>20.38</v>
      </c>
      <c r="E714">
        <v>0.14000000000000001</v>
      </c>
      <c r="F714">
        <v>0.34</v>
      </c>
      <c r="G714">
        <v>712</v>
      </c>
      <c r="H714">
        <v>274</v>
      </c>
      <c r="I714">
        <v>649</v>
      </c>
      <c r="J714">
        <v>287</v>
      </c>
    </row>
    <row r="715" spans="1:10">
      <c r="A715">
        <v>2428</v>
      </c>
      <c r="B715" t="s">
        <v>5106</v>
      </c>
      <c r="C715">
        <v>7.15</v>
      </c>
      <c r="D715">
        <v>14.32</v>
      </c>
      <c r="E715">
        <v>0.05</v>
      </c>
      <c r="F715">
        <v>0.08</v>
      </c>
      <c r="G715">
        <v>714</v>
      </c>
      <c r="H715">
        <v>378</v>
      </c>
      <c r="I715">
        <v>908</v>
      </c>
      <c r="J715">
        <v>395</v>
      </c>
    </row>
    <row r="716" spans="1:10">
      <c r="A716">
        <v>3322</v>
      </c>
      <c r="B716" t="s">
        <v>6180</v>
      </c>
      <c r="C716">
        <v>7.13</v>
      </c>
      <c r="D716">
        <v>0.54</v>
      </c>
      <c r="E716">
        <v>0</v>
      </c>
      <c r="F716">
        <v>0</v>
      </c>
      <c r="G716">
        <v>715</v>
      </c>
      <c r="H716">
        <v>1321</v>
      </c>
      <c r="I716" t="s">
        <v>6279</v>
      </c>
      <c r="J716" t="s">
        <v>6279</v>
      </c>
    </row>
    <row r="717" spans="1:10">
      <c r="A717">
        <v>5464</v>
      </c>
      <c r="B717" t="s">
        <v>5695</v>
      </c>
      <c r="C717">
        <v>7.13</v>
      </c>
      <c r="D717">
        <v>0.42</v>
      </c>
      <c r="E717">
        <v>0.12</v>
      </c>
      <c r="F717">
        <v>0</v>
      </c>
      <c r="G717">
        <v>715</v>
      </c>
      <c r="H717">
        <v>1352</v>
      </c>
      <c r="I717">
        <v>696</v>
      </c>
      <c r="J717" t="s">
        <v>6279</v>
      </c>
    </row>
    <row r="718" spans="1:10">
      <c r="A718">
        <v>4576</v>
      </c>
      <c r="B718" t="s">
        <v>5578</v>
      </c>
      <c r="C718">
        <v>7.12</v>
      </c>
      <c r="D718">
        <v>0.94</v>
      </c>
      <c r="E718">
        <v>0.04</v>
      </c>
      <c r="F718">
        <v>0.06</v>
      </c>
      <c r="G718">
        <v>717</v>
      </c>
      <c r="H718">
        <v>1235</v>
      </c>
      <c r="I718">
        <v>946</v>
      </c>
      <c r="J718">
        <v>413</v>
      </c>
    </row>
    <row r="719" spans="1:10">
      <c r="A719">
        <v>6227</v>
      </c>
      <c r="B719" t="s">
        <v>5821</v>
      </c>
      <c r="C719">
        <v>7.08</v>
      </c>
      <c r="D719">
        <v>3.15</v>
      </c>
      <c r="E719">
        <v>0</v>
      </c>
      <c r="F719">
        <v>0</v>
      </c>
      <c r="G719">
        <v>718</v>
      </c>
      <c r="H719">
        <v>912</v>
      </c>
      <c r="I719" t="s">
        <v>6279</v>
      </c>
      <c r="J719" t="s">
        <v>6279</v>
      </c>
    </row>
    <row r="720" spans="1:10">
      <c r="A720">
        <v>2344</v>
      </c>
      <c r="B720" t="s">
        <v>5050</v>
      </c>
      <c r="C720">
        <v>7.07</v>
      </c>
      <c r="D720">
        <v>25.68</v>
      </c>
      <c r="E720">
        <v>0.06</v>
      </c>
      <c r="F720">
        <v>0.49</v>
      </c>
      <c r="G720">
        <v>719</v>
      </c>
      <c r="H720">
        <v>214</v>
      </c>
      <c r="I720">
        <v>869</v>
      </c>
      <c r="J720">
        <v>254</v>
      </c>
    </row>
    <row r="721" spans="1:10">
      <c r="A721">
        <v>2221</v>
      </c>
      <c r="B721" t="s">
        <v>5018</v>
      </c>
      <c r="C721">
        <v>7.06</v>
      </c>
      <c r="D721">
        <v>4.9400000000000004</v>
      </c>
      <c r="E721">
        <v>0.05</v>
      </c>
      <c r="F721">
        <v>0</v>
      </c>
      <c r="G721">
        <v>720</v>
      </c>
      <c r="H721">
        <v>784</v>
      </c>
      <c r="I721">
        <v>908</v>
      </c>
      <c r="J721" t="s">
        <v>6279</v>
      </c>
    </row>
    <row r="722" spans="1:10">
      <c r="A722">
        <v>6234</v>
      </c>
      <c r="B722" t="s">
        <v>5826</v>
      </c>
      <c r="C722">
        <v>7.05</v>
      </c>
      <c r="D722">
        <v>10.95</v>
      </c>
      <c r="E722">
        <v>0</v>
      </c>
      <c r="F722">
        <v>0</v>
      </c>
      <c r="G722">
        <v>721</v>
      </c>
      <c r="H722">
        <v>471</v>
      </c>
      <c r="I722" t="s">
        <v>6279</v>
      </c>
      <c r="J722" t="s">
        <v>6279</v>
      </c>
    </row>
    <row r="723" spans="1:10">
      <c r="A723">
        <v>6180</v>
      </c>
      <c r="B723" t="s">
        <v>5788</v>
      </c>
      <c r="C723">
        <v>7.04</v>
      </c>
      <c r="D723">
        <v>25.8</v>
      </c>
      <c r="E723">
        <v>0.01</v>
      </c>
      <c r="F723">
        <v>0.06</v>
      </c>
      <c r="G723">
        <v>722</v>
      </c>
      <c r="H723">
        <v>212</v>
      </c>
      <c r="I723">
        <v>1123</v>
      </c>
      <c r="J723">
        <v>413</v>
      </c>
    </row>
    <row r="724" spans="1:10">
      <c r="A724">
        <v>3443</v>
      </c>
      <c r="B724" t="s">
        <v>5407</v>
      </c>
      <c r="C724">
        <v>7.01</v>
      </c>
      <c r="D724">
        <v>36.880000000000003</v>
      </c>
      <c r="E724">
        <v>3.4</v>
      </c>
      <c r="F724">
        <v>6.54</v>
      </c>
      <c r="G724">
        <v>723</v>
      </c>
      <c r="H724">
        <v>132</v>
      </c>
      <c r="I724">
        <v>43</v>
      </c>
      <c r="J724">
        <v>33</v>
      </c>
    </row>
    <row r="725" spans="1:10">
      <c r="A725">
        <v>3088</v>
      </c>
      <c r="B725" t="s">
        <v>5315</v>
      </c>
      <c r="C725">
        <v>7</v>
      </c>
      <c r="D725">
        <v>6</v>
      </c>
      <c r="E725">
        <v>0.05</v>
      </c>
      <c r="F725">
        <v>1.1599999999999999</v>
      </c>
      <c r="G725">
        <v>724</v>
      </c>
      <c r="H725">
        <v>706</v>
      </c>
      <c r="I725">
        <v>908</v>
      </c>
      <c r="J725">
        <v>179</v>
      </c>
    </row>
    <row r="726" spans="1:10">
      <c r="A726">
        <v>4735</v>
      </c>
      <c r="B726" t="s">
        <v>5590</v>
      </c>
      <c r="C726">
        <v>7</v>
      </c>
      <c r="D726">
        <v>0.81</v>
      </c>
      <c r="E726">
        <v>0.38</v>
      </c>
      <c r="F726">
        <v>0</v>
      </c>
      <c r="G726">
        <v>724</v>
      </c>
      <c r="H726">
        <v>1259</v>
      </c>
      <c r="I726">
        <v>392</v>
      </c>
      <c r="J726" t="s">
        <v>6279</v>
      </c>
    </row>
    <row r="727" spans="1:10">
      <c r="A727">
        <v>1525</v>
      </c>
      <c r="B727" t="s">
        <v>4873</v>
      </c>
      <c r="C727">
        <v>6.98</v>
      </c>
      <c r="D727">
        <v>0.31</v>
      </c>
      <c r="E727">
        <v>0</v>
      </c>
      <c r="F727">
        <v>0</v>
      </c>
      <c r="G727">
        <v>726</v>
      </c>
      <c r="H727">
        <v>1387</v>
      </c>
      <c r="I727" t="s">
        <v>6279</v>
      </c>
      <c r="J727" t="s">
        <v>6279</v>
      </c>
    </row>
    <row r="728" spans="1:10">
      <c r="A728">
        <v>1733</v>
      </c>
      <c r="B728" t="s">
        <v>4941</v>
      </c>
      <c r="C728">
        <v>6.98</v>
      </c>
      <c r="D728">
        <v>6.38</v>
      </c>
      <c r="E728">
        <v>1.82</v>
      </c>
      <c r="F728">
        <v>0</v>
      </c>
      <c r="G728">
        <v>726</v>
      </c>
      <c r="H728">
        <v>689</v>
      </c>
      <c r="I728">
        <v>84</v>
      </c>
      <c r="J728" t="s">
        <v>6279</v>
      </c>
    </row>
    <row r="729" spans="1:10">
      <c r="A729">
        <v>1909</v>
      </c>
      <c r="B729" t="s">
        <v>4971</v>
      </c>
      <c r="C729">
        <v>6.95</v>
      </c>
      <c r="D729">
        <v>10.45</v>
      </c>
      <c r="E729">
        <v>0.02</v>
      </c>
      <c r="F729">
        <v>0</v>
      </c>
      <c r="G729">
        <v>728</v>
      </c>
      <c r="H729">
        <v>488</v>
      </c>
      <c r="I729">
        <v>1051</v>
      </c>
      <c r="J729" t="s">
        <v>6279</v>
      </c>
    </row>
    <row r="730" spans="1:10">
      <c r="A730">
        <v>8938</v>
      </c>
      <c r="B730" t="s">
        <v>6062</v>
      </c>
      <c r="C730">
        <v>6.94</v>
      </c>
      <c r="D730">
        <v>12.74</v>
      </c>
      <c r="E730">
        <v>1.33</v>
      </c>
      <c r="F730">
        <v>0.35</v>
      </c>
      <c r="G730">
        <v>729</v>
      </c>
      <c r="H730">
        <v>414</v>
      </c>
      <c r="I730">
        <v>127</v>
      </c>
      <c r="J730">
        <v>283</v>
      </c>
    </row>
    <row r="731" spans="1:10">
      <c r="A731">
        <v>8213</v>
      </c>
      <c r="B731" t="s">
        <v>5999</v>
      </c>
      <c r="C731">
        <v>6.91</v>
      </c>
      <c r="D731">
        <v>23.29</v>
      </c>
      <c r="E731">
        <v>0.23</v>
      </c>
      <c r="F731">
        <v>0.14000000000000001</v>
      </c>
      <c r="G731">
        <v>730</v>
      </c>
      <c r="H731">
        <v>238</v>
      </c>
      <c r="I731">
        <v>525</v>
      </c>
      <c r="J731">
        <v>348</v>
      </c>
    </row>
    <row r="732" spans="1:10">
      <c r="A732">
        <v>3021</v>
      </c>
      <c r="B732" t="s">
        <v>5277</v>
      </c>
      <c r="C732">
        <v>6.89</v>
      </c>
      <c r="D732">
        <v>2.75</v>
      </c>
      <c r="E732">
        <v>0.03</v>
      </c>
      <c r="F732">
        <v>0</v>
      </c>
      <c r="G732">
        <v>731</v>
      </c>
      <c r="H732">
        <v>949</v>
      </c>
      <c r="I732">
        <v>990</v>
      </c>
      <c r="J732" t="s">
        <v>6279</v>
      </c>
    </row>
    <row r="733" spans="1:10">
      <c r="A733">
        <v>1220</v>
      </c>
      <c r="B733" t="s">
        <v>4786</v>
      </c>
      <c r="C733">
        <v>6.88</v>
      </c>
      <c r="D733">
        <v>8.02</v>
      </c>
      <c r="E733">
        <v>0.03</v>
      </c>
      <c r="F733">
        <v>0</v>
      </c>
      <c r="G733">
        <v>732</v>
      </c>
      <c r="H733">
        <v>584</v>
      </c>
      <c r="I733">
        <v>990</v>
      </c>
      <c r="J733" t="s">
        <v>6279</v>
      </c>
    </row>
    <row r="734" spans="1:10">
      <c r="A734">
        <v>4529</v>
      </c>
      <c r="B734" t="s">
        <v>5558</v>
      </c>
      <c r="C734">
        <v>6.88</v>
      </c>
      <c r="D734">
        <v>16.8</v>
      </c>
      <c r="E734">
        <v>0.01</v>
      </c>
      <c r="F734">
        <v>0</v>
      </c>
      <c r="G734">
        <v>732</v>
      </c>
      <c r="H734">
        <v>334</v>
      </c>
      <c r="I734">
        <v>1123</v>
      </c>
      <c r="J734" t="s">
        <v>6279</v>
      </c>
    </row>
    <row r="735" spans="1:10">
      <c r="A735">
        <v>8476</v>
      </c>
      <c r="B735" t="s">
        <v>6241</v>
      </c>
      <c r="C735">
        <v>6.87</v>
      </c>
      <c r="D735">
        <v>0.34</v>
      </c>
      <c r="E735">
        <v>0</v>
      </c>
      <c r="F735">
        <v>0</v>
      </c>
      <c r="G735">
        <v>734</v>
      </c>
      <c r="H735">
        <v>1379</v>
      </c>
      <c r="I735" t="s">
        <v>6279</v>
      </c>
      <c r="J735" t="s">
        <v>6279</v>
      </c>
    </row>
    <row r="736" spans="1:10">
      <c r="A736">
        <v>1536</v>
      </c>
      <c r="B736" t="s">
        <v>4883</v>
      </c>
      <c r="C736">
        <v>6.86</v>
      </c>
      <c r="D736">
        <v>11.55</v>
      </c>
      <c r="E736">
        <v>0.47</v>
      </c>
      <c r="F736">
        <v>0.01</v>
      </c>
      <c r="G736">
        <v>735</v>
      </c>
      <c r="H736">
        <v>447</v>
      </c>
      <c r="I736">
        <v>331</v>
      </c>
      <c r="J736">
        <v>495</v>
      </c>
    </row>
    <row r="737" spans="1:10">
      <c r="A737">
        <v>4566</v>
      </c>
      <c r="B737" t="s">
        <v>5575</v>
      </c>
      <c r="C737">
        <v>6.84</v>
      </c>
      <c r="D737">
        <v>0.45</v>
      </c>
      <c r="E737">
        <v>0.04</v>
      </c>
      <c r="F737">
        <v>0</v>
      </c>
      <c r="G737">
        <v>736</v>
      </c>
      <c r="H737">
        <v>1346</v>
      </c>
      <c r="I737">
        <v>946</v>
      </c>
      <c r="J737" t="s">
        <v>6279</v>
      </c>
    </row>
    <row r="738" spans="1:10">
      <c r="A738">
        <v>6133</v>
      </c>
      <c r="B738" t="s">
        <v>5757</v>
      </c>
      <c r="C738">
        <v>6.84</v>
      </c>
      <c r="D738">
        <v>1.82</v>
      </c>
      <c r="E738">
        <v>0.11</v>
      </c>
      <c r="F738">
        <v>0</v>
      </c>
      <c r="G738">
        <v>736</v>
      </c>
      <c r="H738">
        <v>1075</v>
      </c>
      <c r="I738">
        <v>717</v>
      </c>
      <c r="J738" t="s">
        <v>6279</v>
      </c>
    </row>
    <row r="739" spans="1:10">
      <c r="A739">
        <v>1597</v>
      </c>
      <c r="B739" t="s">
        <v>4905</v>
      </c>
      <c r="C739">
        <v>6.83</v>
      </c>
      <c r="D739">
        <v>3.21</v>
      </c>
      <c r="E739">
        <v>0</v>
      </c>
      <c r="F739">
        <v>0</v>
      </c>
      <c r="G739">
        <v>738</v>
      </c>
      <c r="H739">
        <v>906</v>
      </c>
      <c r="I739" t="s">
        <v>6279</v>
      </c>
      <c r="J739" t="s">
        <v>6279</v>
      </c>
    </row>
    <row r="740" spans="1:10">
      <c r="A740">
        <v>4109</v>
      </c>
      <c r="B740" t="s">
        <v>5510</v>
      </c>
      <c r="C740">
        <v>6.83</v>
      </c>
      <c r="D740">
        <v>0.13</v>
      </c>
      <c r="E740">
        <v>0.2</v>
      </c>
      <c r="F740">
        <v>0</v>
      </c>
      <c r="G740">
        <v>738</v>
      </c>
      <c r="H740">
        <v>1431</v>
      </c>
      <c r="I740">
        <v>565</v>
      </c>
      <c r="J740" t="s">
        <v>6279</v>
      </c>
    </row>
    <row r="741" spans="1:10">
      <c r="A741">
        <v>8905</v>
      </c>
      <c r="B741" t="s">
        <v>6052</v>
      </c>
      <c r="C741">
        <v>6.83</v>
      </c>
      <c r="D741">
        <v>1.4</v>
      </c>
      <c r="E741">
        <v>0.08</v>
      </c>
      <c r="F741">
        <v>0</v>
      </c>
      <c r="G741">
        <v>738</v>
      </c>
      <c r="H741">
        <v>1149</v>
      </c>
      <c r="I741">
        <v>790</v>
      </c>
      <c r="J741" t="s">
        <v>6279</v>
      </c>
    </row>
    <row r="742" spans="1:10">
      <c r="A742">
        <v>3628</v>
      </c>
      <c r="B742" t="s">
        <v>5472</v>
      </c>
      <c r="C742">
        <v>6.82</v>
      </c>
      <c r="D742">
        <v>2</v>
      </c>
      <c r="E742">
        <v>0.2</v>
      </c>
      <c r="F742">
        <v>0</v>
      </c>
      <c r="G742">
        <v>741</v>
      </c>
      <c r="H742">
        <v>1055</v>
      </c>
      <c r="I742">
        <v>565</v>
      </c>
      <c r="J742" t="s">
        <v>6279</v>
      </c>
    </row>
    <row r="743" spans="1:10">
      <c r="A743">
        <v>6743</v>
      </c>
      <c r="B743" t="s">
        <v>5943</v>
      </c>
      <c r="C743">
        <v>6.81</v>
      </c>
      <c r="D743">
        <v>3.79</v>
      </c>
      <c r="E743">
        <v>0</v>
      </c>
      <c r="F743">
        <v>0</v>
      </c>
      <c r="G743">
        <v>742</v>
      </c>
      <c r="H743">
        <v>856</v>
      </c>
      <c r="I743" t="s">
        <v>6279</v>
      </c>
      <c r="J743" t="s">
        <v>6279</v>
      </c>
    </row>
    <row r="744" spans="1:10">
      <c r="A744">
        <v>1305</v>
      </c>
      <c r="B744" t="s">
        <v>4803</v>
      </c>
      <c r="C744">
        <v>6.76</v>
      </c>
      <c r="D744">
        <v>9.8699999999999992</v>
      </c>
      <c r="E744">
        <v>0.01</v>
      </c>
      <c r="F744">
        <v>0.16</v>
      </c>
      <c r="G744">
        <v>743</v>
      </c>
      <c r="H744">
        <v>513</v>
      </c>
      <c r="I744">
        <v>1123</v>
      </c>
      <c r="J744">
        <v>341</v>
      </c>
    </row>
    <row r="745" spans="1:10">
      <c r="A745">
        <v>2615</v>
      </c>
      <c r="B745" t="s">
        <v>5192</v>
      </c>
      <c r="C745">
        <v>6.76</v>
      </c>
      <c r="D745">
        <v>42.89</v>
      </c>
      <c r="E745">
        <v>0.21</v>
      </c>
      <c r="F745">
        <v>0.46</v>
      </c>
      <c r="G745">
        <v>743</v>
      </c>
      <c r="H745">
        <v>102</v>
      </c>
      <c r="I745">
        <v>550</v>
      </c>
      <c r="J745">
        <v>260</v>
      </c>
    </row>
    <row r="746" spans="1:10">
      <c r="A746">
        <v>3622</v>
      </c>
      <c r="B746" t="s">
        <v>5468</v>
      </c>
      <c r="C746">
        <v>6.74</v>
      </c>
      <c r="D746">
        <v>1.83</v>
      </c>
      <c r="E746">
        <v>0.73</v>
      </c>
      <c r="F746">
        <v>0</v>
      </c>
      <c r="G746">
        <v>745</v>
      </c>
      <c r="H746">
        <v>1074</v>
      </c>
      <c r="I746">
        <v>234</v>
      </c>
      <c r="J746" t="s">
        <v>6279</v>
      </c>
    </row>
    <row r="747" spans="1:10">
      <c r="A747">
        <v>8050</v>
      </c>
      <c r="B747" t="s">
        <v>5964</v>
      </c>
      <c r="C747">
        <v>6.74</v>
      </c>
      <c r="D747">
        <v>5.33</v>
      </c>
      <c r="E747">
        <v>0</v>
      </c>
      <c r="F747">
        <v>0</v>
      </c>
      <c r="G747">
        <v>745</v>
      </c>
      <c r="H747">
        <v>756</v>
      </c>
      <c r="I747" t="s">
        <v>6279</v>
      </c>
      <c r="J747" t="s">
        <v>6279</v>
      </c>
    </row>
    <row r="748" spans="1:10">
      <c r="A748">
        <v>2017</v>
      </c>
      <c r="B748" t="s">
        <v>4982</v>
      </c>
      <c r="C748">
        <v>6.73</v>
      </c>
      <c r="D748">
        <v>1.24</v>
      </c>
      <c r="E748">
        <v>13.08</v>
      </c>
      <c r="F748">
        <v>0</v>
      </c>
      <c r="G748">
        <v>747</v>
      </c>
      <c r="H748">
        <v>1179</v>
      </c>
      <c r="I748">
        <v>3</v>
      </c>
      <c r="J748" t="s">
        <v>6279</v>
      </c>
    </row>
    <row r="749" spans="1:10">
      <c r="A749">
        <v>2466</v>
      </c>
      <c r="B749" t="s">
        <v>5129</v>
      </c>
      <c r="C749">
        <v>6.73</v>
      </c>
      <c r="D749">
        <v>10.23</v>
      </c>
      <c r="E749">
        <v>0</v>
      </c>
      <c r="F749">
        <v>0</v>
      </c>
      <c r="G749">
        <v>747</v>
      </c>
      <c r="H749">
        <v>500</v>
      </c>
      <c r="I749" t="s">
        <v>6279</v>
      </c>
      <c r="J749" t="s">
        <v>6279</v>
      </c>
    </row>
    <row r="750" spans="1:10">
      <c r="A750">
        <v>3054</v>
      </c>
      <c r="B750" t="s">
        <v>5304</v>
      </c>
      <c r="C750">
        <v>6.7</v>
      </c>
      <c r="D750">
        <v>0.53</v>
      </c>
      <c r="E750">
        <v>0.12</v>
      </c>
      <c r="F750">
        <v>0.02</v>
      </c>
      <c r="G750">
        <v>749</v>
      </c>
      <c r="H750">
        <v>1325</v>
      </c>
      <c r="I750">
        <v>696</v>
      </c>
      <c r="J750">
        <v>476</v>
      </c>
    </row>
    <row r="751" spans="1:10">
      <c r="A751">
        <v>3034</v>
      </c>
      <c r="B751" t="s">
        <v>5289</v>
      </c>
      <c r="C751">
        <v>6.67</v>
      </c>
      <c r="D751">
        <v>47.84</v>
      </c>
      <c r="E751">
        <v>2.1</v>
      </c>
      <c r="F751">
        <v>5.34</v>
      </c>
      <c r="G751">
        <v>750</v>
      </c>
      <c r="H751">
        <v>82</v>
      </c>
      <c r="I751">
        <v>74</v>
      </c>
      <c r="J751">
        <v>50</v>
      </c>
    </row>
    <row r="752" spans="1:10">
      <c r="A752">
        <v>2062</v>
      </c>
      <c r="B752" t="s">
        <v>673</v>
      </c>
      <c r="C752">
        <v>6.63</v>
      </c>
      <c r="D752">
        <v>9.52</v>
      </c>
      <c r="E752">
        <v>0.26</v>
      </c>
      <c r="F752">
        <v>0.44</v>
      </c>
      <c r="G752">
        <v>751</v>
      </c>
      <c r="H752">
        <v>530</v>
      </c>
      <c r="I752">
        <v>501</v>
      </c>
      <c r="J752">
        <v>265</v>
      </c>
    </row>
    <row r="753" spans="1:10">
      <c r="A753">
        <v>4432</v>
      </c>
      <c r="B753" t="s">
        <v>5549</v>
      </c>
      <c r="C753">
        <v>6.63</v>
      </c>
      <c r="D753">
        <v>0.23</v>
      </c>
      <c r="E753">
        <v>0.55000000000000004</v>
      </c>
      <c r="F753">
        <v>0</v>
      </c>
      <c r="G753">
        <v>751</v>
      </c>
      <c r="H753">
        <v>1405</v>
      </c>
      <c r="I753">
        <v>298</v>
      </c>
      <c r="J753" t="s">
        <v>6279</v>
      </c>
    </row>
    <row r="754" spans="1:10">
      <c r="A754">
        <v>5508</v>
      </c>
      <c r="B754" t="s">
        <v>5704</v>
      </c>
      <c r="C754">
        <v>6.63</v>
      </c>
      <c r="D754">
        <v>1.46</v>
      </c>
      <c r="E754">
        <v>0</v>
      </c>
      <c r="F754">
        <v>0</v>
      </c>
      <c r="G754">
        <v>751</v>
      </c>
      <c r="H754">
        <v>1133</v>
      </c>
      <c r="I754" t="s">
        <v>6279</v>
      </c>
      <c r="J754" t="s">
        <v>6279</v>
      </c>
    </row>
    <row r="755" spans="1:10">
      <c r="A755">
        <v>3152</v>
      </c>
      <c r="B755" t="s">
        <v>5328</v>
      </c>
      <c r="C755">
        <v>6.57</v>
      </c>
      <c r="D755">
        <v>17.77</v>
      </c>
      <c r="E755">
        <v>0.8</v>
      </c>
      <c r="F755">
        <v>0.32</v>
      </c>
      <c r="G755">
        <v>754</v>
      </c>
      <c r="H755">
        <v>312</v>
      </c>
      <c r="I755">
        <v>216</v>
      </c>
      <c r="J755">
        <v>291</v>
      </c>
    </row>
    <row r="756" spans="1:10">
      <c r="A756">
        <v>4533</v>
      </c>
      <c r="B756" t="s">
        <v>5560</v>
      </c>
      <c r="C756">
        <v>6.56</v>
      </c>
      <c r="D756">
        <v>0.9</v>
      </c>
      <c r="E756">
        <v>0</v>
      </c>
      <c r="F756">
        <v>0</v>
      </c>
      <c r="G756">
        <v>755</v>
      </c>
      <c r="H756">
        <v>1243</v>
      </c>
      <c r="I756" t="s">
        <v>6279</v>
      </c>
      <c r="J756" t="s">
        <v>6279</v>
      </c>
    </row>
    <row r="757" spans="1:10">
      <c r="A757">
        <v>5388</v>
      </c>
      <c r="B757" t="s">
        <v>5681</v>
      </c>
      <c r="C757">
        <v>6.56</v>
      </c>
      <c r="D757">
        <v>32.08</v>
      </c>
      <c r="E757">
        <v>0.95</v>
      </c>
      <c r="F757">
        <v>2.04</v>
      </c>
      <c r="G757">
        <v>755</v>
      </c>
      <c r="H757">
        <v>160</v>
      </c>
      <c r="I757">
        <v>183</v>
      </c>
      <c r="J757">
        <v>121</v>
      </c>
    </row>
    <row r="758" spans="1:10">
      <c r="A758">
        <v>2458</v>
      </c>
      <c r="B758" t="s">
        <v>5122</v>
      </c>
      <c r="C758">
        <v>6.55</v>
      </c>
      <c r="D758">
        <v>21.29</v>
      </c>
      <c r="E758">
        <v>5.73</v>
      </c>
      <c r="F758">
        <v>6.95</v>
      </c>
      <c r="G758">
        <v>757</v>
      </c>
      <c r="H758">
        <v>264</v>
      </c>
      <c r="I758">
        <v>13</v>
      </c>
      <c r="J758">
        <v>29</v>
      </c>
    </row>
    <row r="759" spans="1:10">
      <c r="A759">
        <v>8112</v>
      </c>
      <c r="B759" t="s">
        <v>5987</v>
      </c>
      <c r="C759">
        <v>6.55</v>
      </c>
      <c r="D759">
        <v>16.600000000000001</v>
      </c>
      <c r="E759">
        <v>2.67</v>
      </c>
      <c r="F759">
        <v>0</v>
      </c>
      <c r="G759">
        <v>757</v>
      </c>
      <c r="H759">
        <v>338</v>
      </c>
      <c r="I759">
        <v>57</v>
      </c>
      <c r="J759" t="s">
        <v>6279</v>
      </c>
    </row>
    <row r="760" spans="1:10">
      <c r="A760">
        <v>6120</v>
      </c>
      <c r="B760" t="s">
        <v>5749</v>
      </c>
      <c r="C760">
        <v>6.54</v>
      </c>
      <c r="D760">
        <v>6.85</v>
      </c>
      <c r="E760">
        <v>0.06</v>
      </c>
      <c r="F760">
        <v>0</v>
      </c>
      <c r="G760">
        <v>759</v>
      </c>
      <c r="H760">
        <v>658</v>
      </c>
      <c r="I760">
        <v>869</v>
      </c>
      <c r="J760" t="s">
        <v>6279</v>
      </c>
    </row>
    <row r="761" spans="1:10">
      <c r="A761">
        <v>2483</v>
      </c>
      <c r="B761" t="s">
        <v>5141</v>
      </c>
      <c r="C761">
        <v>6.53</v>
      </c>
      <c r="D761">
        <v>0.7</v>
      </c>
      <c r="E761">
        <v>0.04</v>
      </c>
      <c r="F761">
        <v>0</v>
      </c>
      <c r="G761">
        <v>760</v>
      </c>
      <c r="H761">
        <v>1285</v>
      </c>
      <c r="I761">
        <v>946</v>
      </c>
      <c r="J761" t="s">
        <v>6279</v>
      </c>
    </row>
    <row r="762" spans="1:10">
      <c r="A762">
        <v>4123</v>
      </c>
      <c r="B762" t="s">
        <v>5517</v>
      </c>
      <c r="C762">
        <v>6.53</v>
      </c>
      <c r="D762">
        <v>6.94</v>
      </c>
      <c r="E762">
        <v>0.03</v>
      </c>
      <c r="F762">
        <v>0.01</v>
      </c>
      <c r="G762">
        <v>760</v>
      </c>
      <c r="H762">
        <v>646</v>
      </c>
      <c r="I762">
        <v>990</v>
      </c>
      <c r="J762">
        <v>495</v>
      </c>
    </row>
    <row r="763" spans="1:10">
      <c r="A763">
        <v>6472</v>
      </c>
      <c r="B763" t="s">
        <v>5881</v>
      </c>
      <c r="C763">
        <v>6.48</v>
      </c>
      <c r="D763">
        <v>6.25</v>
      </c>
      <c r="E763">
        <v>0.37</v>
      </c>
      <c r="F763">
        <v>0.88</v>
      </c>
      <c r="G763">
        <v>762</v>
      </c>
      <c r="H763">
        <v>696</v>
      </c>
      <c r="I763">
        <v>397</v>
      </c>
      <c r="J763">
        <v>203</v>
      </c>
    </row>
    <row r="764" spans="1:10">
      <c r="A764">
        <v>1605</v>
      </c>
      <c r="B764" t="s">
        <v>4910</v>
      </c>
      <c r="C764">
        <v>6.47</v>
      </c>
      <c r="D764">
        <v>25.44</v>
      </c>
      <c r="E764">
        <v>3.41</v>
      </c>
      <c r="F764">
        <v>1.23</v>
      </c>
      <c r="G764">
        <v>763</v>
      </c>
      <c r="H764">
        <v>220</v>
      </c>
      <c r="I764">
        <v>42</v>
      </c>
      <c r="J764">
        <v>174</v>
      </c>
    </row>
    <row r="765" spans="1:10">
      <c r="A765">
        <v>2939</v>
      </c>
      <c r="B765" t="s">
        <v>5263</v>
      </c>
      <c r="C765">
        <v>6.45</v>
      </c>
      <c r="D765">
        <v>53.23</v>
      </c>
      <c r="E765">
        <v>0.34</v>
      </c>
      <c r="F765">
        <v>0</v>
      </c>
      <c r="G765">
        <v>764</v>
      </c>
      <c r="H765">
        <v>64</v>
      </c>
      <c r="I765">
        <v>426</v>
      </c>
      <c r="J765" t="s">
        <v>6279</v>
      </c>
    </row>
    <row r="766" spans="1:10">
      <c r="A766">
        <v>6651</v>
      </c>
      <c r="B766" t="s">
        <v>5925</v>
      </c>
      <c r="C766">
        <v>6.44</v>
      </c>
      <c r="D766">
        <v>0.57999999999999996</v>
      </c>
      <c r="E766">
        <v>0.05</v>
      </c>
      <c r="F766">
        <v>0</v>
      </c>
      <c r="G766">
        <v>765</v>
      </c>
      <c r="H766">
        <v>1312</v>
      </c>
      <c r="I766">
        <v>908</v>
      </c>
      <c r="J766" t="s">
        <v>6279</v>
      </c>
    </row>
    <row r="767" spans="1:10">
      <c r="A767">
        <v>3532</v>
      </c>
      <c r="B767" t="s">
        <v>5434</v>
      </c>
      <c r="C767">
        <v>6.43</v>
      </c>
      <c r="D767">
        <v>48.58</v>
      </c>
      <c r="E767">
        <v>3.68</v>
      </c>
      <c r="F767">
        <v>3.34</v>
      </c>
      <c r="G767">
        <v>766</v>
      </c>
      <c r="H767">
        <v>80</v>
      </c>
      <c r="I767">
        <v>38</v>
      </c>
      <c r="J767">
        <v>83</v>
      </c>
    </row>
    <row r="768" spans="1:10">
      <c r="A768">
        <v>2023</v>
      </c>
      <c r="B768" t="s">
        <v>4984</v>
      </c>
      <c r="C768">
        <v>6.41</v>
      </c>
      <c r="D768">
        <v>5.33</v>
      </c>
      <c r="E768">
        <v>0.06</v>
      </c>
      <c r="F768">
        <v>0.01</v>
      </c>
      <c r="G768">
        <v>767</v>
      </c>
      <c r="H768">
        <v>756</v>
      </c>
      <c r="I768">
        <v>869</v>
      </c>
      <c r="J768">
        <v>495</v>
      </c>
    </row>
    <row r="769" spans="1:10">
      <c r="A769">
        <v>6203</v>
      </c>
      <c r="B769" t="s">
        <v>5804</v>
      </c>
      <c r="C769">
        <v>6.4</v>
      </c>
      <c r="D769">
        <v>1.33</v>
      </c>
      <c r="E769">
        <v>0.06</v>
      </c>
      <c r="F769">
        <v>0</v>
      </c>
      <c r="G769">
        <v>768</v>
      </c>
      <c r="H769">
        <v>1158</v>
      </c>
      <c r="I769">
        <v>869</v>
      </c>
      <c r="J769" t="s">
        <v>6279</v>
      </c>
    </row>
    <row r="770" spans="1:10">
      <c r="A770">
        <v>2915</v>
      </c>
      <c r="B770" t="s">
        <v>5258</v>
      </c>
      <c r="C770">
        <v>6.37</v>
      </c>
      <c r="D770">
        <v>8.3699999999999992</v>
      </c>
      <c r="E770">
        <v>4.93</v>
      </c>
      <c r="F770">
        <v>0.02</v>
      </c>
      <c r="G770">
        <v>769</v>
      </c>
      <c r="H770">
        <v>569</v>
      </c>
      <c r="I770">
        <v>26</v>
      </c>
      <c r="J770">
        <v>476</v>
      </c>
    </row>
    <row r="771" spans="1:10">
      <c r="A771">
        <v>3489</v>
      </c>
      <c r="B771" t="s">
        <v>6305</v>
      </c>
      <c r="C771">
        <v>6.36</v>
      </c>
      <c r="D771">
        <v>0.17</v>
      </c>
      <c r="E771">
        <v>0.13</v>
      </c>
      <c r="F771">
        <v>0</v>
      </c>
      <c r="G771">
        <v>770</v>
      </c>
      <c r="H771">
        <v>1419</v>
      </c>
      <c r="I771">
        <v>671</v>
      </c>
      <c r="J771" t="s">
        <v>6279</v>
      </c>
    </row>
    <row r="772" spans="1:10">
      <c r="A772">
        <v>6197</v>
      </c>
      <c r="B772" t="s">
        <v>5801</v>
      </c>
      <c r="C772">
        <v>6.36</v>
      </c>
      <c r="D772">
        <v>8.75</v>
      </c>
      <c r="E772">
        <v>0.69</v>
      </c>
      <c r="F772">
        <v>0</v>
      </c>
      <c r="G772">
        <v>770</v>
      </c>
      <c r="H772">
        <v>556</v>
      </c>
      <c r="I772">
        <v>258</v>
      </c>
      <c r="J772" t="s">
        <v>6279</v>
      </c>
    </row>
    <row r="773" spans="1:10">
      <c r="A773">
        <v>1444</v>
      </c>
      <c r="B773" t="s">
        <v>4840</v>
      </c>
      <c r="C773">
        <v>6.35</v>
      </c>
      <c r="D773">
        <v>5.49</v>
      </c>
      <c r="E773">
        <v>0.08</v>
      </c>
      <c r="F773">
        <v>0</v>
      </c>
      <c r="G773">
        <v>772</v>
      </c>
      <c r="H773">
        <v>744</v>
      </c>
      <c r="I773">
        <v>790</v>
      </c>
      <c r="J773" t="s">
        <v>6279</v>
      </c>
    </row>
    <row r="774" spans="1:10">
      <c r="A774">
        <v>3685</v>
      </c>
      <c r="B774" t="s">
        <v>5488</v>
      </c>
      <c r="C774">
        <v>6.34</v>
      </c>
      <c r="D774">
        <v>2.14</v>
      </c>
      <c r="E774">
        <v>0.27</v>
      </c>
      <c r="F774">
        <v>0</v>
      </c>
      <c r="G774">
        <v>773</v>
      </c>
      <c r="H774">
        <v>1026</v>
      </c>
      <c r="I774">
        <v>487</v>
      </c>
      <c r="J774" t="s">
        <v>6279</v>
      </c>
    </row>
    <row r="775" spans="1:10">
      <c r="A775">
        <v>4737</v>
      </c>
      <c r="B775" t="s">
        <v>5592</v>
      </c>
      <c r="C775">
        <v>6.34</v>
      </c>
      <c r="D775">
        <v>23.06</v>
      </c>
      <c r="E775">
        <v>0.04</v>
      </c>
      <c r="F775">
        <v>0</v>
      </c>
      <c r="G775">
        <v>773</v>
      </c>
      <c r="H775">
        <v>241</v>
      </c>
      <c r="I775">
        <v>946</v>
      </c>
      <c r="J775" t="s">
        <v>6279</v>
      </c>
    </row>
    <row r="776" spans="1:10">
      <c r="A776">
        <v>1442</v>
      </c>
      <c r="B776" t="s">
        <v>4839</v>
      </c>
      <c r="C776">
        <v>6.32</v>
      </c>
      <c r="D776">
        <v>3.2</v>
      </c>
      <c r="E776">
        <v>0</v>
      </c>
      <c r="F776">
        <v>0</v>
      </c>
      <c r="G776">
        <v>775</v>
      </c>
      <c r="H776">
        <v>908</v>
      </c>
      <c r="I776" t="s">
        <v>6279</v>
      </c>
      <c r="J776" t="s">
        <v>6279</v>
      </c>
    </row>
    <row r="777" spans="1:10">
      <c r="A777">
        <v>5907</v>
      </c>
      <c r="B777" t="s">
        <v>5734</v>
      </c>
      <c r="C777">
        <v>6.32</v>
      </c>
      <c r="D777">
        <v>53.23</v>
      </c>
      <c r="E777">
        <v>0.02</v>
      </c>
      <c r="F777">
        <v>0</v>
      </c>
      <c r="G777">
        <v>775</v>
      </c>
      <c r="H777">
        <v>64</v>
      </c>
      <c r="I777">
        <v>1051</v>
      </c>
      <c r="J777" t="s">
        <v>6279</v>
      </c>
    </row>
    <row r="778" spans="1:10">
      <c r="A778">
        <v>6523</v>
      </c>
      <c r="B778" t="s">
        <v>5898</v>
      </c>
      <c r="C778">
        <v>6.3</v>
      </c>
      <c r="D778">
        <v>2.71</v>
      </c>
      <c r="E778">
        <v>0.11</v>
      </c>
      <c r="F778">
        <v>0</v>
      </c>
      <c r="G778">
        <v>777</v>
      </c>
      <c r="H778">
        <v>955</v>
      </c>
      <c r="I778">
        <v>717</v>
      </c>
      <c r="J778" t="s">
        <v>6279</v>
      </c>
    </row>
    <row r="779" spans="1:10">
      <c r="A779">
        <v>1701</v>
      </c>
      <c r="B779" t="s">
        <v>4920</v>
      </c>
      <c r="C779">
        <v>6.28</v>
      </c>
      <c r="D779">
        <v>11.76</v>
      </c>
      <c r="E779">
        <v>0.02</v>
      </c>
      <c r="F779">
        <v>0</v>
      </c>
      <c r="G779">
        <v>778</v>
      </c>
      <c r="H779">
        <v>442</v>
      </c>
      <c r="I779">
        <v>1051</v>
      </c>
      <c r="J779" t="s">
        <v>6279</v>
      </c>
    </row>
    <row r="780" spans="1:10">
      <c r="A780">
        <v>8420</v>
      </c>
      <c r="B780" t="s">
        <v>6023</v>
      </c>
      <c r="C780">
        <v>6.27</v>
      </c>
      <c r="D780">
        <v>1.28</v>
      </c>
      <c r="E780">
        <v>0.02</v>
      </c>
      <c r="F780">
        <v>0</v>
      </c>
      <c r="G780">
        <v>779</v>
      </c>
      <c r="H780">
        <v>1169</v>
      </c>
      <c r="I780">
        <v>1051</v>
      </c>
      <c r="J780" t="s">
        <v>6279</v>
      </c>
    </row>
    <row r="781" spans="1:10">
      <c r="A781">
        <v>1709</v>
      </c>
      <c r="B781" t="s">
        <v>4924</v>
      </c>
      <c r="C781">
        <v>6.26</v>
      </c>
      <c r="D781">
        <v>4.3</v>
      </c>
      <c r="E781">
        <v>0.21</v>
      </c>
      <c r="F781">
        <v>0.01</v>
      </c>
      <c r="G781">
        <v>780</v>
      </c>
      <c r="H781">
        <v>823</v>
      </c>
      <c r="I781">
        <v>550</v>
      </c>
      <c r="J781">
        <v>495</v>
      </c>
    </row>
    <row r="782" spans="1:10">
      <c r="A782">
        <v>4148</v>
      </c>
      <c r="B782" t="s">
        <v>5526</v>
      </c>
      <c r="C782">
        <v>6.25</v>
      </c>
      <c r="D782">
        <v>74.7</v>
      </c>
      <c r="E782">
        <v>7.0000000000000007E-2</v>
      </c>
      <c r="F782">
        <v>0.06</v>
      </c>
      <c r="G782">
        <v>781</v>
      </c>
      <c r="H782">
        <v>16</v>
      </c>
      <c r="I782">
        <v>825</v>
      </c>
      <c r="J782">
        <v>413</v>
      </c>
    </row>
    <row r="783" spans="1:10">
      <c r="A783">
        <v>2250</v>
      </c>
      <c r="B783" t="s">
        <v>5028</v>
      </c>
      <c r="C783">
        <v>6.24</v>
      </c>
      <c r="D783">
        <v>5.62</v>
      </c>
      <c r="E783">
        <v>0</v>
      </c>
      <c r="F783">
        <v>0.05</v>
      </c>
      <c r="G783">
        <v>782</v>
      </c>
      <c r="H783">
        <v>737</v>
      </c>
      <c r="I783" t="s">
        <v>6279</v>
      </c>
      <c r="J783">
        <v>427</v>
      </c>
    </row>
    <row r="784" spans="1:10">
      <c r="A784">
        <v>6285</v>
      </c>
      <c r="B784" t="s">
        <v>5854</v>
      </c>
      <c r="C784">
        <v>6.24</v>
      </c>
      <c r="D784">
        <v>9.6</v>
      </c>
      <c r="E784">
        <v>0.2</v>
      </c>
      <c r="F784">
        <v>2.2400000000000002</v>
      </c>
      <c r="G784">
        <v>782</v>
      </c>
      <c r="H784">
        <v>525</v>
      </c>
      <c r="I784">
        <v>565</v>
      </c>
      <c r="J784">
        <v>113</v>
      </c>
    </row>
    <row r="785" spans="1:10">
      <c r="A785">
        <v>6248</v>
      </c>
      <c r="B785" t="s">
        <v>5834</v>
      </c>
      <c r="C785">
        <v>6.2</v>
      </c>
      <c r="D785">
        <v>0.91</v>
      </c>
      <c r="E785">
        <v>0.42</v>
      </c>
      <c r="F785">
        <v>0</v>
      </c>
      <c r="G785">
        <v>784</v>
      </c>
      <c r="H785">
        <v>1240</v>
      </c>
      <c r="I785">
        <v>357</v>
      </c>
      <c r="J785" t="s">
        <v>6279</v>
      </c>
    </row>
    <row r="786" spans="1:10">
      <c r="A786">
        <v>2241</v>
      </c>
      <c r="B786" t="s">
        <v>5025</v>
      </c>
      <c r="C786">
        <v>6.19</v>
      </c>
      <c r="D786">
        <v>23.53</v>
      </c>
      <c r="E786">
        <v>0.04</v>
      </c>
      <c r="F786">
        <v>0.03</v>
      </c>
      <c r="G786">
        <v>785</v>
      </c>
      <c r="H786">
        <v>234</v>
      </c>
      <c r="I786">
        <v>946</v>
      </c>
      <c r="J786">
        <v>459</v>
      </c>
    </row>
    <row r="787" spans="1:10">
      <c r="A787">
        <v>2538</v>
      </c>
      <c r="B787" t="s">
        <v>5171</v>
      </c>
      <c r="C787">
        <v>6.17</v>
      </c>
      <c r="D787">
        <v>11.85</v>
      </c>
      <c r="E787">
        <v>0.05</v>
      </c>
      <c r="F787">
        <v>0.1</v>
      </c>
      <c r="G787">
        <v>786</v>
      </c>
      <c r="H787">
        <v>437</v>
      </c>
      <c r="I787">
        <v>908</v>
      </c>
      <c r="J787">
        <v>377</v>
      </c>
    </row>
    <row r="788" spans="1:10">
      <c r="A788">
        <v>4933</v>
      </c>
      <c r="B788" t="s">
        <v>5614</v>
      </c>
      <c r="C788">
        <v>6.17</v>
      </c>
      <c r="D788">
        <v>2.76</v>
      </c>
      <c r="E788">
        <v>0.06</v>
      </c>
      <c r="F788">
        <v>0</v>
      </c>
      <c r="G788">
        <v>786</v>
      </c>
      <c r="H788">
        <v>947</v>
      </c>
      <c r="I788">
        <v>869</v>
      </c>
      <c r="J788" t="s">
        <v>6279</v>
      </c>
    </row>
    <row r="789" spans="1:10">
      <c r="A789">
        <v>8043</v>
      </c>
      <c r="B789" t="s">
        <v>5959</v>
      </c>
      <c r="C789">
        <v>6.15</v>
      </c>
      <c r="D789">
        <v>0.63</v>
      </c>
      <c r="E789">
        <v>0.12</v>
      </c>
      <c r="F789">
        <v>0</v>
      </c>
      <c r="G789">
        <v>788</v>
      </c>
      <c r="H789">
        <v>1300</v>
      </c>
      <c r="I789">
        <v>696</v>
      </c>
      <c r="J789" t="s">
        <v>6279</v>
      </c>
    </row>
    <row r="790" spans="1:10">
      <c r="A790">
        <v>1438</v>
      </c>
      <c r="B790" t="s">
        <v>4836</v>
      </c>
      <c r="C790">
        <v>6.14</v>
      </c>
      <c r="D790">
        <v>0.64</v>
      </c>
      <c r="E790">
        <v>0</v>
      </c>
      <c r="F790">
        <v>0</v>
      </c>
      <c r="G790">
        <v>789</v>
      </c>
      <c r="H790">
        <v>1297</v>
      </c>
      <c r="I790" t="s">
        <v>6279</v>
      </c>
      <c r="J790" t="s">
        <v>6279</v>
      </c>
    </row>
    <row r="791" spans="1:10">
      <c r="A791">
        <v>5521</v>
      </c>
      <c r="B791" t="s">
        <v>5708</v>
      </c>
      <c r="C791">
        <v>6.14</v>
      </c>
      <c r="D791">
        <v>4.79</v>
      </c>
      <c r="E791">
        <v>0.12</v>
      </c>
      <c r="F791">
        <v>0.04</v>
      </c>
      <c r="G791">
        <v>789</v>
      </c>
      <c r="H791">
        <v>794</v>
      </c>
      <c r="I791">
        <v>696</v>
      </c>
      <c r="J791">
        <v>439</v>
      </c>
    </row>
    <row r="792" spans="1:10">
      <c r="A792">
        <v>6274</v>
      </c>
      <c r="B792" t="s">
        <v>5844</v>
      </c>
      <c r="C792">
        <v>6.11</v>
      </c>
      <c r="D792">
        <v>35.86</v>
      </c>
      <c r="E792">
        <v>0.44</v>
      </c>
      <c r="F792">
        <v>1.65</v>
      </c>
      <c r="G792">
        <v>791</v>
      </c>
      <c r="H792">
        <v>139</v>
      </c>
      <c r="I792">
        <v>348</v>
      </c>
      <c r="J792">
        <v>150</v>
      </c>
    </row>
    <row r="793" spans="1:10">
      <c r="A793">
        <v>8039</v>
      </c>
      <c r="B793" t="s">
        <v>5957</v>
      </c>
      <c r="C793">
        <v>6.09</v>
      </c>
      <c r="D793">
        <v>13.15</v>
      </c>
      <c r="E793">
        <v>1.4</v>
      </c>
      <c r="F793">
        <v>0</v>
      </c>
      <c r="G793">
        <v>792</v>
      </c>
      <c r="H793">
        <v>405</v>
      </c>
      <c r="I793">
        <v>119</v>
      </c>
      <c r="J793" t="s">
        <v>6279</v>
      </c>
    </row>
    <row r="794" spans="1:10">
      <c r="A794">
        <v>1519</v>
      </c>
      <c r="B794" t="s">
        <v>4869</v>
      </c>
      <c r="C794">
        <v>6.08</v>
      </c>
      <c r="D794">
        <v>7.23</v>
      </c>
      <c r="E794">
        <v>0.04</v>
      </c>
      <c r="F794">
        <v>0.27</v>
      </c>
      <c r="G794">
        <v>793</v>
      </c>
      <c r="H794">
        <v>620</v>
      </c>
      <c r="I794">
        <v>946</v>
      </c>
      <c r="J794">
        <v>302</v>
      </c>
    </row>
    <row r="795" spans="1:10">
      <c r="A795">
        <v>1527</v>
      </c>
      <c r="B795" t="s">
        <v>4875</v>
      </c>
      <c r="C795">
        <v>6.06</v>
      </c>
      <c r="D795">
        <v>8.1199999999999992</v>
      </c>
      <c r="E795">
        <v>0.94</v>
      </c>
      <c r="F795">
        <v>0</v>
      </c>
      <c r="G795">
        <v>794</v>
      </c>
      <c r="H795">
        <v>577</v>
      </c>
      <c r="I795">
        <v>186</v>
      </c>
      <c r="J795" t="s">
        <v>6279</v>
      </c>
    </row>
    <row r="796" spans="1:10">
      <c r="A796">
        <v>2388</v>
      </c>
      <c r="B796" t="s">
        <v>5081</v>
      </c>
      <c r="C796">
        <v>6.04</v>
      </c>
      <c r="D796">
        <v>11.98</v>
      </c>
      <c r="E796">
        <v>0.37</v>
      </c>
      <c r="F796">
        <v>0.02</v>
      </c>
      <c r="G796">
        <v>795</v>
      </c>
      <c r="H796">
        <v>432</v>
      </c>
      <c r="I796">
        <v>397</v>
      </c>
      <c r="J796">
        <v>476</v>
      </c>
    </row>
    <row r="797" spans="1:10">
      <c r="A797">
        <v>3206</v>
      </c>
      <c r="B797" t="s">
        <v>6243</v>
      </c>
      <c r="C797">
        <v>6.03</v>
      </c>
      <c r="D797">
        <v>0.4</v>
      </c>
      <c r="E797">
        <v>0</v>
      </c>
      <c r="F797">
        <v>0</v>
      </c>
      <c r="G797">
        <v>796</v>
      </c>
      <c r="H797">
        <v>1364</v>
      </c>
      <c r="I797" t="s">
        <v>6279</v>
      </c>
      <c r="J797" t="s">
        <v>6279</v>
      </c>
    </row>
    <row r="798" spans="1:10">
      <c r="A798">
        <v>3515</v>
      </c>
      <c r="B798" t="s">
        <v>5426</v>
      </c>
      <c r="C798">
        <v>6.02</v>
      </c>
      <c r="D798">
        <v>12.11</v>
      </c>
      <c r="E798">
        <v>0.03</v>
      </c>
      <c r="F798">
        <v>0.77</v>
      </c>
      <c r="G798">
        <v>797</v>
      </c>
      <c r="H798">
        <v>430</v>
      </c>
      <c r="I798">
        <v>990</v>
      </c>
      <c r="J798">
        <v>213</v>
      </c>
    </row>
    <row r="799" spans="1:10">
      <c r="A799">
        <v>1906</v>
      </c>
      <c r="B799" t="s">
        <v>4969</v>
      </c>
      <c r="C799">
        <v>6.01</v>
      </c>
      <c r="D799">
        <v>1.23</v>
      </c>
      <c r="E799">
        <v>0.04</v>
      </c>
      <c r="F799">
        <v>0</v>
      </c>
      <c r="G799">
        <v>798</v>
      </c>
      <c r="H799">
        <v>1180</v>
      </c>
      <c r="I799">
        <v>946</v>
      </c>
      <c r="J799" t="s">
        <v>6279</v>
      </c>
    </row>
    <row r="800" spans="1:10">
      <c r="A800">
        <v>6788</v>
      </c>
      <c r="B800" t="s">
        <v>6205</v>
      </c>
      <c r="C800">
        <v>6.01</v>
      </c>
      <c r="D800">
        <v>1.66</v>
      </c>
      <c r="E800">
        <v>0.06</v>
      </c>
      <c r="F800">
        <v>0</v>
      </c>
      <c r="G800">
        <v>798</v>
      </c>
      <c r="H800">
        <v>1103</v>
      </c>
      <c r="I800">
        <v>869</v>
      </c>
      <c r="J800" t="s">
        <v>6279</v>
      </c>
    </row>
    <row r="801" spans="1:10">
      <c r="A801">
        <v>6108</v>
      </c>
      <c r="B801" t="s">
        <v>5741</v>
      </c>
      <c r="C801">
        <v>5.97</v>
      </c>
      <c r="D801">
        <v>3.67</v>
      </c>
      <c r="E801">
        <v>0.05</v>
      </c>
      <c r="F801">
        <v>0</v>
      </c>
      <c r="G801">
        <v>800</v>
      </c>
      <c r="H801">
        <v>862</v>
      </c>
      <c r="I801">
        <v>908</v>
      </c>
      <c r="J801" t="s">
        <v>6279</v>
      </c>
    </row>
    <row r="802" spans="1:10">
      <c r="A802">
        <v>8150</v>
      </c>
      <c r="B802" t="s">
        <v>5991</v>
      </c>
      <c r="C802">
        <v>5.96</v>
      </c>
      <c r="D802">
        <v>40.78</v>
      </c>
      <c r="E802">
        <v>0.76</v>
      </c>
      <c r="F802">
        <v>0.77</v>
      </c>
      <c r="G802">
        <v>801</v>
      </c>
      <c r="H802">
        <v>114</v>
      </c>
      <c r="I802">
        <v>221</v>
      </c>
      <c r="J802">
        <v>213</v>
      </c>
    </row>
    <row r="803" spans="1:10">
      <c r="A803">
        <v>1608</v>
      </c>
      <c r="B803" t="s">
        <v>4911</v>
      </c>
      <c r="C803">
        <v>5.95</v>
      </c>
      <c r="D803">
        <v>1.31</v>
      </c>
      <c r="E803">
        <v>0.02</v>
      </c>
      <c r="F803">
        <v>0</v>
      </c>
      <c r="G803">
        <v>802</v>
      </c>
      <c r="H803">
        <v>1160</v>
      </c>
      <c r="I803">
        <v>1051</v>
      </c>
      <c r="J803" t="s">
        <v>6279</v>
      </c>
    </row>
    <row r="804" spans="1:10">
      <c r="A804">
        <v>2421</v>
      </c>
      <c r="B804" t="s">
        <v>5101</v>
      </c>
      <c r="C804">
        <v>5.95</v>
      </c>
      <c r="D804">
        <v>18.100000000000001</v>
      </c>
      <c r="E804">
        <v>0.17</v>
      </c>
      <c r="F804">
        <v>0</v>
      </c>
      <c r="G804">
        <v>802</v>
      </c>
      <c r="H804">
        <v>306</v>
      </c>
      <c r="I804">
        <v>596</v>
      </c>
      <c r="J804" t="s">
        <v>6279</v>
      </c>
    </row>
    <row r="805" spans="1:10">
      <c r="A805">
        <v>3090</v>
      </c>
      <c r="B805" t="s">
        <v>5316</v>
      </c>
      <c r="C805">
        <v>5.95</v>
      </c>
      <c r="D805">
        <v>8.9499999999999993</v>
      </c>
      <c r="E805">
        <v>0.23</v>
      </c>
      <c r="F805">
        <v>0</v>
      </c>
      <c r="G805">
        <v>802</v>
      </c>
      <c r="H805">
        <v>548</v>
      </c>
      <c r="I805">
        <v>525</v>
      </c>
      <c r="J805" t="s">
        <v>6279</v>
      </c>
    </row>
    <row r="806" spans="1:10">
      <c r="A806">
        <v>4999</v>
      </c>
      <c r="B806" t="s">
        <v>5638</v>
      </c>
      <c r="C806">
        <v>5.92</v>
      </c>
      <c r="D806">
        <v>3.59</v>
      </c>
      <c r="E806">
        <v>0.02</v>
      </c>
      <c r="F806">
        <v>0.08</v>
      </c>
      <c r="G806">
        <v>805</v>
      </c>
      <c r="H806">
        <v>869</v>
      </c>
      <c r="I806">
        <v>1051</v>
      </c>
      <c r="J806">
        <v>395</v>
      </c>
    </row>
    <row r="807" spans="1:10">
      <c r="A807">
        <v>2489</v>
      </c>
      <c r="B807" t="s">
        <v>5146</v>
      </c>
      <c r="C807">
        <v>5.9</v>
      </c>
      <c r="D807">
        <v>11.32</v>
      </c>
      <c r="E807">
        <v>0.34</v>
      </c>
      <c r="F807">
        <v>0</v>
      </c>
      <c r="G807">
        <v>806</v>
      </c>
      <c r="H807">
        <v>458</v>
      </c>
      <c r="I807">
        <v>426</v>
      </c>
      <c r="J807" t="s">
        <v>6279</v>
      </c>
    </row>
    <row r="808" spans="1:10">
      <c r="A808">
        <v>3032</v>
      </c>
      <c r="B808" t="s">
        <v>5287</v>
      </c>
      <c r="C808">
        <v>5.88</v>
      </c>
      <c r="D808">
        <v>1.38</v>
      </c>
      <c r="E808">
        <v>0.11</v>
      </c>
      <c r="F808">
        <v>0</v>
      </c>
      <c r="G808">
        <v>807</v>
      </c>
      <c r="H808">
        <v>1150</v>
      </c>
      <c r="I808">
        <v>717</v>
      </c>
      <c r="J808" t="s">
        <v>6279</v>
      </c>
    </row>
    <row r="809" spans="1:10">
      <c r="A809">
        <v>6213</v>
      </c>
      <c r="B809" t="s">
        <v>5810</v>
      </c>
      <c r="C809">
        <v>5.84</v>
      </c>
      <c r="D809">
        <v>9.1300000000000008</v>
      </c>
      <c r="E809">
        <v>7.0000000000000007E-2</v>
      </c>
      <c r="F809">
        <v>0.05</v>
      </c>
      <c r="G809">
        <v>808</v>
      </c>
      <c r="H809">
        <v>542</v>
      </c>
      <c r="I809">
        <v>825</v>
      </c>
      <c r="J809">
        <v>427</v>
      </c>
    </row>
    <row r="810" spans="1:10">
      <c r="A810">
        <v>3454</v>
      </c>
      <c r="B810" t="s">
        <v>5410</v>
      </c>
      <c r="C810">
        <v>5.83</v>
      </c>
      <c r="D810">
        <v>3.15</v>
      </c>
      <c r="E810">
        <v>0.3</v>
      </c>
      <c r="F810">
        <v>0</v>
      </c>
      <c r="G810">
        <v>809</v>
      </c>
      <c r="H810">
        <v>912</v>
      </c>
      <c r="I810">
        <v>460</v>
      </c>
      <c r="J810" t="s">
        <v>6279</v>
      </c>
    </row>
    <row r="811" spans="1:10">
      <c r="A811">
        <v>6166</v>
      </c>
      <c r="B811" t="s">
        <v>5779</v>
      </c>
      <c r="C811">
        <v>5.81</v>
      </c>
      <c r="D811">
        <v>9.83</v>
      </c>
      <c r="E811">
        <v>0.1</v>
      </c>
      <c r="F811">
        <v>0</v>
      </c>
      <c r="G811">
        <v>810</v>
      </c>
      <c r="H811">
        <v>517</v>
      </c>
      <c r="I811">
        <v>741</v>
      </c>
      <c r="J811" t="s">
        <v>6279</v>
      </c>
    </row>
    <row r="812" spans="1:10">
      <c r="A812">
        <v>6449</v>
      </c>
      <c r="B812" t="s">
        <v>5873</v>
      </c>
      <c r="C812">
        <v>5.79</v>
      </c>
      <c r="D812">
        <v>2.61</v>
      </c>
      <c r="E812">
        <v>0.49</v>
      </c>
      <c r="F812">
        <v>0</v>
      </c>
      <c r="G812">
        <v>811</v>
      </c>
      <c r="H812">
        <v>972</v>
      </c>
      <c r="I812">
        <v>324</v>
      </c>
      <c r="J812" t="s">
        <v>6279</v>
      </c>
    </row>
    <row r="813" spans="1:10">
      <c r="A813">
        <v>4571</v>
      </c>
      <c r="B813" t="s">
        <v>5576</v>
      </c>
      <c r="C813">
        <v>5.78</v>
      </c>
      <c r="D813">
        <v>66.09</v>
      </c>
      <c r="E813">
        <v>0</v>
      </c>
      <c r="F813">
        <v>0</v>
      </c>
      <c r="G813">
        <v>812</v>
      </c>
      <c r="H813">
        <v>33</v>
      </c>
      <c r="I813" t="s">
        <v>6279</v>
      </c>
      <c r="J813" t="s">
        <v>6279</v>
      </c>
    </row>
    <row r="814" spans="1:10">
      <c r="A814">
        <v>5289</v>
      </c>
      <c r="B814" t="s">
        <v>5668</v>
      </c>
      <c r="C814">
        <v>5.78</v>
      </c>
      <c r="D814">
        <v>36.479999999999997</v>
      </c>
      <c r="E814">
        <v>0.35</v>
      </c>
      <c r="F814">
        <v>0.98</v>
      </c>
      <c r="G814">
        <v>812</v>
      </c>
      <c r="H814">
        <v>135</v>
      </c>
      <c r="I814">
        <v>414</v>
      </c>
      <c r="J814">
        <v>195</v>
      </c>
    </row>
    <row r="815" spans="1:10">
      <c r="A815">
        <v>6147</v>
      </c>
      <c r="B815" t="s">
        <v>5766</v>
      </c>
      <c r="C815">
        <v>5.78</v>
      </c>
      <c r="D815">
        <v>22.77</v>
      </c>
      <c r="E815">
        <v>0.56999999999999995</v>
      </c>
      <c r="F815">
        <v>2.96</v>
      </c>
      <c r="G815">
        <v>812</v>
      </c>
      <c r="H815">
        <v>242</v>
      </c>
      <c r="I815">
        <v>294</v>
      </c>
      <c r="J815">
        <v>90</v>
      </c>
    </row>
    <row r="816" spans="1:10">
      <c r="A816">
        <v>8499</v>
      </c>
      <c r="B816" t="s">
        <v>6051</v>
      </c>
      <c r="C816">
        <v>5.73</v>
      </c>
      <c r="D816">
        <v>69.92</v>
      </c>
      <c r="E816">
        <v>0.1</v>
      </c>
      <c r="F816">
        <v>0</v>
      </c>
      <c r="G816">
        <v>815</v>
      </c>
      <c r="H816">
        <v>24</v>
      </c>
      <c r="I816">
        <v>741</v>
      </c>
      <c r="J816" t="s">
        <v>6279</v>
      </c>
    </row>
    <row r="817" spans="1:10">
      <c r="A817">
        <v>2727</v>
      </c>
      <c r="B817" t="s">
        <v>5212</v>
      </c>
      <c r="C817">
        <v>5.72</v>
      </c>
      <c r="D817">
        <v>5.71</v>
      </c>
      <c r="E817">
        <v>0.08</v>
      </c>
      <c r="F817">
        <v>0.42</v>
      </c>
      <c r="G817">
        <v>816</v>
      </c>
      <c r="H817">
        <v>731</v>
      </c>
      <c r="I817">
        <v>790</v>
      </c>
      <c r="J817">
        <v>269</v>
      </c>
    </row>
    <row r="818" spans="1:10">
      <c r="A818">
        <v>6499</v>
      </c>
      <c r="B818" t="s">
        <v>5888</v>
      </c>
      <c r="C818">
        <v>5.69</v>
      </c>
      <c r="D818">
        <v>12.57</v>
      </c>
      <c r="E818">
        <v>7.0000000000000007E-2</v>
      </c>
      <c r="F818">
        <v>0.86</v>
      </c>
      <c r="G818">
        <v>817</v>
      </c>
      <c r="H818">
        <v>418</v>
      </c>
      <c r="I818">
        <v>825</v>
      </c>
      <c r="J818">
        <v>207</v>
      </c>
    </row>
    <row r="819" spans="1:10">
      <c r="A819">
        <v>3543</v>
      </c>
      <c r="B819" t="s">
        <v>5440</v>
      </c>
      <c r="C819">
        <v>5.68</v>
      </c>
      <c r="D819">
        <v>0.33</v>
      </c>
      <c r="E819">
        <v>0.04</v>
      </c>
      <c r="F819">
        <v>0</v>
      </c>
      <c r="G819">
        <v>818</v>
      </c>
      <c r="H819">
        <v>1382</v>
      </c>
      <c r="I819">
        <v>946</v>
      </c>
      <c r="J819" t="s">
        <v>6279</v>
      </c>
    </row>
    <row r="820" spans="1:10">
      <c r="A820">
        <v>6016</v>
      </c>
      <c r="B820" t="s">
        <v>5737</v>
      </c>
      <c r="C820">
        <v>5.65</v>
      </c>
      <c r="D820">
        <v>2.38</v>
      </c>
      <c r="E820">
        <v>0</v>
      </c>
      <c r="F820">
        <v>0</v>
      </c>
      <c r="G820">
        <v>819</v>
      </c>
      <c r="H820">
        <v>999</v>
      </c>
      <c r="I820" t="s">
        <v>6279</v>
      </c>
      <c r="J820" t="s">
        <v>6279</v>
      </c>
    </row>
    <row r="821" spans="1:10">
      <c r="A821">
        <v>1714</v>
      </c>
      <c r="B821" t="s">
        <v>4929</v>
      </c>
      <c r="C821">
        <v>5.64</v>
      </c>
      <c r="D821">
        <v>18.68</v>
      </c>
      <c r="E821">
        <v>0.08</v>
      </c>
      <c r="F821">
        <v>0</v>
      </c>
      <c r="G821">
        <v>820</v>
      </c>
      <c r="H821">
        <v>296</v>
      </c>
      <c r="I821">
        <v>790</v>
      </c>
      <c r="J821" t="s">
        <v>6279</v>
      </c>
    </row>
    <row r="822" spans="1:10">
      <c r="A822">
        <v>1449</v>
      </c>
      <c r="B822" t="s">
        <v>6172</v>
      </c>
      <c r="C822">
        <v>5.63</v>
      </c>
      <c r="D822">
        <v>0.32</v>
      </c>
      <c r="E822">
        <v>15.34</v>
      </c>
      <c r="F822">
        <v>0</v>
      </c>
      <c r="G822">
        <v>821</v>
      </c>
      <c r="H822">
        <v>1384</v>
      </c>
      <c r="I822">
        <v>1</v>
      </c>
      <c r="J822" t="s">
        <v>6279</v>
      </c>
    </row>
    <row r="823" spans="1:10">
      <c r="A823">
        <v>2348</v>
      </c>
      <c r="B823" t="s">
        <v>5053</v>
      </c>
      <c r="C823">
        <v>5.62</v>
      </c>
      <c r="D823">
        <v>1.27</v>
      </c>
      <c r="E823">
        <v>0.02</v>
      </c>
      <c r="F823">
        <v>0</v>
      </c>
      <c r="G823">
        <v>822</v>
      </c>
      <c r="H823">
        <v>1172</v>
      </c>
      <c r="I823">
        <v>1051</v>
      </c>
      <c r="J823" t="s">
        <v>6279</v>
      </c>
    </row>
    <row r="824" spans="1:10">
      <c r="A824">
        <v>3015</v>
      </c>
      <c r="B824" t="s">
        <v>5273</v>
      </c>
      <c r="C824">
        <v>5.62</v>
      </c>
      <c r="D824">
        <v>11.27</v>
      </c>
      <c r="E824">
        <v>0.03</v>
      </c>
      <c r="F824">
        <v>0.02</v>
      </c>
      <c r="G824">
        <v>822</v>
      </c>
      <c r="H824">
        <v>459</v>
      </c>
      <c r="I824">
        <v>990</v>
      </c>
      <c r="J824">
        <v>476</v>
      </c>
    </row>
    <row r="825" spans="1:10">
      <c r="A825">
        <v>3537</v>
      </c>
      <c r="B825" t="s">
        <v>5437</v>
      </c>
      <c r="C825">
        <v>5.62</v>
      </c>
      <c r="D825">
        <v>4.3</v>
      </c>
      <c r="E825">
        <v>0.42</v>
      </c>
      <c r="F825">
        <v>0</v>
      </c>
      <c r="G825">
        <v>822</v>
      </c>
      <c r="H825">
        <v>823</v>
      </c>
      <c r="I825">
        <v>357</v>
      </c>
      <c r="J825" t="s">
        <v>6279</v>
      </c>
    </row>
    <row r="826" spans="1:10">
      <c r="A826">
        <v>8240</v>
      </c>
      <c r="B826" t="s">
        <v>6003</v>
      </c>
      <c r="C826">
        <v>5.62</v>
      </c>
      <c r="D826">
        <v>5.72</v>
      </c>
      <c r="E826">
        <v>0</v>
      </c>
      <c r="F826">
        <v>0</v>
      </c>
      <c r="G826">
        <v>822</v>
      </c>
      <c r="H826">
        <v>730</v>
      </c>
      <c r="I826" t="s">
        <v>6279</v>
      </c>
      <c r="J826" t="s">
        <v>6279</v>
      </c>
    </row>
    <row r="827" spans="1:10">
      <c r="A827">
        <v>2464</v>
      </c>
      <c r="B827" t="s">
        <v>5127</v>
      </c>
      <c r="C827">
        <v>5.61</v>
      </c>
      <c r="D827">
        <v>5.36</v>
      </c>
      <c r="E827">
        <v>0.21</v>
      </c>
      <c r="F827">
        <v>0</v>
      </c>
      <c r="G827">
        <v>826</v>
      </c>
      <c r="H827">
        <v>753</v>
      </c>
      <c r="I827">
        <v>550</v>
      </c>
      <c r="J827" t="s">
        <v>6279</v>
      </c>
    </row>
    <row r="828" spans="1:10">
      <c r="A828">
        <v>8069</v>
      </c>
      <c r="B828" t="s">
        <v>5967</v>
      </c>
      <c r="C828">
        <v>5.6</v>
      </c>
      <c r="D828">
        <v>36.51</v>
      </c>
      <c r="E828">
        <v>1.21</v>
      </c>
      <c r="F828">
        <v>4.97</v>
      </c>
      <c r="G828">
        <v>827</v>
      </c>
      <c r="H828">
        <v>134</v>
      </c>
      <c r="I828">
        <v>142</v>
      </c>
      <c r="J828">
        <v>58</v>
      </c>
    </row>
    <row r="829" spans="1:10">
      <c r="A829">
        <v>6160</v>
      </c>
      <c r="B829" t="s">
        <v>6304</v>
      </c>
      <c r="C829">
        <v>5.58</v>
      </c>
      <c r="D829">
        <v>2.5499999999999998</v>
      </c>
      <c r="E829">
        <v>0.09</v>
      </c>
      <c r="F829">
        <v>0</v>
      </c>
      <c r="G829">
        <v>828</v>
      </c>
      <c r="H829">
        <v>976</v>
      </c>
      <c r="I829">
        <v>762</v>
      </c>
      <c r="J829" t="s">
        <v>6279</v>
      </c>
    </row>
    <row r="830" spans="1:10">
      <c r="A830">
        <v>1568</v>
      </c>
      <c r="B830" t="s">
        <v>4891</v>
      </c>
      <c r="C830">
        <v>5.54</v>
      </c>
      <c r="D830">
        <v>1.2</v>
      </c>
      <c r="E830">
        <v>0.08</v>
      </c>
      <c r="F830">
        <v>0</v>
      </c>
      <c r="G830">
        <v>829</v>
      </c>
      <c r="H830">
        <v>1186</v>
      </c>
      <c r="I830">
        <v>790</v>
      </c>
      <c r="J830" t="s">
        <v>6279</v>
      </c>
    </row>
    <row r="831" spans="1:10">
      <c r="A831">
        <v>2010</v>
      </c>
      <c r="B831" t="s">
        <v>4977</v>
      </c>
      <c r="C831">
        <v>5.54</v>
      </c>
      <c r="D831">
        <v>5.22</v>
      </c>
      <c r="E831">
        <v>0.01</v>
      </c>
      <c r="F831">
        <v>0</v>
      </c>
      <c r="G831">
        <v>829</v>
      </c>
      <c r="H831">
        <v>763</v>
      </c>
      <c r="I831">
        <v>1123</v>
      </c>
      <c r="J831" t="s">
        <v>6279</v>
      </c>
    </row>
    <row r="832" spans="1:10">
      <c r="A832">
        <v>9951</v>
      </c>
      <c r="B832" t="s">
        <v>6098</v>
      </c>
      <c r="C832">
        <v>5.46</v>
      </c>
      <c r="D832">
        <v>8.5399999999999991</v>
      </c>
      <c r="E832">
        <v>0.19</v>
      </c>
      <c r="F832">
        <v>0</v>
      </c>
      <c r="G832">
        <v>831</v>
      </c>
      <c r="H832">
        <v>563</v>
      </c>
      <c r="I832">
        <v>577</v>
      </c>
      <c r="J832" t="s">
        <v>6279</v>
      </c>
    </row>
    <row r="833" spans="1:10">
      <c r="A833">
        <v>2020</v>
      </c>
      <c r="B833" t="s">
        <v>4983</v>
      </c>
      <c r="C833">
        <v>5.42</v>
      </c>
      <c r="D833">
        <v>2.52</v>
      </c>
      <c r="E833">
        <v>0.61</v>
      </c>
      <c r="F833">
        <v>0</v>
      </c>
      <c r="G833">
        <v>832</v>
      </c>
      <c r="H833">
        <v>979</v>
      </c>
      <c r="I833">
        <v>280</v>
      </c>
      <c r="J833" t="s">
        <v>6279</v>
      </c>
    </row>
    <row r="834" spans="1:10">
      <c r="A834">
        <v>1440</v>
      </c>
      <c r="B834" t="s">
        <v>4838</v>
      </c>
      <c r="C834">
        <v>5.41</v>
      </c>
      <c r="D834">
        <v>5.62</v>
      </c>
      <c r="E834">
        <v>0.17</v>
      </c>
      <c r="F834">
        <v>0.01</v>
      </c>
      <c r="G834">
        <v>833</v>
      </c>
      <c r="H834">
        <v>737</v>
      </c>
      <c r="I834">
        <v>596</v>
      </c>
      <c r="J834">
        <v>495</v>
      </c>
    </row>
    <row r="835" spans="1:10">
      <c r="A835">
        <v>2355</v>
      </c>
      <c r="B835" t="s">
        <v>5058</v>
      </c>
      <c r="C835">
        <v>5.4</v>
      </c>
      <c r="D835">
        <v>13.8</v>
      </c>
      <c r="E835">
        <v>7.0000000000000007E-2</v>
      </c>
      <c r="F835">
        <v>0</v>
      </c>
      <c r="G835">
        <v>834</v>
      </c>
      <c r="H835">
        <v>392</v>
      </c>
      <c r="I835">
        <v>825</v>
      </c>
      <c r="J835" t="s">
        <v>6279</v>
      </c>
    </row>
    <row r="836" spans="1:10">
      <c r="A836">
        <v>4711</v>
      </c>
      <c r="B836" t="s">
        <v>5583</v>
      </c>
      <c r="C836">
        <v>5.31</v>
      </c>
      <c r="D836">
        <v>1.31</v>
      </c>
      <c r="E836">
        <v>1.29</v>
      </c>
      <c r="F836">
        <v>0</v>
      </c>
      <c r="G836">
        <v>835</v>
      </c>
      <c r="H836">
        <v>1160</v>
      </c>
      <c r="I836">
        <v>130</v>
      </c>
      <c r="J836" t="s">
        <v>6279</v>
      </c>
    </row>
    <row r="837" spans="1:10">
      <c r="A837">
        <v>2505</v>
      </c>
      <c r="B837" t="s">
        <v>5156</v>
      </c>
      <c r="C837">
        <v>5.3</v>
      </c>
      <c r="D837">
        <v>5.48</v>
      </c>
      <c r="E837">
        <v>0.59</v>
      </c>
      <c r="F837">
        <v>0</v>
      </c>
      <c r="G837">
        <v>836</v>
      </c>
      <c r="H837">
        <v>747</v>
      </c>
      <c r="I837">
        <v>286</v>
      </c>
      <c r="J837" t="s">
        <v>6279</v>
      </c>
    </row>
    <row r="838" spans="1:10">
      <c r="A838">
        <v>6515</v>
      </c>
      <c r="B838" t="s">
        <v>5896</v>
      </c>
      <c r="C838">
        <v>5.29</v>
      </c>
      <c r="D838">
        <v>7.95</v>
      </c>
      <c r="E838">
        <v>0.04</v>
      </c>
      <c r="F838">
        <v>9.09</v>
      </c>
      <c r="G838">
        <v>837</v>
      </c>
      <c r="H838">
        <v>587</v>
      </c>
      <c r="I838">
        <v>946</v>
      </c>
      <c r="J838">
        <v>19</v>
      </c>
    </row>
    <row r="839" spans="1:10">
      <c r="A839">
        <v>1309</v>
      </c>
      <c r="B839" t="s">
        <v>4806</v>
      </c>
      <c r="C839">
        <v>5.28</v>
      </c>
      <c r="D839">
        <v>2.76</v>
      </c>
      <c r="E839">
        <v>0.33</v>
      </c>
      <c r="F839">
        <v>0.01</v>
      </c>
      <c r="G839">
        <v>838</v>
      </c>
      <c r="H839">
        <v>947</v>
      </c>
      <c r="I839">
        <v>433</v>
      </c>
      <c r="J839">
        <v>495</v>
      </c>
    </row>
    <row r="840" spans="1:10">
      <c r="A840">
        <v>4807</v>
      </c>
      <c r="B840" t="s">
        <v>5603</v>
      </c>
      <c r="C840">
        <v>5.28</v>
      </c>
      <c r="D840">
        <v>72.959999999999994</v>
      </c>
      <c r="E840">
        <v>0.12</v>
      </c>
      <c r="F840">
        <v>0</v>
      </c>
      <c r="G840">
        <v>838</v>
      </c>
      <c r="H840">
        <v>19</v>
      </c>
      <c r="I840">
        <v>696</v>
      </c>
      <c r="J840" t="s">
        <v>6279</v>
      </c>
    </row>
    <row r="841" spans="1:10">
      <c r="A841">
        <v>1308</v>
      </c>
      <c r="B841" t="s">
        <v>4805</v>
      </c>
      <c r="C841">
        <v>5.26</v>
      </c>
      <c r="D841">
        <v>6.9</v>
      </c>
      <c r="E841">
        <v>0.35</v>
      </c>
      <c r="F841">
        <v>1.75</v>
      </c>
      <c r="G841">
        <v>840</v>
      </c>
      <c r="H841">
        <v>650</v>
      </c>
      <c r="I841">
        <v>414</v>
      </c>
      <c r="J841">
        <v>141</v>
      </c>
    </row>
    <row r="842" spans="1:10">
      <c r="A842">
        <v>1603</v>
      </c>
      <c r="B842" t="s">
        <v>4908</v>
      </c>
      <c r="C842">
        <v>5.22</v>
      </c>
      <c r="D842">
        <v>1.74</v>
      </c>
      <c r="E842">
        <v>0.13</v>
      </c>
      <c r="F842">
        <v>0</v>
      </c>
      <c r="G842">
        <v>841</v>
      </c>
      <c r="H842">
        <v>1092</v>
      </c>
      <c r="I842">
        <v>671</v>
      </c>
      <c r="J842" t="s">
        <v>6279</v>
      </c>
    </row>
    <row r="843" spans="1:10">
      <c r="A843">
        <v>3380</v>
      </c>
      <c r="B843" t="s">
        <v>5394</v>
      </c>
      <c r="C843">
        <v>5.22</v>
      </c>
      <c r="D843">
        <v>5.25</v>
      </c>
      <c r="E843">
        <v>0</v>
      </c>
      <c r="F843">
        <v>0</v>
      </c>
      <c r="G843">
        <v>841</v>
      </c>
      <c r="H843">
        <v>761</v>
      </c>
      <c r="I843" t="s">
        <v>6279</v>
      </c>
      <c r="J843" t="s">
        <v>6279</v>
      </c>
    </row>
    <row r="844" spans="1:10">
      <c r="A844">
        <v>2108</v>
      </c>
      <c r="B844" t="s">
        <v>5008</v>
      </c>
      <c r="C844">
        <v>5.21</v>
      </c>
      <c r="D844">
        <v>8.39</v>
      </c>
      <c r="E844">
        <v>2.2599999999999998</v>
      </c>
      <c r="F844">
        <v>0.22</v>
      </c>
      <c r="G844">
        <v>843</v>
      </c>
      <c r="H844">
        <v>567</v>
      </c>
      <c r="I844">
        <v>71</v>
      </c>
      <c r="J844">
        <v>318</v>
      </c>
    </row>
    <row r="845" spans="1:10">
      <c r="A845">
        <v>5220</v>
      </c>
      <c r="B845" t="s">
        <v>6184</v>
      </c>
      <c r="C845">
        <v>5.18</v>
      </c>
      <c r="D845">
        <v>0.88</v>
      </c>
      <c r="E845">
        <v>0</v>
      </c>
      <c r="F845">
        <v>1.71</v>
      </c>
      <c r="G845">
        <v>844</v>
      </c>
      <c r="H845">
        <v>1245</v>
      </c>
      <c r="I845" t="s">
        <v>6279</v>
      </c>
      <c r="J845">
        <v>145</v>
      </c>
    </row>
    <row r="846" spans="1:10">
      <c r="A846">
        <v>2239</v>
      </c>
      <c r="B846" t="s">
        <v>5024</v>
      </c>
      <c r="C846">
        <v>5.17</v>
      </c>
      <c r="D846">
        <v>75.69</v>
      </c>
      <c r="E846">
        <v>0.04</v>
      </c>
      <c r="F846">
        <v>0</v>
      </c>
      <c r="G846">
        <v>845</v>
      </c>
      <c r="H846">
        <v>15</v>
      </c>
      <c r="I846">
        <v>946</v>
      </c>
      <c r="J846" t="s">
        <v>6279</v>
      </c>
    </row>
    <row r="847" spans="1:10">
      <c r="A847">
        <v>5234</v>
      </c>
      <c r="B847" t="s">
        <v>5653</v>
      </c>
      <c r="C847">
        <v>5.14</v>
      </c>
      <c r="D847">
        <v>10.72</v>
      </c>
      <c r="E847">
        <v>0.23</v>
      </c>
      <c r="F847">
        <v>1.1000000000000001</v>
      </c>
      <c r="G847">
        <v>846</v>
      </c>
      <c r="H847">
        <v>481</v>
      </c>
      <c r="I847">
        <v>525</v>
      </c>
      <c r="J847">
        <v>184</v>
      </c>
    </row>
    <row r="848" spans="1:10">
      <c r="A848">
        <v>2477</v>
      </c>
      <c r="B848" t="s">
        <v>5136</v>
      </c>
      <c r="C848">
        <v>5.13</v>
      </c>
      <c r="D848">
        <v>22.16</v>
      </c>
      <c r="E848">
        <v>0.02</v>
      </c>
      <c r="F848">
        <v>0</v>
      </c>
      <c r="G848">
        <v>847</v>
      </c>
      <c r="H848">
        <v>251</v>
      </c>
      <c r="I848">
        <v>1051</v>
      </c>
      <c r="J848" t="s">
        <v>6279</v>
      </c>
    </row>
    <row r="849" spans="1:10">
      <c r="A849">
        <v>2634</v>
      </c>
      <c r="B849" t="s">
        <v>5197</v>
      </c>
      <c r="C849">
        <v>5.13</v>
      </c>
      <c r="D849">
        <v>6.03</v>
      </c>
      <c r="E849">
        <v>0.26</v>
      </c>
      <c r="F849">
        <v>0.73</v>
      </c>
      <c r="G849">
        <v>847</v>
      </c>
      <c r="H849">
        <v>703</v>
      </c>
      <c r="I849">
        <v>501</v>
      </c>
      <c r="J849">
        <v>221</v>
      </c>
    </row>
    <row r="850" spans="1:10">
      <c r="A850">
        <v>4540</v>
      </c>
      <c r="B850" t="s">
        <v>5563</v>
      </c>
      <c r="C850">
        <v>5.13</v>
      </c>
      <c r="D850">
        <v>2.77</v>
      </c>
      <c r="E850">
        <v>0.01</v>
      </c>
      <c r="F850">
        <v>0</v>
      </c>
      <c r="G850">
        <v>847</v>
      </c>
      <c r="H850">
        <v>945</v>
      </c>
      <c r="I850">
        <v>1123</v>
      </c>
      <c r="J850" t="s">
        <v>6279</v>
      </c>
    </row>
    <row r="851" spans="1:10">
      <c r="A851">
        <v>8367</v>
      </c>
      <c r="B851" t="s">
        <v>6014</v>
      </c>
      <c r="C851">
        <v>5.1100000000000003</v>
      </c>
      <c r="D851">
        <v>1.74</v>
      </c>
      <c r="E851">
        <v>0</v>
      </c>
      <c r="F851">
        <v>0</v>
      </c>
      <c r="G851">
        <v>850</v>
      </c>
      <c r="H851">
        <v>1092</v>
      </c>
      <c r="I851" t="s">
        <v>6279</v>
      </c>
      <c r="J851" t="s">
        <v>6279</v>
      </c>
    </row>
    <row r="852" spans="1:10">
      <c r="A852">
        <v>4707</v>
      </c>
      <c r="B852" t="s">
        <v>5582</v>
      </c>
      <c r="C852">
        <v>5.09</v>
      </c>
      <c r="D852">
        <v>0.44</v>
      </c>
      <c r="E852">
        <v>0.03</v>
      </c>
      <c r="F852">
        <v>0</v>
      </c>
      <c r="G852">
        <v>851</v>
      </c>
      <c r="H852">
        <v>1348</v>
      </c>
      <c r="I852">
        <v>990</v>
      </c>
      <c r="J852" t="s">
        <v>6279</v>
      </c>
    </row>
    <row r="853" spans="1:10">
      <c r="A853">
        <v>3268</v>
      </c>
      <c r="B853" t="s">
        <v>5360</v>
      </c>
      <c r="C853">
        <v>5.05</v>
      </c>
      <c r="D853">
        <v>0.41</v>
      </c>
      <c r="E853">
        <v>0</v>
      </c>
      <c r="F853">
        <v>0</v>
      </c>
      <c r="G853">
        <v>852</v>
      </c>
      <c r="H853">
        <v>1354</v>
      </c>
      <c r="I853" t="s">
        <v>6279</v>
      </c>
      <c r="J853" t="s">
        <v>6279</v>
      </c>
    </row>
    <row r="854" spans="1:10">
      <c r="A854">
        <v>3105</v>
      </c>
      <c r="B854" t="s">
        <v>5319</v>
      </c>
      <c r="C854">
        <v>5.04</v>
      </c>
      <c r="D854">
        <v>43.7</v>
      </c>
      <c r="E854">
        <v>1.51</v>
      </c>
      <c r="F854">
        <v>1.36</v>
      </c>
      <c r="G854">
        <v>853</v>
      </c>
      <c r="H854">
        <v>98</v>
      </c>
      <c r="I854">
        <v>104</v>
      </c>
      <c r="J854">
        <v>163</v>
      </c>
    </row>
    <row r="855" spans="1:10">
      <c r="A855">
        <v>2491</v>
      </c>
      <c r="B855" t="s">
        <v>5147</v>
      </c>
      <c r="C855">
        <v>5.03</v>
      </c>
      <c r="D855">
        <v>5.49</v>
      </c>
      <c r="E855">
        <v>0.27</v>
      </c>
      <c r="F855">
        <v>7.0000000000000007E-2</v>
      </c>
      <c r="G855">
        <v>854</v>
      </c>
      <c r="H855">
        <v>744</v>
      </c>
      <c r="I855">
        <v>487</v>
      </c>
      <c r="J855">
        <v>403</v>
      </c>
    </row>
    <row r="856" spans="1:10">
      <c r="A856">
        <v>4126</v>
      </c>
      <c r="B856" t="s">
        <v>5518</v>
      </c>
      <c r="C856">
        <v>5.03</v>
      </c>
      <c r="D856">
        <v>9.8699999999999992</v>
      </c>
      <c r="E856">
        <v>0.19</v>
      </c>
      <c r="F856">
        <v>0</v>
      </c>
      <c r="G856">
        <v>854</v>
      </c>
      <c r="H856">
        <v>513</v>
      </c>
      <c r="I856">
        <v>577</v>
      </c>
      <c r="J856" t="s">
        <v>6279</v>
      </c>
    </row>
    <row r="857" spans="1:10">
      <c r="A857">
        <v>3031</v>
      </c>
      <c r="B857" t="s">
        <v>5286</v>
      </c>
      <c r="C857">
        <v>5.01</v>
      </c>
      <c r="D857">
        <v>1.54</v>
      </c>
      <c r="E857">
        <v>0.04</v>
      </c>
      <c r="F857">
        <v>0</v>
      </c>
      <c r="G857">
        <v>856</v>
      </c>
      <c r="H857">
        <v>1117</v>
      </c>
      <c r="I857">
        <v>946</v>
      </c>
      <c r="J857" t="s">
        <v>6279</v>
      </c>
    </row>
    <row r="858" spans="1:10">
      <c r="A858">
        <v>8931</v>
      </c>
      <c r="B858" t="s">
        <v>6060</v>
      </c>
      <c r="C858">
        <v>5</v>
      </c>
      <c r="D858">
        <v>0.04</v>
      </c>
      <c r="E858">
        <v>0.08</v>
      </c>
      <c r="F858">
        <v>0</v>
      </c>
      <c r="G858">
        <v>857</v>
      </c>
      <c r="H858">
        <v>1462</v>
      </c>
      <c r="I858">
        <v>790</v>
      </c>
      <c r="J858" t="s">
        <v>6279</v>
      </c>
    </row>
    <row r="859" spans="1:10">
      <c r="A859">
        <v>5490</v>
      </c>
      <c r="B859" t="s">
        <v>6153</v>
      </c>
      <c r="C859">
        <v>4.97</v>
      </c>
      <c r="D859">
        <v>3.54</v>
      </c>
      <c r="E859">
        <v>0.2</v>
      </c>
      <c r="F859">
        <v>0</v>
      </c>
      <c r="G859">
        <v>858</v>
      </c>
      <c r="H859">
        <v>873</v>
      </c>
      <c r="I859">
        <v>565</v>
      </c>
      <c r="J859" t="s">
        <v>6279</v>
      </c>
    </row>
    <row r="860" spans="1:10">
      <c r="A860">
        <v>1452</v>
      </c>
      <c r="B860" t="s">
        <v>4845</v>
      </c>
      <c r="C860">
        <v>4.96</v>
      </c>
      <c r="D860">
        <v>3.47</v>
      </c>
      <c r="E860">
        <v>0.23</v>
      </c>
      <c r="F860">
        <v>0</v>
      </c>
      <c r="G860">
        <v>859</v>
      </c>
      <c r="H860">
        <v>883</v>
      </c>
      <c r="I860">
        <v>525</v>
      </c>
      <c r="J860" t="s">
        <v>6279</v>
      </c>
    </row>
    <row r="861" spans="1:10">
      <c r="A861">
        <v>3529</v>
      </c>
      <c r="B861" t="s">
        <v>5432</v>
      </c>
      <c r="C861">
        <v>4.96</v>
      </c>
      <c r="D861">
        <v>57.39</v>
      </c>
      <c r="E861">
        <v>5.68</v>
      </c>
      <c r="F861">
        <v>10.65</v>
      </c>
      <c r="G861">
        <v>859</v>
      </c>
      <c r="H861">
        <v>53</v>
      </c>
      <c r="I861">
        <v>14</v>
      </c>
      <c r="J861">
        <v>13</v>
      </c>
    </row>
    <row r="862" spans="1:10">
      <c r="A862">
        <v>2064</v>
      </c>
      <c r="B862" t="s">
        <v>4998</v>
      </c>
      <c r="C862">
        <v>4.93</v>
      </c>
      <c r="D862">
        <v>1.02</v>
      </c>
      <c r="E862">
        <v>0.04</v>
      </c>
      <c r="F862">
        <v>0</v>
      </c>
      <c r="G862">
        <v>861</v>
      </c>
      <c r="H862">
        <v>1218</v>
      </c>
      <c r="I862">
        <v>946</v>
      </c>
      <c r="J862" t="s">
        <v>6279</v>
      </c>
    </row>
    <row r="863" spans="1:10">
      <c r="A863">
        <v>2867</v>
      </c>
      <c r="B863" t="s">
        <v>5233</v>
      </c>
      <c r="C863">
        <v>4.82</v>
      </c>
      <c r="D863">
        <v>5.43</v>
      </c>
      <c r="E863">
        <v>0.01</v>
      </c>
      <c r="F863">
        <v>0</v>
      </c>
      <c r="G863">
        <v>862</v>
      </c>
      <c r="H863">
        <v>750</v>
      </c>
      <c r="I863">
        <v>1123</v>
      </c>
      <c r="J863" t="s">
        <v>6279</v>
      </c>
    </row>
    <row r="864" spans="1:10">
      <c r="A864">
        <v>6548</v>
      </c>
      <c r="B864" t="s">
        <v>5904</v>
      </c>
      <c r="C864">
        <v>4.82</v>
      </c>
      <c r="D864">
        <v>6.31</v>
      </c>
      <c r="E864">
        <v>0.01</v>
      </c>
      <c r="F864">
        <v>0.36</v>
      </c>
      <c r="G864">
        <v>862</v>
      </c>
      <c r="H864">
        <v>693</v>
      </c>
      <c r="I864">
        <v>1123</v>
      </c>
      <c r="J864">
        <v>281</v>
      </c>
    </row>
    <row r="865" spans="1:10">
      <c r="A865">
        <v>5607</v>
      </c>
      <c r="B865" t="s">
        <v>5720</v>
      </c>
      <c r="C865">
        <v>4.8</v>
      </c>
      <c r="D865">
        <v>4.68</v>
      </c>
      <c r="E865">
        <v>0.05</v>
      </c>
      <c r="F865">
        <v>0</v>
      </c>
      <c r="G865">
        <v>864</v>
      </c>
      <c r="H865">
        <v>801</v>
      </c>
      <c r="I865">
        <v>908</v>
      </c>
      <c r="J865" t="s">
        <v>6279</v>
      </c>
    </row>
    <row r="866" spans="1:10">
      <c r="A866">
        <v>8383</v>
      </c>
      <c r="B866" t="s">
        <v>6016</v>
      </c>
      <c r="C866">
        <v>4.7699999999999996</v>
      </c>
      <c r="D866">
        <v>7.1</v>
      </c>
      <c r="E866">
        <v>0.28000000000000003</v>
      </c>
      <c r="F866">
        <v>0</v>
      </c>
      <c r="G866">
        <v>865</v>
      </c>
      <c r="H866">
        <v>633</v>
      </c>
      <c r="I866">
        <v>478</v>
      </c>
      <c r="J866" t="s">
        <v>6279</v>
      </c>
    </row>
    <row r="867" spans="1:10">
      <c r="A867">
        <v>4161</v>
      </c>
      <c r="B867" t="s">
        <v>5530</v>
      </c>
      <c r="C867">
        <v>4.76</v>
      </c>
      <c r="D867">
        <v>0.11</v>
      </c>
      <c r="E867">
        <v>0</v>
      </c>
      <c r="F867">
        <v>0</v>
      </c>
      <c r="G867">
        <v>866</v>
      </c>
      <c r="H867">
        <v>1440</v>
      </c>
      <c r="I867" t="s">
        <v>6279</v>
      </c>
      <c r="J867" t="s">
        <v>6279</v>
      </c>
    </row>
    <row r="868" spans="1:10">
      <c r="A868">
        <v>6177</v>
      </c>
      <c r="B868" t="s">
        <v>5786</v>
      </c>
      <c r="C868">
        <v>4.75</v>
      </c>
      <c r="D868">
        <v>3.48</v>
      </c>
      <c r="E868">
        <v>0</v>
      </c>
      <c r="F868">
        <v>0</v>
      </c>
      <c r="G868">
        <v>867</v>
      </c>
      <c r="H868">
        <v>881</v>
      </c>
      <c r="I868" t="s">
        <v>6279</v>
      </c>
      <c r="J868" t="s">
        <v>6279</v>
      </c>
    </row>
    <row r="869" spans="1:10">
      <c r="A869">
        <v>1587</v>
      </c>
      <c r="B869" t="s">
        <v>4899</v>
      </c>
      <c r="C869">
        <v>4.74</v>
      </c>
      <c r="D869">
        <v>21.2</v>
      </c>
      <c r="E869">
        <v>0.03</v>
      </c>
      <c r="F869">
        <v>0</v>
      </c>
      <c r="G869">
        <v>868</v>
      </c>
      <c r="H869">
        <v>267</v>
      </c>
      <c r="I869">
        <v>990</v>
      </c>
      <c r="J869" t="s">
        <v>6279</v>
      </c>
    </row>
    <row r="870" spans="1:10">
      <c r="A870">
        <v>2723</v>
      </c>
      <c r="B870" t="s">
        <v>5210</v>
      </c>
      <c r="C870">
        <v>4.74</v>
      </c>
      <c r="D870">
        <v>47.94</v>
      </c>
      <c r="E870">
        <v>0.04</v>
      </c>
      <c r="F870">
        <v>0.01</v>
      </c>
      <c r="G870">
        <v>868</v>
      </c>
      <c r="H870">
        <v>81</v>
      </c>
      <c r="I870">
        <v>946</v>
      </c>
      <c r="J870">
        <v>495</v>
      </c>
    </row>
    <row r="871" spans="1:10">
      <c r="A871">
        <v>1712</v>
      </c>
      <c r="B871" t="s">
        <v>4927</v>
      </c>
      <c r="C871">
        <v>4.7300000000000004</v>
      </c>
      <c r="D871">
        <v>9.98</v>
      </c>
      <c r="E871">
        <v>0.28999999999999998</v>
      </c>
      <c r="F871">
        <v>0.01</v>
      </c>
      <c r="G871">
        <v>870</v>
      </c>
      <c r="H871">
        <v>510</v>
      </c>
      <c r="I871">
        <v>467</v>
      </c>
      <c r="J871">
        <v>495</v>
      </c>
    </row>
    <row r="872" spans="1:10">
      <c r="A872">
        <v>6220</v>
      </c>
      <c r="B872" t="s">
        <v>5817</v>
      </c>
      <c r="C872">
        <v>4.7300000000000004</v>
      </c>
      <c r="D872">
        <v>1.58</v>
      </c>
      <c r="E872">
        <v>0.54</v>
      </c>
      <c r="F872">
        <v>0</v>
      </c>
      <c r="G872">
        <v>870</v>
      </c>
      <c r="H872">
        <v>1110</v>
      </c>
      <c r="I872">
        <v>302</v>
      </c>
      <c r="J872" t="s">
        <v>6279</v>
      </c>
    </row>
    <row r="873" spans="1:10">
      <c r="A873">
        <v>4502</v>
      </c>
      <c r="B873" t="s">
        <v>6307</v>
      </c>
      <c r="C873">
        <v>4.72</v>
      </c>
      <c r="D873">
        <v>1.07</v>
      </c>
      <c r="E873">
        <v>0</v>
      </c>
      <c r="F873">
        <v>0</v>
      </c>
      <c r="G873">
        <v>872</v>
      </c>
      <c r="H873">
        <v>1208</v>
      </c>
      <c r="I873" t="s">
        <v>6279</v>
      </c>
      <c r="J873" t="s">
        <v>6279</v>
      </c>
    </row>
    <row r="874" spans="1:10">
      <c r="A874">
        <v>2049</v>
      </c>
      <c r="B874" t="s">
        <v>4996</v>
      </c>
      <c r="C874">
        <v>4.71</v>
      </c>
      <c r="D874">
        <v>39.450000000000003</v>
      </c>
      <c r="E874">
        <v>2.33</v>
      </c>
      <c r="F874">
        <v>0.25</v>
      </c>
      <c r="G874">
        <v>873</v>
      </c>
      <c r="H874">
        <v>122</v>
      </c>
      <c r="I874">
        <v>67</v>
      </c>
      <c r="J874">
        <v>308</v>
      </c>
    </row>
    <row r="875" spans="1:10">
      <c r="A875">
        <v>2393</v>
      </c>
      <c r="B875" t="s">
        <v>5084</v>
      </c>
      <c r="C875">
        <v>4.6900000000000004</v>
      </c>
      <c r="D875">
        <v>30.97</v>
      </c>
      <c r="E875">
        <v>0.87</v>
      </c>
      <c r="F875">
        <v>0.2</v>
      </c>
      <c r="G875">
        <v>874</v>
      </c>
      <c r="H875">
        <v>174</v>
      </c>
      <c r="I875">
        <v>198</v>
      </c>
      <c r="J875">
        <v>330</v>
      </c>
    </row>
    <row r="876" spans="1:10">
      <c r="A876">
        <v>3008</v>
      </c>
      <c r="B876" t="s">
        <v>5269</v>
      </c>
      <c r="C876">
        <v>4.68</v>
      </c>
      <c r="D876">
        <v>35.93</v>
      </c>
      <c r="E876">
        <v>2.4500000000000002</v>
      </c>
      <c r="F876">
        <v>1.1299999999999999</v>
      </c>
      <c r="G876">
        <v>875</v>
      </c>
      <c r="H876">
        <v>138</v>
      </c>
      <c r="I876">
        <v>59</v>
      </c>
      <c r="J876">
        <v>181</v>
      </c>
    </row>
    <row r="877" spans="1:10">
      <c r="A877">
        <v>4942</v>
      </c>
      <c r="B877" t="s">
        <v>5618</v>
      </c>
      <c r="C877">
        <v>4.68</v>
      </c>
      <c r="D877">
        <v>14.31</v>
      </c>
      <c r="E877">
        <v>0.28000000000000003</v>
      </c>
      <c r="F877">
        <v>0.01</v>
      </c>
      <c r="G877">
        <v>875</v>
      </c>
      <c r="H877">
        <v>379</v>
      </c>
      <c r="I877">
        <v>478</v>
      </c>
      <c r="J877">
        <v>495</v>
      </c>
    </row>
    <row r="878" spans="1:10">
      <c r="A878">
        <v>5533</v>
      </c>
      <c r="B878" t="s">
        <v>5713</v>
      </c>
      <c r="C878">
        <v>4.68</v>
      </c>
      <c r="D878">
        <v>3.41</v>
      </c>
      <c r="E878">
        <v>0.04</v>
      </c>
      <c r="F878">
        <v>0</v>
      </c>
      <c r="G878">
        <v>875</v>
      </c>
      <c r="H878">
        <v>892</v>
      </c>
      <c r="I878">
        <v>946</v>
      </c>
      <c r="J878" t="s">
        <v>6279</v>
      </c>
    </row>
    <row r="879" spans="1:10">
      <c r="A879">
        <v>4105</v>
      </c>
      <c r="B879" t="s">
        <v>5507</v>
      </c>
      <c r="C879">
        <v>4.59</v>
      </c>
      <c r="D879">
        <v>14.51</v>
      </c>
      <c r="E879">
        <v>0.19</v>
      </c>
      <c r="F879">
        <v>1.17</v>
      </c>
      <c r="G879">
        <v>878</v>
      </c>
      <c r="H879">
        <v>371</v>
      </c>
      <c r="I879">
        <v>577</v>
      </c>
      <c r="J879">
        <v>177</v>
      </c>
    </row>
    <row r="880" spans="1:10">
      <c r="A880">
        <v>6196</v>
      </c>
      <c r="B880" t="s">
        <v>5800</v>
      </c>
      <c r="C880">
        <v>4.59</v>
      </c>
      <c r="D880">
        <v>7.51</v>
      </c>
      <c r="E880">
        <v>0.15</v>
      </c>
      <c r="F880">
        <v>0.24</v>
      </c>
      <c r="G880">
        <v>878</v>
      </c>
      <c r="H880">
        <v>602</v>
      </c>
      <c r="I880">
        <v>635</v>
      </c>
      <c r="J880">
        <v>312</v>
      </c>
    </row>
    <row r="881" spans="1:10">
      <c r="A881">
        <v>3211</v>
      </c>
      <c r="B881" t="s">
        <v>5341</v>
      </c>
      <c r="C881">
        <v>4.58</v>
      </c>
      <c r="D881">
        <v>9.6</v>
      </c>
      <c r="E881">
        <v>0.83</v>
      </c>
      <c r="F881">
        <v>0.16</v>
      </c>
      <c r="G881">
        <v>880</v>
      </c>
      <c r="H881">
        <v>525</v>
      </c>
      <c r="I881">
        <v>210</v>
      </c>
      <c r="J881">
        <v>341</v>
      </c>
    </row>
    <row r="882" spans="1:10">
      <c r="A882">
        <v>2530</v>
      </c>
      <c r="B882" t="s">
        <v>5166</v>
      </c>
      <c r="C882">
        <v>4.55</v>
      </c>
      <c r="D882">
        <v>0.56999999999999995</v>
      </c>
      <c r="E882">
        <v>0</v>
      </c>
      <c r="F882">
        <v>0</v>
      </c>
      <c r="G882">
        <v>881</v>
      </c>
      <c r="H882">
        <v>1314</v>
      </c>
      <c r="I882" t="s">
        <v>6279</v>
      </c>
      <c r="J882" t="s">
        <v>6279</v>
      </c>
    </row>
    <row r="883" spans="1:10">
      <c r="A883">
        <v>5478</v>
      </c>
      <c r="B883" t="s">
        <v>5699</v>
      </c>
      <c r="C883">
        <v>4.54</v>
      </c>
      <c r="D883">
        <v>30.57</v>
      </c>
      <c r="E883">
        <v>0.7</v>
      </c>
      <c r="F883">
        <v>0.04</v>
      </c>
      <c r="G883">
        <v>882</v>
      </c>
      <c r="H883">
        <v>178</v>
      </c>
      <c r="I883">
        <v>253</v>
      </c>
      <c r="J883">
        <v>439</v>
      </c>
    </row>
    <row r="884" spans="1:10">
      <c r="A884">
        <v>1304</v>
      </c>
      <c r="B884" t="s">
        <v>4802</v>
      </c>
      <c r="C884">
        <v>4.53</v>
      </c>
      <c r="D884">
        <v>32.85</v>
      </c>
      <c r="E884">
        <v>0.21</v>
      </c>
      <c r="F884">
        <v>0.01</v>
      </c>
      <c r="G884">
        <v>883</v>
      </c>
      <c r="H884">
        <v>158</v>
      </c>
      <c r="I884">
        <v>550</v>
      </c>
      <c r="J884">
        <v>495</v>
      </c>
    </row>
    <row r="885" spans="1:10">
      <c r="A885">
        <v>8401</v>
      </c>
      <c r="B885" t="s">
        <v>6018</v>
      </c>
      <c r="C885">
        <v>4.53</v>
      </c>
      <c r="D885">
        <v>1.21</v>
      </c>
      <c r="E885">
        <v>0.05</v>
      </c>
      <c r="F885">
        <v>0</v>
      </c>
      <c r="G885">
        <v>883</v>
      </c>
      <c r="H885">
        <v>1185</v>
      </c>
      <c r="I885">
        <v>908</v>
      </c>
      <c r="J885" t="s">
        <v>6279</v>
      </c>
    </row>
    <row r="886" spans="1:10">
      <c r="A886">
        <v>1582</v>
      </c>
      <c r="B886" t="s">
        <v>4895</v>
      </c>
      <c r="C886">
        <v>4.51</v>
      </c>
      <c r="D886">
        <v>11.85</v>
      </c>
      <c r="E886">
        <v>7.0000000000000007E-2</v>
      </c>
      <c r="F886">
        <v>0</v>
      </c>
      <c r="G886">
        <v>885</v>
      </c>
      <c r="H886">
        <v>437</v>
      </c>
      <c r="I886">
        <v>825</v>
      </c>
      <c r="J886" t="s">
        <v>6279</v>
      </c>
    </row>
    <row r="887" spans="1:10">
      <c r="A887">
        <v>3218</v>
      </c>
      <c r="B887" t="s">
        <v>5344</v>
      </c>
      <c r="C887">
        <v>4.51</v>
      </c>
      <c r="D887">
        <v>32.21</v>
      </c>
      <c r="E887">
        <v>0.35</v>
      </c>
      <c r="F887">
        <v>0.28999999999999998</v>
      </c>
      <c r="G887">
        <v>885</v>
      </c>
      <c r="H887">
        <v>159</v>
      </c>
      <c r="I887">
        <v>414</v>
      </c>
      <c r="J887">
        <v>297</v>
      </c>
    </row>
    <row r="888" spans="1:10">
      <c r="A888">
        <v>1457</v>
      </c>
      <c r="B888" t="s">
        <v>4850</v>
      </c>
      <c r="C888">
        <v>4.47</v>
      </c>
      <c r="D888">
        <v>2.15</v>
      </c>
      <c r="E888">
        <v>0.01</v>
      </c>
      <c r="F888">
        <v>0</v>
      </c>
      <c r="G888">
        <v>887</v>
      </c>
      <c r="H888">
        <v>1023</v>
      </c>
      <c r="I888">
        <v>1123</v>
      </c>
      <c r="J888" t="s">
        <v>6279</v>
      </c>
    </row>
    <row r="889" spans="1:10">
      <c r="A889">
        <v>5281</v>
      </c>
      <c r="B889" t="s">
        <v>6309</v>
      </c>
      <c r="C889">
        <v>4.45</v>
      </c>
      <c r="D889">
        <v>41.47</v>
      </c>
      <c r="E889">
        <v>0.03</v>
      </c>
      <c r="F889">
        <v>0</v>
      </c>
      <c r="G889">
        <v>888</v>
      </c>
      <c r="H889">
        <v>112</v>
      </c>
      <c r="I889">
        <v>990</v>
      </c>
      <c r="J889" t="s">
        <v>6279</v>
      </c>
    </row>
    <row r="890" spans="1:10">
      <c r="A890">
        <v>8422</v>
      </c>
      <c r="B890" t="s">
        <v>6024</v>
      </c>
      <c r="C890">
        <v>4.4400000000000004</v>
      </c>
      <c r="D890">
        <v>25.5</v>
      </c>
      <c r="E890">
        <v>0.41</v>
      </c>
      <c r="F890">
        <v>0.37</v>
      </c>
      <c r="G890">
        <v>889</v>
      </c>
      <c r="H890">
        <v>217</v>
      </c>
      <c r="I890">
        <v>365</v>
      </c>
      <c r="J890">
        <v>276</v>
      </c>
    </row>
    <row r="891" spans="1:10">
      <c r="A891">
        <v>2754</v>
      </c>
      <c r="B891" t="s">
        <v>6308</v>
      </c>
      <c r="C891">
        <v>4.43</v>
      </c>
      <c r="D891">
        <v>70.319999999999993</v>
      </c>
      <c r="E891">
        <v>0</v>
      </c>
      <c r="F891">
        <v>0</v>
      </c>
      <c r="G891">
        <v>890</v>
      </c>
      <c r="H891">
        <v>22</v>
      </c>
      <c r="I891" t="s">
        <v>6279</v>
      </c>
      <c r="J891" t="s">
        <v>6279</v>
      </c>
    </row>
    <row r="892" spans="1:10">
      <c r="A892">
        <v>2471</v>
      </c>
      <c r="B892" t="s">
        <v>5132</v>
      </c>
      <c r="C892">
        <v>4.42</v>
      </c>
      <c r="D892">
        <v>2.4700000000000002</v>
      </c>
      <c r="E892">
        <v>0.04</v>
      </c>
      <c r="F892">
        <v>0</v>
      </c>
      <c r="G892">
        <v>891</v>
      </c>
      <c r="H892">
        <v>985</v>
      </c>
      <c r="I892">
        <v>946</v>
      </c>
      <c r="J892" t="s">
        <v>6279</v>
      </c>
    </row>
    <row r="893" spans="1:10">
      <c r="A893">
        <v>2596</v>
      </c>
      <c r="B893" t="s">
        <v>5178</v>
      </c>
      <c r="C893">
        <v>4.4000000000000004</v>
      </c>
      <c r="D893">
        <v>0.54</v>
      </c>
      <c r="E893">
        <v>0</v>
      </c>
      <c r="F893">
        <v>0</v>
      </c>
      <c r="G893">
        <v>892</v>
      </c>
      <c r="H893">
        <v>1321</v>
      </c>
      <c r="I893" t="s">
        <v>6279</v>
      </c>
      <c r="J893" t="s">
        <v>6279</v>
      </c>
    </row>
    <row r="894" spans="1:10">
      <c r="A894">
        <v>4545</v>
      </c>
      <c r="B894" t="s">
        <v>5566</v>
      </c>
      <c r="C894">
        <v>4.38</v>
      </c>
      <c r="D894">
        <v>34</v>
      </c>
      <c r="E894">
        <v>0.05</v>
      </c>
      <c r="F894">
        <v>0.04</v>
      </c>
      <c r="G894">
        <v>893</v>
      </c>
      <c r="H894">
        <v>149</v>
      </c>
      <c r="I894">
        <v>908</v>
      </c>
      <c r="J894">
        <v>439</v>
      </c>
    </row>
    <row r="895" spans="1:10">
      <c r="A895">
        <v>4426</v>
      </c>
      <c r="B895" t="s">
        <v>5548</v>
      </c>
      <c r="C895">
        <v>4.3499999999999996</v>
      </c>
      <c r="D895">
        <v>5.08</v>
      </c>
      <c r="E895">
        <v>0.01</v>
      </c>
      <c r="F895">
        <v>0</v>
      </c>
      <c r="G895">
        <v>894</v>
      </c>
      <c r="H895">
        <v>774</v>
      </c>
      <c r="I895">
        <v>1123</v>
      </c>
      <c r="J895" t="s">
        <v>6279</v>
      </c>
    </row>
    <row r="896" spans="1:10">
      <c r="A896">
        <v>6781</v>
      </c>
      <c r="B896" t="s">
        <v>5948</v>
      </c>
      <c r="C896">
        <v>4.3499999999999996</v>
      </c>
      <c r="D896">
        <v>78.77</v>
      </c>
      <c r="E896">
        <v>0.11</v>
      </c>
      <c r="F896">
        <v>3.95</v>
      </c>
      <c r="G896">
        <v>894</v>
      </c>
      <c r="H896">
        <v>10</v>
      </c>
      <c r="I896">
        <v>717</v>
      </c>
      <c r="J896">
        <v>72</v>
      </c>
    </row>
    <row r="897" spans="1:10">
      <c r="A897">
        <v>1710</v>
      </c>
      <c r="B897" t="s">
        <v>4925</v>
      </c>
      <c r="C897">
        <v>4.34</v>
      </c>
      <c r="D897">
        <v>8.01</v>
      </c>
      <c r="E897">
        <v>0.81</v>
      </c>
      <c r="F897">
        <v>0.04</v>
      </c>
      <c r="G897">
        <v>896</v>
      </c>
      <c r="H897">
        <v>586</v>
      </c>
      <c r="I897">
        <v>213</v>
      </c>
      <c r="J897">
        <v>439</v>
      </c>
    </row>
    <row r="898" spans="1:10">
      <c r="A898">
        <v>4147</v>
      </c>
      <c r="B898" t="s">
        <v>5525</v>
      </c>
      <c r="C898">
        <v>4.34</v>
      </c>
      <c r="D898">
        <v>6.7</v>
      </c>
      <c r="E898">
        <v>0.03</v>
      </c>
      <c r="F898">
        <v>0.14000000000000001</v>
      </c>
      <c r="G898">
        <v>896</v>
      </c>
      <c r="H898">
        <v>667</v>
      </c>
      <c r="I898">
        <v>990</v>
      </c>
      <c r="J898">
        <v>348</v>
      </c>
    </row>
    <row r="899" spans="1:10">
      <c r="A899">
        <v>9934</v>
      </c>
      <c r="B899" t="s">
        <v>6086</v>
      </c>
      <c r="C899">
        <v>4.33</v>
      </c>
      <c r="D899">
        <v>17.239999999999998</v>
      </c>
      <c r="E899">
        <v>0.05</v>
      </c>
      <c r="F899">
        <v>0</v>
      </c>
      <c r="G899">
        <v>898</v>
      </c>
      <c r="H899">
        <v>326</v>
      </c>
      <c r="I899">
        <v>908</v>
      </c>
      <c r="J899" t="s">
        <v>6279</v>
      </c>
    </row>
    <row r="900" spans="1:10">
      <c r="A900">
        <v>3026</v>
      </c>
      <c r="B900" t="s">
        <v>5281</v>
      </c>
      <c r="C900">
        <v>4.32</v>
      </c>
      <c r="D900">
        <v>11.1</v>
      </c>
      <c r="E900">
        <v>1.56</v>
      </c>
      <c r="F900">
        <v>0</v>
      </c>
      <c r="G900">
        <v>899</v>
      </c>
      <c r="H900">
        <v>464</v>
      </c>
      <c r="I900">
        <v>100</v>
      </c>
      <c r="J900" t="s">
        <v>6279</v>
      </c>
    </row>
    <row r="901" spans="1:10">
      <c r="A901">
        <v>2201</v>
      </c>
      <c r="B901" t="s">
        <v>5012</v>
      </c>
      <c r="C901">
        <v>4.3099999999999996</v>
      </c>
      <c r="D901">
        <v>8.19</v>
      </c>
      <c r="E901">
        <v>0.92</v>
      </c>
      <c r="F901">
        <v>0.03</v>
      </c>
      <c r="G901">
        <v>900</v>
      </c>
      <c r="H901">
        <v>574</v>
      </c>
      <c r="I901">
        <v>190</v>
      </c>
      <c r="J901">
        <v>459</v>
      </c>
    </row>
    <row r="902" spans="1:10">
      <c r="A902">
        <v>2243</v>
      </c>
      <c r="B902" t="s">
        <v>5026</v>
      </c>
      <c r="C902">
        <v>4.3099999999999996</v>
      </c>
      <c r="D902">
        <v>42.79</v>
      </c>
      <c r="E902">
        <v>0.13</v>
      </c>
      <c r="F902">
        <v>0</v>
      </c>
      <c r="G902">
        <v>900</v>
      </c>
      <c r="H902">
        <v>105</v>
      </c>
      <c r="I902">
        <v>671</v>
      </c>
      <c r="J902" t="s">
        <v>6279</v>
      </c>
    </row>
    <row r="903" spans="1:10">
      <c r="A903">
        <v>2506</v>
      </c>
      <c r="B903" t="s">
        <v>5157</v>
      </c>
      <c r="C903">
        <v>4.3099999999999996</v>
      </c>
      <c r="D903">
        <v>3.1</v>
      </c>
      <c r="E903">
        <v>0.06</v>
      </c>
      <c r="F903">
        <v>0</v>
      </c>
      <c r="G903">
        <v>900</v>
      </c>
      <c r="H903">
        <v>918</v>
      </c>
      <c r="I903">
        <v>869</v>
      </c>
      <c r="J903" t="s">
        <v>6279</v>
      </c>
    </row>
    <row r="904" spans="1:10">
      <c r="A904">
        <v>6270</v>
      </c>
      <c r="B904" t="s">
        <v>5842</v>
      </c>
      <c r="C904">
        <v>4.3</v>
      </c>
      <c r="D904">
        <v>2.2400000000000002</v>
      </c>
      <c r="E904">
        <v>0</v>
      </c>
      <c r="F904">
        <v>0</v>
      </c>
      <c r="G904">
        <v>903</v>
      </c>
      <c r="H904">
        <v>1014</v>
      </c>
      <c r="I904" t="s">
        <v>6279</v>
      </c>
      <c r="J904" t="s">
        <v>6279</v>
      </c>
    </row>
    <row r="905" spans="1:10">
      <c r="A905">
        <v>2732</v>
      </c>
      <c r="B905" t="s">
        <v>5214</v>
      </c>
      <c r="C905">
        <v>4.29</v>
      </c>
      <c r="D905">
        <v>6.54</v>
      </c>
      <c r="E905">
        <v>0.5</v>
      </c>
      <c r="F905">
        <v>1.35</v>
      </c>
      <c r="G905">
        <v>904</v>
      </c>
      <c r="H905">
        <v>676</v>
      </c>
      <c r="I905">
        <v>319</v>
      </c>
      <c r="J905">
        <v>164</v>
      </c>
    </row>
    <row r="906" spans="1:10">
      <c r="A906">
        <v>5269</v>
      </c>
      <c r="B906" t="s">
        <v>5660</v>
      </c>
      <c r="C906">
        <v>4.29</v>
      </c>
      <c r="D906">
        <v>22.73</v>
      </c>
      <c r="E906">
        <v>1.04</v>
      </c>
      <c r="F906">
        <v>1.97</v>
      </c>
      <c r="G906">
        <v>904</v>
      </c>
      <c r="H906">
        <v>244</v>
      </c>
      <c r="I906">
        <v>166</v>
      </c>
      <c r="J906">
        <v>129</v>
      </c>
    </row>
    <row r="907" spans="1:10">
      <c r="A907">
        <v>1342</v>
      </c>
      <c r="B907" t="s">
        <v>4824</v>
      </c>
      <c r="C907">
        <v>4.28</v>
      </c>
      <c r="D907">
        <v>54.74</v>
      </c>
      <c r="E907">
        <v>0.22</v>
      </c>
      <c r="F907">
        <v>0</v>
      </c>
      <c r="G907">
        <v>906</v>
      </c>
      <c r="H907">
        <v>58</v>
      </c>
      <c r="I907">
        <v>537</v>
      </c>
      <c r="J907" t="s">
        <v>6279</v>
      </c>
    </row>
    <row r="908" spans="1:10">
      <c r="A908">
        <v>4510</v>
      </c>
      <c r="B908" t="s">
        <v>5555</v>
      </c>
      <c r="C908">
        <v>4.28</v>
      </c>
      <c r="D908">
        <v>2.31</v>
      </c>
      <c r="E908">
        <v>0.02</v>
      </c>
      <c r="F908">
        <v>0</v>
      </c>
      <c r="G908">
        <v>906</v>
      </c>
      <c r="H908">
        <v>1008</v>
      </c>
      <c r="I908">
        <v>1051</v>
      </c>
      <c r="J908" t="s">
        <v>6279</v>
      </c>
    </row>
    <row r="909" spans="1:10">
      <c r="A909">
        <v>4745</v>
      </c>
      <c r="B909" t="s">
        <v>5595</v>
      </c>
      <c r="C909">
        <v>4.28</v>
      </c>
      <c r="D909">
        <v>15.5</v>
      </c>
      <c r="E909">
        <v>0</v>
      </c>
      <c r="F909">
        <v>0</v>
      </c>
      <c r="G909">
        <v>906</v>
      </c>
      <c r="H909">
        <v>346</v>
      </c>
      <c r="I909" t="s">
        <v>6279</v>
      </c>
      <c r="J909" t="s">
        <v>6279</v>
      </c>
    </row>
    <row r="910" spans="1:10">
      <c r="A910">
        <v>3706</v>
      </c>
      <c r="B910" t="s">
        <v>5499</v>
      </c>
      <c r="C910">
        <v>4.25</v>
      </c>
      <c r="D910">
        <v>12.03</v>
      </c>
      <c r="E910">
        <v>0.99</v>
      </c>
      <c r="F910">
        <v>0.04</v>
      </c>
      <c r="G910">
        <v>909</v>
      </c>
      <c r="H910">
        <v>431</v>
      </c>
      <c r="I910">
        <v>174</v>
      </c>
      <c r="J910">
        <v>439</v>
      </c>
    </row>
    <row r="911" spans="1:10">
      <c r="A911">
        <v>4555</v>
      </c>
      <c r="B911" t="s">
        <v>5570</v>
      </c>
      <c r="C911">
        <v>4.25</v>
      </c>
      <c r="D911">
        <v>0.28999999999999998</v>
      </c>
      <c r="E911">
        <v>0.05</v>
      </c>
      <c r="F911">
        <v>0</v>
      </c>
      <c r="G911">
        <v>909</v>
      </c>
      <c r="H911">
        <v>1396</v>
      </c>
      <c r="I911">
        <v>908</v>
      </c>
      <c r="J911" t="s">
        <v>6279</v>
      </c>
    </row>
    <row r="912" spans="1:10">
      <c r="A912">
        <v>8047</v>
      </c>
      <c r="B912" t="s">
        <v>6306</v>
      </c>
      <c r="C912">
        <v>4.21</v>
      </c>
      <c r="D912">
        <v>0.06</v>
      </c>
      <c r="E912">
        <v>0</v>
      </c>
      <c r="F912">
        <v>0</v>
      </c>
      <c r="G912">
        <v>911</v>
      </c>
      <c r="H912">
        <v>1454</v>
      </c>
      <c r="I912" t="s">
        <v>6279</v>
      </c>
      <c r="J912" t="s">
        <v>6279</v>
      </c>
    </row>
    <row r="913" spans="1:10">
      <c r="A913">
        <v>6582</v>
      </c>
      <c r="B913" t="s">
        <v>5913</v>
      </c>
      <c r="C913">
        <v>4.1900000000000004</v>
      </c>
      <c r="D913">
        <v>17.260000000000002</v>
      </c>
      <c r="E913">
        <v>0.21</v>
      </c>
      <c r="F913">
        <v>0.01</v>
      </c>
      <c r="G913">
        <v>912</v>
      </c>
      <c r="H913">
        <v>325</v>
      </c>
      <c r="I913">
        <v>550</v>
      </c>
      <c r="J913">
        <v>495</v>
      </c>
    </row>
    <row r="914" spans="1:10">
      <c r="A914">
        <v>6240</v>
      </c>
      <c r="B914" t="s">
        <v>5830</v>
      </c>
      <c r="C914">
        <v>4.18</v>
      </c>
      <c r="D914">
        <v>0.28000000000000003</v>
      </c>
      <c r="E914">
        <v>0</v>
      </c>
      <c r="F914">
        <v>0</v>
      </c>
      <c r="G914">
        <v>913</v>
      </c>
      <c r="H914">
        <v>1397</v>
      </c>
      <c r="I914" t="s">
        <v>6279</v>
      </c>
      <c r="J914" t="s">
        <v>6279</v>
      </c>
    </row>
    <row r="915" spans="1:10">
      <c r="A915">
        <v>1258</v>
      </c>
      <c r="B915" t="s">
        <v>4798</v>
      </c>
      <c r="C915">
        <v>4.16</v>
      </c>
      <c r="D915">
        <v>72.28</v>
      </c>
      <c r="E915">
        <v>0.08</v>
      </c>
      <c r="F915">
        <v>0</v>
      </c>
      <c r="G915">
        <v>914</v>
      </c>
      <c r="H915">
        <v>21</v>
      </c>
      <c r="I915">
        <v>790</v>
      </c>
      <c r="J915" t="s">
        <v>6279</v>
      </c>
    </row>
    <row r="916" spans="1:10">
      <c r="A916">
        <v>1905</v>
      </c>
      <c r="B916" t="s">
        <v>4968</v>
      </c>
      <c r="C916">
        <v>4.12</v>
      </c>
      <c r="D916">
        <v>2.67</v>
      </c>
      <c r="E916">
        <v>7.0000000000000007E-2</v>
      </c>
      <c r="F916">
        <v>0</v>
      </c>
      <c r="G916">
        <v>915</v>
      </c>
      <c r="H916">
        <v>962</v>
      </c>
      <c r="I916">
        <v>825</v>
      </c>
      <c r="J916" t="s">
        <v>6279</v>
      </c>
    </row>
    <row r="917" spans="1:10">
      <c r="A917">
        <v>8210</v>
      </c>
      <c r="B917" t="s">
        <v>5998</v>
      </c>
      <c r="C917">
        <v>4.12</v>
      </c>
      <c r="D917">
        <v>7.09</v>
      </c>
      <c r="E917">
        <v>0.34</v>
      </c>
      <c r="F917">
        <v>0.06</v>
      </c>
      <c r="G917">
        <v>915</v>
      </c>
      <c r="H917">
        <v>634</v>
      </c>
      <c r="I917">
        <v>426</v>
      </c>
      <c r="J917">
        <v>413</v>
      </c>
    </row>
    <row r="918" spans="1:10">
      <c r="A918">
        <v>2354</v>
      </c>
      <c r="B918" t="s">
        <v>5057</v>
      </c>
      <c r="C918">
        <v>4.09</v>
      </c>
      <c r="D918">
        <v>20.62</v>
      </c>
      <c r="E918">
        <v>0.36</v>
      </c>
      <c r="F918">
        <v>2.23</v>
      </c>
      <c r="G918">
        <v>917</v>
      </c>
      <c r="H918">
        <v>272</v>
      </c>
      <c r="I918">
        <v>403</v>
      </c>
      <c r="J918">
        <v>114</v>
      </c>
    </row>
    <row r="919" spans="1:10">
      <c r="A919">
        <v>2608</v>
      </c>
      <c r="B919" t="s">
        <v>5185</v>
      </c>
      <c r="C919">
        <v>4.07</v>
      </c>
      <c r="D919">
        <v>4.46</v>
      </c>
      <c r="E919">
        <v>0.59</v>
      </c>
      <c r="F919">
        <v>0</v>
      </c>
      <c r="G919">
        <v>918</v>
      </c>
      <c r="H919">
        <v>816</v>
      </c>
      <c r="I919">
        <v>286</v>
      </c>
      <c r="J919" t="s">
        <v>6279</v>
      </c>
    </row>
    <row r="920" spans="1:10">
      <c r="A920">
        <v>2888</v>
      </c>
      <c r="B920" t="s">
        <v>5242</v>
      </c>
      <c r="C920">
        <v>4.07</v>
      </c>
      <c r="D920">
        <v>20.66</v>
      </c>
      <c r="E920">
        <v>0.01</v>
      </c>
      <c r="F920">
        <v>0.3</v>
      </c>
      <c r="G920">
        <v>918</v>
      </c>
      <c r="H920">
        <v>270</v>
      </c>
      <c r="I920">
        <v>1123</v>
      </c>
      <c r="J920">
        <v>294</v>
      </c>
    </row>
    <row r="921" spans="1:10">
      <c r="A921">
        <v>2206</v>
      </c>
      <c r="B921" t="s">
        <v>5014</v>
      </c>
      <c r="C921">
        <v>4.04</v>
      </c>
      <c r="D921">
        <v>8.0399999999999991</v>
      </c>
      <c r="E921">
        <v>0.4</v>
      </c>
      <c r="F921">
        <v>0</v>
      </c>
      <c r="G921">
        <v>920</v>
      </c>
      <c r="H921">
        <v>582</v>
      </c>
      <c r="I921">
        <v>378</v>
      </c>
      <c r="J921" t="s">
        <v>6279</v>
      </c>
    </row>
    <row r="922" spans="1:10">
      <c r="A922">
        <v>4164</v>
      </c>
      <c r="B922" t="s">
        <v>5533</v>
      </c>
      <c r="C922">
        <v>4.04</v>
      </c>
      <c r="D922">
        <v>28.46</v>
      </c>
      <c r="E922">
        <v>0.17</v>
      </c>
      <c r="F922">
        <v>0.48</v>
      </c>
      <c r="G922">
        <v>920</v>
      </c>
      <c r="H922">
        <v>194</v>
      </c>
      <c r="I922">
        <v>596</v>
      </c>
      <c r="J922">
        <v>256</v>
      </c>
    </row>
    <row r="923" spans="1:10">
      <c r="A923">
        <v>8349</v>
      </c>
      <c r="B923" t="s">
        <v>6012</v>
      </c>
      <c r="C923">
        <v>4.04</v>
      </c>
      <c r="D923">
        <v>1.49</v>
      </c>
      <c r="E923">
        <v>0.01</v>
      </c>
      <c r="F923">
        <v>0</v>
      </c>
      <c r="G923">
        <v>920</v>
      </c>
      <c r="H923">
        <v>1126</v>
      </c>
      <c r="I923">
        <v>1123</v>
      </c>
      <c r="J923" t="s">
        <v>6279</v>
      </c>
    </row>
    <row r="924" spans="1:10">
      <c r="A924">
        <v>6488</v>
      </c>
      <c r="B924" t="s">
        <v>5885</v>
      </c>
      <c r="C924">
        <v>4.03</v>
      </c>
      <c r="D924">
        <v>27.53</v>
      </c>
      <c r="E924">
        <v>0.56999999999999995</v>
      </c>
      <c r="F924">
        <v>1.83</v>
      </c>
      <c r="G924">
        <v>923</v>
      </c>
      <c r="H924">
        <v>199</v>
      </c>
      <c r="I924">
        <v>294</v>
      </c>
      <c r="J924">
        <v>137</v>
      </c>
    </row>
    <row r="925" spans="1:10">
      <c r="A925">
        <v>3209</v>
      </c>
      <c r="B925" t="s">
        <v>5340</v>
      </c>
      <c r="C925">
        <v>4.0199999999999996</v>
      </c>
      <c r="D925">
        <v>7.21</v>
      </c>
      <c r="E925">
        <v>0.14000000000000001</v>
      </c>
      <c r="F925">
        <v>0.05</v>
      </c>
      <c r="G925">
        <v>924</v>
      </c>
      <c r="H925">
        <v>622</v>
      </c>
      <c r="I925">
        <v>649</v>
      </c>
      <c r="J925">
        <v>427</v>
      </c>
    </row>
    <row r="926" spans="1:10">
      <c r="A926">
        <v>4155</v>
      </c>
      <c r="B926" t="s">
        <v>5528</v>
      </c>
      <c r="C926">
        <v>4.0199999999999996</v>
      </c>
      <c r="D926">
        <v>1.6</v>
      </c>
      <c r="E926">
        <v>0.13</v>
      </c>
      <c r="F926">
        <v>0</v>
      </c>
      <c r="G926">
        <v>924</v>
      </c>
      <c r="H926">
        <v>1108</v>
      </c>
      <c r="I926">
        <v>671</v>
      </c>
      <c r="J926" t="s">
        <v>6279</v>
      </c>
    </row>
    <row r="927" spans="1:10">
      <c r="A927">
        <v>8089</v>
      </c>
      <c r="B927" t="s">
        <v>5976</v>
      </c>
      <c r="C927">
        <v>4.0199999999999996</v>
      </c>
      <c r="D927">
        <v>4.71</v>
      </c>
      <c r="E927">
        <v>0</v>
      </c>
      <c r="F927">
        <v>0</v>
      </c>
      <c r="G927">
        <v>924</v>
      </c>
      <c r="H927">
        <v>798</v>
      </c>
      <c r="I927" t="s">
        <v>6279</v>
      </c>
      <c r="J927" t="s">
        <v>6279</v>
      </c>
    </row>
    <row r="928" spans="1:10">
      <c r="A928">
        <v>8114</v>
      </c>
      <c r="B928" t="s">
        <v>5988</v>
      </c>
      <c r="C928">
        <v>4</v>
      </c>
      <c r="D928">
        <v>11.03</v>
      </c>
      <c r="E928">
        <v>0.09</v>
      </c>
      <c r="F928">
        <v>2.81</v>
      </c>
      <c r="G928">
        <v>927</v>
      </c>
      <c r="H928">
        <v>467</v>
      </c>
      <c r="I928">
        <v>762</v>
      </c>
      <c r="J928">
        <v>93</v>
      </c>
    </row>
    <row r="929" spans="1:10">
      <c r="A929">
        <v>1903</v>
      </c>
      <c r="B929" t="s">
        <v>4966</v>
      </c>
      <c r="C929">
        <v>3.99</v>
      </c>
      <c r="D929">
        <v>18.670000000000002</v>
      </c>
      <c r="E929">
        <v>0</v>
      </c>
      <c r="F929">
        <v>0</v>
      </c>
      <c r="G929">
        <v>928</v>
      </c>
      <c r="H929">
        <v>297</v>
      </c>
      <c r="I929" t="s">
        <v>6279</v>
      </c>
      <c r="J929" t="s">
        <v>6279</v>
      </c>
    </row>
    <row r="930" spans="1:10">
      <c r="A930">
        <v>1321</v>
      </c>
      <c r="B930" t="s">
        <v>4814</v>
      </c>
      <c r="C930">
        <v>3.98</v>
      </c>
      <c r="D930">
        <v>4.62</v>
      </c>
      <c r="E930">
        <v>0.02</v>
      </c>
      <c r="F930">
        <v>0</v>
      </c>
      <c r="G930">
        <v>929</v>
      </c>
      <c r="H930">
        <v>804</v>
      </c>
      <c r="I930">
        <v>1051</v>
      </c>
      <c r="J930" t="s">
        <v>6279</v>
      </c>
    </row>
    <row r="931" spans="1:10">
      <c r="A931">
        <v>1717</v>
      </c>
      <c r="B931" t="s">
        <v>4930</v>
      </c>
      <c r="C931">
        <v>3.98</v>
      </c>
      <c r="D931">
        <v>12.65</v>
      </c>
      <c r="E931">
        <v>0.13</v>
      </c>
      <c r="F931">
        <v>0.06</v>
      </c>
      <c r="G931">
        <v>929</v>
      </c>
      <c r="H931">
        <v>416</v>
      </c>
      <c r="I931">
        <v>671</v>
      </c>
      <c r="J931">
        <v>413</v>
      </c>
    </row>
    <row r="932" spans="1:10">
      <c r="A932">
        <v>6486</v>
      </c>
      <c r="B932" t="s">
        <v>5884</v>
      </c>
      <c r="C932">
        <v>3.98</v>
      </c>
      <c r="D932">
        <v>0.85</v>
      </c>
      <c r="E932">
        <v>0</v>
      </c>
      <c r="F932">
        <v>0</v>
      </c>
      <c r="G932">
        <v>929</v>
      </c>
      <c r="H932">
        <v>1252</v>
      </c>
      <c r="I932" t="s">
        <v>6279</v>
      </c>
      <c r="J932" t="s">
        <v>6279</v>
      </c>
    </row>
    <row r="933" spans="1:10">
      <c r="A933">
        <v>5460</v>
      </c>
      <c r="B933" t="s">
        <v>6244</v>
      </c>
      <c r="C933">
        <v>3.97</v>
      </c>
      <c r="D933">
        <v>0.38</v>
      </c>
      <c r="E933">
        <v>0</v>
      </c>
      <c r="F933">
        <v>0</v>
      </c>
      <c r="G933">
        <v>932</v>
      </c>
      <c r="H933">
        <v>1369</v>
      </c>
      <c r="I933" t="s">
        <v>6279</v>
      </c>
      <c r="J933" t="s">
        <v>6279</v>
      </c>
    </row>
    <row r="934" spans="1:10">
      <c r="A934">
        <v>2488</v>
      </c>
      <c r="B934" t="s">
        <v>5145</v>
      </c>
      <c r="C934">
        <v>3.95</v>
      </c>
      <c r="D934">
        <v>2.2400000000000002</v>
      </c>
      <c r="E934">
        <v>0.06</v>
      </c>
      <c r="F934">
        <v>0</v>
      </c>
      <c r="G934">
        <v>933</v>
      </c>
      <c r="H934">
        <v>1014</v>
      </c>
      <c r="I934">
        <v>869</v>
      </c>
      <c r="J934" t="s">
        <v>6279</v>
      </c>
    </row>
    <row r="935" spans="1:10">
      <c r="A935">
        <v>2493</v>
      </c>
      <c r="B935" t="s">
        <v>5149</v>
      </c>
      <c r="C935">
        <v>3.93</v>
      </c>
      <c r="D935">
        <v>5.66</v>
      </c>
      <c r="E935">
        <v>0.28999999999999998</v>
      </c>
      <c r="F935">
        <v>0</v>
      </c>
      <c r="G935">
        <v>934</v>
      </c>
      <c r="H935">
        <v>734</v>
      </c>
      <c r="I935">
        <v>467</v>
      </c>
      <c r="J935" t="s">
        <v>6279</v>
      </c>
    </row>
    <row r="936" spans="1:10">
      <c r="A936">
        <v>4306</v>
      </c>
      <c r="B936" t="s">
        <v>5543</v>
      </c>
      <c r="C936">
        <v>3.93</v>
      </c>
      <c r="D936">
        <v>5.28</v>
      </c>
      <c r="E936">
        <v>7.0000000000000007E-2</v>
      </c>
      <c r="F936">
        <v>0</v>
      </c>
      <c r="G936">
        <v>934</v>
      </c>
      <c r="H936">
        <v>759</v>
      </c>
      <c r="I936">
        <v>825</v>
      </c>
      <c r="J936" t="s">
        <v>6279</v>
      </c>
    </row>
    <row r="937" spans="1:10">
      <c r="A937">
        <v>4972</v>
      </c>
      <c r="B937" t="s">
        <v>6207</v>
      </c>
      <c r="C937">
        <v>3.92</v>
      </c>
      <c r="D937">
        <v>0.99</v>
      </c>
      <c r="E937">
        <v>0</v>
      </c>
      <c r="F937">
        <v>0</v>
      </c>
      <c r="G937">
        <v>936</v>
      </c>
      <c r="H937">
        <v>1222</v>
      </c>
      <c r="I937" t="s">
        <v>6279</v>
      </c>
      <c r="J937" t="s">
        <v>6279</v>
      </c>
    </row>
    <row r="938" spans="1:10">
      <c r="A938">
        <v>1731</v>
      </c>
      <c r="B938" t="s">
        <v>4939</v>
      </c>
      <c r="C938">
        <v>3.91</v>
      </c>
      <c r="D938">
        <v>1.05</v>
      </c>
      <c r="E938">
        <v>0.08</v>
      </c>
      <c r="F938">
        <v>0</v>
      </c>
      <c r="G938">
        <v>937</v>
      </c>
      <c r="H938">
        <v>1214</v>
      </c>
      <c r="I938">
        <v>790</v>
      </c>
      <c r="J938" t="s">
        <v>6279</v>
      </c>
    </row>
    <row r="939" spans="1:10">
      <c r="A939">
        <v>4958</v>
      </c>
      <c r="B939" t="s">
        <v>5624</v>
      </c>
      <c r="C939">
        <v>3.9</v>
      </c>
      <c r="D939">
        <v>62.85</v>
      </c>
      <c r="E939">
        <v>0.28999999999999998</v>
      </c>
      <c r="F939">
        <v>1.68</v>
      </c>
      <c r="G939">
        <v>938</v>
      </c>
      <c r="H939">
        <v>42</v>
      </c>
      <c r="I939">
        <v>467</v>
      </c>
      <c r="J939">
        <v>149</v>
      </c>
    </row>
    <row r="940" spans="1:10">
      <c r="A940">
        <v>4966</v>
      </c>
      <c r="B940" t="s">
        <v>5627</v>
      </c>
      <c r="C940">
        <v>3.9</v>
      </c>
      <c r="D940">
        <v>69.94</v>
      </c>
      <c r="E940">
        <v>0.52</v>
      </c>
      <c r="F940">
        <v>3.6</v>
      </c>
      <c r="G940">
        <v>938</v>
      </c>
      <c r="H940">
        <v>23</v>
      </c>
      <c r="I940">
        <v>313</v>
      </c>
      <c r="J940">
        <v>79</v>
      </c>
    </row>
    <row r="941" spans="1:10">
      <c r="A941">
        <v>6206</v>
      </c>
      <c r="B941" t="s">
        <v>5806</v>
      </c>
      <c r="C941">
        <v>3.9</v>
      </c>
      <c r="D941">
        <v>12.95</v>
      </c>
      <c r="E941">
        <v>0.27</v>
      </c>
      <c r="F941">
        <v>0.51</v>
      </c>
      <c r="G941">
        <v>938</v>
      </c>
      <c r="H941">
        <v>408</v>
      </c>
      <c r="I941">
        <v>487</v>
      </c>
      <c r="J941">
        <v>250</v>
      </c>
    </row>
    <row r="942" spans="1:10">
      <c r="A942">
        <v>1808</v>
      </c>
      <c r="B942" t="s">
        <v>4961</v>
      </c>
      <c r="C942">
        <v>3.88</v>
      </c>
      <c r="D942">
        <v>3.13</v>
      </c>
      <c r="E942">
        <v>0.15</v>
      </c>
      <c r="F942">
        <v>0</v>
      </c>
      <c r="G942">
        <v>941</v>
      </c>
      <c r="H942">
        <v>914</v>
      </c>
      <c r="I942">
        <v>635</v>
      </c>
      <c r="J942" t="s">
        <v>6279</v>
      </c>
    </row>
    <row r="943" spans="1:10">
      <c r="A943">
        <v>2404</v>
      </c>
      <c r="B943" t="s">
        <v>5090</v>
      </c>
      <c r="C943">
        <v>3.87</v>
      </c>
      <c r="D943">
        <v>22.31</v>
      </c>
      <c r="E943">
        <v>5.22</v>
      </c>
      <c r="F943">
        <v>1.98</v>
      </c>
      <c r="G943">
        <v>942</v>
      </c>
      <c r="H943">
        <v>249</v>
      </c>
      <c r="I943">
        <v>21</v>
      </c>
      <c r="J943">
        <v>127</v>
      </c>
    </row>
    <row r="944" spans="1:10">
      <c r="A944">
        <v>3029</v>
      </c>
      <c r="B944" t="s">
        <v>5284</v>
      </c>
      <c r="C944">
        <v>3.87</v>
      </c>
      <c r="D944">
        <v>4.2300000000000004</v>
      </c>
      <c r="E944">
        <v>0.45</v>
      </c>
      <c r="F944">
        <v>0</v>
      </c>
      <c r="G944">
        <v>942</v>
      </c>
      <c r="H944">
        <v>834</v>
      </c>
      <c r="I944">
        <v>340</v>
      </c>
      <c r="J944" t="s">
        <v>6279</v>
      </c>
    </row>
    <row r="945" spans="1:10">
      <c r="A945">
        <v>8284</v>
      </c>
      <c r="B945" t="s">
        <v>6008</v>
      </c>
      <c r="C945">
        <v>3.87</v>
      </c>
      <c r="D945">
        <v>1.35</v>
      </c>
      <c r="E945">
        <v>0.02</v>
      </c>
      <c r="F945">
        <v>0</v>
      </c>
      <c r="G945">
        <v>942</v>
      </c>
      <c r="H945">
        <v>1155</v>
      </c>
      <c r="I945">
        <v>1051</v>
      </c>
      <c r="J945" t="s">
        <v>6279</v>
      </c>
    </row>
    <row r="946" spans="1:10">
      <c r="A946">
        <v>2467</v>
      </c>
      <c r="B946" t="s">
        <v>5130</v>
      </c>
      <c r="C946">
        <v>3.85</v>
      </c>
      <c r="D946">
        <v>8.06</v>
      </c>
      <c r="E946">
        <v>0.02</v>
      </c>
      <c r="F946">
        <v>0</v>
      </c>
      <c r="G946">
        <v>945</v>
      </c>
      <c r="H946">
        <v>579</v>
      </c>
      <c r="I946">
        <v>1051</v>
      </c>
      <c r="J946" t="s">
        <v>6279</v>
      </c>
    </row>
    <row r="947" spans="1:10">
      <c r="A947">
        <v>3653</v>
      </c>
      <c r="B947" t="s">
        <v>5477</v>
      </c>
      <c r="C947">
        <v>3.85</v>
      </c>
      <c r="D947">
        <v>10.97</v>
      </c>
      <c r="E947">
        <v>0.42</v>
      </c>
      <c r="F947">
        <v>16.739999999999998</v>
      </c>
      <c r="G947">
        <v>945</v>
      </c>
      <c r="H947">
        <v>469</v>
      </c>
      <c r="I947">
        <v>357</v>
      </c>
      <c r="J947">
        <v>6</v>
      </c>
    </row>
    <row r="948" spans="1:10">
      <c r="A948">
        <v>1323</v>
      </c>
      <c r="B948" t="s">
        <v>4815</v>
      </c>
      <c r="C948">
        <v>3.79</v>
      </c>
      <c r="D948">
        <v>3.1</v>
      </c>
      <c r="E948">
        <v>0.03</v>
      </c>
      <c r="F948">
        <v>0</v>
      </c>
      <c r="G948">
        <v>947</v>
      </c>
      <c r="H948">
        <v>918</v>
      </c>
      <c r="I948">
        <v>990</v>
      </c>
      <c r="J948" t="s">
        <v>6279</v>
      </c>
    </row>
    <row r="949" spans="1:10">
      <c r="A949">
        <v>2929</v>
      </c>
      <c r="B949" t="s">
        <v>5261</v>
      </c>
      <c r="C949">
        <v>3.79</v>
      </c>
      <c r="D949">
        <v>20.079999999999998</v>
      </c>
      <c r="E949">
        <v>1.44</v>
      </c>
      <c r="F949">
        <v>0</v>
      </c>
      <c r="G949">
        <v>947</v>
      </c>
      <c r="H949">
        <v>280</v>
      </c>
      <c r="I949">
        <v>114</v>
      </c>
      <c r="J949" t="s">
        <v>6279</v>
      </c>
    </row>
    <row r="950" spans="1:10">
      <c r="A950">
        <v>3028</v>
      </c>
      <c r="B950" t="s">
        <v>5283</v>
      </c>
      <c r="C950">
        <v>3.78</v>
      </c>
      <c r="D950">
        <v>6.81</v>
      </c>
      <c r="E950">
        <v>0</v>
      </c>
      <c r="F950">
        <v>0</v>
      </c>
      <c r="G950">
        <v>949</v>
      </c>
      <c r="H950">
        <v>659</v>
      </c>
      <c r="I950" t="s">
        <v>6279</v>
      </c>
      <c r="J950" t="s">
        <v>6279</v>
      </c>
    </row>
    <row r="951" spans="1:10">
      <c r="A951">
        <v>4119</v>
      </c>
      <c r="B951" t="s">
        <v>5514</v>
      </c>
      <c r="C951">
        <v>3.77</v>
      </c>
      <c r="D951">
        <v>2.0699999999999998</v>
      </c>
      <c r="E951">
        <v>0.1</v>
      </c>
      <c r="F951">
        <v>0.03</v>
      </c>
      <c r="G951">
        <v>950</v>
      </c>
      <c r="H951">
        <v>1039</v>
      </c>
      <c r="I951">
        <v>741</v>
      </c>
      <c r="J951">
        <v>459</v>
      </c>
    </row>
    <row r="952" spans="1:10">
      <c r="A952">
        <v>8374</v>
      </c>
      <c r="B952" t="s">
        <v>6015</v>
      </c>
      <c r="C952">
        <v>3.74</v>
      </c>
      <c r="D952">
        <v>2.77</v>
      </c>
      <c r="E952">
        <v>0.06</v>
      </c>
      <c r="F952">
        <v>0</v>
      </c>
      <c r="G952">
        <v>951</v>
      </c>
      <c r="H952">
        <v>945</v>
      </c>
      <c r="I952">
        <v>869</v>
      </c>
      <c r="J952" t="s">
        <v>6279</v>
      </c>
    </row>
    <row r="953" spans="1:10">
      <c r="A953">
        <v>5438</v>
      </c>
      <c r="B953" t="s">
        <v>5689</v>
      </c>
      <c r="C953">
        <v>3.73</v>
      </c>
      <c r="D953">
        <v>1.38</v>
      </c>
      <c r="E953">
        <v>0</v>
      </c>
      <c r="F953">
        <v>0</v>
      </c>
      <c r="G953">
        <v>952</v>
      </c>
      <c r="H953">
        <v>1150</v>
      </c>
      <c r="I953" t="s">
        <v>6279</v>
      </c>
      <c r="J953" t="s">
        <v>6279</v>
      </c>
    </row>
    <row r="954" spans="1:10">
      <c r="A954">
        <v>6204</v>
      </c>
      <c r="B954" t="s">
        <v>6157</v>
      </c>
      <c r="C954">
        <v>3.69</v>
      </c>
      <c r="D954">
        <v>0.13</v>
      </c>
      <c r="E954">
        <v>0.06</v>
      </c>
      <c r="F954">
        <v>0</v>
      </c>
      <c r="G954">
        <v>953</v>
      </c>
      <c r="H954">
        <v>1431</v>
      </c>
      <c r="I954">
        <v>869</v>
      </c>
      <c r="J954" t="s">
        <v>6279</v>
      </c>
    </row>
    <row r="955" spans="1:10">
      <c r="A955">
        <v>2024</v>
      </c>
      <c r="B955" t="s">
        <v>4985</v>
      </c>
      <c r="C955">
        <v>3.67</v>
      </c>
      <c r="D955">
        <v>0.39</v>
      </c>
      <c r="E955">
        <v>0.05</v>
      </c>
      <c r="F955">
        <v>0</v>
      </c>
      <c r="G955">
        <v>954</v>
      </c>
      <c r="H955">
        <v>1366</v>
      </c>
      <c r="I955">
        <v>908</v>
      </c>
      <c r="J955" t="s">
        <v>6279</v>
      </c>
    </row>
    <row r="956" spans="1:10">
      <c r="A956">
        <v>5536</v>
      </c>
      <c r="B956" t="s">
        <v>5715</v>
      </c>
      <c r="C956">
        <v>3.65</v>
      </c>
      <c r="D956">
        <v>18.39</v>
      </c>
      <c r="E956">
        <v>1.65</v>
      </c>
      <c r="F956">
        <v>0</v>
      </c>
      <c r="G956">
        <v>955</v>
      </c>
      <c r="H956">
        <v>301</v>
      </c>
      <c r="I956">
        <v>97</v>
      </c>
      <c r="J956" t="s">
        <v>6279</v>
      </c>
    </row>
    <row r="957" spans="1:10">
      <c r="A957">
        <v>4561</v>
      </c>
      <c r="B957" t="s">
        <v>546</v>
      </c>
      <c r="C957">
        <v>3.64</v>
      </c>
      <c r="D957">
        <v>0.11</v>
      </c>
      <c r="E957">
        <v>0.05</v>
      </c>
      <c r="F957">
        <v>0</v>
      </c>
      <c r="G957">
        <v>956</v>
      </c>
      <c r="H957">
        <v>1440</v>
      </c>
      <c r="I957">
        <v>908</v>
      </c>
      <c r="J957" t="s">
        <v>6279</v>
      </c>
    </row>
    <row r="958" spans="1:10">
      <c r="A958">
        <v>5371</v>
      </c>
      <c r="B958" t="s">
        <v>5679</v>
      </c>
      <c r="C958">
        <v>3.63</v>
      </c>
      <c r="D958">
        <v>24.5</v>
      </c>
      <c r="E958">
        <v>1.36</v>
      </c>
      <c r="F958">
        <v>0</v>
      </c>
      <c r="G958">
        <v>957</v>
      </c>
      <c r="H958">
        <v>227</v>
      </c>
      <c r="I958">
        <v>123</v>
      </c>
      <c r="J958" t="s">
        <v>6279</v>
      </c>
    </row>
    <row r="959" spans="1:10">
      <c r="A959">
        <v>1786</v>
      </c>
      <c r="B959" t="s">
        <v>4955</v>
      </c>
      <c r="C959">
        <v>3.62</v>
      </c>
      <c r="D959">
        <v>0.38</v>
      </c>
      <c r="E959">
        <v>0.18</v>
      </c>
      <c r="F959">
        <v>0</v>
      </c>
      <c r="G959">
        <v>958</v>
      </c>
      <c r="H959">
        <v>1369</v>
      </c>
      <c r="I959">
        <v>584</v>
      </c>
      <c r="J959" t="s">
        <v>6279</v>
      </c>
    </row>
    <row r="960" spans="1:10">
      <c r="A960">
        <v>2527</v>
      </c>
      <c r="B960" t="s">
        <v>5164</v>
      </c>
      <c r="C960">
        <v>3.62</v>
      </c>
      <c r="D960">
        <v>43.2</v>
      </c>
      <c r="E960">
        <v>0.01</v>
      </c>
      <c r="F960">
        <v>7.0000000000000007E-2</v>
      </c>
      <c r="G960">
        <v>958</v>
      </c>
      <c r="H960">
        <v>100</v>
      </c>
      <c r="I960">
        <v>1123</v>
      </c>
      <c r="J960">
        <v>403</v>
      </c>
    </row>
    <row r="961" spans="1:10">
      <c r="A961">
        <v>4526</v>
      </c>
      <c r="B961" t="s">
        <v>5557</v>
      </c>
      <c r="C961">
        <v>3.61</v>
      </c>
      <c r="D961">
        <v>7.08</v>
      </c>
      <c r="E961">
        <v>0.01</v>
      </c>
      <c r="F961">
        <v>0</v>
      </c>
      <c r="G961">
        <v>960</v>
      </c>
      <c r="H961">
        <v>637</v>
      </c>
      <c r="I961">
        <v>1123</v>
      </c>
      <c r="J961" t="s">
        <v>6279</v>
      </c>
    </row>
    <row r="962" spans="1:10">
      <c r="A962">
        <v>6185</v>
      </c>
      <c r="B962" t="s">
        <v>5792</v>
      </c>
      <c r="C962">
        <v>3.6</v>
      </c>
      <c r="D962">
        <v>1.19</v>
      </c>
      <c r="E962">
        <v>0</v>
      </c>
      <c r="F962">
        <v>0</v>
      </c>
      <c r="G962">
        <v>961</v>
      </c>
      <c r="H962">
        <v>1189</v>
      </c>
      <c r="I962" t="s">
        <v>6279</v>
      </c>
      <c r="J962" t="s">
        <v>6279</v>
      </c>
    </row>
    <row r="963" spans="1:10">
      <c r="A963">
        <v>1907</v>
      </c>
      <c r="B963" t="s">
        <v>4970</v>
      </c>
      <c r="C963">
        <v>3.59</v>
      </c>
      <c r="D963">
        <v>15.25</v>
      </c>
      <c r="E963">
        <v>0.05</v>
      </c>
      <c r="F963">
        <v>0.01</v>
      </c>
      <c r="G963">
        <v>962</v>
      </c>
      <c r="H963">
        <v>351</v>
      </c>
      <c r="I963">
        <v>908</v>
      </c>
      <c r="J963">
        <v>495</v>
      </c>
    </row>
    <row r="964" spans="1:10">
      <c r="A964">
        <v>2228</v>
      </c>
      <c r="B964" t="s">
        <v>5019</v>
      </c>
      <c r="C964">
        <v>3.58</v>
      </c>
      <c r="D964">
        <v>5.1100000000000003</v>
      </c>
      <c r="E964">
        <v>0.67</v>
      </c>
      <c r="F964">
        <v>0</v>
      </c>
      <c r="G964">
        <v>963</v>
      </c>
      <c r="H964">
        <v>772</v>
      </c>
      <c r="I964">
        <v>261</v>
      </c>
      <c r="J964" t="s">
        <v>6279</v>
      </c>
    </row>
    <row r="965" spans="1:10">
      <c r="A965">
        <v>4542</v>
      </c>
      <c r="B965" t="s">
        <v>6341</v>
      </c>
      <c r="C965">
        <v>3.57</v>
      </c>
      <c r="D965">
        <v>3.55</v>
      </c>
      <c r="E965">
        <v>0</v>
      </c>
      <c r="F965">
        <v>0</v>
      </c>
      <c r="G965">
        <v>964</v>
      </c>
      <c r="H965">
        <v>872</v>
      </c>
      <c r="I965" t="s">
        <v>6279</v>
      </c>
      <c r="J965" t="s">
        <v>6279</v>
      </c>
    </row>
    <row r="966" spans="1:10">
      <c r="A966">
        <v>1522</v>
      </c>
      <c r="B966" t="s">
        <v>4871</v>
      </c>
      <c r="C966">
        <v>3.55</v>
      </c>
      <c r="D966">
        <v>6.01</v>
      </c>
      <c r="E966">
        <v>0</v>
      </c>
      <c r="F966">
        <v>0.1</v>
      </c>
      <c r="G966">
        <v>965</v>
      </c>
      <c r="H966">
        <v>704</v>
      </c>
      <c r="I966" t="s">
        <v>6279</v>
      </c>
      <c r="J966">
        <v>377</v>
      </c>
    </row>
    <row r="967" spans="1:10">
      <c r="A967">
        <v>4551</v>
      </c>
      <c r="B967" t="s">
        <v>5568</v>
      </c>
      <c r="C967">
        <v>3.55</v>
      </c>
      <c r="D967">
        <v>52.89</v>
      </c>
      <c r="E967">
        <v>0</v>
      </c>
      <c r="F967">
        <v>1.73</v>
      </c>
      <c r="G967">
        <v>965</v>
      </c>
      <c r="H967">
        <v>67</v>
      </c>
      <c r="I967" t="s">
        <v>6279</v>
      </c>
      <c r="J967">
        <v>144</v>
      </c>
    </row>
    <row r="968" spans="1:10">
      <c r="A968">
        <v>9935</v>
      </c>
      <c r="B968" t="s">
        <v>6087</v>
      </c>
      <c r="C968">
        <v>3.55</v>
      </c>
      <c r="D968">
        <v>5.07</v>
      </c>
      <c r="E968">
        <v>0.08</v>
      </c>
      <c r="F968">
        <v>0</v>
      </c>
      <c r="G968">
        <v>965</v>
      </c>
      <c r="H968">
        <v>777</v>
      </c>
      <c r="I968">
        <v>790</v>
      </c>
      <c r="J968" t="s">
        <v>6279</v>
      </c>
    </row>
    <row r="969" spans="1:10">
      <c r="A969">
        <v>2006</v>
      </c>
      <c r="B969" t="s">
        <v>4973</v>
      </c>
      <c r="C969">
        <v>3.54</v>
      </c>
      <c r="D969">
        <v>12.7</v>
      </c>
      <c r="E969">
        <v>1.1499999999999999</v>
      </c>
      <c r="F969">
        <v>2.35</v>
      </c>
      <c r="G969">
        <v>968</v>
      </c>
      <c r="H969">
        <v>415</v>
      </c>
      <c r="I969">
        <v>150</v>
      </c>
      <c r="J969">
        <v>109</v>
      </c>
    </row>
    <row r="970" spans="1:10">
      <c r="A970">
        <v>4562</v>
      </c>
      <c r="B970" t="s">
        <v>5573</v>
      </c>
      <c r="C970">
        <v>3.52</v>
      </c>
      <c r="D970">
        <v>1.29</v>
      </c>
      <c r="E970">
        <v>0</v>
      </c>
      <c r="F970">
        <v>0</v>
      </c>
      <c r="G970">
        <v>969</v>
      </c>
      <c r="H970">
        <v>1164</v>
      </c>
      <c r="I970" t="s">
        <v>6279</v>
      </c>
      <c r="J970" t="s">
        <v>6279</v>
      </c>
    </row>
    <row r="971" spans="1:10">
      <c r="A971">
        <v>2547</v>
      </c>
      <c r="B971" t="s">
        <v>5176</v>
      </c>
      <c r="C971">
        <v>3.51</v>
      </c>
      <c r="D971">
        <v>19.8</v>
      </c>
      <c r="E971">
        <v>0.08</v>
      </c>
      <c r="F971">
        <v>0</v>
      </c>
      <c r="G971">
        <v>970</v>
      </c>
      <c r="H971">
        <v>284</v>
      </c>
      <c r="I971">
        <v>790</v>
      </c>
      <c r="J971" t="s">
        <v>6279</v>
      </c>
    </row>
    <row r="972" spans="1:10">
      <c r="A972">
        <v>2702</v>
      </c>
      <c r="B972" t="s">
        <v>6226</v>
      </c>
      <c r="C972">
        <v>3.51</v>
      </c>
      <c r="D972">
        <v>38.78</v>
      </c>
      <c r="E972">
        <v>0.05</v>
      </c>
      <c r="F972">
        <v>0</v>
      </c>
      <c r="G972">
        <v>970</v>
      </c>
      <c r="H972">
        <v>127</v>
      </c>
      <c r="I972">
        <v>908</v>
      </c>
      <c r="J972" t="s">
        <v>6279</v>
      </c>
    </row>
    <row r="973" spans="1:10">
      <c r="A973">
        <v>8415</v>
      </c>
      <c r="B973" t="s">
        <v>6022</v>
      </c>
      <c r="C973">
        <v>3.51</v>
      </c>
      <c r="D973">
        <v>10.42</v>
      </c>
      <c r="E973">
        <v>7.0000000000000007E-2</v>
      </c>
      <c r="F973">
        <v>0</v>
      </c>
      <c r="G973">
        <v>970</v>
      </c>
      <c r="H973">
        <v>491</v>
      </c>
      <c r="I973">
        <v>825</v>
      </c>
      <c r="J973" t="s">
        <v>6279</v>
      </c>
    </row>
    <row r="974" spans="1:10">
      <c r="A974">
        <v>4568</v>
      </c>
      <c r="B974" t="s">
        <v>6148</v>
      </c>
      <c r="C974">
        <v>3.5</v>
      </c>
      <c r="D974">
        <v>6.6</v>
      </c>
      <c r="E974">
        <v>0</v>
      </c>
      <c r="F974">
        <v>0</v>
      </c>
      <c r="G974">
        <v>973</v>
      </c>
      <c r="H974">
        <v>673</v>
      </c>
      <c r="I974" t="s">
        <v>6279</v>
      </c>
      <c r="J974" t="s">
        <v>6279</v>
      </c>
    </row>
    <row r="975" spans="1:10">
      <c r="A975">
        <v>6506</v>
      </c>
      <c r="B975" t="s">
        <v>5891</v>
      </c>
      <c r="C975">
        <v>3.5</v>
      </c>
      <c r="D975">
        <v>2.2599999999999998</v>
      </c>
      <c r="E975">
        <v>0.01</v>
      </c>
      <c r="F975">
        <v>0</v>
      </c>
      <c r="G975">
        <v>973</v>
      </c>
      <c r="H975">
        <v>1011</v>
      </c>
      <c r="I975">
        <v>1123</v>
      </c>
      <c r="J975" t="s">
        <v>6279</v>
      </c>
    </row>
    <row r="976" spans="1:10">
      <c r="A976">
        <v>8046</v>
      </c>
      <c r="B976" t="s">
        <v>5961</v>
      </c>
      <c r="C976">
        <v>3.5</v>
      </c>
      <c r="D976">
        <v>10.28</v>
      </c>
      <c r="E976">
        <v>0.72</v>
      </c>
      <c r="F976">
        <v>5.59</v>
      </c>
      <c r="G976">
        <v>973</v>
      </c>
      <c r="H976">
        <v>497</v>
      </c>
      <c r="I976">
        <v>240</v>
      </c>
      <c r="J976">
        <v>45</v>
      </c>
    </row>
    <row r="977" spans="1:10">
      <c r="A977">
        <v>1340</v>
      </c>
      <c r="B977" t="s">
        <v>4823</v>
      </c>
      <c r="C977">
        <v>3.49</v>
      </c>
      <c r="D977">
        <v>28.35</v>
      </c>
      <c r="E977">
        <v>0.27</v>
      </c>
      <c r="F977">
        <v>0</v>
      </c>
      <c r="G977">
        <v>976</v>
      </c>
      <c r="H977">
        <v>195</v>
      </c>
      <c r="I977">
        <v>487</v>
      </c>
      <c r="J977" t="s">
        <v>6279</v>
      </c>
    </row>
    <row r="978" spans="1:10">
      <c r="A978">
        <v>4541</v>
      </c>
      <c r="B978" t="s">
        <v>5564</v>
      </c>
      <c r="C978">
        <v>3.49</v>
      </c>
      <c r="D978">
        <v>3.1</v>
      </c>
      <c r="E978">
        <v>0.03</v>
      </c>
      <c r="F978">
        <v>0</v>
      </c>
      <c r="G978">
        <v>976</v>
      </c>
      <c r="H978">
        <v>918</v>
      </c>
      <c r="I978">
        <v>990</v>
      </c>
      <c r="J978" t="s">
        <v>6279</v>
      </c>
    </row>
    <row r="979" spans="1:10">
      <c r="A979">
        <v>2911</v>
      </c>
      <c r="B979" t="s">
        <v>5255</v>
      </c>
      <c r="C979">
        <v>3.48</v>
      </c>
      <c r="D979">
        <v>17.8</v>
      </c>
      <c r="E979">
        <v>0.86</v>
      </c>
      <c r="F979">
        <v>0</v>
      </c>
      <c r="G979">
        <v>978</v>
      </c>
      <c r="H979">
        <v>311</v>
      </c>
      <c r="I979">
        <v>200</v>
      </c>
      <c r="J979" t="s">
        <v>6279</v>
      </c>
    </row>
    <row r="980" spans="1:10">
      <c r="A980">
        <v>1313</v>
      </c>
      <c r="B980" t="s">
        <v>4809</v>
      </c>
      <c r="C980">
        <v>3.43</v>
      </c>
      <c r="D980">
        <v>9.2799999999999994</v>
      </c>
      <c r="E980">
        <v>0.01</v>
      </c>
      <c r="F980">
        <v>0</v>
      </c>
      <c r="G980">
        <v>979</v>
      </c>
      <c r="H980">
        <v>536</v>
      </c>
      <c r="I980">
        <v>1123</v>
      </c>
      <c r="J980" t="s">
        <v>6279</v>
      </c>
    </row>
    <row r="981" spans="1:10">
      <c r="A981">
        <v>2392</v>
      </c>
      <c r="B981" t="s">
        <v>5083</v>
      </c>
      <c r="C981">
        <v>3.43</v>
      </c>
      <c r="D981">
        <v>9.7799999999999994</v>
      </c>
      <c r="E981">
        <v>0.49</v>
      </c>
      <c r="F981">
        <v>0.02</v>
      </c>
      <c r="G981">
        <v>979</v>
      </c>
      <c r="H981">
        <v>518</v>
      </c>
      <c r="I981">
        <v>324</v>
      </c>
      <c r="J981">
        <v>476</v>
      </c>
    </row>
    <row r="982" spans="1:10">
      <c r="A982">
        <v>8432</v>
      </c>
      <c r="B982" t="s">
        <v>6310</v>
      </c>
      <c r="C982">
        <v>3.4</v>
      </c>
      <c r="D982">
        <v>0.49</v>
      </c>
      <c r="E982">
        <v>0.09</v>
      </c>
      <c r="F982">
        <v>0</v>
      </c>
      <c r="G982">
        <v>981</v>
      </c>
      <c r="H982">
        <v>1330</v>
      </c>
      <c r="I982">
        <v>762</v>
      </c>
      <c r="J982" t="s">
        <v>6279</v>
      </c>
    </row>
    <row r="983" spans="1:10">
      <c r="A983">
        <v>3022</v>
      </c>
      <c r="B983" t="s">
        <v>5278</v>
      </c>
      <c r="C983">
        <v>3.38</v>
      </c>
      <c r="D983">
        <v>18.71</v>
      </c>
      <c r="E983">
        <v>0.13</v>
      </c>
      <c r="F983">
        <v>0</v>
      </c>
      <c r="G983">
        <v>982</v>
      </c>
      <c r="H983">
        <v>295</v>
      </c>
      <c r="I983">
        <v>671</v>
      </c>
      <c r="J983" t="s">
        <v>6279</v>
      </c>
    </row>
    <row r="984" spans="1:10">
      <c r="A984">
        <v>3164</v>
      </c>
      <c r="B984" t="s">
        <v>5331</v>
      </c>
      <c r="C984">
        <v>3.38</v>
      </c>
      <c r="D984">
        <v>0.87</v>
      </c>
      <c r="E984">
        <v>0.04</v>
      </c>
      <c r="F984">
        <v>0</v>
      </c>
      <c r="G984">
        <v>982</v>
      </c>
      <c r="H984">
        <v>1247</v>
      </c>
      <c r="I984">
        <v>946</v>
      </c>
      <c r="J984" t="s">
        <v>6279</v>
      </c>
    </row>
    <row r="985" spans="1:10">
      <c r="A985">
        <v>4433</v>
      </c>
      <c r="B985" t="s">
        <v>5550</v>
      </c>
      <c r="C985">
        <v>3.37</v>
      </c>
      <c r="D985">
        <v>0.22</v>
      </c>
      <c r="E985">
        <v>0.05</v>
      </c>
      <c r="F985">
        <v>0</v>
      </c>
      <c r="G985">
        <v>984</v>
      </c>
      <c r="H985">
        <v>1409</v>
      </c>
      <c r="I985">
        <v>908</v>
      </c>
      <c r="J985" t="s">
        <v>6279</v>
      </c>
    </row>
    <row r="986" spans="1:10">
      <c r="A986">
        <v>5353</v>
      </c>
      <c r="B986" t="s">
        <v>5677</v>
      </c>
      <c r="C986">
        <v>3.37</v>
      </c>
      <c r="D986">
        <v>0.19</v>
      </c>
      <c r="E986">
        <v>0</v>
      </c>
      <c r="F986">
        <v>0</v>
      </c>
      <c r="G986">
        <v>984</v>
      </c>
      <c r="H986">
        <v>1414</v>
      </c>
      <c r="I986" t="s">
        <v>6279</v>
      </c>
      <c r="J986" t="s">
        <v>6279</v>
      </c>
    </row>
    <row r="987" spans="1:10">
      <c r="A987">
        <v>4439</v>
      </c>
      <c r="B987" t="s">
        <v>5552</v>
      </c>
      <c r="C987">
        <v>3.35</v>
      </c>
      <c r="D987">
        <v>63.65</v>
      </c>
      <c r="E987">
        <v>0.05</v>
      </c>
      <c r="F987">
        <v>0</v>
      </c>
      <c r="G987">
        <v>986</v>
      </c>
      <c r="H987">
        <v>39</v>
      </c>
      <c r="I987">
        <v>908</v>
      </c>
      <c r="J987" t="s">
        <v>6279</v>
      </c>
    </row>
    <row r="988" spans="1:10">
      <c r="A988">
        <v>8426</v>
      </c>
      <c r="B988" t="s">
        <v>6311</v>
      </c>
      <c r="C988">
        <v>3.33</v>
      </c>
      <c r="D988">
        <v>68.59</v>
      </c>
      <c r="E988">
        <v>0</v>
      </c>
      <c r="F988">
        <v>0</v>
      </c>
      <c r="G988">
        <v>987</v>
      </c>
      <c r="H988">
        <v>26</v>
      </c>
      <c r="I988" t="s">
        <v>6279</v>
      </c>
      <c r="J988" t="s">
        <v>6279</v>
      </c>
    </row>
    <row r="989" spans="1:10">
      <c r="A989">
        <v>1110</v>
      </c>
      <c r="B989" t="s">
        <v>4777</v>
      </c>
      <c r="C989">
        <v>3.32</v>
      </c>
      <c r="D989">
        <v>7.14</v>
      </c>
      <c r="E989">
        <v>0.1</v>
      </c>
      <c r="F989">
        <v>0.05</v>
      </c>
      <c r="G989">
        <v>988</v>
      </c>
      <c r="H989">
        <v>628</v>
      </c>
      <c r="I989">
        <v>741</v>
      </c>
      <c r="J989">
        <v>427</v>
      </c>
    </row>
    <row r="990" spans="1:10">
      <c r="A990">
        <v>2514</v>
      </c>
      <c r="B990" t="s">
        <v>5160</v>
      </c>
      <c r="C990">
        <v>3.31</v>
      </c>
      <c r="D990">
        <v>1.47</v>
      </c>
      <c r="E990">
        <v>1.18</v>
      </c>
      <c r="F990">
        <v>0</v>
      </c>
      <c r="G990">
        <v>989</v>
      </c>
      <c r="H990">
        <v>1130</v>
      </c>
      <c r="I990">
        <v>144</v>
      </c>
      <c r="J990" t="s">
        <v>6279</v>
      </c>
    </row>
    <row r="991" spans="1:10">
      <c r="A991">
        <v>1310</v>
      </c>
      <c r="B991" t="s">
        <v>4807</v>
      </c>
      <c r="C991">
        <v>3.26</v>
      </c>
      <c r="D991">
        <v>5.82</v>
      </c>
      <c r="E991">
        <v>0.36</v>
      </c>
      <c r="F991">
        <v>0</v>
      </c>
      <c r="G991">
        <v>990</v>
      </c>
      <c r="H991">
        <v>718</v>
      </c>
      <c r="I991">
        <v>403</v>
      </c>
      <c r="J991" t="s">
        <v>6279</v>
      </c>
    </row>
    <row r="992" spans="1:10">
      <c r="A992">
        <v>2474</v>
      </c>
      <c r="B992" t="s">
        <v>5134</v>
      </c>
      <c r="C992">
        <v>3.24</v>
      </c>
      <c r="D992">
        <v>43.99</v>
      </c>
      <c r="E992">
        <v>0.43</v>
      </c>
      <c r="F992">
        <v>0.24</v>
      </c>
      <c r="G992">
        <v>991</v>
      </c>
      <c r="H992">
        <v>97</v>
      </c>
      <c r="I992">
        <v>350</v>
      </c>
      <c r="J992">
        <v>312</v>
      </c>
    </row>
    <row r="993" spans="1:10">
      <c r="A993">
        <v>4974</v>
      </c>
      <c r="B993" t="s">
        <v>5632</v>
      </c>
      <c r="C993">
        <v>3.23</v>
      </c>
      <c r="D993">
        <v>6.61</v>
      </c>
      <c r="E993">
        <v>1.18</v>
      </c>
      <c r="F993">
        <v>0</v>
      </c>
      <c r="G993">
        <v>992</v>
      </c>
      <c r="H993">
        <v>672</v>
      </c>
      <c r="I993">
        <v>144</v>
      </c>
      <c r="J993" t="s">
        <v>6279</v>
      </c>
    </row>
    <row r="994" spans="1:10">
      <c r="A994">
        <v>8463</v>
      </c>
      <c r="B994" t="s">
        <v>6039</v>
      </c>
      <c r="C994">
        <v>3.22</v>
      </c>
      <c r="D994">
        <v>0.37</v>
      </c>
      <c r="E994">
        <v>0.12</v>
      </c>
      <c r="F994">
        <v>0</v>
      </c>
      <c r="G994">
        <v>993</v>
      </c>
      <c r="H994">
        <v>1373</v>
      </c>
      <c r="I994">
        <v>696</v>
      </c>
      <c r="J994" t="s">
        <v>6279</v>
      </c>
    </row>
    <row r="995" spans="1:10">
      <c r="A995">
        <v>5512</v>
      </c>
      <c r="B995" t="s">
        <v>5705</v>
      </c>
      <c r="C995">
        <v>3.21</v>
      </c>
      <c r="D995">
        <v>6.48</v>
      </c>
      <c r="E995">
        <v>0.02</v>
      </c>
      <c r="F995">
        <v>0</v>
      </c>
      <c r="G995">
        <v>994</v>
      </c>
      <c r="H995">
        <v>680</v>
      </c>
      <c r="I995">
        <v>1051</v>
      </c>
      <c r="J995" t="s">
        <v>6279</v>
      </c>
    </row>
    <row r="996" spans="1:10">
      <c r="A996">
        <v>2449</v>
      </c>
      <c r="B996" t="s">
        <v>5115</v>
      </c>
      <c r="C996">
        <v>3.18</v>
      </c>
      <c r="D996">
        <v>34.85</v>
      </c>
      <c r="E996">
        <v>7.07</v>
      </c>
      <c r="F996">
        <v>5.22</v>
      </c>
      <c r="G996">
        <v>995</v>
      </c>
      <c r="H996">
        <v>142</v>
      </c>
      <c r="I996">
        <v>8</v>
      </c>
      <c r="J996">
        <v>53</v>
      </c>
    </row>
    <row r="997" spans="1:10">
      <c r="A997">
        <v>8410</v>
      </c>
      <c r="B997" t="s">
        <v>6190</v>
      </c>
      <c r="C997">
        <v>3.18</v>
      </c>
      <c r="D997">
        <v>0.71</v>
      </c>
      <c r="E997">
        <v>0</v>
      </c>
      <c r="F997">
        <v>0</v>
      </c>
      <c r="G997">
        <v>995</v>
      </c>
      <c r="H997">
        <v>1280</v>
      </c>
      <c r="I997" t="s">
        <v>6279</v>
      </c>
      <c r="J997" t="s">
        <v>6279</v>
      </c>
    </row>
    <row r="998" spans="1:10">
      <c r="A998">
        <v>5531</v>
      </c>
      <c r="B998" t="s">
        <v>5712</v>
      </c>
      <c r="C998">
        <v>3.15</v>
      </c>
      <c r="D998">
        <v>4.62</v>
      </c>
      <c r="E998">
        <v>0.12</v>
      </c>
      <c r="F998">
        <v>0</v>
      </c>
      <c r="G998">
        <v>997</v>
      </c>
      <c r="H998">
        <v>804</v>
      </c>
      <c r="I998">
        <v>696</v>
      </c>
      <c r="J998" t="s">
        <v>6279</v>
      </c>
    </row>
    <row r="999" spans="1:10">
      <c r="A999">
        <v>8462</v>
      </c>
      <c r="B999" t="s">
        <v>6038</v>
      </c>
      <c r="C999">
        <v>3.13</v>
      </c>
      <c r="D999">
        <v>1.3</v>
      </c>
      <c r="E999">
        <v>0.01</v>
      </c>
      <c r="F999">
        <v>0</v>
      </c>
      <c r="G999">
        <v>998</v>
      </c>
      <c r="H999">
        <v>1163</v>
      </c>
      <c r="I999">
        <v>1123</v>
      </c>
      <c r="J999" t="s">
        <v>6279</v>
      </c>
    </row>
    <row r="1000" spans="1:10">
      <c r="A1000">
        <v>3040</v>
      </c>
      <c r="B1000" t="s">
        <v>5294</v>
      </c>
      <c r="C1000">
        <v>3.12</v>
      </c>
      <c r="D1000">
        <v>14.83</v>
      </c>
      <c r="E1000">
        <v>0.16</v>
      </c>
      <c r="F1000">
        <v>0</v>
      </c>
      <c r="G1000">
        <v>999</v>
      </c>
      <c r="H1000">
        <v>365</v>
      </c>
      <c r="I1000">
        <v>615</v>
      </c>
      <c r="J1000" t="s">
        <v>6279</v>
      </c>
    </row>
    <row r="1001" spans="1:10">
      <c r="A1001">
        <v>3652</v>
      </c>
      <c r="B1001" t="s">
        <v>5476</v>
      </c>
      <c r="C1001">
        <v>3.1</v>
      </c>
      <c r="D1001">
        <v>0.86</v>
      </c>
      <c r="E1001">
        <v>0</v>
      </c>
      <c r="F1001">
        <v>0</v>
      </c>
      <c r="G1001">
        <v>1000</v>
      </c>
      <c r="H1001">
        <v>1248</v>
      </c>
      <c r="I1001" t="s">
        <v>6279</v>
      </c>
      <c r="J1001" t="s">
        <v>6279</v>
      </c>
    </row>
    <row r="1002" spans="1:10">
      <c r="A1002">
        <v>5519</v>
      </c>
      <c r="B1002" t="s">
        <v>5707</v>
      </c>
      <c r="C1002">
        <v>3.09</v>
      </c>
      <c r="D1002">
        <v>3.94</v>
      </c>
      <c r="E1002">
        <v>0.02</v>
      </c>
      <c r="F1002">
        <v>0</v>
      </c>
      <c r="G1002">
        <v>1001</v>
      </c>
      <c r="H1002">
        <v>850</v>
      </c>
      <c r="I1002">
        <v>1051</v>
      </c>
      <c r="J1002" t="s">
        <v>6279</v>
      </c>
    </row>
    <row r="1003" spans="1:10">
      <c r="A1003">
        <v>6491</v>
      </c>
      <c r="B1003" t="s">
        <v>5886</v>
      </c>
      <c r="C1003">
        <v>3.09</v>
      </c>
      <c r="D1003">
        <v>14.07</v>
      </c>
      <c r="E1003">
        <v>0.04</v>
      </c>
      <c r="F1003">
        <v>3.89</v>
      </c>
      <c r="G1003">
        <v>1001</v>
      </c>
      <c r="H1003">
        <v>385</v>
      </c>
      <c r="I1003">
        <v>946</v>
      </c>
      <c r="J1003">
        <v>74</v>
      </c>
    </row>
    <row r="1004" spans="1:10">
      <c r="A1004">
        <v>2103</v>
      </c>
      <c r="B1004" t="s">
        <v>5003</v>
      </c>
      <c r="C1004">
        <v>3.08</v>
      </c>
      <c r="D1004">
        <v>29.51</v>
      </c>
      <c r="E1004">
        <v>0.08</v>
      </c>
      <c r="F1004">
        <v>0</v>
      </c>
      <c r="G1004">
        <v>1003</v>
      </c>
      <c r="H1004">
        <v>184</v>
      </c>
      <c r="I1004">
        <v>790</v>
      </c>
      <c r="J1004" t="s">
        <v>6279</v>
      </c>
    </row>
    <row r="1005" spans="1:10">
      <c r="A1005">
        <v>4113</v>
      </c>
      <c r="B1005" t="s">
        <v>5511</v>
      </c>
      <c r="C1005">
        <v>3.07</v>
      </c>
      <c r="D1005">
        <v>0.25</v>
      </c>
      <c r="E1005">
        <v>0</v>
      </c>
      <c r="F1005">
        <v>0</v>
      </c>
      <c r="G1005">
        <v>1004</v>
      </c>
      <c r="H1005">
        <v>1403</v>
      </c>
      <c r="I1005" t="s">
        <v>6279</v>
      </c>
      <c r="J1005" t="s">
        <v>6279</v>
      </c>
    </row>
    <row r="1006" spans="1:10">
      <c r="A1006">
        <v>2496</v>
      </c>
      <c r="B1006" t="s">
        <v>5151</v>
      </c>
      <c r="C1006">
        <v>3.06</v>
      </c>
      <c r="D1006">
        <v>31.17</v>
      </c>
      <c r="E1006">
        <v>0.03</v>
      </c>
      <c r="F1006">
        <v>0</v>
      </c>
      <c r="G1006">
        <v>1005</v>
      </c>
      <c r="H1006">
        <v>171</v>
      </c>
      <c r="I1006">
        <v>990</v>
      </c>
      <c r="J1006" t="s">
        <v>6279</v>
      </c>
    </row>
    <row r="1007" spans="1:10">
      <c r="A1007">
        <v>2504</v>
      </c>
      <c r="B1007" t="s">
        <v>5155</v>
      </c>
      <c r="C1007">
        <v>3.05</v>
      </c>
      <c r="D1007">
        <v>15.31</v>
      </c>
      <c r="E1007">
        <v>2.36</v>
      </c>
      <c r="F1007">
        <v>0.27</v>
      </c>
      <c r="G1007">
        <v>1006</v>
      </c>
      <c r="H1007">
        <v>350</v>
      </c>
      <c r="I1007">
        <v>66</v>
      </c>
      <c r="J1007">
        <v>302</v>
      </c>
    </row>
    <row r="1008" spans="1:10">
      <c r="A1008">
        <v>3052</v>
      </c>
      <c r="B1008" t="s">
        <v>5303</v>
      </c>
      <c r="C1008">
        <v>3.03</v>
      </c>
      <c r="D1008">
        <v>0.99</v>
      </c>
      <c r="E1008">
        <v>0.06</v>
      </c>
      <c r="F1008">
        <v>0</v>
      </c>
      <c r="G1008">
        <v>1007</v>
      </c>
      <c r="H1008">
        <v>1222</v>
      </c>
      <c r="I1008">
        <v>869</v>
      </c>
      <c r="J1008" t="s">
        <v>6279</v>
      </c>
    </row>
    <row r="1009" spans="1:10">
      <c r="A1009">
        <v>6612</v>
      </c>
      <c r="B1009" t="s">
        <v>5920</v>
      </c>
      <c r="C1009">
        <v>3.03</v>
      </c>
      <c r="D1009">
        <v>30.19</v>
      </c>
      <c r="E1009">
        <v>0.32</v>
      </c>
      <c r="F1009">
        <v>0.28000000000000003</v>
      </c>
      <c r="G1009">
        <v>1007</v>
      </c>
      <c r="H1009">
        <v>181</v>
      </c>
      <c r="I1009">
        <v>442</v>
      </c>
      <c r="J1009">
        <v>300</v>
      </c>
    </row>
    <row r="1010" spans="1:10">
      <c r="A1010">
        <v>5530</v>
      </c>
      <c r="B1010" t="s">
        <v>5711</v>
      </c>
      <c r="C1010">
        <v>2.99</v>
      </c>
      <c r="D1010">
        <v>55.62</v>
      </c>
      <c r="E1010">
        <v>0.03</v>
      </c>
      <c r="F1010">
        <v>0</v>
      </c>
      <c r="G1010">
        <v>1009</v>
      </c>
      <c r="H1010">
        <v>55</v>
      </c>
      <c r="I1010">
        <v>990</v>
      </c>
      <c r="J1010" t="s">
        <v>6279</v>
      </c>
    </row>
    <row r="1011" spans="1:10">
      <c r="A1011">
        <v>6154</v>
      </c>
      <c r="B1011" t="s">
        <v>5771</v>
      </c>
      <c r="C1011">
        <v>2.97</v>
      </c>
      <c r="D1011">
        <v>0.98</v>
      </c>
      <c r="E1011">
        <v>0</v>
      </c>
      <c r="F1011">
        <v>0</v>
      </c>
      <c r="G1011">
        <v>1010</v>
      </c>
      <c r="H1011">
        <v>1224</v>
      </c>
      <c r="I1011" t="s">
        <v>6279</v>
      </c>
      <c r="J1011" t="s">
        <v>6279</v>
      </c>
    </row>
    <row r="1012" spans="1:10">
      <c r="A1012">
        <v>8433</v>
      </c>
      <c r="B1012" t="s">
        <v>6027</v>
      </c>
      <c r="C1012">
        <v>2.96</v>
      </c>
      <c r="D1012">
        <v>0.49</v>
      </c>
      <c r="E1012">
        <v>0.03</v>
      </c>
      <c r="F1012">
        <v>7.0000000000000007E-2</v>
      </c>
      <c r="G1012">
        <v>1011</v>
      </c>
      <c r="H1012">
        <v>1330</v>
      </c>
      <c r="I1012">
        <v>990</v>
      </c>
      <c r="J1012">
        <v>403</v>
      </c>
    </row>
    <row r="1013" spans="1:10">
      <c r="A1013">
        <v>4114</v>
      </c>
      <c r="B1013" t="s">
        <v>5512</v>
      </c>
      <c r="C1013">
        <v>2.95</v>
      </c>
      <c r="D1013">
        <v>4.2699999999999996</v>
      </c>
      <c r="E1013">
        <v>0.04</v>
      </c>
      <c r="F1013">
        <v>0</v>
      </c>
      <c r="G1013">
        <v>1012</v>
      </c>
      <c r="H1013">
        <v>829</v>
      </c>
      <c r="I1013">
        <v>946</v>
      </c>
      <c r="J1013" t="s">
        <v>6279</v>
      </c>
    </row>
    <row r="1014" spans="1:10">
      <c r="A1014">
        <v>2520</v>
      </c>
      <c r="B1014" t="s">
        <v>5162</v>
      </c>
      <c r="C1014">
        <v>2.94</v>
      </c>
      <c r="D1014">
        <v>19.350000000000001</v>
      </c>
      <c r="E1014">
        <v>0.27</v>
      </c>
      <c r="F1014">
        <v>0.25</v>
      </c>
      <c r="G1014">
        <v>1013</v>
      </c>
      <c r="H1014">
        <v>287</v>
      </c>
      <c r="I1014">
        <v>487</v>
      </c>
      <c r="J1014">
        <v>308</v>
      </c>
    </row>
    <row r="1015" spans="1:10">
      <c r="A1015">
        <v>8234</v>
      </c>
      <c r="B1015" t="s">
        <v>6002</v>
      </c>
      <c r="C1015">
        <v>2.93</v>
      </c>
      <c r="D1015">
        <v>2.74</v>
      </c>
      <c r="E1015">
        <v>0.17</v>
      </c>
      <c r="F1015">
        <v>0</v>
      </c>
      <c r="G1015">
        <v>1014</v>
      </c>
      <c r="H1015">
        <v>950</v>
      </c>
      <c r="I1015">
        <v>596</v>
      </c>
      <c r="J1015" t="s">
        <v>6279</v>
      </c>
    </row>
    <row r="1016" spans="1:10">
      <c r="A1016">
        <v>2379</v>
      </c>
      <c r="B1016" t="s">
        <v>5076</v>
      </c>
      <c r="C1016">
        <v>2.88</v>
      </c>
      <c r="D1016">
        <v>51.1</v>
      </c>
      <c r="E1016">
        <v>0.73</v>
      </c>
      <c r="F1016">
        <v>2.98</v>
      </c>
      <c r="G1016">
        <v>1015</v>
      </c>
      <c r="H1016">
        <v>75</v>
      </c>
      <c r="I1016">
        <v>234</v>
      </c>
      <c r="J1016">
        <v>89</v>
      </c>
    </row>
    <row r="1017" spans="1:10">
      <c r="A1017">
        <v>8466</v>
      </c>
      <c r="B1017" t="s">
        <v>6041</v>
      </c>
      <c r="C1017">
        <v>2.88</v>
      </c>
      <c r="D1017">
        <v>61.28</v>
      </c>
      <c r="E1017">
        <v>0.02</v>
      </c>
      <c r="F1017">
        <v>0</v>
      </c>
      <c r="G1017">
        <v>1015</v>
      </c>
      <c r="H1017">
        <v>45</v>
      </c>
      <c r="I1017">
        <v>1051</v>
      </c>
      <c r="J1017" t="s">
        <v>6279</v>
      </c>
    </row>
    <row r="1018" spans="1:10">
      <c r="A1018">
        <v>1532</v>
      </c>
      <c r="B1018" t="s">
        <v>4880</v>
      </c>
      <c r="C1018">
        <v>2.87</v>
      </c>
      <c r="D1018">
        <v>11.84</v>
      </c>
      <c r="E1018">
        <v>0.08</v>
      </c>
      <c r="F1018">
        <v>0.23</v>
      </c>
      <c r="G1018">
        <v>1017</v>
      </c>
      <c r="H1018">
        <v>439</v>
      </c>
      <c r="I1018">
        <v>790</v>
      </c>
      <c r="J1018">
        <v>314</v>
      </c>
    </row>
    <row r="1019" spans="1:10">
      <c r="A1019">
        <v>6218</v>
      </c>
      <c r="B1019" t="s">
        <v>5815</v>
      </c>
      <c r="C1019">
        <v>2.86</v>
      </c>
      <c r="D1019">
        <v>0.49</v>
      </c>
      <c r="E1019">
        <v>0</v>
      </c>
      <c r="F1019">
        <v>0</v>
      </c>
      <c r="G1019">
        <v>1018</v>
      </c>
      <c r="H1019">
        <v>1330</v>
      </c>
      <c r="I1019" t="s">
        <v>6279</v>
      </c>
      <c r="J1019" t="s">
        <v>6279</v>
      </c>
    </row>
    <row r="1020" spans="1:10">
      <c r="A1020">
        <v>8042</v>
      </c>
      <c r="B1020" t="s">
        <v>6160</v>
      </c>
      <c r="C1020">
        <v>2.86</v>
      </c>
      <c r="D1020">
        <v>4.6500000000000004</v>
      </c>
      <c r="E1020">
        <v>0.37</v>
      </c>
      <c r="F1020">
        <v>0</v>
      </c>
      <c r="G1020">
        <v>1018</v>
      </c>
      <c r="H1020">
        <v>803</v>
      </c>
      <c r="I1020">
        <v>397</v>
      </c>
      <c r="J1020" t="s">
        <v>6279</v>
      </c>
    </row>
    <row r="1021" spans="1:10">
      <c r="A1021">
        <v>1776</v>
      </c>
      <c r="B1021" t="s">
        <v>4951</v>
      </c>
      <c r="C1021">
        <v>2.84</v>
      </c>
      <c r="D1021">
        <v>0.96</v>
      </c>
      <c r="E1021">
        <v>0.02</v>
      </c>
      <c r="F1021">
        <v>0</v>
      </c>
      <c r="G1021">
        <v>1020</v>
      </c>
      <c r="H1021">
        <v>1230</v>
      </c>
      <c r="I1021">
        <v>1051</v>
      </c>
      <c r="J1021" t="s">
        <v>6279</v>
      </c>
    </row>
    <row r="1022" spans="1:10">
      <c r="A1022">
        <v>2545</v>
      </c>
      <c r="B1022" t="s">
        <v>5174</v>
      </c>
      <c r="C1022">
        <v>2.83</v>
      </c>
      <c r="D1022">
        <v>6.48</v>
      </c>
      <c r="E1022">
        <v>0.16</v>
      </c>
      <c r="F1022">
        <v>7.0000000000000007E-2</v>
      </c>
      <c r="G1022">
        <v>1021</v>
      </c>
      <c r="H1022">
        <v>680</v>
      </c>
      <c r="I1022">
        <v>615</v>
      </c>
      <c r="J1022">
        <v>403</v>
      </c>
    </row>
    <row r="1023" spans="1:10">
      <c r="A1023">
        <v>6123</v>
      </c>
      <c r="B1023" t="s">
        <v>5752</v>
      </c>
      <c r="C1023">
        <v>2.81</v>
      </c>
      <c r="D1023">
        <v>3.5</v>
      </c>
      <c r="E1023">
        <v>0.1</v>
      </c>
      <c r="F1023">
        <v>0</v>
      </c>
      <c r="G1023">
        <v>1022</v>
      </c>
      <c r="H1023">
        <v>877</v>
      </c>
      <c r="I1023">
        <v>741</v>
      </c>
      <c r="J1023" t="s">
        <v>6279</v>
      </c>
    </row>
    <row r="1024" spans="1:10">
      <c r="A1024">
        <v>1409</v>
      </c>
      <c r="B1024" t="s">
        <v>4826</v>
      </c>
      <c r="C1024">
        <v>2.8</v>
      </c>
      <c r="D1024">
        <v>13.79</v>
      </c>
      <c r="E1024">
        <v>0.1</v>
      </c>
      <c r="F1024">
        <v>0</v>
      </c>
      <c r="G1024">
        <v>1023</v>
      </c>
      <c r="H1024">
        <v>393</v>
      </c>
      <c r="I1024">
        <v>741</v>
      </c>
      <c r="J1024" t="s">
        <v>6279</v>
      </c>
    </row>
    <row r="1025" spans="1:10">
      <c r="A1025">
        <v>4438</v>
      </c>
      <c r="B1025" t="s">
        <v>5551</v>
      </c>
      <c r="C1025">
        <v>2.8</v>
      </c>
      <c r="D1025">
        <v>2.08</v>
      </c>
      <c r="E1025">
        <v>0</v>
      </c>
      <c r="F1025">
        <v>0.35</v>
      </c>
      <c r="G1025">
        <v>1023</v>
      </c>
      <c r="H1025">
        <v>1036</v>
      </c>
      <c r="I1025" t="s">
        <v>6279</v>
      </c>
      <c r="J1025">
        <v>283</v>
      </c>
    </row>
    <row r="1026" spans="1:10">
      <c r="A1026">
        <v>2430</v>
      </c>
      <c r="B1026" t="s">
        <v>5107</v>
      </c>
      <c r="C1026">
        <v>2.76</v>
      </c>
      <c r="D1026">
        <v>6.86</v>
      </c>
      <c r="E1026">
        <v>0.28999999999999998</v>
      </c>
      <c r="F1026">
        <v>0</v>
      </c>
      <c r="G1026">
        <v>1025</v>
      </c>
      <c r="H1026">
        <v>656</v>
      </c>
      <c r="I1026">
        <v>467</v>
      </c>
      <c r="J1026" t="s">
        <v>6279</v>
      </c>
    </row>
    <row r="1027" spans="1:10">
      <c r="A1027">
        <v>6504</v>
      </c>
      <c r="B1027" t="s">
        <v>5889</v>
      </c>
      <c r="C1027">
        <v>2.75</v>
      </c>
      <c r="D1027">
        <v>4.95</v>
      </c>
      <c r="E1027">
        <v>0.39</v>
      </c>
      <c r="F1027">
        <v>0</v>
      </c>
      <c r="G1027">
        <v>1026</v>
      </c>
      <c r="H1027">
        <v>783</v>
      </c>
      <c r="I1027">
        <v>383</v>
      </c>
      <c r="J1027" t="s">
        <v>6279</v>
      </c>
    </row>
    <row r="1028" spans="1:10">
      <c r="A1028">
        <v>4572</v>
      </c>
      <c r="B1028" t="s">
        <v>5577</v>
      </c>
      <c r="C1028">
        <v>2.74</v>
      </c>
      <c r="D1028">
        <v>0.71</v>
      </c>
      <c r="E1028">
        <v>0.04</v>
      </c>
      <c r="F1028">
        <v>0</v>
      </c>
      <c r="G1028">
        <v>1027</v>
      </c>
      <c r="H1028">
        <v>1280</v>
      </c>
      <c r="I1028">
        <v>946</v>
      </c>
      <c r="J1028" t="s">
        <v>6279</v>
      </c>
    </row>
    <row r="1029" spans="1:10">
      <c r="A1029">
        <v>5523</v>
      </c>
      <c r="B1029" t="s">
        <v>6312</v>
      </c>
      <c r="C1029">
        <v>2.73</v>
      </c>
      <c r="D1029">
        <v>0.09</v>
      </c>
      <c r="E1029">
        <v>0</v>
      </c>
      <c r="F1029">
        <v>0</v>
      </c>
      <c r="G1029">
        <v>1028</v>
      </c>
      <c r="H1029">
        <v>1446</v>
      </c>
      <c r="I1029" t="s">
        <v>6279</v>
      </c>
      <c r="J1029" t="s">
        <v>6279</v>
      </c>
    </row>
    <row r="1030" spans="1:10">
      <c r="A1030">
        <v>8446</v>
      </c>
      <c r="B1030" t="s">
        <v>6035</v>
      </c>
      <c r="C1030">
        <v>2.72</v>
      </c>
      <c r="D1030">
        <v>3.05</v>
      </c>
      <c r="E1030">
        <v>0</v>
      </c>
      <c r="F1030">
        <v>0</v>
      </c>
      <c r="G1030">
        <v>1029</v>
      </c>
      <c r="H1030">
        <v>926</v>
      </c>
      <c r="I1030" t="s">
        <v>6279</v>
      </c>
      <c r="J1030" t="s">
        <v>6279</v>
      </c>
    </row>
    <row r="1031" spans="1:10">
      <c r="A1031">
        <v>1445</v>
      </c>
      <c r="B1031" t="s">
        <v>4841</v>
      </c>
      <c r="C1031">
        <v>2.7</v>
      </c>
      <c r="D1031">
        <v>1.75</v>
      </c>
      <c r="E1031">
        <v>0.13</v>
      </c>
      <c r="F1031">
        <v>0.02</v>
      </c>
      <c r="G1031">
        <v>1030</v>
      </c>
      <c r="H1031">
        <v>1090</v>
      </c>
      <c r="I1031">
        <v>671</v>
      </c>
      <c r="J1031">
        <v>476</v>
      </c>
    </row>
    <row r="1032" spans="1:10">
      <c r="A1032">
        <v>6121</v>
      </c>
      <c r="B1032" t="s">
        <v>5750</v>
      </c>
      <c r="C1032">
        <v>2.68</v>
      </c>
      <c r="D1032">
        <v>46.99</v>
      </c>
      <c r="E1032">
        <v>1.67</v>
      </c>
      <c r="F1032">
        <v>2.2000000000000002</v>
      </c>
      <c r="G1032">
        <v>1031</v>
      </c>
      <c r="H1032">
        <v>85</v>
      </c>
      <c r="I1032">
        <v>94</v>
      </c>
      <c r="J1032">
        <v>115</v>
      </c>
    </row>
    <row r="1033" spans="1:10">
      <c r="A1033">
        <v>1736</v>
      </c>
      <c r="B1033" t="s">
        <v>4944</v>
      </c>
      <c r="C1033">
        <v>2.67</v>
      </c>
      <c r="D1033">
        <v>7.02</v>
      </c>
      <c r="E1033">
        <v>0.1</v>
      </c>
      <c r="F1033">
        <v>0</v>
      </c>
      <c r="G1033">
        <v>1032</v>
      </c>
      <c r="H1033">
        <v>643</v>
      </c>
      <c r="I1033">
        <v>741</v>
      </c>
      <c r="J1033" t="s">
        <v>6279</v>
      </c>
    </row>
    <row r="1034" spans="1:10">
      <c r="A1034">
        <v>2707</v>
      </c>
      <c r="B1034" t="s">
        <v>5207</v>
      </c>
      <c r="C1034">
        <v>2.67</v>
      </c>
      <c r="D1034">
        <v>14.79</v>
      </c>
      <c r="E1034">
        <v>0.66</v>
      </c>
      <c r="F1034">
        <v>0.73</v>
      </c>
      <c r="G1034">
        <v>1032</v>
      </c>
      <c r="H1034">
        <v>366</v>
      </c>
      <c r="I1034">
        <v>266</v>
      </c>
      <c r="J1034">
        <v>221</v>
      </c>
    </row>
    <row r="1035" spans="1:10">
      <c r="A1035">
        <v>4722</v>
      </c>
      <c r="B1035" t="s">
        <v>5588</v>
      </c>
      <c r="C1035">
        <v>2.66</v>
      </c>
      <c r="D1035">
        <v>4.93</v>
      </c>
      <c r="E1035">
        <v>0</v>
      </c>
      <c r="F1035">
        <v>0</v>
      </c>
      <c r="G1035">
        <v>1034</v>
      </c>
      <c r="H1035">
        <v>785</v>
      </c>
      <c r="I1035" t="s">
        <v>6279</v>
      </c>
      <c r="J1035" t="s">
        <v>6279</v>
      </c>
    </row>
    <row r="1036" spans="1:10">
      <c r="A1036">
        <v>1324</v>
      </c>
      <c r="B1036" t="s">
        <v>4816</v>
      </c>
      <c r="C1036">
        <v>2.63</v>
      </c>
      <c r="D1036">
        <v>0.72</v>
      </c>
      <c r="E1036">
        <v>0.03</v>
      </c>
      <c r="F1036">
        <v>0</v>
      </c>
      <c r="G1036">
        <v>1035</v>
      </c>
      <c r="H1036">
        <v>1276</v>
      </c>
      <c r="I1036">
        <v>990</v>
      </c>
      <c r="J1036" t="s">
        <v>6279</v>
      </c>
    </row>
    <row r="1037" spans="1:10">
      <c r="A1037">
        <v>4157</v>
      </c>
      <c r="B1037" t="s">
        <v>5529</v>
      </c>
      <c r="C1037">
        <v>2.63</v>
      </c>
      <c r="D1037">
        <v>3.54</v>
      </c>
      <c r="E1037">
        <v>0.16</v>
      </c>
      <c r="F1037">
        <v>0</v>
      </c>
      <c r="G1037">
        <v>1035</v>
      </c>
      <c r="H1037">
        <v>873</v>
      </c>
      <c r="I1037">
        <v>615</v>
      </c>
      <c r="J1037" t="s">
        <v>6279</v>
      </c>
    </row>
    <row r="1038" spans="1:10">
      <c r="A1038">
        <v>1339</v>
      </c>
      <c r="B1038" t="s">
        <v>4822</v>
      </c>
      <c r="C1038">
        <v>2.62</v>
      </c>
      <c r="D1038">
        <v>0.82</v>
      </c>
      <c r="E1038">
        <v>0.06</v>
      </c>
      <c r="F1038">
        <v>0</v>
      </c>
      <c r="G1038">
        <v>1037</v>
      </c>
      <c r="H1038">
        <v>1256</v>
      </c>
      <c r="I1038">
        <v>869</v>
      </c>
      <c r="J1038" t="s">
        <v>6279</v>
      </c>
    </row>
    <row r="1039" spans="1:10">
      <c r="A1039">
        <v>2353</v>
      </c>
      <c r="B1039" t="s">
        <v>5056</v>
      </c>
      <c r="C1039">
        <v>2.61</v>
      </c>
      <c r="D1039">
        <v>33.51</v>
      </c>
      <c r="E1039">
        <v>1.1399999999999999</v>
      </c>
      <c r="F1039">
        <v>4.3600000000000003</v>
      </c>
      <c r="G1039">
        <v>1038</v>
      </c>
      <c r="H1039">
        <v>153</v>
      </c>
      <c r="I1039">
        <v>151</v>
      </c>
      <c r="J1039">
        <v>64</v>
      </c>
    </row>
    <row r="1040" spans="1:10">
      <c r="A1040">
        <v>1558</v>
      </c>
      <c r="B1040" t="s">
        <v>4888</v>
      </c>
      <c r="C1040">
        <v>2.6</v>
      </c>
      <c r="D1040">
        <v>7.62</v>
      </c>
      <c r="E1040">
        <v>0</v>
      </c>
      <c r="F1040">
        <v>0.04</v>
      </c>
      <c r="G1040">
        <v>1039</v>
      </c>
      <c r="H1040">
        <v>599</v>
      </c>
      <c r="I1040" t="s">
        <v>6279</v>
      </c>
      <c r="J1040">
        <v>439</v>
      </c>
    </row>
    <row r="1041" spans="1:10">
      <c r="A1041">
        <v>2509</v>
      </c>
      <c r="B1041" t="s">
        <v>5158</v>
      </c>
      <c r="C1041">
        <v>2.6</v>
      </c>
      <c r="D1041">
        <v>1.18</v>
      </c>
      <c r="E1041">
        <v>0.02</v>
      </c>
      <c r="F1041">
        <v>0</v>
      </c>
      <c r="G1041">
        <v>1039</v>
      </c>
      <c r="H1041">
        <v>1192</v>
      </c>
      <c r="I1041">
        <v>1051</v>
      </c>
      <c r="J1041" t="s">
        <v>6279</v>
      </c>
    </row>
    <row r="1042" spans="1:10">
      <c r="A1042">
        <v>3416</v>
      </c>
      <c r="B1042" t="s">
        <v>5400</v>
      </c>
      <c r="C1042">
        <v>2.58</v>
      </c>
      <c r="D1042">
        <v>2.56</v>
      </c>
      <c r="E1042">
        <v>0.47</v>
      </c>
      <c r="F1042">
        <v>0.1</v>
      </c>
      <c r="G1042">
        <v>1041</v>
      </c>
      <c r="H1042">
        <v>975</v>
      </c>
      <c r="I1042">
        <v>331</v>
      </c>
      <c r="J1042">
        <v>377</v>
      </c>
    </row>
    <row r="1043" spans="1:10">
      <c r="A1043">
        <v>6605</v>
      </c>
      <c r="B1043" t="s">
        <v>5918</v>
      </c>
      <c r="C1043">
        <v>2.57</v>
      </c>
      <c r="D1043">
        <v>11.87</v>
      </c>
      <c r="E1043">
        <v>0.06</v>
      </c>
      <c r="F1043">
        <v>0</v>
      </c>
      <c r="G1043">
        <v>1042</v>
      </c>
      <c r="H1043">
        <v>436</v>
      </c>
      <c r="I1043">
        <v>869</v>
      </c>
      <c r="J1043" t="s">
        <v>6279</v>
      </c>
    </row>
    <row r="1044" spans="1:10">
      <c r="A1044">
        <v>2397</v>
      </c>
      <c r="B1044" t="s">
        <v>5086</v>
      </c>
      <c r="C1044">
        <v>2.56</v>
      </c>
      <c r="D1044">
        <v>21.42</v>
      </c>
      <c r="E1044">
        <v>2.4300000000000002</v>
      </c>
      <c r="F1044">
        <v>0</v>
      </c>
      <c r="G1044">
        <v>1043</v>
      </c>
      <c r="H1044">
        <v>262</v>
      </c>
      <c r="I1044">
        <v>60</v>
      </c>
      <c r="J1044" t="s">
        <v>6279</v>
      </c>
    </row>
    <row r="1045" spans="1:10">
      <c r="A1045">
        <v>8249</v>
      </c>
      <c r="B1045" t="s">
        <v>6004</v>
      </c>
      <c r="C1045">
        <v>2.56</v>
      </c>
      <c r="D1045">
        <v>4.51</v>
      </c>
      <c r="E1045">
        <v>0.01</v>
      </c>
      <c r="F1045">
        <v>0</v>
      </c>
      <c r="G1045">
        <v>1043</v>
      </c>
      <c r="H1045">
        <v>812</v>
      </c>
      <c r="I1045">
        <v>1123</v>
      </c>
      <c r="J1045" t="s">
        <v>6279</v>
      </c>
    </row>
    <row r="1046" spans="1:10">
      <c r="A1046">
        <v>6625</v>
      </c>
      <c r="B1046" t="s">
        <v>5922</v>
      </c>
      <c r="C1046">
        <v>2.5299999999999998</v>
      </c>
      <c r="D1046">
        <v>1.79</v>
      </c>
      <c r="E1046">
        <v>0.02</v>
      </c>
      <c r="F1046">
        <v>0</v>
      </c>
      <c r="G1046">
        <v>1045</v>
      </c>
      <c r="H1046">
        <v>1082</v>
      </c>
      <c r="I1046">
        <v>1051</v>
      </c>
      <c r="J1046" t="s">
        <v>6279</v>
      </c>
    </row>
    <row r="1047" spans="1:10">
      <c r="A1047">
        <v>9942</v>
      </c>
      <c r="B1047" t="s">
        <v>6093</v>
      </c>
      <c r="C1047">
        <v>2.5299999999999998</v>
      </c>
      <c r="D1047">
        <v>3.13</v>
      </c>
      <c r="E1047">
        <v>0</v>
      </c>
      <c r="F1047">
        <v>0</v>
      </c>
      <c r="G1047">
        <v>1045</v>
      </c>
      <c r="H1047">
        <v>914</v>
      </c>
      <c r="I1047" t="s">
        <v>6279</v>
      </c>
      <c r="J1047" t="s">
        <v>6279</v>
      </c>
    </row>
    <row r="1048" spans="1:10">
      <c r="A1048">
        <v>2104</v>
      </c>
      <c r="B1048" t="s">
        <v>5004</v>
      </c>
      <c r="C1048">
        <v>2.4900000000000002</v>
      </c>
      <c r="D1048">
        <v>12.22</v>
      </c>
      <c r="E1048">
        <v>0.08</v>
      </c>
      <c r="F1048">
        <v>0.05</v>
      </c>
      <c r="G1048">
        <v>1047</v>
      </c>
      <c r="H1048">
        <v>427</v>
      </c>
      <c r="I1048">
        <v>790</v>
      </c>
      <c r="J1048">
        <v>427</v>
      </c>
    </row>
    <row r="1049" spans="1:10">
      <c r="A1049">
        <v>2012</v>
      </c>
      <c r="B1049" t="s">
        <v>4978</v>
      </c>
      <c r="C1049">
        <v>2.48</v>
      </c>
      <c r="D1049">
        <v>1.71</v>
      </c>
      <c r="E1049">
        <v>0.03</v>
      </c>
      <c r="F1049">
        <v>0</v>
      </c>
      <c r="G1049">
        <v>1048</v>
      </c>
      <c r="H1049">
        <v>1097</v>
      </c>
      <c r="I1049">
        <v>990</v>
      </c>
      <c r="J1049" t="s">
        <v>6279</v>
      </c>
    </row>
    <row r="1050" spans="1:10">
      <c r="A1050">
        <v>4129</v>
      </c>
      <c r="B1050" t="s">
        <v>5520</v>
      </c>
      <c r="C1050">
        <v>2.4700000000000002</v>
      </c>
      <c r="D1050">
        <v>8.11</v>
      </c>
      <c r="E1050">
        <v>0.06</v>
      </c>
      <c r="F1050">
        <v>0.61</v>
      </c>
      <c r="G1050">
        <v>1049</v>
      </c>
      <c r="H1050">
        <v>578</v>
      </c>
      <c r="I1050">
        <v>869</v>
      </c>
      <c r="J1050">
        <v>238</v>
      </c>
    </row>
    <row r="1051" spans="1:10">
      <c r="A1051">
        <v>1802</v>
      </c>
      <c r="B1051" t="s">
        <v>4959</v>
      </c>
      <c r="C1051">
        <v>2.46</v>
      </c>
      <c r="D1051">
        <v>8.02</v>
      </c>
      <c r="E1051">
        <v>0.12</v>
      </c>
      <c r="F1051">
        <v>0.38</v>
      </c>
      <c r="G1051">
        <v>1050</v>
      </c>
      <c r="H1051">
        <v>584</v>
      </c>
      <c r="I1051">
        <v>696</v>
      </c>
      <c r="J1051">
        <v>275</v>
      </c>
    </row>
    <row r="1052" spans="1:10">
      <c r="A1052">
        <v>2511</v>
      </c>
      <c r="B1052" t="s">
        <v>5159</v>
      </c>
      <c r="C1052">
        <v>2.4500000000000002</v>
      </c>
      <c r="D1052">
        <v>8.7899999999999991</v>
      </c>
      <c r="E1052">
        <v>0.09</v>
      </c>
      <c r="F1052">
        <v>0.01</v>
      </c>
      <c r="G1052">
        <v>1051</v>
      </c>
      <c r="H1052">
        <v>553</v>
      </c>
      <c r="I1052">
        <v>762</v>
      </c>
      <c r="J1052">
        <v>495</v>
      </c>
    </row>
    <row r="1053" spans="1:10">
      <c r="A1053">
        <v>3036</v>
      </c>
      <c r="B1053" t="s">
        <v>5291</v>
      </c>
      <c r="C1053">
        <v>2.4500000000000002</v>
      </c>
      <c r="D1053">
        <v>20.3</v>
      </c>
      <c r="E1053">
        <v>0.02</v>
      </c>
      <c r="F1053">
        <v>0.6</v>
      </c>
      <c r="G1053">
        <v>1051</v>
      </c>
      <c r="H1053">
        <v>275</v>
      </c>
      <c r="I1053">
        <v>1051</v>
      </c>
      <c r="J1053">
        <v>243</v>
      </c>
    </row>
    <row r="1054" spans="1:10">
      <c r="A1054">
        <v>1108</v>
      </c>
      <c r="B1054" t="s">
        <v>4775</v>
      </c>
      <c r="C1054">
        <v>2.42</v>
      </c>
      <c r="D1054">
        <v>0.94</v>
      </c>
      <c r="E1054">
        <v>0.01</v>
      </c>
      <c r="F1054">
        <v>0</v>
      </c>
      <c r="G1054">
        <v>1053</v>
      </c>
      <c r="H1054">
        <v>1235</v>
      </c>
      <c r="I1054">
        <v>1123</v>
      </c>
      <c r="J1054" t="s">
        <v>6279</v>
      </c>
    </row>
    <row r="1055" spans="1:10">
      <c r="A1055">
        <v>2362</v>
      </c>
      <c r="B1055" t="s">
        <v>5064</v>
      </c>
      <c r="C1055">
        <v>2.41</v>
      </c>
      <c r="D1055">
        <v>10.53</v>
      </c>
      <c r="E1055">
        <v>0.08</v>
      </c>
      <c r="F1055">
        <v>0</v>
      </c>
      <c r="G1055">
        <v>1054</v>
      </c>
      <c r="H1055">
        <v>486</v>
      </c>
      <c r="I1055">
        <v>790</v>
      </c>
      <c r="J1055" t="s">
        <v>6279</v>
      </c>
    </row>
    <row r="1056" spans="1:10">
      <c r="A1056">
        <v>2405</v>
      </c>
      <c r="B1056" t="s">
        <v>6174</v>
      </c>
      <c r="C1056">
        <v>2.4</v>
      </c>
      <c r="D1056">
        <v>4.82</v>
      </c>
      <c r="E1056">
        <v>7.0000000000000007E-2</v>
      </c>
      <c r="F1056">
        <v>0</v>
      </c>
      <c r="G1056">
        <v>1055</v>
      </c>
      <c r="H1056">
        <v>792</v>
      </c>
      <c r="I1056">
        <v>825</v>
      </c>
      <c r="J1056" t="s">
        <v>6279</v>
      </c>
    </row>
    <row r="1057" spans="1:10">
      <c r="A1057">
        <v>8411</v>
      </c>
      <c r="B1057" t="s">
        <v>6021</v>
      </c>
      <c r="C1057">
        <v>2.4</v>
      </c>
      <c r="D1057">
        <v>62.47</v>
      </c>
      <c r="E1057">
        <v>0.03</v>
      </c>
      <c r="F1057">
        <v>0</v>
      </c>
      <c r="G1057">
        <v>1055</v>
      </c>
      <c r="H1057">
        <v>43</v>
      </c>
      <c r="I1057">
        <v>990</v>
      </c>
      <c r="J1057" t="s">
        <v>6279</v>
      </c>
    </row>
    <row r="1058" spans="1:10">
      <c r="A1058">
        <v>8404</v>
      </c>
      <c r="B1058" t="s">
        <v>6020</v>
      </c>
      <c r="C1058">
        <v>2.38</v>
      </c>
      <c r="D1058">
        <v>54.79</v>
      </c>
      <c r="E1058">
        <v>0.02</v>
      </c>
      <c r="F1058">
        <v>0</v>
      </c>
      <c r="G1058">
        <v>1057</v>
      </c>
      <c r="H1058">
        <v>57</v>
      </c>
      <c r="I1058">
        <v>1051</v>
      </c>
      <c r="J1058" t="s">
        <v>6279</v>
      </c>
    </row>
    <row r="1059" spans="1:10">
      <c r="A1059">
        <v>6768</v>
      </c>
      <c r="B1059" t="s">
        <v>5946</v>
      </c>
      <c r="C1059">
        <v>2.35</v>
      </c>
      <c r="D1059">
        <v>76.290000000000006</v>
      </c>
      <c r="E1059">
        <v>0.01</v>
      </c>
      <c r="F1059">
        <v>0</v>
      </c>
      <c r="G1059">
        <v>1058</v>
      </c>
      <c r="H1059">
        <v>11</v>
      </c>
      <c r="I1059">
        <v>1123</v>
      </c>
      <c r="J1059" t="s">
        <v>6279</v>
      </c>
    </row>
    <row r="1060" spans="1:10">
      <c r="A1060">
        <v>1464</v>
      </c>
      <c r="B1060" t="s">
        <v>4853</v>
      </c>
      <c r="C1060">
        <v>2.34</v>
      </c>
      <c r="D1060">
        <v>1.52</v>
      </c>
      <c r="E1060">
        <v>0</v>
      </c>
      <c r="F1060">
        <v>0</v>
      </c>
      <c r="G1060">
        <v>1059</v>
      </c>
      <c r="H1060">
        <v>1123</v>
      </c>
      <c r="I1060" t="s">
        <v>6279</v>
      </c>
      <c r="J1060" t="s">
        <v>6279</v>
      </c>
    </row>
    <row r="1061" spans="1:10">
      <c r="A1061">
        <v>1595</v>
      </c>
      <c r="B1061" t="s">
        <v>4904</v>
      </c>
      <c r="C1061">
        <v>2.34</v>
      </c>
      <c r="D1061">
        <v>1.71</v>
      </c>
      <c r="E1061">
        <v>0</v>
      </c>
      <c r="F1061">
        <v>0</v>
      </c>
      <c r="G1061">
        <v>1059</v>
      </c>
      <c r="H1061">
        <v>1097</v>
      </c>
      <c r="I1061" t="s">
        <v>6279</v>
      </c>
      <c r="J1061" t="s">
        <v>6279</v>
      </c>
    </row>
    <row r="1062" spans="1:10">
      <c r="A1062">
        <v>6195</v>
      </c>
      <c r="B1062" t="s">
        <v>6156</v>
      </c>
      <c r="C1062">
        <v>2.33</v>
      </c>
      <c r="D1062">
        <v>45.62</v>
      </c>
      <c r="E1062">
        <v>0</v>
      </c>
      <c r="F1062">
        <v>0</v>
      </c>
      <c r="G1062">
        <v>1061</v>
      </c>
      <c r="H1062">
        <v>87</v>
      </c>
      <c r="I1062" t="s">
        <v>6279</v>
      </c>
      <c r="J1062" t="s">
        <v>6279</v>
      </c>
    </row>
    <row r="1063" spans="1:10">
      <c r="A1063">
        <v>5236</v>
      </c>
      <c r="B1063" t="s">
        <v>5654</v>
      </c>
      <c r="C1063">
        <v>2.3199999999999998</v>
      </c>
      <c r="D1063">
        <v>3.07</v>
      </c>
      <c r="E1063">
        <v>7.0000000000000007E-2</v>
      </c>
      <c r="F1063">
        <v>0</v>
      </c>
      <c r="G1063">
        <v>1062</v>
      </c>
      <c r="H1063">
        <v>924</v>
      </c>
      <c r="I1063">
        <v>825</v>
      </c>
      <c r="J1063" t="s">
        <v>6279</v>
      </c>
    </row>
    <row r="1064" spans="1:10">
      <c r="A1064">
        <v>9927</v>
      </c>
      <c r="B1064" t="s">
        <v>6082</v>
      </c>
      <c r="C1064">
        <v>2.3199999999999998</v>
      </c>
      <c r="D1064">
        <v>13.36</v>
      </c>
      <c r="E1064">
        <v>0.33</v>
      </c>
      <c r="F1064">
        <v>0.01</v>
      </c>
      <c r="G1064">
        <v>1062</v>
      </c>
      <c r="H1064">
        <v>399</v>
      </c>
      <c r="I1064">
        <v>433</v>
      </c>
      <c r="J1064">
        <v>495</v>
      </c>
    </row>
    <row r="1065" spans="1:10">
      <c r="A1065">
        <v>9939</v>
      </c>
      <c r="B1065" t="s">
        <v>6090</v>
      </c>
      <c r="C1065">
        <v>2.2999999999999998</v>
      </c>
      <c r="D1065">
        <v>31.75</v>
      </c>
      <c r="E1065">
        <v>1.0900000000000001</v>
      </c>
      <c r="F1065">
        <v>0.37</v>
      </c>
      <c r="G1065">
        <v>1064</v>
      </c>
      <c r="H1065">
        <v>164</v>
      </c>
      <c r="I1065">
        <v>161</v>
      </c>
      <c r="J1065">
        <v>276</v>
      </c>
    </row>
    <row r="1066" spans="1:10">
      <c r="A1066">
        <v>1813</v>
      </c>
      <c r="B1066" t="s">
        <v>6314</v>
      </c>
      <c r="C1066">
        <v>2.29</v>
      </c>
      <c r="D1066">
        <v>10.119999999999999</v>
      </c>
      <c r="E1066">
        <v>0</v>
      </c>
      <c r="F1066">
        <v>0</v>
      </c>
      <c r="G1066">
        <v>1065</v>
      </c>
      <c r="H1066">
        <v>506</v>
      </c>
      <c r="I1066" t="s">
        <v>6279</v>
      </c>
      <c r="J1066" t="s">
        <v>6279</v>
      </c>
    </row>
    <row r="1067" spans="1:10">
      <c r="A1067">
        <v>3171</v>
      </c>
      <c r="B1067" t="s">
        <v>6313</v>
      </c>
      <c r="C1067">
        <v>2.2799999999999998</v>
      </c>
      <c r="D1067">
        <v>0.44</v>
      </c>
      <c r="E1067">
        <v>0.01</v>
      </c>
      <c r="F1067">
        <v>0</v>
      </c>
      <c r="G1067">
        <v>1066</v>
      </c>
      <c r="H1067">
        <v>1348</v>
      </c>
      <c r="I1067">
        <v>1123</v>
      </c>
      <c r="J1067" t="s">
        <v>6279</v>
      </c>
    </row>
    <row r="1068" spans="1:10">
      <c r="A1068">
        <v>6124</v>
      </c>
      <c r="B1068" t="s">
        <v>6315</v>
      </c>
      <c r="C1068">
        <v>2.2400000000000002</v>
      </c>
      <c r="D1068">
        <v>42.77</v>
      </c>
      <c r="E1068">
        <v>3.25</v>
      </c>
      <c r="F1068">
        <v>0</v>
      </c>
      <c r="G1068">
        <v>1067</v>
      </c>
      <c r="H1068">
        <v>106</v>
      </c>
      <c r="I1068">
        <v>44</v>
      </c>
      <c r="J1068" t="s">
        <v>6279</v>
      </c>
    </row>
    <row r="1069" spans="1:10">
      <c r="A1069">
        <v>1463</v>
      </c>
      <c r="B1069" t="s">
        <v>4852</v>
      </c>
      <c r="C1069">
        <v>2.21</v>
      </c>
      <c r="D1069">
        <v>2.34</v>
      </c>
      <c r="E1069">
        <v>0.03</v>
      </c>
      <c r="F1069">
        <v>0</v>
      </c>
      <c r="G1069">
        <v>1068</v>
      </c>
      <c r="H1069">
        <v>1005</v>
      </c>
      <c r="I1069">
        <v>990</v>
      </c>
      <c r="J1069" t="s">
        <v>6279</v>
      </c>
    </row>
    <row r="1070" spans="1:10">
      <c r="A1070">
        <v>2420</v>
      </c>
      <c r="B1070" t="s">
        <v>5100</v>
      </c>
      <c r="C1070">
        <v>2.2000000000000002</v>
      </c>
      <c r="D1070">
        <v>6.47</v>
      </c>
      <c r="E1070">
        <v>0.2</v>
      </c>
      <c r="F1070">
        <v>0</v>
      </c>
      <c r="G1070">
        <v>1069</v>
      </c>
      <c r="H1070">
        <v>682</v>
      </c>
      <c r="I1070">
        <v>565</v>
      </c>
      <c r="J1070" t="s">
        <v>6279</v>
      </c>
    </row>
    <row r="1071" spans="1:10">
      <c r="A1071">
        <v>4401</v>
      </c>
      <c r="B1071" t="s">
        <v>5544</v>
      </c>
      <c r="C1071">
        <v>2.2000000000000002</v>
      </c>
      <c r="D1071">
        <v>5.0199999999999996</v>
      </c>
      <c r="E1071">
        <v>0.73</v>
      </c>
      <c r="F1071">
        <v>0.01</v>
      </c>
      <c r="G1071">
        <v>1069</v>
      </c>
      <c r="H1071">
        <v>779</v>
      </c>
      <c r="I1071">
        <v>234</v>
      </c>
      <c r="J1071">
        <v>495</v>
      </c>
    </row>
    <row r="1072" spans="1:10">
      <c r="A1072">
        <v>9938</v>
      </c>
      <c r="B1072" t="s">
        <v>6089</v>
      </c>
      <c r="C1072">
        <v>2.19</v>
      </c>
      <c r="D1072">
        <v>30.53</v>
      </c>
      <c r="E1072">
        <v>0.35</v>
      </c>
      <c r="F1072">
        <v>0.03</v>
      </c>
      <c r="G1072">
        <v>1071</v>
      </c>
      <c r="H1072">
        <v>179</v>
      </c>
      <c r="I1072">
        <v>414</v>
      </c>
      <c r="J1072">
        <v>459</v>
      </c>
    </row>
    <row r="1073" spans="1:10">
      <c r="A1073">
        <v>8941</v>
      </c>
      <c r="B1073" t="s">
        <v>6252</v>
      </c>
      <c r="C1073">
        <v>2.17</v>
      </c>
      <c r="D1073">
        <v>1.53</v>
      </c>
      <c r="E1073">
        <v>0</v>
      </c>
      <c r="F1073">
        <v>0</v>
      </c>
      <c r="G1073">
        <v>1072</v>
      </c>
      <c r="H1073">
        <v>1120</v>
      </c>
      <c r="I1073" t="s">
        <v>6279</v>
      </c>
      <c r="J1073" t="s">
        <v>6279</v>
      </c>
    </row>
    <row r="1074" spans="1:10">
      <c r="A1074">
        <v>6176</v>
      </c>
      <c r="B1074" t="s">
        <v>5785</v>
      </c>
      <c r="C1074">
        <v>2.15</v>
      </c>
      <c r="D1074">
        <v>30.68</v>
      </c>
      <c r="E1074">
        <v>10.25</v>
      </c>
      <c r="F1074">
        <v>6.73</v>
      </c>
      <c r="G1074">
        <v>1073</v>
      </c>
      <c r="H1074">
        <v>177</v>
      </c>
      <c r="I1074">
        <v>4</v>
      </c>
      <c r="J1074">
        <v>31</v>
      </c>
    </row>
    <row r="1075" spans="1:10">
      <c r="A1075">
        <v>8341</v>
      </c>
      <c r="B1075" t="s">
        <v>6011</v>
      </c>
      <c r="C1075">
        <v>2.15</v>
      </c>
      <c r="D1075">
        <v>19.829999999999998</v>
      </c>
      <c r="E1075">
        <v>0.18</v>
      </c>
      <c r="F1075">
        <v>1.34</v>
      </c>
      <c r="G1075">
        <v>1073</v>
      </c>
      <c r="H1075">
        <v>283</v>
      </c>
      <c r="I1075">
        <v>584</v>
      </c>
      <c r="J1075">
        <v>165</v>
      </c>
    </row>
    <row r="1076" spans="1:10">
      <c r="A1076">
        <v>3357</v>
      </c>
      <c r="B1076" t="s">
        <v>5385</v>
      </c>
      <c r="C1076">
        <v>2.14</v>
      </c>
      <c r="D1076">
        <v>10.93</v>
      </c>
      <c r="E1076">
        <v>0</v>
      </c>
      <c r="F1076">
        <v>0</v>
      </c>
      <c r="G1076">
        <v>1075</v>
      </c>
      <c r="H1076">
        <v>472</v>
      </c>
      <c r="I1076" t="s">
        <v>6279</v>
      </c>
      <c r="J1076" t="s">
        <v>6279</v>
      </c>
    </row>
    <row r="1077" spans="1:10">
      <c r="A1077">
        <v>8049</v>
      </c>
      <c r="B1077" t="s">
        <v>5963</v>
      </c>
      <c r="C1077">
        <v>2.14</v>
      </c>
      <c r="D1077">
        <v>4.1399999999999997</v>
      </c>
      <c r="E1077">
        <v>0.14000000000000001</v>
      </c>
      <c r="F1077">
        <v>0</v>
      </c>
      <c r="G1077">
        <v>1075</v>
      </c>
      <c r="H1077">
        <v>838</v>
      </c>
      <c r="I1077">
        <v>649</v>
      </c>
      <c r="J1077" t="s">
        <v>6279</v>
      </c>
    </row>
    <row r="1078" spans="1:10">
      <c r="A1078">
        <v>2063</v>
      </c>
      <c r="B1078" t="s">
        <v>6173</v>
      </c>
      <c r="C1078">
        <v>2.12</v>
      </c>
      <c r="D1078">
        <v>0.82</v>
      </c>
      <c r="E1078">
        <v>0.05</v>
      </c>
      <c r="F1078">
        <v>0</v>
      </c>
      <c r="G1078">
        <v>1077</v>
      </c>
      <c r="H1078">
        <v>1256</v>
      </c>
      <c r="I1078">
        <v>908</v>
      </c>
      <c r="J1078" t="s">
        <v>6279</v>
      </c>
    </row>
    <row r="1079" spans="1:10">
      <c r="A1079">
        <v>2109</v>
      </c>
      <c r="B1079" t="s">
        <v>5009</v>
      </c>
      <c r="C1079">
        <v>2.12</v>
      </c>
      <c r="D1079">
        <v>14.44</v>
      </c>
      <c r="E1079">
        <v>0.02</v>
      </c>
      <c r="F1079">
        <v>0</v>
      </c>
      <c r="G1079">
        <v>1077</v>
      </c>
      <c r="H1079">
        <v>373</v>
      </c>
      <c r="I1079">
        <v>1051</v>
      </c>
      <c r="J1079" t="s">
        <v>6279</v>
      </c>
    </row>
    <row r="1080" spans="1:10">
      <c r="A1080">
        <v>2542</v>
      </c>
      <c r="B1080" t="s">
        <v>6176</v>
      </c>
      <c r="C1080">
        <v>2.12</v>
      </c>
      <c r="D1080">
        <v>7.2</v>
      </c>
      <c r="E1080">
        <v>0.23</v>
      </c>
      <c r="F1080">
        <v>4.2300000000000004</v>
      </c>
      <c r="G1080">
        <v>1077</v>
      </c>
      <c r="H1080">
        <v>623</v>
      </c>
      <c r="I1080">
        <v>525</v>
      </c>
      <c r="J1080">
        <v>66</v>
      </c>
    </row>
    <row r="1081" spans="1:10">
      <c r="A1081">
        <v>5410</v>
      </c>
      <c r="B1081" t="s">
        <v>5684</v>
      </c>
      <c r="C1081">
        <v>2.1</v>
      </c>
      <c r="D1081">
        <v>1.75</v>
      </c>
      <c r="E1081">
        <v>0.01</v>
      </c>
      <c r="F1081">
        <v>0</v>
      </c>
      <c r="G1081">
        <v>1080</v>
      </c>
      <c r="H1081">
        <v>1090</v>
      </c>
      <c r="I1081">
        <v>1123</v>
      </c>
      <c r="J1081" t="s">
        <v>6279</v>
      </c>
    </row>
    <row r="1082" spans="1:10">
      <c r="A1082">
        <v>2454</v>
      </c>
      <c r="B1082" t="s">
        <v>5119</v>
      </c>
      <c r="C1082">
        <v>2.0699999999999998</v>
      </c>
      <c r="D1082">
        <v>63.55</v>
      </c>
      <c r="E1082">
        <v>1.1399999999999999</v>
      </c>
      <c r="F1082">
        <v>2.25</v>
      </c>
      <c r="G1082">
        <v>1081</v>
      </c>
      <c r="H1082">
        <v>41</v>
      </c>
      <c r="I1082">
        <v>151</v>
      </c>
      <c r="J1082">
        <v>112</v>
      </c>
    </row>
    <row r="1083" spans="1:10">
      <c r="A1083">
        <v>2114</v>
      </c>
      <c r="B1083" t="s">
        <v>5010</v>
      </c>
      <c r="C1083">
        <v>2.06</v>
      </c>
      <c r="D1083">
        <v>1.6</v>
      </c>
      <c r="E1083">
        <v>0.01</v>
      </c>
      <c r="F1083">
        <v>0.01</v>
      </c>
      <c r="G1083">
        <v>1082</v>
      </c>
      <c r="H1083">
        <v>1108</v>
      </c>
      <c r="I1083">
        <v>1123</v>
      </c>
      <c r="J1083">
        <v>495</v>
      </c>
    </row>
    <row r="1084" spans="1:10">
      <c r="A1084">
        <v>2701</v>
      </c>
      <c r="B1084" t="s">
        <v>5203</v>
      </c>
      <c r="C1084">
        <v>2.06</v>
      </c>
      <c r="D1084">
        <v>0</v>
      </c>
      <c r="E1084">
        <v>0</v>
      </c>
      <c r="F1084">
        <v>0</v>
      </c>
      <c r="G1084">
        <v>1082</v>
      </c>
      <c r="H1084" t="s">
        <v>6279</v>
      </c>
      <c r="I1084" t="s">
        <v>6279</v>
      </c>
      <c r="J1084" t="s">
        <v>6279</v>
      </c>
    </row>
    <row r="1085" spans="1:10">
      <c r="A1085">
        <v>2352</v>
      </c>
      <c r="B1085" t="s">
        <v>5055</v>
      </c>
      <c r="C1085">
        <v>2.0499999999999998</v>
      </c>
      <c r="D1085">
        <v>18.149999999999999</v>
      </c>
      <c r="E1085">
        <v>1.67</v>
      </c>
      <c r="F1085">
        <v>0.22</v>
      </c>
      <c r="G1085">
        <v>1084</v>
      </c>
      <c r="H1085">
        <v>304</v>
      </c>
      <c r="I1085">
        <v>94</v>
      </c>
      <c r="J1085">
        <v>318</v>
      </c>
    </row>
    <row r="1086" spans="1:10">
      <c r="A1086">
        <v>8032</v>
      </c>
      <c r="B1086" t="s">
        <v>6318</v>
      </c>
      <c r="C1086">
        <v>2.0499999999999998</v>
      </c>
      <c r="D1086">
        <v>0.41</v>
      </c>
      <c r="E1086">
        <v>0</v>
      </c>
      <c r="F1086">
        <v>0</v>
      </c>
      <c r="G1086">
        <v>1084</v>
      </c>
      <c r="H1086">
        <v>1354</v>
      </c>
      <c r="I1086" t="s">
        <v>6279</v>
      </c>
      <c r="J1086" t="s">
        <v>6279</v>
      </c>
    </row>
    <row r="1087" spans="1:10">
      <c r="A1087">
        <v>4528</v>
      </c>
      <c r="B1087" t="s">
        <v>6147</v>
      </c>
      <c r="C1087">
        <v>2.04</v>
      </c>
      <c r="D1087">
        <v>0.79</v>
      </c>
      <c r="E1087">
        <v>0.28000000000000003</v>
      </c>
      <c r="F1087">
        <v>0</v>
      </c>
      <c r="G1087">
        <v>1086</v>
      </c>
      <c r="H1087">
        <v>1265</v>
      </c>
      <c r="I1087">
        <v>478</v>
      </c>
      <c r="J1087" t="s">
        <v>6279</v>
      </c>
    </row>
    <row r="1088" spans="1:10">
      <c r="A1088">
        <v>2377</v>
      </c>
      <c r="B1088" t="s">
        <v>5075</v>
      </c>
      <c r="C1088">
        <v>2.0299999999999998</v>
      </c>
      <c r="D1088">
        <v>34.229999999999997</v>
      </c>
      <c r="E1088">
        <v>5.24</v>
      </c>
      <c r="F1088">
        <v>5.88</v>
      </c>
      <c r="G1088">
        <v>1087</v>
      </c>
      <c r="H1088">
        <v>145</v>
      </c>
      <c r="I1088">
        <v>19</v>
      </c>
      <c r="J1088">
        <v>38</v>
      </c>
    </row>
    <row r="1089" spans="1:10">
      <c r="A1089">
        <v>8477</v>
      </c>
      <c r="B1089" t="s">
        <v>6044</v>
      </c>
      <c r="C1089">
        <v>2.0299999999999998</v>
      </c>
      <c r="D1089">
        <v>20.65</v>
      </c>
      <c r="E1089">
        <v>0</v>
      </c>
      <c r="F1089">
        <v>0</v>
      </c>
      <c r="G1089">
        <v>1087</v>
      </c>
      <c r="H1089">
        <v>271</v>
      </c>
      <c r="I1089" t="s">
        <v>6279</v>
      </c>
      <c r="J1089" t="s">
        <v>6279</v>
      </c>
    </row>
    <row r="1090" spans="1:10">
      <c r="A1090">
        <v>1722</v>
      </c>
      <c r="B1090" t="s">
        <v>4934</v>
      </c>
      <c r="C1090">
        <v>2.0099999999999998</v>
      </c>
      <c r="D1090">
        <v>15.46</v>
      </c>
      <c r="E1090">
        <v>0.72</v>
      </c>
      <c r="F1090">
        <v>0.71</v>
      </c>
      <c r="G1090">
        <v>1089</v>
      </c>
      <c r="H1090">
        <v>347</v>
      </c>
      <c r="I1090">
        <v>240</v>
      </c>
      <c r="J1090">
        <v>224</v>
      </c>
    </row>
    <row r="1091" spans="1:10">
      <c r="A1091">
        <v>1752</v>
      </c>
      <c r="B1091" t="s">
        <v>4947</v>
      </c>
      <c r="C1091">
        <v>2.0099999999999998</v>
      </c>
      <c r="D1091">
        <v>1.26</v>
      </c>
      <c r="E1091">
        <v>0</v>
      </c>
      <c r="F1091">
        <v>0</v>
      </c>
      <c r="G1091">
        <v>1089</v>
      </c>
      <c r="H1091">
        <v>1174</v>
      </c>
      <c r="I1091" t="s">
        <v>6279</v>
      </c>
      <c r="J1091" t="s">
        <v>6279</v>
      </c>
    </row>
    <row r="1092" spans="1:10">
      <c r="A1092">
        <v>2059</v>
      </c>
      <c r="B1092" t="s">
        <v>4997</v>
      </c>
      <c r="C1092">
        <v>1.99</v>
      </c>
      <c r="D1092">
        <v>17.62</v>
      </c>
      <c r="E1092">
        <v>0.54</v>
      </c>
      <c r="F1092">
        <v>1.17</v>
      </c>
      <c r="G1092">
        <v>1091</v>
      </c>
      <c r="H1092">
        <v>316</v>
      </c>
      <c r="I1092">
        <v>302</v>
      </c>
      <c r="J1092">
        <v>177</v>
      </c>
    </row>
    <row r="1093" spans="1:10">
      <c r="A1093">
        <v>2897</v>
      </c>
      <c r="B1093" t="s">
        <v>5247</v>
      </c>
      <c r="C1093">
        <v>1.99</v>
      </c>
      <c r="D1093">
        <v>5.36</v>
      </c>
      <c r="E1093">
        <v>0.08</v>
      </c>
      <c r="F1093">
        <v>0.09</v>
      </c>
      <c r="G1093">
        <v>1091</v>
      </c>
      <c r="H1093">
        <v>753</v>
      </c>
      <c r="I1093">
        <v>790</v>
      </c>
      <c r="J1093">
        <v>389</v>
      </c>
    </row>
    <row r="1094" spans="1:10">
      <c r="A1094">
        <v>6712</v>
      </c>
      <c r="B1094" t="s">
        <v>6412</v>
      </c>
      <c r="C1094">
        <v>1.98</v>
      </c>
      <c r="D1094">
        <v>2.68</v>
      </c>
      <c r="E1094">
        <v>0.66</v>
      </c>
      <c r="F1094">
        <v>0.61</v>
      </c>
      <c r="G1094">
        <v>1093</v>
      </c>
      <c r="H1094">
        <v>960</v>
      </c>
      <c r="I1094">
        <v>266</v>
      </c>
      <c r="J1094">
        <v>238</v>
      </c>
    </row>
    <row r="1095" spans="1:10">
      <c r="A1095">
        <v>1789</v>
      </c>
      <c r="B1095" t="s">
        <v>4957</v>
      </c>
      <c r="C1095">
        <v>1.97</v>
      </c>
      <c r="D1095">
        <v>3.66</v>
      </c>
      <c r="E1095">
        <v>0.1</v>
      </c>
      <c r="F1095">
        <v>0</v>
      </c>
      <c r="G1095">
        <v>1094</v>
      </c>
      <c r="H1095">
        <v>864</v>
      </c>
      <c r="I1095">
        <v>741</v>
      </c>
      <c r="J1095" t="s">
        <v>6279</v>
      </c>
    </row>
    <row r="1096" spans="1:10">
      <c r="A1096">
        <v>4536</v>
      </c>
      <c r="B1096" t="s">
        <v>5562</v>
      </c>
      <c r="C1096">
        <v>1.96</v>
      </c>
      <c r="D1096">
        <v>15.09</v>
      </c>
      <c r="E1096">
        <v>0.06</v>
      </c>
      <c r="F1096">
        <v>0.61</v>
      </c>
      <c r="G1096">
        <v>1095</v>
      </c>
      <c r="H1096">
        <v>355</v>
      </c>
      <c r="I1096">
        <v>869</v>
      </c>
      <c r="J1096">
        <v>238</v>
      </c>
    </row>
    <row r="1097" spans="1:10">
      <c r="A1097">
        <v>5426</v>
      </c>
      <c r="B1097" t="s">
        <v>5686</v>
      </c>
      <c r="C1097">
        <v>1.96</v>
      </c>
      <c r="D1097">
        <v>0.31</v>
      </c>
      <c r="E1097">
        <v>0</v>
      </c>
      <c r="F1097">
        <v>0</v>
      </c>
      <c r="G1097">
        <v>1095</v>
      </c>
      <c r="H1097">
        <v>1387</v>
      </c>
      <c r="I1097" t="s">
        <v>6279</v>
      </c>
      <c r="J1097" t="s">
        <v>6279</v>
      </c>
    </row>
    <row r="1098" spans="1:10">
      <c r="A1098">
        <v>8923</v>
      </c>
      <c r="B1098" t="s">
        <v>6317</v>
      </c>
      <c r="C1098">
        <v>1.96</v>
      </c>
      <c r="D1098">
        <v>4.1100000000000003</v>
      </c>
      <c r="E1098">
        <v>0</v>
      </c>
      <c r="F1098">
        <v>0</v>
      </c>
      <c r="G1098">
        <v>1095</v>
      </c>
      <c r="H1098">
        <v>840</v>
      </c>
      <c r="I1098" t="s">
        <v>6279</v>
      </c>
      <c r="J1098" t="s">
        <v>6279</v>
      </c>
    </row>
    <row r="1099" spans="1:10">
      <c r="A1099">
        <v>1437</v>
      </c>
      <c r="B1099" t="s">
        <v>4835</v>
      </c>
      <c r="C1099">
        <v>1.94</v>
      </c>
      <c r="D1099">
        <v>5.91</v>
      </c>
      <c r="E1099">
        <v>0.01</v>
      </c>
      <c r="F1099">
        <v>0.1</v>
      </c>
      <c r="G1099">
        <v>1098</v>
      </c>
      <c r="H1099">
        <v>710</v>
      </c>
      <c r="I1099">
        <v>1123</v>
      </c>
      <c r="J1099">
        <v>377</v>
      </c>
    </row>
    <row r="1100" spans="1:10">
      <c r="A1100">
        <v>2107</v>
      </c>
      <c r="B1100" t="s">
        <v>5007</v>
      </c>
      <c r="C1100">
        <v>1.93</v>
      </c>
      <c r="D1100">
        <v>8.83</v>
      </c>
      <c r="E1100">
        <v>0.35</v>
      </c>
      <c r="F1100">
        <v>0</v>
      </c>
      <c r="G1100">
        <v>1099</v>
      </c>
      <c r="H1100">
        <v>551</v>
      </c>
      <c r="I1100">
        <v>414</v>
      </c>
      <c r="J1100" t="s">
        <v>6279</v>
      </c>
    </row>
    <row r="1101" spans="1:10">
      <c r="A1101">
        <v>3118</v>
      </c>
      <c r="B1101" t="s">
        <v>5321</v>
      </c>
      <c r="C1101">
        <v>1.92</v>
      </c>
      <c r="D1101">
        <v>10.43</v>
      </c>
      <c r="E1101">
        <v>0</v>
      </c>
      <c r="F1101">
        <v>0</v>
      </c>
      <c r="G1101">
        <v>1100</v>
      </c>
      <c r="H1101">
        <v>490</v>
      </c>
      <c r="I1101" t="s">
        <v>6279</v>
      </c>
      <c r="J1101" t="s">
        <v>6279</v>
      </c>
    </row>
    <row r="1102" spans="1:10">
      <c r="A1102">
        <v>1615</v>
      </c>
      <c r="B1102" t="s">
        <v>4916</v>
      </c>
      <c r="C1102">
        <v>1.91</v>
      </c>
      <c r="D1102">
        <v>0.24</v>
      </c>
      <c r="E1102">
        <v>0.01</v>
      </c>
      <c r="F1102">
        <v>0</v>
      </c>
      <c r="G1102">
        <v>1101</v>
      </c>
      <c r="H1102">
        <v>1404</v>
      </c>
      <c r="I1102">
        <v>1123</v>
      </c>
      <c r="J1102" t="s">
        <v>6279</v>
      </c>
    </row>
    <row r="1103" spans="1:10">
      <c r="A1103">
        <v>1720</v>
      </c>
      <c r="B1103" t="s">
        <v>4932</v>
      </c>
      <c r="C1103">
        <v>1.91</v>
      </c>
      <c r="D1103">
        <v>4.91</v>
      </c>
      <c r="E1103">
        <v>0.02</v>
      </c>
      <c r="F1103">
        <v>0.01</v>
      </c>
      <c r="G1103">
        <v>1101</v>
      </c>
      <c r="H1103">
        <v>787</v>
      </c>
      <c r="I1103">
        <v>1051</v>
      </c>
      <c r="J1103">
        <v>495</v>
      </c>
    </row>
    <row r="1104" spans="1:10">
      <c r="A1104">
        <v>2834</v>
      </c>
      <c r="B1104" t="s">
        <v>5224</v>
      </c>
      <c r="C1104">
        <v>1.91</v>
      </c>
      <c r="D1104">
        <v>9.6300000000000008</v>
      </c>
      <c r="E1104">
        <v>0.14000000000000001</v>
      </c>
      <c r="F1104">
        <v>0.45</v>
      </c>
      <c r="G1104">
        <v>1101</v>
      </c>
      <c r="H1104">
        <v>523</v>
      </c>
      <c r="I1104">
        <v>649</v>
      </c>
      <c r="J1104">
        <v>262</v>
      </c>
    </row>
    <row r="1105" spans="1:10">
      <c r="A1105">
        <v>4764</v>
      </c>
      <c r="B1105" t="s">
        <v>5600</v>
      </c>
      <c r="C1105">
        <v>1.9</v>
      </c>
      <c r="D1105">
        <v>38.29</v>
      </c>
      <c r="E1105">
        <v>0</v>
      </c>
      <c r="F1105">
        <v>0</v>
      </c>
      <c r="G1105">
        <v>1104</v>
      </c>
      <c r="H1105">
        <v>129</v>
      </c>
      <c r="I1105" t="s">
        <v>6279</v>
      </c>
      <c r="J1105" t="s">
        <v>6279</v>
      </c>
    </row>
    <row r="1106" spans="1:10">
      <c r="A1106">
        <v>9945</v>
      </c>
      <c r="B1106" t="s">
        <v>6096</v>
      </c>
      <c r="C1106">
        <v>1.9</v>
      </c>
      <c r="D1106">
        <v>14.79</v>
      </c>
      <c r="E1106">
        <v>0.09</v>
      </c>
      <c r="F1106">
        <v>0.02</v>
      </c>
      <c r="G1106">
        <v>1104</v>
      </c>
      <c r="H1106">
        <v>366</v>
      </c>
      <c r="I1106">
        <v>762</v>
      </c>
      <c r="J1106">
        <v>476</v>
      </c>
    </row>
    <row r="1107" spans="1:10">
      <c r="A1107">
        <v>1477</v>
      </c>
      <c r="B1107" t="s">
        <v>4861</v>
      </c>
      <c r="C1107">
        <v>1.89</v>
      </c>
      <c r="D1107">
        <v>24.55</v>
      </c>
      <c r="E1107">
        <v>0.97</v>
      </c>
      <c r="F1107">
        <v>1.99</v>
      </c>
      <c r="G1107">
        <v>1106</v>
      </c>
      <c r="H1107">
        <v>226</v>
      </c>
      <c r="I1107">
        <v>178</v>
      </c>
      <c r="J1107">
        <v>126</v>
      </c>
    </row>
    <row r="1108" spans="1:10">
      <c r="A1108">
        <v>4580</v>
      </c>
      <c r="B1108" t="s">
        <v>5579</v>
      </c>
      <c r="C1108">
        <v>1.89</v>
      </c>
      <c r="D1108">
        <v>0.49</v>
      </c>
      <c r="E1108">
        <v>0</v>
      </c>
      <c r="F1108">
        <v>0</v>
      </c>
      <c r="G1108">
        <v>1106</v>
      </c>
      <c r="H1108">
        <v>1330</v>
      </c>
      <c r="I1108" t="s">
        <v>6279</v>
      </c>
      <c r="J1108" t="s">
        <v>6279</v>
      </c>
    </row>
    <row r="1109" spans="1:10">
      <c r="A1109">
        <v>2383</v>
      </c>
      <c r="B1109" t="s">
        <v>5078</v>
      </c>
      <c r="C1109">
        <v>1.88</v>
      </c>
      <c r="D1109">
        <v>42.61</v>
      </c>
      <c r="E1109">
        <v>0</v>
      </c>
      <c r="F1109">
        <v>3.46</v>
      </c>
      <c r="G1109">
        <v>1108</v>
      </c>
      <c r="H1109">
        <v>107</v>
      </c>
      <c r="I1109" t="s">
        <v>6279</v>
      </c>
      <c r="J1109">
        <v>81</v>
      </c>
    </row>
    <row r="1110" spans="1:10">
      <c r="A1110">
        <v>5906</v>
      </c>
      <c r="B1110" t="s">
        <v>5733</v>
      </c>
      <c r="C1110">
        <v>1.88</v>
      </c>
      <c r="D1110">
        <v>19.350000000000001</v>
      </c>
      <c r="E1110">
        <v>0</v>
      </c>
      <c r="F1110">
        <v>0</v>
      </c>
      <c r="G1110">
        <v>1108</v>
      </c>
      <c r="H1110">
        <v>287</v>
      </c>
      <c r="I1110" t="s">
        <v>6279</v>
      </c>
      <c r="J1110" t="s">
        <v>6279</v>
      </c>
    </row>
    <row r="1111" spans="1:10">
      <c r="A1111">
        <v>3533</v>
      </c>
      <c r="B1111" t="s">
        <v>5435</v>
      </c>
      <c r="C1111">
        <v>1.87</v>
      </c>
      <c r="D1111">
        <v>34.85</v>
      </c>
      <c r="E1111">
        <v>0.49</v>
      </c>
      <c r="F1111">
        <v>10.23</v>
      </c>
      <c r="G1111">
        <v>1110</v>
      </c>
      <c r="H1111">
        <v>142</v>
      </c>
      <c r="I1111">
        <v>324</v>
      </c>
      <c r="J1111">
        <v>15</v>
      </c>
    </row>
    <row r="1112" spans="1:10">
      <c r="A1112">
        <v>1319</v>
      </c>
      <c r="B1112" t="s">
        <v>4813</v>
      </c>
      <c r="C1112">
        <v>1.85</v>
      </c>
      <c r="D1112">
        <v>13.94</v>
      </c>
      <c r="E1112">
        <v>0.18</v>
      </c>
      <c r="F1112">
        <v>0.03</v>
      </c>
      <c r="G1112">
        <v>1111</v>
      </c>
      <c r="H1112">
        <v>387</v>
      </c>
      <c r="I1112">
        <v>584</v>
      </c>
      <c r="J1112">
        <v>459</v>
      </c>
    </row>
    <row r="1113" spans="1:10">
      <c r="A1113">
        <v>1436</v>
      </c>
      <c r="B1113" t="s">
        <v>4834</v>
      </c>
      <c r="C1113">
        <v>1.84</v>
      </c>
      <c r="D1113">
        <v>0.54</v>
      </c>
      <c r="E1113">
        <v>0.01</v>
      </c>
      <c r="F1113">
        <v>0</v>
      </c>
      <c r="G1113">
        <v>1112</v>
      </c>
      <c r="H1113">
        <v>1321</v>
      </c>
      <c r="I1113">
        <v>1123</v>
      </c>
      <c r="J1113" t="s">
        <v>6279</v>
      </c>
    </row>
    <row r="1114" spans="1:10">
      <c r="A1114">
        <v>2451</v>
      </c>
      <c r="B1114" t="s">
        <v>5117</v>
      </c>
      <c r="C1114">
        <v>1.84</v>
      </c>
      <c r="D1114">
        <v>9.35</v>
      </c>
      <c r="E1114">
        <v>4.7699999999999996</v>
      </c>
      <c r="F1114">
        <v>0.35</v>
      </c>
      <c r="G1114">
        <v>1112</v>
      </c>
      <c r="H1114">
        <v>534</v>
      </c>
      <c r="I1114">
        <v>28</v>
      </c>
      <c r="J1114">
        <v>283</v>
      </c>
    </row>
    <row r="1115" spans="1:10">
      <c r="A1115">
        <v>1723</v>
      </c>
      <c r="B1115" t="s">
        <v>4935</v>
      </c>
      <c r="C1115">
        <v>1.83</v>
      </c>
      <c r="D1115">
        <v>10.15</v>
      </c>
      <c r="E1115">
        <v>0.46</v>
      </c>
      <c r="F1115">
        <v>0.11</v>
      </c>
      <c r="G1115">
        <v>1114</v>
      </c>
      <c r="H1115">
        <v>503</v>
      </c>
      <c r="I1115">
        <v>336</v>
      </c>
      <c r="J1115">
        <v>369</v>
      </c>
    </row>
    <row r="1116" spans="1:10">
      <c r="A1116">
        <v>6465</v>
      </c>
      <c r="B1116" t="s">
        <v>6339</v>
      </c>
      <c r="C1116">
        <v>1.83</v>
      </c>
      <c r="D1116">
        <v>0.08</v>
      </c>
      <c r="E1116">
        <v>0</v>
      </c>
      <c r="F1116">
        <v>0</v>
      </c>
      <c r="G1116">
        <v>1114</v>
      </c>
      <c r="H1116">
        <v>1450</v>
      </c>
      <c r="I1116" t="s">
        <v>6279</v>
      </c>
      <c r="J1116" t="s">
        <v>6279</v>
      </c>
    </row>
    <row r="1117" spans="1:10">
      <c r="A1117">
        <v>1109</v>
      </c>
      <c r="B1117" t="s">
        <v>4776</v>
      </c>
      <c r="C1117">
        <v>1.8</v>
      </c>
      <c r="D1117">
        <v>3.68</v>
      </c>
      <c r="E1117">
        <v>0.21</v>
      </c>
      <c r="F1117">
        <v>0</v>
      </c>
      <c r="G1117">
        <v>1116</v>
      </c>
      <c r="H1117">
        <v>860</v>
      </c>
      <c r="I1117">
        <v>550</v>
      </c>
      <c r="J1117" t="s">
        <v>6279</v>
      </c>
    </row>
    <row r="1118" spans="1:10">
      <c r="A1118">
        <v>1451</v>
      </c>
      <c r="B1118" t="s">
        <v>4844</v>
      </c>
      <c r="C1118">
        <v>1.77</v>
      </c>
      <c r="D1118">
        <v>7.12</v>
      </c>
      <c r="E1118">
        <v>0.72</v>
      </c>
      <c r="F1118">
        <v>0</v>
      </c>
      <c r="G1118">
        <v>1117</v>
      </c>
      <c r="H1118">
        <v>631</v>
      </c>
      <c r="I1118">
        <v>240</v>
      </c>
      <c r="J1118" t="s">
        <v>6279</v>
      </c>
    </row>
    <row r="1119" spans="1:10">
      <c r="A1119">
        <v>3010</v>
      </c>
      <c r="B1119" t="s">
        <v>5270</v>
      </c>
      <c r="C1119">
        <v>1.76</v>
      </c>
      <c r="D1119">
        <v>12.85</v>
      </c>
      <c r="E1119">
        <v>0.01</v>
      </c>
      <c r="F1119">
        <v>0.5</v>
      </c>
      <c r="G1119">
        <v>1118</v>
      </c>
      <c r="H1119">
        <v>412</v>
      </c>
      <c r="I1119">
        <v>1123</v>
      </c>
      <c r="J1119">
        <v>252</v>
      </c>
    </row>
    <row r="1120" spans="1:10">
      <c r="A1120">
        <v>3051</v>
      </c>
      <c r="B1120" t="s">
        <v>6178</v>
      </c>
      <c r="C1120">
        <v>1.75</v>
      </c>
      <c r="D1120">
        <v>0.88</v>
      </c>
      <c r="E1120">
        <v>0.08</v>
      </c>
      <c r="F1120">
        <v>0</v>
      </c>
      <c r="G1120">
        <v>1119</v>
      </c>
      <c r="H1120">
        <v>1245</v>
      </c>
      <c r="I1120">
        <v>790</v>
      </c>
      <c r="J1120" t="s">
        <v>6279</v>
      </c>
    </row>
    <row r="1121" spans="1:10">
      <c r="A1121">
        <v>4137</v>
      </c>
      <c r="B1121" t="s">
        <v>5523</v>
      </c>
      <c r="C1121">
        <v>1.75</v>
      </c>
      <c r="D1121">
        <v>66.239999999999995</v>
      </c>
      <c r="E1121">
        <v>0.73</v>
      </c>
      <c r="F1121">
        <v>0.01</v>
      </c>
      <c r="G1121">
        <v>1119</v>
      </c>
      <c r="H1121">
        <v>31</v>
      </c>
      <c r="I1121">
        <v>234</v>
      </c>
      <c r="J1121">
        <v>495</v>
      </c>
    </row>
    <row r="1122" spans="1:10">
      <c r="A1122">
        <v>6128</v>
      </c>
      <c r="B1122" t="s">
        <v>5756</v>
      </c>
      <c r="C1122">
        <v>1.75</v>
      </c>
      <c r="D1122">
        <v>3.1</v>
      </c>
      <c r="E1122">
        <v>0.06</v>
      </c>
      <c r="F1122">
        <v>0</v>
      </c>
      <c r="G1122">
        <v>1119</v>
      </c>
      <c r="H1122">
        <v>918</v>
      </c>
      <c r="I1122">
        <v>869</v>
      </c>
      <c r="J1122" t="s">
        <v>6279</v>
      </c>
    </row>
    <row r="1123" spans="1:10">
      <c r="A1123">
        <v>6129</v>
      </c>
      <c r="B1123" t="s">
        <v>6188</v>
      </c>
      <c r="C1123">
        <v>1.75</v>
      </c>
      <c r="D1123">
        <v>0.61</v>
      </c>
      <c r="E1123">
        <v>0.31</v>
      </c>
      <c r="F1123">
        <v>0</v>
      </c>
      <c r="G1123">
        <v>1119</v>
      </c>
      <c r="H1123">
        <v>1305</v>
      </c>
      <c r="I1123">
        <v>451</v>
      </c>
      <c r="J1123" t="s">
        <v>6279</v>
      </c>
    </row>
    <row r="1124" spans="1:10">
      <c r="A1124">
        <v>6581</v>
      </c>
      <c r="B1124" t="s">
        <v>5912</v>
      </c>
      <c r="C1124">
        <v>1.74</v>
      </c>
      <c r="D1124">
        <v>2.06</v>
      </c>
      <c r="E1124">
        <v>0.03</v>
      </c>
      <c r="F1124">
        <v>0</v>
      </c>
      <c r="G1124">
        <v>1123</v>
      </c>
      <c r="H1124">
        <v>1043</v>
      </c>
      <c r="I1124">
        <v>990</v>
      </c>
      <c r="J1124" t="s">
        <v>6279</v>
      </c>
    </row>
    <row r="1125" spans="1:10">
      <c r="A1125">
        <v>1707</v>
      </c>
      <c r="B1125" t="s">
        <v>4922</v>
      </c>
      <c r="C1125">
        <v>1.73</v>
      </c>
      <c r="D1125">
        <v>10.88</v>
      </c>
      <c r="E1125">
        <v>7.0000000000000007E-2</v>
      </c>
      <c r="F1125">
        <v>0.01</v>
      </c>
      <c r="G1125">
        <v>1124</v>
      </c>
      <c r="H1125">
        <v>476</v>
      </c>
      <c r="I1125">
        <v>825</v>
      </c>
      <c r="J1125">
        <v>495</v>
      </c>
    </row>
    <row r="1126" spans="1:10">
      <c r="A1126">
        <v>9924</v>
      </c>
      <c r="B1126" t="s">
        <v>6079</v>
      </c>
      <c r="C1126">
        <v>1.73</v>
      </c>
      <c r="D1126">
        <v>13</v>
      </c>
      <c r="E1126">
        <v>0.22</v>
      </c>
      <c r="F1126">
        <v>0.09</v>
      </c>
      <c r="G1126">
        <v>1124</v>
      </c>
      <c r="H1126">
        <v>406</v>
      </c>
      <c r="I1126">
        <v>537</v>
      </c>
      <c r="J1126">
        <v>389</v>
      </c>
    </row>
    <row r="1127" spans="1:10">
      <c r="A1127">
        <v>4167</v>
      </c>
      <c r="B1127" t="s">
        <v>5534</v>
      </c>
      <c r="C1127">
        <v>1.72</v>
      </c>
      <c r="D1127">
        <v>10.050000000000001</v>
      </c>
      <c r="E1127">
        <v>0</v>
      </c>
      <c r="F1127">
        <v>0</v>
      </c>
      <c r="G1127">
        <v>1126</v>
      </c>
      <c r="H1127">
        <v>508</v>
      </c>
      <c r="I1127" t="s">
        <v>6279</v>
      </c>
      <c r="J1127" t="s">
        <v>6279</v>
      </c>
    </row>
    <row r="1128" spans="1:10">
      <c r="A1128">
        <v>6171</v>
      </c>
      <c r="B1128" t="s">
        <v>6155</v>
      </c>
      <c r="C1128">
        <v>1.72</v>
      </c>
      <c r="D1128">
        <v>0.71</v>
      </c>
      <c r="E1128">
        <v>0</v>
      </c>
      <c r="F1128">
        <v>0</v>
      </c>
      <c r="G1128">
        <v>1126</v>
      </c>
      <c r="H1128">
        <v>1280</v>
      </c>
      <c r="I1128" t="s">
        <v>6279</v>
      </c>
      <c r="J1128" t="s">
        <v>6279</v>
      </c>
    </row>
    <row r="1129" spans="1:10">
      <c r="A1129">
        <v>1201</v>
      </c>
      <c r="B1129" t="s">
        <v>4778</v>
      </c>
      <c r="C1129">
        <v>1.71</v>
      </c>
      <c r="D1129">
        <v>11.42</v>
      </c>
      <c r="E1129">
        <v>0.28000000000000003</v>
      </c>
      <c r="F1129">
        <v>0</v>
      </c>
      <c r="G1129">
        <v>1128</v>
      </c>
      <c r="H1129">
        <v>448</v>
      </c>
      <c r="I1129">
        <v>478</v>
      </c>
      <c r="J1129" t="s">
        <v>6279</v>
      </c>
    </row>
    <row r="1130" spans="1:10">
      <c r="A1130">
        <v>3703</v>
      </c>
      <c r="B1130" t="s">
        <v>5496</v>
      </c>
      <c r="C1130">
        <v>1.7</v>
      </c>
      <c r="D1130">
        <v>25.63</v>
      </c>
      <c r="E1130">
        <v>0.45</v>
      </c>
      <c r="F1130">
        <v>0.08</v>
      </c>
      <c r="G1130">
        <v>1129</v>
      </c>
      <c r="H1130">
        <v>215</v>
      </c>
      <c r="I1130">
        <v>340</v>
      </c>
      <c r="J1130">
        <v>395</v>
      </c>
    </row>
    <row r="1131" spans="1:10">
      <c r="A1131">
        <v>4163</v>
      </c>
      <c r="B1131" t="s">
        <v>5532</v>
      </c>
      <c r="C1131">
        <v>1.7</v>
      </c>
      <c r="D1131">
        <v>2.44</v>
      </c>
      <c r="E1131">
        <v>0.14000000000000001</v>
      </c>
      <c r="F1131">
        <v>0</v>
      </c>
      <c r="G1131">
        <v>1129</v>
      </c>
      <c r="H1131">
        <v>988</v>
      </c>
      <c r="I1131">
        <v>649</v>
      </c>
      <c r="J1131" t="s">
        <v>6279</v>
      </c>
    </row>
    <row r="1132" spans="1:10">
      <c r="A1132">
        <v>2408</v>
      </c>
      <c r="B1132" t="s">
        <v>5092</v>
      </c>
      <c r="C1132">
        <v>1.68</v>
      </c>
      <c r="D1132">
        <v>17.7</v>
      </c>
      <c r="E1132">
        <v>0.66</v>
      </c>
      <c r="F1132">
        <v>2.4500000000000002</v>
      </c>
      <c r="G1132">
        <v>1131</v>
      </c>
      <c r="H1132">
        <v>314</v>
      </c>
      <c r="I1132">
        <v>266</v>
      </c>
      <c r="J1132">
        <v>106</v>
      </c>
    </row>
    <row r="1133" spans="1:10">
      <c r="A1133">
        <v>9907</v>
      </c>
      <c r="B1133" t="s">
        <v>6070</v>
      </c>
      <c r="C1133">
        <v>1.68</v>
      </c>
      <c r="D1133">
        <v>16.88</v>
      </c>
      <c r="E1133">
        <v>0.05</v>
      </c>
      <c r="F1133">
        <v>0.08</v>
      </c>
      <c r="G1133">
        <v>1131</v>
      </c>
      <c r="H1133">
        <v>333</v>
      </c>
      <c r="I1133">
        <v>908</v>
      </c>
      <c r="J1133">
        <v>395</v>
      </c>
    </row>
    <row r="1134" spans="1:10">
      <c r="A1134">
        <v>8072</v>
      </c>
      <c r="B1134" t="s">
        <v>5970</v>
      </c>
      <c r="C1134">
        <v>1.67</v>
      </c>
      <c r="D1134">
        <v>1.19</v>
      </c>
      <c r="E1134">
        <v>0.03</v>
      </c>
      <c r="F1134">
        <v>0</v>
      </c>
      <c r="G1134">
        <v>1133</v>
      </c>
      <c r="H1134">
        <v>1189</v>
      </c>
      <c r="I1134">
        <v>990</v>
      </c>
      <c r="J1134" t="s">
        <v>6279</v>
      </c>
    </row>
    <row r="1135" spans="1:10">
      <c r="A1135">
        <v>5274</v>
      </c>
      <c r="B1135" t="s">
        <v>5662</v>
      </c>
      <c r="C1135">
        <v>1.65</v>
      </c>
      <c r="D1135">
        <v>59.8</v>
      </c>
      <c r="E1135">
        <v>0.27</v>
      </c>
      <c r="F1135">
        <v>7.78</v>
      </c>
      <c r="G1135">
        <v>1134</v>
      </c>
      <c r="H1135">
        <v>48</v>
      </c>
      <c r="I1135">
        <v>487</v>
      </c>
      <c r="J1135">
        <v>24</v>
      </c>
    </row>
    <row r="1136" spans="1:10">
      <c r="A1136">
        <v>5704</v>
      </c>
      <c r="B1136" t="s">
        <v>6248</v>
      </c>
      <c r="C1136">
        <v>1.64</v>
      </c>
      <c r="D1136">
        <v>0.04</v>
      </c>
      <c r="E1136">
        <v>0</v>
      </c>
      <c r="F1136">
        <v>0</v>
      </c>
      <c r="G1136">
        <v>1135</v>
      </c>
      <c r="H1136">
        <v>1462</v>
      </c>
      <c r="I1136" t="s">
        <v>6279</v>
      </c>
      <c r="J1136" t="s">
        <v>6279</v>
      </c>
    </row>
    <row r="1137" spans="1:10">
      <c r="A1137">
        <v>8085</v>
      </c>
      <c r="B1137" t="s">
        <v>6224</v>
      </c>
      <c r="C1137">
        <v>1.62</v>
      </c>
      <c r="D1137">
        <v>0.17</v>
      </c>
      <c r="E1137">
        <v>0</v>
      </c>
      <c r="F1137">
        <v>0</v>
      </c>
      <c r="G1137">
        <v>1136</v>
      </c>
      <c r="H1137">
        <v>1419</v>
      </c>
      <c r="I1137" t="s">
        <v>6279</v>
      </c>
      <c r="J1137" t="s">
        <v>6279</v>
      </c>
    </row>
    <row r="1138" spans="1:10">
      <c r="A1138">
        <v>4111</v>
      </c>
      <c r="B1138" t="s">
        <v>6144</v>
      </c>
      <c r="C1138">
        <v>1.6</v>
      </c>
      <c r="D1138">
        <v>1.41</v>
      </c>
      <c r="E1138">
        <v>0.01</v>
      </c>
      <c r="F1138">
        <v>0</v>
      </c>
      <c r="G1138">
        <v>1137</v>
      </c>
      <c r="H1138">
        <v>1147</v>
      </c>
      <c r="I1138">
        <v>1123</v>
      </c>
      <c r="J1138" t="s">
        <v>6279</v>
      </c>
    </row>
    <row r="1139" spans="1:10">
      <c r="A1139">
        <v>6239</v>
      </c>
      <c r="B1139" t="s">
        <v>5829</v>
      </c>
      <c r="C1139">
        <v>1.59</v>
      </c>
      <c r="D1139">
        <v>44.84</v>
      </c>
      <c r="E1139">
        <v>1.85</v>
      </c>
      <c r="F1139">
        <v>2.5299999999999998</v>
      </c>
      <c r="G1139">
        <v>1138</v>
      </c>
      <c r="H1139">
        <v>91</v>
      </c>
      <c r="I1139">
        <v>82</v>
      </c>
      <c r="J1139">
        <v>101</v>
      </c>
    </row>
    <row r="1140" spans="1:10">
      <c r="A1140">
        <v>2070</v>
      </c>
      <c r="B1140" t="s">
        <v>6319</v>
      </c>
      <c r="C1140">
        <v>1.58</v>
      </c>
      <c r="D1140">
        <v>0.77</v>
      </c>
      <c r="E1140">
        <v>0</v>
      </c>
      <c r="F1140">
        <v>0</v>
      </c>
      <c r="G1140">
        <v>1139</v>
      </c>
      <c r="H1140">
        <v>1270</v>
      </c>
      <c r="I1140" t="s">
        <v>6279</v>
      </c>
      <c r="J1140" t="s">
        <v>6279</v>
      </c>
    </row>
    <row r="1141" spans="1:10">
      <c r="A1141">
        <v>5487</v>
      </c>
      <c r="B1141" t="s">
        <v>6322</v>
      </c>
      <c r="C1141">
        <v>1.58</v>
      </c>
      <c r="D1141">
        <v>0.14000000000000001</v>
      </c>
      <c r="E1141">
        <v>0</v>
      </c>
      <c r="F1141">
        <v>0</v>
      </c>
      <c r="G1141">
        <v>1139</v>
      </c>
      <c r="H1141">
        <v>1425</v>
      </c>
      <c r="I1141" t="s">
        <v>6279</v>
      </c>
      <c r="J1141" t="s">
        <v>6279</v>
      </c>
    </row>
    <row r="1142" spans="1:10">
      <c r="A1142">
        <v>3679</v>
      </c>
      <c r="B1142" t="s">
        <v>5486</v>
      </c>
      <c r="C1142">
        <v>1.57</v>
      </c>
      <c r="D1142">
        <v>12.14</v>
      </c>
      <c r="E1142">
        <v>0.13</v>
      </c>
      <c r="F1142">
        <v>0</v>
      </c>
      <c r="G1142">
        <v>1141</v>
      </c>
      <c r="H1142">
        <v>428</v>
      </c>
      <c r="I1142">
        <v>671</v>
      </c>
      <c r="J1142" t="s">
        <v>6279</v>
      </c>
    </row>
    <row r="1143" spans="1:10">
      <c r="A1143">
        <v>6151</v>
      </c>
      <c r="B1143" t="s">
        <v>5769</v>
      </c>
      <c r="C1143">
        <v>1.55</v>
      </c>
      <c r="D1143">
        <v>0.43</v>
      </c>
      <c r="E1143">
        <v>0.05</v>
      </c>
      <c r="F1143">
        <v>0</v>
      </c>
      <c r="G1143">
        <v>1142</v>
      </c>
      <c r="H1143">
        <v>1351</v>
      </c>
      <c r="I1143">
        <v>908</v>
      </c>
      <c r="J1143" t="s">
        <v>6279</v>
      </c>
    </row>
    <row r="1144" spans="1:10">
      <c r="A1144">
        <v>4563</v>
      </c>
      <c r="B1144" t="s">
        <v>6182</v>
      </c>
      <c r="C1144">
        <v>1.54</v>
      </c>
      <c r="D1144">
        <v>0</v>
      </c>
      <c r="E1144">
        <v>0</v>
      </c>
      <c r="F1144">
        <v>0</v>
      </c>
      <c r="G1144">
        <v>1143</v>
      </c>
      <c r="H1144" t="s">
        <v>6279</v>
      </c>
      <c r="I1144" t="s">
        <v>6279</v>
      </c>
      <c r="J1144" t="s">
        <v>6279</v>
      </c>
    </row>
    <row r="1145" spans="1:10">
      <c r="A1145">
        <v>6641</v>
      </c>
      <c r="B1145" t="s">
        <v>5923</v>
      </c>
      <c r="C1145">
        <v>1.52</v>
      </c>
      <c r="D1145">
        <v>30.83</v>
      </c>
      <c r="E1145">
        <v>0</v>
      </c>
      <c r="F1145">
        <v>0</v>
      </c>
      <c r="G1145">
        <v>1144</v>
      </c>
      <c r="H1145">
        <v>176</v>
      </c>
      <c r="I1145" t="s">
        <v>6279</v>
      </c>
      <c r="J1145" t="s">
        <v>6279</v>
      </c>
    </row>
    <row r="1146" spans="1:10">
      <c r="A1146">
        <v>4549</v>
      </c>
      <c r="B1146" t="s">
        <v>5567</v>
      </c>
      <c r="C1146">
        <v>1.51</v>
      </c>
      <c r="D1146">
        <v>6.8</v>
      </c>
      <c r="E1146">
        <v>0.04</v>
      </c>
      <c r="F1146">
        <v>0.17</v>
      </c>
      <c r="G1146">
        <v>1145</v>
      </c>
      <c r="H1146">
        <v>660</v>
      </c>
      <c r="I1146">
        <v>946</v>
      </c>
      <c r="J1146">
        <v>336</v>
      </c>
    </row>
    <row r="1147" spans="1:10">
      <c r="A1147">
        <v>6741</v>
      </c>
      <c r="B1147" t="s">
        <v>5942</v>
      </c>
      <c r="C1147">
        <v>1.51</v>
      </c>
      <c r="D1147">
        <v>76.17</v>
      </c>
      <c r="E1147">
        <v>0.02</v>
      </c>
      <c r="F1147">
        <v>0.01</v>
      </c>
      <c r="G1147">
        <v>1145</v>
      </c>
      <c r="H1147">
        <v>13</v>
      </c>
      <c r="I1147">
        <v>1051</v>
      </c>
      <c r="J1147">
        <v>495</v>
      </c>
    </row>
    <row r="1148" spans="1:10">
      <c r="A1148">
        <v>1439</v>
      </c>
      <c r="B1148" t="s">
        <v>4837</v>
      </c>
      <c r="C1148">
        <v>1.5</v>
      </c>
      <c r="D1148">
        <v>0.36</v>
      </c>
      <c r="E1148">
        <v>7.0000000000000007E-2</v>
      </c>
      <c r="F1148">
        <v>0</v>
      </c>
      <c r="G1148">
        <v>1147</v>
      </c>
      <c r="H1148">
        <v>1376</v>
      </c>
      <c r="I1148">
        <v>825</v>
      </c>
      <c r="J1148" t="s">
        <v>6279</v>
      </c>
    </row>
    <row r="1149" spans="1:10">
      <c r="A1149">
        <v>1473</v>
      </c>
      <c r="B1149" t="s">
        <v>4858</v>
      </c>
      <c r="C1149">
        <v>1.49</v>
      </c>
      <c r="D1149">
        <v>9.11</v>
      </c>
      <c r="E1149">
        <v>0.1</v>
      </c>
      <c r="F1149">
        <v>0</v>
      </c>
      <c r="G1149">
        <v>1148</v>
      </c>
      <c r="H1149">
        <v>544</v>
      </c>
      <c r="I1149">
        <v>741</v>
      </c>
      <c r="J1149" t="s">
        <v>6279</v>
      </c>
    </row>
    <row r="1150" spans="1:10">
      <c r="A1150">
        <v>1504</v>
      </c>
      <c r="B1150" t="s">
        <v>4863</v>
      </c>
      <c r="C1150">
        <v>1.49</v>
      </c>
      <c r="D1150">
        <v>20.69</v>
      </c>
      <c r="E1150">
        <v>0.13</v>
      </c>
      <c r="F1150">
        <v>0.32</v>
      </c>
      <c r="G1150">
        <v>1148</v>
      </c>
      <c r="H1150">
        <v>269</v>
      </c>
      <c r="I1150">
        <v>671</v>
      </c>
      <c r="J1150">
        <v>291</v>
      </c>
    </row>
    <row r="1151" spans="1:10">
      <c r="A1151">
        <v>1531</v>
      </c>
      <c r="B1151" t="s">
        <v>4879</v>
      </c>
      <c r="C1151">
        <v>1.49</v>
      </c>
      <c r="D1151">
        <v>2.04</v>
      </c>
      <c r="E1151">
        <v>0.03</v>
      </c>
      <c r="F1151">
        <v>0</v>
      </c>
      <c r="G1151">
        <v>1148</v>
      </c>
      <c r="H1151">
        <v>1049</v>
      </c>
      <c r="I1151">
        <v>990</v>
      </c>
      <c r="J1151" t="s">
        <v>6279</v>
      </c>
    </row>
    <row r="1152" spans="1:10">
      <c r="A1152">
        <v>2539</v>
      </c>
      <c r="B1152" t="s">
        <v>5172</v>
      </c>
      <c r="C1152">
        <v>1.49</v>
      </c>
      <c r="D1152">
        <v>0.52</v>
      </c>
      <c r="E1152">
        <v>0.01</v>
      </c>
      <c r="F1152">
        <v>0</v>
      </c>
      <c r="G1152">
        <v>1148</v>
      </c>
      <c r="H1152">
        <v>1327</v>
      </c>
      <c r="I1152">
        <v>1123</v>
      </c>
      <c r="J1152" t="s">
        <v>6279</v>
      </c>
    </row>
    <row r="1153" spans="1:10">
      <c r="A1153">
        <v>2836</v>
      </c>
      <c r="B1153" t="s">
        <v>5225</v>
      </c>
      <c r="C1153">
        <v>1.49</v>
      </c>
      <c r="D1153">
        <v>7.29</v>
      </c>
      <c r="E1153">
        <v>0.01</v>
      </c>
      <c r="F1153">
        <v>0.04</v>
      </c>
      <c r="G1153">
        <v>1148</v>
      </c>
      <c r="H1153">
        <v>614</v>
      </c>
      <c r="I1153">
        <v>1123</v>
      </c>
      <c r="J1153">
        <v>439</v>
      </c>
    </row>
    <row r="1154" spans="1:10">
      <c r="A1154">
        <v>1540</v>
      </c>
      <c r="B1154" t="s">
        <v>4886</v>
      </c>
      <c r="C1154">
        <v>1.48</v>
      </c>
      <c r="D1154">
        <v>0.39</v>
      </c>
      <c r="E1154">
        <v>0.04</v>
      </c>
      <c r="F1154">
        <v>0</v>
      </c>
      <c r="G1154">
        <v>1153</v>
      </c>
      <c r="H1154">
        <v>1366</v>
      </c>
      <c r="I1154">
        <v>946</v>
      </c>
      <c r="J1154" t="s">
        <v>6279</v>
      </c>
    </row>
    <row r="1155" spans="1:10">
      <c r="A1155">
        <v>6570</v>
      </c>
      <c r="B1155" t="s">
        <v>5908</v>
      </c>
      <c r="C1155">
        <v>1.48</v>
      </c>
      <c r="D1155">
        <v>0.64</v>
      </c>
      <c r="E1155">
        <v>0</v>
      </c>
      <c r="F1155">
        <v>0</v>
      </c>
      <c r="G1155">
        <v>1153</v>
      </c>
      <c r="H1155">
        <v>1297</v>
      </c>
      <c r="I1155" t="s">
        <v>6279</v>
      </c>
      <c r="J1155" t="s">
        <v>6279</v>
      </c>
    </row>
    <row r="1156" spans="1:10">
      <c r="A1156">
        <v>9933</v>
      </c>
      <c r="B1156" t="s">
        <v>6085</v>
      </c>
      <c r="C1156">
        <v>1.48</v>
      </c>
      <c r="D1156">
        <v>21.76</v>
      </c>
      <c r="E1156">
        <v>0.62</v>
      </c>
      <c r="F1156">
        <v>0.39</v>
      </c>
      <c r="G1156">
        <v>1153</v>
      </c>
      <c r="H1156">
        <v>256</v>
      </c>
      <c r="I1156">
        <v>276</v>
      </c>
      <c r="J1156">
        <v>272</v>
      </c>
    </row>
    <row r="1157" spans="1:10">
      <c r="A1157">
        <v>3005</v>
      </c>
      <c r="B1157" t="s">
        <v>5267</v>
      </c>
      <c r="C1157">
        <v>1.47</v>
      </c>
      <c r="D1157">
        <v>24.66</v>
      </c>
      <c r="E1157">
        <v>6.75</v>
      </c>
      <c r="F1157">
        <v>0.08</v>
      </c>
      <c r="G1157">
        <v>1156</v>
      </c>
      <c r="H1157">
        <v>225</v>
      </c>
      <c r="I1157">
        <v>9</v>
      </c>
      <c r="J1157">
        <v>395</v>
      </c>
    </row>
    <row r="1158" spans="1:10">
      <c r="A1158">
        <v>5015</v>
      </c>
      <c r="B1158" t="s">
        <v>5644</v>
      </c>
      <c r="C1158">
        <v>1.46</v>
      </c>
      <c r="D1158">
        <v>8.15</v>
      </c>
      <c r="E1158">
        <v>0</v>
      </c>
      <c r="F1158">
        <v>0</v>
      </c>
      <c r="G1158">
        <v>1157</v>
      </c>
      <c r="H1158">
        <v>576</v>
      </c>
      <c r="I1158" t="s">
        <v>6279</v>
      </c>
      <c r="J1158" t="s">
        <v>6279</v>
      </c>
    </row>
    <row r="1159" spans="1:10">
      <c r="A1159">
        <v>2706</v>
      </c>
      <c r="B1159" t="s">
        <v>5206</v>
      </c>
      <c r="C1159">
        <v>1.45</v>
      </c>
      <c r="D1159">
        <v>2.4900000000000002</v>
      </c>
      <c r="E1159">
        <v>0</v>
      </c>
      <c r="F1159">
        <v>0</v>
      </c>
      <c r="G1159">
        <v>1158</v>
      </c>
      <c r="H1159">
        <v>982</v>
      </c>
      <c r="I1159" t="s">
        <v>6279</v>
      </c>
      <c r="J1159" t="s">
        <v>6279</v>
      </c>
    </row>
    <row r="1160" spans="1:10">
      <c r="A1160">
        <v>3066</v>
      </c>
      <c r="B1160" t="s">
        <v>6334</v>
      </c>
      <c r="C1160">
        <v>1.45</v>
      </c>
      <c r="D1160">
        <v>0.09</v>
      </c>
      <c r="E1160">
        <v>0.01</v>
      </c>
      <c r="F1160">
        <v>0</v>
      </c>
      <c r="G1160">
        <v>1158</v>
      </c>
      <c r="H1160">
        <v>1446</v>
      </c>
      <c r="I1160">
        <v>1123</v>
      </c>
      <c r="J1160" t="s">
        <v>6279</v>
      </c>
    </row>
    <row r="1161" spans="1:10">
      <c r="A1161">
        <v>4560</v>
      </c>
      <c r="B1161" t="s">
        <v>5572</v>
      </c>
      <c r="C1161">
        <v>1.45</v>
      </c>
      <c r="D1161">
        <v>82.82</v>
      </c>
      <c r="E1161">
        <v>0.06</v>
      </c>
      <c r="F1161">
        <v>0</v>
      </c>
      <c r="G1161">
        <v>1158</v>
      </c>
      <c r="H1161">
        <v>8</v>
      </c>
      <c r="I1161">
        <v>869</v>
      </c>
      <c r="J1161" t="s">
        <v>6279</v>
      </c>
    </row>
    <row r="1162" spans="1:10">
      <c r="A1162">
        <v>2480</v>
      </c>
      <c r="B1162" t="s">
        <v>5138</v>
      </c>
      <c r="C1162">
        <v>1.44</v>
      </c>
      <c r="D1162">
        <v>8.3800000000000008</v>
      </c>
      <c r="E1162">
        <v>0.81</v>
      </c>
      <c r="F1162">
        <v>0.34</v>
      </c>
      <c r="G1162">
        <v>1161</v>
      </c>
      <c r="H1162">
        <v>568</v>
      </c>
      <c r="I1162">
        <v>213</v>
      </c>
      <c r="J1162">
        <v>287</v>
      </c>
    </row>
    <row r="1163" spans="1:10">
      <c r="A1163">
        <v>8443</v>
      </c>
      <c r="B1163" t="s">
        <v>6033</v>
      </c>
      <c r="C1163">
        <v>1.44</v>
      </c>
      <c r="D1163">
        <v>5.76</v>
      </c>
      <c r="E1163">
        <v>0.05</v>
      </c>
      <c r="F1163">
        <v>0</v>
      </c>
      <c r="G1163">
        <v>1161</v>
      </c>
      <c r="H1163">
        <v>724</v>
      </c>
      <c r="I1163">
        <v>908</v>
      </c>
      <c r="J1163" t="s">
        <v>6279</v>
      </c>
    </row>
    <row r="1164" spans="1:10">
      <c r="A1164">
        <v>8942</v>
      </c>
      <c r="B1164" t="s">
        <v>6063</v>
      </c>
      <c r="C1164">
        <v>1.44</v>
      </c>
      <c r="D1164">
        <v>23.53</v>
      </c>
      <c r="E1164">
        <v>0.15</v>
      </c>
      <c r="F1164">
        <v>0.1</v>
      </c>
      <c r="G1164">
        <v>1161</v>
      </c>
      <c r="H1164">
        <v>234</v>
      </c>
      <c r="I1164">
        <v>635</v>
      </c>
      <c r="J1164">
        <v>377</v>
      </c>
    </row>
    <row r="1165" spans="1:10">
      <c r="A1165">
        <v>2066</v>
      </c>
      <c r="B1165" t="s">
        <v>6194</v>
      </c>
      <c r="C1165">
        <v>1.42</v>
      </c>
      <c r="D1165">
        <v>10.3</v>
      </c>
      <c r="E1165">
        <v>0.11</v>
      </c>
      <c r="F1165">
        <v>0</v>
      </c>
      <c r="G1165">
        <v>1164</v>
      </c>
      <c r="H1165">
        <v>496</v>
      </c>
      <c r="I1165">
        <v>717</v>
      </c>
      <c r="J1165" t="s">
        <v>6279</v>
      </c>
    </row>
    <row r="1166" spans="1:10">
      <c r="A1166">
        <v>2705</v>
      </c>
      <c r="B1166" t="s">
        <v>5205</v>
      </c>
      <c r="C1166">
        <v>1.42</v>
      </c>
      <c r="D1166">
        <v>1.56</v>
      </c>
      <c r="E1166">
        <v>0.02</v>
      </c>
      <c r="F1166">
        <v>0</v>
      </c>
      <c r="G1166">
        <v>1164</v>
      </c>
      <c r="H1166">
        <v>1114</v>
      </c>
      <c r="I1166">
        <v>1051</v>
      </c>
      <c r="J1166" t="s">
        <v>6279</v>
      </c>
    </row>
    <row r="1167" spans="1:10">
      <c r="A1167">
        <v>2236</v>
      </c>
      <c r="B1167" t="s">
        <v>5023</v>
      </c>
      <c r="C1167">
        <v>1.41</v>
      </c>
      <c r="D1167">
        <v>33.68</v>
      </c>
      <c r="E1167">
        <v>0.04</v>
      </c>
      <c r="F1167">
        <v>0.1</v>
      </c>
      <c r="G1167">
        <v>1166</v>
      </c>
      <c r="H1167">
        <v>151</v>
      </c>
      <c r="I1167">
        <v>946</v>
      </c>
      <c r="J1167">
        <v>377</v>
      </c>
    </row>
    <row r="1168" spans="1:10">
      <c r="A1168">
        <v>2441</v>
      </c>
      <c r="B1168" t="s">
        <v>5113</v>
      </c>
      <c r="C1168">
        <v>1.4</v>
      </c>
      <c r="D1168">
        <v>14.44</v>
      </c>
      <c r="E1168">
        <v>2.91</v>
      </c>
      <c r="F1168">
        <v>5.16</v>
      </c>
      <c r="G1168">
        <v>1167</v>
      </c>
      <c r="H1168">
        <v>373</v>
      </c>
      <c r="I1168">
        <v>49</v>
      </c>
      <c r="J1168">
        <v>55</v>
      </c>
    </row>
    <row r="1169" spans="1:10">
      <c r="A1169">
        <v>5284</v>
      </c>
      <c r="B1169" t="s">
        <v>5664</v>
      </c>
      <c r="C1169">
        <v>1.4</v>
      </c>
      <c r="D1169">
        <v>61.16</v>
      </c>
      <c r="E1169">
        <v>0.02</v>
      </c>
      <c r="F1169">
        <v>0.15</v>
      </c>
      <c r="G1169">
        <v>1167</v>
      </c>
      <c r="H1169">
        <v>46</v>
      </c>
      <c r="I1169">
        <v>1051</v>
      </c>
      <c r="J1169">
        <v>346</v>
      </c>
    </row>
    <row r="1170" spans="1:10">
      <c r="A1170">
        <v>5515</v>
      </c>
      <c r="B1170" t="s">
        <v>5706</v>
      </c>
      <c r="C1170">
        <v>1.4</v>
      </c>
      <c r="D1170">
        <v>5.82</v>
      </c>
      <c r="E1170">
        <v>0.01</v>
      </c>
      <c r="F1170">
        <v>0</v>
      </c>
      <c r="G1170">
        <v>1167</v>
      </c>
      <c r="H1170">
        <v>718</v>
      </c>
      <c r="I1170">
        <v>1123</v>
      </c>
      <c r="J1170" t="s">
        <v>6279</v>
      </c>
    </row>
    <row r="1171" spans="1:10">
      <c r="A1171">
        <v>6415</v>
      </c>
      <c r="B1171" t="s">
        <v>5863</v>
      </c>
      <c r="C1171">
        <v>1.4</v>
      </c>
      <c r="D1171">
        <v>92.92</v>
      </c>
      <c r="E1171">
        <v>0.13</v>
      </c>
      <c r="F1171">
        <v>2.2799999999999998</v>
      </c>
      <c r="G1171">
        <v>1167</v>
      </c>
      <c r="H1171">
        <v>1</v>
      </c>
      <c r="I1171">
        <v>671</v>
      </c>
      <c r="J1171">
        <v>111</v>
      </c>
    </row>
    <row r="1172" spans="1:10">
      <c r="A1172">
        <v>6613</v>
      </c>
      <c r="B1172" t="s">
        <v>5921</v>
      </c>
      <c r="C1172">
        <v>1.39</v>
      </c>
      <c r="D1172">
        <v>1.97</v>
      </c>
      <c r="E1172">
        <v>0.27</v>
      </c>
      <c r="F1172">
        <v>0.06</v>
      </c>
      <c r="G1172">
        <v>1171</v>
      </c>
      <c r="H1172">
        <v>1061</v>
      </c>
      <c r="I1172">
        <v>487</v>
      </c>
      <c r="J1172">
        <v>413</v>
      </c>
    </row>
    <row r="1173" spans="1:10">
      <c r="A1173">
        <v>2748</v>
      </c>
      <c r="B1173" t="s">
        <v>5217</v>
      </c>
      <c r="C1173">
        <v>1.38</v>
      </c>
      <c r="D1173">
        <v>0.39</v>
      </c>
      <c r="E1173">
        <v>0</v>
      </c>
      <c r="F1173">
        <v>0</v>
      </c>
      <c r="G1173">
        <v>1172</v>
      </c>
      <c r="H1173">
        <v>1366</v>
      </c>
      <c r="I1173" t="s">
        <v>6279</v>
      </c>
      <c r="J1173" t="s">
        <v>6279</v>
      </c>
    </row>
    <row r="1174" spans="1:10">
      <c r="A1174">
        <v>2008</v>
      </c>
      <c r="B1174" t="s">
        <v>4975</v>
      </c>
      <c r="C1174">
        <v>1.37</v>
      </c>
      <c r="D1174">
        <v>7.41</v>
      </c>
      <c r="E1174">
        <v>0.13</v>
      </c>
      <c r="F1174">
        <v>0</v>
      </c>
      <c r="G1174">
        <v>1173</v>
      </c>
      <c r="H1174">
        <v>608</v>
      </c>
      <c r="I1174">
        <v>671</v>
      </c>
      <c r="J1174" t="s">
        <v>6279</v>
      </c>
    </row>
    <row r="1175" spans="1:10">
      <c r="A1175">
        <v>2317</v>
      </c>
      <c r="B1175" t="s">
        <v>5037</v>
      </c>
      <c r="C1175">
        <v>1.37</v>
      </c>
      <c r="D1175">
        <v>44.32</v>
      </c>
      <c r="E1175">
        <v>0.47</v>
      </c>
      <c r="F1175">
        <v>1.37</v>
      </c>
      <c r="G1175">
        <v>1173</v>
      </c>
      <c r="H1175">
        <v>94</v>
      </c>
      <c r="I1175">
        <v>331</v>
      </c>
      <c r="J1175">
        <v>161</v>
      </c>
    </row>
    <row r="1176" spans="1:10">
      <c r="A1176">
        <v>4552</v>
      </c>
      <c r="B1176" t="s">
        <v>5569</v>
      </c>
      <c r="C1176">
        <v>1.36</v>
      </c>
      <c r="D1176">
        <v>50.71</v>
      </c>
      <c r="E1176">
        <v>0.04</v>
      </c>
      <c r="F1176">
        <v>0</v>
      </c>
      <c r="G1176">
        <v>1175</v>
      </c>
      <c r="H1176">
        <v>76</v>
      </c>
      <c r="I1176">
        <v>946</v>
      </c>
      <c r="J1176" t="s">
        <v>6279</v>
      </c>
    </row>
    <row r="1177" spans="1:10">
      <c r="A1177">
        <v>5213</v>
      </c>
      <c r="B1177" t="s">
        <v>5648</v>
      </c>
      <c r="C1177">
        <v>1.36</v>
      </c>
      <c r="D1177">
        <v>1.22</v>
      </c>
      <c r="E1177">
        <v>0</v>
      </c>
      <c r="F1177">
        <v>0</v>
      </c>
      <c r="G1177">
        <v>1175</v>
      </c>
      <c r="H1177">
        <v>1183</v>
      </c>
      <c r="I1177" t="s">
        <v>6279</v>
      </c>
      <c r="J1177" t="s">
        <v>6279</v>
      </c>
    </row>
    <row r="1178" spans="1:10">
      <c r="A1178">
        <v>1459</v>
      </c>
      <c r="B1178" t="s">
        <v>4851</v>
      </c>
      <c r="C1178">
        <v>1.35</v>
      </c>
      <c r="D1178">
        <v>1.69</v>
      </c>
      <c r="E1178">
        <v>0</v>
      </c>
      <c r="F1178">
        <v>0</v>
      </c>
      <c r="G1178">
        <v>1177</v>
      </c>
      <c r="H1178">
        <v>1100</v>
      </c>
      <c r="I1178" t="s">
        <v>6279</v>
      </c>
      <c r="J1178" t="s">
        <v>6279</v>
      </c>
    </row>
    <row r="1179" spans="1:10">
      <c r="A1179">
        <v>5016</v>
      </c>
      <c r="B1179" t="s">
        <v>6150</v>
      </c>
      <c r="C1179">
        <v>1.35</v>
      </c>
      <c r="D1179">
        <v>0.56000000000000005</v>
      </c>
      <c r="E1179">
        <v>0</v>
      </c>
      <c r="F1179">
        <v>0</v>
      </c>
      <c r="G1179">
        <v>1177</v>
      </c>
      <c r="H1179">
        <v>1319</v>
      </c>
      <c r="I1179" t="s">
        <v>6279</v>
      </c>
      <c r="J1179" t="s">
        <v>6279</v>
      </c>
    </row>
    <row r="1180" spans="1:10">
      <c r="A1180">
        <v>2528</v>
      </c>
      <c r="B1180" t="s">
        <v>5165</v>
      </c>
      <c r="C1180">
        <v>1.34</v>
      </c>
      <c r="D1180">
        <v>0.13</v>
      </c>
      <c r="E1180">
        <v>0.11</v>
      </c>
      <c r="F1180">
        <v>0</v>
      </c>
      <c r="G1180">
        <v>1179</v>
      </c>
      <c r="H1180">
        <v>1431</v>
      </c>
      <c r="I1180">
        <v>717</v>
      </c>
      <c r="J1180" t="s">
        <v>6279</v>
      </c>
    </row>
    <row r="1181" spans="1:10">
      <c r="A1181">
        <v>8929</v>
      </c>
      <c r="B1181" t="s">
        <v>6059</v>
      </c>
      <c r="C1181">
        <v>1.34</v>
      </c>
      <c r="D1181">
        <v>0.2</v>
      </c>
      <c r="E1181">
        <v>0</v>
      </c>
      <c r="F1181">
        <v>0</v>
      </c>
      <c r="G1181">
        <v>1179</v>
      </c>
      <c r="H1181">
        <v>1413</v>
      </c>
      <c r="I1181" t="s">
        <v>6279</v>
      </c>
      <c r="J1181" t="s">
        <v>6279</v>
      </c>
    </row>
    <row r="1182" spans="1:10">
      <c r="A1182">
        <v>5434</v>
      </c>
      <c r="B1182" t="s">
        <v>5688</v>
      </c>
      <c r="C1182">
        <v>1.33</v>
      </c>
      <c r="D1182">
        <v>31.47</v>
      </c>
      <c r="E1182">
        <v>0.33</v>
      </c>
      <c r="F1182">
        <v>1.59</v>
      </c>
      <c r="G1182">
        <v>1181</v>
      </c>
      <c r="H1182">
        <v>167</v>
      </c>
      <c r="I1182">
        <v>433</v>
      </c>
      <c r="J1182">
        <v>152</v>
      </c>
    </row>
    <row r="1183" spans="1:10">
      <c r="A1183">
        <v>8442</v>
      </c>
      <c r="B1183" t="s">
        <v>6032</v>
      </c>
      <c r="C1183">
        <v>1.32</v>
      </c>
      <c r="D1183">
        <v>63.93</v>
      </c>
      <c r="E1183">
        <v>0.05</v>
      </c>
      <c r="F1183">
        <v>0</v>
      </c>
      <c r="G1183">
        <v>1182</v>
      </c>
      <c r="H1183">
        <v>38</v>
      </c>
      <c r="I1183">
        <v>908</v>
      </c>
      <c r="J1183" t="s">
        <v>6279</v>
      </c>
    </row>
    <row r="1184" spans="1:10">
      <c r="A1184">
        <v>2704</v>
      </c>
      <c r="B1184" t="s">
        <v>5204</v>
      </c>
      <c r="C1184">
        <v>1.3</v>
      </c>
      <c r="D1184">
        <v>10.27</v>
      </c>
      <c r="E1184">
        <v>0.21</v>
      </c>
      <c r="F1184">
        <v>0.05</v>
      </c>
      <c r="G1184">
        <v>1183</v>
      </c>
      <c r="H1184">
        <v>498</v>
      </c>
      <c r="I1184">
        <v>550</v>
      </c>
      <c r="J1184">
        <v>427</v>
      </c>
    </row>
    <row r="1185" spans="1:10">
      <c r="A1185">
        <v>2916</v>
      </c>
      <c r="B1185" t="s">
        <v>5259</v>
      </c>
      <c r="C1185">
        <v>1.3</v>
      </c>
      <c r="D1185">
        <v>21.56</v>
      </c>
      <c r="E1185">
        <v>0.01</v>
      </c>
      <c r="F1185">
        <v>0</v>
      </c>
      <c r="G1185">
        <v>1183</v>
      </c>
      <c r="H1185">
        <v>260</v>
      </c>
      <c r="I1185">
        <v>1123</v>
      </c>
      <c r="J1185" t="s">
        <v>6279</v>
      </c>
    </row>
    <row r="1186" spans="1:10">
      <c r="A1186">
        <v>4120</v>
      </c>
      <c r="B1186" t="s">
        <v>5515</v>
      </c>
      <c r="C1186">
        <v>1.3</v>
      </c>
      <c r="D1186">
        <v>6.41</v>
      </c>
      <c r="E1186">
        <v>7.0000000000000007E-2</v>
      </c>
      <c r="F1186">
        <v>0</v>
      </c>
      <c r="G1186">
        <v>1183</v>
      </c>
      <c r="H1186">
        <v>685</v>
      </c>
      <c r="I1186">
        <v>825</v>
      </c>
      <c r="J1186" t="s">
        <v>6279</v>
      </c>
    </row>
    <row r="1187" spans="1:10">
      <c r="A1187">
        <v>6117</v>
      </c>
      <c r="B1187" t="s">
        <v>5747</v>
      </c>
      <c r="C1187">
        <v>1.3</v>
      </c>
      <c r="D1187">
        <v>2.93</v>
      </c>
      <c r="E1187">
        <v>0.02</v>
      </c>
      <c r="F1187">
        <v>0</v>
      </c>
      <c r="G1187">
        <v>1183</v>
      </c>
      <c r="H1187">
        <v>935</v>
      </c>
      <c r="I1187">
        <v>1051</v>
      </c>
      <c r="J1187" t="s">
        <v>6279</v>
      </c>
    </row>
    <row r="1188" spans="1:10">
      <c r="A1188">
        <v>6230</v>
      </c>
      <c r="B1188" t="s">
        <v>5823</v>
      </c>
      <c r="C1188">
        <v>1.29</v>
      </c>
      <c r="D1188">
        <v>89.56</v>
      </c>
      <c r="E1188">
        <v>1.01</v>
      </c>
      <c r="F1188">
        <v>0</v>
      </c>
      <c r="G1188">
        <v>1187</v>
      </c>
      <c r="H1188">
        <v>5</v>
      </c>
      <c r="I1188">
        <v>170</v>
      </c>
      <c r="J1188" t="s">
        <v>6279</v>
      </c>
    </row>
    <row r="1189" spans="1:10">
      <c r="A1189">
        <v>6666</v>
      </c>
      <c r="B1189" t="s">
        <v>5929</v>
      </c>
      <c r="C1189">
        <v>1.29</v>
      </c>
      <c r="D1189">
        <v>79.38</v>
      </c>
      <c r="E1189">
        <v>0.03</v>
      </c>
      <c r="F1189">
        <v>0</v>
      </c>
      <c r="G1189">
        <v>1187</v>
      </c>
      <c r="H1189">
        <v>9</v>
      </c>
      <c r="I1189">
        <v>990</v>
      </c>
      <c r="J1189" t="s">
        <v>6279</v>
      </c>
    </row>
    <row r="1190" spans="1:10">
      <c r="A1190">
        <v>8418</v>
      </c>
      <c r="B1190" t="s">
        <v>6162</v>
      </c>
      <c r="C1190">
        <v>1.27</v>
      </c>
      <c r="D1190">
        <v>89.79</v>
      </c>
      <c r="E1190">
        <v>0</v>
      </c>
      <c r="F1190">
        <v>0</v>
      </c>
      <c r="G1190">
        <v>1189</v>
      </c>
      <c r="H1190">
        <v>4</v>
      </c>
      <c r="I1190" t="s">
        <v>6279</v>
      </c>
      <c r="J1190" t="s">
        <v>6279</v>
      </c>
    </row>
    <row r="1191" spans="1:10">
      <c r="A1191">
        <v>8454</v>
      </c>
      <c r="B1191" t="s">
        <v>6037</v>
      </c>
      <c r="C1191">
        <v>1.27</v>
      </c>
      <c r="D1191">
        <v>28.12</v>
      </c>
      <c r="E1191">
        <v>0.09</v>
      </c>
      <c r="F1191">
        <v>0.27</v>
      </c>
      <c r="G1191">
        <v>1189</v>
      </c>
      <c r="H1191">
        <v>196</v>
      </c>
      <c r="I1191">
        <v>762</v>
      </c>
      <c r="J1191">
        <v>302</v>
      </c>
    </row>
    <row r="1192" spans="1:10">
      <c r="A1192">
        <v>1904</v>
      </c>
      <c r="B1192" t="s">
        <v>4967</v>
      </c>
      <c r="C1192">
        <v>1.26</v>
      </c>
      <c r="D1192">
        <v>7.66</v>
      </c>
      <c r="E1192">
        <v>0.05</v>
      </c>
      <c r="F1192">
        <v>0.36</v>
      </c>
      <c r="G1192">
        <v>1191</v>
      </c>
      <c r="H1192">
        <v>596</v>
      </c>
      <c r="I1192">
        <v>908</v>
      </c>
      <c r="J1192">
        <v>281</v>
      </c>
    </row>
    <row r="1193" spans="1:10">
      <c r="A1193">
        <v>3024</v>
      </c>
      <c r="B1193" t="s">
        <v>6177</v>
      </c>
      <c r="C1193">
        <v>1.26</v>
      </c>
      <c r="D1193">
        <v>1.06</v>
      </c>
      <c r="E1193">
        <v>0</v>
      </c>
      <c r="F1193">
        <v>0</v>
      </c>
      <c r="G1193">
        <v>1191</v>
      </c>
      <c r="H1193">
        <v>1211</v>
      </c>
      <c r="I1193" t="s">
        <v>6279</v>
      </c>
      <c r="J1193" t="s">
        <v>6279</v>
      </c>
    </row>
    <row r="1194" spans="1:10">
      <c r="A1194">
        <v>3709</v>
      </c>
      <c r="B1194" t="s">
        <v>6143</v>
      </c>
      <c r="C1194">
        <v>1.26</v>
      </c>
      <c r="D1194">
        <v>2.35</v>
      </c>
      <c r="E1194">
        <v>0</v>
      </c>
      <c r="F1194">
        <v>0</v>
      </c>
      <c r="G1194">
        <v>1191</v>
      </c>
      <c r="H1194">
        <v>1004</v>
      </c>
      <c r="I1194" t="s">
        <v>6279</v>
      </c>
      <c r="J1194" t="s">
        <v>6279</v>
      </c>
    </row>
    <row r="1195" spans="1:10">
      <c r="A1195">
        <v>1256</v>
      </c>
      <c r="B1195" t="s">
        <v>4797</v>
      </c>
      <c r="C1195">
        <v>1.25</v>
      </c>
      <c r="D1195">
        <v>3.38</v>
      </c>
      <c r="E1195">
        <v>0</v>
      </c>
      <c r="F1195">
        <v>0.03</v>
      </c>
      <c r="G1195">
        <v>1194</v>
      </c>
      <c r="H1195">
        <v>893</v>
      </c>
      <c r="I1195" t="s">
        <v>6279</v>
      </c>
      <c r="J1195">
        <v>459</v>
      </c>
    </row>
    <row r="1196" spans="1:10">
      <c r="A1196">
        <v>5347</v>
      </c>
      <c r="B1196" t="s">
        <v>5675</v>
      </c>
      <c r="C1196">
        <v>1.25</v>
      </c>
      <c r="D1196">
        <v>31.11</v>
      </c>
      <c r="E1196">
        <v>0.36</v>
      </c>
      <c r="F1196">
        <v>1.75</v>
      </c>
      <c r="G1196">
        <v>1194</v>
      </c>
      <c r="H1196">
        <v>172</v>
      </c>
      <c r="I1196">
        <v>403</v>
      </c>
      <c r="J1196">
        <v>141</v>
      </c>
    </row>
    <row r="1197" spans="1:10">
      <c r="A1197">
        <v>2540</v>
      </c>
      <c r="B1197" t="s">
        <v>5173</v>
      </c>
      <c r="C1197">
        <v>1.24</v>
      </c>
      <c r="D1197">
        <v>0.31</v>
      </c>
      <c r="E1197">
        <v>7.0000000000000007E-2</v>
      </c>
      <c r="F1197">
        <v>0</v>
      </c>
      <c r="G1197">
        <v>1196</v>
      </c>
      <c r="H1197">
        <v>1387</v>
      </c>
      <c r="I1197">
        <v>825</v>
      </c>
      <c r="J1197" t="s">
        <v>6279</v>
      </c>
    </row>
    <row r="1198" spans="1:10">
      <c r="A1198">
        <v>3231</v>
      </c>
      <c r="B1198" t="s">
        <v>5350</v>
      </c>
      <c r="C1198">
        <v>1.24</v>
      </c>
      <c r="D1198">
        <v>29.17</v>
      </c>
      <c r="E1198">
        <v>5.21</v>
      </c>
      <c r="F1198">
        <v>5.76</v>
      </c>
      <c r="G1198">
        <v>1196</v>
      </c>
      <c r="H1198">
        <v>186</v>
      </c>
      <c r="I1198">
        <v>22</v>
      </c>
      <c r="J1198">
        <v>41</v>
      </c>
    </row>
    <row r="1199" spans="1:10">
      <c r="A1199">
        <v>4550</v>
      </c>
      <c r="B1199" t="s">
        <v>6321</v>
      </c>
      <c r="C1199">
        <v>1.24</v>
      </c>
      <c r="D1199">
        <v>1.02</v>
      </c>
      <c r="E1199">
        <v>0</v>
      </c>
      <c r="F1199">
        <v>0</v>
      </c>
      <c r="G1199">
        <v>1196</v>
      </c>
      <c r="H1199">
        <v>1218</v>
      </c>
      <c r="I1199" t="s">
        <v>6279</v>
      </c>
      <c r="J1199" t="s">
        <v>6279</v>
      </c>
    </row>
    <row r="1200" spans="1:10">
      <c r="A1200">
        <v>6670</v>
      </c>
      <c r="B1200" t="s">
        <v>5933</v>
      </c>
      <c r="C1200">
        <v>1.22</v>
      </c>
      <c r="D1200">
        <v>21.98</v>
      </c>
      <c r="E1200">
        <v>0.17</v>
      </c>
      <c r="F1200">
        <v>0.51</v>
      </c>
      <c r="G1200">
        <v>1199</v>
      </c>
      <c r="H1200">
        <v>254</v>
      </c>
      <c r="I1200">
        <v>596</v>
      </c>
      <c r="J1200">
        <v>250</v>
      </c>
    </row>
    <row r="1201" spans="1:10">
      <c r="A1201">
        <v>9904</v>
      </c>
      <c r="B1201" t="s">
        <v>6067</v>
      </c>
      <c r="C1201">
        <v>1.22</v>
      </c>
      <c r="D1201">
        <v>51.14</v>
      </c>
      <c r="E1201">
        <v>0.72</v>
      </c>
      <c r="F1201">
        <v>0.87</v>
      </c>
      <c r="G1201">
        <v>1199</v>
      </c>
      <c r="H1201">
        <v>74</v>
      </c>
      <c r="I1201">
        <v>240</v>
      </c>
      <c r="J1201">
        <v>205</v>
      </c>
    </row>
    <row r="1202" spans="1:10">
      <c r="A1202">
        <v>2065</v>
      </c>
      <c r="B1202" t="s">
        <v>4999</v>
      </c>
      <c r="C1202">
        <v>1.21</v>
      </c>
      <c r="D1202">
        <v>1.57</v>
      </c>
      <c r="E1202">
        <v>0</v>
      </c>
      <c r="F1202">
        <v>0</v>
      </c>
      <c r="G1202">
        <v>1201</v>
      </c>
      <c r="H1202">
        <v>1112</v>
      </c>
      <c r="I1202" t="s">
        <v>6279</v>
      </c>
      <c r="J1202" t="s">
        <v>6279</v>
      </c>
    </row>
    <row r="1203" spans="1:10">
      <c r="A1203">
        <v>1617</v>
      </c>
      <c r="B1203" t="s">
        <v>4917</v>
      </c>
      <c r="C1203">
        <v>1.2</v>
      </c>
      <c r="D1203">
        <v>21.36</v>
      </c>
      <c r="E1203">
        <v>7.0000000000000007E-2</v>
      </c>
      <c r="F1203">
        <v>0</v>
      </c>
      <c r="G1203">
        <v>1202</v>
      </c>
      <c r="H1203">
        <v>263</v>
      </c>
      <c r="I1203">
        <v>825</v>
      </c>
      <c r="J1203" t="s">
        <v>6279</v>
      </c>
    </row>
    <row r="1204" spans="1:10">
      <c r="A1204">
        <v>2597</v>
      </c>
      <c r="B1204" t="s">
        <v>5179</v>
      </c>
      <c r="C1204">
        <v>1.2</v>
      </c>
      <c r="D1204">
        <v>1.28</v>
      </c>
      <c r="E1204">
        <v>0.01</v>
      </c>
      <c r="F1204">
        <v>0.04</v>
      </c>
      <c r="G1204">
        <v>1202</v>
      </c>
      <c r="H1204">
        <v>1169</v>
      </c>
      <c r="I1204">
        <v>1123</v>
      </c>
      <c r="J1204">
        <v>439</v>
      </c>
    </row>
    <row r="1205" spans="1:10">
      <c r="A1205">
        <v>1410</v>
      </c>
      <c r="B1205" t="s">
        <v>4827</v>
      </c>
      <c r="C1205">
        <v>1.19</v>
      </c>
      <c r="D1205">
        <v>21.23</v>
      </c>
      <c r="E1205">
        <v>0.04</v>
      </c>
      <c r="F1205">
        <v>0</v>
      </c>
      <c r="G1205">
        <v>1204</v>
      </c>
      <c r="H1205">
        <v>266</v>
      </c>
      <c r="I1205">
        <v>946</v>
      </c>
      <c r="J1205" t="s">
        <v>6279</v>
      </c>
    </row>
    <row r="1206" spans="1:10">
      <c r="A1206">
        <v>6754</v>
      </c>
      <c r="B1206" t="s">
        <v>5944</v>
      </c>
      <c r="C1206">
        <v>1.19</v>
      </c>
      <c r="D1206">
        <v>21.68</v>
      </c>
      <c r="E1206">
        <v>0</v>
      </c>
      <c r="F1206">
        <v>0</v>
      </c>
      <c r="G1206">
        <v>1204</v>
      </c>
      <c r="H1206">
        <v>257</v>
      </c>
      <c r="I1206" t="s">
        <v>6279</v>
      </c>
      <c r="J1206" t="s">
        <v>6279</v>
      </c>
    </row>
    <row r="1207" spans="1:10">
      <c r="A1207">
        <v>2002</v>
      </c>
      <c r="B1207" t="s">
        <v>4972</v>
      </c>
      <c r="C1207">
        <v>1.17</v>
      </c>
      <c r="D1207">
        <v>19.920000000000002</v>
      </c>
      <c r="E1207">
        <v>0.76</v>
      </c>
      <c r="F1207">
        <v>2.1800000000000002</v>
      </c>
      <c r="G1207">
        <v>1206</v>
      </c>
      <c r="H1207">
        <v>282</v>
      </c>
      <c r="I1207">
        <v>221</v>
      </c>
      <c r="J1207">
        <v>117</v>
      </c>
    </row>
    <row r="1208" spans="1:10">
      <c r="A1208">
        <v>9911</v>
      </c>
      <c r="B1208" t="s">
        <v>6073</v>
      </c>
      <c r="C1208">
        <v>1.17</v>
      </c>
      <c r="D1208">
        <v>20.12</v>
      </c>
      <c r="E1208">
        <v>0.08</v>
      </c>
      <c r="F1208">
        <v>0.05</v>
      </c>
      <c r="G1208">
        <v>1206</v>
      </c>
      <c r="H1208">
        <v>279</v>
      </c>
      <c r="I1208">
        <v>790</v>
      </c>
      <c r="J1208">
        <v>427</v>
      </c>
    </row>
    <row r="1209" spans="1:10">
      <c r="A1209">
        <v>3213</v>
      </c>
      <c r="B1209" t="s">
        <v>5342</v>
      </c>
      <c r="C1209">
        <v>1.1599999999999999</v>
      </c>
      <c r="D1209">
        <v>5.73</v>
      </c>
      <c r="E1209">
        <v>1.3</v>
      </c>
      <c r="F1209">
        <v>0</v>
      </c>
      <c r="G1209">
        <v>1208</v>
      </c>
      <c r="H1209">
        <v>726</v>
      </c>
      <c r="I1209">
        <v>129</v>
      </c>
      <c r="J1209" t="s">
        <v>6279</v>
      </c>
    </row>
    <row r="1210" spans="1:10">
      <c r="A1210">
        <v>1702</v>
      </c>
      <c r="B1210" t="s">
        <v>4921</v>
      </c>
      <c r="C1210">
        <v>1.1299999999999999</v>
      </c>
      <c r="D1210">
        <v>14.5</v>
      </c>
      <c r="E1210">
        <v>7.0000000000000007E-2</v>
      </c>
      <c r="F1210">
        <v>0.01</v>
      </c>
      <c r="G1210">
        <v>1209</v>
      </c>
      <c r="H1210">
        <v>372</v>
      </c>
      <c r="I1210">
        <v>825</v>
      </c>
      <c r="J1210">
        <v>495</v>
      </c>
    </row>
    <row r="1211" spans="1:10">
      <c r="A1211">
        <v>2357</v>
      </c>
      <c r="B1211" t="s">
        <v>5060</v>
      </c>
      <c r="C1211">
        <v>1.1299999999999999</v>
      </c>
      <c r="D1211">
        <v>47.36</v>
      </c>
      <c r="E1211">
        <v>4.17</v>
      </c>
      <c r="F1211">
        <v>5.3</v>
      </c>
      <c r="G1211">
        <v>1209</v>
      </c>
      <c r="H1211">
        <v>83</v>
      </c>
      <c r="I1211">
        <v>35</v>
      </c>
      <c r="J1211">
        <v>52</v>
      </c>
    </row>
    <row r="1212" spans="1:10">
      <c r="A1212">
        <v>2423</v>
      </c>
      <c r="B1212" t="s">
        <v>5102</v>
      </c>
      <c r="C1212">
        <v>1.1299999999999999</v>
      </c>
      <c r="D1212">
        <v>3.72</v>
      </c>
      <c r="E1212">
        <v>0.16</v>
      </c>
      <c r="F1212">
        <v>0</v>
      </c>
      <c r="G1212">
        <v>1209</v>
      </c>
      <c r="H1212">
        <v>859</v>
      </c>
      <c r="I1212">
        <v>615</v>
      </c>
      <c r="J1212" t="s">
        <v>6279</v>
      </c>
    </row>
    <row r="1213" spans="1:10">
      <c r="A1213">
        <v>5489</v>
      </c>
      <c r="B1213" t="s">
        <v>6328</v>
      </c>
      <c r="C1213">
        <v>1.1299999999999999</v>
      </c>
      <c r="D1213">
        <v>0.82</v>
      </c>
      <c r="E1213">
        <v>0.09</v>
      </c>
      <c r="F1213">
        <v>0</v>
      </c>
      <c r="G1213">
        <v>1209</v>
      </c>
      <c r="H1213">
        <v>1256</v>
      </c>
      <c r="I1213">
        <v>762</v>
      </c>
      <c r="J1213" t="s">
        <v>6279</v>
      </c>
    </row>
    <row r="1214" spans="1:10">
      <c r="A1214">
        <v>3520</v>
      </c>
      <c r="B1214" t="s">
        <v>6331</v>
      </c>
      <c r="C1214">
        <v>1.1200000000000001</v>
      </c>
      <c r="D1214">
        <v>0.11</v>
      </c>
      <c r="E1214">
        <v>0.01</v>
      </c>
      <c r="F1214">
        <v>0</v>
      </c>
      <c r="G1214">
        <v>1213</v>
      </c>
      <c r="H1214">
        <v>1440</v>
      </c>
      <c r="I1214">
        <v>1123</v>
      </c>
      <c r="J1214" t="s">
        <v>6279</v>
      </c>
    </row>
    <row r="1215" spans="1:10">
      <c r="A1215">
        <v>3711</v>
      </c>
      <c r="B1215" t="s">
        <v>5502</v>
      </c>
      <c r="C1215">
        <v>1.1000000000000001</v>
      </c>
      <c r="D1215">
        <v>73.88</v>
      </c>
      <c r="E1215">
        <v>0.28000000000000003</v>
      </c>
      <c r="F1215">
        <v>1.58</v>
      </c>
      <c r="G1215">
        <v>1214</v>
      </c>
      <c r="H1215">
        <v>17</v>
      </c>
      <c r="I1215">
        <v>478</v>
      </c>
      <c r="J1215">
        <v>154</v>
      </c>
    </row>
    <row r="1216" spans="1:10">
      <c r="A1216">
        <v>6542</v>
      </c>
      <c r="B1216" t="s">
        <v>6323</v>
      </c>
      <c r="C1216">
        <v>1.1000000000000001</v>
      </c>
      <c r="D1216">
        <v>21.49</v>
      </c>
      <c r="E1216">
        <v>0</v>
      </c>
      <c r="F1216">
        <v>0</v>
      </c>
      <c r="G1216">
        <v>1214</v>
      </c>
      <c r="H1216">
        <v>261</v>
      </c>
      <c r="I1216" t="s">
        <v>6279</v>
      </c>
      <c r="J1216" t="s">
        <v>6279</v>
      </c>
    </row>
    <row r="1217" spans="1:10">
      <c r="A1217">
        <v>1777</v>
      </c>
      <c r="B1217" t="s">
        <v>6242</v>
      </c>
      <c r="C1217">
        <v>1.0900000000000001</v>
      </c>
      <c r="D1217">
        <v>0.19</v>
      </c>
      <c r="E1217">
        <v>0</v>
      </c>
      <c r="F1217">
        <v>0</v>
      </c>
      <c r="G1217">
        <v>1216</v>
      </c>
      <c r="H1217">
        <v>1414</v>
      </c>
      <c r="I1217" t="s">
        <v>6279</v>
      </c>
      <c r="J1217" t="s">
        <v>6279</v>
      </c>
    </row>
    <row r="1218" spans="1:10">
      <c r="A1218">
        <v>3266</v>
      </c>
      <c r="B1218" t="s">
        <v>5359</v>
      </c>
      <c r="C1218">
        <v>1.08</v>
      </c>
      <c r="D1218">
        <v>7.12</v>
      </c>
      <c r="E1218">
        <v>0</v>
      </c>
      <c r="F1218">
        <v>0</v>
      </c>
      <c r="G1218">
        <v>1217</v>
      </c>
      <c r="H1218">
        <v>631</v>
      </c>
      <c r="I1218" t="s">
        <v>6279</v>
      </c>
      <c r="J1218" t="s">
        <v>6279</v>
      </c>
    </row>
    <row r="1219" spans="1:10">
      <c r="A1219">
        <v>2204</v>
      </c>
      <c r="B1219" t="s">
        <v>5013</v>
      </c>
      <c r="C1219">
        <v>1.07</v>
      </c>
      <c r="D1219">
        <v>29.09</v>
      </c>
      <c r="E1219">
        <v>0.43</v>
      </c>
      <c r="F1219">
        <v>0.17</v>
      </c>
      <c r="G1219">
        <v>1218</v>
      </c>
      <c r="H1219">
        <v>187</v>
      </c>
      <c r="I1219">
        <v>350</v>
      </c>
      <c r="J1219">
        <v>336</v>
      </c>
    </row>
    <row r="1220" spans="1:10">
      <c r="A1220">
        <v>1103</v>
      </c>
      <c r="B1220" t="s">
        <v>4773</v>
      </c>
      <c r="C1220">
        <v>1.06</v>
      </c>
      <c r="D1220">
        <v>5.03</v>
      </c>
      <c r="E1220">
        <v>0.09</v>
      </c>
      <c r="F1220">
        <v>0</v>
      </c>
      <c r="G1220">
        <v>1219</v>
      </c>
      <c r="H1220">
        <v>778</v>
      </c>
      <c r="I1220">
        <v>762</v>
      </c>
      <c r="J1220" t="s">
        <v>6279</v>
      </c>
    </row>
    <row r="1221" spans="1:10">
      <c r="A1221">
        <v>1470</v>
      </c>
      <c r="B1221" t="s">
        <v>4857</v>
      </c>
      <c r="C1221">
        <v>1.05</v>
      </c>
      <c r="D1221">
        <v>0.4</v>
      </c>
      <c r="E1221">
        <v>0.05</v>
      </c>
      <c r="F1221">
        <v>0</v>
      </c>
      <c r="G1221">
        <v>1220</v>
      </c>
      <c r="H1221">
        <v>1364</v>
      </c>
      <c r="I1221">
        <v>908</v>
      </c>
      <c r="J1221" t="s">
        <v>6279</v>
      </c>
    </row>
    <row r="1222" spans="1:10">
      <c r="A1222">
        <v>3617</v>
      </c>
      <c r="B1222" t="s">
        <v>5467</v>
      </c>
      <c r="C1222">
        <v>1.05</v>
      </c>
      <c r="D1222">
        <v>3.44</v>
      </c>
      <c r="E1222">
        <v>0.05</v>
      </c>
      <c r="F1222">
        <v>0.21</v>
      </c>
      <c r="G1222">
        <v>1220</v>
      </c>
      <c r="H1222">
        <v>888</v>
      </c>
      <c r="I1222">
        <v>908</v>
      </c>
      <c r="J1222">
        <v>324</v>
      </c>
    </row>
    <row r="1223" spans="1:10">
      <c r="A1223">
        <v>1460</v>
      </c>
      <c r="B1223" t="s">
        <v>6227</v>
      </c>
      <c r="C1223">
        <v>1.04</v>
      </c>
      <c r="D1223">
        <v>1.31</v>
      </c>
      <c r="E1223">
        <v>0</v>
      </c>
      <c r="F1223">
        <v>0</v>
      </c>
      <c r="G1223">
        <v>1222</v>
      </c>
      <c r="H1223">
        <v>1160</v>
      </c>
      <c r="I1223" t="s">
        <v>6279</v>
      </c>
      <c r="J1223" t="s">
        <v>6279</v>
      </c>
    </row>
    <row r="1224" spans="1:10">
      <c r="A1224">
        <v>2926</v>
      </c>
      <c r="B1224" t="s">
        <v>5260</v>
      </c>
      <c r="C1224">
        <v>1.04</v>
      </c>
      <c r="D1224">
        <v>13.27</v>
      </c>
      <c r="E1224">
        <v>0.01</v>
      </c>
      <c r="F1224">
        <v>0</v>
      </c>
      <c r="G1224">
        <v>1222</v>
      </c>
      <c r="H1224">
        <v>401</v>
      </c>
      <c r="I1224">
        <v>1123</v>
      </c>
      <c r="J1224" t="s">
        <v>6279</v>
      </c>
    </row>
    <row r="1225" spans="1:10">
      <c r="A1225">
        <v>6112</v>
      </c>
      <c r="B1225" t="s">
        <v>5743</v>
      </c>
      <c r="C1225">
        <v>1.04</v>
      </c>
      <c r="D1225">
        <v>2.1</v>
      </c>
      <c r="E1225">
        <v>0.01</v>
      </c>
      <c r="F1225">
        <v>0</v>
      </c>
      <c r="G1225">
        <v>1222</v>
      </c>
      <c r="H1225">
        <v>1033</v>
      </c>
      <c r="I1225">
        <v>1123</v>
      </c>
      <c r="J1225" t="s">
        <v>6279</v>
      </c>
    </row>
    <row r="1226" spans="1:10">
      <c r="A1226">
        <v>1725</v>
      </c>
      <c r="B1226" t="s">
        <v>765</v>
      </c>
      <c r="C1226">
        <v>1.03</v>
      </c>
      <c r="D1226">
        <v>0.27</v>
      </c>
      <c r="E1226">
        <v>0.01</v>
      </c>
      <c r="F1226">
        <v>0</v>
      </c>
      <c r="G1226">
        <v>1225</v>
      </c>
      <c r="H1226">
        <v>1401</v>
      </c>
      <c r="I1226">
        <v>1123</v>
      </c>
      <c r="J1226" t="s">
        <v>6279</v>
      </c>
    </row>
    <row r="1227" spans="1:10">
      <c r="A1227">
        <v>3611</v>
      </c>
      <c r="B1227" t="s">
        <v>5465</v>
      </c>
      <c r="C1227">
        <v>1.03</v>
      </c>
      <c r="D1227">
        <v>11.03</v>
      </c>
      <c r="E1227">
        <v>0.36</v>
      </c>
      <c r="F1227">
        <v>0.01</v>
      </c>
      <c r="G1227">
        <v>1225</v>
      </c>
      <c r="H1227">
        <v>467</v>
      </c>
      <c r="I1227">
        <v>403</v>
      </c>
      <c r="J1227">
        <v>495</v>
      </c>
    </row>
    <row r="1228" spans="1:10">
      <c r="A1228">
        <v>2106</v>
      </c>
      <c r="B1228" t="s">
        <v>5006</v>
      </c>
      <c r="C1228">
        <v>1.02</v>
      </c>
      <c r="D1228">
        <v>6.41</v>
      </c>
      <c r="E1228">
        <v>7.0000000000000007E-2</v>
      </c>
      <c r="F1228">
        <v>0.02</v>
      </c>
      <c r="G1228">
        <v>1227</v>
      </c>
      <c r="H1228">
        <v>685</v>
      </c>
      <c r="I1228">
        <v>825</v>
      </c>
      <c r="J1228">
        <v>476</v>
      </c>
    </row>
    <row r="1229" spans="1:10">
      <c r="A1229">
        <v>2936</v>
      </c>
      <c r="B1229" t="s">
        <v>5262</v>
      </c>
      <c r="C1229">
        <v>1.02</v>
      </c>
      <c r="D1229">
        <v>92.57</v>
      </c>
      <c r="E1229">
        <v>1.07</v>
      </c>
      <c r="F1229">
        <v>0</v>
      </c>
      <c r="G1229">
        <v>1227</v>
      </c>
      <c r="H1229">
        <v>2</v>
      </c>
      <c r="I1229">
        <v>163</v>
      </c>
      <c r="J1229" t="s">
        <v>6279</v>
      </c>
    </row>
    <row r="1230" spans="1:10">
      <c r="A1230">
        <v>2883</v>
      </c>
      <c r="B1230" t="s">
        <v>5237</v>
      </c>
      <c r="C1230">
        <v>1.01</v>
      </c>
      <c r="D1230">
        <v>20.29</v>
      </c>
      <c r="E1230">
        <v>0.63</v>
      </c>
      <c r="F1230">
        <v>2.3199999999999998</v>
      </c>
      <c r="G1230">
        <v>1229</v>
      </c>
      <c r="H1230">
        <v>276</v>
      </c>
      <c r="I1230">
        <v>272</v>
      </c>
      <c r="J1230">
        <v>110</v>
      </c>
    </row>
    <row r="1231" spans="1:10">
      <c r="A1231">
        <v>1530</v>
      </c>
      <c r="B1231" t="s">
        <v>4878</v>
      </c>
      <c r="C1231">
        <v>1</v>
      </c>
      <c r="D1231">
        <v>0.68</v>
      </c>
      <c r="E1231">
        <v>7.0000000000000007E-2</v>
      </c>
      <c r="F1231">
        <v>0</v>
      </c>
      <c r="G1231">
        <v>1230</v>
      </c>
      <c r="H1231">
        <v>1287</v>
      </c>
      <c r="I1231">
        <v>825</v>
      </c>
      <c r="J1231" t="s">
        <v>6279</v>
      </c>
    </row>
    <row r="1232" spans="1:10">
      <c r="A1232">
        <v>3501</v>
      </c>
      <c r="B1232" t="s">
        <v>5422</v>
      </c>
      <c r="C1232">
        <v>1</v>
      </c>
      <c r="D1232">
        <v>4.07</v>
      </c>
      <c r="E1232">
        <v>0.02</v>
      </c>
      <c r="F1232">
        <v>0</v>
      </c>
      <c r="G1232">
        <v>1230</v>
      </c>
      <c r="H1232">
        <v>842</v>
      </c>
      <c r="I1232">
        <v>1051</v>
      </c>
      <c r="J1232" t="s">
        <v>6279</v>
      </c>
    </row>
    <row r="1233" spans="1:10">
      <c r="A1233">
        <v>3528</v>
      </c>
      <c r="B1233" t="s">
        <v>5431</v>
      </c>
      <c r="C1233">
        <v>1</v>
      </c>
      <c r="D1233">
        <v>2.46</v>
      </c>
      <c r="E1233">
        <v>0.03</v>
      </c>
      <c r="F1233">
        <v>0</v>
      </c>
      <c r="G1233">
        <v>1230</v>
      </c>
      <c r="H1233">
        <v>986</v>
      </c>
      <c r="I1233">
        <v>990</v>
      </c>
      <c r="J1233" t="s">
        <v>6279</v>
      </c>
    </row>
    <row r="1234" spans="1:10">
      <c r="A1234">
        <v>4532</v>
      </c>
      <c r="B1234" t="s">
        <v>5559</v>
      </c>
      <c r="C1234">
        <v>0.99</v>
      </c>
      <c r="D1234">
        <v>11.26</v>
      </c>
      <c r="E1234">
        <v>0</v>
      </c>
      <c r="F1234">
        <v>0</v>
      </c>
      <c r="G1234">
        <v>1233</v>
      </c>
      <c r="H1234">
        <v>460</v>
      </c>
      <c r="I1234" t="s">
        <v>6279</v>
      </c>
      <c r="J1234" t="s">
        <v>6279</v>
      </c>
    </row>
    <row r="1235" spans="1:10">
      <c r="A1235">
        <v>5534</v>
      </c>
      <c r="B1235" t="s">
        <v>5714</v>
      </c>
      <c r="C1235">
        <v>0.99</v>
      </c>
      <c r="D1235">
        <v>11.7</v>
      </c>
      <c r="E1235">
        <v>7.0000000000000007E-2</v>
      </c>
      <c r="F1235">
        <v>0.22</v>
      </c>
      <c r="G1235">
        <v>1233</v>
      </c>
      <c r="H1235">
        <v>443</v>
      </c>
      <c r="I1235">
        <v>825</v>
      </c>
      <c r="J1235">
        <v>318</v>
      </c>
    </row>
    <row r="1236" spans="1:10">
      <c r="A1236">
        <v>1315</v>
      </c>
      <c r="B1236" t="s">
        <v>4811</v>
      </c>
      <c r="C1236">
        <v>0.98</v>
      </c>
      <c r="D1236">
        <v>1.73</v>
      </c>
      <c r="E1236">
        <v>0.06</v>
      </c>
      <c r="F1236">
        <v>0.02</v>
      </c>
      <c r="G1236">
        <v>1235</v>
      </c>
      <c r="H1236">
        <v>1094</v>
      </c>
      <c r="I1236">
        <v>869</v>
      </c>
      <c r="J1236">
        <v>476</v>
      </c>
    </row>
    <row r="1237" spans="1:10">
      <c r="A1237">
        <v>4938</v>
      </c>
      <c r="B1237" t="s">
        <v>5616</v>
      </c>
      <c r="C1237">
        <v>0.98</v>
      </c>
      <c r="D1237">
        <v>31.81</v>
      </c>
      <c r="E1237">
        <v>2.33</v>
      </c>
      <c r="F1237">
        <v>3.8</v>
      </c>
      <c r="G1237">
        <v>1235</v>
      </c>
      <c r="H1237">
        <v>162</v>
      </c>
      <c r="I1237">
        <v>67</v>
      </c>
      <c r="J1237">
        <v>75</v>
      </c>
    </row>
    <row r="1238" spans="1:10">
      <c r="A1238">
        <v>6592</v>
      </c>
      <c r="B1238" t="s">
        <v>5915</v>
      </c>
      <c r="C1238">
        <v>0.98</v>
      </c>
      <c r="D1238">
        <v>28.07</v>
      </c>
      <c r="E1238">
        <v>0.06</v>
      </c>
      <c r="F1238">
        <v>0.11</v>
      </c>
      <c r="G1238">
        <v>1235</v>
      </c>
      <c r="H1238">
        <v>197</v>
      </c>
      <c r="I1238">
        <v>869</v>
      </c>
      <c r="J1238">
        <v>369</v>
      </c>
    </row>
    <row r="1239" spans="1:10">
      <c r="A1239">
        <v>5212</v>
      </c>
      <c r="B1239" t="s">
        <v>6326</v>
      </c>
      <c r="C1239">
        <v>0.97</v>
      </c>
      <c r="D1239">
        <v>34.01</v>
      </c>
      <c r="E1239">
        <v>9.1199999999999992</v>
      </c>
      <c r="F1239">
        <v>0</v>
      </c>
      <c r="G1239">
        <v>1238</v>
      </c>
      <c r="H1239">
        <v>148</v>
      </c>
      <c r="I1239">
        <v>5</v>
      </c>
      <c r="J1239" t="s">
        <v>6279</v>
      </c>
    </row>
    <row r="1240" spans="1:10">
      <c r="A1240">
        <v>4416</v>
      </c>
      <c r="B1240" t="s">
        <v>6206</v>
      </c>
      <c r="C1240">
        <v>0.96</v>
      </c>
      <c r="D1240">
        <v>0.01</v>
      </c>
      <c r="E1240">
        <v>0</v>
      </c>
      <c r="F1240">
        <v>0</v>
      </c>
      <c r="G1240">
        <v>1239</v>
      </c>
      <c r="H1240">
        <v>1469</v>
      </c>
      <c r="I1240" t="s">
        <v>6279</v>
      </c>
      <c r="J1240" t="s">
        <v>6279</v>
      </c>
    </row>
    <row r="1241" spans="1:10">
      <c r="A1241">
        <v>4905</v>
      </c>
      <c r="B1241" t="s">
        <v>6316</v>
      </c>
      <c r="C1241">
        <v>0.96</v>
      </c>
      <c r="D1241">
        <v>18.36</v>
      </c>
      <c r="E1241">
        <v>0.09</v>
      </c>
      <c r="F1241">
        <v>0</v>
      </c>
      <c r="G1241">
        <v>1239</v>
      </c>
      <c r="H1241">
        <v>302</v>
      </c>
      <c r="I1241">
        <v>762</v>
      </c>
      <c r="J1241" t="s">
        <v>6279</v>
      </c>
    </row>
    <row r="1242" spans="1:10">
      <c r="A1242">
        <v>6005</v>
      </c>
      <c r="B1242" t="s">
        <v>5735</v>
      </c>
      <c r="C1242">
        <v>0.95</v>
      </c>
      <c r="D1242">
        <v>17.309999999999999</v>
      </c>
      <c r="E1242">
        <v>0</v>
      </c>
      <c r="F1242">
        <v>0.35</v>
      </c>
      <c r="G1242">
        <v>1241</v>
      </c>
      <c r="H1242">
        <v>324</v>
      </c>
      <c r="I1242" t="s">
        <v>6279</v>
      </c>
      <c r="J1242">
        <v>283</v>
      </c>
    </row>
    <row r="1243" spans="1:10">
      <c r="A1243">
        <v>2440</v>
      </c>
      <c r="B1243" t="s">
        <v>6175</v>
      </c>
      <c r="C1243">
        <v>0.94</v>
      </c>
      <c r="D1243">
        <v>0.14000000000000001</v>
      </c>
      <c r="E1243">
        <v>0</v>
      </c>
      <c r="F1243">
        <v>0</v>
      </c>
      <c r="G1243">
        <v>1242</v>
      </c>
      <c r="H1243">
        <v>1425</v>
      </c>
      <c r="I1243" t="s">
        <v>6279</v>
      </c>
      <c r="J1243" t="s">
        <v>6279</v>
      </c>
    </row>
    <row r="1244" spans="1:10">
      <c r="A1244">
        <v>8916</v>
      </c>
      <c r="B1244" t="s">
        <v>6054</v>
      </c>
      <c r="C1244">
        <v>0.94</v>
      </c>
      <c r="D1244">
        <v>3.28</v>
      </c>
      <c r="E1244">
        <v>0.11</v>
      </c>
      <c r="F1244">
        <v>0</v>
      </c>
      <c r="G1244">
        <v>1242</v>
      </c>
      <c r="H1244">
        <v>900</v>
      </c>
      <c r="I1244">
        <v>717</v>
      </c>
      <c r="J1244" t="s">
        <v>6279</v>
      </c>
    </row>
    <row r="1245" spans="1:10">
      <c r="A1245">
        <v>2851</v>
      </c>
      <c r="B1245" t="s">
        <v>5230</v>
      </c>
      <c r="C1245">
        <v>0.93</v>
      </c>
      <c r="D1245">
        <v>1.86</v>
      </c>
      <c r="E1245">
        <v>0.25</v>
      </c>
      <c r="F1245">
        <v>0.05</v>
      </c>
      <c r="G1245">
        <v>1244</v>
      </c>
      <c r="H1245">
        <v>1070</v>
      </c>
      <c r="I1245">
        <v>508</v>
      </c>
      <c r="J1245">
        <v>427</v>
      </c>
    </row>
    <row r="1246" spans="1:10">
      <c r="A1246">
        <v>4429</v>
      </c>
      <c r="B1246" t="s">
        <v>6329</v>
      </c>
      <c r="C1246">
        <v>0.93</v>
      </c>
      <c r="D1246">
        <v>0.02</v>
      </c>
      <c r="E1246">
        <v>0</v>
      </c>
      <c r="F1246">
        <v>0</v>
      </c>
      <c r="G1246">
        <v>1244</v>
      </c>
      <c r="H1246">
        <v>1467</v>
      </c>
      <c r="I1246" t="s">
        <v>6279</v>
      </c>
      <c r="J1246" t="s">
        <v>6279</v>
      </c>
    </row>
    <row r="1247" spans="1:10">
      <c r="A1247">
        <v>2385</v>
      </c>
      <c r="B1247" t="s">
        <v>5079</v>
      </c>
      <c r="C1247">
        <v>0.92</v>
      </c>
      <c r="D1247">
        <v>33.89</v>
      </c>
      <c r="E1247">
        <v>6.46</v>
      </c>
      <c r="F1247">
        <v>5.48</v>
      </c>
      <c r="G1247">
        <v>1246</v>
      </c>
      <c r="H1247">
        <v>150</v>
      </c>
      <c r="I1247">
        <v>11</v>
      </c>
      <c r="J1247">
        <v>48</v>
      </c>
    </row>
    <row r="1248" spans="1:10">
      <c r="A1248">
        <v>6561</v>
      </c>
      <c r="B1248" t="s">
        <v>5907</v>
      </c>
      <c r="C1248">
        <v>0.92</v>
      </c>
      <c r="D1248">
        <v>13.19</v>
      </c>
      <c r="E1248">
        <v>0.03</v>
      </c>
      <c r="F1248">
        <v>0.11</v>
      </c>
      <c r="G1248">
        <v>1246</v>
      </c>
      <c r="H1248">
        <v>404</v>
      </c>
      <c r="I1248">
        <v>990</v>
      </c>
      <c r="J1248">
        <v>369</v>
      </c>
    </row>
    <row r="1249" spans="1:10">
      <c r="A1249">
        <v>6594</v>
      </c>
      <c r="B1249" t="s">
        <v>6189</v>
      </c>
      <c r="C1249">
        <v>0.92</v>
      </c>
      <c r="D1249">
        <v>1.26</v>
      </c>
      <c r="E1249">
        <v>0.01</v>
      </c>
      <c r="F1249">
        <v>0</v>
      </c>
      <c r="G1249">
        <v>1246</v>
      </c>
      <c r="H1249">
        <v>1174</v>
      </c>
      <c r="I1249">
        <v>1123</v>
      </c>
      <c r="J1249" t="s">
        <v>6279</v>
      </c>
    </row>
    <row r="1250" spans="1:10">
      <c r="A1250">
        <v>2345</v>
      </c>
      <c r="B1250" t="s">
        <v>5051</v>
      </c>
      <c r="C1250">
        <v>0.91</v>
      </c>
      <c r="D1250">
        <v>67.28</v>
      </c>
      <c r="E1250">
        <v>1.48</v>
      </c>
      <c r="F1250">
        <v>1.61</v>
      </c>
      <c r="G1250">
        <v>1249</v>
      </c>
      <c r="H1250">
        <v>30</v>
      </c>
      <c r="I1250">
        <v>111</v>
      </c>
      <c r="J1250">
        <v>151</v>
      </c>
    </row>
    <row r="1251" spans="1:10">
      <c r="A1251">
        <v>5013</v>
      </c>
      <c r="B1251" t="s">
        <v>5642</v>
      </c>
      <c r="C1251">
        <v>0.9</v>
      </c>
      <c r="D1251">
        <v>3.06</v>
      </c>
      <c r="E1251">
        <v>0</v>
      </c>
      <c r="F1251">
        <v>0</v>
      </c>
      <c r="G1251">
        <v>1250</v>
      </c>
      <c r="H1251">
        <v>925</v>
      </c>
      <c r="I1251" t="s">
        <v>6279</v>
      </c>
      <c r="J1251" t="s">
        <v>6279</v>
      </c>
    </row>
    <row r="1252" spans="1:10">
      <c r="A1252">
        <v>1218</v>
      </c>
      <c r="B1252" t="s">
        <v>4784</v>
      </c>
      <c r="C1252">
        <v>0.88</v>
      </c>
      <c r="D1252">
        <v>2.36</v>
      </c>
      <c r="E1252">
        <v>0</v>
      </c>
      <c r="F1252">
        <v>0</v>
      </c>
      <c r="G1252">
        <v>1251</v>
      </c>
      <c r="H1252">
        <v>1002</v>
      </c>
      <c r="I1252" t="s">
        <v>6279</v>
      </c>
      <c r="J1252" t="s">
        <v>6279</v>
      </c>
    </row>
    <row r="1253" spans="1:10">
      <c r="A1253">
        <v>2722</v>
      </c>
      <c r="B1253" t="s">
        <v>5209</v>
      </c>
      <c r="C1253">
        <v>0.88</v>
      </c>
      <c r="D1253">
        <v>0.13</v>
      </c>
      <c r="E1253">
        <v>0.32</v>
      </c>
      <c r="F1253">
        <v>0</v>
      </c>
      <c r="G1253">
        <v>1251</v>
      </c>
      <c r="H1253">
        <v>1431</v>
      </c>
      <c r="I1253">
        <v>442</v>
      </c>
      <c r="J1253" t="s">
        <v>6279</v>
      </c>
    </row>
    <row r="1254" spans="1:10">
      <c r="A1254">
        <v>6210</v>
      </c>
      <c r="B1254" t="s">
        <v>6327</v>
      </c>
      <c r="C1254">
        <v>0.88</v>
      </c>
      <c r="D1254">
        <v>0.14000000000000001</v>
      </c>
      <c r="E1254">
        <v>0</v>
      </c>
      <c r="F1254">
        <v>0</v>
      </c>
      <c r="G1254">
        <v>1251</v>
      </c>
      <c r="H1254">
        <v>1425</v>
      </c>
      <c r="I1254" t="s">
        <v>6279</v>
      </c>
      <c r="J1254" t="s">
        <v>6279</v>
      </c>
    </row>
    <row r="1255" spans="1:10">
      <c r="A1255">
        <v>1104</v>
      </c>
      <c r="B1255" t="s">
        <v>4774</v>
      </c>
      <c r="C1255">
        <v>0.87</v>
      </c>
      <c r="D1255">
        <v>12.43</v>
      </c>
      <c r="E1255">
        <v>0.09</v>
      </c>
      <c r="F1255">
        <v>0</v>
      </c>
      <c r="G1255">
        <v>1254</v>
      </c>
      <c r="H1255">
        <v>419</v>
      </c>
      <c r="I1255">
        <v>762</v>
      </c>
      <c r="J1255" t="s">
        <v>6279</v>
      </c>
    </row>
    <row r="1256" spans="1:10">
      <c r="A1256">
        <v>6496</v>
      </c>
      <c r="B1256" t="s">
        <v>6245</v>
      </c>
      <c r="C1256">
        <v>0.87</v>
      </c>
      <c r="D1256">
        <v>0.63</v>
      </c>
      <c r="E1256">
        <v>0</v>
      </c>
      <c r="F1256">
        <v>0</v>
      </c>
      <c r="G1256">
        <v>1254</v>
      </c>
      <c r="H1256">
        <v>1300</v>
      </c>
      <c r="I1256" t="s">
        <v>6279</v>
      </c>
      <c r="J1256" t="s">
        <v>6279</v>
      </c>
    </row>
    <row r="1257" spans="1:10">
      <c r="A1257">
        <v>4556</v>
      </c>
      <c r="B1257" t="s">
        <v>6330</v>
      </c>
      <c r="C1257">
        <v>0.86</v>
      </c>
      <c r="D1257">
        <v>11.6</v>
      </c>
      <c r="E1257">
        <v>0</v>
      </c>
      <c r="F1257">
        <v>0</v>
      </c>
      <c r="G1257">
        <v>1256</v>
      </c>
      <c r="H1257">
        <v>446</v>
      </c>
      <c r="I1257" t="s">
        <v>6279</v>
      </c>
      <c r="J1257" t="s">
        <v>6279</v>
      </c>
    </row>
    <row r="1258" spans="1:10">
      <c r="A1258">
        <v>8435</v>
      </c>
      <c r="B1258" t="s">
        <v>6028</v>
      </c>
      <c r="C1258">
        <v>0.85</v>
      </c>
      <c r="D1258">
        <v>0.8</v>
      </c>
      <c r="E1258">
        <v>0.01</v>
      </c>
      <c r="F1258">
        <v>0</v>
      </c>
      <c r="G1258">
        <v>1257</v>
      </c>
      <c r="H1258">
        <v>1262</v>
      </c>
      <c r="I1258">
        <v>1123</v>
      </c>
      <c r="J1258" t="s">
        <v>6279</v>
      </c>
    </row>
    <row r="1259" spans="1:10">
      <c r="A1259">
        <v>4107</v>
      </c>
      <c r="B1259" t="s">
        <v>5508</v>
      </c>
      <c r="C1259">
        <v>0.83</v>
      </c>
      <c r="D1259">
        <v>29.78</v>
      </c>
      <c r="E1259">
        <v>0.14000000000000001</v>
      </c>
      <c r="F1259">
        <v>0</v>
      </c>
      <c r="G1259">
        <v>1258</v>
      </c>
      <c r="H1259">
        <v>182</v>
      </c>
      <c r="I1259">
        <v>649</v>
      </c>
      <c r="J1259" t="s">
        <v>6279</v>
      </c>
    </row>
    <row r="1260" spans="1:10">
      <c r="A1260">
        <v>2211</v>
      </c>
      <c r="B1260" t="s">
        <v>5017</v>
      </c>
      <c r="C1260">
        <v>0.82</v>
      </c>
      <c r="D1260">
        <v>2.14</v>
      </c>
      <c r="E1260">
        <v>0.01</v>
      </c>
      <c r="F1260">
        <v>0</v>
      </c>
      <c r="G1260">
        <v>1259</v>
      </c>
      <c r="H1260">
        <v>1026</v>
      </c>
      <c r="I1260">
        <v>1123</v>
      </c>
      <c r="J1260" t="s">
        <v>6279</v>
      </c>
    </row>
    <row r="1261" spans="1:10">
      <c r="A1261">
        <v>1541</v>
      </c>
      <c r="B1261" t="s">
        <v>4887</v>
      </c>
      <c r="C1261">
        <v>0.81</v>
      </c>
      <c r="D1261">
        <v>9.65</v>
      </c>
      <c r="E1261">
        <v>0.02</v>
      </c>
      <c r="F1261">
        <v>0</v>
      </c>
      <c r="G1261">
        <v>1260</v>
      </c>
      <c r="H1261">
        <v>521</v>
      </c>
      <c r="I1261">
        <v>1051</v>
      </c>
      <c r="J1261" t="s">
        <v>6279</v>
      </c>
    </row>
    <row r="1262" spans="1:10">
      <c r="A1262">
        <v>2850</v>
      </c>
      <c r="B1262" t="s">
        <v>5229</v>
      </c>
      <c r="C1262">
        <v>0.81</v>
      </c>
      <c r="D1262">
        <v>7.24</v>
      </c>
      <c r="E1262">
        <v>0.82</v>
      </c>
      <c r="F1262">
        <v>0.01</v>
      </c>
      <c r="G1262">
        <v>1260</v>
      </c>
      <c r="H1262">
        <v>619</v>
      </c>
      <c r="I1262">
        <v>212</v>
      </c>
      <c r="J1262">
        <v>495</v>
      </c>
    </row>
    <row r="1263" spans="1:10">
      <c r="A1263">
        <v>1773</v>
      </c>
      <c r="B1263" t="s">
        <v>4950</v>
      </c>
      <c r="C1263">
        <v>0.8</v>
      </c>
      <c r="D1263">
        <v>6.67</v>
      </c>
      <c r="E1263">
        <v>0.02</v>
      </c>
      <c r="F1263">
        <v>0.13</v>
      </c>
      <c r="G1263">
        <v>1262</v>
      </c>
      <c r="H1263">
        <v>668</v>
      </c>
      <c r="I1263">
        <v>1051</v>
      </c>
      <c r="J1263">
        <v>354</v>
      </c>
    </row>
    <row r="1264" spans="1:10">
      <c r="A1264">
        <v>2832</v>
      </c>
      <c r="B1264" t="s">
        <v>5223</v>
      </c>
      <c r="C1264">
        <v>0.8</v>
      </c>
      <c r="D1264">
        <v>3.21</v>
      </c>
      <c r="E1264">
        <v>0.12</v>
      </c>
      <c r="F1264">
        <v>0</v>
      </c>
      <c r="G1264">
        <v>1262</v>
      </c>
      <c r="H1264">
        <v>906</v>
      </c>
      <c r="I1264">
        <v>696</v>
      </c>
      <c r="J1264" t="s">
        <v>6279</v>
      </c>
    </row>
    <row r="1265" spans="1:10">
      <c r="A1265">
        <v>1210</v>
      </c>
      <c r="B1265" t="s">
        <v>4780</v>
      </c>
      <c r="C1265">
        <v>0.78</v>
      </c>
      <c r="D1265">
        <v>10.9</v>
      </c>
      <c r="E1265">
        <v>0.06</v>
      </c>
      <c r="F1265">
        <v>0.06</v>
      </c>
      <c r="G1265">
        <v>1264</v>
      </c>
      <c r="H1265">
        <v>475</v>
      </c>
      <c r="I1265">
        <v>869</v>
      </c>
      <c r="J1265">
        <v>413</v>
      </c>
    </row>
    <row r="1266" spans="1:10">
      <c r="A1266">
        <v>6674</v>
      </c>
      <c r="B1266" t="s">
        <v>5936</v>
      </c>
      <c r="C1266">
        <v>0.78</v>
      </c>
      <c r="D1266">
        <v>0.45</v>
      </c>
      <c r="E1266">
        <v>0.01</v>
      </c>
      <c r="F1266">
        <v>0</v>
      </c>
      <c r="G1266">
        <v>1264</v>
      </c>
      <c r="H1266">
        <v>1346</v>
      </c>
      <c r="I1266">
        <v>1123</v>
      </c>
      <c r="J1266" t="s">
        <v>6279</v>
      </c>
    </row>
    <row r="1267" spans="1:10">
      <c r="A1267">
        <v>8488</v>
      </c>
      <c r="B1267" t="s">
        <v>6049</v>
      </c>
      <c r="C1267">
        <v>0.78</v>
      </c>
      <c r="D1267">
        <v>76.209999999999994</v>
      </c>
      <c r="E1267">
        <v>0.02</v>
      </c>
      <c r="F1267">
        <v>0</v>
      </c>
      <c r="G1267">
        <v>1264</v>
      </c>
      <c r="H1267">
        <v>12</v>
      </c>
      <c r="I1267">
        <v>1051</v>
      </c>
      <c r="J1267" t="s">
        <v>6279</v>
      </c>
    </row>
    <row r="1268" spans="1:10">
      <c r="A1268">
        <v>4430</v>
      </c>
      <c r="B1268" t="s">
        <v>6332</v>
      </c>
      <c r="C1268">
        <v>0.77</v>
      </c>
      <c r="D1268">
        <v>2.27</v>
      </c>
      <c r="E1268">
        <v>0.04</v>
      </c>
      <c r="F1268">
        <v>0</v>
      </c>
      <c r="G1268">
        <v>1267</v>
      </c>
      <c r="H1268">
        <v>1010</v>
      </c>
      <c r="I1268">
        <v>946</v>
      </c>
      <c r="J1268" t="s">
        <v>6279</v>
      </c>
    </row>
    <row r="1269" spans="1:10">
      <c r="A1269">
        <v>1537</v>
      </c>
      <c r="B1269" t="s">
        <v>4884</v>
      </c>
      <c r="C1269">
        <v>0.76</v>
      </c>
      <c r="D1269">
        <v>17.57</v>
      </c>
      <c r="E1269">
        <v>0</v>
      </c>
      <c r="F1269">
        <v>0.22</v>
      </c>
      <c r="G1269">
        <v>1268</v>
      </c>
      <c r="H1269">
        <v>318</v>
      </c>
      <c r="I1269" t="s">
        <v>6279</v>
      </c>
      <c r="J1269">
        <v>318</v>
      </c>
    </row>
    <row r="1270" spans="1:10">
      <c r="A1270">
        <v>2235</v>
      </c>
      <c r="B1270" t="s">
        <v>6335</v>
      </c>
      <c r="C1270">
        <v>0.75</v>
      </c>
      <c r="D1270">
        <v>0.04</v>
      </c>
      <c r="E1270">
        <v>0</v>
      </c>
      <c r="F1270">
        <v>0</v>
      </c>
      <c r="G1270">
        <v>1269</v>
      </c>
      <c r="H1270">
        <v>1462</v>
      </c>
      <c r="I1270" t="s">
        <v>6279</v>
      </c>
      <c r="J1270" t="s">
        <v>6279</v>
      </c>
    </row>
    <row r="1271" spans="1:10">
      <c r="A1271">
        <v>4747</v>
      </c>
      <c r="B1271" t="s">
        <v>6324</v>
      </c>
      <c r="C1271">
        <v>0.73</v>
      </c>
      <c r="D1271">
        <v>1.49</v>
      </c>
      <c r="E1271">
        <v>0</v>
      </c>
      <c r="F1271">
        <v>0</v>
      </c>
      <c r="G1271">
        <v>1270</v>
      </c>
      <c r="H1271">
        <v>1126</v>
      </c>
      <c r="I1271" t="s">
        <v>6279</v>
      </c>
      <c r="J1271" t="s">
        <v>6279</v>
      </c>
    </row>
    <row r="1272" spans="1:10">
      <c r="A1272">
        <v>2105</v>
      </c>
      <c r="B1272" t="s">
        <v>5005</v>
      </c>
      <c r="C1272">
        <v>0.72</v>
      </c>
      <c r="D1272">
        <v>13.87</v>
      </c>
      <c r="E1272">
        <v>0.01</v>
      </c>
      <c r="F1272">
        <v>0.11</v>
      </c>
      <c r="G1272">
        <v>1271</v>
      </c>
      <c r="H1272">
        <v>390</v>
      </c>
      <c r="I1272">
        <v>1123</v>
      </c>
      <c r="J1272">
        <v>369</v>
      </c>
    </row>
    <row r="1273" spans="1:10">
      <c r="A1273">
        <v>2450</v>
      </c>
      <c r="B1273" t="s">
        <v>5116</v>
      </c>
      <c r="C1273">
        <v>0.72</v>
      </c>
      <c r="D1273">
        <v>3.42</v>
      </c>
      <c r="E1273">
        <v>0.15</v>
      </c>
      <c r="F1273">
        <v>0</v>
      </c>
      <c r="G1273">
        <v>1271</v>
      </c>
      <c r="H1273">
        <v>889</v>
      </c>
      <c r="I1273">
        <v>635</v>
      </c>
      <c r="J1273" t="s">
        <v>6279</v>
      </c>
    </row>
    <row r="1274" spans="1:10">
      <c r="A1274">
        <v>3388</v>
      </c>
      <c r="B1274" t="s">
        <v>5395</v>
      </c>
      <c r="C1274">
        <v>0.72</v>
      </c>
      <c r="D1274">
        <v>6.52</v>
      </c>
      <c r="E1274">
        <v>0.84</v>
      </c>
      <c r="F1274">
        <v>0</v>
      </c>
      <c r="G1274">
        <v>1271</v>
      </c>
      <c r="H1274">
        <v>678</v>
      </c>
      <c r="I1274">
        <v>207</v>
      </c>
      <c r="J1274" t="s">
        <v>6279</v>
      </c>
    </row>
    <row r="1275" spans="1:10">
      <c r="A1275">
        <v>4581</v>
      </c>
      <c r="B1275" t="s">
        <v>5580</v>
      </c>
      <c r="C1275">
        <v>0.72</v>
      </c>
      <c r="D1275">
        <v>26.1</v>
      </c>
      <c r="E1275">
        <v>0.02</v>
      </c>
      <c r="F1275">
        <v>0</v>
      </c>
      <c r="G1275">
        <v>1271</v>
      </c>
      <c r="H1275">
        <v>208</v>
      </c>
      <c r="I1275">
        <v>1051</v>
      </c>
      <c r="J1275" t="s">
        <v>6279</v>
      </c>
    </row>
    <row r="1276" spans="1:10">
      <c r="A1276">
        <v>5904</v>
      </c>
      <c r="B1276" t="s">
        <v>5731</v>
      </c>
      <c r="C1276">
        <v>0.72</v>
      </c>
      <c r="D1276">
        <v>31.44</v>
      </c>
      <c r="E1276">
        <v>0.04</v>
      </c>
      <c r="F1276">
        <v>0.3</v>
      </c>
      <c r="G1276">
        <v>1271</v>
      </c>
      <c r="H1276">
        <v>169</v>
      </c>
      <c r="I1276">
        <v>946</v>
      </c>
      <c r="J1276">
        <v>294</v>
      </c>
    </row>
    <row r="1277" spans="1:10">
      <c r="A1277">
        <v>6669</v>
      </c>
      <c r="B1277" t="s">
        <v>5932</v>
      </c>
      <c r="C1277">
        <v>0.72</v>
      </c>
      <c r="D1277">
        <v>34.06</v>
      </c>
      <c r="E1277">
        <v>7.0000000000000007E-2</v>
      </c>
      <c r="F1277">
        <v>1.98</v>
      </c>
      <c r="G1277">
        <v>1271</v>
      </c>
      <c r="H1277">
        <v>147</v>
      </c>
      <c r="I1277">
        <v>825</v>
      </c>
      <c r="J1277">
        <v>127</v>
      </c>
    </row>
    <row r="1278" spans="1:10">
      <c r="A1278">
        <v>8131</v>
      </c>
      <c r="B1278" t="s">
        <v>5989</v>
      </c>
      <c r="C1278">
        <v>0.72</v>
      </c>
      <c r="D1278">
        <v>5.08</v>
      </c>
      <c r="E1278">
        <v>0.13</v>
      </c>
      <c r="F1278">
        <v>0.01</v>
      </c>
      <c r="G1278">
        <v>1271</v>
      </c>
      <c r="H1278">
        <v>774</v>
      </c>
      <c r="I1278">
        <v>671</v>
      </c>
      <c r="J1278">
        <v>495</v>
      </c>
    </row>
    <row r="1279" spans="1:10">
      <c r="A1279">
        <v>8473</v>
      </c>
      <c r="B1279" t="s">
        <v>6043</v>
      </c>
      <c r="C1279">
        <v>0.72</v>
      </c>
      <c r="D1279">
        <v>0.65</v>
      </c>
      <c r="E1279">
        <v>0.01</v>
      </c>
      <c r="F1279">
        <v>0</v>
      </c>
      <c r="G1279">
        <v>1271</v>
      </c>
      <c r="H1279">
        <v>1294</v>
      </c>
      <c r="I1279">
        <v>1123</v>
      </c>
      <c r="J1279" t="s">
        <v>6279</v>
      </c>
    </row>
    <row r="1280" spans="1:10">
      <c r="A1280">
        <v>1227</v>
      </c>
      <c r="B1280" t="s">
        <v>4788</v>
      </c>
      <c r="C1280">
        <v>0.71</v>
      </c>
      <c r="D1280">
        <v>6.27</v>
      </c>
      <c r="E1280">
        <v>0.17</v>
      </c>
      <c r="F1280">
        <v>0.55000000000000004</v>
      </c>
      <c r="G1280">
        <v>1279</v>
      </c>
      <c r="H1280">
        <v>695</v>
      </c>
      <c r="I1280">
        <v>596</v>
      </c>
      <c r="J1280">
        <v>247</v>
      </c>
    </row>
    <row r="1281" spans="1:10">
      <c r="A1281">
        <v>2887</v>
      </c>
      <c r="B1281" t="s">
        <v>5241</v>
      </c>
      <c r="C1281">
        <v>0.7</v>
      </c>
      <c r="D1281">
        <v>27.1</v>
      </c>
      <c r="E1281">
        <v>0.77</v>
      </c>
      <c r="F1281">
        <v>1.1000000000000001</v>
      </c>
      <c r="G1281">
        <v>1280</v>
      </c>
      <c r="H1281">
        <v>200</v>
      </c>
      <c r="I1281">
        <v>219</v>
      </c>
      <c r="J1281">
        <v>184</v>
      </c>
    </row>
    <row r="1282" spans="1:10">
      <c r="A1282">
        <v>1590</v>
      </c>
      <c r="B1282" t="s">
        <v>4901</v>
      </c>
      <c r="C1282">
        <v>0.69</v>
      </c>
      <c r="D1282">
        <v>83.29</v>
      </c>
      <c r="E1282">
        <v>0.1</v>
      </c>
      <c r="F1282">
        <v>0.77</v>
      </c>
      <c r="G1282">
        <v>1281</v>
      </c>
      <c r="H1282">
        <v>7</v>
      </c>
      <c r="I1282">
        <v>741</v>
      </c>
      <c r="J1282">
        <v>213</v>
      </c>
    </row>
    <row r="1283" spans="1:10">
      <c r="A1283">
        <v>1604</v>
      </c>
      <c r="B1283" t="s">
        <v>4909</v>
      </c>
      <c r="C1283">
        <v>0.69</v>
      </c>
      <c r="D1283">
        <v>10.84</v>
      </c>
      <c r="E1283">
        <v>0.35</v>
      </c>
      <c r="F1283">
        <v>0.12</v>
      </c>
      <c r="G1283">
        <v>1281</v>
      </c>
      <c r="H1283">
        <v>478</v>
      </c>
      <c r="I1283">
        <v>414</v>
      </c>
      <c r="J1283">
        <v>358</v>
      </c>
    </row>
    <row r="1284" spans="1:10">
      <c r="A1284">
        <v>2855</v>
      </c>
      <c r="B1284" t="s">
        <v>5232</v>
      </c>
      <c r="C1284">
        <v>0.68</v>
      </c>
      <c r="D1284">
        <v>8.31</v>
      </c>
      <c r="E1284">
        <v>0.02</v>
      </c>
      <c r="F1284">
        <v>0.06</v>
      </c>
      <c r="G1284">
        <v>1283</v>
      </c>
      <c r="H1284">
        <v>571</v>
      </c>
      <c r="I1284">
        <v>1051</v>
      </c>
      <c r="J1284">
        <v>413</v>
      </c>
    </row>
    <row r="1285" spans="1:10">
      <c r="A1285">
        <v>6214</v>
      </c>
      <c r="B1285" t="s">
        <v>5811</v>
      </c>
      <c r="C1285">
        <v>0.68</v>
      </c>
      <c r="D1285">
        <v>11.88</v>
      </c>
      <c r="E1285">
        <v>0.13</v>
      </c>
      <c r="F1285">
        <v>0</v>
      </c>
      <c r="G1285">
        <v>1283</v>
      </c>
      <c r="H1285">
        <v>435</v>
      </c>
      <c r="I1285">
        <v>671</v>
      </c>
      <c r="J1285" t="s">
        <v>6279</v>
      </c>
    </row>
    <row r="1286" spans="1:10">
      <c r="A1286">
        <v>8482</v>
      </c>
      <c r="B1286" t="s">
        <v>6048</v>
      </c>
      <c r="C1286">
        <v>0.67</v>
      </c>
      <c r="D1286">
        <v>90.2</v>
      </c>
      <c r="E1286">
        <v>0</v>
      </c>
      <c r="F1286">
        <v>0</v>
      </c>
      <c r="G1286">
        <v>1285</v>
      </c>
      <c r="H1286">
        <v>3</v>
      </c>
      <c r="I1286" t="s">
        <v>6279</v>
      </c>
      <c r="J1286" t="s">
        <v>6279</v>
      </c>
    </row>
    <row r="1287" spans="1:10">
      <c r="A1287">
        <v>2035</v>
      </c>
      <c r="B1287" t="s">
        <v>4994</v>
      </c>
      <c r="C1287">
        <v>0.66</v>
      </c>
      <c r="D1287">
        <v>0.06</v>
      </c>
      <c r="E1287">
        <v>0.01</v>
      </c>
      <c r="F1287">
        <v>0</v>
      </c>
      <c r="G1287">
        <v>1286</v>
      </c>
      <c r="H1287">
        <v>1454</v>
      </c>
      <c r="I1287">
        <v>1123</v>
      </c>
      <c r="J1287" t="s">
        <v>6279</v>
      </c>
    </row>
    <row r="1288" spans="1:10">
      <c r="A1288">
        <v>3226</v>
      </c>
      <c r="B1288" t="s">
        <v>6333</v>
      </c>
      <c r="C1288">
        <v>0.65</v>
      </c>
      <c r="D1288">
        <v>0.01</v>
      </c>
      <c r="E1288">
        <v>0</v>
      </c>
      <c r="F1288">
        <v>0</v>
      </c>
      <c r="G1288">
        <v>1287</v>
      </c>
      <c r="H1288">
        <v>1469</v>
      </c>
      <c r="I1288" t="s">
        <v>6279</v>
      </c>
      <c r="J1288" t="s">
        <v>6279</v>
      </c>
    </row>
    <row r="1289" spans="1:10">
      <c r="A1289">
        <v>1476</v>
      </c>
      <c r="B1289" t="s">
        <v>4860</v>
      </c>
      <c r="C1289">
        <v>0.63</v>
      </c>
      <c r="D1289">
        <v>39.75</v>
      </c>
      <c r="E1289">
        <v>1.69</v>
      </c>
      <c r="F1289">
        <v>1.43</v>
      </c>
      <c r="G1289">
        <v>1288</v>
      </c>
      <c r="H1289">
        <v>121</v>
      </c>
      <c r="I1289">
        <v>92</v>
      </c>
      <c r="J1289">
        <v>157</v>
      </c>
    </row>
    <row r="1290" spans="1:10">
      <c r="A1290">
        <v>2881</v>
      </c>
      <c r="B1290" t="s">
        <v>5235</v>
      </c>
      <c r="C1290">
        <v>0.63</v>
      </c>
      <c r="D1290">
        <v>19.78</v>
      </c>
      <c r="E1290">
        <v>0.28999999999999998</v>
      </c>
      <c r="F1290">
        <v>1.1299999999999999</v>
      </c>
      <c r="G1290">
        <v>1288</v>
      </c>
      <c r="H1290">
        <v>285</v>
      </c>
      <c r="I1290">
        <v>467</v>
      </c>
      <c r="J1290">
        <v>181</v>
      </c>
    </row>
    <row r="1291" spans="1:10">
      <c r="A1291">
        <v>2905</v>
      </c>
      <c r="B1291" t="s">
        <v>5251</v>
      </c>
      <c r="C1291">
        <v>0.63</v>
      </c>
      <c r="D1291">
        <v>6.09</v>
      </c>
      <c r="E1291">
        <v>0.03</v>
      </c>
      <c r="F1291">
        <v>0</v>
      </c>
      <c r="G1291">
        <v>1288</v>
      </c>
      <c r="H1291">
        <v>702</v>
      </c>
      <c r="I1291">
        <v>990</v>
      </c>
      <c r="J1291" t="s">
        <v>6279</v>
      </c>
    </row>
    <row r="1292" spans="1:10">
      <c r="A1292">
        <v>3705</v>
      </c>
      <c r="B1292" t="s">
        <v>5498</v>
      </c>
      <c r="C1292">
        <v>0.62</v>
      </c>
      <c r="D1292">
        <v>11.42</v>
      </c>
      <c r="E1292">
        <v>0.39</v>
      </c>
      <c r="F1292">
        <v>0</v>
      </c>
      <c r="G1292">
        <v>1291</v>
      </c>
      <c r="H1292">
        <v>448</v>
      </c>
      <c r="I1292">
        <v>383</v>
      </c>
      <c r="J1292" t="s">
        <v>6279</v>
      </c>
    </row>
    <row r="1293" spans="1:10">
      <c r="A1293">
        <v>8437</v>
      </c>
      <c r="B1293" t="s">
        <v>6030</v>
      </c>
      <c r="C1293">
        <v>0.62</v>
      </c>
      <c r="D1293">
        <v>39.85</v>
      </c>
      <c r="E1293">
        <v>0</v>
      </c>
      <c r="F1293">
        <v>0</v>
      </c>
      <c r="G1293">
        <v>1291</v>
      </c>
      <c r="H1293">
        <v>119</v>
      </c>
      <c r="I1293" t="s">
        <v>6279</v>
      </c>
      <c r="J1293" t="s">
        <v>6279</v>
      </c>
    </row>
    <row r="1294" spans="1:10">
      <c r="A1294">
        <v>2061</v>
      </c>
      <c r="B1294" t="s">
        <v>6346</v>
      </c>
      <c r="C1294">
        <v>0.6</v>
      </c>
      <c r="D1294">
        <v>0.01</v>
      </c>
      <c r="E1294">
        <v>0</v>
      </c>
      <c r="F1294">
        <v>0</v>
      </c>
      <c r="G1294">
        <v>1293</v>
      </c>
      <c r="H1294">
        <v>1469</v>
      </c>
      <c r="I1294" t="s">
        <v>6279</v>
      </c>
      <c r="J1294" t="s">
        <v>6279</v>
      </c>
    </row>
    <row r="1295" spans="1:10">
      <c r="A1295">
        <v>2816</v>
      </c>
      <c r="B1295" t="s">
        <v>5221</v>
      </c>
      <c r="C1295">
        <v>0.6</v>
      </c>
      <c r="D1295">
        <v>1.42</v>
      </c>
      <c r="E1295">
        <v>0</v>
      </c>
      <c r="F1295">
        <v>0</v>
      </c>
      <c r="G1295">
        <v>1293</v>
      </c>
      <c r="H1295">
        <v>1144</v>
      </c>
      <c r="I1295" t="s">
        <v>6279</v>
      </c>
      <c r="J1295" t="s">
        <v>6279</v>
      </c>
    </row>
    <row r="1296" spans="1:10">
      <c r="A1296">
        <v>1521</v>
      </c>
      <c r="B1296" t="s">
        <v>4870</v>
      </c>
      <c r="C1296">
        <v>0.59</v>
      </c>
      <c r="D1296">
        <v>33.31</v>
      </c>
      <c r="E1296">
        <v>0.02</v>
      </c>
      <c r="F1296">
        <v>0</v>
      </c>
      <c r="G1296">
        <v>1295</v>
      </c>
      <c r="H1296">
        <v>155</v>
      </c>
      <c r="I1296">
        <v>1051</v>
      </c>
      <c r="J1296" t="s">
        <v>6279</v>
      </c>
    </row>
    <row r="1297" spans="1:10">
      <c r="A1297">
        <v>6596</v>
      </c>
      <c r="B1297" t="s">
        <v>6246</v>
      </c>
      <c r="C1297">
        <v>0.59</v>
      </c>
      <c r="D1297">
        <v>0.14000000000000001</v>
      </c>
      <c r="E1297">
        <v>0</v>
      </c>
      <c r="F1297">
        <v>0</v>
      </c>
      <c r="G1297">
        <v>1295</v>
      </c>
      <c r="H1297">
        <v>1425</v>
      </c>
      <c r="I1297" t="s">
        <v>6279</v>
      </c>
      <c r="J1297" t="s">
        <v>6279</v>
      </c>
    </row>
    <row r="1298" spans="1:10">
      <c r="A1298">
        <v>4104</v>
      </c>
      <c r="B1298" t="s">
        <v>5506</v>
      </c>
      <c r="C1298">
        <v>0.57999999999999996</v>
      </c>
      <c r="D1298">
        <v>8.74</v>
      </c>
      <c r="E1298">
        <v>0.2</v>
      </c>
      <c r="F1298">
        <v>0</v>
      </c>
      <c r="G1298">
        <v>1297</v>
      </c>
      <c r="H1298">
        <v>557</v>
      </c>
      <c r="I1298">
        <v>565</v>
      </c>
      <c r="J1298" t="s">
        <v>6279</v>
      </c>
    </row>
    <row r="1299" spans="1:10">
      <c r="A1299">
        <v>2459</v>
      </c>
      <c r="B1299" t="s">
        <v>5123</v>
      </c>
      <c r="C1299">
        <v>0.56999999999999995</v>
      </c>
      <c r="D1299">
        <v>17.579999999999998</v>
      </c>
      <c r="E1299">
        <v>0.38</v>
      </c>
      <c r="F1299">
        <v>0.01</v>
      </c>
      <c r="G1299">
        <v>1298</v>
      </c>
      <c r="H1299">
        <v>317</v>
      </c>
      <c r="I1299">
        <v>392</v>
      </c>
      <c r="J1299">
        <v>495</v>
      </c>
    </row>
    <row r="1300" spans="1:10">
      <c r="A1300">
        <v>2633</v>
      </c>
      <c r="B1300" t="s">
        <v>5196</v>
      </c>
      <c r="C1300">
        <v>0.56999999999999995</v>
      </c>
      <c r="D1300">
        <v>10.14</v>
      </c>
      <c r="E1300">
        <v>0.2</v>
      </c>
      <c r="F1300">
        <v>0.23</v>
      </c>
      <c r="G1300">
        <v>1298</v>
      </c>
      <c r="H1300">
        <v>504</v>
      </c>
      <c r="I1300">
        <v>565</v>
      </c>
      <c r="J1300">
        <v>314</v>
      </c>
    </row>
    <row r="1301" spans="1:10">
      <c r="A1301">
        <v>4417</v>
      </c>
      <c r="B1301" t="s">
        <v>5547</v>
      </c>
      <c r="C1301">
        <v>0.56999999999999995</v>
      </c>
      <c r="D1301">
        <v>3.47</v>
      </c>
      <c r="E1301">
        <v>0.01</v>
      </c>
      <c r="F1301">
        <v>0</v>
      </c>
      <c r="G1301">
        <v>1298</v>
      </c>
      <c r="H1301">
        <v>883</v>
      </c>
      <c r="I1301">
        <v>1123</v>
      </c>
      <c r="J1301" t="s">
        <v>6279</v>
      </c>
    </row>
    <row r="1302" spans="1:10">
      <c r="A1302">
        <v>1307</v>
      </c>
      <c r="B1302" t="s">
        <v>4804</v>
      </c>
      <c r="C1302">
        <v>0.56000000000000005</v>
      </c>
      <c r="D1302">
        <v>11.08</v>
      </c>
      <c r="E1302">
        <v>0.1</v>
      </c>
      <c r="F1302">
        <v>0</v>
      </c>
      <c r="G1302">
        <v>1301</v>
      </c>
      <c r="H1302">
        <v>465</v>
      </c>
      <c r="I1302">
        <v>741</v>
      </c>
      <c r="J1302" t="s">
        <v>6279</v>
      </c>
    </row>
    <row r="1303" spans="1:10">
      <c r="A1303">
        <v>5306</v>
      </c>
      <c r="B1303" t="s">
        <v>5670</v>
      </c>
      <c r="C1303">
        <v>0.56000000000000005</v>
      </c>
      <c r="D1303">
        <v>23.42</v>
      </c>
      <c r="E1303">
        <v>0.06</v>
      </c>
      <c r="F1303">
        <v>0.03</v>
      </c>
      <c r="G1303">
        <v>1301</v>
      </c>
      <c r="H1303">
        <v>236</v>
      </c>
      <c r="I1303">
        <v>869</v>
      </c>
      <c r="J1303">
        <v>459</v>
      </c>
    </row>
    <row r="1304" spans="1:10">
      <c r="A1304">
        <v>4766</v>
      </c>
      <c r="B1304" t="s">
        <v>5601</v>
      </c>
      <c r="C1304">
        <v>0.55000000000000004</v>
      </c>
      <c r="D1304">
        <v>15.18</v>
      </c>
      <c r="E1304">
        <v>0.03</v>
      </c>
      <c r="F1304">
        <v>0</v>
      </c>
      <c r="G1304">
        <v>1303</v>
      </c>
      <c r="H1304">
        <v>353</v>
      </c>
      <c r="I1304">
        <v>990</v>
      </c>
      <c r="J1304" t="s">
        <v>6279</v>
      </c>
    </row>
    <row r="1305" spans="1:10">
      <c r="A1305">
        <v>2535</v>
      </c>
      <c r="B1305" t="s">
        <v>5168</v>
      </c>
      <c r="C1305">
        <v>0.54</v>
      </c>
      <c r="D1305">
        <v>9.5299999999999994</v>
      </c>
      <c r="E1305">
        <v>6.72</v>
      </c>
      <c r="F1305">
        <v>0.12</v>
      </c>
      <c r="G1305">
        <v>1304</v>
      </c>
      <c r="H1305">
        <v>529</v>
      </c>
      <c r="I1305">
        <v>10</v>
      </c>
      <c r="J1305">
        <v>358</v>
      </c>
    </row>
    <row r="1306" spans="1:10">
      <c r="A1306">
        <v>3702</v>
      </c>
      <c r="B1306" t="s">
        <v>5495</v>
      </c>
      <c r="C1306">
        <v>0.54</v>
      </c>
      <c r="D1306">
        <v>28.47</v>
      </c>
      <c r="E1306">
        <v>6.01</v>
      </c>
      <c r="F1306">
        <v>5.66</v>
      </c>
      <c r="G1306">
        <v>1304</v>
      </c>
      <c r="H1306">
        <v>193</v>
      </c>
      <c r="I1306">
        <v>12</v>
      </c>
      <c r="J1306">
        <v>44</v>
      </c>
    </row>
    <row r="1307" spans="1:10">
      <c r="A1307">
        <v>5871</v>
      </c>
      <c r="B1307" t="s">
        <v>5726</v>
      </c>
      <c r="C1307">
        <v>0.53</v>
      </c>
      <c r="D1307">
        <v>75.900000000000006</v>
      </c>
      <c r="E1307">
        <v>0.15</v>
      </c>
      <c r="F1307">
        <v>1.1299999999999999</v>
      </c>
      <c r="G1307">
        <v>1306</v>
      </c>
      <c r="H1307">
        <v>14</v>
      </c>
      <c r="I1307">
        <v>635</v>
      </c>
      <c r="J1307">
        <v>181</v>
      </c>
    </row>
    <row r="1308" spans="1:10">
      <c r="A1308">
        <v>1737</v>
      </c>
      <c r="B1308" t="s">
        <v>4945</v>
      </c>
      <c r="C1308">
        <v>0.52</v>
      </c>
      <c r="D1308">
        <v>9.23</v>
      </c>
      <c r="E1308">
        <v>2.1</v>
      </c>
      <c r="F1308">
        <v>0</v>
      </c>
      <c r="G1308">
        <v>1307</v>
      </c>
      <c r="H1308">
        <v>537</v>
      </c>
      <c r="I1308">
        <v>74</v>
      </c>
      <c r="J1308" t="s">
        <v>6279</v>
      </c>
    </row>
    <row r="1309" spans="1:10">
      <c r="A1309">
        <v>2324</v>
      </c>
      <c r="B1309" t="s">
        <v>5039</v>
      </c>
      <c r="C1309">
        <v>0.52</v>
      </c>
      <c r="D1309">
        <v>42</v>
      </c>
      <c r="E1309">
        <v>4.96</v>
      </c>
      <c r="F1309">
        <v>9.4600000000000009</v>
      </c>
      <c r="G1309">
        <v>1307</v>
      </c>
      <c r="H1309">
        <v>109</v>
      </c>
      <c r="I1309">
        <v>25</v>
      </c>
      <c r="J1309">
        <v>17</v>
      </c>
    </row>
    <row r="1310" spans="1:10">
      <c r="A1310">
        <v>2330</v>
      </c>
      <c r="B1310" t="s">
        <v>5043</v>
      </c>
      <c r="C1310">
        <v>0.52</v>
      </c>
      <c r="D1310">
        <v>72.48</v>
      </c>
      <c r="E1310">
        <v>0.65</v>
      </c>
      <c r="F1310">
        <v>1.29</v>
      </c>
      <c r="G1310">
        <v>1307</v>
      </c>
      <c r="H1310">
        <v>20</v>
      </c>
      <c r="I1310">
        <v>269</v>
      </c>
      <c r="J1310">
        <v>168</v>
      </c>
    </row>
    <row r="1311" spans="1:10">
      <c r="A1311">
        <v>1215</v>
      </c>
      <c r="B1311" t="s">
        <v>4781</v>
      </c>
      <c r="C1311">
        <v>0.51</v>
      </c>
      <c r="D1311">
        <v>39.26</v>
      </c>
      <c r="E1311">
        <v>0.24</v>
      </c>
      <c r="F1311">
        <v>0.87</v>
      </c>
      <c r="G1311">
        <v>1310</v>
      </c>
      <c r="H1311">
        <v>126</v>
      </c>
      <c r="I1311">
        <v>515</v>
      </c>
      <c r="J1311">
        <v>205</v>
      </c>
    </row>
    <row r="1312" spans="1:10">
      <c r="A1312">
        <v>5312</v>
      </c>
      <c r="B1312" t="s">
        <v>5671</v>
      </c>
      <c r="C1312">
        <v>0.51</v>
      </c>
      <c r="D1312">
        <v>11.4</v>
      </c>
      <c r="E1312">
        <v>0</v>
      </c>
      <c r="F1312">
        <v>0</v>
      </c>
      <c r="G1312">
        <v>1310</v>
      </c>
      <c r="H1312">
        <v>452</v>
      </c>
      <c r="I1312" t="s">
        <v>6279</v>
      </c>
      <c r="J1312" t="s">
        <v>6279</v>
      </c>
    </row>
    <row r="1313" spans="1:10">
      <c r="A1313">
        <v>6294</v>
      </c>
      <c r="B1313" t="s">
        <v>6158</v>
      </c>
      <c r="C1313">
        <v>0.5</v>
      </c>
      <c r="D1313">
        <v>7.77</v>
      </c>
      <c r="E1313">
        <v>1</v>
      </c>
      <c r="F1313">
        <v>0</v>
      </c>
      <c r="G1313">
        <v>1312</v>
      </c>
      <c r="H1313">
        <v>592</v>
      </c>
      <c r="I1313">
        <v>171</v>
      </c>
      <c r="J1313" t="s">
        <v>6279</v>
      </c>
    </row>
    <row r="1314" spans="1:10">
      <c r="A1314">
        <v>2882</v>
      </c>
      <c r="B1314" t="s">
        <v>5236</v>
      </c>
      <c r="C1314">
        <v>0.49</v>
      </c>
      <c r="D1314">
        <v>24.73</v>
      </c>
      <c r="E1314">
        <v>0.4</v>
      </c>
      <c r="F1314">
        <v>1.24</v>
      </c>
      <c r="G1314">
        <v>1313</v>
      </c>
      <c r="H1314">
        <v>224</v>
      </c>
      <c r="I1314">
        <v>378</v>
      </c>
      <c r="J1314">
        <v>173</v>
      </c>
    </row>
    <row r="1315" spans="1:10">
      <c r="A1315">
        <v>3044</v>
      </c>
      <c r="B1315" t="s">
        <v>5297</v>
      </c>
      <c r="C1315">
        <v>0.49</v>
      </c>
      <c r="D1315">
        <v>41.99</v>
      </c>
      <c r="E1315">
        <v>3.45</v>
      </c>
      <c r="F1315">
        <v>6.42</v>
      </c>
      <c r="G1315">
        <v>1313</v>
      </c>
      <c r="H1315">
        <v>110</v>
      </c>
      <c r="I1315">
        <v>41</v>
      </c>
      <c r="J1315">
        <v>35</v>
      </c>
    </row>
    <row r="1316" spans="1:10">
      <c r="A1316">
        <v>5007</v>
      </c>
      <c r="B1316" t="s">
        <v>5639</v>
      </c>
      <c r="C1316">
        <v>0.49</v>
      </c>
      <c r="D1316">
        <v>3.23</v>
      </c>
      <c r="E1316">
        <v>0.01</v>
      </c>
      <c r="F1316">
        <v>0</v>
      </c>
      <c r="G1316">
        <v>1313</v>
      </c>
      <c r="H1316">
        <v>905</v>
      </c>
      <c r="I1316">
        <v>1123</v>
      </c>
      <c r="J1316" t="s">
        <v>6279</v>
      </c>
    </row>
    <row r="1317" spans="1:10">
      <c r="A1317">
        <v>1419</v>
      </c>
      <c r="B1317" t="s">
        <v>4831</v>
      </c>
      <c r="C1317">
        <v>0.48</v>
      </c>
      <c r="D1317">
        <v>2.0699999999999998</v>
      </c>
      <c r="E1317">
        <v>0.01</v>
      </c>
      <c r="F1317">
        <v>0</v>
      </c>
      <c r="G1317">
        <v>1316</v>
      </c>
      <c r="H1317">
        <v>1039</v>
      </c>
      <c r="I1317">
        <v>1123</v>
      </c>
      <c r="J1317" t="s">
        <v>6279</v>
      </c>
    </row>
    <row r="1318" spans="1:10">
      <c r="A1318">
        <v>6412</v>
      </c>
      <c r="B1318" t="s">
        <v>5861</v>
      </c>
      <c r="C1318">
        <v>0.48</v>
      </c>
      <c r="D1318">
        <v>13.73</v>
      </c>
      <c r="E1318">
        <v>0.05</v>
      </c>
      <c r="F1318">
        <v>0.46</v>
      </c>
      <c r="G1318">
        <v>1316</v>
      </c>
      <c r="H1318">
        <v>395</v>
      </c>
      <c r="I1318">
        <v>908</v>
      </c>
      <c r="J1318">
        <v>260</v>
      </c>
    </row>
    <row r="1319" spans="1:10">
      <c r="A1319">
        <v>9941</v>
      </c>
      <c r="B1319" t="s">
        <v>6092</v>
      </c>
      <c r="C1319">
        <v>0.48</v>
      </c>
      <c r="D1319">
        <v>6.9</v>
      </c>
      <c r="E1319">
        <v>0.04</v>
      </c>
      <c r="F1319">
        <v>0.18</v>
      </c>
      <c r="G1319">
        <v>1316</v>
      </c>
      <c r="H1319">
        <v>650</v>
      </c>
      <c r="I1319">
        <v>946</v>
      </c>
      <c r="J1319">
        <v>332</v>
      </c>
    </row>
    <row r="1320" spans="1:10">
      <c r="A1320">
        <v>8083</v>
      </c>
      <c r="B1320" t="s">
        <v>6336</v>
      </c>
      <c r="C1320">
        <v>0.47</v>
      </c>
      <c r="D1320">
        <v>0.79</v>
      </c>
      <c r="E1320">
        <v>0.22</v>
      </c>
      <c r="F1320">
        <v>0</v>
      </c>
      <c r="G1320">
        <v>1319</v>
      </c>
      <c r="H1320">
        <v>1265</v>
      </c>
      <c r="I1320">
        <v>537</v>
      </c>
      <c r="J1320" t="s">
        <v>6279</v>
      </c>
    </row>
    <row r="1321" spans="1:10">
      <c r="A1321">
        <v>8481</v>
      </c>
      <c r="B1321" t="s">
        <v>6047</v>
      </c>
      <c r="C1321">
        <v>0.47</v>
      </c>
      <c r="D1321">
        <v>0.34</v>
      </c>
      <c r="E1321">
        <v>0.02</v>
      </c>
      <c r="F1321">
        <v>0</v>
      </c>
      <c r="G1321">
        <v>1319</v>
      </c>
      <c r="H1321">
        <v>1379</v>
      </c>
      <c r="I1321">
        <v>1051</v>
      </c>
      <c r="J1321" t="s">
        <v>6279</v>
      </c>
    </row>
    <row r="1322" spans="1:10">
      <c r="A1322">
        <v>2308</v>
      </c>
      <c r="B1322" t="s">
        <v>5033</v>
      </c>
      <c r="C1322">
        <v>0.46</v>
      </c>
      <c r="D1322">
        <v>65.98</v>
      </c>
      <c r="E1322">
        <v>0.31</v>
      </c>
      <c r="F1322">
        <v>1.75</v>
      </c>
      <c r="G1322">
        <v>1321</v>
      </c>
      <c r="H1322">
        <v>34</v>
      </c>
      <c r="I1322">
        <v>451</v>
      </c>
      <c r="J1322">
        <v>141</v>
      </c>
    </row>
    <row r="1323" spans="1:10">
      <c r="A1323">
        <v>2414</v>
      </c>
      <c r="B1323" t="s">
        <v>5096</v>
      </c>
      <c r="C1323">
        <v>0.45</v>
      </c>
      <c r="D1323">
        <v>7.14</v>
      </c>
      <c r="E1323">
        <v>0.03</v>
      </c>
      <c r="F1323">
        <v>0</v>
      </c>
      <c r="G1323">
        <v>1322</v>
      </c>
      <c r="H1323">
        <v>628</v>
      </c>
      <c r="I1323">
        <v>990</v>
      </c>
      <c r="J1323" t="s">
        <v>6279</v>
      </c>
    </row>
    <row r="1324" spans="1:10">
      <c r="A1324">
        <v>2360</v>
      </c>
      <c r="B1324" t="s">
        <v>5063</v>
      </c>
      <c r="C1324">
        <v>0.44</v>
      </c>
      <c r="D1324">
        <v>67.47</v>
      </c>
      <c r="E1324">
        <v>0.1</v>
      </c>
      <c r="F1324">
        <v>0.68</v>
      </c>
      <c r="G1324">
        <v>1323</v>
      </c>
      <c r="H1324">
        <v>29</v>
      </c>
      <c r="I1324">
        <v>741</v>
      </c>
      <c r="J1324">
        <v>231</v>
      </c>
    </row>
    <row r="1325" spans="1:10">
      <c r="A1325">
        <v>2809</v>
      </c>
      <c r="B1325" t="s">
        <v>5219</v>
      </c>
      <c r="C1325">
        <v>0.44</v>
      </c>
      <c r="D1325">
        <v>14.92</v>
      </c>
      <c r="E1325">
        <v>2.81</v>
      </c>
      <c r="F1325">
        <v>1.07</v>
      </c>
      <c r="G1325">
        <v>1323</v>
      </c>
      <c r="H1325">
        <v>359</v>
      </c>
      <c r="I1325">
        <v>53</v>
      </c>
      <c r="J1325">
        <v>188</v>
      </c>
    </row>
    <row r="1326" spans="1:10">
      <c r="A1326">
        <v>4138</v>
      </c>
      <c r="B1326" t="s">
        <v>6208</v>
      </c>
      <c r="C1326">
        <v>0.44</v>
      </c>
      <c r="D1326">
        <v>1.1399999999999999</v>
      </c>
      <c r="E1326">
        <v>0</v>
      </c>
      <c r="F1326">
        <v>0</v>
      </c>
      <c r="G1326">
        <v>1323</v>
      </c>
      <c r="H1326">
        <v>1200</v>
      </c>
      <c r="I1326" t="s">
        <v>6279</v>
      </c>
      <c r="J1326" t="s">
        <v>6279</v>
      </c>
    </row>
    <row r="1327" spans="1:10">
      <c r="A1327">
        <v>6277</v>
      </c>
      <c r="B1327" t="s">
        <v>5847</v>
      </c>
      <c r="C1327">
        <v>0.44</v>
      </c>
      <c r="D1327">
        <v>12.97</v>
      </c>
      <c r="E1327">
        <v>0.39</v>
      </c>
      <c r="F1327">
        <v>0.01</v>
      </c>
      <c r="G1327">
        <v>1323</v>
      </c>
      <c r="H1327">
        <v>407</v>
      </c>
      <c r="I1327">
        <v>383</v>
      </c>
      <c r="J1327">
        <v>495</v>
      </c>
    </row>
    <row r="1328" spans="1:10">
      <c r="A1328">
        <v>1614</v>
      </c>
      <c r="B1328" t="s">
        <v>4915</v>
      </c>
      <c r="C1328">
        <v>0.43</v>
      </c>
      <c r="D1328">
        <v>2.08</v>
      </c>
      <c r="E1328">
        <v>0.01</v>
      </c>
      <c r="F1328">
        <v>0</v>
      </c>
      <c r="G1328">
        <v>1327</v>
      </c>
      <c r="H1328">
        <v>1036</v>
      </c>
      <c r="I1328">
        <v>1123</v>
      </c>
      <c r="J1328" t="s">
        <v>6279</v>
      </c>
    </row>
    <row r="1329" spans="1:10">
      <c r="A1329">
        <v>5538</v>
      </c>
      <c r="B1329" t="s">
        <v>5716</v>
      </c>
      <c r="C1329">
        <v>0.43</v>
      </c>
      <c r="D1329">
        <v>64.05</v>
      </c>
      <c r="E1329">
        <v>0.02</v>
      </c>
      <c r="F1329">
        <v>0.01</v>
      </c>
      <c r="G1329">
        <v>1327</v>
      </c>
      <c r="H1329">
        <v>37</v>
      </c>
      <c r="I1329">
        <v>1051</v>
      </c>
      <c r="J1329">
        <v>495</v>
      </c>
    </row>
    <row r="1330" spans="1:10">
      <c r="A1330">
        <v>6263</v>
      </c>
      <c r="B1330" t="s">
        <v>5838</v>
      </c>
      <c r="C1330">
        <v>0.42</v>
      </c>
      <c r="D1330">
        <v>2.44</v>
      </c>
      <c r="E1330">
        <v>0.11</v>
      </c>
      <c r="F1330">
        <v>0</v>
      </c>
      <c r="G1330">
        <v>1329</v>
      </c>
      <c r="H1330">
        <v>988</v>
      </c>
      <c r="I1330">
        <v>717</v>
      </c>
      <c r="J1330" t="s">
        <v>6279</v>
      </c>
    </row>
    <row r="1331" spans="1:10">
      <c r="A1331">
        <v>6671</v>
      </c>
      <c r="B1331" t="s">
        <v>5934</v>
      </c>
      <c r="C1331">
        <v>0.41</v>
      </c>
      <c r="D1331">
        <v>54.62</v>
      </c>
      <c r="E1331">
        <v>0.02</v>
      </c>
      <c r="F1331">
        <v>0</v>
      </c>
      <c r="G1331">
        <v>1330</v>
      </c>
      <c r="H1331">
        <v>59</v>
      </c>
      <c r="I1331">
        <v>1051</v>
      </c>
      <c r="J1331" t="s">
        <v>6279</v>
      </c>
    </row>
    <row r="1332" spans="1:10">
      <c r="A1332">
        <v>1101</v>
      </c>
      <c r="B1332" t="s">
        <v>4771</v>
      </c>
      <c r="C1332">
        <v>0.4</v>
      </c>
      <c r="D1332">
        <v>21.29</v>
      </c>
      <c r="E1332">
        <v>1.94</v>
      </c>
      <c r="F1332">
        <v>3.64</v>
      </c>
      <c r="G1332">
        <v>1331</v>
      </c>
      <c r="H1332">
        <v>264</v>
      </c>
      <c r="I1332">
        <v>80</v>
      </c>
      <c r="J1332">
        <v>78</v>
      </c>
    </row>
    <row r="1333" spans="1:10">
      <c r="A1333">
        <v>2889</v>
      </c>
      <c r="B1333" t="s">
        <v>5243</v>
      </c>
      <c r="C1333">
        <v>0.4</v>
      </c>
      <c r="D1333">
        <v>10.79</v>
      </c>
      <c r="E1333">
        <v>0.11</v>
      </c>
      <c r="F1333">
        <v>7.0000000000000007E-2</v>
      </c>
      <c r="G1333">
        <v>1331</v>
      </c>
      <c r="H1333">
        <v>480</v>
      </c>
      <c r="I1333">
        <v>717</v>
      </c>
      <c r="J1333">
        <v>403</v>
      </c>
    </row>
    <row r="1334" spans="1:10">
      <c r="A1334">
        <v>9921</v>
      </c>
      <c r="B1334" t="s">
        <v>6078</v>
      </c>
      <c r="C1334">
        <v>0.4</v>
      </c>
      <c r="D1334">
        <v>51.95</v>
      </c>
      <c r="E1334">
        <v>0.06</v>
      </c>
      <c r="F1334">
        <v>0.21</v>
      </c>
      <c r="G1334">
        <v>1331</v>
      </c>
      <c r="H1334">
        <v>70</v>
      </c>
      <c r="I1334">
        <v>869</v>
      </c>
      <c r="J1334">
        <v>324</v>
      </c>
    </row>
    <row r="1335" spans="1:10">
      <c r="A1335">
        <v>5206</v>
      </c>
      <c r="B1335" t="s">
        <v>5646</v>
      </c>
      <c r="C1335">
        <v>0.39</v>
      </c>
      <c r="D1335">
        <v>5.92</v>
      </c>
      <c r="E1335">
        <v>0</v>
      </c>
      <c r="F1335">
        <v>0</v>
      </c>
      <c r="G1335">
        <v>1334</v>
      </c>
      <c r="H1335">
        <v>709</v>
      </c>
      <c r="I1335" t="s">
        <v>6279</v>
      </c>
      <c r="J1335" t="s">
        <v>6279</v>
      </c>
    </row>
    <row r="1336" spans="1:10">
      <c r="A1336">
        <v>9914</v>
      </c>
      <c r="B1336" t="s">
        <v>6074</v>
      </c>
      <c r="C1336">
        <v>0.39</v>
      </c>
      <c r="D1336">
        <v>41.41</v>
      </c>
      <c r="E1336">
        <v>0.22</v>
      </c>
      <c r="F1336">
        <v>1.93</v>
      </c>
      <c r="G1336">
        <v>1334</v>
      </c>
      <c r="H1336">
        <v>113</v>
      </c>
      <c r="I1336">
        <v>537</v>
      </c>
      <c r="J1336">
        <v>131</v>
      </c>
    </row>
    <row r="1337" spans="1:10">
      <c r="A1337">
        <v>2548</v>
      </c>
      <c r="B1337" t="s">
        <v>5177</v>
      </c>
      <c r="C1337">
        <v>0.38</v>
      </c>
      <c r="D1337">
        <v>19.12</v>
      </c>
      <c r="E1337">
        <v>2.4</v>
      </c>
      <c r="F1337">
        <v>0.32</v>
      </c>
      <c r="G1337">
        <v>1336</v>
      </c>
      <c r="H1337">
        <v>291</v>
      </c>
      <c r="I1337">
        <v>64</v>
      </c>
      <c r="J1337">
        <v>291</v>
      </c>
    </row>
    <row r="1338" spans="1:10">
      <c r="A1338">
        <v>4907</v>
      </c>
      <c r="B1338" t="s">
        <v>6338</v>
      </c>
      <c r="C1338">
        <v>0.38</v>
      </c>
      <c r="D1338">
        <v>0.06</v>
      </c>
      <c r="E1338">
        <v>0</v>
      </c>
      <c r="F1338">
        <v>0</v>
      </c>
      <c r="G1338">
        <v>1336</v>
      </c>
      <c r="H1338">
        <v>1454</v>
      </c>
      <c r="I1338" t="s">
        <v>6279</v>
      </c>
      <c r="J1338" t="s">
        <v>6279</v>
      </c>
    </row>
    <row r="1339" spans="1:10">
      <c r="A1339">
        <v>8926</v>
      </c>
      <c r="B1339" t="s">
        <v>6056</v>
      </c>
      <c r="C1339">
        <v>0.38</v>
      </c>
      <c r="D1339">
        <v>7.23</v>
      </c>
      <c r="E1339">
        <v>0.43</v>
      </c>
      <c r="F1339">
        <v>0.11</v>
      </c>
      <c r="G1339">
        <v>1336</v>
      </c>
      <c r="H1339">
        <v>620</v>
      </c>
      <c r="I1339">
        <v>350</v>
      </c>
      <c r="J1339">
        <v>369</v>
      </c>
    </row>
    <row r="1340" spans="1:10">
      <c r="A1340">
        <v>8467</v>
      </c>
      <c r="B1340" t="s">
        <v>6042</v>
      </c>
      <c r="C1340">
        <v>0.37</v>
      </c>
      <c r="D1340">
        <v>44.35</v>
      </c>
      <c r="E1340">
        <v>0.02</v>
      </c>
      <c r="F1340">
        <v>0.01</v>
      </c>
      <c r="G1340">
        <v>1339</v>
      </c>
      <c r="H1340">
        <v>93</v>
      </c>
      <c r="I1340">
        <v>1051</v>
      </c>
      <c r="J1340">
        <v>495</v>
      </c>
    </row>
    <row r="1341" spans="1:10">
      <c r="A1341">
        <v>1402</v>
      </c>
      <c r="B1341" t="s">
        <v>4825</v>
      </c>
      <c r="C1341">
        <v>0.36</v>
      </c>
      <c r="D1341">
        <v>17.11</v>
      </c>
      <c r="E1341">
        <v>0.49</v>
      </c>
      <c r="F1341">
        <v>1.71</v>
      </c>
      <c r="G1341">
        <v>1340</v>
      </c>
      <c r="H1341">
        <v>331</v>
      </c>
      <c r="I1341">
        <v>324</v>
      </c>
      <c r="J1341">
        <v>145</v>
      </c>
    </row>
    <row r="1342" spans="1:10">
      <c r="A1342">
        <v>1735</v>
      </c>
      <c r="B1342" t="s">
        <v>4943</v>
      </c>
      <c r="C1342">
        <v>0.36</v>
      </c>
      <c r="D1342">
        <v>50.26</v>
      </c>
      <c r="E1342">
        <v>0.02</v>
      </c>
      <c r="F1342">
        <v>0.12</v>
      </c>
      <c r="G1342">
        <v>1340</v>
      </c>
      <c r="H1342">
        <v>78</v>
      </c>
      <c r="I1342">
        <v>1051</v>
      </c>
      <c r="J1342">
        <v>358</v>
      </c>
    </row>
    <row r="1343" spans="1:10">
      <c r="A1343">
        <v>2501</v>
      </c>
      <c r="B1343" t="s">
        <v>5154</v>
      </c>
      <c r="C1343">
        <v>0.36</v>
      </c>
      <c r="D1343">
        <v>7.59</v>
      </c>
      <c r="E1343">
        <v>0.11</v>
      </c>
      <c r="F1343">
        <v>0</v>
      </c>
      <c r="G1343">
        <v>1340</v>
      </c>
      <c r="H1343">
        <v>600</v>
      </c>
      <c r="I1343">
        <v>717</v>
      </c>
      <c r="J1343" t="s">
        <v>6279</v>
      </c>
    </row>
    <row r="1344" spans="1:10">
      <c r="A1344">
        <v>5283</v>
      </c>
      <c r="B1344" t="s">
        <v>5663</v>
      </c>
      <c r="C1344">
        <v>0.36</v>
      </c>
      <c r="D1344">
        <v>1.33</v>
      </c>
      <c r="E1344">
        <v>0.28000000000000003</v>
      </c>
      <c r="F1344">
        <v>0</v>
      </c>
      <c r="G1344">
        <v>1340</v>
      </c>
      <c r="H1344">
        <v>1158</v>
      </c>
      <c r="I1344">
        <v>478</v>
      </c>
      <c r="J1344" t="s">
        <v>6279</v>
      </c>
    </row>
    <row r="1345" spans="1:10">
      <c r="A1345">
        <v>5525</v>
      </c>
      <c r="B1345" t="s">
        <v>5710</v>
      </c>
      <c r="C1345">
        <v>0.36</v>
      </c>
      <c r="D1345">
        <v>1.41</v>
      </c>
      <c r="E1345">
        <v>0</v>
      </c>
      <c r="F1345">
        <v>0</v>
      </c>
      <c r="G1345">
        <v>1340</v>
      </c>
      <c r="H1345">
        <v>1147</v>
      </c>
      <c r="I1345" t="s">
        <v>6279</v>
      </c>
      <c r="J1345" t="s">
        <v>6279</v>
      </c>
    </row>
    <row r="1346" spans="1:10">
      <c r="A1346">
        <v>3023</v>
      </c>
      <c r="B1346" t="s">
        <v>5279</v>
      </c>
      <c r="C1346">
        <v>0.35</v>
      </c>
      <c r="D1346">
        <v>59.89</v>
      </c>
      <c r="E1346">
        <v>0.01</v>
      </c>
      <c r="F1346">
        <v>1.19</v>
      </c>
      <c r="G1346">
        <v>1345</v>
      </c>
      <c r="H1346">
        <v>47</v>
      </c>
      <c r="I1346">
        <v>1123</v>
      </c>
      <c r="J1346">
        <v>176</v>
      </c>
    </row>
    <row r="1347" spans="1:10">
      <c r="A1347">
        <v>6183</v>
      </c>
      <c r="B1347" t="s">
        <v>5790</v>
      </c>
      <c r="C1347">
        <v>0.35</v>
      </c>
      <c r="D1347">
        <v>0.97</v>
      </c>
      <c r="E1347">
        <v>0.06</v>
      </c>
      <c r="F1347">
        <v>0</v>
      </c>
      <c r="G1347">
        <v>1345</v>
      </c>
      <c r="H1347">
        <v>1226</v>
      </c>
      <c r="I1347">
        <v>869</v>
      </c>
      <c r="J1347" t="s">
        <v>6279</v>
      </c>
    </row>
    <row r="1348" spans="1:10">
      <c r="A1348">
        <v>9943</v>
      </c>
      <c r="B1348" t="s">
        <v>6094</v>
      </c>
      <c r="C1348">
        <v>0.35</v>
      </c>
      <c r="D1348">
        <v>1.43</v>
      </c>
      <c r="E1348">
        <v>0</v>
      </c>
      <c r="F1348">
        <v>0</v>
      </c>
      <c r="G1348">
        <v>1345</v>
      </c>
      <c r="H1348">
        <v>1142</v>
      </c>
      <c r="I1348" t="s">
        <v>6279</v>
      </c>
      <c r="J1348" t="s">
        <v>6279</v>
      </c>
    </row>
    <row r="1349" spans="1:10">
      <c r="A1349">
        <v>1434</v>
      </c>
      <c r="B1349" t="s">
        <v>4833</v>
      </c>
      <c r="C1349">
        <v>0.34</v>
      </c>
      <c r="D1349">
        <v>9.33</v>
      </c>
      <c r="E1349">
        <v>2.68</v>
      </c>
      <c r="F1349">
        <v>0.05</v>
      </c>
      <c r="G1349">
        <v>1348</v>
      </c>
      <c r="H1349">
        <v>535</v>
      </c>
      <c r="I1349">
        <v>56</v>
      </c>
      <c r="J1349">
        <v>427</v>
      </c>
    </row>
    <row r="1350" spans="1:10">
      <c r="A1350">
        <v>3555</v>
      </c>
      <c r="B1350" t="s">
        <v>6181</v>
      </c>
      <c r="C1350">
        <v>0.34</v>
      </c>
      <c r="D1350">
        <v>3.49</v>
      </c>
      <c r="E1350">
        <v>0.01</v>
      </c>
      <c r="F1350">
        <v>0</v>
      </c>
      <c r="G1350">
        <v>1348</v>
      </c>
      <c r="H1350">
        <v>878</v>
      </c>
      <c r="I1350">
        <v>1123</v>
      </c>
      <c r="J1350" t="s">
        <v>6279</v>
      </c>
    </row>
    <row r="1351" spans="1:10">
      <c r="A1351">
        <v>6146</v>
      </c>
      <c r="B1351" t="s">
        <v>5765</v>
      </c>
      <c r="C1351">
        <v>0.34</v>
      </c>
      <c r="D1351">
        <v>51.78</v>
      </c>
      <c r="E1351">
        <v>0.04</v>
      </c>
      <c r="F1351">
        <v>0.25</v>
      </c>
      <c r="G1351">
        <v>1348</v>
      </c>
      <c r="H1351">
        <v>71</v>
      </c>
      <c r="I1351">
        <v>946</v>
      </c>
      <c r="J1351">
        <v>308</v>
      </c>
    </row>
    <row r="1352" spans="1:10">
      <c r="A1352">
        <v>6192</v>
      </c>
      <c r="B1352" t="s">
        <v>5799</v>
      </c>
      <c r="C1352">
        <v>0.34</v>
      </c>
      <c r="D1352">
        <v>22.59</v>
      </c>
      <c r="E1352">
        <v>1.23</v>
      </c>
      <c r="F1352">
        <v>0.01</v>
      </c>
      <c r="G1352">
        <v>1348</v>
      </c>
      <c r="H1352">
        <v>245</v>
      </c>
      <c r="I1352">
        <v>138</v>
      </c>
      <c r="J1352">
        <v>495</v>
      </c>
    </row>
    <row r="1353" spans="1:10">
      <c r="A1353">
        <v>2115</v>
      </c>
      <c r="B1353" t="s">
        <v>5011</v>
      </c>
      <c r="C1353">
        <v>0.33</v>
      </c>
      <c r="D1353">
        <v>44.44</v>
      </c>
      <c r="E1353">
        <v>0.06</v>
      </c>
      <c r="F1353">
        <v>0</v>
      </c>
      <c r="G1353">
        <v>1352</v>
      </c>
      <c r="H1353">
        <v>92</v>
      </c>
      <c r="I1353">
        <v>869</v>
      </c>
      <c r="J1353" t="s">
        <v>6279</v>
      </c>
    </row>
    <row r="1354" spans="1:10">
      <c r="A1354">
        <v>2382</v>
      </c>
      <c r="B1354" t="s">
        <v>5077</v>
      </c>
      <c r="C1354">
        <v>0.33</v>
      </c>
      <c r="D1354">
        <v>25.46</v>
      </c>
      <c r="E1354">
        <v>2.56</v>
      </c>
      <c r="F1354">
        <v>3.91</v>
      </c>
      <c r="G1354">
        <v>1352</v>
      </c>
      <c r="H1354">
        <v>219</v>
      </c>
      <c r="I1354">
        <v>58</v>
      </c>
      <c r="J1354">
        <v>73</v>
      </c>
    </row>
    <row r="1355" spans="1:10">
      <c r="A1355">
        <v>6292</v>
      </c>
      <c r="B1355" t="s">
        <v>5857</v>
      </c>
      <c r="C1355">
        <v>0.33</v>
      </c>
      <c r="D1355">
        <v>1.29</v>
      </c>
      <c r="E1355">
        <v>0</v>
      </c>
      <c r="F1355">
        <v>0</v>
      </c>
      <c r="G1355">
        <v>1352</v>
      </c>
      <c r="H1355">
        <v>1164</v>
      </c>
      <c r="I1355" t="s">
        <v>6279</v>
      </c>
      <c r="J1355" t="s">
        <v>6279</v>
      </c>
    </row>
    <row r="1356" spans="1:10">
      <c r="A1356">
        <v>9946</v>
      </c>
      <c r="B1356" t="s">
        <v>6097</v>
      </c>
      <c r="C1356">
        <v>0.33</v>
      </c>
      <c r="D1356">
        <v>2.63</v>
      </c>
      <c r="E1356">
        <v>0</v>
      </c>
      <c r="F1356">
        <v>0</v>
      </c>
      <c r="G1356">
        <v>1352</v>
      </c>
      <c r="H1356">
        <v>968</v>
      </c>
      <c r="I1356" t="s">
        <v>6279</v>
      </c>
      <c r="J1356" t="s">
        <v>6279</v>
      </c>
    </row>
    <row r="1357" spans="1:10">
      <c r="A1357">
        <v>1443</v>
      </c>
      <c r="B1357" t="s">
        <v>6356</v>
      </c>
      <c r="C1357">
        <v>0.32</v>
      </c>
      <c r="D1357">
        <v>0.13</v>
      </c>
      <c r="E1357">
        <v>0.01</v>
      </c>
      <c r="F1357">
        <v>0</v>
      </c>
      <c r="G1357">
        <v>1356</v>
      </c>
      <c r="H1357">
        <v>1431</v>
      </c>
      <c r="I1357">
        <v>1123</v>
      </c>
      <c r="J1357" t="s">
        <v>6279</v>
      </c>
    </row>
    <row r="1358" spans="1:10">
      <c r="A1358">
        <v>2845</v>
      </c>
      <c r="B1358" t="s">
        <v>5227</v>
      </c>
      <c r="C1358">
        <v>0.32</v>
      </c>
      <c r="D1358">
        <v>11.97</v>
      </c>
      <c r="E1358">
        <v>0.21</v>
      </c>
      <c r="F1358">
        <v>0.04</v>
      </c>
      <c r="G1358">
        <v>1356</v>
      </c>
      <c r="H1358">
        <v>433</v>
      </c>
      <c r="I1358">
        <v>550</v>
      </c>
      <c r="J1358">
        <v>439</v>
      </c>
    </row>
    <row r="1359" spans="1:10">
      <c r="A1359">
        <v>2812</v>
      </c>
      <c r="B1359" t="s">
        <v>5220</v>
      </c>
      <c r="C1359">
        <v>0.31</v>
      </c>
      <c r="D1359">
        <v>11.37</v>
      </c>
      <c r="E1359">
        <v>0.01</v>
      </c>
      <c r="F1359">
        <v>0.3</v>
      </c>
      <c r="G1359">
        <v>1358</v>
      </c>
      <c r="H1359">
        <v>456</v>
      </c>
      <c r="I1359">
        <v>1123</v>
      </c>
      <c r="J1359">
        <v>294</v>
      </c>
    </row>
    <row r="1360" spans="1:10">
      <c r="A1360">
        <v>8109</v>
      </c>
      <c r="B1360" t="s">
        <v>6161</v>
      </c>
      <c r="C1360">
        <v>0.31</v>
      </c>
      <c r="D1360">
        <v>1.2</v>
      </c>
      <c r="E1360">
        <v>0</v>
      </c>
      <c r="F1360">
        <v>0.47</v>
      </c>
      <c r="G1360">
        <v>1358</v>
      </c>
      <c r="H1360">
        <v>1186</v>
      </c>
      <c r="I1360" t="s">
        <v>6279</v>
      </c>
      <c r="J1360">
        <v>259</v>
      </c>
    </row>
    <row r="1361" spans="1:10">
      <c r="A1361">
        <v>6201</v>
      </c>
      <c r="B1361" t="s">
        <v>5802</v>
      </c>
      <c r="C1361">
        <v>0.3</v>
      </c>
      <c r="D1361">
        <v>0.41</v>
      </c>
      <c r="E1361">
        <v>0.02</v>
      </c>
      <c r="F1361">
        <v>0</v>
      </c>
      <c r="G1361">
        <v>1360</v>
      </c>
      <c r="H1361">
        <v>1354</v>
      </c>
      <c r="I1361">
        <v>1051</v>
      </c>
      <c r="J1361" t="s">
        <v>6279</v>
      </c>
    </row>
    <row r="1362" spans="1:10">
      <c r="A1362">
        <v>9940</v>
      </c>
      <c r="B1362" t="s">
        <v>6091</v>
      </c>
      <c r="C1362">
        <v>0.3</v>
      </c>
      <c r="D1362">
        <v>5.82</v>
      </c>
      <c r="E1362">
        <v>7.0000000000000007E-2</v>
      </c>
      <c r="F1362">
        <v>0.37</v>
      </c>
      <c r="G1362">
        <v>1360</v>
      </c>
      <c r="H1362">
        <v>718</v>
      </c>
      <c r="I1362">
        <v>825</v>
      </c>
      <c r="J1362">
        <v>276</v>
      </c>
    </row>
    <row r="1363" spans="1:10">
      <c r="A1363">
        <v>1229</v>
      </c>
      <c r="B1363" t="s">
        <v>4789</v>
      </c>
      <c r="C1363">
        <v>0.28999999999999998</v>
      </c>
      <c r="D1363">
        <v>11.12</v>
      </c>
      <c r="E1363">
        <v>0.08</v>
      </c>
      <c r="F1363">
        <v>0.06</v>
      </c>
      <c r="G1363">
        <v>1362</v>
      </c>
      <c r="H1363">
        <v>462</v>
      </c>
      <c r="I1363">
        <v>790</v>
      </c>
      <c r="J1363">
        <v>413</v>
      </c>
    </row>
    <row r="1364" spans="1:10">
      <c r="A1364">
        <v>2903</v>
      </c>
      <c r="B1364" t="s">
        <v>5249</v>
      </c>
      <c r="C1364">
        <v>0.28999999999999998</v>
      </c>
      <c r="D1364">
        <v>10.23</v>
      </c>
      <c r="E1364">
        <v>0.26</v>
      </c>
      <c r="F1364">
        <v>0</v>
      </c>
      <c r="G1364">
        <v>1362</v>
      </c>
      <c r="H1364">
        <v>500</v>
      </c>
      <c r="I1364">
        <v>501</v>
      </c>
      <c r="J1364" t="s">
        <v>6279</v>
      </c>
    </row>
    <row r="1365" spans="1:10">
      <c r="A1365">
        <v>6189</v>
      </c>
      <c r="B1365" t="s">
        <v>5796</v>
      </c>
      <c r="C1365">
        <v>0.28999999999999998</v>
      </c>
      <c r="D1365">
        <v>7.43</v>
      </c>
      <c r="E1365">
        <v>0.08</v>
      </c>
      <c r="F1365">
        <v>0</v>
      </c>
      <c r="G1365">
        <v>1362</v>
      </c>
      <c r="H1365">
        <v>606</v>
      </c>
      <c r="I1365">
        <v>790</v>
      </c>
      <c r="J1365" t="s">
        <v>6279</v>
      </c>
    </row>
    <row r="1366" spans="1:10">
      <c r="A1366">
        <v>2347</v>
      </c>
      <c r="B1366" t="s">
        <v>5052</v>
      </c>
      <c r="C1366">
        <v>0.28000000000000003</v>
      </c>
      <c r="D1366">
        <v>32.86</v>
      </c>
      <c r="E1366">
        <v>3.95</v>
      </c>
      <c r="F1366">
        <v>8.65</v>
      </c>
      <c r="G1366">
        <v>1365</v>
      </c>
      <c r="H1366">
        <v>157</v>
      </c>
      <c r="I1366">
        <v>36</v>
      </c>
      <c r="J1366">
        <v>20</v>
      </c>
    </row>
    <row r="1367" spans="1:10">
      <c r="A1367">
        <v>2412</v>
      </c>
      <c r="B1367" t="s">
        <v>5094</v>
      </c>
      <c r="C1367">
        <v>0.28000000000000003</v>
      </c>
      <c r="D1367">
        <v>17.329999999999998</v>
      </c>
      <c r="E1367">
        <v>0.72</v>
      </c>
      <c r="F1367">
        <v>0.93</v>
      </c>
      <c r="G1367">
        <v>1365</v>
      </c>
      <c r="H1367">
        <v>322</v>
      </c>
      <c r="I1367">
        <v>240</v>
      </c>
      <c r="J1367">
        <v>199</v>
      </c>
    </row>
    <row r="1368" spans="1:10">
      <c r="A1368">
        <v>4706</v>
      </c>
      <c r="B1368" t="s">
        <v>6337</v>
      </c>
      <c r="C1368">
        <v>0.28000000000000003</v>
      </c>
      <c r="D1368">
        <v>31.04</v>
      </c>
      <c r="E1368">
        <v>0.01</v>
      </c>
      <c r="F1368">
        <v>0</v>
      </c>
      <c r="G1368">
        <v>1365</v>
      </c>
      <c r="H1368">
        <v>173</v>
      </c>
      <c r="I1368">
        <v>1123</v>
      </c>
      <c r="J1368" t="s">
        <v>6279</v>
      </c>
    </row>
    <row r="1369" spans="1:10">
      <c r="A1369">
        <v>5604</v>
      </c>
      <c r="B1369" t="s">
        <v>6340</v>
      </c>
      <c r="C1369">
        <v>0.28000000000000003</v>
      </c>
      <c r="D1369">
        <v>10.96</v>
      </c>
      <c r="E1369">
        <v>0.04</v>
      </c>
      <c r="F1369">
        <v>0</v>
      </c>
      <c r="G1369">
        <v>1365</v>
      </c>
      <c r="H1369">
        <v>470</v>
      </c>
      <c r="I1369">
        <v>946</v>
      </c>
      <c r="J1369" t="s">
        <v>6279</v>
      </c>
    </row>
    <row r="1370" spans="1:10">
      <c r="A1370">
        <v>2356</v>
      </c>
      <c r="B1370" t="s">
        <v>5059</v>
      </c>
      <c r="C1370">
        <v>0.27</v>
      </c>
      <c r="D1370">
        <v>24.41</v>
      </c>
      <c r="E1370">
        <v>4.59</v>
      </c>
      <c r="F1370">
        <v>8.59</v>
      </c>
      <c r="G1370">
        <v>1369</v>
      </c>
      <c r="H1370">
        <v>228</v>
      </c>
      <c r="I1370">
        <v>30</v>
      </c>
      <c r="J1370">
        <v>22</v>
      </c>
    </row>
    <row r="1371" spans="1:10">
      <c r="A1371">
        <v>2801</v>
      </c>
      <c r="B1371" t="s">
        <v>5218</v>
      </c>
      <c r="C1371">
        <v>0.27</v>
      </c>
      <c r="D1371">
        <v>12.32</v>
      </c>
      <c r="E1371">
        <v>0.19</v>
      </c>
      <c r="F1371">
        <v>0.64</v>
      </c>
      <c r="G1371">
        <v>1369</v>
      </c>
      <c r="H1371">
        <v>422</v>
      </c>
      <c r="I1371">
        <v>577</v>
      </c>
      <c r="J1371">
        <v>236</v>
      </c>
    </row>
    <row r="1372" spans="1:10">
      <c r="A1372">
        <v>4557</v>
      </c>
      <c r="B1372" t="s">
        <v>5571</v>
      </c>
      <c r="C1372">
        <v>0.27</v>
      </c>
      <c r="D1372">
        <v>39.78</v>
      </c>
      <c r="E1372">
        <v>7.0000000000000007E-2</v>
      </c>
      <c r="F1372">
        <v>0</v>
      </c>
      <c r="G1372">
        <v>1369</v>
      </c>
      <c r="H1372">
        <v>120</v>
      </c>
      <c r="I1372">
        <v>825</v>
      </c>
      <c r="J1372" t="s">
        <v>6279</v>
      </c>
    </row>
    <row r="1373" spans="1:10">
      <c r="A1373">
        <v>5222</v>
      </c>
      <c r="B1373" t="s">
        <v>6549</v>
      </c>
      <c r="C1373">
        <v>0.27</v>
      </c>
      <c r="D1373">
        <v>3.34</v>
      </c>
      <c r="E1373">
        <v>2.3199999999999998</v>
      </c>
      <c r="F1373">
        <v>0.04</v>
      </c>
      <c r="G1373">
        <v>1369</v>
      </c>
      <c r="H1373">
        <v>896</v>
      </c>
      <c r="I1373">
        <v>69</v>
      </c>
      <c r="J1373">
        <v>439</v>
      </c>
    </row>
    <row r="1374" spans="1:10">
      <c r="A1374">
        <v>6577</v>
      </c>
      <c r="B1374" t="s">
        <v>6342</v>
      </c>
      <c r="C1374">
        <v>0.27</v>
      </c>
      <c r="D1374">
        <v>1.01</v>
      </c>
      <c r="E1374">
        <v>0</v>
      </c>
      <c r="F1374">
        <v>0.05</v>
      </c>
      <c r="G1374">
        <v>1369</v>
      </c>
      <c r="H1374">
        <v>1220</v>
      </c>
      <c r="I1374" t="s">
        <v>6279</v>
      </c>
      <c r="J1374">
        <v>427</v>
      </c>
    </row>
    <row r="1375" spans="1:10">
      <c r="A1375">
        <v>2536</v>
      </c>
      <c r="B1375" t="s">
        <v>5169</v>
      </c>
      <c r="C1375">
        <v>0.26</v>
      </c>
      <c r="D1375">
        <v>9.84</v>
      </c>
      <c r="E1375">
        <v>0.37</v>
      </c>
      <c r="F1375">
        <v>0.03</v>
      </c>
      <c r="G1375">
        <v>1374</v>
      </c>
      <c r="H1375">
        <v>515</v>
      </c>
      <c r="I1375">
        <v>397</v>
      </c>
      <c r="J1375">
        <v>459</v>
      </c>
    </row>
    <row r="1376" spans="1:10">
      <c r="A1376">
        <v>6579</v>
      </c>
      <c r="B1376" t="s">
        <v>5911</v>
      </c>
      <c r="C1376">
        <v>0.26</v>
      </c>
      <c r="D1376">
        <v>3.09</v>
      </c>
      <c r="E1376">
        <v>0.02</v>
      </c>
      <c r="F1376">
        <v>0</v>
      </c>
      <c r="G1376">
        <v>1374</v>
      </c>
      <c r="H1376">
        <v>922</v>
      </c>
      <c r="I1376">
        <v>1051</v>
      </c>
      <c r="J1376" t="s">
        <v>6279</v>
      </c>
    </row>
    <row r="1377" spans="1:10">
      <c r="A1377">
        <v>6655</v>
      </c>
      <c r="B1377" t="s">
        <v>5927</v>
      </c>
      <c r="C1377">
        <v>0.26</v>
      </c>
      <c r="D1377">
        <v>0.31</v>
      </c>
      <c r="E1377">
        <v>0.02</v>
      </c>
      <c r="F1377">
        <v>0</v>
      </c>
      <c r="G1377">
        <v>1374</v>
      </c>
      <c r="H1377">
        <v>1387</v>
      </c>
      <c r="I1377">
        <v>1051</v>
      </c>
      <c r="J1377" t="s">
        <v>6279</v>
      </c>
    </row>
    <row r="1378" spans="1:10">
      <c r="A1378">
        <v>1730</v>
      </c>
      <c r="B1378" t="s">
        <v>4938</v>
      </c>
      <c r="C1378">
        <v>0.25</v>
      </c>
      <c r="D1378">
        <v>7.07</v>
      </c>
      <c r="E1378">
        <v>0.18</v>
      </c>
      <c r="F1378">
        <v>0</v>
      </c>
      <c r="G1378">
        <v>1377</v>
      </c>
      <c r="H1378">
        <v>639</v>
      </c>
      <c r="I1378">
        <v>584</v>
      </c>
      <c r="J1378" t="s">
        <v>6279</v>
      </c>
    </row>
    <row r="1379" spans="1:10">
      <c r="A1379">
        <v>2891</v>
      </c>
      <c r="B1379" t="s">
        <v>5245</v>
      </c>
      <c r="C1379">
        <v>0.25</v>
      </c>
      <c r="D1379">
        <v>42.82</v>
      </c>
      <c r="E1379">
        <v>0.17</v>
      </c>
      <c r="F1379">
        <v>1.87</v>
      </c>
      <c r="G1379">
        <v>1377</v>
      </c>
      <c r="H1379">
        <v>103</v>
      </c>
      <c r="I1379">
        <v>596</v>
      </c>
      <c r="J1379">
        <v>135</v>
      </c>
    </row>
    <row r="1380" spans="1:10">
      <c r="A1380">
        <v>2838</v>
      </c>
      <c r="B1380" t="s">
        <v>5226</v>
      </c>
      <c r="C1380">
        <v>0.24</v>
      </c>
      <c r="D1380">
        <v>3.42</v>
      </c>
      <c r="E1380">
        <v>7.0000000000000007E-2</v>
      </c>
      <c r="F1380">
        <v>0.17</v>
      </c>
      <c r="G1380">
        <v>1379</v>
      </c>
      <c r="H1380">
        <v>889</v>
      </c>
      <c r="I1380">
        <v>825</v>
      </c>
      <c r="J1380">
        <v>336</v>
      </c>
    </row>
    <row r="1381" spans="1:10">
      <c r="A1381">
        <v>6776</v>
      </c>
      <c r="B1381" t="s">
        <v>5947</v>
      </c>
      <c r="C1381">
        <v>0.24</v>
      </c>
      <c r="D1381">
        <v>0.52</v>
      </c>
      <c r="E1381">
        <v>0.01</v>
      </c>
      <c r="F1381">
        <v>0</v>
      </c>
      <c r="G1381">
        <v>1379</v>
      </c>
      <c r="H1381">
        <v>1327</v>
      </c>
      <c r="I1381">
        <v>1123</v>
      </c>
      <c r="J1381" t="s">
        <v>6279</v>
      </c>
    </row>
    <row r="1382" spans="1:10">
      <c r="A1382">
        <v>1231</v>
      </c>
      <c r="B1382" t="s">
        <v>4790</v>
      </c>
      <c r="C1382">
        <v>0.23</v>
      </c>
      <c r="D1382">
        <v>3.56</v>
      </c>
      <c r="E1382">
        <v>0.02</v>
      </c>
      <c r="F1382">
        <v>0.01</v>
      </c>
      <c r="G1382">
        <v>1381</v>
      </c>
      <c r="H1382">
        <v>870</v>
      </c>
      <c r="I1382">
        <v>1051</v>
      </c>
      <c r="J1382">
        <v>495</v>
      </c>
    </row>
    <row r="1383" spans="1:10">
      <c r="A1383">
        <v>1268</v>
      </c>
      <c r="B1383" t="s">
        <v>6343</v>
      </c>
      <c r="C1383">
        <v>0.23</v>
      </c>
      <c r="D1383">
        <v>0.1</v>
      </c>
      <c r="E1383">
        <v>0</v>
      </c>
      <c r="F1383">
        <v>0</v>
      </c>
      <c r="G1383">
        <v>1381</v>
      </c>
      <c r="H1383">
        <v>1445</v>
      </c>
      <c r="I1383" t="s">
        <v>6279</v>
      </c>
      <c r="J1383" t="s">
        <v>6279</v>
      </c>
    </row>
    <row r="1384" spans="1:10">
      <c r="A1384">
        <v>2373</v>
      </c>
      <c r="B1384" t="s">
        <v>5071</v>
      </c>
      <c r="C1384">
        <v>0.23</v>
      </c>
      <c r="D1384">
        <v>1.8</v>
      </c>
      <c r="E1384">
        <v>0.05</v>
      </c>
      <c r="F1384">
        <v>0</v>
      </c>
      <c r="G1384">
        <v>1381</v>
      </c>
      <c r="H1384">
        <v>1078</v>
      </c>
      <c r="I1384">
        <v>908</v>
      </c>
      <c r="J1384" t="s">
        <v>6279</v>
      </c>
    </row>
    <row r="1385" spans="1:10">
      <c r="A1385">
        <v>2546</v>
      </c>
      <c r="B1385" t="s">
        <v>5175</v>
      </c>
      <c r="C1385">
        <v>0.23</v>
      </c>
      <c r="D1385">
        <v>4.29</v>
      </c>
      <c r="E1385">
        <v>0.54</v>
      </c>
      <c r="F1385">
        <v>0</v>
      </c>
      <c r="G1385">
        <v>1381</v>
      </c>
      <c r="H1385">
        <v>828</v>
      </c>
      <c r="I1385">
        <v>302</v>
      </c>
      <c r="J1385" t="s">
        <v>6279</v>
      </c>
    </row>
    <row r="1386" spans="1:10">
      <c r="A1386">
        <v>5403</v>
      </c>
      <c r="B1386" t="s">
        <v>5683</v>
      </c>
      <c r="C1386">
        <v>0.22</v>
      </c>
      <c r="D1386">
        <v>6.42</v>
      </c>
      <c r="E1386">
        <v>0</v>
      </c>
      <c r="F1386">
        <v>0</v>
      </c>
      <c r="G1386">
        <v>1385</v>
      </c>
      <c r="H1386">
        <v>684</v>
      </c>
      <c r="I1386" t="s">
        <v>6279</v>
      </c>
      <c r="J1386" t="s">
        <v>6279</v>
      </c>
    </row>
    <row r="1387" spans="1:10">
      <c r="A1387">
        <v>6023</v>
      </c>
      <c r="B1387" t="s">
        <v>6187</v>
      </c>
      <c r="C1387">
        <v>0.22</v>
      </c>
      <c r="D1387">
        <v>0.59</v>
      </c>
      <c r="E1387">
        <v>0</v>
      </c>
      <c r="F1387">
        <v>0</v>
      </c>
      <c r="G1387">
        <v>1385</v>
      </c>
      <c r="H1387">
        <v>1309</v>
      </c>
      <c r="I1387" t="s">
        <v>6279</v>
      </c>
      <c r="J1387" t="s">
        <v>6279</v>
      </c>
    </row>
    <row r="1388" spans="1:10">
      <c r="A1388">
        <v>9937</v>
      </c>
      <c r="B1388" t="s">
        <v>6088</v>
      </c>
      <c r="C1388">
        <v>0.22</v>
      </c>
      <c r="D1388">
        <v>2.7</v>
      </c>
      <c r="E1388">
        <v>0</v>
      </c>
      <c r="F1388">
        <v>0</v>
      </c>
      <c r="G1388">
        <v>1385</v>
      </c>
      <c r="H1388">
        <v>958</v>
      </c>
      <c r="I1388" t="s">
        <v>6279</v>
      </c>
      <c r="J1388" t="s">
        <v>6279</v>
      </c>
    </row>
    <row r="1389" spans="1:10">
      <c r="A1389">
        <v>5287</v>
      </c>
      <c r="B1389" t="s">
        <v>5666</v>
      </c>
      <c r="C1389">
        <v>0.21</v>
      </c>
      <c r="D1389">
        <v>31.47</v>
      </c>
      <c r="E1389">
        <v>0.02</v>
      </c>
      <c r="F1389">
        <v>0</v>
      </c>
      <c r="G1389">
        <v>1388</v>
      </c>
      <c r="H1389">
        <v>167</v>
      </c>
      <c r="I1389">
        <v>1051</v>
      </c>
      <c r="J1389" t="s">
        <v>6279</v>
      </c>
    </row>
    <row r="1390" spans="1:10">
      <c r="A1390">
        <v>8354</v>
      </c>
      <c r="B1390" t="s">
        <v>6325</v>
      </c>
      <c r="C1390">
        <v>0.21</v>
      </c>
      <c r="D1390">
        <v>0.06</v>
      </c>
      <c r="E1390">
        <v>0</v>
      </c>
      <c r="F1390">
        <v>0</v>
      </c>
      <c r="G1390">
        <v>1388</v>
      </c>
      <c r="H1390">
        <v>1454</v>
      </c>
      <c r="I1390" t="s">
        <v>6279</v>
      </c>
      <c r="J1390" t="s">
        <v>6279</v>
      </c>
    </row>
    <row r="1391" spans="1:10">
      <c r="A1391">
        <v>8424</v>
      </c>
      <c r="B1391" t="s">
        <v>6209</v>
      </c>
      <c r="C1391">
        <v>0.21</v>
      </c>
      <c r="D1391">
        <v>0.48</v>
      </c>
      <c r="E1391">
        <v>0</v>
      </c>
      <c r="F1391">
        <v>0.16</v>
      </c>
      <c r="G1391">
        <v>1388</v>
      </c>
      <c r="H1391">
        <v>1337</v>
      </c>
      <c r="I1391" t="s">
        <v>6279</v>
      </c>
      <c r="J1391">
        <v>341</v>
      </c>
    </row>
    <row r="1392" spans="1:10">
      <c r="A1392">
        <v>8480</v>
      </c>
      <c r="B1392" t="s">
        <v>6046</v>
      </c>
      <c r="C1392">
        <v>0.21</v>
      </c>
      <c r="D1392">
        <v>86.08</v>
      </c>
      <c r="E1392">
        <v>0.03</v>
      </c>
      <c r="F1392">
        <v>0</v>
      </c>
      <c r="G1392">
        <v>1388</v>
      </c>
      <c r="H1392">
        <v>6</v>
      </c>
      <c r="I1392">
        <v>990</v>
      </c>
      <c r="J1392" t="s">
        <v>6279</v>
      </c>
    </row>
    <row r="1393" spans="1:10">
      <c r="A1393">
        <v>1203</v>
      </c>
      <c r="B1393" t="s">
        <v>4779</v>
      </c>
      <c r="C1393">
        <v>0.2</v>
      </c>
      <c r="D1393">
        <v>1.88</v>
      </c>
      <c r="E1393">
        <v>0.01</v>
      </c>
      <c r="F1393">
        <v>0</v>
      </c>
      <c r="G1393">
        <v>1392</v>
      </c>
      <c r="H1393">
        <v>1068</v>
      </c>
      <c r="I1393">
        <v>1123</v>
      </c>
      <c r="J1393" t="s">
        <v>6279</v>
      </c>
    </row>
    <row r="1394" spans="1:10">
      <c r="A1394">
        <v>2884</v>
      </c>
      <c r="B1394" t="s">
        <v>5238</v>
      </c>
      <c r="C1394">
        <v>0.2</v>
      </c>
      <c r="D1394">
        <v>38.299999999999997</v>
      </c>
      <c r="E1394">
        <v>0.15</v>
      </c>
      <c r="F1394">
        <v>1.29</v>
      </c>
      <c r="G1394">
        <v>1392</v>
      </c>
      <c r="H1394">
        <v>128</v>
      </c>
      <c r="I1394">
        <v>635</v>
      </c>
      <c r="J1394">
        <v>168</v>
      </c>
    </row>
    <row r="1395" spans="1:10">
      <c r="A1395">
        <v>6024</v>
      </c>
      <c r="B1395" t="s">
        <v>5738</v>
      </c>
      <c r="C1395">
        <v>0.2</v>
      </c>
      <c r="D1395">
        <v>1.71</v>
      </c>
      <c r="E1395">
        <v>0</v>
      </c>
      <c r="F1395">
        <v>0</v>
      </c>
      <c r="G1395">
        <v>1392</v>
      </c>
      <c r="H1395">
        <v>1097</v>
      </c>
      <c r="I1395" t="s">
        <v>6279</v>
      </c>
      <c r="J1395" t="s">
        <v>6279</v>
      </c>
    </row>
    <row r="1396" spans="1:10">
      <c r="A1396">
        <v>1503</v>
      </c>
      <c r="B1396" t="s">
        <v>4862</v>
      </c>
      <c r="C1396">
        <v>0.19</v>
      </c>
      <c r="D1396">
        <v>31.87</v>
      </c>
      <c r="E1396">
        <v>0.11</v>
      </c>
      <c r="F1396">
        <v>0</v>
      </c>
      <c r="G1396">
        <v>1395</v>
      </c>
      <c r="H1396">
        <v>161</v>
      </c>
      <c r="I1396">
        <v>717</v>
      </c>
      <c r="J1396" t="s">
        <v>6279</v>
      </c>
    </row>
    <row r="1397" spans="1:10">
      <c r="A1397">
        <v>2712</v>
      </c>
      <c r="B1397" t="s">
        <v>5208</v>
      </c>
      <c r="C1397">
        <v>0.19</v>
      </c>
      <c r="D1397">
        <v>0.13</v>
      </c>
      <c r="E1397">
        <v>0</v>
      </c>
      <c r="F1397">
        <v>0</v>
      </c>
      <c r="G1397">
        <v>1395</v>
      </c>
      <c r="H1397">
        <v>1431</v>
      </c>
      <c r="I1397" t="s">
        <v>6279</v>
      </c>
      <c r="J1397" t="s">
        <v>6279</v>
      </c>
    </row>
    <row r="1398" spans="1:10">
      <c r="A1398">
        <v>4741</v>
      </c>
      <c r="B1398" t="s">
        <v>6344</v>
      </c>
      <c r="C1398">
        <v>0.19</v>
      </c>
      <c r="D1398">
        <v>0.41</v>
      </c>
      <c r="E1398">
        <v>0.06</v>
      </c>
      <c r="F1398">
        <v>0</v>
      </c>
      <c r="G1398">
        <v>1395</v>
      </c>
      <c r="H1398">
        <v>1354</v>
      </c>
      <c r="I1398">
        <v>869</v>
      </c>
      <c r="J1398" t="s">
        <v>6279</v>
      </c>
    </row>
    <row r="1399" spans="1:10">
      <c r="A1399">
        <v>2885</v>
      </c>
      <c r="B1399" t="s">
        <v>5239</v>
      </c>
      <c r="C1399">
        <v>0.18</v>
      </c>
      <c r="D1399">
        <v>28.49</v>
      </c>
      <c r="E1399">
        <v>0.38</v>
      </c>
      <c r="F1399">
        <v>2.1</v>
      </c>
      <c r="G1399">
        <v>1398</v>
      </c>
      <c r="H1399">
        <v>192</v>
      </c>
      <c r="I1399">
        <v>392</v>
      </c>
      <c r="J1399">
        <v>120</v>
      </c>
    </row>
    <row r="1400" spans="1:10">
      <c r="A1400">
        <v>2433</v>
      </c>
      <c r="B1400" t="s">
        <v>5109</v>
      </c>
      <c r="C1400">
        <v>0.17</v>
      </c>
      <c r="D1400">
        <v>0.8</v>
      </c>
      <c r="E1400">
        <v>0.06</v>
      </c>
      <c r="F1400">
        <v>0</v>
      </c>
      <c r="G1400">
        <v>1399</v>
      </c>
      <c r="H1400">
        <v>1262</v>
      </c>
      <c r="I1400">
        <v>869</v>
      </c>
      <c r="J1400" t="s">
        <v>6279</v>
      </c>
    </row>
    <row r="1401" spans="1:10">
      <c r="A1401">
        <v>2247</v>
      </c>
      <c r="B1401" t="s">
        <v>5027</v>
      </c>
      <c r="C1401">
        <v>0.16</v>
      </c>
      <c r="D1401">
        <v>0.65</v>
      </c>
      <c r="E1401">
        <v>0</v>
      </c>
      <c r="F1401">
        <v>0</v>
      </c>
      <c r="G1401">
        <v>1400</v>
      </c>
      <c r="H1401">
        <v>1294</v>
      </c>
      <c r="I1401" t="s">
        <v>6279</v>
      </c>
      <c r="J1401" t="s">
        <v>6279</v>
      </c>
    </row>
    <row r="1402" spans="1:10">
      <c r="A1402">
        <v>3531</v>
      </c>
      <c r="B1402" t="s">
        <v>6345</v>
      </c>
      <c r="C1402">
        <v>0.16</v>
      </c>
      <c r="D1402">
        <v>19.989999999999998</v>
      </c>
      <c r="E1402">
        <v>0</v>
      </c>
      <c r="F1402">
        <v>0</v>
      </c>
      <c r="G1402">
        <v>1400</v>
      </c>
      <c r="H1402">
        <v>281</v>
      </c>
      <c r="I1402" t="s">
        <v>6279</v>
      </c>
      <c r="J1402" t="s">
        <v>6279</v>
      </c>
    </row>
    <row r="1403" spans="1:10">
      <c r="A1403">
        <v>2852</v>
      </c>
      <c r="B1403" t="s">
        <v>5231</v>
      </c>
      <c r="C1403">
        <v>0.15</v>
      </c>
      <c r="D1403">
        <v>4.0199999999999996</v>
      </c>
      <c r="E1403">
        <v>0</v>
      </c>
      <c r="F1403">
        <v>0</v>
      </c>
      <c r="G1403">
        <v>1402</v>
      </c>
      <c r="H1403">
        <v>846</v>
      </c>
      <c r="I1403" t="s">
        <v>6279</v>
      </c>
      <c r="J1403" t="s">
        <v>6279</v>
      </c>
    </row>
    <row r="1404" spans="1:10">
      <c r="A1404">
        <v>2890</v>
      </c>
      <c r="B1404" t="s">
        <v>5244</v>
      </c>
      <c r="C1404">
        <v>0.15</v>
      </c>
      <c r="D1404">
        <v>28.58</v>
      </c>
      <c r="E1404">
        <v>0.23</v>
      </c>
      <c r="F1404">
        <v>2.0099999999999998</v>
      </c>
      <c r="G1404">
        <v>1402</v>
      </c>
      <c r="H1404">
        <v>191</v>
      </c>
      <c r="I1404">
        <v>525</v>
      </c>
      <c r="J1404">
        <v>125</v>
      </c>
    </row>
    <row r="1405" spans="1:10">
      <c r="A1405">
        <v>1259</v>
      </c>
      <c r="B1405" t="s">
        <v>6250</v>
      </c>
      <c r="C1405">
        <v>0.14000000000000001</v>
      </c>
      <c r="D1405">
        <v>26.27</v>
      </c>
      <c r="E1405">
        <v>0</v>
      </c>
      <c r="F1405">
        <v>0</v>
      </c>
      <c r="G1405">
        <v>1404</v>
      </c>
      <c r="H1405">
        <v>206</v>
      </c>
      <c r="I1405" t="s">
        <v>6279</v>
      </c>
      <c r="J1405" t="s">
        <v>6279</v>
      </c>
    </row>
    <row r="1406" spans="1:10">
      <c r="A1406">
        <v>4527</v>
      </c>
      <c r="B1406" t="s">
        <v>6146</v>
      </c>
      <c r="C1406">
        <v>0.14000000000000001</v>
      </c>
      <c r="D1406">
        <v>2.02</v>
      </c>
      <c r="E1406">
        <v>0.06</v>
      </c>
      <c r="F1406">
        <v>0</v>
      </c>
      <c r="G1406">
        <v>1404</v>
      </c>
      <c r="H1406">
        <v>1051</v>
      </c>
      <c r="I1406">
        <v>869</v>
      </c>
      <c r="J1406" t="s">
        <v>6279</v>
      </c>
    </row>
    <row r="1407" spans="1:10">
      <c r="A1407">
        <v>5522</v>
      </c>
      <c r="B1407" t="s">
        <v>5709</v>
      </c>
      <c r="C1407">
        <v>0.14000000000000001</v>
      </c>
      <c r="D1407">
        <v>8.57</v>
      </c>
      <c r="E1407">
        <v>2.96</v>
      </c>
      <c r="F1407">
        <v>4.42</v>
      </c>
      <c r="G1407">
        <v>1404</v>
      </c>
      <c r="H1407">
        <v>562</v>
      </c>
      <c r="I1407">
        <v>47</v>
      </c>
      <c r="J1407">
        <v>63</v>
      </c>
    </row>
    <row r="1408" spans="1:10">
      <c r="A1408">
        <v>1583</v>
      </c>
      <c r="B1408" t="s">
        <v>4896</v>
      </c>
      <c r="C1408">
        <v>0.13</v>
      </c>
      <c r="D1408">
        <v>0.17</v>
      </c>
      <c r="E1408">
        <v>0.01</v>
      </c>
      <c r="F1408">
        <v>0.04</v>
      </c>
      <c r="G1408">
        <v>1407</v>
      </c>
      <c r="H1408">
        <v>1419</v>
      </c>
      <c r="I1408">
        <v>1123</v>
      </c>
      <c r="J1408">
        <v>439</v>
      </c>
    </row>
    <row r="1409" spans="1:10">
      <c r="A1409">
        <v>2301</v>
      </c>
      <c r="B1409" t="s">
        <v>5029</v>
      </c>
      <c r="C1409">
        <v>0.13</v>
      </c>
      <c r="D1409">
        <v>46.12</v>
      </c>
      <c r="E1409">
        <v>4.24</v>
      </c>
      <c r="F1409">
        <v>6.7</v>
      </c>
      <c r="G1409">
        <v>1407</v>
      </c>
      <c r="H1409">
        <v>86</v>
      </c>
      <c r="I1409">
        <v>34</v>
      </c>
      <c r="J1409">
        <v>32</v>
      </c>
    </row>
    <row r="1410" spans="1:10">
      <c r="A1410">
        <v>5102</v>
      </c>
      <c r="B1410" t="s">
        <v>6348</v>
      </c>
      <c r="C1410">
        <v>0.13</v>
      </c>
      <c r="D1410">
        <v>0.02</v>
      </c>
      <c r="E1410">
        <v>0</v>
      </c>
      <c r="F1410">
        <v>0</v>
      </c>
      <c r="G1410">
        <v>1407</v>
      </c>
      <c r="H1410">
        <v>1467</v>
      </c>
      <c r="I1410" t="s">
        <v>6279</v>
      </c>
      <c r="J1410" t="s">
        <v>6279</v>
      </c>
    </row>
    <row r="1411" spans="1:10">
      <c r="A1411">
        <v>6020</v>
      </c>
      <c r="B1411" t="s">
        <v>6186</v>
      </c>
      <c r="C1411">
        <v>0.13</v>
      </c>
      <c r="D1411">
        <v>0.05</v>
      </c>
      <c r="E1411">
        <v>0</v>
      </c>
      <c r="F1411">
        <v>0</v>
      </c>
      <c r="G1411">
        <v>1407</v>
      </c>
      <c r="H1411">
        <v>1459</v>
      </c>
      <c r="I1411" t="s">
        <v>6279</v>
      </c>
      <c r="J1411" t="s">
        <v>6279</v>
      </c>
    </row>
    <row r="1412" spans="1:10">
      <c r="A1412">
        <v>6212</v>
      </c>
      <c r="B1412" t="s">
        <v>6349</v>
      </c>
      <c r="C1412">
        <v>0.13</v>
      </c>
      <c r="D1412">
        <v>25.71</v>
      </c>
      <c r="E1412">
        <v>0</v>
      </c>
      <c r="F1412">
        <v>0</v>
      </c>
      <c r="G1412">
        <v>1407</v>
      </c>
      <c r="H1412">
        <v>213</v>
      </c>
      <c r="I1412" t="s">
        <v>6279</v>
      </c>
      <c r="J1412" t="s">
        <v>6279</v>
      </c>
    </row>
    <row r="1413" spans="1:10">
      <c r="A1413">
        <v>8342</v>
      </c>
      <c r="B1413" t="s">
        <v>6229</v>
      </c>
      <c r="C1413">
        <v>0.13</v>
      </c>
      <c r="D1413">
        <v>0.22</v>
      </c>
      <c r="E1413">
        <v>0.17</v>
      </c>
      <c r="F1413">
        <v>0</v>
      </c>
      <c r="G1413">
        <v>1407</v>
      </c>
      <c r="H1413">
        <v>1409</v>
      </c>
      <c r="I1413">
        <v>596</v>
      </c>
      <c r="J1413" t="s">
        <v>6279</v>
      </c>
    </row>
    <row r="1414" spans="1:10">
      <c r="A1414">
        <v>2904</v>
      </c>
      <c r="B1414" t="s">
        <v>5250</v>
      </c>
      <c r="C1414">
        <v>0.12</v>
      </c>
      <c r="D1414">
        <v>0.37</v>
      </c>
      <c r="E1414">
        <v>0.02</v>
      </c>
      <c r="F1414">
        <v>0</v>
      </c>
      <c r="G1414">
        <v>1413</v>
      </c>
      <c r="H1414">
        <v>1373</v>
      </c>
      <c r="I1414">
        <v>1051</v>
      </c>
      <c r="J1414" t="s">
        <v>6279</v>
      </c>
    </row>
    <row r="1415" spans="1:10">
      <c r="A1415">
        <v>4538</v>
      </c>
      <c r="B1415" t="s">
        <v>6251</v>
      </c>
      <c r="C1415">
        <v>0.12</v>
      </c>
      <c r="D1415">
        <v>0.14000000000000001</v>
      </c>
      <c r="E1415">
        <v>0</v>
      </c>
      <c r="F1415">
        <v>0</v>
      </c>
      <c r="G1415">
        <v>1413</v>
      </c>
      <c r="H1415">
        <v>1425</v>
      </c>
      <c r="I1415" t="s">
        <v>6279</v>
      </c>
      <c r="J1415" t="s">
        <v>6279</v>
      </c>
    </row>
    <row r="1416" spans="1:10">
      <c r="A1416">
        <v>5876</v>
      </c>
      <c r="B1416" t="s">
        <v>5727</v>
      </c>
      <c r="C1416">
        <v>0.12</v>
      </c>
      <c r="D1416">
        <v>57.79</v>
      </c>
      <c r="E1416">
        <v>0.16</v>
      </c>
      <c r="F1416">
        <v>0.71</v>
      </c>
      <c r="G1416">
        <v>1413</v>
      </c>
      <c r="H1416">
        <v>52</v>
      </c>
      <c r="I1416">
        <v>615</v>
      </c>
      <c r="J1416">
        <v>224</v>
      </c>
    </row>
    <row r="1417" spans="1:10">
      <c r="A1417">
        <v>1234</v>
      </c>
      <c r="B1417" t="s">
        <v>4793</v>
      </c>
      <c r="C1417">
        <v>0.11</v>
      </c>
      <c r="D1417">
        <v>5.2</v>
      </c>
      <c r="E1417">
        <v>0.04</v>
      </c>
      <c r="F1417">
        <v>0</v>
      </c>
      <c r="G1417">
        <v>1416</v>
      </c>
      <c r="H1417">
        <v>764</v>
      </c>
      <c r="I1417">
        <v>946</v>
      </c>
      <c r="J1417" t="s">
        <v>6279</v>
      </c>
    </row>
    <row r="1418" spans="1:10">
      <c r="A1418">
        <v>1788</v>
      </c>
      <c r="B1418" t="s">
        <v>4956</v>
      </c>
      <c r="C1418">
        <v>0.11</v>
      </c>
      <c r="D1418">
        <v>10.59</v>
      </c>
      <c r="E1418">
        <v>0</v>
      </c>
      <c r="F1418">
        <v>0</v>
      </c>
      <c r="G1418">
        <v>1416</v>
      </c>
      <c r="H1418">
        <v>485</v>
      </c>
      <c r="I1418" t="s">
        <v>6279</v>
      </c>
      <c r="J1418" t="s">
        <v>6279</v>
      </c>
    </row>
    <row r="1419" spans="1:10">
      <c r="A1419">
        <v>2880</v>
      </c>
      <c r="B1419" t="s">
        <v>5234</v>
      </c>
      <c r="C1419">
        <v>0.11</v>
      </c>
      <c r="D1419">
        <v>17.39</v>
      </c>
      <c r="E1419">
        <v>0.14000000000000001</v>
      </c>
      <c r="F1419">
        <v>0.81</v>
      </c>
      <c r="G1419">
        <v>1416</v>
      </c>
      <c r="H1419">
        <v>321</v>
      </c>
      <c r="I1419">
        <v>649</v>
      </c>
      <c r="J1419">
        <v>211</v>
      </c>
    </row>
    <row r="1420" spans="1:10">
      <c r="A1420">
        <v>5514</v>
      </c>
      <c r="B1420" t="s">
        <v>6350</v>
      </c>
      <c r="C1420">
        <v>0.11</v>
      </c>
      <c r="D1420">
        <v>0.01</v>
      </c>
      <c r="E1420">
        <v>0</v>
      </c>
      <c r="F1420">
        <v>0</v>
      </c>
      <c r="G1420">
        <v>1416</v>
      </c>
      <c r="H1420">
        <v>1469</v>
      </c>
      <c r="I1420" t="s">
        <v>6279</v>
      </c>
      <c r="J1420" t="s">
        <v>6279</v>
      </c>
    </row>
    <row r="1421" spans="1:10">
      <c r="A1421">
        <v>5520</v>
      </c>
      <c r="B1421" t="s">
        <v>6351</v>
      </c>
      <c r="C1421">
        <v>0.11</v>
      </c>
      <c r="D1421">
        <v>0.03</v>
      </c>
      <c r="E1421">
        <v>0</v>
      </c>
      <c r="F1421">
        <v>0</v>
      </c>
      <c r="G1421">
        <v>1416</v>
      </c>
      <c r="H1421">
        <v>1466</v>
      </c>
      <c r="I1421" t="s">
        <v>6279</v>
      </c>
      <c r="J1421" t="s">
        <v>6279</v>
      </c>
    </row>
    <row r="1422" spans="1:10">
      <c r="A1422">
        <v>1102</v>
      </c>
      <c r="B1422" t="s">
        <v>4772</v>
      </c>
      <c r="C1422">
        <v>0.1</v>
      </c>
      <c r="D1422">
        <v>17.57</v>
      </c>
      <c r="E1422">
        <v>2.88</v>
      </c>
      <c r="F1422">
        <v>4.1100000000000003</v>
      </c>
      <c r="G1422">
        <v>1421</v>
      </c>
      <c r="H1422">
        <v>318</v>
      </c>
      <c r="I1422">
        <v>50</v>
      </c>
      <c r="J1422">
        <v>70</v>
      </c>
    </row>
    <row r="1423" spans="1:10">
      <c r="A1423">
        <v>2849</v>
      </c>
      <c r="B1423" t="s">
        <v>5228</v>
      </c>
      <c r="C1423">
        <v>0.1</v>
      </c>
      <c r="D1423">
        <v>58.92</v>
      </c>
      <c r="E1423">
        <v>0.22</v>
      </c>
      <c r="F1423">
        <v>0</v>
      </c>
      <c r="G1423">
        <v>1421</v>
      </c>
      <c r="H1423">
        <v>49</v>
      </c>
      <c r="I1423">
        <v>537</v>
      </c>
      <c r="J1423" t="s">
        <v>6279</v>
      </c>
    </row>
    <row r="1424" spans="1:10">
      <c r="A1424">
        <v>6409</v>
      </c>
      <c r="B1424" t="s">
        <v>5859</v>
      </c>
      <c r="C1424">
        <v>0.1</v>
      </c>
      <c r="D1424">
        <v>68.010000000000005</v>
      </c>
      <c r="E1424">
        <v>7.0000000000000007E-2</v>
      </c>
      <c r="F1424">
        <v>0.39</v>
      </c>
      <c r="G1424">
        <v>1421</v>
      </c>
      <c r="H1424">
        <v>28</v>
      </c>
      <c r="I1424">
        <v>825</v>
      </c>
      <c r="J1424">
        <v>272</v>
      </c>
    </row>
    <row r="1425" spans="1:10">
      <c r="A1425">
        <v>9910</v>
      </c>
      <c r="B1425" t="s">
        <v>6072</v>
      </c>
      <c r="C1425">
        <v>0.1</v>
      </c>
      <c r="D1425">
        <v>18</v>
      </c>
      <c r="E1425">
        <v>0.09</v>
      </c>
      <c r="F1425">
        <v>0.89</v>
      </c>
      <c r="G1425">
        <v>1421</v>
      </c>
      <c r="H1425">
        <v>307</v>
      </c>
      <c r="I1425">
        <v>762</v>
      </c>
      <c r="J1425">
        <v>201</v>
      </c>
    </row>
    <row r="1426" spans="1:10">
      <c r="A1426">
        <v>1232</v>
      </c>
      <c r="B1426" t="s">
        <v>4791</v>
      </c>
      <c r="C1426">
        <v>0.09</v>
      </c>
      <c r="D1426">
        <v>1.26</v>
      </c>
      <c r="E1426">
        <v>0.06</v>
      </c>
      <c r="F1426">
        <v>0</v>
      </c>
      <c r="G1426">
        <v>1425</v>
      </c>
      <c r="H1426">
        <v>1174</v>
      </c>
      <c r="I1426">
        <v>869</v>
      </c>
      <c r="J1426" t="s">
        <v>6279</v>
      </c>
    </row>
    <row r="1427" spans="1:10">
      <c r="A1427">
        <v>1264</v>
      </c>
      <c r="B1427" t="s">
        <v>4799</v>
      </c>
      <c r="C1427">
        <v>0.09</v>
      </c>
      <c r="D1427">
        <v>5.49</v>
      </c>
      <c r="E1427">
        <v>1.78</v>
      </c>
      <c r="F1427">
        <v>0</v>
      </c>
      <c r="G1427">
        <v>1425</v>
      </c>
      <c r="H1427">
        <v>744</v>
      </c>
      <c r="I1427">
        <v>87</v>
      </c>
      <c r="J1427" t="s">
        <v>6279</v>
      </c>
    </row>
    <row r="1428" spans="1:10">
      <c r="A1428">
        <v>1301</v>
      </c>
      <c r="B1428" t="s">
        <v>4800</v>
      </c>
      <c r="C1428">
        <v>0.09</v>
      </c>
      <c r="D1428">
        <v>36.4</v>
      </c>
      <c r="E1428">
        <v>0.72</v>
      </c>
      <c r="F1428">
        <v>1.43</v>
      </c>
      <c r="G1428">
        <v>1425</v>
      </c>
      <c r="H1428">
        <v>136</v>
      </c>
      <c r="I1428">
        <v>240</v>
      </c>
      <c r="J1428">
        <v>157</v>
      </c>
    </row>
    <row r="1429" spans="1:10">
      <c r="A1429">
        <v>1303</v>
      </c>
      <c r="B1429" t="s">
        <v>4801</v>
      </c>
      <c r="C1429">
        <v>0.09</v>
      </c>
      <c r="D1429">
        <v>31.68</v>
      </c>
      <c r="E1429">
        <v>0.56000000000000005</v>
      </c>
      <c r="F1429">
        <v>1.39</v>
      </c>
      <c r="G1429">
        <v>1425</v>
      </c>
      <c r="H1429">
        <v>165</v>
      </c>
      <c r="I1429">
        <v>297</v>
      </c>
      <c r="J1429">
        <v>160</v>
      </c>
    </row>
    <row r="1430" spans="1:10">
      <c r="A1430">
        <v>2616</v>
      </c>
      <c r="B1430" t="s">
        <v>5193</v>
      </c>
      <c r="C1430">
        <v>0.09</v>
      </c>
      <c r="D1430">
        <v>3.3</v>
      </c>
      <c r="E1430">
        <v>0.01</v>
      </c>
      <c r="F1430">
        <v>0</v>
      </c>
      <c r="G1430">
        <v>1425</v>
      </c>
      <c r="H1430">
        <v>899</v>
      </c>
      <c r="I1430">
        <v>1123</v>
      </c>
      <c r="J1430" t="s">
        <v>6279</v>
      </c>
    </row>
    <row r="1431" spans="1:10">
      <c r="A1431">
        <v>1216</v>
      </c>
      <c r="B1431" t="s">
        <v>4782</v>
      </c>
      <c r="C1431">
        <v>0.08</v>
      </c>
      <c r="D1431">
        <v>40.75</v>
      </c>
      <c r="E1431">
        <v>0.39</v>
      </c>
      <c r="F1431">
        <v>1.7</v>
      </c>
      <c r="G1431">
        <v>1430</v>
      </c>
      <c r="H1431">
        <v>115</v>
      </c>
      <c r="I1431">
        <v>383</v>
      </c>
      <c r="J1431">
        <v>147</v>
      </c>
    </row>
    <row r="1432" spans="1:10">
      <c r="A1432">
        <v>1326</v>
      </c>
      <c r="B1432" t="s">
        <v>4818</v>
      </c>
      <c r="C1432">
        <v>0.08</v>
      </c>
      <c r="D1432">
        <v>34.17</v>
      </c>
      <c r="E1432">
        <v>0.62</v>
      </c>
      <c r="F1432">
        <v>0.92</v>
      </c>
      <c r="G1432">
        <v>1430</v>
      </c>
      <c r="H1432">
        <v>146</v>
      </c>
      <c r="I1432">
        <v>276</v>
      </c>
      <c r="J1432">
        <v>200</v>
      </c>
    </row>
    <row r="1433" spans="1:10">
      <c r="A1433">
        <v>2886</v>
      </c>
      <c r="B1433" t="s">
        <v>5240</v>
      </c>
      <c r="C1433">
        <v>0.08</v>
      </c>
      <c r="D1433">
        <v>22.47</v>
      </c>
      <c r="E1433">
        <v>0.94</v>
      </c>
      <c r="F1433">
        <v>2.4900000000000002</v>
      </c>
      <c r="G1433">
        <v>1430</v>
      </c>
      <c r="H1433">
        <v>246</v>
      </c>
      <c r="I1433">
        <v>186</v>
      </c>
      <c r="J1433">
        <v>104</v>
      </c>
    </row>
    <row r="1434" spans="1:10">
      <c r="A1434">
        <v>5601</v>
      </c>
      <c r="B1434" t="s">
        <v>6347</v>
      </c>
      <c r="C1434">
        <v>0.08</v>
      </c>
      <c r="D1434">
        <v>1.45</v>
      </c>
      <c r="E1434">
        <v>0</v>
      </c>
      <c r="F1434">
        <v>0</v>
      </c>
      <c r="G1434">
        <v>1430</v>
      </c>
      <c r="H1434">
        <v>1138</v>
      </c>
      <c r="I1434" t="s">
        <v>6279</v>
      </c>
      <c r="J1434" t="s">
        <v>6279</v>
      </c>
    </row>
    <row r="1435" spans="1:10">
      <c r="A1435">
        <v>2892</v>
      </c>
      <c r="B1435" t="s">
        <v>5246</v>
      </c>
      <c r="C1435">
        <v>7.0000000000000007E-2</v>
      </c>
      <c r="D1435">
        <v>24.23</v>
      </c>
      <c r="E1435">
        <v>0.14000000000000001</v>
      </c>
      <c r="F1435">
        <v>1.91</v>
      </c>
      <c r="G1435">
        <v>1434</v>
      </c>
      <c r="H1435">
        <v>231</v>
      </c>
      <c r="I1435">
        <v>649</v>
      </c>
      <c r="J1435">
        <v>133</v>
      </c>
    </row>
    <row r="1436" spans="1:10">
      <c r="A1436">
        <v>6115</v>
      </c>
      <c r="B1436" t="s">
        <v>5745</v>
      </c>
      <c r="C1436">
        <v>7.0000000000000007E-2</v>
      </c>
      <c r="D1436">
        <v>6.66</v>
      </c>
      <c r="E1436">
        <v>0.06</v>
      </c>
      <c r="F1436">
        <v>0</v>
      </c>
      <c r="G1436">
        <v>1434</v>
      </c>
      <c r="H1436">
        <v>669</v>
      </c>
      <c r="I1436">
        <v>869</v>
      </c>
      <c r="J1436" t="s">
        <v>6279</v>
      </c>
    </row>
    <row r="1437" spans="1:10">
      <c r="A1437">
        <v>9930</v>
      </c>
      <c r="B1437" t="s">
        <v>6083</v>
      </c>
      <c r="C1437">
        <v>7.0000000000000007E-2</v>
      </c>
      <c r="D1437">
        <v>1.88</v>
      </c>
      <c r="E1437">
        <v>0.08</v>
      </c>
      <c r="F1437">
        <v>0</v>
      </c>
      <c r="G1437">
        <v>1434</v>
      </c>
      <c r="H1437">
        <v>1068</v>
      </c>
      <c r="I1437">
        <v>790</v>
      </c>
      <c r="J1437" t="s">
        <v>6279</v>
      </c>
    </row>
    <row r="1438" spans="1:10">
      <c r="A1438">
        <v>1535</v>
      </c>
      <c r="B1438" t="s">
        <v>4882</v>
      </c>
      <c r="C1438">
        <v>0.06</v>
      </c>
      <c r="D1438">
        <v>0.98</v>
      </c>
      <c r="E1438">
        <v>0.01</v>
      </c>
      <c r="F1438">
        <v>0</v>
      </c>
      <c r="G1438">
        <v>1437</v>
      </c>
      <c r="H1438">
        <v>1224</v>
      </c>
      <c r="I1438">
        <v>1123</v>
      </c>
      <c r="J1438" t="s">
        <v>6279</v>
      </c>
    </row>
    <row r="1439" spans="1:10">
      <c r="A1439">
        <v>2395</v>
      </c>
      <c r="B1439" t="s">
        <v>5085</v>
      </c>
      <c r="C1439">
        <v>0.06</v>
      </c>
      <c r="D1439">
        <v>42.24</v>
      </c>
      <c r="E1439">
        <v>0.15</v>
      </c>
      <c r="F1439">
        <v>0.74</v>
      </c>
      <c r="G1439">
        <v>1437</v>
      </c>
      <c r="H1439">
        <v>108</v>
      </c>
      <c r="I1439">
        <v>635</v>
      </c>
      <c r="J1439">
        <v>219</v>
      </c>
    </row>
    <row r="1440" spans="1:10">
      <c r="A1440">
        <v>2820</v>
      </c>
      <c r="B1440" t="s">
        <v>5222</v>
      </c>
      <c r="C1440">
        <v>0.06</v>
      </c>
      <c r="D1440">
        <v>6.72</v>
      </c>
      <c r="E1440">
        <v>0.86</v>
      </c>
      <c r="F1440">
        <v>0.04</v>
      </c>
      <c r="G1440">
        <v>1437</v>
      </c>
      <c r="H1440">
        <v>666</v>
      </c>
      <c r="I1440">
        <v>200</v>
      </c>
      <c r="J1440">
        <v>439</v>
      </c>
    </row>
    <row r="1441" spans="1:10">
      <c r="A1441">
        <v>2912</v>
      </c>
      <c r="B1441" t="s">
        <v>5256</v>
      </c>
      <c r="C1441">
        <v>0.06</v>
      </c>
      <c r="D1441">
        <v>29.69</v>
      </c>
      <c r="E1441">
        <v>0.31</v>
      </c>
      <c r="F1441">
        <v>1.55</v>
      </c>
      <c r="G1441">
        <v>1437</v>
      </c>
      <c r="H1441">
        <v>183</v>
      </c>
      <c r="I1441">
        <v>451</v>
      </c>
      <c r="J1441">
        <v>155</v>
      </c>
    </row>
    <row r="1442" spans="1:10">
      <c r="A1442">
        <v>5511</v>
      </c>
      <c r="B1442" t="s">
        <v>6154</v>
      </c>
      <c r="C1442">
        <v>0.06</v>
      </c>
      <c r="D1442">
        <v>1.97</v>
      </c>
      <c r="E1442">
        <v>0</v>
      </c>
      <c r="F1442">
        <v>0</v>
      </c>
      <c r="G1442">
        <v>1437</v>
      </c>
      <c r="H1442">
        <v>1061</v>
      </c>
      <c r="I1442" t="s">
        <v>6279</v>
      </c>
      <c r="J1442" t="s">
        <v>6279</v>
      </c>
    </row>
    <row r="1443" spans="1:10">
      <c r="A1443">
        <v>5880</v>
      </c>
      <c r="B1443" t="s">
        <v>5728</v>
      </c>
      <c r="C1443">
        <v>0.06</v>
      </c>
      <c r="D1443">
        <v>18.2</v>
      </c>
      <c r="E1443">
        <v>0.16</v>
      </c>
      <c r="F1443">
        <v>0.79</v>
      </c>
      <c r="G1443">
        <v>1437</v>
      </c>
      <c r="H1443">
        <v>303</v>
      </c>
      <c r="I1443">
        <v>615</v>
      </c>
      <c r="J1443">
        <v>212</v>
      </c>
    </row>
    <row r="1444" spans="1:10">
      <c r="A1444">
        <v>6021</v>
      </c>
      <c r="B1444" t="s">
        <v>6247</v>
      </c>
      <c r="C1444">
        <v>0.06</v>
      </c>
      <c r="D1444">
        <v>8.7899999999999991</v>
      </c>
      <c r="E1444">
        <v>0</v>
      </c>
      <c r="F1444">
        <v>0</v>
      </c>
      <c r="G1444">
        <v>1437</v>
      </c>
      <c r="H1444">
        <v>553</v>
      </c>
      <c r="I1444" t="s">
        <v>6279</v>
      </c>
      <c r="J1444" t="s">
        <v>6279</v>
      </c>
    </row>
    <row r="1445" spans="1:10">
      <c r="A1445">
        <v>8908</v>
      </c>
      <c r="B1445" t="s">
        <v>6053</v>
      </c>
      <c r="C1445">
        <v>0.06</v>
      </c>
      <c r="D1445">
        <v>0.13</v>
      </c>
      <c r="E1445">
        <v>0</v>
      </c>
      <c r="F1445">
        <v>0</v>
      </c>
      <c r="G1445">
        <v>1437</v>
      </c>
      <c r="H1445">
        <v>1431</v>
      </c>
      <c r="I1445" t="s">
        <v>6279</v>
      </c>
      <c r="J1445" t="s">
        <v>6279</v>
      </c>
    </row>
    <row r="1446" spans="1:10">
      <c r="A1446">
        <v>9918</v>
      </c>
      <c r="B1446" t="s">
        <v>6076</v>
      </c>
      <c r="C1446">
        <v>0.06</v>
      </c>
      <c r="D1446">
        <v>2.16</v>
      </c>
      <c r="E1446">
        <v>0.01</v>
      </c>
      <c r="F1446">
        <v>0</v>
      </c>
      <c r="G1446">
        <v>1437</v>
      </c>
      <c r="H1446">
        <v>1021</v>
      </c>
      <c r="I1446">
        <v>1123</v>
      </c>
      <c r="J1446" t="s">
        <v>6279</v>
      </c>
    </row>
    <row r="1447" spans="1:10">
      <c r="A1447">
        <v>1796</v>
      </c>
      <c r="B1447" t="s">
        <v>6352</v>
      </c>
      <c r="C1447">
        <v>0.05</v>
      </c>
      <c r="D1447">
        <v>0.49</v>
      </c>
      <c r="E1447">
        <v>0.01</v>
      </c>
      <c r="F1447">
        <v>0</v>
      </c>
      <c r="G1447">
        <v>1446</v>
      </c>
      <c r="H1447">
        <v>1330</v>
      </c>
      <c r="I1447">
        <v>1123</v>
      </c>
      <c r="J1447" t="s">
        <v>6279</v>
      </c>
    </row>
    <row r="1448" spans="1:10">
      <c r="A1448">
        <v>2015</v>
      </c>
      <c r="B1448" t="s">
        <v>4981</v>
      </c>
      <c r="C1448">
        <v>0.05</v>
      </c>
      <c r="D1448">
        <v>12.39</v>
      </c>
      <c r="E1448">
        <v>0.18</v>
      </c>
      <c r="F1448">
        <v>0.21</v>
      </c>
      <c r="G1448">
        <v>1446</v>
      </c>
      <c r="H1448">
        <v>420</v>
      </c>
      <c r="I1448">
        <v>584</v>
      </c>
      <c r="J1448">
        <v>324</v>
      </c>
    </row>
    <row r="1449" spans="1:10">
      <c r="A1449">
        <v>3045</v>
      </c>
      <c r="B1449" t="s">
        <v>5298</v>
      </c>
      <c r="C1449">
        <v>0.05</v>
      </c>
      <c r="D1449">
        <v>15.7</v>
      </c>
      <c r="E1449">
        <v>0.65</v>
      </c>
      <c r="F1449">
        <v>1.76</v>
      </c>
      <c r="G1449">
        <v>1446</v>
      </c>
      <c r="H1449">
        <v>344</v>
      </c>
      <c r="I1449">
        <v>269</v>
      </c>
      <c r="J1449">
        <v>140</v>
      </c>
    </row>
    <row r="1450" spans="1:10">
      <c r="A1450">
        <v>6505</v>
      </c>
      <c r="B1450" t="s">
        <v>5890</v>
      </c>
      <c r="C1450">
        <v>0.05</v>
      </c>
      <c r="D1450">
        <v>7.02</v>
      </c>
      <c r="E1450">
        <v>0.05</v>
      </c>
      <c r="F1450">
        <v>0.17</v>
      </c>
      <c r="G1450">
        <v>1446</v>
      </c>
      <c r="H1450">
        <v>643</v>
      </c>
      <c r="I1450">
        <v>908</v>
      </c>
      <c r="J1450">
        <v>336</v>
      </c>
    </row>
    <row r="1451" spans="1:10">
      <c r="A1451">
        <v>2207</v>
      </c>
      <c r="B1451" t="s">
        <v>5015</v>
      </c>
      <c r="C1451">
        <v>0.04</v>
      </c>
      <c r="D1451">
        <v>24.27</v>
      </c>
      <c r="E1451">
        <v>0.1</v>
      </c>
      <c r="F1451">
        <v>0.53</v>
      </c>
      <c r="G1451">
        <v>1450</v>
      </c>
      <c r="H1451">
        <v>229</v>
      </c>
      <c r="I1451">
        <v>741</v>
      </c>
      <c r="J1451">
        <v>249</v>
      </c>
    </row>
    <row r="1452" spans="1:10">
      <c r="A1452">
        <v>4506</v>
      </c>
      <c r="B1452" t="s">
        <v>5554</v>
      </c>
      <c r="C1452">
        <v>0.04</v>
      </c>
      <c r="D1452">
        <v>4.8899999999999997</v>
      </c>
      <c r="E1452">
        <v>0</v>
      </c>
      <c r="F1452">
        <v>0.74</v>
      </c>
      <c r="G1452">
        <v>1450</v>
      </c>
      <c r="H1452">
        <v>788</v>
      </c>
      <c r="I1452" t="s">
        <v>6279</v>
      </c>
      <c r="J1452">
        <v>219</v>
      </c>
    </row>
    <row r="1453" spans="1:10">
      <c r="A1453">
        <v>4904</v>
      </c>
      <c r="B1453" t="s">
        <v>5604</v>
      </c>
      <c r="C1453">
        <v>0.04</v>
      </c>
      <c r="D1453">
        <v>24.02</v>
      </c>
      <c r="E1453">
        <v>0.5</v>
      </c>
      <c r="F1453">
        <v>2.44</v>
      </c>
      <c r="G1453">
        <v>1450</v>
      </c>
      <c r="H1453">
        <v>233</v>
      </c>
      <c r="I1453">
        <v>319</v>
      </c>
      <c r="J1453">
        <v>107</v>
      </c>
    </row>
    <row r="1454" spans="1:10">
      <c r="A1454">
        <v>5903</v>
      </c>
      <c r="B1454" t="s">
        <v>5730</v>
      </c>
      <c r="C1454">
        <v>0.04</v>
      </c>
      <c r="D1454">
        <v>52.73</v>
      </c>
      <c r="E1454">
        <v>0</v>
      </c>
      <c r="F1454">
        <v>0</v>
      </c>
      <c r="G1454">
        <v>1450</v>
      </c>
      <c r="H1454">
        <v>68</v>
      </c>
      <c r="I1454" t="s">
        <v>6279</v>
      </c>
      <c r="J1454" t="s">
        <v>6279</v>
      </c>
    </row>
    <row r="1455" spans="1:10">
      <c r="A1455">
        <v>6464</v>
      </c>
      <c r="B1455" t="s">
        <v>5879</v>
      </c>
      <c r="C1455">
        <v>0.04</v>
      </c>
      <c r="D1455">
        <v>0.59</v>
      </c>
      <c r="E1455">
        <v>0.01</v>
      </c>
      <c r="F1455">
        <v>0</v>
      </c>
      <c r="G1455">
        <v>1450</v>
      </c>
      <c r="H1455">
        <v>1309</v>
      </c>
      <c r="I1455">
        <v>1123</v>
      </c>
      <c r="J1455" t="s">
        <v>6279</v>
      </c>
    </row>
    <row r="1456" spans="1:10">
      <c r="A1456">
        <v>6790</v>
      </c>
      <c r="B1456" t="s">
        <v>6225</v>
      </c>
      <c r="C1456">
        <v>0.04</v>
      </c>
      <c r="D1456">
        <v>2.4500000000000002</v>
      </c>
      <c r="E1456">
        <v>0.28999999999999998</v>
      </c>
      <c r="F1456">
        <v>0</v>
      </c>
      <c r="G1456">
        <v>1450</v>
      </c>
      <c r="H1456">
        <v>987</v>
      </c>
      <c r="I1456">
        <v>467</v>
      </c>
      <c r="J1456" t="s">
        <v>6279</v>
      </c>
    </row>
    <row r="1457" spans="1:10">
      <c r="A1457">
        <v>9905</v>
      </c>
      <c r="B1457" t="s">
        <v>6068</v>
      </c>
      <c r="C1457">
        <v>0.04</v>
      </c>
      <c r="D1457">
        <v>2.84</v>
      </c>
      <c r="E1457">
        <v>0.01</v>
      </c>
      <c r="F1457">
        <v>0.06</v>
      </c>
      <c r="G1457">
        <v>1450</v>
      </c>
      <c r="H1457">
        <v>940</v>
      </c>
      <c r="I1457">
        <v>1123</v>
      </c>
      <c r="J1457">
        <v>413</v>
      </c>
    </row>
    <row r="1458" spans="1:10">
      <c r="A1458">
        <v>9908</v>
      </c>
      <c r="B1458" t="s">
        <v>6071</v>
      </c>
      <c r="C1458">
        <v>0.04</v>
      </c>
      <c r="D1458">
        <v>2.06</v>
      </c>
      <c r="E1458">
        <v>0.01</v>
      </c>
      <c r="F1458">
        <v>0</v>
      </c>
      <c r="G1458">
        <v>1450</v>
      </c>
      <c r="H1458">
        <v>1043</v>
      </c>
      <c r="I1458">
        <v>1123</v>
      </c>
      <c r="J1458" t="s">
        <v>6279</v>
      </c>
    </row>
    <row r="1459" spans="1:10">
      <c r="A1459">
        <v>4440</v>
      </c>
      <c r="B1459" t="s">
        <v>6526</v>
      </c>
      <c r="C1459">
        <v>0.03</v>
      </c>
      <c r="D1459">
        <v>1.01</v>
      </c>
      <c r="E1459">
        <v>0</v>
      </c>
      <c r="F1459">
        <v>0</v>
      </c>
      <c r="G1459">
        <v>1458</v>
      </c>
      <c r="H1459">
        <v>1220</v>
      </c>
      <c r="I1459" t="s">
        <v>6279</v>
      </c>
      <c r="J1459" t="s">
        <v>6279</v>
      </c>
    </row>
    <row r="1460" spans="1:10">
      <c r="A1460">
        <v>6184</v>
      </c>
      <c r="B1460" t="s">
        <v>5791</v>
      </c>
      <c r="C1460">
        <v>0.03</v>
      </c>
      <c r="D1460">
        <v>2.58</v>
      </c>
      <c r="E1460">
        <v>0.02</v>
      </c>
      <c r="F1460">
        <v>0</v>
      </c>
      <c r="G1460">
        <v>1458</v>
      </c>
      <c r="H1460">
        <v>973</v>
      </c>
      <c r="I1460">
        <v>1051</v>
      </c>
      <c r="J1460" t="s">
        <v>6279</v>
      </c>
    </row>
    <row r="1461" spans="1:10">
      <c r="A1461">
        <v>6803</v>
      </c>
      <c r="B1461" t="s">
        <v>5949</v>
      </c>
      <c r="C1461">
        <v>0.03</v>
      </c>
      <c r="D1461">
        <v>1.99</v>
      </c>
      <c r="E1461">
        <v>0.63</v>
      </c>
      <c r="F1461">
        <v>0.16</v>
      </c>
      <c r="G1461">
        <v>1458</v>
      </c>
      <c r="H1461">
        <v>1057</v>
      </c>
      <c r="I1461">
        <v>272</v>
      </c>
      <c r="J1461">
        <v>341</v>
      </c>
    </row>
    <row r="1462" spans="1:10">
      <c r="A1462">
        <v>9931</v>
      </c>
      <c r="B1462" t="s">
        <v>6084</v>
      </c>
      <c r="C1462">
        <v>0.03</v>
      </c>
      <c r="D1462">
        <v>0.56999999999999995</v>
      </c>
      <c r="E1462">
        <v>0</v>
      </c>
      <c r="F1462">
        <v>0</v>
      </c>
      <c r="G1462">
        <v>1458</v>
      </c>
      <c r="H1462">
        <v>1314</v>
      </c>
      <c r="I1462" t="s">
        <v>6279</v>
      </c>
      <c r="J1462" t="s">
        <v>6279</v>
      </c>
    </row>
    <row r="1463" spans="1:10">
      <c r="A1463">
        <v>2910</v>
      </c>
      <c r="B1463" t="s">
        <v>5254</v>
      </c>
      <c r="C1463">
        <v>0.02</v>
      </c>
      <c r="D1463">
        <v>0.17</v>
      </c>
      <c r="E1463">
        <v>0</v>
      </c>
      <c r="F1463">
        <v>0</v>
      </c>
      <c r="G1463">
        <v>1462</v>
      </c>
      <c r="H1463">
        <v>1419</v>
      </c>
      <c r="I1463" t="s">
        <v>6279</v>
      </c>
      <c r="J1463" t="s">
        <v>6279</v>
      </c>
    </row>
    <row r="1464" spans="1:10">
      <c r="A1464">
        <v>3130</v>
      </c>
      <c r="B1464" t="s">
        <v>5324</v>
      </c>
      <c r="C1464">
        <v>0.02</v>
      </c>
      <c r="D1464">
        <v>39.31</v>
      </c>
      <c r="E1464">
        <v>1.43</v>
      </c>
      <c r="F1464">
        <v>0</v>
      </c>
      <c r="G1464">
        <v>1462</v>
      </c>
      <c r="H1464">
        <v>125</v>
      </c>
      <c r="I1464">
        <v>116</v>
      </c>
      <c r="J1464" t="s">
        <v>6279</v>
      </c>
    </row>
    <row r="1465" spans="1:10">
      <c r="A1465">
        <v>5820</v>
      </c>
      <c r="B1465" t="s">
        <v>5724</v>
      </c>
      <c r="C1465">
        <v>0.02</v>
      </c>
      <c r="D1465">
        <v>25.87</v>
      </c>
      <c r="E1465">
        <v>0.02</v>
      </c>
      <c r="F1465">
        <v>0</v>
      </c>
      <c r="G1465">
        <v>1462</v>
      </c>
      <c r="H1465">
        <v>211</v>
      </c>
      <c r="I1465">
        <v>1051</v>
      </c>
      <c r="J1465" t="s">
        <v>6279</v>
      </c>
    </row>
    <row r="1466" spans="1:10">
      <c r="A1466">
        <v>6281</v>
      </c>
      <c r="B1466" t="s">
        <v>5850</v>
      </c>
      <c r="C1466">
        <v>0.02</v>
      </c>
      <c r="D1466">
        <v>1.92</v>
      </c>
      <c r="E1466">
        <v>0.54</v>
      </c>
      <c r="F1466">
        <v>0</v>
      </c>
      <c r="G1466">
        <v>1462</v>
      </c>
      <c r="H1466">
        <v>1066</v>
      </c>
      <c r="I1466">
        <v>302</v>
      </c>
      <c r="J1466" t="s">
        <v>6279</v>
      </c>
    </row>
    <row r="1467" spans="1:10">
      <c r="A1467">
        <v>9926</v>
      </c>
      <c r="B1467" t="s">
        <v>6081</v>
      </c>
      <c r="C1467">
        <v>0.02</v>
      </c>
      <c r="D1467">
        <v>0.28000000000000003</v>
      </c>
      <c r="E1467">
        <v>0</v>
      </c>
      <c r="F1467">
        <v>0</v>
      </c>
      <c r="G1467">
        <v>1462</v>
      </c>
      <c r="H1467">
        <v>1397</v>
      </c>
      <c r="I1467" t="s">
        <v>6279</v>
      </c>
      <c r="J1467" t="s">
        <v>6279</v>
      </c>
    </row>
    <row r="1468" spans="1:10">
      <c r="A1468">
        <v>1726</v>
      </c>
      <c r="B1468" t="s">
        <v>4936</v>
      </c>
      <c r="C1468">
        <v>0.01</v>
      </c>
      <c r="D1468">
        <v>13.27</v>
      </c>
      <c r="E1468">
        <v>0</v>
      </c>
      <c r="F1468">
        <v>0</v>
      </c>
      <c r="G1468">
        <v>1467</v>
      </c>
      <c r="H1468">
        <v>401</v>
      </c>
      <c r="I1468" t="s">
        <v>6279</v>
      </c>
      <c r="J1468" t="s">
        <v>6279</v>
      </c>
    </row>
    <row r="1469" spans="1:10">
      <c r="A1469">
        <v>4205</v>
      </c>
      <c r="B1469" t="s">
        <v>6145</v>
      </c>
      <c r="C1469">
        <v>0.01</v>
      </c>
      <c r="D1469">
        <v>0.48</v>
      </c>
      <c r="E1469">
        <v>0</v>
      </c>
      <c r="F1469">
        <v>0</v>
      </c>
      <c r="G1469">
        <v>1467</v>
      </c>
      <c r="H1469">
        <v>1337</v>
      </c>
      <c r="I1469" t="s">
        <v>6279</v>
      </c>
      <c r="J1469" t="s">
        <v>6279</v>
      </c>
    </row>
    <row r="1470" spans="1:10">
      <c r="A1470">
        <v>4305</v>
      </c>
      <c r="B1470" t="s">
        <v>6353</v>
      </c>
      <c r="C1470">
        <v>0.01</v>
      </c>
      <c r="D1470">
        <v>0.04</v>
      </c>
      <c r="E1470">
        <v>0</v>
      </c>
      <c r="F1470">
        <v>0</v>
      </c>
      <c r="G1470">
        <v>1467</v>
      </c>
      <c r="H1470">
        <v>1462</v>
      </c>
      <c r="I1470" t="s">
        <v>6279</v>
      </c>
      <c r="J1470" t="s">
        <v>6279</v>
      </c>
    </row>
    <row r="1471" spans="1:10">
      <c r="A1471">
        <v>4535</v>
      </c>
      <c r="B1471" t="s">
        <v>6354</v>
      </c>
      <c r="C1471">
        <v>0.01</v>
      </c>
      <c r="D1471">
        <v>0.05</v>
      </c>
      <c r="E1471">
        <v>0</v>
      </c>
      <c r="F1471">
        <v>0</v>
      </c>
      <c r="G1471">
        <v>1467</v>
      </c>
      <c r="H1471">
        <v>1459</v>
      </c>
      <c r="I1471" t="s">
        <v>6279</v>
      </c>
      <c r="J1471" t="s">
        <v>6279</v>
      </c>
    </row>
    <row r="1472" spans="1:10">
      <c r="A1472">
        <v>8917</v>
      </c>
      <c r="B1472" t="s">
        <v>6355</v>
      </c>
      <c r="C1472">
        <v>0.01</v>
      </c>
      <c r="D1472">
        <v>1.29</v>
      </c>
      <c r="E1472">
        <v>0</v>
      </c>
      <c r="F1472">
        <v>0</v>
      </c>
      <c r="G1472">
        <v>1467</v>
      </c>
      <c r="H1472">
        <v>1164</v>
      </c>
      <c r="I1472" t="s">
        <v>6279</v>
      </c>
      <c r="J1472" t="s">
        <v>6279</v>
      </c>
    </row>
    <row r="1473" spans="1:10">
      <c r="A1473">
        <v>9917</v>
      </c>
      <c r="B1473" t="s">
        <v>6075</v>
      </c>
      <c r="C1473">
        <v>0.01</v>
      </c>
      <c r="D1473">
        <v>40.520000000000003</v>
      </c>
      <c r="E1473">
        <v>0.18</v>
      </c>
      <c r="F1473">
        <v>0.44</v>
      </c>
      <c r="G1473">
        <v>1467</v>
      </c>
      <c r="H1473">
        <v>117</v>
      </c>
      <c r="I1473">
        <v>584</v>
      </c>
      <c r="J1473">
        <v>265</v>
      </c>
    </row>
    <row r="1474" spans="1:10">
      <c r="A1474">
        <v>1233</v>
      </c>
      <c r="B1474" t="s">
        <v>4792</v>
      </c>
      <c r="C1474">
        <v>0</v>
      </c>
      <c r="D1474">
        <v>5.25</v>
      </c>
      <c r="E1474">
        <v>0</v>
      </c>
      <c r="F1474">
        <v>0</v>
      </c>
      <c r="G1474" t="s">
        <v>6279</v>
      </c>
      <c r="H1474">
        <v>761</v>
      </c>
      <c r="I1474" t="s">
        <v>6279</v>
      </c>
      <c r="J1474" t="s">
        <v>6279</v>
      </c>
    </row>
    <row r="1475" spans="1:10">
      <c r="A1475">
        <v>3332</v>
      </c>
      <c r="B1475" t="s">
        <v>6357</v>
      </c>
      <c r="C1475">
        <v>0</v>
      </c>
      <c r="D1475">
        <v>0.21</v>
      </c>
      <c r="E1475">
        <v>0</v>
      </c>
      <c r="F1475">
        <v>0</v>
      </c>
      <c r="G1475" t="s">
        <v>6279</v>
      </c>
      <c r="H1475">
        <v>1411</v>
      </c>
      <c r="I1475" t="s">
        <v>6279</v>
      </c>
      <c r="J1475" t="s">
        <v>6279</v>
      </c>
    </row>
    <row r="1476" spans="1:10">
      <c r="A1476">
        <v>9925</v>
      </c>
      <c r="B1476" t="s">
        <v>6080</v>
      </c>
      <c r="C1476">
        <v>0</v>
      </c>
      <c r="D1476">
        <v>17.18</v>
      </c>
      <c r="E1476">
        <v>0.01</v>
      </c>
      <c r="F1476">
        <v>0</v>
      </c>
      <c r="G1476" t="s">
        <v>6279</v>
      </c>
      <c r="H1476">
        <v>328</v>
      </c>
      <c r="I1476">
        <v>1123</v>
      </c>
      <c r="J1476" t="s">
        <v>6279</v>
      </c>
    </row>
  </sheetData>
  <phoneticPr fontId="1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工作表7">
    <tabColor rgb="FF7030A0"/>
  </sheetPr>
  <dimension ref="A1:AN1410"/>
  <sheetViews>
    <sheetView workbookViewId="0"/>
  </sheetViews>
  <sheetFormatPr defaultRowHeight="15.75"/>
  <cols>
    <col min="1" max="2" width="6.5703125" customWidth="1"/>
    <col min="3" max="11" width="4.5703125" customWidth="1"/>
    <col min="12" max="12" width="4.5703125" style="367" customWidth="1"/>
    <col min="13" max="19" width="4.5703125" customWidth="1"/>
    <col min="20" max="20" width="4.5703125" style="367" customWidth="1"/>
    <col min="21" max="36" width="4.5703125" customWidth="1"/>
    <col min="39" max="40" width="9" style="367"/>
  </cols>
  <sheetData>
    <row r="1" spans="1:40" s="245" customFormat="1">
      <c r="A1" s="245" t="s">
        <v>6102</v>
      </c>
      <c r="B1" s="245" t="s">
        <v>6103</v>
      </c>
      <c r="C1" s="245" t="s">
        <v>6197</v>
      </c>
      <c r="D1" s="245" t="s">
        <v>6198</v>
      </c>
      <c r="E1" s="245" t="s">
        <v>6697</v>
      </c>
      <c r="F1" s="245" t="s">
        <v>6376</v>
      </c>
      <c r="G1" s="245" t="s">
        <v>6377</v>
      </c>
      <c r="H1" s="245" t="s">
        <v>6378</v>
      </c>
      <c r="I1" s="245" t="s">
        <v>6379</v>
      </c>
      <c r="J1" s="245" t="s">
        <v>6380</v>
      </c>
      <c r="K1" s="245" t="s">
        <v>6772</v>
      </c>
      <c r="L1" s="357" t="s">
        <v>3372</v>
      </c>
      <c r="M1" s="245" t="s">
        <v>6698</v>
      </c>
      <c r="N1" s="245" t="s">
        <v>6381</v>
      </c>
      <c r="O1" s="245" t="s">
        <v>6382</v>
      </c>
      <c r="P1" s="245" t="s">
        <v>6383</v>
      </c>
      <c r="Q1" s="245" t="s">
        <v>6384</v>
      </c>
      <c r="R1" s="245" t="s">
        <v>6385</v>
      </c>
      <c r="S1" s="245" t="s">
        <v>6773</v>
      </c>
      <c r="T1" s="357" t="s">
        <v>3373</v>
      </c>
      <c r="U1" s="245" t="s">
        <v>6386</v>
      </c>
      <c r="V1" s="245" t="s">
        <v>6387</v>
      </c>
      <c r="W1" s="245" t="s">
        <v>6700</v>
      </c>
      <c r="X1" s="245" t="s">
        <v>6388</v>
      </c>
      <c r="Y1" s="245" t="s">
        <v>6389</v>
      </c>
      <c r="Z1" s="245" t="s">
        <v>6390</v>
      </c>
      <c r="AA1" s="245" t="s">
        <v>6391</v>
      </c>
      <c r="AB1" s="245" t="s">
        <v>6392</v>
      </c>
      <c r="AC1" s="245" t="s">
        <v>6393</v>
      </c>
      <c r="AD1" s="245" t="s">
        <v>6699</v>
      </c>
      <c r="AE1" s="245" t="s">
        <v>6394</v>
      </c>
      <c r="AF1" s="245" t="s">
        <v>6395</v>
      </c>
      <c r="AG1" s="245" t="s">
        <v>6396</v>
      </c>
      <c r="AH1" s="245" t="s">
        <v>6397</v>
      </c>
      <c r="AI1" s="245" t="s">
        <v>6398</v>
      </c>
      <c r="AJ1" s="245" t="s">
        <v>6399</v>
      </c>
      <c r="AK1" s="245" t="s">
        <v>6401</v>
      </c>
      <c r="AL1" s="245" t="s">
        <v>6402</v>
      </c>
      <c r="AM1" s="257" t="s">
        <v>6211</v>
      </c>
      <c r="AN1" s="257" t="s">
        <v>6212</v>
      </c>
    </row>
    <row r="2" spans="1:40">
      <c r="A2">
        <v>1477</v>
      </c>
      <c r="B2" t="s">
        <v>4861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 s="367" t="s">
        <v>6774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367">
        <v>0</v>
      </c>
      <c r="U2">
        <v>2</v>
      </c>
      <c r="V2">
        <v>0</v>
      </c>
      <c r="W2">
        <v>0</v>
      </c>
      <c r="X2">
        <v>1</v>
      </c>
      <c r="Y2">
        <v>6</v>
      </c>
      <c r="Z2">
        <v>3</v>
      </c>
      <c r="AA2">
        <v>2</v>
      </c>
      <c r="AB2">
        <v>0</v>
      </c>
      <c r="AC2">
        <v>0</v>
      </c>
      <c r="AD2">
        <v>1</v>
      </c>
      <c r="AE2">
        <v>0</v>
      </c>
      <c r="AF2">
        <v>0</v>
      </c>
      <c r="AG2">
        <v>0</v>
      </c>
      <c r="AH2">
        <v>0</v>
      </c>
      <c r="AI2">
        <v>3</v>
      </c>
      <c r="AJ2">
        <v>1</v>
      </c>
      <c r="AK2">
        <v>3</v>
      </c>
      <c r="AL2">
        <v>0</v>
      </c>
      <c r="AM2" s="367" t="s">
        <v>6779</v>
      </c>
    </row>
    <row r="3" spans="1:40">
      <c r="A3">
        <v>1516</v>
      </c>
      <c r="B3" t="s">
        <v>4867</v>
      </c>
      <c r="C3">
        <v>2</v>
      </c>
      <c r="D3">
        <v>0</v>
      </c>
      <c r="E3">
        <v>2</v>
      </c>
      <c r="F3">
        <v>0</v>
      </c>
      <c r="G3">
        <v>0</v>
      </c>
      <c r="H3">
        <v>5</v>
      </c>
      <c r="I3">
        <v>0</v>
      </c>
      <c r="J3">
        <v>0</v>
      </c>
      <c r="K3">
        <v>0</v>
      </c>
      <c r="L3" s="367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367">
        <v>0</v>
      </c>
      <c r="U3">
        <v>0</v>
      </c>
      <c r="V3">
        <v>0</v>
      </c>
      <c r="W3">
        <v>1</v>
      </c>
      <c r="X3">
        <v>0</v>
      </c>
      <c r="Y3">
        <v>0</v>
      </c>
      <c r="Z3">
        <v>1</v>
      </c>
      <c r="AA3">
        <v>0</v>
      </c>
      <c r="AB3">
        <v>0</v>
      </c>
      <c r="AC3">
        <v>0</v>
      </c>
      <c r="AD3">
        <v>0</v>
      </c>
      <c r="AE3">
        <v>1</v>
      </c>
      <c r="AF3">
        <v>1</v>
      </c>
      <c r="AG3">
        <v>0</v>
      </c>
      <c r="AH3">
        <v>0</v>
      </c>
      <c r="AI3">
        <v>0</v>
      </c>
      <c r="AJ3">
        <v>1</v>
      </c>
      <c r="AK3">
        <v>2</v>
      </c>
      <c r="AL3">
        <v>0</v>
      </c>
      <c r="AM3" s="367">
        <v>25</v>
      </c>
    </row>
    <row r="4" spans="1:40">
      <c r="A4">
        <v>1522</v>
      </c>
      <c r="B4" t="s">
        <v>4871</v>
      </c>
      <c r="C4">
        <v>1</v>
      </c>
      <c r="D4">
        <v>0</v>
      </c>
      <c r="E4">
        <v>0</v>
      </c>
      <c r="F4">
        <v>0</v>
      </c>
      <c r="G4">
        <v>4</v>
      </c>
      <c r="H4">
        <v>0</v>
      </c>
      <c r="I4">
        <v>0</v>
      </c>
      <c r="J4">
        <v>0</v>
      </c>
      <c r="K4">
        <v>0</v>
      </c>
      <c r="L4" s="367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367">
        <v>0</v>
      </c>
      <c r="U4">
        <v>0</v>
      </c>
      <c r="V4">
        <v>0</v>
      </c>
      <c r="W4">
        <v>1</v>
      </c>
      <c r="X4">
        <v>0</v>
      </c>
      <c r="Y4">
        <v>1</v>
      </c>
      <c r="Z4">
        <v>0</v>
      </c>
      <c r="AA4">
        <v>1</v>
      </c>
      <c r="AB4">
        <v>1</v>
      </c>
      <c r="AC4">
        <v>0</v>
      </c>
      <c r="AD4">
        <v>0</v>
      </c>
      <c r="AE4">
        <v>1</v>
      </c>
      <c r="AF4">
        <v>0</v>
      </c>
      <c r="AG4">
        <v>1</v>
      </c>
      <c r="AH4">
        <v>0</v>
      </c>
      <c r="AI4">
        <v>0</v>
      </c>
      <c r="AJ4">
        <v>3</v>
      </c>
      <c r="AK4">
        <v>1</v>
      </c>
      <c r="AL4">
        <v>0</v>
      </c>
      <c r="AM4" s="367">
        <v>4</v>
      </c>
    </row>
    <row r="5" spans="1:40">
      <c r="A5">
        <v>1524</v>
      </c>
      <c r="B5" t="s">
        <v>4872</v>
      </c>
      <c r="C5">
        <v>0</v>
      </c>
      <c r="D5">
        <v>3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 s="367">
        <v>0</v>
      </c>
      <c r="M5">
        <v>2</v>
      </c>
      <c r="N5">
        <v>3</v>
      </c>
      <c r="O5">
        <v>4</v>
      </c>
      <c r="P5">
        <v>0</v>
      </c>
      <c r="Q5">
        <v>0</v>
      </c>
      <c r="R5">
        <v>0</v>
      </c>
      <c r="S5">
        <v>0</v>
      </c>
      <c r="T5" s="367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>
        <v>4</v>
      </c>
      <c r="AH5">
        <v>0</v>
      </c>
      <c r="AI5">
        <v>0</v>
      </c>
      <c r="AJ5">
        <v>2</v>
      </c>
      <c r="AK5">
        <v>0</v>
      </c>
      <c r="AL5">
        <v>3</v>
      </c>
      <c r="AN5" s="367">
        <v>234</v>
      </c>
    </row>
    <row r="6" spans="1:40">
      <c r="A6">
        <v>1529</v>
      </c>
      <c r="B6" t="s">
        <v>4877</v>
      </c>
      <c r="C6">
        <v>0</v>
      </c>
      <c r="D6">
        <v>2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 s="367">
        <v>0</v>
      </c>
      <c r="M6">
        <v>2</v>
      </c>
      <c r="N6">
        <v>0</v>
      </c>
      <c r="O6">
        <v>0</v>
      </c>
      <c r="P6">
        <v>0</v>
      </c>
      <c r="Q6">
        <v>0</v>
      </c>
      <c r="R6">
        <v>0</v>
      </c>
      <c r="S6">
        <v>7</v>
      </c>
      <c r="T6" s="367">
        <v>0</v>
      </c>
      <c r="U6">
        <v>0</v>
      </c>
      <c r="V6">
        <v>0</v>
      </c>
      <c r="W6">
        <v>0</v>
      </c>
      <c r="X6">
        <v>4</v>
      </c>
      <c r="Y6">
        <v>2</v>
      </c>
      <c r="Z6">
        <v>0</v>
      </c>
      <c r="AA6">
        <v>0</v>
      </c>
      <c r="AB6">
        <v>0</v>
      </c>
      <c r="AC6">
        <v>0</v>
      </c>
      <c r="AD6">
        <v>3</v>
      </c>
      <c r="AE6">
        <v>0</v>
      </c>
      <c r="AF6">
        <v>0</v>
      </c>
      <c r="AG6">
        <v>0</v>
      </c>
      <c r="AH6">
        <v>0</v>
      </c>
      <c r="AI6">
        <v>2</v>
      </c>
      <c r="AJ6">
        <v>3</v>
      </c>
      <c r="AK6">
        <v>0</v>
      </c>
      <c r="AL6">
        <v>2</v>
      </c>
      <c r="AN6" s="367">
        <v>27</v>
      </c>
    </row>
    <row r="7" spans="1:40">
      <c r="A7">
        <v>1605</v>
      </c>
      <c r="B7" t="s">
        <v>4910</v>
      </c>
      <c r="C7">
        <v>0</v>
      </c>
      <c r="D7">
        <v>1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 s="367">
        <v>0</v>
      </c>
      <c r="M7">
        <v>0</v>
      </c>
      <c r="N7">
        <v>0</v>
      </c>
      <c r="O7">
        <v>0</v>
      </c>
      <c r="P7">
        <v>0</v>
      </c>
      <c r="Q7">
        <v>6</v>
      </c>
      <c r="R7">
        <v>0</v>
      </c>
      <c r="S7">
        <v>0</v>
      </c>
      <c r="T7" s="367">
        <v>0</v>
      </c>
      <c r="U7">
        <v>0</v>
      </c>
      <c r="V7">
        <v>0</v>
      </c>
      <c r="W7">
        <v>1</v>
      </c>
      <c r="X7">
        <v>1</v>
      </c>
      <c r="Y7">
        <v>2</v>
      </c>
      <c r="Z7">
        <v>1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2</v>
      </c>
      <c r="AI7">
        <v>1</v>
      </c>
      <c r="AJ7">
        <v>1</v>
      </c>
      <c r="AK7">
        <v>0</v>
      </c>
      <c r="AL7">
        <v>1</v>
      </c>
      <c r="AN7" s="367">
        <v>6</v>
      </c>
    </row>
    <row r="8" spans="1:40">
      <c r="A8">
        <v>1708</v>
      </c>
      <c r="B8" t="s">
        <v>4923</v>
      </c>
      <c r="C8">
        <v>1</v>
      </c>
      <c r="D8">
        <v>1</v>
      </c>
      <c r="E8">
        <v>0</v>
      </c>
      <c r="F8">
        <v>0</v>
      </c>
      <c r="G8">
        <v>4</v>
      </c>
      <c r="H8">
        <v>0</v>
      </c>
      <c r="I8">
        <v>0</v>
      </c>
      <c r="J8">
        <v>0</v>
      </c>
      <c r="K8">
        <v>0</v>
      </c>
      <c r="L8" s="367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7</v>
      </c>
      <c r="T8" s="367">
        <v>0</v>
      </c>
      <c r="U8">
        <v>0</v>
      </c>
      <c r="V8">
        <v>2</v>
      </c>
      <c r="W8">
        <v>4</v>
      </c>
      <c r="X8">
        <v>0</v>
      </c>
      <c r="Y8">
        <v>4</v>
      </c>
      <c r="Z8">
        <v>2</v>
      </c>
      <c r="AA8">
        <v>0</v>
      </c>
      <c r="AB8">
        <v>1</v>
      </c>
      <c r="AC8">
        <v>0</v>
      </c>
      <c r="AD8">
        <v>0</v>
      </c>
      <c r="AE8">
        <v>6</v>
      </c>
      <c r="AF8">
        <v>0</v>
      </c>
      <c r="AG8">
        <v>0</v>
      </c>
      <c r="AH8">
        <v>0</v>
      </c>
      <c r="AI8">
        <v>0</v>
      </c>
      <c r="AJ8">
        <v>2</v>
      </c>
      <c r="AK8">
        <v>1</v>
      </c>
      <c r="AL8">
        <v>3</v>
      </c>
      <c r="AM8" s="367">
        <v>4</v>
      </c>
      <c r="AN8" s="367" t="s">
        <v>6833</v>
      </c>
    </row>
    <row r="9" spans="1:40">
      <c r="A9">
        <v>1712</v>
      </c>
      <c r="B9" t="s">
        <v>4927</v>
      </c>
      <c r="C9">
        <v>2</v>
      </c>
      <c r="D9">
        <v>0</v>
      </c>
      <c r="E9">
        <v>2</v>
      </c>
      <c r="F9">
        <v>0</v>
      </c>
      <c r="G9">
        <v>0</v>
      </c>
      <c r="H9">
        <v>5</v>
      </c>
      <c r="I9">
        <v>0</v>
      </c>
      <c r="J9">
        <v>0</v>
      </c>
      <c r="K9">
        <v>0</v>
      </c>
      <c r="L9" s="367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 s="367">
        <v>0</v>
      </c>
      <c r="U9">
        <v>0</v>
      </c>
      <c r="V9">
        <v>0</v>
      </c>
      <c r="W9">
        <v>4</v>
      </c>
      <c r="X9">
        <v>0</v>
      </c>
      <c r="Y9">
        <v>4</v>
      </c>
      <c r="Z9">
        <v>2</v>
      </c>
      <c r="AA9">
        <v>0</v>
      </c>
      <c r="AB9">
        <v>0</v>
      </c>
      <c r="AC9">
        <v>2</v>
      </c>
      <c r="AD9">
        <v>0</v>
      </c>
      <c r="AE9">
        <v>1</v>
      </c>
      <c r="AF9">
        <v>0</v>
      </c>
      <c r="AG9">
        <v>0</v>
      </c>
      <c r="AH9">
        <v>0</v>
      </c>
      <c r="AI9">
        <v>2</v>
      </c>
      <c r="AJ9">
        <v>0</v>
      </c>
      <c r="AK9">
        <v>2</v>
      </c>
      <c r="AL9">
        <v>0</v>
      </c>
      <c r="AM9" s="367">
        <v>25</v>
      </c>
    </row>
    <row r="10" spans="1:40">
      <c r="A10">
        <v>1733</v>
      </c>
      <c r="B10" t="s">
        <v>4941</v>
      </c>
      <c r="C10">
        <v>0</v>
      </c>
      <c r="D10">
        <v>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 s="367">
        <v>0</v>
      </c>
      <c r="M10">
        <v>0</v>
      </c>
      <c r="N10">
        <v>0</v>
      </c>
      <c r="O10">
        <v>0</v>
      </c>
      <c r="P10">
        <v>5</v>
      </c>
      <c r="Q10">
        <v>0</v>
      </c>
      <c r="R10">
        <v>0</v>
      </c>
      <c r="S10">
        <v>0</v>
      </c>
      <c r="T10" s="367">
        <v>0</v>
      </c>
      <c r="U10">
        <v>0</v>
      </c>
      <c r="V10">
        <v>3</v>
      </c>
      <c r="W10">
        <v>0</v>
      </c>
      <c r="X10">
        <v>0</v>
      </c>
      <c r="Y10">
        <v>1</v>
      </c>
      <c r="Z10">
        <v>0</v>
      </c>
      <c r="AA10">
        <v>0</v>
      </c>
      <c r="AB10">
        <v>0</v>
      </c>
      <c r="AC10">
        <v>0</v>
      </c>
      <c r="AD10">
        <v>2</v>
      </c>
      <c r="AE10">
        <v>4</v>
      </c>
      <c r="AF10">
        <v>0</v>
      </c>
      <c r="AG10">
        <v>1</v>
      </c>
      <c r="AH10">
        <v>0</v>
      </c>
      <c r="AI10">
        <v>7</v>
      </c>
      <c r="AJ10">
        <v>1</v>
      </c>
      <c r="AK10">
        <v>0</v>
      </c>
      <c r="AL10">
        <v>4</v>
      </c>
      <c r="AN10" s="367" t="s">
        <v>6834</v>
      </c>
    </row>
    <row r="11" spans="1:40">
      <c r="A11">
        <v>1760</v>
      </c>
      <c r="B11" t="s">
        <v>4948</v>
      </c>
      <c r="C11">
        <v>1</v>
      </c>
      <c r="D11">
        <v>0</v>
      </c>
      <c r="E11">
        <v>0</v>
      </c>
      <c r="F11">
        <v>0</v>
      </c>
      <c r="G11">
        <v>4</v>
      </c>
      <c r="H11">
        <v>0</v>
      </c>
      <c r="I11">
        <v>0</v>
      </c>
      <c r="J11">
        <v>0</v>
      </c>
      <c r="K11">
        <v>0</v>
      </c>
      <c r="L11" s="367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 s="367">
        <v>0</v>
      </c>
      <c r="U11">
        <v>0</v>
      </c>
      <c r="V11">
        <v>1</v>
      </c>
      <c r="W11">
        <v>4</v>
      </c>
      <c r="X11">
        <v>0</v>
      </c>
      <c r="Y11">
        <v>4</v>
      </c>
      <c r="Z11">
        <v>1</v>
      </c>
      <c r="AA11">
        <v>0</v>
      </c>
      <c r="AB11">
        <v>3</v>
      </c>
      <c r="AC11">
        <v>0</v>
      </c>
      <c r="AD11">
        <v>0</v>
      </c>
      <c r="AE11">
        <v>5</v>
      </c>
      <c r="AF11">
        <v>0</v>
      </c>
      <c r="AG11">
        <v>0</v>
      </c>
      <c r="AH11">
        <v>0</v>
      </c>
      <c r="AI11">
        <v>0</v>
      </c>
      <c r="AJ11">
        <v>2</v>
      </c>
      <c r="AK11">
        <v>1</v>
      </c>
      <c r="AL11">
        <v>1</v>
      </c>
      <c r="AM11" s="367">
        <v>4</v>
      </c>
      <c r="AN11" s="367" t="s">
        <v>4718</v>
      </c>
    </row>
    <row r="12" spans="1:40">
      <c r="A12">
        <v>2201</v>
      </c>
      <c r="B12" t="s">
        <v>5012</v>
      </c>
      <c r="C12">
        <v>1</v>
      </c>
      <c r="D12">
        <v>0</v>
      </c>
      <c r="E12">
        <v>0</v>
      </c>
      <c r="F12">
        <v>0</v>
      </c>
      <c r="G12">
        <v>4</v>
      </c>
      <c r="H12">
        <v>0</v>
      </c>
      <c r="I12">
        <v>0</v>
      </c>
      <c r="J12">
        <v>0</v>
      </c>
      <c r="K12">
        <v>0</v>
      </c>
      <c r="L12" s="367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 s="367">
        <v>0</v>
      </c>
      <c r="U12">
        <v>0</v>
      </c>
      <c r="V12">
        <v>3</v>
      </c>
      <c r="W12">
        <v>2</v>
      </c>
      <c r="X12">
        <v>0</v>
      </c>
      <c r="Y12">
        <v>2</v>
      </c>
      <c r="Z12">
        <v>2</v>
      </c>
      <c r="AA12">
        <v>0</v>
      </c>
      <c r="AB12">
        <v>0</v>
      </c>
      <c r="AC12">
        <v>0</v>
      </c>
      <c r="AD12">
        <v>0</v>
      </c>
      <c r="AE12">
        <v>1</v>
      </c>
      <c r="AF12">
        <v>0</v>
      </c>
      <c r="AG12">
        <v>0</v>
      </c>
      <c r="AH12">
        <v>0</v>
      </c>
      <c r="AI12">
        <v>6</v>
      </c>
      <c r="AJ12">
        <v>5</v>
      </c>
      <c r="AK12">
        <v>1</v>
      </c>
      <c r="AL12">
        <v>3</v>
      </c>
      <c r="AM12" s="367">
        <v>4</v>
      </c>
      <c r="AN12" s="367" t="s">
        <v>3551</v>
      </c>
    </row>
    <row r="13" spans="1:40">
      <c r="A13">
        <v>2239</v>
      </c>
      <c r="B13" t="s">
        <v>5024</v>
      </c>
      <c r="C13">
        <v>0</v>
      </c>
      <c r="D13">
        <v>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s="367">
        <v>0</v>
      </c>
      <c r="M13">
        <v>0</v>
      </c>
      <c r="N13">
        <v>0</v>
      </c>
      <c r="O13">
        <v>0</v>
      </c>
      <c r="P13">
        <v>0</v>
      </c>
      <c r="Q13">
        <v>6</v>
      </c>
      <c r="R13">
        <v>0</v>
      </c>
      <c r="S13">
        <v>0</v>
      </c>
      <c r="T13" s="367">
        <v>0</v>
      </c>
      <c r="U13">
        <v>0</v>
      </c>
      <c r="V13">
        <v>0</v>
      </c>
      <c r="W13">
        <v>0</v>
      </c>
      <c r="X13">
        <v>0</v>
      </c>
      <c r="Y13">
        <v>2</v>
      </c>
      <c r="Z13">
        <v>1</v>
      </c>
      <c r="AA13">
        <v>0</v>
      </c>
      <c r="AB13">
        <v>0</v>
      </c>
      <c r="AC13">
        <v>0</v>
      </c>
      <c r="AD13">
        <v>4</v>
      </c>
      <c r="AE13">
        <v>1</v>
      </c>
      <c r="AF13">
        <v>0</v>
      </c>
      <c r="AG13">
        <v>0</v>
      </c>
      <c r="AH13">
        <v>4</v>
      </c>
      <c r="AI13">
        <v>0</v>
      </c>
      <c r="AJ13">
        <v>1</v>
      </c>
      <c r="AK13">
        <v>0</v>
      </c>
      <c r="AL13">
        <v>1</v>
      </c>
      <c r="AN13" s="367">
        <v>6</v>
      </c>
    </row>
    <row r="14" spans="1:40">
      <c r="A14">
        <v>2368</v>
      </c>
      <c r="B14" t="s">
        <v>5068</v>
      </c>
      <c r="C14">
        <v>1</v>
      </c>
      <c r="D14">
        <v>0</v>
      </c>
      <c r="E14">
        <v>0</v>
      </c>
      <c r="F14">
        <v>0</v>
      </c>
      <c r="G14">
        <v>0</v>
      </c>
      <c r="H14">
        <v>0</v>
      </c>
      <c r="I14">
        <v>6</v>
      </c>
      <c r="J14">
        <v>0</v>
      </c>
      <c r="K14">
        <v>0</v>
      </c>
      <c r="L14" s="367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 s="367">
        <v>0</v>
      </c>
      <c r="U14">
        <v>0</v>
      </c>
      <c r="V14">
        <v>0</v>
      </c>
      <c r="W14">
        <v>4</v>
      </c>
      <c r="X14">
        <v>1</v>
      </c>
      <c r="Y14">
        <v>0</v>
      </c>
      <c r="Z14">
        <v>0</v>
      </c>
      <c r="AA14">
        <v>4</v>
      </c>
      <c r="AB14">
        <v>0</v>
      </c>
      <c r="AC14">
        <v>0</v>
      </c>
      <c r="AD14">
        <v>0</v>
      </c>
      <c r="AE14">
        <v>0</v>
      </c>
      <c r="AF14">
        <v>1</v>
      </c>
      <c r="AG14">
        <v>1</v>
      </c>
      <c r="AH14">
        <v>0</v>
      </c>
      <c r="AI14">
        <v>1</v>
      </c>
      <c r="AJ14">
        <v>4</v>
      </c>
      <c r="AK14">
        <v>1</v>
      </c>
      <c r="AL14">
        <v>0</v>
      </c>
      <c r="AM14" s="367">
        <v>6</v>
      </c>
    </row>
    <row r="15" spans="1:40">
      <c r="A15">
        <v>2371</v>
      </c>
      <c r="B15" t="s">
        <v>5070</v>
      </c>
      <c r="C15">
        <v>2</v>
      </c>
      <c r="D15">
        <v>0</v>
      </c>
      <c r="E15">
        <v>2</v>
      </c>
      <c r="F15">
        <v>0</v>
      </c>
      <c r="G15">
        <v>4</v>
      </c>
      <c r="H15">
        <v>0</v>
      </c>
      <c r="I15">
        <v>0</v>
      </c>
      <c r="J15">
        <v>0</v>
      </c>
      <c r="K15">
        <v>0</v>
      </c>
      <c r="L15" s="367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 s="367">
        <v>0</v>
      </c>
      <c r="U15">
        <v>0</v>
      </c>
      <c r="V15">
        <v>2</v>
      </c>
      <c r="W15">
        <v>3</v>
      </c>
      <c r="X15">
        <v>0</v>
      </c>
      <c r="Y15">
        <v>3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5</v>
      </c>
      <c r="AF15">
        <v>0</v>
      </c>
      <c r="AG15">
        <v>3</v>
      </c>
      <c r="AH15">
        <v>0</v>
      </c>
      <c r="AI15">
        <v>1</v>
      </c>
      <c r="AJ15">
        <v>5</v>
      </c>
      <c r="AK15">
        <v>2</v>
      </c>
      <c r="AL15">
        <v>2</v>
      </c>
      <c r="AM15" s="367">
        <v>24</v>
      </c>
      <c r="AN15" s="367" t="s">
        <v>6835</v>
      </c>
    </row>
    <row r="16" spans="1:40">
      <c r="A16">
        <v>2383</v>
      </c>
      <c r="B16" t="s">
        <v>5078</v>
      </c>
      <c r="C16">
        <v>1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9</v>
      </c>
      <c r="K16">
        <v>0</v>
      </c>
      <c r="L16" s="367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 s="367">
        <v>0</v>
      </c>
      <c r="U16">
        <v>0</v>
      </c>
      <c r="V16">
        <v>0</v>
      </c>
      <c r="W16">
        <v>0</v>
      </c>
      <c r="X16">
        <v>1</v>
      </c>
      <c r="Y16">
        <v>0</v>
      </c>
      <c r="Z16">
        <v>0</v>
      </c>
      <c r="AA16">
        <v>2</v>
      </c>
      <c r="AB16">
        <v>2</v>
      </c>
      <c r="AC16">
        <v>1</v>
      </c>
      <c r="AD16">
        <v>1</v>
      </c>
      <c r="AE16">
        <v>0</v>
      </c>
      <c r="AF16">
        <v>1</v>
      </c>
      <c r="AG16">
        <v>1</v>
      </c>
      <c r="AH16">
        <v>0</v>
      </c>
      <c r="AI16">
        <v>0</v>
      </c>
      <c r="AJ16">
        <v>0</v>
      </c>
      <c r="AK16">
        <v>1</v>
      </c>
      <c r="AL16">
        <v>0</v>
      </c>
      <c r="AM16" s="367">
        <v>9</v>
      </c>
    </row>
    <row r="17" spans="1:40">
      <c r="A17">
        <v>2390</v>
      </c>
      <c r="B17" t="s">
        <v>5082</v>
      </c>
      <c r="C17">
        <v>0</v>
      </c>
      <c r="D17">
        <v>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 s="367">
        <v>0</v>
      </c>
      <c r="M17">
        <v>2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 s="367">
        <v>0</v>
      </c>
      <c r="U17">
        <v>0</v>
      </c>
      <c r="V17">
        <v>6</v>
      </c>
      <c r="W17">
        <v>0</v>
      </c>
      <c r="X17">
        <v>2</v>
      </c>
      <c r="Y17">
        <v>0</v>
      </c>
      <c r="Z17">
        <v>0</v>
      </c>
      <c r="AA17">
        <v>0</v>
      </c>
      <c r="AB17">
        <v>0</v>
      </c>
      <c r="AC17">
        <v>1</v>
      </c>
      <c r="AD17">
        <v>1</v>
      </c>
      <c r="AE17">
        <v>0</v>
      </c>
      <c r="AF17">
        <v>1</v>
      </c>
      <c r="AG17">
        <v>0</v>
      </c>
      <c r="AH17">
        <v>0</v>
      </c>
      <c r="AI17">
        <v>10</v>
      </c>
      <c r="AJ17">
        <v>0</v>
      </c>
      <c r="AK17">
        <v>0</v>
      </c>
      <c r="AL17">
        <v>7</v>
      </c>
      <c r="AN17" s="367" t="s">
        <v>6780</v>
      </c>
    </row>
    <row r="18" spans="1:40">
      <c r="A18">
        <v>2453</v>
      </c>
      <c r="B18" t="s">
        <v>5118</v>
      </c>
      <c r="C18">
        <v>0</v>
      </c>
      <c r="D18">
        <v>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 s="367">
        <v>0</v>
      </c>
      <c r="M18">
        <v>0</v>
      </c>
      <c r="N18">
        <v>0</v>
      </c>
      <c r="O18">
        <v>0</v>
      </c>
      <c r="P18">
        <v>5</v>
      </c>
      <c r="Q18">
        <v>0</v>
      </c>
      <c r="R18">
        <v>0</v>
      </c>
      <c r="S18">
        <v>0</v>
      </c>
      <c r="T18" s="367">
        <v>0</v>
      </c>
      <c r="U18">
        <v>0</v>
      </c>
      <c r="V18">
        <v>0</v>
      </c>
      <c r="W18">
        <v>0</v>
      </c>
      <c r="X18">
        <v>2</v>
      </c>
      <c r="Y18">
        <v>0</v>
      </c>
      <c r="Z18">
        <v>0</v>
      </c>
      <c r="AA18">
        <v>0</v>
      </c>
      <c r="AB18">
        <v>0</v>
      </c>
      <c r="AC18">
        <v>1</v>
      </c>
      <c r="AD18">
        <v>4</v>
      </c>
      <c r="AE18">
        <v>0</v>
      </c>
      <c r="AF18">
        <v>4</v>
      </c>
      <c r="AG18">
        <v>1</v>
      </c>
      <c r="AH18">
        <v>0</v>
      </c>
      <c r="AI18">
        <v>3</v>
      </c>
      <c r="AJ18">
        <v>0</v>
      </c>
      <c r="AK18">
        <v>0</v>
      </c>
      <c r="AL18">
        <v>1</v>
      </c>
      <c r="AN18" s="367">
        <v>5</v>
      </c>
    </row>
    <row r="19" spans="1:40">
      <c r="A19">
        <v>2481</v>
      </c>
      <c r="B19" t="s">
        <v>5139</v>
      </c>
      <c r="C19">
        <v>1</v>
      </c>
      <c r="D19">
        <v>0</v>
      </c>
      <c r="E19">
        <v>0</v>
      </c>
      <c r="F19">
        <v>0</v>
      </c>
      <c r="G19">
        <v>0</v>
      </c>
      <c r="H19">
        <v>0</v>
      </c>
      <c r="I19">
        <v>6</v>
      </c>
      <c r="J19">
        <v>0</v>
      </c>
      <c r="K19">
        <v>0</v>
      </c>
      <c r="L19" s="367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 s="367">
        <v>0</v>
      </c>
      <c r="U19">
        <v>0</v>
      </c>
      <c r="V19">
        <v>0</v>
      </c>
      <c r="W19">
        <v>0</v>
      </c>
      <c r="X19">
        <v>2</v>
      </c>
      <c r="Y19">
        <v>0</v>
      </c>
      <c r="Z19">
        <v>2</v>
      </c>
      <c r="AA19">
        <v>1</v>
      </c>
      <c r="AB19">
        <v>0</v>
      </c>
      <c r="AC19">
        <v>0</v>
      </c>
      <c r="AD19">
        <v>2</v>
      </c>
      <c r="AE19">
        <v>0</v>
      </c>
      <c r="AF19">
        <v>2</v>
      </c>
      <c r="AG19">
        <v>0</v>
      </c>
      <c r="AH19">
        <v>0</v>
      </c>
      <c r="AI19">
        <v>1</v>
      </c>
      <c r="AJ19">
        <v>1</v>
      </c>
      <c r="AK19">
        <v>1</v>
      </c>
      <c r="AL19">
        <v>0</v>
      </c>
      <c r="AM19" s="367">
        <v>6</v>
      </c>
    </row>
    <row r="20" spans="1:40">
      <c r="A20">
        <v>2484</v>
      </c>
      <c r="B20" t="s">
        <v>5142</v>
      </c>
      <c r="C20">
        <v>2</v>
      </c>
      <c r="D20">
        <v>0</v>
      </c>
      <c r="E20">
        <v>2</v>
      </c>
      <c r="F20">
        <v>0</v>
      </c>
      <c r="G20">
        <v>4</v>
      </c>
      <c r="H20">
        <v>0</v>
      </c>
      <c r="I20">
        <v>0</v>
      </c>
      <c r="J20">
        <v>0</v>
      </c>
      <c r="K20">
        <v>0</v>
      </c>
      <c r="L20" s="367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 s="367">
        <v>0</v>
      </c>
      <c r="U20">
        <v>0</v>
      </c>
      <c r="V20">
        <v>2</v>
      </c>
      <c r="W20">
        <v>1</v>
      </c>
      <c r="X20">
        <v>0</v>
      </c>
      <c r="Y20">
        <v>1</v>
      </c>
      <c r="Z20">
        <v>2</v>
      </c>
      <c r="AA20">
        <v>0</v>
      </c>
      <c r="AB20">
        <v>0</v>
      </c>
      <c r="AC20">
        <v>1</v>
      </c>
      <c r="AD20">
        <v>0</v>
      </c>
      <c r="AE20">
        <v>3</v>
      </c>
      <c r="AF20">
        <v>0</v>
      </c>
      <c r="AG20">
        <v>0</v>
      </c>
      <c r="AH20">
        <v>0</v>
      </c>
      <c r="AI20">
        <v>6</v>
      </c>
      <c r="AJ20">
        <v>0</v>
      </c>
      <c r="AK20">
        <v>2</v>
      </c>
      <c r="AL20">
        <v>2</v>
      </c>
      <c r="AM20" s="367">
        <v>24</v>
      </c>
      <c r="AN20" s="367" t="s">
        <v>6775</v>
      </c>
    </row>
    <row r="21" spans="1:40">
      <c r="A21">
        <v>2603</v>
      </c>
      <c r="B21" t="s">
        <v>5181</v>
      </c>
      <c r="C21">
        <v>0</v>
      </c>
      <c r="D21">
        <v>1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 s="367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 s="367" t="s">
        <v>6774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1</v>
      </c>
      <c r="AE21">
        <v>1</v>
      </c>
      <c r="AF21">
        <v>1</v>
      </c>
      <c r="AG21">
        <v>1</v>
      </c>
      <c r="AH21">
        <v>2</v>
      </c>
      <c r="AI21">
        <v>2</v>
      </c>
      <c r="AJ21">
        <v>2</v>
      </c>
      <c r="AK21">
        <v>0</v>
      </c>
      <c r="AL21">
        <v>1</v>
      </c>
      <c r="AN21" s="367" t="s">
        <v>6776</v>
      </c>
    </row>
    <row r="22" spans="1:40">
      <c r="A22">
        <v>2606</v>
      </c>
      <c r="B22" t="s">
        <v>5183</v>
      </c>
      <c r="C22">
        <v>0</v>
      </c>
      <c r="D22">
        <v>1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 s="367">
        <v>0</v>
      </c>
      <c r="M22">
        <v>0</v>
      </c>
      <c r="N22">
        <v>0</v>
      </c>
      <c r="O22">
        <v>0</v>
      </c>
      <c r="P22">
        <v>0</v>
      </c>
      <c r="Q22">
        <v>6</v>
      </c>
      <c r="R22">
        <v>0</v>
      </c>
      <c r="S22">
        <v>0</v>
      </c>
      <c r="T22" s="367">
        <v>0</v>
      </c>
      <c r="U22">
        <v>0</v>
      </c>
      <c r="V22">
        <v>1</v>
      </c>
      <c r="W22">
        <v>1</v>
      </c>
      <c r="X22">
        <v>0</v>
      </c>
      <c r="Y22">
        <v>2</v>
      </c>
      <c r="Z22">
        <v>2</v>
      </c>
      <c r="AA22">
        <v>0</v>
      </c>
      <c r="AB22">
        <v>0</v>
      </c>
      <c r="AC22">
        <v>0</v>
      </c>
      <c r="AD22">
        <v>0</v>
      </c>
      <c r="AE22">
        <v>2</v>
      </c>
      <c r="AF22">
        <v>0</v>
      </c>
      <c r="AG22">
        <v>0</v>
      </c>
      <c r="AH22">
        <v>5</v>
      </c>
      <c r="AI22">
        <v>2</v>
      </c>
      <c r="AJ22">
        <v>2</v>
      </c>
      <c r="AK22">
        <v>0</v>
      </c>
      <c r="AL22">
        <v>2</v>
      </c>
      <c r="AN22" s="367" t="s">
        <v>6689</v>
      </c>
    </row>
    <row r="23" spans="1:40">
      <c r="A23">
        <v>2609</v>
      </c>
      <c r="B23" t="s">
        <v>5186</v>
      </c>
      <c r="C23">
        <v>0</v>
      </c>
      <c r="D23">
        <v>1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 s="367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 s="367" t="s">
        <v>6774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4</v>
      </c>
      <c r="AE23">
        <v>1</v>
      </c>
      <c r="AF23">
        <v>1</v>
      </c>
      <c r="AG23">
        <v>1</v>
      </c>
      <c r="AH23">
        <v>1</v>
      </c>
      <c r="AI23">
        <v>2</v>
      </c>
      <c r="AJ23">
        <v>3</v>
      </c>
      <c r="AK23">
        <v>0</v>
      </c>
      <c r="AL23">
        <v>1</v>
      </c>
      <c r="AN23" s="367" t="s">
        <v>6776</v>
      </c>
    </row>
    <row r="24" spans="1:40">
      <c r="A24">
        <v>2611</v>
      </c>
      <c r="B24" t="s">
        <v>5188</v>
      </c>
      <c r="C24">
        <v>1</v>
      </c>
      <c r="D24">
        <v>1</v>
      </c>
      <c r="E24">
        <v>0</v>
      </c>
      <c r="F24">
        <v>0</v>
      </c>
      <c r="G24">
        <v>4</v>
      </c>
      <c r="H24">
        <v>0</v>
      </c>
      <c r="I24">
        <v>0</v>
      </c>
      <c r="J24">
        <v>0</v>
      </c>
      <c r="K24">
        <v>0</v>
      </c>
      <c r="L24" s="367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7</v>
      </c>
      <c r="T24" s="367">
        <v>0</v>
      </c>
      <c r="U24">
        <v>0</v>
      </c>
      <c r="V24">
        <v>4</v>
      </c>
      <c r="W24">
        <v>1</v>
      </c>
      <c r="X24">
        <v>0</v>
      </c>
      <c r="Y24">
        <v>1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8</v>
      </c>
      <c r="AF24">
        <v>0</v>
      </c>
      <c r="AG24">
        <v>0</v>
      </c>
      <c r="AH24">
        <v>0</v>
      </c>
      <c r="AI24">
        <v>1</v>
      </c>
      <c r="AJ24">
        <v>1</v>
      </c>
      <c r="AK24">
        <v>1</v>
      </c>
      <c r="AL24">
        <v>5</v>
      </c>
      <c r="AM24" s="367">
        <v>4</v>
      </c>
      <c r="AN24" s="367" t="s">
        <v>6833</v>
      </c>
    </row>
    <row r="25" spans="1:40">
      <c r="A25">
        <v>2641</v>
      </c>
      <c r="B25" t="s">
        <v>5200</v>
      </c>
      <c r="C25">
        <v>0</v>
      </c>
      <c r="D25">
        <v>2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 s="367">
        <v>0</v>
      </c>
      <c r="M25">
        <v>2</v>
      </c>
      <c r="N25">
        <v>0</v>
      </c>
      <c r="O25">
        <v>4</v>
      </c>
      <c r="P25">
        <v>0</v>
      </c>
      <c r="Q25">
        <v>0</v>
      </c>
      <c r="R25">
        <v>0</v>
      </c>
      <c r="S25">
        <v>0</v>
      </c>
      <c r="T25" s="367">
        <v>0</v>
      </c>
      <c r="U25">
        <v>0</v>
      </c>
      <c r="V25">
        <v>2</v>
      </c>
      <c r="W25">
        <v>0</v>
      </c>
      <c r="X25">
        <v>1</v>
      </c>
      <c r="Y25">
        <v>0</v>
      </c>
      <c r="Z25">
        <v>1</v>
      </c>
      <c r="AA25">
        <v>0</v>
      </c>
      <c r="AB25">
        <v>0</v>
      </c>
      <c r="AC25">
        <v>1</v>
      </c>
      <c r="AD25">
        <v>1</v>
      </c>
      <c r="AE25">
        <v>0</v>
      </c>
      <c r="AF25">
        <v>1</v>
      </c>
      <c r="AG25">
        <v>0</v>
      </c>
      <c r="AH25">
        <v>0</v>
      </c>
      <c r="AI25">
        <v>6</v>
      </c>
      <c r="AJ25">
        <v>0</v>
      </c>
      <c r="AK25">
        <v>0</v>
      </c>
      <c r="AL25">
        <v>4</v>
      </c>
      <c r="AN25" s="367" t="s">
        <v>6836</v>
      </c>
    </row>
    <row r="26" spans="1:40">
      <c r="A26">
        <v>2643</v>
      </c>
      <c r="B26" t="s">
        <v>5202</v>
      </c>
      <c r="C26">
        <v>0</v>
      </c>
      <c r="D26">
        <v>1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 s="367">
        <v>0</v>
      </c>
      <c r="M26">
        <v>0</v>
      </c>
      <c r="N26">
        <v>0</v>
      </c>
      <c r="O26">
        <v>0</v>
      </c>
      <c r="P26">
        <v>5</v>
      </c>
      <c r="Q26">
        <v>0</v>
      </c>
      <c r="R26">
        <v>0</v>
      </c>
      <c r="S26">
        <v>0</v>
      </c>
      <c r="T26" s="367">
        <v>0</v>
      </c>
      <c r="U26">
        <v>0</v>
      </c>
      <c r="V26">
        <v>0</v>
      </c>
      <c r="W26">
        <v>0</v>
      </c>
      <c r="X26">
        <v>2</v>
      </c>
      <c r="Y26">
        <v>1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0</v>
      </c>
      <c r="AF26">
        <v>0</v>
      </c>
      <c r="AG26">
        <v>1</v>
      </c>
      <c r="AH26">
        <v>0</v>
      </c>
      <c r="AI26">
        <v>0</v>
      </c>
      <c r="AJ26">
        <v>0</v>
      </c>
      <c r="AK26">
        <v>0</v>
      </c>
      <c r="AL26">
        <v>1</v>
      </c>
      <c r="AN26" s="367">
        <v>5</v>
      </c>
    </row>
    <row r="27" spans="1:40">
      <c r="A27">
        <v>2743</v>
      </c>
      <c r="B27" t="s">
        <v>5216</v>
      </c>
      <c r="C27">
        <v>0</v>
      </c>
      <c r="D27">
        <v>2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 s="367">
        <v>0</v>
      </c>
      <c r="M27">
        <v>2</v>
      </c>
      <c r="N27">
        <v>0</v>
      </c>
      <c r="O27">
        <v>0</v>
      </c>
      <c r="P27">
        <v>0</v>
      </c>
      <c r="Q27">
        <v>0</v>
      </c>
      <c r="R27">
        <v>0</v>
      </c>
      <c r="S27">
        <v>7</v>
      </c>
      <c r="T27" s="367">
        <v>0</v>
      </c>
      <c r="U27">
        <v>0</v>
      </c>
      <c r="V27">
        <v>0</v>
      </c>
      <c r="W27">
        <v>0</v>
      </c>
      <c r="X27">
        <v>2</v>
      </c>
      <c r="Y27">
        <v>1</v>
      </c>
      <c r="Z27">
        <v>0</v>
      </c>
      <c r="AA27">
        <v>0</v>
      </c>
      <c r="AB27">
        <v>0</v>
      </c>
      <c r="AC27">
        <v>0</v>
      </c>
      <c r="AD27">
        <v>3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1</v>
      </c>
      <c r="AK27">
        <v>0</v>
      </c>
      <c r="AL27">
        <v>2</v>
      </c>
      <c r="AN27" s="367">
        <v>27</v>
      </c>
    </row>
    <row r="28" spans="1:40">
      <c r="A28">
        <v>3003</v>
      </c>
      <c r="B28" t="s">
        <v>5265</v>
      </c>
      <c r="C28">
        <v>1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9</v>
      </c>
      <c r="K28">
        <v>0</v>
      </c>
      <c r="L28" s="367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 s="367">
        <v>0</v>
      </c>
      <c r="U28">
        <v>0</v>
      </c>
      <c r="V28">
        <v>0</v>
      </c>
      <c r="W28">
        <v>0</v>
      </c>
      <c r="X28">
        <v>1</v>
      </c>
      <c r="Y28">
        <v>0</v>
      </c>
      <c r="Z28">
        <v>1</v>
      </c>
      <c r="AA28">
        <v>0</v>
      </c>
      <c r="AB28">
        <v>3</v>
      </c>
      <c r="AC28">
        <v>0</v>
      </c>
      <c r="AD28">
        <v>1</v>
      </c>
      <c r="AE28">
        <v>0</v>
      </c>
      <c r="AF28">
        <v>1</v>
      </c>
      <c r="AG28">
        <v>0</v>
      </c>
      <c r="AH28">
        <v>0</v>
      </c>
      <c r="AI28">
        <v>0</v>
      </c>
      <c r="AJ28">
        <v>3</v>
      </c>
      <c r="AK28">
        <v>1</v>
      </c>
      <c r="AL28">
        <v>0</v>
      </c>
      <c r="AM28" s="367">
        <v>9</v>
      </c>
    </row>
    <row r="29" spans="1:40">
      <c r="A29">
        <v>3035</v>
      </c>
      <c r="B29" t="s">
        <v>5290</v>
      </c>
      <c r="C29">
        <v>0</v>
      </c>
      <c r="D29">
        <v>2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 s="367">
        <v>0</v>
      </c>
      <c r="M29">
        <v>2</v>
      </c>
      <c r="N29">
        <v>0</v>
      </c>
      <c r="O29">
        <v>4</v>
      </c>
      <c r="P29">
        <v>0</v>
      </c>
      <c r="Q29">
        <v>0</v>
      </c>
      <c r="R29">
        <v>0</v>
      </c>
      <c r="S29">
        <v>0</v>
      </c>
      <c r="T29" s="367">
        <v>0</v>
      </c>
      <c r="U29">
        <v>0</v>
      </c>
      <c r="V29">
        <v>0</v>
      </c>
      <c r="W29">
        <v>0</v>
      </c>
      <c r="X29">
        <v>2</v>
      </c>
      <c r="Y29">
        <v>0</v>
      </c>
      <c r="Z29">
        <v>2</v>
      </c>
      <c r="AA29">
        <v>0</v>
      </c>
      <c r="AB29">
        <v>4</v>
      </c>
      <c r="AC29">
        <v>2</v>
      </c>
      <c r="AD29">
        <v>2</v>
      </c>
      <c r="AE29">
        <v>0</v>
      </c>
      <c r="AF29">
        <v>2</v>
      </c>
      <c r="AG29">
        <v>0</v>
      </c>
      <c r="AH29">
        <v>2</v>
      </c>
      <c r="AI29">
        <v>0</v>
      </c>
      <c r="AJ29">
        <v>0</v>
      </c>
      <c r="AK29">
        <v>0</v>
      </c>
      <c r="AL29">
        <v>2</v>
      </c>
      <c r="AN29" s="367">
        <v>24</v>
      </c>
    </row>
    <row r="30" spans="1:40">
      <c r="A30">
        <v>3037</v>
      </c>
      <c r="B30" t="s">
        <v>5292</v>
      </c>
      <c r="C30">
        <v>1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 s="367" t="s">
        <v>6774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 s="367">
        <v>0</v>
      </c>
      <c r="U30">
        <v>0</v>
      </c>
      <c r="V30">
        <v>0</v>
      </c>
      <c r="W30">
        <v>3</v>
      </c>
      <c r="X30">
        <v>1</v>
      </c>
      <c r="Y30">
        <v>2</v>
      </c>
      <c r="Z30">
        <v>2</v>
      </c>
      <c r="AA30">
        <v>2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2</v>
      </c>
      <c r="AJ30">
        <v>2</v>
      </c>
      <c r="AK30">
        <v>1</v>
      </c>
      <c r="AL30">
        <v>0</v>
      </c>
      <c r="AM30" s="367" t="s">
        <v>6776</v>
      </c>
    </row>
    <row r="31" spans="1:40">
      <c r="A31">
        <v>3059</v>
      </c>
      <c r="B31" t="s">
        <v>5307</v>
      </c>
      <c r="C31">
        <v>1</v>
      </c>
      <c r="D31">
        <v>0</v>
      </c>
      <c r="E31">
        <v>0</v>
      </c>
      <c r="F31">
        <v>0</v>
      </c>
      <c r="G31">
        <v>4</v>
      </c>
      <c r="H31">
        <v>0</v>
      </c>
      <c r="I31">
        <v>0</v>
      </c>
      <c r="J31">
        <v>0</v>
      </c>
      <c r="K31">
        <v>0</v>
      </c>
      <c r="L31" s="367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 s="367">
        <v>0</v>
      </c>
      <c r="U31">
        <v>0</v>
      </c>
      <c r="V31">
        <v>0</v>
      </c>
      <c r="W31">
        <v>3</v>
      </c>
      <c r="X31">
        <v>0</v>
      </c>
      <c r="Y31">
        <v>3</v>
      </c>
      <c r="Z31">
        <v>1</v>
      </c>
      <c r="AA31">
        <v>0</v>
      </c>
      <c r="AB31">
        <v>3</v>
      </c>
      <c r="AC31">
        <v>0</v>
      </c>
      <c r="AD31">
        <v>0</v>
      </c>
      <c r="AE31">
        <v>1</v>
      </c>
      <c r="AF31">
        <v>0</v>
      </c>
      <c r="AG31">
        <v>0</v>
      </c>
      <c r="AH31">
        <v>0</v>
      </c>
      <c r="AI31">
        <v>0</v>
      </c>
      <c r="AJ31">
        <v>1</v>
      </c>
      <c r="AK31">
        <v>1</v>
      </c>
      <c r="AL31">
        <v>0</v>
      </c>
      <c r="AM31" s="367">
        <v>4</v>
      </c>
    </row>
    <row r="32" spans="1:40">
      <c r="A32">
        <v>3093</v>
      </c>
      <c r="B32" t="s">
        <v>6289</v>
      </c>
      <c r="C32">
        <v>1</v>
      </c>
      <c r="D32">
        <v>1</v>
      </c>
      <c r="E32">
        <v>0</v>
      </c>
      <c r="F32">
        <v>3</v>
      </c>
      <c r="G32">
        <v>0</v>
      </c>
      <c r="H32">
        <v>0</v>
      </c>
      <c r="I32">
        <v>0</v>
      </c>
      <c r="J32">
        <v>0</v>
      </c>
      <c r="K32">
        <v>0</v>
      </c>
      <c r="L32" s="367">
        <v>0</v>
      </c>
      <c r="M32">
        <v>2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 s="367">
        <v>0</v>
      </c>
      <c r="U32">
        <v>0</v>
      </c>
      <c r="V32">
        <v>0</v>
      </c>
      <c r="W32">
        <v>0</v>
      </c>
      <c r="X32">
        <v>2</v>
      </c>
      <c r="Y32">
        <v>1</v>
      </c>
      <c r="Z32">
        <v>3</v>
      </c>
      <c r="AA32">
        <v>0</v>
      </c>
      <c r="AB32">
        <v>0</v>
      </c>
      <c r="AC32">
        <v>0</v>
      </c>
      <c r="AD32">
        <v>4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4</v>
      </c>
      <c r="AK32">
        <v>1</v>
      </c>
      <c r="AL32">
        <v>1</v>
      </c>
      <c r="AM32" s="367">
        <v>3</v>
      </c>
      <c r="AN32" s="367">
        <v>2</v>
      </c>
    </row>
    <row r="33" spans="1:40">
      <c r="A33">
        <v>3128</v>
      </c>
      <c r="B33" t="s">
        <v>5323</v>
      </c>
      <c r="C33">
        <v>0</v>
      </c>
      <c r="D33">
        <v>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 s="367">
        <v>0</v>
      </c>
      <c r="M33">
        <v>0</v>
      </c>
      <c r="N33">
        <v>0</v>
      </c>
      <c r="O33">
        <v>0</v>
      </c>
      <c r="P33">
        <v>5</v>
      </c>
      <c r="Q33">
        <v>0</v>
      </c>
      <c r="R33">
        <v>0</v>
      </c>
      <c r="S33">
        <v>0</v>
      </c>
      <c r="T33" s="367">
        <v>0</v>
      </c>
      <c r="U33">
        <v>0</v>
      </c>
      <c r="V33">
        <v>0</v>
      </c>
      <c r="W33">
        <v>0</v>
      </c>
      <c r="X33">
        <v>1</v>
      </c>
      <c r="Y33">
        <v>0</v>
      </c>
      <c r="Z33">
        <v>0</v>
      </c>
      <c r="AA33">
        <v>0</v>
      </c>
      <c r="AB33">
        <v>0</v>
      </c>
      <c r="AC33">
        <v>0</v>
      </c>
      <c r="AD33">
        <v>2</v>
      </c>
      <c r="AE33">
        <v>0</v>
      </c>
      <c r="AF33">
        <v>4</v>
      </c>
      <c r="AG33">
        <v>1</v>
      </c>
      <c r="AH33">
        <v>0</v>
      </c>
      <c r="AI33">
        <v>1</v>
      </c>
      <c r="AJ33">
        <v>0</v>
      </c>
      <c r="AK33">
        <v>0</v>
      </c>
      <c r="AL33">
        <v>1</v>
      </c>
      <c r="AN33" s="367">
        <v>5</v>
      </c>
    </row>
    <row r="34" spans="1:40">
      <c r="A34">
        <v>3163</v>
      </c>
      <c r="B34" t="s">
        <v>5330</v>
      </c>
      <c r="C34">
        <v>1</v>
      </c>
      <c r="D34">
        <v>1</v>
      </c>
      <c r="E34">
        <v>0</v>
      </c>
      <c r="F34">
        <v>3</v>
      </c>
      <c r="G34">
        <v>0</v>
      </c>
      <c r="H34">
        <v>0</v>
      </c>
      <c r="I34">
        <v>0</v>
      </c>
      <c r="J34">
        <v>0</v>
      </c>
      <c r="K34">
        <v>0</v>
      </c>
      <c r="L34" s="367">
        <v>0</v>
      </c>
      <c r="M34">
        <v>0</v>
      </c>
      <c r="N34">
        <v>0</v>
      </c>
      <c r="O34">
        <v>4</v>
      </c>
      <c r="P34">
        <v>0</v>
      </c>
      <c r="Q34">
        <v>0</v>
      </c>
      <c r="R34">
        <v>0</v>
      </c>
      <c r="S34">
        <v>0</v>
      </c>
      <c r="T34" s="367">
        <v>0</v>
      </c>
      <c r="U34">
        <v>0</v>
      </c>
      <c r="V34">
        <v>0</v>
      </c>
      <c r="W34">
        <v>3</v>
      </c>
      <c r="X34">
        <v>2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1</v>
      </c>
      <c r="AG34">
        <v>1</v>
      </c>
      <c r="AH34">
        <v>0</v>
      </c>
      <c r="AI34">
        <v>1</v>
      </c>
      <c r="AJ34">
        <v>3</v>
      </c>
      <c r="AK34">
        <v>1</v>
      </c>
      <c r="AL34">
        <v>1</v>
      </c>
      <c r="AM34" s="367">
        <v>3</v>
      </c>
      <c r="AN34" s="367">
        <v>4</v>
      </c>
    </row>
    <row r="35" spans="1:40">
      <c r="A35">
        <v>3232</v>
      </c>
      <c r="B35" t="s">
        <v>5351</v>
      </c>
      <c r="C35">
        <v>2</v>
      </c>
      <c r="D35">
        <v>0</v>
      </c>
      <c r="E35">
        <v>0</v>
      </c>
      <c r="F35">
        <v>0</v>
      </c>
      <c r="G35">
        <v>4</v>
      </c>
      <c r="H35">
        <v>5</v>
      </c>
      <c r="I35">
        <v>0</v>
      </c>
      <c r="J35">
        <v>0</v>
      </c>
      <c r="K35">
        <v>0</v>
      </c>
      <c r="L35" s="367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 s="367">
        <v>0</v>
      </c>
      <c r="U35">
        <v>0</v>
      </c>
      <c r="V35">
        <v>0</v>
      </c>
      <c r="W35">
        <v>1</v>
      </c>
      <c r="X35">
        <v>0</v>
      </c>
      <c r="Y35">
        <v>1</v>
      </c>
      <c r="Z35">
        <v>1</v>
      </c>
      <c r="AA35">
        <v>0</v>
      </c>
      <c r="AB35">
        <v>0</v>
      </c>
      <c r="AC35">
        <v>0</v>
      </c>
      <c r="AD35">
        <v>0</v>
      </c>
      <c r="AE35">
        <v>4</v>
      </c>
      <c r="AF35">
        <v>0</v>
      </c>
      <c r="AG35">
        <v>0</v>
      </c>
      <c r="AH35">
        <v>0</v>
      </c>
      <c r="AI35">
        <v>1</v>
      </c>
      <c r="AJ35">
        <v>2</v>
      </c>
      <c r="AK35">
        <v>2</v>
      </c>
      <c r="AL35">
        <v>0</v>
      </c>
      <c r="AM35" s="367">
        <v>45</v>
      </c>
    </row>
    <row r="36" spans="1:40">
      <c r="A36">
        <v>3434</v>
      </c>
      <c r="B36" t="s">
        <v>5403</v>
      </c>
      <c r="C36">
        <v>1</v>
      </c>
      <c r="D36">
        <v>3</v>
      </c>
      <c r="E36">
        <v>0</v>
      </c>
      <c r="F36">
        <v>0</v>
      </c>
      <c r="G36">
        <v>0</v>
      </c>
      <c r="H36">
        <v>5</v>
      </c>
      <c r="I36">
        <v>0</v>
      </c>
      <c r="J36">
        <v>0</v>
      </c>
      <c r="K36">
        <v>0</v>
      </c>
      <c r="L36" s="367">
        <v>0</v>
      </c>
      <c r="M36">
        <v>2</v>
      </c>
      <c r="N36">
        <v>0</v>
      </c>
      <c r="O36">
        <v>4</v>
      </c>
      <c r="P36">
        <v>0</v>
      </c>
      <c r="Q36">
        <v>0</v>
      </c>
      <c r="R36">
        <v>0</v>
      </c>
      <c r="S36">
        <v>7</v>
      </c>
      <c r="T36" s="367">
        <v>0</v>
      </c>
      <c r="U36">
        <v>0</v>
      </c>
      <c r="V36">
        <v>6</v>
      </c>
      <c r="W36">
        <v>0</v>
      </c>
      <c r="X36">
        <v>0</v>
      </c>
      <c r="Y36">
        <v>0</v>
      </c>
      <c r="Z36">
        <v>1</v>
      </c>
      <c r="AA36">
        <v>0</v>
      </c>
      <c r="AB36">
        <v>0</v>
      </c>
      <c r="AC36">
        <v>0</v>
      </c>
      <c r="AD36">
        <v>10</v>
      </c>
      <c r="AE36">
        <v>1</v>
      </c>
      <c r="AF36">
        <v>1</v>
      </c>
      <c r="AG36">
        <v>0</v>
      </c>
      <c r="AH36">
        <v>0</v>
      </c>
      <c r="AI36">
        <v>2</v>
      </c>
      <c r="AJ36">
        <v>2</v>
      </c>
      <c r="AK36">
        <v>1</v>
      </c>
      <c r="AL36">
        <v>9</v>
      </c>
      <c r="AM36" s="367">
        <v>5</v>
      </c>
      <c r="AN36" s="367" t="s">
        <v>6837</v>
      </c>
    </row>
    <row r="37" spans="1:40">
      <c r="A37">
        <v>3444</v>
      </c>
      <c r="B37" t="s">
        <v>5408</v>
      </c>
      <c r="C37">
        <v>1</v>
      </c>
      <c r="D37">
        <v>0</v>
      </c>
      <c r="E37">
        <v>0</v>
      </c>
      <c r="F37">
        <v>0</v>
      </c>
      <c r="G37">
        <v>0</v>
      </c>
      <c r="H37">
        <v>5</v>
      </c>
      <c r="I37">
        <v>0</v>
      </c>
      <c r="J37">
        <v>0</v>
      </c>
      <c r="K37">
        <v>0</v>
      </c>
      <c r="L37" s="36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 s="367">
        <v>0</v>
      </c>
      <c r="U37">
        <v>1</v>
      </c>
      <c r="V37">
        <v>1</v>
      </c>
      <c r="W37">
        <v>1</v>
      </c>
      <c r="X37">
        <v>0</v>
      </c>
      <c r="Y37">
        <v>1</v>
      </c>
      <c r="Z37">
        <v>1</v>
      </c>
      <c r="AA37">
        <v>0</v>
      </c>
      <c r="AB37">
        <v>0</v>
      </c>
      <c r="AC37">
        <v>5</v>
      </c>
      <c r="AD37">
        <v>0</v>
      </c>
      <c r="AE37">
        <v>5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2</v>
      </c>
      <c r="AL37">
        <v>1</v>
      </c>
      <c r="AM37" s="367" t="s">
        <v>6838</v>
      </c>
      <c r="AN37" s="367" t="s">
        <v>4718</v>
      </c>
    </row>
    <row r="38" spans="1:40">
      <c r="A38">
        <v>3532</v>
      </c>
      <c r="B38" t="s">
        <v>5434</v>
      </c>
      <c r="C38">
        <v>1</v>
      </c>
      <c r="D38">
        <v>0</v>
      </c>
      <c r="E38">
        <v>0</v>
      </c>
      <c r="F38">
        <v>0</v>
      </c>
      <c r="G38">
        <v>0</v>
      </c>
      <c r="H38">
        <v>0</v>
      </c>
      <c r="I38">
        <v>6</v>
      </c>
      <c r="J38">
        <v>0</v>
      </c>
      <c r="K38">
        <v>0</v>
      </c>
      <c r="L38" s="367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 s="367">
        <v>0</v>
      </c>
      <c r="U38">
        <v>5</v>
      </c>
      <c r="V38">
        <v>0</v>
      </c>
      <c r="W38">
        <v>0</v>
      </c>
      <c r="X38">
        <v>0</v>
      </c>
      <c r="Y38">
        <v>0</v>
      </c>
      <c r="Z38">
        <v>0</v>
      </c>
      <c r="AA38">
        <v>9</v>
      </c>
      <c r="AB38">
        <v>0</v>
      </c>
      <c r="AC38">
        <v>0</v>
      </c>
      <c r="AD38">
        <v>1</v>
      </c>
      <c r="AE38">
        <v>1</v>
      </c>
      <c r="AF38">
        <v>1</v>
      </c>
      <c r="AG38">
        <v>1</v>
      </c>
      <c r="AH38">
        <v>0</v>
      </c>
      <c r="AI38">
        <v>1</v>
      </c>
      <c r="AJ38">
        <v>2</v>
      </c>
      <c r="AK38">
        <v>6</v>
      </c>
      <c r="AL38">
        <v>0</v>
      </c>
      <c r="AM38" s="367" t="s">
        <v>6689</v>
      </c>
    </row>
    <row r="39" spans="1:40">
      <c r="A39">
        <v>3535</v>
      </c>
      <c r="B39" t="s">
        <v>5436</v>
      </c>
      <c r="C39">
        <v>1</v>
      </c>
      <c r="D39">
        <v>1</v>
      </c>
      <c r="E39">
        <v>0</v>
      </c>
      <c r="F39">
        <v>3</v>
      </c>
      <c r="G39">
        <v>0</v>
      </c>
      <c r="H39">
        <v>0</v>
      </c>
      <c r="I39">
        <v>0</v>
      </c>
      <c r="J39">
        <v>0</v>
      </c>
      <c r="K39">
        <v>0</v>
      </c>
      <c r="L39" s="367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7</v>
      </c>
      <c r="T39" s="367">
        <v>0</v>
      </c>
      <c r="U39">
        <v>0</v>
      </c>
      <c r="V39">
        <v>0</v>
      </c>
      <c r="W39">
        <v>4</v>
      </c>
      <c r="X39">
        <v>3</v>
      </c>
      <c r="Y39">
        <v>1</v>
      </c>
      <c r="Z39">
        <v>1</v>
      </c>
      <c r="AA39">
        <v>0</v>
      </c>
      <c r="AB39">
        <v>2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2</v>
      </c>
      <c r="AK39">
        <v>1</v>
      </c>
      <c r="AL39">
        <v>1</v>
      </c>
      <c r="AM39" s="367">
        <v>3</v>
      </c>
      <c r="AN39" s="367">
        <v>7</v>
      </c>
    </row>
    <row r="40" spans="1:40">
      <c r="A40">
        <v>3558</v>
      </c>
      <c r="B40" t="s">
        <v>5449</v>
      </c>
      <c r="C40">
        <v>1</v>
      </c>
      <c r="D40">
        <v>0</v>
      </c>
      <c r="E40">
        <v>0</v>
      </c>
      <c r="F40">
        <v>0</v>
      </c>
      <c r="G40">
        <v>0</v>
      </c>
      <c r="H40">
        <v>0</v>
      </c>
      <c r="I40">
        <v>6</v>
      </c>
      <c r="J40">
        <v>0</v>
      </c>
      <c r="K40">
        <v>0</v>
      </c>
      <c r="L40" s="367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 s="367">
        <v>0</v>
      </c>
      <c r="U40">
        <v>1</v>
      </c>
      <c r="V40">
        <v>0</v>
      </c>
      <c r="W40">
        <v>1</v>
      </c>
      <c r="X40">
        <v>1</v>
      </c>
      <c r="Y40">
        <v>0</v>
      </c>
      <c r="Z40">
        <v>2</v>
      </c>
      <c r="AA40">
        <v>5</v>
      </c>
      <c r="AB40">
        <v>0</v>
      </c>
      <c r="AC40">
        <v>0</v>
      </c>
      <c r="AD40">
        <v>0</v>
      </c>
      <c r="AE40">
        <v>0</v>
      </c>
      <c r="AF40">
        <v>2</v>
      </c>
      <c r="AG40">
        <v>0</v>
      </c>
      <c r="AH40">
        <v>0</v>
      </c>
      <c r="AI40">
        <v>3</v>
      </c>
      <c r="AJ40">
        <v>1</v>
      </c>
      <c r="AK40">
        <v>2</v>
      </c>
      <c r="AL40">
        <v>0</v>
      </c>
      <c r="AM40" s="367" t="s">
        <v>6689</v>
      </c>
    </row>
    <row r="41" spans="1:40">
      <c r="A41">
        <v>3596</v>
      </c>
      <c r="B41" t="s">
        <v>5460</v>
      </c>
      <c r="C41">
        <v>2</v>
      </c>
      <c r="D41">
        <v>1</v>
      </c>
      <c r="E41">
        <v>2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 s="367" t="s">
        <v>6774</v>
      </c>
      <c r="M41">
        <v>0</v>
      </c>
      <c r="N41">
        <v>0</v>
      </c>
      <c r="O41">
        <v>0</v>
      </c>
      <c r="P41">
        <v>0</v>
      </c>
      <c r="Q41">
        <v>0</v>
      </c>
      <c r="R41">
        <v>9</v>
      </c>
      <c r="S41">
        <v>0</v>
      </c>
      <c r="T41" s="367">
        <v>0</v>
      </c>
      <c r="U41">
        <v>2</v>
      </c>
      <c r="V41">
        <v>0</v>
      </c>
      <c r="W41">
        <v>4</v>
      </c>
      <c r="X41">
        <v>1</v>
      </c>
      <c r="Y41">
        <v>3</v>
      </c>
      <c r="Z41">
        <v>2</v>
      </c>
      <c r="AA41">
        <v>6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1</v>
      </c>
      <c r="AJ41">
        <v>1</v>
      </c>
      <c r="AK41">
        <v>4</v>
      </c>
      <c r="AL41">
        <v>1</v>
      </c>
      <c r="AM41" s="367" t="s">
        <v>6839</v>
      </c>
      <c r="AN41" s="367">
        <v>9</v>
      </c>
    </row>
    <row r="42" spans="1:40">
      <c r="A42">
        <v>3645</v>
      </c>
      <c r="B42" t="s">
        <v>5474</v>
      </c>
      <c r="C42">
        <v>0</v>
      </c>
      <c r="D42">
        <v>1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 s="367">
        <v>0</v>
      </c>
      <c r="M42">
        <v>0</v>
      </c>
      <c r="N42">
        <v>0</v>
      </c>
      <c r="O42">
        <v>0</v>
      </c>
      <c r="P42">
        <v>5</v>
      </c>
      <c r="Q42">
        <v>0</v>
      </c>
      <c r="R42">
        <v>0</v>
      </c>
      <c r="S42">
        <v>0</v>
      </c>
      <c r="T42" s="367">
        <v>0</v>
      </c>
      <c r="U42">
        <v>0</v>
      </c>
      <c r="V42">
        <v>0</v>
      </c>
      <c r="W42">
        <v>0</v>
      </c>
      <c r="X42">
        <v>2</v>
      </c>
      <c r="Y42">
        <v>0</v>
      </c>
      <c r="Z42">
        <v>0</v>
      </c>
      <c r="AA42">
        <v>0</v>
      </c>
      <c r="AB42">
        <v>1</v>
      </c>
      <c r="AC42">
        <v>3</v>
      </c>
      <c r="AD42">
        <v>2</v>
      </c>
      <c r="AE42">
        <v>0</v>
      </c>
      <c r="AF42">
        <v>2</v>
      </c>
      <c r="AG42">
        <v>3</v>
      </c>
      <c r="AH42">
        <v>0</v>
      </c>
      <c r="AI42">
        <v>0</v>
      </c>
      <c r="AJ42">
        <v>0</v>
      </c>
      <c r="AK42">
        <v>0</v>
      </c>
      <c r="AL42">
        <v>1</v>
      </c>
      <c r="AN42" s="367">
        <v>5</v>
      </c>
    </row>
    <row r="43" spans="1:40">
      <c r="A43">
        <v>3661</v>
      </c>
      <c r="B43" t="s">
        <v>5478</v>
      </c>
      <c r="C43">
        <v>1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9</v>
      </c>
      <c r="K43">
        <v>0</v>
      </c>
      <c r="L43" s="367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 s="367">
        <v>0</v>
      </c>
      <c r="U43">
        <v>1</v>
      </c>
      <c r="V43">
        <v>0</v>
      </c>
      <c r="W43">
        <v>0</v>
      </c>
      <c r="X43">
        <v>0</v>
      </c>
      <c r="Y43">
        <v>0</v>
      </c>
      <c r="Z43">
        <v>2</v>
      </c>
      <c r="AA43">
        <v>5</v>
      </c>
      <c r="AB43">
        <v>2</v>
      </c>
      <c r="AC43">
        <v>0</v>
      </c>
      <c r="AD43">
        <v>2</v>
      </c>
      <c r="AE43">
        <v>0</v>
      </c>
      <c r="AF43">
        <v>3</v>
      </c>
      <c r="AG43">
        <v>0</v>
      </c>
      <c r="AH43">
        <v>0</v>
      </c>
      <c r="AI43">
        <v>0</v>
      </c>
      <c r="AJ43">
        <v>1</v>
      </c>
      <c r="AK43">
        <v>2</v>
      </c>
      <c r="AL43">
        <v>0</v>
      </c>
      <c r="AM43" s="367" t="s">
        <v>6840</v>
      </c>
    </row>
    <row r="44" spans="1:40">
      <c r="A44">
        <v>3675</v>
      </c>
      <c r="B44" t="s">
        <v>5485</v>
      </c>
      <c r="C44">
        <v>1</v>
      </c>
      <c r="D44">
        <v>0</v>
      </c>
      <c r="E44">
        <v>0</v>
      </c>
      <c r="F44">
        <v>0</v>
      </c>
      <c r="G44">
        <v>0</v>
      </c>
      <c r="H44">
        <v>5</v>
      </c>
      <c r="I44">
        <v>0</v>
      </c>
      <c r="J44">
        <v>0</v>
      </c>
      <c r="K44">
        <v>0</v>
      </c>
      <c r="L44" s="367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 s="367">
        <v>0</v>
      </c>
      <c r="U44">
        <v>0</v>
      </c>
      <c r="V44">
        <v>0</v>
      </c>
      <c r="W44">
        <v>2</v>
      </c>
      <c r="X44">
        <v>1</v>
      </c>
      <c r="Y44">
        <v>0</v>
      </c>
      <c r="Z44">
        <v>2</v>
      </c>
      <c r="AA44">
        <v>2</v>
      </c>
      <c r="AB44">
        <v>0</v>
      </c>
      <c r="AC44">
        <v>0</v>
      </c>
      <c r="AD44">
        <v>0</v>
      </c>
      <c r="AE44">
        <v>0</v>
      </c>
      <c r="AF44">
        <v>1</v>
      </c>
      <c r="AG44">
        <v>0</v>
      </c>
      <c r="AH44">
        <v>0</v>
      </c>
      <c r="AI44">
        <v>0</v>
      </c>
      <c r="AJ44">
        <v>1</v>
      </c>
      <c r="AK44">
        <v>1</v>
      </c>
      <c r="AL44">
        <v>0</v>
      </c>
      <c r="AM44" s="367">
        <v>5</v>
      </c>
    </row>
    <row r="45" spans="1:40">
      <c r="A45">
        <v>3708</v>
      </c>
      <c r="B45" t="s">
        <v>5501</v>
      </c>
      <c r="C45">
        <v>2</v>
      </c>
      <c r="D45">
        <v>1</v>
      </c>
      <c r="E45">
        <v>0</v>
      </c>
      <c r="F45">
        <v>0</v>
      </c>
      <c r="G45">
        <v>4</v>
      </c>
      <c r="H45">
        <v>0</v>
      </c>
      <c r="I45">
        <v>6</v>
      </c>
      <c r="J45">
        <v>0</v>
      </c>
      <c r="K45">
        <v>0</v>
      </c>
      <c r="L45" s="367">
        <v>0</v>
      </c>
      <c r="M45">
        <v>0</v>
      </c>
      <c r="N45">
        <v>3</v>
      </c>
      <c r="O45">
        <v>0</v>
      </c>
      <c r="P45">
        <v>0</v>
      </c>
      <c r="Q45">
        <v>0</v>
      </c>
      <c r="R45">
        <v>0</v>
      </c>
      <c r="S45">
        <v>0</v>
      </c>
      <c r="T45" s="367">
        <v>0</v>
      </c>
      <c r="U45">
        <v>3</v>
      </c>
      <c r="V45">
        <v>0</v>
      </c>
      <c r="W45">
        <v>4</v>
      </c>
      <c r="X45">
        <v>0</v>
      </c>
      <c r="Y45">
        <v>2</v>
      </c>
      <c r="Z45">
        <v>5</v>
      </c>
      <c r="AA45">
        <v>6</v>
      </c>
      <c r="AB45">
        <v>1</v>
      </c>
      <c r="AC45">
        <v>0</v>
      </c>
      <c r="AD45">
        <v>0</v>
      </c>
      <c r="AE45">
        <v>3</v>
      </c>
      <c r="AF45">
        <v>0</v>
      </c>
      <c r="AG45">
        <v>0</v>
      </c>
      <c r="AH45">
        <v>0</v>
      </c>
      <c r="AI45">
        <v>0</v>
      </c>
      <c r="AJ45">
        <v>4</v>
      </c>
      <c r="AK45">
        <v>5</v>
      </c>
      <c r="AL45">
        <v>1</v>
      </c>
      <c r="AM45" s="367" t="s">
        <v>6841</v>
      </c>
      <c r="AN45" s="367">
        <v>3</v>
      </c>
    </row>
    <row r="46" spans="1:40">
      <c r="A46">
        <v>4121</v>
      </c>
      <c r="B46" t="s">
        <v>5516</v>
      </c>
      <c r="C46">
        <v>2</v>
      </c>
      <c r="D46">
        <v>0</v>
      </c>
      <c r="E46">
        <v>2</v>
      </c>
      <c r="F46">
        <v>0</v>
      </c>
      <c r="G46">
        <v>4</v>
      </c>
      <c r="H46">
        <v>0</v>
      </c>
      <c r="I46">
        <v>0</v>
      </c>
      <c r="J46">
        <v>0</v>
      </c>
      <c r="K46">
        <v>0</v>
      </c>
      <c r="L46" s="367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 s="367">
        <v>0</v>
      </c>
      <c r="U46">
        <v>0</v>
      </c>
      <c r="V46">
        <v>0</v>
      </c>
      <c r="W46">
        <v>3</v>
      </c>
      <c r="X46">
        <v>0</v>
      </c>
      <c r="Y46">
        <v>1</v>
      </c>
      <c r="Z46">
        <v>0</v>
      </c>
      <c r="AA46">
        <v>0</v>
      </c>
      <c r="AB46">
        <v>0</v>
      </c>
      <c r="AC46">
        <v>1</v>
      </c>
      <c r="AD46">
        <v>0</v>
      </c>
      <c r="AE46">
        <v>3</v>
      </c>
      <c r="AF46">
        <v>0</v>
      </c>
      <c r="AG46">
        <v>0</v>
      </c>
      <c r="AH46">
        <v>0</v>
      </c>
      <c r="AI46">
        <v>3</v>
      </c>
      <c r="AJ46">
        <v>0</v>
      </c>
      <c r="AK46">
        <v>2</v>
      </c>
      <c r="AL46">
        <v>0</v>
      </c>
      <c r="AM46" s="367">
        <v>24</v>
      </c>
    </row>
    <row r="47" spans="1:40">
      <c r="A47">
        <v>4133</v>
      </c>
      <c r="B47" t="s">
        <v>5522</v>
      </c>
      <c r="C47">
        <v>2</v>
      </c>
      <c r="D47">
        <v>0</v>
      </c>
      <c r="E47">
        <v>2</v>
      </c>
      <c r="F47">
        <v>0</v>
      </c>
      <c r="G47">
        <v>4</v>
      </c>
      <c r="H47">
        <v>0</v>
      </c>
      <c r="I47">
        <v>0</v>
      </c>
      <c r="J47">
        <v>0</v>
      </c>
      <c r="K47">
        <v>0</v>
      </c>
      <c r="L47" s="36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 s="367">
        <v>0</v>
      </c>
      <c r="U47">
        <v>1</v>
      </c>
      <c r="V47">
        <v>0</v>
      </c>
      <c r="W47">
        <v>1</v>
      </c>
      <c r="X47">
        <v>0</v>
      </c>
      <c r="Y47">
        <v>5</v>
      </c>
      <c r="Z47">
        <v>1</v>
      </c>
      <c r="AA47">
        <v>0</v>
      </c>
      <c r="AB47">
        <v>0</v>
      </c>
      <c r="AC47">
        <v>1</v>
      </c>
      <c r="AD47">
        <v>0</v>
      </c>
      <c r="AE47">
        <v>1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3</v>
      </c>
      <c r="AL47">
        <v>0</v>
      </c>
      <c r="AM47" s="367" t="s">
        <v>6842</v>
      </c>
    </row>
    <row r="48" spans="1:40">
      <c r="A48">
        <v>4157</v>
      </c>
      <c r="B48" t="s">
        <v>5529</v>
      </c>
      <c r="C48">
        <v>2</v>
      </c>
      <c r="D48">
        <v>4</v>
      </c>
      <c r="E48">
        <v>2</v>
      </c>
      <c r="F48">
        <v>3</v>
      </c>
      <c r="G48">
        <v>0</v>
      </c>
      <c r="H48">
        <v>0</v>
      </c>
      <c r="I48">
        <v>0</v>
      </c>
      <c r="J48">
        <v>0</v>
      </c>
      <c r="K48">
        <v>0</v>
      </c>
      <c r="L48" s="367">
        <v>0</v>
      </c>
      <c r="M48">
        <v>0</v>
      </c>
      <c r="N48">
        <v>0</v>
      </c>
      <c r="O48">
        <v>4</v>
      </c>
      <c r="P48">
        <v>5</v>
      </c>
      <c r="Q48">
        <v>0</v>
      </c>
      <c r="R48">
        <v>9</v>
      </c>
      <c r="S48">
        <v>7</v>
      </c>
      <c r="T48" s="367">
        <v>0</v>
      </c>
      <c r="U48">
        <v>0</v>
      </c>
      <c r="V48">
        <v>5</v>
      </c>
      <c r="W48">
        <v>1</v>
      </c>
      <c r="X48">
        <v>1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1</v>
      </c>
      <c r="AG48">
        <v>9</v>
      </c>
      <c r="AH48">
        <v>0</v>
      </c>
      <c r="AI48">
        <v>1</v>
      </c>
      <c r="AJ48">
        <v>1</v>
      </c>
      <c r="AK48">
        <v>2</v>
      </c>
      <c r="AL48">
        <v>9</v>
      </c>
      <c r="AM48" s="367">
        <v>23</v>
      </c>
      <c r="AN48" s="367" t="s">
        <v>6843</v>
      </c>
    </row>
    <row r="49" spans="1:40">
      <c r="A49">
        <v>4303</v>
      </c>
      <c r="B49" t="s">
        <v>5542</v>
      </c>
      <c r="C49">
        <v>0</v>
      </c>
      <c r="D49">
        <v>1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 s="367">
        <v>0</v>
      </c>
      <c r="M49">
        <v>2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 s="367">
        <v>0</v>
      </c>
      <c r="U49">
        <v>0</v>
      </c>
      <c r="V49">
        <v>1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2</v>
      </c>
      <c r="AE49">
        <v>1</v>
      </c>
      <c r="AF49">
        <v>1</v>
      </c>
      <c r="AG49">
        <v>0</v>
      </c>
      <c r="AH49">
        <v>0</v>
      </c>
      <c r="AI49">
        <v>3</v>
      </c>
      <c r="AJ49">
        <v>5</v>
      </c>
      <c r="AK49">
        <v>0</v>
      </c>
      <c r="AL49">
        <v>2</v>
      </c>
      <c r="AN49" s="367" t="s">
        <v>6844</v>
      </c>
    </row>
    <row r="50" spans="1:40">
      <c r="A50">
        <v>4432</v>
      </c>
      <c r="B50" t="s">
        <v>5549</v>
      </c>
      <c r="C50">
        <v>0</v>
      </c>
      <c r="D50">
        <v>1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 s="367">
        <v>0</v>
      </c>
      <c r="M50">
        <v>2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 s="367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1</v>
      </c>
      <c r="AF50">
        <v>1</v>
      </c>
      <c r="AG50">
        <v>0</v>
      </c>
      <c r="AH50">
        <v>0</v>
      </c>
      <c r="AI50">
        <v>1</v>
      </c>
      <c r="AJ50">
        <v>2</v>
      </c>
      <c r="AK50">
        <v>0</v>
      </c>
      <c r="AL50">
        <v>1</v>
      </c>
      <c r="AN50" s="367">
        <v>2</v>
      </c>
    </row>
    <row r="51" spans="1:40">
      <c r="A51">
        <v>4513</v>
      </c>
      <c r="B51" t="s">
        <v>5556</v>
      </c>
      <c r="C51">
        <v>0</v>
      </c>
      <c r="D51">
        <v>1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 s="367">
        <v>0</v>
      </c>
      <c r="M51">
        <v>0</v>
      </c>
      <c r="N51">
        <v>0</v>
      </c>
      <c r="O51">
        <v>0</v>
      </c>
      <c r="P51">
        <v>5</v>
      </c>
      <c r="Q51">
        <v>0</v>
      </c>
      <c r="R51">
        <v>0</v>
      </c>
      <c r="S51">
        <v>0</v>
      </c>
      <c r="T51" s="367">
        <v>0</v>
      </c>
      <c r="U51">
        <v>0</v>
      </c>
      <c r="V51">
        <v>0</v>
      </c>
      <c r="W51">
        <v>0</v>
      </c>
      <c r="X51">
        <v>2</v>
      </c>
      <c r="Y51">
        <v>2</v>
      </c>
      <c r="Z51">
        <v>0</v>
      </c>
      <c r="AA51">
        <v>0</v>
      </c>
      <c r="AB51">
        <v>0</v>
      </c>
      <c r="AC51">
        <v>0</v>
      </c>
      <c r="AD51">
        <v>4</v>
      </c>
      <c r="AE51">
        <v>0</v>
      </c>
      <c r="AF51">
        <v>0</v>
      </c>
      <c r="AG51">
        <v>1</v>
      </c>
      <c r="AH51">
        <v>0</v>
      </c>
      <c r="AI51">
        <v>0</v>
      </c>
      <c r="AJ51">
        <v>3</v>
      </c>
      <c r="AK51">
        <v>0</v>
      </c>
      <c r="AL51">
        <v>1</v>
      </c>
      <c r="AN51" s="367">
        <v>5</v>
      </c>
    </row>
    <row r="52" spans="1:40">
      <c r="A52">
        <v>4721</v>
      </c>
      <c r="B52" t="s">
        <v>5587</v>
      </c>
      <c r="C52">
        <v>1</v>
      </c>
      <c r="D52">
        <v>0</v>
      </c>
      <c r="E52">
        <v>2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 s="367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 s="367">
        <v>0</v>
      </c>
      <c r="U52">
        <v>0</v>
      </c>
      <c r="V52">
        <v>1</v>
      </c>
      <c r="W52">
        <v>2</v>
      </c>
      <c r="X52">
        <v>0</v>
      </c>
      <c r="Y52">
        <v>2</v>
      </c>
      <c r="Z52">
        <v>2</v>
      </c>
      <c r="AA52">
        <v>0</v>
      </c>
      <c r="AB52">
        <v>0</v>
      </c>
      <c r="AC52">
        <v>1</v>
      </c>
      <c r="AD52">
        <v>0</v>
      </c>
      <c r="AE52">
        <v>2</v>
      </c>
      <c r="AF52">
        <v>0</v>
      </c>
      <c r="AG52">
        <v>0</v>
      </c>
      <c r="AH52">
        <v>0</v>
      </c>
      <c r="AI52">
        <v>5</v>
      </c>
      <c r="AJ52">
        <v>0</v>
      </c>
      <c r="AK52">
        <v>1</v>
      </c>
      <c r="AL52">
        <v>1</v>
      </c>
      <c r="AM52" s="367">
        <v>2</v>
      </c>
      <c r="AN52" s="367" t="s">
        <v>6775</v>
      </c>
    </row>
    <row r="53" spans="1:40">
      <c r="A53">
        <v>4755</v>
      </c>
      <c r="B53" t="s">
        <v>5597</v>
      </c>
      <c r="C53">
        <v>3</v>
      </c>
      <c r="D53">
        <v>1</v>
      </c>
      <c r="E53">
        <v>2</v>
      </c>
      <c r="F53">
        <v>3</v>
      </c>
      <c r="G53">
        <v>4</v>
      </c>
      <c r="H53">
        <v>0</v>
      </c>
      <c r="I53">
        <v>0</v>
      </c>
      <c r="J53">
        <v>0</v>
      </c>
      <c r="K53">
        <v>0</v>
      </c>
      <c r="L53" s="367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7</v>
      </c>
      <c r="T53" s="367">
        <v>0</v>
      </c>
      <c r="U53">
        <v>0</v>
      </c>
      <c r="V53">
        <v>0</v>
      </c>
      <c r="W53">
        <v>2</v>
      </c>
      <c r="X53">
        <v>2</v>
      </c>
      <c r="Y53">
        <v>2</v>
      </c>
      <c r="Z53">
        <v>2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4</v>
      </c>
      <c r="AK53">
        <v>3</v>
      </c>
      <c r="AL53">
        <v>1</v>
      </c>
      <c r="AM53" s="367">
        <v>234</v>
      </c>
      <c r="AN53" s="367">
        <v>7</v>
      </c>
    </row>
    <row r="54" spans="1:40">
      <c r="A54">
        <v>4804</v>
      </c>
      <c r="B54" t="s">
        <v>5602</v>
      </c>
      <c r="C54">
        <v>2</v>
      </c>
      <c r="D54">
        <v>0</v>
      </c>
      <c r="E54">
        <v>0</v>
      </c>
      <c r="F54">
        <v>0</v>
      </c>
      <c r="G54">
        <v>4</v>
      </c>
      <c r="H54">
        <v>0</v>
      </c>
      <c r="I54">
        <v>0</v>
      </c>
      <c r="J54">
        <v>0</v>
      </c>
      <c r="K54">
        <v>7</v>
      </c>
      <c r="L54" s="367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 s="367">
        <v>0</v>
      </c>
      <c r="U54">
        <v>0</v>
      </c>
      <c r="V54">
        <v>0</v>
      </c>
      <c r="W54">
        <v>2</v>
      </c>
      <c r="X54">
        <v>1</v>
      </c>
      <c r="Y54">
        <v>2</v>
      </c>
      <c r="Z54">
        <v>0</v>
      </c>
      <c r="AA54">
        <v>0</v>
      </c>
      <c r="AB54">
        <v>1</v>
      </c>
      <c r="AC54">
        <v>1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2</v>
      </c>
      <c r="AL54">
        <v>0</v>
      </c>
      <c r="AM54" s="367">
        <v>47</v>
      </c>
    </row>
    <row r="55" spans="1:40">
      <c r="A55">
        <v>4904</v>
      </c>
      <c r="B55" t="s">
        <v>5604</v>
      </c>
      <c r="C55">
        <v>1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 s="367" t="s">
        <v>6774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 s="367">
        <v>0</v>
      </c>
      <c r="U55">
        <v>14</v>
      </c>
      <c r="V55">
        <v>0</v>
      </c>
      <c r="W55">
        <v>10</v>
      </c>
      <c r="X55">
        <v>1</v>
      </c>
      <c r="Y55">
        <v>12</v>
      </c>
      <c r="Z55">
        <v>2</v>
      </c>
      <c r="AA55">
        <v>2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1</v>
      </c>
      <c r="AJ55">
        <v>0</v>
      </c>
      <c r="AK55">
        <v>15</v>
      </c>
      <c r="AL55">
        <v>0</v>
      </c>
      <c r="AM55" s="367" t="s">
        <v>6845</v>
      </c>
    </row>
    <row r="56" spans="1:40">
      <c r="A56">
        <v>4931</v>
      </c>
      <c r="B56" t="s">
        <v>5613</v>
      </c>
      <c r="C56">
        <v>1</v>
      </c>
      <c r="D56">
        <v>3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7</v>
      </c>
      <c r="L56" s="367">
        <v>0</v>
      </c>
      <c r="M56">
        <v>2</v>
      </c>
      <c r="N56">
        <v>3</v>
      </c>
      <c r="O56">
        <v>4</v>
      </c>
      <c r="P56">
        <v>0</v>
      </c>
      <c r="Q56">
        <v>0</v>
      </c>
      <c r="R56">
        <v>0</v>
      </c>
      <c r="S56">
        <v>0</v>
      </c>
      <c r="T56" s="367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1</v>
      </c>
      <c r="AA56">
        <v>0</v>
      </c>
      <c r="AB56">
        <v>0</v>
      </c>
      <c r="AC56">
        <v>1</v>
      </c>
      <c r="AD56">
        <v>1</v>
      </c>
      <c r="AE56">
        <v>1</v>
      </c>
      <c r="AF56">
        <v>1</v>
      </c>
      <c r="AG56">
        <v>0</v>
      </c>
      <c r="AH56">
        <v>0</v>
      </c>
      <c r="AI56">
        <v>0</v>
      </c>
      <c r="AJ56">
        <v>0</v>
      </c>
      <c r="AK56">
        <v>1</v>
      </c>
      <c r="AL56">
        <v>3</v>
      </c>
      <c r="AM56" s="367">
        <v>7</v>
      </c>
      <c r="AN56" s="367">
        <v>234</v>
      </c>
    </row>
    <row r="57" spans="1:40">
      <c r="A57">
        <v>4945</v>
      </c>
      <c r="B57" t="s">
        <v>5620</v>
      </c>
      <c r="C57">
        <v>1</v>
      </c>
      <c r="D57">
        <v>0</v>
      </c>
      <c r="E57">
        <v>0</v>
      </c>
      <c r="F57">
        <v>0</v>
      </c>
      <c r="G57">
        <v>0</v>
      </c>
      <c r="H57">
        <v>5</v>
      </c>
      <c r="I57">
        <v>0</v>
      </c>
      <c r="J57">
        <v>0</v>
      </c>
      <c r="K57">
        <v>0</v>
      </c>
      <c r="L57" s="36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 s="367">
        <v>0</v>
      </c>
      <c r="U57">
        <v>0</v>
      </c>
      <c r="V57">
        <v>0</v>
      </c>
      <c r="W57">
        <v>2</v>
      </c>
      <c r="X57">
        <v>0</v>
      </c>
      <c r="Y57">
        <v>2</v>
      </c>
      <c r="Z57">
        <v>1</v>
      </c>
      <c r="AA57">
        <v>0</v>
      </c>
      <c r="AB57">
        <v>0</v>
      </c>
      <c r="AC57">
        <v>0</v>
      </c>
      <c r="AD57">
        <v>0</v>
      </c>
      <c r="AE57">
        <v>2</v>
      </c>
      <c r="AF57">
        <v>0</v>
      </c>
      <c r="AG57">
        <v>0</v>
      </c>
      <c r="AH57">
        <v>0</v>
      </c>
      <c r="AI57">
        <v>0</v>
      </c>
      <c r="AJ57">
        <v>1</v>
      </c>
      <c r="AK57">
        <v>1</v>
      </c>
      <c r="AL57">
        <v>0</v>
      </c>
      <c r="AM57" s="367">
        <v>5</v>
      </c>
    </row>
    <row r="58" spans="1:40">
      <c r="A58">
        <v>5009</v>
      </c>
      <c r="B58" t="s">
        <v>5640</v>
      </c>
      <c r="C58">
        <v>1</v>
      </c>
      <c r="D58">
        <v>0</v>
      </c>
      <c r="E58">
        <v>2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 s="367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 s="367">
        <v>0</v>
      </c>
      <c r="U58">
        <v>0</v>
      </c>
      <c r="V58">
        <v>0</v>
      </c>
      <c r="W58">
        <v>1</v>
      </c>
      <c r="X58">
        <v>0</v>
      </c>
      <c r="Y58">
        <v>1</v>
      </c>
      <c r="Z58">
        <v>3</v>
      </c>
      <c r="AA58">
        <v>1</v>
      </c>
      <c r="AB58">
        <v>0</v>
      </c>
      <c r="AC58">
        <v>0</v>
      </c>
      <c r="AD58">
        <v>0</v>
      </c>
      <c r="AE58">
        <v>1</v>
      </c>
      <c r="AF58">
        <v>0</v>
      </c>
      <c r="AG58">
        <v>0</v>
      </c>
      <c r="AH58">
        <v>0</v>
      </c>
      <c r="AI58">
        <v>1</v>
      </c>
      <c r="AJ58">
        <v>2</v>
      </c>
      <c r="AK58">
        <v>1</v>
      </c>
      <c r="AL58">
        <v>0</v>
      </c>
      <c r="AM58" s="367">
        <v>2</v>
      </c>
    </row>
    <row r="59" spans="1:40">
      <c r="A59">
        <v>5014</v>
      </c>
      <c r="B59" t="s">
        <v>5643</v>
      </c>
      <c r="C59">
        <v>1</v>
      </c>
      <c r="D59">
        <v>0</v>
      </c>
      <c r="E59">
        <v>0</v>
      </c>
      <c r="F59">
        <v>0</v>
      </c>
      <c r="G59">
        <v>0</v>
      </c>
      <c r="H59">
        <v>5</v>
      </c>
      <c r="I59">
        <v>0</v>
      </c>
      <c r="J59">
        <v>0</v>
      </c>
      <c r="K59">
        <v>0</v>
      </c>
      <c r="L59" s="367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 s="367">
        <v>0</v>
      </c>
      <c r="U59">
        <v>0</v>
      </c>
      <c r="V59">
        <v>0</v>
      </c>
      <c r="W59">
        <v>2</v>
      </c>
      <c r="X59">
        <v>0</v>
      </c>
      <c r="Y59">
        <v>0</v>
      </c>
      <c r="Z59">
        <v>3</v>
      </c>
      <c r="AA59">
        <v>0</v>
      </c>
      <c r="AB59">
        <v>1</v>
      </c>
      <c r="AC59">
        <v>1</v>
      </c>
      <c r="AD59">
        <v>0</v>
      </c>
      <c r="AE59">
        <v>2</v>
      </c>
      <c r="AF59">
        <v>3</v>
      </c>
      <c r="AG59">
        <v>0</v>
      </c>
      <c r="AH59">
        <v>0</v>
      </c>
      <c r="AI59">
        <v>0</v>
      </c>
      <c r="AJ59">
        <v>0</v>
      </c>
      <c r="AK59">
        <v>1</v>
      </c>
      <c r="AL59">
        <v>0</v>
      </c>
      <c r="AM59" s="367">
        <v>5</v>
      </c>
    </row>
    <row r="60" spans="1:40">
      <c r="A60">
        <v>5272</v>
      </c>
      <c r="B60" t="s">
        <v>5661</v>
      </c>
      <c r="C60">
        <v>1</v>
      </c>
      <c r="D60">
        <v>0</v>
      </c>
      <c r="E60">
        <v>0</v>
      </c>
      <c r="F60">
        <v>0</v>
      </c>
      <c r="G60">
        <v>0</v>
      </c>
      <c r="H60">
        <v>5</v>
      </c>
      <c r="I60">
        <v>0</v>
      </c>
      <c r="J60">
        <v>0</v>
      </c>
      <c r="K60">
        <v>0</v>
      </c>
      <c r="L60" s="367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 s="367">
        <v>0</v>
      </c>
      <c r="U60">
        <v>0</v>
      </c>
      <c r="V60">
        <v>0</v>
      </c>
      <c r="W60">
        <v>4</v>
      </c>
      <c r="X60">
        <v>2</v>
      </c>
      <c r="Y60">
        <v>0</v>
      </c>
      <c r="Z60">
        <v>1</v>
      </c>
      <c r="AA60">
        <v>0</v>
      </c>
      <c r="AB60">
        <v>1</v>
      </c>
      <c r="AC60">
        <v>0</v>
      </c>
      <c r="AD60">
        <v>0</v>
      </c>
      <c r="AE60">
        <v>0</v>
      </c>
      <c r="AF60">
        <v>1</v>
      </c>
      <c r="AG60">
        <v>0</v>
      </c>
      <c r="AH60">
        <v>0</v>
      </c>
      <c r="AI60">
        <v>0</v>
      </c>
      <c r="AJ60">
        <v>4</v>
      </c>
      <c r="AK60">
        <v>1</v>
      </c>
      <c r="AL60">
        <v>0</v>
      </c>
      <c r="AM60" s="367">
        <v>5</v>
      </c>
    </row>
    <row r="61" spans="1:40">
      <c r="A61">
        <v>5388</v>
      </c>
      <c r="B61" t="s">
        <v>5681</v>
      </c>
      <c r="C61">
        <v>1</v>
      </c>
      <c r="D61">
        <v>0</v>
      </c>
      <c r="E61">
        <v>0</v>
      </c>
      <c r="F61">
        <v>0</v>
      </c>
      <c r="G61">
        <v>0</v>
      </c>
      <c r="H61">
        <v>0</v>
      </c>
      <c r="I61">
        <v>6</v>
      </c>
      <c r="J61">
        <v>0</v>
      </c>
      <c r="K61">
        <v>0</v>
      </c>
      <c r="L61" s="367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 s="367">
        <v>0</v>
      </c>
      <c r="U61">
        <v>0</v>
      </c>
      <c r="V61">
        <v>0</v>
      </c>
      <c r="W61">
        <v>2</v>
      </c>
      <c r="X61">
        <v>0</v>
      </c>
      <c r="Y61">
        <v>0</v>
      </c>
      <c r="Z61">
        <v>2</v>
      </c>
      <c r="AA61">
        <v>4</v>
      </c>
      <c r="AB61">
        <v>3</v>
      </c>
      <c r="AC61">
        <v>0</v>
      </c>
      <c r="AD61">
        <v>0</v>
      </c>
      <c r="AE61">
        <v>2</v>
      </c>
      <c r="AF61">
        <v>1</v>
      </c>
      <c r="AG61">
        <v>0</v>
      </c>
      <c r="AH61">
        <v>0</v>
      </c>
      <c r="AI61">
        <v>0</v>
      </c>
      <c r="AJ61">
        <v>1</v>
      </c>
      <c r="AK61">
        <v>1</v>
      </c>
      <c r="AL61">
        <v>0</v>
      </c>
      <c r="AM61" s="367">
        <v>6</v>
      </c>
    </row>
    <row r="62" spans="1:40">
      <c r="A62">
        <v>5425</v>
      </c>
      <c r="B62" t="s">
        <v>5685</v>
      </c>
      <c r="C62">
        <v>0</v>
      </c>
      <c r="D62">
        <v>2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 s="367">
        <v>0</v>
      </c>
      <c r="M62">
        <v>2</v>
      </c>
      <c r="N62">
        <v>0</v>
      </c>
      <c r="O62">
        <v>4</v>
      </c>
      <c r="P62">
        <v>0</v>
      </c>
      <c r="Q62">
        <v>0</v>
      </c>
      <c r="R62">
        <v>0</v>
      </c>
      <c r="S62">
        <v>0</v>
      </c>
      <c r="T62" s="367">
        <v>0</v>
      </c>
      <c r="U62">
        <v>1</v>
      </c>
      <c r="V62">
        <v>0</v>
      </c>
      <c r="W62">
        <v>0</v>
      </c>
      <c r="X62">
        <v>2</v>
      </c>
      <c r="Y62">
        <v>0</v>
      </c>
      <c r="Z62">
        <v>2</v>
      </c>
      <c r="AA62">
        <v>5</v>
      </c>
      <c r="AB62">
        <v>0</v>
      </c>
      <c r="AC62">
        <v>1</v>
      </c>
      <c r="AD62">
        <v>1</v>
      </c>
      <c r="AE62">
        <v>0</v>
      </c>
      <c r="AF62">
        <v>1</v>
      </c>
      <c r="AG62">
        <v>0</v>
      </c>
      <c r="AH62">
        <v>0</v>
      </c>
      <c r="AI62">
        <v>1</v>
      </c>
      <c r="AJ62">
        <v>0</v>
      </c>
      <c r="AK62">
        <v>1</v>
      </c>
      <c r="AL62">
        <v>2</v>
      </c>
      <c r="AM62" s="367" t="s">
        <v>3544</v>
      </c>
      <c r="AN62" s="367">
        <v>24</v>
      </c>
    </row>
    <row r="63" spans="1:40">
      <c r="A63">
        <v>5519</v>
      </c>
      <c r="B63" t="s">
        <v>5707</v>
      </c>
      <c r="C63">
        <v>0</v>
      </c>
      <c r="D63">
        <v>1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 s="367">
        <v>0</v>
      </c>
      <c r="M63">
        <v>0</v>
      </c>
      <c r="N63">
        <v>0</v>
      </c>
      <c r="O63">
        <v>0</v>
      </c>
      <c r="P63">
        <v>5</v>
      </c>
      <c r="Q63">
        <v>0</v>
      </c>
      <c r="R63">
        <v>0</v>
      </c>
      <c r="S63">
        <v>0</v>
      </c>
      <c r="T63" s="367">
        <v>0</v>
      </c>
      <c r="U63">
        <v>0</v>
      </c>
      <c r="V63">
        <v>6</v>
      </c>
      <c r="W63">
        <v>0</v>
      </c>
      <c r="X63">
        <v>1</v>
      </c>
      <c r="Y63">
        <v>2</v>
      </c>
      <c r="Z63">
        <v>0</v>
      </c>
      <c r="AA63">
        <v>0</v>
      </c>
      <c r="AB63">
        <v>0</v>
      </c>
      <c r="AC63">
        <v>0</v>
      </c>
      <c r="AD63">
        <v>10</v>
      </c>
      <c r="AE63">
        <v>0</v>
      </c>
      <c r="AF63">
        <v>0</v>
      </c>
      <c r="AG63">
        <v>1</v>
      </c>
      <c r="AH63">
        <v>0</v>
      </c>
      <c r="AI63">
        <v>0</v>
      </c>
      <c r="AJ63">
        <v>0</v>
      </c>
      <c r="AK63">
        <v>0</v>
      </c>
      <c r="AL63">
        <v>7</v>
      </c>
      <c r="AN63" s="367" t="s">
        <v>6846</v>
      </c>
    </row>
    <row r="64" spans="1:40">
      <c r="A64">
        <v>6104</v>
      </c>
      <c r="B64" t="s">
        <v>5740</v>
      </c>
      <c r="C64">
        <v>2</v>
      </c>
      <c r="D64">
        <v>2</v>
      </c>
      <c r="E64">
        <v>0</v>
      </c>
      <c r="F64">
        <v>0</v>
      </c>
      <c r="G64">
        <v>0</v>
      </c>
      <c r="H64">
        <v>0</v>
      </c>
      <c r="I64">
        <v>6</v>
      </c>
      <c r="J64">
        <v>9</v>
      </c>
      <c r="K64">
        <v>0</v>
      </c>
      <c r="L64" s="367">
        <v>0</v>
      </c>
      <c r="M64">
        <v>2</v>
      </c>
      <c r="N64">
        <v>3</v>
      </c>
      <c r="O64">
        <v>0</v>
      </c>
      <c r="P64">
        <v>0</v>
      </c>
      <c r="Q64">
        <v>0</v>
      </c>
      <c r="R64">
        <v>0</v>
      </c>
      <c r="S64">
        <v>0</v>
      </c>
      <c r="T64" s="367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1</v>
      </c>
      <c r="AB64">
        <v>2</v>
      </c>
      <c r="AC64">
        <v>0</v>
      </c>
      <c r="AD64">
        <v>1</v>
      </c>
      <c r="AE64">
        <v>3</v>
      </c>
      <c r="AF64">
        <v>1</v>
      </c>
      <c r="AG64">
        <v>1</v>
      </c>
      <c r="AH64">
        <v>0</v>
      </c>
      <c r="AI64">
        <v>0</v>
      </c>
      <c r="AJ64">
        <v>2</v>
      </c>
      <c r="AK64">
        <v>2</v>
      </c>
      <c r="AL64">
        <v>2</v>
      </c>
      <c r="AM64" s="367">
        <v>69</v>
      </c>
      <c r="AN64" s="367">
        <v>23</v>
      </c>
    </row>
    <row r="65" spans="1:40">
      <c r="A65">
        <v>6113</v>
      </c>
      <c r="B65" t="s">
        <v>6320</v>
      </c>
      <c r="C65">
        <v>1</v>
      </c>
      <c r="D65">
        <v>0</v>
      </c>
      <c r="E65">
        <v>0</v>
      </c>
      <c r="F65">
        <v>3</v>
      </c>
      <c r="G65">
        <v>0</v>
      </c>
      <c r="H65">
        <v>0</v>
      </c>
      <c r="I65">
        <v>0</v>
      </c>
      <c r="J65">
        <v>0</v>
      </c>
      <c r="K65">
        <v>0</v>
      </c>
      <c r="L65" s="367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 s="367">
        <v>0</v>
      </c>
      <c r="U65">
        <v>3</v>
      </c>
      <c r="V65">
        <v>3</v>
      </c>
      <c r="W65">
        <v>0</v>
      </c>
      <c r="X65">
        <v>7</v>
      </c>
      <c r="Y65">
        <v>1</v>
      </c>
      <c r="Z65">
        <v>0</v>
      </c>
      <c r="AA65">
        <v>0</v>
      </c>
      <c r="AB65">
        <v>0</v>
      </c>
      <c r="AC65">
        <v>0</v>
      </c>
      <c r="AD65">
        <v>1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7</v>
      </c>
      <c r="AK65">
        <v>4</v>
      </c>
      <c r="AL65">
        <v>3</v>
      </c>
      <c r="AM65" s="367" t="s">
        <v>6777</v>
      </c>
      <c r="AN65" s="367" t="s">
        <v>6778</v>
      </c>
    </row>
    <row r="66" spans="1:40">
      <c r="A66">
        <v>6121</v>
      </c>
      <c r="B66" t="s">
        <v>5750</v>
      </c>
      <c r="C66">
        <v>0</v>
      </c>
      <c r="D66">
        <v>1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 s="367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 s="367" t="s">
        <v>6774</v>
      </c>
      <c r="U66">
        <v>0</v>
      </c>
      <c r="V66">
        <v>0</v>
      </c>
      <c r="W66">
        <v>1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2</v>
      </c>
      <c r="AF66">
        <v>3</v>
      </c>
      <c r="AG66">
        <v>1</v>
      </c>
      <c r="AH66">
        <v>1</v>
      </c>
      <c r="AI66">
        <v>3</v>
      </c>
      <c r="AJ66">
        <v>1</v>
      </c>
      <c r="AK66">
        <v>0</v>
      </c>
      <c r="AL66">
        <v>1</v>
      </c>
      <c r="AN66" s="367" t="s">
        <v>6776</v>
      </c>
    </row>
    <row r="67" spans="1:40">
      <c r="A67">
        <v>6143</v>
      </c>
      <c r="B67" t="s">
        <v>5764</v>
      </c>
      <c r="C67">
        <v>0</v>
      </c>
      <c r="D67">
        <v>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 s="367">
        <v>0</v>
      </c>
      <c r="M67">
        <v>0</v>
      </c>
      <c r="N67">
        <v>0</v>
      </c>
      <c r="O67">
        <v>0</v>
      </c>
      <c r="P67">
        <v>5</v>
      </c>
      <c r="Q67">
        <v>0</v>
      </c>
      <c r="R67">
        <v>0</v>
      </c>
      <c r="S67">
        <v>0</v>
      </c>
      <c r="T67" s="367">
        <v>0</v>
      </c>
      <c r="U67">
        <v>4</v>
      </c>
      <c r="V67">
        <v>0</v>
      </c>
      <c r="W67">
        <v>0</v>
      </c>
      <c r="X67">
        <v>8</v>
      </c>
      <c r="Y67">
        <v>1</v>
      </c>
      <c r="Z67">
        <v>0</v>
      </c>
      <c r="AA67">
        <v>0</v>
      </c>
      <c r="AB67">
        <v>0</v>
      </c>
      <c r="AC67">
        <v>1</v>
      </c>
      <c r="AD67">
        <v>4</v>
      </c>
      <c r="AE67">
        <v>0</v>
      </c>
      <c r="AF67">
        <v>0</v>
      </c>
      <c r="AG67">
        <v>1</v>
      </c>
      <c r="AH67">
        <v>0</v>
      </c>
      <c r="AI67">
        <v>3</v>
      </c>
      <c r="AJ67">
        <v>0</v>
      </c>
      <c r="AK67">
        <v>4</v>
      </c>
      <c r="AL67">
        <v>1</v>
      </c>
      <c r="AM67" s="367" t="s">
        <v>4718</v>
      </c>
      <c r="AN67" s="367">
        <v>5</v>
      </c>
    </row>
    <row r="68" spans="1:40">
      <c r="A68">
        <v>6182</v>
      </c>
      <c r="B68" t="s">
        <v>5789</v>
      </c>
      <c r="C68">
        <v>0</v>
      </c>
      <c r="D68">
        <v>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 s="367">
        <v>0</v>
      </c>
      <c r="M68">
        <v>2</v>
      </c>
      <c r="N68">
        <v>0</v>
      </c>
      <c r="O68">
        <v>4</v>
      </c>
      <c r="P68">
        <v>0</v>
      </c>
      <c r="Q68">
        <v>0</v>
      </c>
      <c r="R68">
        <v>0</v>
      </c>
      <c r="S68">
        <v>0</v>
      </c>
      <c r="T68" s="367">
        <v>0</v>
      </c>
      <c r="U68">
        <v>0</v>
      </c>
      <c r="V68">
        <v>0</v>
      </c>
      <c r="W68">
        <v>0</v>
      </c>
      <c r="X68">
        <v>1</v>
      </c>
      <c r="Y68">
        <v>0</v>
      </c>
      <c r="Z68">
        <v>0</v>
      </c>
      <c r="AA68">
        <v>0</v>
      </c>
      <c r="AB68">
        <v>0</v>
      </c>
      <c r="AC68">
        <v>1</v>
      </c>
      <c r="AD68">
        <v>1</v>
      </c>
      <c r="AE68">
        <v>0</v>
      </c>
      <c r="AF68">
        <v>1</v>
      </c>
      <c r="AG68">
        <v>1</v>
      </c>
      <c r="AH68">
        <v>0</v>
      </c>
      <c r="AI68">
        <v>3</v>
      </c>
      <c r="AJ68">
        <v>0</v>
      </c>
      <c r="AK68">
        <v>0</v>
      </c>
      <c r="AL68">
        <v>2</v>
      </c>
      <c r="AN68" s="367">
        <v>24</v>
      </c>
    </row>
    <row r="69" spans="1:40">
      <c r="A69">
        <v>6217</v>
      </c>
      <c r="B69" t="s">
        <v>5814</v>
      </c>
      <c r="C69">
        <v>1</v>
      </c>
      <c r="D69">
        <v>0</v>
      </c>
      <c r="E69">
        <v>0</v>
      </c>
      <c r="F69">
        <v>0</v>
      </c>
      <c r="G69">
        <v>4</v>
      </c>
      <c r="H69">
        <v>0</v>
      </c>
      <c r="I69">
        <v>0</v>
      </c>
      <c r="J69">
        <v>0</v>
      </c>
      <c r="K69">
        <v>0</v>
      </c>
      <c r="L69" s="367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 s="367">
        <v>0</v>
      </c>
      <c r="U69">
        <v>0</v>
      </c>
      <c r="V69">
        <v>0</v>
      </c>
      <c r="W69">
        <v>2</v>
      </c>
      <c r="X69">
        <v>0</v>
      </c>
      <c r="Y69">
        <v>1</v>
      </c>
      <c r="Z69">
        <v>1</v>
      </c>
      <c r="AA69">
        <v>0</v>
      </c>
      <c r="AB69">
        <v>0</v>
      </c>
      <c r="AC69">
        <v>0</v>
      </c>
      <c r="AD69">
        <v>0</v>
      </c>
      <c r="AE69">
        <v>1</v>
      </c>
      <c r="AF69">
        <v>0</v>
      </c>
      <c r="AG69">
        <v>0</v>
      </c>
      <c r="AH69">
        <v>0</v>
      </c>
      <c r="AI69">
        <v>2</v>
      </c>
      <c r="AJ69">
        <v>3</v>
      </c>
      <c r="AK69">
        <v>1</v>
      </c>
      <c r="AL69">
        <v>0</v>
      </c>
      <c r="AM69" s="367">
        <v>4</v>
      </c>
    </row>
    <row r="70" spans="1:40">
      <c r="A70">
        <v>6223</v>
      </c>
      <c r="B70" t="s">
        <v>5818</v>
      </c>
      <c r="C70">
        <v>0</v>
      </c>
      <c r="D70">
        <v>2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 s="367">
        <v>0</v>
      </c>
      <c r="M70">
        <v>2</v>
      </c>
      <c r="N70">
        <v>0</v>
      </c>
      <c r="O70">
        <v>0</v>
      </c>
      <c r="P70">
        <v>0</v>
      </c>
      <c r="Q70">
        <v>6</v>
      </c>
      <c r="R70">
        <v>0</v>
      </c>
      <c r="S70">
        <v>0</v>
      </c>
      <c r="T70" s="367">
        <v>0</v>
      </c>
      <c r="U70">
        <v>0</v>
      </c>
      <c r="V70">
        <v>0</v>
      </c>
      <c r="W70">
        <v>0</v>
      </c>
      <c r="X70">
        <v>3</v>
      </c>
      <c r="Y70">
        <v>1</v>
      </c>
      <c r="Z70">
        <v>0</v>
      </c>
      <c r="AA70">
        <v>0</v>
      </c>
      <c r="AB70">
        <v>1</v>
      </c>
      <c r="AC70">
        <v>2</v>
      </c>
      <c r="AD70">
        <v>2</v>
      </c>
      <c r="AE70">
        <v>0</v>
      </c>
      <c r="AF70">
        <v>0</v>
      </c>
      <c r="AG70">
        <v>1</v>
      </c>
      <c r="AH70">
        <v>1</v>
      </c>
      <c r="AI70">
        <v>0</v>
      </c>
      <c r="AJ70">
        <v>0</v>
      </c>
      <c r="AK70">
        <v>0</v>
      </c>
      <c r="AL70">
        <v>2</v>
      </c>
      <c r="AN70" s="367">
        <v>26</v>
      </c>
    </row>
    <row r="71" spans="1:40">
      <c r="A71">
        <v>6231</v>
      </c>
      <c r="B71" t="s">
        <v>5824</v>
      </c>
      <c r="C71">
        <v>1</v>
      </c>
      <c r="D71">
        <v>1</v>
      </c>
      <c r="E71">
        <v>0</v>
      </c>
      <c r="F71">
        <v>0</v>
      </c>
      <c r="G71">
        <v>4</v>
      </c>
      <c r="H71">
        <v>0</v>
      </c>
      <c r="I71">
        <v>0</v>
      </c>
      <c r="J71">
        <v>0</v>
      </c>
      <c r="K71">
        <v>0</v>
      </c>
      <c r="L71" s="367">
        <v>0</v>
      </c>
      <c r="M71">
        <v>0</v>
      </c>
      <c r="N71">
        <v>0</v>
      </c>
      <c r="O71">
        <v>0</v>
      </c>
      <c r="P71">
        <v>0</v>
      </c>
      <c r="Q71">
        <v>6</v>
      </c>
      <c r="R71">
        <v>0</v>
      </c>
      <c r="S71">
        <v>0</v>
      </c>
      <c r="T71" s="367">
        <v>0</v>
      </c>
      <c r="U71">
        <v>0</v>
      </c>
      <c r="V71">
        <v>2</v>
      </c>
      <c r="W71">
        <v>0</v>
      </c>
      <c r="X71">
        <v>0</v>
      </c>
      <c r="Y71">
        <v>3</v>
      </c>
      <c r="Z71">
        <v>0</v>
      </c>
      <c r="AA71">
        <v>0</v>
      </c>
      <c r="AB71">
        <v>0</v>
      </c>
      <c r="AC71">
        <v>1</v>
      </c>
      <c r="AD71">
        <v>1</v>
      </c>
      <c r="AE71">
        <v>6</v>
      </c>
      <c r="AF71">
        <v>0</v>
      </c>
      <c r="AG71">
        <v>0</v>
      </c>
      <c r="AH71">
        <v>1</v>
      </c>
      <c r="AI71">
        <v>0</v>
      </c>
      <c r="AJ71">
        <v>0</v>
      </c>
      <c r="AK71">
        <v>1</v>
      </c>
      <c r="AL71">
        <v>3</v>
      </c>
      <c r="AM71" s="367">
        <v>4</v>
      </c>
      <c r="AN71" s="367" t="s">
        <v>6847</v>
      </c>
    </row>
    <row r="72" spans="1:40">
      <c r="A72">
        <v>6239</v>
      </c>
      <c r="B72" t="s">
        <v>5829</v>
      </c>
      <c r="C72">
        <v>1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 s="367" t="s">
        <v>6774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 s="367">
        <v>0</v>
      </c>
      <c r="U72">
        <v>0</v>
      </c>
      <c r="V72">
        <v>0</v>
      </c>
      <c r="W72">
        <v>1</v>
      </c>
      <c r="X72">
        <v>2</v>
      </c>
      <c r="Y72">
        <v>1</v>
      </c>
      <c r="Z72">
        <v>3</v>
      </c>
      <c r="AA72">
        <v>2</v>
      </c>
      <c r="AB72">
        <v>4</v>
      </c>
      <c r="AC72">
        <v>2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1</v>
      </c>
      <c r="AL72">
        <v>0</v>
      </c>
      <c r="AM72" s="367" t="s">
        <v>6776</v>
      </c>
    </row>
    <row r="73" spans="1:40">
      <c r="A73">
        <v>6271</v>
      </c>
      <c r="B73" t="s">
        <v>5843</v>
      </c>
      <c r="C73">
        <v>1</v>
      </c>
      <c r="D73">
        <v>0</v>
      </c>
      <c r="E73">
        <v>0</v>
      </c>
      <c r="F73">
        <v>0</v>
      </c>
      <c r="G73">
        <v>0</v>
      </c>
      <c r="H73">
        <v>0</v>
      </c>
      <c r="I73">
        <v>6</v>
      </c>
      <c r="J73">
        <v>0</v>
      </c>
      <c r="K73">
        <v>0</v>
      </c>
      <c r="L73" s="367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 s="367">
        <v>0</v>
      </c>
      <c r="U73">
        <v>0</v>
      </c>
      <c r="V73">
        <v>0</v>
      </c>
      <c r="W73">
        <v>3</v>
      </c>
      <c r="X73">
        <v>0</v>
      </c>
      <c r="Y73">
        <v>0</v>
      </c>
      <c r="Z73">
        <v>0</v>
      </c>
      <c r="AA73">
        <v>2</v>
      </c>
      <c r="AB73">
        <v>1</v>
      </c>
      <c r="AC73">
        <v>0</v>
      </c>
      <c r="AD73">
        <v>0</v>
      </c>
      <c r="AE73">
        <v>3</v>
      </c>
      <c r="AF73">
        <v>1</v>
      </c>
      <c r="AG73">
        <v>1</v>
      </c>
      <c r="AH73">
        <v>0</v>
      </c>
      <c r="AI73">
        <v>0</v>
      </c>
      <c r="AJ73">
        <v>3</v>
      </c>
      <c r="AK73">
        <v>1</v>
      </c>
      <c r="AL73">
        <v>0</v>
      </c>
      <c r="AM73" s="367">
        <v>6</v>
      </c>
    </row>
    <row r="74" spans="1:40">
      <c r="A74">
        <v>6294</v>
      </c>
      <c r="B74" t="s">
        <v>6158</v>
      </c>
      <c r="C74">
        <v>0</v>
      </c>
      <c r="D74">
        <v>1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 s="367">
        <v>0</v>
      </c>
      <c r="M74">
        <v>0</v>
      </c>
      <c r="N74">
        <v>0</v>
      </c>
      <c r="O74">
        <v>0</v>
      </c>
      <c r="P74">
        <v>5</v>
      </c>
      <c r="Q74">
        <v>0</v>
      </c>
      <c r="R74">
        <v>0</v>
      </c>
      <c r="S74">
        <v>0</v>
      </c>
      <c r="T74" s="367">
        <v>0</v>
      </c>
      <c r="U74">
        <v>0</v>
      </c>
      <c r="V74">
        <v>0</v>
      </c>
      <c r="W74">
        <v>0</v>
      </c>
      <c r="X74">
        <v>1</v>
      </c>
      <c r="Y74">
        <v>0</v>
      </c>
      <c r="Z74">
        <v>0</v>
      </c>
      <c r="AA74">
        <v>0</v>
      </c>
      <c r="AB74">
        <v>0</v>
      </c>
      <c r="AC74">
        <v>0</v>
      </c>
      <c r="AD74">
        <v>3</v>
      </c>
      <c r="AE74">
        <v>0</v>
      </c>
      <c r="AF74">
        <v>3</v>
      </c>
      <c r="AG74">
        <v>2</v>
      </c>
      <c r="AH74">
        <v>0</v>
      </c>
      <c r="AI74">
        <v>0</v>
      </c>
      <c r="AJ74">
        <v>0</v>
      </c>
      <c r="AK74">
        <v>0</v>
      </c>
      <c r="AL74">
        <v>1</v>
      </c>
      <c r="AN74" s="367">
        <v>5</v>
      </c>
    </row>
    <row r="75" spans="1:40">
      <c r="A75">
        <v>6443</v>
      </c>
      <c r="B75" t="s">
        <v>5872</v>
      </c>
      <c r="C75">
        <v>0</v>
      </c>
      <c r="D75">
        <v>4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 s="367">
        <v>0</v>
      </c>
      <c r="M75">
        <v>2</v>
      </c>
      <c r="N75">
        <v>0</v>
      </c>
      <c r="O75">
        <v>4</v>
      </c>
      <c r="P75">
        <v>0</v>
      </c>
      <c r="Q75">
        <v>6</v>
      </c>
      <c r="R75">
        <v>0</v>
      </c>
      <c r="S75">
        <v>0</v>
      </c>
      <c r="T75" s="367" t="s">
        <v>6774</v>
      </c>
      <c r="U75">
        <v>0</v>
      </c>
      <c r="V75">
        <v>5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1</v>
      </c>
      <c r="AD75">
        <v>5</v>
      </c>
      <c r="AE75">
        <v>1</v>
      </c>
      <c r="AF75">
        <v>2</v>
      </c>
      <c r="AG75">
        <v>1</v>
      </c>
      <c r="AH75">
        <v>8</v>
      </c>
      <c r="AI75">
        <v>1</v>
      </c>
      <c r="AJ75">
        <v>0</v>
      </c>
      <c r="AK75">
        <v>0</v>
      </c>
      <c r="AL75">
        <v>9</v>
      </c>
      <c r="AN75" s="367" t="s">
        <v>6848</v>
      </c>
    </row>
    <row r="76" spans="1:40">
      <c r="A76">
        <v>6470</v>
      </c>
      <c r="B76" t="s">
        <v>6159</v>
      </c>
      <c r="C76">
        <v>2</v>
      </c>
      <c r="D76">
        <v>2</v>
      </c>
      <c r="E76">
        <v>2</v>
      </c>
      <c r="F76">
        <v>3</v>
      </c>
      <c r="G76">
        <v>0</v>
      </c>
      <c r="H76">
        <v>0</v>
      </c>
      <c r="I76">
        <v>0</v>
      </c>
      <c r="J76">
        <v>0</v>
      </c>
      <c r="K76">
        <v>0</v>
      </c>
      <c r="L76" s="367">
        <v>0</v>
      </c>
      <c r="M76">
        <v>0</v>
      </c>
      <c r="N76">
        <v>0</v>
      </c>
      <c r="O76">
        <v>4</v>
      </c>
      <c r="P76">
        <v>0</v>
      </c>
      <c r="Q76">
        <v>0</v>
      </c>
      <c r="R76">
        <v>0</v>
      </c>
      <c r="S76">
        <v>7</v>
      </c>
      <c r="T76" s="367">
        <v>0</v>
      </c>
      <c r="U76">
        <v>0</v>
      </c>
      <c r="V76">
        <v>4</v>
      </c>
      <c r="W76">
        <v>2</v>
      </c>
      <c r="X76">
        <v>2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1</v>
      </c>
      <c r="AG76">
        <v>0</v>
      </c>
      <c r="AH76">
        <v>0</v>
      </c>
      <c r="AI76">
        <v>8</v>
      </c>
      <c r="AJ76">
        <v>2</v>
      </c>
      <c r="AK76">
        <v>2</v>
      </c>
      <c r="AL76">
        <v>6</v>
      </c>
      <c r="AM76" s="367">
        <v>23</v>
      </c>
      <c r="AN76" s="367" t="s">
        <v>6849</v>
      </c>
    </row>
    <row r="77" spans="1:40">
      <c r="A77">
        <v>6477</v>
      </c>
      <c r="B77" t="s">
        <v>5882</v>
      </c>
      <c r="C77">
        <v>0</v>
      </c>
      <c r="D77">
        <v>1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 s="367">
        <v>0</v>
      </c>
      <c r="M77">
        <v>0</v>
      </c>
      <c r="N77">
        <v>0</v>
      </c>
      <c r="O77">
        <v>0</v>
      </c>
      <c r="P77">
        <v>0</v>
      </c>
      <c r="Q77">
        <v>6</v>
      </c>
      <c r="R77">
        <v>0</v>
      </c>
      <c r="S77">
        <v>0</v>
      </c>
      <c r="T77" s="367">
        <v>0</v>
      </c>
      <c r="U77">
        <v>0</v>
      </c>
      <c r="V77">
        <v>0</v>
      </c>
      <c r="W77">
        <v>0</v>
      </c>
      <c r="X77">
        <v>2</v>
      </c>
      <c r="Y77">
        <v>3</v>
      </c>
      <c r="Z77">
        <v>2</v>
      </c>
      <c r="AA77">
        <v>0</v>
      </c>
      <c r="AB77">
        <v>0</v>
      </c>
      <c r="AC77">
        <v>1</v>
      </c>
      <c r="AD77">
        <v>1</v>
      </c>
      <c r="AE77">
        <v>0</v>
      </c>
      <c r="AF77">
        <v>0</v>
      </c>
      <c r="AG77">
        <v>0</v>
      </c>
      <c r="AH77">
        <v>1</v>
      </c>
      <c r="AI77">
        <v>0</v>
      </c>
      <c r="AJ77">
        <v>0</v>
      </c>
      <c r="AK77">
        <v>0</v>
      </c>
      <c r="AL77">
        <v>1</v>
      </c>
      <c r="AN77" s="367">
        <v>6</v>
      </c>
    </row>
    <row r="78" spans="1:40">
      <c r="A78">
        <v>6515</v>
      </c>
      <c r="B78" t="s">
        <v>5896</v>
      </c>
      <c r="C78">
        <v>1</v>
      </c>
      <c r="D78">
        <v>0</v>
      </c>
      <c r="E78">
        <v>0</v>
      </c>
      <c r="F78">
        <v>0</v>
      </c>
      <c r="G78">
        <v>0</v>
      </c>
      <c r="H78">
        <v>0</v>
      </c>
      <c r="I78">
        <v>6</v>
      </c>
      <c r="J78">
        <v>0</v>
      </c>
      <c r="K78">
        <v>0</v>
      </c>
      <c r="L78" s="367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 s="367">
        <v>0</v>
      </c>
      <c r="U78">
        <v>7</v>
      </c>
      <c r="V78">
        <v>0</v>
      </c>
      <c r="W78">
        <v>3</v>
      </c>
      <c r="X78">
        <v>0</v>
      </c>
      <c r="Y78">
        <v>2</v>
      </c>
      <c r="Z78">
        <v>4</v>
      </c>
      <c r="AA78">
        <v>3</v>
      </c>
      <c r="AB78">
        <v>11</v>
      </c>
      <c r="AC78">
        <v>0</v>
      </c>
      <c r="AD78">
        <v>0</v>
      </c>
      <c r="AE78">
        <v>1</v>
      </c>
      <c r="AF78">
        <v>0</v>
      </c>
      <c r="AG78">
        <v>0</v>
      </c>
      <c r="AH78">
        <v>0</v>
      </c>
      <c r="AI78">
        <v>0</v>
      </c>
      <c r="AJ78">
        <v>2</v>
      </c>
      <c r="AK78">
        <v>8</v>
      </c>
      <c r="AL78">
        <v>0</v>
      </c>
      <c r="AM78" s="367" t="s">
        <v>6850</v>
      </c>
    </row>
    <row r="79" spans="1:40">
      <c r="A79">
        <v>6531</v>
      </c>
      <c r="B79" t="s">
        <v>5900</v>
      </c>
      <c r="C79">
        <v>1</v>
      </c>
      <c r="D79">
        <v>2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7</v>
      </c>
      <c r="L79" s="367">
        <v>0</v>
      </c>
      <c r="M79">
        <v>2</v>
      </c>
      <c r="N79">
        <v>0</v>
      </c>
      <c r="O79">
        <v>4</v>
      </c>
      <c r="P79">
        <v>0</v>
      </c>
      <c r="Q79">
        <v>0</v>
      </c>
      <c r="R79">
        <v>0</v>
      </c>
      <c r="S79">
        <v>0</v>
      </c>
      <c r="T79" s="367">
        <v>0</v>
      </c>
      <c r="U79">
        <v>2</v>
      </c>
      <c r="V79">
        <v>0</v>
      </c>
      <c r="W79">
        <v>0</v>
      </c>
      <c r="X79">
        <v>6</v>
      </c>
      <c r="Y79">
        <v>0</v>
      </c>
      <c r="Z79">
        <v>0</v>
      </c>
      <c r="AA79">
        <v>0</v>
      </c>
      <c r="AB79">
        <v>0</v>
      </c>
      <c r="AC79">
        <v>1</v>
      </c>
      <c r="AD79">
        <v>2</v>
      </c>
      <c r="AE79">
        <v>0</v>
      </c>
      <c r="AF79">
        <v>3</v>
      </c>
      <c r="AG79">
        <v>2</v>
      </c>
      <c r="AH79">
        <v>0</v>
      </c>
      <c r="AI79">
        <v>1</v>
      </c>
      <c r="AJ79">
        <v>0</v>
      </c>
      <c r="AK79">
        <v>3</v>
      </c>
      <c r="AL79">
        <v>2</v>
      </c>
      <c r="AM79" s="367" t="s">
        <v>6833</v>
      </c>
      <c r="AN79" s="367">
        <v>24</v>
      </c>
    </row>
    <row r="80" spans="1:40">
      <c r="A80">
        <v>6591</v>
      </c>
      <c r="B80" t="s">
        <v>5914</v>
      </c>
      <c r="C80">
        <v>1</v>
      </c>
      <c r="D80">
        <v>0</v>
      </c>
      <c r="E80">
        <v>0</v>
      </c>
      <c r="F80">
        <v>0</v>
      </c>
      <c r="G80">
        <v>0</v>
      </c>
      <c r="H80">
        <v>5</v>
      </c>
      <c r="I80">
        <v>0</v>
      </c>
      <c r="J80">
        <v>0</v>
      </c>
      <c r="K80">
        <v>0</v>
      </c>
      <c r="L80" s="367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 s="367">
        <v>0</v>
      </c>
      <c r="U80">
        <v>0</v>
      </c>
      <c r="V80">
        <v>0</v>
      </c>
      <c r="W80">
        <v>2</v>
      </c>
      <c r="X80">
        <v>0</v>
      </c>
      <c r="Y80">
        <v>2</v>
      </c>
      <c r="Z80">
        <v>1</v>
      </c>
      <c r="AA80">
        <v>0</v>
      </c>
      <c r="AB80">
        <v>1</v>
      </c>
      <c r="AC80">
        <v>0</v>
      </c>
      <c r="AD80">
        <v>0</v>
      </c>
      <c r="AE80">
        <v>2</v>
      </c>
      <c r="AF80">
        <v>0</v>
      </c>
      <c r="AG80">
        <v>0</v>
      </c>
      <c r="AH80">
        <v>0</v>
      </c>
      <c r="AI80">
        <v>0</v>
      </c>
      <c r="AJ80">
        <v>3</v>
      </c>
      <c r="AK80">
        <v>1</v>
      </c>
      <c r="AL80">
        <v>0</v>
      </c>
      <c r="AM80" s="367">
        <v>5</v>
      </c>
    </row>
    <row r="81" spans="1:40">
      <c r="A81">
        <v>6706</v>
      </c>
      <c r="B81" t="s">
        <v>5939</v>
      </c>
      <c r="C81">
        <v>0</v>
      </c>
      <c r="D81">
        <v>2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 s="367">
        <v>0</v>
      </c>
      <c r="M81">
        <v>2</v>
      </c>
      <c r="N81">
        <v>0</v>
      </c>
      <c r="O81">
        <v>4</v>
      </c>
      <c r="P81">
        <v>0</v>
      </c>
      <c r="Q81">
        <v>0</v>
      </c>
      <c r="R81">
        <v>0</v>
      </c>
      <c r="S81">
        <v>0</v>
      </c>
      <c r="T81" s="367">
        <v>0</v>
      </c>
      <c r="U81">
        <v>0</v>
      </c>
      <c r="V81">
        <v>8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9</v>
      </c>
      <c r="AE81">
        <v>2</v>
      </c>
      <c r="AF81">
        <v>1</v>
      </c>
      <c r="AG81">
        <v>1</v>
      </c>
      <c r="AH81">
        <v>0</v>
      </c>
      <c r="AI81">
        <v>7</v>
      </c>
      <c r="AJ81">
        <v>1</v>
      </c>
      <c r="AK81">
        <v>0</v>
      </c>
      <c r="AL81">
        <v>10</v>
      </c>
      <c r="AN81" s="367" t="s">
        <v>6851</v>
      </c>
    </row>
    <row r="82" spans="1:40">
      <c r="A82">
        <v>8034</v>
      </c>
      <c r="B82" t="s">
        <v>5956</v>
      </c>
      <c r="C82">
        <v>0</v>
      </c>
      <c r="D82">
        <v>1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 s="367">
        <v>0</v>
      </c>
      <c r="M82">
        <v>0</v>
      </c>
      <c r="N82">
        <v>0</v>
      </c>
      <c r="O82">
        <v>0</v>
      </c>
      <c r="P82">
        <v>5</v>
      </c>
      <c r="Q82">
        <v>0</v>
      </c>
      <c r="R82">
        <v>0</v>
      </c>
      <c r="S82">
        <v>0</v>
      </c>
      <c r="T82" s="367">
        <v>0</v>
      </c>
      <c r="U82">
        <v>0</v>
      </c>
      <c r="V82">
        <v>3</v>
      </c>
      <c r="W82">
        <v>0</v>
      </c>
      <c r="X82">
        <v>3</v>
      </c>
      <c r="Y82">
        <v>1</v>
      </c>
      <c r="Z82">
        <v>0</v>
      </c>
      <c r="AA82">
        <v>0</v>
      </c>
      <c r="AB82">
        <v>0</v>
      </c>
      <c r="AC82">
        <v>1</v>
      </c>
      <c r="AD82">
        <v>7</v>
      </c>
      <c r="AE82">
        <v>0</v>
      </c>
      <c r="AF82">
        <v>0</v>
      </c>
      <c r="AG82">
        <v>3</v>
      </c>
      <c r="AH82">
        <v>0</v>
      </c>
      <c r="AI82">
        <v>3</v>
      </c>
      <c r="AJ82">
        <v>0</v>
      </c>
      <c r="AK82">
        <v>0</v>
      </c>
      <c r="AL82">
        <v>4</v>
      </c>
      <c r="AN82" s="367" t="s">
        <v>6846</v>
      </c>
    </row>
    <row r="83" spans="1:40">
      <c r="A83">
        <v>8069</v>
      </c>
      <c r="B83" t="s">
        <v>5967</v>
      </c>
      <c r="C83">
        <v>2</v>
      </c>
      <c r="D83">
        <v>0</v>
      </c>
      <c r="E83">
        <v>2</v>
      </c>
      <c r="F83">
        <v>0</v>
      </c>
      <c r="G83">
        <v>4</v>
      </c>
      <c r="H83">
        <v>0</v>
      </c>
      <c r="I83">
        <v>0</v>
      </c>
      <c r="J83">
        <v>0</v>
      </c>
      <c r="K83">
        <v>0</v>
      </c>
      <c r="L83" s="367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 s="367">
        <v>0</v>
      </c>
      <c r="U83">
        <v>0</v>
      </c>
      <c r="V83">
        <v>0</v>
      </c>
      <c r="W83">
        <v>2</v>
      </c>
      <c r="X83">
        <v>0</v>
      </c>
      <c r="Y83">
        <v>1</v>
      </c>
      <c r="Z83">
        <v>2</v>
      </c>
      <c r="AA83">
        <v>0</v>
      </c>
      <c r="AB83">
        <v>0</v>
      </c>
      <c r="AC83">
        <v>0</v>
      </c>
      <c r="AD83">
        <v>0</v>
      </c>
      <c r="AE83">
        <v>1</v>
      </c>
      <c r="AF83">
        <v>0</v>
      </c>
      <c r="AG83">
        <v>0</v>
      </c>
      <c r="AH83">
        <v>3</v>
      </c>
      <c r="AI83">
        <v>1</v>
      </c>
      <c r="AJ83">
        <v>2</v>
      </c>
      <c r="AK83">
        <v>2</v>
      </c>
      <c r="AL83">
        <v>0</v>
      </c>
      <c r="AM83" s="367">
        <v>24</v>
      </c>
    </row>
    <row r="84" spans="1:40">
      <c r="A84">
        <v>8071</v>
      </c>
      <c r="B84" t="s">
        <v>5969</v>
      </c>
      <c r="C84">
        <v>0</v>
      </c>
      <c r="D84">
        <v>1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 s="367">
        <v>0</v>
      </c>
      <c r="M84">
        <v>0</v>
      </c>
      <c r="N84">
        <v>0</v>
      </c>
      <c r="O84">
        <v>0</v>
      </c>
      <c r="P84">
        <v>5</v>
      </c>
      <c r="Q84">
        <v>0</v>
      </c>
      <c r="R84">
        <v>0</v>
      </c>
      <c r="S84">
        <v>0</v>
      </c>
      <c r="T84" s="367">
        <v>0</v>
      </c>
      <c r="U84">
        <v>0</v>
      </c>
      <c r="V84">
        <v>0</v>
      </c>
      <c r="W84">
        <v>0</v>
      </c>
      <c r="X84">
        <v>3</v>
      </c>
      <c r="Y84">
        <v>0</v>
      </c>
      <c r="Z84">
        <v>0</v>
      </c>
      <c r="AA84">
        <v>0</v>
      </c>
      <c r="AB84">
        <v>0</v>
      </c>
      <c r="AC84">
        <v>3</v>
      </c>
      <c r="AD84">
        <v>2</v>
      </c>
      <c r="AE84">
        <v>0</v>
      </c>
      <c r="AF84">
        <v>3</v>
      </c>
      <c r="AG84">
        <v>1</v>
      </c>
      <c r="AH84">
        <v>0</v>
      </c>
      <c r="AI84">
        <v>0</v>
      </c>
      <c r="AJ84">
        <v>0</v>
      </c>
      <c r="AK84">
        <v>0</v>
      </c>
      <c r="AL84">
        <v>1</v>
      </c>
      <c r="AN84" s="367">
        <v>5</v>
      </c>
    </row>
    <row r="85" spans="1:40">
      <c r="A85">
        <v>8088</v>
      </c>
      <c r="B85" t="s">
        <v>5975</v>
      </c>
      <c r="C85">
        <v>0</v>
      </c>
      <c r="D85">
        <v>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 s="367">
        <v>0</v>
      </c>
      <c r="M85">
        <v>0</v>
      </c>
      <c r="N85">
        <v>0</v>
      </c>
      <c r="O85">
        <v>0</v>
      </c>
      <c r="P85">
        <v>5</v>
      </c>
      <c r="Q85">
        <v>0</v>
      </c>
      <c r="R85">
        <v>0</v>
      </c>
      <c r="S85">
        <v>0</v>
      </c>
      <c r="T85" s="367">
        <v>0</v>
      </c>
      <c r="U85">
        <v>0</v>
      </c>
      <c r="V85">
        <v>2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1</v>
      </c>
      <c r="AE85">
        <v>6</v>
      </c>
      <c r="AF85">
        <v>1</v>
      </c>
      <c r="AG85">
        <v>1</v>
      </c>
      <c r="AH85">
        <v>0</v>
      </c>
      <c r="AI85">
        <v>1</v>
      </c>
      <c r="AJ85">
        <v>0</v>
      </c>
      <c r="AK85">
        <v>0</v>
      </c>
      <c r="AL85">
        <v>3</v>
      </c>
      <c r="AN85" s="367" t="s">
        <v>6852</v>
      </c>
    </row>
    <row r="86" spans="1:40">
      <c r="A86">
        <v>8096</v>
      </c>
      <c r="B86" t="s">
        <v>5978</v>
      </c>
      <c r="C86">
        <v>1</v>
      </c>
      <c r="D86">
        <v>1</v>
      </c>
      <c r="E86">
        <v>0</v>
      </c>
      <c r="F86">
        <v>3</v>
      </c>
      <c r="G86">
        <v>0</v>
      </c>
      <c r="H86">
        <v>0</v>
      </c>
      <c r="I86">
        <v>0</v>
      </c>
      <c r="J86">
        <v>0</v>
      </c>
      <c r="K86">
        <v>0</v>
      </c>
      <c r="L86" s="367">
        <v>0</v>
      </c>
      <c r="M86">
        <v>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 s="367">
        <v>0</v>
      </c>
      <c r="U86">
        <v>3</v>
      </c>
      <c r="V86">
        <v>0</v>
      </c>
      <c r="W86">
        <v>0</v>
      </c>
      <c r="X86">
        <v>7</v>
      </c>
      <c r="Y86">
        <v>0</v>
      </c>
      <c r="Z86">
        <v>0</v>
      </c>
      <c r="AA86">
        <v>0</v>
      </c>
      <c r="AB86">
        <v>0</v>
      </c>
      <c r="AC86">
        <v>0</v>
      </c>
      <c r="AD86">
        <v>1</v>
      </c>
      <c r="AE86">
        <v>0</v>
      </c>
      <c r="AF86">
        <v>4</v>
      </c>
      <c r="AG86">
        <v>0</v>
      </c>
      <c r="AH86">
        <v>0</v>
      </c>
      <c r="AI86">
        <v>1</v>
      </c>
      <c r="AJ86">
        <v>2</v>
      </c>
      <c r="AK86">
        <v>4</v>
      </c>
      <c r="AL86">
        <v>1</v>
      </c>
      <c r="AM86" s="367" t="s">
        <v>6777</v>
      </c>
      <c r="AN86" s="367">
        <v>2</v>
      </c>
    </row>
    <row r="87" spans="1:40">
      <c r="A87">
        <v>8155</v>
      </c>
      <c r="B87" t="s">
        <v>5992</v>
      </c>
      <c r="C87">
        <v>1</v>
      </c>
      <c r="D87">
        <v>0</v>
      </c>
      <c r="E87">
        <v>0</v>
      </c>
      <c r="F87">
        <v>0</v>
      </c>
      <c r="G87">
        <v>0</v>
      </c>
      <c r="H87">
        <v>0</v>
      </c>
      <c r="I87">
        <v>6</v>
      </c>
      <c r="J87">
        <v>0</v>
      </c>
      <c r="K87">
        <v>0</v>
      </c>
      <c r="L87" s="36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 s="367">
        <v>0</v>
      </c>
      <c r="U87">
        <v>3</v>
      </c>
      <c r="V87">
        <v>0</v>
      </c>
      <c r="W87">
        <v>0</v>
      </c>
      <c r="X87">
        <v>0</v>
      </c>
      <c r="Y87">
        <v>0</v>
      </c>
      <c r="Z87">
        <v>0</v>
      </c>
      <c r="AA87">
        <v>7</v>
      </c>
      <c r="AB87">
        <v>0</v>
      </c>
      <c r="AC87">
        <v>0</v>
      </c>
      <c r="AD87">
        <v>1</v>
      </c>
      <c r="AE87">
        <v>1</v>
      </c>
      <c r="AF87">
        <v>1</v>
      </c>
      <c r="AG87">
        <v>1</v>
      </c>
      <c r="AH87">
        <v>0</v>
      </c>
      <c r="AI87">
        <v>2</v>
      </c>
      <c r="AJ87">
        <v>2</v>
      </c>
      <c r="AK87">
        <v>4</v>
      </c>
      <c r="AL87">
        <v>0</v>
      </c>
      <c r="AM87" s="367" t="s">
        <v>6689</v>
      </c>
    </row>
    <row r="88" spans="1:40">
      <c r="A88">
        <v>8183</v>
      </c>
      <c r="B88" t="s">
        <v>5996</v>
      </c>
      <c r="C88">
        <v>0</v>
      </c>
      <c r="D88">
        <v>3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 s="367">
        <v>0</v>
      </c>
      <c r="M88">
        <v>2</v>
      </c>
      <c r="N88">
        <v>0</v>
      </c>
      <c r="O88">
        <v>4</v>
      </c>
      <c r="P88">
        <v>5</v>
      </c>
      <c r="Q88">
        <v>0</v>
      </c>
      <c r="R88">
        <v>0</v>
      </c>
      <c r="S88">
        <v>0</v>
      </c>
      <c r="T88" s="367">
        <v>0</v>
      </c>
      <c r="U88">
        <v>0</v>
      </c>
      <c r="V88">
        <v>0</v>
      </c>
      <c r="W88">
        <v>0</v>
      </c>
      <c r="X88">
        <v>2</v>
      </c>
      <c r="Y88">
        <v>0</v>
      </c>
      <c r="Z88">
        <v>0</v>
      </c>
      <c r="AA88">
        <v>0</v>
      </c>
      <c r="AB88">
        <v>1</v>
      </c>
      <c r="AC88">
        <v>0</v>
      </c>
      <c r="AD88">
        <v>4</v>
      </c>
      <c r="AE88">
        <v>0</v>
      </c>
      <c r="AF88">
        <v>1</v>
      </c>
      <c r="AG88">
        <v>1</v>
      </c>
      <c r="AH88">
        <v>0</v>
      </c>
      <c r="AI88">
        <v>0</v>
      </c>
      <c r="AJ88">
        <v>2</v>
      </c>
      <c r="AK88">
        <v>0</v>
      </c>
      <c r="AL88">
        <v>3</v>
      </c>
      <c r="AN88" s="367">
        <v>245</v>
      </c>
    </row>
    <row r="89" spans="1:40">
      <c r="A89">
        <v>8261</v>
      </c>
      <c r="B89" t="s">
        <v>6006</v>
      </c>
      <c r="C89">
        <v>2</v>
      </c>
      <c r="D89">
        <v>0</v>
      </c>
      <c r="E89">
        <v>2</v>
      </c>
      <c r="F89">
        <v>0</v>
      </c>
      <c r="G89">
        <v>4</v>
      </c>
      <c r="H89">
        <v>0</v>
      </c>
      <c r="I89">
        <v>0</v>
      </c>
      <c r="J89">
        <v>0</v>
      </c>
      <c r="K89">
        <v>0</v>
      </c>
      <c r="L89" s="367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 s="367">
        <v>0</v>
      </c>
      <c r="U89">
        <v>8</v>
      </c>
      <c r="V89">
        <v>0</v>
      </c>
      <c r="W89">
        <v>5</v>
      </c>
      <c r="X89">
        <v>0</v>
      </c>
      <c r="Y89">
        <v>5</v>
      </c>
      <c r="Z89">
        <v>1</v>
      </c>
      <c r="AA89">
        <v>0</v>
      </c>
      <c r="AB89">
        <v>6</v>
      </c>
      <c r="AC89">
        <v>8</v>
      </c>
      <c r="AD89">
        <v>0</v>
      </c>
      <c r="AE89">
        <v>1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10</v>
      </c>
      <c r="AL89">
        <v>0</v>
      </c>
      <c r="AM89" s="367" t="s">
        <v>6853</v>
      </c>
    </row>
    <row r="90" spans="1:40">
      <c r="A90">
        <v>8403</v>
      </c>
      <c r="B90" t="s">
        <v>6019</v>
      </c>
      <c r="C90">
        <v>1</v>
      </c>
      <c r="D90">
        <v>0</v>
      </c>
      <c r="E90">
        <v>2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 s="367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 s="367">
        <v>0</v>
      </c>
      <c r="U90">
        <v>0</v>
      </c>
      <c r="V90">
        <v>3</v>
      </c>
      <c r="W90">
        <v>1</v>
      </c>
      <c r="X90">
        <v>1</v>
      </c>
      <c r="Y90">
        <v>2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7</v>
      </c>
      <c r="AJ90">
        <v>1</v>
      </c>
      <c r="AK90">
        <v>1</v>
      </c>
      <c r="AL90">
        <v>3</v>
      </c>
      <c r="AM90" s="367">
        <v>2</v>
      </c>
      <c r="AN90" s="367" t="s">
        <v>6775</v>
      </c>
    </row>
    <row r="91" spans="1:40">
      <c r="A91">
        <v>8463</v>
      </c>
      <c r="B91" t="s">
        <v>6039</v>
      </c>
      <c r="C91">
        <v>0</v>
      </c>
      <c r="D91">
        <v>1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 s="367">
        <v>0</v>
      </c>
      <c r="M91">
        <v>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 s="367">
        <v>0</v>
      </c>
      <c r="U91">
        <v>0</v>
      </c>
      <c r="V91">
        <v>0</v>
      </c>
      <c r="W91">
        <v>0</v>
      </c>
      <c r="X91">
        <v>0</v>
      </c>
      <c r="Y91">
        <v>1</v>
      </c>
      <c r="Z91">
        <v>1</v>
      </c>
      <c r="AA91">
        <v>0</v>
      </c>
      <c r="AB91">
        <v>0</v>
      </c>
      <c r="AC91">
        <v>1</v>
      </c>
      <c r="AD91">
        <v>3</v>
      </c>
      <c r="AE91">
        <v>1</v>
      </c>
      <c r="AF91">
        <v>0</v>
      </c>
      <c r="AG91">
        <v>0</v>
      </c>
      <c r="AH91">
        <v>0</v>
      </c>
      <c r="AI91">
        <v>3</v>
      </c>
      <c r="AJ91">
        <v>0</v>
      </c>
      <c r="AK91">
        <v>0</v>
      </c>
      <c r="AL91">
        <v>1</v>
      </c>
      <c r="AN91" s="367">
        <v>2</v>
      </c>
    </row>
    <row r="92" spans="1:40">
      <c r="A92">
        <v>8478</v>
      </c>
      <c r="B92" t="s">
        <v>6045</v>
      </c>
      <c r="C92">
        <v>1</v>
      </c>
      <c r="D92">
        <v>0</v>
      </c>
      <c r="E92">
        <v>0</v>
      </c>
      <c r="F92">
        <v>0</v>
      </c>
      <c r="G92">
        <v>0</v>
      </c>
      <c r="H92">
        <v>0</v>
      </c>
      <c r="I92">
        <v>6</v>
      </c>
      <c r="J92">
        <v>0</v>
      </c>
      <c r="K92">
        <v>0</v>
      </c>
      <c r="L92" s="367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 s="367">
        <v>0</v>
      </c>
      <c r="U92">
        <v>0</v>
      </c>
      <c r="V92">
        <v>0</v>
      </c>
      <c r="W92">
        <v>1</v>
      </c>
      <c r="X92">
        <v>0</v>
      </c>
      <c r="Y92">
        <v>1</v>
      </c>
      <c r="Z92">
        <v>1</v>
      </c>
      <c r="AA92">
        <v>2</v>
      </c>
      <c r="AB92">
        <v>0</v>
      </c>
      <c r="AC92">
        <v>0</v>
      </c>
      <c r="AD92">
        <v>0</v>
      </c>
      <c r="AE92">
        <v>1</v>
      </c>
      <c r="AF92">
        <v>0</v>
      </c>
      <c r="AG92">
        <v>0</v>
      </c>
      <c r="AH92">
        <v>0</v>
      </c>
      <c r="AI92">
        <v>3</v>
      </c>
      <c r="AJ92">
        <v>1</v>
      </c>
      <c r="AK92">
        <v>1</v>
      </c>
      <c r="AL92">
        <v>0</v>
      </c>
      <c r="AM92" s="367">
        <v>6</v>
      </c>
    </row>
    <row r="93" spans="1:40">
      <c r="A93">
        <v>8928</v>
      </c>
      <c r="B93" t="s">
        <v>6058</v>
      </c>
      <c r="C93">
        <v>1</v>
      </c>
      <c r="D93">
        <v>0</v>
      </c>
      <c r="E93">
        <v>2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 s="367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 s="367">
        <v>0</v>
      </c>
      <c r="U93">
        <v>9</v>
      </c>
      <c r="V93">
        <v>0</v>
      </c>
      <c r="W93">
        <v>9</v>
      </c>
      <c r="X93">
        <v>8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1</v>
      </c>
      <c r="AG93">
        <v>0</v>
      </c>
      <c r="AH93">
        <v>0</v>
      </c>
      <c r="AI93">
        <v>4</v>
      </c>
      <c r="AJ93">
        <v>3</v>
      </c>
      <c r="AK93">
        <v>10</v>
      </c>
      <c r="AL93">
        <v>0</v>
      </c>
      <c r="AM93" s="367" t="s">
        <v>6854</v>
      </c>
    </row>
    <row r="94" spans="1:40">
      <c r="A94">
        <v>9958</v>
      </c>
      <c r="B94" t="s">
        <v>6100</v>
      </c>
      <c r="C94">
        <v>1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 s="367" t="s">
        <v>6774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 s="367">
        <v>0</v>
      </c>
      <c r="U94">
        <v>0</v>
      </c>
      <c r="V94">
        <v>11</v>
      </c>
      <c r="W94">
        <v>1</v>
      </c>
      <c r="X94">
        <v>2</v>
      </c>
      <c r="Y94">
        <v>1</v>
      </c>
      <c r="Z94">
        <v>2</v>
      </c>
      <c r="AA94">
        <v>1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15</v>
      </c>
      <c r="AJ94">
        <v>2</v>
      </c>
      <c r="AK94">
        <v>1</v>
      </c>
      <c r="AL94">
        <v>11</v>
      </c>
      <c r="AM94" s="367" t="s">
        <v>6776</v>
      </c>
      <c r="AN94" s="367" t="s">
        <v>6775</v>
      </c>
    </row>
    <row r="95" spans="1:40">
      <c r="A95">
        <v>1101</v>
      </c>
      <c r="B95" t="s">
        <v>4771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 s="367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 s="367">
        <v>0</v>
      </c>
      <c r="U95">
        <v>0</v>
      </c>
      <c r="V95">
        <v>9</v>
      </c>
      <c r="W95">
        <v>0</v>
      </c>
      <c r="X95">
        <v>0</v>
      </c>
      <c r="Y95">
        <v>0</v>
      </c>
      <c r="Z95">
        <v>0</v>
      </c>
      <c r="AA95">
        <v>2</v>
      </c>
      <c r="AB95">
        <v>0</v>
      </c>
      <c r="AC95">
        <v>0</v>
      </c>
      <c r="AD95">
        <v>10</v>
      </c>
      <c r="AE95">
        <v>1</v>
      </c>
      <c r="AF95">
        <v>1</v>
      </c>
      <c r="AG95">
        <v>1</v>
      </c>
      <c r="AH95">
        <v>0</v>
      </c>
      <c r="AI95">
        <v>7</v>
      </c>
      <c r="AJ95">
        <v>4</v>
      </c>
      <c r="AK95">
        <v>0</v>
      </c>
      <c r="AL95">
        <v>9</v>
      </c>
      <c r="AN95" s="367" t="s">
        <v>6788</v>
      </c>
    </row>
    <row r="96" spans="1:40">
      <c r="A96">
        <v>1102</v>
      </c>
      <c r="B96" t="s">
        <v>4772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 s="367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 s="367">
        <v>0</v>
      </c>
      <c r="U96">
        <v>16</v>
      </c>
      <c r="V96">
        <v>0</v>
      </c>
      <c r="W96">
        <v>2</v>
      </c>
      <c r="X96">
        <v>0</v>
      </c>
      <c r="Y96">
        <v>0</v>
      </c>
      <c r="Z96">
        <v>20</v>
      </c>
      <c r="AA96">
        <v>0</v>
      </c>
      <c r="AB96">
        <v>1</v>
      </c>
      <c r="AC96">
        <v>0</v>
      </c>
      <c r="AD96">
        <v>0</v>
      </c>
      <c r="AE96">
        <v>2</v>
      </c>
      <c r="AF96">
        <v>4</v>
      </c>
      <c r="AG96">
        <v>0</v>
      </c>
      <c r="AH96">
        <v>1</v>
      </c>
      <c r="AI96">
        <v>0</v>
      </c>
      <c r="AJ96">
        <v>1</v>
      </c>
      <c r="AK96">
        <v>16</v>
      </c>
      <c r="AL96">
        <v>0</v>
      </c>
      <c r="AM96" s="367" t="s">
        <v>3543</v>
      </c>
    </row>
    <row r="97" spans="1:40">
      <c r="A97">
        <v>1103</v>
      </c>
      <c r="B97" t="s">
        <v>4773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 s="36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 s="367">
        <v>0</v>
      </c>
      <c r="U97">
        <v>0</v>
      </c>
      <c r="V97">
        <v>3</v>
      </c>
      <c r="W97">
        <v>0</v>
      </c>
      <c r="X97">
        <v>1</v>
      </c>
      <c r="Y97">
        <v>2</v>
      </c>
      <c r="Z97">
        <v>3</v>
      </c>
      <c r="AA97">
        <v>0</v>
      </c>
      <c r="AB97">
        <v>0</v>
      </c>
      <c r="AC97">
        <v>0</v>
      </c>
      <c r="AD97">
        <v>4</v>
      </c>
      <c r="AE97">
        <v>0</v>
      </c>
      <c r="AF97">
        <v>0</v>
      </c>
      <c r="AG97">
        <v>0</v>
      </c>
      <c r="AH97">
        <v>0</v>
      </c>
      <c r="AI97">
        <v>7</v>
      </c>
      <c r="AJ97">
        <v>0</v>
      </c>
      <c r="AK97">
        <v>0</v>
      </c>
      <c r="AL97">
        <v>3</v>
      </c>
      <c r="AN97" s="367" t="s">
        <v>6775</v>
      </c>
    </row>
    <row r="98" spans="1:40">
      <c r="A98">
        <v>1104</v>
      </c>
      <c r="B98" t="s">
        <v>4774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 s="367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 s="367">
        <v>0</v>
      </c>
      <c r="U98">
        <v>0</v>
      </c>
      <c r="V98">
        <v>0</v>
      </c>
      <c r="W98">
        <v>1</v>
      </c>
      <c r="X98">
        <v>1</v>
      </c>
      <c r="Y98">
        <v>1</v>
      </c>
      <c r="Z98">
        <v>2</v>
      </c>
      <c r="AA98">
        <v>0</v>
      </c>
      <c r="AB98">
        <v>0</v>
      </c>
      <c r="AC98">
        <v>2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</row>
    <row r="99" spans="1:40">
      <c r="A99">
        <v>1108</v>
      </c>
      <c r="B99" t="s">
        <v>4775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 s="367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 s="367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1</v>
      </c>
      <c r="AE99">
        <v>1</v>
      </c>
      <c r="AF99">
        <v>4</v>
      </c>
      <c r="AG99">
        <v>1</v>
      </c>
      <c r="AH99">
        <v>0</v>
      </c>
      <c r="AI99">
        <v>0</v>
      </c>
      <c r="AJ99">
        <v>0</v>
      </c>
      <c r="AK99">
        <v>0</v>
      </c>
      <c r="AL99">
        <v>0</v>
      </c>
    </row>
    <row r="100" spans="1:40">
      <c r="A100">
        <v>1109</v>
      </c>
      <c r="B100" t="s">
        <v>4776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 s="367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 s="367">
        <v>0</v>
      </c>
      <c r="U100">
        <v>0</v>
      </c>
      <c r="V100">
        <v>5</v>
      </c>
      <c r="W100">
        <v>0</v>
      </c>
      <c r="X100">
        <v>0</v>
      </c>
      <c r="Y100">
        <v>0</v>
      </c>
      <c r="Z100">
        <v>2</v>
      </c>
      <c r="AA100">
        <v>0</v>
      </c>
      <c r="AB100">
        <v>0</v>
      </c>
      <c r="AC100">
        <v>0</v>
      </c>
      <c r="AD100">
        <v>9</v>
      </c>
      <c r="AE100">
        <v>3</v>
      </c>
      <c r="AF100">
        <v>1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5</v>
      </c>
      <c r="AN100" s="367" t="s">
        <v>6761</v>
      </c>
    </row>
    <row r="101" spans="1:40">
      <c r="A101">
        <v>1110</v>
      </c>
      <c r="B101" t="s">
        <v>4777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 s="367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 s="367">
        <v>0</v>
      </c>
      <c r="U101">
        <v>0</v>
      </c>
      <c r="V101">
        <v>2</v>
      </c>
      <c r="W101">
        <v>2</v>
      </c>
      <c r="X101">
        <v>4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6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2</v>
      </c>
      <c r="AN101" s="367" t="s">
        <v>3542</v>
      </c>
    </row>
    <row r="102" spans="1:40">
      <c r="A102">
        <v>1201</v>
      </c>
      <c r="B102" t="s">
        <v>4778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 s="367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 s="367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1</v>
      </c>
      <c r="AD102">
        <v>1</v>
      </c>
      <c r="AE102">
        <v>4</v>
      </c>
      <c r="AF102">
        <v>1</v>
      </c>
      <c r="AG102">
        <v>4</v>
      </c>
      <c r="AH102">
        <v>0</v>
      </c>
      <c r="AI102">
        <v>0</v>
      </c>
      <c r="AJ102">
        <v>0</v>
      </c>
      <c r="AK102">
        <v>0</v>
      </c>
      <c r="AL102">
        <v>0</v>
      </c>
    </row>
    <row r="103" spans="1:40">
      <c r="A103">
        <v>1203</v>
      </c>
      <c r="B103" t="s">
        <v>4779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 s="367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 s="367">
        <v>0</v>
      </c>
      <c r="U103">
        <v>0</v>
      </c>
      <c r="V103">
        <v>0</v>
      </c>
      <c r="W103">
        <v>0</v>
      </c>
      <c r="X103">
        <v>1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3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</row>
    <row r="104" spans="1:40">
      <c r="A104">
        <v>1210</v>
      </c>
      <c r="B104" t="s">
        <v>4780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 s="367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 s="367">
        <v>0</v>
      </c>
      <c r="U104">
        <v>0</v>
      </c>
      <c r="V104">
        <v>5</v>
      </c>
      <c r="W104">
        <v>0</v>
      </c>
      <c r="X104">
        <v>1</v>
      </c>
      <c r="Y104">
        <v>0</v>
      </c>
      <c r="Z104">
        <v>2</v>
      </c>
      <c r="AA104">
        <v>0</v>
      </c>
      <c r="AB104">
        <v>0</v>
      </c>
      <c r="AC104">
        <v>0</v>
      </c>
      <c r="AD104">
        <v>7</v>
      </c>
      <c r="AE104">
        <v>0</v>
      </c>
      <c r="AF104">
        <v>1</v>
      </c>
      <c r="AG104">
        <v>0</v>
      </c>
      <c r="AH104">
        <v>0</v>
      </c>
      <c r="AI104">
        <v>6</v>
      </c>
      <c r="AJ104">
        <v>1</v>
      </c>
      <c r="AK104">
        <v>0</v>
      </c>
      <c r="AL104">
        <v>5</v>
      </c>
      <c r="AN104" s="367" t="s">
        <v>6788</v>
      </c>
    </row>
    <row r="105" spans="1:40">
      <c r="A105">
        <v>1215</v>
      </c>
      <c r="B105" t="s">
        <v>4781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 s="367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 s="367">
        <v>0</v>
      </c>
      <c r="U105">
        <v>2</v>
      </c>
      <c r="V105">
        <v>9</v>
      </c>
      <c r="W105">
        <v>0</v>
      </c>
      <c r="X105">
        <v>0</v>
      </c>
      <c r="Y105">
        <v>0</v>
      </c>
      <c r="Z105">
        <v>6</v>
      </c>
      <c r="AA105">
        <v>0</v>
      </c>
      <c r="AB105">
        <v>0</v>
      </c>
      <c r="AC105">
        <v>1</v>
      </c>
      <c r="AD105">
        <v>1</v>
      </c>
      <c r="AE105">
        <v>0</v>
      </c>
      <c r="AF105">
        <v>13</v>
      </c>
      <c r="AG105">
        <v>0</v>
      </c>
      <c r="AH105">
        <v>1</v>
      </c>
      <c r="AI105">
        <v>4</v>
      </c>
      <c r="AJ105">
        <v>0</v>
      </c>
      <c r="AK105">
        <v>2</v>
      </c>
      <c r="AL105">
        <v>9</v>
      </c>
      <c r="AM105" s="367" t="s">
        <v>3543</v>
      </c>
      <c r="AN105" s="367" t="s">
        <v>3542</v>
      </c>
    </row>
    <row r="106" spans="1:40">
      <c r="A106">
        <v>1216</v>
      </c>
      <c r="B106" t="s">
        <v>4782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 s="367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 s="367">
        <v>0</v>
      </c>
      <c r="U106">
        <v>17</v>
      </c>
      <c r="V106">
        <v>3</v>
      </c>
      <c r="W106">
        <v>0</v>
      </c>
      <c r="X106">
        <v>1</v>
      </c>
      <c r="Y106">
        <v>0</v>
      </c>
      <c r="Z106">
        <v>2</v>
      </c>
      <c r="AA106">
        <v>21</v>
      </c>
      <c r="AB106">
        <v>1</v>
      </c>
      <c r="AC106">
        <v>1</v>
      </c>
      <c r="AD106">
        <v>4</v>
      </c>
      <c r="AE106">
        <v>0</v>
      </c>
      <c r="AF106">
        <v>7</v>
      </c>
      <c r="AG106">
        <v>0</v>
      </c>
      <c r="AH106">
        <v>0</v>
      </c>
      <c r="AI106">
        <v>0</v>
      </c>
      <c r="AJ106">
        <v>0</v>
      </c>
      <c r="AK106">
        <v>17</v>
      </c>
      <c r="AL106">
        <v>3</v>
      </c>
      <c r="AM106" s="367" t="s">
        <v>3544</v>
      </c>
      <c r="AN106" s="367" t="s">
        <v>3542</v>
      </c>
    </row>
    <row r="107" spans="1:40">
      <c r="A107">
        <v>1217</v>
      </c>
      <c r="B107" t="s">
        <v>4783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 s="36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 s="367">
        <v>0</v>
      </c>
      <c r="U107">
        <v>0</v>
      </c>
      <c r="V107">
        <v>2</v>
      </c>
      <c r="W107">
        <v>3</v>
      </c>
      <c r="X107">
        <v>0</v>
      </c>
      <c r="Y107">
        <v>2</v>
      </c>
      <c r="Z107">
        <v>0</v>
      </c>
      <c r="AA107">
        <v>0</v>
      </c>
      <c r="AB107">
        <v>0</v>
      </c>
      <c r="AC107">
        <v>1</v>
      </c>
      <c r="AD107">
        <v>0</v>
      </c>
      <c r="AE107">
        <v>6</v>
      </c>
      <c r="AF107">
        <v>0</v>
      </c>
      <c r="AG107">
        <v>0</v>
      </c>
      <c r="AH107">
        <v>0</v>
      </c>
      <c r="AI107">
        <v>2</v>
      </c>
      <c r="AJ107">
        <v>0</v>
      </c>
      <c r="AK107">
        <v>0</v>
      </c>
      <c r="AL107">
        <v>2</v>
      </c>
      <c r="AN107" s="367" t="s">
        <v>4718</v>
      </c>
    </row>
    <row r="108" spans="1:40">
      <c r="A108">
        <v>1218</v>
      </c>
      <c r="B108" t="s">
        <v>4784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 s="367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 s="367">
        <v>0</v>
      </c>
      <c r="U108">
        <v>6</v>
      </c>
      <c r="V108">
        <v>7</v>
      </c>
      <c r="W108">
        <v>10</v>
      </c>
      <c r="X108">
        <v>0</v>
      </c>
      <c r="Y108">
        <v>2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11</v>
      </c>
      <c r="AF108">
        <v>0</v>
      </c>
      <c r="AG108">
        <v>0</v>
      </c>
      <c r="AH108">
        <v>0</v>
      </c>
      <c r="AI108">
        <v>3</v>
      </c>
      <c r="AJ108">
        <v>2</v>
      </c>
      <c r="AK108">
        <v>6</v>
      </c>
      <c r="AL108">
        <v>7</v>
      </c>
      <c r="AM108" s="367" t="s">
        <v>6761</v>
      </c>
      <c r="AN108" s="367" t="s">
        <v>4718</v>
      </c>
    </row>
    <row r="109" spans="1:40">
      <c r="A109">
        <v>1219</v>
      </c>
      <c r="B109" t="s">
        <v>4785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 s="367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 s="367">
        <v>0</v>
      </c>
      <c r="U109">
        <v>1</v>
      </c>
      <c r="V109">
        <v>0</v>
      </c>
      <c r="W109">
        <v>0</v>
      </c>
      <c r="X109">
        <v>1</v>
      </c>
      <c r="Y109">
        <v>0</v>
      </c>
      <c r="Z109">
        <v>1</v>
      </c>
      <c r="AA109">
        <v>0</v>
      </c>
      <c r="AB109">
        <v>1</v>
      </c>
      <c r="AC109">
        <v>5</v>
      </c>
      <c r="AD109">
        <v>1</v>
      </c>
      <c r="AE109">
        <v>0</v>
      </c>
      <c r="AF109">
        <v>1</v>
      </c>
      <c r="AG109">
        <v>0</v>
      </c>
      <c r="AH109">
        <v>0</v>
      </c>
      <c r="AI109">
        <v>0</v>
      </c>
      <c r="AJ109">
        <v>0</v>
      </c>
      <c r="AK109">
        <v>1</v>
      </c>
      <c r="AL109">
        <v>0</v>
      </c>
      <c r="AM109" s="367" t="s">
        <v>6778</v>
      </c>
    </row>
    <row r="110" spans="1:40">
      <c r="A110">
        <v>1220</v>
      </c>
      <c r="B110" t="s">
        <v>4786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 s="367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 s="367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1</v>
      </c>
      <c r="AE110">
        <v>3</v>
      </c>
      <c r="AF110">
        <v>1</v>
      </c>
      <c r="AG110">
        <v>0</v>
      </c>
      <c r="AH110">
        <v>0</v>
      </c>
      <c r="AI110">
        <v>4</v>
      </c>
      <c r="AJ110">
        <v>0</v>
      </c>
      <c r="AK110">
        <v>0</v>
      </c>
      <c r="AL110">
        <v>0</v>
      </c>
    </row>
    <row r="111" spans="1:40">
      <c r="A111">
        <v>1225</v>
      </c>
      <c r="B111" t="s">
        <v>4787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 s="367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 s="367">
        <v>0</v>
      </c>
      <c r="U111">
        <v>0</v>
      </c>
      <c r="V111">
        <v>0</v>
      </c>
      <c r="W111">
        <v>0</v>
      </c>
      <c r="X111">
        <v>0</v>
      </c>
      <c r="Y111">
        <v>1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1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</row>
    <row r="112" spans="1:40">
      <c r="A112">
        <v>1227</v>
      </c>
      <c r="B112" t="s">
        <v>4788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 s="367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 s="367">
        <v>0</v>
      </c>
      <c r="U112">
        <v>0</v>
      </c>
      <c r="V112">
        <v>0</v>
      </c>
      <c r="W112">
        <v>2</v>
      </c>
      <c r="X112">
        <v>1</v>
      </c>
      <c r="Y112">
        <v>0</v>
      </c>
      <c r="Z112">
        <v>2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1</v>
      </c>
      <c r="AG112">
        <v>0</v>
      </c>
      <c r="AH112">
        <v>0</v>
      </c>
      <c r="AI112">
        <v>1</v>
      </c>
      <c r="AJ112">
        <v>3</v>
      </c>
      <c r="AK112">
        <v>0</v>
      </c>
      <c r="AL112">
        <v>0</v>
      </c>
    </row>
    <row r="113" spans="1:40">
      <c r="A113">
        <v>1229</v>
      </c>
      <c r="B113" t="s">
        <v>4789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 s="367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 s="367">
        <v>0</v>
      </c>
      <c r="U113">
        <v>0</v>
      </c>
      <c r="V113">
        <v>0</v>
      </c>
      <c r="W113">
        <v>0</v>
      </c>
      <c r="X113">
        <v>1</v>
      </c>
      <c r="Y113">
        <v>0</v>
      </c>
      <c r="Z113">
        <v>2</v>
      </c>
      <c r="AA113">
        <v>0</v>
      </c>
      <c r="AB113">
        <v>0</v>
      </c>
      <c r="AC113">
        <v>2</v>
      </c>
      <c r="AD113">
        <v>1</v>
      </c>
      <c r="AE113">
        <v>0</v>
      </c>
      <c r="AF113">
        <v>1</v>
      </c>
      <c r="AG113">
        <v>0</v>
      </c>
      <c r="AH113">
        <v>1</v>
      </c>
      <c r="AI113">
        <v>2</v>
      </c>
      <c r="AJ113">
        <v>0</v>
      </c>
      <c r="AK113">
        <v>0</v>
      </c>
      <c r="AL113">
        <v>0</v>
      </c>
    </row>
    <row r="114" spans="1:40">
      <c r="A114">
        <v>1231</v>
      </c>
      <c r="B114" t="s">
        <v>4790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 s="367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 s="367">
        <v>0</v>
      </c>
      <c r="U114">
        <v>0</v>
      </c>
      <c r="V114">
        <v>0</v>
      </c>
      <c r="W114">
        <v>0</v>
      </c>
      <c r="X114">
        <v>0</v>
      </c>
      <c r="Y114">
        <v>3</v>
      </c>
      <c r="Z114">
        <v>0</v>
      </c>
      <c r="AA114">
        <v>0</v>
      </c>
      <c r="AB114">
        <v>0</v>
      </c>
      <c r="AC114">
        <v>0</v>
      </c>
      <c r="AD114">
        <v>1</v>
      </c>
      <c r="AE114">
        <v>1</v>
      </c>
      <c r="AF114">
        <v>0</v>
      </c>
      <c r="AG114">
        <v>1</v>
      </c>
      <c r="AH114">
        <v>0</v>
      </c>
      <c r="AI114">
        <v>4</v>
      </c>
      <c r="AJ114">
        <v>0</v>
      </c>
      <c r="AK114">
        <v>0</v>
      </c>
      <c r="AL114">
        <v>0</v>
      </c>
    </row>
    <row r="115" spans="1:40">
      <c r="A115">
        <v>1232</v>
      </c>
      <c r="B115" t="s">
        <v>4791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 s="367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 s="367">
        <v>0</v>
      </c>
      <c r="U115">
        <v>0</v>
      </c>
      <c r="V115">
        <v>0</v>
      </c>
      <c r="W115">
        <v>2</v>
      </c>
      <c r="X115">
        <v>0</v>
      </c>
      <c r="Y115">
        <v>0</v>
      </c>
      <c r="Z115">
        <v>2</v>
      </c>
      <c r="AA115">
        <v>0</v>
      </c>
      <c r="AB115">
        <v>0</v>
      </c>
      <c r="AC115">
        <v>0</v>
      </c>
      <c r="AD115">
        <v>0</v>
      </c>
      <c r="AE115">
        <v>1</v>
      </c>
      <c r="AF115">
        <v>4</v>
      </c>
      <c r="AG115">
        <v>0</v>
      </c>
      <c r="AH115">
        <v>0</v>
      </c>
      <c r="AI115">
        <v>1</v>
      </c>
      <c r="AJ115">
        <v>0</v>
      </c>
      <c r="AK115">
        <v>0</v>
      </c>
      <c r="AL115">
        <v>0</v>
      </c>
    </row>
    <row r="116" spans="1:40">
      <c r="A116">
        <v>1233</v>
      </c>
      <c r="B116" t="s">
        <v>4792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 s="367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 s="367">
        <v>0</v>
      </c>
      <c r="U116">
        <v>0</v>
      </c>
      <c r="V116">
        <v>0</v>
      </c>
      <c r="W116">
        <v>0</v>
      </c>
      <c r="X116">
        <v>0</v>
      </c>
      <c r="Y116">
        <v>1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</row>
    <row r="117" spans="1:40">
      <c r="A117">
        <v>1234</v>
      </c>
      <c r="B117" t="s">
        <v>4793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 s="36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 s="367">
        <v>0</v>
      </c>
      <c r="U117">
        <v>0</v>
      </c>
      <c r="V117">
        <v>0</v>
      </c>
      <c r="W117">
        <v>2</v>
      </c>
      <c r="X117">
        <v>0</v>
      </c>
      <c r="Y117">
        <v>1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1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</row>
    <row r="118" spans="1:40">
      <c r="A118">
        <v>1235</v>
      </c>
      <c r="B118" t="s">
        <v>4794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 s="367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 s="367">
        <v>0</v>
      </c>
      <c r="U118">
        <v>0</v>
      </c>
      <c r="V118">
        <v>0</v>
      </c>
      <c r="W118">
        <v>0</v>
      </c>
      <c r="X118">
        <v>0</v>
      </c>
      <c r="Y118">
        <v>3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</row>
    <row r="119" spans="1:40">
      <c r="A119">
        <v>1236</v>
      </c>
      <c r="B119" t="s">
        <v>4795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 s="367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 s="367">
        <v>0</v>
      </c>
      <c r="U119">
        <v>0</v>
      </c>
      <c r="V119">
        <v>0</v>
      </c>
      <c r="W119">
        <v>0</v>
      </c>
      <c r="X119">
        <v>0</v>
      </c>
      <c r="Y119">
        <v>2</v>
      </c>
      <c r="Z119">
        <v>1</v>
      </c>
      <c r="AA119">
        <v>0</v>
      </c>
      <c r="AB119">
        <v>0</v>
      </c>
      <c r="AC119">
        <v>0</v>
      </c>
      <c r="AD119">
        <v>1</v>
      </c>
      <c r="AE119">
        <v>2</v>
      </c>
      <c r="AF119">
        <v>0</v>
      </c>
      <c r="AG119">
        <v>0</v>
      </c>
      <c r="AH119">
        <v>0</v>
      </c>
      <c r="AI119">
        <v>0</v>
      </c>
      <c r="AJ119">
        <v>1</v>
      </c>
      <c r="AK119">
        <v>0</v>
      </c>
      <c r="AL119">
        <v>0</v>
      </c>
    </row>
    <row r="120" spans="1:40">
      <c r="A120">
        <v>1240</v>
      </c>
      <c r="B120" t="s">
        <v>4796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 s="367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 s="367">
        <v>0</v>
      </c>
      <c r="U120">
        <v>0</v>
      </c>
      <c r="V120">
        <v>6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1</v>
      </c>
      <c r="AD120">
        <v>6</v>
      </c>
      <c r="AE120">
        <v>8</v>
      </c>
      <c r="AF120">
        <v>3</v>
      </c>
      <c r="AG120">
        <v>0</v>
      </c>
      <c r="AH120">
        <v>0</v>
      </c>
      <c r="AI120">
        <v>2</v>
      </c>
      <c r="AJ120">
        <v>0</v>
      </c>
      <c r="AK120">
        <v>0</v>
      </c>
      <c r="AL120">
        <v>6</v>
      </c>
      <c r="AN120" s="367" t="s">
        <v>6782</v>
      </c>
    </row>
    <row r="121" spans="1:40">
      <c r="A121">
        <v>1256</v>
      </c>
      <c r="B121" t="s">
        <v>4797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 s="367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 s="367">
        <v>0</v>
      </c>
      <c r="U121">
        <v>0</v>
      </c>
      <c r="V121">
        <v>0</v>
      </c>
      <c r="W121">
        <v>1</v>
      </c>
      <c r="X121">
        <v>0</v>
      </c>
      <c r="Y121">
        <v>4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1</v>
      </c>
      <c r="AF121">
        <v>0</v>
      </c>
      <c r="AG121">
        <v>1</v>
      </c>
      <c r="AH121">
        <v>0</v>
      </c>
      <c r="AI121">
        <v>0</v>
      </c>
      <c r="AJ121">
        <v>0</v>
      </c>
      <c r="AK121">
        <v>0</v>
      </c>
      <c r="AL121">
        <v>0</v>
      </c>
    </row>
    <row r="122" spans="1:40">
      <c r="A122">
        <v>1258</v>
      </c>
      <c r="B122" t="s">
        <v>4798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 s="367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 s="367">
        <v>0</v>
      </c>
      <c r="U122">
        <v>0</v>
      </c>
      <c r="V122">
        <v>0</v>
      </c>
      <c r="W122">
        <v>0</v>
      </c>
      <c r="X122">
        <v>1</v>
      </c>
      <c r="Y122">
        <v>0</v>
      </c>
      <c r="Z122">
        <v>0</v>
      </c>
      <c r="AA122">
        <v>0</v>
      </c>
      <c r="AB122">
        <v>0</v>
      </c>
      <c r="AC122">
        <v>1</v>
      </c>
      <c r="AD122">
        <v>4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</row>
    <row r="123" spans="1:40">
      <c r="A123">
        <v>1264</v>
      </c>
      <c r="B123" t="s">
        <v>4799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 s="367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 s="367">
        <v>0</v>
      </c>
      <c r="U123">
        <v>0</v>
      </c>
      <c r="V123">
        <v>0</v>
      </c>
      <c r="W123">
        <v>0</v>
      </c>
      <c r="X123">
        <v>0</v>
      </c>
      <c r="Y123">
        <v>1</v>
      </c>
      <c r="Z123">
        <v>0</v>
      </c>
      <c r="AA123">
        <v>0</v>
      </c>
      <c r="AB123">
        <v>0</v>
      </c>
      <c r="AC123">
        <v>0</v>
      </c>
      <c r="AD123">
        <v>1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</row>
    <row r="124" spans="1:40">
      <c r="A124">
        <v>1301</v>
      </c>
      <c r="B124" t="s">
        <v>4800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 s="367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 s="367">
        <v>0</v>
      </c>
      <c r="U124">
        <v>17</v>
      </c>
      <c r="V124">
        <v>0</v>
      </c>
      <c r="W124">
        <v>0</v>
      </c>
      <c r="X124">
        <v>1</v>
      </c>
      <c r="Y124">
        <v>0</v>
      </c>
      <c r="Z124">
        <v>2</v>
      </c>
      <c r="AA124">
        <v>21</v>
      </c>
      <c r="AB124">
        <v>0</v>
      </c>
      <c r="AC124">
        <v>0</v>
      </c>
      <c r="AD124">
        <v>1</v>
      </c>
      <c r="AE124">
        <v>0</v>
      </c>
      <c r="AF124">
        <v>1</v>
      </c>
      <c r="AG124">
        <v>0</v>
      </c>
      <c r="AH124">
        <v>0</v>
      </c>
      <c r="AI124">
        <v>1</v>
      </c>
      <c r="AJ124">
        <v>2</v>
      </c>
      <c r="AK124">
        <v>17</v>
      </c>
      <c r="AL124">
        <v>0</v>
      </c>
      <c r="AM124" s="367" t="s">
        <v>3544</v>
      </c>
    </row>
    <row r="125" spans="1:40">
      <c r="A125">
        <v>1303</v>
      </c>
      <c r="B125" t="s">
        <v>4801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 s="367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 s="367">
        <v>0</v>
      </c>
      <c r="U125">
        <v>11</v>
      </c>
      <c r="V125">
        <v>9</v>
      </c>
      <c r="W125">
        <v>0</v>
      </c>
      <c r="X125">
        <v>3</v>
      </c>
      <c r="Y125">
        <v>0</v>
      </c>
      <c r="Z125">
        <v>2</v>
      </c>
      <c r="AA125">
        <v>15</v>
      </c>
      <c r="AB125">
        <v>0</v>
      </c>
      <c r="AC125">
        <v>0</v>
      </c>
      <c r="AD125">
        <v>10</v>
      </c>
      <c r="AE125">
        <v>0</v>
      </c>
      <c r="AF125">
        <v>7</v>
      </c>
      <c r="AG125">
        <v>0</v>
      </c>
      <c r="AH125">
        <v>0</v>
      </c>
      <c r="AI125">
        <v>2</v>
      </c>
      <c r="AJ125">
        <v>4</v>
      </c>
      <c r="AK125">
        <v>11</v>
      </c>
      <c r="AL125">
        <v>9</v>
      </c>
      <c r="AM125" s="367" t="s">
        <v>3544</v>
      </c>
      <c r="AN125" s="367" t="s">
        <v>6785</v>
      </c>
    </row>
    <row r="126" spans="1:40">
      <c r="A126">
        <v>1304</v>
      </c>
      <c r="B126" t="s">
        <v>4802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 s="367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 s="367">
        <v>0</v>
      </c>
      <c r="U126">
        <v>0</v>
      </c>
      <c r="V126">
        <v>0</v>
      </c>
      <c r="W126">
        <v>2</v>
      </c>
      <c r="X126">
        <v>0</v>
      </c>
      <c r="Y126">
        <v>1</v>
      </c>
      <c r="Z126">
        <v>1</v>
      </c>
      <c r="AA126">
        <v>0</v>
      </c>
      <c r="AB126">
        <v>0</v>
      </c>
      <c r="AC126">
        <v>2</v>
      </c>
      <c r="AD126">
        <v>0</v>
      </c>
      <c r="AE126">
        <v>3</v>
      </c>
      <c r="AF126">
        <v>0</v>
      </c>
      <c r="AG126">
        <v>0</v>
      </c>
      <c r="AH126">
        <v>0</v>
      </c>
      <c r="AI126">
        <v>2</v>
      </c>
      <c r="AJ126">
        <v>0</v>
      </c>
      <c r="AK126">
        <v>0</v>
      </c>
      <c r="AL126">
        <v>0</v>
      </c>
    </row>
    <row r="127" spans="1:40">
      <c r="A127">
        <v>1305</v>
      </c>
      <c r="B127" t="s">
        <v>4803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 s="36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 s="367">
        <v>0</v>
      </c>
      <c r="U127">
        <v>0</v>
      </c>
      <c r="V127">
        <v>0</v>
      </c>
      <c r="W127">
        <v>0</v>
      </c>
      <c r="X127">
        <v>0</v>
      </c>
      <c r="Y127">
        <v>3</v>
      </c>
      <c r="Z127">
        <v>2</v>
      </c>
      <c r="AA127">
        <v>0</v>
      </c>
      <c r="AB127">
        <v>0</v>
      </c>
      <c r="AC127">
        <v>0</v>
      </c>
      <c r="AD127">
        <v>1</v>
      </c>
      <c r="AE127">
        <v>4</v>
      </c>
      <c r="AF127">
        <v>0</v>
      </c>
      <c r="AG127">
        <v>0</v>
      </c>
      <c r="AH127">
        <v>0</v>
      </c>
      <c r="AI127">
        <v>1</v>
      </c>
      <c r="AJ127">
        <v>1</v>
      </c>
      <c r="AK127">
        <v>0</v>
      </c>
      <c r="AL127">
        <v>0</v>
      </c>
    </row>
    <row r="128" spans="1:40">
      <c r="A128">
        <v>1307</v>
      </c>
      <c r="B128" t="s">
        <v>4804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 s="367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 s="367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2</v>
      </c>
      <c r="AF128">
        <v>0</v>
      </c>
      <c r="AG128">
        <v>1</v>
      </c>
      <c r="AH128">
        <v>0</v>
      </c>
      <c r="AI128">
        <v>0</v>
      </c>
      <c r="AJ128">
        <v>0</v>
      </c>
      <c r="AK128">
        <v>0</v>
      </c>
      <c r="AL128">
        <v>0</v>
      </c>
    </row>
    <row r="129" spans="1:40">
      <c r="A129">
        <v>1308</v>
      </c>
      <c r="B129" t="s">
        <v>4805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 s="367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 s="367">
        <v>0</v>
      </c>
      <c r="U129">
        <v>0</v>
      </c>
      <c r="V129">
        <v>1</v>
      </c>
      <c r="W129">
        <v>1</v>
      </c>
      <c r="X129">
        <v>0</v>
      </c>
      <c r="Y129">
        <v>2</v>
      </c>
      <c r="Z129">
        <v>1</v>
      </c>
      <c r="AA129">
        <v>0</v>
      </c>
      <c r="AB129">
        <v>1</v>
      </c>
      <c r="AC129">
        <v>0</v>
      </c>
      <c r="AD129">
        <v>0</v>
      </c>
      <c r="AE129">
        <v>1</v>
      </c>
      <c r="AF129">
        <v>0</v>
      </c>
      <c r="AG129">
        <v>0</v>
      </c>
      <c r="AH129">
        <v>5</v>
      </c>
      <c r="AI129">
        <v>0</v>
      </c>
      <c r="AJ129">
        <v>1</v>
      </c>
      <c r="AK129">
        <v>0</v>
      </c>
      <c r="AL129">
        <v>1</v>
      </c>
      <c r="AN129" s="367" t="s">
        <v>3544</v>
      </c>
    </row>
    <row r="130" spans="1:40">
      <c r="A130">
        <v>1309</v>
      </c>
      <c r="B130" t="s">
        <v>4806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 s="367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 s="367">
        <v>0</v>
      </c>
      <c r="U130">
        <v>0</v>
      </c>
      <c r="V130">
        <v>3</v>
      </c>
      <c r="W130">
        <v>2</v>
      </c>
      <c r="X130">
        <v>0</v>
      </c>
      <c r="Y130">
        <v>3</v>
      </c>
      <c r="Z130">
        <v>1</v>
      </c>
      <c r="AA130">
        <v>0</v>
      </c>
      <c r="AB130">
        <v>0</v>
      </c>
      <c r="AC130">
        <v>2</v>
      </c>
      <c r="AD130">
        <v>0</v>
      </c>
      <c r="AE130">
        <v>7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3</v>
      </c>
      <c r="AN130" s="367" t="s">
        <v>4718</v>
      </c>
    </row>
    <row r="131" spans="1:40">
      <c r="A131">
        <v>1310</v>
      </c>
      <c r="B131" t="s">
        <v>4807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 s="367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 s="367">
        <v>0</v>
      </c>
      <c r="U131">
        <v>0</v>
      </c>
      <c r="V131">
        <v>1</v>
      </c>
      <c r="W131">
        <v>0</v>
      </c>
      <c r="X131">
        <v>1</v>
      </c>
      <c r="Y131">
        <v>2</v>
      </c>
      <c r="Z131">
        <v>0</v>
      </c>
      <c r="AA131">
        <v>0</v>
      </c>
      <c r="AB131">
        <v>0</v>
      </c>
      <c r="AC131">
        <v>0</v>
      </c>
      <c r="AD131">
        <v>4</v>
      </c>
      <c r="AE131">
        <v>0</v>
      </c>
      <c r="AF131">
        <v>0</v>
      </c>
      <c r="AG131">
        <v>1</v>
      </c>
      <c r="AH131">
        <v>0</v>
      </c>
      <c r="AI131">
        <v>5</v>
      </c>
      <c r="AJ131">
        <v>4</v>
      </c>
      <c r="AK131">
        <v>0</v>
      </c>
      <c r="AL131">
        <v>1</v>
      </c>
      <c r="AN131" s="367" t="s">
        <v>6775</v>
      </c>
    </row>
    <row r="132" spans="1:40">
      <c r="A132">
        <v>1312</v>
      </c>
      <c r="B132" t="s">
        <v>4808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 s="367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 s="367">
        <v>0</v>
      </c>
      <c r="U132">
        <v>1</v>
      </c>
      <c r="V132">
        <v>0</v>
      </c>
      <c r="W132">
        <v>3</v>
      </c>
      <c r="X132">
        <v>2</v>
      </c>
      <c r="Y132">
        <v>1</v>
      </c>
      <c r="Z132">
        <v>5</v>
      </c>
      <c r="AA132">
        <v>0</v>
      </c>
      <c r="AB132">
        <v>1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3</v>
      </c>
      <c r="AK132">
        <v>1</v>
      </c>
      <c r="AL132">
        <v>0</v>
      </c>
      <c r="AM132" s="367" t="s">
        <v>3543</v>
      </c>
    </row>
    <row r="133" spans="1:40">
      <c r="A133">
        <v>1313</v>
      </c>
      <c r="B133" t="s">
        <v>4809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 s="367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 s="367">
        <v>0</v>
      </c>
      <c r="U133">
        <v>0</v>
      </c>
      <c r="V133">
        <v>0</v>
      </c>
      <c r="W133">
        <v>3</v>
      </c>
      <c r="X133">
        <v>0</v>
      </c>
      <c r="Y133">
        <v>3</v>
      </c>
      <c r="Z133">
        <v>2</v>
      </c>
      <c r="AA133">
        <v>0</v>
      </c>
      <c r="AB133">
        <v>0</v>
      </c>
      <c r="AC133">
        <v>1</v>
      </c>
      <c r="AD133">
        <v>0</v>
      </c>
      <c r="AE133">
        <v>3</v>
      </c>
      <c r="AF133">
        <v>0</v>
      </c>
      <c r="AG133">
        <v>0</v>
      </c>
      <c r="AH133">
        <v>0</v>
      </c>
      <c r="AI133">
        <v>2</v>
      </c>
      <c r="AJ133">
        <v>0</v>
      </c>
      <c r="AK133">
        <v>0</v>
      </c>
      <c r="AL133">
        <v>0</v>
      </c>
    </row>
    <row r="134" spans="1:40">
      <c r="A134">
        <v>1314</v>
      </c>
      <c r="B134" t="s">
        <v>4810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 s="367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 s="367">
        <v>0</v>
      </c>
      <c r="U134">
        <v>0</v>
      </c>
      <c r="V134">
        <v>0</v>
      </c>
      <c r="W134">
        <v>0</v>
      </c>
      <c r="X134">
        <v>0</v>
      </c>
      <c r="Y134">
        <v>2</v>
      </c>
      <c r="Z134">
        <v>0</v>
      </c>
      <c r="AA134">
        <v>0</v>
      </c>
      <c r="AB134">
        <v>0</v>
      </c>
      <c r="AC134">
        <v>2</v>
      </c>
      <c r="AD134">
        <v>1</v>
      </c>
      <c r="AE134">
        <v>3</v>
      </c>
      <c r="AF134">
        <v>0</v>
      </c>
      <c r="AG134">
        <v>1</v>
      </c>
      <c r="AH134">
        <v>0</v>
      </c>
      <c r="AI134">
        <v>2</v>
      </c>
      <c r="AJ134">
        <v>0</v>
      </c>
      <c r="AK134">
        <v>0</v>
      </c>
      <c r="AL134">
        <v>0</v>
      </c>
    </row>
    <row r="135" spans="1:40">
      <c r="A135">
        <v>1315</v>
      </c>
      <c r="B135" t="s">
        <v>4811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 s="367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 s="367">
        <v>0</v>
      </c>
      <c r="U135">
        <v>0</v>
      </c>
      <c r="V135">
        <v>0</v>
      </c>
      <c r="W135">
        <v>0</v>
      </c>
      <c r="X135">
        <v>0</v>
      </c>
      <c r="Y135">
        <v>2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1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</row>
    <row r="136" spans="1:40">
      <c r="A136">
        <v>1316</v>
      </c>
      <c r="B136" t="s">
        <v>4812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 s="367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 s="367">
        <v>0</v>
      </c>
      <c r="U136">
        <v>11</v>
      </c>
      <c r="V136">
        <v>2</v>
      </c>
      <c r="W136">
        <v>0</v>
      </c>
      <c r="X136">
        <v>15</v>
      </c>
      <c r="Y136">
        <v>0</v>
      </c>
      <c r="Z136">
        <v>1</v>
      </c>
      <c r="AA136">
        <v>0</v>
      </c>
      <c r="AB136">
        <v>0</v>
      </c>
      <c r="AC136">
        <v>1</v>
      </c>
      <c r="AD136">
        <v>2</v>
      </c>
      <c r="AE136">
        <v>0</v>
      </c>
      <c r="AF136">
        <v>4</v>
      </c>
      <c r="AG136">
        <v>0</v>
      </c>
      <c r="AH136">
        <v>0</v>
      </c>
      <c r="AI136">
        <v>6</v>
      </c>
      <c r="AJ136">
        <v>0</v>
      </c>
      <c r="AK136">
        <v>11</v>
      </c>
      <c r="AL136">
        <v>2</v>
      </c>
      <c r="AM136" s="367" t="s">
        <v>4718</v>
      </c>
      <c r="AN136" s="367" t="s">
        <v>6775</v>
      </c>
    </row>
    <row r="137" spans="1:40">
      <c r="A137">
        <v>1319</v>
      </c>
      <c r="B137" t="s">
        <v>4813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 s="36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 s="367">
        <v>0</v>
      </c>
      <c r="U137">
        <v>0</v>
      </c>
      <c r="V137">
        <v>0</v>
      </c>
      <c r="W137">
        <v>2</v>
      </c>
      <c r="X137">
        <v>2</v>
      </c>
      <c r="Y137">
        <v>2</v>
      </c>
      <c r="Z137">
        <v>3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2</v>
      </c>
      <c r="AJ137">
        <v>0</v>
      </c>
      <c r="AK137">
        <v>0</v>
      </c>
      <c r="AL137">
        <v>0</v>
      </c>
    </row>
    <row r="138" spans="1:40">
      <c r="A138">
        <v>1321</v>
      </c>
      <c r="B138" t="s">
        <v>4814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 s="367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 s="367">
        <v>0</v>
      </c>
      <c r="U138">
        <v>2</v>
      </c>
      <c r="V138">
        <v>5</v>
      </c>
      <c r="W138">
        <v>0</v>
      </c>
      <c r="X138">
        <v>6</v>
      </c>
      <c r="Y138">
        <v>0</v>
      </c>
      <c r="Z138">
        <v>2</v>
      </c>
      <c r="AA138">
        <v>0</v>
      </c>
      <c r="AB138">
        <v>0</v>
      </c>
      <c r="AC138">
        <v>1</v>
      </c>
      <c r="AD138">
        <v>0</v>
      </c>
      <c r="AE138">
        <v>0</v>
      </c>
      <c r="AF138">
        <v>9</v>
      </c>
      <c r="AG138">
        <v>0</v>
      </c>
      <c r="AH138">
        <v>0</v>
      </c>
      <c r="AI138">
        <v>0</v>
      </c>
      <c r="AJ138">
        <v>0</v>
      </c>
      <c r="AK138">
        <v>2</v>
      </c>
      <c r="AL138">
        <v>5</v>
      </c>
      <c r="AM138" s="367" t="s">
        <v>4718</v>
      </c>
      <c r="AN138" s="367" t="s">
        <v>3542</v>
      </c>
    </row>
    <row r="139" spans="1:40">
      <c r="A139">
        <v>1323</v>
      </c>
      <c r="B139" t="s">
        <v>4815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 s="367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 s="367">
        <v>0</v>
      </c>
      <c r="U139">
        <v>0</v>
      </c>
      <c r="V139">
        <v>2</v>
      </c>
      <c r="W139">
        <v>0</v>
      </c>
      <c r="X139">
        <v>0</v>
      </c>
      <c r="Y139">
        <v>1</v>
      </c>
      <c r="Z139">
        <v>0</v>
      </c>
      <c r="AA139">
        <v>0</v>
      </c>
      <c r="AB139">
        <v>0</v>
      </c>
      <c r="AC139">
        <v>0</v>
      </c>
      <c r="AD139">
        <v>6</v>
      </c>
      <c r="AE139">
        <v>1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2</v>
      </c>
      <c r="AN139" s="367" t="s">
        <v>6761</v>
      </c>
    </row>
    <row r="140" spans="1:40">
      <c r="A140">
        <v>1324</v>
      </c>
      <c r="B140" t="s">
        <v>4816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 s="367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 s="367">
        <v>0</v>
      </c>
      <c r="U140">
        <v>0</v>
      </c>
      <c r="V140">
        <v>0</v>
      </c>
      <c r="W140">
        <v>0</v>
      </c>
      <c r="X140">
        <v>1</v>
      </c>
      <c r="Y140">
        <v>2</v>
      </c>
      <c r="Z140">
        <v>0</v>
      </c>
      <c r="AA140">
        <v>0</v>
      </c>
      <c r="AB140">
        <v>0</v>
      </c>
      <c r="AC140">
        <v>0</v>
      </c>
      <c r="AD140">
        <v>1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</row>
    <row r="141" spans="1:40">
      <c r="A141">
        <v>1325</v>
      </c>
      <c r="B141" t="s">
        <v>4817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 s="367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 s="367">
        <v>0</v>
      </c>
      <c r="U141">
        <v>0</v>
      </c>
      <c r="V141">
        <v>3</v>
      </c>
      <c r="W141">
        <v>3</v>
      </c>
      <c r="X141">
        <v>0</v>
      </c>
      <c r="Y141">
        <v>3</v>
      </c>
      <c r="Z141">
        <v>0</v>
      </c>
      <c r="AA141">
        <v>0</v>
      </c>
      <c r="AB141">
        <v>1</v>
      </c>
      <c r="AC141">
        <v>0</v>
      </c>
      <c r="AD141">
        <v>0</v>
      </c>
      <c r="AE141">
        <v>7</v>
      </c>
      <c r="AF141">
        <v>0</v>
      </c>
      <c r="AG141">
        <v>0</v>
      </c>
      <c r="AH141">
        <v>0</v>
      </c>
      <c r="AI141">
        <v>0</v>
      </c>
      <c r="AJ141">
        <v>2</v>
      </c>
      <c r="AK141">
        <v>0</v>
      </c>
      <c r="AL141">
        <v>3</v>
      </c>
      <c r="AN141" s="367" t="s">
        <v>4718</v>
      </c>
    </row>
    <row r="142" spans="1:40">
      <c r="A142">
        <v>1326</v>
      </c>
      <c r="B142" t="s">
        <v>4818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 s="367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 s="367">
        <v>0</v>
      </c>
      <c r="U142">
        <v>0</v>
      </c>
      <c r="V142">
        <v>0</v>
      </c>
      <c r="W142">
        <v>2</v>
      </c>
      <c r="X142">
        <v>0</v>
      </c>
      <c r="Y142">
        <v>2</v>
      </c>
      <c r="Z142">
        <v>2</v>
      </c>
      <c r="AA142">
        <v>3</v>
      </c>
      <c r="AB142">
        <v>0</v>
      </c>
      <c r="AC142">
        <v>0</v>
      </c>
      <c r="AD142">
        <v>0</v>
      </c>
      <c r="AE142">
        <v>3</v>
      </c>
      <c r="AF142">
        <v>0</v>
      </c>
      <c r="AG142">
        <v>0</v>
      </c>
      <c r="AH142">
        <v>0</v>
      </c>
      <c r="AI142">
        <v>4</v>
      </c>
      <c r="AJ142">
        <v>3</v>
      </c>
      <c r="AK142">
        <v>0</v>
      </c>
      <c r="AL142">
        <v>0</v>
      </c>
    </row>
    <row r="143" spans="1:40">
      <c r="A143">
        <v>1337</v>
      </c>
      <c r="B143" t="s">
        <v>4820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 s="367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 s="367">
        <v>0</v>
      </c>
      <c r="U143">
        <v>0</v>
      </c>
      <c r="V143">
        <v>0</v>
      </c>
      <c r="W143">
        <v>1</v>
      </c>
      <c r="X143">
        <v>0</v>
      </c>
      <c r="Y143">
        <v>1</v>
      </c>
      <c r="Z143">
        <v>0</v>
      </c>
      <c r="AA143">
        <v>0</v>
      </c>
      <c r="AB143">
        <v>1</v>
      </c>
      <c r="AC143">
        <v>0</v>
      </c>
      <c r="AD143">
        <v>0</v>
      </c>
      <c r="AE143">
        <v>3</v>
      </c>
      <c r="AF143">
        <v>0</v>
      </c>
      <c r="AG143">
        <v>1</v>
      </c>
      <c r="AH143">
        <v>0</v>
      </c>
      <c r="AI143">
        <v>0</v>
      </c>
      <c r="AJ143">
        <v>2</v>
      </c>
      <c r="AK143">
        <v>0</v>
      </c>
      <c r="AL143">
        <v>0</v>
      </c>
    </row>
    <row r="144" spans="1:40">
      <c r="A144">
        <v>1338</v>
      </c>
      <c r="B144" t="s">
        <v>4821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 s="367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 s="367">
        <v>0</v>
      </c>
      <c r="U144">
        <v>1</v>
      </c>
      <c r="V144">
        <v>0</v>
      </c>
      <c r="W144">
        <v>4</v>
      </c>
      <c r="X144">
        <v>0</v>
      </c>
      <c r="Y144">
        <v>5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1</v>
      </c>
      <c r="AF144">
        <v>0</v>
      </c>
      <c r="AG144">
        <v>0</v>
      </c>
      <c r="AH144">
        <v>0</v>
      </c>
      <c r="AI144">
        <v>1</v>
      </c>
      <c r="AJ144">
        <v>0</v>
      </c>
      <c r="AK144">
        <v>1</v>
      </c>
      <c r="AL144">
        <v>0</v>
      </c>
      <c r="AM144" s="367" t="s">
        <v>3542</v>
      </c>
    </row>
    <row r="145" spans="1:40">
      <c r="A145">
        <v>1339</v>
      </c>
      <c r="B145" t="s">
        <v>4822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 s="367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 s="367">
        <v>0</v>
      </c>
      <c r="U145">
        <v>0</v>
      </c>
      <c r="V145">
        <v>0</v>
      </c>
      <c r="W145">
        <v>2</v>
      </c>
      <c r="X145">
        <v>0</v>
      </c>
      <c r="Y145">
        <v>0</v>
      </c>
      <c r="Z145">
        <v>1</v>
      </c>
      <c r="AA145">
        <v>0</v>
      </c>
      <c r="AB145">
        <v>0</v>
      </c>
      <c r="AC145">
        <v>0</v>
      </c>
      <c r="AD145">
        <v>0</v>
      </c>
      <c r="AE145">
        <v>1</v>
      </c>
      <c r="AF145">
        <v>1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</row>
    <row r="146" spans="1:40">
      <c r="A146">
        <v>1340</v>
      </c>
      <c r="B146" t="s">
        <v>4823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 s="367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 s="367">
        <v>0</v>
      </c>
      <c r="U146">
        <v>0</v>
      </c>
      <c r="V146">
        <v>0</v>
      </c>
      <c r="W146">
        <v>0</v>
      </c>
      <c r="X146">
        <v>0</v>
      </c>
      <c r="Y146">
        <v>1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</row>
    <row r="147" spans="1:40">
      <c r="A147">
        <v>1342</v>
      </c>
      <c r="B147" t="s">
        <v>4824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 s="36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 s="367">
        <v>0</v>
      </c>
      <c r="U147">
        <v>0</v>
      </c>
      <c r="V147">
        <v>0</v>
      </c>
      <c r="W147">
        <v>0</v>
      </c>
      <c r="X147">
        <v>2</v>
      </c>
      <c r="Y147">
        <v>3</v>
      </c>
      <c r="Z147">
        <v>1</v>
      </c>
      <c r="AA147">
        <v>0</v>
      </c>
      <c r="AB147">
        <v>0</v>
      </c>
      <c r="AC147">
        <v>0</v>
      </c>
      <c r="AD147">
        <v>1</v>
      </c>
      <c r="AE147">
        <v>0</v>
      </c>
      <c r="AF147">
        <v>0</v>
      </c>
      <c r="AG147">
        <v>0</v>
      </c>
      <c r="AH147">
        <v>0</v>
      </c>
      <c r="AI147">
        <v>1</v>
      </c>
      <c r="AJ147">
        <v>1</v>
      </c>
      <c r="AK147">
        <v>0</v>
      </c>
      <c r="AL147">
        <v>0</v>
      </c>
    </row>
    <row r="148" spans="1:40">
      <c r="A148">
        <v>1402</v>
      </c>
      <c r="B148" t="s">
        <v>4825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 s="367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 s="367">
        <v>0</v>
      </c>
      <c r="U148">
        <v>23</v>
      </c>
      <c r="V148">
        <v>0</v>
      </c>
      <c r="W148">
        <v>2</v>
      </c>
      <c r="X148">
        <v>3</v>
      </c>
      <c r="Y148">
        <v>5</v>
      </c>
      <c r="Z148">
        <v>0</v>
      </c>
      <c r="AA148">
        <v>26</v>
      </c>
      <c r="AB148">
        <v>1</v>
      </c>
      <c r="AC148">
        <v>0</v>
      </c>
      <c r="AD148">
        <v>0</v>
      </c>
      <c r="AE148">
        <v>0</v>
      </c>
      <c r="AF148">
        <v>0</v>
      </c>
      <c r="AG148">
        <v>2</v>
      </c>
      <c r="AH148">
        <v>0</v>
      </c>
      <c r="AI148">
        <v>0</v>
      </c>
      <c r="AJ148">
        <v>3</v>
      </c>
      <c r="AK148">
        <v>23</v>
      </c>
      <c r="AL148">
        <v>0</v>
      </c>
      <c r="AM148" s="367" t="s">
        <v>6202</v>
      </c>
    </row>
    <row r="149" spans="1:40">
      <c r="A149">
        <v>1409</v>
      </c>
      <c r="B149" t="s">
        <v>4826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 s="367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 s="367">
        <v>0</v>
      </c>
      <c r="U149">
        <v>0</v>
      </c>
      <c r="V149">
        <v>6</v>
      </c>
      <c r="W149">
        <v>0</v>
      </c>
      <c r="X149">
        <v>3</v>
      </c>
      <c r="Y149">
        <v>2</v>
      </c>
      <c r="Z149">
        <v>2</v>
      </c>
      <c r="AA149">
        <v>0</v>
      </c>
      <c r="AB149">
        <v>0</v>
      </c>
      <c r="AC149">
        <v>0</v>
      </c>
      <c r="AD149">
        <v>10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4</v>
      </c>
      <c r="AK149">
        <v>0</v>
      </c>
      <c r="AL149">
        <v>6</v>
      </c>
      <c r="AN149" s="367" t="s">
        <v>6761</v>
      </c>
    </row>
    <row r="150" spans="1:40">
      <c r="A150">
        <v>1410</v>
      </c>
      <c r="B150" t="s">
        <v>4827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 s="367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 s="367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</row>
    <row r="151" spans="1:40">
      <c r="A151">
        <v>1414</v>
      </c>
      <c r="B151" t="s">
        <v>4828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 s="367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 s="367">
        <v>0</v>
      </c>
      <c r="U151">
        <v>2</v>
      </c>
      <c r="V151">
        <v>2</v>
      </c>
      <c r="W151">
        <v>2</v>
      </c>
      <c r="X151">
        <v>6</v>
      </c>
      <c r="Y151">
        <v>2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6</v>
      </c>
      <c r="AJ151">
        <v>3</v>
      </c>
      <c r="AK151">
        <v>2</v>
      </c>
      <c r="AL151">
        <v>2</v>
      </c>
      <c r="AM151" s="367" t="s">
        <v>4718</v>
      </c>
      <c r="AN151" s="367" t="s">
        <v>6775</v>
      </c>
    </row>
    <row r="152" spans="1:40">
      <c r="A152">
        <v>1416</v>
      </c>
      <c r="B152" t="s">
        <v>4829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 s="367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 s="367">
        <v>0</v>
      </c>
      <c r="U152">
        <v>0</v>
      </c>
      <c r="V152">
        <v>3</v>
      </c>
      <c r="W152">
        <v>0</v>
      </c>
      <c r="X152">
        <v>1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1</v>
      </c>
      <c r="AE152">
        <v>0</v>
      </c>
      <c r="AF152">
        <v>7</v>
      </c>
      <c r="AG152">
        <v>1</v>
      </c>
      <c r="AH152">
        <v>0</v>
      </c>
      <c r="AI152">
        <v>0</v>
      </c>
      <c r="AJ152">
        <v>0</v>
      </c>
      <c r="AK152">
        <v>0</v>
      </c>
      <c r="AL152">
        <v>3</v>
      </c>
      <c r="AN152" s="367" t="s">
        <v>3542</v>
      </c>
    </row>
    <row r="153" spans="1:40">
      <c r="A153">
        <v>1417</v>
      </c>
      <c r="B153" t="s">
        <v>4830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 s="367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 s="367">
        <v>0</v>
      </c>
      <c r="U153">
        <v>0</v>
      </c>
      <c r="V153">
        <v>2</v>
      </c>
      <c r="W153">
        <v>0</v>
      </c>
      <c r="X153">
        <v>0</v>
      </c>
      <c r="Y153">
        <v>2</v>
      </c>
      <c r="Z153">
        <v>0</v>
      </c>
      <c r="AA153">
        <v>0</v>
      </c>
      <c r="AB153">
        <v>0</v>
      </c>
      <c r="AC153">
        <v>0</v>
      </c>
      <c r="AD153">
        <v>6</v>
      </c>
      <c r="AE153">
        <v>2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2</v>
      </c>
      <c r="AN153" s="367" t="s">
        <v>6761</v>
      </c>
    </row>
    <row r="154" spans="1:40">
      <c r="A154">
        <v>1419</v>
      </c>
      <c r="B154" t="s">
        <v>4831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 s="367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 s="367">
        <v>0</v>
      </c>
      <c r="U154">
        <v>0</v>
      </c>
      <c r="V154">
        <v>0</v>
      </c>
      <c r="W154">
        <v>0</v>
      </c>
      <c r="X154">
        <v>1</v>
      </c>
      <c r="Y154">
        <v>2</v>
      </c>
      <c r="Z154">
        <v>2</v>
      </c>
      <c r="AA154">
        <v>0</v>
      </c>
      <c r="AB154">
        <v>0</v>
      </c>
      <c r="AC154">
        <v>0</v>
      </c>
      <c r="AD154">
        <v>1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</row>
    <row r="155" spans="1:40">
      <c r="A155">
        <v>1423</v>
      </c>
      <c r="B155" t="s">
        <v>4832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 s="367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 s="367">
        <v>0</v>
      </c>
      <c r="U155">
        <v>6</v>
      </c>
      <c r="V155">
        <v>0</v>
      </c>
      <c r="W155">
        <v>0</v>
      </c>
      <c r="X155">
        <v>10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1</v>
      </c>
      <c r="AG155">
        <v>0</v>
      </c>
      <c r="AH155">
        <v>0</v>
      </c>
      <c r="AI155">
        <v>0</v>
      </c>
      <c r="AJ155">
        <v>0</v>
      </c>
      <c r="AK155">
        <v>6</v>
      </c>
      <c r="AL155">
        <v>0</v>
      </c>
      <c r="AM155" s="367" t="s">
        <v>4718</v>
      </c>
    </row>
    <row r="156" spans="1:40">
      <c r="A156">
        <v>1434</v>
      </c>
      <c r="B156" t="s">
        <v>4833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 s="367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 s="367">
        <v>0</v>
      </c>
      <c r="U156">
        <v>0</v>
      </c>
      <c r="V156">
        <v>3</v>
      </c>
      <c r="W156">
        <v>0</v>
      </c>
      <c r="X156">
        <v>1</v>
      </c>
      <c r="Y156">
        <v>2</v>
      </c>
      <c r="Z156">
        <v>2</v>
      </c>
      <c r="AA156">
        <v>0</v>
      </c>
      <c r="AB156">
        <v>2</v>
      </c>
      <c r="AC156">
        <v>0</v>
      </c>
      <c r="AD156">
        <v>7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3</v>
      </c>
      <c r="AN156" s="367" t="s">
        <v>6761</v>
      </c>
    </row>
    <row r="157" spans="1:40">
      <c r="A157">
        <v>1436</v>
      </c>
      <c r="B157" t="s">
        <v>4834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 s="36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 s="367">
        <v>0</v>
      </c>
      <c r="U157">
        <v>0</v>
      </c>
      <c r="V157">
        <v>3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7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3</v>
      </c>
      <c r="AN157" s="367" t="s">
        <v>3542</v>
      </c>
    </row>
    <row r="158" spans="1:40">
      <c r="A158">
        <v>1437</v>
      </c>
      <c r="B158" t="s">
        <v>4835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 s="367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 s="367">
        <v>0</v>
      </c>
      <c r="U158">
        <v>0</v>
      </c>
      <c r="V158">
        <v>4</v>
      </c>
      <c r="W158">
        <v>0</v>
      </c>
      <c r="X158">
        <v>0</v>
      </c>
      <c r="Y158">
        <v>1</v>
      </c>
      <c r="Z158">
        <v>0</v>
      </c>
      <c r="AA158">
        <v>0</v>
      </c>
      <c r="AB158">
        <v>0</v>
      </c>
      <c r="AC158">
        <v>0</v>
      </c>
      <c r="AD158">
        <v>4</v>
      </c>
      <c r="AE158">
        <v>8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4</v>
      </c>
      <c r="AN158" s="367" t="s">
        <v>4718</v>
      </c>
    </row>
    <row r="159" spans="1:40">
      <c r="A159">
        <v>1438</v>
      </c>
      <c r="B159" t="s">
        <v>4836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 s="367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 s="367">
        <v>0</v>
      </c>
      <c r="U159">
        <v>0</v>
      </c>
      <c r="V159">
        <v>0</v>
      </c>
      <c r="W159">
        <v>0</v>
      </c>
      <c r="X159">
        <v>0</v>
      </c>
      <c r="Y159">
        <v>1</v>
      </c>
      <c r="Z159">
        <v>0</v>
      </c>
      <c r="AA159">
        <v>0</v>
      </c>
      <c r="AB159">
        <v>0</v>
      </c>
      <c r="AC159">
        <v>1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</row>
    <row r="160" spans="1:40">
      <c r="A160">
        <v>1439</v>
      </c>
      <c r="B160" t="s">
        <v>4837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 s="367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 s="367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2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</row>
    <row r="161" spans="1:40">
      <c r="A161">
        <v>1440</v>
      </c>
      <c r="B161" t="s">
        <v>4838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 s="367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 s="367">
        <v>0</v>
      </c>
      <c r="U161">
        <v>1</v>
      </c>
      <c r="V161">
        <v>2</v>
      </c>
      <c r="W161">
        <v>3</v>
      </c>
      <c r="X161">
        <v>0</v>
      </c>
      <c r="Y161">
        <v>3</v>
      </c>
      <c r="Z161">
        <v>2</v>
      </c>
      <c r="AA161">
        <v>0</v>
      </c>
      <c r="AB161">
        <v>4</v>
      </c>
      <c r="AC161">
        <v>5</v>
      </c>
      <c r="AD161">
        <v>0</v>
      </c>
      <c r="AE161">
        <v>6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1</v>
      </c>
      <c r="AL161">
        <v>2</v>
      </c>
      <c r="AM161" s="367" t="s">
        <v>6778</v>
      </c>
      <c r="AN161" s="367" t="s">
        <v>4718</v>
      </c>
    </row>
    <row r="162" spans="1:40">
      <c r="A162">
        <v>1442</v>
      </c>
      <c r="B162" t="s">
        <v>4839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 s="367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 s="367">
        <v>0</v>
      </c>
      <c r="U162">
        <v>0</v>
      </c>
      <c r="V162">
        <v>7</v>
      </c>
      <c r="W162">
        <v>4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6</v>
      </c>
      <c r="AF162">
        <v>9</v>
      </c>
      <c r="AG162">
        <v>0</v>
      </c>
      <c r="AH162">
        <v>0</v>
      </c>
      <c r="AI162">
        <v>1</v>
      </c>
      <c r="AJ162">
        <v>0</v>
      </c>
      <c r="AK162">
        <v>0</v>
      </c>
      <c r="AL162">
        <v>7</v>
      </c>
      <c r="AN162" s="367" t="s">
        <v>6784</v>
      </c>
    </row>
    <row r="163" spans="1:40">
      <c r="A163">
        <v>1444</v>
      </c>
      <c r="B163" t="s">
        <v>4840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 s="367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 s="367">
        <v>0</v>
      </c>
      <c r="U163">
        <v>1</v>
      </c>
      <c r="V163">
        <v>0</v>
      </c>
      <c r="W163">
        <v>0</v>
      </c>
      <c r="X163">
        <v>5</v>
      </c>
      <c r="Y163">
        <v>2</v>
      </c>
      <c r="Z163">
        <v>0</v>
      </c>
      <c r="AA163">
        <v>0</v>
      </c>
      <c r="AB163">
        <v>3</v>
      </c>
      <c r="AC163">
        <v>0</v>
      </c>
      <c r="AD163">
        <v>1</v>
      </c>
      <c r="AE163">
        <v>0</v>
      </c>
      <c r="AF163">
        <v>0</v>
      </c>
      <c r="AG163">
        <v>3</v>
      </c>
      <c r="AH163">
        <v>0</v>
      </c>
      <c r="AI163">
        <v>0</v>
      </c>
      <c r="AJ163">
        <v>1</v>
      </c>
      <c r="AK163">
        <v>1</v>
      </c>
      <c r="AL163">
        <v>0</v>
      </c>
      <c r="AM163" s="367" t="s">
        <v>4718</v>
      </c>
    </row>
    <row r="164" spans="1:40">
      <c r="A164">
        <v>1445</v>
      </c>
      <c r="B164" t="s">
        <v>4841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 s="367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 s="367">
        <v>0</v>
      </c>
      <c r="U164">
        <v>0</v>
      </c>
      <c r="V164">
        <v>6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10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6</v>
      </c>
      <c r="AN164" s="367" t="s">
        <v>3542</v>
      </c>
    </row>
    <row r="165" spans="1:40">
      <c r="A165">
        <v>1446</v>
      </c>
      <c r="B165" t="s">
        <v>4842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 s="367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 s="367">
        <v>0</v>
      </c>
      <c r="U165">
        <v>0</v>
      </c>
      <c r="V165">
        <v>0</v>
      </c>
      <c r="W165">
        <v>0</v>
      </c>
      <c r="X165">
        <v>1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1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</row>
    <row r="166" spans="1:40">
      <c r="A166">
        <v>1447</v>
      </c>
      <c r="B166" t="s">
        <v>4843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 s="367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 s="367">
        <v>0</v>
      </c>
      <c r="U166">
        <v>0</v>
      </c>
      <c r="V166">
        <v>0</v>
      </c>
      <c r="W166">
        <v>2</v>
      </c>
      <c r="X166">
        <v>0</v>
      </c>
      <c r="Y166">
        <v>2</v>
      </c>
      <c r="Z166">
        <v>1</v>
      </c>
      <c r="AA166">
        <v>0</v>
      </c>
      <c r="AB166">
        <v>0</v>
      </c>
      <c r="AC166">
        <v>0</v>
      </c>
      <c r="AD166">
        <v>0</v>
      </c>
      <c r="AE166">
        <v>2</v>
      </c>
      <c r="AF166">
        <v>0</v>
      </c>
      <c r="AG166">
        <v>0</v>
      </c>
      <c r="AH166">
        <v>0</v>
      </c>
      <c r="AI166">
        <v>0</v>
      </c>
      <c r="AJ166">
        <v>2</v>
      </c>
      <c r="AK166">
        <v>0</v>
      </c>
      <c r="AL166">
        <v>0</v>
      </c>
    </row>
    <row r="167" spans="1:40">
      <c r="A167">
        <v>1449</v>
      </c>
      <c r="B167" t="s">
        <v>6172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 s="3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 s="367">
        <v>0</v>
      </c>
      <c r="U167">
        <v>0</v>
      </c>
      <c r="V167">
        <v>0</v>
      </c>
      <c r="W167">
        <v>0</v>
      </c>
      <c r="X167">
        <v>1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1</v>
      </c>
      <c r="AE167">
        <v>0</v>
      </c>
      <c r="AF167">
        <v>1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</row>
    <row r="168" spans="1:40">
      <c r="A168">
        <v>1451</v>
      </c>
      <c r="B168" t="s">
        <v>4844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 s="367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 s="367">
        <v>0</v>
      </c>
      <c r="U168">
        <v>0</v>
      </c>
      <c r="V168">
        <v>0</v>
      </c>
      <c r="W168">
        <v>2</v>
      </c>
      <c r="X168">
        <v>0</v>
      </c>
      <c r="Y168">
        <v>2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1</v>
      </c>
      <c r="AF168">
        <v>0</v>
      </c>
      <c r="AG168">
        <v>1</v>
      </c>
      <c r="AH168">
        <v>0</v>
      </c>
      <c r="AI168">
        <v>1</v>
      </c>
      <c r="AJ168">
        <v>0</v>
      </c>
      <c r="AK168">
        <v>0</v>
      </c>
      <c r="AL168">
        <v>0</v>
      </c>
    </row>
    <row r="169" spans="1:40">
      <c r="A169">
        <v>1452</v>
      </c>
      <c r="B169" t="s">
        <v>4845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 s="367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 s="367">
        <v>0</v>
      </c>
      <c r="U169">
        <v>0</v>
      </c>
      <c r="V169">
        <v>0</v>
      </c>
      <c r="W169">
        <v>1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1</v>
      </c>
      <c r="AF169">
        <v>1</v>
      </c>
      <c r="AG169">
        <v>1</v>
      </c>
      <c r="AH169">
        <v>0</v>
      </c>
      <c r="AI169">
        <v>3</v>
      </c>
      <c r="AJ169">
        <v>0</v>
      </c>
      <c r="AK169">
        <v>0</v>
      </c>
      <c r="AL169">
        <v>0</v>
      </c>
    </row>
    <row r="170" spans="1:40">
      <c r="A170">
        <v>1453</v>
      </c>
      <c r="B170" t="s">
        <v>4846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 s="367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 s="367">
        <v>0</v>
      </c>
      <c r="U170">
        <v>4</v>
      </c>
      <c r="V170">
        <v>0</v>
      </c>
      <c r="W170">
        <v>0</v>
      </c>
      <c r="X170">
        <v>0</v>
      </c>
      <c r="Y170">
        <v>8</v>
      </c>
      <c r="Z170">
        <v>0</v>
      </c>
      <c r="AA170">
        <v>0</v>
      </c>
      <c r="AB170">
        <v>0</v>
      </c>
      <c r="AC170">
        <v>0</v>
      </c>
      <c r="AD170">
        <v>2</v>
      </c>
      <c r="AE170">
        <v>3</v>
      </c>
      <c r="AF170">
        <v>0</v>
      </c>
      <c r="AG170">
        <v>0</v>
      </c>
      <c r="AH170">
        <v>0</v>
      </c>
      <c r="AI170">
        <v>0</v>
      </c>
      <c r="AJ170">
        <v>1</v>
      </c>
      <c r="AK170">
        <v>4</v>
      </c>
      <c r="AL170">
        <v>0</v>
      </c>
      <c r="AM170" s="367" t="s">
        <v>3542</v>
      </c>
    </row>
    <row r="171" spans="1:40">
      <c r="A171">
        <v>1454</v>
      </c>
      <c r="B171" t="s">
        <v>4847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 s="367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 s="367">
        <v>0</v>
      </c>
      <c r="U171">
        <v>0</v>
      </c>
      <c r="V171">
        <v>5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2</v>
      </c>
      <c r="AF171">
        <v>9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5</v>
      </c>
      <c r="AN171" s="367" t="s">
        <v>3542</v>
      </c>
    </row>
    <row r="172" spans="1:40">
      <c r="A172">
        <v>1455</v>
      </c>
      <c r="B172" t="s">
        <v>4848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 s="367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 s="367">
        <v>0</v>
      </c>
      <c r="U172">
        <v>1</v>
      </c>
      <c r="V172">
        <v>0</v>
      </c>
      <c r="W172">
        <v>5</v>
      </c>
      <c r="X172">
        <v>0</v>
      </c>
      <c r="Y172">
        <v>3</v>
      </c>
      <c r="Z172">
        <v>2</v>
      </c>
      <c r="AA172">
        <v>0</v>
      </c>
      <c r="AB172">
        <v>0</v>
      </c>
      <c r="AC172">
        <v>2</v>
      </c>
      <c r="AD172">
        <v>0</v>
      </c>
      <c r="AE172">
        <v>3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1</v>
      </c>
      <c r="AL172">
        <v>0</v>
      </c>
      <c r="AM172" s="367" t="s">
        <v>6761</v>
      </c>
    </row>
    <row r="173" spans="1:40">
      <c r="A173">
        <v>1456</v>
      </c>
      <c r="B173" t="s">
        <v>4849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 s="367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 s="367">
        <v>0</v>
      </c>
      <c r="U173">
        <v>0</v>
      </c>
      <c r="V173">
        <v>0</v>
      </c>
      <c r="W173">
        <v>0</v>
      </c>
      <c r="X173">
        <v>0</v>
      </c>
      <c r="Y173">
        <v>1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1</v>
      </c>
      <c r="AF173">
        <v>0</v>
      </c>
      <c r="AG173">
        <v>0</v>
      </c>
      <c r="AH173">
        <v>0</v>
      </c>
      <c r="AI173">
        <v>0</v>
      </c>
      <c r="AJ173">
        <v>1</v>
      </c>
      <c r="AK173">
        <v>0</v>
      </c>
      <c r="AL173">
        <v>0</v>
      </c>
    </row>
    <row r="174" spans="1:40">
      <c r="A174">
        <v>1457</v>
      </c>
      <c r="B174" t="s">
        <v>4850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 s="367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 s="367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2</v>
      </c>
      <c r="AE174">
        <v>1</v>
      </c>
      <c r="AF174">
        <v>1</v>
      </c>
      <c r="AG174">
        <v>0</v>
      </c>
      <c r="AH174">
        <v>0</v>
      </c>
      <c r="AI174">
        <v>0</v>
      </c>
      <c r="AJ174">
        <v>1</v>
      </c>
      <c r="AK174">
        <v>0</v>
      </c>
      <c r="AL174">
        <v>0</v>
      </c>
    </row>
    <row r="175" spans="1:40">
      <c r="A175">
        <v>1459</v>
      </c>
      <c r="B175" t="s">
        <v>4851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 s="367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 s="367">
        <v>0</v>
      </c>
      <c r="U175">
        <v>0</v>
      </c>
      <c r="V175">
        <v>0</v>
      </c>
      <c r="W175">
        <v>0</v>
      </c>
      <c r="X175">
        <v>1</v>
      </c>
      <c r="Y175">
        <v>2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</row>
    <row r="176" spans="1:40">
      <c r="A176">
        <v>1460</v>
      </c>
      <c r="B176" t="s">
        <v>6227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 s="367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 s="367">
        <v>0</v>
      </c>
      <c r="U176">
        <v>0</v>
      </c>
      <c r="V176">
        <v>3</v>
      </c>
      <c r="W176">
        <v>0</v>
      </c>
      <c r="X176">
        <v>0</v>
      </c>
      <c r="Y176">
        <v>1</v>
      </c>
      <c r="Z176">
        <v>0</v>
      </c>
      <c r="AA176">
        <v>0</v>
      </c>
      <c r="AB176">
        <v>0</v>
      </c>
      <c r="AC176">
        <v>0</v>
      </c>
      <c r="AD176">
        <v>7</v>
      </c>
      <c r="AE176">
        <v>1</v>
      </c>
      <c r="AF176">
        <v>0</v>
      </c>
      <c r="AG176">
        <v>0</v>
      </c>
      <c r="AH176">
        <v>0</v>
      </c>
      <c r="AI176">
        <v>1</v>
      </c>
      <c r="AJ176">
        <v>1</v>
      </c>
      <c r="AK176">
        <v>0</v>
      </c>
      <c r="AL176">
        <v>3</v>
      </c>
      <c r="AN176" s="367" t="s">
        <v>6761</v>
      </c>
    </row>
    <row r="177" spans="1:40">
      <c r="A177">
        <v>1463</v>
      </c>
      <c r="B177" t="s">
        <v>4852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 s="36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 s="367">
        <v>0</v>
      </c>
      <c r="U177">
        <v>0</v>
      </c>
      <c r="V177">
        <v>0</v>
      </c>
      <c r="W177">
        <v>0</v>
      </c>
      <c r="X177">
        <v>1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</row>
    <row r="178" spans="1:40">
      <c r="A178">
        <v>1464</v>
      </c>
      <c r="B178" t="s">
        <v>4853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 s="367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 s="367">
        <v>0</v>
      </c>
      <c r="U178">
        <v>0</v>
      </c>
      <c r="V178">
        <v>0</v>
      </c>
      <c r="W178">
        <v>1</v>
      </c>
      <c r="X178">
        <v>0</v>
      </c>
      <c r="Y178">
        <v>1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4</v>
      </c>
      <c r="AF178">
        <v>0</v>
      </c>
      <c r="AG178">
        <v>1</v>
      </c>
      <c r="AH178">
        <v>0</v>
      </c>
      <c r="AI178">
        <v>0</v>
      </c>
      <c r="AJ178">
        <v>0</v>
      </c>
      <c r="AK178">
        <v>0</v>
      </c>
      <c r="AL178">
        <v>0</v>
      </c>
    </row>
    <row r="179" spans="1:40">
      <c r="A179">
        <v>1465</v>
      </c>
      <c r="B179" t="s">
        <v>4854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 s="367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 s="367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1</v>
      </c>
      <c r="AE179">
        <v>0</v>
      </c>
      <c r="AF179">
        <v>1</v>
      </c>
      <c r="AG179">
        <v>1</v>
      </c>
      <c r="AH179">
        <v>0</v>
      </c>
      <c r="AI179">
        <v>0</v>
      </c>
      <c r="AJ179">
        <v>0</v>
      </c>
      <c r="AK179">
        <v>0</v>
      </c>
      <c r="AL179">
        <v>0</v>
      </c>
    </row>
    <row r="180" spans="1:40">
      <c r="A180">
        <v>1466</v>
      </c>
      <c r="B180" t="s">
        <v>4855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 s="367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 s="367">
        <v>0</v>
      </c>
      <c r="U180">
        <v>0</v>
      </c>
      <c r="V180">
        <v>0</v>
      </c>
      <c r="W180">
        <v>0</v>
      </c>
      <c r="X180">
        <v>0</v>
      </c>
      <c r="Y180">
        <v>1</v>
      </c>
      <c r="Z180">
        <v>0</v>
      </c>
      <c r="AA180">
        <v>0</v>
      </c>
      <c r="AB180">
        <v>0</v>
      </c>
      <c r="AC180">
        <v>0</v>
      </c>
      <c r="AD180">
        <v>3</v>
      </c>
      <c r="AE180">
        <v>1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</row>
    <row r="181" spans="1:40">
      <c r="A181">
        <v>1467</v>
      </c>
      <c r="B181" t="s">
        <v>4856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 s="367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 s="367">
        <v>0</v>
      </c>
      <c r="U181">
        <v>0</v>
      </c>
      <c r="V181">
        <v>0</v>
      </c>
      <c r="W181">
        <v>1</v>
      </c>
      <c r="X181">
        <v>2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2</v>
      </c>
      <c r="AG181">
        <v>0</v>
      </c>
      <c r="AH181">
        <v>0</v>
      </c>
      <c r="AI181">
        <v>2</v>
      </c>
      <c r="AJ181">
        <v>1</v>
      </c>
      <c r="AK181">
        <v>0</v>
      </c>
      <c r="AL181">
        <v>0</v>
      </c>
    </row>
    <row r="182" spans="1:40">
      <c r="A182">
        <v>1470</v>
      </c>
      <c r="B182" t="s">
        <v>4857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 s="367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 s="367">
        <v>0</v>
      </c>
      <c r="U182">
        <v>0</v>
      </c>
      <c r="V182">
        <v>0</v>
      </c>
      <c r="W182">
        <v>1</v>
      </c>
      <c r="X182">
        <v>1</v>
      </c>
      <c r="Y182">
        <v>3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1</v>
      </c>
      <c r="AJ182">
        <v>1</v>
      </c>
      <c r="AK182">
        <v>0</v>
      </c>
      <c r="AL182">
        <v>0</v>
      </c>
    </row>
    <row r="183" spans="1:40">
      <c r="A183">
        <v>1473</v>
      </c>
      <c r="B183" t="s">
        <v>4858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 s="367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 s="367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3</v>
      </c>
      <c r="AE183">
        <v>3</v>
      </c>
      <c r="AF183">
        <v>1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</row>
    <row r="184" spans="1:40">
      <c r="A184">
        <v>1474</v>
      </c>
      <c r="B184" t="s">
        <v>4859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 s="367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 s="367">
        <v>0</v>
      </c>
      <c r="U184">
        <v>0</v>
      </c>
      <c r="V184">
        <v>0</v>
      </c>
      <c r="W184">
        <v>0</v>
      </c>
      <c r="X184">
        <v>1</v>
      </c>
      <c r="Y184">
        <v>3</v>
      </c>
      <c r="Z184">
        <v>1</v>
      </c>
      <c r="AA184">
        <v>0</v>
      </c>
      <c r="AB184">
        <v>1</v>
      </c>
      <c r="AC184">
        <v>0</v>
      </c>
      <c r="AD184">
        <v>1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</row>
    <row r="185" spans="1:40">
      <c r="A185">
        <v>1475</v>
      </c>
      <c r="B185" t="s">
        <v>6300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 s="367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 s="367">
        <v>0</v>
      </c>
      <c r="U185">
        <v>0</v>
      </c>
      <c r="V185">
        <v>0</v>
      </c>
      <c r="W185">
        <v>1</v>
      </c>
      <c r="X185">
        <v>0</v>
      </c>
      <c r="Y185">
        <v>0</v>
      </c>
      <c r="Z185">
        <v>1</v>
      </c>
      <c r="AA185">
        <v>0</v>
      </c>
      <c r="AB185">
        <v>0</v>
      </c>
      <c r="AC185">
        <v>0</v>
      </c>
      <c r="AD185">
        <v>0</v>
      </c>
      <c r="AE185">
        <v>1</v>
      </c>
      <c r="AF185">
        <v>1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</row>
    <row r="186" spans="1:40">
      <c r="A186">
        <v>1476</v>
      </c>
      <c r="B186" t="s">
        <v>4860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 s="367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 s="367">
        <v>0</v>
      </c>
      <c r="U186">
        <v>2</v>
      </c>
      <c r="V186">
        <v>2</v>
      </c>
      <c r="W186">
        <v>0</v>
      </c>
      <c r="X186">
        <v>1</v>
      </c>
      <c r="Y186">
        <v>6</v>
      </c>
      <c r="Z186">
        <v>1</v>
      </c>
      <c r="AA186">
        <v>0</v>
      </c>
      <c r="AB186">
        <v>0</v>
      </c>
      <c r="AC186">
        <v>1</v>
      </c>
      <c r="AD186">
        <v>1</v>
      </c>
      <c r="AE186">
        <v>0</v>
      </c>
      <c r="AF186">
        <v>0</v>
      </c>
      <c r="AG186">
        <v>0</v>
      </c>
      <c r="AH186">
        <v>1</v>
      </c>
      <c r="AI186">
        <v>6</v>
      </c>
      <c r="AJ186">
        <v>0</v>
      </c>
      <c r="AK186">
        <v>2</v>
      </c>
      <c r="AL186">
        <v>2</v>
      </c>
      <c r="AM186" s="367" t="s">
        <v>3542</v>
      </c>
      <c r="AN186" s="367" t="s">
        <v>6775</v>
      </c>
    </row>
    <row r="187" spans="1:40">
      <c r="A187">
        <v>1503</v>
      </c>
      <c r="B187" t="s">
        <v>4862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 s="36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 s="367">
        <v>0</v>
      </c>
      <c r="U187">
        <v>1</v>
      </c>
      <c r="V187">
        <v>0</v>
      </c>
      <c r="W187">
        <v>5</v>
      </c>
      <c r="X187">
        <v>2</v>
      </c>
      <c r="Y187">
        <v>1</v>
      </c>
      <c r="Z187">
        <v>2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1</v>
      </c>
      <c r="AL187">
        <v>0</v>
      </c>
      <c r="AM187" s="367" t="s">
        <v>6761</v>
      </c>
    </row>
    <row r="188" spans="1:40">
      <c r="A188">
        <v>1504</v>
      </c>
      <c r="B188" t="s">
        <v>4863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 s="367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 s="367">
        <v>0</v>
      </c>
      <c r="U188">
        <v>0</v>
      </c>
      <c r="V188">
        <v>9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4</v>
      </c>
      <c r="AE188">
        <v>1</v>
      </c>
      <c r="AF188">
        <v>9</v>
      </c>
      <c r="AG188">
        <v>7</v>
      </c>
      <c r="AH188">
        <v>0</v>
      </c>
      <c r="AI188">
        <v>5</v>
      </c>
      <c r="AJ188">
        <v>2</v>
      </c>
      <c r="AK188">
        <v>0</v>
      </c>
      <c r="AL188">
        <v>9</v>
      </c>
      <c r="AN188" s="367" t="s">
        <v>6855</v>
      </c>
    </row>
    <row r="189" spans="1:40">
      <c r="A189">
        <v>1513</v>
      </c>
      <c r="B189" t="s">
        <v>4864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 s="367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 s="367">
        <v>0</v>
      </c>
      <c r="U189">
        <v>1</v>
      </c>
      <c r="V189">
        <v>0</v>
      </c>
      <c r="W189">
        <v>0</v>
      </c>
      <c r="X189">
        <v>2</v>
      </c>
      <c r="Y189">
        <v>0</v>
      </c>
      <c r="Z189">
        <v>2</v>
      </c>
      <c r="AA189">
        <v>0</v>
      </c>
      <c r="AB189">
        <v>5</v>
      </c>
      <c r="AC189">
        <v>0</v>
      </c>
      <c r="AD189">
        <v>2</v>
      </c>
      <c r="AE189">
        <v>0</v>
      </c>
      <c r="AF189">
        <v>2</v>
      </c>
      <c r="AG189">
        <v>0</v>
      </c>
      <c r="AH189">
        <v>0</v>
      </c>
      <c r="AI189">
        <v>0</v>
      </c>
      <c r="AJ189">
        <v>4</v>
      </c>
      <c r="AK189">
        <v>1</v>
      </c>
      <c r="AL189">
        <v>0</v>
      </c>
      <c r="AM189" s="367" t="s">
        <v>6775</v>
      </c>
    </row>
    <row r="190" spans="1:40">
      <c r="A190">
        <v>1514</v>
      </c>
      <c r="B190" t="s">
        <v>4865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 s="367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 s="367">
        <v>0</v>
      </c>
      <c r="U190">
        <v>0</v>
      </c>
      <c r="V190">
        <v>6</v>
      </c>
      <c r="W190">
        <v>2</v>
      </c>
      <c r="X190">
        <v>0</v>
      </c>
      <c r="Y190">
        <v>2</v>
      </c>
      <c r="Z190">
        <v>0</v>
      </c>
      <c r="AA190">
        <v>0</v>
      </c>
      <c r="AB190">
        <v>1</v>
      </c>
      <c r="AC190">
        <v>2</v>
      </c>
      <c r="AD190">
        <v>0</v>
      </c>
      <c r="AE190">
        <v>10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6</v>
      </c>
      <c r="AN190" s="367" t="s">
        <v>4718</v>
      </c>
    </row>
    <row r="191" spans="1:40">
      <c r="A191">
        <v>1515</v>
      </c>
      <c r="B191" t="s">
        <v>4866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 s="367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 s="367">
        <v>0</v>
      </c>
      <c r="U191">
        <v>0</v>
      </c>
      <c r="V191">
        <v>0</v>
      </c>
      <c r="W191">
        <v>2</v>
      </c>
      <c r="X191">
        <v>1</v>
      </c>
      <c r="Y191">
        <v>2</v>
      </c>
      <c r="Z191">
        <v>0</v>
      </c>
      <c r="AA191">
        <v>0</v>
      </c>
      <c r="AB191">
        <v>0</v>
      </c>
      <c r="AC191">
        <v>2</v>
      </c>
      <c r="AD191">
        <v>0</v>
      </c>
      <c r="AE191">
        <v>0</v>
      </c>
      <c r="AF191">
        <v>0</v>
      </c>
      <c r="AG191">
        <v>3</v>
      </c>
      <c r="AH191">
        <v>0</v>
      </c>
      <c r="AI191">
        <v>2</v>
      </c>
      <c r="AJ191">
        <v>0</v>
      </c>
      <c r="AK191">
        <v>0</v>
      </c>
      <c r="AL191">
        <v>0</v>
      </c>
    </row>
    <row r="192" spans="1:40">
      <c r="A192">
        <v>1517</v>
      </c>
      <c r="B192" t="s">
        <v>4868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 s="367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 s="367">
        <v>0</v>
      </c>
      <c r="U192">
        <v>0</v>
      </c>
      <c r="V192">
        <v>2</v>
      </c>
      <c r="W192">
        <v>1</v>
      </c>
      <c r="X192">
        <v>1</v>
      </c>
      <c r="Y192">
        <v>2</v>
      </c>
      <c r="Z192">
        <v>2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6</v>
      </c>
      <c r="AJ192">
        <v>0</v>
      </c>
      <c r="AK192">
        <v>0</v>
      </c>
      <c r="AL192">
        <v>2</v>
      </c>
      <c r="AN192" s="367" t="s">
        <v>6775</v>
      </c>
    </row>
    <row r="193" spans="1:40">
      <c r="A193">
        <v>1519</v>
      </c>
      <c r="B193" t="s">
        <v>4869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 s="367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 s="367">
        <v>0</v>
      </c>
      <c r="U193">
        <v>0</v>
      </c>
      <c r="V193">
        <v>0</v>
      </c>
      <c r="W193">
        <v>0</v>
      </c>
      <c r="X193">
        <v>1</v>
      </c>
      <c r="Y193">
        <v>2</v>
      </c>
      <c r="Z193">
        <v>2</v>
      </c>
      <c r="AA193">
        <v>0</v>
      </c>
      <c r="AB193">
        <v>0</v>
      </c>
      <c r="AC193">
        <v>0</v>
      </c>
      <c r="AD193">
        <v>1</v>
      </c>
      <c r="AE193">
        <v>0</v>
      </c>
      <c r="AF193">
        <v>0</v>
      </c>
      <c r="AG193">
        <v>0</v>
      </c>
      <c r="AH193">
        <v>1</v>
      </c>
      <c r="AI193">
        <v>3</v>
      </c>
      <c r="AJ193">
        <v>2</v>
      </c>
      <c r="AK193">
        <v>0</v>
      </c>
      <c r="AL193">
        <v>0</v>
      </c>
    </row>
    <row r="194" spans="1:40">
      <c r="A194">
        <v>1521</v>
      </c>
      <c r="B194" t="s">
        <v>4870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 s="367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 s="367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2</v>
      </c>
      <c r="AE194">
        <v>0</v>
      </c>
      <c r="AF194">
        <v>2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</row>
    <row r="195" spans="1:40">
      <c r="A195">
        <v>1525</v>
      </c>
      <c r="B195" t="s">
        <v>4873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 s="367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 s="367">
        <v>0</v>
      </c>
      <c r="U195">
        <v>0</v>
      </c>
      <c r="V195">
        <v>0</v>
      </c>
      <c r="W195">
        <v>0</v>
      </c>
      <c r="X195">
        <v>1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1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</row>
    <row r="196" spans="1:40">
      <c r="A196">
        <v>1526</v>
      </c>
      <c r="B196" t="s">
        <v>4874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 s="367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 s="367">
        <v>0</v>
      </c>
      <c r="U196">
        <v>0</v>
      </c>
      <c r="V196">
        <v>0</v>
      </c>
      <c r="W196">
        <v>2</v>
      </c>
      <c r="X196">
        <v>0</v>
      </c>
      <c r="Y196">
        <v>2</v>
      </c>
      <c r="Z196">
        <v>2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1</v>
      </c>
      <c r="AK196">
        <v>0</v>
      </c>
      <c r="AL196">
        <v>0</v>
      </c>
    </row>
    <row r="197" spans="1:40">
      <c r="A197">
        <v>1527</v>
      </c>
      <c r="B197" t="s">
        <v>4875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 s="36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 s="367">
        <v>0</v>
      </c>
      <c r="U197">
        <v>0</v>
      </c>
      <c r="V197">
        <v>0</v>
      </c>
      <c r="W197">
        <v>2</v>
      </c>
      <c r="X197">
        <v>0</v>
      </c>
      <c r="Y197">
        <v>2</v>
      </c>
      <c r="Z197">
        <v>3</v>
      </c>
      <c r="AA197">
        <v>0</v>
      </c>
      <c r="AB197">
        <v>0</v>
      </c>
      <c r="AC197">
        <v>0</v>
      </c>
      <c r="AD197">
        <v>0</v>
      </c>
      <c r="AE197">
        <v>3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</row>
    <row r="198" spans="1:40">
      <c r="A198">
        <v>1528</v>
      </c>
      <c r="B198" t="s">
        <v>4876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 s="367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 s="367">
        <v>0</v>
      </c>
      <c r="U198">
        <v>0</v>
      </c>
      <c r="V198">
        <v>0</v>
      </c>
      <c r="W198">
        <v>0</v>
      </c>
      <c r="X198">
        <v>2</v>
      </c>
      <c r="Y198">
        <v>2</v>
      </c>
      <c r="Z198">
        <v>2</v>
      </c>
      <c r="AA198">
        <v>0</v>
      </c>
      <c r="AB198">
        <v>0</v>
      </c>
      <c r="AC198">
        <v>0</v>
      </c>
      <c r="AD198">
        <v>3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</row>
    <row r="199" spans="1:40">
      <c r="A199">
        <v>1530</v>
      </c>
      <c r="B199" t="s">
        <v>4878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 s="367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 s="367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</row>
    <row r="200" spans="1:40">
      <c r="A200">
        <v>1531</v>
      </c>
      <c r="B200" t="s">
        <v>4879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 s="367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 s="367">
        <v>0</v>
      </c>
      <c r="U200">
        <v>0</v>
      </c>
      <c r="V200">
        <v>2</v>
      </c>
      <c r="W200">
        <v>0</v>
      </c>
      <c r="X200">
        <v>1</v>
      </c>
      <c r="Y200">
        <v>1</v>
      </c>
      <c r="Z200">
        <v>0</v>
      </c>
      <c r="AA200">
        <v>0</v>
      </c>
      <c r="AB200">
        <v>0</v>
      </c>
      <c r="AC200">
        <v>0</v>
      </c>
      <c r="AD200">
        <v>6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2</v>
      </c>
      <c r="AN200" s="367" t="s">
        <v>6761</v>
      </c>
    </row>
    <row r="201" spans="1:40">
      <c r="A201">
        <v>1532</v>
      </c>
      <c r="B201" t="s">
        <v>4880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 s="367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 s="367">
        <v>0</v>
      </c>
      <c r="U201">
        <v>0</v>
      </c>
      <c r="V201">
        <v>9</v>
      </c>
      <c r="W201">
        <v>0</v>
      </c>
      <c r="X201">
        <v>1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10</v>
      </c>
      <c r="AE201">
        <v>0</v>
      </c>
      <c r="AF201">
        <v>7</v>
      </c>
      <c r="AG201">
        <v>1</v>
      </c>
      <c r="AH201">
        <v>0</v>
      </c>
      <c r="AI201">
        <v>3</v>
      </c>
      <c r="AJ201">
        <v>0</v>
      </c>
      <c r="AK201">
        <v>0</v>
      </c>
      <c r="AL201">
        <v>9</v>
      </c>
      <c r="AN201" s="367" t="s">
        <v>6785</v>
      </c>
    </row>
    <row r="202" spans="1:40">
      <c r="A202">
        <v>1533</v>
      </c>
      <c r="B202" t="s">
        <v>4881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 s="367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 s="367">
        <v>0</v>
      </c>
      <c r="U202">
        <v>0</v>
      </c>
      <c r="V202">
        <v>0</v>
      </c>
      <c r="W202">
        <v>0</v>
      </c>
      <c r="X202">
        <v>1</v>
      </c>
      <c r="Y202">
        <v>0</v>
      </c>
      <c r="Z202">
        <v>0</v>
      </c>
      <c r="AA202">
        <v>0</v>
      </c>
      <c r="AB202">
        <v>1</v>
      </c>
      <c r="AC202">
        <v>1</v>
      </c>
      <c r="AD202">
        <v>1</v>
      </c>
      <c r="AE202">
        <v>0</v>
      </c>
      <c r="AF202">
        <v>1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</row>
    <row r="203" spans="1:40">
      <c r="A203">
        <v>1535</v>
      </c>
      <c r="B203" t="s">
        <v>4882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 s="367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 s="367">
        <v>0</v>
      </c>
      <c r="U203">
        <v>0</v>
      </c>
      <c r="V203">
        <v>0</v>
      </c>
      <c r="W203">
        <v>1</v>
      </c>
      <c r="X203">
        <v>0</v>
      </c>
      <c r="Y203">
        <v>3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</row>
    <row r="204" spans="1:40">
      <c r="A204">
        <v>1536</v>
      </c>
      <c r="B204" t="s">
        <v>4883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 s="367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 s="367">
        <v>0</v>
      </c>
      <c r="U204">
        <v>0</v>
      </c>
      <c r="V204">
        <v>0</v>
      </c>
      <c r="W204">
        <v>0</v>
      </c>
      <c r="X204">
        <v>0</v>
      </c>
      <c r="Y204">
        <v>2</v>
      </c>
      <c r="Z204">
        <v>2</v>
      </c>
      <c r="AA204">
        <v>0</v>
      </c>
      <c r="AB204">
        <v>0</v>
      </c>
      <c r="AC204">
        <v>0</v>
      </c>
      <c r="AD204">
        <v>1</v>
      </c>
      <c r="AE204">
        <v>1</v>
      </c>
      <c r="AF204">
        <v>0</v>
      </c>
      <c r="AG204">
        <v>0</v>
      </c>
      <c r="AH204">
        <v>0</v>
      </c>
      <c r="AI204">
        <v>2</v>
      </c>
      <c r="AJ204">
        <v>3</v>
      </c>
      <c r="AK204">
        <v>0</v>
      </c>
      <c r="AL204">
        <v>0</v>
      </c>
    </row>
    <row r="205" spans="1:40">
      <c r="A205">
        <v>1537</v>
      </c>
      <c r="B205" t="s">
        <v>4884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 s="367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 s="367">
        <v>0</v>
      </c>
      <c r="U205">
        <v>0</v>
      </c>
      <c r="V205">
        <v>2</v>
      </c>
      <c r="W205">
        <v>0</v>
      </c>
      <c r="X205">
        <v>0</v>
      </c>
      <c r="Y205">
        <v>0</v>
      </c>
      <c r="Z205">
        <v>2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6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2</v>
      </c>
      <c r="AN205" s="367" t="s">
        <v>3542</v>
      </c>
    </row>
    <row r="206" spans="1:40">
      <c r="A206">
        <v>1539</v>
      </c>
      <c r="B206" t="s">
        <v>4885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 s="367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 s="367">
        <v>0</v>
      </c>
      <c r="U206">
        <v>0</v>
      </c>
      <c r="V206">
        <v>0</v>
      </c>
      <c r="W206">
        <v>0</v>
      </c>
      <c r="X206">
        <v>0</v>
      </c>
      <c r="Y206">
        <v>1</v>
      </c>
      <c r="Z206">
        <v>0</v>
      </c>
      <c r="AA206">
        <v>0</v>
      </c>
      <c r="AB206">
        <v>0</v>
      </c>
      <c r="AC206">
        <v>2</v>
      </c>
      <c r="AD206">
        <v>3</v>
      </c>
      <c r="AE206">
        <v>1</v>
      </c>
      <c r="AF206">
        <v>0</v>
      </c>
      <c r="AG206">
        <v>0</v>
      </c>
      <c r="AH206">
        <v>0</v>
      </c>
      <c r="AI206">
        <v>2</v>
      </c>
      <c r="AJ206">
        <v>0</v>
      </c>
      <c r="AK206">
        <v>0</v>
      </c>
      <c r="AL206">
        <v>0</v>
      </c>
    </row>
    <row r="207" spans="1:40">
      <c r="A207">
        <v>1540</v>
      </c>
      <c r="B207" t="s">
        <v>4886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 s="36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 s="36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1</v>
      </c>
      <c r="AF207">
        <v>1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</row>
    <row r="208" spans="1:40">
      <c r="A208">
        <v>1541</v>
      </c>
      <c r="B208" t="s">
        <v>4887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 s="367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 s="367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1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</row>
    <row r="209" spans="1:40">
      <c r="A209">
        <v>1558</v>
      </c>
      <c r="B209" t="s">
        <v>4888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 s="367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 s="367">
        <v>0</v>
      </c>
      <c r="U209">
        <v>0</v>
      </c>
      <c r="V209">
        <v>0</v>
      </c>
      <c r="W209">
        <v>2</v>
      </c>
      <c r="X209">
        <v>0</v>
      </c>
      <c r="Y209">
        <v>0</v>
      </c>
      <c r="Z209">
        <v>1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1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</row>
    <row r="210" spans="1:40">
      <c r="A210">
        <v>1560</v>
      </c>
      <c r="B210" t="s">
        <v>4889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 s="367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 s="367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1</v>
      </c>
      <c r="AD210">
        <v>1</v>
      </c>
      <c r="AE210">
        <v>2</v>
      </c>
      <c r="AF210">
        <v>1</v>
      </c>
      <c r="AG210">
        <v>1</v>
      </c>
      <c r="AH210">
        <v>0</v>
      </c>
      <c r="AI210">
        <v>1</v>
      </c>
      <c r="AJ210">
        <v>0</v>
      </c>
      <c r="AK210">
        <v>0</v>
      </c>
      <c r="AL210">
        <v>0</v>
      </c>
    </row>
    <row r="211" spans="1:40">
      <c r="A211">
        <v>1565</v>
      </c>
      <c r="B211" t="s">
        <v>4890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 s="367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 s="367">
        <v>0</v>
      </c>
      <c r="U211">
        <v>0</v>
      </c>
      <c r="V211">
        <v>2</v>
      </c>
      <c r="W211">
        <v>1</v>
      </c>
      <c r="X211">
        <v>0</v>
      </c>
      <c r="Y211">
        <v>1</v>
      </c>
      <c r="Z211">
        <v>1</v>
      </c>
      <c r="AA211">
        <v>0</v>
      </c>
      <c r="AB211">
        <v>0</v>
      </c>
      <c r="AC211">
        <v>0</v>
      </c>
      <c r="AD211">
        <v>0</v>
      </c>
      <c r="AE211">
        <v>1</v>
      </c>
      <c r="AF211">
        <v>0</v>
      </c>
      <c r="AG211">
        <v>0</v>
      </c>
      <c r="AH211">
        <v>4</v>
      </c>
      <c r="AI211">
        <v>6</v>
      </c>
      <c r="AJ211">
        <v>0</v>
      </c>
      <c r="AK211">
        <v>0</v>
      </c>
      <c r="AL211">
        <v>2</v>
      </c>
      <c r="AN211" s="367" t="s">
        <v>6775</v>
      </c>
    </row>
    <row r="212" spans="1:40">
      <c r="A212">
        <v>1568</v>
      </c>
      <c r="B212" t="s">
        <v>4891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 s="367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 s="367">
        <v>0</v>
      </c>
      <c r="U212">
        <v>0</v>
      </c>
      <c r="V212">
        <v>0</v>
      </c>
      <c r="W212">
        <v>0</v>
      </c>
      <c r="X212">
        <v>0</v>
      </c>
      <c r="Y212">
        <v>2</v>
      </c>
      <c r="Z212">
        <v>0</v>
      </c>
      <c r="AA212">
        <v>0</v>
      </c>
      <c r="AB212">
        <v>1</v>
      </c>
      <c r="AC212">
        <v>0</v>
      </c>
      <c r="AD212">
        <v>0</v>
      </c>
      <c r="AE212">
        <v>1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</row>
    <row r="213" spans="1:40">
      <c r="A213">
        <v>1569</v>
      </c>
      <c r="B213" t="s">
        <v>4892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 s="367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 s="367">
        <v>0</v>
      </c>
      <c r="U213">
        <v>0</v>
      </c>
      <c r="V213">
        <v>0</v>
      </c>
      <c r="W213">
        <v>0</v>
      </c>
      <c r="X213">
        <v>0</v>
      </c>
      <c r="Y213">
        <v>2</v>
      </c>
      <c r="Z213">
        <v>0</v>
      </c>
      <c r="AA213">
        <v>0</v>
      </c>
      <c r="AB213">
        <v>0</v>
      </c>
      <c r="AC213">
        <v>2</v>
      </c>
      <c r="AD213">
        <v>3</v>
      </c>
      <c r="AE213">
        <v>1</v>
      </c>
      <c r="AF213">
        <v>0</v>
      </c>
      <c r="AG213">
        <v>1</v>
      </c>
      <c r="AH213">
        <v>0</v>
      </c>
      <c r="AI213">
        <v>3</v>
      </c>
      <c r="AJ213">
        <v>0</v>
      </c>
      <c r="AK213">
        <v>0</v>
      </c>
      <c r="AL213">
        <v>0</v>
      </c>
    </row>
    <row r="214" spans="1:40">
      <c r="A214">
        <v>1570</v>
      </c>
      <c r="B214" t="s">
        <v>4893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 s="367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 s="367">
        <v>0</v>
      </c>
      <c r="U214">
        <v>0</v>
      </c>
      <c r="V214">
        <v>0</v>
      </c>
      <c r="W214">
        <v>1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1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</row>
    <row r="215" spans="1:40">
      <c r="A215">
        <v>1580</v>
      </c>
      <c r="B215" t="s">
        <v>4894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 s="367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 s="367">
        <v>0</v>
      </c>
      <c r="U215">
        <v>0</v>
      </c>
      <c r="V215">
        <v>6</v>
      </c>
      <c r="W215">
        <v>0</v>
      </c>
      <c r="X215">
        <v>1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10</v>
      </c>
      <c r="AE215">
        <v>0</v>
      </c>
      <c r="AF215">
        <v>3</v>
      </c>
      <c r="AG215">
        <v>0</v>
      </c>
      <c r="AH215">
        <v>0</v>
      </c>
      <c r="AI215">
        <v>1</v>
      </c>
      <c r="AJ215">
        <v>2</v>
      </c>
      <c r="AK215">
        <v>0</v>
      </c>
      <c r="AL215">
        <v>6</v>
      </c>
      <c r="AN215" s="367" t="s">
        <v>6761</v>
      </c>
    </row>
    <row r="216" spans="1:40">
      <c r="A216">
        <v>1582</v>
      </c>
      <c r="B216" t="s">
        <v>4895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 s="367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 s="367">
        <v>0</v>
      </c>
      <c r="U216">
        <v>0</v>
      </c>
      <c r="V216">
        <v>3</v>
      </c>
      <c r="W216">
        <v>0</v>
      </c>
      <c r="X216">
        <v>0</v>
      </c>
      <c r="Y216">
        <v>2</v>
      </c>
      <c r="Z216">
        <v>2</v>
      </c>
      <c r="AA216">
        <v>0</v>
      </c>
      <c r="AB216">
        <v>0</v>
      </c>
      <c r="AC216">
        <v>0</v>
      </c>
      <c r="AD216">
        <v>7</v>
      </c>
      <c r="AE216">
        <v>1</v>
      </c>
      <c r="AF216">
        <v>0</v>
      </c>
      <c r="AG216">
        <v>0</v>
      </c>
      <c r="AH216">
        <v>0</v>
      </c>
      <c r="AI216">
        <v>0</v>
      </c>
      <c r="AJ216">
        <v>1</v>
      </c>
      <c r="AK216">
        <v>0</v>
      </c>
      <c r="AL216">
        <v>3</v>
      </c>
      <c r="AN216" s="367" t="s">
        <v>6761</v>
      </c>
    </row>
    <row r="217" spans="1:40">
      <c r="A217">
        <v>1583</v>
      </c>
      <c r="B217" t="s">
        <v>4896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 s="36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 s="36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</row>
    <row r="218" spans="1:40">
      <c r="A218">
        <v>1584</v>
      </c>
      <c r="B218" t="s">
        <v>4897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 s="367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 s="367">
        <v>0</v>
      </c>
      <c r="U218">
        <v>0</v>
      </c>
      <c r="V218">
        <v>0</v>
      </c>
      <c r="W218">
        <v>1</v>
      </c>
      <c r="X218">
        <v>1</v>
      </c>
      <c r="Y218">
        <v>3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1</v>
      </c>
      <c r="AH218">
        <v>0</v>
      </c>
      <c r="AI218">
        <v>2</v>
      </c>
      <c r="AJ218">
        <v>1</v>
      </c>
      <c r="AK218">
        <v>0</v>
      </c>
      <c r="AL218">
        <v>0</v>
      </c>
    </row>
    <row r="219" spans="1:40">
      <c r="A219">
        <v>1586</v>
      </c>
      <c r="B219" t="s">
        <v>4898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 s="367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 s="367">
        <v>0</v>
      </c>
      <c r="U219">
        <v>11</v>
      </c>
      <c r="V219">
        <v>0</v>
      </c>
      <c r="W219">
        <v>0</v>
      </c>
      <c r="X219">
        <v>15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1</v>
      </c>
      <c r="AG219">
        <v>0</v>
      </c>
      <c r="AH219">
        <v>0</v>
      </c>
      <c r="AI219">
        <v>0</v>
      </c>
      <c r="AJ219">
        <v>0</v>
      </c>
      <c r="AK219">
        <v>11</v>
      </c>
      <c r="AL219">
        <v>0</v>
      </c>
      <c r="AM219" s="367" t="s">
        <v>4718</v>
      </c>
    </row>
    <row r="220" spans="1:40">
      <c r="A220">
        <v>1587</v>
      </c>
      <c r="B220" t="s">
        <v>4899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 s="367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 s="367">
        <v>0</v>
      </c>
      <c r="U220">
        <v>0</v>
      </c>
      <c r="V220">
        <v>0</v>
      </c>
      <c r="W220">
        <v>0</v>
      </c>
      <c r="X220">
        <v>1</v>
      </c>
      <c r="Y220">
        <v>0</v>
      </c>
      <c r="Z220">
        <v>0</v>
      </c>
      <c r="AA220">
        <v>0</v>
      </c>
      <c r="AB220">
        <v>0</v>
      </c>
      <c r="AC220">
        <v>1</v>
      </c>
      <c r="AD220">
        <v>3</v>
      </c>
      <c r="AE220">
        <v>0</v>
      </c>
      <c r="AF220">
        <v>1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</row>
    <row r="221" spans="1:40">
      <c r="A221">
        <v>1589</v>
      </c>
      <c r="B221" t="s">
        <v>4900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 s="367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 s="367">
        <v>0</v>
      </c>
      <c r="U221">
        <v>0</v>
      </c>
      <c r="V221">
        <v>5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2</v>
      </c>
      <c r="AE221">
        <v>7</v>
      </c>
      <c r="AF221">
        <v>1</v>
      </c>
      <c r="AG221">
        <v>1</v>
      </c>
      <c r="AH221">
        <v>0</v>
      </c>
      <c r="AI221">
        <v>5</v>
      </c>
      <c r="AJ221">
        <v>5</v>
      </c>
      <c r="AK221">
        <v>0</v>
      </c>
      <c r="AL221">
        <v>5</v>
      </c>
      <c r="AN221" s="367" t="s">
        <v>6856</v>
      </c>
    </row>
    <row r="222" spans="1:40">
      <c r="A222">
        <v>1590</v>
      </c>
      <c r="B222" t="s">
        <v>4901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 s="367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 s="367">
        <v>0</v>
      </c>
      <c r="U222">
        <v>0</v>
      </c>
      <c r="V222">
        <v>5</v>
      </c>
      <c r="W222">
        <v>2</v>
      </c>
      <c r="X222">
        <v>0</v>
      </c>
      <c r="Y222">
        <v>2</v>
      </c>
      <c r="Z222">
        <v>2</v>
      </c>
      <c r="AA222">
        <v>1</v>
      </c>
      <c r="AB222">
        <v>0</v>
      </c>
      <c r="AC222">
        <v>0</v>
      </c>
      <c r="AD222">
        <v>0</v>
      </c>
      <c r="AE222">
        <v>2</v>
      </c>
      <c r="AF222">
        <v>0</v>
      </c>
      <c r="AG222">
        <v>0</v>
      </c>
      <c r="AH222">
        <v>0</v>
      </c>
      <c r="AI222">
        <v>9</v>
      </c>
      <c r="AJ222">
        <v>1</v>
      </c>
      <c r="AK222">
        <v>0</v>
      </c>
      <c r="AL222">
        <v>5</v>
      </c>
      <c r="AN222" s="367" t="s">
        <v>6775</v>
      </c>
    </row>
    <row r="223" spans="1:40">
      <c r="A223">
        <v>1591</v>
      </c>
      <c r="B223" t="s">
        <v>4902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 s="367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 s="367">
        <v>0</v>
      </c>
      <c r="U223">
        <v>0</v>
      </c>
      <c r="V223">
        <v>0</v>
      </c>
      <c r="W223">
        <v>1</v>
      </c>
      <c r="X223">
        <v>0</v>
      </c>
      <c r="Y223">
        <v>1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1</v>
      </c>
      <c r="AF223">
        <v>0</v>
      </c>
      <c r="AG223">
        <v>0</v>
      </c>
      <c r="AH223">
        <v>0</v>
      </c>
      <c r="AI223">
        <v>0</v>
      </c>
      <c r="AJ223">
        <v>1</v>
      </c>
      <c r="AK223">
        <v>0</v>
      </c>
      <c r="AL223">
        <v>0</v>
      </c>
    </row>
    <row r="224" spans="1:40">
      <c r="A224">
        <v>1593</v>
      </c>
      <c r="B224" t="s">
        <v>4903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 s="367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 s="367">
        <v>0</v>
      </c>
      <c r="U224">
        <v>0</v>
      </c>
      <c r="V224">
        <v>0</v>
      </c>
      <c r="W224">
        <v>0</v>
      </c>
      <c r="X224">
        <v>1</v>
      </c>
      <c r="Y224">
        <v>0</v>
      </c>
      <c r="Z224">
        <v>0</v>
      </c>
      <c r="AA224">
        <v>0</v>
      </c>
      <c r="AB224">
        <v>0</v>
      </c>
      <c r="AC224">
        <v>1</v>
      </c>
      <c r="AD224">
        <v>2</v>
      </c>
      <c r="AE224">
        <v>0</v>
      </c>
      <c r="AF224">
        <v>1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</row>
    <row r="225" spans="1:40">
      <c r="A225">
        <v>1595</v>
      </c>
      <c r="B225" t="s">
        <v>4904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 s="367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 s="367">
        <v>0</v>
      </c>
      <c r="U225">
        <v>0</v>
      </c>
      <c r="V225">
        <v>7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1</v>
      </c>
      <c r="AF225">
        <v>11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7</v>
      </c>
      <c r="AN225" s="367" t="s">
        <v>3542</v>
      </c>
    </row>
    <row r="226" spans="1:40">
      <c r="A226">
        <v>1597</v>
      </c>
      <c r="B226" t="s">
        <v>4905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 s="367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 s="367">
        <v>0</v>
      </c>
      <c r="U226">
        <v>1</v>
      </c>
      <c r="V226">
        <v>0</v>
      </c>
      <c r="W226">
        <v>5</v>
      </c>
      <c r="X226">
        <v>0</v>
      </c>
      <c r="Y226">
        <v>2</v>
      </c>
      <c r="Z226">
        <v>0</v>
      </c>
      <c r="AA226">
        <v>0</v>
      </c>
      <c r="AB226">
        <v>0</v>
      </c>
      <c r="AC226">
        <v>3</v>
      </c>
      <c r="AD226">
        <v>0</v>
      </c>
      <c r="AE226">
        <v>3</v>
      </c>
      <c r="AF226">
        <v>0</v>
      </c>
      <c r="AG226">
        <v>1</v>
      </c>
      <c r="AH226">
        <v>0</v>
      </c>
      <c r="AI226">
        <v>0</v>
      </c>
      <c r="AJ226">
        <v>0</v>
      </c>
      <c r="AK226">
        <v>1</v>
      </c>
      <c r="AL226">
        <v>0</v>
      </c>
      <c r="AM226" s="367" t="s">
        <v>6761</v>
      </c>
    </row>
    <row r="227" spans="1:40">
      <c r="A227">
        <v>1598</v>
      </c>
      <c r="B227" t="s">
        <v>4906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 s="36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 s="36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2</v>
      </c>
      <c r="AA227">
        <v>0</v>
      </c>
      <c r="AB227">
        <v>0</v>
      </c>
      <c r="AC227">
        <v>2</v>
      </c>
      <c r="AD227">
        <v>1</v>
      </c>
      <c r="AE227">
        <v>3</v>
      </c>
      <c r="AF227">
        <v>1</v>
      </c>
      <c r="AG227">
        <v>0</v>
      </c>
      <c r="AH227">
        <v>0</v>
      </c>
      <c r="AI227">
        <v>1</v>
      </c>
      <c r="AJ227">
        <v>0</v>
      </c>
      <c r="AK227">
        <v>0</v>
      </c>
      <c r="AL227">
        <v>0</v>
      </c>
    </row>
    <row r="228" spans="1:40">
      <c r="A228">
        <v>1599</v>
      </c>
      <c r="B228" t="s">
        <v>4907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 s="367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 s="367">
        <v>0</v>
      </c>
      <c r="U228">
        <v>2</v>
      </c>
      <c r="V228">
        <v>0</v>
      </c>
      <c r="W228">
        <v>0</v>
      </c>
      <c r="X228">
        <v>6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1</v>
      </c>
      <c r="AE228">
        <v>0</v>
      </c>
      <c r="AF228">
        <v>1</v>
      </c>
      <c r="AG228">
        <v>0</v>
      </c>
      <c r="AH228">
        <v>0</v>
      </c>
      <c r="AI228">
        <v>1</v>
      </c>
      <c r="AJ228">
        <v>1</v>
      </c>
      <c r="AK228">
        <v>2</v>
      </c>
      <c r="AL228">
        <v>0</v>
      </c>
      <c r="AM228" s="367" t="s">
        <v>4718</v>
      </c>
    </row>
    <row r="229" spans="1:40">
      <c r="A229">
        <v>1603</v>
      </c>
      <c r="B229" t="s">
        <v>4908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 s="367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 s="367">
        <v>0</v>
      </c>
      <c r="U229">
        <v>0</v>
      </c>
      <c r="V229">
        <v>0</v>
      </c>
      <c r="W229">
        <v>1</v>
      </c>
      <c r="X229">
        <v>0</v>
      </c>
      <c r="Y229">
        <v>1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1</v>
      </c>
      <c r="AF229">
        <v>0</v>
      </c>
      <c r="AG229">
        <v>1</v>
      </c>
      <c r="AH229">
        <v>0</v>
      </c>
      <c r="AI229">
        <v>3</v>
      </c>
      <c r="AJ229">
        <v>1</v>
      </c>
      <c r="AK229">
        <v>0</v>
      </c>
      <c r="AL229">
        <v>0</v>
      </c>
    </row>
    <row r="230" spans="1:40">
      <c r="A230">
        <v>1604</v>
      </c>
      <c r="B230" t="s">
        <v>4909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 s="367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 s="367">
        <v>0</v>
      </c>
      <c r="U230">
        <v>0</v>
      </c>
      <c r="V230">
        <v>6</v>
      </c>
      <c r="W230">
        <v>0</v>
      </c>
      <c r="X230">
        <v>2</v>
      </c>
      <c r="Y230">
        <v>0</v>
      </c>
      <c r="Z230">
        <v>2</v>
      </c>
      <c r="AA230">
        <v>0</v>
      </c>
      <c r="AB230">
        <v>0</v>
      </c>
      <c r="AC230">
        <v>0</v>
      </c>
      <c r="AD230">
        <v>10</v>
      </c>
      <c r="AE230">
        <v>0</v>
      </c>
      <c r="AF230">
        <v>1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6</v>
      </c>
      <c r="AN230" s="367" t="s">
        <v>6761</v>
      </c>
    </row>
    <row r="231" spans="1:40">
      <c r="A231">
        <v>1608</v>
      </c>
      <c r="B231" t="s">
        <v>4911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 s="367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 s="367">
        <v>0</v>
      </c>
      <c r="U231">
        <v>0</v>
      </c>
      <c r="V231">
        <v>4</v>
      </c>
      <c r="W231">
        <v>0</v>
      </c>
      <c r="X231">
        <v>0</v>
      </c>
      <c r="Y231">
        <v>1</v>
      </c>
      <c r="Z231">
        <v>2</v>
      </c>
      <c r="AA231">
        <v>0</v>
      </c>
      <c r="AB231">
        <v>2</v>
      </c>
      <c r="AC231">
        <v>3</v>
      </c>
      <c r="AD231">
        <v>4</v>
      </c>
      <c r="AE231">
        <v>8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4</v>
      </c>
      <c r="AN231" s="367" t="s">
        <v>4718</v>
      </c>
    </row>
    <row r="232" spans="1:40">
      <c r="A232">
        <v>1609</v>
      </c>
      <c r="B232" t="s">
        <v>4912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 s="367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 s="367">
        <v>0</v>
      </c>
      <c r="U232">
        <v>0</v>
      </c>
      <c r="V232">
        <v>1</v>
      </c>
      <c r="W232">
        <v>1</v>
      </c>
      <c r="X232">
        <v>0</v>
      </c>
      <c r="Y232">
        <v>1</v>
      </c>
      <c r="Z232">
        <v>0</v>
      </c>
      <c r="AA232">
        <v>0</v>
      </c>
      <c r="AB232">
        <v>1</v>
      </c>
      <c r="AC232">
        <v>0</v>
      </c>
      <c r="AD232">
        <v>0</v>
      </c>
      <c r="AE232">
        <v>5</v>
      </c>
      <c r="AF232">
        <v>0</v>
      </c>
      <c r="AG232">
        <v>1</v>
      </c>
      <c r="AH232">
        <v>0</v>
      </c>
      <c r="AI232">
        <v>0</v>
      </c>
      <c r="AJ232">
        <v>2</v>
      </c>
      <c r="AK232">
        <v>0</v>
      </c>
      <c r="AL232">
        <v>1</v>
      </c>
      <c r="AN232" s="367" t="s">
        <v>4718</v>
      </c>
    </row>
    <row r="233" spans="1:40">
      <c r="A233">
        <v>1611</v>
      </c>
      <c r="B233" t="s">
        <v>4913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 s="367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 s="367">
        <v>0</v>
      </c>
      <c r="U233">
        <v>0</v>
      </c>
      <c r="V233">
        <v>15</v>
      </c>
      <c r="W233">
        <v>0</v>
      </c>
      <c r="X233">
        <v>0</v>
      </c>
      <c r="Y233">
        <v>2</v>
      </c>
      <c r="Z233">
        <v>0</v>
      </c>
      <c r="AA233">
        <v>0</v>
      </c>
      <c r="AB233">
        <v>0</v>
      </c>
      <c r="AC233">
        <v>0</v>
      </c>
      <c r="AD233">
        <v>1</v>
      </c>
      <c r="AE233">
        <v>7</v>
      </c>
      <c r="AF233">
        <v>0</v>
      </c>
      <c r="AG233">
        <v>1</v>
      </c>
      <c r="AH233">
        <v>0</v>
      </c>
      <c r="AI233">
        <v>16</v>
      </c>
      <c r="AJ233">
        <v>3</v>
      </c>
      <c r="AK233">
        <v>0</v>
      </c>
      <c r="AL233">
        <v>15</v>
      </c>
      <c r="AN233" s="367" t="s">
        <v>6258</v>
      </c>
    </row>
    <row r="234" spans="1:40">
      <c r="A234">
        <v>1612</v>
      </c>
      <c r="B234" t="s">
        <v>4914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 s="367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 s="367">
        <v>0</v>
      </c>
      <c r="U234">
        <v>0</v>
      </c>
      <c r="V234">
        <v>4</v>
      </c>
      <c r="W234">
        <v>1</v>
      </c>
      <c r="X234">
        <v>1</v>
      </c>
      <c r="Y234">
        <v>0</v>
      </c>
      <c r="Z234">
        <v>2</v>
      </c>
      <c r="AA234">
        <v>0</v>
      </c>
      <c r="AB234">
        <v>0</v>
      </c>
      <c r="AC234">
        <v>1</v>
      </c>
      <c r="AD234">
        <v>0</v>
      </c>
      <c r="AE234">
        <v>0</v>
      </c>
      <c r="AF234">
        <v>7</v>
      </c>
      <c r="AG234">
        <v>0</v>
      </c>
      <c r="AH234">
        <v>0</v>
      </c>
      <c r="AI234">
        <v>5</v>
      </c>
      <c r="AJ234">
        <v>0</v>
      </c>
      <c r="AK234">
        <v>0</v>
      </c>
      <c r="AL234">
        <v>4</v>
      </c>
      <c r="AN234" s="367" t="s">
        <v>6786</v>
      </c>
    </row>
    <row r="235" spans="1:40">
      <c r="A235">
        <v>1614</v>
      </c>
      <c r="B235" t="s">
        <v>4915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 s="367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 s="367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1</v>
      </c>
      <c r="AF235">
        <v>1</v>
      </c>
      <c r="AG235">
        <v>1</v>
      </c>
      <c r="AH235">
        <v>0</v>
      </c>
      <c r="AI235">
        <v>0</v>
      </c>
      <c r="AJ235">
        <v>0</v>
      </c>
      <c r="AK235">
        <v>0</v>
      </c>
      <c r="AL235">
        <v>0</v>
      </c>
    </row>
    <row r="236" spans="1:40">
      <c r="A236">
        <v>1615</v>
      </c>
      <c r="B236" t="s">
        <v>4916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 s="367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s="367">
        <v>0</v>
      </c>
      <c r="U236">
        <v>0</v>
      </c>
      <c r="V236">
        <v>0</v>
      </c>
      <c r="W236">
        <v>1</v>
      </c>
      <c r="X236">
        <v>1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3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</row>
    <row r="237" spans="1:40">
      <c r="A237">
        <v>1617</v>
      </c>
      <c r="B237" t="s">
        <v>4917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 s="36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 s="367">
        <v>0</v>
      </c>
      <c r="U237">
        <v>0</v>
      </c>
      <c r="V237">
        <v>0</v>
      </c>
      <c r="W237">
        <v>0</v>
      </c>
      <c r="X237">
        <v>2</v>
      </c>
      <c r="Y237">
        <v>1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</row>
    <row r="238" spans="1:40">
      <c r="A238">
        <v>1618</v>
      </c>
      <c r="B238" t="s">
        <v>4918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 s="367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 s="367">
        <v>0</v>
      </c>
      <c r="U238">
        <v>0</v>
      </c>
      <c r="V238">
        <v>0</v>
      </c>
      <c r="W238">
        <v>0</v>
      </c>
      <c r="X238">
        <v>1</v>
      </c>
      <c r="Y238">
        <v>2</v>
      </c>
      <c r="Z238">
        <v>0</v>
      </c>
      <c r="AA238">
        <v>0</v>
      </c>
      <c r="AB238">
        <v>0</v>
      </c>
      <c r="AC238">
        <v>0</v>
      </c>
      <c r="AD238">
        <v>1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</row>
    <row r="239" spans="1:40">
      <c r="A239">
        <v>1626</v>
      </c>
      <c r="B239" t="s">
        <v>4919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 s="367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 s="367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3</v>
      </c>
      <c r="AA239">
        <v>0</v>
      </c>
      <c r="AB239">
        <v>0</v>
      </c>
      <c r="AC239">
        <v>0</v>
      </c>
      <c r="AD239">
        <v>3</v>
      </c>
      <c r="AE239">
        <v>1</v>
      </c>
      <c r="AF239">
        <v>1</v>
      </c>
      <c r="AG239">
        <v>0</v>
      </c>
      <c r="AH239">
        <v>0</v>
      </c>
      <c r="AI239">
        <v>1</v>
      </c>
      <c r="AJ239">
        <v>0</v>
      </c>
      <c r="AK239">
        <v>0</v>
      </c>
      <c r="AL239">
        <v>0</v>
      </c>
    </row>
    <row r="240" spans="1:40">
      <c r="A240">
        <v>1701</v>
      </c>
      <c r="B240" t="s">
        <v>4920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 s="367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367">
        <v>0</v>
      </c>
      <c r="U240">
        <v>0</v>
      </c>
      <c r="V240">
        <v>0</v>
      </c>
      <c r="W240">
        <v>3</v>
      </c>
      <c r="X240">
        <v>0</v>
      </c>
      <c r="Y240">
        <v>3</v>
      </c>
      <c r="Z240">
        <v>1</v>
      </c>
      <c r="AA240">
        <v>0</v>
      </c>
      <c r="AB240">
        <v>2</v>
      </c>
      <c r="AC240">
        <v>2</v>
      </c>
      <c r="AD240">
        <v>0</v>
      </c>
      <c r="AE240">
        <v>1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</row>
    <row r="241" spans="1:40">
      <c r="A241">
        <v>1702</v>
      </c>
      <c r="B241" t="s">
        <v>4921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 s="367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 s="367">
        <v>0</v>
      </c>
      <c r="U241">
        <v>1</v>
      </c>
      <c r="V241">
        <v>0</v>
      </c>
      <c r="W241">
        <v>2</v>
      </c>
      <c r="X241">
        <v>0</v>
      </c>
      <c r="Y241">
        <v>2</v>
      </c>
      <c r="Z241">
        <v>5</v>
      </c>
      <c r="AA241">
        <v>0</v>
      </c>
      <c r="AB241">
        <v>0</v>
      </c>
      <c r="AC241">
        <v>0</v>
      </c>
      <c r="AD241">
        <v>0</v>
      </c>
      <c r="AE241">
        <v>3</v>
      </c>
      <c r="AF241">
        <v>0</v>
      </c>
      <c r="AG241">
        <v>0</v>
      </c>
      <c r="AH241">
        <v>0</v>
      </c>
      <c r="AI241">
        <v>3</v>
      </c>
      <c r="AJ241">
        <v>1</v>
      </c>
      <c r="AK241">
        <v>1</v>
      </c>
      <c r="AL241">
        <v>0</v>
      </c>
      <c r="AM241" s="367" t="s">
        <v>3543</v>
      </c>
    </row>
    <row r="242" spans="1:40">
      <c r="A242">
        <v>1707</v>
      </c>
      <c r="B242" t="s">
        <v>4922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 s="367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 s="367">
        <v>0</v>
      </c>
      <c r="U242">
        <v>0</v>
      </c>
      <c r="V242">
        <v>0</v>
      </c>
      <c r="W242">
        <v>2</v>
      </c>
      <c r="X242">
        <v>0</v>
      </c>
      <c r="Y242">
        <v>0</v>
      </c>
      <c r="Z242">
        <v>2</v>
      </c>
      <c r="AA242">
        <v>0</v>
      </c>
      <c r="AB242">
        <v>0</v>
      </c>
      <c r="AC242">
        <v>0</v>
      </c>
      <c r="AD242">
        <v>0</v>
      </c>
      <c r="AE242">
        <v>3</v>
      </c>
      <c r="AF242">
        <v>1</v>
      </c>
      <c r="AG242">
        <v>0</v>
      </c>
      <c r="AH242">
        <v>0</v>
      </c>
      <c r="AI242">
        <v>1</v>
      </c>
      <c r="AJ242">
        <v>0</v>
      </c>
      <c r="AK242">
        <v>0</v>
      </c>
      <c r="AL242">
        <v>0</v>
      </c>
    </row>
    <row r="243" spans="1:40">
      <c r="A243">
        <v>1709</v>
      </c>
      <c r="B243" t="s">
        <v>4924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 s="367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 s="367">
        <v>0</v>
      </c>
      <c r="U243">
        <v>1</v>
      </c>
      <c r="V243">
        <v>5</v>
      </c>
      <c r="W243">
        <v>4</v>
      </c>
      <c r="X243">
        <v>0</v>
      </c>
      <c r="Y243">
        <v>5</v>
      </c>
      <c r="Z243">
        <v>2</v>
      </c>
      <c r="AA243">
        <v>0</v>
      </c>
      <c r="AB243">
        <v>4</v>
      </c>
      <c r="AC243">
        <v>1</v>
      </c>
      <c r="AD243">
        <v>0</v>
      </c>
      <c r="AE243">
        <v>9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1</v>
      </c>
      <c r="AL243">
        <v>5</v>
      </c>
      <c r="AM243" s="367" t="s">
        <v>3542</v>
      </c>
      <c r="AN243" s="367" t="s">
        <v>4718</v>
      </c>
    </row>
    <row r="244" spans="1:40">
      <c r="A244">
        <v>1710</v>
      </c>
      <c r="B244" t="s">
        <v>4925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 s="367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s="367">
        <v>0</v>
      </c>
      <c r="U244">
        <v>1</v>
      </c>
      <c r="V244">
        <v>0</v>
      </c>
      <c r="W244">
        <v>2</v>
      </c>
      <c r="X244">
        <v>1</v>
      </c>
      <c r="Y244">
        <v>5</v>
      </c>
      <c r="Z244">
        <v>1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3</v>
      </c>
      <c r="AJ244">
        <v>1</v>
      </c>
      <c r="AK244">
        <v>1</v>
      </c>
      <c r="AL244">
        <v>0</v>
      </c>
      <c r="AM244" s="367" t="s">
        <v>3542</v>
      </c>
    </row>
    <row r="245" spans="1:40">
      <c r="A245">
        <v>1711</v>
      </c>
      <c r="B245" t="s">
        <v>4926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 s="367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 s="367">
        <v>0</v>
      </c>
      <c r="U245">
        <v>1</v>
      </c>
      <c r="V245">
        <v>0</v>
      </c>
      <c r="W245">
        <v>2</v>
      </c>
      <c r="X245">
        <v>0</v>
      </c>
      <c r="Y245">
        <v>5</v>
      </c>
      <c r="Z245">
        <v>0</v>
      </c>
      <c r="AA245">
        <v>0</v>
      </c>
      <c r="AB245">
        <v>3</v>
      </c>
      <c r="AC245">
        <v>0</v>
      </c>
      <c r="AD245">
        <v>0</v>
      </c>
      <c r="AE245">
        <v>3</v>
      </c>
      <c r="AF245">
        <v>0</v>
      </c>
      <c r="AG245">
        <v>1</v>
      </c>
      <c r="AH245">
        <v>0</v>
      </c>
      <c r="AI245">
        <v>0</v>
      </c>
      <c r="AJ245">
        <v>1</v>
      </c>
      <c r="AK245">
        <v>1</v>
      </c>
      <c r="AL245">
        <v>0</v>
      </c>
      <c r="AM245" s="367" t="s">
        <v>3542</v>
      </c>
    </row>
    <row r="246" spans="1:40">
      <c r="A246">
        <v>1713</v>
      </c>
      <c r="B246" t="s">
        <v>4928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 s="367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367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1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</row>
    <row r="247" spans="1:40">
      <c r="A247">
        <v>1714</v>
      </c>
      <c r="B247" t="s">
        <v>4929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 s="36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 s="367">
        <v>0</v>
      </c>
      <c r="U247">
        <v>0</v>
      </c>
      <c r="V247">
        <v>0</v>
      </c>
      <c r="W247">
        <v>2</v>
      </c>
      <c r="X247">
        <v>0</v>
      </c>
      <c r="Y247">
        <v>2</v>
      </c>
      <c r="Z247">
        <v>0</v>
      </c>
      <c r="AA247">
        <v>0</v>
      </c>
      <c r="AB247">
        <v>3</v>
      </c>
      <c r="AC247">
        <v>1</v>
      </c>
      <c r="AD247">
        <v>0</v>
      </c>
      <c r="AE247">
        <v>3</v>
      </c>
      <c r="AF247">
        <v>0</v>
      </c>
      <c r="AG247">
        <v>1</v>
      </c>
      <c r="AH247">
        <v>0</v>
      </c>
      <c r="AI247">
        <v>0</v>
      </c>
      <c r="AJ247">
        <v>0</v>
      </c>
      <c r="AK247">
        <v>0</v>
      </c>
      <c r="AL247">
        <v>0</v>
      </c>
    </row>
    <row r="248" spans="1:40">
      <c r="A248">
        <v>1717</v>
      </c>
      <c r="B248" t="s">
        <v>4930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 s="367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 s="367">
        <v>0</v>
      </c>
      <c r="U248">
        <v>0</v>
      </c>
      <c r="V248">
        <v>7</v>
      </c>
      <c r="W248">
        <v>2</v>
      </c>
      <c r="X248">
        <v>0</v>
      </c>
      <c r="Y248">
        <v>2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9</v>
      </c>
      <c r="AF248">
        <v>0</v>
      </c>
      <c r="AG248">
        <v>6</v>
      </c>
      <c r="AH248">
        <v>0</v>
      </c>
      <c r="AI248">
        <v>1</v>
      </c>
      <c r="AJ248">
        <v>1</v>
      </c>
      <c r="AK248">
        <v>0</v>
      </c>
      <c r="AL248">
        <v>7</v>
      </c>
      <c r="AN248" s="367" t="s">
        <v>6167</v>
      </c>
    </row>
    <row r="249" spans="1:40">
      <c r="A249">
        <v>1718</v>
      </c>
      <c r="B249" t="s">
        <v>4931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 s="367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367">
        <v>0</v>
      </c>
      <c r="U249">
        <v>0</v>
      </c>
      <c r="V249">
        <v>5</v>
      </c>
      <c r="W249">
        <v>2</v>
      </c>
      <c r="X249">
        <v>0</v>
      </c>
      <c r="Y249">
        <v>2</v>
      </c>
      <c r="Z249">
        <v>2</v>
      </c>
      <c r="AA249">
        <v>0</v>
      </c>
      <c r="AB249">
        <v>0</v>
      </c>
      <c r="AC249">
        <v>1</v>
      </c>
      <c r="AD249">
        <v>0</v>
      </c>
      <c r="AE249">
        <v>9</v>
      </c>
      <c r="AF249">
        <v>0</v>
      </c>
      <c r="AG249">
        <v>0</v>
      </c>
      <c r="AH249">
        <v>0</v>
      </c>
      <c r="AI249">
        <v>2</v>
      </c>
      <c r="AJ249">
        <v>0</v>
      </c>
      <c r="AK249">
        <v>0</v>
      </c>
      <c r="AL249">
        <v>5</v>
      </c>
      <c r="AN249" s="367" t="s">
        <v>4718</v>
      </c>
    </row>
    <row r="250" spans="1:40">
      <c r="A250">
        <v>1720</v>
      </c>
      <c r="B250" t="s">
        <v>4932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 s="367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367">
        <v>0</v>
      </c>
      <c r="U250">
        <v>0</v>
      </c>
      <c r="V250">
        <v>0</v>
      </c>
      <c r="W250">
        <v>3</v>
      </c>
      <c r="X250">
        <v>1</v>
      </c>
      <c r="Y250">
        <v>2</v>
      </c>
      <c r="Z250">
        <v>2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1</v>
      </c>
      <c r="AK250">
        <v>0</v>
      </c>
      <c r="AL250">
        <v>0</v>
      </c>
    </row>
    <row r="251" spans="1:40">
      <c r="A251">
        <v>1721</v>
      </c>
      <c r="B251" t="s">
        <v>4933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 s="367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 s="367">
        <v>0</v>
      </c>
      <c r="U251">
        <v>0</v>
      </c>
      <c r="V251">
        <v>3</v>
      </c>
      <c r="W251">
        <v>3</v>
      </c>
      <c r="X251">
        <v>1</v>
      </c>
      <c r="Y251">
        <v>3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7</v>
      </c>
      <c r="AJ251">
        <v>1</v>
      </c>
      <c r="AK251">
        <v>0</v>
      </c>
      <c r="AL251">
        <v>3</v>
      </c>
      <c r="AN251" s="367" t="s">
        <v>6775</v>
      </c>
    </row>
    <row r="252" spans="1:40">
      <c r="A252">
        <v>1722</v>
      </c>
      <c r="B252" t="s">
        <v>4934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 s="367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 s="367">
        <v>0</v>
      </c>
      <c r="U252">
        <v>0</v>
      </c>
      <c r="V252">
        <v>3</v>
      </c>
      <c r="W252">
        <v>0</v>
      </c>
      <c r="X252">
        <v>0</v>
      </c>
      <c r="Y252">
        <v>4</v>
      </c>
      <c r="Z252">
        <v>0</v>
      </c>
      <c r="AA252">
        <v>0</v>
      </c>
      <c r="AB252">
        <v>1</v>
      </c>
      <c r="AC252">
        <v>0</v>
      </c>
      <c r="AD252">
        <v>3</v>
      </c>
      <c r="AE252">
        <v>1</v>
      </c>
      <c r="AF252">
        <v>0</v>
      </c>
      <c r="AG252">
        <v>3</v>
      </c>
      <c r="AH252">
        <v>7</v>
      </c>
      <c r="AI252">
        <v>0</v>
      </c>
      <c r="AJ252">
        <v>1</v>
      </c>
      <c r="AK252">
        <v>0</v>
      </c>
      <c r="AL252">
        <v>3</v>
      </c>
      <c r="AN252" s="367" t="s">
        <v>3544</v>
      </c>
    </row>
    <row r="253" spans="1:40">
      <c r="A253">
        <v>1723</v>
      </c>
      <c r="B253" t="s">
        <v>4935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 s="367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 s="367">
        <v>0</v>
      </c>
      <c r="U253">
        <v>9</v>
      </c>
      <c r="V253">
        <v>0</v>
      </c>
      <c r="W253">
        <v>9</v>
      </c>
      <c r="X253">
        <v>1</v>
      </c>
      <c r="Y253">
        <v>8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1</v>
      </c>
      <c r="AH253">
        <v>0</v>
      </c>
      <c r="AI253">
        <v>2</v>
      </c>
      <c r="AJ253">
        <v>0</v>
      </c>
      <c r="AK253">
        <v>9</v>
      </c>
      <c r="AL253">
        <v>0</v>
      </c>
      <c r="AM253" s="367" t="s">
        <v>6785</v>
      </c>
    </row>
    <row r="254" spans="1:40">
      <c r="A254">
        <v>1725</v>
      </c>
      <c r="B254" t="s">
        <v>765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 s="367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367">
        <v>0</v>
      </c>
      <c r="U254">
        <v>0</v>
      </c>
      <c r="V254">
        <v>1</v>
      </c>
      <c r="W254">
        <v>0</v>
      </c>
      <c r="X254">
        <v>0</v>
      </c>
      <c r="Y254">
        <v>2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5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1</v>
      </c>
      <c r="AN254" s="367" t="s">
        <v>4718</v>
      </c>
    </row>
    <row r="255" spans="1:40">
      <c r="A255">
        <v>1726</v>
      </c>
      <c r="B255" t="s">
        <v>4936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 s="367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s="367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1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</row>
    <row r="256" spans="1:40">
      <c r="A256">
        <v>1727</v>
      </c>
      <c r="B256" t="s">
        <v>4937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 s="367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367">
        <v>0</v>
      </c>
      <c r="U256">
        <v>0</v>
      </c>
      <c r="V256">
        <v>0</v>
      </c>
      <c r="W256">
        <v>0</v>
      </c>
      <c r="X256">
        <v>1</v>
      </c>
      <c r="Y256">
        <v>0</v>
      </c>
      <c r="Z256">
        <v>0</v>
      </c>
      <c r="AA256">
        <v>0</v>
      </c>
      <c r="AB256">
        <v>1</v>
      </c>
      <c r="AC256">
        <v>0</v>
      </c>
      <c r="AD256">
        <v>1</v>
      </c>
      <c r="AE256">
        <v>0</v>
      </c>
      <c r="AF256">
        <v>1</v>
      </c>
      <c r="AG256">
        <v>1</v>
      </c>
      <c r="AH256">
        <v>0</v>
      </c>
      <c r="AI256">
        <v>0</v>
      </c>
      <c r="AJ256">
        <v>1</v>
      </c>
      <c r="AK256">
        <v>0</v>
      </c>
      <c r="AL256">
        <v>0</v>
      </c>
    </row>
    <row r="257" spans="1:40">
      <c r="A257">
        <v>1730</v>
      </c>
      <c r="B257" t="s">
        <v>4938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 s="36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 s="36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3</v>
      </c>
      <c r="AF257">
        <v>1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</row>
    <row r="258" spans="1:40">
      <c r="A258">
        <v>1731</v>
      </c>
      <c r="B258" t="s">
        <v>4939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 s="367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 s="367">
        <v>0</v>
      </c>
      <c r="U258">
        <v>0</v>
      </c>
      <c r="V258">
        <v>8</v>
      </c>
      <c r="W258">
        <v>0</v>
      </c>
      <c r="X258">
        <v>0</v>
      </c>
      <c r="Y258">
        <v>2</v>
      </c>
      <c r="Z258">
        <v>0</v>
      </c>
      <c r="AA258">
        <v>0</v>
      </c>
      <c r="AB258">
        <v>0</v>
      </c>
      <c r="AC258">
        <v>0</v>
      </c>
      <c r="AD258">
        <v>1</v>
      </c>
      <c r="AE258">
        <v>12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8</v>
      </c>
      <c r="AN258" s="367" t="s">
        <v>4718</v>
      </c>
    </row>
    <row r="259" spans="1:40">
      <c r="A259">
        <v>1732</v>
      </c>
      <c r="B259" t="s">
        <v>4940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 s="367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 s="367">
        <v>0</v>
      </c>
      <c r="U259">
        <v>4</v>
      </c>
      <c r="V259">
        <v>0</v>
      </c>
      <c r="W259">
        <v>0</v>
      </c>
      <c r="X259">
        <v>2</v>
      </c>
      <c r="Y259">
        <v>0</v>
      </c>
      <c r="Z259">
        <v>0</v>
      </c>
      <c r="AA259">
        <v>0</v>
      </c>
      <c r="AB259">
        <v>0</v>
      </c>
      <c r="AC259">
        <v>8</v>
      </c>
      <c r="AD259">
        <v>1</v>
      </c>
      <c r="AE259">
        <v>0</v>
      </c>
      <c r="AF259">
        <v>1</v>
      </c>
      <c r="AG259">
        <v>0</v>
      </c>
      <c r="AH259">
        <v>0</v>
      </c>
      <c r="AI259">
        <v>0</v>
      </c>
      <c r="AJ259">
        <v>0</v>
      </c>
      <c r="AK259">
        <v>4</v>
      </c>
      <c r="AL259">
        <v>0</v>
      </c>
      <c r="AM259" s="367" t="s">
        <v>6778</v>
      </c>
    </row>
    <row r="260" spans="1:40">
      <c r="A260">
        <v>1734</v>
      </c>
      <c r="B260" t="s">
        <v>4942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 s="367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 s="367">
        <v>0</v>
      </c>
      <c r="U260">
        <v>0</v>
      </c>
      <c r="V260">
        <v>0</v>
      </c>
      <c r="W260">
        <v>3</v>
      </c>
      <c r="X260">
        <v>0</v>
      </c>
      <c r="Y260">
        <v>3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1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</row>
    <row r="261" spans="1:40">
      <c r="A261">
        <v>1735</v>
      </c>
      <c r="B261" t="s">
        <v>4943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 s="367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 s="367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</row>
    <row r="262" spans="1:40">
      <c r="A262">
        <v>1736</v>
      </c>
      <c r="B262" t="s">
        <v>4944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 s="367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 s="367">
        <v>0</v>
      </c>
      <c r="U262">
        <v>0</v>
      </c>
      <c r="V262">
        <v>0</v>
      </c>
      <c r="W262">
        <v>0</v>
      </c>
      <c r="X262">
        <v>1</v>
      </c>
      <c r="Y262">
        <v>0</v>
      </c>
      <c r="Z262">
        <v>3</v>
      </c>
      <c r="AA262">
        <v>0</v>
      </c>
      <c r="AB262">
        <v>0</v>
      </c>
      <c r="AC262">
        <v>0</v>
      </c>
      <c r="AD262">
        <v>1</v>
      </c>
      <c r="AE262">
        <v>0</v>
      </c>
      <c r="AF262">
        <v>1</v>
      </c>
      <c r="AG262">
        <v>0</v>
      </c>
      <c r="AH262">
        <v>0</v>
      </c>
      <c r="AI262">
        <v>2</v>
      </c>
      <c r="AJ262">
        <v>0</v>
      </c>
      <c r="AK262">
        <v>0</v>
      </c>
      <c r="AL262">
        <v>0</v>
      </c>
    </row>
    <row r="263" spans="1:40">
      <c r="A263">
        <v>1737</v>
      </c>
      <c r="B263" t="s">
        <v>4945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 s="367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 s="367">
        <v>0</v>
      </c>
      <c r="U263">
        <v>0</v>
      </c>
      <c r="V263">
        <v>0</v>
      </c>
      <c r="W263">
        <v>2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1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</row>
    <row r="264" spans="1:40">
      <c r="A264">
        <v>1742</v>
      </c>
      <c r="B264" t="s">
        <v>4946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 s="367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 s="367">
        <v>0</v>
      </c>
      <c r="U264">
        <v>0</v>
      </c>
      <c r="V264">
        <v>0</v>
      </c>
      <c r="W264">
        <v>0</v>
      </c>
      <c r="X264">
        <v>0</v>
      </c>
      <c r="Y264">
        <v>1</v>
      </c>
      <c r="Z264">
        <v>0</v>
      </c>
      <c r="AA264">
        <v>0</v>
      </c>
      <c r="AB264">
        <v>0</v>
      </c>
      <c r="AC264">
        <v>0</v>
      </c>
      <c r="AD264">
        <v>1</v>
      </c>
      <c r="AE264">
        <v>3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</row>
    <row r="265" spans="1:40">
      <c r="A265">
        <v>1752</v>
      </c>
      <c r="B265" t="s">
        <v>4947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 s="367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367">
        <v>0</v>
      </c>
      <c r="U265">
        <v>0</v>
      </c>
      <c r="V265">
        <v>3</v>
      </c>
      <c r="W265">
        <v>0</v>
      </c>
      <c r="X265">
        <v>0</v>
      </c>
      <c r="Y265">
        <v>1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3</v>
      </c>
      <c r="AF265">
        <v>0</v>
      </c>
      <c r="AG265">
        <v>0</v>
      </c>
      <c r="AH265">
        <v>0</v>
      </c>
      <c r="AI265">
        <v>7</v>
      </c>
      <c r="AJ265">
        <v>0</v>
      </c>
      <c r="AK265">
        <v>0</v>
      </c>
      <c r="AL265">
        <v>3</v>
      </c>
      <c r="AN265" s="367" t="s">
        <v>6775</v>
      </c>
    </row>
    <row r="266" spans="1:40">
      <c r="A266">
        <v>1762</v>
      </c>
      <c r="B266" t="s">
        <v>4949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 s="367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 s="367">
        <v>0</v>
      </c>
      <c r="U266">
        <v>0</v>
      </c>
      <c r="V266">
        <v>0</v>
      </c>
      <c r="W266">
        <v>0</v>
      </c>
      <c r="X266">
        <v>2</v>
      </c>
      <c r="Y266">
        <v>0</v>
      </c>
      <c r="Z266">
        <v>3</v>
      </c>
      <c r="AA266">
        <v>0</v>
      </c>
      <c r="AB266">
        <v>0</v>
      </c>
      <c r="AC266">
        <v>0</v>
      </c>
      <c r="AD266">
        <v>1</v>
      </c>
      <c r="AE266">
        <v>0</v>
      </c>
      <c r="AF266">
        <v>1</v>
      </c>
      <c r="AG266">
        <v>0</v>
      </c>
      <c r="AH266">
        <v>0</v>
      </c>
      <c r="AI266">
        <v>3</v>
      </c>
      <c r="AJ266">
        <v>2</v>
      </c>
      <c r="AK266">
        <v>0</v>
      </c>
      <c r="AL266">
        <v>0</v>
      </c>
    </row>
    <row r="267" spans="1:40">
      <c r="A267">
        <v>1773</v>
      </c>
      <c r="B267" t="s">
        <v>4950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 s="3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 s="367">
        <v>0</v>
      </c>
      <c r="U267">
        <v>0</v>
      </c>
      <c r="V267">
        <v>1</v>
      </c>
      <c r="W267">
        <v>2</v>
      </c>
      <c r="X267">
        <v>0</v>
      </c>
      <c r="Y267">
        <v>0</v>
      </c>
      <c r="Z267">
        <v>2</v>
      </c>
      <c r="AA267">
        <v>0</v>
      </c>
      <c r="AB267">
        <v>0</v>
      </c>
      <c r="AC267">
        <v>0</v>
      </c>
      <c r="AD267">
        <v>0</v>
      </c>
      <c r="AE267">
        <v>1</v>
      </c>
      <c r="AF267">
        <v>1</v>
      </c>
      <c r="AG267">
        <v>0</v>
      </c>
      <c r="AH267">
        <v>0</v>
      </c>
      <c r="AI267">
        <v>5</v>
      </c>
      <c r="AJ267">
        <v>0</v>
      </c>
      <c r="AK267">
        <v>0</v>
      </c>
      <c r="AL267">
        <v>1</v>
      </c>
      <c r="AN267" s="367" t="s">
        <v>6775</v>
      </c>
    </row>
    <row r="268" spans="1:40">
      <c r="A268">
        <v>1776</v>
      </c>
      <c r="B268" t="s">
        <v>4951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 s="367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 s="367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1</v>
      </c>
      <c r="AE268">
        <v>3</v>
      </c>
      <c r="AF268">
        <v>3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</row>
    <row r="269" spans="1:40">
      <c r="A269">
        <v>1783</v>
      </c>
      <c r="B269" t="s">
        <v>4952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 s="367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 s="367">
        <v>0</v>
      </c>
      <c r="U269">
        <v>0</v>
      </c>
      <c r="V269">
        <v>0</v>
      </c>
      <c r="W269">
        <v>0</v>
      </c>
      <c r="X269">
        <v>2</v>
      </c>
      <c r="Y269">
        <v>3</v>
      </c>
      <c r="Z269">
        <v>1</v>
      </c>
      <c r="AA269">
        <v>0</v>
      </c>
      <c r="AB269">
        <v>0</v>
      </c>
      <c r="AC269">
        <v>1</v>
      </c>
      <c r="AD269">
        <v>1</v>
      </c>
      <c r="AE269">
        <v>0</v>
      </c>
      <c r="AF269">
        <v>0</v>
      </c>
      <c r="AG269">
        <v>0</v>
      </c>
      <c r="AH269">
        <v>0</v>
      </c>
      <c r="AI269">
        <v>2</v>
      </c>
      <c r="AJ269">
        <v>0</v>
      </c>
      <c r="AK269">
        <v>0</v>
      </c>
      <c r="AL269">
        <v>0</v>
      </c>
    </row>
    <row r="270" spans="1:40">
      <c r="A270">
        <v>1784</v>
      </c>
      <c r="B270" t="s">
        <v>4953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 s="367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 s="367">
        <v>0</v>
      </c>
      <c r="U270">
        <v>0</v>
      </c>
      <c r="V270">
        <v>1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1</v>
      </c>
      <c r="AC270">
        <v>0</v>
      </c>
      <c r="AD270">
        <v>1</v>
      </c>
      <c r="AE270">
        <v>5</v>
      </c>
      <c r="AF270">
        <v>1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1</v>
      </c>
      <c r="AN270" s="367" t="s">
        <v>4718</v>
      </c>
    </row>
    <row r="271" spans="1:40">
      <c r="A271">
        <v>1785</v>
      </c>
      <c r="B271" t="s">
        <v>4954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 s="367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 s="367">
        <v>0</v>
      </c>
      <c r="U271">
        <v>0</v>
      </c>
      <c r="V271">
        <v>3</v>
      </c>
      <c r="W271">
        <v>1</v>
      </c>
      <c r="X271">
        <v>0</v>
      </c>
      <c r="Y271">
        <v>2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5</v>
      </c>
      <c r="AF271">
        <v>0</v>
      </c>
      <c r="AG271">
        <v>0</v>
      </c>
      <c r="AH271">
        <v>0</v>
      </c>
      <c r="AI271">
        <v>3</v>
      </c>
      <c r="AJ271">
        <v>6</v>
      </c>
      <c r="AK271">
        <v>0</v>
      </c>
      <c r="AL271">
        <v>3</v>
      </c>
      <c r="AN271" s="367" t="s">
        <v>6835</v>
      </c>
    </row>
    <row r="272" spans="1:40">
      <c r="A272">
        <v>1786</v>
      </c>
      <c r="B272" t="s">
        <v>4955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 s="367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 s="367">
        <v>0</v>
      </c>
      <c r="U272">
        <v>0</v>
      </c>
      <c r="V272">
        <v>0</v>
      </c>
      <c r="W272">
        <v>0</v>
      </c>
      <c r="X272">
        <v>1</v>
      </c>
      <c r="Y272">
        <v>0</v>
      </c>
      <c r="Z272">
        <v>2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</row>
    <row r="273" spans="1:40">
      <c r="A273">
        <v>1789</v>
      </c>
      <c r="B273" t="s">
        <v>4957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 s="367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367">
        <v>0</v>
      </c>
      <c r="U273">
        <v>0</v>
      </c>
      <c r="V273">
        <v>6</v>
      </c>
      <c r="W273">
        <v>1</v>
      </c>
      <c r="X273">
        <v>1</v>
      </c>
      <c r="Y273">
        <v>1</v>
      </c>
      <c r="Z273">
        <v>2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10</v>
      </c>
      <c r="AJ273">
        <v>2</v>
      </c>
      <c r="AK273">
        <v>0</v>
      </c>
      <c r="AL273">
        <v>6</v>
      </c>
      <c r="AN273" s="367" t="s">
        <v>6775</v>
      </c>
    </row>
    <row r="274" spans="1:40">
      <c r="A274">
        <v>1795</v>
      </c>
      <c r="B274" t="s">
        <v>4958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 s="367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 s="367">
        <v>0</v>
      </c>
      <c r="U274">
        <v>0</v>
      </c>
      <c r="V274">
        <v>0</v>
      </c>
      <c r="W274">
        <v>2</v>
      </c>
      <c r="X274">
        <v>1</v>
      </c>
      <c r="Y274">
        <v>0</v>
      </c>
      <c r="Z274">
        <v>0</v>
      </c>
      <c r="AA274">
        <v>4</v>
      </c>
      <c r="AB274">
        <v>3</v>
      </c>
      <c r="AC274">
        <v>0</v>
      </c>
      <c r="AD274">
        <v>0</v>
      </c>
      <c r="AE274">
        <v>0</v>
      </c>
      <c r="AF274">
        <v>1</v>
      </c>
      <c r="AG274">
        <v>1</v>
      </c>
      <c r="AH274">
        <v>0</v>
      </c>
      <c r="AI274">
        <v>0</v>
      </c>
      <c r="AJ274">
        <v>4</v>
      </c>
      <c r="AK274">
        <v>0</v>
      </c>
      <c r="AL274">
        <v>0</v>
      </c>
    </row>
    <row r="275" spans="1:40">
      <c r="A275">
        <v>1802</v>
      </c>
      <c r="B275" t="s">
        <v>4959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 s="367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367">
        <v>0</v>
      </c>
      <c r="U275">
        <v>0</v>
      </c>
      <c r="V275">
        <v>3</v>
      </c>
      <c r="W275">
        <v>2</v>
      </c>
      <c r="X275">
        <v>0</v>
      </c>
      <c r="Y275">
        <v>3</v>
      </c>
      <c r="Z275">
        <v>2</v>
      </c>
      <c r="AA275">
        <v>0</v>
      </c>
      <c r="AB275">
        <v>0</v>
      </c>
      <c r="AC275">
        <v>0</v>
      </c>
      <c r="AD275">
        <v>0</v>
      </c>
      <c r="AE275">
        <v>7</v>
      </c>
      <c r="AF275">
        <v>0</v>
      </c>
      <c r="AG275">
        <v>0</v>
      </c>
      <c r="AH275">
        <v>2</v>
      </c>
      <c r="AI275">
        <v>1</v>
      </c>
      <c r="AJ275">
        <v>1</v>
      </c>
      <c r="AK275">
        <v>0</v>
      </c>
      <c r="AL275">
        <v>3</v>
      </c>
      <c r="AN275" s="367" t="s">
        <v>4718</v>
      </c>
    </row>
    <row r="276" spans="1:40">
      <c r="A276">
        <v>1806</v>
      </c>
      <c r="B276" t="s">
        <v>4960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 s="367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 s="367">
        <v>0</v>
      </c>
      <c r="U276">
        <v>0</v>
      </c>
      <c r="V276">
        <v>0</v>
      </c>
      <c r="W276">
        <v>1</v>
      </c>
      <c r="X276">
        <v>0</v>
      </c>
      <c r="Y276">
        <v>2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4</v>
      </c>
      <c r="AF276">
        <v>0</v>
      </c>
      <c r="AG276">
        <v>0</v>
      </c>
      <c r="AH276">
        <v>0</v>
      </c>
      <c r="AI276">
        <v>3</v>
      </c>
      <c r="AJ276">
        <v>0</v>
      </c>
      <c r="AK276">
        <v>0</v>
      </c>
      <c r="AL276">
        <v>0</v>
      </c>
    </row>
    <row r="277" spans="1:40">
      <c r="A277">
        <v>1808</v>
      </c>
      <c r="B277" t="s">
        <v>4961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 s="36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 s="367">
        <v>0</v>
      </c>
      <c r="U277">
        <v>6</v>
      </c>
      <c r="V277">
        <v>0</v>
      </c>
      <c r="W277">
        <v>10</v>
      </c>
      <c r="X277">
        <v>1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3</v>
      </c>
      <c r="AG277">
        <v>1</v>
      </c>
      <c r="AH277">
        <v>0</v>
      </c>
      <c r="AI277">
        <v>1</v>
      </c>
      <c r="AJ277">
        <v>4</v>
      </c>
      <c r="AK277">
        <v>6</v>
      </c>
      <c r="AL277">
        <v>0</v>
      </c>
      <c r="AM277" s="367" t="s">
        <v>6761</v>
      </c>
    </row>
    <row r="278" spans="1:40">
      <c r="A278">
        <v>1809</v>
      </c>
      <c r="B278" t="s">
        <v>4962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 s="367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 s="367">
        <v>0</v>
      </c>
      <c r="U278">
        <v>0</v>
      </c>
      <c r="V278">
        <v>2</v>
      </c>
      <c r="W278">
        <v>2</v>
      </c>
      <c r="X278">
        <v>0</v>
      </c>
      <c r="Y278">
        <v>3</v>
      </c>
      <c r="Z278">
        <v>0</v>
      </c>
      <c r="AA278">
        <v>0</v>
      </c>
      <c r="AB278">
        <v>2</v>
      </c>
      <c r="AC278">
        <v>0</v>
      </c>
      <c r="AD278">
        <v>0</v>
      </c>
      <c r="AE278">
        <v>6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2</v>
      </c>
      <c r="AN278" s="367" t="s">
        <v>4718</v>
      </c>
    </row>
    <row r="279" spans="1:40">
      <c r="A279">
        <v>1810</v>
      </c>
      <c r="B279" t="s">
        <v>4963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 s="367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367">
        <v>0</v>
      </c>
      <c r="U279">
        <v>0</v>
      </c>
      <c r="V279">
        <v>6</v>
      </c>
      <c r="W279">
        <v>3</v>
      </c>
      <c r="X279">
        <v>0</v>
      </c>
      <c r="Y279">
        <v>2</v>
      </c>
      <c r="Z279">
        <v>2</v>
      </c>
      <c r="AA279">
        <v>0</v>
      </c>
      <c r="AB279">
        <v>0</v>
      </c>
      <c r="AC279">
        <v>3</v>
      </c>
      <c r="AD279">
        <v>0</v>
      </c>
      <c r="AE279">
        <v>2</v>
      </c>
      <c r="AF279">
        <v>0</v>
      </c>
      <c r="AG279">
        <v>0</v>
      </c>
      <c r="AH279">
        <v>0</v>
      </c>
      <c r="AI279">
        <v>10</v>
      </c>
      <c r="AJ279">
        <v>0</v>
      </c>
      <c r="AK279">
        <v>0</v>
      </c>
      <c r="AL279">
        <v>6</v>
      </c>
      <c r="AN279" s="367" t="s">
        <v>6775</v>
      </c>
    </row>
    <row r="280" spans="1:40">
      <c r="A280">
        <v>1815</v>
      </c>
      <c r="B280" t="s">
        <v>4964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 s="367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 s="367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1</v>
      </c>
      <c r="AC280">
        <v>2</v>
      </c>
      <c r="AD280">
        <v>3</v>
      </c>
      <c r="AE280">
        <v>1</v>
      </c>
      <c r="AF280">
        <v>3</v>
      </c>
      <c r="AG280">
        <v>1</v>
      </c>
      <c r="AH280">
        <v>0</v>
      </c>
      <c r="AI280">
        <v>0</v>
      </c>
      <c r="AJ280">
        <v>0</v>
      </c>
      <c r="AK280">
        <v>0</v>
      </c>
      <c r="AL280">
        <v>0</v>
      </c>
    </row>
    <row r="281" spans="1:40">
      <c r="A281">
        <v>1817</v>
      </c>
      <c r="B281" t="s">
        <v>4965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 s="367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367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3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</row>
    <row r="282" spans="1:40">
      <c r="A282">
        <v>1903</v>
      </c>
      <c r="B282" t="s">
        <v>4966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 s="367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367">
        <v>0</v>
      </c>
      <c r="U282">
        <v>0</v>
      </c>
      <c r="V282">
        <v>9</v>
      </c>
      <c r="W282">
        <v>1</v>
      </c>
      <c r="X282">
        <v>0</v>
      </c>
      <c r="Y282">
        <v>2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1</v>
      </c>
      <c r="AF282">
        <v>0</v>
      </c>
      <c r="AG282">
        <v>0</v>
      </c>
      <c r="AH282">
        <v>0</v>
      </c>
      <c r="AI282">
        <v>13</v>
      </c>
      <c r="AJ282">
        <v>0</v>
      </c>
      <c r="AK282">
        <v>0</v>
      </c>
      <c r="AL282">
        <v>9</v>
      </c>
      <c r="AN282" s="367" t="s">
        <v>6775</v>
      </c>
    </row>
    <row r="283" spans="1:40">
      <c r="A283">
        <v>1904</v>
      </c>
      <c r="B283" t="s">
        <v>4967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 s="367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367">
        <v>0</v>
      </c>
      <c r="U283">
        <v>0</v>
      </c>
      <c r="V283">
        <v>9</v>
      </c>
      <c r="W283">
        <v>0</v>
      </c>
      <c r="X283">
        <v>0</v>
      </c>
      <c r="Y283">
        <v>2</v>
      </c>
      <c r="Z283">
        <v>2</v>
      </c>
      <c r="AA283">
        <v>0</v>
      </c>
      <c r="AB283">
        <v>0</v>
      </c>
      <c r="AC283">
        <v>0</v>
      </c>
      <c r="AD283">
        <v>10</v>
      </c>
      <c r="AE283">
        <v>4</v>
      </c>
      <c r="AF283">
        <v>0</v>
      </c>
      <c r="AG283">
        <v>0</v>
      </c>
      <c r="AH283">
        <v>1</v>
      </c>
      <c r="AI283">
        <v>3</v>
      </c>
      <c r="AJ283">
        <v>7</v>
      </c>
      <c r="AK283">
        <v>0</v>
      </c>
      <c r="AL283">
        <v>9</v>
      </c>
      <c r="AN283" s="367" t="s">
        <v>6781</v>
      </c>
    </row>
    <row r="284" spans="1:40">
      <c r="A284">
        <v>1905</v>
      </c>
      <c r="B284" t="s">
        <v>4968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 s="367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 s="367">
        <v>0</v>
      </c>
      <c r="U284">
        <v>0</v>
      </c>
      <c r="V284">
        <v>1</v>
      </c>
      <c r="W284">
        <v>0</v>
      </c>
      <c r="X284">
        <v>0</v>
      </c>
      <c r="Y284">
        <v>1</v>
      </c>
      <c r="Z284">
        <v>1</v>
      </c>
      <c r="AA284">
        <v>0</v>
      </c>
      <c r="AB284">
        <v>1</v>
      </c>
      <c r="AC284">
        <v>0</v>
      </c>
      <c r="AD284">
        <v>5</v>
      </c>
      <c r="AE284">
        <v>4</v>
      </c>
      <c r="AF284">
        <v>0</v>
      </c>
      <c r="AG284">
        <v>0</v>
      </c>
      <c r="AH284">
        <v>0</v>
      </c>
      <c r="AI284">
        <v>0</v>
      </c>
      <c r="AJ284">
        <v>1</v>
      </c>
      <c r="AK284">
        <v>0</v>
      </c>
      <c r="AL284">
        <v>1</v>
      </c>
      <c r="AN284" s="367" t="s">
        <v>6761</v>
      </c>
    </row>
    <row r="285" spans="1:40">
      <c r="A285">
        <v>1906</v>
      </c>
      <c r="B285" t="s">
        <v>4969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 s="367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367">
        <v>0</v>
      </c>
      <c r="U285">
        <v>0</v>
      </c>
      <c r="V285">
        <v>2</v>
      </c>
      <c r="W285">
        <v>0</v>
      </c>
      <c r="X285">
        <v>0</v>
      </c>
      <c r="Y285">
        <v>0</v>
      </c>
      <c r="Z285">
        <v>3</v>
      </c>
      <c r="AA285">
        <v>0</v>
      </c>
      <c r="AB285">
        <v>1</v>
      </c>
      <c r="AC285">
        <v>0</v>
      </c>
      <c r="AD285">
        <v>2</v>
      </c>
      <c r="AE285">
        <v>0</v>
      </c>
      <c r="AF285">
        <v>6</v>
      </c>
      <c r="AG285">
        <v>0</v>
      </c>
      <c r="AH285">
        <v>0</v>
      </c>
      <c r="AI285">
        <v>0</v>
      </c>
      <c r="AJ285">
        <v>1</v>
      </c>
      <c r="AK285">
        <v>0</v>
      </c>
      <c r="AL285">
        <v>2</v>
      </c>
      <c r="AN285" s="367" t="s">
        <v>3542</v>
      </c>
    </row>
    <row r="286" spans="1:40">
      <c r="A286">
        <v>1907</v>
      </c>
      <c r="B286" t="s">
        <v>4970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 s="367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 s="367">
        <v>0</v>
      </c>
      <c r="U286">
        <v>0</v>
      </c>
      <c r="V286">
        <v>11</v>
      </c>
      <c r="W286">
        <v>0</v>
      </c>
      <c r="X286">
        <v>1</v>
      </c>
      <c r="Y286">
        <v>1</v>
      </c>
      <c r="Z286">
        <v>1</v>
      </c>
      <c r="AA286">
        <v>0</v>
      </c>
      <c r="AB286">
        <v>0</v>
      </c>
      <c r="AC286">
        <v>0</v>
      </c>
      <c r="AD286">
        <v>10</v>
      </c>
      <c r="AE286">
        <v>0</v>
      </c>
      <c r="AF286">
        <v>0</v>
      </c>
      <c r="AG286">
        <v>0</v>
      </c>
      <c r="AH286">
        <v>0</v>
      </c>
      <c r="AI286">
        <v>7</v>
      </c>
      <c r="AJ286">
        <v>6</v>
      </c>
      <c r="AK286">
        <v>0</v>
      </c>
      <c r="AL286">
        <v>11</v>
      </c>
      <c r="AN286" s="367" t="s">
        <v>6857</v>
      </c>
    </row>
    <row r="287" spans="1:40">
      <c r="A287">
        <v>1909</v>
      </c>
      <c r="B287" t="s">
        <v>4971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 s="36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367">
        <v>0</v>
      </c>
      <c r="U287">
        <v>0</v>
      </c>
      <c r="V287">
        <v>4</v>
      </c>
      <c r="W287">
        <v>0</v>
      </c>
      <c r="X287">
        <v>0</v>
      </c>
      <c r="Y287">
        <v>2</v>
      </c>
      <c r="Z287">
        <v>0</v>
      </c>
      <c r="AA287">
        <v>0</v>
      </c>
      <c r="AB287">
        <v>0</v>
      </c>
      <c r="AC287">
        <v>2</v>
      </c>
      <c r="AD287">
        <v>1</v>
      </c>
      <c r="AE287">
        <v>6</v>
      </c>
      <c r="AF287">
        <v>0</v>
      </c>
      <c r="AG287">
        <v>4</v>
      </c>
      <c r="AH287">
        <v>0</v>
      </c>
      <c r="AI287">
        <v>6</v>
      </c>
      <c r="AJ287">
        <v>0</v>
      </c>
      <c r="AK287">
        <v>0</v>
      </c>
      <c r="AL287">
        <v>4</v>
      </c>
      <c r="AN287" s="367" t="s">
        <v>6258</v>
      </c>
    </row>
    <row r="288" spans="1:40">
      <c r="A288">
        <v>2002</v>
      </c>
      <c r="B288" t="s">
        <v>4972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 s="367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 s="367">
        <v>0</v>
      </c>
      <c r="U288">
        <v>0</v>
      </c>
      <c r="V288">
        <v>20</v>
      </c>
      <c r="W288">
        <v>0</v>
      </c>
      <c r="X288">
        <v>0</v>
      </c>
      <c r="Y288">
        <v>0</v>
      </c>
      <c r="Z288">
        <v>2</v>
      </c>
      <c r="AA288">
        <v>0</v>
      </c>
      <c r="AB288">
        <v>0</v>
      </c>
      <c r="AC288">
        <v>0</v>
      </c>
      <c r="AD288">
        <v>7</v>
      </c>
      <c r="AE288">
        <v>3</v>
      </c>
      <c r="AF288">
        <v>17</v>
      </c>
      <c r="AG288">
        <v>0</v>
      </c>
      <c r="AH288">
        <v>8</v>
      </c>
      <c r="AI288">
        <v>4</v>
      </c>
      <c r="AJ288">
        <v>4</v>
      </c>
      <c r="AK288">
        <v>0</v>
      </c>
      <c r="AL288">
        <v>20</v>
      </c>
      <c r="AN288" s="367" t="s">
        <v>6789</v>
      </c>
    </row>
    <row r="289" spans="1:40">
      <c r="A289">
        <v>2006</v>
      </c>
      <c r="B289" t="s">
        <v>4973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 s="367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367">
        <v>0</v>
      </c>
      <c r="U289">
        <v>0</v>
      </c>
      <c r="V289">
        <v>0</v>
      </c>
      <c r="W289">
        <v>3</v>
      </c>
      <c r="X289">
        <v>0</v>
      </c>
      <c r="Y289">
        <v>3</v>
      </c>
      <c r="Z289">
        <v>0</v>
      </c>
      <c r="AA289">
        <v>0</v>
      </c>
      <c r="AB289">
        <v>0</v>
      </c>
      <c r="AC289">
        <v>2</v>
      </c>
      <c r="AD289">
        <v>0</v>
      </c>
      <c r="AE289">
        <v>1</v>
      </c>
      <c r="AF289">
        <v>0</v>
      </c>
      <c r="AG289">
        <v>2</v>
      </c>
      <c r="AH289">
        <v>1</v>
      </c>
      <c r="AI289">
        <v>1</v>
      </c>
      <c r="AJ289">
        <v>0</v>
      </c>
      <c r="AK289">
        <v>0</v>
      </c>
      <c r="AL289">
        <v>0</v>
      </c>
    </row>
    <row r="290" spans="1:40">
      <c r="A290">
        <v>2007</v>
      </c>
      <c r="B290" t="s">
        <v>4974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 s="367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 s="367">
        <v>0</v>
      </c>
      <c r="U290">
        <v>0</v>
      </c>
      <c r="V290">
        <v>2</v>
      </c>
      <c r="W290">
        <v>3</v>
      </c>
      <c r="X290">
        <v>0</v>
      </c>
      <c r="Y290">
        <v>3</v>
      </c>
      <c r="Z290">
        <v>1</v>
      </c>
      <c r="AA290">
        <v>0</v>
      </c>
      <c r="AB290">
        <v>1</v>
      </c>
      <c r="AC290">
        <v>1</v>
      </c>
      <c r="AD290">
        <v>0</v>
      </c>
      <c r="AE290">
        <v>6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2</v>
      </c>
      <c r="AN290" s="367" t="s">
        <v>4718</v>
      </c>
    </row>
    <row r="291" spans="1:40">
      <c r="A291">
        <v>2008</v>
      </c>
      <c r="B291" t="s">
        <v>4975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 s="367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 s="367">
        <v>0</v>
      </c>
      <c r="U291">
        <v>0</v>
      </c>
      <c r="V291">
        <v>0</v>
      </c>
      <c r="W291">
        <v>1</v>
      </c>
      <c r="X291">
        <v>0</v>
      </c>
      <c r="Y291">
        <v>2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2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</row>
    <row r="292" spans="1:40">
      <c r="A292">
        <v>2009</v>
      </c>
      <c r="B292" t="s">
        <v>4976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 s="367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 s="367">
        <v>0</v>
      </c>
      <c r="U292">
        <v>0</v>
      </c>
      <c r="V292">
        <v>1</v>
      </c>
      <c r="W292">
        <v>3</v>
      </c>
      <c r="X292">
        <v>0</v>
      </c>
      <c r="Y292">
        <v>2</v>
      </c>
      <c r="Z292">
        <v>1</v>
      </c>
      <c r="AA292">
        <v>0</v>
      </c>
      <c r="AB292">
        <v>0</v>
      </c>
      <c r="AC292">
        <v>0</v>
      </c>
      <c r="AD292">
        <v>0</v>
      </c>
      <c r="AE292">
        <v>3</v>
      </c>
      <c r="AF292">
        <v>0</v>
      </c>
      <c r="AG292">
        <v>0</v>
      </c>
      <c r="AH292">
        <v>0</v>
      </c>
      <c r="AI292">
        <v>5</v>
      </c>
      <c r="AJ292">
        <v>2</v>
      </c>
      <c r="AK292">
        <v>0</v>
      </c>
      <c r="AL292">
        <v>1</v>
      </c>
      <c r="AN292" s="367" t="s">
        <v>6775</v>
      </c>
    </row>
    <row r="293" spans="1:40">
      <c r="A293">
        <v>2010</v>
      </c>
      <c r="B293" t="s">
        <v>4977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 s="367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 s="367">
        <v>0</v>
      </c>
      <c r="U293">
        <v>0</v>
      </c>
      <c r="V293">
        <v>0</v>
      </c>
      <c r="W293">
        <v>3</v>
      </c>
      <c r="X293">
        <v>1</v>
      </c>
      <c r="Y293">
        <v>3</v>
      </c>
      <c r="Z293">
        <v>3</v>
      </c>
      <c r="AA293">
        <v>0</v>
      </c>
      <c r="AB293">
        <v>3</v>
      </c>
      <c r="AC293">
        <v>1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</row>
    <row r="294" spans="1:40">
      <c r="A294">
        <v>2012</v>
      </c>
      <c r="B294" t="s">
        <v>4978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 s="367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 s="367">
        <v>0</v>
      </c>
      <c r="U294">
        <v>0</v>
      </c>
      <c r="V294">
        <v>11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4</v>
      </c>
      <c r="AE294">
        <v>1</v>
      </c>
      <c r="AF294">
        <v>15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11</v>
      </c>
      <c r="AN294" s="367" t="s">
        <v>3542</v>
      </c>
    </row>
    <row r="295" spans="1:40">
      <c r="A295">
        <v>2013</v>
      </c>
      <c r="B295" t="s">
        <v>4979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 s="367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 s="367">
        <v>0</v>
      </c>
      <c r="U295">
        <v>0</v>
      </c>
      <c r="V295">
        <v>11</v>
      </c>
      <c r="W295">
        <v>0</v>
      </c>
      <c r="X295">
        <v>0</v>
      </c>
      <c r="Y295">
        <v>2</v>
      </c>
      <c r="Z295">
        <v>0</v>
      </c>
      <c r="AA295">
        <v>0</v>
      </c>
      <c r="AB295">
        <v>0</v>
      </c>
      <c r="AC295">
        <v>1</v>
      </c>
      <c r="AD295">
        <v>1</v>
      </c>
      <c r="AE295">
        <v>9</v>
      </c>
      <c r="AF295">
        <v>0</v>
      </c>
      <c r="AG295">
        <v>4</v>
      </c>
      <c r="AH295">
        <v>0</v>
      </c>
      <c r="AI295">
        <v>10</v>
      </c>
      <c r="AJ295">
        <v>0</v>
      </c>
      <c r="AK295">
        <v>0</v>
      </c>
      <c r="AL295">
        <v>11</v>
      </c>
      <c r="AN295" s="367" t="s">
        <v>6258</v>
      </c>
    </row>
    <row r="296" spans="1:40">
      <c r="A296">
        <v>2014</v>
      </c>
      <c r="B296" t="s">
        <v>4980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 s="367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 s="367">
        <v>0</v>
      </c>
      <c r="U296">
        <v>1</v>
      </c>
      <c r="V296">
        <v>1</v>
      </c>
      <c r="W296">
        <v>1</v>
      </c>
      <c r="X296">
        <v>0</v>
      </c>
      <c r="Y296">
        <v>3</v>
      </c>
      <c r="Z296">
        <v>5</v>
      </c>
      <c r="AA296">
        <v>0</v>
      </c>
      <c r="AB296">
        <v>1</v>
      </c>
      <c r="AC296">
        <v>1</v>
      </c>
      <c r="AD296">
        <v>0</v>
      </c>
      <c r="AE296">
        <v>3</v>
      </c>
      <c r="AF296">
        <v>0</v>
      </c>
      <c r="AG296">
        <v>0</v>
      </c>
      <c r="AH296">
        <v>5</v>
      </c>
      <c r="AI296">
        <v>0</v>
      </c>
      <c r="AJ296">
        <v>0</v>
      </c>
      <c r="AK296">
        <v>1</v>
      </c>
      <c r="AL296">
        <v>1</v>
      </c>
      <c r="AM296" s="367" t="s">
        <v>3543</v>
      </c>
      <c r="AN296" s="367" t="s">
        <v>3544</v>
      </c>
    </row>
    <row r="297" spans="1:40">
      <c r="A297">
        <v>2015</v>
      </c>
      <c r="B297" t="s">
        <v>4981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 s="36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 s="367">
        <v>0</v>
      </c>
      <c r="U297">
        <v>0</v>
      </c>
      <c r="V297">
        <v>3</v>
      </c>
      <c r="W297">
        <v>0</v>
      </c>
      <c r="X297">
        <v>0</v>
      </c>
      <c r="Y297">
        <v>1</v>
      </c>
      <c r="Z297">
        <v>0</v>
      </c>
      <c r="AA297">
        <v>0</v>
      </c>
      <c r="AB297">
        <v>0</v>
      </c>
      <c r="AC297">
        <v>0</v>
      </c>
      <c r="AD297">
        <v>7</v>
      </c>
      <c r="AE297">
        <v>1</v>
      </c>
      <c r="AF297">
        <v>0</v>
      </c>
      <c r="AG297">
        <v>1</v>
      </c>
      <c r="AH297">
        <v>1</v>
      </c>
      <c r="AI297">
        <v>1</v>
      </c>
      <c r="AJ297">
        <v>0</v>
      </c>
      <c r="AK297">
        <v>0</v>
      </c>
      <c r="AL297">
        <v>3</v>
      </c>
      <c r="AN297" s="367" t="s">
        <v>6761</v>
      </c>
    </row>
    <row r="298" spans="1:40">
      <c r="A298">
        <v>2017</v>
      </c>
      <c r="B298" t="s">
        <v>4982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 s="367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 s="367">
        <v>0</v>
      </c>
      <c r="U298">
        <v>0</v>
      </c>
      <c r="V298">
        <v>3</v>
      </c>
      <c r="W298">
        <v>2</v>
      </c>
      <c r="X298">
        <v>0</v>
      </c>
      <c r="Y298">
        <v>2</v>
      </c>
      <c r="Z298">
        <v>4</v>
      </c>
      <c r="AA298">
        <v>0</v>
      </c>
      <c r="AB298">
        <v>1</v>
      </c>
      <c r="AC298">
        <v>2</v>
      </c>
      <c r="AD298">
        <v>0</v>
      </c>
      <c r="AE298">
        <v>7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3</v>
      </c>
      <c r="AN298" s="367" t="s">
        <v>4718</v>
      </c>
    </row>
    <row r="299" spans="1:40">
      <c r="A299">
        <v>2020</v>
      </c>
      <c r="B299" t="s">
        <v>4983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 s="367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 s="367">
        <v>0</v>
      </c>
      <c r="U299">
        <v>0</v>
      </c>
      <c r="V299">
        <v>6</v>
      </c>
      <c r="W299">
        <v>0</v>
      </c>
      <c r="X299">
        <v>0</v>
      </c>
      <c r="Y299">
        <v>0</v>
      </c>
      <c r="Z299">
        <v>3</v>
      </c>
      <c r="AA299">
        <v>0</v>
      </c>
      <c r="AB299">
        <v>0</v>
      </c>
      <c r="AC299">
        <v>1</v>
      </c>
      <c r="AD299">
        <v>7</v>
      </c>
      <c r="AE299">
        <v>1</v>
      </c>
      <c r="AF299">
        <v>6</v>
      </c>
      <c r="AG299">
        <v>0</v>
      </c>
      <c r="AH299">
        <v>0</v>
      </c>
      <c r="AI299">
        <v>5</v>
      </c>
      <c r="AJ299">
        <v>0</v>
      </c>
      <c r="AK299">
        <v>0</v>
      </c>
      <c r="AL299">
        <v>6</v>
      </c>
      <c r="AN299" s="367" t="s">
        <v>6790</v>
      </c>
    </row>
    <row r="300" spans="1:40">
      <c r="A300">
        <v>2023</v>
      </c>
      <c r="B300" t="s">
        <v>4984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 s="367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 s="367">
        <v>0</v>
      </c>
      <c r="U300">
        <v>0</v>
      </c>
      <c r="V300">
        <v>0</v>
      </c>
      <c r="W300">
        <v>3</v>
      </c>
      <c r="X300">
        <v>1</v>
      </c>
      <c r="Y300">
        <v>3</v>
      </c>
      <c r="Z300">
        <v>3</v>
      </c>
      <c r="AA300">
        <v>0</v>
      </c>
      <c r="AB300">
        <v>0</v>
      </c>
      <c r="AC300">
        <v>1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1</v>
      </c>
      <c r="AJ300">
        <v>0</v>
      </c>
      <c r="AK300">
        <v>0</v>
      </c>
      <c r="AL300">
        <v>0</v>
      </c>
    </row>
    <row r="301" spans="1:40">
      <c r="A301">
        <v>2024</v>
      </c>
      <c r="B301" t="s">
        <v>4985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 s="367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 s="367">
        <v>0</v>
      </c>
      <c r="U301">
        <v>1</v>
      </c>
      <c r="V301">
        <v>0</v>
      </c>
      <c r="W301">
        <v>1</v>
      </c>
      <c r="X301">
        <v>0</v>
      </c>
      <c r="Y301">
        <v>5</v>
      </c>
      <c r="Z301">
        <v>0</v>
      </c>
      <c r="AA301">
        <v>0</v>
      </c>
      <c r="AB301">
        <v>1</v>
      </c>
      <c r="AC301">
        <v>0</v>
      </c>
      <c r="AD301">
        <v>0</v>
      </c>
      <c r="AE301">
        <v>2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1</v>
      </c>
      <c r="AL301">
        <v>0</v>
      </c>
      <c r="AM301" s="367" t="s">
        <v>3542</v>
      </c>
    </row>
    <row r="302" spans="1:40">
      <c r="A302">
        <v>2027</v>
      </c>
      <c r="B302" t="s">
        <v>4986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 s="367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 s="367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2</v>
      </c>
      <c r="AA302">
        <v>0</v>
      </c>
      <c r="AB302">
        <v>0</v>
      </c>
      <c r="AC302">
        <v>1</v>
      </c>
      <c r="AD302">
        <v>1</v>
      </c>
      <c r="AE302">
        <v>1</v>
      </c>
      <c r="AF302">
        <v>1</v>
      </c>
      <c r="AG302">
        <v>0</v>
      </c>
      <c r="AH302">
        <v>2</v>
      </c>
      <c r="AI302">
        <v>1</v>
      </c>
      <c r="AJ302">
        <v>0</v>
      </c>
      <c r="AK302">
        <v>0</v>
      </c>
      <c r="AL302">
        <v>0</v>
      </c>
    </row>
    <row r="303" spans="1:40">
      <c r="A303">
        <v>2028</v>
      </c>
      <c r="B303" t="s">
        <v>4987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 s="367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 s="367">
        <v>0</v>
      </c>
      <c r="U303">
        <v>0</v>
      </c>
      <c r="V303">
        <v>3</v>
      </c>
      <c r="W303">
        <v>1</v>
      </c>
      <c r="X303">
        <v>0</v>
      </c>
      <c r="Y303">
        <v>3</v>
      </c>
      <c r="Z303">
        <v>0</v>
      </c>
      <c r="AA303">
        <v>0</v>
      </c>
      <c r="AB303">
        <v>1</v>
      </c>
      <c r="AC303">
        <v>1</v>
      </c>
      <c r="AD303">
        <v>0</v>
      </c>
      <c r="AE303">
        <v>7</v>
      </c>
      <c r="AF303">
        <v>0</v>
      </c>
      <c r="AG303">
        <v>1</v>
      </c>
      <c r="AH303">
        <v>0</v>
      </c>
      <c r="AI303">
        <v>0</v>
      </c>
      <c r="AJ303">
        <v>0</v>
      </c>
      <c r="AK303">
        <v>0</v>
      </c>
      <c r="AL303">
        <v>3</v>
      </c>
      <c r="AN303" s="367" t="s">
        <v>4718</v>
      </c>
    </row>
    <row r="304" spans="1:40">
      <c r="A304">
        <v>2029</v>
      </c>
      <c r="B304" t="s">
        <v>4988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 s="367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 s="367">
        <v>0</v>
      </c>
      <c r="U304">
        <v>0</v>
      </c>
      <c r="V304">
        <v>0</v>
      </c>
      <c r="W304">
        <v>2</v>
      </c>
      <c r="X304">
        <v>1</v>
      </c>
      <c r="Y304">
        <v>3</v>
      </c>
      <c r="Z304">
        <v>3</v>
      </c>
      <c r="AA304">
        <v>0</v>
      </c>
      <c r="AB304">
        <v>0</v>
      </c>
      <c r="AC304">
        <v>2</v>
      </c>
      <c r="AD304">
        <v>0</v>
      </c>
      <c r="AE304">
        <v>0</v>
      </c>
      <c r="AF304">
        <v>0</v>
      </c>
      <c r="AG304">
        <v>0</v>
      </c>
      <c r="AH304">
        <v>1</v>
      </c>
      <c r="AI304">
        <v>0</v>
      </c>
      <c r="AJ304">
        <v>0</v>
      </c>
      <c r="AK304">
        <v>0</v>
      </c>
      <c r="AL304">
        <v>0</v>
      </c>
    </row>
    <row r="305" spans="1:40">
      <c r="A305">
        <v>2030</v>
      </c>
      <c r="B305" t="s">
        <v>4989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 s="367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 s="367">
        <v>0</v>
      </c>
      <c r="U305">
        <v>0</v>
      </c>
      <c r="V305">
        <v>4</v>
      </c>
      <c r="W305">
        <v>3</v>
      </c>
      <c r="X305">
        <v>0</v>
      </c>
      <c r="Y305">
        <v>3</v>
      </c>
      <c r="Z305">
        <v>0</v>
      </c>
      <c r="AA305">
        <v>0</v>
      </c>
      <c r="AB305">
        <v>1</v>
      </c>
      <c r="AC305">
        <v>0</v>
      </c>
      <c r="AD305">
        <v>0</v>
      </c>
      <c r="AE305">
        <v>3</v>
      </c>
      <c r="AF305">
        <v>0</v>
      </c>
      <c r="AG305">
        <v>8</v>
      </c>
      <c r="AH305">
        <v>0</v>
      </c>
      <c r="AI305">
        <v>0</v>
      </c>
      <c r="AJ305">
        <v>1</v>
      </c>
      <c r="AK305">
        <v>0</v>
      </c>
      <c r="AL305">
        <v>4</v>
      </c>
      <c r="AN305" s="367" t="s">
        <v>3543</v>
      </c>
    </row>
    <row r="306" spans="1:40">
      <c r="A306">
        <v>2031</v>
      </c>
      <c r="B306" t="s">
        <v>4990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 s="367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 s="367">
        <v>0</v>
      </c>
      <c r="U306">
        <v>0</v>
      </c>
      <c r="V306">
        <v>6</v>
      </c>
      <c r="W306">
        <v>0</v>
      </c>
      <c r="X306">
        <v>0</v>
      </c>
      <c r="Y306">
        <v>0</v>
      </c>
      <c r="Z306">
        <v>0</v>
      </c>
      <c r="AA306">
        <v>1</v>
      </c>
      <c r="AB306">
        <v>0</v>
      </c>
      <c r="AC306">
        <v>0</v>
      </c>
      <c r="AD306">
        <v>10</v>
      </c>
      <c r="AE306">
        <v>1</v>
      </c>
      <c r="AF306">
        <v>2</v>
      </c>
      <c r="AG306">
        <v>1</v>
      </c>
      <c r="AH306">
        <v>0</v>
      </c>
      <c r="AI306">
        <v>4</v>
      </c>
      <c r="AJ306">
        <v>2</v>
      </c>
      <c r="AK306">
        <v>0</v>
      </c>
      <c r="AL306">
        <v>6</v>
      </c>
      <c r="AN306" s="367" t="s">
        <v>6761</v>
      </c>
    </row>
    <row r="307" spans="1:40">
      <c r="A307">
        <v>2032</v>
      </c>
      <c r="B307" t="s">
        <v>4991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 s="36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 s="367">
        <v>0</v>
      </c>
      <c r="U307">
        <v>0</v>
      </c>
      <c r="V307">
        <v>0</v>
      </c>
      <c r="W307">
        <v>0</v>
      </c>
      <c r="X307">
        <v>0</v>
      </c>
      <c r="Y307">
        <v>3</v>
      </c>
      <c r="Z307">
        <v>2</v>
      </c>
      <c r="AA307">
        <v>0</v>
      </c>
      <c r="AB307">
        <v>3</v>
      </c>
      <c r="AC307">
        <v>0</v>
      </c>
      <c r="AD307">
        <v>1</v>
      </c>
      <c r="AE307">
        <v>3</v>
      </c>
      <c r="AF307">
        <v>0</v>
      </c>
      <c r="AG307">
        <v>0</v>
      </c>
      <c r="AH307">
        <v>0</v>
      </c>
      <c r="AI307">
        <v>0</v>
      </c>
      <c r="AJ307">
        <v>2</v>
      </c>
      <c r="AK307">
        <v>0</v>
      </c>
      <c r="AL307">
        <v>0</v>
      </c>
    </row>
    <row r="308" spans="1:40">
      <c r="A308">
        <v>2033</v>
      </c>
      <c r="B308" t="s">
        <v>4992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 s="367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 s="367">
        <v>0</v>
      </c>
      <c r="U308">
        <v>0</v>
      </c>
      <c r="V308">
        <v>3</v>
      </c>
      <c r="W308">
        <v>3</v>
      </c>
      <c r="X308">
        <v>0</v>
      </c>
      <c r="Y308">
        <v>3</v>
      </c>
      <c r="Z308">
        <v>1</v>
      </c>
      <c r="AA308">
        <v>0</v>
      </c>
      <c r="AB308">
        <v>0</v>
      </c>
      <c r="AC308">
        <v>2</v>
      </c>
      <c r="AD308">
        <v>0</v>
      </c>
      <c r="AE308">
        <v>7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3</v>
      </c>
      <c r="AN308" s="367" t="s">
        <v>4718</v>
      </c>
    </row>
    <row r="309" spans="1:40">
      <c r="A309">
        <v>2034</v>
      </c>
      <c r="B309" t="s">
        <v>4993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 s="367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 s="367">
        <v>0</v>
      </c>
      <c r="U309">
        <v>0</v>
      </c>
      <c r="V309">
        <v>3</v>
      </c>
      <c r="W309">
        <v>2</v>
      </c>
      <c r="X309">
        <v>0</v>
      </c>
      <c r="Y309">
        <v>2</v>
      </c>
      <c r="Z309">
        <v>1</v>
      </c>
      <c r="AA309">
        <v>0</v>
      </c>
      <c r="AB309">
        <v>2</v>
      </c>
      <c r="AC309">
        <v>0</v>
      </c>
      <c r="AD309">
        <v>0</v>
      </c>
      <c r="AE309">
        <v>7</v>
      </c>
      <c r="AF309">
        <v>0</v>
      </c>
      <c r="AG309">
        <v>0</v>
      </c>
      <c r="AH309">
        <v>0</v>
      </c>
      <c r="AI309">
        <v>0</v>
      </c>
      <c r="AJ309">
        <v>4</v>
      </c>
      <c r="AK309">
        <v>0</v>
      </c>
      <c r="AL309">
        <v>3</v>
      </c>
      <c r="AN309" s="367" t="s">
        <v>4718</v>
      </c>
    </row>
    <row r="310" spans="1:40">
      <c r="A310">
        <v>2035</v>
      </c>
      <c r="B310" t="s">
        <v>4994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 s="367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 s="367">
        <v>0</v>
      </c>
      <c r="U310">
        <v>0</v>
      </c>
      <c r="V310">
        <v>0</v>
      </c>
      <c r="W310">
        <v>1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1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</row>
    <row r="311" spans="1:40">
      <c r="A311">
        <v>2038</v>
      </c>
      <c r="B311" t="s">
        <v>4995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 s="367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 s="367">
        <v>0</v>
      </c>
      <c r="U311">
        <v>0</v>
      </c>
      <c r="V311">
        <v>0</v>
      </c>
      <c r="W311">
        <v>0</v>
      </c>
      <c r="X311">
        <v>0</v>
      </c>
      <c r="Y311">
        <v>3</v>
      </c>
      <c r="Z311">
        <v>0</v>
      </c>
      <c r="AA311">
        <v>0</v>
      </c>
      <c r="AB311">
        <v>0</v>
      </c>
      <c r="AC311">
        <v>2</v>
      </c>
      <c r="AD311">
        <v>1</v>
      </c>
      <c r="AE311">
        <v>3</v>
      </c>
      <c r="AF311">
        <v>0</v>
      </c>
      <c r="AG311">
        <v>0</v>
      </c>
      <c r="AH311">
        <v>0</v>
      </c>
      <c r="AI311">
        <v>4</v>
      </c>
      <c r="AJ311">
        <v>0</v>
      </c>
      <c r="AK311">
        <v>0</v>
      </c>
      <c r="AL311">
        <v>0</v>
      </c>
    </row>
    <row r="312" spans="1:40">
      <c r="A312">
        <v>2049</v>
      </c>
      <c r="B312" t="s">
        <v>4996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 s="367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 s="367">
        <v>0</v>
      </c>
      <c r="U312">
        <v>0</v>
      </c>
      <c r="V312">
        <v>0</v>
      </c>
      <c r="W312">
        <v>1</v>
      </c>
      <c r="X312">
        <v>0</v>
      </c>
      <c r="Y312">
        <v>1</v>
      </c>
      <c r="Z312">
        <v>2</v>
      </c>
      <c r="AA312">
        <v>0</v>
      </c>
      <c r="AB312">
        <v>0</v>
      </c>
      <c r="AC312">
        <v>0</v>
      </c>
      <c r="AD312">
        <v>0</v>
      </c>
      <c r="AE312">
        <v>1</v>
      </c>
      <c r="AF312">
        <v>0</v>
      </c>
      <c r="AG312">
        <v>0</v>
      </c>
      <c r="AH312">
        <v>0</v>
      </c>
      <c r="AI312">
        <v>3</v>
      </c>
      <c r="AJ312">
        <v>1</v>
      </c>
      <c r="AK312">
        <v>0</v>
      </c>
      <c r="AL312">
        <v>0</v>
      </c>
    </row>
    <row r="313" spans="1:40">
      <c r="A313">
        <v>2059</v>
      </c>
      <c r="B313" t="s">
        <v>4997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 s="367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 s="367">
        <v>0</v>
      </c>
      <c r="U313">
        <v>0</v>
      </c>
      <c r="V313">
        <v>0</v>
      </c>
      <c r="W313">
        <v>3</v>
      </c>
      <c r="X313">
        <v>2</v>
      </c>
      <c r="Y313">
        <v>0</v>
      </c>
      <c r="Z313">
        <v>4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2</v>
      </c>
      <c r="AG313">
        <v>0</v>
      </c>
      <c r="AH313">
        <v>0</v>
      </c>
      <c r="AI313">
        <v>0</v>
      </c>
      <c r="AJ313">
        <v>2</v>
      </c>
      <c r="AK313">
        <v>0</v>
      </c>
      <c r="AL313">
        <v>0</v>
      </c>
    </row>
    <row r="314" spans="1:40">
      <c r="A314">
        <v>2062</v>
      </c>
      <c r="B314" t="s">
        <v>673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 s="367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 s="367">
        <v>0</v>
      </c>
      <c r="U314">
        <v>0</v>
      </c>
      <c r="V314">
        <v>0</v>
      </c>
      <c r="W314">
        <v>0</v>
      </c>
      <c r="X314">
        <v>0</v>
      </c>
      <c r="Y314">
        <v>1</v>
      </c>
      <c r="Z314">
        <v>0</v>
      </c>
      <c r="AA314">
        <v>0</v>
      </c>
      <c r="AB314">
        <v>1</v>
      </c>
      <c r="AC314">
        <v>1</v>
      </c>
      <c r="AD314">
        <v>2</v>
      </c>
      <c r="AE314">
        <v>0</v>
      </c>
      <c r="AF314">
        <v>0</v>
      </c>
      <c r="AG314">
        <v>1</v>
      </c>
      <c r="AH314">
        <v>0</v>
      </c>
      <c r="AI314">
        <v>0</v>
      </c>
      <c r="AJ314">
        <v>0</v>
      </c>
      <c r="AK314">
        <v>0</v>
      </c>
      <c r="AL314">
        <v>0</v>
      </c>
    </row>
    <row r="315" spans="1:40">
      <c r="A315">
        <v>2063</v>
      </c>
      <c r="B315" t="s">
        <v>6173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 s="367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 s="367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3</v>
      </c>
      <c r="AG315">
        <v>0</v>
      </c>
      <c r="AH315">
        <v>0</v>
      </c>
      <c r="AI315">
        <v>2</v>
      </c>
      <c r="AJ315">
        <v>0</v>
      </c>
      <c r="AK315">
        <v>0</v>
      </c>
      <c r="AL315">
        <v>0</v>
      </c>
    </row>
    <row r="316" spans="1:40">
      <c r="A316">
        <v>2064</v>
      </c>
      <c r="B316" t="s">
        <v>4998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 s="367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 s="367">
        <v>0</v>
      </c>
      <c r="U316">
        <v>0</v>
      </c>
      <c r="V316">
        <v>3</v>
      </c>
      <c r="W316">
        <v>3</v>
      </c>
      <c r="X316">
        <v>0</v>
      </c>
      <c r="Y316">
        <v>3</v>
      </c>
      <c r="Z316">
        <v>0</v>
      </c>
      <c r="AA316">
        <v>0</v>
      </c>
      <c r="AB316">
        <v>1</v>
      </c>
      <c r="AC316">
        <v>2</v>
      </c>
      <c r="AD316">
        <v>0</v>
      </c>
      <c r="AE316">
        <v>7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3</v>
      </c>
      <c r="AN316" s="367" t="s">
        <v>4718</v>
      </c>
    </row>
    <row r="317" spans="1:40">
      <c r="A317">
        <v>2065</v>
      </c>
      <c r="B317" t="s">
        <v>4999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 s="36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 s="36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1</v>
      </c>
      <c r="AE317">
        <v>0</v>
      </c>
      <c r="AF317">
        <v>1</v>
      </c>
      <c r="AG317">
        <v>1</v>
      </c>
      <c r="AH317">
        <v>0</v>
      </c>
      <c r="AI317">
        <v>0</v>
      </c>
      <c r="AJ317">
        <v>0</v>
      </c>
      <c r="AK317">
        <v>0</v>
      </c>
      <c r="AL317">
        <v>0</v>
      </c>
    </row>
    <row r="318" spans="1:40">
      <c r="A318">
        <v>2066</v>
      </c>
      <c r="B318" t="s">
        <v>6194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 s="367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 s="367">
        <v>0</v>
      </c>
      <c r="U318">
        <v>0</v>
      </c>
      <c r="V318">
        <v>0</v>
      </c>
      <c r="W318">
        <v>0</v>
      </c>
      <c r="X318">
        <v>1</v>
      </c>
      <c r="Y318">
        <v>1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</row>
    <row r="319" spans="1:40">
      <c r="A319">
        <v>2069</v>
      </c>
      <c r="B319" t="s">
        <v>5000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 s="367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 s="367">
        <v>0</v>
      </c>
      <c r="U319">
        <v>0</v>
      </c>
      <c r="V319">
        <v>3</v>
      </c>
      <c r="W319">
        <v>2</v>
      </c>
      <c r="X319">
        <v>0</v>
      </c>
      <c r="Y319">
        <v>3</v>
      </c>
      <c r="Z319">
        <v>1</v>
      </c>
      <c r="AA319">
        <v>0</v>
      </c>
      <c r="AB319">
        <v>2</v>
      </c>
      <c r="AC319">
        <v>0</v>
      </c>
      <c r="AD319">
        <v>0</v>
      </c>
      <c r="AE319">
        <v>7</v>
      </c>
      <c r="AF319">
        <v>0</v>
      </c>
      <c r="AG319">
        <v>0</v>
      </c>
      <c r="AH319">
        <v>0</v>
      </c>
      <c r="AI319">
        <v>0</v>
      </c>
      <c r="AJ319">
        <v>1</v>
      </c>
      <c r="AK319">
        <v>0</v>
      </c>
      <c r="AL319">
        <v>3</v>
      </c>
      <c r="AN319" s="367" t="s">
        <v>4718</v>
      </c>
    </row>
    <row r="320" spans="1:40">
      <c r="A320">
        <v>2101</v>
      </c>
      <c r="B320" t="s">
        <v>5001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 s="367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 s="367">
        <v>0</v>
      </c>
      <c r="U320">
        <v>1</v>
      </c>
      <c r="V320">
        <v>0</v>
      </c>
      <c r="W320">
        <v>0</v>
      </c>
      <c r="X320">
        <v>0</v>
      </c>
      <c r="Y320">
        <v>5</v>
      </c>
      <c r="Z320">
        <v>3</v>
      </c>
      <c r="AA320">
        <v>0</v>
      </c>
      <c r="AB320">
        <v>1</v>
      </c>
      <c r="AC320">
        <v>0</v>
      </c>
      <c r="AD320">
        <v>1</v>
      </c>
      <c r="AE320">
        <v>3</v>
      </c>
      <c r="AF320">
        <v>0</v>
      </c>
      <c r="AG320">
        <v>0</v>
      </c>
      <c r="AH320">
        <v>0</v>
      </c>
      <c r="AI320">
        <v>0</v>
      </c>
      <c r="AJ320">
        <v>4</v>
      </c>
      <c r="AK320">
        <v>1</v>
      </c>
      <c r="AL320">
        <v>0</v>
      </c>
      <c r="AM320" s="367" t="s">
        <v>3542</v>
      </c>
    </row>
    <row r="321" spans="1:40">
      <c r="A321">
        <v>2102</v>
      </c>
      <c r="B321" t="s">
        <v>5002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 s="367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 s="367">
        <v>0</v>
      </c>
      <c r="U321">
        <v>2</v>
      </c>
      <c r="V321">
        <v>6</v>
      </c>
      <c r="W321">
        <v>0</v>
      </c>
      <c r="X321">
        <v>6</v>
      </c>
      <c r="Y321">
        <v>2</v>
      </c>
      <c r="Z321">
        <v>0</v>
      </c>
      <c r="AA321">
        <v>0</v>
      </c>
      <c r="AB321">
        <v>1</v>
      </c>
      <c r="AC321">
        <v>3</v>
      </c>
      <c r="AD321">
        <v>10</v>
      </c>
      <c r="AE321">
        <v>0</v>
      </c>
      <c r="AF321">
        <v>0</v>
      </c>
      <c r="AG321">
        <v>1</v>
      </c>
      <c r="AH321">
        <v>0</v>
      </c>
      <c r="AI321">
        <v>0</v>
      </c>
      <c r="AJ321">
        <v>0</v>
      </c>
      <c r="AK321">
        <v>2</v>
      </c>
      <c r="AL321">
        <v>6</v>
      </c>
      <c r="AM321" s="367" t="s">
        <v>4718</v>
      </c>
      <c r="AN321" s="367" t="s">
        <v>6761</v>
      </c>
    </row>
    <row r="322" spans="1:40">
      <c r="A322">
        <v>2103</v>
      </c>
      <c r="B322" t="s">
        <v>5003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 s="367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 s="367">
        <v>0</v>
      </c>
      <c r="U322">
        <v>0</v>
      </c>
      <c r="V322">
        <v>0</v>
      </c>
      <c r="W322">
        <v>0</v>
      </c>
      <c r="X322">
        <v>2</v>
      </c>
      <c r="Y322">
        <v>2</v>
      </c>
      <c r="Z322">
        <v>2</v>
      </c>
      <c r="AA322">
        <v>0</v>
      </c>
      <c r="AB322">
        <v>0</v>
      </c>
      <c r="AC322">
        <v>0</v>
      </c>
      <c r="AD322">
        <v>1</v>
      </c>
      <c r="AE322">
        <v>0</v>
      </c>
      <c r="AF322">
        <v>0</v>
      </c>
      <c r="AG322">
        <v>0</v>
      </c>
      <c r="AH322">
        <v>0</v>
      </c>
      <c r="AI322">
        <v>2</v>
      </c>
      <c r="AJ322">
        <v>1</v>
      </c>
      <c r="AK322">
        <v>0</v>
      </c>
      <c r="AL322">
        <v>0</v>
      </c>
    </row>
    <row r="323" spans="1:40">
      <c r="A323">
        <v>2104</v>
      </c>
      <c r="B323" t="s">
        <v>5004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 s="367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 s="367">
        <v>0</v>
      </c>
      <c r="U323">
        <v>0</v>
      </c>
      <c r="V323">
        <v>3</v>
      </c>
      <c r="W323">
        <v>0</v>
      </c>
      <c r="X323">
        <v>0</v>
      </c>
      <c r="Y323">
        <v>3</v>
      </c>
      <c r="Z323">
        <v>0</v>
      </c>
      <c r="AA323">
        <v>0</v>
      </c>
      <c r="AB323">
        <v>0</v>
      </c>
      <c r="AC323">
        <v>2</v>
      </c>
      <c r="AD323">
        <v>4</v>
      </c>
      <c r="AE323">
        <v>1</v>
      </c>
      <c r="AF323">
        <v>0</v>
      </c>
      <c r="AG323">
        <v>7</v>
      </c>
      <c r="AH323">
        <v>0</v>
      </c>
      <c r="AI323">
        <v>1</v>
      </c>
      <c r="AJ323">
        <v>0</v>
      </c>
      <c r="AK323">
        <v>0</v>
      </c>
      <c r="AL323">
        <v>3</v>
      </c>
      <c r="AN323" s="367" t="s">
        <v>3543</v>
      </c>
    </row>
    <row r="324" spans="1:40">
      <c r="A324">
        <v>2105</v>
      </c>
      <c r="B324" t="s">
        <v>5005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 s="367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 s="367">
        <v>0</v>
      </c>
      <c r="U324">
        <v>0</v>
      </c>
      <c r="V324">
        <v>0</v>
      </c>
      <c r="W324">
        <v>3</v>
      </c>
      <c r="X324">
        <v>0</v>
      </c>
      <c r="Y324">
        <v>2</v>
      </c>
      <c r="Z324">
        <v>3</v>
      </c>
      <c r="AA324">
        <v>0</v>
      </c>
      <c r="AB324">
        <v>1</v>
      </c>
      <c r="AC324">
        <v>1</v>
      </c>
      <c r="AD324">
        <v>0</v>
      </c>
      <c r="AE324">
        <v>1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</row>
    <row r="325" spans="1:40">
      <c r="A325">
        <v>2106</v>
      </c>
      <c r="B325" t="s">
        <v>5006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 s="367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 s="367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2</v>
      </c>
      <c r="AA325">
        <v>1</v>
      </c>
      <c r="AB325">
        <v>0</v>
      </c>
      <c r="AC325">
        <v>0</v>
      </c>
      <c r="AD325">
        <v>2</v>
      </c>
      <c r="AE325">
        <v>1</v>
      </c>
      <c r="AF325">
        <v>1</v>
      </c>
      <c r="AG325">
        <v>0</v>
      </c>
      <c r="AH325">
        <v>0</v>
      </c>
      <c r="AI325">
        <v>2</v>
      </c>
      <c r="AJ325">
        <v>0</v>
      </c>
      <c r="AK325">
        <v>0</v>
      </c>
      <c r="AL325">
        <v>0</v>
      </c>
    </row>
    <row r="326" spans="1:40">
      <c r="A326">
        <v>2107</v>
      </c>
      <c r="B326" t="s">
        <v>5007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 s="367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 s="367">
        <v>0</v>
      </c>
      <c r="U326">
        <v>1</v>
      </c>
      <c r="V326">
        <v>6</v>
      </c>
      <c r="W326">
        <v>0</v>
      </c>
      <c r="X326">
        <v>5</v>
      </c>
      <c r="Y326">
        <v>0</v>
      </c>
      <c r="Z326">
        <v>0</v>
      </c>
      <c r="AA326">
        <v>0</v>
      </c>
      <c r="AB326">
        <v>2</v>
      </c>
      <c r="AC326">
        <v>0</v>
      </c>
      <c r="AD326">
        <v>1</v>
      </c>
      <c r="AE326">
        <v>0</v>
      </c>
      <c r="AF326">
        <v>10</v>
      </c>
      <c r="AG326">
        <v>0</v>
      </c>
      <c r="AH326">
        <v>0</v>
      </c>
      <c r="AI326">
        <v>0</v>
      </c>
      <c r="AJ326">
        <v>0</v>
      </c>
      <c r="AK326">
        <v>1</v>
      </c>
      <c r="AL326">
        <v>6</v>
      </c>
      <c r="AM326" s="367" t="s">
        <v>4718</v>
      </c>
      <c r="AN326" s="367" t="s">
        <v>3542</v>
      </c>
    </row>
    <row r="327" spans="1:40">
      <c r="A327">
        <v>2108</v>
      </c>
      <c r="B327" t="s">
        <v>5008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 s="36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 s="367">
        <v>0</v>
      </c>
      <c r="U327">
        <v>0</v>
      </c>
      <c r="V327">
        <v>0</v>
      </c>
      <c r="W327">
        <v>0</v>
      </c>
      <c r="X327">
        <v>0</v>
      </c>
      <c r="Y327">
        <v>3</v>
      </c>
      <c r="Z327">
        <v>0</v>
      </c>
      <c r="AA327">
        <v>0</v>
      </c>
      <c r="AB327">
        <v>1</v>
      </c>
      <c r="AC327">
        <v>1</v>
      </c>
      <c r="AD327">
        <v>1</v>
      </c>
      <c r="AE327">
        <v>3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</row>
    <row r="328" spans="1:40">
      <c r="A328">
        <v>2109</v>
      </c>
      <c r="B328" t="s">
        <v>5009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 s="367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 s="367">
        <v>0</v>
      </c>
      <c r="U328">
        <v>0</v>
      </c>
      <c r="V328">
        <v>0</v>
      </c>
      <c r="W328">
        <v>1</v>
      </c>
      <c r="X328">
        <v>0</v>
      </c>
      <c r="Y328">
        <v>0</v>
      </c>
      <c r="Z328">
        <v>2</v>
      </c>
      <c r="AA328">
        <v>0</v>
      </c>
      <c r="AB328">
        <v>0</v>
      </c>
      <c r="AC328">
        <v>0</v>
      </c>
      <c r="AD328">
        <v>0</v>
      </c>
      <c r="AE328">
        <v>4</v>
      </c>
      <c r="AF328">
        <v>2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</row>
    <row r="329" spans="1:40">
      <c r="A329">
        <v>2114</v>
      </c>
      <c r="B329" t="s">
        <v>5010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 s="367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 s="367">
        <v>0</v>
      </c>
      <c r="U329">
        <v>0</v>
      </c>
      <c r="V329">
        <v>0</v>
      </c>
      <c r="W329">
        <v>0</v>
      </c>
      <c r="X329">
        <v>0</v>
      </c>
      <c r="Y329">
        <v>3</v>
      </c>
      <c r="Z329">
        <v>2</v>
      </c>
      <c r="AA329">
        <v>0</v>
      </c>
      <c r="AB329">
        <v>0</v>
      </c>
      <c r="AC329">
        <v>0</v>
      </c>
      <c r="AD329">
        <v>1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</row>
    <row r="330" spans="1:40">
      <c r="A330">
        <v>2115</v>
      </c>
      <c r="B330" t="s">
        <v>5011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 s="367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 s="367">
        <v>0</v>
      </c>
      <c r="U330">
        <v>5</v>
      </c>
      <c r="V330">
        <v>0</v>
      </c>
      <c r="W330">
        <v>0</v>
      </c>
      <c r="X330">
        <v>0</v>
      </c>
      <c r="Y330">
        <v>9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1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5</v>
      </c>
      <c r="AL330">
        <v>0</v>
      </c>
      <c r="AM330" s="367" t="s">
        <v>3542</v>
      </c>
    </row>
    <row r="331" spans="1:40">
      <c r="A331">
        <v>2204</v>
      </c>
      <c r="B331" t="s">
        <v>5013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 s="367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 s="367">
        <v>0</v>
      </c>
      <c r="U331">
        <v>0</v>
      </c>
      <c r="V331">
        <v>0</v>
      </c>
      <c r="W331">
        <v>4</v>
      </c>
      <c r="X331">
        <v>0</v>
      </c>
      <c r="Y331">
        <v>0</v>
      </c>
      <c r="Z331">
        <v>2</v>
      </c>
      <c r="AA331">
        <v>0</v>
      </c>
      <c r="AB331">
        <v>0</v>
      </c>
      <c r="AC331">
        <v>0</v>
      </c>
      <c r="AD331">
        <v>0</v>
      </c>
      <c r="AE331">
        <v>1</v>
      </c>
      <c r="AF331">
        <v>1</v>
      </c>
      <c r="AG331">
        <v>0</v>
      </c>
      <c r="AH331">
        <v>1</v>
      </c>
      <c r="AI331">
        <v>0</v>
      </c>
      <c r="AJ331">
        <v>1</v>
      </c>
      <c r="AK331">
        <v>0</v>
      </c>
      <c r="AL331">
        <v>0</v>
      </c>
    </row>
    <row r="332" spans="1:40">
      <c r="A332">
        <v>2206</v>
      </c>
      <c r="B332" t="s">
        <v>5014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 s="367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 s="367">
        <v>0</v>
      </c>
      <c r="U332">
        <v>4</v>
      </c>
      <c r="V332">
        <v>0</v>
      </c>
      <c r="W332">
        <v>2</v>
      </c>
      <c r="X332">
        <v>8</v>
      </c>
      <c r="Y332">
        <v>2</v>
      </c>
      <c r="Z332">
        <v>2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2</v>
      </c>
      <c r="AJ332">
        <v>1</v>
      </c>
      <c r="AK332">
        <v>4</v>
      </c>
      <c r="AL332">
        <v>0</v>
      </c>
      <c r="AM332" s="367" t="s">
        <v>4718</v>
      </c>
    </row>
    <row r="333" spans="1:40">
      <c r="A333">
        <v>2207</v>
      </c>
      <c r="B333" t="s">
        <v>5015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 s="367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 s="367">
        <v>0</v>
      </c>
      <c r="U333">
        <v>1</v>
      </c>
      <c r="V333">
        <v>0</v>
      </c>
      <c r="W333">
        <v>2</v>
      </c>
      <c r="X333">
        <v>0</v>
      </c>
      <c r="Y333">
        <v>2</v>
      </c>
      <c r="Z333">
        <v>2</v>
      </c>
      <c r="AA333">
        <v>0</v>
      </c>
      <c r="AB333">
        <v>5</v>
      </c>
      <c r="AC333">
        <v>0</v>
      </c>
      <c r="AD333">
        <v>0</v>
      </c>
      <c r="AE333">
        <v>2</v>
      </c>
      <c r="AF333">
        <v>0</v>
      </c>
      <c r="AG333">
        <v>0</v>
      </c>
      <c r="AH333">
        <v>1</v>
      </c>
      <c r="AI333">
        <v>0</v>
      </c>
      <c r="AJ333">
        <v>0</v>
      </c>
      <c r="AK333">
        <v>1</v>
      </c>
      <c r="AL333">
        <v>0</v>
      </c>
      <c r="AM333" s="367" t="s">
        <v>6775</v>
      </c>
    </row>
    <row r="334" spans="1:40">
      <c r="A334">
        <v>2208</v>
      </c>
      <c r="B334" t="s">
        <v>5016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 s="367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 s="367">
        <v>0</v>
      </c>
      <c r="U334">
        <v>0</v>
      </c>
      <c r="V334">
        <v>9</v>
      </c>
      <c r="W334">
        <v>0</v>
      </c>
      <c r="X334">
        <v>0</v>
      </c>
      <c r="Y334">
        <v>0</v>
      </c>
      <c r="Z334">
        <v>1</v>
      </c>
      <c r="AA334">
        <v>0</v>
      </c>
      <c r="AB334">
        <v>0</v>
      </c>
      <c r="AC334">
        <v>0</v>
      </c>
      <c r="AD334">
        <v>10</v>
      </c>
      <c r="AE334">
        <v>4</v>
      </c>
      <c r="AF334">
        <v>7</v>
      </c>
      <c r="AG334">
        <v>0</v>
      </c>
      <c r="AH334">
        <v>0</v>
      </c>
      <c r="AI334">
        <v>2</v>
      </c>
      <c r="AJ334">
        <v>1</v>
      </c>
      <c r="AK334">
        <v>0</v>
      </c>
      <c r="AL334">
        <v>9</v>
      </c>
      <c r="AN334" s="367" t="s">
        <v>6785</v>
      </c>
    </row>
    <row r="335" spans="1:40">
      <c r="A335">
        <v>2211</v>
      </c>
      <c r="B335" t="s">
        <v>5017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 s="367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 s="367">
        <v>0</v>
      </c>
      <c r="U335">
        <v>4</v>
      </c>
      <c r="V335">
        <v>0</v>
      </c>
      <c r="W335">
        <v>8</v>
      </c>
      <c r="X335">
        <v>0</v>
      </c>
      <c r="Y335">
        <v>2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4</v>
      </c>
      <c r="AF335">
        <v>0</v>
      </c>
      <c r="AG335">
        <v>1</v>
      </c>
      <c r="AH335">
        <v>0</v>
      </c>
      <c r="AI335">
        <v>4</v>
      </c>
      <c r="AJ335">
        <v>0</v>
      </c>
      <c r="AK335">
        <v>4</v>
      </c>
      <c r="AL335">
        <v>0</v>
      </c>
      <c r="AM335" s="367" t="s">
        <v>6761</v>
      </c>
    </row>
    <row r="336" spans="1:40">
      <c r="A336">
        <v>2221</v>
      </c>
      <c r="B336" t="s">
        <v>5018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 s="367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 s="367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1</v>
      </c>
      <c r="AE336">
        <v>3</v>
      </c>
      <c r="AF336">
        <v>1</v>
      </c>
      <c r="AG336">
        <v>0</v>
      </c>
      <c r="AH336">
        <v>0</v>
      </c>
      <c r="AI336">
        <v>0</v>
      </c>
      <c r="AJ336">
        <v>2</v>
      </c>
      <c r="AK336">
        <v>0</v>
      </c>
      <c r="AL336">
        <v>0</v>
      </c>
    </row>
    <row r="337" spans="1:40">
      <c r="A337">
        <v>2228</v>
      </c>
      <c r="B337" t="s">
        <v>5019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 s="36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 s="367">
        <v>0</v>
      </c>
      <c r="U337">
        <v>0</v>
      </c>
      <c r="V337">
        <v>0</v>
      </c>
      <c r="W337">
        <v>0</v>
      </c>
      <c r="X337">
        <v>1</v>
      </c>
      <c r="Y337">
        <v>1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</row>
    <row r="338" spans="1:40">
      <c r="A338">
        <v>2230</v>
      </c>
      <c r="B338" t="s">
        <v>5020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 s="367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 s="367">
        <v>0</v>
      </c>
      <c r="U338">
        <v>13</v>
      </c>
      <c r="V338">
        <v>0</v>
      </c>
      <c r="W338">
        <v>1</v>
      </c>
      <c r="X338">
        <v>4</v>
      </c>
      <c r="Y338">
        <v>17</v>
      </c>
      <c r="Z338">
        <v>0</v>
      </c>
      <c r="AA338">
        <v>0</v>
      </c>
      <c r="AB338">
        <v>0</v>
      </c>
      <c r="AC338">
        <v>1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13</v>
      </c>
      <c r="AL338">
        <v>0</v>
      </c>
      <c r="AM338" s="367" t="s">
        <v>3542</v>
      </c>
    </row>
    <row r="339" spans="1:40">
      <c r="A339">
        <v>2231</v>
      </c>
      <c r="B339" t="s">
        <v>5021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 s="367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 s="367">
        <v>0</v>
      </c>
      <c r="U339">
        <v>1</v>
      </c>
      <c r="V339">
        <v>0</v>
      </c>
      <c r="W339">
        <v>5</v>
      </c>
      <c r="X339">
        <v>0</v>
      </c>
      <c r="Y339">
        <v>2</v>
      </c>
      <c r="Z339">
        <v>2</v>
      </c>
      <c r="AA339">
        <v>0</v>
      </c>
      <c r="AB339">
        <v>1</v>
      </c>
      <c r="AC339">
        <v>2</v>
      </c>
      <c r="AD339">
        <v>0</v>
      </c>
      <c r="AE339">
        <v>2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1</v>
      </c>
      <c r="AL339">
        <v>0</v>
      </c>
      <c r="AM339" s="367" t="s">
        <v>6761</v>
      </c>
    </row>
    <row r="340" spans="1:40">
      <c r="A340">
        <v>2233</v>
      </c>
      <c r="B340" t="s">
        <v>5022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 s="367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 s="367">
        <v>0</v>
      </c>
      <c r="U340">
        <v>0</v>
      </c>
      <c r="V340">
        <v>4</v>
      </c>
      <c r="W340">
        <v>0</v>
      </c>
      <c r="X340">
        <v>1</v>
      </c>
      <c r="Y340">
        <v>0</v>
      </c>
      <c r="Z340">
        <v>2</v>
      </c>
      <c r="AA340">
        <v>0</v>
      </c>
      <c r="AB340">
        <v>1</v>
      </c>
      <c r="AC340">
        <v>0</v>
      </c>
      <c r="AD340">
        <v>8</v>
      </c>
      <c r="AE340">
        <v>0</v>
      </c>
      <c r="AF340">
        <v>1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4</v>
      </c>
      <c r="AN340" s="367" t="s">
        <v>6761</v>
      </c>
    </row>
    <row r="341" spans="1:40">
      <c r="A341">
        <v>2236</v>
      </c>
      <c r="B341" t="s">
        <v>5023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 s="367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 s="367">
        <v>0</v>
      </c>
      <c r="U341">
        <v>0</v>
      </c>
      <c r="V341">
        <v>0</v>
      </c>
      <c r="W341">
        <v>0</v>
      </c>
      <c r="X341">
        <v>0</v>
      </c>
      <c r="Y341">
        <v>1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</row>
    <row r="342" spans="1:40">
      <c r="A342">
        <v>2241</v>
      </c>
      <c r="B342" t="s">
        <v>5025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 s="367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 s="367">
        <v>0</v>
      </c>
      <c r="U342">
        <v>1</v>
      </c>
      <c r="V342">
        <v>0</v>
      </c>
      <c r="W342">
        <v>1</v>
      </c>
      <c r="X342">
        <v>4</v>
      </c>
      <c r="Y342">
        <v>5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1</v>
      </c>
      <c r="AL342">
        <v>0</v>
      </c>
      <c r="AM342" s="367" t="s">
        <v>3542</v>
      </c>
    </row>
    <row r="343" spans="1:40">
      <c r="A343">
        <v>2243</v>
      </c>
      <c r="B343" t="s">
        <v>5026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 s="367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 s="367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1</v>
      </c>
      <c r="AA343">
        <v>0</v>
      </c>
      <c r="AB343">
        <v>0</v>
      </c>
      <c r="AC343">
        <v>0</v>
      </c>
      <c r="AD343">
        <v>0</v>
      </c>
      <c r="AE343">
        <v>1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</row>
    <row r="344" spans="1:40">
      <c r="A344">
        <v>2247</v>
      </c>
      <c r="B344" t="s">
        <v>5027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 s="367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 s="367">
        <v>0</v>
      </c>
      <c r="U344">
        <v>0</v>
      </c>
      <c r="V344">
        <v>0</v>
      </c>
      <c r="W344">
        <v>0</v>
      </c>
      <c r="X344">
        <v>0</v>
      </c>
      <c r="Y344">
        <v>2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</row>
    <row r="345" spans="1:40">
      <c r="A345">
        <v>2250</v>
      </c>
      <c r="B345" t="s">
        <v>5028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 s="367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 s="367">
        <v>0</v>
      </c>
      <c r="U345">
        <v>0</v>
      </c>
      <c r="V345">
        <v>0</v>
      </c>
      <c r="W345">
        <v>0</v>
      </c>
      <c r="X345">
        <v>0</v>
      </c>
      <c r="Y345">
        <v>1</v>
      </c>
      <c r="Z345">
        <v>0</v>
      </c>
      <c r="AA345">
        <v>0</v>
      </c>
      <c r="AB345">
        <v>0</v>
      </c>
      <c r="AC345">
        <v>0</v>
      </c>
      <c r="AD345">
        <v>3</v>
      </c>
      <c r="AE345">
        <v>1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</row>
    <row r="346" spans="1:40">
      <c r="A346">
        <v>2301</v>
      </c>
      <c r="B346" t="s">
        <v>5029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 s="367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 s="367">
        <v>0</v>
      </c>
      <c r="U346">
        <v>28</v>
      </c>
      <c r="V346">
        <v>5</v>
      </c>
      <c r="W346">
        <v>1</v>
      </c>
      <c r="X346">
        <v>0</v>
      </c>
      <c r="Y346">
        <v>0</v>
      </c>
      <c r="Z346">
        <v>9</v>
      </c>
      <c r="AA346">
        <v>27</v>
      </c>
      <c r="AB346">
        <v>0</v>
      </c>
      <c r="AC346">
        <v>2</v>
      </c>
      <c r="AD346">
        <v>0</v>
      </c>
      <c r="AE346">
        <v>1</v>
      </c>
      <c r="AF346">
        <v>4</v>
      </c>
      <c r="AG346">
        <v>0</v>
      </c>
      <c r="AH346">
        <v>0</v>
      </c>
      <c r="AI346">
        <v>9</v>
      </c>
      <c r="AJ346">
        <v>0</v>
      </c>
      <c r="AK346">
        <v>28</v>
      </c>
      <c r="AL346">
        <v>5</v>
      </c>
      <c r="AM346" s="367" t="s">
        <v>6168</v>
      </c>
      <c r="AN346" s="367" t="s">
        <v>6775</v>
      </c>
    </row>
    <row r="347" spans="1:40">
      <c r="A347">
        <v>2302</v>
      </c>
      <c r="B347" t="s">
        <v>5030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 s="36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 s="367">
        <v>0</v>
      </c>
      <c r="U347">
        <v>0</v>
      </c>
      <c r="V347">
        <v>2</v>
      </c>
      <c r="W347">
        <v>0</v>
      </c>
      <c r="X347">
        <v>4</v>
      </c>
      <c r="Y347">
        <v>0</v>
      </c>
      <c r="Z347">
        <v>1</v>
      </c>
      <c r="AA347">
        <v>0</v>
      </c>
      <c r="AB347">
        <v>0</v>
      </c>
      <c r="AC347">
        <v>2</v>
      </c>
      <c r="AD347">
        <v>1</v>
      </c>
      <c r="AE347">
        <v>0</v>
      </c>
      <c r="AF347">
        <v>6</v>
      </c>
      <c r="AG347">
        <v>0</v>
      </c>
      <c r="AH347">
        <v>0</v>
      </c>
      <c r="AI347">
        <v>2</v>
      </c>
      <c r="AJ347">
        <v>0</v>
      </c>
      <c r="AK347">
        <v>0</v>
      </c>
      <c r="AL347">
        <v>2</v>
      </c>
      <c r="AN347" s="367" t="s">
        <v>3542</v>
      </c>
    </row>
    <row r="348" spans="1:40">
      <c r="A348">
        <v>2303</v>
      </c>
      <c r="B348" t="s">
        <v>5031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 s="367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 s="367">
        <v>0</v>
      </c>
      <c r="U348">
        <v>5</v>
      </c>
      <c r="V348">
        <v>0</v>
      </c>
      <c r="W348">
        <v>2</v>
      </c>
      <c r="X348">
        <v>0</v>
      </c>
      <c r="Y348">
        <v>9</v>
      </c>
      <c r="Z348">
        <v>2</v>
      </c>
      <c r="AA348">
        <v>2</v>
      </c>
      <c r="AB348">
        <v>0</v>
      </c>
      <c r="AC348">
        <v>0</v>
      </c>
      <c r="AD348">
        <v>0</v>
      </c>
      <c r="AE348">
        <v>3</v>
      </c>
      <c r="AF348">
        <v>0</v>
      </c>
      <c r="AG348">
        <v>0</v>
      </c>
      <c r="AH348">
        <v>0</v>
      </c>
      <c r="AI348">
        <v>1</v>
      </c>
      <c r="AJ348">
        <v>2</v>
      </c>
      <c r="AK348">
        <v>5</v>
      </c>
      <c r="AL348">
        <v>0</v>
      </c>
      <c r="AM348" s="367" t="s">
        <v>3542</v>
      </c>
    </row>
    <row r="349" spans="1:40">
      <c r="A349">
        <v>2305</v>
      </c>
      <c r="B349" t="s">
        <v>5032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 s="367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 s="367">
        <v>0</v>
      </c>
      <c r="U349">
        <v>11</v>
      </c>
      <c r="V349">
        <v>1</v>
      </c>
      <c r="W349">
        <v>0</v>
      </c>
      <c r="X349">
        <v>15</v>
      </c>
      <c r="Y349">
        <v>0</v>
      </c>
      <c r="Z349">
        <v>2</v>
      </c>
      <c r="AA349">
        <v>0</v>
      </c>
      <c r="AB349">
        <v>0</v>
      </c>
      <c r="AC349">
        <v>0</v>
      </c>
      <c r="AD349">
        <v>1</v>
      </c>
      <c r="AE349">
        <v>0</v>
      </c>
      <c r="AF349">
        <v>4</v>
      </c>
      <c r="AG349">
        <v>0</v>
      </c>
      <c r="AH349">
        <v>0</v>
      </c>
      <c r="AI349">
        <v>3</v>
      </c>
      <c r="AJ349">
        <v>5</v>
      </c>
      <c r="AK349">
        <v>11</v>
      </c>
      <c r="AL349">
        <v>1</v>
      </c>
      <c r="AM349" s="367" t="s">
        <v>4718</v>
      </c>
      <c r="AN349" s="367" t="s">
        <v>6778</v>
      </c>
    </row>
    <row r="350" spans="1:40">
      <c r="A350">
        <v>2308</v>
      </c>
      <c r="B350" t="s">
        <v>5033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 s="367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 s="367">
        <v>0</v>
      </c>
      <c r="U350">
        <v>0</v>
      </c>
      <c r="V350">
        <v>0</v>
      </c>
      <c r="W350">
        <v>1</v>
      </c>
      <c r="X350">
        <v>0</v>
      </c>
      <c r="Y350">
        <v>2</v>
      </c>
      <c r="Z350">
        <v>2</v>
      </c>
      <c r="AA350">
        <v>0</v>
      </c>
      <c r="AB350">
        <v>2</v>
      </c>
      <c r="AC350">
        <v>2</v>
      </c>
      <c r="AD350">
        <v>0</v>
      </c>
      <c r="AE350">
        <v>1</v>
      </c>
      <c r="AF350">
        <v>0</v>
      </c>
      <c r="AG350">
        <v>0</v>
      </c>
      <c r="AH350">
        <v>4</v>
      </c>
      <c r="AI350">
        <v>0</v>
      </c>
      <c r="AJ350">
        <v>0</v>
      </c>
      <c r="AK350">
        <v>0</v>
      </c>
      <c r="AL350">
        <v>0</v>
      </c>
    </row>
    <row r="351" spans="1:40">
      <c r="A351">
        <v>2312</v>
      </c>
      <c r="B351" t="s">
        <v>5034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 s="367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 s="367">
        <v>0</v>
      </c>
      <c r="U351">
        <v>4</v>
      </c>
      <c r="V351">
        <v>6</v>
      </c>
      <c r="W351">
        <v>0</v>
      </c>
      <c r="X351">
        <v>2</v>
      </c>
      <c r="Y351">
        <v>2</v>
      </c>
      <c r="Z351">
        <v>0</v>
      </c>
      <c r="AA351">
        <v>0</v>
      </c>
      <c r="AB351">
        <v>0</v>
      </c>
      <c r="AC351">
        <v>8</v>
      </c>
      <c r="AD351">
        <v>10</v>
      </c>
      <c r="AE351">
        <v>0</v>
      </c>
      <c r="AF351">
        <v>0</v>
      </c>
      <c r="AG351">
        <v>1</v>
      </c>
      <c r="AH351">
        <v>0</v>
      </c>
      <c r="AI351">
        <v>2</v>
      </c>
      <c r="AJ351">
        <v>0</v>
      </c>
      <c r="AK351">
        <v>4</v>
      </c>
      <c r="AL351">
        <v>6</v>
      </c>
      <c r="AM351" s="367" t="s">
        <v>6778</v>
      </c>
      <c r="AN351" s="367" t="s">
        <v>6761</v>
      </c>
    </row>
    <row r="352" spans="1:40">
      <c r="A352">
        <v>2313</v>
      </c>
      <c r="B352" t="s">
        <v>5035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 s="367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 s="367">
        <v>0</v>
      </c>
      <c r="U352">
        <v>0</v>
      </c>
      <c r="V352">
        <v>3</v>
      </c>
      <c r="W352">
        <v>3</v>
      </c>
      <c r="X352">
        <v>0</v>
      </c>
      <c r="Y352">
        <v>0</v>
      </c>
      <c r="Z352">
        <v>0</v>
      </c>
      <c r="AA352">
        <v>2</v>
      </c>
      <c r="AB352">
        <v>0</v>
      </c>
      <c r="AC352">
        <v>0</v>
      </c>
      <c r="AD352">
        <v>0</v>
      </c>
      <c r="AE352">
        <v>7</v>
      </c>
      <c r="AF352">
        <v>1</v>
      </c>
      <c r="AG352">
        <v>2</v>
      </c>
      <c r="AH352">
        <v>0</v>
      </c>
      <c r="AI352">
        <v>1</v>
      </c>
      <c r="AJ352">
        <v>4</v>
      </c>
      <c r="AK352">
        <v>0</v>
      </c>
      <c r="AL352">
        <v>3</v>
      </c>
      <c r="AN352" s="367" t="s">
        <v>4718</v>
      </c>
    </row>
    <row r="353" spans="1:40">
      <c r="A353">
        <v>2316</v>
      </c>
      <c r="B353" t="s">
        <v>5036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 s="367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 s="367">
        <v>0</v>
      </c>
      <c r="U353">
        <v>0</v>
      </c>
      <c r="V353">
        <v>0</v>
      </c>
      <c r="W353">
        <v>1</v>
      </c>
      <c r="X353">
        <v>4</v>
      </c>
      <c r="Y353">
        <v>2</v>
      </c>
      <c r="Z353">
        <v>2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1</v>
      </c>
      <c r="AK353">
        <v>0</v>
      </c>
      <c r="AL353">
        <v>0</v>
      </c>
    </row>
    <row r="354" spans="1:40">
      <c r="A354">
        <v>2317</v>
      </c>
      <c r="B354" t="s">
        <v>5037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 s="367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 s="367">
        <v>0</v>
      </c>
      <c r="U354">
        <v>13</v>
      </c>
      <c r="V354">
        <v>0</v>
      </c>
      <c r="W354">
        <v>2</v>
      </c>
      <c r="X354">
        <v>0</v>
      </c>
      <c r="Y354">
        <v>2</v>
      </c>
      <c r="Z354">
        <v>5</v>
      </c>
      <c r="AA354">
        <v>16</v>
      </c>
      <c r="AB354">
        <v>2</v>
      </c>
      <c r="AC354">
        <v>0</v>
      </c>
      <c r="AD354">
        <v>0</v>
      </c>
      <c r="AE354">
        <v>2</v>
      </c>
      <c r="AF354">
        <v>0</v>
      </c>
      <c r="AG354">
        <v>0</v>
      </c>
      <c r="AH354">
        <v>0</v>
      </c>
      <c r="AI354">
        <v>0</v>
      </c>
      <c r="AJ354">
        <v>3</v>
      </c>
      <c r="AK354">
        <v>13</v>
      </c>
      <c r="AL354">
        <v>0</v>
      </c>
      <c r="AM354" s="367" t="s">
        <v>6168</v>
      </c>
    </row>
    <row r="355" spans="1:40">
      <c r="A355">
        <v>2323</v>
      </c>
      <c r="B355" t="s">
        <v>5038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 s="367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 s="367">
        <v>0</v>
      </c>
      <c r="U355">
        <v>0</v>
      </c>
      <c r="V355">
        <v>0</v>
      </c>
      <c r="W355">
        <v>2</v>
      </c>
      <c r="X355">
        <v>0</v>
      </c>
      <c r="Y355">
        <v>2</v>
      </c>
      <c r="Z355">
        <v>2</v>
      </c>
      <c r="AA355">
        <v>0</v>
      </c>
      <c r="AB355">
        <v>0</v>
      </c>
      <c r="AC355">
        <v>2</v>
      </c>
      <c r="AD355">
        <v>0</v>
      </c>
      <c r="AE355">
        <v>2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</row>
    <row r="356" spans="1:40">
      <c r="A356">
        <v>2324</v>
      </c>
      <c r="B356" t="s">
        <v>5039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 s="367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 s="367">
        <v>0</v>
      </c>
      <c r="U356">
        <v>6</v>
      </c>
      <c r="V356">
        <v>0</v>
      </c>
      <c r="W356">
        <v>1</v>
      </c>
      <c r="X356">
        <v>0</v>
      </c>
      <c r="Y356">
        <v>0</v>
      </c>
      <c r="Z356">
        <v>8</v>
      </c>
      <c r="AA356">
        <v>6</v>
      </c>
      <c r="AB356">
        <v>0</v>
      </c>
      <c r="AC356">
        <v>0</v>
      </c>
      <c r="AD356">
        <v>0</v>
      </c>
      <c r="AE356">
        <v>1</v>
      </c>
      <c r="AF356">
        <v>2</v>
      </c>
      <c r="AG356">
        <v>0</v>
      </c>
      <c r="AH356">
        <v>0</v>
      </c>
      <c r="AI356">
        <v>3</v>
      </c>
      <c r="AJ356">
        <v>4</v>
      </c>
      <c r="AK356">
        <v>6</v>
      </c>
      <c r="AL356">
        <v>0</v>
      </c>
      <c r="AM356" s="367" t="s">
        <v>6168</v>
      </c>
    </row>
    <row r="357" spans="1:40">
      <c r="A357">
        <v>2327</v>
      </c>
      <c r="B357" t="s">
        <v>5040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 s="36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 s="367">
        <v>0</v>
      </c>
      <c r="U357">
        <v>0</v>
      </c>
      <c r="V357">
        <v>0</v>
      </c>
      <c r="W357">
        <v>0</v>
      </c>
      <c r="X357">
        <v>1</v>
      </c>
      <c r="Y357">
        <v>0</v>
      </c>
      <c r="Z357">
        <v>2</v>
      </c>
      <c r="AA357">
        <v>2</v>
      </c>
      <c r="AB357">
        <v>0</v>
      </c>
      <c r="AC357">
        <v>0</v>
      </c>
      <c r="AD357">
        <v>1</v>
      </c>
      <c r="AE357">
        <v>0</v>
      </c>
      <c r="AF357">
        <v>2</v>
      </c>
      <c r="AG357">
        <v>0</v>
      </c>
      <c r="AH357">
        <v>0</v>
      </c>
      <c r="AI357">
        <v>1</v>
      </c>
      <c r="AJ357">
        <v>1</v>
      </c>
      <c r="AK357">
        <v>0</v>
      </c>
      <c r="AL357">
        <v>0</v>
      </c>
    </row>
    <row r="358" spans="1:40">
      <c r="A358">
        <v>2328</v>
      </c>
      <c r="B358" t="s">
        <v>5041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 s="367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 s="367">
        <v>0</v>
      </c>
      <c r="U358">
        <v>0</v>
      </c>
      <c r="V358">
        <v>0</v>
      </c>
      <c r="W358">
        <v>0</v>
      </c>
      <c r="X358">
        <v>4</v>
      </c>
      <c r="Y358">
        <v>0</v>
      </c>
      <c r="Z358">
        <v>2</v>
      </c>
      <c r="AA358">
        <v>0</v>
      </c>
      <c r="AB358">
        <v>1</v>
      </c>
      <c r="AC358">
        <v>1</v>
      </c>
      <c r="AD358">
        <v>1</v>
      </c>
      <c r="AE358">
        <v>0</v>
      </c>
      <c r="AF358">
        <v>1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</row>
    <row r="359" spans="1:40">
      <c r="A359">
        <v>2329</v>
      </c>
      <c r="B359" t="s">
        <v>5042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 s="367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 s="367">
        <v>0</v>
      </c>
      <c r="U359">
        <v>0</v>
      </c>
      <c r="V359">
        <v>5</v>
      </c>
      <c r="W359">
        <v>0</v>
      </c>
      <c r="X359">
        <v>4</v>
      </c>
      <c r="Y359">
        <v>0</v>
      </c>
      <c r="Z359">
        <v>0</v>
      </c>
      <c r="AA359">
        <v>0</v>
      </c>
      <c r="AB359">
        <v>0</v>
      </c>
      <c r="AC359">
        <v>1</v>
      </c>
      <c r="AD359">
        <v>6</v>
      </c>
      <c r="AE359">
        <v>0</v>
      </c>
      <c r="AF359">
        <v>7</v>
      </c>
      <c r="AG359">
        <v>1</v>
      </c>
      <c r="AH359">
        <v>0</v>
      </c>
      <c r="AI359">
        <v>3</v>
      </c>
      <c r="AJ359">
        <v>0</v>
      </c>
      <c r="AK359">
        <v>0</v>
      </c>
      <c r="AL359">
        <v>5</v>
      </c>
      <c r="AN359" s="367" t="s">
        <v>6785</v>
      </c>
    </row>
    <row r="360" spans="1:40">
      <c r="A360">
        <v>2330</v>
      </c>
      <c r="B360" t="s">
        <v>5043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 s="367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 s="367">
        <v>0</v>
      </c>
      <c r="U360">
        <v>0</v>
      </c>
      <c r="V360">
        <v>0</v>
      </c>
      <c r="W360">
        <v>1</v>
      </c>
      <c r="X360">
        <v>0</v>
      </c>
      <c r="Y360">
        <v>1</v>
      </c>
      <c r="Z360">
        <v>2</v>
      </c>
      <c r="AA360">
        <v>2</v>
      </c>
      <c r="AB360">
        <v>0</v>
      </c>
      <c r="AC360">
        <v>0</v>
      </c>
      <c r="AD360">
        <v>0</v>
      </c>
      <c r="AE360">
        <v>1</v>
      </c>
      <c r="AF360">
        <v>0</v>
      </c>
      <c r="AG360">
        <v>0</v>
      </c>
      <c r="AH360">
        <v>0</v>
      </c>
      <c r="AI360">
        <v>1</v>
      </c>
      <c r="AJ360">
        <v>2</v>
      </c>
      <c r="AK360">
        <v>0</v>
      </c>
      <c r="AL360">
        <v>0</v>
      </c>
    </row>
    <row r="361" spans="1:40">
      <c r="A361">
        <v>2331</v>
      </c>
      <c r="B361" t="s">
        <v>5044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 s="367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 s="367">
        <v>0</v>
      </c>
      <c r="U361">
        <v>0</v>
      </c>
      <c r="V361">
        <v>0</v>
      </c>
      <c r="W361">
        <v>1</v>
      </c>
      <c r="X361">
        <v>0</v>
      </c>
      <c r="Y361">
        <v>2</v>
      </c>
      <c r="Z361">
        <v>0</v>
      </c>
      <c r="AA361">
        <v>0</v>
      </c>
      <c r="AB361">
        <v>1</v>
      </c>
      <c r="AC361">
        <v>1</v>
      </c>
      <c r="AD361">
        <v>0</v>
      </c>
      <c r="AE361">
        <v>1</v>
      </c>
      <c r="AF361">
        <v>0</v>
      </c>
      <c r="AG361">
        <v>1</v>
      </c>
      <c r="AH361">
        <v>0</v>
      </c>
      <c r="AI361">
        <v>0</v>
      </c>
      <c r="AJ361">
        <v>0</v>
      </c>
      <c r="AK361">
        <v>0</v>
      </c>
      <c r="AL361">
        <v>0</v>
      </c>
    </row>
    <row r="362" spans="1:40">
      <c r="A362">
        <v>2332</v>
      </c>
      <c r="B362" t="s">
        <v>5045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 s="367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 s="367">
        <v>0</v>
      </c>
      <c r="U362">
        <v>0</v>
      </c>
      <c r="V362">
        <v>0</v>
      </c>
      <c r="W362">
        <v>0</v>
      </c>
      <c r="X362">
        <v>1</v>
      </c>
      <c r="Y362">
        <v>0</v>
      </c>
      <c r="Z362">
        <v>2</v>
      </c>
      <c r="AA362">
        <v>0</v>
      </c>
      <c r="AB362">
        <v>0</v>
      </c>
      <c r="AC362">
        <v>0</v>
      </c>
      <c r="AD362">
        <v>2</v>
      </c>
      <c r="AE362">
        <v>0</v>
      </c>
      <c r="AF362">
        <v>4</v>
      </c>
      <c r="AG362">
        <v>0</v>
      </c>
      <c r="AH362">
        <v>0</v>
      </c>
      <c r="AI362">
        <v>4</v>
      </c>
      <c r="AJ362">
        <v>1</v>
      </c>
      <c r="AK362">
        <v>0</v>
      </c>
      <c r="AL362">
        <v>0</v>
      </c>
    </row>
    <row r="363" spans="1:40">
      <c r="A363">
        <v>2337</v>
      </c>
      <c r="B363" t="s">
        <v>5046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 s="367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 s="367">
        <v>0</v>
      </c>
      <c r="U363">
        <v>0</v>
      </c>
      <c r="V363">
        <v>1</v>
      </c>
      <c r="W363">
        <v>3</v>
      </c>
      <c r="X363">
        <v>0</v>
      </c>
      <c r="Y363">
        <v>2</v>
      </c>
      <c r="Z363">
        <v>3</v>
      </c>
      <c r="AA363">
        <v>2</v>
      </c>
      <c r="AB363">
        <v>0</v>
      </c>
      <c r="AC363">
        <v>1</v>
      </c>
      <c r="AD363">
        <v>0</v>
      </c>
      <c r="AE363">
        <v>5</v>
      </c>
      <c r="AF363">
        <v>0</v>
      </c>
      <c r="AG363">
        <v>0</v>
      </c>
      <c r="AH363">
        <v>0</v>
      </c>
      <c r="AI363">
        <v>2</v>
      </c>
      <c r="AJ363">
        <v>0</v>
      </c>
      <c r="AK363">
        <v>0</v>
      </c>
      <c r="AL363">
        <v>1</v>
      </c>
      <c r="AN363" s="367" t="s">
        <v>4718</v>
      </c>
    </row>
    <row r="364" spans="1:40">
      <c r="A364">
        <v>2338</v>
      </c>
      <c r="B364" t="s">
        <v>5047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 s="367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 s="367">
        <v>0</v>
      </c>
      <c r="U364">
        <v>0</v>
      </c>
      <c r="V364">
        <v>0</v>
      </c>
      <c r="W364">
        <v>0</v>
      </c>
      <c r="X364">
        <v>2</v>
      </c>
      <c r="Y364">
        <v>0</v>
      </c>
      <c r="Z364">
        <v>2</v>
      </c>
      <c r="AA364">
        <v>0</v>
      </c>
      <c r="AB364">
        <v>0</v>
      </c>
      <c r="AC364">
        <v>1</v>
      </c>
      <c r="AD364">
        <v>1</v>
      </c>
      <c r="AE364">
        <v>0</v>
      </c>
      <c r="AF364">
        <v>1</v>
      </c>
      <c r="AG364">
        <v>0</v>
      </c>
      <c r="AH364">
        <v>0</v>
      </c>
      <c r="AI364">
        <v>2</v>
      </c>
      <c r="AJ364">
        <v>0</v>
      </c>
      <c r="AK364">
        <v>0</v>
      </c>
      <c r="AL364">
        <v>0</v>
      </c>
    </row>
    <row r="365" spans="1:40">
      <c r="A365">
        <v>2340</v>
      </c>
      <c r="B365" t="s">
        <v>5048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 s="367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 s="367">
        <v>0</v>
      </c>
      <c r="U365">
        <v>0</v>
      </c>
      <c r="V365">
        <v>3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1</v>
      </c>
      <c r="AD365">
        <v>1</v>
      </c>
      <c r="AE365">
        <v>7</v>
      </c>
      <c r="AF365">
        <v>1</v>
      </c>
      <c r="AG365">
        <v>1</v>
      </c>
      <c r="AH365">
        <v>0</v>
      </c>
      <c r="AI365">
        <v>2</v>
      </c>
      <c r="AJ365">
        <v>0</v>
      </c>
      <c r="AK365">
        <v>0</v>
      </c>
      <c r="AL365">
        <v>3</v>
      </c>
      <c r="AN365" s="367" t="s">
        <v>4718</v>
      </c>
    </row>
    <row r="366" spans="1:40">
      <c r="A366">
        <v>2342</v>
      </c>
      <c r="B366" t="s">
        <v>5049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 s="367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 s="367">
        <v>0</v>
      </c>
      <c r="U366">
        <v>0</v>
      </c>
      <c r="V366">
        <v>0</v>
      </c>
      <c r="W366">
        <v>2</v>
      </c>
      <c r="X366">
        <v>2</v>
      </c>
      <c r="Y366">
        <v>1</v>
      </c>
      <c r="Z366">
        <v>2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2</v>
      </c>
      <c r="AJ366">
        <v>4</v>
      </c>
      <c r="AK366">
        <v>0</v>
      </c>
      <c r="AL366">
        <v>0</v>
      </c>
    </row>
    <row r="367" spans="1:40">
      <c r="A367">
        <v>2344</v>
      </c>
      <c r="B367" t="s">
        <v>5050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 s="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 s="367">
        <v>0</v>
      </c>
      <c r="U367">
        <v>4</v>
      </c>
      <c r="V367">
        <v>0</v>
      </c>
      <c r="W367">
        <v>6</v>
      </c>
      <c r="X367">
        <v>0</v>
      </c>
      <c r="Y367">
        <v>6</v>
      </c>
      <c r="Z367">
        <v>0</v>
      </c>
      <c r="AA367">
        <v>3</v>
      </c>
      <c r="AB367">
        <v>0</v>
      </c>
      <c r="AC367">
        <v>1</v>
      </c>
      <c r="AD367">
        <v>0</v>
      </c>
      <c r="AE367">
        <v>3</v>
      </c>
      <c r="AF367">
        <v>0</v>
      </c>
      <c r="AG367">
        <v>1</v>
      </c>
      <c r="AH367">
        <v>0</v>
      </c>
      <c r="AI367">
        <v>1</v>
      </c>
      <c r="AJ367">
        <v>0</v>
      </c>
      <c r="AK367">
        <v>4</v>
      </c>
      <c r="AL367">
        <v>0</v>
      </c>
      <c r="AM367" s="367" t="s">
        <v>6785</v>
      </c>
    </row>
    <row r="368" spans="1:40">
      <c r="A368">
        <v>2345</v>
      </c>
      <c r="B368" t="s">
        <v>5051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 s="367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 s="367">
        <v>0</v>
      </c>
      <c r="U368">
        <v>0</v>
      </c>
      <c r="V368">
        <v>0</v>
      </c>
      <c r="W368">
        <v>4</v>
      </c>
      <c r="X368">
        <v>0</v>
      </c>
      <c r="Y368">
        <v>0</v>
      </c>
      <c r="Z368">
        <v>0</v>
      </c>
      <c r="AA368">
        <v>4</v>
      </c>
      <c r="AB368">
        <v>1</v>
      </c>
      <c r="AC368">
        <v>0</v>
      </c>
      <c r="AD368">
        <v>0</v>
      </c>
      <c r="AE368">
        <v>3</v>
      </c>
      <c r="AF368">
        <v>1</v>
      </c>
      <c r="AG368">
        <v>1</v>
      </c>
      <c r="AH368">
        <v>0</v>
      </c>
      <c r="AI368">
        <v>0</v>
      </c>
      <c r="AJ368">
        <v>1</v>
      </c>
      <c r="AK368">
        <v>0</v>
      </c>
      <c r="AL368">
        <v>0</v>
      </c>
    </row>
    <row r="369" spans="1:40">
      <c r="A369">
        <v>2347</v>
      </c>
      <c r="B369" t="s">
        <v>5052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 s="367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 s="367">
        <v>0</v>
      </c>
      <c r="U369">
        <v>13</v>
      </c>
      <c r="V369">
        <v>3</v>
      </c>
      <c r="W369">
        <v>1</v>
      </c>
      <c r="X369">
        <v>0</v>
      </c>
      <c r="Y369">
        <v>0</v>
      </c>
      <c r="Z369">
        <v>8</v>
      </c>
      <c r="AA369">
        <v>13</v>
      </c>
      <c r="AB369">
        <v>0</v>
      </c>
      <c r="AC369">
        <v>2</v>
      </c>
      <c r="AD369">
        <v>0</v>
      </c>
      <c r="AE369">
        <v>3</v>
      </c>
      <c r="AF369">
        <v>7</v>
      </c>
      <c r="AG369">
        <v>0</v>
      </c>
      <c r="AH369">
        <v>0</v>
      </c>
      <c r="AI369">
        <v>1</v>
      </c>
      <c r="AJ369">
        <v>0</v>
      </c>
      <c r="AK369">
        <v>13</v>
      </c>
      <c r="AL369">
        <v>3</v>
      </c>
      <c r="AM369" s="367" t="s">
        <v>6168</v>
      </c>
      <c r="AN369" s="367" t="s">
        <v>3542</v>
      </c>
    </row>
    <row r="370" spans="1:40">
      <c r="A370">
        <v>2348</v>
      </c>
      <c r="B370" t="s">
        <v>5053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 s="367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 s="367">
        <v>0</v>
      </c>
      <c r="U370">
        <v>0</v>
      </c>
      <c r="V370">
        <v>0</v>
      </c>
      <c r="W370">
        <v>0</v>
      </c>
      <c r="X370">
        <v>3</v>
      </c>
      <c r="Y370">
        <v>0</v>
      </c>
      <c r="Z370">
        <v>2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1</v>
      </c>
      <c r="AG370">
        <v>0</v>
      </c>
      <c r="AH370">
        <v>0</v>
      </c>
      <c r="AI370">
        <v>0</v>
      </c>
      <c r="AJ370">
        <v>1</v>
      </c>
      <c r="AK370">
        <v>0</v>
      </c>
      <c r="AL370">
        <v>0</v>
      </c>
    </row>
    <row r="371" spans="1:40">
      <c r="A371">
        <v>2351</v>
      </c>
      <c r="B371" t="s">
        <v>5054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 s="367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 s="367">
        <v>0</v>
      </c>
      <c r="U371">
        <v>2</v>
      </c>
      <c r="V371">
        <v>0</v>
      </c>
      <c r="W371">
        <v>2</v>
      </c>
      <c r="X371">
        <v>1</v>
      </c>
      <c r="Y371">
        <v>0</v>
      </c>
      <c r="Z371">
        <v>2</v>
      </c>
      <c r="AA371">
        <v>1</v>
      </c>
      <c r="AB371">
        <v>6</v>
      </c>
      <c r="AC371">
        <v>2</v>
      </c>
      <c r="AD371">
        <v>0</v>
      </c>
      <c r="AE371">
        <v>0</v>
      </c>
      <c r="AF371">
        <v>1</v>
      </c>
      <c r="AG371">
        <v>0</v>
      </c>
      <c r="AH371">
        <v>0</v>
      </c>
      <c r="AI371">
        <v>0</v>
      </c>
      <c r="AJ371">
        <v>0</v>
      </c>
      <c r="AK371">
        <v>2</v>
      </c>
      <c r="AL371">
        <v>0</v>
      </c>
      <c r="AM371" s="367" t="s">
        <v>6775</v>
      </c>
    </row>
    <row r="372" spans="1:40">
      <c r="A372">
        <v>2352</v>
      </c>
      <c r="B372" t="s">
        <v>5055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 s="367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 s="367">
        <v>0</v>
      </c>
      <c r="U372">
        <v>0</v>
      </c>
      <c r="V372">
        <v>7</v>
      </c>
      <c r="W372">
        <v>0</v>
      </c>
      <c r="X372">
        <v>1</v>
      </c>
      <c r="Y372">
        <v>0</v>
      </c>
      <c r="Z372">
        <v>2</v>
      </c>
      <c r="AA372">
        <v>0</v>
      </c>
      <c r="AB372">
        <v>0</v>
      </c>
      <c r="AC372">
        <v>2</v>
      </c>
      <c r="AD372">
        <v>6</v>
      </c>
      <c r="AE372">
        <v>0</v>
      </c>
      <c r="AF372">
        <v>7</v>
      </c>
      <c r="AG372">
        <v>0</v>
      </c>
      <c r="AH372">
        <v>0</v>
      </c>
      <c r="AI372">
        <v>6</v>
      </c>
      <c r="AJ372">
        <v>0</v>
      </c>
      <c r="AK372">
        <v>0</v>
      </c>
      <c r="AL372">
        <v>7</v>
      </c>
      <c r="AN372" s="367" t="s">
        <v>6790</v>
      </c>
    </row>
    <row r="373" spans="1:40">
      <c r="A373">
        <v>2353</v>
      </c>
      <c r="B373" t="s">
        <v>5056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 s="367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 s="367">
        <v>0</v>
      </c>
      <c r="U373">
        <v>12</v>
      </c>
      <c r="V373">
        <v>6</v>
      </c>
      <c r="W373">
        <v>5</v>
      </c>
      <c r="X373">
        <v>0</v>
      </c>
      <c r="Y373">
        <v>2</v>
      </c>
      <c r="Z373">
        <v>3</v>
      </c>
      <c r="AA373">
        <v>15</v>
      </c>
      <c r="AB373">
        <v>0</v>
      </c>
      <c r="AC373">
        <v>0</v>
      </c>
      <c r="AD373">
        <v>0</v>
      </c>
      <c r="AE373">
        <v>2</v>
      </c>
      <c r="AF373">
        <v>0</v>
      </c>
      <c r="AG373">
        <v>0</v>
      </c>
      <c r="AH373">
        <v>0</v>
      </c>
      <c r="AI373">
        <v>1</v>
      </c>
      <c r="AJ373">
        <v>10</v>
      </c>
      <c r="AK373">
        <v>12</v>
      </c>
      <c r="AL373">
        <v>6</v>
      </c>
      <c r="AM373" s="367" t="s">
        <v>6787</v>
      </c>
      <c r="AN373" s="367" t="s">
        <v>6778</v>
      </c>
    </row>
    <row r="374" spans="1:40">
      <c r="A374">
        <v>2354</v>
      </c>
      <c r="B374" t="s">
        <v>5057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 s="367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 s="367">
        <v>0</v>
      </c>
      <c r="U374">
        <v>1</v>
      </c>
      <c r="V374">
        <v>0</v>
      </c>
      <c r="W374">
        <v>0</v>
      </c>
      <c r="X374">
        <v>5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2</v>
      </c>
      <c r="AE374">
        <v>0</v>
      </c>
      <c r="AF374">
        <v>2</v>
      </c>
      <c r="AG374">
        <v>1</v>
      </c>
      <c r="AH374">
        <v>2</v>
      </c>
      <c r="AI374">
        <v>2</v>
      </c>
      <c r="AJ374">
        <v>3</v>
      </c>
      <c r="AK374">
        <v>1</v>
      </c>
      <c r="AL374">
        <v>0</v>
      </c>
      <c r="AM374" s="367" t="s">
        <v>4718</v>
      </c>
    </row>
    <row r="375" spans="1:40">
      <c r="A375">
        <v>2355</v>
      </c>
      <c r="B375" t="s">
        <v>5058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 s="367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 s="367">
        <v>0</v>
      </c>
      <c r="U375">
        <v>0</v>
      </c>
      <c r="V375">
        <v>0</v>
      </c>
      <c r="W375">
        <v>2</v>
      </c>
      <c r="X375">
        <v>0</v>
      </c>
      <c r="Y375">
        <v>2</v>
      </c>
      <c r="Z375">
        <v>2</v>
      </c>
      <c r="AA375">
        <v>0</v>
      </c>
      <c r="AB375">
        <v>1</v>
      </c>
      <c r="AC375">
        <v>2</v>
      </c>
      <c r="AD375">
        <v>0</v>
      </c>
      <c r="AE375">
        <v>3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</row>
    <row r="376" spans="1:40">
      <c r="A376">
        <v>2356</v>
      </c>
      <c r="B376" t="s">
        <v>5059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 s="367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 s="367">
        <v>0</v>
      </c>
      <c r="U376">
        <v>25</v>
      </c>
      <c r="V376">
        <v>2</v>
      </c>
      <c r="W376">
        <v>2</v>
      </c>
      <c r="X376">
        <v>0</v>
      </c>
      <c r="Y376">
        <v>1</v>
      </c>
      <c r="Z376">
        <v>16</v>
      </c>
      <c r="AA376">
        <v>17</v>
      </c>
      <c r="AB376">
        <v>0</v>
      </c>
      <c r="AC376">
        <v>0</v>
      </c>
      <c r="AD376">
        <v>0</v>
      </c>
      <c r="AE376">
        <v>6</v>
      </c>
      <c r="AF376">
        <v>0</v>
      </c>
      <c r="AG376">
        <v>0</v>
      </c>
      <c r="AH376">
        <v>0</v>
      </c>
      <c r="AI376">
        <v>2</v>
      </c>
      <c r="AJ376">
        <v>1</v>
      </c>
      <c r="AK376">
        <v>25</v>
      </c>
      <c r="AL376">
        <v>2</v>
      </c>
      <c r="AM376" s="367" t="s">
        <v>6168</v>
      </c>
      <c r="AN376" s="367" t="s">
        <v>4718</v>
      </c>
    </row>
    <row r="377" spans="1:40">
      <c r="A377">
        <v>2357</v>
      </c>
      <c r="B377" t="s">
        <v>5060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 s="36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 s="367">
        <v>0</v>
      </c>
      <c r="U377">
        <v>13</v>
      </c>
      <c r="V377">
        <v>3</v>
      </c>
      <c r="W377">
        <v>0</v>
      </c>
      <c r="X377">
        <v>0</v>
      </c>
      <c r="Y377">
        <v>0</v>
      </c>
      <c r="Z377">
        <v>2</v>
      </c>
      <c r="AA377">
        <v>17</v>
      </c>
      <c r="AB377">
        <v>1</v>
      </c>
      <c r="AC377">
        <v>2</v>
      </c>
      <c r="AD377">
        <v>3</v>
      </c>
      <c r="AE377">
        <v>2</v>
      </c>
      <c r="AF377">
        <v>7</v>
      </c>
      <c r="AG377">
        <v>0</v>
      </c>
      <c r="AH377">
        <v>0</v>
      </c>
      <c r="AI377">
        <v>0</v>
      </c>
      <c r="AJ377">
        <v>0</v>
      </c>
      <c r="AK377">
        <v>13</v>
      </c>
      <c r="AL377">
        <v>3</v>
      </c>
      <c r="AM377" s="367" t="s">
        <v>3544</v>
      </c>
      <c r="AN377" s="367" t="s">
        <v>3542</v>
      </c>
    </row>
    <row r="378" spans="1:40">
      <c r="A378">
        <v>2358</v>
      </c>
      <c r="B378" t="s">
        <v>5061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 s="367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 s="367">
        <v>0</v>
      </c>
      <c r="U378">
        <v>0</v>
      </c>
      <c r="V378">
        <v>4</v>
      </c>
      <c r="W378">
        <v>3</v>
      </c>
      <c r="X378">
        <v>3</v>
      </c>
      <c r="Y378">
        <v>3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8</v>
      </c>
      <c r="AJ378">
        <v>0</v>
      </c>
      <c r="AK378">
        <v>0</v>
      </c>
      <c r="AL378">
        <v>4</v>
      </c>
      <c r="AN378" s="367" t="s">
        <v>6775</v>
      </c>
    </row>
    <row r="379" spans="1:40">
      <c r="A379">
        <v>2359</v>
      </c>
      <c r="B379" t="s">
        <v>5062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 s="367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 s="367">
        <v>0</v>
      </c>
      <c r="U379">
        <v>1</v>
      </c>
      <c r="V379">
        <v>0</v>
      </c>
      <c r="W379">
        <v>1</v>
      </c>
      <c r="X379">
        <v>5</v>
      </c>
      <c r="Y379">
        <v>1</v>
      </c>
      <c r="Z379">
        <v>2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4</v>
      </c>
      <c r="AJ379">
        <v>1</v>
      </c>
      <c r="AK379">
        <v>1</v>
      </c>
      <c r="AL379">
        <v>0</v>
      </c>
      <c r="AM379" s="367" t="s">
        <v>4718</v>
      </c>
    </row>
    <row r="380" spans="1:40">
      <c r="A380">
        <v>2360</v>
      </c>
      <c r="B380" t="s">
        <v>5063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 s="367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 s="367">
        <v>0</v>
      </c>
      <c r="U380">
        <v>1</v>
      </c>
      <c r="V380">
        <v>1</v>
      </c>
      <c r="W380">
        <v>0</v>
      </c>
      <c r="X380">
        <v>0</v>
      </c>
      <c r="Y380">
        <v>0</v>
      </c>
      <c r="Z380">
        <v>2</v>
      </c>
      <c r="AA380">
        <v>2</v>
      </c>
      <c r="AB380">
        <v>5</v>
      </c>
      <c r="AC380">
        <v>0</v>
      </c>
      <c r="AD380">
        <v>1</v>
      </c>
      <c r="AE380">
        <v>5</v>
      </c>
      <c r="AF380">
        <v>1</v>
      </c>
      <c r="AG380">
        <v>0</v>
      </c>
      <c r="AH380">
        <v>0</v>
      </c>
      <c r="AI380">
        <v>0</v>
      </c>
      <c r="AJ380">
        <v>0</v>
      </c>
      <c r="AK380">
        <v>1</v>
      </c>
      <c r="AL380">
        <v>1</v>
      </c>
      <c r="AM380" s="367" t="s">
        <v>6775</v>
      </c>
      <c r="AN380" s="367" t="s">
        <v>4718</v>
      </c>
    </row>
    <row r="381" spans="1:40">
      <c r="A381">
        <v>2362</v>
      </c>
      <c r="B381" t="s">
        <v>5064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 s="367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 s="367">
        <v>0</v>
      </c>
      <c r="U381">
        <v>0</v>
      </c>
      <c r="V381">
        <v>0</v>
      </c>
      <c r="W381">
        <v>2</v>
      </c>
      <c r="X381">
        <v>0</v>
      </c>
      <c r="Y381">
        <v>0</v>
      </c>
      <c r="Z381">
        <v>2</v>
      </c>
      <c r="AA381">
        <v>0</v>
      </c>
      <c r="AB381">
        <v>0</v>
      </c>
      <c r="AC381">
        <v>1</v>
      </c>
      <c r="AD381">
        <v>0</v>
      </c>
      <c r="AE381">
        <v>3</v>
      </c>
      <c r="AF381">
        <v>2</v>
      </c>
      <c r="AG381">
        <v>0</v>
      </c>
      <c r="AH381">
        <v>0</v>
      </c>
      <c r="AI381">
        <v>1</v>
      </c>
      <c r="AJ381">
        <v>0</v>
      </c>
      <c r="AK381">
        <v>0</v>
      </c>
      <c r="AL381">
        <v>0</v>
      </c>
    </row>
    <row r="382" spans="1:40">
      <c r="A382">
        <v>2363</v>
      </c>
      <c r="B382" t="s">
        <v>5065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 s="367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 s="367">
        <v>0</v>
      </c>
      <c r="U382">
        <v>0</v>
      </c>
      <c r="V382">
        <v>0</v>
      </c>
      <c r="W382">
        <v>2</v>
      </c>
      <c r="X382">
        <v>0</v>
      </c>
      <c r="Y382">
        <v>2</v>
      </c>
      <c r="Z382">
        <v>2</v>
      </c>
      <c r="AA382">
        <v>0</v>
      </c>
      <c r="AB382">
        <v>1</v>
      </c>
      <c r="AC382">
        <v>0</v>
      </c>
      <c r="AD382">
        <v>0</v>
      </c>
      <c r="AE382">
        <v>2</v>
      </c>
      <c r="AF382">
        <v>0</v>
      </c>
      <c r="AG382">
        <v>0</v>
      </c>
      <c r="AH382">
        <v>0</v>
      </c>
      <c r="AI382">
        <v>0</v>
      </c>
      <c r="AJ382">
        <v>1</v>
      </c>
      <c r="AK382">
        <v>0</v>
      </c>
      <c r="AL382">
        <v>0</v>
      </c>
    </row>
    <row r="383" spans="1:40">
      <c r="A383">
        <v>2365</v>
      </c>
      <c r="B383" t="s">
        <v>5066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 s="367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 s="367">
        <v>0</v>
      </c>
      <c r="U383">
        <v>1</v>
      </c>
      <c r="V383">
        <v>2</v>
      </c>
      <c r="W383">
        <v>1</v>
      </c>
      <c r="X383">
        <v>0</v>
      </c>
      <c r="Y383">
        <v>5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6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1</v>
      </c>
      <c r="AL383">
        <v>2</v>
      </c>
      <c r="AM383" s="367" t="s">
        <v>3542</v>
      </c>
      <c r="AN383" s="367" t="s">
        <v>4718</v>
      </c>
    </row>
    <row r="384" spans="1:40">
      <c r="A384">
        <v>2367</v>
      </c>
      <c r="B384" t="s">
        <v>5067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 s="367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 s="367">
        <v>0</v>
      </c>
      <c r="U384">
        <v>0</v>
      </c>
      <c r="V384">
        <v>0</v>
      </c>
      <c r="W384">
        <v>2</v>
      </c>
      <c r="X384">
        <v>2</v>
      </c>
      <c r="Y384">
        <v>2</v>
      </c>
      <c r="Z384">
        <v>2</v>
      </c>
      <c r="AA384">
        <v>0</v>
      </c>
      <c r="AB384">
        <v>3</v>
      </c>
      <c r="AC384">
        <v>2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</row>
    <row r="385" spans="1:40">
      <c r="A385">
        <v>2369</v>
      </c>
      <c r="B385" t="s">
        <v>5069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 s="367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 s="367">
        <v>0</v>
      </c>
      <c r="U385">
        <v>0</v>
      </c>
      <c r="V385">
        <v>0</v>
      </c>
      <c r="W385">
        <v>0</v>
      </c>
      <c r="X385">
        <v>1</v>
      </c>
      <c r="Y385">
        <v>0</v>
      </c>
      <c r="Z385">
        <v>1</v>
      </c>
      <c r="AA385">
        <v>0</v>
      </c>
      <c r="AB385">
        <v>1</v>
      </c>
      <c r="AC385">
        <v>0</v>
      </c>
      <c r="AD385">
        <v>1</v>
      </c>
      <c r="AE385">
        <v>0</v>
      </c>
      <c r="AF385">
        <v>1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</row>
    <row r="386" spans="1:40">
      <c r="A386">
        <v>2373</v>
      </c>
      <c r="B386" t="s">
        <v>5071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 s="367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 s="367">
        <v>0</v>
      </c>
      <c r="U386">
        <v>0</v>
      </c>
      <c r="V386">
        <v>0</v>
      </c>
      <c r="W386">
        <v>0</v>
      </c>
      <c r="X386">
        <v>0</v>
      </c>
      <c r="Y386">
        <v>2</v>
      </c>
      <c r="Z386">
        <v>2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</row>
    <row r="387" spans="1:40">
      <c r="A387">
        <v>2374</v>
      </c>
      <c r="B387" t="s">
        <v>5072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 s="36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 s="367">
        <v>0</v>
      </c>
      <c r="U387">
        <v>2</v>
      </c>
      <c r="V387">
        <v>0</v>
      </c>
      <c r="W387">
        <v>0</v>
      </c>
      <c r="X387">
        <v>1</v>
      </c>
      <c r="Y387">
        <v>6</v>
      </c>
      <c r="Z387">
        <v>4</v>
      </c>
      <c r="AA387">
        <v>0</v>
      </c>
      <c r="AB387">
        <v>1</v>
      </c>
      <c r="AC387">
        <v>1</v>
      </c>
      <c r="AD387">
        <v>1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2</v>
      </c>
      <c r="AL387">
        <v>0</v>
      </c>
      <c r="AM387" s="367" t="s">
        <v>3542</v>
      </c>
    </row>
    <row r="388" spans="1:40">
      <c r="A388">
        <v>2375</v>
      </c>
      <c r="B388" t="s">
        <v>5073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 s="367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 s="367">
        <v>0</v>
      </c>
      <c r="U388">
        <v>0</v>
      </c>
      <c r="V388">
        <v>0</v>
      </c>
      <c r="W388">
        <v>3</v>
      </c>
      <c r="X388">
        <v>0</v>
      </c>
      <c r="Y388">
        <v>3</v>
      </c>
      <c r="Z388">
        <v>2</v>
      </c>
      <c r="AA388">
        <v>0</v>
      </c>
      <c r="AB388">
        <v>3</v>
      </c>
      <c r="AC388">
        <v>0</v>
      </c>
      <c r="AD388">
        <v>0</v>
      </c>
      <c r="AE388">
        <v>3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</row>
    <row r="389" spans="1:40">
      <c r="A389">
        <v>2376</v>
      </c>
      <c r="B389" t="s">
        <v>5074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 s="367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 s="367">
        <v>0</v>
      </c>
      <c r="U389">
        <v>3</v>
      </c>
      <c r="V389">
        <v>0</v>
      </c>
      <c r="W389">
        <v>0</v>
      </c>
      <c r="X389">
        <v>1</v>
      </c>
      <c r="Y389">
        <v>0</v>
      </c>
      <c r="Z389">
        <v>7</v>
      </c>
      <c r="AA389">
        <v>0</v>
      </c>
      <c r="AB389">
        <v>0</v>
      </c>
      <c r="AC389">
        <v>0</v>
      </c>
      <c r="AD389">
        <v>1</v>
      </c>
      <c r="AE389">
        <v>0</v>
      </c>
      <c r="AF389">
        <v>1</v>
      </c>
      <c r="AG389">
        <v>0</v>
      </c>
      <c r="AH389">
        <v>0</v>
      </c>
      <c r="AI389">
        <v>1</v>
      </c>
      <c r="AJ389">
        <v>1</v>
      </c>
      <c r="AK389">
        <v>3</v>
      </c>
      <c r="AL389">
        <v>0</v>
      </c>
      <c r="AM389" s="367" t="s">
        <v>3543</v>
      </c>
    </row>
    <row r="390" spans="1:40">
      <c r="A390">
        <v>2377</v>
      </c>
      <c r="B390" t="s">
        <v>5075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 s="367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 s="367">
        <v>0</v>
      </c>
      <c r="U390">
        <v>22</v>
      </c>
      <c r="V390">
        <v>1</v>
      </c>
      <c r="W390">
        <v>0</v>
      </c>
      <c r="X390">
        <v>0</v>
      </c>
      <c r="Y390">
        <v>0</v>
      </c>
      <c r="Z390">
        <v>5</v>
      </c>
      <c r="AA390">
        <v>25</v>
      </c>
      <c r="AB390">
        <v>3</v>
      </c>
      <c r="AC390">
        <v>1</v>
      </c>
      <c r="AD390">
        <v>1</v>
      </c>
      <c r="AE390">
        <v>1</v>
      </c>
      <c r="AF390">
        <v>5</v>
      </c>
      <c r="AG390">
        <v>0</v>
      </c>
      <c r="AH390">
        <v>0</v>
      </c>
      <c r="AI390">
        <v>0</v>
      </c>
      <c r="AJ390">
        <v>0</v>
      </c>
      <c r="AK390">
        <v>22</v>
      </c>
      <c r="AL390">
        <v>1</v>
      </c>
      <c r="AM390" s="367" t="s">
        <v>6168</v>
      </c>
      <c r="AN390" s="367" t="s">
        <v>3542</v>
      </c>
    </row>
    <row r="391" spans="1:40">
      <c r="A391">
        <v>2379</v>
      </c>
      <c r="B391" t="s">
        <v>5076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 s="367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 s="367">
        <v>0</v>
      </c>
      <c r="U391">
        <v>1</v>
      </c>
      <c r="V391">
        <v>0</v>
      </c>
      <c r="W391">
        <v>3</v>
      </c>
      <c r="X391">
        <v>0</v>
      </c>
      <c r="Y391">
        <v>1</v>
      </c>
      <c r="Z391">
        <v>5</v>
      </c>
      <c r="AA391">
        <v>2</v>
      </c>
      <c r="AB391">
        <v>0</v>
      </c>
      <c r="AC391">
        <v>0</v>
      </c>
      <c r="AD391">
        <v>0</v>
      </c>
      <c r="AE391">
        <v>1</v>
      </c>
      <c r="AF391">
        <v>0</v>
      </c>
      <c r="AG391">
        <v>0</v>
      </c>
      <c r="AH391">
        <v>0</v>
      </c>
      <c r="AI391">
        <v>1</v>
      </c>
      <c r="AJ391">
        <v>2</v>
      </c>
      <c r="AK391">
        <v>1</v>
      </c>
      <c r="AL391">
        <v>0</v>
      </c>
      <c r="AM391" s="367" t="s">
        <v>3543</v>
      </c>
    </row>
    <row r="392" spans="1:40">
      <c r="A392">
        <v>2382</v>
      </c>
      <c r="B392" t="s">
        <v>5077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 s="367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 s="367">
        <v>0</v>
      </c>
      <c r="U392">
        <v>20</v>
      </c>
      <c r="V392">
        <v>7</v>
      </c>
      <c r="W392">
        <v>0</v>
      </c>
      <c r="X392">
        <v>2</v>
      </c>
      <c r="Y392">
        <v>0</v>
      </c>
      <c r="Z392">
        <v>15</v>
      </c>
      <c r="AA392">
        <v>13</v>
      </c>
      <c r="AB392">
        <v>0</v>
      </c>
      <c r="AC392">
        <v>0</v>
      </c>
      <c r="AD392">
        <v>5</v>
      </c>
      <c r="AE392">
        <v>0</v>
      </c>
      <c r="AF392">
        <v>10</v>
      </c>
      <c r="AG392">
        <v>0</v>
      </c>
      <c r="AH392">
        <v>0</v>
      </c>
      <c r="AI392">
        <v>3</v>
      </c>
      <c r="AJ392">
        <v>3</v>
      </c>
      <c r="AK392">
        <v>20</v>
      </c>
      <c r="AL392">
        <v>7</v>
      </c>
      <c r="AM392" s="367" t="s">
        <v>6168</v>
      </c>
      <c r="AN392" s="367" t="s">
        <v>6785</v>
      </c>
    </row>
    <row r="393" spans="1:40">
      <c r="A393">
        <v>2385</v>
      </c>
      <c r="B393" t="s">
        <v>5079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 s="367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 s="367">
        <v>0</v>
      </c>
      <c r="U393">
        <v>0</v>
      </c>
      <c r="V393">
        <v>5</v>
      </c>
      <c r="W393">
        <v>3</v>
      </c>
      <c r="X393">
        <v>0</v>
      </c>
      <c r="Y393">
        <v>0</v>
      </c>
      <c r="Z393">
        <v>3</v>
      </c>
      <c r="AA393">
        <v>0</v>
      </c>
      <c r="AB393">
        <v>0</v>
      </c>
      <c r="AC393">
        <v>0</v>
      </c>
      <c r="AD393">
        <v>0</v>
      </c>
      <c r="AE393">
        <v>3</v>
      </c>
      <c r="AF393">
        <v>9</v>
      </c>
      <c r="AG393">
        <v>0</v>
      </c>
      <c r="AH393">
        <v>1</v>
      </c>
      <c r="AI393">
        <v>2</v>
      </c>
      <c r="AJ393">
        <v>0</v>
      </c>
      <c r="AK393">
        <v>0</v>
      </c>
      <c r="AL393">
        <v>5</v>
      </c>
      <c r="AN393" s="367" t="s">
        <v>3542</v>
      </c>
    </row>
    <row r="394" spans="1:40">
      <c r="A394">
        <v>2387</v>
      </c>
      <c r="B394" t="s">
        <v>5080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 s="367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 s="367">
        <v>0</v>
      </c>
      <c r="U394">
        <v>1</v>
      </c>
      <c r="V394">
        <v>3</v>
      </c>
      <c r="W394">
        <v>0</v>
      </c>
      <c r="X394">
        <v>0</v>
      </c>
      <c r="Y394">
        <v>5</v>
      </c>
      <c r="Z394">
        <v>0</v>
      </c>
      <c r="AA394">
        <v>0</v>
      </c>
      <c r="AB394">
        <v>1</v>
      </c>
      <c r="AC394">
        <v>2</v>
      </c>
      <c r="AD394">
        <v>1</v>
      </c>
      <c r="AE394">
        <v>7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1</v>
      </c>
      <c r="AL394">
        <v>3</v>
      </c>
      <c r="AM394" s="367" t="s">
        <v>3542</v>
      </c>
      <c r="AN394" s="367" t="s">
        <v>4718</v>
      </c>
    </row>
    <row r="395" spans="1:40">
      <c r="A395">
        <v>2388</v>
      </c>
      <c r="B395" t="s">
        <v>5081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 s="367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 s="367">
        <v>0</v>
      </c>
      <c r="U395">
        <v>5</v>
      </c>
      <c r="V395">
        <v>6</v>
      </c>
      <c r="W395">
        <v>5</v>
      </c>
      <c r="X395">
        <v>0</v>
      </c>
      <c r="Y395">
        <v>8</v>
      </c>
      <c r="Z395">
        <v>2</v>
      </c>
      <c r="AA395">
        <v>0</v>
      </c>
      <c r="AB395">
        <v>0</v>
      </c>
      <c r="AC395">
        <v>0</v>
      </c>
      <c r="AD395">
        <v>0</v>
      </c>
      <c r="AE395">
        <v>10</v>
      </c>
      <c r="AF395">
        <v>0</v>
      </c>
      <c r="AG395">
        <v>0</v>
      </c>
      <c r="AH395">
        <v>0</v>
      </c>
      <c r="AI395">
        <v>1</v>
      </c>
      <c r="AJ395">
        <v>1</v>
      </c>
      <c r="AK395">
        <v>5</v>
      </c>
      <c r="AL395">
        <v>6</v>
      </c>
      <c r="AM395" s="367" t="s">
        <v>6785</v>
      </c>
      <c r="AN395" s="367" t="s">
        <v>4718</v>
      </c>
    </row>
    <row r="396" spans="1:40">
      <c r="A396">
        <v>2392</v>
      </c>
      <c r="B396" t="s">
        <v>5083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 s="367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 s="367">
        <v>0</v>
      </c>
      <c r="U396">
        <v>0</v>
      </c>
      <c r="V396">
        <v>0</v>
      </c>
      <c r="W396">
        <v>2</v>
      </c>
      <c r="X396">
        <v>1</v>
      </c>
      <c r="Y396">
        <v>3</v>
      </c>
      <c r="Z396">
        <v>2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1</v>
      </c>
      <c r="AJ396">
        <v>1</v>
      </c>
      <c r="AK396">
        <v>0</v>
      </c>
      <c r="AL396">
        <v>0</v>
      </c>
    </row>
    <row r="397" spans="1:40">
      <c r="A397">
        <v>2393</v>
      </c>
      <c r="B397" t="s">
        <v>5084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 s="36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 s="367">
        <v>0</v>
      </c>
      <c r="U397">
        <v>0</v>
      </c>
      <c r="V397">
        <v>0</v>
      </c>
      <c r="W397">
        <v>2</v>
      </c>
      <c r="X397">
        <v>1</v>
      </c>
      <c r="Y397">
        <v>2</v>
      </c>
      <c r="Z397">
        <v>0</v>
      </c>
      <c r="AA397">
        <v>0</v>
      </c>
      <c r="AB397">
        <v>0</v>
      </c>
      <c r="AC397">
        <v>1</v>
      </c>
      <c r="AD397">
        <v>0</v>
      </c>
      <c r="AE397">
        <v>0</v>
      </c>
      <c r="AF397">
        <v>0</v>
      </c>
      <c r="AG397">
        <v>1</v>
      </c>
      <c r="AH397">
        <v>0</v>
      </c>
      <c r="AI397">
        <v>4</v>
      </c>
      <c r="AJ397">
        <v>0</v>
      </c>
      <c r="AK397">
        <v>0</v>
      </c>
      <c r="AL397">
        <v>0</v>
      </c>
    </row>
    <row r="398" spans="1:40">
      <c r="A398">
        <v>2395</v>
      </c>
      <c r="B398" t="s">
        <v>5085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 s="367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 s="367">
        <v>0</v>
      </c>
      <c r="U398">
        <v>0</v>
      </c>
      <c r="V398">
        <v>0</v>
      </c>
      <c r="W398">
        <v>3</v>
      </c>
      <c r="X398">
        <v>0</v>
      </c>
      <c r="Y398">
        <v>3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4</v>
      </c>
      <c r="AF398">
        <v>0</v>
      </c>
      <c r="AG398">
        <v>1</v>
      </c>
      <c r="AH398">
        <v>1</v>
      </c>
      <c r="AI398">
        <v>3</v>
      </c>
      <c r="AJ398">
        <v>0</v>
      </c>
      <c r="AK398">
        <v>0</v>
      </c>
      <c r="AL398">
        <v>0</v>
      </c>
    </row>
    <row r="399" spans="1:40">
      <c r="A399">
        <v>2397</v>
      </c>
      <c r="B399" t="s">
        <v>5086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 s="367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 s="367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3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</row>
    <row r="400" spans="1:40">
      <c r="A400">
        <v>2399</v>
      </c>
      <c r="B400" t="s">
        <v>5087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 s="367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 s="367">
        <v>0</v>
      </c>
      <c r="U400">
        <v>1</v>
      </c>
      <c r="V400">
        <v>0</v>
      </c>
      <c r="W400">
        <v>2</v>
      </c>
      <c r="X400">
        <v>1</v>
      </c>
      <c r="Y400">
        <v>2</v>
      </c>
      <c r="Z400">
        <v>0</v>
      </c>
      <c r="AA400">
        <v>0</v>
      </c>
      <c r="AB400">
        <v>5</v>
      </c>
      <c r="AC400">
        <v>0</v>
      </c>
      <c r="AD400">
        <v>0</v>
      </c>
      <c r="AE400">
        <v>0</v>
      </c>
      <c r="AF400">
        <v>0</v>
      </c>
      <c r="AG400">
        <v>1</v>
      </c>
      <c r="AH400">
        <v>0</v>
      </c>
      <c r="AI400">
        <v>0</v>
      </c>
      <c r="AJ400">
        <v>1</v>
      </c>
      <c r="AK400">
        <v>1</v>
      </c>
      <c r="AL400">
        <v>0</v>
      </c>
      <c r="AM400" s="367" t="s">
        <v>6775</v>
      </c>
    </row>
    <row r="401" spans="1:40">
      <c r="A401">
        <v>2401</v>
      </c>
      <c r="B401" t="s">
        <v>5088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 s="367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 s="367">
        <v>0</v>
      </c>
      <c r="U401">
        <v>1</v>
      </c>
      <c r="V401">
        <v>0</v>
      </c>
      <c r="W401">
        <v>2</v>
      </c>
      <c r="X401">
        <v>1</v>
      </c>
      <c r="Y401">
        <v>5</v>
      </c>
      <c r="Z401">
        <v>0</v>
      </c>
      <c r="AA401">
        <v>0</v>
      </c>
      <c r="AB401">
        <v>3</v>
      </c>
      <c r="AC401">
        <v>1</v>
      </c>
      <c r="AD401">
        <v>0</v>
      </c>
      <c r="AE401">
        <v>0</v>
      </c>
      <c r="AF401">
        <v>0</v>
      </c>
      <c r="AG401">
        <v>1</v>
      </c>
      <c r="AH401">
        <v>0</v>
      </c>
      <c r="AI401">
        <v>0</v>
      </c>
      <c r="AJ401">
        <v>0</v>
      </c>
      <c r="AK401">
        <v>1</v>
      </c>
      <c r="AL401">
        <v>0</v>
      </c>
      <c r="AM401" s="367" t="s">
        <v>3542</v>
      </c>
    </row>
    <row r="402" spans="1:40">
      <c r="A402">
        <v>2402</v>
      </c>
      <c r="B402" t="s">
        <v>5089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 s="367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 s="367">
        <v>0</v>
      </c>
      <c r="U402">
        <v>0</v>
      </c>
      <c r="V402">
        <v>0</v>
      </c>
      <c r="W402">
        <v>2</v>
      </c>
      <c r="X402">
        <v>0</v>
      </c>
      <c r="Y402">
        <v>1</v>
      </c>
      <c r="Z402">
        <v>2</v>
      </c>
      <c r="AA402">
        <v>0</v>
      </c>
      <c r="AB402">
        <v>0</v>
      </c>
      <c r="AC402">
        <v>0</v>
      </c>
      <c r="AD402">
        <v>0</v>
      </c>
      <c r="AE402">
        <v>1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</row>
    <row r="403" spans="1:40">
      <c r="A403">
        <v>2404</v>
      </c>
      <c r="B403" t="s">
        <v>5090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 s="367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 s="367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2</v>
      </c>
      <c r="AA403">
        <v>4</v>
      </c>
      <c r="AB403">
        <v>4</v>
      </c>
      <c r="AC403">
        <v>0</v>
      </c>
      <c r="AD403">
        <v>1</v>
      </c>
      <c r="AE403">
        <v>2</v>
      </c>
      <c r="AF403">
        <v>1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</row>
    <row r="404" spans="1:40">
      <c r="A404">
        <v>2405</v>
      </c>
      <c r="B404" t="s">
        <v>6174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 s="367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 s="367">
        <v>0</v>
      </c>
      <c r="U404">
        <v>1</v>
      </c>
      <c r="V404">
        <v>2</v>
      </c>
      <c r="W404">
        <v>0</v>
      </c>
      <c r="X404">
        <v>5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4</v>
      </c>
      <c r="AE404">
        <v>0</v>
      </c>
      <c r="AF404">
        <v>4</v>
      </c>
      <c r="AG404">
        <v>1</v>
      </c>
      <c r="AH404">
        <v>0</v>
      </c>
      <c r="AI404">
        <v>6</v>
      </c>
      <c r="AJ404">
        <v>0</v>
      </c>
      <c r="AK404">
        <v>1</v>
      </c>
      <c r="AL404">
        <v>2</v>
      </c>
      <c r="AM404" s="367" t="s">
        <v>4718</v>
      </c>
      <c r="AN404" s="367" t="s">
        <v>6775</v>
      </c>
    </row>
    <row r="405" spans="1:40">
      <c r="A405">
        <v>2406</v>
      </c>
      <c r="B405" t="s">
        <v>5091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 s="367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 s="367">
        <v>0</v>
      </c>
      <c r="U405">
        <v>0</v>
      </c>
      <c r="V405">
        <v>0</v>
      </c>
      <c r="W405">
        <v>1</v>
      </c>
      <c r="X405">
        <v>2</v>
      </c>
      <c r="Y405">
        <v>1</v>
      </c>
      <c r="Z405">
        <v>0</v>
      </c>
      <c r="AA405">
        <v>0</v>
      </c>
      <c r="AB405">
        <v>1</v>
      </c>
      <c r="AC405">
        <v>2</v>
      </c>
      <c r="AD405">
        <v>0</v>
      </c>
      <c r="AE405">
        <v>0</v>
      </c>
      <c r="AF405">
        <v>0</v>
      </c>
      <c r="AG405">
        <v>1</v>
      </c>
      <c r="AH405">
        <v>0</v>
      </c>
      <c r="AI405">
        <v>0</v>
      </c>
      <c r="AJ405">
        <v>0</v>
      </c>
      <c r="AK405">
        <v>0</v>
      </c>
      <c r="AL405">
        <v>0</v>
      </c>
    </row>
    <row r="406" spans="1:40">
      <c r="A406">
        <v>2408</v>
      </c>
      <c r="B406" t="s">
        <v>5092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 s="367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 s="367">
        <v>0</v>
      </c>
      <c r="U406">
        <v>17</v>
      </c>
      <c r="V406">
        <v>0</v>
      </c>
      <c r="W406">
        <v>1</v>
      </c>
      <c r="X406">
        <v>0</v>
      </c>
      <c r="Y406">
        <v>3</v>
      </c>
      <c r="Z406">
        <v>2</v>
      </c>
      <c r="AA406">
        <v>21</v>
      </c>
      <c r="AB406">
        <v>1</v>
      </c>
      <c r="AC406">
        <v>0</v>
      </c>
      <c r="AD406">
        <v>0</v>
      </c>
      <c r="AE406">
        <v>1</v>
      </c>
      <c r="AF406">
        <v>0</v>
      </c>
      <c r="AG406">
        <v>0</v>
      </c>
      <c r="AH406">
        <v>0</v>
      </c>
      <c r="AI406">
        <v>0</v>
      </c>
      <c r="AJ406">
        <v>1</v>
      </c>
      <c r="AK406">
        <v>17</v>
      </c>
      <c r="AL406">
        <v>0</v>
      </c>
      <c r="AM406" s="367" t="s">
        <v>3544</v>
      </c>
    </row>
    <row r="407" spans="1:40">
      <c r="A407">
        <v>2409</v>
      </c>
      <c r="B407" t="s">
        <v>5093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 s="36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 s="367">
        <v>0</v>
      </c>
      <c r="U407">
        <v>0</v>
      </c>
      <c r="V407">
        <v>0</v>
      </c>
      <c r="W407">
        <v>1</v>
      </c>
      <c r="X407">
        <v>0</v>
      </c>
      <c r="Y407">
        <v>1</v>
      </c>
      <c r="Z407">
        <v>1</v>
      </c>
      <c r="AA407">
        <v>0</v>
      </c>
      <c r="AB407">
        <v>0</v>
      </c>
      <c r="AC407">
        <v>0</v>
      </c>
      <c r="AD407">
        <v>0</v>
      </c>
      <c r="AE407">
        <v>1</v>
      </c>
      <c r="AF407">
        <v>0</v>
      </c>
      <c r="AG407">
        <v>0</v>
      </c>
      <c r="AH407">
        <v>1</v>
      </c>
      <c r="AI407">
        <v>1</v>
      </c>
      <c r="AJ407">
        <v>1</v>
      </c>
      <c r="AK407">
        <v>0</v>
      </c>
      <c r="AL407">
        <v>0</v>
      </c>
    </row>
    <row r="408" spans="1:40">
      <c r="A408">
        <v>2412</v>
      </c>
      <c r="B408" t="s">
        <v>5094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 s="367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 s="367">
        <v>0</v>
      </c>
      <c r="U408">
        <v>2</v>
      </c>
      <c r="V408">
        <v>0</v>
      </c>
      <c r="W408">
        <v>0</v>
      </c>
      <c r="X408">
        <v>0</v>
      </c>
      <c r="Y408">
        <v>6</v>
      </c>
      <c r="Z408">
        <v>3</v>
      </c>
      <c r="AA408">
        <v>0</v>
      </c>
      <c r="AB408">
        <v>1</v>
      </c>
      <c r="AC408">
        <v>1</v>
      </c>
      <c r="AD408">
        <v>4</v>
      </c>
      <c r="AE408">
        <v>2</v>
      </c>
      <c r="AF408">
        <v>0</v>
      </c>
      <c r="AG408">
        <v>0</v>
      </c>
      <c r="AH408">
        <v>1</v>
      </c>
      <c r="AI408">
        <v>0</v>
      </c>
      <c r="AJ408">
        <v>0</v>
      </c>
      <c r="AK408">
        <v>2</v>
      </c>
      <c r="AL408">
        <v>0</v>
      </c>
      <c r="AM408" s="367" t="s">
        <v>3542</v>
      </c>
    </row>
    <row r="409" spans="1:40">
      <c r="A409">
        <v>2413</v>
      </c>
      <c r="B409" t="s">
        <v>5095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 s="367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 s="367">
        <v>0</v>
      </c>
      <c r="U409">
        <v>0</v>
      </c>
      <c r="V409">
        <v>0</v>
      </c>
      <c r="W409">
        <v>0</v>
      </c>
      <c r="X409">
        <v>0</v>
      </c>
      <c r="Y409">
        <v>2</v>
      </c>
      <c r="Z409">
        <v>2</v>
      </c>
      <c r="AA409">
        <v>0</v>
      </c>
      <c r="AB409">
        <v>1</v>
      </c>
      <c r="AC409">
        <v>0</v>
      </c>
      <c r="AD409">
        <v>2</v>
      </c>
      <c r="AE409">
        <v>3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</row>
    <row r="410" spans="1:40">
      <c r="A410">
        <v>2414</v>
      </c>
      <c r="B410" t="s">
        <v>5096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 s="367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 s="367">
        <v>0</v>
      </c>
      <c r="U410">
        <v>0</v>
      </c>
      <c r="V410">
        <v>23</v>
      </c>
      <c r="W410">
        <v>0</v>
      </c>
      <c r="X410">
        <v>1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10</v>
      </c>
      <c r="AE410">
        <v>0</v>
      </c>
      <c r="AF410">
        <v>21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23</v>
      </c>
      <c r="AN410" s="367" t="s">
        <v>6785</v>
      </c>
    </row>
    <row r="411" spans="1:40">
      <c r="A411">
        <v>2415</v>
      </c>
      <c r="B411" t="s">
        <v>5097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 s="367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 s="367">
        <v>0</v>
      </c>
      <c r="U411">
        <v>0</v>
      </c>
      <c r="V411">
        <v>0</v>
      </c>
      <c r="W411">
        <v>2</v>
      </c>
      <c r="X411">
        <v>1</v>
      </c>
      <c r="Y411">
        <v>2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1</v>
      </c>
      <c r="AH411">
        <v>0</v>
      </c>
      <c r="AI411">
        <v>0</v>
      </c>
      <c r="AJ411">
        <v>0</v>
      </c>
      <c r="AK411">
        <v>0</v>
      </c>
      <c r="AL411">
        <v>0</v>
      </c>
    </row>
    <row r="412" spans="1:40">
      <c r="A412">
        <v>2417</v>
      </c>
      <c r="B412" t="s">
        <v>5098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 s="367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 s="367">
        <v>0</v>
      </c>
      <c r="U412">
        <v>0</v>
      </c>
      <c r="V412">
        <v>4</v>
      </c>
      <c r="W412">
        <v>0</v>
      </c>
      <c r="X412">
        <v>0</v>
      </c>
      <c r="Y412">
        <v>3</v>
      </c>
      <c r="Z412">
        <v>0</v>
      </c>
      <c r="AA412">
        <v>0</v>
      </c>
      <c r="AB412">
        <v>0</v>
      </c>
      <c r="AC412">
        <v>0</v>
      </c>
      <c r="AD412">
        <v>1</v>
      </c>
      <c r="AE412">
        <v>1</v>
      </c>
      <c r="AF412">
        <v>0</v>
      </c>
      <c r="AG412">
        <v>0</v>
      </c>
      <c r="AH412">
        <v>0</v>
      </c>
      <c r="AI412">
        <v>8</v>
      </c>
      <c r="AJ412">
        <v>1</v>
      </c>
      <c r="AK412">
        <v>0</v>
      </c>
      <c r="AL412">
        <v>4</v>
      </c>
      <c r="AN412" s="367" t="s">
        <v>6775</v>
      </c>
    </row>
    <row r="413" spans="1:40">
      <c r="A413">
        <v>2419</v>
      </c>
      <c r="B413" t="s">
        <v>5099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 s="367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 s="367">
        <v>0</v>
      </c>
      <c r="U413">
        <v>5</v>
      </c>
      <c r="V413">
        <v>0</v>
      </c>
      <c r="W413">
        <v>0</v>
      </c>
      <c r="X413">
        <v>0</v>
      </c>
      <c r="Y413">
        <v>2</v>
      </c>
      <c r="Z413">
        <v>2</v>
      </c>
      <c r="AA413">
        <v>0</v>
      </c>
      <c r="AB413">
        <v>1</v>
      </c>
      <c r="AC413">
        <v>9</v>
      </c>
      <c r="AD413">
        <v>1</v>
      </c>
      <c r="AE413">
        <v>3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5</v>
      </c>
      <c r="AL413">
        <v>0</v>
      </c>
      <c r="AM413" s="367" t="s">
        <v>6778</v>
      </c>
    </row>
    <row r="414" spans="1:40">
      <c r="A414">
        <v>2420</v>
      </c>
      <c r="B414" t="s">
        <v>5100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 s="367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 s="367">
        <v>0</v>
      </c>
      <c r="U414">
        <v>0</v>
      </c>
      <c r="V414">
        <v>1</v>
      </c>
      <c r="W414">
        <v>0</v>
      </c>
      <c r="X414">
        <v>0</v>
      </c>
      <c r="Y414">
        <v>0</v>
      </c>
      <c r="Z414">
        <v>2</v>
      </c>
      <c r="AA414">
        <v>0</v>
      </c>
      <c r="AB414">
        <v>0</v>
      </c>
      <c r="AC414">
        <v>0</v>
      </c>
      <c r="AD414">
        <v>5</v>
      </c>
      <c r="AE414">
        <v>3</v>
      </c>
      <c r="AF414">
        <v>4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1</v>
      </c>
      <c r="AN414" s="367" t="s">
        <v>6761</v>
      </c>
    </row>
    <row r="415" spans="1:40">
      <c r="A415">
        <v>2421</v>
      </c>
      <c r="B415" t="s">
        <v>5101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 s="367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 s="367">
        <v>0</v>
      </c>
      <c r="U415">
        <v>0</v>
      </c>
      <c r="V415">
        <v>3</v>
      </c>
      <c r="W415">
        <v>1</v>
      </c>
      <c r="X415">
        <v>0</v>
      </c>
      <c r="Y415">
        <v>1</v>
      </c>
      <c r="Z415">
        <v>2</v>
      </c>
      <c r="AA415">
        <v>0</v>
      </c>
      <c r="AB415">
        <v>1</v>
      </c>
      <c r="AC415">
        <v>3</v>
      </c>
      <c r="AD415">
        <v>0</v>
      </c>
      <c r="AE415">
        <v>7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3</v>
      </c>
      <c r="AN415" s="367" t="s">
        <v>4718</v>
      </c>
    </row>
    <row r="416" spans="1:40">
      <c r="A416">
        <v>2423</v>
      </c>
      <c r="B416" t="s">
        <v>5102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 s="367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 s="367">
        <v>0</v>
      </c>
      <c r="U416">
        <v>0</v>
      </c>
      <c r="V416">
        <v>1</v>
      </c>
      <c r="W416">
        <v>0</v>
      </c>
      <c r="X416">
        <v>1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1</v>
      </c>
      <c r="AE416">
        <v>0</v>
      </c>
      <c r="AF416">
        <v>1</v>
      </c>
      <c r="AG416">
        <v>5</v>
      </c>
      <c r="AH416">
        <v>0</v>
      </c>
      <c r="AI416">
        <v>0</v>
      </c>
      <c r="AJ416">
        <v>0</v>
      </c>
      <c r="AK416">
        <v>0</v>
      </c>
      <c r="AL416">
        <v>1</v>
      </c>
      <c r="AN416" s="367" t="s">
        <v>3543</v>
      </c>
    </row>
    <row r="417" spans="1:40">
      <c r="A417">
        <v>2425</v>
      </c>
      <c r="B417" t="s">
        <v>5103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 s="36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 s="367">
        <v>0</v>
      </c>
      <c r="U417">
        <v>17</v>
      </c>
      <c r="V417">
        <v>0</v>
      </c>
      <c r="W417">
        <v>10</v>
      </c>
      <c r="X417">
        <v>0</v>
      </c>
      <c r="Y417">
        <v>15</v>
      </c>
      <c r="Z417">
        <v>0</v>
      </c>
      <c r="AA417">
        <v>0</v>
      </c>
      <c r="AB417">
        <v>0</v>
      </c>
      <c r="AC417">
        <v>1</v>
      </c>
      <c r="AD417">
        <v>0</v>
      </c>
      <c r="AE417">
        <v>2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17</v>
      </c>
      <c r="AL417">
        <v>0</v>
      </c>
      <c r="AM417" s="367" t="s">
        <v>6785</v>
      </c>
    </row>
    <row r="418" spans="1:40">
      <c r="A418">
        <v>2426</v>
      </c>
      <c r="B418" t="s">
        <v>5104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 s="367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 s="367">
        <v>0</v>
      </c>
      <c r="U418">
        <v>0</v>
      </c>
      <c r="V418">
        <v>0</v>
      </c>
      <c r="W418">
        <v>0</v>
      </c>
      <c r="X418">
        <v>1</v>
      </c>
      <c r="Y418">
        <v>3</v>
      </c>
      <c r="Z418">
        <v>0</v>
      </c>
      <c r="AA418">
        <v>0</v>
      </c>
      <c r="AB418">
        <v>2</v>
      </c>
      <c r="AC418">
        <v>2</v>
      </c>
      <c r="AD418">
        <v>1</v>
      </c>
      <c r="AE418">
        <v>0</v>
      </c>
      <c r="AF418">
        <v>0</v>
      </c>
      <c r="AG418">
        <v>1</v>
      </c>
      <c r="AH418">
        <v>0</v>
      </c>
      <c r="AI418">
        <v>0</v>
      </c>
      <c r="AJ418">
        <v>0</v>
      </c>
      <c r="AK418">
        <v>0</v>
      </c>
      <c r="AL418">
        <v>0</v>
      </c>
    </row>
    <row r="419" spans="1:40">
      <c r="A419">
        <v>2427</v>
      </c>
      <c r="B419" t="s">
        <v>5105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 s="367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 s="367">
        <v>0</v>
      </c>
      <c r="U419">
        <v>0</v>
      </c>
      <c r="V419">
        <v>3</v>
      </c>
      <c r="W419">
        <v>2</v>
      </c>
      <c r="X419">
        <v>4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7</v>
      </c>
      <c r="AG419">
        <v>2</v>
      </c>
      <c r="AH419">
        <v>0</v>
      </c>
      <c r="AI419">
        <v>1</v>
      </c>
      <c r="AJ419">
        <v>0</v>
      </c>
      <c r="AK419">
        <v>0</v>
      </c>
      <c r="AL419">
        <v>3</v>
      </c>
      <c r="AN419" s="367" t="s">
        <v>3542</v>
      </c>
    </row>
    <row r="420" spans="1:40">
      <c r="A420">
        <v>2428</v>
      </c>
      <c r="B420" t="s">
        <v>5106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 s="367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 s="367">
        <v>0</v>
      </c>
      <c r="U420">
        <v>0</v>
      </c>
      <c r="V420">
        <v>0</v>
      </c>
      <c r="W420">
        <v>0</v>
      </c>
      <c r="X420">
        <v>3</v>
      </c>
      <c r="Y420">
        <v>0</v>
      </c>
      <c r="Z420">
        <v>0</v>
      </c>
      <c r="AA420">
        <v>0</v>
      </c>
      <c r="AB420">
        <v>0</v>
      </c>
      <c r="AC420">
        <v>1</v>
      </c>
      <c r="AD420">
        <v>3</v>
      </c>
      <c r="AE420">
        <v>0</v>
      </c>
      <c r="AF420">
        <v>3</v>
      </c>
      <c r="AG420">
        <v>2</v>
      </c>
      <c r="AH420">
        <v>0</v>
      </c>
      <c r="AI420">
        <v>2</v>
      </c>
      <c r="AJ420">
        <v>0</v>
      </c>
      <c r="AK420">
        <v>0</v>
      </c>
      <c r="AL420">
        <v>0</v>
      </c>
    </row>
    <row r="421" spans="1:40">
      <c r="A421">
        <v>2430</v>
      </c>
      <c r="B421" t="s">
        <v>5107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 s="367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 s="367">
        <v>0</v>
      </c>
      <c r="U421">
        <v>0</v>
      </c>
      <c r="V421">
        <v>0</v>
      </c>
      <c r="W421">
        <v>2</v>
      </c>
      <c r="X421">
        <v>2</v>
      </c>
      <c r="Y421">
        <v>2</v>
      </c>
      <c r="Z421">
        <v>4</v>
      </c>
      <c r="AA421">
        <v>0</v>
      </c>
      <c r="AB421">
        <v>1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</row>
    <row r="422" spans="1:40">
      <c r="A422">
        <v>2431</v>
      </c>
      <c r="B422" t="s">
        <v>5108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 s="367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 s="367">
        <v>0</v>
      </c>
      <c r="U422">
        <v>0</v>
      </c>
      <c r="V422">
        <v>0</v>
      </c>
      <c r="W422">
        <v>0</v>
      </c>
      <c r="X422">
        <v>2</v>
      </c>
      <c r="Y422">
        <v>2</v>
      </c>
      <c r="Z422">
        <v>0</v>
      </c>
      <c r="AA422">
        <v>0</v>
      </c>
      <c r="AB422">
        <v>0</v>
      </c>
      <c r="AC422">
        <v>0</v>
      </c>
      <c r="AD422">
        <v>3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1</v>
      </c>
      <c r="AK422">
        <v>0</v>
      </c>
      <c r="AL422">
        <v>0</v>
      </c>
    </row>
    <row r="423" spans="1:40">
      <c r="A423">
        <v>2433</v>
      </c>
      <c r="B423" t="s">
        <v>5109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 s="367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 s="367">
        <v>0</v>
      </c>
      <c r="U423">
        <v>0</v>
      </c>
      <c r="V423">
        <v>0</v>
      </c>
      <c r="W423">
        <v>1</v>
      </c>
      <c r="X423">
        <v>0</v>
      </c>
      <c r="Y423">
        <v>0</v>
      </c>
      <c r="Z423">
        <v>2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1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</row>
    <row r="424" spans="1:40">
      <c r="A424">
        <v>2434</v>
      </c>
      <c r="B424" t="s">
        <v>5110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 s="367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 s="367">
        <v>0</v>
      </c>
      <c r="U424">
        <v>0</v>
      </c>
      <c r="V424">
        <v>0</v>
      </c>
      <c r="W424">
        <v>0</v>
      </c>
      <c r="X424">
        <v>0</v>
      </c>
      <c r="Y424">
        <v>2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</row>
    <row r="425" spans="1:40">
      <c r="A425">
        <v>2436</v>
      </c>
      <c r="B425" t="s">
        <v>5111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 s="367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 s="367">
        <v>0</v>
      </c>
      <c r="U425">
        <v>0</v>
      </c>
      <c r="V425">
        <v>0</v>
      </c>
      <c r="W425">
        <v>2</v>
      </c>
      <c r="X425">
        <v>0</v>
      </c>
      <c r="Y425">
        <v>2</v>
      </c>
      <c r="Z425">
        <v>2</v>
      </c>
      <c r="AA425">
        <v>0</v>
      </c>
      <c r="AB425">
        <v>2</v>
      </c>
      <c r="AC425">
        <v>0</v>
      </c>
      <c r="AD425">
        <v>0</v>
      </c>
      <c r="AE425">
        <v>4</v>
      </c>
      <c r="AF425">
        <v>0</v>
      </c>
      <c r="AG425">
        <v>0</v>
      </c>
      <c r="AH425">
        <v>0</v>
      </c>
      <c r="AI425">
        <v>0</v>
      </c>
      <c r="AJ425">
        <v>3</v>
      </c>
      <c r="AK425">
        <v>0</v>
      </c>
      <c r="AL425">
        <v>0</v>
      </c>
    </row>
    <row r="426" spans="1:40">
      <c r="A426">
        <v>2439</v>
      </c>
      <c r="B426" t="s">
        <v>5112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 s="367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 s="367">
        <v>0</v>
      </c>
      <c r="U426">
        <v>0</v>
      </c>
      <c r="V426">
        <v>4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1</v>
      </c>
      <c r="AC426">
        <v>0</v>
      </c>
      <c r="AD426">
        <v>6</v>
      </c>
      <c r="AE426">
        <v>1</v>
      </c>
      <c r="AF426">
        <v>6</v>
      </c>
      <c r="AG426">
        <v>1</v>
      </c>
      <c r="AH426">
        <v>0</v>
      </c>
      <c r="AI426">
        <v>0</v>
      </c>
      <c r="AJ426">
        <v>1</v>
      </c>
      <c r="AK426">
        <v>0</v>
      </c>
      <c r="AL426">
        <v>4</v>
      </c>
      <c r="AN426" s="367" t="s">
        <v>6785</v>
      </c>
    </row>
    <row r="427" spans="1:40">
      <c r="A427">
        <v>2440</v>
      </c>
      <c r="B427" t="s">
        <v>6175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 s="36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 s="367">
        <v>0</v>
      </c>
      <c r="U427">
        <v>0</v>
      </c>
      <c r="V427">
        <v>0</v>
      </c>
      <c r="W427">
        <v>1</v>
      </c>
      <c r="X427">
        <v>1</v>
      </c>
      <c r="Y427">
        <v>0</v>
      </c>
      <c r="Z427">
        <v>1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1</v>
      </c>
      <c r="AG427">
        <v>0</v>
      </c>
      <c r="AH427">
        <v>0</v>
      </c>
      <c r="AI427">
        <v>2</v>
      </c>
      <c r="AJ427">
        <v>0</v>
      </c>
      <c r="AK427">
        <v>0</v>
      </c>
      <c r="AL427">
        <v>0</v>
      </c>
    </row>
    <row r="428" spans="1:40">
      <c r="A428">
        <v>2441</v>
      </c>
      <c r="B428" t="s">
        <v>5113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 s="367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 s="367">
        <v>0</v>
      </c>
      <c r="U428">
        <v>15</v>
      </c>
      <c r="V428">
        <v>0</v>
      </c>
      <c r="W428">
        <v>5</v>
      </c>
      <c r="X428">
        <v>2</v>
      </c>
      <c r="Y428">
        <v>1</v>
      </c>
      <c r="Z428">
        <v>18</v>
      </c>
      <c r="AA428">
        <v>0</v>
      </c>
      <c r="AB428">
        <v>0</v>
      </c>
      <c r="AC428">
        <v>2</v>
      </c>
      <c r="AD428">
        <v>0</v>
      </c>
      <c r="AE428">
        <v>0</v>
      </c>
      <c r="AF428">
        <v>0</v>
      </c>
      <c r="AG428">
        <v>0</v>
      </c>
      <c r="AH428">
        <v>1</v>
      </c>
      <c r="AI428">
        <v>0</v>
      </c>
      <c r="AJ428">
        <v>0</v>
      </c>
      <c r="AK428">
        <v>15</v>
      </c>
      <c r="AL428">
        <v>0</v>
      </c>
      <c r="AM428" s="367" t="s">
        <v>6792</v>
      </c>
    </row>
    <row r="429" spans="1:40">
      <c r="A429">
        <v>2442</v>
      </c>
      <c r="B429" t="s">
        <v>5114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 s="367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 s="367">
        <v>0</v>
      </c>
      <c r="U429">
        <v>0</v>
      </c>
      <c r="V429">
        <v>7</v>
      </c>
      <c r="W429">
        <v>0</v>
      </c>
      <c r="X429">
        <v>0</v>
      </c>
      <c r="Y429">
        <v>0</v>
      </c>
      <c r="Z429">
        <v>2</v>
      </c>
      <c r="AA429">
        <v>0</v>
      </c>
      <c r="AB429">
        <v>0</v>
      </c>
      <c r="AC429">
        <v>0</v>
      </c>
      <c r="AD429">
        <v>6</v>
      </c>
      <c r="AE429">
        <v>3</v>
      </c>
      <c r="AF429">
        <v>6</v>
      </c>
      <c r="AG429">
        <v>0</v>
      </c>
      <c r="AH429">
        <v>0</v>
      </c>
      <c r="AI429">
        <v>7</v>
      </c>
      <c r="AJ429">
        <v>4</v>
      </c>
      <c r="AK429">
        <v>0</v>
      </c>
      <c r="AL429">
        <v>7</v>
      </c>
      <c r="AN429" s="367" t="s">
        <v>6790</v>
      </c>
    </row>
    <row r="430" spans="1:40">
      <c r="A430">
        <v>2449</v>
      </c>
      <c r="B430" t="s">
        <v>5115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 s="367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 s="367">
        <v>0</v>
      </c>
      <c r="U430">
        <v>4</v>
      </c>
      <c r="V430">
        <v>0</v>
      </c>
      <c r="W430">
        <v>1</v>
      </c>
      <c r="X430">
        <v>0</v>
      </c>
      <c r="Y430">
        <v>8</v>
      </c>
      <c r="Z430">
        <v>3</v>
      </c>
      <c r="AA430">
        <v>0</v>
      </c>
      <c r="AB430">
        <v>0</v>
      </c>
      <c r="AC430">
        <v>1</v>
      </c>
      <c r="AD430">
        <v>0</v>
      </c>
      <c r="AE430">
        <v>1</v>
      </c>
      <c r="AF430">
        <v>0</v>
      </c>
      <c r="AG430">
        <v>0</v>
      </c>
      <c r="AH430">
        <v>1</v>
      </c>
      <c r="AI430">
        <v>1</v>
      </c>
      <c r="AJ430">
        <v>0</v>
      </c>
      <c r="AK430">
        <v>4</v>
      </c>
      <c r="AL430">
        <v>0</v>
      </c>
      <c r="AM430" s="367" t="s">
        <v>3542</v>
      </c>
    </row>
    <row r="431" spans="1:40">
      <c r="A431">
        <v>2450</v>
      </c>
      <c r="B431" t="s">
        <v>5116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 s="367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 s="367">
        <v>0</v>
      </c>
      <c r="U431">
        <v>0</v>
      </c>
      <c r="V431">
        <v>6</v>
      </c>
      <c r="W431">
        <v>0</v>
      </c>
      <c r="X431">
        <v>0</v>
      </c>
      <c r="Y431">
        <v>1</v>
      </c>
      <c r="Z431">
        <v>2</v>
      </c>
      <c r="AA431">
        <v>0</v>
      </c>
      <c r="AB431">
        <v>1</v>
      </c>
      <c r="AC431">
        <v>0</v>
      </c>
      <c r="AD431">
        <v>1</v>
      </c>
      <c r="AE431">
        <v>10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6</v>
      </c>
      <c r="AN431" s="367" t="s">
        <v>4718</v>
      </c>
    </row>
    <row r="432" spans="1:40">
      <c r="A432">
        <v>2451</v>
      </c>
      <c r="B432" t="s">
        <v>5117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 s="367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 s="367">
        <v>0</v>
      </c>
      <c r="U432">
        <v>0</v>
      </c>
      <c r="V432">
        <v>6</v>
      </c>
      <c r="W432">
        <v>0</v>
      </c>
      <c r="X432">
        <v>0</v>
      </c>
      <c r="Y432">
        <v>0</v>
      </c>
      <c r="Z432">
        <v>2</v>
      </c>
      <c r="AA432">
        <v>0</v>
      </c>
      <c r="AB432">
        <v>1</v>
      </c>
      <c r="AC432">
        <v>1</v>
      </c>
      <c r="AD432">
        <v>7</v>
      </c>
      <c r="AE432">
        <v>1</v>
      </c>
      <c r="AF432">
        <v>7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6</v>
      </c>
      <c r="AN432" s="367" t="s">
        <v>6785</v>
      </c>
    </row>
    <row r="433" spans="1:40">
      <c r="A433">
        <v>2454</v>
      </c>
      <c r="B433" t="s">
        <v>5119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 s="367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 s="367">
        <v>0</v>
      </c>
      <c r="U433">
        <v>0</v>
      </c>
      <c r="V433">
        <v>0</v>
      </c>
      <c r="W433">
        <v>0</v>
      </c>
      <c r="X433">
        <v>1</v>
      </c>
      <c r="Y433">
        <v>0</v>
      </c>
      <c r="Z433">
        <v>2</v>
      </c>
      <c r="AA433">
        <v>2</v>
      </c>
      <c r="AB433">
        <v>0</v>
      </c>
      <c r="AC433">
        <v>1</v>
      </c>
      <c r="AD433">
        <v>1</v>
      </c>
      <c r="AE433">
        <v>0</v>
      </c>
      <c r="AF433">
        <v>1</v>
      </c>
      <c r="AG433">
        <v>0</v>
      </c>
      <c r="AH433">
        <v>0</v>
      </c>
      <c r="AI433">
        <v>1</v>
      </c>
      <c r="AJ433">
        <v>0</v>
      </c>
      <c r="AK433">
        <v>0</v>
      </c>
      <c r="AL433">
        <v>0</v>
      </c>
    </row>
    <row r="434" spans="1:40">
      <c r="A434">
        <v>2455</v>
      </c>
      <c r="B434" t="s">
        <v>5120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 s="367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 s="367">
        <v>0</v>
      </c>
      <c r="U434">
        <v>1</v>
      </c>
      <c r="V434">
        <v>0</v>
      </c>
      <c r="W434">
        <v>0</v>
      </c>
      <c r="X434">
        <v>2</v>
      </c>
      <c r="Y434">
        <v>0</v>
      </c>
      <c r="Z434">
        <v>2</v>
      </c>
      <c r="AA434">
        <v>5</v>
      </c>
      <c r="AB434">
        <v>1</v>
      </c>
      <c r="AC434">
        <v>2</v>
      </c>
      <c r="AD434">
        <v>3</v>
      </c>
      <c r="AE434">
        <v>0</v>
      </c>
      <c r="AF434">
        <v>4</v>
      </c>
      <c r="AG434">
        <v>0</v>
      </c>
      <c r="AH434">
        <v>0</v>
      </c>
      <c r="AI434">
        <v>0</v>
      </c>
      <c r="AJ434">
        <v>0</v>
      </c>
      <c r="AK434">
        <v>1</v>
      </c>
      <c r="AL434">
        <v>0</v>
      </c>
      <c r="AM434" s="367" t="s">
        <v>3544</v>
      </c>
    </row>
    <row r="435" spans="1:40">
      <c r="A435">
        <v>2457</v>
      </c>
      <c r="B435" t="s">
        <v>5121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 s="367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 s="367">
        <v>0</v>
      </c>
      <c r="U435">
        <v>0</v>
      </c>
      <c r="V435">
        <v>1</v>
      </c>
      <c r="W435">
        <v>0</v>
      </c>
      <c r="X435">
        <v>1</v>
      </c>
      <c r="Y435">
        <v>0</v>
      </c>
      <c r="Z435">
        <v>2</v>
      </c>
      <c r="AA435">
        <v>0</v>
      </c>
      <c r="AB435">
        <v>0</v>
      </c>
      <c r="AC435">
        <v>0</v>
      </c>
      <c r="AD435">
        <v>1</v>
      </c>
      <c r="AE435">
        <v>0</v>
      </c>
      <c r="AF435">
        <v>1</v>
      </c>
      <c r="AG435">
        <v>0</v>
      </c>
      <c r="AH435">
        <v>0</v>
      </c>
      <c r="AI435">
        <v>5</v>
      </c>
      <c r="AJ435">
        <v>3</v>
      </c>
      <c r="AK435">
        <v>0</v>
      </c>
      <c r="AL435">
        <v>1</v>
      </c>
      <c r="AN435" s="367" t="s">
        <v>6775</v>
      </c>
    </row>
    <row r="436" spans="1:40">
      <c r="A436">
        <v>2458</v>
      </c>
      <c r="B436" t="s">
        <v>5122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 s="367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 s="367">
        <v>0</v>
      </c>
      <c r="U436">
        <v>2</v>
      </c>
      <c r="V436">
        <v>0</v>
      </c>
      <c r="W436">
        <v>4</v>
      </c>
      <c r="X436">
        <v>0</v>
      </c>
      <c r="Y436">
        <v>1</v>
      </c>
      <c r="Z436">
        <v>6</v>
      </c>
      <c r="AA436">
        <v>2</v>
      </c>
      <c r="AB436">
        <v>3</v>
      </c>
      <c r="AC436">
        <v>0</v>
      </c>
      <c r="AD436">
        <v>0</v>
      </c>
      <c r="AE436">
        <v>1</v>
      </c>
      <c r="AF436">
        <v>0</v>
      </c>
      <c r="AG436">
        <v>0</v>
      </c>
      <c r="AH436">
        <v>0</v>
      </c>
      <c r="AI436">
        <v>0</v>
      </c>
      <c r="AJ436">
        <v>1</v>
      </c>
      <c r="AK436">
        <v>2</v>
      </c>
      <c r="AL436">
        <v>0</v>
      </c>
      <c r="AM436" s="367" t="s">
        <v>3543</v>
      </c>
    </row>
    <row r="437" spans="1:40">
      <c r="A437">
        <v>2459</v>
      </c>
      <c r="B437" t="s">
        <v>5123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 s="36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 s="367">
        <v>0</v>
      </c>
      <c r="U437">
        <v>0</v>
      </c>
      <c r="V437">
        <v>0</v>
      </c>
      <c r="W437">
        <v>1</v>
      </c>
      <c r="X437">
        <v>1</v>
      </c>
      <c r="Y437">
        <v>0</v>
      </c>
      <c r="Z437">
        <v>2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1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</row>
    <row r="438" spans="1:40">
      <c r="A438">
        <v>2460</v>
      </c>
      <c r="B438" t="s">
        <v>5124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 s="367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 s="367">
        <v>0</v>
      </c>
      <c r="U438">
        <v>0</v>
      </c>
      <c r="V438">
        <v>0</v>
      </c>
      <c r="W438">
        <v>0</v>
      </c>
      <c r="X438">
        <v>0</v>
      </c>
      <c r="Y438">
        <v>2</v>
      </c>
      <c r="Z438">
        <v>2</v>
      </c>
      <c r="AA438">
        <v>0</v>
      </c>
      <c r="AB438">
        <v>0</v>
      </c>
      <c r="AC438">
        <v>1</v>
      </c>
      <c r="AD438">
        <v>0</v>
      </c>
      <c r="AE438">
        <v>4</v>
      </c>
      <c r="AF438">
        <v>0</v>
      </c>
      <c r="AG438">
        <v>0</v>
      </c>
      <c r="AH438">
        <v>0</v>
      </c>
      <c r="AI438">
        <v>3</v>
      </c>
      <c r="AJ438">
        <v>0</v>
      </c>
      <c r="AK438">
        <v>0</v>
      </c>
      <c r="AL438">
        <v>0</v>
      </c>
    </row>
    <row r="439" spans="1:40">
      <c r="A439">
        <v>2461</v>
      </c>
      <c r="B439" t="s">
        <v>5125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 s="367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 s="367">
        <v>0</v>
      </c>
      <c r="U439">
        <v>0</v>
      </c>
      <c r="V439">
        <v>0</v>
      </c>
      <c r="W439">
        <v>0</v>
      </c>
      <c r="X439">
        <v>1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2</v>
      </c>
      <c r="AE439">
        <v>0</v>
      </c>
      <c r="AF439">
        <v>1</v>
      </c>
      <c r="AG439">
        <v>0</v>
      </c>
      <c r="AH439">
        <v>0</v>
      </c>
      <c r="AI439">
        <v>1</v>
      </c>
      <c r="AJ439">
        <v>0</v>
      </c>
      <c r="AK439">
        <v>0</v>
      </c>
      <c r="AL439">
        <v>0</v>
      </c>
    </row>
    <row r="440" spans="1:40">
      <c r="A440">
        <v>2462</v>
      </c>
      <c r="B440" t="s">
        <v>5126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 s="367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 s="367">
        <v>0</v>
      </c>
      <c r="U440">
        <v>0</v>
      </c>
      <c r="V440">
        <v>0</v>
      </c>
      <c r="W440">
        <v>2</v>
      </c>
      <c r="X440">
        <v>0</v>
      </c>
      <c r="Y440">
        <v>2</v>
      </c>
      <c r="Z440">
        <v>0</v>
      </c>
      <c r="AA440">
        <v>0</v>
      </c>
      <c r="AB440">
        <v>0</v>
      </c>
      <c r="AC440">
        <v>2</v>
      </c>
      <c r="AD440">
        <v>0</v>
      </c>
      <c r="AE440">
        <v>2</v>
      </c>
      <c r="AF440">
        <v>0</v>
      </c>
      <c r="AG440">
        <v>0</v>
      </c>
      <c r="AH440">
        <v>0</v>
      </c>
      <c r="AI440">
        <v>3</v>
      </c>
      <c r="AJ440">
        <v>0</v>
      </c>
      <c r="AK440">
        <v>0</v>
      </c>
      <c r="AL440">
        <v>0</v>
      </c>
    </row>
    <row r="441" spans="1:40">
      <c r="A441">
        <v>2464</v>
      </c>
      <c r="B441" t="s">
        <v>5127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 s="367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 s="367">
        <v>0</v>
      </c>
      <c r="U441">
        <v>0</v>
      </c>
      <c r="V441">
        <v>14</v>
      </c>
      <c r="W441">
        <v>2</v>
      </c>
      <c r="X441">
        <v>0</v>
      </c>
      <c r="Y441">
        <v>2</v>
      </c>
      <c r="Z441">
        <v>2</v>
      </c>
      <c r="AA441">
        <v>0</v>
      </c>
      <c r="AB441">
        <v>0</v>
      </c>
      <c r="AC441">
        <v>0</v>
      </c>
      <c r="AD441">
        <v>0</v>
      </c>
      <c r="AE441">
        <v>18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14</v>
      </c>
      <c r="AN441" s="367" t="s">
        <v>4718</v>
      </c>
    </row>
    <row r="442" spans="1:40">
      <c r="A442">
        <v>2465</v>
      </c>
      <c r="B442" t="s">
        <v>5128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 s="367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 s="367">
        <v>0</v>
      </c>
      <c r="U442">
        <v>0</v>
      </c>
      <c r="V442">
        <v>3</v>
      </c>
      <c r="W442">
        <v>3</v>
      </c>
      <c r="X442">
        <v>0</v>
      </c>
      <c r="Y442">
        <v>3</v>
      </c>
      <c r="Z442">
        <v>0</v>
      </c>
      <c r="AA442">
        <v>0</v>
      </c>
      <c r="AB442">
        <v>1</v>
      </c>
      <c r="AC442">
        <v>2</v>
      </c>
      <c r="AD442">
        <v>0</v>
      </c>
      <c r="AE442">
        <v>7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3</v>
      </c>
      <c r="AN442" s="367" t="s">
        <v>4718</v>
      </c>
    </row>
    <row r="443" spans="1:40">
      <c r="A443">
        <v>2466</v>
      </c>
      <c r="B443" t="s">
        <v>5129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 s="367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 s="367">
        <v>0</v>
      </c>
      <c r="U443">
        <v>0</v>
      </c>
      <c r="V443">
        <v>0</v>
      </c>
      <c r="W443">
        <v>0</v>
      </c>
      <c r="X443">
        <v>0</v>
      </c>
      <c r="Y443">
        <v>3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</row>
    <row r="444" spans="1:40">
      <c r="A444">
        <v>2467</v>
      </c>
      <c r="B444" t="s">
        <v>5130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 s="367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 s="367">
        <v>0</v>
      </c>
      <c r="U444">
        <v>0</v>
      </c>
      <c r="V444">
        <v>0</v>
      </c>
      <c r="W444">
        <v>2</v>
      </c>
      <c r="X444">
        <v>0</v>
      </c>
      <c r="Y444">
        <v>0</v>
      </c>
      <c r="Z444">
        <v>2</v>
      </c>
      <c r="AA444">
        <v>0</v>
      </c>
      <c r="AB444">
        <v>1</v>
      </c>
      <c r="AC444">
        <v>2</v>
      </c>
      <c r="AD444">
        <v>0</v>
      </c>
      <c r="AE444">
        <v>2</v>
      </c>
      <c r="AF444">
        <v>1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</row>
    <row r="445" spans="1:40">
      <c r="A445">
        <v>2468</v>
      </c>
      <c r="B445" t="s">
        <v>5131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 s="367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 s="367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</row>
    <row r="446" spans="1:40">
      <c r="A446">
        <v>2471</v>
      </c>
      <c r="B446" t="s">
        <v>5132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 s="367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 s="367">
        <v>0</v>
      </c>
      <c r="U446">
        <v>0</v>
      </c>
      <c r="V446">
        <v>6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10</v>
      </c>
      <c r="AE446">
        <v>0</v>
      </c>
      <c r="AF446">
        <v>1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6</v>
      </c>
      <c r="AN446" s="367" t="s">
        <v>6761</v>
      </c>
    </row>
    <row r="447" spans="1:40">
      <c r="A447">
        <v>2472</v>
      </c>
      <c r="B447" t="s">
        <v>5133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 s="36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 s="367">
        <v>0</v>
      </c>
      <c r="U447">
        <v>0</v>
      </c>
      <c r="V447">
        <v>0</v>
      </c>
      <c r="W447">
        <v>2</v>
      </c>
      <c r="X447">
        <v>0</v>
      </c>
      <c r="Y447">
        <v>2</v>
      </c>
      <c r="Z447">
        <v>2</v>
      </c>
      <c r="AA447">
        <v>0</v>
      </c>
      <c r="AB447">
        <v>1</v>
      </c>
      <c r="AC447">
        <v>1</v>
      </c>
      <c r="AD447">
        <v>0</v>
      </c>
      <c r="AE447">
        <v>2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</row>
    <row r="448" spans="1:40">
      <c r="A448">
        <v>2474</v>
      </c>
      <c r="B448" t="s">
        <v>5134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 s="367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 s="367">
        <v>0</v>
      </c>
      <c r="U448">
        <v>0</v>
      </c>
      <c r="V448">
        <v>2</v>
      </c>
      <c r="W448">
        <v>3</v>
      </c>
      <c r="X448">
        <v>0</v>
      </c>
      <c r="Y448">
        <v>1</v>
      </c>
      <c r="Z448">
        <v>0</v>
      </c>
      <c r="AA448">
        <v>2</v>
      </c>
      <c r="AB448">
        <v>1</v>
      </c>
      <c r="AC448">
        <v>0</v>
      </c>
      <c r="AD448">
        <v>0</v>
      </c>
      <c r="AE448">
        <v>5</v>
      </c>
      <c r="AF448">
        <v>0</v>
      </c>
      <c r="AG448">
        <v>1</v>
      </c>
      <c r="AH448">
        <v>0</v>
      </c>
      <c r="AI448">
        <v>0</v>
      </c>
      <c r="AJ448">
        <v>5</v>
      </c>
      <c r="AK448">
        <v>0</v>
      </c>
      <c r="AL448">
        <v>2</v>
      </c>
      <c r="AN448" s="367" t="s">
        <v>6835</v>
      </c>
    </row>
    <row r="449" spans="1:40">
      <c r="A449">
        <v>2476</v>
      </c>
      <c r="B449" t="s">
        <v>5135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 s="367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 s="367">
        <v>0</v>
      </c>
      <c r="U449">
        <v>0</v>
      </c>
      <c r="V449">
        <v>1</v>
      </c>
      <c r="W449">
        <v>2</v>
      </c>
      <c r="X449">
        <v>0</v>
      </c>
      <c r="Y449">
        <v>2</v>
      </c>
      <c r="Z449">
        <v>1</v>
      </c>
      <c r="AA449">
        <v>0</v>
      </c>
      <c r="AB449">
        <v>0</v>
      </c>
      <c r="AC449">
        <v>1</v>
      </c>
      <c r="AD449">
        <v>0</v>
      </c>
      <c r="AE449">
        <v>5</v>
      </c>
      <c r="AF449">
        <v>0</v>
      </c>
      <c r="AG449">
        <v>0</v>
      </c>
      <c r="AH449">
        <v>0</v>
      </c>
      <c r="AI449">
        <v>2</v>
      </c>
      <c r="AJ449">
        <v>0</v>
      </c>
      <c r="AK449">
        <v>0</v>
      </c>
      <c r="AL449">
        <v>1</v>
      </c>
      <c r="AN449" s="367" t="s">
        <v>4718</v>
      </c>
    </row>
    <row r="450" spans="1:40">
      <c r="A450">
        <v>2477</v>
      </c>
      <c r="B450" t="s">
        <v>5136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 s="367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 s="367">
        <v>0</v>
      </c>
      <c r="U450">
        <v>0</v>
      </c>
      <c r="V450">
        <v>0</v>
      </c>
      <c r="W450">
        <v>3</v>
      </c>
      <c r="X450">
        <v>0</v>
      </c>
      <c r="Y450">
        <v>2</v>
      </c>
      <c r="Z450">
        <v>2</v>
      </c>
      <c r="AA450">
        <v>0</v>
      </c>
      <c r="AB450">
        <v>4</v>
      </c>
      <c r="AC450">
        <v>0</v>
      </c>
      <c r="AD450">
        <v>0</v>
      </c>
      <c r="AE450">
        <v>1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</row>
    <row r="451" spans="1:40">
      <c r="A451">
        <v>2478</v>
      </c>
      <c r="B451" t="s">
        <v>5137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 s="367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 s="367">
        <v>0</v>
      </c>
      <c r="U451">
        <v>2</v>
      </c>
      <c r="V451">
        <v>2</v>
      </c>
      <c r="W451">
        <v>1</v>
      </c>
      <c r="X451">
        <v>0</v>
      </c>
      <c r="Y451">
        <v>1</v>
      </c>
      <c r="Z451">
        <v>6</v>
      </c>
      <c r="AA451">
        <v>0</v>
      </c>
      <c r="AB451">
        <v>0</v>
      </c>
      <c r="AC451">
        <v>1</v>
      </c>
      <c r="AD451">
        <v>0</v>
      </c>
      <c r="AE451">
        <v>1</v>
      </c>
      <c r="AF451">
        <v>0</v>
      </c>
      <c r="AG451">
        <v>0</v>
      </c>
      <c r="AH451">
        <v>0</v>
      </c>
      <c r="AI451">
        <v>6</v>
      </c>
      <c r="AJ451">
        <v>0</v>
      </c>
      <c r="AK451">
        <v>2</v>
      </c>
      <c r="AL451">
        <v>2</v>
      </c>
      <c r="AM451" s="367" t="s">
        <v>3543</v>
      </c>
      <c r="AN451" s="367" t="s">
        <v>6775</v>
      </c>
    </row>
    <row r="452" spans="1:40">
      <c r="A452">
        <v>2480</v>
      </c>
      <c r="B452" t="s">
        <v>5138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 s="367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 s="367">
        <v>0</v>
      </c>
      <c r="U452">
        <v>0</v>
      </c>
      <c r="V452">
        <v>2</v>
      </c>
      <c r="W452">
        <v>2</v>
      </c>
      <c r="X452">
        <v>1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1</v>
      </c>
      <c r="AG452">
        <v>1</v>
      </c>
      <c r="AH452">
        <v>0</v>
      </c>
      <c r="AI452">
        <v>6</v>
      </c>
      <c r="AJ452">
        <v>0</v>
      </c>
      <c r="AK452">
        <v>0</v>
      </c>
      <c r="AL452">
        <v>2</v>
      </c>
      <c r="AN452" s="367" t="s">
        <v>6775</v>
      </c>
    </row>
    <row r="453" spans="1:40">
      <c r="A453">
        <v>2482</v>
      </c>
      <c r="B453" t="s">
        <v>5140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 s="367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 s="367">
        <v>0</v>
      </c>
      <c r="U453">
        <v>0</v>
      </c>
      <c r="V453">
        <v>1</v>
      </c>
      <c r="W453">
        <v>0</v>
      </c>
      <c r="X453">
        <v>4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1</v>
      </c>
      <c r="AE453">
        <v>0</v>
      </c>
      <c r="AF453">
        <v>3</v>
      </c>
      <c r="AG453">
        <v>0</v>
      </c>
      <c r="AH453">
        <v>0</v>
      </c>
      <c r="AI453">
        <v>0</v>
      </c>
      <c r="AJ453">
        <v>5</v>
      </c>
      <c r="AK453">
        <v>0</v>
      </c>
      <c r="AL453">
        <v>1</v>
      </c>
      <c r="AN453" s="367" t="s">
        <v>6778</v>
      </c>
    </row>
    <row r="454" spans="1:40">
      <c r="A454">
        <v>2483</v>
      </c>
      <c r="B454" t="s">
        <v>5141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 s="367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 s="367">
        <v>0</v>
      </c>
      <c r="U454">
        <v>0</v>
      </c>
      <c r="V454">
        <v>0</v>
      </c>
      <c r="W454">
        <v>0</v>
      </c>
      <c r="X454">
        <v>2</v>
      </c>
      <c r="Y454">
        <v>0</v>
      </c>
      <c r="Z454">
        <v>3</v>
      </c>
      <c r="AA454">
        <v>0</v>
      </c>
      <c r="AB454">
        <v>0</v>
      </c>
      <c r="AC454">
        <v>0</v>
      </c>
      <c r="AD454">
        <v>4</v>
      </c>
      <c r="AE454">
        <v>0</v>
      </c>
      <c r="AF454">
        <v>1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</row>
    <row r="455" spans="1:40">
      <c r="A455">
        <v>2485</v>
      </c>
      <c r="B455" t="s">
        <v>5143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 s="367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 s="367">
        <v>0</v>
      </c>
      <c r="U455">
        <v>0</v>
      </c>
      <c r="V455">
        <v>7</v>
      </c>
      <c r="W455">
        <v>0</v>
      </c>
      <c r="X455">
        <v>0</v>
      </c>
      <c r="Y455">
        <v>2</v>
      </c>
      <c r="Z455">
        <v>2</v>
      </c>
      <c r="AA455">
        <v>0</v>
      </c>
      <c r="AB455">
        <v>0</v>
      </c>
      <c r="AC455">
        <v>0</v>
      </c>
      <c r="AD455">
        <v>8</v>
      </c>
      <c r="AE455">
        <v>1</v>
      </c>
      <c r="AF455">
        <v>0</v>
      </c>
      <c r="AG455">
        <v>0</v>
      </c>
      <c r="AH455">
        <v>0</v>
      </c>
      <c r="AI455">
        <v>7</v>
      </c>
      <c r="AJ455">
        <v>4</v>
      </c>
      <c r="AK455">
        <v>0</v>
      </c>
      <c r="AL455">
        <v>7</v>
      </c>
      <c r="AN455" s="367" t="s">
        <v>6788</v>
      </c>
    </row>
    <row r="456" spans="1:40">
      <c r="A456">
        <v>2486</v>
      </c>
      <c r="B456" t="s">
        <v>5144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 s="367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 s="367">
        <v>0</v>
      </c>
      <c r="U456">
        <v>0</v>
      </c>
      <c r="V456">
        <v>0</v>
      </c>
      <c r="W456">
        <v>3</v>
      </c>
      <c r="X456">
        <v>0</v>
      </c>
      <c r="Y456">
        <v>3</v>
      </c>
      <c r="Z456">
        <v>2</v>
      </c>
      <c r="AA456">
        <v>0</v>
      </c>
      <c r="AB456">
        <v>1</v>
      </c>
      <c r="AC456">
        <v>1</v>
      </c>
      <c r="AD456">
        <v>0</v>
      </c>
      <c r="AE456">
        <v>3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</row>
    <row r="457" spans="1:40">
      <c r="A457">
        <v>2488</v>
      </c>
      <c r="B457" t="s">
        <v>5145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 s="36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 s="367">
        <v>0</v>
      </c>
      <c r="U457">
        <v>0</v>
      </c>
      <c r="V457">
        <v>0</v>
      </c>
      <c r="W457">
        <v>0</v>
      </c>
      <c r="X457">
        <v>3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3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</row>
    <row r="458" spans="1:40">
      <c r="A458">
        <v>2489</v>
      </c>
      <c r="B458" t="s">
        <v>5146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 s="367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 s="367">
        <v>0</v>
      </c>
      <c r="U458">
        <v>1</v>
      </c>
      <c r="V458">
        <v>0</v>
      </c>
      <c r="W458">
        <v>1</v>
      </c>
      <c r="X458">
        <v>0</v>
      </c>
      <c r="Y458">
        <v>1</v>
      </c>
      <c r="Z458">
        <v>5</v>
      </c>
      <c r="AA458">
        <v>0</v>
      </c>
      <c r="AB458">
        <v>0</v>
      </c>
      <c r="AC458">
        <v>0</v>
      </c>
      <c r="AD458">
        <v>0</v>
      </c>
      <c r="AE458">
        <v>3</v>
      </c>
      <c r="AF458">
        <v>0</v>
      </c>
      <c r="AG458">
        <v>0</v>
      </c>
      <c r="AH458">
        <v>0</v>
      </c>
      <c r="AI458">
        <v>2</v>
      </c>
      <c r="AJ458">
        <v>1</v>
      </c>
      <c r="AK458">
        <v>1</v>
      </c>
      <c r="AL458">
        <v>0</v>
      </c>
      <c r="AM458" s="367" t="s">
        <v>3543</v>
      </c>
    </row>
    <row r="459" spans="1:40">
      <c r="A459">
        <v>2491</v>
      </c>
      <c r="B459" t="s">
        <v>5147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 s="367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 s="367">
        <v>0</v>
      </c>
      <c r="U459">
        <v>0</v>
      </c>
      <c r="V459">
        <v>0</v>
      </c>
      <c r="W459">
        <v>0</v>
      </c>
      <c r="X459">
        <v>1</v>
      </c>
      <c r="Y459">
        <v>0</v>
      </c>
      <c r="Z459">
        <v>0</v>
      </c>
      <c r="AA459">
        <v>0</v>
      </c>
      <c r="AB459">
        <v>1</v>
      </c>
      <c r="AC459">
        <v>0</v>
      </c>
      <c r="AD459">
        <v>2</v>
      </c>
      <c r="AE459">
        <v>0</v>
      </c>
      <c r="AF459">
        <v>1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</row>
    <row r="460" spans="1:40">
      <c r="A460">
        <v>2492</v>
      </c>
      <c r="B460" t="s">
        <v>5148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 s="367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 s="367">
        <v>0</v>
      </c>
      <c r="U460">
        <v>0</v>
      </c>
      <c r="V460">
        <v>0</v>
      </c>
      <c r="W460">
        <v>0</v>
      </c>
      <c r="X460">
        <v>1</v>
      </c>
      <c r="Y460">
        <v>3</v>
      </c>
      <c r="Z460">
        <v>3</v>
      </c>
      <c r="AA460">
        <v>0</v>
      </c>
      <c r="AB460">
        <v>1</v>
      </c>
      <c r="AC460">
        <v>1</v>
      </c>
      <c r="AD460">
        <v>1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</row>
    <row r="461" spans="1:40">
      <c r="A461">
        <v>2493</v>
      </c>
      <c r="B461" t="s">
        <v>5149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 s="367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 s="367">
        <v>0</v>
      </c>
      <c r="U461">
        <v>0</v>
      </c>
      <c r="V461">
        <v>0</v>
      </c>
      <c r="W461">
        <v>2</v>
      </c>
      <c r="X461">
        <v>0</v>
      </c>
      <c r="Y461">
        <v>1</v>
      </c>
      <c r="Z461">
        <v>1</v>
      </c>
      <c r="AA461">
        <v>0</v>
      </c>
      <c r="AB461">
        <v>0</v>
      </c>
      <c r="AC461">
        <v>0</v>
      </c>
      <c r="AD461">
        <v>0</v>
      </c>
      <c r="AE461">
        <v>1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</row>
    <row r="462" spans="1:40">
      <c r="A462">
        <v>2495</v>
      </c>
      <c r="B462" t="s">
        <v>5150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 s="367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 s="367">
        <v>0</v>
      </c>
      <c r="U462">
        <v>0</v>
      </c>
      <c r="V462">
        <v>0</v>
      </c>
      <c r="W462">
        <v>0</v>
      </c>
      <c r="X462">
        <v>1</v>
      </c>
      <c r="Y462">
        <v>2</v>
      </c>
      <c r="Z462">
        <v>0</v>
      </c>
      <c r="AA462">
        <v>0</v>
      </c>
      <c r="AB462">
        <v>2</v>
      </c>
      <c r="AC462">
        <v>0</v>
      </c>
      <c r="AD462">
        <v>1</v>
      </c>
      <c r="AE462">
        <v>0</v>
      </c>
      <c r="AF462">
        <v>0</v>
      </c>
      <c r="AG462">
        <v>1</v>
      </c>
      <c r="AH462">
        <v>0</v>
      </c>
      <c r="AI462">
        <v>0</v>
      </c>
      <c r="AJ462">
        <v>0</v>
      </c>
      <c r="AK462">
        <v>0</v>
      </c>
      <c r="AL462">
        <v>0</v>
      </c>
    </row>
    <row r="463" spans="1:40">
      <c r="A463">
        <v>2496</v>
      </c>
      <c r="B463" t="s">
        <v>5151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 s="367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 s="367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1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</row>
    <row r="464" spans="1:40">
      <c r="A464">
        <v>2497</v>
      </c>
      <c r="B464" t="s">
        <v>5152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 s="367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 s="367">
        <v>0</v>
      </c>
      <c r="U464">
        <v>0</v>
      </c>
      <c r="V464">
        <v>0</v>
      </c>
      <c r="W464">
        <v>0</v>
      </c>
      <c r="X464">
        <v>2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1</v>
      </c>
      <c r="AE464">
        <v>0</v>
      </c>
      <c r="AF464">
        <v>1</v>
      </c>
      <c r="AG464">
        <v>1</v>
      </c>
      <c r="AH464">
        <v>0</v>
      </c>
      <c r="AI464">
        <v>1</v>
      </c>
      <c r="AJ464">
        <v>2</v>
      </c>
      <c r="AK464">
        <v>0</v>
      </c>
      <c r="AL464">
        <v>0</v>
      </c>
    </row>
    <row r="465" spans="1:40">
      <c r="A465">
        <v>2498</v>
      </c>
      <c r="B465" t="s">
        <v>5153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 s="367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 s="367">
        <v>0</v>
      </c>
      <c r="U465">
        <v>1</v>
      </c>
      <c r="V465">
        <v>2</v>
      </c>
      <c r="W465">
        <v>3</v>
      </c>
      <c r="X465">
        <v>0</v>
      </c>
      <c r="Y465">
        <v>5</v>
      </c>
      <c r="Z465">
        <v>0</v>
      </c>
      <c r="AA465">
        <v>1</v>
      </c>
      <c r="AB465">
        <v>0</v>
      </c>
      <c r="AC465">
        <v>0</v>
      </c>
      <c r="AD465">
        <v>0</v>
      </c>
      <c r="AE465">
        <v>6</v>
      </c>
      <c r="AF465">
        <v>0</v>
      </c>
      <c r="AG465">
        <v>1</v>
      </c>
      <c r="AH465">
        <v>0</v>
      </c>
      <c r="AI465">
        <v>1</v>
      </c>
      <c r="AJ465">
        <v>4</v>
      </c>
      <c r="AK465">
        <v>1</v>
      </c>
      <c r="AL465">
        <v>2</v>
      </c>
      <c r="AM465" s="367" t="s">
        <v>3542</v>
      </c>
      <c r="AN465" s="367" t="s">
        <v>4718</v>
      </c>
    </row>
    <row r="466" spans="1:40">
      <c r="A466">
        <v>2501</v>
      </c>
      <c r="B466" t="s">
        <v>5154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 s="367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 s="367">
        <v>0</v>
      </c>
      <c r="U466">
        <v>0</v>
      </c>
      <c r="V466">
        <v>3</v>
      </c>
      <c r="W466">
        <v>2</v>
      </c>
      <c r="X466">
        <v>0</v>
      </c>
      <c r="Y466">
        <v>0</v>
      </c>
      <c r="Z466">
        <v>2</v>
      </c>
      <c r="AA466">
        <v>0</v>
      </c>
      <c r="AB466">
        <v>0</v>
      </c>
      <c r="AC466">
        <v>0</v>
      </c>
      <c r="AD466">
        <v>0</v>
      </c>
      <c r="AE466">
        <v>4</v>
      </c>
      <c r="AF466">
        <v>4</v>
      </c>
      <c r="AG466">
        <v>0</v>
      </c>
      <c r="AH466">
        <v>0</v>
      </c>
      <c r="AI466">
        <v>7</v>
      </c>
      <c r="AJ466">
        <v>0</v>
      </c>
      <c r="AK466">
        <v>0</v>
      </c>
      <c r="AL466">
        <v>3</v>
      </c>
      <c r="AN466" s="367" t="s">
        <v>6775</v>
      </c>
    </row>
    <row r="467" spans="1:40">
      <c r="A467">
        <v>2504</v>
      </c>
      <c r="B467" t="s">
        <v>5155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 s="3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 s="367">
        <v>0</v>
      </c>
      <c r="U467">
        <v>4</v>
      </c>
      <c r="V467">
        <v>0</v>
      </c>
      <c r="W467">
        <v>2</v>
      </c>
      <c r="X467">
        <v>0</v>
      </c>
      <c r="Y467">
        <v>0</v>
      </c>
      <c r="Z467">
        <v>2</v>
      </c>
      <c r="AA467">
        <v>0</v>
      </c>
      <c r="AB467">
        <v>8</v>
      </c>
      <c r="AC467">
        <v>0</v>
      </c>
      <c r="AD467">
        <v>0</v>
      </c>
      <c r="AE467">
        <v>1</v>
      </c>
      <c r="AF467">
        <v>1</v>
      </c>
      <c r="AG467">
        <v>0</v>
      </c>
      <c r="AH467">
        <v>0</v>
      </c>
      <c r="AI467">
        <v>0</v>
      </c>
      <c r="AJ467">
        <v>1</v>
      </c>
      <c r="AK467">
        <v>4</v>
      </c>
      <c r="AL467">
        <v>0</v>
      </c>
      <c r="AM467" s="367" t="s">
        <v>6775</v>
      </c>
    </row>
    <row r="468" spans="1:40">
      <c r="A468">
        <v>2505</v>
      </c>
      <c r="B468" t="s">
        <v>5156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 s="367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 s="367">
        <v>0</v>
      </c>
      <c r="U468">
        <v>0</v>
      </c>
      <c r="V468">
        <v>0</v>
      </c>
      <c r="W468">
        <v>0</v>
      </c>
      <c r="X468">
        <v>1</v>
      </c>
      <c r="Y468">
        <v>2</v>
      </c>
      <c r="Z468">
        <v>3</v>
      </c>
      <c r="AA468">
        <v>0</v>
      </c>
      <c r="AB468">
        <v>0</v>
      </c>
      <c r="AC468">
        <v>1</v>
      </c>
      <c r="AD468">
        <v>1</v>
      </c>
      <c r="AE468">
        <v>0</v>
      </c>
      <c r="AF468">
        <v>0</v>
      </c>
      <c r="AG468">
        <v>0</v>
      </c>
      <c r="AH468">
        <v>0</v>
      </c>
      <c r="AI468">
        <v>1</v>
      </c>
      <c r="AJ468">
        <v>0</v>
      </c>
      <c r="AK468">
        <v>0</v>
      </c>
      <c r="AL468">
        <v>0</v>
      </c>
    </row>
    <row r="469" spans="1:40">
      <c r="A469">
        <v>2506</v>
      </c>
      <c r="B469" t="s">
        <v>5157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 s="367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 s="367">
        <v>0</v>
      </c>
      <c r="U469">
        <v>0</v>
      </c>
      <c r="V469">
        <v>0</v>
      </c>
      <c r="W469">
        <v>1</v>
      </c>
      <c r="X469">
        <v>3</v>
      </c>
      <c r="Y469">
        <v>2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</row>
    <row r="470" spans="1:40">
      <c r="A470">
        <v>2509</v>
      </c>
      <c r="B470" t="s">
        <v>5158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 s="367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 s="367">
        <v>0</v>
      </c>
      <c r="U470">
        <v>0</v>
      </c>
      <c r="V470">
        <v>0</v>
      </c>
      <c r="W470">
        <v>0</v>
      </c>
      <c r="X470">
        <v>2</v>
      </c>
      <c r="Y470">
        <v>2</v>
      </c>
      <c r="Z470">
        <v>1</v>
      </c>
      <c r="AA470">
        <v>0</v>
      </c>
      <c r="AB470">
        <v>0</v>
      </c>
      <c r="AC470">
        <v>0</v>
      </c>
      <c r="AD470">
        <v>1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2</v>
      </c>
      <c r="AK470">
        <v>0</v>
      </c>
      <c r="AL470">
        <v>0</v>
      </c>
    </row>
    <row r="471" spans="1:40">
      <c r="A471">
        <v>2511</v>
      </c>
      <c r="B471" t="s">
        <v>5159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 s="367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 s="367">
        <v>0</v>
      </c>
      <c r="U471">
        <v>0</v>
      </c>
      <c r="V471">
        <v>9</v>
      </c>
      <c r="W471">
        <v>2</v>
      </c>
      <c r="X471">
        <v>0</v>
      </c>
      <c r="Y471">
        <v>0</v>
      </c>
      <c r="Z471">
        <v>2</v>
      </c>
      <c r="AA471">
        <v>0</v>
      </c>
      <c r="AB471">
        <v>0</v>
      </c>
      <c r="AC471">
        <v>0</v>
      </c>
      <c r="AD471">
        <v>0</v>
      </c>
      <c r="AE471">
        <v>2</v>
      </c>
      <c r="AF471">
        <v>13</v>
      </c>
      <c r="AG471">
        <v>0</v>
      </c>
      <c r="AH471">
        <v>0</v>
      </c>
      <c r="AI471">
        <v>1</v>
      </c>
      <c r="AJ471">
        <v>0</v>
      </c>
      <c r="AK471">
        <v>0</v>
      </c>
      <c r="AL471">
        <v>9</v>
      </c>
      <c r="AN471" s="367" t="s">
        <v>3542</v>
      </c>
    </row>
    <row r="472" spans="1:40">
      <c r="A472">
        <v>2514</v>
      </c>
      <c r="B472" t="s">
        <v>5160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 s="367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 s="367">
        <v>0</v>
      </c>
      <c r="U472">
        <v>0</v>
      </c>
      <c r="V472">
        <v>0</v>
      </c>
      <c r="W472">
        <v>0</v>
      </c>
      <c r="X472">
        <v>0</v>
      </c>
      <c r="Y472">
        <v>1</v>
      </c>
      <c r="Z472">
        <v>2</v>
      </c>
      <c r="AA472">
        <v>0</v>
      </c>
      <c r="AB472">
        <v>0</v>
      </c>
      <c r="AC472">
        <v>0</v>
      </c>
      <c r="AD472">
        <v>1</v>
      </c>
      <c r="AE472">
        <v>1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</row>
    <row r="473" spans="1:40">
      <c r="A473">
        <v>2515</v>
      </c>
      <c r="B473" t="s">
        <v>5161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 s="367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 s="367">
        <v>0</v>
      </c>
      <c r="U473">
        <v>0</v>
      </c>
      <c r="V473">
        <v>3</v>
      </c>
      <c r="W473">
        <v>0</v>
      </c>
      <c r="X473">
        <v>4</v>
      </c>
      <c r="Y473">
        <v>0</v>
      </c>
      <c r="Z473">
        <v>0</v>
      </c>
      <c r="AA473">
        <v>0</v>
      </c>
      <c r="AB473">
        <v>0</v>
      </c>
      <c r="AC473">
        <v>2</v>
      </c>
      <c r="AD473">
        <v>4</v>
      </c>
      <c r="AE473">
        <v>0</v>
      </c>
      <c r="AF473">
        <v>4</v>
      </c>
      <c r="AG473">
        <v>7</v>
      </c>
      <c r="AH473">
        <v>0</v>
      </c>
      <c r="AI473">
        <v>1</v>
      </c>
      <c r="AJ473">
        <v>0</v>
      </c>
      <c r="AK473">
        <v>0</v>
      </c>
      <c r="AL473">
        <v>3</v>
      </c>
      <c r="AN473" s="367" t="s">
        <v>3543</v>
      </c>
    </row>
    <row r="474" spans="1:40">
      <c r="A474">
        <v>2520</v>
      </c>
      <c r="B474" t="s">
        <v>5162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 s="367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 s="367">
        <v>0</v>
      </c>
      <c r="U474">
        <v>0</v>
      </c>
      <c r="V474">
        <v>5</v>
      </c>
      <c r="W474">
        <v>1</v>
      </c>
      <c r="X474">
        <v>0</v>
      </c>
      <c r="Y474">
        <v>2</v>
      </c>
      <c r="Z474">
        <v>1</v>
      </c>
      <c r="AA474">
        <v>0</v>
      </c>
      <c r="AB474">
        <v>0</v>
      </c>
      <c r="AC474">
        <v>0</v>
      </c>
      <c r="AD474">
        <v>0</v>
      </c>
      <c r="AE474">
        <v>5</v>
      </c>
      <c r="AF474">
        <v>0</v>
      </c>
      <c r="AG474">
        <v>0</v>
      </c>
      <c r="AH474">
        <v>0</v>
      </c>
      <c r="AI474">
        <v>8</v>
      </c>
      <c r="AJ474">
        <v>4</v>
      </c>
      <c r="AK474">
        <v>0</v>
      </c>
      <c r="AL474">
        <v>5</v>
      </c>
      <c r="AN474" s="367" t="s">
        <v>6258</v>
      </c>
    </row>
    <row r="475" spans="1:40">
      <c r="A475">
        <v>2524</v>
      </c>
      <c r="B475" t="s">
        <v>5163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 s="367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 s="367">
        <v>0</v>
      </c>
      <c r="U475">
        <v>0</v>
      </c>
      <c r="V475">
        <v>0</v>
      </c>
      <c r="W475">
        <v>0</v>
      </c>
      <c r="X475">
        <v>0</v>
      </c>
      <c r="Y475">
        <v>1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</row>
    <row r="476" spans="1:40">
      <c r="A476">
        <v>2527</v>
      </c>
      <c r="B476" t="s">
        <v>5164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 s="367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 s="367">
        <v>0</v>
      </c>
      <c r="U476">
        <v>0</v>
      </c>
      <c r="V476">
        <v>6</v>
      </c>
      <c r="W476">
        <v>0</v>
      </c>
      <c r="X476">
        <v>0</v>
      </c>
      <c r="Y476">
        <v>0</v>
      </c>
      <c r="Z476">
        <v>2</v>
      </c>
      <c r="AA476">
        <v>0</v>
      </c>
      <c r="AB476">
        <v>0</v>
      </c>
      <c r="AC476">
        <v>0</v>
      </c>
      <c r="AD476">
        <v>10</v>
      </c>
      <c r="AE476">
        <v>1</v>
      </c>
      <c r="AF476">
        <v>1</v>
      </c>
      <c r="AG476">
        <v>0</v>
      </c>
      <c r="AH476">
        <v>0</v>
      </c>
      <c r="AI476">
        <v>0</v>
      </c>
      <c r="AJ476">
        <v>1</v>
      </c>
      <c r="AK476">
        <v>0</v>
      </c>
      <c r="AL476">
        <v>6</v>
      </c>
      <c r="AN476" s="367" t="s">
        <v>6761</v>
      </c>
    </row>
    <row r="477" spans="1:40">
      <c r="A477">
        <v>2528</v>
      </c>
      <c r="B477" t="s">
        <v>5165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 s="36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 s="367">
        <v>0</v>
      </c>
      <c r="U477">
        <v>0</v>
      </c>
      <c r="V477">
        <v>0</v>
      </c>
      <c r="W477">
        <v>0</v>
      </c>
      <c r="X477">
        <v>2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2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</row>
    <row r="478" spans="1:40">
      <c r="A478">
        <v>2530</v>
      </c>
      <c r="B478" t="s">
        <v>5166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 s="367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 s="367">
        <v>0</v>
      </c>
      <c r="U478">
        <v>0</v>
      </c>
      <c r="V478">
        <v>0</v>
      </c>
      <c r="W478">
        <v>0</v>
      </c>
      <c r="X478">
        <v>1</v>
      </c>
      <c r="Y478">
        <v>0</v>
      </c>
      <c r="Z478">
        <v>1</v>
      </c>
      <c r="AA478">
        <v>0</v>
      </c>
      <c r="AB478">
        <v>1</v>
      </c>
      <c r="AC478">
        <v>0</v>
      </c>
      <c r="AD478">
        <v>1</v>
      </c>
      <c r="AE478">
        <v>0</v>
      </c>
      <c r="AF478">
        <v>3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</row>
    <row r="479" spans="1:40">
      <c r="A479">
        <v>2534</v>
      </c>
      <c r="B479" t="s">
        <v>5167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 s="367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 s="367">
        <v>0</v>
      </c>
      <c r="U479">
        <v>1</v>
      </c>
      <c r="V479">
        <v>4</v>
      </c>
      <c r="W479">
        <v>1</v>
      </c>
      <c r="X479">
        <v>0</v>
      </c>
      <c r="Y479">
        <v>0</v>
      </c>
      <c r="Z479">
        <v>1</v>
      </c>
      <c r="AA479">
        <v>0</v>
      </c>
      <c r="AB479">
        <v>5</v>
      </c>
      <c r="AC479">
        <v>0</v>
      </c>
      <c r="AD479">
        <v>0</v>
      </c>
      <c r="AE479">
        <v>1</v>
      </c>
      <c r="AF479">
        <v>8</v>
      </c>
      <c r="AG479">
        <v>0</v>
      </c>
      <c r="AH479">
        <v>0</v>
      </c>
      <c r="AI479">
        <v>0</v>
      </c>
      <c r="AJ479">
        <v>1</v>
      </c>
      <c r="AK479">
        <v>1</v>
      </c>
      <c r="AL479">
        <v>4</v>
      </c>
      <c r="AM479" s="367" t="s">
        <v>6775</v>
      </c>
      <c r="AN479" s="367" t="s">
        <v>3542</v>
      </c>
    </row>
    <row r="480" spans="1:40">
      <c r="A480">
        <v>2535</v>
      </c>
      <c r="B480" t="s">
        <v>5168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 s="367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 s="367">
        <v>0</v>
      </c>
      <c r="U480">
        <v>0</v>
      </c>
      <c r="V480">
        <v>0</v>
      </c>
      <c r="W480">
        <v>2</v>
      </c>
      <c r="X480">
        <v>0</v>
      </c>
      <c r="Y480">
        <v>0</v>
      </c>
      <c r="Z480">
        <v>1</v>
      </c>
      <c r="AA480">
        <v>0</v>
      </c>
      <c r="AB480">
        <v>0</v>
      </c>
      <c r="AC480">
        <v>1</v>
      </c>
      <c r="AD480">
        <v>0</v>
      </c>
      <c r="AE480">
        <v>1</v>
      </c>
      <c r="AF480">
        <v>4</v>
      </c>
      <c r="AG480">
        <v>0</v>
      </c>
      <c r="AH480">
        <v>0</v>
      </c>
      <c r="AI480">
        <v>4</v>
      </c>
      <c r="AJ480">
        <v>0</v>
      </c>
      <c r="AK480">
        <v>0</v>
      </c>
      <c r="AL480">
        <v>0</v>
      </c>
    </row>
    <row r="481" spans="1:40">
      <c r="A481">
        <v>2536</v>
      </c>
      <c r="B481" t="s">
        <v>5169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 s="367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 s="367">
        <v>0</v>
      </c>
      <c r="U481">
        <v>0</v>
      </c>
      <c r="V481">
        <v>0</v>
      </c>
      <c r="W481">
        <v>0</v>
      </c>
      <c r="X481">
        <v>1</v>
      </c>
      <c r="Y481">
        <v>1</v>
      </c>
      <c r="Z481">
        <v>1</v>
      </c>
      <c r="AA481">
        <v>0</v>
      </c>
      <c r="AB481">
        <v>0</v>
      </c>
      <c r="AC481">
        <v>0</v>
      </c>
      <c r="AD481">
        <v>1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</row>
    <row r="482" spans="1:40">
      <c r="A482">
        <v>2537</v>
      </c>
      <c r="B482" t="s">
        <v>5170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 s="367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 s="367">
        <v>0</v>
      </c>
      <c r="U482">
        <v>0</v>
      </c>
      <c r="V482">
        <v>9</v>
      </c>
      <c r="W482">
        <v>0</v>
      </c>
      <c r="X482">
        <v>4</v>
      </c>
      <c r="Y482">
        <v>0</v>
      </c>
      <c r="Z482">
        <v>3</v>
      </c>
      <c r="AA482">
        <v>0</v>
      </c>
      <c r="AB482">
        <v>0</v>
      </c>
      <c r="AC482">
        <v>0</v>
      </c>
      <c r="AD482">
        <v>10</v>
      </c>
      <c r="AE482">
        <v>0</v>
      </c>
      <c r="AF482">
        <v>7</v>
      </c>
      <c r="AG482">
        <v>0</v>
      </c>
      <c r="AH482">
        <v>0</v>
      </c>
      <c r="AI482">
        <v>1</v>
      </c>
      <c r="AJ482">
        <v>1</v>
      </c>
      <c r="AK482">
        <v>0</v>
      </c>
      <c r="AL482">
        <v>9</v>
      </c>
      <c r="AN482" s="367" t="s">
        <v>6785</v>
      </c>
    </row>
    <row r="483" spans="1:40">
      <c r="A483">
        <v>2538</v>
      </c>
      <c r="B483" t="s">
        <v>5171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 s="367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 s="367">
        <v>0</v>
      </c>
      <c r="U483">
        <v>1</v>
      </c>
      <c r="V483">
        <v>0</v>
      </c>
      <c r="W483">
        <v>3</v>
      </c>
      <c r="X483">
        <v>0</v>
      </c>
      <c r="Y483">
        <v>5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3</v>
      </c>
      <c r="AF483">
        <v>0</v>
      </c>
      <c r="AG483">
        <v>0</v>
      </c>
      <c r="AH483">
        <v>0</v>
      </c>
      <c r="AI483">
        <v>3</v>
      </c>
      <c r="AJ483">
        <v>1</v>
      </c>
      <c r="AK483">
        <v>1</v>
      </c>
      <c r="AL483">
        <v>0</v>
      </c>
      <c r="AM483" s="367" t="s">
        <v>3542</v>
      </c>
    </row>
    <row r="484" spans="1:40">
      <c r="A484">
        <v>2539</v>
      </c>
      <c r="B484" t="s">
        <v>5172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 s="367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 s="367">
        <v>0</v>
      </c>
      <c r="U484">
        <v>0</v>
      </c>
      <c r="V484">
        <v>0</v>
      </c>
      <c r="W484">
        <v>0</v>
      </c>
      <c r="X484">
        <v>3</v>
      </c>
      <c r="Y484">
        <v>0</v>
      </c>
      <c r="Z484">
        <v>1</v>
      </c>
      <c r="AA484">
        <v>0</v>
      </c>
      <c r="AB484">
        <v>0</v>
      </c>
      <c r="AC484">
        <v>0</v>
      </c>
      <c r="AD484">
        <v>3</v>
      </c>
      <c r="AE484">
        <v>0</v>
      </c>
      <c r="AF484">
        <v>3</v>
      </c>
      <c r="AG484">
        <v>0</v>
      </c>
      <c r="AH484">
        <v>0</v>
      </c>
      <c r="AI484">
        <v>3</v>
      </c>
      <c r="AJ484">
        <v>1</v>
      </c>
      <c r="AK484">
        <v>0</v>
      </c>
      <c r="AL484">
        <v>0</v>
      </c>
    </row>
    <row r="485" spans="1:40">
      <c r="A485">
        <v>2540</v>
      </c>
      <c r="B485" t="s">
        <v>5173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 s="367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 s="367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3</v>
      </c>
      <c r="AF485">
        <v>1</v>
      </c>
      <c r="AG485">
        <v>0</v>
      </c>
      <c r="AH485">
        <v>0</v>
      </c>
      <c r="AI485">
        <v>0</v>
      </c>
      <c r="AJ485">
        <v>1</v>
      </c>
      <c r="AK485">
        <v>0</v>
      </c>
      <c r="AL485">
        <v>0</v>
      </c>
    </row>
    <row r="486" spans="1:40">
      <c r="A486">
        <v>2542</v>
      </c>
      <c r="B486" t="s">
        <v>6176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 s="367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 s="367">
        <v>0</v>
      </c>
      <c r="U486">
        <v>0</v>
      </c>
      <c r="V486">
        <v>8</v>
      </c>
      <c r="W486">
        <v>0</v>
      </c>
      <c r="X486">
        <v>0</v>
      </c>
      <c r="Y486">
        <v>0</v>
      </c>
      <c r="Z486">
        <v>2</v>
      </c>
      <c r="AA486">
        <v>0</v>
      </c>
      <c r="AB486">
        <v>0</v>
      </c>
      <c r="AC486">
        <v>0</v>
      </c>
      <c r="AD486">
        <v>10</v>
      </c>
      <c r="AE486">
        <v>1</v>
      </c>
      <c r="AF486">
        <v>6</v>
      </c>
      <c r="AG486">
        <v>0</v>
      </c>
      <c r="AH486">
        <v>1</v>
      </c>
      <c r="AI486">
        <v>3</v>
      </c>
      <c r="AJ486">
        <v>4</v>
      </c>
      <c r="AK486">
        <v>0</v>
      </c>
      <c r="AL486">
        <v>8</v>
      </c>
      <c r="AN486" s="367" t="s">
        <v>6785</v>
      </c>
    </row>
    <row r="487" spans="1:40">
      <c r="A487">
        <v>2545</v>
      </c>
      <c r="B487" t="s">
        <v>5174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 s="36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 s="367">
        <v>0</v>
      </c>
      <c r="U487">
        <v>0</v>
      </c>
      <c r="V487">
        <v>3</v>
      </c>
      <c r="W487">
        <v>0</v>
      </c>
      <c r="X487">
        <v>1</v>
      </c>
      <c r="Y487">
        <v>0</v>
      </c>
      <c r="Z487">
        <v>0</v>
      </c>
      <c r="AA487">
        <v>0</v>
      </c>
      <c r="AB487">
        <v>0</v>
      </c>
      <c r="AC487">
        <v>1</v>
      </c>
      <c r="AD487">
        <v>2</v>
      </c>
      <c r="AE487">
        <v>0</v>
      </c>
      <c r="AF487">
        <v>1</v>
      </c>
      <c r="AG487">
        <v>7</v>
      </c>
      <c r="AH487">
        <v>0</v>
      </c>
      <c r="AI487">
        <v>0</v>
      </c>
      <c r="AJ487">
        <v>0</v>
      </c>
      <c r="AK487">
        <v>0</v>
      </c>
      <c r="AL487">
        <v>3</v>
      </c>
      <c r="AN487" s="367" t="s">
        <v>3543</v>
      </c>
    </row>
    <row r="488" spans="1:40">
      <c r="A488">
        <v>2546</v>
      </c>
      <c r="B488" t="s">
        <v>5175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 s="367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 s="367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1</v>
      </c>
      <c r="AE488">
        <v>1</v>
      </c>
      <c r="AF488">
        <v>1</v>
      </c>
      <c r="AG488">
        <v>1</v>
      </c>
      <c r="AH488">
        <v>0</v>
      </c>
      <c r="AI488">
        <v>1</v>
      </c>
      <c r="AJ488">
        <v>0</v>
      </c>
      <c r="AK488">
        <v>0</v>
      </c>
      <c r="AL488">
        <v>0</v>
      </c>
    </row>
    <row r="489" spans="1:40">
      <c r="A489">
        <v>2547</v>
      </c>
      <c r="B489" t="s">
        <v>5176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 s="367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 s="367">
        <v>0</v>
      </c>
      <c r="U489">
        <v>0</v>
      </c>
      <c r="V489">
        <v>6</v>
      </c>
      <c r="W489">
        <v>0</v>
      </c>
      <c r="X489">
        <v>2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10</v>
      </c>
      <c r="AE489">
        <v>0</v>
      </c>
      <c r="AF489">
        <v>1</v>
      </c>
      <c r="AG489">
        <v>0</v>
      </c>
      <c r="AH489">
        <v>0</v>
      </c>
      <c r="AI489">
        <v>4</v>
      </c>
      <c r="AJ489">
        <v>0</v>
      </c>
      <c r="AK489">
        <v>0</v>
      </c>
      <c r="AL489">
        <v>6</v>
      </c>
      <c r="AN489" s="367" t="s">
        <v>6761</v>
      </c>
    </row>
    <row r="490" spans="1:40">
      <c r="A490">
        <v>2548</v>
      </c>
      <c r="B490" t="s">
        <v>5177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 s="367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 s="367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3</v>
      </c>
      <c r="AE490">
        <v>3</v>
      </c>
      <c r="AF490">
        <v>3</v>
      </c>
      <c r="AG490">
        <v>1</v>
      </c>
      <c r="AH490">
        <v>0</v>
      </c>
      <c r="AI490">
        <v>4</v>
      </c>
      <c r="AJ490">
        <v>0</v>
      </c>
      <c r="AK490">
        <v>0</v>
      </c>
      <c r="AL490">
        <v>0</v>
      </c>
    </row>
    <row r="491" spans="1:40">
      <c r="A491">
        <v>2596</v>
      </c>
      <c r="B491" t="s">
        <v>5178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 s="367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 s="367">
        <v>0</v>
      </c>
      <c r="U491">
        <v>0</v>
      </c>
      <c r="V491">
        <v>6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10</v>
      </c>
      <c r="AE491">
        <v>0</v>
      </c>
      <c r="AF491">
        <v>3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6</v>
      </c>
      <c r="AN491" s="367" t="s">
        <v>6761</v>
      </c>
    </row>
    <row r="492" spans="1:40">
      <c r="A492">
        <v>2597</v>
      </c>
      <c r="B492" t="s">
        <v>5179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 s="367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 s="367">
        <v>0</v>
      </c>
      <c r="U492">
        <v>0</v>
      </c>
      <c r="V492">
        <v>0</v>
      </c>
      <c r="W492">
        <v>0</v>
      </c>
      <c r="X492">
        <v>1</v>
      </c>
      <c r="Y492">
        <v>3</v>
      </c>
      <c r="Z492">
        <v>1</v>
      </c>
      <c r="AA492">
        <v>0</v>
      </c>
      <c r="AB492">
        <v>0</v>
      </c>
      <c r="AC492">
        <v>0</v>
      </c>
      <c r="AD492">
        <v>1</v>
      </c>
      <c r="AE492">
        <v>0</v>
      </c>
      <c r="AF492">
        <v>0</v>
      </c>
      <c r="AG492">
        <v>0</v>
      </c>
      <c r="AH492">
        <v>0</v>
      </c>
      <c r="AI492">
        <v>3</v>
      </c>
      <c r="AJ492">
        <v>1</v>
      </c>
      <c r="AK492">
        <v>0</v>
      </c>
      <c r="AL492">
        <v>0</v>
      </c>
    </row>
    <row r="493" spans="1:40">
      <c r="A493">
        <v>2601</v>
      </c>
      <c r="B493" t="s">
        <v>5180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 s="367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 s="367">
        <v>0</v>
      </c>
      <c r="U493">
        <v>0</v>
      </c>
      <c r="V493">
        <v>0</v>
      </c>
      <c r="W493">
        <v>2</v>
      </c>
      <c r="X493">
        <v>0</v>
      </c>
      <c r="Y493">
        <v>1</v>
      </c>
      <c r="Z493">
        <v>0</v>
      </c>
      <c r="AA493">
        <v>0</v>
      </c>
      <c r="AB493">
        <v>0</v>
      </c>
      <c r="AC493">
        <v>1</v>
      </c>
      <c r="AD493">
        <v>0</v>
      </c>
      <c r="AE493">
        <v>3</v>
      </c>
      <c r="AF493">
        <v>0</v>
      </c>
      <c r="AG493">
        <v>1</v>
      </c>
      <c r="AH493">
        <v>0</v>
      </c>
      <c r="AI493">
        <v>3</v>
      </c>
      <c r="AJ493">
        <v>0</v>
      </c>
      <c r="AK493">
        <v>0</v>
      </c>
      <c r="AL493">
        <v>0</v>
      </c>
    </row>
    <row r="494" spans="1:40">
      <c r="A494">
        <v>2605</v>
      </c>
      <c r="B494" t="s">
        <v>5182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 s="367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 s="367">
        <v>0</v>
      </c>
      <c r="U494">
        <v>0</v>
      </c>
      <c r="V494">
        <v>0</v>
      </c>
      <c r="W494">
        <v>1</v>
      </c>
      <c r="X494">
        <v>0</v>
      </c>
      <c r="Y494">
        <v>3</v>
      </c>
      <c r="Z494">
        <v>0</v>
      </c>
      <c r="AA494">
        <v>0</v>
      </c>
      <c r="AB494">
        <v>1</v>
      </c>
      <c r="AC494">
        <v>1</v>
      </c>
      <c r="AD494">
        <v>0</v>
      </c>
      <c r="AE494">
        <v>1</v>
      </c>
      <c r="AF494">
        <v>0</v>
      </c>
      <c r="AG494">
        <v>4</v>
      </c>
      <c r="AH494">
        <v>0</v>
      </c>
      <c r="AI494">
        <v>0</v>
      </c>
      <c r="AJ494">
        <v>0</v>
      </c>
      <c r="AK494">
        <v>0</v>
      </c>
      <c r="AL494">
        <v>0</v>
      </c>
    </row>
    <row r="495" spans="1:40">
      <c r="A495">
        <v>2607</v>
      </c>
      <c r="B495" t="s">
        <v>5184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 s="367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 s="367">
        <v>0</v>
      </c>
      <c r="U495">
        <v>0</v>
      </c>
      <c r="V495">
        <v>3</v>
      </c>
      <c r="W495">
        <v>2</v>
      </c>
      <c r="X495">
        <v>0</v>
      </c>
      <c r="Y495">
        <v>2</v>
      </c>
      <c r="Z495">
        <v>2</v>
      </c>
      <c r="AA495">
        <v>0</v>
      </c>
      <c r="AB495">
        <v>0</v>
      </c>
      <c r="AC495">
        <v>0</v>
      </c>
      <c r="AD495">
        <v>0</v>
      </c>
      <c r="AE495">
        <v>7</v>
      </c>
      <c r="AF495">
        <v>0</v>
      </c>
      <c r="AG495">
        <v>0</v>
      </c>
      <c r="AH495">
        <v>0</v>
      </c>
      <c r="AI495">
        <v>4</v>
      </c>
      <c r="AJ495">
        <v>1</v>
      </c>
      <c r="AK495">
        <v>0</v>
      </c>
      <c r="AL495">
        <v>3</v>
      </c>
      <c r="AN495" s="367" t="s">
        <v>4718</v>
      </c>
    </row>
    <row r="496" spans="1:40">
      <c r="A496">
        <v>2608</v>
      </c>
      <c r="B496" t="s">
        <v>5185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 s="367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 s="367">
        <v>0</v>
      </c>
      <c r="U496">
        <v>0</v>
      </c>
      <c r="V496">
        <v>3</v>
      </c>
      <c r="W496">
        <v>1</v>
      </c>
      <c r="X496">
        <v>0</v>
      </c>
      <c r="Y496">
        <v>2</v>
      </c>
      <c r="Z496">
        <v>1</v>
      </c>
      <c r="AA496">
        <v>0</v>
      </c>
      <c r="AB496">
        <v>0</v>
      </c>
      <c r="AC496">
        <v>0</v>
      </c>
      <c r="AD496">
        <v>0</v>
      </c>
      <c r="AE496">
        <v>7</v>
      </c>
      <c r="AF496">
        <v>0</v>
      </c>
      <c r="AG496">
        <v>0</v>
      </c>
      <c r="AH496">
        <v>0</v>
      </c>
      <c r="AI496">
        <v>4</v>
      </c>
      <c r="AJ496">
        <v>1</v>
      </c>
      <c r="AK496">
        <v>0</v>
      </c>
      <c r="AL496">
        <v>3</v>
      </c>
      <c r="AN496" s="367" t="s">
        <v>4718</v>
      </c>
    </row>
    <row r="497" spans="1:40">
      <c r="A497">
        <v>2610</v>
      </c>
      <c r="B497" t="s">
        <v>5187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 s="36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 s="367">
        <v>0</v>
      </c>
      <c r="U497">
        <v>0</v>
      </c>
      <c r="V497">
        <v>4</v>
      </c>
      <c r="W497">
        <v>0</v>
      </c>
      <c r="X497">
        <v>0</v>
      </c>
      <c r="Y497">
        <v>1</v>
      </c>
      <c r="Z497">
        <v>0</v>
      </c>
      <c r="AA497">
        <v>0</v>
      </c>
      <c r="AB497">
        <v>0</v>
      </c>
      <c r="AC497">
        <v>2</v>
      </c>
      <c r="AD497">
        <v>8</v>
      </c>
      <c r="AE497">
        <v>4</v>
      </c>
      <c r="AF497">
        <v>0</v>
      </c>
      <c r="AG497">
        <v>1</v>
      </c>
      <c r="AH497">
        <v>3</v>
      </c>
      <c r="AI497">
        <v>2</v>
      </c>
      <c r="AJ497">
        <v>0</v>
      </c>
      <c r="AK497">
        <v>0</v>
      </c>
      <c r="AL497">
        <v>4</v>
      </c>
      <c r="AN497" s="367" t="s">
        <v>6761</v>
      </c>
    </row>
    <row r="498" spans="1:40">
      <c r="A498">
        <v>2612</v>
      </c>
      <c r="B498" t="s">
        <v>5189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 s="367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 s="367">
        <v>0</v>
      </c>
      <c r="U498">
        <v>0</v>
      </c>
      <c r="V498">
        <v>6</v>
      </c>
      <c r="W498">
        <v>0</v>
      </c>
      <c r="X498">
        <v>1</v>
      </c>
      <c r="Y498">
        <v>0</v>
      </c>
      <c r="Z498">
        <v>0</v>
      </c>
      <c r="AA498">
        <v>0</v>
      </c>
      <c r="AB498">
        <v>0</v>
      </c>
      <c r="AC498">
        <v>1</v>
      </c>
      <c r="AD498">
        <v>1</v>
      </c>
      <c r="AE498">
        <v>0</v>
      </c>
      <c r="AF498">
        <v>1</v>
      </c>
      <c r="AG498">
        <v>0</v>
      </c>
      <c r="AH498">
        <v>0</v>
      </c>
      <c r="AI498">
        <v>10</v>
      </c>
      <c r="AJ498">
        <v>0</v>
      </c>
      <c r="AK498">
        <v>0</v>
      </c>
      <c r="AL498">
        <v>6</v>
      </c>
      <c r="AN498" s="367" t="s">
        <v>6775</v>
      </c>
    </row>
    <row r="499" spans="1:40">
      <c r="A499">
        <v>2613</v>
      </c>
      <c r="B499" t="s">
        <v>5190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 s="367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 s="367">
        <v>0</v>
      </c>
      <c r="U499">
        <v>1</v>
      </c>
      <c r="V499">
        <v>5</v>
      </c>
      <c r="W499">
        <v>0</v>
      </c>
      <c r="X499">
        <v>0</v>
      </c>
      <c r="Y499">
        <v>5</v>
      </c>
      <c r="Z499">
        <v>0</v>
      </c>
      <c r="AA499">
        <v>0</v>
      </c>
      <c r="AB499">
        <v>0</v>
      </c>
      <c r="AC499">
        <v>0</v>
      </c>
      <c r="AD499">
        <v>8</v>
      </c>
      <c r="AE499">
        <v>5</v>
      </c>
      <c r="AF499">
        <v>0</v>
      </c>
      <c r="AG499">
        <v>1</v>
      </c>
      <c r="AH499">
        <v>0</v>
      </c>
      <c r="AI499">
        <v>2</v>
      </c>
      <c r="AJ499">
        <v>3</v>
      </c>
      <c r="AK499">
        <v>1</v>
      </c>
      <c r="AL499">
        <v>5</v>
      </c>
      <c r="AM499" s="367" t="s">
        <v>3542</v>
      </c>
      <c r="AN499" s="367" t="s">
        <v>6782</v>
      </c>
    </row>
    <row r="500" spans="1:40">
      <c r="A500">
        <v>2614</v>
      </c>
      <c r="B500" t="s">
        <v>5191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 s="367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 s="367">
        <v>0</v>
      </c>
      <c r="U500">
        <v>0</v>
      </c>
      <c r="V500">
        <v>0</v>
      </c>
      <c r="W500">
        <v>3</v>
      </c>
      <c r="X500">
        <v>1</v>
      </c>
      <c r="Y500">
        <v>3</v>
      </c>
      <c r="Z500">
        <v>0</v>
      </c>
      <c r="AA500">
        <v>0</v>
      </c>
      <c r="AB500">
        <v>1</v>
      </c>
      <c r="AC500">
        <v>1</v>
      </c>
      <c r="AD500">
        <v>0</v>
      </c>
      <c r="AE500">
        <v>0</v>
      </c>
      <c r="AF500">
        <v>0</v>
      </c>
      <c r="AG500">
        <v>1</v>
      </c>
      <c r="AH500">
        <v>0</v>
      </c>
      <c r="AI500">
        <v>0</v>
      </c>
      <c r="AJ500">
        <v>0</v>
      </c>
      <c r="AK500">
        <v>0</v>
      </c>
      <c r="AL500">
        <v>0</v>
      </c>
    </row>
    <row r="501" spans="1:40">
      <c r="A501">
        <v>2615</v>
      </c>
      <c r="B501" t="s">
        <v>5192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 s="367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 s="367">
        <v>0</v>
      </c>
      <c r="U501">
        <v>0</v>
      </c>
      <c r="V501">
        <v>2</v>
      </c>
      <c r="W501">
        <v>0</v>
      </c>
      <c r="X501">
        <v>0</v>
      </c>
      <c r="Y501">
        <v>0</v>
      </c>
      <c r="Z501">
        <v>0</v>
      </c>
      <c r="AA501">
        <v>3</v>
      </c>
      <c r="AB501">
        <v>4</v>
      </c>
      <c r="AC501">
        <v>0</v>
      </c>
      <c r="AD501">
        <v>1</v>
      </c>
      <c r="AE501">
        <v>4</v>
      </c>
      <c r="AF501">
        <v>1</v>
      </c>
      <c r="AG501">
        <v>1</v>
      </c>
      <c r="AH501">
        <v>0</v>
      </c>
      <c r="AI501">
        <v>0</v>
      </c>
      <c r="AJ501">
        <v>6</v>
      </c>
      <c r="AK501">
        <v>0</v>
      </c>
      <c r="AL501">
        <v>2</v>
      </c>
      <c r="AN501" s="367" t="s">
        <v>6778</v>
      </c>
    </row>
    <row r="502" spans="1:40">
      <c r="A502">
        <v>2616</v>
      </c>
      <c r="B502" t="s">
        <v>5193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 s="367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 s="367">
        <v>0</v>
      </c>
      <c r="U502">
        <v>0</v>
      </c>
      <c r="V502">
        <v>6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10</v>
      </c>
      <c r="AE502">
        <v>0</v>
      </c>
      <c r="AF502">
        <v>1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6</v>
      </c>
      <c r="AN502" s="367" t="s">
        <v>6761</v>
      </c>
    </row>
    <row r="503" spans="1:40">
      <c r="A503">
        <v>2617</v>
      </c>
      <c r="B503" t="s">
        <v>5194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 s="367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 s="367">
        <v>0</v>
      </c>
      <c r="U503">
        <v>0</v>
      </c>
      <c r="V503">
        <v>0</v>
      </c>
      <c r="W503">
        <v>1</v>
      </c>
      <c r="X503">
        <v>0</v>
      </c>
      <c r="Y503">
        <v>1</v>
      </c>
      <c r="Z503">
        <v>2</v>
      </c>
      <c r="AA503">
        <v>0</v>
      </c>
      <c r="AB503">
        <v>2</v>
      </c>
      <c r="AC503">
        <v>0</v>
      </c>
      <c r="AD503">
        <v>0</v>
      </c>
      <c r="AE503">
        <v>1</v>
      </c>
      <c r="AF503">
        <v>0</v>
      </c>
      <c r="AG503">
        <v>0</v>
      </c>
      <c r="AH503">
        <v>0</v>
      </c>
      <c r="AI503">
        <v>0</v>
      </c>
      <c r="AJ503">
        <v>4</v>
      </c>
      <c r="AK503">
        <v>0</v>
      </c>
      <c r="AL503">
        <v>0</v>
      </c>
    </row>
    <row r="504" spans="1:40">
      <c r="A504">
        <v>2618</v>
      </c>
      <c r="B504" t="s">
        <v>5195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 s="367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 s="367">
        <v>0</v>
      </c>
      <c r="U504">
        <v>0</v>
      </c>
      <c r="V504">
        <v>2</v>
      </c>
      <c r="W504">
        <v>1</v>
      </c>
      <c r="X504">
        <v>0</v>
      </c>
      <c r="Y504">
        <v>1</v>
      </c>
      <c r="Z504">
        <v>1</v>
      </c>
      <c r="AA504">
        <v>0</v>
      </c>
      <c r="AB504">
        <v>0</v>
      </c>
      <c r="AC504">
        <v>2</v>
      </c>
      <c r="AD504">
        <v>0</v>
      </c>
      <c r="AE504">
        <v>6</v>
      </c>
      <c r="AF504">
        <v>0</v>
      </c>
      <c r="AG504">
        <v>0</v>
      </c>
      <c r="AH504">
        <v>4</v>
      </c>
      <c r="AI504">
        <v>2</v>
      </c>
      <c r="AJ504">
        <v>0</v>
      </c>
      <c r="AK504">
        <v>0</v>
      </c>
      <c r="AL504">
        <v>2</v>
      </c>
      <c r="AN504" s="367" t="s">
        <v>4718</v>
      </c>
    </row>
    <row r="505" spans="1:40">
      <c r="A505">
        <v>2633</v>
      </c>
      <c r="B505" t="s">
        <v>5196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 s="367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 s="367">
        <v>0</v>
      </c>
      <c r="U505">
        <v>0</v>
      </c>
      <c r="V505">
        <v>0</v>
      </c>
      <c r="W505">
        <v>2</v>
      </c>
      <c r="X505">
        <v>0</v>
      </c>
      <c r="Y505">
        <v>2</v>
      </c>
      <c r="Z505">
        <v>2</v>
      </c>
      <c r="AA505">
        <v>0</v>
      </c>
      <c r="AB505">
        <v>1</v>
      </c>
      <c r="AC505">
        <v>0</v>
      </c>
      <c r="AD505">
        <v>0</v>
      </c>
      <c r="AE505">
        <v>2</v>
      </c>
      <c r="AF505">
        <v>0</v>
      </c>
      <c r="AG505">
        <v>0</v>
      </c>
      <c r="AH505">
        <v>1</v>
      </c>
      <c r="AI505">
        <v>0</v>
      </c>
      <c r="AJ505">
        <v>1</v>
      </c>
      <c r="AK505">
        <v>0</v>
      </c>
      <c r="AL505">
        <v>0</v>
      </c>
    </row>
    <row r="506" spans="1:40">
      <c r="A506">
        <v>2634</v>
      </c>
      <c r="B506" t="s">
        <v>5197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 s="367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 s="367">
        <v>0</v>
      </c>
      <c r="U506">
        <v>0</v>
      </c>
      <c r="V506">
        <v>0</v>
      </c>
      <c r="W506">
        <v>1</v>
      </c>
      <c r="X506">
        <v>1</v>
      </c>
      <c r="Y506">
        <v>3</v>
      </c>
      <c r="Z506">
        <v>0</v>
      </c>
      <c r="AA506">
        <v>1</v>
      </c>
      <c r="AB506">
        <v>0</v>
      </c>
      <c r="AC506">
        <v>1</v>
      </c>
      <c r="AD506">
        <v>0</v>
      </c>
      <c r="AE506">
        <v>0</v>
      </c>
      <c r="AF506">
        <v>0</v>
      </c>
      <c r="AG506">
        <v>2</v>
      </c>
      <c r="AH506">
        <v>0</v>
      </c>
      <c r="AI506">
        <v>1</v>
      </c>
      <c r="AJ506">
        <v>0</v>
      </c>
      <c r="AK506">
        <v>0</v>
      </c>
      <c r="AL506">
        <v>0</v>
      </c>
    </row>
    <row r="507" spans="1:40">
      <c r="A507">
        <v>2636</v>
      </c>
      <c r="B507" t="s">
        <v>5198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 s="36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 s="367">
        <v>0</v>
      </c>
      <c r="U507">
        <v>0</v>
      </c>
      <c r="V507">
        <v>0</v>
      </c>
      <c r="W507">
        <v>0</v>
      </c>
      <c r="X507">
        <v>1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1</v>
      </c>
      <c r="AE507">
        <v>0</v>
      </c>
      <c r="AF507">
        <v>1</v>
      </c>
      <c r="AG507">
        <v>1</v>
      </c>
      <c r="AH507">
        <v>0</v>
      </c>
      <c r="AI507">
        <v>2</v>
      </c>
      <c r="AJ507">
        <v>2</v>
      </c>
      <c r="AK507">
        <v>0</v>
      </c>
      <c r="AL507">
        <v>0</v>
      </c>
    </row>
    <row r="508" spans="1:40">
      <c r="A508">
        <v>2637</v>
      </c>
      <c r="B508" t="s">
        <v>5199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 s="367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 s="367">
        <v>0</v>
      </c>
      <c r="U508">
        <v>0</v>
      </c>
      <c r="V508">
        <v>2</v>
      </c>
      <c r="W508">
        <v>0</v>
      </c>
      <c r="X508">
        <v>0</v>
      </c>
      <c r="Y508">
        <v>1</v>
      </c>
      <c r="Z508">
        <v>2</v>
      </c>
      <c r="AA508">
        <v>0</v>
      </c>
      <c r="AB508">
        <v>3</v>
      </c>
      <c r="AC508">
        <v>0</v>
      </c>
      <c r="AD508">
        <v>6</v>
      </c>
      <c r="AE508">
        <v>1</v>
      </c>
      <c r="AF508">
        <v>0</v>
      </c>
      <c r="AG508">
        <v>0</v>
      </c>
      <c r="AH508">
        <v>1</v>
      </c>
      <c r="AI508">
        <v>0</v>
      </c>
      <c r="AJ508">
        <v>1</v>
      </c>
      <c r="AK508">
        <v>0</v>
      </c>
      <c r="AL508">
        <v>2</v>
      </c>
      <c r="AN508" s="367" t="s">
        <v>6761</v>
      </c>
    </row>
    <row r="509" spans="1:40">
      <c r="A509">
        <v>2640</v>
      </c>
      <c r="B509" t="s">
        <v>6298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 s="367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 s="367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1</v>
      </c>
      <c r="AF509">
        <v>1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</row>
    <row r="510" spans="1:40">
      <c r="A510">
        <v>2642</v>
      </c>
      <c r="B510" t="s">
        <v>5201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 s="367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 s="367">
        <v>0</v>
      </c>
      <c r="U510">
        <v>0</v>
      </c>
      <c r="V510">
        <v>0</v>
      </c>
      <c r="W510">
        <v>0</v>
      </c>
      <c r="X510">
        <v>1</v>
      </c>
      <c r="Y510">
        <v>0</v>
      </c>
      <c r="Z510">
        <v>2</v>
      </c>
      <c r="AA510">
        <v>0</v>
      </c>
      <c r="AB510">
        <v>0</v>
      </c>
      <c r="AC510">
        <v>0</v>
      </c>
      <c r="AD510">
        <v>1</v>
      </c>
      <c r="AE510">
        <v>0</v>
      </c>
      <c r="AF510">
        <v>1</v>
      </c>
      <c r="AG510">
        <v>0</v>
      </c>
      <c r="AH510">
        <v>0</v>
      </c>
      <c r="AI510">
        <v>1</v>
      </c>
      <c r="AJ510">
        <v>1</v>
      </c>
      <c r="AK510">
        <v>0</v>
      </c>
      <c r="AL510">
        <v>0</v>
      </c>
    </row>
    <row r="511" spans="1:40">
      <c r="A511">
        <v>2701</v>
      </c>
      <c r="B511" t="s">
        <v>5203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 s="367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 s="367">
        <v>0</v>
      </c>
      <c r="U511">
        <v>0</v>
      </c>
      <c r="V511">
        <v>0</v>
      </c>
      <c r="W511">
        <v>0</v>
      </c>
      <c r="X511">
        <v>0</v>
      </c>
      <c r="Y511">
        <v>3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</row>
    <row r="512" spans="1:40">
      <c r="A512">
        <v>2702</v>
      </c>
      <c r="B512" t="s">
        <v>6226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 s="367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 s="367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1</v>
      </c>
      <c r="AE512">
        <v>2</v>
      </c>
      <c r="AF512">
        <v>1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</row>
    <row r="513" spans="1:40">
      <c r="A513">
        <v>2704</v>
      </c>
      <c r="B513" t="s">
        <v>5204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 s="367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 s="367">
        <v>0</v>
      </c>
      <c r="U513">
        <v>0</v>
      </c>
      <c r="V513">
        <v>0</v>
      </c>
      <c r="W513">
        <v>3</v>
      </c>
      <c r="X513">
        <v>0</v>
      </c>
      <c r="Y513">
        <v>2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3</v>
      </c>
      <c r="AF513">
        <v>0</v>
      </c>
      <c r="AG513">
        <v>0</v>
      </c>
      <c r="AH513">
        <v>0</v>
      </c>
      <c r="AI513">
        <v>0</v>
      </c>
      <c r="AJ513">
        <v>1</v>
      </c>
      <c r="AK513">
        <v>0</v>
      </c>
      <c r="AL513">
        <v>0</v>
      </c>
    </row>
    <row r="514" spans="1:40">
      <c r="A514">
        <v>2705</v>
      </c>
      <c r="B514" t="s">
        <v>5205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 s="367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 s="367">
        <v>0</v>
      </c>
      <c r="U514">
        <v>0</v>
      </c>
      <c r="V514">
        <v>6</v>
      </c>
      <c r="W514">
        <v>2</v>
      </c>
      <c r="X514">
        <v>1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10</v>
      </c>
      <c r="AG514">
        <v>0</v>
      </c>
      <c r="AH514">
        <v>0</v>
      </c>
      <c r="AI514">
        <v>3</v>
      </c>
      <c r="AJ514">
        <v>0</v>
      </c>
      <c r="AK514">
        <v>0</v>
      </c>
      <c r="AL514">
        <v>6</v>
      </c>
      <c r="AN514" s="367" t="s">
        <v>3542</v>
      </c>
    </row>
    <row r="515" spans="1:40">
      <c r="A515">
        <v>2706</v>
      </c>
      <c r="B515" t="s">
        <v>5206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 s="367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 s="367">
        <v>0</v>
      </c>
      <c r="U515">
        <v>0</v>
      </c>
      <c r="V515">
        <v>2</v>
      </c>
      <c r="W515">
        <v>0</v>
      </c>
      <c r="X515">
        <v>0</v>
      </c>
      <c r="Y515">
        <v>2</v>
      </c>
      <c r="Z515">
        <v>0</v>
      </c>
      <c r="AA515">
        <v>0</v>
      </c>
      <c r="AB515">
        <v>0</v>
      </c>
      <c r="AC515">
        <v>0</v>
      </c>
      <c r="AD515">
        <v>1</v>
      </c>
      <c r="AE515">
        <v>1</v>
      </c>
      <c r="AF515">
        <v>0</v>
      </c>
      <c r="AG515">
        <v>0</v>
      </c>
      <c r="AH515">
        <v>0</v>
      </c>
      <c r="AI515">
        <v>6</v>
      </c>
      <c r="AJ515">
        <v>0</v>
      </c>
      <c r="AK515">
        <v>0</v>
      </c>
      <c r="AL515">
        <v>2</v>
      </c>
      <c r="AN515" s="367" t="s">
        <v>6775</v>
      </c>
    </row>
    <row r="516" spans="1:40">
      <c r="A516">
        <v>2707</v>
      </c>
      <c r="B516" t="s">
        <v>5207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 s="367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 s="367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2</v>
      </c>
      <c r="AA516">
        <v>0</v>
      </c>
      <c r="AB516">
        <v>0</v>
      </c>
      <c r="AC516">
        <v>0</v>
      </c>
      <c r="AD516">
        <v>1</v>
      </c>
      <c r="AE516">
        <v>4</v>
      </c>
      <c r="AF516">
        <v>1</v>
      </c>
      <c r="AG516">
        <v>0</v>
      </c>
      <c r="AH516">
        <v>0</v>
      </c>
      <c r="AI516">
        <v>1</v>
      </c>
      <c r="AJ516">
        <v>1</v>
      </c>
      <c r="AK516">
        <v>0</v>
      </c>
      <c r="AL516">
        <v>0</v>
      </c>
    </row>
    <row r="517" spans="1:40">
      <c r="A517">
        <v>2712</v>
      </c>
      <c r="B517" t="s">
        <v>5208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 s="36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 s="36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2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</row>
    <row r="518" spans="1:40">
      <c r="A518">
        <v>2722</v>
      </c>
      <c r="B518" t="s">
        <v>5209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 s="367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 s="367">
        <v>0</v>
      </c>
      <c r="U518">
        <v>0</v>
      </c>
      <c r="V518">
        <v>0</v>
      </c>
      <c r="W518">
        <v>0</v>
      </c>
      <c r="X518">
        <v>2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1</v>
      </c>
      <c r="AE518">
        <v>0</v>
      </c>
      <c r="AF518">
        <v>1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</row>
    <row r="519" spans="1:40">
      <c r="A519">
        <v>2723</v>
      </c>
      <c r="B519" t="s">
        <v>5210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 s="367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 s="367">
        <v>0</v>
      </c>
      <c r="U519">
        <v>0</v>
      </c>
      <c r="V519">
        <v>0</v>
      </c>
      <c r="W519">
        <v>0</v>
      </c>
      <c r="X519">
        <v>1</v>
      </c>
      <c r="Y519">
        <v>0</v>
      </c>
      <c r="Z519">
        <v>2</v>
      </c>
      <c r="AA519">
        <v>0</v>
      </c>
      <c r="AB519">
        <v>0</v>
      </c>
      <c r="AC519">
        <v>3</v>
      </c>
      <c r="AD519">
        <v>1</v>
      </c>
      <c r="AE519">
        <v>0</v>
      </c>
      <c r="AF519">
        <v>1</v>
      </c>
      <c r="AG519">
        <v>0</v>
      </c>
      <c r="AH519">
        <v>0</v>
      </c>
      <c r="AI519">
        <v>1</v>
      </c>
      <c r="AJ519">
        <v>0</v>
      </c>
      <c r="AK519">
        <v>0</v>
      </c>
      <c r="AL519">
        <v>0</v>
      </c>
    </row>
    <row r="520" spans="1:40">
      <c r="A520">
        <v>2726</v>
      </c>
      <c r="B520" t="s">
        <v>5211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 s="367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 s="367">
        <v>0</v>
      </c>
      <c r="U520">
        <v>0</v>
      </c>
      <c r="V520">
        <v>0</v>
      </c>
      <c r="W520">
        <v>0</v>
      </c>
      <c r="X520">
        <v>4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1</v>
      </c>
      <c r="AE520">
        <v>0</v>
      </c>
      <c r="AF520">
        <v>1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</row>
    <row r="521" spans="1:40">
      <c r="A521">
        <v>2727</v>
      </c>
      <c r="B521" t="s">
        <v>5212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 s="367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 s="367">
        <v>0</v>
      </c>
      <c r="U521">
        <v>0</v>
      </c>
      <c r="V521">
        <v>0</v>
      </c>
      <c r="W521">
        <v>0</v>
      </c>
      <c r="X521">
        <v>0</v>
      </c>
      <c r="Y521">
        <v>2</v>
      </c>
      <c r="Z521">
        <v>0</v>
      </c>
      <c r="AA521">
        <v>0</v>
      </c>
      <c r="AB521">
        <v>0</v>
      </c>
      <c r="AC521">
        <v>1</v>
      </c>
      <c r="AD521">
        <v>1</v>
      </c>
      <c r="AE521">
        <v>4</v>
      </c>
      <c r="AF521">
        <v>0</v>
      </c>
      <c r="AG521">
        <v>0</v>
      </c>
      <c r="AH521">
        <v>0</v>
      </c>
      <c r="AI521">
        <v>1</v>
      </c>
      <c r="AJ521">
        <v>0</v>
      </c>
      <c r="AK521">
        <v>0</v>
      </c>
      <c r="AL521">
        <v>0</v>
      </c>
    </row>
    <row r="522" spans="1:40">
      <c r="A522">
        <v>2731</v>
      </c>
      <c r="B522" t="s">
        <v>5213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 s="367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 s="367">
        <v>0</v>
      </c>
      <c r="U522">
        <v>0</v>
      </c>
      <c r="V522">
        <v>0</v>
      </c>
      <c r="W522">
        <v>2</v>
      </c>
      <c r="X522">
        <v>0</v>
      </c>
      <c r="Y522">
        <v>1</v>
      </c>
      <c r="Z522">
        <v>0</v>
      </c>
      <c r="AA522">
        <v>0</v>
      </c>
      <c r="AB522">
        <v>1</v>
      </c>
      <c r="AC522">
        <v>1</v>
      </c>
      <c r="AD522">
        <v>0</v>
      </c>
      <c r="AE522">
        <v>1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</row>
    <row r="523" spans="1:40">
      <c r="A523">
        <v>2732</v>
      </c>
      <c r="B523" t="s">
        <v>5214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 s="367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 s="367">
        <v>0</v>
      </c>
      <c r="U523">
        <v>0</v>
      </c>
      <c r="V523">
        <v>0</v>
      </c>
      <c r="W523">
        <v>0</v>
      </c>
      <c r="X523">
        <v>1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1</v>
      </c>
      <c r="AE523">
        <v>0</v>
      </c>
      <c r="AF523">
        <v>1</v>
      </c>
      <c r="AG523">
        <v>1</v>
      </c>
      <c r="AH523">
        <v>0</v>
      </c>
      <c r="AI523">
        <v>0</v>
      </c>
      <c r="AJ523">
        <v>0</v>
      </c>
      <c r="AK523">
        <v>0</v>
      </c>
      <c r="AL523">
        <v>0</v>
      </c>
    </row>
    <row r="524" spans="1:40">
      <c r="A524">
        <v>2736</v>
      </c>
      <c r="B524" t="s">
        <v>5215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 s="367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 s="367">
        <v>0</v>
      </c>
      <c r="U524">
        <v>4</v>
      </c>
      <c r="V524">
        <v>0</v>
      </c>
      <c r="W524">
        <v>4</v>
      </c>
      <c r="X524">
        <v>8</v>
      </c>
      <c r="Y524">
        <v>1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4</v>
      </c>
      <c r="AL524">
        <v>0</v>
      </c>
      <c r="AM524" s="367" t="s">
        <v>4718</v>
      </c>
    </row>
    <row r="525" spans="1:40">
      <c r="A525">
        <v>2748</v>
      </c>
      <c r="B525" t="s">
        <v>5217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 s="367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 s="367">
        <v>0</v>
      </c>
      <c r="U525">
        <v>0</v>
      </c>
      <c r="V525">
        <v>0</v>
      </c>
      <c r="W525">
        <v>0</v>
      </c>
      <c r="X525">
        <v>0</v>
      </c>
      <c r="Y525">
        <v>2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</row>
    <row r="526" spans="1:40">
      <c r="A526">
        <v>2753</v>
      </c>
      <c r="B526" t="s">
        <v>6141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 s="367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 s="367">
        <v>0</v>
      </c>
      <c r="U526">
        <v>0</v>
      </c>
      <c r="V526">
        <v>0</v>
      </c>
      <c r="W526">
        <v>2</v>
      </c>
      <c r="X526">
        <v>1</v>
      </c>
      <c r="Y526">
        <v>3</v>
      </c>
      <c r="Z526">
        <v>0</v>
      </c>
      <c r="AA526">
        <v>0</v>
      </c>
      <c r="AB526">
        <v>1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1</v>
      </c>
      <c r="AK526">
        <v>0</v>
      </c>
      <c r="AL526">
        <v>0</v>
      </c>
    </row>
    <row r="527" spans="1:40">
      <c r="A527">
        <v>2801</v>
      </c>
      <c r="B527" t="s">
        <v>5218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 s="36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 s="367">
        <v>0</v>
      </c>
      <c r="U527">
        <v>0</v>
      </c>
      <c r="V527">
        <v>2</v>
      </c>
      <c r="W527">
        <v>0</v>
      </c>
      <c r="X527">
        <v>0</v>
      </c>
      <c r="Y527">
        <v>0</v>
      </c>
      <c r="Z527">
        <v>2</v>
      </c>
      <c r="AA527">
        <v>3</v>
      </c>
      <c r="AB527">
        <v>0</v>
      </c>
      <c r="AC527">
        <v>0</v>
      </c>
      <c r="AD527">
        <v>1</v>
      </c>
      <c r="AE527">
        <v>1</v>
      </c>
      <c r="AF527">
        <v>1</v>
      </c>
      <c r="AG527">
        <v>0</v>
      </c>
      <c r="AH527">
        <v>0</v>
      </c>
      <c r="AI527">
        <v>1</v>
      </c>
      <c r="AJ527">
        <v>6</v>
      </c>
      <c r="AK527">
        <v>0</v>
      </c>
      <c r="AL527">
        <v>2</v>
      </c>
      <c r="AN527" s="367" t="s">
        <v>6778</v>
      </c>
    </row>
    <row r="528" spans="1:40">
      <c r="A528">
        <v>2809</v>
      </c>
      <c r="B528" t="s">
        <v>5219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 s="367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 s="367">
        <v>0</v>
      </c>
      <c r="U528">
        <v>6</v>
      </c>
      <c r="V528">
        <v>21</v>
      </c>
      <c r="W528">
        <v>0</v>
      </c>
      <c r="X528">
        <v>2</v>
      </c>
      <c r="Y528">
        <v>0</v>
      </c>
      <c r="Z528">
        <v>10</v>
      </c>
      <c r="AA528">
        <v>2</v>
      </c>
      <c r="AB528">
        <v>0</v>
      </c>
      <c r="AC528">
        <v>0</v>
      </c>
      <c r="AD528">
        <v>10</v>
      </c>
      <c r="AE528">
        <v>0</v>
      </c>
      <c r="AF528">
        <v>17</v>
      </c>
      <c r="AG528">
        <v>0</v>
      </c>
      <c r="AH528">
        <v>0</v>
      </c>
      <c r="AI528">
        <v>6</v>
      </c>
      <c r="AJ528">
        <v>0</v>
      </c>
      <c r="AK528">
        <v>6</v>
      </c>
      <c r="AL528">
        <v>21</v>
      </c>
      <c r="AM528" s="367" t="s">
        <v>3543</v>
      </c>
      <c r="AN528" s="367" t="s">
        <v>6790</v>
      </c>
    </row>
    <row r="529" spans="1:40">
      <c r="A529">
        <v>2812</v>
      </c>
      <c r="B529" t="s">
        <v>5220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 s="367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 s="367">
        <v>0</v>
      </c>
      <c r="U529">
        <v>0</v>
      </c>
      <c r="V529">
        <v>0</v>
      </c>
      <c r="W529">
        <v>0</v>
      </c>
      <c r="X529">
        <v>1</v>
      </c>
      <c r="Y529">
        <v>0</v>
      </c>
      <c r="Z529">
        <v>2</v>
      </c>
      <c r="AA529">
        <v>0</v>
      </c>
      <c r="AB529">
        <v>0</v>
      </c>
      <c r="AC529">
        <v>0</v>
      </c>
      <c r="AD529">
        <v>1</v>
      </c>
      <c r="AE529">
        <v>0</v>
      </c>
      <c r="AF529">
        <v>1</v>
      </c>
      <c r="AG529">
        <v>0</v>
      </c>
      <c r="AH529">
        <v>0</v>
      </c>
      <c r="AI529">
        <v>1</v>
      </c>
      <c r="AJ529">
        <v>4</v>
      </c>
      <c r="AK529">
        <v>0</v>
      </c>
      <c r="AL529">
        <v>0</v>
      </c>
    </row>
    <row r="530" spans="1:40">
      <c r="A530">
        <v>2816</v>
      </c>
      <c r="B530" t="s">
        <v>5221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 s="367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 s="367">
        <v>0</v>
      </c>
      <c r="U530">
        <v>0</v>
      </c>
      <c r="V530">
        <v>0</v>
      </c>
      <c r="W530">
        <v>0</v>
      </c>
      <c r="X530">
        <v>0</v>
      </c>
      <c r="Y530">
        <v>2</v>
      </c>
      <c r="Z530">
        <v>0</v>
      </c>
      <c r="AA530">
        <v>0</v>
      </c>
      <c r="AB530">
        <v>0</v>
      </c>
      <c r="AC530">
        <v>0</v>
      </c>
      <c r="AD530">
        <v>3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</row>
    <row r="531" spans="1:40">
      <c r="A531">
        <v>2820</v>
      </c>
      <c r="B531" t="s">
        <v>5222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 s="367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 s="367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2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1</v>
      </c>
      <c r="AG531">
        <v>0</v>
      </c>
      <c r="AH531">
        <v>0</v>
      </c>
      <c r="AI531">
        <v>2</v>
      </c>
      <c r="AJ531">
        <v>1</v>
      </c>
      <c r="AK531">
        <v>0</v>
      </c>
      <c r="AL531">
        <v>0</v>
      </c>
    </row>
    <row r="532" spans="1:40">
      <c r="A532">
        <v>2832</v>
      </c>
      <c r="B532" t="s">
        <v>5223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 s="367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 s="367">
        <v>0</v>
      </c>
      <c r="U532">
        <v>0</v>
      </c>
      <c r="V532">
        <v>0</v>
      </c>
      <c r="W532">
        <v>0</v>
      </c>
      <c r="X532">
        <v>0</v>
      </c>
      <c r="Y532">
        <v>1</v>
      </c>
      <c r="Z532">
        <v>0</v>
      </c>
      <c r="AA532">
        <v>0</v>
      </c>
      <c r="AB532">
        <v>0</v>
      </c>
      <c r="AC532">
        <v>0</v>
      </c>
      <c r="AD532">
        <v>1</v>
      </c>
      <c r="AE532">
        <v>3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</row>
    <row r="533" spans="1:40">
      <c r="A533">
        <v>2834</v>
      </c>
      <c r="B533" t="s">
        <v>5224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 s="367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 s="367">
        <v>0</v>
      </c>
      <c r="U533">
        <v>0</v>
      </c>
      <c r="V533">
        <v>4</v>
      </c>
      <c r="W533">
        <v>1</v>
      </c>
      <c r="X533">
        <v>0</v>
      </c>
      <c r="Y533">
        <v>0</v>
      </c>
      <c r="Z533">
        <v>2</v>
      </c>
      <c r="AA533">
        <v>0</v>
      </c>
      <c r="AB533">
        <v>0</v>
      </c>
      <c r="AC533">
        <v>0</v>
      </c>
      <c r="AD533">
        <v>0</v>
      </c>
      <c r="AE533">
        <v>8</v>
      </c>
      <c r="AF533">
        <v>1</v>
      </c>
      <c r="AG533">
        <v>0</v>
      </c>
      <c r="AH533">
        <v>0</v>
      </c>
      <c r="AI533">
        <v>2</v>
      </c>
      <c r="AJ533">
        <v>3</v>
      </c>
      <c r="AK533">
        <v>0</v>
      </c>
      <c r="AL533">
        <v>4</v>
      </c>
      <c r="AN533" s="367" t="s">
        <v>4718</v>
      </c>
    </row>
    <row r="534" spans="1:40">
      <c r="A534">
        <v>2836</v>
      </c>
      <c r="B534" t="s">
        <v>5225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 s="367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 s="367">
        <v>0</v>
      </c>
      <c r="U534">
        <v>0</v>
      </c>
      <c r="V534">
        <v>0</v>
      </c>
      <c r="W534">
        <v>0</v>
      </c>
      <c r="X534">
        <v>1</v>
      </c>
      <c r="Y534">
        <v>0</v>
      </c>
      <c r="Z534">
        <v>2</v>
      </c>
      <c r="AA534">
        <v>0</v>
      </c>
      <c r="AB534">
        <v>0</v>
      </c>
      <c r="AC534">
        <v>0</v>
      </c>
      <c r="AD534">
        <v>1</v>
      </c>
      <c r="AE534">
        <v>0</v>
      </c>
      <c r="AF534">
        <v>1</v>
      </c>
      <c r="AG534">
        <v>0</v>
      </c>
      <c r="AH534">
        <v>0</v>
      </c>
      <c r="AI534">
        <v>3</v>
      </c>
      <c r="AJ534">
        <v>2</v>
      </c>
      <c r="AK534">
        <v>0</v>
      </c>
      <c r="AL534">
        <v>0</v>
      </c>
    </row>
    <row r="535" spans="1:40">
      <c r="A535">
        <v>2838</v>
      </c>
      <c r="B535" t="s">
        <v>5226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 s="367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 s="367">
        <v>0</v>
      </c>
      <c r="U535">
        <v>0</v>
      </c>
      <c r="V535">
        <v>0</v>
      </c>
      <c r="W535">
        <v>0</v>
      </c>
      <c r="X535">
        <v>1</v>
      </c>
      <c r="Y535">
        <v>0</v>
      </c>
      <c r="Z535">
        <v>3</v>
      </c>
      <c r="AA535">
        <v>0</v>
      </c>
      <c r="AB535">
        <v>0</v>
      </c>
      <c r="AC535">
        <v>0</v>
      </c>
      <c r="AD535">
        <v>4</v>
      </c>
      <c r="AE535">
        <v>0</v>
      </c>
      <c r="AF535">
        <v>1</v>
      </c>
      <c r="AG535">
        <v>0</v>
      </c>
      <c r="AH535">
        <v>0</v>
      </c>
      <c r="AI535">
        <v>4</v>
      </c>
      <c r="AJ535">
        <v>1</v>
      </c>
      <c r="AK535">
        <v>0</v>
      </c>
      <c r="AL535">
        <v>0</v>
      </c>
    </row>
    <row r="536" spans="1:40">
      <c r="A536">
        <v>2845</v>
      </c>
      <c r="B536" t="s">
        <v>5227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 s="367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 s="367">
        <v>0</v>
      </c>
      <c r="U536">
        <v>0</v>
      </c>
      <c r="V536">
        <v>0</v>
      </c>
      <c r="W536">
        <v>2</v>
      </c>
      <c r="X536">
        <v>2</v>
      </c>
      <c r="Y536">
        <v>0</v>
      </c>
      <c r="Z536">
        <v>2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1</v>
      </c>
      <c r="AG536">
        <v>0</v>
      </c>
      <c r="AH536">
        <v>0</v>
      </c>
      <c r="AI536">
        <v>1</v>
      </c>
      <c r="AJ536">
        <v>1</v>
      </c>
      <c r="AK536">
        <v>0</v>
      </c>
      <c r="AL536">
        <v>0</v>
      </c>
    </row>
    <row r="537" spans="1:40">
      <c r="A537">
        <v>2849</v>
      </c>
      <c r="B537" t="s">
        <v>5228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 s="36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 s="367">
        <v>0</v>
      </c>
      <c r="U537">
        <v>0</v>
      </c>
      <c r="V537">
        <v>0</v>
      </c>
      <c r="W537">
        <v>0</v>
      </c>
      <c r="X537">
        <v>1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1</v>
      </c>
      <c r="AE537">
        <v>0</v>
      </c>
      <c r="AF537">
        <v>1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</row>
    <row r="538" spans="1:40">
      <c r="A538">
        <v>2850</v>
      </c>
      <c r="B538" t="s">
        <v>5229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 s="367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 s="367">
        <v>0</v>
      </c>
      <c r="U538">
        <v>0</v>
      </c>
      <c r="V538">
        <v>6</v>
      </c>
      <c r="W538">
        <v>0</v>
      </c>
      <c r="X538">
        <v>0</v>
      </c>
      <c r="Y538">
        <v>0</v>
      </c>
      <c r="Z538">
        <v>2</v>
      </c>
      <c r="AA538">
        <v>0</v>
      </c>
      <c r="AB538">
        <v>0</v>
      </c>
      <c r="AC538">
        <v>0</v>
      </c>
      <c r="AD538">
        <v>7</v>
      </c>
      <c r="AE538">
        <v>7</v>
      </c>
      <c r="AF538">
        <v>2</v>
      </c>
      <c r="AG538">
        <v>0</v>
      </c>
      <c r="AH538">
        <v>0</v>
      </c>
      <c r="AI538">
        <v>1</v>
      </c>
      <c r="AJ538">
        <v>0</v>
      </c>
      <c r="AK538">
        <v>0</v>
      </c>
      <c r="AL538">
        <v>6</v>
      </c>
      <c r="AN538" s="367" t="s">
        <v>6782</v>
      </c>
    </row>
    <row r="539" spans="1:40">
      <c r="A539">
        <v>2851</v>
      </c>
      <c r="B539" t="s">
        <v>5230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 s="367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 s="367">
        <v>0</v>
      </c>
      <c r="U539">
        <v>8</v>
      </c>
      <c r="V539">
        <v>14</v>
      </c>
      <c r="W539">
        <v>2</v>
      </c>
      <c r="X539">
        <v>0</v>
      </c>
      <c r="Y539">
        <v>0</v>
      </c>
      <c r="Z539">
        <v>2</v>
      </c>
      <c r="AA539">
        <v>0</v>
      </c>
      <c r="AB539">
        <v>12</v>
      </c>
      <c r="AC539">
        <v>0</v>
      </c>
      <c r="AD539">
        <v>0</v>
      </c>
      <c r="AE539">
        <v>4</v>
      </c>
      <c r="AF539">
        <v>18</v>
      </c>
      <c r="AG539">
        <v>0</v>
      </c>
      <c r="AH539">
        <v>0</v>
      </c>
      <c r="AI539">
        <v>0</v>
      </c>
      <c r="AJ539">
        <v>0</v>
      </c>
      <c r="AK539">
        <v>8</v>
      </c>
      <c r="AL539">
        <v>14</v>
      </c>
      <c r="AM539" s="367" t="s">
        <v>6775</v>
      </c>
      <c r="AN539" s="367" t="s">
        <v>3542</v>
      </c>
    </row>
    <row r="540" spans="1:40">
      <c r="A540">
        <v>2852</v>
      </c>
      <c r="B540" t="s">
        <v>5231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 s="367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 s="367">
        <v>0</v>
      </c>
      <c r="U540">
        <v>0</v>
      </c>
      <c r="V540">
        <v>3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1</v>
      </c>
      <c r="AE540">
        <v>7</v>
      </c>
      <c r="AF540">
        <v>1</v>
      </c>
      <c r="AG540">
        <v>2</v>
      </c>
      <c r="AH540">
        <v>0</v>
      </c>
      <c r="AI540">
        <v>0</v>
      </c>
      <c r="AJ540">
        <v>0</v>
      </c>
      <c r="AK540">
        <v>0</v>
      </c>
      <c r="AL540">
        <v>3</v>
      </c>
      <c r="AN540" s="367" t="s">
        <v>4718</v>
      </c>
    </row>
    <row r="541" spans="1:40">
      <c r="A541">
        <v>2855</v>
      </c>
      <c r="B541" t="s">
        <v>5232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 s="367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 s="367">
        <v>0</v>
      </c>
      <c r="U541">
        <v>0</v>
      </c>
      <c r="V541">
        <v>8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2</v>
      </c>
      <c r="AD541">
        <v>10</v>
      </c>
      <c r="AE541">
        <v>2</v>
      </c>
      <c r="AF541">
        <v>1</v>
      </c>
      <c r="AG541">
        <v>0</v>
      </c>
      <c r="AH541">
        <v>0</v>
      </c>
      <c r="AI541">
        <v>6</v>
      </c>
      <c r="AJ541">
        <v>0</v>
      </c>
      <c r="AK541">
        <v>0</v>
      </c>
      <c r="AL541">
        <v>8</v>
      </c>
      <c r="AN541" s="367" t="s">
        <v>6788</v>
      </c>
    </row>
    <row r="542" spans="1:40">
      <c r="A542">
        <v>2867</v>
      </c>
      <c r="B542" t="s">
        <v>5233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 s="367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 s="367">
        <v>0</v>
      </c>
      <c r="U542">
        <v>0</v>
      </c>
      <c r="V542">
        <v>0</v>
      </c>
      <c r="W542">
        <v>2</v>
      </c>
      <c r="X542">
        <v>1</v>
      </c>
      <c r="Y542">
        <v>0</v>
      </c>
      <c r="Z542">
        <v>3</v>
      </c>
      <c r="AA542">
        <v>0</v>
      </c>
      <c r="AB542">
        <v>0</v>
      </c>
      <c r="AC542">
        <v>2</v>
      </c>
      <c r="AD542">
        <v>0</v>
      </c>
      <c r="AE542">
        <v>0</v>
      </c>
      <c r="AF542">
        <v>1</v>
      </c>
      <c r="AG542">
        <v>0</v>
      </c>
      <c r="AH542">
        <v>0</v>
      </c>
      <c r="AI542">
        <v>2</v>
      </c>
      <c r="AJ542">
        <v>0</v>
      </c>
      <c r="AK542">
        <v>0</v>
      </c>
      <c r="AL542">
        <v>0</v>
      </c>
    </row>
    <row r="543" spans="1:40">
      <c r="A543">
        <v>2880</v>
      </c>
      <c r="B543" t="s">
        <v>5234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 s="367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 s="367">
        <v>0</v>
      </c>
      <c r="U543">
        <v>0</v>
      </c>
      <c r="V543">
        <v>0</v>
      </c>
      <c r="W543">
        <v>0</v>
      </c>
      <c r="X543">
        <v>2</v>
      </c>
      <c r="Y543">
        <v>0</v>
      </c>
      <c r="Z543">
        <v>2</v>
      </c>
      <c r="AA543">
        <v>3</v>
      </c>
      <c r="AB543">
        <v>3</v>
      </c>
      <c r="AC543">
        <v>0</v>
      </c>
      <c r="AD543">
        <v>1</v>
      </c>
      <c r="AE543">
        <v>0</v>
      </c>
      <c r="AF543">
        <v>1</v>
      </c>
      <c r="AG543">
        <v>0</v>
      </c>
      <c r="AH543">
        <v>0</v>
      </c>
      <c r="AI543">
        <v>0</v>
      </c>
      <c r="AJ543">
        <v>1</v>
      </c>
      <c r="AK543">
        <v>0</v>
      </c>
      <c r="AL543">
        <v>0</v>
      </c>
    </row>
    <row r="544" spans="1:40">
      <c r="A544">
        <v>2881</v>
      </c>
      <c r="B544" t="s">
        <v>5235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 s="367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 s="367">
        <v>0</v>
      </c>
      <c r="U544">
        <v>0</v>
      </c>
      <c r="V544">
        <v>8</v>
      </c>
      <c r="W544">
        <v>0</v>
      </c>
      <c r="X544">
        <v>2</v>
      </c>
      <c r="Y544">
        <v>0</v>
      </c>
      <c r="Z544">
        <v>2</v>
      </c>
      <c r="AA544">
        <v>1</v>
      </c>
      <c r="AB544">
        <v>0</v>
      </c>
      <c r="AC544">
        <v>0</v>
      </c>
      <c r="AD544">
        <v>8</v>
      </c>
      <c r="AE544">
        <v>0</v>
      </c>
      <c r="AF544">
        <v>8</v>
      </c>
      <c r="AG544">
        <v>0</v>
      </c>
      <c r="AH544">
        <v>0</v>
      </c>
      <c r="AI544">
        <v>2</v>
      </c>
      <c r="AJ544">
        <v>1</v>
      </c>
      <c r="AK544">
        <v>0</v>
      </c>
      <c r="AL544">
        <v>8</v>
      </c>
      <c r="AN544" s="367" t="s">
        <v>6785</v>
      </c>
    </row>
    <row r="545" spans="1:40">
      <c r="A545">
        <v>2882</v>
      </c>
      <c r="B545" t="s">
        <v>5236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 s="367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 s="367">
        <v>0</v>
      </c>
      <c r="U545">
        <v>0</v>
      </c>
      <c r="V545">
        <v>9</v>
      </c>
      <c r="W545">
        <v>0</v>
      </c>
      <c r="X545">
        <v>0</v>
      </c>
      <c r="Y545">
        <v>0</v>
      </c>
      <c r="Z545">
        <v>0</v>
      </c>
      <c r="AA545">
        <v>1</v>
      </c>
      <c r="AB545">
        <v>0</v>
      </c>
      <c r="AC545">
        <v>0</v>
      </c>
      <c r="AD545">
        <v>8</v>
      </c>
      <c r="AE545">
        <v>1</v>
      </c>
      <c r="AF545">
        <v>2</v>
      </c>
      <c r="AG545">
        <v>1</v>
      </c>
      <c r="AH545">
        <v>0</v>
      </c>
      <c r="AI545">
        <v>9</v>
      </c>
      <c r="AJ545">
        <v>1</v>
      </c>
      <c r="AK545">
        <v>0</v>
      </c>
      <c r="AL545">
        <v>9</v>
      </c>
      <c r="AN545" s="367" t="s">
        <v>6788</v>
      </c>
    </row>
    <row r="546" spans="1:40">
      <c r="A546">
        <v>2883</v>
      </c>
      <c r="B546" t="s">
        <v>5237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 s="367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 s="367">
        <v>0</v>
      </c>
      <c r="U546">
        <v>0</v>
      </c>
      <c r="V546">
        <v>0</v>
      </c>
      <c r="W546">
        <v>0</v>
      </c>
      <c r="X546">
        <v>2</v>
      </c>
      <c r="Y546">
        <v>0</v>
      </c>
      <c r="Z546">
        <v>0</v>
      </c>
      <c r="AA546">
        <v>3</v>
      </c>
      <c r="AB546">
        <v>0</v>
      </c>
      <c r="AC546">
        <v>0</v>
      </c>
      <c r="AD546">
        <v>1</v>
      </c>
      <c r="AE546">
        <v>0</v>
      </c>
      <c r="AF546">
        <v>1</v>
      </c>
      <c r="AG546">
        <v>1</v>
      </c>
      <c r="AH546">
        <v>0</v>
      </c>
      <c r="AI546">
        <v>1</v>
      </c>
      <c r="AJ546">
        <v>3</v>
      </c>
      <c r="AK546">
        <v>0</v>
      </c>
      <c r="AL546">
        <v>0</v>
      </c>
    </row>
    <row r="547" spans="1:40">
      <c r="A547">
        <v>2884</v>
      </c>
      <c r="B547" t="s">
        <v>5238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 s="36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 s="367">
        <v>0</v>
      </c>
      <c r="U547">
        <v>0</v>
      </c>
      <c r="V547">
        <v>0</v>
      </c>
      <c r="W547">
        <v>0</v>
      </c>
      <c r="X547">
        <v>2</v>
      </c>
      <c r="Y547">
        <v>0</v>
      </c>
      <c r="Z547">
        <v>2</v>
      </c>
      <c r="AA547">
        <v>2</v>
      </c>
      <c r="AB547">
        <v>3</v>
      </c>
      <c r="AC547">
        <v>1</v>
      </c>
      <c r="AD547">
        <v>3</v>
      </c>
      <c r="AE547">
        <v>0</v>
      </c>
      <c r="AF547">
        <v>3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</row>
    <row r="548" spans="1:40">
      <c r="A548">
        <v>2885</v>
      </c>
      <c r="B548" t="s">
        <v>5239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 s="367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 s="367">
        <v>0</v>
      </c>
      <c r="U548">
        <v>22</v>
      </c>
      <c r="V548">
        <v>25</v>
      </c>
      <c r="W548">
        <v>0</v>
      </c>
      <c r="X548">
        <v>2</v>
      </c>
      <c r="Y548">
        <v>0</v>
      </c>
      <c r="Z548">
        <v>2</v>
      </c>
      <c r="AA548">
        <v>26</v>
      </c>
      <c r="AB548">
        <v>0</v>
      </c>
      <c r="AC548">
        <v>3</v>
      </c>
      <c r="AD548">
        <v>10</v>
      </c>
      <c r="AE548">
        <v>0</v>
      </c>
      <c r="AF548">
        <v>23</v>
      </c>
      <c r="AG548">
        <v>0</v>
      </c>
      <c r="AH548">
        <v>0</v>
      </c>
      <c r="AI548">
        <v>2</v>
      </c>
      <c r="AJ548">
        <v>0</v>
      </c>
      <c r="AK548">
        <v>22</v>
      </c>
      <c r="AL548">
        <v>25</v>
      </c>
      <c r="AM548" s="367" t="s">
        <v>3544</v>
      </c>
      <c r="AN548" s="367" t="s">
        <v>6785</v>
      </c>
    </row>
    <row r="549" spans="1:40">
      <c r="A549">
        <v>2886</v>
      </c>
      <c r="B549" t="s">
        <v>5240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 s="367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 s="367">
        <v>0</v>
      </c>
      <c r="U549">
        <v>0</v>
      </c>
      <c r="V549">
        <v>4</v>
      </c>
      <c r="W549">
        <v>0</v>
      </c>
      <c r="X549">
        <v>0</v>
      </c>
      <c r="Y549">
        <v>0</v>
      </c>
      <c r="Z549">
        <v>4</v>
      </c>
      <c r="AA549">
        <v>1</v>
      </c>
      <c r="AB549">
        <v>0</v>
      </c>
      <c r="AC549">
        <v>0</v>
      </c>
      <c r="AD549">
        <v>1</v>
      </c>
      <c r="AE549">
        <v>5</v>
      </c>
      <c r="AF549">
        <v>1</v>
      </c>
      <c r="AG549">
        <v>0</v>
      </c>
      <c r="AH549">
        <v>0</v>
      </c>
      <c r="AI549">
        <v>7</v>
      </c>
      <c r="AJ549">
        <v>3</v>
      </c>
      <c r="AK549">
        <v>0</v>
      </c>
      <c r="AL549">
        <v>4</v>
      </c>
      <c r="AN549" s="367" t="s">
        <v>6258</v>
      </c>
    </row>
    <row r="550" spans="1:40">
      <c r="A550">
        <v>2887</v>
      </c>
      <c r="B550" t="s">
        <v>5241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 s="367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 s="367">
        <v>0</v>
      </c>
      <c r="U550">
        <v>4</v>
      </c>
      <c r="V550">
        <v>6</v>
      </c>
      <c r="W550">
        <v>0</v>
      </c>
      <c r="X550">
        <v>0</v>
      </c>
      <c r="Y550">
        <v>0</v>
      </c>
      <c r="Z550">
        <v>8</v>
      </c>
      <c r="AA550">
        <v>4</v>
      </c>
      <c r="AB550">
        <v>0</v>
      </c>
      <c r="AC550">
        <v>2</v>
      </c>
      <c r="AD550">
        <v>10</v>
      </c>
      <c r="AE550">
        <v>3</v>
      </c>
      <c r="AF550">
        <v>4</v>
      </c>
      <c r="AG550">
        <v>0</v>
      </c>
      <c r="AH550">
        <v>0</v>
      </c>
      <c r="AI550">
        <v>1</v>
      </c>
      <c r="AJ550">
        <v>0</v>
      </c>
      <c r="AK550">
        <v>4</v>
      </c>
      <c r="AL550">
        <v>6</v>
      </c>
      <c r="AM550" s="367" t="s">
        <v>3543</v>
      </c>
      <c r="AN550" s="367" t="s">
        <v>6761</v>
      </c>
    </row>
    <row r="551" spans="1:40">
      <c r="A551">
        <v>2888</v>
      </c>
      <c r="B551" t="s">
        <v>5242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 s="367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 s="367">
        <v>0</v>
      </c>
      <c r="U551">
        <v>1</v>
      </c>
      <c r="V551">
        <v>24</v>
      </c>
      <c r="W551">
        <v>0</v>
      </c>
      <c r="X551">
        <v>2</v>
      </c>
      <c r="Y551">
        <v>0</v>
      </c>
      <c r="Z551">
        <v>1</v>
      </c>
      <c r="AA551">
        <v>0</v>
      </c>
      <c r="AB551">
        <v>5</v>
      </c>
      <c r="AC551">
        <v>0</v>
      </c>
      <c r="AD551">
        <v>10</v>
      </c>
      <c r="AE551">
        <v>0</v>
      </c>
      <c r="AF551">
        <v>22</v>
      </c>
      <c r="AG551">
        <v>0</v>
      </c>
      <c r="AH551">
        <v>0</v>
      </c>
      <c r="AI551">
        <v>0</v>
      </c>
      <c r="AJ551">
        <v>1</v>
      </c>
      <c r="AK551">
        <v>1</v>
      </c>
      <c r="AL551">
        <v>24</v>
      </c>
      <c r="AM551" s="367" t="s">
        <v>6775</v>
      </c>
      <c r="AN551" s="367" t="s">
        <v>6785</v>
      </c>
    </row>
    <row r="552" spans="1:40">
      <c r="A552">
        <v>2889</v>
      </c>
      <c r="B552" t="s">
        <v>5243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 s="367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 s="367">
        <v>0</v>
      </c>
      <c r="U552">
        <v>0</v>
      </c>
      <c r="V552">
        <v>5</v>
      </c>
      <c r="W552">
        <v>0</v>
      </c>
      <c r="X552">
        <v>2</v>
      </c>
      <c r="Y552">
        <v>0</v>
      </c>
      <c r="Z552">
        <v>2</v>
      </c>
      <c r="AA552">
        <v>0</v>
      </c>
      <c r="AB552">
        <v>0</v>
      </c>
      <c r="AC552">
        <v>3</v>
      </c>
      <c r="AD552">
        <v>9</v>
      </c>
      <c r="AE552">
        <v>0</v>
      </c>
      <c r="AF552">
        <v>1</v>
      </c>
      <c r="AG552">
        <v>0</v>
      </c>
      <c r="AH552">
        <v>0</v>
      </c>
      <c r="AI552">
        <v>1</v>
      </c>
      <c r="AJ552">
        <v>0</v>
      </c>
      <c r="AK552">
        <v>0</v>
      </c>
      <c r="AL552">
        <v>5</v>
      </c>
      <c r="AN552" s="367" t="s">
        <v>6761</v>
      </c>
    </row>
    <row r="553" spans="1:40">
      <c r="A553">
        <v>2890</v>
      </c>
      <c r="B553" t="s">
        <v>5244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 s="367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 s="367">
        <v>0</v>
      </c>
      <c r="U553">
        <v>25</v>
      </c>
      <c r="V553">
        <v>0</v>
      </c>
      <c r="W553">
        <v>2</v>
      </c>
      <c r="X553">
        <v>1</v>
      </c>
      <c r="Y553">
        <v>0</v>
      </c>
      <c r="Z553">
        <v>2</v>
      </c>
      <c r="AA553">
        <v>29</v>
      </c>
      <c r="AB553">
        <v>0</v>
      </c>
      <c r="AC553">
        <v>0</v>
      </c>
      <c r="AD553">
        <v>0</v>
      </c>
      <c r="AE553">
        <v>0</v>
      </c>
      <c r="AF553">
        <v>4</v>
      </c>
      <c r="AG553">
        <v>0</v>
      </c>
      <c r="AH553">
        <v>0</v>
      </c>
      <c r="AI553">
        <v>1</v>
      </c>
      <c r="AJ553">
        <v>2</v>
      </c>
      <c r="AK553">
        <v>25</v>
      </c>
      <c r="AL553">
        <v>0</v>
      </c>
      <c r="AM553" s="367" t="s">
        <v>3544</v>
      </c>
    </row>
    <row r="554" spans="1:40">
      <c r="A554">
        <v>2891</v>
      </c>
      <c r="B554" t="s">
        <v>5245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 s="367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 s="367">
        <v>0</v>
      </c>
      <c r="U554">
        <v>0</v>
      </c>
      <c r="V554">
        <v>0</v>
      </c>
      <c r="W554">
        <v>1</v>
      </c>
      <c r="X554">
        <v>0</v>
      </c>
      <c r="Y554">
        <v>0</v>
      </c>
      <c r="Z554">
        <v>2</v>
      </c>
      <c r="AA554">
        <v>1</v>
      </c>
      <c r="AB554">
        <v>1</v>
      </c>
      <c r="AC554">
        <v>0</v>
      </c>
      <c r="AD554">
        <v>0</v>
      </c>
      <c r="AE554">
        <v>1</v>
      </c>
      <c r="AF554">
        <v>2</v>
      </c>
      <c r="AG554">
        <v>0</v>
      </c>
      <c r="AH554">
        <v>0</v>
      </c>
      <c r="AI554">
        <v>0</v>
      </c>
      <c r="AJ554">
        <v>1</v>
      </c>
      <c r="AK554">
        <v>0</v>
      </c>
      <c r="AL554">
        <v>0</v>
      </c>
    </row>
    <row r="555" spans="1:40">
      <c r="A555">
        <v>2892</v>
      </c>
      <c r="B555" t="s">
        <v>5246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 s="367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 s="367">
        <v>0</v>
      </c>
      <c r="U555">
        <v>9</v>
      </c>
      <c r="V555">
        <v>0</v>
      </c>
      <c r="W555">
        <v>2</v>
      </c>
      <c r="X555">
        <v>0</v>
      </c>
      <c r="Y555">
        <v>0</v>
      </c>
      <c r="Z555">
        <v>2</v>
      </c>
      <c r="AA555">
        <v>13</v>
      </c>
      <c r="AB555">
        <v>1</v>
      </c>
      <c r="AC555">
        <v>0</v>
      </c>
      <c r="AD555">
        <v>0</v>
      </c>
      <c r="AE555">
        <v>1</v>
      </c>
      <c r="AF555">
        <v>3</v>
      </c>
      <c r="AG555">
        <v>0</v>
      </c>
      <c r="AH555">
        <v>0</v>
      </c>
      <c r="AI555">
        <v>0</v>
      </c>
      <c r="AJ555">
        <v>3</v>
      </c>
      <c r="AK555">
        <v>9</v>
      </c>
      <c r="AL555">
        <v>0</v>
      </c>
      <c r="AM555" s="367" t="s">
        <v>3544</v>
      </c>
    </row>
    <row r="556" spans="1:40">
      <c r="A556">
        <v>2897</v>
      </c>
      <c r="B556" t="s">
        <v>5247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 s="367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 s="367">
        <v>0</v>
      </c>
      <c r="U556">
        <v>0</v>
      </c>
      <c r="V556">
        <v>0</v>
      </c>
      <c r="W556">
        <v>0</v>
      </c>
      <c r="X556">
        <v>2</v>
      </c>
      <c r="Y556">
        <v>0</v>
      </c>
      <c r="Z556">
        <v>2</v>
      </c>
      <c r="AA556">
        <v>0</v>
      </c>
      <c r="AB556">
        <v>0</v>
      </c>
      <c r="AC556">
        <v>2</v>
      </c>
      <c r="AD556">
        <v>1</v>
      </c>
      <c r="AE556">
        <v>0</v>
      </c>
      <c r="AF556">
        <v>1</v>
      </c>
      <c r="AG556">
        <v>0</v>
      </c>
      <c r="AH556">
        <v>0</v>
      </c>
      <c r="AI556">
        <v>1</v>
      </c>
      <c r="AJ556">
        <v>0</v>
      </c>
      <c r="AK556">
        <v>0</v>
      </c>
      <c r="AL556">
        <v>0</v>
      </c>
    </row>
    <row r="557" spans="1:40">
      <c r="A557">
        <v>2901</v>
      </c>
      <c r="B557" t="s">
        <v>5248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 s="36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 s="367">
        <v>0</v>
      </c>
      <c r="U557">
        <v>0</v>
      </c>
      <c r="V557">
        <v>6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10</v>
      </c>
      <c r="AE557">
        <v>4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6</v>
      </c>
      <c r="AN557" s="367" t="s">
        <v>6761</v>
      </c>
    </row>
    <row r="558" spans="1:40">
      <c r="A558">
        <v>2903</v>
      </c>
      <c r="B558" t="s">
        <v>5249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 s="367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 s="367">
        <v>0</v>
      </c>
      <c r="U558">
        <v>0</v>
      </c>
      <c r="V558">
        <v>3</v>
      </c>
      <c r="W558">
        <v>0</v>
      </c>
      <c r="X558">
        <v>2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2</v>
      </c>
      <c r="AE558">
        <v>0</v>
      </c>
      <c r="AF558">
        <v>7</v>
      </c>
      <c r="AG558">
        <v>1</v>
      </c>
      <c r="AH558">
        <v>1</v>
      </c>
      <c r="AI558">
        <v>1</v>
      </c>
      <c r="AJ558">
        <v>1</v>
      </c>
      <c r="AK558">
        <v>0</v>
      </c>
      <c r="AL558">
        <v>3</v>
      </c>
      <c r="AN558" s="367" t="s">
        <v>3542</v>
      </c>
    </row>
    <row r="559" spans="1:40">
      <c r="A559">
        <v>2904</v>
      </c>
      <c r="B559" t="s">
        <v>5250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 s="367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 s="367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1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</row>
    <row r="560" spans="1:40">
      <c r="A560">
        <v>2905</v>
      </c>
      <c r="B560" t="s">
        <v>5251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 s="367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 s="367">
        <v>0</v>
      </c>
      <c r="U560">
        <v>0</v>
      </c>
      <c r="V560">
        <v>4</v>
      </c>
      <c r="W560">
        <v>0</v>
      </c>
      <c r="X560">
        <v>0</v>
      </c>
      <c r="Y560">
        <v>0</v>
      </c>
      <c r="Z560">
        <v>2</v>
      </c>
      <c r="AA560">
        <v>0</v>
      </c>
      <c r="AB560">
        <v>0</v>
      </c>
      <c r="AC560">
        <v>1</v>
      </c>
      <c r="AD560">
        <v>4</v>
      </c>
      <c r="AE560">
        <v>5</v>
      </c>
      <c r="AF560">
        <v>7</v>
      </c>
      <c r="AG560">
        <v>0</v>
      </c>
      <c r="AH560">
        <v>0</v>
      </c>
      <c r="AI560">
        <v>4</v>
      </c>
      <c r="AJ560">
        <v>0</v>
      </c>
      <c r="AK560">
        <v>0</v>
      </c>
      <c r="AL560">
        <v>4</v>
      </c>
      <c r="AN560" s="367" t="s">
        <v>6784</v>
      </c>
    </row>
    <row r="561" spans="1:40">
      <c r="A561">
        <v>2906</v>
      </c>
      <c r="B561" t="s">
        <v>5252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 s="367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 s="367">
        <v>0</v>
      </c>
      <c r="U561">
        <v>0</v>
      </c>
      <c r="V561">
        <v>2</v>
      </c>
      <c r="W561">
        <v>2</v>
      </c>
      <c r="X561">
        <v>0</v>
      </c>
      <c r="Y561">
        <v>2</v>
      </c>
      <c r="Z561">
        <v>2</v>
      </c>
      <c r="AA561">
        <v>0</v>
      </c>
      <c r="AB561">
        <v>1</v>
      </c>
      <c r="AC561">
        <v>1</v>
      </c>
      <c r="AD561">
        <v>0</v>
      </c>
      <c r="AE561">
        <v>6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2</v>
      </c>
      <c r="AN561" s="367" t="s">
        <v>4718</v>
      </c>
    </row>
    <row r="562" spans="1:40">
      <c r="A562">
        <v>2908</v>
      </c>
      <c r="B562" t="s">
        <v>5253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 s="367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 s="367">
        <v>0</v>
      </c>
      <c r="U562">
        <v>9</v>
      </c>
      <c r="V562">
        <v>0</v>
      </c>
      <c r="W562">
        <v>0</v>
      </c>
      <c r="X562">
        <v>13</v>
      </c>
      <c r="Y562">
        <v>0</v>
      </c>
      <c r="Z562">
        <v>0</v>
      </c>
      <c r="AA562">
        <v>0</v>
      </c>
      <c r="AB562">
        <v>1</v>
      </c>
      <c r="AC562">
        <v>0</v>
      </c>
      <c r="AD562">
        <v>0</v>
      </c>
      <c r="AE562">
        <v>0</v>
      </c>
      <c r="AF562">
        <v>1</v>
      </c>
      <c r="AG562">
        <v>0</v>
      </c>
      <c r="AH562">
        <v>0</v>
      </c>
      <c r="AI562">
        <v>0</v>
      </c>
      <c r="AJ562">
        <v>0</v>
      </c>
      <c r="AK562">
        <v>9</v>
      </c>
      <c r="AL562">
        <v>0</v>
      </c>
      <c r="AM562" s="367" t="s">
        <v>4718</v>
      </c>
    </row>
    <row r="563" spans="1:40">
      <c r="A563">
        <v>2910</v>
      </c>
      <c r="B563" t="s">
        <v>5254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 s="367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 s="367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</row>
    <row r="564" spans="1:40">
      <c r="A564">
        <v>2911</v>
      </c>
      <c r="B564" t="s">
        <v>5255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 s="367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 s="367">
        <v>0</v>
      </c>
      <c r="U564">
        <v>0</v>
      </c>
      <c r="V564">
        <v>6</v>
      </c>
      <c r="W564">
        <v>0</v>
      </c>
      <c r="X564">
        <v>2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10</v>
      </c>
      <c r="AE564">
        <v>0</v>
      </c>
      <c r="AF564">
        <v>1</v>
      </c>
      <c r="AG564">
        <v>4</v>
      </c>
      <c r="AH564">
        <v>0</v>
      </c>
      <c r="AI564">
        <v>0</v>
      </c>
      <c r="AJ564">
        <v>1</v>
      </c>
      <c r="AK564">
        <v>0</v>
      </c>
      <c r="AL564">
        <v>6</v>
      </c>
      <c r="AN564" s="367" t="s">
        <v>6761</v>
      </c>
    </row>
    <row r="565" spans="1:40">
      <c r="A565">
        <v>2912</v>
      </c>
      <c r="B565" t="s">
        <v>5256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 s="367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 s="367">
        <v>0</v>
      </c>
      <c r="U565">
        <v>0</v>
      </c>
      <c r="V565">
        <v>3</v>
      </c>
      <c r="W565">
        <v>0</v>
      </c>
      <c r="X565">
        <v>1</v>
      </c>
      <c r="Y565">
        <v>0</v>
      </c>
      <c r="Z565">
        <v>2</v>
      </c>
      <c r="AA565">
        <v>0</v>
      </c>
      <c r="AB565">
        <v>3</v>
      </c>
      <c r="AC565">
        <v>0</v>
      </c>
      <c r="AD565">
        <v>1</v>
      </c>
      <c r="AE565">
        <v>0</v>
      </c>
      <c r="AF565">
        <v>7</v>
      </c>
      <c r="AG565">
        <v>0</v>
      </c>
      <c r="AH565">
        <v>1</v>
      </c>
      <c r="AI565">
        <v>0</v>
      </c>
      <c r="AJ565">
        <v>0</v>
      </c>
      <c r="AK565">
        <v>0</v>
      </c>
      <c r="AL565">
        <v>3</v>
      </c>
      <c r="AN565" s="367" t="s">
        <v>3542</v>
      </c>
    </row>
    <row r="566" spans="1:40">
      <c r="A566">
        <v>2913</v>
      </c>
      <c r="B566" t="s">
        <v>5257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 s="367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 s="367">
        <v>0</v>
      </c>
      <c r="U566">
        <v>0</v>
      </c>
      <c r="V566">
        <v>2</v>
      </c>
      <c r="W566">
        <v>3</v>
      </c>
      <c r="X566">
        <v>0</v>
      </c>
      <c r="Y566">
        <v>2</v>
      </c>
      <c r="Z566">
        <v>2</v>
      </c>
      <c r="AA566">
        <v>0</v>
      </c>
      <c r="AB566">
        <v>1</v>
      </c>
      <c r="AC566">
        <v>0</v>
      </c>
      <c r="AD566">
        <v>0</v>
      </c>
      <c r="AE566">
        <v>6</v>
      </c>
      <c r="AF566">
        <v>0</v>
      </c>
      <c r="AG566">
        <v>0</v>
      </c>
      <c r="AH566">
        <v>0</v>
      </c>
      <c r="AI566">
        <v>0</v>
      </c>
      <c r="AJ566">
        <v>1</v>
      </c>
      <c r="AK566">
        <v>0</v>
      </c>
      <c r="AL566">
        <v>2</v>
      </c>
      <c r="AN566" s="367" t="s">
        <v>4718</v>
      </c>
    </row>
    <row r="567" spans="1:40">
      <c r="A567">
        <v>2915</v>
      </c>
      <c r="B567" t="s">
        <v>5258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 s="3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 s="367">
        <v>0</v>
      </c>
      <c r="U567">
        <v>0</v>
      </c>
      <c r="V567">
        <v>8</v>
      </c>
      <c r="W567">
        <v>0</v>
      </c>
      <c r="X567">
        <v>2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8</v>
      </c>
      <c r="AE567">
        <v>0</v>
      </c>
      <c r="AF567">
        <v>1</v>
      </c>
      <c r="AG567">
        <v>8</v>
      </c>
      <c r="AH567">
        <v>0</v>
      </c>
      <c r="AI567">
        <v>4</v>
      </c>
      <c r="AJ567">
        <v>1</v>
      </c>
      <c r="AK567">
        <v>0</v>
      </c>
      <c r="AL567">
        <v>8</v>
      </c>
      <c r="AN567" s="367" t="s">
        <v>6792</v>
      </c>
    </row>
    <row r="568" spans="1:40">
      <c r="A568">
        <v>2916</v>
      </c>
      <c r="B568" t="s">
        <v>5259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 s="367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 s="367">
        <v>0</v>
      </c>
      <c r="U568">
        <v>0</v>
      </c>
      <c r="V568">
        <v>0</v>
      </c>
      <c r="W568">
        <v>0</v>
      </c>
      <c r="X568">
        <v>0</v>
      </c>
      <c r="Y568">
        <v>1</v>
      </c>
      <c r="Z568">
        <v>0</v>
      </c>
      <c r="AA568">
        <v>0</v>
      </c>
      <c r="AB568">
        <v>0</v>
      </c>
      <c r="AC568">
        <v>0</v>
      </c>
      <c r="AD568">
        <v>1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</row>
    <row r="569" spans="1:40">
      <c r="A569">
        <v>2926</v>
      </c>
      <c r="B569" t="s">
        <v>5260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 s="367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 s="367">
        <v>0</v>
      </c>
      <c r="U569">
        <v>0</v>
      </c>
      <c r="V569">
        <v>0</v>
      </c>
      <c r="W569">
        <v>0</v>
      </c>
      <c r="X569">
        <v>0</v>
      </c>
      <c r="Y569">
        <v>1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</row>
    <row r="570" spans="1:40">
      <c r="A570">
        <v>2929</v>
      </c>
      <c r="B570" t="s">
        <v>5261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 s="367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 s="367">
        <v>0</v>
      </c>
      <c r="U570">
        <v>0</v>
      </c>
      <c r="V570">
        <v>0</v>
      </c>
      <c r="W570">
        <v>1</v>
      </c>
      <c r="X570">
        <v>2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1</v>
      </c>
      <c r="AK570">
        <v>0</v>
      </c>
      <c r="AL570">
        <v>0</v>
      </c>
    </row>
    <row r="571" spans="1:40">
      <c r="A571">
        <v>2936</v>
      </c>
      <c r="B571" t="s">
        <v>5262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 s="367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 s="367">
        <v>0</v>
      </c>
      <c r="U571">
        <v>0</v>
      </c>
      <c r="V571">
        <v>0</v>
      </c>
      <c r="W571">
        <v>0</v>
      </c>
      <c r="X571">
        <v>0</v>
      </c>
      <c r="Y571">
        <v>2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</row>
    <row r="572" spans="1:40">
      <c r="A572">
        <v>2939</v>
      </c>
      <c r="B572" t="s">
        <v>5263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 s="367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 s="367">
        <v>0</v>
      </c>
      <c r="U572">
        <v>0</v>
      </c>
      <c r="V572">
        <v>0</v>
      </c>
      <c r="W572">
        <v>0</v>
      </c>
      <c r="X572">
        <v>1</v>
      </c>
      <c r="Y572">
        <v>2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</row>
    <row r="573" spans="1:40">
      <c r="A573">
        <v>3002</v>
      </c>
      <c r="B573" t="s">
        <v>5264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 s="367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 s="367">
        <v>0</v>
      </c>
      <c r="U573">
        <v>0</v>
      </c>
      <c r="V573">
        <v>0</v>
      </c>
      <c r="W573">
        <v>0</v>
      </c>
      <c r="X573">
        <v>4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1</v>
      </c>
      <c r="AH573">
        <v>0</v>
      </c>
      <c r="AI573">
        <v>0</v>
      </c>
      <c r="AJ573">
        <v>0</v>
      </c>
      <c r="AK573">
        <v>0</v>
      </c>
      <c r="AL573">
        <v>0</v>
      </c>
    </row>
    <row r="574" spans="1:40">
      <c r="A574">
        <v>3004</v>
      </c>
      <c r="B574" t="s">
        <v>5266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 s="367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 s="367">
        <v>0</v>
      </c>
      <c r="U574">
        <v>0</v>
      </c>
      <c r="V574">
        <v>0</v>
      </c>
      <c r="W574">
        <v>0</v>
      </c>
      <c r="X574">
        <v>0</v>
      </c>
      <c r="Y574">
        <v>2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3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</row>
    <row r="575" spans="1:40">
      <c r="A575">
        <v>3005</v>
      </c>
      <c r="B575" t="s">
        <v>5267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 s="367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 s="367">
        <v>0</v>
      </c>
      <c r="U575">
        <v>0</v>
      </c>
      <c r="V575">
        <v>35</v>
      </c>
      <c r="W575">
        <v>0</v>
      </c>
      <c r="X575">
        <v>1</v>
      </c>
      <c r="Y575">
        <v>0</v>
      </c>
      <c r="Z575">
        <v>0</v>
      </c>
      <c r="AA575">
        <v>0</v>
      </c>
      <c r="AB575">
        <v>0</v>
      </c>
      <c r="AC575">
        <v>2</v>
      </c>
      <c r="AD575">
        <v>5</v>
      </c>
      <c r="AE575">
        <v>0</v>
      </c>
      <c r="AF575">
        <v>12</v>
      </c>
      <c r="AG575">
        <v>3</v>
      </c>
      <c r="AH575">
        <v>0</v>
      </c>
      <c r="AI575">
        <v>30</v>
      </c>
      <c r="AJ575">
        <v>0</v>
      </c>
      <c r="AK575">
        <v>0</v>
      </c>
      <c r="AL575">
        <v>35</v>
      </c>
      <c r="AN575" s="367" t="s">
        <v>6790</v>
      </c>
    </row>
    <row r="576" spans="1:40">
      <c r="A576">
        <v>3006</v>
      </c>
      <c r="B576" t="s">
        <v>5268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 s="367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 s="367">
        <v>0</v>
      </c>
      <c r="U576">
        <v>1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4</v>
      </c>
      <c r="AC576">
        <v>5</v>
      </c>
      <c r="AD576">
        <v>1</v>
      </c>
      <c r="AE576">
        <v>3</v>
      </c>
      <c r="AF576">
        <v>1</v>
      </c>
      <c r="AG576">
        <v>1</v>
      </c>
      <c r="AH576">
        <v>0</v>
      </c>
      <c r="AI576">
        <v>0</v>
      </c>
      <c r="AJ576">
        <v>0</v>
      </c>
      <c r="AK576">
        <v>1</v>
      </c>
      <c r="AL576">
        <v>0</v>
      </c>
      <c r="AM576" s="367" t="s">
        <v>6778</v>
      </c>
    </row>
    <row r="577" spans="1:40">
      <c r="A577">
        <v>3008</v>
      </c>
      <c r="B577" t="s">
        <v>5269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 s="36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 s="367">
        <v>0</v>
      </c>
      <c r="U577">
        <v>0</v>
      </c>
      <c r="V577">
        <v>0</v>
      </c>
      <c r="W577">
        <v>0</v>
      </c>
      <c r="X577">
        <v>1</v>
      </c>
      <c r="Y577">
        <v>0</v>
      </c>
      <c r="Z577">
        <v>0</v>
      </c>
      <c r="AA577">
        <v>0</v>
      </c>
      <c r="AB577">
        <v>1</v>
      </c>
      <c r="AC577">
        <v>0</v>
      </c>
      <c r="AD577">
        <v>1</v>
      </c>
      <c r="AE577">
        <v>0</v>
      </c>
      <c r="AF577">
        <v>1</v>
      </c>
      <c r="AG577">
        <v>1</v>
      </c>
      <c r="AH577">
        <v>0</v>
      </c>
      <c r="AI577">
        <v>0</v>
      </c>
      <c r="AJ577">
        <v>3</v>
      </c>
      <c r="AK577">
        <v>0</v>
      </c>
      <c r="AL577">
        <v>0</v>
      </c>
    </row>
    <row r="578" spans="1:40">
      <c r="A578">
        <v>3010</v>
      </c>
      <c r="B578" t="s">
        <v>5270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 s="367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 s="367">
        <v>0</v>
      </c>
      <c r="U578">
        <v>0</v>
      </c>
      <c r="V578">
        <v>2</v>
      </c>
      <c r="W578">
        <v>1</v>
      </c>
      <c r="X578">
        <v>2</v>
      </c>
      <c r="Y578">
        <v>0</v>
      </c>
      <c r="Z578">
        <v>2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6</v>
      </c>
      <c r="AG578">
        <v>0</v>
      </c>
      <c r="AH578">
        <v>0</v>
      </c>
      <c r="AI578">
        <v>1</v>
      </c>
      <c r="AJ578">
        <v>3</v>
      </c>
      <c r="AK578">
        <v>0</v>
      </c>
      <c r="AL578">
        <v>2</v>
      </c>
      <c r="AN578" s="367" t="s">
        <v>3542</v>
      </c>
    </row>
    <row r="579" spans="1:40">
      <c r="A579">
        <v>3013</v>
      </c>
      <c r="B579" t="s">
        <v>5271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 s="367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 s="367">
        <v>0</v>
      </c>
      <c r="U579">
        <v>0</v>
      </c>
      <c r="V579">
        <v>0</v>
      </c>
      <c r="W579">
        <v>0</v>
      </c>
      <c r="X579">
        <v>2</v>
      </c>
      <c r="Y579">
        <v>1</v>
      </c>
      <c r="Z579">
        <v>0</v>
      </c>
      <c r="AA579">
        <v>0</v>
      </c>
      <c r="AB579">
        <v>0</v>
      </c>
      <c r="AC579">
        <v>0</v>
      </c>
      <c r="AD579">
        <v>1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</row>
    <row r="580" spans="1:40">
      <c r="A580">
        <v>3014</v>
      </c>
      <c r="B580" t="s">
        <v>5272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 s="367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 s="367">
        <v>0</v>
      </c>
      <c r="U580">
        <v>3</v>
      </c>
      <c r="V580">
        <v>0</v>
      </c>
      <c r="W580">
        <v>0</v>
      </c>
      <c r="X580">
        <v>0</v>
      </c>
      <c r="Y580">
        <v>2</v>
      </c>
      <c r="Z580">
        <v>2</v>
      </c>
      <c r="AA580">
        <v>0</v>
      </c>
      <c r="AB580">
        <v>7</v>
      </c>
      <c r="AC580">
        <v>3</v>
      </c>
      <c r="AD580">
        <v>1</v>
      </c>
      <c r="AE580">
        <v>3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3</v>
      </c>
      <c r="AL580">
        <v>0</v>
      </c>
      <c r="AM580" s="367" t="s">
        <v>6775</v>
      </c>
    </row>
    <row r="581" spans="1:40">
      <c r="A581">
        <v>3015</v>
      </c>
      <c r="B581" t="s">
        <v>5273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 s="367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 s="367">
        <v>0</v>
      </c>
      <c r="U581">
        <v>1</v>
      </c>
      <c r="V581">
        <v>0</v>
      </c>
      <c r="W581">
        <v>1</v>
      </c>
      <c r="X581">
        <v>5</v>
      </c>
      <c r="Y581">
        <v>0</v>
      </c>
      <c r="Z581">
        <v>2</v>
      </c>
      <c r="AA581">
        <v>1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1</v>
      </c>
      <c r="AL581">
        <v>0</v>
      </c>
      <c r="AM581" s="367" t="s">
        <v>4718</v>
      </c>
    </row>
    <row r="582" spans="1:40">
      <c r="A582">
        <v>3016</v>
      </c>
      <c r="B582" t="s">
        <v>5274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 s="367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 s="367">
        <v>0</v>
      </c>
      <c r="U582">
        <v>0</v>
      </c>
      <c r="V582">
        <v>0</v>
      </c>
      <c r="W582">
        <v>0</v>
      </c>
      <c r="X582">
        <v>1</v>
      </c>
      <c r="Y582">
        <v>0</v>
      </c>
      <c r="Z582">
        <v>2</v>
      </c>
      <c r="AA582">
        <v>0</v>
      </c>
      <c r="AB582">
        <v>0</v>
      </c>
      <c r="AC582">
        <v>0</v>
      </c>
      <c r="AD582">
        <v>1</v>
      </c>
      <c r="AE582">
        <v>0</v>
      </c>
      <c r="AF582">
        <v>1</v>
      </c>
      <c r="AG582">
        <v>0</v>
      </c>
      <c r="AH582">
        <v>0</v>
      </c>
      <c r="AI582">
        <v>4</v>
      </c>
      <c r="AJ582">
        <v>2</v>
      </c>
      <c r="AK582">
        <v>0</v>
      </c>
      <c r="AL582">
        <v>0</v>
      </c>
    </row>
    <row r="583" spans="1:40">
      <c r="A583">
        <v>3017</v>
      </c>
      <c r="B583" t="s">
        <v>5275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 s="367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 s="367">
        <v>0</v>
      </c>
      <c r="U583">
        <v>1</v>
      </c>
      <c r="V583">
        <v>0</v>
      </c>
      <c r="W583">
        <v>0</v>
      </c>
      <c r="X583">
        <v>1</v>
      </c>
      <c r="Y583">
        <v>0</v>
      </c>
      <c r="Z583">
        <v>0</v>
      </c>
      <c r="AA583">
        <v>5</v>
      </c>
      <c r="AB583">
        <v>0</v>
      </c>
      <c r="AC583">
        <v>1</v>
      </c>
      <c r="AD583">
        <v>1</v>
      </c>
      <c r="AE583">
        <v>0</v>
      </c>
      <c r="AF583">
        <v>1</v>
      </c>
      <c r="AG583">
        <v>1</v>
      </c>
      <c r="AH583">
        <v>0</v>
      </c>
      <c r="AI583">
        <v>1</v>
      </c>
      <c r="AJ583">
        <v>0</v>
      </c>
      <c r="AK583">
        <v>1</v>
      </c>
      <c r="AL583">
        <v>0</v>
      </c>
      <c r="AM583" s="367" t="s">
        <v>3544</v>
      </c>
    </row>
    <row r="584" spans="1:40">
      <c r="A584">
        <v>3019</v>
      </c>
      <c r="B584" t="s">
        <v>5276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 s="367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 s="367">
        <v>0</v>
      </c>
      <c r="U584">
        <v>0</v>
      </c>
      <c r="V584">
        <v>7</v>
      </c>
      <c r="W584">
        <v>3</v>
      </c>
      <c r="X584">
        <v>0</v>
      </c>
      <c r="Y584">
        <v>3</v>
      </c>
      <c r="Z584">
        <v>3</v>
      </c>
      <c r="AA584">
        <v>1</v>
      </c>
      <c r="AB584">
        <v>3</v>
      </c>
      <c r="AC584">
        <v>0</v>
      </c>
      <c r="AD584">
        <v>0</v>
      </c>
      <c r="AE584">
        <v>11</v>
      </c>
      <c r="AF584">
        <v>0</v>
      </c>
      <c r="AG584">
        <v>0</v>
      </c>
      <c r="AH584">
        <v>0</v>
      </c>
      <c r="AI584">
        <v>0</v>
      </c>
      <c r="AJ584">
        <v>1</v>
      </c>
      <c r="AK584">
        <v>0</v>
      </c>
      <c r="AL584">
        <v>7</v>
      </c>
      <c r="AN584" s="367" t="s">
        <v>4718</v>
      </c>
    </row>
    <row r="585" spans="1:40">
      <c r="A585">
        <v>3021</v>
      </c>
      <c r="B585" t="s">
        <v>5277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 s="367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 s="367">
        <v>0</v>
      </c>
      <c r="U585">
        <v>0</v>
      </c>
      <c r="V585">
        <v>0</v>
      </c>
      <c r="W585">
        <v>1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1</v>
      </c>
      <c r="AF585">
        <v>4</v>
      </c>
      <c r="AG585">
        <v>0</v>
      </c>
      <c r="AH585">
        <v>0</v>
      </c>
      <c r="AI585">
        <v>0</v>
      </c>
      <c r="AJ585">
        <v>1</v>
      </c>
      <c r="AK585">
        <v>0</v>
      </c>
      <c r="AL585">
        <v>0</v>
      </c>
    </row>
    <row r="586" spans="1:40">
      <c r="A586">
        <v>3022</v>
      </c>
      <c r="B586" t="s">
        <v>5278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 s="367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 s="367">
        <v>0</v>
      </c>
      <c r="U586">
        <v>0</v>
      </c>
      <c r="V586">
        <v>3</v>
      </c>
      <c r="W586">
        <v>0</v>
      </c>
      <c r="X586">
        <v>0</v>
      </c>
      <c r="Y586">
        <v>2</v>
      </c>
      <c r="Z586">
        <v>0</v>
      </c>
      <c r="AA586">
        <v>0</v>
      </c>
      <c r="AB586">
        <v>0</v>
      </c>
      <c r="AC586">
        <v>0</v>
      </c>
      <c r="AD586">
        <v>1</v>
      </c>
      <c r="AE586">
        <v>7</v>
      </c>
      <c r="AF586">
        <v>0</v>
      </c>
      <c r="AG586">
        <v>1</v>
      </c>
      <c r="AH586">
        <v>0</v>
      </c>
      <c r="AI586">
        <v>0</v>
      </c>
      <c r="AJ586">
        <v>0</v>
      </c>
      <c r="AK586">
        <v>0</v>
      </c>
      <c r="AL586">
        <v>3</v>
      </c>
      <c r="AN586" s="367" t="s">
        <v>4718</v>
      </c>
    </row>
    <row r="587" spans="1:40">
      <c r="A587">
        <v>3023</v>
      </c>
      <c r="B587" t="s">
        <v>5279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 s="36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 s="367">
        <v>0</v>
      </c>
      <c r="U587">
        <v>12</v>
      </c>
      <c r="V587">
        <v>0</v>
      </c>
      <c r="W587">
        <v>2</v>
      </c>
      <c r="X587">
        <v>0</v>
      </c>
      <c r="Y587">
        <v>10</v>
      </c>
      <c r="Z587">
        <v>1</v>
      </c>
      <c r="AA587">
        <v>2</v>
      </c>
      <c r="AB587">
        <v>10</v>
      </c>
      <c r="AC587">
        <v>0</v>
      </c>
      <c r="AD587">
        <v>0</v>
      </c>
      <c r="AE587">
        <v>2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12</v>
      </c>
      <c r="AL587">
        <v>0</v>
      </c>
      <c r="AM587" s="367" t="s">
        <v>6786</v>
      </c>
    </row>
    <row r="588" spans="1:40">
      <c r="A588">
        <v>3024</v>
      </c>
      <c r="B588" t="s">
        <v>6177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 s="367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 s="367">
        <v>0</v>
      </c>
      <c r="U588">
        <v>0</v>
      </c>
      <c r="V588">
        <v>0</v>
      </c>
      <c r="W588">
        <v>0</v>
      </c>
      <c r="X588">
        <v>3</v>
      </c>
      <c r="Y588">
        <v>2</v>
      </c>
      <c r="Z588">
        <v>0</v>
      </c>
      <c r="AA588">
        <v>0</v>
      </c>
      <c r="AB588">
        <v>0</v>
      </c>
      <c r="AC588">
        <v>0</v>
      </c>
      <c r="AD588">
        <v>3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</row>
    <row r="589" spans="1:40">
      <c r="A589">
        <v>3025</v>
      </c>
      <c r="B589" t="s">
        <v>5280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 s="367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 s="367">
        <v>0</v>
      </c>
      <c r="U589">
        <v>0</v>
      </c>
      <c r="V589">
        <v>0</v>
      </c>
      <c r="W589">
        <v>2</v>
      </c>
      <c r="X589">
        <v>1</v>
      </c>
      <c r="Y589">
        <v>2</v>
      </c>
      <c r="Z589">
        <v>0</v>
      </c>
      <c r="AA589">
        <v>0</v>
      </c>
      <c r="AB589">
        <v>0</v>
      </c>
      <c r="AC589">
        <v>1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1</v>
      </c>
      <c r="AJ589">
        <v>0</v>
      </c>
      <c r="AK589">
        <v>0</v>
      </c>
      <c r="AL589">
        <v>0</v>
      </c>
    </row>
    <row r="590" spans="1:40">
      <c r="A590">
        <v>3026</v>
      </c>
      <c r="B590" t="s">
        <v>5281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 s="367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 s="367">
        <v>0</v>
      </c>
      <c r="U590">
        <v>0</v>
      </c>
      <c r="V590">
        <v>0</v>
      </c>
      <c r="W590">
        <v>1</v>
      </c>
      <c r="X590">
        <v>1</v>
      </c>
      <c r="Y590">
        <v>0</v>
      </c>
      <c r="Z590">
        <v>2</v>
      </c>
      <c r="AA590">
        <v>0</v>
      </c>
      <c r="AB590">
        <v>1</v>
      </c>
      <c r="AC590">
        <v>1</v>
      </c>
      <c r="AD590">
        <v>0</v>
      </c>
      <c r="AE590">
        <v>0</v>
      </c>
      <c r="AF590">
        <v>4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</row>
    <row r="591" spans="1:40">
      <c r="A591">
        <v>3027</v>
      </c>
      <c r="B591" t="s">
        <v>5282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 s="367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 s="367">
        <v>0</v>
      </c>
      <c r="U591">
        <v>0</v>
      </c>
      <c r="V591">
        <v>0</v>
      </c>
      <c r="W591">
        <v>2</v>
      </c>
      <c r="X591">
        <v>0</v>
      </c>
      <c r="Y591">
        <v>0</v>
      </c>
      <c r="Z591">
        <v>2</v>
      </c>
      <c r="AA591">
        <v>0</v>
      </c>
      <c r="AB591">
        <v>0</v>
      </c>
      <c r="AC591">
        <v>0</v>
      </c>
      <c r="AD591">
        <v>0</v>
      </c>
      <c r="AE591">
        <v>1</v>
      </c>
      <c r="AF591">
        <v>4</v>
      </c>
      <c r="AG591">
        <v>0</v>
      </c>
      <c r="AH591">
        <v>0</v>
      </c>
      <c r="AI591">
        <v>3</v>
      </c>
      <c r="AJ591">
        <v>1</v>
      </c>
      <c r="AK591">
        <v>0</v>
      </c>
      <c r="AL591">
        <v>0</v>
      </c>
    </row>
    <row r="592" spans="1:40">
      <c r="A592">
        <v>3028</v>
      </c>
      <c r="B592" t="s">
        <v>5283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 s="367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 s="367">
        <v>0</v>
      </c>
      <c r="U592">
        <v>0</v>
      </c>
      <c r="V592">
        <v>6</v>
      </c>
      <c r="W592">
        <v>0</v>
      </c>
      <c r="X592">
        <v>0</v>
      </c>
      <c r="Y592">
        <v>2</v>
      </c>
      <c r="Z592">
        <v>0</v>
      </c>
      <c r="AA592">
        <v>0</v>
      </c>
      <c r="AB592">
        <v>0</v>
      </c>
      <c r="AC592">
        <v>0</v>
      </c>
      <c r="AD592">
        <v>10</v>
      </c>
      <c r="AE592">
        <v>3</v>
      </c>
      <c r="AF592">
        <v>0</v>
      </c>
      <c r="AG592">
        <v>1</v>
      </c>
      <c r="AH592">
        <v>0</v>
      </c>
      <c r="AI592">
        <v>3</v>
      </c>
      <c r="AJ592">
        <v>1</v>
      </c>
      <c r="AK592">
        <v>0</v>
      </c>
      <c r="AL592">
        <v>6</v>
      </c>
      <c r="AN592" s="367" t="s">
        <v>6761</v>
      </c>
    </row>
    <row r="593" spans="1:40">
      <c r="A593">
        <v>3029</v>
      </c>
      <c r="B593" t="s">
        <v>5284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 s="367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 s="367">
        <v>0</v>
      </c>
      <c r="U593">
        <v>1</v>
      </c>
      <c r="V593">
        <v>2</v>
      </c>
      <c r="W593">
        <v>0</v>
      </c>
      <c r="X593">
        <v>1</v>
      </c>
      <c r="Y593">
        <v>2</v>
      </c>
      <c r="Z593">
        <v>2</v>
      </c>
      <c r="AA593">
        <v>0</v>
      </c>
      <c r="AB593">
        <v>5</v>
      </c>
      <c r="AC593">
        <v>1</v>
      </c>
      <c r="AD593">
        <v>6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1</v>
      </c>
      <c r="AL593">
        <v>2</v>
      </c>
      <c r="AM593" s="367" t="s">
        <v>6775</v>
      </c>
      <c r="AN593" s="367" t="s">
        <v>6761</v>
      </c>
    </row>
    <row r="594" spans="1:40">
      <c r="A594">
        <v>3030</v>
      </c>
      <c r="B594" t="s">
        <v>5285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 s="367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 s="367">
        <v>0</v>
      </c>
      <c r="U594">
        <v>0</v>
      </c>
      <c r="V594">
        <v>4</v>
      </c>
      <c r="W594">
        <v>2</v>
      </c>
      <c r="X594">
        <v>0</v>
      </c>
      <c r="Y594">
        <v>0</v>
      </c>
      <c r="Z594">
        <v>2</v>
      </c>
      <c r="AA594">
        <v>0</v>
      </c>
      <c r="AB594">
        <v>0</v>
      </c>
      <c r="AC594">
        <v>2</v>
      </c>
      <c r="AD594">
        <v>0</v>
      </c>
      <c r="AE594">
        <v>8</v>
      </c>
      <c r="AF594">
        <v>1</v>
      </c>
      <c r="AG594">
        <v>0</v>
      </c>
      <c r="AH594">
        <v>0</v>
      </c>
      <c r="AI594">
        <v>3</v>
      </c>
      <c r="AJ594">
        <v>0</v>
      </c>
      <c r="AK594">
        <v>0</v>
      </c>
      <c r="AL594">
        <v>4</v>
      </c>
      <c r="AN594" s="367" t="s">
        <v>4718</v>
      </c>
    </row>
    <row r="595" spans="1:40">
      <c r="A595">
        <v>3031</v>
      </c>
      <c r="B595" t="s">
        <v>5286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 s="367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 s="367">
        <v>0</v>
      </c>
      <c r="U595">
        <v>0</v>
      </c>
      <c r="V595">
        <v>1</v>
      </c>
      <c r="W595">
        <v>0</v>
      </c>
      <c r="X595">
        <v>0</v>
      </c>
      <c r="Y595">
        <v>2</v>
      </c>
      <c r="Z595">
        <v>2</v>
      </c>
      <c r="AA595">
        <v>0</v>
      </c>
      <c r="AB595">
        <v>0</v>
      </c>
      <c r="AC595">
        <v>1</v>
      </c>
      <c r="AD595">
        <v>5</v>
      </c>
      <c r="AE595">
        <v>1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1</v>
      </c>
      <c r="AN595" s="367" t="s">
        <v>6761</v>
      </c>
    </row>
    <row r="596" spans="1:40">
      <c r="A596">
        <v>3032</v>
      </c>
      <c r="B596" t="s">
        <v>5287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 s="367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 s="367">
        <v>0</v>
      </c>
      <c r="U596">
        <v>0</v>
      </c>
      <c r="V596">
        <v>3</v>
      </c>
      <c r="W596">
        <v>0</v>
      </c>
      <c r="X596">
        <v>0</v>
      </c>
      <c r="Y596">
        <v>2</v>
      </c>
      <c r="Z596">
        <v>0</v>
      </c>
      <c r="AA596">
        <v>0</v>
      </c>
      <c r="AB596">
        <v>0</v>
      </c>
      <c r="AC596">
        <v>1</v>
      </c>
      <c r="AD596">
        <v>7</v>
      </c>
      <c r="AE596">
        <v>1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3</v>
      </c>
      <c r="AN596" s="367" t="s">
        <v>6761</v>
      </c>
    </row>
    <row r="597" spans="1:40">
      <c r="A597">
        <v>3033</v>
      </c>
      <c r="B597" t="s">
        <v>5288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 s="36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 s="367">
        <v>0</v>
      </c>
      <c r="U597">
        <v>0</v>
      </c>
      <c r="V597">
        <v>5</v>
      </c>
      <c r="W597">
        <v>0</v>
      </c>
      <c r="X597">
        <v>0</v>
      </c>
      <c r="Y597">
        <v>2</v>
      </c>
      <c r="Z597">
        <v>0</v>
      </c>
      <c r="AA597">
        <v>0</v>
      </c>
      <c r="AB597">
        <v>0</v>
      </c>
      <c r="AC597">
        <v>1</v>
      </c>
      <c r="AD597">
        <v>6</v>
      </c>
      <c r="AE597">
        <v>2</v>
      </c>
      <c r="AF597">
        <v>0</v>
      </c>
      <c r="AG597">
        <v>7</v>
      </c>
      <c r="AH597">
        <v>0</v>
      </c>
      <c r="AI597">
        <v>2</v>
      </c>
      <c r="AJ597">
        <v>0</v>
      </c>
      <c r="AK597">
        <v>0</v>
      </c>
      <c r="AL597">
        <v>5</v>
      </c>
      <c r="AN597" s="367" t="s">
        <v>6792</v>
      </c>
    </row>
    <row r="598" spans="1:40">
      <c r="A598">
        <v>3034</v>
      </c>
      <c r="B598" t="s">
        <v>5289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 s="367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 s="367">
        <v>0</v>
      </c>
      <c r="U598">
        <v>2</v>
      </c>
      <c r="V598">
        <v>0</v>
      </c>
      <c r="W598">
        <v>0</v>
      </c>
      <c r="X598">
        <v>0</v>
      </c>
      <c r="Y598">
        <v>0</v>
      </c>
      <c r="Z598">
        <v>6</v>
      </c>
      <c r="AA598">
        <v>2</v>
      </c>
      <c r="AB598">
        <v>2</v>
      </c>
      <c r="AC598">
        <v>1</v>
      </c>
      <c r="AD598">
        <v>1</v>
      </c>
      <c r="AE598">
        <v>1</v>
      </c>
      <c r="AF598">
        <v>1</v>
      </c>
      <c r="AG598">
        <v>0</v>
      </c>
      <c r="AH598">
        <v>0</v>
      </c>
      <c r="AI598">
        <v>0</v>
      </c>
      <c r="AJ598">
        <v>0</v>
      </c>
      <c r="AK598">
        <v>2</v>
      </c>
      <c r="AL598">
        <v>0</v>
      </c>
      <c r="AM598" s="367" t="s">
        <v>3543</v>
      </c>
    </row>
    <row r="599" spans="1:40">
      <c r="A599">
        <v>3036</v>
      </c>
      <c r="B599" t="s">
        <v>5291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 s="367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 s="367">
        <v>0</v>
      </c>
      <c r="U599">
        <v>1</v>
      </c>
      <c r="V599">
        <v>7</v>
      </c>
      <c r="W599">
        <v>0</v>
      </c>
      <c r="X599">
        <v>0</v>
      </c>
      <c r="Y599">
        <v>0</v>
      </c>
      <c r="Z599">
        <v>3</v>
      </c>
      <c r="AA599">
        <v>3</v>
      </c>
      <c r="AB599">
        <v>1</v>
      </c>
      <c r="AC599">
        <v>5</v>
      </c>
      <c r="AD599">
        <v>2</v>
      </c>
      <c r="AE599">
        <v>1</v>
      </c>
      <c r="AF599">
        <v>11</v>
      </c>
      <c r="AG599">
        <v>0</v>
      </c>
      <c r="AH599">
        <v>0</v>
      </c>
      <c r="AI599">
        <v>0</v>
      </c>
      <c r="AJ599">
        <v>0</v>
      </c>
      <c r="AK599">
        <v>1</v>
      </c>
      <c r="AL599">
        <v>7</v>
      </c>
      <c r="AM599" s="367" t="s">
        <v>6778</v>
      </c>
      <c r="AN599" s="367" t="s">
        <v>3542</v>
      </c>
    </row>
    <row r="600" spans="1:40">
      <c r="A600">
        <v>3038</v>
      </c>
      <c r="B600" t="s">
        <v>5293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 s="367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 s="367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2</v>
      </c>
      <c r="AD600">
        <v>2</v>
      </c>
      <c r="AE600">
        <v>1</v>
      </c>
      <c r="AF600">
        <v>0</v>
      </c>
      <c r="AG600">
        <v>1</v>
      </c>
      <c r="AH600">
        <v>0</v>
      </c>
      <c r="AI600">
        <v>0</v>
      </c>
      <c r="AJ600">
        <v>0</v>
      </c>
      <c r="AK600">
        <v>0</v>
      </c>
      <c r="AL600">
        <v>0</v>
      </c>
    </row>
    <row r="601" spans="1:40">
      <c r="A601">
        <v>3040</v>
      </c>
      <c r="B601" t="s">
        <v>5294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 s="367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 s="367">
        <v>0</v>
      </c>
      <c r="U601">
        <v>0</v>
      </c>
      <c r="V601">
        <v>0</v>
      </c>
      <c r="W601">
        <v>0</v>
      </c>
      <c r="X601">
        <v>2</v>
      </c>
      <c r="Y601">
        <v>4</v>
      </c>
      <c r="Z601">
        <v>0</v>
      </c>
      <c r="AA601">
        <v>0</v>
      </c>
      <c r="AB601">
        <v>0</v>
      </c>
      <c r="AC601">
        <v>0</v>
      </c>
      <c r="AD601">
        <v>3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</row>
    <row r="602" spans="1:40">
      <c r="A602">
        <v>3041</v>
      </c>
      <c r="B602" t="s">
        <v>5295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 s="367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 s="367">
        <v>0</v>
      </c>
      <c r="U602">
        <v>0</v>
      </c>
      <c r="V602">
        <v>0</v>
      </c>
      <c r="W602">
        <v>3</v>
      </c>
      <c r="X602">
        <v>0</v>
      </c>
      <c r="Y602">
        <v>3</v>
      </c>
      <c r="Z602">
        <v>4</v>
      </c>
      <c r="AA602">
        <v>0</v>
      </c>
      <c r="AB602">
        <v>0</v>
      </c>
      <c r="AC602">
        <v>0</v>
      </c>
      <c r="AD602">
        <v>0</v>
      </c>
      <c r="AE602">
        <v>2</v>
      </c>
      <c r="AF602">
        <v>0</v>
      </c>
      <c r="AG602">
        <v>0</v>
      </c>
      <c r="AH602">
        <v>0</v>
      </c>
      <c r="AI602">
        <v>0</v>
      </c>
      <c r="AJ602">
        <v>1</v>
      </c>
      <c r="AK602">
        <v>0</v>
      </c>
      <c r="AL602">
        <v>0</v>
      </c>
    </row>
    <row r="603" spans="1:40">
      <c r="A603">
        <v>3042</v>
      </c>
      <c r="B603" t="s">
        <v>5296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 s="367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 s="367">
        <v>0</v>
      </c>
      <c r="U603">
        <v>0</v>
      </c>
      <c r="V603">
        <v>0</v>
      </c>
      <c r="W603">
        <v>2</v>
      </c>
      <c r="X603">
        <v>0</v>
      </c>
      <c r="Y603">
        <v>2</v>
      </c>
      <c r="Z603">
        <v>2</v>
      </c>
      <c r="AA603">
        <v>0</v>
      </c>
      <c r="AB603">
        <v>1</v>
      </c>
      <c r="AC603">
        <v>1</v>
      </c>
      <c r="AD603">
        <v>0</v>
      </c>
      <c r="AE603">
        <v>4</v>
      </c>
      <c r="AF603">
        <v>0</v>
      </c>
      <c r="AG603">
        <v>0</v>
      </c>
      <c r="AH603">
        <v>1</v>
      </c>
      <c r="AI603">
        <v>0</v>
      </c>
      <c r="AJ603">
        <v>0</v>
      </c>
      <c r="AK603">
        <v>0</v>
      </c>
      <c r="AL603">
        <v>0</v>
      </c>
    </row>
    <row r="604" spans="1:40">
      <c r="A604">
        <v>3044</v>
      </c>
      <c r="B604" t="s">
        <v>5297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 s="367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 s="367">
        <v>0</v>
      </c>
      <c r="U604">
        <v>11</v>
      </c>
      <c r="V604">
        <v>0</v>
      </c>
      <c r="W604">
        <v>1</v>
      </c>
      <c r="X604">
        <v>0</v>
      </c>
      <c r="Y604">
        <v>0</v>
      </c>
      <c r="Z604">
        <v>15</v>
      </c>
      <c r="AA604">
        <v>1</v>
      </c>
      <c r="AB604">
        <v>1</v>
      </c>
      <c r="AC604">
        <v>0</v>
      </c>
      <c r="AD604">
        <v>0</v>
      </c>
      <c r="AE604">
        <v>3</v>
      </c>
      <c r="AF604">
        <v>4</v>
      </c>
      <c r="AG604">
        <v>0</v>
      </c>
      <c r="AH604">
        <v>0</v>
      </c>
      <c r="AI604">
        <v>0</v>
      </c>
      <c r="AJ604">
        <v>1</v>
      </c>
      <c r="AK604">
        <v>11</v>
      </c>
      <c r="AL604">
        <v>0</v>
      </c>
      <c r="AM604" s="367" t="s">
        <v>3543</v>
      </c>
    </row>
    <row r="605" spans="1:40">
      <c r="A605">
        <v>3045</v>
      </c>
      <c r="B605" t="s">
        <v>5298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 s="367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 s="367">
        <v>0</v>
      </c>
      <c r="U605">
        <v>20</v>
      </c>
      <c r="V605">
        <v>0</v>
      </c>
      <c r="W605">
        <v>7</v>
      </c>
      <c r="X605">
        <v>1</v>
      </c>
      <c r="Y605">
        <v>0</v>
      </c>
      <c r="Z605">
        <v>2</v>
      </c>
      <c r="AA605">
        <v>21</v>
      </c>
      <c r="AB605">
        <v>1</v>
      </c>
      <c r="AC605">
        <v>0</v>
      </c>
      <c r="AD605">
        <v>0</v>
      </c>
      <c r="AE605">
        <v>0</v>
      </c>
      <c r="AF605">
        <v>3</v>
      </c>
      <c r="AG605">
        <v>0</v>
      </c>
      <c r="AH605">
        <v>0</v>
      </c>
      <c r="AI605">
        <v>0</v>
      </c>
      <c r="AJ605">
        <v>0</v>
      </c>
      <c r="AK605">
        <v>20</v>
      </c>
      <c r="AL605">
        <v>0</v>
      </c>
      <c r="AM605" s="367" t="s">
        <v>6787</v>
      </c>
    </row>
    <row r="606" spans="1:40">
      <c r="A606">
        <v>3047</v>
      </c>
      <c r="B606" t="s">
        <v>5299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 s="367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 s="367">
        <v>0</v>
      </c>
      <c r="U606">
        <v>0</v>
      </c>
      <c r="V606">
        <v>0</v>
      </c>
      <c r="W606">
        <v>0</v>
      </c>
      <c r="X606">
        <v>2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1</v>
      </c>
      <c r="AE606">
        <v>0</v>
      </c>
      <c r="AF606">
        <v>1</v>
      </c>
      <c r="AG606">
        <v>0</v>
      </c>
      <c r="AH606">
        <v>0</v>
      </c>
      <c r="AI606">
        <v>1</v>
      </c>
      <c r="AJ606">
        <v>1</v>
      </c>
      <c r="AK606">
        <v>0</v>
      </c>
      <c r="AL606">
        <v>0</v>
      </c>
    </row>
    <row r="607" spans="1:40">
      <c r="A607">
        <v>3048</v>
      </c>
      <c r="B607" t="s">
        <v>5300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 s="36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 s="367">
        <v>0</v>
      </c>
      <c r="U607">
        <v>0</v>
      </c>
      <c r="V607">
        <v>3</v>
      </c>
      <c r="W607">
        <v>0</v>
      </c>
      <c r="X607">
        <v>1</v>
      </c>
      <c r="Y607">
        <v>2</v>
      </c>
      <c r="Z607">
        <v>0</v>
      </c>
      <c r="AA607">
        <v>0</v>
      </c>
      <c r="AB607">
        <v>0</v>
      </c>
      <c r="AC607">
        <v>1</v>
      </c>
      <c r="AD607">
        <v>1</v>
      </c>
      <c r="AE607">
        <v>0</v>
      </c>
      <c r="AF607">
        <v>0</v>
      </c>
      <c r="AG607">
        <v>1</v>
      </c>
      <c r="AH607">
        <v>0</v>
      </c>
      <c r="AI607">
        <v>7</v>
      </c>
      <c r="AJ607">
        <v>0</v>
      </c>
      <c r="AK607">
        <v>0</v>
      </c>
      <c r="AL607">
        <v>3</v>
      </c>
      <c r="AN607" s="367" t="s">
        <v>6775</v>
      </c>
    </row>
    <row r="608" spans="1:40">
      <c r="A608">
        <v>3049</v>
      </c>
      <c r="B608" t="s">
        <v>5301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 s="367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 s="367">
        <v>0</v>
      </c>
      <c r="U608">
        <v>0</v>
      </c>
      <c r="V608">
        <v>0</v>
      </c>
      <c r="W608">
        <v>2</v>
      </c>
      <c r="X608">
        <v>0</v>
      </c>
      <c r="Y608">
        <v>3</v>
      </c>
      <c r="Z608">
        <v>2</v>
      </c>
      <c r="AA608">
        <v>0</v>
      </c>
      <c r="AB608">
        <v>0</v>
      </c>
      <c r="AC608">
        <v>0</v>
      </c>
      <c r="AD608">
        <v>0</v>
      </c>
      <c r="AE608">
        <v>3</v>
      </c>
      <c r="AF608">
        <v>0</v>
      </c>
      <c r="AG608">
        <v>0</v>
      </c>
      <c r="AH608">
        <v>0</v>
      </c>
      <c r="AI608">
        <v>0</v>
      </c>
      <c r="AJ608">
        <v>1</v>
      </c>
      <c r="AK608">
        <v>0</v>
      </c>
      <c r="AL608">
        <v>0</v>
      </c>
    </row>
    <row r="609" spans="1:40">
      <c r="A609">
        <v>3050</v>
      </c>
      <c r="B609" t="s">
        <v>5302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 s="367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 s="367">
        <v>0</v>
      </c>
      <c r="U609">
        <v>0</v>
      </c>
      <c r="V609">
        <v>3</v>
      </c>
      <c r="W609">
        <v>0</v>
      </c>
      <c r="X609">
        <v>4</v>
      </c>
      <c r="Y609">
        <v>0</v>
      </c>
      <c r="Z609">
        <v>2</v>
      </c>
      <c r="AA609">
        <v>0</v>
      </c>
      <c r="AB609">
        <v>0</v>
      </c>
      <c r="AC609">
        <v>0</v>
      </c>
      <c r="AD609">
        <v>1</v>
      </c>
      <c r="AE609">
        <v>0</v>
      </c>
      <c r="AF609">
        <v>7</v>
      </c>
      <c r="AG609">
        <v>0</v>
      </c>
      <c r="AH609">
        <v>0</v>
      </c>
      <c r="AI609">
        <v>1</v>
      </c>
      <c r="AJ609">
        <v>4</v>
      </c>
      <c r="AK609">
        <v>0</v>
      </c>
      <c r="AL609">
        <v>3</v>
      </c>
      <c r="AN609" s="367" t="s">
        <v>3542</v>
      </c>
    </row>
    <row r="610" spans="1:40">
      <c r="A610">
        <v>3051</v>
      </c>
      <c r="B610" t="s">
        <v>6178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 s="367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 s="367">
        <v>0</v>
      </c>
      <c r="U610">
        <v>0</v>
      </c>
      <c r="V610">
        <v>0</v>
      </c>
      <c r="W610">
        <v>0</v>
      </c>
      <c r="X610">
        <v>1</v>
      </c>
      <c r="Y610">
        <v>0</v>
      </c>
      <c r="Z610">
        <v>0</v>
      </c>
      <c r="AA610">
        <v>0</v>
      </c>
      <c r="AB610">
        <v>1</v>
      </c>
      <c r="AC610">
        <v>1</v>
      </c>
      <c r="AD610">
        <v>1</v>
      </c>
      <c r="AE610">
        <v>0</v>
      </c>
      <c r="AF610">
        <v>1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</row>
    <row r="611" spans="1:40">
      <c r="A611">
        <v>3052</v>
      </c>
      <c r="B611" t="s">
        <v>5303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 s="367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 s="367">
        <v>0</v>
      </c>
      <c r="U611">
        <v>5</v>
      </c>
      <c r="V611">
        <v>0</v>
      </c>
      <c r="W611">
        <v>9</v>
      </c>
      <c r="X611">
        <v>0</v>
      </c>
      <c r="Y611">
        <v>2</v>
      </c>
      <c r="Z611">
        <v>1</v>
      </c>
      <c r="AA611">
        <v>0</v>
      </c>
      <c r="AB611">
        <v>0</v>
      </c>
      <c r="AC611">
        <v>0</v>
      </c>
      <c r="AD611">
        <v>0</v>
      </c>
      <c r="AE611">
        <v>1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5</v>
      </c>
      <c r="AL611">
        <v>0</v>
      </c>
      <c r="AM611" s="367" t="s">
        <v>6761</v>
      </c>
    </row>
    <row r="612" spans="1:40">
      <c r="A612">
        <v>3054</v>
      </c>
      <c r="B612" t="s">
        <v>5304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 s="367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 s="367">
        <v>0</v>
      </c>
      <c r="U612">
        <v>0</v>
      </c>
      <c r="V612">
        <v>0</v>
      </c>
      <c r="W612">
        <v>0</v>
      </c>
      <c r="X612">
        <v>4</v>
      </c>
      <c r="Y612">
        <v>2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</row>
    <row r="613" spans="1:40">
      <c r="A613">
        <v>3055</v>
      </c>
      <c r="B613" t="s">
        <v>5305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 s="367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 s="367">
        <v>0</v>
      </c>
      <c r="U613">
        <v>0</v>
      </c>
      <c r="V613">
        <v>0</v>
      </c>
      <c r="W613">
        <v>0</v>
      </c>
      <c r="X613">
        <v>1</v>
      </c>
      <c r="Y613">
        <v>2</v>
      </c>
      <c r="Z613">
        <v>0</v>
      </c>
      <c r="AA613">
        <v>0</v>
      </c>
      <c r="AB613">
        <v>1</v>
      </c>
      <c r="AC613">
        <v>0</v>
      </c>
      <c r="AD613">
        <v>1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</row>
    <row r="614" spans="1:40">
      <c r="A614">
        <v>3056</v>
      </c>
      <c r="B614" t="s">
        <v>5306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 s="367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 s="367">
        <v>0</v>
      </c>
      <c r="U614">
        <v>0</v>
      </c>
      <c r="V614">
        <v>0</v>
      </c>
      <c r="W614">
        <v>2</v>
      </c>
      <c r="X614">
        <v>0</v>
      </c>
      <c r="Y614">
        <v>1</v>
      </c>
      <c r="Z614">
        <v>2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2</v>
      </c>
      <c r="AJ614">
        <v>1</v>
      </c>
      <c r="AK614">
        <v>0</v>
      </c>
      <c r="AL614">
        <v>0</v>
      </c>
    </row>
    <row r="615" spans="1:40">
      <c r="A615">
        <v>3060</v>
      </c>
      <c r="B615" t="s">
        <v>5308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 s="367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 s="367">
        <v>0</v>
      </c>
      <c r="U615">
        <v>0</v>
      </c>
      <c r="V615">
        <v>0</v>
      </c>
      <c r="W615">
        <v>0</v>
      </c>
      <c r="X615">
        <v>1</v>
      </c>
      <c r="Y615">
        <v>2</v>
      </c>
      <c r="Z615">
        <v>2</v>
      </c>
      <c r="AA615">
        <v>0</v>
      </c>
      <c r="AB615">
        <v>0</v>
      </c>
      <c r="AC615">
        <v>0</v>
      </c>
      <c r="AD615">
        <v>4</v>
      </c>
      <c r="AE615">
        <v>0</v>
      </c>
      <c r="AF615">
        <v>0</v>
      </c>
      <c r="AG615">
        <v>0</v>
      </c>
      <c r="AH615">
        <v>0</v>
      </c>
      <c r="AI615">
        <v>3</v>
      </c>
      <c r="AJ615">
        <v>2</v>
      </c>
      <c r="AK615">
        <v>0</v>
      </c>
      <c r="AL615">
        <v>0</v>
      </c>
    </row>
    <row r="616" spans="1:40">
      <c r="A616">
        <v>3062</v>
      </c>
      <c r="B616" t="s">
        <v>5309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 s="367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 s="367">
        <v>0</v>
      </c>
      <c r="U616">
        <v>2</v>
      </c>
      <c r="V616">
        <v>2</v>
      </c>
      <c r="W616">
        <v>5</v>
      </c>
      <c r="X616">
        <v>0</v>
      </c>
      <c r="Y616">
        <v>5</v>
      </c>
      <c r="Z616">
        <v>0</v>
      </c>
      <c r="AA616">
        <v>0</v>
      </c>
      <c r="AB616">
        <v>3</v>
      </c>
      <c r="AC616">
        <v>0</v>
      </c>
      <c r="AD616">
        <v>0</v>
      </c>
      <c r="AE616">
        <v>6</v>
      </c>
      <c r="AF616">
        <v>0</v>
      </c>
      <c r="AG616">
        <v>1</v>
      </c>
      <c r="AH616">
        <v>0</v>
      </c>
      <c r="AI616">
        <v>0</v>
      </c>
      <c r="AJ616">
        <v>2</v>
      </c>
      <c r="AK616">
        <v>2</v>
      </c>
      <c r="AL616">
        <v>2</v>
      </c>
      <c r="AM616" s="367" t="s">
        <v>6785</v>
      </c>
      <c r="AN616" s="367" t="s">
        <v>4718</v>
      </c>
    </row>
    <row r="617" spans="1:40">
      <c r="A617">
        <v>3066</v>
      </c>
      <c r="B617" t="s">
        <v>6334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 s="36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 s="367">
        <v>0</v>
      </c>
      <c r="U617">
        <v>2</v>
      </c>
      <c r="V617">
        <v>0</v>
      </c>
      <c r="W617">
        <v>0</v>
      </c>
      <c r="X617">
        <v>6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1</v>
      </c>
      <c r="AE617">
        <v>0</v>
      </c>
      <c r="AF617">
        <v>1</v>
      </c>
      <c r="AG617">
        <v>0</v>
      </c>
      <c r="AH617">
        <v>0</v>
      </c>
      <c r="AI617">
        <v>0</v>
      </c>
      <c r="AJ617">
        <v>0</v>
      </c>
      <c r="AK617">
        <v>2</v>
      </c>
      <c r="AL617">
        <v>0</v>
      </c>
      <c r="AM617" s="367" t="s">
        <v>4718</v>
      </c>
    </row>
    <row r="618" spans="1:40">
      <c r="A618">
        <v>3071</v>
      </c>
      <c r="B618" t="s">
        <v>5310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 s="367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 s="367">
        <v>0</v>
      </c>
      <c r="U618">
        <v>8</v>
      </c>
      <c r="V618">
        <v>0</v>
      </c>
      <c r="W618">
        <v>5</v>
      </c>
      <c r="X618">
        <v>11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1</v>
      </c>
      <c r="AG618">
        <v>0</v>
      </c>
      <c r="AH618">
        <v>0</v>
      </c>
      <c r="AI618">
        <v>1</v>
      </c>
      <c r="AJ618">
        <v>0</v>
      </c>
      <c r="AK618">
        <v>8</v>
      </c>
      <c r="AL618">
        <v>0</v>
      </c>
      <c r="AM618" s="367" t="s">
        <v>6782</v>
      </c>
    </row>
    <row r="619" spans="1:40">
      <c r="A619">
        <v>3078</v>
      </c>
      <c r="B619" t="s">
        <v>5311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 s="367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 s="367">
        <v>0</v>
      </c>
      <c r="U619">
        <v>0</v>
      </c>
      <c r="V619">
        <v>4</v>
      </c>
      <c r="W619">
        <v>2</v>
      </c>
      <c r="X619">
        <v>0</v>
      </c>
      <c r="Y619">
        <v>2</v>
      </c>
      <c r="Z619">
        <v>0</v>
      </c>
      <c r="AA619">
        <v>0</v>
      </c>
      <c r="AB619">
        <v>0</v>
      </c>
      <c r="AC619">
        <v>1</v>
      </c>
      <c r="AD619">
        <v>0</v>
      </c>
      <c r="AE619">
        <v>1</v>
      </c>
      <c r="AF619">
        <v>0</v>
      </c>
      <c r="AG619">
        <v>0</v>
      </c>
      <c r="AH619">
        <v>0</v>
      </c>
      <c r="AI619">
        <v>8</v>
      </c>
      <c r="AJ619">
        <v>0</v>
      </c>
      <c r="AK619">
        <v>0</v>
      </c>
      <c r="AL619">
        <v>4</v>
      </c>
      <c r="AN619" s="367" t="s">
        <v>6775</v>
      </c>
    </row>
    <row r="620" spans="1:40">
      <c r="A620">
        <v>3081</v>
      </c>
      <c r="B620" t="s">
        <v>5312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 s="367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 s="367">
        <v>0</v>
      </c>
      <c r="U620">
        <v>0</v>
      </c>
      <c r="V620">
        <v>0</v>
      </c>
      <c r="W620">
        <v>1</v>
      </c>
      <c r="X620">
        <v>1</v>
      </c>
      <c r="Y620">
        <v>2</v>
      </c>
      <c r="Z620">
        <v>1</v>
      </c>
      <c r="AA620">
        <v>0</v>
      </c>
      <c r="AB620">
        <v>1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2</v>
      </c>
      <c r="AK620">
        <v>0</v>
      </c>
      <c r="AL620">
        <v>0</v>
      </c>
    </row>
    <row r="621" spans="1:40">
      <c r="A621">
        <v>3083</v>
      </c>
      <c r="B621" t="s">
        <v>5313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 s="367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 s="367">
        <v>0</v>
      </c>
      <c r="U621">
        <v>0</v>
      </c>
      <c r="V621">
        <v>3</v>
      </c>
      <c r="W621">
        <v>1</v>
      </c>
      <c r="X621">
        <v>0</v>
      </c>
      <c r="Y621">
        <v>0</v>
      </c>
      <c r="Z621">
        <v>0</v>
      </c>
      <c r="AA621">
        <v>0</v>
      </c>
      <c r="AB621">
        <v>1</v>
      </c>
      <c r="AC621">
        <v>3</v>
      </c>
      <c r="AD621">
        <v>0</v>
      </c>
      <c r="AE621">
        <v>7</v>
      </c>
      <c r="AF621">
        <v>1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3</v>
      </c>
      <c r="AN621" s="367" t="s">
        <v>4718</v>
      </c>
    </row>
    <row r="622" spans="1:40">
      <c r="A622">
        <v>3086</v>
      </c>
      <c r="B622" t="s">
        <v>5314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 s="367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 s="367">
        <v>0</v>
      </c>
      <c r="U622">
        <v>0</v>
      </c>
      <c r="V622">
        <v>0</v>
      </c>
      <c r="W622">
        <v>0</v>
      </c>
      <c r="X622">
        <v>0</v>
      </c>
      <c r="Y622">
        <v>3</v>
      </c>
      <c r="Z622">
        <v>0</v>
      </c>
      <c r="AA622">
        <v>0</v>
      </c>
      <c r="AB622">
        <v>0</v>
      </c>
      <c r="AC622">
        <v>1</v>
      </c>
      <c r="AD622">
        <v>0</v>
      </c>
      <c r="AE622">
        <v>1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</row>
    <row r="623" spans="1:40">
      <c r="A623">
        <v>3088</v>
      </c>
      <c r="B623" t="s">
        <v>5315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 s="367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 s="367">
        <v>0</v>
      </c>
      <c r="U623">
        <v>0</v>
      </c>
      <c r="V623">
        <v>1</v>
      </c>
      <c r="W623">
        <v>3</v>
      </c>
      <c r="X623">
        <v>1</v>
      </c>
      <c r="Y623">
        <v>0</v>
      </c>
      <c r="Z623">
        <v>1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1</v>
      </c>
      <c r="AG623">
        <v>0</v>
      </c>
      <c r="AH623">
        <v>0</v>
      </c>
      <c r="AI623">
        <v>5</v>
      </c>
      <c r="AJ623">
        <v>0</v>
      </c>
      <c r="AK623">
        <v>0</v>
      </c>
      <c r="AL623">
        <v>1</v>
      </c>
      <c r="AN623" s="367" t="s">
        <v>6775</v>
      </c>
    </row>
    <row r="624" spans="1:40">
      <c r="A624">
        <v>3090</v>
      </c>
      <c r="B624" t="s">
        <v>5316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 s="367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 s="367">
        <v>0</v>
      </c>
      <c r="U624">
        <v>5</v>
      </c>
      <c r="V624">
        <v>0</v>
      </c>
      <c r="W624">
        <v>9</v>
      </c>
      <c r="X624">
        <v>2</v>
      </c>
      <c r="Y624">
        <v>2</v>
      </c>
      <c r="Z624">
        <v>2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1</v>
      </c>
      <c r="AJ624">
        <v>1</v>
      </c>
      <c r="AK624">
        <v>5</v>
      </c>
      <c r="AL624">
        <v>0</v>
      </c>
      <c r="AM624" s="367" t="s">
        <v>6761</v>
      </c>
    </row>
    <row r="625" spans="1:40">
      <c r="A625">
        <v>3092</v>
      </c>
      <c r="B625" t="s">
        <v>5317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 s="367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 s="367">
        <v>0</v>
      </c>
      <c r="U625">
        <v>0</v>
      </c>
      <c r="V625">
        <v>3</v>
      </c>
      <c r="W625">
        <v>1</v>
      </c>
      <c r="X625">
        <v>0</v>
      </c>
      <c r="Y625">
        <v>1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7</v>
      </c>
      <c r="AF625">
        <v>0</v>
      </c>
      <c r="AG625">
        <v>1</v>
      </c>
      <c r="AH625">
        <v>0</v>
      </c>
      <c r="AI625">
        <v>0</v>
      </c>
      <c r="AJ625">
        <v>2</v>
      </c>
      <c r="AK625">
        <v>0</v>
      </c>
      <c r="AL625">
        <v>3</v>
      </c>
      <c r="AN625" s="367" t="s">
        <v>4718</v>
      </c>
    </row>
    <row r="626" spans="1:40">
      <c r="A626">
        <v>3094</v>
      </c>
      <c r="B626" t="s">
        <v>5318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 s="367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 s="367">
        <v>0</v>
      </c>
      <c r="U626">
        <v>1</v>
      </c>
      <c r="V626">
        <v>0</v>
      </c>
      <c r="W626">
        <v>2</v>
      </c>
      <c r="X626">
        <v>0</v>
      </c>
      <c r="Y626">
        <v>5</v>
      </c>
      <c r="Z626">
        <v>2</v>
      </c>
      <c r="AA626">
        <v>0</v>
      </c>
      <c r="AB626">
        <v>1</v>
      </c>
      <c r="AC626">
        <v>0</v>
      </c>
      <c r="AD626">
        <v>0</v>
      </c>
      <c r="AE626">
        <v>3</v>
      </c>
      <c r="AF626">
        <v>0</v>
      </c>
      <c r="AG626">
        <v>0</v>
      </c>
      <c r="AH626">
        <v>0</v>
      </c>
      <c r="AI626">
        <v>0</v>
      </c>
      <c r="AJ626">
        <v>1</v>
      </c>
      <c r="AK626">
        <v>1</v>
      </c>
      <c r="AL626">
        <v>0</v>
      </c>
      <c r="AM626" s="367" t="s">
        <v>3542</v>
      </c>
    </row>
    <row r="627" spans="1:40">
      <c r="A627">
        <v>3105</v>
      </c>
      <c r="B627" t="s">
        <v>5319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 s="36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 s="367">
        <v>0</v>
      </c>
      <c r="U627">
        <v>0</v>
      </c>
      <c r="V627">
        <v>0</v>
      </c>
      <c r="W627">
        <v>0</v>
      </c>
      <c r="X627">
        <v>1</v>
      </c>
      <c r="Y627">
        <v>2</v>
      </c>
      <c r="Z627">
        <v>0</v>
      </c>
      <c r="AA627">
        <v>2</v>
      </c>
      <c r="AB627">
        <v>3</v>
      </c>
      <c r="AC627">
        <v>1</v>
      </c>
      <c r="AD627">
        <v>1</v>
      </c>
      <c r="AE627">
        <v>0</v>
      </c>
      <c r="AF627">
        <v>0</v>
      </c>
      <c r="AG627">
        <v>1</v>
      </c>
      <c r="AH627">
        <v>0</v>
      </c>
      <c r="AI627">
        <v>0</v>
      </c>
      <c r="AJ627">
        <v>0</v>
      </c>
      <c r="AK627">
        <v>0</v>
      </c>
      <c r="AL627">
        <v>0</v>
      </c>
    </row>
    <row r="628" spans="1:40">
      <c r="A628">
        <v>3114</v>
      </c>
      <c r="B628" t="s">
        <v>5320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 s="367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 s="367">
        <v>0</v>
      </c>
      <c r="U628">
        <v>0</v>
      </c>
      <c r="V628">
        <v>2</v>
      </c>
      <c r="W628">
        <v>0</v>
      </c>
      <c r="X628">
        <v>2</v>
      </c>
      <c r="Y628">
        <v>0</v>
      </c>
      <c r="Z628">
        <v>0</v>
      </c>
      <c r="AA628">
        <v>0</v>
      </c>
      <c r="AB628">
        <v>1</v>
      </c>
      <c r="AC628">
        <v>0</v>
      </c>
      <c r="AD628">
        <v>6</v>
      </c>
      <c r="AE628">
        <v>0</v>
      </c>
      <c r="AF628">
        <v>1</v>
      </c>
      <c r="AG628">
        <v>0</v>
      </c>
      <c r="AH628">
        <v>0</v>
      </c>
      <c r="AI628">
        <v>0</v>
      </c>
      <c r="AJ628">
        <v>1</v>
      </c>
      <c r="AK628">
        <v>0</v>
      </c>
      <c r="AL628">
        <v>2</v>
      </c>
      <c r="AN628" s="367" t="s">
        <v>6761</v>
      </c>
    </row>
    <row r="629" spans="1:40">
      <c r="A629">
        <v>3122</v>
      </c>
      <c r="B629" t="s">
        <v>5322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 s="367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 s="367">
        <v>0</v>
      </c>
      <c r="U629">
        <v>0</v>
      </c>
      <c r="V629">
        <v>0</v>
      </c>
      <c r="W629">
        <v>1</v>
      </c>
      <c r="X629">
        <v>2</v>
      </c>
      <c r="Y629">
        <v>1</v>
      </c>
      <c r="Z629">
        <v>0</v>
      </c>
      <c r="AA629">
        <v>0</v>
      </c>
      <c r="AB629">
        <v>0</v>
      </c>
      <c r="AC629">
        <v>1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</row>
    <row r="630" spans="1:40">
      <c r="A630">
        <v>3130</v>
      </c>
      <c r="B630" t="s">
        <v>5324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 s="367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 s="367">
        <v>0</v>
      </c>
      <c r="U630">
        <v>0</v>
      </c>
      <c r="V630">
        <v>16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20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16</v>
      </c>
      <c r="AN630" s="367" t="s">
        <v>3542</v>
      </c>
    </row>
    <row r="631" spans="1:40">
      <c r="A631">
        <v>3138</v>
      </c>
      <c r="B631" t="s">
        <v>5325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 s="367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 s="367">
        <v>0</v>
      </c>
      <c r="U631">
        <v>0</v>
      </c>
      <c r="V631">
        <v>0</v>
      </c>
      <c r="W631">
        <v>2</v>
      </c>
      <c r="X631">
        <v>1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1</v>
      </c>
      <c r="AG631">
        <v>0</v>
      </c>
      <c r="AH631">
        <v>0</v>
      </c>
      <c r="AI631">
        <v>1</v>
      </c>
      <c r="AJ631">
        <v>0</v>
      </c>
      <c r="AK631">
        <v>0</v>
      </c>
      <c r="AL631">
        <v>0</v>
      </c>
    </row>
    <row r="632" spans="1:40">
      <c r="A632">
        <v>3141</v>
      </c>
      <c r="B632" t="s">
        <v>5326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 s="367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 s="367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1</v>
      </c>
      <c r="AE632">
        <v>3</v>
      </c>
      <c r="AF632">
        <v>1</v>
      </c>
      <c r="AG632">
        <v>1</v>
      </c>
      <c r="AH632">
        <v>0</v>
      </c>
      <c r="AI632">
        <v>2</v>
      </c>
      <c r="AJ632">
        <v>1</v>
      </c>
      <c r="AK632">
        <v>0</v>
      </c>
      <c r="AL632">
        <v>0</v>
      </c>
    </row>
    <row r="633" spans="1:40">
      <c r="A633">
        <v>3147</v>
      </c>
      <c r="B633" t="s">
        <v>5327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 s="367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 s="367">
        <v>0</v>
      </c>
      <c r="U633">
        <v>0</v>
      </c>
      <c r="V633">
        <v>0</v>
      </c>
      <c r="W633">
        <v>1</v>
      </c>
      <c r="X633">
        <v>0</v>
      </c>
      <c r="Y633">
        <v>1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1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</row>
    <row r="634" spans="1:40">
      <c r="A634">
        <v>3152</v>
      </c>
      <c r="B634" t="s">
        <v>5328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 s="367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 s="367">
        <v>0</v>
      </c>
      <c r="U634">
        <v>1</v>
      </c>
      <c r="V634">
        <v>0</v>
      </c>
      <c r="W634">
        <v>0</v>
      </c>
      <c r="X634">
        <v>1</v>
      </c>
      <c r="Y634">
        <v>5</v>
      </c>
      <c r="Z634">
        <v>2</v>
      </c>
      <c r="AA634">
        <v>0</v>
      </c>
      <c r="AB634">
        <v>4</v>
      </c>
      <c r="AC634">
        <v>0</v>
      </c>
      <c r="AD634">
        <v>1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1</v>
      </c>
      <c r="AL634">
        <v>0</v>
      </c>
      <c r="AM634" s="367" t="s">
        <v>3542</v>
      </c>
    </row>
    <row r="635" spans="1:40">
      <c r="A635">
        <v>3162</v>
      </c>
      <c r="B635" t="s">
        <v>5329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 s="367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 s="367">
        <v>0</v>
      </c>
      <c r="U635">
        <v>0</v>
      </c>
      <c r="V635">
        <v>0</v>
      </c>
      <c r="W635">
        <v>2</v>
      </c>
      <c r="X635">
        <v>3</v>
      </c>
      <c r="Y635">
        <v>2</v>
      </c>
      <c r="Z635">
        <v>0</v>
      </c>
      <c r="AA635">
        <v>0</v>
      </c>
      <c r="AB635">
        <v>1</v>
      </c>
      <c r="AC635">
        <v>0</v>
      </c>
      <c r="AD635">
        <v>0</v>
      </c>
      <c r="AE635">
        <v>0</v>
      </c>
      <c r="AF635">
        <v>0</v>
      </c>
      <c r="AG635">
        <v>1</v>
      </c>
      <c r="AH635">
        <v>0</v>
      </c>
      <c r="AI635">
        <v>0</v>
      </c>
      <c r="AJ635">
        <v>2</v>
      </c>
      <c r="AK635">
        <v>0</v>
      </c>
      <c r="AL635">
        <v>0</v>
      </c>
    </row>
    <row r="636" spans="1:40">
      <c r="A636">
        <v>3164</v>
      </c>
      <c r="B636" t="s">
        <v>5331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 s="367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 s="367">
        <v>0</v>
      </c>
      <c r="U636">
        <v>0</v>
      </c>
      <c r="V636">
        <v>0</v>
      </c>
      <c r="W636">
        <v>0</v>
      </c>
      <c r="X636">
        <v>0</v>
      </c>
      <c r="Y636">
        <v>2</v>
      </c>
      <c r="Z636">
        <v>0</v>
      </c>
      <c r="AA636">
        <v>0</v>
      </c>
      <c r="AB636">
        <v>0</v>
      </c>
      <c r="AC636">
        <v>0</v>
      </c>
      <c r="AD636">
        <v>3</v>
      </c>
      <c r="AE636">
        <v>4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</row>
    <row r="637" spans="1:40">
      <c r="A637">
        <v>3167</v>
      </c>
      <c r="B637" t="s">
        <v>5332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 s="36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 s="367">
        <v>0</v>
      </c>
      <c r="U637">
        <v>0</v>
      </c>
      <c r="V637">
        <v>2</v>
      </c>
      <c r="W637">
        <v>0</v>
      </c>
      <c r="X637">
        <v>2</v>
      </c>
      <c r="Y637">
        <v>0</v>
      </c>
      <c r="Z637">
        <v>1</v>
      </c>
      <c r="AA637">
        <v>0</v>
      </c>
      <c r="AB637">
        <v>0</v>
      </c>
      <c r="AC637">
        <v>1</v>
      </c>
      <c r="AD637">
        <v>1</v>
      </c>
      <c r="AE637">
        <v>0</v>
      </c>
      <c r="AF637">
        <v>1</v>
      </c>
      <c r="AG637">
        <v>0</v>
      </c>
      <c r="AH637">
        <v>0</v>
      </c>
      <c r="AI637">
        <v>6</v>
      </c>
      <c r="AJ637">
        <v>0</v>
      </c>
      <c r="AK637">
        <v>0</v>
      </c>
      <c r="AL637">
        <v>2</v>
      </c>
      <c r="AN637" s="367" t="s">
        <v>6775</v>
      </c>
    </row>
    <row r="638" spans="1:40">
      <c r="A638">
        <v>3169</v>
      </c>
      <c r="B638" t="s">
        <v>5333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 s="367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 s="367">
        <v>0</v>
      </c>
      <c r="U638">
        <v>0</v>
      </c>
      <c r="V638">
        <v>4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2</v>
      </c>
      <c r="AD638">
        <v>4</v>
      </c>
      <c r="AE638">
        <v>1</v>
      </c>
      <c r="AF638">
        <v>4</v>
      </c>
      <c r="AG638">
        <v>1</v>
      </c>
      <c r="AH638">
        <v>0</v>
      </c>
      <c r="AI638">
        <v>8</v>
      </c>
      <c r="AJ638">
        <v>0</v>
      </c>
      <c r="AK638">
        <v>0</v>
      </c>
      <c r="AL638">
        <v>4</v>
      </c>
      <c r="AN638" s="367" t="s">
        <v>6775</v>
      </c>
    </row>
    <row r="639" spans="1:40">
      <c r="A639">
        <v>3171</v>
      </c>
      <c r="B639" t="s">
        <v>6313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 s="367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 s="367">
        <v>0</v>
      </c>
      <c r="U639">
        <v>0</v>
      </c>
      <c r="V639">
        <v>0</v>
      </c>
      <c r="W639">
        <v>0</v>
      </c>
      <c r="X639">
        <v>1</v>
      </c>
      <c r="Y639">
        <v>2</v>
      </c>
      <c r="Z639">
        <v>1</v>
      </c>
      <c r="AA639">
        <v>0</v>
      </c>
      <c r="AB639">
        <v>0</v>
      </c>
      <c r="AC639">
        <v>1</v>
      </c>
      <c r="AD639">
        <v>3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</row>
    <row r="640" spans="1:40">
      <c r="A640">
        <v>3178</v>
      </c>
      <c r="B640" t="s">
        <v>5334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 s="367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 s="367">
        <v>0</v>
      </c>
      <c r="U640">
        <v>1</v>
      </c>
      <c r="V640">
        <v>2</v>
      </c>
      <c r="W640">
        <v>0</v>
      </c>
      <c r="X640">
        <v>0</v>
      </c>
      <c r="Y640">
        <v>5</v>
      </c>
      <c r="Z640">
        <v>0</v>
      </c>
      <c r="AA640">
        <v>0</v>
      </c>
      <c r="AB640">
        <v>0</v>
      </c>
      <c r="AC640">
        <v>0</v>
      </c>
      <c r="AD640">
        <v>1</v>
      </c>
      <c r="AE640">
        <v>6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1</v>
      </c>
      <c r="AL640">
        <v>2</v>
      </c>
      <c r="AM640" s="367" t="s">
        <v>3542</v>
      </c>
      <c r="AN640" s="367" t="s">
        <v>4718</v>
      </c>
    </row>
    <row r="641" spans="1:40">
      <c r="A641">
        <v>3189</v>
      </c>
      <c r="B641" t="s">
        <v>5336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 s="367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 s="367">
        <v>0</v>
      </c>
      <c r="U641">
        <v>0</v>
      </c>
      <c r="V641">
        <v>0</v>
      </c>
      <c r="W641">
        <v>0</v>
      </c>
      <c r="X641">
        <v>1</v>
      </c>
      <c r="Y641">
        <v>0</v>
      </c>
      <c r="Z641">
        <v>2</v>
      </c>
      <c r="AA641">
        <v>2</v>
      </c>
      <c r="AB641">
        <v>0</v>
      </c>
      <c r="AC641">
        <v>1</v>
      </c>
      <c r="AD641">
        <v>1</v>
      </c>
      <c r="AE641">
        <v>0</v>
      </c>
      <c r="AF641">
        <v>1</v>
      </c>
      <c r="AG641">
        <v>0</v>
      </c>
      <c r="AH641">
        <v>0</v>
      </c>
      <c r="AI641">
        <v>3</v>
      </c>
      <c r="AJ641">
        <v>0</v>
      </c>
      <c r="AK641">
        <v>0</v>
      </c>
      <c r="AL641">
        <v>0</v>
      </c>
    </row>
    <row r="642" spans="1:40">
      <c r="A642">
        <v>3202</v>
      </c>
      <c r="B642" t="s">
        <v>5337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 s="367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 s="367">
        <v>0</v>
      </c>
      <c r="U642">
        <v>0</v>
      </c>
      <c r="V642">
        <v>0</v>
      </c>
      <c r="W642">
        <v>0</v>
      </c>
      <c r="X642">
        <v>0</v>
      </c>
      <c r="Y642">
        <v>2</v>
      </c>
      <c r="Z642">
        <v>1</v>
      </c>
      <c r="AA642">
        <v>0</v>
      </c>
      <c r="AB642">
        <v>0</v>
      </c>
      <c r="AC642">
        <v>0</v>
      </c>
      <c r="AD642">
        <v>1</v>
      </c>
      <c r="AE642">
        <v>2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</row>
    <row r="643" spans="1:40">
      <c r="A643">
        <v>3205</v>
      </c>
      <c r="B643" t="s">
        <v>5338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 s="367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 s="367">
        <v>0</v>
      </c>
      <c r="U643">
        <v>0</v>
      </c>
      <c r="V643">
        <v>0</v>
      </c>
      <c r="W643">
        <v>0</v>
      </c>
      <c r="X643">
        <v>1</v>
      </c>
      <c r="Y643">
        <v>1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</row>
    <row r="644" spans="1:40">
      <c r="A644">
        <v>3206</v>
      </c>
      <c r="B644" t="s">
        <v>6243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 s="367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 s="367">
        <v>0</v>
      </c>
      <c r="U644">
        <v>0</v>
      </c>
      <c r="V644">
        <v>0</v>
      </c>
      <c r="W644">
        <v>0</v>
      </c>
      <c r="X644">
        <v>0</v>
      </c>
      <c r="Y644">
        <v>3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</row>
    <row r="645" spans="1:40">
      <c r="A645">
        <v>3207</v>
      </c>
      <c r="B645" t="s">
        <v>5339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 s="367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 s="367">
        <v>0</v>
      </c>
      <c r="U645">
        <v>0</v>
      </c>
      <c r="V645">
        <v>0</v>
      </c>
      <c r="W645">
        <v>0</v>
      </c>
      <c r="X645">
        <v>2</v>
      </c>
      <c r="Y645">
        <v>3</v>
      </c>
      <c r="Z645">
        <v>0</v>
      </c>
      <c r="AA645">
        <v>0</v>
      </c>
      <c r="AB645">
        <v>0</v>
      </c>
      <c r="AC645">
        <v>3</v>
      </c>
      <c r="AD645">
        <v>2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</row>
    <row r="646" spans="1:40">
      <c r="A646">
        <v>3209</v>
      </c>
      <c r="B646" t="s">
        <v>5340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 s="367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 s="367">
        <v>0</v>
      </c>
      <c r="U646">
        <v>0</v>
      </c>
      <c r="V646">
        <v>0</v>
      </c>
      <c r="W646">
        <v>2</v>
      </c>
      <c r="X646">
        <v>0</v>
      </c>
      <c r="Y646">
        <v>2</v>
      </c>
      <c r="Z646">
        <v>2</v>
      </c>
      <c r="AA646">
        <v>0</v>
      </c>
      <c r="AB646">
        <v>0</v>
      </c>
      <c r="AC646">
        <v>0</v>
      </c>
      <c r="AD646">
        <v>0</v>
      </c>
      <c r="AE646">
        <v>1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</row>
    <row r="647" spans="1:40">
      <c r="A647">
        <v>3211</v>
      </c>
      <c r="B647" t="s">
        <v>5341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 s="36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 s="367">
        <v>0</v>
      </c>
      <c r="U647">
        <v>0</v>
      </c>
      <c r="V647">
        <v>0</v>
      </c>
      <c r="W647">
        <v>0</v>
      </c>
      <c r="X647">
        <v>3</v>
      </c>
      <c r="Y647">
        <v>0</v>
      </c>
      <c r="Z647">
        <v>0</v>
      </c>
      <c r="AA647">
        <v>0</v>
      </c>
      <c r="AB647">
        <v>0</v>
      </c>
      <c r="AC647">
        <v>1</v>
      </c>
      <c r="AD647">
        <v>1</v>
      </c>
      <c r="AE647">
        <v>0</v>
      </c>
      <c r="AF647">
        <v>1</v>
      </c>
      <c r="AG647">
        <v>1</v>
      </c>
      <c r="AH647">
        <v>0</v>
      </c>
      <c r="AI647">
        <v>1</v>
      </c>
      <c r="AJ647">
        <v>0</v>
      </c>
      <c r="AK647">
        <v>0</v>
      </c>
      <c r="AL647">
        <v>0</v>
      </c>
    </row>
    <row r="648" spans="1:40">
      <c r="A648">
        <v>3213</v>
      </c>
      <c r="B648" t="s">
        <v>5342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 s="367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 s="367">
        <v>0</v>
      </c>
      <c r="U648">
        <v>0</v>
      </c>
      <c r="V648">
        <v>0</v>
      </c>
      <c r="W648">
        <v>0</v>
      </c>
      <c r="X648">
        <v>1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1</v>
      </c>
      <c r="AE648">
        <v>0</v>
      </c>
      <c r="AF648">
        <v>1</v>
      </c>
      <c r="AG648">
        <v>0</v>
      </c>
      <c r="AH648">
        <v>0</v>
      </c>
      <c r="AI648">
        <v>1</v>
      </c>
      <c r="AJ648">
        <v>0</v>
      </c>
      <c r="AK648">
        <v>0</v>
      </c>
      <c r="AL648">
        <v>0</v>
      </c>
    </row>
    <row r="649" spans="1:40">
      <c r="A649">
        <v>3217</v>
      </c>
      <c r="B649" t="s">
        <v>5343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 s="367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 s="367">
        <v>0</v>
      </c>
      <c r="U649">
        <v>1</v>
      </c>
      <c r="V649">
        <v>1</v>
      </c>
      <c r="W649">
        <v>2</v>
      </c>
      <c r="X649">
        <v>0</v>
      </c>
      <c r="Y649">
        <v>5</v>
      </c>
      <c r="Z649">
        <v>2</v>
      </c>
      <c r="AA649">
        <v>0</v>
      </c>
      <c r="AB649">
        <v>4</v>
      </c>
      <c r="AC649">
        <v>0</v>
      </c>
      <c r="AD649">
        <v>0</v>
      </c>
      <c r="AE649">
        <v>5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1</v>
      </c>
      <c r="AL649">
        <v>1</v>
      </c>
      <c r="AM649" s="367" t="s">
        <v>3542</v>
      </c>
      <c r="AN649" s="367" t="s">
        <v>4718</v>
      </c>
    </row>
    <row r="650" spans="1:40">
      <c r="A650">
        <v>3218</v>
      </c>
      <c r="B650" t="s">
        <v>5344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 s="367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 s="367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2</v>
      </c>
      <c r="AA650">
        <v>0</v>
      </c>
      <c r="AB650">
        <v>0</v>
      </c>
      <c r="AC650">
        <v>1</v>
      </c>
      <c r="AD650">
        <v>1</v>
      </c>
      <c r="AE650">
        <v>1</v>
      </c>
      <c r="AF650">
        <v>1</v>
      </c>
      <c r="AG650">
        <v>0</v>
      </c>
      <c r="AH650">
        <v>0</v>
      </c>
      <c r="AI650">
        <v>1</v>
      </c>
      <c r="AJ650">
        <v>0</v>
      </c>
      <c r="AK650">
        <v>0</v>
      </c>
      <c r="AL650">
        <v>0</v>
      </c>
    </row>
    <row r="651" spans="1:40">
      <c r="A651">
        <v>3219</v>
      </c>
      <c r="B651" t="s">
        <v>5345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 s="367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 s="367">
        <v>0</v>
      </c>
      <c r="U651">
        <v>0</v>
      </c>
      <c r="V651">
        <v>0</v>
      </c>
      <c r="W651">
        <v>0</v>
      </c>
      <c r="X651">
        <v>0</v>
      </c>
      <c r="Y651">
        <v>2</v>
      </c>
      <c r="Z651">
        <v>0</v>
      </c>
      <c r="AA651">
        <v>0</v>
      </c>
      <c r="AB651">
        <v>1</v>
      </c>
      <c r="AC651">
        <v>0</v>
      </c>
      <c r="AD651">
        <v>0</v>
      </c>
      <c r="AE651">
        <v>1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</row>
    <row r="652" spans="1:40">
      <c r="A652">
        <v>3221</v>
      </c>
      <c r="B652" t="s">
        <v>5346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 s="367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 s="367">
        <v>0</v>
      </c>
      <c r="U652">
        <v>0</v>
      </c>
      <c r="V652">
        <v>0</v>
      </c>
      <c r="W652">
        <v>0</v>
      </c>
      <c r="X652">
        <v>1</v>
      </c>
      <c r="Y652">
        <v>0</v>
      </c>
      <c r="Z652">
        <v>0</v>
      </c>
      <c r="AA652">
        <v>0</v>
      </c>
      <c r="AB652">
        <v>1</v>
      </c>
      <c r="AC652">
        <v>1</v>
      </c>
      <c r="AD652">
        <v>1</v>
      </c>
      <c r="AE652">
        <v>0</v>
      </c>
      <c r="AF652">
        <v>1</v>
      </c>
      <c r="AG652">
        <v>4</v>
      </c>
      <c r="AH652">
        <v>0</v>
      </c>
      <c r="AI652">
        <v>0</v>
      </c>
      <c r="AJ652">
        <v>0</v>
      </c>
      <c r="AK652">
        <v>0</v>
      </c>
      <c r="AL652">
        <v>0</v>
      </c>
    </row>
    <row r="653" spans="1:40">
      <c r="A653">
        <v>3224</v>
      </c>
      <c r="B653" t="s">
        <v>5347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 s="367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 s="367">
        <v>0</v>
      </c>
      <c r="U653">
        <v>0</v>
      </c>
      <c r="V653">
        <v>6</v>
      </c>
      <c r="W653">
        <v>0</v>
      </c>
      <c r="X653">
        <v>2</v>
      </c>
      <c r="Y653">
        <v>0</v>
      </c>
      <c r="Z653">
        <v>0</v>
      </c>
      <c r="AA653">
        <v>0</v>
      </c>
      <c r="AB653">
        <v>0</v>
      </c>
      <c r="AC653">
        <v>1</v>
      </c>
      <c r="AD653">
        <v>10</v>
      </c>
      <c r="AE653">
        <v>0</v>
      </c>
      <c r="AF653">
        <v>1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6</v>
      </c>
      <c r="AN653" s="367" t="s">
        <v>6761</v>
      </c>
    </row>
    <row r="654" spans="1:40">
      <c r="A654">
        <v>3227</v>
      </c>
      <c r="B654" t="s">
        <v>5348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 s="367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 s="367">
        <v>0</v>
      </c>
      <c r="U654">
        <v>0</v>
      </c>
      <c r="V654">
        <v>0</v>
      </c>
      <c r="W654">
        <v>0</v>
      </c>
      <c r="X654">
        <v>1</v>
      </c>
      <c r="Y654">
        <v>0</v>
      </c>
      <c r="Z654">
        <v>0</v>
      </c>
      <c r="AA654">
        <v>0</v>
      </c>
      <c r="AB654">
        <v>4</v>
      </c>
      <c r="AC654">
        <v>2</v>
      </c>
      <c r="AD654">
        <v>1</v>
      </c>
      <c r="AE654">
        <v>0</v>
      </c>
      <c r="AF654">
        <v>1</v>
      </c>
      <c r="AG654">
        <v>1</v>
      </c>
      <c r="AH654">
        <v>0</v>
      </c>
      <c r="AI654">
        <v>0</v>
      </c>
      <c r="AJ654">
        <v>0</v>
      </c>
      <c r="AK654">
        <v>0</v>
      </c>
      <c r="AL654">
        <v>0</v>
      </c>
    </row>
    <row r="655" spans="1:40">
      <c r="A655">
        <v>3228</v>
      </c>
      <c r="B655" t="s">
        <v>6411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 s="367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 s="367">
        <v>0</v>
      </c>
      <c r="U655">
        <v>0</v>
      </c>
      <c r="V655">
        <v>4</v>
      </c>
      <c r="W655">
        <v>0</v>
      </c>
      <c r="X655">
        <v>0</v>
      </c>
      <c r="Y655">
        <v>1</v>
      </c>
      <c r="Z655">
        <v>0</v>
      </c>
      <c r="AA655">
        <v>1</v>
      </c>
      <c r="AB655">
        <v>0</v>
      </c>
      <c r="AC655">
        <v>0</v>
      </c>
      <c r="AD655">
        <v>2</v>
      </c>
      <c r="AE655">
        <v>1</v>
      </c>
      <c r="AF655">
        <v>0</v>
      </c>
      <c r="AG655">
        <v>2</v>
      </c>
      <c r="AH655">
        <v>0</v>
      </c>
      <c r="AI655">
        <v>8</v>
      </c>
      <c r="AJ655">
        <v>0</v>
      </c>
      <c r="AK655">
        <v>0</v>
      </c>
      <c r="AL655">
        <v>4</v>
      </c>
      <c r="AN655" s="367" t="s">
        <v>6775</v>
      </c>
    </row>
    <row r="656" spans="1:40">
      <c r="A656">
        <v>3230</v>
      </c>
      <c r="B656" t="s">
        <v>5349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 s="367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 s="367">
        <v>0</v>
      </c>
      <c r="U656">
        <v>1</v>
      </c>
      <c r="V656">
        <v>0</v>
      </c>
      <c r="W656">
        <v>5</v>
      </c>
      <c r="X656">
        <v>2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4</v>
      </c>
      <c r="AG656">
        <v>0</v>
      </c>
      <c r="AH656">
        <v>0</v>
      </c>
      <c r="AI656">
        <v>2</v>
      </c>
      <c r="AJ656">
        <v>1</v>
      </c>
      <c r="AK656">
        <v>1</v>
      </c>
      <c r="AL656">
        <v>0</v>
      </c>
      <c r="AM656" s="367" t="s">
        <v>6761</v>
      </c>
    </row>
    <row r="657" spans="1:40">
      <c r="A657">
        <v>3231</v>
      </c>
      <c r="B657" t="s">
        <v>5350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 s="36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 s="367">
        <v>0</v>
      </c>
      <c r="U657">
        <v>2</v>
      </c>
      <c r="V657">
        <v>3</v>
      </c>
      <c r="W657">
        <v>1</v>
      </c>
      <c r="X657">
        <v>0</v>
      </c>
      <c r="Y657">
        <v>0</v>
      </c>
      <c r="Z657">
        <v>5</v>
      </c>
      <c r="AA657">
        <v>2</v>
      </c>
      <c r="AB657">
        <v>5</v>
      </c>
      <c r="AC657">
        <v>3</v>
      </c>
      <c r="AD657">
        <v>0</v>
      </c>
      <c r="AE657">
        <v>1</v>
      </c>
      <c r="AF657">
        <v>7</v>
      </c>
      <c r="AG657">
        <v>0</v>
      </c>
      <c r="AH657">
        <v>0</v>
      </c>
      <c r="AI657">
        <v>0</v>
      </c>
      <c r="AJ657">
        <v>0</v>
      </c>
      <c r="AK657">
        <v>2</v>
      </c>
      <c r="AL657">
        <v>3</v>
      </c>
      <c r="AM657" s="367" t="s">
        <v>6359</v>
      </c>
      <c r="AN657" s="367" t="s">
        <v>3542</v>
      </c>
    </row>
    <row r="658" spans="1:40">
      <c r="A658">
        <v>3234</v>
      </c>
      <c r="B658" t="s">
        <v>5352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 s="367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 s="367">
        <v>0</v>
      </c>
      <c r="U658">
        <v>1</v>
      </c>
      <c r="V658">
        <v>3</v>
      </c>
      <c r="W658">
        <v>5</v>
      </c>
      <c r="X658">
        <v>0</v>
      </c>
      <c r="Y658">
        <v>3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3</v>
      </c>
      <c r="AF658">
        <v>0</v>
      </c>
      <c r="AG658">
        <v>0</v>
      </c>
      <c r="AH658">
        <v>0</v>
      </c>
      <c r="AI658">
        <v>0</v>
      </c>
      <c r="AJ658">
        <v>7</v>
      </c>
      <c r="AK658">
        <v>1</v>
      </c>
      <c r="AL658">
        <v>3</v>
      </c>
      <c r="AM658" s="367" t="s">
        <v>6761</v>
      </c>
      <c r="AN658" s="367" t="s">
        <v>6778</v>
      </c>
    </row>
    <row r="659" spans="1:40">
      <c r="A659">
        <v>3236</v>
      </c>
      <c r="B659" t="s">
        <v>5353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 s="367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 s="367">
        <v>0</v>
      </c>
      <c r="U659">
        <v>0</v>
      </c>
      <c r="V659">
        <v>3</v>
      </c>
      <c r="W659">
        <v>3</v>
      </c>
      <c r="X659">
        <v>0</v>
      </c>
      <c r="Y659">
        <v>1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7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3</v>
      </c>
      <c r="AN659" s="367" t="s">
        <v>4718</v>
      </c>
    </row>
    <row r="660" spans="1:40">
      <c r="A660">
        <v>3252</v>
      </c>
      <c r="B660" t="s">
        <v>5354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 s="367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 s="367">
        <v>0</v>
      </c>
      <c r="U660">
        <v>0</v>
      </c>
      <c r="V660">
        <v>0</v>
      </c>
      <c r="W660">
        <v>0</v>
      </c>
      <c r="X660">
        <v>2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</row>
    <row r="661" spans="1:40">
      <c r="A661">
        <v>3257</v>
      </c>
      <c r="B661" t="s">
        <v>5355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 s="367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 s="367">
        <v>0</v>
      </c>
      <c r="U661">
        <v>8</v>
      </c>
      <c r="V661">
        <v>0</v>
      </c>
      <c r="W661">
        <v>2</v>
      </c>
      <c r="X661">
        <v>0</v>
      </c>
      <c r="Y661">
        <v>12</v>
      </c>
      <c r="Z661">
        <v>0</v>
      </c>
      <c r="AA661">
        <v>0</v>
      </c>
      <c r="AB661">
        <v>4</v>
      </c>
      <c r="AC661">
        <v>0</v>
      </c>
      <c r="AD661">
        <v>0</v>
      </c>
      <c r="AE661">
        <v>0</v>
      </c>
      <c r="AF661">
        <v>0</v>
      </c>
      <c r="AG661">
        <v>2</v>
      </c>
      <c r="AH661">
        <v>0</v>
      </c>
      <c r="AI661">
        <v>0</v>
      </c>
      <c r="AJ661">
        <v>0</v>
      </c>
      <c r="AK661">
        <v>8</v>
      </c>
      <c r="AL661">
        <v>0</v>
      </c>
      <c r="AM661" s="367" t="s">
        <v>3542</v>
      </c>
    </row>
    <row r="662" spans="1:40">
      <c r="A662">
        <v>3260</v>
      </c>
      <c r="B662" t="s">
        <v>5356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 s="367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 s="367">
        <v>0</v>
      </c>
      <c r="U662">
        <v>0</v>
      </c>
      <c r="V662">
        <v>0</v>
      </c>
      <c r="W662">
        <v>2</v>
      </c>
      <c r="X662">
        <v>0</v>
      </c>
      <c r="Y662">
        <v>2</v>
      </c>
      <c r="Z662">
        <v>0</v>
      </c>
      <c r="AA662">
        <v>0</v>
      </c>
      <c r="AB662">
        <v>1</v>
      </c>
      <c r="AC662">
        <v>0</v>
      </c>
      <c r="AD662">
        <v>0</v>
      </c>
      <c r="AE662">
        <v>3</v>
      </c>
      <c r="AF662">
        <v>0</v>
      </c>
      <c r="AG662">
        <v>1</v>
      </c>
      <c r="AH662">
        <v>1</v>
      </c>
      <c r="AI662">
        <v>0</v>
      </c>
      <c r="AJ662">
        <v>1</v>
      </c>
      <c r="AK662">
        <v>0</v>
      </c>
      <c r="AL662">
        <v>0</v>
      </c>
    </row>
    <row r="663" spans="1:40">
      <c r="A663">
        <v>3264</v>
      </c>
      <c r="B663" t="s">
        <v>5357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 s="367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 s="367">
        <v>0</v>
      </c>
      <c r="U663">
        <v>1</v>
      </c>
      <c r="V663">
        <v>0</v>
      </c>
      <c r="W663">
        <v>2</v>
      </c>
      <c r="X663">
        <v>0</v>
      </c>
      <c r="Y663">
        <v>5</v>
      </c>
      <c r="Z663">
        <v>0</v>
      </c>
      <c r="AA663">
        <v>0</v>
      </c>
      <c r="AB663">
        <v>1</v>
      </c>
      <c r="AC663">
        <v>0</v>
      </c>
      <c r="AD663">
        <v>0</v>
      </c>
      <c r="AE663">
        <v>4</v>
      </c>
      <c r="AF663">
        <v>0</v>
      </c>
      <c r="AG663">
        <v>2</v>
      </c>
      <c r="AH663">
        <v>1</v>
      </c>
      <c r="AI663">
        <v>0</v>
      </c>
      <c r="AJ663">
        <v>1</v>
      </c>
      <c r="AK663">
        <v>1</v>
      </c>
      <c r="AL663">
        <v>0</v>
      </c>
      <c r="AM663" s="367" t="s">
        <v>3542</v>
      </c>
    </row>
    <row r="664" spans="1:40">
      <c r="A664">
        <v>3265</v>
      </c>
      <c r="B664" t="s">
        <v>5358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 s="367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 s="367">
        <v>0</v>
      </c>
      <c r="U664">
        <v>0</v>
      </c>
      <c r="V664">
        <v>1</v>
      </c>
      <c r="W664">
        <v>3</v>
      </c>
      <c r="X664">
        <v>2</v>
      </c>
      <c r="Y664">
        <v>3</v>
      </c>
      <c r="Z664">
        <v>1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3</v>
      </c>
      <c r="AJ664">
        <v>5</v>
      </c>
      <c r="AK664">
        <v>0</v>
      </c>
      <c r="AL664">
        <v>1</v>
      </c>
      <c r="AN664" s="367" t="s">
        <v>6778</v>
      </c>
    </row>
    <row r="665" spans="1:40">
      <c r="A665">
        <v>3266</v>
      </c>
      <c r="B665" t="s">
        <v>5359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 s="367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 s="367">
        <v>0</v>
      </c>
      <c r="U665">
        <v>0</v>
      </c>
      <c r="V665">
        <v>5</v>
      </c>
      <c r="W665">
        <v>0</v>
      </c>
      <c r="X665">
        <v>0</v>
      </c>
      <c r="Y665">
        <v>2</v>
      </c>
      <c r="Z665">
        <v>0</v>
      </c>
      <c r="AA665">
        <v>0</v>
      </c>
      <c r="AB665">
        <v>0</v>
      </c>
      <c r="AC665">
        <v>0</v>
      </c>
      <c r="AD665">
        <v>2</v>
      </c>
      <c r="AE665">
        <v>9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5</v>
      </c>
      <c r="AN665" s="367" t="s">
        <v>4718</v>
      </c>
    </row>
    <row r="666" spans="1:40">
      <c r="A666">
        <v>3268</v>
      </c>
      <c r="B666" t="s">
        <v>5360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 s="367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 s="367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1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</row>
    <row r="667" spans="1:40">
      <c r="A667">
        <v>3272</v>
      </c>
      <c r="B667" t="s">
        <v>5361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 s="3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 s="367">
        <v>0</v>
      </c>
      <c r="U667">
        <v>0</v>
      </c>
      <c r="V667">
        <v>0</v>
      </c>
      <c r="W667">
        <v>0</v>
      </c>
      <c r="X667">
        <v>1</v>
      </c>
      <c r="Y667">
        <v>1</v>
      </c>
      <c r="Z667">
        <v>0</v>
      </c>
      <c r="AA667">
        <v>0</v>
      </c>
      <c r="AB667">
        <v>0</v>
      </c>
      <c r="AC667">
        <v>1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</row>
    <row r="668" spans="1:40">
      <c r="A668">
        <v>3276</v>
      </c>
      <c r="B668" t="s">
        <v>5362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 s="367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 s="367">
        <v>0</v>
      </c>
      <c r="U668">
        <v>0</v>
      </c>
      <c r="V668">
        <v>0</v>
      </c>
      <c r="W668">
        <v>1</v>
      </c>
      <c r="X668">
        <v>2</v>
      </c>
      <c r="Y668">
        <v>2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</row>
    <row r="669" spans="1:40">
      <c r="A669">
        <v>3284</v>
      </c>
      <c r="B669" t="s">
        <v>5363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 s="367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 s="367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2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</row>
    <row r="670" spans="1:40">
      <c r="A670">
        <v>3285</v>
      </c>
      <c r="B670" t="s">
        <v>6292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 s="367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 s="367">
        <v>0</v>
      </c>
      <c r="U670">
        <v>0</v>
      </c>
      <c r="V670">
        <v>0</v>
      </c>
      <c r="W670">
        <v>0</v>
      </c>
      <c r="X670">
        <v>4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1</v>
      </c>
      <c r="AG670">
        <v>0</v>
      </c>
      <c r="AH670">
        <v>0</v>
      </c>
      <c r="AI670">
        <v>1</v>
      </c>
      <c r="AJ670">
        <v>0</v>
      </c>
      <c r="AK670">
        <v>0</v>
      </c>
      <c r="AL670">
        <v>0</v>
      </c>
    </row>
    <row r="671" spans="1:40">
      <c r="A671">
        <v>3287</v>
      </c>
      <c r="B671" t="s">
        <v>6179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 s="367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 s="367">
        <v>0</v>
      </c>
      <c r="U671">
        <v>0</v>
      </c>
      <c r="V671">
        <v>0</v>
      </c>
      <c r="W671">
        <v>0</v>
      </c>
      <c r="X671">
        <v>0</v>
      </c>
      <c r="Y671">
        <v>2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1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</row>
    <row r="672" spans="1:40">
      <c r="A672">
        <v>3289</v>
      </c>
      <c r="B672" t="s">
        <v>5364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 s="367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 s="367">
        <v>0</v>
      </c>
      <c r="U672">
        <v>1</v>
      </c>
      <c r="V672">
        <v>0</v>
      </c>
      <c r="W672">
        <v>4</v>
      </c>
      <c r="X672">
        <v>0</v>
      </c>
      <c r="Y672">
        <v>5</v>
      </c>
      <c r="Z672">
        <v>1</v>
      </c>
      <c r="AA672">
        <v>0</v>
      </c>
      <c r="AB672">
        <v>0</v>
      </c>
      <c r="AC672">
        <v>0</v>
      </c>
      <c r="AD672">
        <v>0</v>
      </c>
      <c r="AE672">
        <v>1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1</v>
      </c>
      <c r="AL672">
        <v>0</v>
      </c>
      <c r="AM672" s="367" t="s">
        <v>3542</v>
      </c>
    </row>
    <row r="673" spans="1:40">
      <c r="A673">
        <v>3290</v>
      </c>
      <c r="B673" t="s">
        <v>5365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 s="367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 s="367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2</v>
      </c>
      <c r="AD673">
        <v>4</v>
      </c>
      <c r="AE673">
        <v>2</v>
      </c>
      <c r="AF673">
        <v>1</v>
      </c>
      <c r="AG673">
        <v>0</v>
      </c>
      <c r="AH673">
        <v>0</v>
      </c>
      <c r="AI673">
        <v>3</v>
      </c>
      <c r="AJ673">
        <v>0</v>
      </c>
      <c r="AK673">
        <v>0</v>
      </c>
      <c r="AL673">
        <v>0</v>
      </c>
    </row>
    <row r="674" spans="1:40">
      <c r="A674">
        <v>3293</v>
      </c>
      <c r="B674" t="s">
        <v>5366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 s="367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 s="367">
        <v>0</v>
      </c>
      <c r="U674">
        <v>0</v>
      </c>
      <c r="V674">
        <v>0</v>
      </c>
      <c r="W674">
        <v>1</v>
      </c>
      <c r="X674">
        <v>0</v>
      </c>
      <c r="Y674">
        <v>3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1</v>
      </c>
      <c r="AF674">
        <v>0</v>
      </c>
      <c r="AG674">
        <v>0</v>
      </c>
      <c r="AH674">
        <v>1</v>
      </c>
      <c r="AI674">
        <v>3</v>
      </c>
      <c r="AJ674">
        <v>0</v>
      </c>
      <c r="AK674">
        <v>0</v>
      </c>
      <c r="AL674">
        <v>0</v>
      </c>
    </row>
    <row r="675" spans="1:40">
      <c r="A675">
        <v>3294</v>
      </c>
      <c r="B675" t="s">
        <v>5367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 s="367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 s="367">
        <v>0</v>
      </c>
      <c r="U675">
        <v>0</v>
      </c>
      <c r="V675">
        <v>3</v>
      </c>
      <c r="W675">
        <v>0</v>
      </c>
      <c r="X675">
        <v>0</v>
      </c>
      <c r="Y675">
        <v>2</v>
      </c>
      <c r="Z675">
        <v>0</v>
      </c>
      <c r="AA675">
        <v>0</v>
      </c>
      <c r="AB675">
        <v>0</v>
      </c>
      <c r="AC675">
        <v>1</v>
      </c>
      <c r="AD675">
        <v>1</v>
      </c>
      <c r="AE675">
        <v>7</v>
      </c>
      <c r="AF675">
        <v>0</v>
      </c>
      <c r="AG675">
        <v>0</v>
      </c>
      <c r="AH675">
        <v>0</v>
      </c>
      <c r="AI675">
        <v>1</v>
      </c>
      <c r="AJ675">
        <v>0</v>
      </c>
      <c r="AK675">
        <v>0</v>
      </c>
      <c r="AL675">
        <v>3</v>
      </c>
      <c r="AN675" s="367" t="s">
        <v>4718</v>
      </c>
    </row>
    <row r="676" spans="1:40">
      <c r="A676">
        <v>3296</v>
      </c>
      <c r="B676" t="s">
        <v>5368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 s="367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 s="367">
        <v>0</v>
      </c>
      <c r="U676">
        <v>0</v>
      </c>
      <c r="V676">
        <v>0</v>
      </c>
      <c r="W676">
        <v>0</v>
      </c>
      <c r="X676">
        <v>3</v>
      </c>
      <c r="Y676">
        <v>2</v>
      </c>
      <c r="Z676">
        <v>0</v>
      </c>
      <c r="AA676">
        <v>0</v>
      </c>
      <c r="AB676">
        <v>0</v>
      </c>
      <c r="AC676">
        <v>1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</row>
    <row r="677" spans="1:40">
      <c r="A677">
        <v>3297</v>
      </c>
      <c r="B677" t="s">
        <v>5369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 s="36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 s="367">
        <v>0</v>
      </c>
      <c r="U677">
        <v>0</v>
      </c>
      <c r="V677">
        <v>0</v>
      </c>
      <c r="W677">
        <v>0</v>
      </c>
      <c r="X677">
        <v>1</v>
      </c>
      <c r="Y677">
        <v>1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1</v>
      </c>
      <c r="AH677">
        <v>0</v>
      </c>
      <c r="AI677">
        <v>0</v>
      </c>
      <c r="AJ677">
        <v>0</v>
      </c>
      <c r="AK677">
        <v>0</v>
      </c>
      <c r="AL677">
        <v>0</v>
      </c>
    </row>
    <row r="678" spans="1:40">
      <c r="A678">
        <v>3303</v>
      </c>
      <c r="B678" t="s">
        <v>5370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 s="367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 s="367">
        <v>0</v>
      </c>
      <c r="U678">
        <v>0</v>
      </c>
      <c r="V678">
        <v>11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2</v>
      </c>
      <c r="AE678">
        <v>4</v>
      </c>
      <c r="AF678">
        <v>15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11</v>
      </c>
      <c r="AN678" s="367" t="s">
        <v>3542</v>
      </c>
    </row>
    <row r="679" spans="1:40">
      <c r="A679">
        <v>3305</v>
      </c>
      <c r="B679" t="s">
        <v>5371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 s="367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 s="367">
        <v>0</v>
      </c>
      <c r="U679">
        <v>0</v>
      </c>
      <c r="V679">
        <v>2</v>
      </c>
      <c r="W679">
        <v>1</v>
      </c>
      <c r="X679">
        <v>0</v>
      </c>
      <c r="Y679">
        <v>1</v>
      </c>
      <c r="Z679">
        <v>1</v>
      </c>
      <c r="AA679">
        <v>0</v>
      </c>
      <c r="AB679">
        <v>0</v>
      </c>
      <c r="AC679">
        <v>0</v>
      </c>
      <c r="AD679">
        <v>0</v>
      </c>
      <c r="AE679">
        <v>1</v>
      </c>
      <c r="AF679">
        <v>0</v>
      </c>
      <c r="AG679">
        <v>0</v>
      </c>
      <c r="AH679">
        <v>0</v>
      </c>
      <c r="AI679">
        <v>6</v>
      </c>
      <c r="AJ679">
        <v>1</v>
      </c>
      <c r="AK679">
        <v>0</v>
      </c>
      <c r="AL679">
        <v>2</v>
      </c>
      <c r="AN679" s="367" t="s">
        <v>6775</v>
      </c>
    </row>
    <row r="680" spans="1:40">
      <c r="A680">
        <v>3306</v>
      </c>
      <c r="B680" t="s">
        <v>5372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 s="367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 s="367">
        <v>0</v>
      </c>
      <c r="U680">
        <v>0</v>
      </c>
      <c r="V680">
        <v>2</v>
      </c>
      <c r="W680">
        <v>0</v>
      </c>
      <c r="X680">
        <v>0</v>
      </c>
      <c r="Y680">
        <v>2</v>
      </c>
      <c r="Z680">
        <v>0</v>
      </c>
      <c r="AA680">
        <v>0</v>
      </c>
      <c r="AB680">
        <v>0</v>
      </c>
      <c r="AC680">
        <v>0</v>
      </c>
      <c r="AD680">
        <v>1</v>
      </c>
      <c r="AE680">
        <v>6</v>
      </c>
      <c r="AF680">
        <v>0</v>
      </c>
      <c r="AG680">
        <v>0</v>
      </c>
      <c r="AH680">
        <v>0</v>
      </c>
      <c r="AI680">
        <v>0</v>
      </c>
      <c r="AJ680">
        <v>1</v>
      </c>
      <c r="AK680">
        <v>0</v>
      </c>
      <c r="AL680">
        <v>2</v>
      </c>
      <c r="AN680" s="367" t="s">
        <v>4718</v>
      </c>
    </row>
    <row r="681" spans="1:40">
      <c r="A681">
        <v>3311</v>
      </c>
      <c r="B681" t="s">
        <v>5374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 s="367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 s="367">
        <v>0</v>
      </c>
      <c r="U681">
        <v>0</v>
      </c>
      <c r="V681">
        <v>0</v>
      </c>
      <c r="W681">
        <v>0</v>
      </c>
      <c r="X681">
        <v>3</v>
      </c>
      <c r="Y681">
        <v>0</v>
      </c>
      <c r="Z681">
        <v>2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</row>
    <row r="682" spans="1:40">
      <c r="A682">
        <v>3312</v>
      </c>
      <c r="B682" t="s">
        <v>5375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 s="367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 s="367">
        <v>0</v>
      </c>
      <c r="U682">
        <v>0</v>
      </c>
      <c r="V682">
        <v>2</v>
      </c>
      <c r="W682">
        <v>0</v>
      </c>
      <c r="X682">
        <v>0</v>
      </c>
      <c r="Y682">
        <v>2</v>
      </c>
      <c r="Z682">
        <v>2</v>
      </c>
      <c r="AA682">
        <v>0</v>
      </c>
      <c r="AB682">
        <v>0</v>
      </c>
      <c r="AC682">
        <v>2</v>
      </c>
      <c r="AD682">
        <v>4</v>
      </c>
      <c r="AE682">
        <v>4</v>
      </c>
      <c r="AF682">
        <v>0</v>
      </c>
      <c r="AG682">
        <v>0</v>
      </c>
      <c r="AH682">
        <v>0</v>
      </c>
      <c r="AI682">
        <v>6</v>
      </c>
      <c r="AJ682">
        <v>0</v>
      </c>
      <c r="AK682">
        <v>0</v>
      </c>
      <c r="AL682">
        <v>2</v>
      </c>
      <c r="AN682" s="367" t="s">
        <v>6775</v>
      </c>
    </row>
    <row r="683" spans="1:40">
      <c r="A683">
        <v>3317</v>
      </c>
      <c r="B683" t="s">
        <v>5376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 s="367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 s="367">
        <v>0</v>
      </c>
      <c r="U683">
        <v>0</v>
      </c>
      <c r="V683">
        <v>3</v>
      </c>
      <c r="W683">
        <v>0</v>
      </c>
      <c r="X683">
        <v>0</v>
      </c>
      <c r="Y683">
        <v>0</v>
      </c>
      <c r="Z683">
        <v>1</v>
      </c>
      <c r="AA683">
        <v>0</v>
      </c>
      <c r="AB683">
        <v>0</v>
      </c>
      <c r="AC683">
        <v>1</v>
      </c>
      <c r="AD683">
        <v>1</v>
      </c>
      <c r="AE683">
        <v>1</v>
      </c>
      <c r="AF683">
        <v>1</v>
      </c>
      <c r="AG683">
        <v>0</v>
      </c>
      <c r="AH683">
        <v>0</v>
      </c>
      <c r="AI683">
        <v>7</v>
      </c>
      <c r="AJ683">
        <v>0</v>
      </c>
      <c r="AK683">
        <v>0</v>
      </c>
      <c r="AL683">
        <v>3</v>
      </c>
      <c r="AN683" s="367" t="s">
        <v>6775</v>
      </c>
    </row>
    <row r="684" spans="1:40">
      <c r="A684">
        <v>3322</v>
      </c>
      <c r="B684" t="s">
        <v>6180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 s="367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 s="367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1</v>
      </c>
      <c r="AD684">
        <v>1</v>
      </c>
      <c r="AE684">
        <v>1</v>
      </c>
      <c r="AF684">
        <v>3</v>
      </c>
      <c r="AG684">
        <v>0</v>
      </c>
      <c r="AH684">
        <v>0</v>
      </c>
      <c r="AI684">
        <v>4</v>
      </c>
      <c r="AJ684">
        <v>0</v>
      </c>
      <c r="AK684">
        <v>0</v>
      </c>
      <c r="AL684">
        <v>0</v>
      </c>
    </row>
    <row r="685" spans="1:40">
      <c r="A685">
        <v>3323</v>
      </c>
      <c r="B685" t="s">
        <v>5377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 s="367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 s="367">
        <v>0</v>
      </c>
      <c r="U685">
        <v>0</v>
      </c>
      <c r="V685">
        <v>0</v>
      </c>
      <c r="W685">
        <v>1</v>
      </c>
      <c r="X685">
        <v>0</v>
      </c>
      <c r="Y685">
        <v>3</v>
      </c>
      <c r="Z685">
        <v>1</v>
      </c>
      <c r="AA685">
        <v>0</v>
      </c>
      <c r="AB685">
        <v>0</v>
      </c>
      <c r="AC685">
        <v>0</v>
      </c>
      <c r="AD685">
        <v>0</v>
      </c>
      <c r="AE685">
        <v>1</v>
      </c>
      <c r="AF685">
        <v>0</v>
      </c>
      <c r="AG685">
        <v>0</v>
      </c>
      <c r="AH685">
        <v>0</v>
      </c>
      <c r="AI685">
        <v>0</v>
      </c>
      <c r="AJ685">
        <v>1</v>
      </c>
      <c r="AK685">
        <v>0</v>
      </c>
      <c r="AL685">
        <v>0</v>
      </c>
    </row>
    <row r="686" spans="1:40">
      <c r="A686">
        <v>3324</v>
      </c>
      <c r="B686" t="s">
        <v>5378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 s="367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 s="367">
        <v>0</v>
      </c>
      <c r="U686">
        <v>0</v>
      </c>
      <c r="V686">
        <v>0</v>
      </c>
      <c r="W686">
        <v>1</v>
      </c>
      <c r="X686">
        <v>0</v>
      </c>
      <c r="Y686">
        <v>1</v>
      </c>
      <c r="Z686">
        <v>0</v>
      </c>
      <c r="AA686">
        <v>0</v>
      </c>
      <c r="AB686">
        <v>1</v>
      </c>
      <c r="AC686">
        <v>0</v>
      </c>
      <c r="AD686">
        <v>0</v>
      </c>
      <c r="AE686">
        <v>1</v>
      </c>
      <c r="AF686">
        <v>0</v>
      </c>
      <c r="AG686">
        <v>1</v>
      </c>
      <c r="AH686">
        <v>3</v>
      </c>
      <c r="AI686">
        <v>0</v>
      </c>
      <c r="AJ686">
        <v>3</v>
      </c>
      <c r="AK686">
        <v>0</v>
      </c>
      <c r="AL686">
        <v>0</v>
      </c>
    </row>
    <row r="687" spans="1:40">
      <c r="A687">
        <v>3325</v>
      </c>
      <c r="B687" t="s">
        <v>5379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 s="36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 s="367">
        <v>0</v>
      </c>
      <c r="U687">
        <v>0</v>
      </c>
      <c r="V687">
        <v>0</v>
      </c>
      <c r="W687">
        <v>0</v>
      </c>
      <c r="X687">
        <v>0</v>
      </c>
      <c r="Y687">
        <v>2</v>
      </c>
      <c r="Z687">
        <v>0</v>
      </c>
      <c r="AA687">
        <v>0</v>
      </c>
      <c r="AB687">
        <v>0</v>
      </c>
      <c r="AC687">
        <v>0</v>
      </c>
      <c r="AD687">
        <v>1</v>
      </c>
      <c r="AE687">
        <v>3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</row>
    <row r="688" spans="1:40">
      <c r="A688">
        <v>3338</v>
      </c>
      <c r="B688" t="s">
        <v>5380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 s="367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 s="367">
        <v>0</v>
      </c>
      <c r="U688">
        <v>0</v>
      </c>
      <c r="V688">
        <v>0</v>
      </c>
      <c r="W688">
        <v>0</v>
      </c>
      <c r="X688">
        <v>1</v>
      </c>
      <c r="Y688">
        <v>2</v>
      </c>
      <c r="Z688">
        <v>0</v>
      </c>
      <c r="AA688">
        <v>0</v>
      </c>
      <c r="AB688">
        <v>0</v>
      </c>
      <c r="AC688">
        <v>1</v>
      </c>
      <c r="AD688">
        <v>1</v>
      </c>
      <c r="AE688">
        <v>0</v>
      </c>
      <c r="AF688">
        <v>0</v>
      </c>
      <c r="AG688">
        <v>1</v>
      </c>
      <c r="AH688">
        <v>0</v>
      </c>
      <c r="AI688">
        <v>2</v>
      </c>
      <c r="AJ688">
        <v>0</v>
      </c>
      <c r="AK688">
        <v>0</v>
      </c>
      <c r="AL688">
        <v>0</v>
      </c>
    </row>
    <row r="689" spans="1:40">
      <c r="A689">
        <v>3339</v>
      </c>
      <c r="B689" t="s">
        <v>5381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 s="367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 s="367">
        <v>0</v>
      </c>
      <c r="U689">
        <v>0</v>
      </c>
      <c r="V689">
        <v>0</v>
      </c>
      <c r="W689">
        <v>0</v>
      </c>
      <c r="X689">
        <v>0</v>
      </c>
      <c r="Y689">
        <v>2</v>
      </c>
      <c r="Z689">
        <v>0</v>
      </c>
      <c r="AA689">
        <v>0</v>
      </c>
      <c r="AB689">
        <v>1</v>
      </c>
      <c r="AC689">
        <v>1</v>
      </c>
      <c r="AD689">
        <v>4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</row>
    <row r="690" spans="1:40">
      <c r="A690">
        <v>3346</v>
      </c>
      <c r="B690" t="s">
        <v>5382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 s="367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 s="367">
        <v>0</v>
      </c>
      <c r="U690">
        <v>0</v>
      </c>
      <c r="V690">
        <v>2</v>
      </c>
      <c r="W690">
        <v>2</v>
      </c>
      <c r="X690">
        <v>0</v>
      </c>
      <c r="Y690">
        <v>3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6</v>
      </c>
      <c r="AF690">
        <v>0</v>
      </c>
      <c r="AG690">
        <v>0</v>
      </c>
      <c r="AH690">
        <v>0</v>
      </c>
      <c r="AI690">
        <v>1</v>
      </c>
      <c r="AJ690">
        <v>0</v>
      </c>
      <c r="AK690">
        <v>0</v>
      </c>
      <c r="AL690">
        <v>2</v>
      </c>
      <c r="AN690" s="367" t="s">
        <v>4718</v>
      </c>
    </row>
    <row r="691" spans="1:40">
      <c r="A691">
        <v>3354</v>
      </c>
      <c r="B691" t="s">
        <v>5383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 s="367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 s="367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2</v>
      </c>
      <c r="AE691">
        <v>2</v>
      </c>
      <c r="AF691">
        <v>1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</row>
    <row r="692" spans="1:40">
      <c r="A692">
        <v>3356</v>
      </c>
      <c r="B692" t="s">
        <v>5384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 s="367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 s="367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3</v>
      </c>
      <c r="AC692">
        <v>1</v>
      </c>
      <c r="AD692">
        <v>4</v>
      </c>
      <c r="AE692">
        <v>4</v>
      </c>
      <c r="AF692">
        <v>1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</row>
    <row r="693" spans="1:40">
      <c r="A693">
        <v>3357</v>
      </c>
      <c r="B693" t="s">
        <v>5385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 s="367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 s="367">
        <v>0</v>
      </c>
      <c r="U693">
        <v>0</v>
      </c>
      <c r="V693">
        <v>0</v>
      </c>
      <c r="W693">
        <v>3</v>
      </c>
      <c r="X693">
        <v>0</v>
      </c>
      <c r="Y693">
        <v>2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1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</row>
    <row r="694" spans="1:40">
      <c r="A694">
        <v>3360</v>
      </c>
      <c r="B694" t="s">
        <v>5386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 s="367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 s="367">
        <v>0</v>
      </c>
      <c r="U694">
        <v>0</v>
      </c>
      <c r="V694">
        <v>9</v>
      </c>
      <c r="W694">
        <v>0</v>
      </c>
      <c r="X694">
        <v>0</v>
      </c>
      <c r="Y694">
        <v>2</v>
      </c>
      <c r="Z694">
        <v>0</v>
      </c>
      <c r="AA694">
        <v>0</v>
      </c>
      <c r="AB694">
        <v>0</v>
      </c>
      <c r="AC694">
        <v>0</v>
      </c>
      <c r="AD694">
        <v>10</v>
      </c>
      <c r="AE694">
        <v>7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9</v>
      </c>
      <c r="AN694" s="367" t="s">
        <v>6782</v>
      </c>
    </row>
    <row r="695" spans="1:40">
      <c r="A695">
        <v>3362</v>
      </c>
      <c r="B695" t="s">
        <v>5387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 s="367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 s="367">
        <v>0</v>
      </c>
      <c r="U695">
        <v>1</v>
      </c>
      <c r="V695">
        <v>3</v>
      </c>
      <c r="W695">
        <v>3</v>
      </c>
      <c r="X695">
        <v>0</v>
      </c>
      <c r="Y695">
        <v>5</v>
      </c>
      <c r="Z695">
        <v>1</v>
      </c>
      <c r="AA695">
        <v>0</v>
      </c>
      <c r="AB695">
        <v>1</v>
      </c>
      <c r="AC695">
        <v>0</v>
      </c>
      <c r="AD695">
        <v>0</v>
      </c>
      <c r="AE695">
        <v>7</v>
      </c>
      <c r="AF695">
        <v>0</v>
      </c>
      <c r="AG695">
        <v>0</v>
      </c>
      <c r="AH695">
        <v>0</v>
      </c>
      <c r="AI695">
        <v>0</v>
      </c>
      <c r="AJ695">
        <v>1</v>
      </c>
      <c r="AK695">
        <v>1</v>
      </c>
      <c r="AL695">
        <v>3</v>
      </c>
      <c r="AM695" s="367" t="s">
        <v>3542</v>
      </c>
      <c r="AN695" s="367" t="s">
        <v>4718</v>
      </c>
    </row>
    <row r="696" spans="1:40">
      <c r="A696">
        <v>3363</v>
      </c>
      <c r="B696" t="s">
        <v>5388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 s="367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 s="367">
        <v>0</v>
      </c>
      <c r="U696">
        <v>0</v>
      </c>
      <c r="V696">
        <v>0</v>
      </c>
      <c r="W696">
        <v>0</v>
      </c>
      <c r="X696">
        <v>0</v>
      </c>
      <c r="Y696">
        <v>2</v>
      </c>
      <c r="Z696">
        <v>0</v>
      </c>
      <c r="AA696">
        <v>0</v>
      </c>
      <c r="AB696">
        <v>0</v>
      </c>
      <c r="AC696">
        <v>1</v>
      </c>
      <c r="AD696">
        <v>1</v>
      </c>
      <c r="AE696">
        <v>1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</row>
    <row r="697" spans="1:40">
      <c r="A697">
        <v>3372</v>
      </c>
      <c r="B697" t="s">
        <v>5389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 s="36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 s="367">
        <v>0</v>
      </c>
      <c r="U697">
        <v>2</v>
      </c>
      <c r="V697">
        <v>0</v>
      </c>
      <c r="W697">
        <v>5</v>
      </c>
      <c r="X697">
        <v>0</v>
      </c>
      <c r="Y697">
        <v>5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1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2</v>
      </c>
      <c r="AL697">
        <v>0</v>
      </c>
      <c r="AM697" s="367" t="s">
        <v>6785</v>
      </c>
    </row>
    <row r="698" spans="1:40">
      <c r="A698">
        <v>3373</v>
      </c>
      <c r="B698" t="s">
        <v>5390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 s="367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 s="367">
        <v>0</v>
      </c>
      <c r="U698">
        <v>0</v>
      </c>
      <c r="V698">
        <v>1</v>
      </c>
      <c r="W698">
        <v>2</v>
      </c>
      <c r="X698">
        <v>0</v>
      </c>
      <c r="Y698">
        <v>3</v>
      </c>
      <c r="Z698">
        <v>0</v>
      </c>
      <c r="AA698">
        <v>0</v>
      </c>
      <c r="AB698">
        <v>0</v>
      </c>
      <c r="AC698">
        <v>1</v>
      </c>
      <c r="AD698">
        <v>0</v>
      </c>
      <c r="AE698">
        <v>5</v>
      </c>
      <c r="AF698">
        <v>0</v>
      </c>
      <c r="AG698">
        <v>0</v>
      </c>
      <c r="AH698">
        <v>0</v>
      </c>
      <c r="AI698">
        <v>2</v>
      </c>
      <c r="AJ698">
        <v>0</v>
      </c>
      <c r="AK698">
        <v>0</v>
      </c>
      <c r="AL698">
        <v>1</v>
      </c>
      <c r="AN698" s="367" t="s">
        <v>4718</v>
      </c>
    </row>
    <row r="699" spans="1:40">
      <c r="A699">
        <v>3374</v>
      </c>
      <c r="B699" t="s">
        <v>5391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 s="367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 s="367">
        <v>0</v>
      </c>
      <c r="U699">
        <v>0</v>
      </c>
      <c r="V699">
        <v>0</v>
      </c>
      <c r="W699">
        <v>2</v>
      </c>
      <c r="X699">
        <v>0</v>
      </c>
      <c r="Y699">
        <v>2</v>
      </c>
      <c r="Z699">
        <v>2</v>
      </c>
      <c r="AA699">
        <v>0</v>
      </c>
      <c r="AB699">
        <v>0</v>
      </c>
      <c r="AC699">
        <v>4</v>
      </c>
      <c r="AD699">
        <v>0</v>
      </c>
      <c r="AE699">
        <v>3</v>
      </c>
      <c r="AF699">
        <v>0</v>
      </c>
      <c r="AG699">
        <v>0</v>
      </c>
      <c r="AH699">
        <v>0</v>
      </c>
      <c r="AI699">
        <v>1</v>
      </c>
      <c r="AJ699">
        <v>0</v>
      </c>
      <c r="AK699">
        <v>0</v>
      </c>
      <c r="AL699">
        <v>0</v>
      </c>
    </row>
    <row r="700" spans="1:40">
      <c r="A700">
        <v>3376</v>
      </c>
      <c r="B700" t="s">
        <v>5392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 s="367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 s="367">
        <v>0</v>
      </c>
      <c r="U700">
        <v>0</v>
      </c>
      <c r="V700">
        <v>0</v>
      </c>
      <c r="W700">
        <v>0</v>
      </c>
      <c r="X700">
        <v>2</v>
      </c>
      <c r="Y700">
        <v>2</v>
      </c>
      <c r="Z700">
        <v>0</v>
      </c>
      <c r="AA700">
        <v>0</v>
      </c>
      <c r="AB700">
        <v>0</v>
      </c>
      <c r="AC700">
        <v>0</v>
      </c>
      <c r="AD700">
        <v>1</v>
      </c>
      <c r="AE700">
        <v>0</v>
      </c>
      <c r="AF700">
        <v>0</v>
      </c>
      <c r="AG700">
        <v>1</v>
      </c>
      <c r="AH700">
        <v>0</v>
      </c>
      <c r="AI700">
        <v>3</v>
      </c>
      <c r="AJ700">
        <v>0</v>
      </c>
      <c r="AK700">
        <v>0</v>
      </c>
      <c r="AL700">
        <v>0</v>
      </c>
    </row>
    <row r="701" spans="1:40">
      <c r="A701">
        <v>3379</v>
      </c>
      <c r="B701" t="s">
        <v>5393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 s="367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 s="367">
        <v>0</v>
      </c>
      <c r="U701">
        <v>0</v>
      </c>
      <c r="V701">
        <v>0</v>
      </c>
      <c r="W701">
        <v>0</v>
      </c>
      <c r="X701">
        <v>1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1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</row>
    <row r="702" spans="1:40">
      <c r="A702">
        <v>3380</v>
      </c>
      <c r="B702" t="s">
        <v>5394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 s="367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 s="367">
        <v>0</v>
      </c>
      <c r="U702">
        <v>0</v>
      </c>
      <c r="V702">
        <v>0</v>
      </c>
      <c r="W702">
        <v>0</v>
      </c>
      <c r="X702">
        <v>0</v>
      </c>
      <c r="Y702">
        <v>3</v>
      </c>
      <c r="Z702">
        <v>2</v>
      </c>
      <c r="AA702">
        <v>0</v>
      </c>
      <c r="AB702">
        <v>3</v>
      </c>
      <c r="AC702">
        <v>1</v>
      </c>
      <c r="AD702">
        <v>1</v>
      </c>
      <c r="AE702">
        <v>4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</row>
    <row r="703" spans="1:40">
      <c r="A703">
        <v>3388</v>
      </c>
      <c r="B703" t="s">
        <v>5395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 s="367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 s="367">
        <v>0</v>
      </c>
      <c r="U703">
        <v>0</v>
      </c>
      <c r="V703">
        <v>0</v>
      </c>
      <c r="W703">
        <v>1</v>
      </c>
      <c r="X703">
        <v>2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4</v>
      </c>
      <c r="AG703">
        <v>1</v>
      </c>
      <c r="AH703">
        <v>0</v>
      </c>
      <c r="AI703">
        <v>0</v>
      </c>
      <c r="AJ703">
        <v>0</v>
      </c>
      <c r="AK703">
        <v>0</v>
      </c>
      <c r="AL703">
        <v>0</v>
      </c>
    </row>
    <row r="704" spans="1:40">
      <c r="A704">
        <v>3390</v>
      </c>
      <c r="B704" t="s">
        <v>5396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 s="367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 s="367">
        <v>0</v>
      </c>
      <c r="U704">
        <v>0</v>
      </c>
      <c r="V704">
        <v>0</v>
      </c>
      <c r="W704">
        <v>0</v>
      </c>
      <c r="X704">
        <v>0</v>
      </c>
      <c r="Y704">
        <v>2</v>
      </c>
      <c r="Z704">
        <v>0</v>
      </c>
      <c r="AA704">
        <v>0</v>
      </c>
      <c r="AB704">
        <v>0</v>
      </c>
      <c r="AC704">
        <v>0</v>
      </c>
      <c r="AD704">
        <v>1</v>
      </c>
      <c r="AE704">
        <v>2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</row>
    <row r="705" spans="1:40">
      <c r="A705">
        <v>3402</v>
      </c>
      <c r="B705" t="s">
        <v>5397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 s="367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 s="367">
        <v>0</v>
      </c>
      <c r="U705">
        <v>0</v>
      </c>
      <c r="V705">
        <v>6</v>
      </c>
      <c r="W705">
        <v>0</v>
      </c>
      <c r="X705">
        <v>1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7</v>
      </c>
      <c r="AE705">
        <v>0</v>
      </c>
      <c r="AF705">
        <v>7</v>
      </c>
      <c r="AG705">
        <v>0</v>
      </c>
      <c r="AH705">
        <v>0</v>
      </c>
      <c r="AI705">
        <v>1</v>
      </c>
      <c r="AJ705">
        <v>0</v>
      </c>
      <c r="AK705">
        <v>0</v>
      </c>
      <c r="AL705">
        <v>6</v>
      </c>
      <c r="AN705" s="367" t="s">
        <v>6785</v>
      </c>
    </row>
    <row r="706" spans="1:40">
      <c r="A706">
        <v>3406</v>
      </c>
      <c r="B706" t="s">
        <v>5398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 s="367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 s="367">
        <v>0</v>
      </c>
      <c r="U706">
        <v>0</v>
      </c>
      <c r="V706">
        <v>0</v>
      </c>
      <c r="W706">
        <v>0</v>
      </c>
      <c r="X706">
        <v>2</v>
      </c>
      <c r="Y706">
        <v>0</v>
      </c>
      <c r="Z706">
        <v>0</v>
      </c>
      <c r="AA706">
        <v>0</v>
      </c>
      <c r="AB706">
        <v>1</v>
      </c>
      <c r="AC706">
        <v>0</v>
      </c>
      <c r="AD706">
        <v>2</v>
      </c>
      <c r="AE706">
        <v>0</v>
      </c>
      <c r="AF706">
        <v>2</v>
      </c>
      <c r="AG706">
        <v>2</v>
      </c>
      <c r="AH706">
        <v>2</v>
      </c>
      <c r="AI706">
        <v>0</v>
      </c>
      <c r="AJ706">
        <v>1</v>
      </c>
      <c r="AK706">
        <v>0</v>
      </c>
      <c r="AL706">
        <v>0</v>
      </c>
    </row>
    <row r="707" spans="1:40">
      <c r="A707">
        <v>3413</v>
      </c>
      <c r="B707" t="s">
        <v>5399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 s="36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 s="367">
        <v>0</v>
      </c>
      <c r="U707">
        <v>0</v>
      </c>
      <c r="V707">
        <v>1</v>
      </c>
      <c r="W707">
        <v>4</v>
      </c>
      <c r="X707">
        <v>0</v>
      </c>
      <c r="Y707">
        <v>1</v>
      </c>
      <c r="Z707">
        <v>1</v>
      </c>
      <c r="AA707">
        <v>0</v>
      </c>
      <c r="AB707">
        <v>1</v>
      </c>
      <c r="AC707">
        <v>1</v>
      </c>
      <c r="AD707">
        <v>0</v>
      </c>
      <c r="AE707">
        <v>5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1</v>
      </c>
      <c r="AN707" s="367" t="s">
        <v>4718</v>
      </c>
    </row>
    <row r="708" spans="1:40">
      <c r="A708">
        <v>3416</v>
      </c>
      <c r="B708" t="s">
        <v>5400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 s="367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 s="367">
        <v>0</v>
      </c>
      <c r="U708">
        <v>0</v>
      </c>
      <c r="V708">
        <v>0</v>
      </c>
      <c r="W708">
        <v>0</v>
      </c>
      <c r="X708">
        <v>3</v>
      </c>
      <c r="Y708">
        <v>1</v>
      </c>
      <c r="Z708">
        <v>0</v>
      </c>
      <c r="AA708">
        <v>0</v>
      </c>
      <c r="AB708">
        <v>0</v>
      </c>
      <c r="AC708">
        <v>0</v>
      </c>
      <c r="AD708">
        <v>1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</row>
    <row r="709" spans="1:40">
      <c r="A709">
        <v>3419</v>
      </c>
      <c r="B709" t="s">
        <v>5401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 s="367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 s="367">
        <v>0</v>
      </c>
      <c r="U709">
        <v>0</v>
      </c>
      <c r="V709">
        <v>6</v>
      </c>
      <c r="W709">
        <v>3</v>
      </c>
      <c r="X709">
        <v>0</v>
      </c>
      <c r="Y709">
        <v>2</v>
      </c>
      <c r="Z709">
        <v>2</v>
      </c>
      <c r="AA709">
        <v>0</v>
      </c>
      <c r="AB709">
        <v>0</v>
      </c>
      <c r="AC709">
        <v>1</v>
      </c>
      <c r="AD709">
        <v>0</v>
      </c>
      <c r="AE709">
        <v>10</v>
      </c>
      <c r="AF709">
        <v>0</v>
      </c>
      <c r="AG709">
        <v>0</v>
      </c>
      <c r="AH709">
        <v>0</v>
      </c>
      <c r="AI709">
        <v>4</v>
      </c>
      <c r="AJ709">
        <v>0</v>
      </c>
      <c r="AK709">
        <v>0</v>
      </c>
      <c r="AL709">
        <v>6</v>
      </c>
      <c r="AN709" s="367" t="s">
        <v>4718</v>
      </c>
    </row>
    <row r="710" spans="1:40">
      <c r="A710">
        <v>3432</v>
      </c>
      <c r="B710" t="s">
        <v>5402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 s="367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 s="367">
        <v>0</v>
      </c>
      <c r="U710">
        <v>0</v>
      </c>
      <c r="V710">
        <v>0</v>
      </c>
      <c r="W710">
        <v>0</v>
      </c>
      <c r="X710">
        <v>2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1</v>
      </c>
      <c r="AE710">
        <v>0</v>
      </c>
      <c r="AF710">
        <v>1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</row>
    <row r="711" spans="1:40">
      <c r="A711">
        <v>3437</v>
      </c>
      <c r="B711" t="s">
        <v>5404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 s="367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 s="367">
        <v>0</v>
      </c>
      <c r="U711">
        <v>0</v>
      </c>
      <c r="V711">
        <v>0</v>
      </c>
      <c r="W711">
        <v>0</v>
      </c>
      <c r="X711">
        <v>2</v>
      </c>
      <c r="Y711">
        <v>3</v>
      </c>
      <c r="Z711">
        <v>3</v>
      </c>
      <c r="AA711">
        <v>0</v>
      </c>
      <c r="AB711">
        <v>2</v>
      </c>
      <c r="AC711">
        <v>0</v>
      </c>
      <c r="AD711">
        <v>1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1</v>
      </c>
      <c r="AK711">
        <v>0</v>
      </c>
      <c r="AL711">
        <v>0</v>
      </c>
    </row>
    <row r="712" spans="1:40">
      <c r="A712">
        <v>3438</v>
      </c>
      <c r="B712" t="s">
        <v>5405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 s="367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 s="367">
        <v>0</v>
      </c>
      <c r="U712">
        <v>0</v>
      </c>
      <c r="V712">
        <v>0</v>
      </c>
      <c r="W712">
        <v>0</v>
      </c>
      <c r="X712">
        <v>1</v>
      </c>
      <c r="Y712">
        <v>0</v>
      </c>
      <c r="Z712">
        <v>2</v>
      </c>
      <c r="AA712">
        <v>0</v>
      </c>
      <c r="AB712">
        <v>0</v>
      </c>
      <c r="AC712">
        <v>0</v>
      </c>
      <c r="AD712">
        <v>1</v>
      </c>
      <c r="AE712">
        <v>0</v>
      </c>
      <c r="AF712">
        <v>1</v>
      </c>
      <c r="AG712">
        <v>0</v>
      </c>
      <c r="AH712">
        <v>0</v>
      </c>
      <c r="AI712">
        <v>1</v>
      </c>
      <c r="AJ712">
        <v>2</v>
      </c>
      <c r="AK712">
        <v>0</v>
      </c>
      <c r="AL712">
        <v>0</v>
      </c>
    </row>
    <row r="713" spans="1:40">
      <c r="A713">
        <v>3441</v>
      </c>
      <c r="B713" t="s">
        <v>5406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 s="367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 s="367">
        <v>0</v>
      </c>
      <c r="U713">
        <v>0</v>
      </c>
      <c r="V713">
        <v>0</v>
      </c>
      <c r="W713">
        <v>0</v>
      </c>
      <c r="X713">
        <v>1</v>
      </c>
      <c r="Y713">
        <v>0</v>
      </c>
      <c r="Z713">
        <v>0</v>
      </c>
      <c r="AA713">
        <v>0</v>
      </c>
      <c r="AB713">
        <v>1</v>
      </c>
      <c r="AC713">
        <v>0</v>
      </c>
      <c r="AD713">
        <v>0</v>
      </c>
      <c r="AE713">
        <v>0</v>
      </c>
      <c r="AF713">
        <v>1</v>
      </c>
      <c r="AG713">
        <v>1</v>
      </c>
      <c r="AH713">
        <v>0</v>
      </c>
      <c r="AI713">
        <v>0</v>
      </c>
      <c r="AJ713">
        <v>0</v>
      </c>
      <c r="AK713">
        <v>0</v>
      </c>
      <c r="AL713">
        <v>0</v>
      </c>
    </row>
    <row r="714" spans="1:40">
      <c r="A714">
        <v>3443</v>
      </c>
      <c r="B714" t="s">
        <v>5407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 s="367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 s="367">
        <v>0</v>
      </c>
      <c r="U714">
        <v>1</v>
      </c>
      <c r="V714">
        <v>1</v>
      </c>
      <c r="W714">
        <v>5</v>
      </c>
      <c r="X714">
        <v>2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3</v>
      </c>
      <c r="AG714">
        <v>1</v>
      </c>
      <c r="AH714">
        <v>1</v>
      </c>
      <c r="AI714">
        <v>3</v>
      </c>
      <c r="AJ714">
        <v>5</v>
      </c>
      <c r="AK714">
        <v>1</v>
      </c>
      <c r="AL714">
        <v>1</v>
      </c>
      <c r="AM714" s="367" t="s">
        <v>6761</v>
      </c>
      <c r="AN714" s="367" t="s">
        <v>6778</v>
      </c>
    </row>
    <row r="715" spans="1:40">
      <c r="A715">
        <v>3450</v>
      </c>
      <c r="B715" t="s">
        <v>5409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 s="367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 s="367">
        <v>0</v>
      </c>
      <c r="U715">
        <v>0</v>
      </c>
      <c r="V715">
        <v>0</v>
      </c>
      <c r="W715">
        <v>0</v>
      </c>
      <c r="X715">
        <v>0</v>
      </c>
      <c r="Y715">
        <v>1</v>
      </c>
      <c r="Z715">
        <v>2</v>
      </c>
      <c r="AA715">
        <v>0</v>
      </c>
      <c r="AB715">
        <v>1</v>
      </c>
      <c r="AC715">
        <v>0</v>
      </c>
      <c r="AD715">
        <v>1</v>
      </c>
      <c r="AE715">
        <v>3</v>
      </c>
      <c r="AF715">
        <v>0</v>
      </c>
      <c r="AG715">
        <v>0</v>
      </c>
      <c r="AH715">
        <v>0</v>
      </c>
      <c r="AI715">
        <v>0</v>
      </c>
      <c r="AJ715">
        <v>3</v>
      </c>
      <c r="AK715">
        <v>0</v>
      </c>
      <c r="AL715">
        <v>0</v>
      </c>
    </row>
    <row r="716" spans="1:40">
      <c r="A716">
        <v>3454</v>
      </c>
      <c r="B716" t="s">
        <v>5410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 s="367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 s="367">
        <v>0</v>
      </c>
      <c r="U716">
        <v>0</v>
      </c>
      <c r="V716">
        <v>0</v>
      </c>
      <c r="W716">
        <v>1</v>
      </c>
      <c r="X716">
        <v>1</v>
      </c>
      <c r="Y716">
        <v>1</v>
      </c>
      <c r="Z716">
        <v>1</v>
      </c>
      <c r="AA716">
        <v>0</v>
      </c>
      <c r="AB716">
        <v>0</v>
      </c>
      <c r="AC716">
        <v>1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</row>
    <row r="717" spans="1:40">
      <c r="A717">
        <v>3455</v>
      </c>
      <c r="B717" t="s">
        <v>5411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 s="36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 s="367">
        <v>0</v>
      </c>
      <c r="U717">
        <v>0</v>
      </c>
      <c r="V717">
        <v>0</v>
      </c>
      <c r="W717">
        <v>2</v>
      </c>
      <c r="X717">
        <v>1</v>
      </c>
      <c r="Y717">
        <v>2</v>
      </c>
      <c r="Z717">
        <v>0</v>
      </c>
      <c r="AA717">
        <v>0</v>
      </c>
      <c r="AB717">
        <v>2</v>
      </c>
      <c r="AC717">
        <v>0</v>
      </c>
      <c r="AD717">
        <v>0</v>
      </c>
      <c r="AE717">
        <v>0</v>
      </c>
      <c r="AF717">
        <v>0</v>
      </c>
      <c r="AG717">
        <v>1</v>
      </c>
      <c r="AH717">
        <v>0</v>
      </c>
      <c r="AI717">
        <v>0</v>
      </c>
      <c r="AJ717">
        <v>2</v>
      </c>
      <c r="AK717">
        <v>0</v>
      </c>
      <c r="AL717">
        <v>0</v>
      </c>
    </row>
    <row r="718" spans="1:40">
      <c r="A718">
        <v>3466</v>
      </c>
      <c r="B718" t="s">
        <v>5412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 s="367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 s="367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1</v>
      </c>
      <c r="AE718">
        <v>1</v>
      </c>
      <c r="AF718">
        <v>1</v>
      </c>
      <c r="AG718">
        <v>0</v>
      </c>
      <c r="AH718">
        <v>0</v>
      </c>
      <c r="AI718">
        <v>1</v>
      </c>
      <c r="AJ718">
        <v>2</v>
      </c>
      <c r="AK718">
        <v>0</v>
      </c>
      <c r="AL718">
        <v>0</v>
      </c>
    </row>
    <row r="719" spans="1:40">
      <c r="A719">
        <v>3479</v>
      </c>
      <c r="B719" t="s">
        <v>5413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 s="367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 s="367">
        <v>0</v>
      </c>
      <c r="U719">
        <v>0</v>
      </c>
      <c r="V719">
        <v>0</v>
      </c>
      <c r="W719">
        <v>1</v>
      </c>
      <c r="X719">
        <v>0</v>
      </c>
      <c r="Y719">
        <v>1</v>
      </c>
      <c r="Z719">
        <v>1</v>
      </c>
      <c r="AA719">
        <v>0</v>
      </c>
      <c r="AB719">
        <v>0</v>
      </c>
      <c r="AC719">
        <v>2</v>
      </c>
      <c r="AD719">
        <v>0</v>
      </c>
      <c r="AE719">
        <v>1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</row>
    <row r="720" spans="1:40">
      <c r="A720">
        <v>3481</v>
      </c>
      <c r="B720" t="s">
        <v>5414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 s="367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 s="367">
        <v>0</v>
      </c>
      <c r="U720">
        <v>1</v>
      </c>
      <c r="V720">
        <v>0</v>
      </c>
      <c r="W720">
        <v>1</v>
      </c>
      <c r="X720">
        <v>0</v>
      </c>
      <c r="Y720">
        <v>1</v>
      </c>
      <c r="Z720">
        <v>5</v>
      </c>
      <c r="AA720">
        <v>2</v>
      </c>
      <c r="AB720">
        <v>3</v>
      </c>
      <c r="AC720">
        <v>1</v>
      </c>
      <c r="AD720">
        <v>0</v>
      </c>
      <c r="AE720">
        <v>1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1</v>
      </c>
      <c r="AL720">
        <v>0</v>
      </c>
      <c r="AM720" s="367" t="s">
        <v>3543</v>
      </c>
    </row>
    <row r="721" spans="1:40">
      <c r="A721">
        <v>3483</v>
      </c>
      <c r="B721" t="s">
        <v>5415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 s="367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 s="367">
        <v>0</v>
      </c>
      <c r="U721">
        <v>0</v>
      </c>
      <c r="V721">
        <v>0</v>
      </c>
      <c r="W721">
        <v>0</v>
      </c>
      <c r="X721">
        <v>1</v>
      </c>
      <c r="Y721">
        <v>1</v>
      </c>
      <c r="Z721">
        <v>0</v>
      </c>
      <c r="AA721">
        <v>0</v>
      </c>
      <c r="AB721">
        <v>0</v>
      </c>
      <c r="AC721">
        <v>2</v>
      </c>
      <c r="AD721">
        <v>3</v>
      </c>
      <c r="AE721">
        <v>0</v>
      </c>
      <c r="AF721">
        <v>0</v>
      </c>
      <c r="AG721">
        <v>1</v>
      </c>
      <c r="AH721">
        <v>0</v>
      </c>
      <c r="AI721">
        <v>2</v>
      </c>
      <c r="AJ721">
        <v>0</v>
      </c>
      <c r="AK721">
        <v>0</v>
      </c>
      <c r="AL721">
        <v>0</v>
      </c>
    </row>
    <row r="722" spans="1:40">
      <c r="A722">
        <v>3484</v>
      </c>
      <c r="B722" t="s">
        <v>5416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 s="367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 s="367">
        <v>0</v>
      </c>
      <c r="U722">
        <v>1</v>
      </c>
      <c r="V722">
        <v>3</v>
      </c>
      <c r="W722">
        <v>0</v>
      </c>
      <c r="X722">
        <v>0</v>
      </c>
      <c r="Y722">
        <v>5</v>
      </c>
      <c r="Z722">
        <v>0</v>
      </c>
      <c r="AA722">
        <v>0</v>
      </c>
      <c r="AB722">
        <v>0</v>
      </c>
      <c r="AC722">
        <v>1</v>
      </c>
      <c r="AD722">
        <v>1</v>
      </c>
      <c r="AE722">
        <v>3</v>
      </c>
      <c r="AF722">
        <v>0</v>
      </c>
      <c r="AG722">
        <v>7</v>
      </c>
      <c r="AH722">
        <v>0</v>
      </c>
      <c r="AI722">
        <v>0</v>
      </c>
      <c r="AJ722">
        <v>0</v>
      </c>
      <c r="AK722">
        <v>1</v>
      </c>
      <c r="AL722">
        <v>3</v>
      </c>
      <c r="AM722" s="367" t="s">
        <v>3542</v>
      </c>
      <c r="AN722" s="367" t="s">
        <v>3543</v>
      </c>
    </row>
    <row r="723" spans="1:40">
      <c r="A723">
        <v>3490</v>
      </c>
      <c r="B723" t="s">
        <v>5417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 s="367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 s="367">
        <v>0</v>
      </c>
      <c r="U723">
        <v>0</v>
      </c>
      <c r="V723">
        <v>0</v>
      </c>
      <c r="W723">
        <v>2</v>
      </c>
      <c r="X723">
        <v>2</v>
      </c>
      <c r="Y723">
        <v>2</v>
      </c>
      <c r="Z723">
        <v>0</v>
      </c>
      <c r="AA723">
        <v>0</v>
      </c>
      <c r="AB723">
        <v>0</v>
      </c>
      <c r="AC723">
        <v>2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</row>
    <row r="724" spans="1:40">
      <c r="A724">
        <v>3491</v>
      </c>
      <c r="B724" t="s">
        <v>5418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 s="367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 s="367">
        <v>0</v>
      </c>
      <c r="U724">
        <v>0</v>
      </c>
      <c r="V724">
        <v>0</v>
      </c>
      <c r="W724">
        <v>2</v>
      </c>
      <c r="X724">
        <v>0</v>
      </c>
      <c r="Y724">
        <v>2</v>
      </c>
      <c r="Z724">
        <v>1</v>
      </c>
      <c r="AA724">
        <v>0</v>
      </c>
      <c r="AB724">
        <v>0</v>
      </c>
      <c r="AC724">
        <v>0</v>
      </c>
      <c r="AD724">
        <v>0</v>
      </c>
      <c r="AE724">
        <v>3</v>
      </c>
      <c r="AF724">
        <v>0</v>
      </c>
      <c r="AG724">
        <v>0</v>
      </c>
      <c r="AH724">
        <v>0</v>
      </c>
      <c r="AI724">
        <v>2</v>
      </c>
      <c r="AJ724">
        <v>2</v>
      </c>
      <c r="AK724">
        <v>0</v>
      </c>
      <c r="AL724">
        <v>0</v>
      </c>
    </row>
    <row r="725" spans="1:40">
      <c r="A725">
        <v>3492</v>
      </c>
      <c r="B725" t="s">
        <v>5419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 s="367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 s="367">
        <v>0</v>
      </c>
      <c r="U725">
        <v>0</v>
      </c>
      <c r="V725">
        <v>0</v>
      </c>
      <c r="W725">
        <v>0</v>
      </c>
      <c r="X725">
        <v>2</v>
      </c>
      <c r="Y725">
        <v>2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</row>
    <row r="726" spans="1:40">
      <c r="A726">
        <v>3498</v>
      </c>
      <c r="B726" t="s">
        <v>5420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 s="367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 s="367">
        <v>0</v>
      </c>
      <c r="U726">
        <v>0</v>
      </c>
      <c r="V726">
        <v>0</v>
      </c>
      <c r="W726">
        <v>0</v>
      </c>
      <c r="X726">
        <v>0</v>
      </c>
      <c r="Y726">
        <v>2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1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</row>
    <row r="727" spans="1:40">
      <c r="A727">
        <v>3499</v>
      </c>
      <c r="B727" t="s">
        <v>5421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 s="36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 s="367">
        <v>0</v>
      </c>
      <c r="U727">
        <v>1</v>
      </c>
      <c r="V727">
        <v>0</v>
      </c>
      <c r="W727">
        <v>0</v>
      </c>
      <c r="X727">
        <v>2</v>
      </c>
      <c r="Y727">
        <v>5</v>
      </c>
      <c r="Z727">
        <v>0</v>
      </c>
      <c r="AA727">
        <v>0</v>
      </c>
      <c r="AB727">
        <v>0</v>
      </c>
      <c r="AC727">
        <v>0</v>
      </c>
      <c r="AD727">
        <v>1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1</v>
      </c>
      <c r="AL727">
        <v>0</v>
      </c>
      <c r="AM727" s="367" t="s">
        <v>3542</v>
      </c>
    </row>
    <row r="728" spans="1:40">
      <c r="A728">
        <v>3501</v>
      </c>
      <c r="B728" t="s">
        <v>5422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 s="367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 s="367">
        <v>0</v>
      </c>
      <c r="U728">
        <v>0</v>
      </c>
      <c r="V728">
        <v>0</v>
      </c>
      <c r="W728">
        <v>0</v>
      </c>
      <c r="X728">
        <v>0</v>
      </c>
      <c r="Y728">
        <v>2</v>
      </c>
      <c r="Z728">
        <v>2</v>
      </c>
      <c r="AA728">
        <v>0</v>
      </c>
      <c r="AB728">
        <v>0</v>
      </c>
      <c r="AC728">
        <v>0</v>
      </c>
      <c r="AD728">
        <v>1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</row>
    <row r="729" spans="1:40">
      <c r="A729">
        <v>3504</v>
      </c>
      <c r="B729" t="s">
        <v>5423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 s="367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 s="367">
        <v>0</v>
      </c>
      <c r="U729">
        <v>2</v>
      </c>
      <c r="V729">
        <v>0</v>
      </c>
      <c r="W729">
        <v>0</v>
      </c>
      <c r="X729">
        <v>1</v>
      </c>
      <c r="Y729">
        <v>6</v>
      </c>
      <c r="Z729">
        <v>3</v>
      </c>
      <c r="AA729">
        <v>0</v>
      </c>
      <c r="AB729">
        <v>1</v>
      </c>
      <c r="AC729">
        <v>0</v>
      </c>
      <c r="AD729">
        <v>1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2</v>
      </c>
      <c r="AK729">
        <v>2</v>
      </c>
      <c r="AL729">
        <v>0</v>
      </c>
      <c r="AM729" s="367" t="s">
        <v>3542</v>
      </c>
    </row>
    <row r="730" spans="1:40">
      <c r="A730">
        <v>3508</v>
      </c>
      <c r="B730" t="s">
        <v>5424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 s="367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 s="367">
        <v>0</v>
      </c>
      <c r="U730">
        <v>0</v>
      </c>
      <c r="V730">
        <v>0</v>
      </c>
      <c r="W730">
        <v>2</v>
      </c>
      <c r="X730">
        <v>1</v>
      </c>
      <c r="Y730">
        <v>2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2</v>
      </c>
      <c r="AJ730">
        <v>2</v>
      </c>
      <c r="AK730">
        <v>0</v>
      </c>
      <c r="AL730">
        <v>0</v>
      </c>
    </row>
    <row r="731" spans="1:40">
      <c r="A731">
        <v>3511</v>
      </c>
      <c r="B731" t="s">
        <v>5425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 s="367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 s="367">
        <v>0</v>
      </c>
      <c r="U731">
        <v>0</v>
      </c>
      <c r="V731">
        <v>0</v>
      </c>
      <c r="W731">
        <v>2</v>
      </c>
      <c r="X731">
        <v>0</v>
      </c>
      <c r="Y731">
        <v>2</v>
      </c>
      <c r="Z731">
        <v>1</v>
      </c>
      <c r="AA731">
        <v>0</v>
      </c>
      <c r="AB731">
        <v>0</v>
      </c>
      <c r="AC731">
        <v>2</v>
      </c>
      <c r="AD731">
        <v>0</v>
      </c>
      <c r="AE731">
        <v>3</v>
      </c>
      <c r="AF731">
        <v>0</v>
      </c>
      <c r="AG731">
        <v>0</v>
      </c>
      <c r="AH731">
        <v>0</v>
      </c>
      <c r="AI731">
        <v>1</v>
      </c>
      <c r="AJ731">
        <v>0</v>
      </c>
      <c r="AK731">
        <v>0</v>
      </c>
      <c r="AL731">
        <v>0</v>
      </c>
    </row>
    <row r="732" spans="1:40">
      <c r="A732">
        <v>3512</v>
      </c>
      <c r="B732" t="s">
        <v>6142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 s="367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 s="367">
        <v>0</v>
      </c>
      <c r="U732">
        <v>0</v>
      </c>
      <c r="V732">
        <v>0</v>
      </c>
      <c r="W732">
        <v>0</v>
      </c>
      <c r="X732">
        <v>2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1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</row>
    <row r="733" spans="1:40">
      <c r="A733">
        <v>3515</v>
      </c>
      <c r="B733" t="s">
        <v>5426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 s="367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 s="367">
        <v>0</v>
      </c>
      <c r="U733">
        <v>0</v>
      </c>
      <c r="V733">
        <v>0</v>
      </c>
      <c r="W733">
        <v>0</v>
      </c>
      <c r="X733">
        <v>1</v>
      </c>
      <c r="Y733">
        <v>0</v>
      </c>
      <c r="Z733">
        <v>3</v>
      </c>
      <c r="AA733">
        <v>0</v>
      </c>
      <c r="AB733">
        <v>0</v>
      </c>
      <c r="AC733">
        <v>1</v>
      </c>
      <c r="AD733">
        <v>1</v>
      </c>
      <c r="AE733">
        <v>0</v>
      </c>
      <c r="AF733">
        <v>1</v>
      </c>
      <c r="AG733">
        <v>0</v>
      </c>
      <c r="AH733">
        <v>0</v>
      </c>
      <c r="AI733">
        <v>2</v>
      </c>
      <c r="AJ733">
        <v>0</v>
      </c>
      <c r="AK733">
        <v>0</v>
      </c>
      <c r="AL733">
        <v>0</v>
      </c>
    </row>
    <row r="734" spans="1:40">
      <c r="A734">
        <v>3516</v>
      </c>
      <c r="B734" t="s">
        <v>6228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 s="367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 s="367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2</v>
      </c>
      <c r="AG734">
        <v>0</v>
      </c>
      <c r="AH734">
        <v>0</v>
      </c>
      <c r="AI734">
        <v>1</v>
      </c>
      <c r="AJ734">
        <v>0</v>
      </c>
      <c r="AK734">
        <v>0</v>
      </c>
      <c r="AL734">
        <v>0</v>
      </c>
    </row>
    <row r="735" spans="1:40">
      <c r="A735">
        <v>3518</v>
      </c>
      <c r="B735" t="s">
        <v>5427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 s="367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 s="367">
        <v>0</v>
      </c>
      <c r="U735">
        <v>0</v>
      </c>
      <c r="V735">
        <v>0</v>
      </c>
      <c r="W735">
        <v>1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3</v>
      </c>
      <c r="AF735">
        <v>1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</row>
    <row r="736" spans="1:40">
      <c r="A736">
        <v>3520</v>
      </c>
      <c r="B736" t="s">
        <v>6331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 s="367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 s="367">
        <v>0</v>
      </c>
      <c r="U736">
        <v>0</v>
      </c>
      <c r="V736">
        <v>0</v>
      </c>
      <c r="W736">
        <v>0</v>
      </c>
      <c r="X736">
        <v>2</v>
      </c>
      <c r="Y736">
        <v>0</v>
      </c>
      <c r="Z736">
        <v>1</v>
      </c>
      <c r="AA736">
        <v>0</v>
      </c>
      <c r="AB736">
        <v>0</v>
      </c>
      <c r="AC736">
        <v>0</v>
      </c>
      <c r="AD736">
        <v>2</v>
      </c>
      <c r="AE736">
        <v>0</v>
      </c>
      <c r="AF736">
        <v>0</v>
      </c>
      <c r="AG736">
        <v>0</v>
      </c>
      <c r="AH736">
        <v>0</v>
      </c>
      <c r="AI736">
        <v>1</v>
      </c>
      <c r="AJ736">
        <v>0</v>
      </c>
      <c r="AK736">
        <v>0</v>
      </c>
      <c r="AL736">
        <v>0</v>
      </c>
    </row>
    <row r="737" spans="1:40">
      <c r="A737">
        <v>3521</v>
      </c>
      <c r="B737" t="s">
        <v>5428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 s="36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 s="36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1</v>
      </c>
      <c r="AF737">
        <v>1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</row>
    <row r="738" spans="1:40">
      <c r="A738">
        <v>3526</v>
      </c>
      <c r="B738" t="s">
        <v>5429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 s="367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 s="367">
        <v>0</v>
      </c>
      <c r="U738">
        <v>0</v>
      </c>
      <c r="V738">
        <v>6</v>
      </c>
      <c r="W738">
        <v>3</v>
      </c>
      <c r="X738">
        <v>0</v>
      </c>
      <c r="Y738">
        <v>3</v>
      </c>
      <c r="Z738">
        <v>1</v>
      </c>
      <c r="AA738">
        <v>0</v>
      </c>
      <c r="AB738">
        <v>0</v>
      </c>
      <c r="AC738">
        <v>0</v>
      </c>
      <c r="AD738">
        <v>0</v>
      </c>
      <c r="AE738">
        <v>10</v>
      </c>
      <c r="AF738">
        <v>0</v>
      </c>
      <c r="AG738">
        <v>0</v>
      </c>
      <c r="AH738">
        <v>0</v>
      </c>
      <c r="AI738">
        <v>2</v>
      </c>
      <c r="AJ738">
        <v>2</v>
      </c>
      <c r="AK738">
        <v>0</v>
      </c>
      <c r="AL738">
        <v>6</v>
      </c>
      <c r="AN738" s="367" t="s">
        <v>4718</v>
      </c>
    </row>
    <row r="739" spans="1:40">
      <c r="A739">
        <v>3527</v>
      </c>
      <c r="B739" t="s">
        <v>5430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 s="367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 s="367">
        <v>0</v>
      </c>
      <c r="U739">
        <v>0</v>
      </c>
      <c r="V739">
        <v>0</v>
      </c>
      <c r="W739">
        <v>0</v>
      </c>
      <c r="X739">
        <v>1</v>
      </c>
      <c r="Y739">
        <v>0</v>
      </c>
      <c r="Z739">
        <v>2</v>
      </c>
      <c r="AA739">
        <v>0</v>
      </c>
      <c r="AB739">
        <v>0</v>
      </c>
      <c r="AC739">
        <v>0</v>
      </c>
      <c r="AD739">
        <v>1</v>
      </c>
      <c r="AE739">
        <v>0</v>
      </c>
      <c r="AF739">
        <v>1</v>
      </c>
      <c r="AG739">
        <v>0</v>
      </c>
      <c r="AH739">
        <v>0</v>
      </c>
      <c r="AI739">
        <v>2</v>
      </c>
      <c r="AJ739">
        <v>2</v>
      </c>
      <c r="AK739">
        <v>0</v>
      </c>
      <c r="AL739">
        <v>0</v>
      </c>
    </row>
    <row r="740" spans="1:40">
      <c r="A740">
        <v>3528</v>
      </c>
      <c r="B740" t="s">
        <v>5431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 s="367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 s="367">
        <v>0</v>
      </c>
      <c r="U740">
        <v>0</v>
      </c>
      <c r="V740">
        <v>0</v>
      </c>
      <c r="W740">
        <v>0</v>
      </c>
      <c r="X740">
        <v>1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1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</row>
    <row r="741" spans="1:40">
      <c r="A741">
        <v>3529</v>
      </c>
      <c r="B741" t="s">
        <v>5432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 s="367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 s="367">
        <v>0</v>
      </c>
      <c r="U741">
        <v>0</v>
      </c>
      <c r="V741">
        <v>0</v>
      </c>
      <c r="W741">
        <v>0</v>
      </c>
      <c r="X741">
        <v>1</v>
      </c>
      <c r="Y741">
        <v>0</v>
      </c>
      <c r="Z741">
        <v>0</v>
      </c>
      <c r="AA741">
        <v>3</v>
      </c>
      <c r="AB741">
        <v>0</v>
      </c>
      <c r="AC741">
        <v>0</v>
      </c>
      <c r="AD741">
        <v>1</v>
      </c>
      <c r="AE741">
        <v>0</v>
      </c>
      <c r="AF741">
        <v>2</v>
      </c>
      <c r="AG741">
        <v>1</v>
      </c>
      <c r="AH741">
        <v>0</v>
      </c>
      <c r="AI741">
        <v>3</v>
      </c>
      <c r="AJ741">
        <v>3</v>
      </c>
      <c r="AK741">
        <v>0</v>
      </c>
      <c r="AL741">
        <v>0</v>
      </c>
    </row>
    <row r="742" spans="1:40">
      <c r="A742">
        <v>3530</v>
      </c>
      <c r="B742" t="s">
        <v>5433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 s="367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 s="367">
        <v>0</v>
      </c>
      <c r="U742">
        <v>6</v>
      </c>
      <c r="V742">
        <v>0</v>
      </c>
      <c r="W742">
        <v>10</v>
      </c>
      <c r="X742">
        <v>0</v>
      </c>
      <c r="Y742">
        <v>2</v>
      </c>
      <c r="Z742">
        <v>2</v>
      </c>
      <c r="AA742">
        <v>0</v>
      </c>
      <c r="AB742">
        <v>0</v>
      </c>
      <c r="AC742">
        <v>1</v>
      </c>
      <c r="AD742">
        <v>0</v>
      </c>
      <c r="AE742">
        <v>1</v>
      </c>
      <c r="AF742">
        <v>0</v>
      </c>
      <c r="AG742">
        <v>0</v>
      </c>
      <c r="AH742">
        <v>0</v>
      </c>
      <c r="AI742">
        <v>1</v>
      </c>
      <c r="AJ742">
        <v>0</v>
      </c>
      <c r="AK742">
        <v>6</v>
      </c>
      <c r="AL742">
        <v>0</v>
      </c>
      <c r="AM742" s="367" t="s">
        <v>6761</v>
      </c>
    </row>
    <row r="743" spans="1:40">
      <c r="A743">
        <v>3533</v>
      </c>
      <c r="B743" t="s">
        <v>5435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 s="367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 s="367">
        <v>0</v>
      </c>
      <c r="U743">
        <v>0</v>
      </c>
      <c r="V743">
        <v>2</v>
      </c>
      <c r="W743">
        <v>2</v>
      </c>
      <c r="X743">
        <v>1</v>
      </c>
      <c r="Y743">
        <v>2</v>
      </c>
      <c r="Z743">
        <v>2</v>
      </c>
      <c r="AA743">
        <v>0</v>
      </c>
      <c r="AB743">
        <v>1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1</v>
      </c>
      <c r="AI743">
        <v>0</v>
      </c>
      <c r="AJ743">
        <v>6</v>
      </c>
      <c r="AK743">
        <v>0</v>
      </c>
      <c r="AL743">
        <v>2</v>
      </c>
      <c r="AN743" s="367" t="s">
        <v>6778</v>
      </c>
    </row>
    <row r="744" spans="1:40">
      <c r="A744">
        <v>3537</v>
      </c>
      <c r="B744" t="s">
        <v>5437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 s="367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 s="367">
        <v>0</v>
      </c>
      <c r="U744">
        <v>0</v>
      </c>
      <c r="V744">
        <v>12</v>
      </c>
      <c r="W744">
        <v>1</v>
      </c>
      <c r="X744">
        <v>0</v>
      </c>
      <c r="Y744">
        <v>0</v>
      </c>
      <c r="Z744">
        <v>1</v>
      </c>
      <c r="AA744">
        <v>0</v>
      </c>
      <c r="AB744">
        <v>0</v>
      </c>
      <c r="AC744">
        <v>0</v>
      </c>
      <c r="AD744">
        <v>0</v>
      </c>
      <c r="AE744">
        <v>5</v>
      </c>
      <c r="AF744">
        <v>15</v>
      </c>
      <c r="AG744">
        <v>0</v>
      </c>
      <c r="AH744">
        <v>0</v>
      </c>
      <c r="AI744">
        <v>1</v>
      </c>
      <c r="AJ744">
        <v>0</v>
      </c>
      <c r="AK744">
        <v>0</v>
      </c>
      <c r="AL744">
        <v>12</v>
      </c>
      <c r="AN744" s="367" t="s">
        <v>6784</v>
      </c>
    </row>
    <row r="745" spans="1:40">
      <c r="A745">
        <v>3540</v>
      </c>
      <c r="B745" t="s">
        <v>5438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 s="367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 s="367">
        <v>0</v>
      </c>
      <c r="U745">
        <v>0</v>
      </c>
      <c r="V745">
        <v>0</v>
      </c>
      <c r="W745">
        <v>0</v>
      </c>
      <c r="X745">
        <v>0</v>
      </c>
      <c r="Y745">
        <v>2</v>
      </c>
      <c r="Z745">
        <v>0</v>
      </c>
      <c r="AA745">
        <v>0</v>
      </c>
      <c r="AB745">
        <v>1</v>
      </c>
      <c r="AC745">
        <v>0</v>
      </c>
      <c r="AD745">
        <v>3</v>
      </c>
      <c r="AE745">
        <v>1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</row>
    <row r="746" spans="1:40">
      <c r="A746">
        <v>3541</v>
      </c>
      <c r="B746" t="s">
        <v>5439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 s="367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 s="367">
        <v>0</v>
      </c>
      <c r="U746">
        <v>3</v>
      </c>
      <c r="V746">
        <v>0</v>
      </c>
      <c r="W746">
        <v>7</v>
      </c>
      <c r="X746">
        <v>1</v>
      </c>
      <c r="Y746">
        <v>2</v>
      </c>
      <c r="Z746">
        <v>1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1</v>
      </c>
      <c r="AK746">
        <v>3</v>
      </c>
      <c r="AL746">
        <v>0</v>
      </c>
      <c r="AM746" s="367" t="s">
        <v>6761</v>
      </c>
    </row>
    <row r="747" spans="1:40">
      <c r="A747">
        <v>3543</v>
      </c>
      <c r="B747" t="s">
        <v>5440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 s="36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 s="367">
        <v>0</v>
      </c>
      <c r="U747">
        <v>0</v>
      </c>
      <c r="V747">
        <v>0</v>
      </c>
      <c r="W747">
        <v>0</v>
      </c>
      <c r="X747">
        <v>0</v>
      </c>
      <c r="Y747">
        <v>1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3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</row>
    <row r="748" spans="1:40">
      <c r="A748">
        <v>3545</v>
      </c>
      <c r="B748" t="s">
        <v>5441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 s="367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 s="367">
        <v>0</v>
      </c>
      <c r="U748">
        <v>0</v>
      </c>
      <c r="V748">
        <v>0</v>
      </c>
      <c r="W748">
        <v>0</v>
      </c>
      <c r="X748">
        <v>1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2</v>
      </c>
      <c r="AE748">
        <v>0</v>
      </c>
      <c r="AF748">
        <v>1</v>
      </c>
      <c r="AG748">
        <v>3</v>
      </c>
      <c r="AH748">
        <v>0</v>
      </c>
      <c r="AI748">
        <v>1</v>
      </c>
      <c r="AJ748">
        <v>1</v>
      </c>
      <c r="AK748">
        <v>0</v>
      </c>
      <c r="AL748">
        <v>0</v>
      </c>
    </row>
    <row r="749" spans="1:40">
      <c r="A749">
        <v>3546</v>
      </c>
      <c r="B749" t="s">
        <v>5442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 s="367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 s="367">
        <v>0</v>
      </c>
      <c r="U749">
        <v>0</v>
      </c>
      <c r="V749">
        <v>0</v>
      </c>
      <c r="W749">
        <v>2</v>
      </c>
      <c r="X749">
        <v>0</v>
      </c>
      <c r="Y749">
        <v>2</v>
      </c>
      <c r="Z749">
        <v>1</v>
      </c>
      <c r="AA749">
        <v>0</v>
      </c>
      <c r="AB749">
        <v>0</v>
      </c>
      <c r="AC749">
        <v>0</v>
      </c>
      <c r="AD749">
        <v>0</v>
      </c>
      <c r="AE749">
        <v>1</v>
      </c>
      <c r="AF749">
        <v>0</v>
      </c>
      <c r="AG749">
        <v>0</v>
      </c>
      <c r="AH749">
        <v>0</v>
      </c>
      <c r="AI749">
        <v>0</v>
      </c>
      <c r="AJ749">
        <v>1</v>
      </c>
      <c r="AK749">
        <v>0</v>
      </c>
      <c r="AL749">
        <v>0</v>
      </c>
    </row>
    <row r="750" spans="1:40">
      <c r="A750">
        <v>3548</v>
      </c>
      <c r="B750" t="s">
        <v>5443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 s="367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 s="367">
        <v>0</v>
      </c>
      <c r="U750">
        <v>0</v>
      </c>
      <c r="V750">
        <v>0</v>
      </c>
      <c r="W750">
        <v>0</v>
      </c>
      <c r="X750">
        <v>3</v>
      </c>
      <c r="Y750">
        <v>0</v>
      </c>
      <c r="Z750">
        <v>0</v>
      </c>
      <c r="AA750">
        <v>0</v>
      </c>
      <c r="AB750">
        <v>0</v>
      </c>
      <c r="AC750">
        <v>1</v>
      </c>
      <c r="AD750">
        <v>1</v>
      </c>
      <c r="AE750">
        <v>0</v>
      </c>
      <c r="AF750">
        <v>2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</row>
    <row r="751" spans="1:40">
      <c r="A751">
        <v>3550</v>
      </c>
      <c r="B751" t="s">
        <v>5444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 s="367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 s="367">
        <v>0</v>
      </c>
      <c r="U751">
        <v>0</v>
      </c>
      <c r="V751">
        <v>6</v>
      </c>
      <c r="W751">
        <v>0</v>
      </c>
      <c r="X751">
        <v>1</v>
      </c>
      <c r="Y751">
        <v>2</v>
      </c>
      <c r="Z751">
        <v>2</v>
      </c>
      <c r="AA751">
        <v>0</v>
      </c>
      <c r="AB751">
        <v>1</v>
      </c>
      <c r="AC751">
        <v>0</v>
      </c>
      <c r="AD751">
        <v>10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6</v>
      </c>
      <c r="AN751" s="367" t="s">
        <v>6761</v>
      </c>
    </row>
    <row r="752" spans="1:40">
      <c r="A752">
        <v>3551</v>
      </c>
      <c r="B752" t="s">
        <v>5445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 s="367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 s="367">
        <v>0</v>
      </c>
      <c r="U752">
        <v>6</v>
      </c>
      <c r="V752">
        <v>0</v>
      </c>
      <c r="W752">
        <v>2</v>
      </c>
      <c r="X752">
        <v>0</v>
      </c>
      <c r="Y752">
        <v>10</v>
      </c>
      <c r="Z752">
        <v>2</v>
      </c>
      <c r="AA752">
        <v>0</v>
      </c>
      <c r="AB752">
        <v>1</v>
      </c>
      <c r="AC752">
        <v>0</v>
      </c>
      <c r="AD752">
        <v>0</v>
      </c>
      <c r="AE752">
        <v>3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6</v>
      </c>
      <c r="AL752">
        <v>0</v>
      </c>
      <c r="AM752" s="367" t="s">
        <v>3542</v>
      </c>
    </row>
    <row r="753" spans="1:40">
      <c r="A753">
        <v>3552</v>
      </c>
      <c r="B753" t="s">
        <v>5446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 s="367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 s="367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2</v>
      </c>
      <c r="AA753">
        <v>0</v>
      </c>
      <c r="AB753">
        <v>1</v>
      </c>
      <c r="AC753">
        <v>1</v>
      </c>
      <c r="AD753">
        <v>1</v>
      </c>
      <c r="AE753">
        <v>1</v>
      </c>
      <c r="AF753">
        <v>1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</row>
    <row r="754" spans="1:40">
      <c r="A754">
        <v>3556</v>
      </c>
      <c r="B754" t="s">
        <v>5447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 s="367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 s="367">
        <v>0</v>
      </c>
      <c r="U754">
        <v>0</v>
      </c>
      <c r="V754">
        <v>0</v>
      </c>
      <c r="W754">
        <v>0</v>
      </c>
      <c r="X754">
        <v>0</v>
      </c>
      <c r="Y754">
        <v>3</v>
      </c>
      <c r="Z754">
        <v>1</v>
      </c>
      <c r="AA754">
        <v>0</v>
      </c>
      <c r="AB754">
        <v>0</v>
      </c>
      <c r="AC754">
        <v>4</v>
      </c>
      <c r="AD754">
        <v>1</v>
      </c>
      <c r="AE754">
        <v>1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</row>
    <row r="755" spans="1:40">
      <c r="A755">
        <v>3557</v>
      </c>
      <c r="B755" t="s">
        <v>5448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 s="367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 s="367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2</v>
      </c>
      <c r="AE755">
        <v>2</v>
      </c>
      <c r="AF755">
        <v>1</v>
      </c>
      <c r="AG755">
        <v>1</v>
      </c>
      <c r="AH755">
        <v>0</v>
      </c>
      <c r="AI755">
        <v>0</v>
      </c>
      <c r="AJ755">
        <v>1</v>
      </c>
      <c r="AK755">
        <v>0</v>
      </c>
      <c r="AL755">
        <v>0</v>
      </c>
    </row>
    <row r="756" spans="1:40">
      <c r="A756">
        <v>3563</v>
      </c>
      <c r="B756" t="s">
        <v>5450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 s="367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 s="367">
        <v>0</v>
      </c>
      <c r="U756">
        <v>1</v>
      </c>
      <c r="V756">
        <v>0</v>
      </c>
      <c r="W756">
        <v>2</v>
      </c>
      <c r="X756">
        <v>1</v>
      </c>
      <c r="Y756">
        <v>5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1</v>
      </c>
      <c r="AJ756">
        <v>0</v>
      </c>
      <c r="AK756">
        <v>1</v>
      </c>
      <c r="AL756">
        <v>0</v>
      </c>
      <c r="AM756" s="367" t="s">
        <v>3542</v>
      </c>
    </row>
    <row r="757" spans="1:40">
      <c r="A757">
        <v>3567</v>
      </c>
      <c r="B757" t="s">
        <v>5451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 s="36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 s="367">
        <v>0</v>
      </c>
      <c r="U757">
        <v>0</v>
      </c>
      <c r="V757">
        <v>0</v>
      </c>
      <c r="W757">
        <v>0</v>
      </c>
      <c r="X757">
        <v>0</v>
      </c>
      <c r="Y757">
        <v>2</v>
      </c>
      <c r="Z757">
        <v>0</v>
      </c>
      <c r="AA757">
        <v>0</v>
      </c>
      <c r="AB757">
        <v>0</v>
      </c>
      <c r="AC757">
        <v>1</v>
      </c>
      <c r="AD757">
        <v>0</v>
      </c>
      <c r="AE757">
        <v>2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</row>
    <row r="758" spans="1:40">
      <c r="A758">
        <v>3577</v>
      </c>
      <c r="B758" t="s">
        <v>5452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 s="367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 s="367">
        <v>0</v>
      </c>
      <c r="U758">
        <v>0</v>
      </c>
      <c r="V758">
        <v>1</v>
      </c>
      <c r="W758">
        <v>0</v>
      </c>
      <c r="X758">
        <v>0</v>
      </c>
      <c r="Y758">
        <v>2</v>
      </c>
      <c r="Z758">
        <v>0</v>
      </c>
      <c r="AA758">
        <v>0</v>
      </c>
      <c r="AB758">
        <v>0</v>
      </c>
      <c r="AC758">
        <v>0</v>
      </c>
      <c r="AD758">
        <v>5</v>
      </c>
      <c r="AE758">
        <v>3</v>
      </c>
      <c r="AF758">
        <v>0</v>
      </c>
      <c r="AG758">
        <v>1</v>
      </c>
      <c r="AH758">
        <v>0</v>
      </c>
      <c r="AI758">
        <v>0</v>
      </c>
      <c r="AJ758">
        <v>3</v>
      </c>
      <c r="AK758">
        <v>0</v>
      </c>
      <c r="AL758">
        <v>1</v>
      </c>
      <c r="AN758" s="367" t="s">
        <v>6761</v>
      </c>
    </row>
    <row r="759" spans="1:40">
      <c r="A759">
        <v>3580</v>
      </c>
      <c r="B759" t="s">
        <v>5453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 s="367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 s="367">
        <v>0</v>
      </c>
      <c r="U759">
        <v>0</v>
      </c>
      <c r="V759">
        <v>2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3</v>
      </c>
      <c r="AE759">
        <v>1</v>
      </c>
      <c r="AF759">
        <v>3</v>
      </c>
      <c r="AG759">
        <v>1</v>
      </c>
      <c r="AH759">
        <v>0</v>
      </c>
      <c r="AI759">
        <v>2</v>
      </c>
      <c r="AJ759">
        <v>6</v>
      </c>
      <c r="AK759">
        <v>0</v>
      </c>
      <c r="AL759">
        <v>2</v>
      </c>
      <c r="AN759" s="367" t="s">
        <v>6778</v>
      </c>
    </row>
    <row r="760" spans="1:40">
      <c r="A760">
        <v>3581</v>
      </c>
      <c r="B760" t="s">
        <v>5454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 s="367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 s="367">
        <v>0</v>
      </c>
      <c r="U760">
        <v>0</v>
      </c>
      <c r="V760">
        <v>0</v>
      </c>
      <c r="W760">
        <v>0</v>
      </c>
      <c r="X760">
        <v>1</v>
      </c>
      <c r="Y760">
        <v>3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</row>
    <row r="761" spans="1:40">
      <c r="A761">
        <v>3583</v>
      </c>
      <c r="B761" t="s">
        <v>5455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 s="367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 s="367">
        <v>0</v>
      </c>
      <c r="U761">
        <v>17</v>
      </c>
      <c r="V761">
        <v>2</v>
      </c>
      <c r="W761">
        <v>10</v>
      </c>
      <c r="X761">
        <v>0</v>
      </c>
      <c r="Y761">
        <v>15</v>
      </c>
      <c r="Z761">
        <v>2</v>
      </c>
      <c r="AA761">
        <v>0</v>
      </c>
      <c r="AB761">
        <v>0</v>
      </c>
      <c r="AC761">
        <v>0</v>
      </c>
      <c r="AD761">
        <v>0</v>
      </c>
      <c r="AE761">
        <v>4</v>
      </c>
      <c r="AF761">
        <v>0</v>
      </c>
      <c r="AG761">
        <v>0</v>
      </c>
      <c r="AH761">
        <v>0</v>
      </c>
      <c r="AI761">
        <v>6</v>
      </c>
      <c r="AJ761">
        <v>3</v>
      </c>
      <c r="AK761">
        <v>17</v>
      </c>
      <c r="AL761">
        <v>2</v>
      </c>
      <c r="AM761" s="367" t="s">
        <v>6785</v>
      </c>
      <c r="AN761" s="367" t="s">
        <v>6775</v>
      </c>
    </row>
    <row r="762" spans="1:40">
      <c r="A762">
        <v>3587</v>
      </c>
      <c r="B762" t="s">
        <v>5456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 s="367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 s="367">
        <v>0</v>
      </c>
      <c r="U762">
        <v>0</v>
      </c>
      <c r="V762">
        <v>3</v>
      </c>
      <c r="W762">
        <v>0</v>
      </c>
      <c r="X762">
        <v>4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7</v>
      </c>
      <c r="AE762">
        <v>0</v>
      </c>
      <c r="AF762">
        <v>3</v>
      </c>
      <c r="AG762">
        <v>1</v>
      </c>
      <c r="AH762">
        <v>0</v>
      </c>
      <c r="AI762">
        <v>0</v>
      </c>
      <c r="AJ762">
        <v>0</v>
      </c>
      <c r="AK762">
        <v>0</v>
      </c>
      <c r="AL762">
        <v>3</v>
      </c>
      <c r="AN762" s="367" t="s">
        <v>6761</v>
      </c>
    </row>
    <row r="763" spans="1:40">
      <c r="A763">
        <v>3588</v>
      </c>
      <c r="B763" t="s">
        <v>5457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 s="367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 s="367">
        <v>0</v>
      </c>
      <c r="U763">
        <v>0</v>
      </c>
      <c r="V763">
        <v>0</v>
      </c>
      <c r="W763">
        <v>0</v>
      </c>
      <c r="X763">
        <v>1</v>
      </c>
      <c r="Y763">
        <v>0</v>
      </c>
      <c r="Z763">
        <v>1</v>
      </c>
      <c r="AA763">
        <v>0</v>
      </c>
      <c r="AB763">
        <v>0</v>
      </c>
      <c r="AC763">
        <v>0</v>
      </c>
      <c r="AD763">
        <v>1</v>
      </c>
      <c r="AE763">
        <v>0</v>
      </c>
      <c r="AF763">
        <v>1</v>
      </c>
      <c r="AG763">
        <v>0</v>
      </c>
      <c r="AH763">
        <v>0</v>
      </c>
      <c r="AI763">
        <v>1</v>
      </c>
      <c r="AJ763">
        <v>2</v>
      </c>
      <c r="AK763">
        <v>0</v>
      </c>
      <c r="AL763">
        <v>0</v>
      </c>
    </row>
    <row r="764" spans="1:40">
      <c r="A764">
        <v>3591</v>
      </c>
      <c r="B764" t="s">
        <v>5458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 s="367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 s="367">
        <v>0</v>
      </c>
      <c r="U764">
        <v>0</v>
      </c>
      <c r="V764">
        <v>0</v>
      </c>
      <c r="W764">
        <v>2</v>
      </c>
      <c r="X764">
        <v>2</v>
      </c>
      <c r="Y764">
        <v>0</v>
      </c>
      <c r="Z764">
        <v>1</v>
      </c>
      <c r="AA764">
        <v>0</v>
      </c>
      <c r="AB764">
        <v>1</v>
      </c>
      <c r="AC764">
        <v>0</v>
      </c>
      <c r="AD764">
        <v>0</v>
      </c>
      <c r="AE764">
        <v>0</v>
      </c>
      <c r="AF764">
        <v>1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</row>
    <row r="765" spans="1:40">
      <c r="A765">
        <v>3594</v>
      </c>
      <c r="B765" t="s">
        <v>5459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 s="367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 s="367">
        <v>0</v>
      </c>
      <c r="U765">
        <v>0</v>
      </c>
      <c r="V765">
        <v>2</v>
      </c>
      <c r="W765">
        <v>0</v>
      </c>
      <c r="X765">
        <v>1</v>
      </c>
      <c r="Y765">
        <v>0</v>
      </c>
      <c r="Z765">
        <v>0</v>
      </c>
      <c r="AA765">
        <v>0</v>
      </c>
      <c r="AB765">
        <v>1</v>
      </c>
      <c r="AC765">
        <v>0</v>
      </c>
      <c r="AD765">
        <v>6</v>
      </c>
      <c r="AE765">
        <v>0</v>
      </c>
      <c r="AF765">
        <v>1</v>
      </c>
      <c r="AG765">
        <v>1</v>
      </c>
      <c r="AH765">
        <v>0</v>
      </c>
      <c r="AI765">
        <v>0</v>
      </c>
      <c r="AJ765">
        <v>0</v>
      </c>
      <c r="AK765">
        <v>0</v>
      </c>
      <c r="AL765">
        <v>2</v>
      </c>
      <c r="AN765" s="367" t="s">
        <v>6761</v>
      </c>
    </row>
    <row r="766" spans="1:40">
      <c r="A766">
        <v>3605</v>
      </c>
      <c r="B766" t="s">
        <v>5462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 s="367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 s="367">
        <v>0</v>
      </c>
      <c r="U766">
        <v>0</v>
      </c>
      <c r="V766">
        <v>0</v>
      </c>
      <c r="W766">
        <v>1</v>
      </c>
      <c r="X766">
        <v>0</v>
      </c>
      <c r="Y766">
        <v>2</v>
      </c>
      <c r="Z766">
        <v>3</v>
      </c>
      <c r="AA766">
        <v>0</v>
      </c>
      <c r="AB766">
        <v>0</v>
      </c>
      <c r="AC766">
        <v>1</v>
      </c>
      <c r="AD766">
        <v>0</v>
      </c>
      <c r="AE766">
        <v>1</v>
      </c>
      <c r="AF766">
        <v>0</v>
      </c>
      <c r="AG766">
        <v>0</v>
      </c>
      <c r="AH766">
        <v>0</v>
      </c>
      <c r="AI766">
        <v>4</v>
      </c>
      <c r="AJ766">
        <v>0</v>
      </c>
      <c r="AK766">
        <v>0</v>
      </c>
      <c r="AL766">
        <v>0</v>
      </c>
    </row>
    <row r="767" spans="1:40">
      <c r="A767">
        <v>3607</v>
      </c>
      <c r="B767" t="s">
        <v>5463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 s="3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 s="367">
        <v>0</v>
      </c>
      <c r="U767">
        <v>0</v>
      </c>
      <c r="V767">
        <v>0</v>
      </c>
      <c r="W767">
        <v>3</v>
      </c>
      <c r="X767">
        <v>0</v>
      </c>
      <c r="Y767">
        <v>3</v>
      </c>
      <c r="Z767">
        <v>0</v>
      </c>
      <c r="AA767">
        <v>0</v>
      </c>
      <c r="AB767">
        <v>1</v>
      </c>
      <c r="AC767">
        <v>0</v>
      </c>
      <c r="AD767">
        <v>0</v>
      </c>
      <c r="AE767">
        <v>4</v>
      </c>
      <c r="AF767">
        <v>0</v>
      </c>
      <c r="AG767">
        <v>0</v>
      </c>
      <c r="AH767">
        <v>0</v>
      </c>
      <c r="AI767">
        <v>0</v>
      </c>
      <c r="AJ767">
        <v>1</v>
      </c>
      <c r="AK767">
        <v>0</v>
      </c>
      <c r="AL767">
        <v>0</v>
      </c>
    </row>
    <row r="768" spans="1:40">
      <c r="A768">
        <v>3609</v>
      </c>
      <c r="B768" t="s">
        <v>5464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 s="367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 s="367">
        <v>0</v>
      </c>
      <c r="U768">
        <v>0</v>
      </c>
      <c r="V768">
        <v>0</v>
      </c>
      <c r="W768">
        <v>0</v>
      </c>
      <c r="X768">
        <v>0</v>
      </c>
      <c r="Y768">
        <v>2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</row>
    <row r="769" spans="1:40">
      <c r="A769">
        <v>3611</v>
      </c>
      <c r="B769" t="s">
        <v>5465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 s="367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 s="367">
        <v>0</v>
      </c>
      <c r="U769">
        <v>0</v>
      </c>
      <c r="V769">
        <v>3</v>
      </c>
      <c r="W769">
        <v>0</v>
      </c>
      <c r="X769">
        <v>0</v>
      </c>
      <c r="Y769">
        <v>3</v>
      </c>
      <c r="Z769">
        <v>1</v>
      </c>
      <c r="AA769">
        <v>0</v>
      </c>
      <c r="AB769">
        <v>0</v>
      </c>
      <c r="AC769">
        <v>0</v>
      </c>
      <c r="AD769">
        <v>7</v>
      </c>
      <c r="AE769">
        <v>1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3</v>
      </c>
      <c r="AN769" s="367" t="s">
        <v>6761</v>
      </c>
    </row>
    <row r="770" spans="1:40">
      <c r="A770">
        <v>3615</v>
      </c>
      <c r="B770" t="s">
        <v>5466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 s="367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 s="367">
        <v>0</v>
      </c>
      <c r="U770">
        <v>1</v>
      </c>
      <c r="V770">
        <v>0</v>
      </c>
      <c r="W770">
        <v>2</v>
      </c>
      <c r="X770">
        <v>1</v>
      </c>
      <c r="Y770">
        <v>5</v>
      </c>
      <c r="Z770">
        <v>0</v>
      </c>
      <c r="AA770">
        <v>0</v>
      </c>
      <c r="AB770">
        <v>1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1</v>
      </c>
      <c r="AL770">
        <v>0</v>
      </c>
      <c r="AM770" s="367" t="s">
        <v>3542</v>
      </c>
    </row>
    <row r="771" spans="1:40">
      <c r="A771">
        <v>3617</v>
      </c>
      <c r="B771" t="s">
        <v>5467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 s="367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 s="367">
        <v>0</v>
      </c>
      <c r="U771">
        <v>0</v>
      </c>
      <c r="V771">
        <v>0</v>
      </c>
      <c r="W771">
        <v>0</v>
      </c>
      <c r="X771">
        <v>2</v>
      </c>
      <c r="Y771">
        <v>0</v>
      </c>
      <c r="Z771">
        <v>2</v>
      </c>
      <c r="AA771">
        <v>0</v>
      </c>
      <c r="AB771">
        <v>0</v>
      </c>
      <c r="AC771">
        <v>0</v>
      </c>
      <c r="AD771">
        <v>1</v>
      </c>
      <c r="AE771">
        <v>0</v>
      </c>
      <c r="AF771">
        <v>1</v>
      </c>
      <c r="AG771">
        <v>0</v>
      </c>
      <c r="AH771">
        <v>0</v>
      </c>
      <c r="AI771">
        <v>1</v>
      </c>
      <c r="AJ771">
        <v>0</v>
      </c>
      <c r="AK771">
        <v>0</v>
      </c>
      <c r="AL771">
        <v>0</v>
      </c>
    </row>
    <row r="772" spans="1:40">
      <c r="A772">
        <v>3622</v>
      </c>
      <c r="B772" t="s">
        <v>5468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 s="367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 s="367">
        <v>0</v>
      </c>
      <c r="U772">
        <v>1</v>
      </c>
      <c r="V772">
        <v>0</v>
      </c>
      <c r="W772">
        <v>5</v>
      </c>
      <c r="X772">
        <v>0</v>
      </c>
      <c r="Y772">
        <v>3</v>
      </c>
      <c r="Z772">
        <v>1</v>
      </c>
      <c r="AA772">
        <v>0</v>
      </c>
      <c r="AB772">
        <v>0</v>
      </c>
      <c r="AC772">
        <v>1</v>
      </c>
      <c r="AD772">
        <v>0</v>
      </c>
      <c r="AE772">
        <v>2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1</v>
      </c>
      <c r="AL772">
        <v>0</v>
      </c>
      <c r="AM772" s="367" t="s">
        <v>6761</v>
      </c>
    </row>
    <row r="773" spans="1:40">
      <c r="A773">
        <v>3623</v>
      </c>
      <c r="B773" t="s">
        <v>5469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 s="367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 s="367">
        <v>0</v>
      </c>
      <c r="U773">
        <v>0</v>
      </c>
      <c r="V773">
        <v>2</v>
      </c>
      <c r="W773">
        <v>0</v>
      </c>
      <c r="X773">
        <v>0</v>
      </c>
      <c r="Y773">
        <v>1</v>
      </c>
      <c r="Z773">
        <v>0</v>
      </c>
      <c r="AA773">
        <v>0</v>
      </c>
      <c r="AB773">
        <v>0</v>
      </c>
      <c r="AC773">
        <v>0</v>
      </c>
      <c r="AD773">
        <v>6</v>
      </c>
      <c r="AE773">
        <v>3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2</v>
      </c>
      <c r="AN773" s="367" t="s">
        <v>6761</v>
      </c>
    </row>
    <row r="774" spans="1:40">
      <c r="A774">
        <v>3624</v>
      </c>
      <c r="B774" t="s">
        <v>5470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 s="367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 s="367">
        <v>0</v>
      </c>
      <c r="U774">
        <v>0</v>
      </c>
      <c r="V774">
        <v>2</v>
      </c>
      <c r="W774">
        <v>0</v>
      </c>
      <c r="X774">
        <v>0</v>
      </c>
      <c r="Y774">
        <v>0</v>
      </c>
      <c r="Z774">
        <v>1</v>
      </c>
      <c r="AA774">
        <v>0</v>
      </c>
      <c r="AB774">
        <v>1</v>
      </c>
      <c r="AC774">
        <v>1</v>
      </c>
      <c r="AD774">
        <v>1</v>
      </c>
      <c r="AE774">
        <v>6</v>
      </c>
      <c r="AF774">
        <v>1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2</v>
      </c>
      <c r="AN774" s="367" t="s">
        <v>4718</v>
      </c>
    </row>
    <row r="775" spans="1:40">
      <c r="A775">
        <v>3625</v>
      </c>
      <c r="B775" t="s">
        <v>5471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 s="367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 s="367">
        <v>0</v>
      </c>
      <c r="U775">
        <v>0</v>
      </c>
      <c r="V775">
        <v>0</v>
      </c>
      <c r="W775">
        <v>0</v>
      </c>
      <c r="X775">
        <v>1</v>
      </c>
      <c r="Y775">
        <v>2</v>
      </c>
      <c r="Z775">
        <v>0</v>
      </c>
      <c r="AA775">
        <v>0</v>
      </c>
      <c r="AB775">
        <v>1</v>
      </c>
      <c r="AC775">
        <v>0</v>
      </c>
      <c r="AD775">
        <v>4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</row>
    <row r="776" spans="1:40">
      <c r="A776">
        <v>3628</v>
      </c>
      <c r="B776" t="s">
        <v>5472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 s="367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 s="367">
        <v>0</v>
      </c>
      <c r="U776">
        <v>0</v>
      </c>
      <c r="V776">
        <v>0</v>
      </c>
      <c r="W776">
        <v>0</v>
      </c>
      <c r="X776">
        <v>1</v>
      </c>
      <c r="Y776">
        <v>2</v>
      </c>
      <c r="Z776">
        <v>0</v>
      </c>
      <c r="AA776">
        <v>0</v>
      </c>
      <c r="AB776">
        <v>0</v>
      </c>
      <c r="AC776">
        <v>1</v>
      </c>
      <c r="AD776">
        <v>1</v>
      </c>
      <c r="AE776">
        <v>0</v>
      </c>
      <c r="AF776">
        <v>0</v>
      </c>
      <c r="AG776">
        <v>1</v>
      </c>
      <c r="AH776">
        <v>0</v>
      </c>
      <c r="AI776">
        <v>0</v>
      </c>
      <c r="AJ776">
        <v>0</v>
      </c>
      <c r="AK776">
        <v>0</v>
      </c>
      <c r="AL776">
        <v>0</v>
      </c>
    </row>
    <row r="777" spans="1:40">
      <c r="A777">
        <v>3630</v>
      </c>
      <c r="B777" t="s">
        <v>5473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 s="36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 s="367">
        <v>0</v>
      </c>
      <c r="U777">
        <v>2</v>
      </c>
      <c r="V777">
        <v>4</v>
      </c>
      <c r="W777">
        <v>2</v>
      </c>
      <c r="X777">
        <v>0</v>
      </c>
      <c r="Y777">
        <v>6</v>
      </c>
      <c r="Z777">
        <v>0</v>
      </c>
      <c r="AA777">
        <v>0</v>
      </c>
      <c r="AB777">
        <v>1</v>
      </c>
      <c r="AC777">
        <v>0</v>
      </c>
      <c r="AD777">
        <v>0</v>
      </c>
      <c r="AE777">
        <v>8</v>
      </c>
      <c r="AF777">
        <v>0</v>
      </c>
      <c r="AG777">
        <v>0</v>
      </c>
      <c r="AH777">
        <v>0</v>
      </c>
      <c r="AI777">
        <v>0</v>
      </c>
      <c r="AJ777">
        <v>2</v>
      </c>
      <c r="AK777">
        <v>2</v>
      </c>
      <c r="AL777">
        <v>4</v>
      </c>
      <c r="AM777" s="367" t="s">
        <v>3542</v>
      </c>
      <c r="AN777" s="367" t="s">
        <v>4718</v>
      </c>
    </row>
    <row r="778" spans="1:40">
      <c r="A778">
        <v>3631</v>
      </c>
      <c r="B778" t="s">
        <v>6288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 s="367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 s="367">
        <v>0</v>
      </c>
      <c r="U778">
        <v>0</v>
      </c>
      <c r="V778">
        <v>0</v>
      </c>
      <c r="W778">
        <v>0</v>
      </c>
      <c r="X778">
        <v>1</v>
      </c>
      <c r="Y778">
        <v>1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</row>
    <row r="779" spans="1:40">
      <c r="A779">
        <v>3646</v>
      </c>
      <c r="B779" t="s">
        <v>5475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 s="367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 s="367">
        <v>0</v>
      </c>
      <c r="U779">
        <v>0</v>
      </c>
      <c r="V779">
        <v>0</v>
      </c>
      <c r="W779">
        <v>0</v>
      </c>
      <c r="X779">
        <v>0</v>
      </c>
      <c r="Y779">
        <v>3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</row>
    <row r="780" spans="1:40">
      <c r="A780">
        <v>3652</v>
      </c>
      <c r="B780" t="s">
        <v>5476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 s="367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 s="367">
        <v>0</v>
      </c>
      <c r="U780">
        <v>0</v>
      </c>
      <c r="V780">
        <v>0</v>
      </c>
      <c r="W780">
        <v>1</v>
      </c>
      <c r="X780">
        <v>1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1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</row>
    <row r="781" spans="1:40">
      <c r="A781">
        <v>3653</v>
      </c>
      <c r="B781" t="s">
        <v>5477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 s="367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 s="367">
        <v>0</v>
      </c>
      <c r="U781">
        <v>3</v>
      </c>
      <c r="V781">
        <v>0</v>
      </c>
      <c r="W781">
        <v>0</v>
      </c>
      <c r="X781">
        <v>0</v>
      </c>
      <c r="Y781">
        <v>0</v>
      </c>
      <c r="Z781">
        <v>2</v>
      </c>
      <c r="AA781">
        <v>0</v>
      </c>
      <c r="AB781">
        <v>7</v>
      </c>
      <c r="AC781">
        <v>3</v>
      </c>
      <c r="AD781">
        <v>1</v>
      </c>
      <c r="AE781">
        <v>2</v>
      </c>
      <c r="AF781">
        <v>1</v>
      </c>
      <c r="AG781">
        <v>0</v>
      </c>
      <c r="AH781">
        <v>2</v>
      </c>
      <c r="AI781">
        <v>0</v>
      </c>
      <c r="AJ781">
        <v>0</v>
      </c>
      <c r="AK781">
        <v>3</v>
      </c>
      <c r="AL781">
        <v>0</v>
      </c>
      <c r="AM781" s="367" t="s">
        <v>6775</v>
      </c>
    </row>
    <row r="782" spans="1:40">
      <c r="A782">
        <v>3663</v>
      </c>
      <c r="B782" t="s">
        <v>5479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 s="367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 s="367">
        <v>0</v>
      </c>
      <c r="U782">
        <v>0</v>
      </c>
      <c r="V782">
        <v>1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2</v>
      </c>
      <c r="AE782">
        <v>5</v>
      </c>
      <c r="AF782">
        <v>1</v>
      </c>
      <c r="AG782">
        <v>0</v>
      </c>
      <c r="AH782">
        <v>0</v>
      </c>
      <c r="AI782">
        <v>4</v>
      </c>
      <c r="AJ782">
        <v>0</v>
      </c>
      <c r="AK782">
        <v>0</v>
      </c>
      <c r="AL782">
        <v>1</v>
      </c>
      <c r="AN782" s="367" t="s">
        <v>4718</v>
      </c>
    </row>
    <row r="783" spans="1:40">
      <c r="A783">
        <v>3665</v>
      </c>
      <c r="B783" t="s">
        <v>5480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 s="367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 s="367">
        <v>0</v>
      </c>
      <c r="U783">
        <v>1</v>
      </c>
      <c r="V783">
        <v>6</v>
      </c>
      <c r="W783">
        <v>0</v>
      </c>
      <c r="X783">
        <v>2</v>
      </c>
      <c r="Y783">
        <v>0</v>
      </c>
      <c r="Z783">
        <v>0</v>
      </c>
      <c r="AA783">
        <v>0</v>
      </c>
      <c r="AB783">
        <v>5</v>
      </c>
      <c r="AC783">
        <v>3</v>
      </c>
      <c r="AD783">
        <v>7</v>
      </c>
      <c r="AE783">
        <v>0</v>
      </c>
      <c r="AF783">
        <v>1</v>
      </c>
      <c r="AG783">
        <v>1</v>
      </c>
      <c r="AH783">
        <v>7</v>
      </c>
      <c r="AI783">
        <v>0</v>
      </c>
      <c r="AJ783">
        <v>0</v>
      </c>
      <c r="AK783">
        <v>1</v>
      </c>
      <c r="AL783">
        <v>6</v>
      </c>
      <c r="AM783" s="367" t="s">
        <v>6775</v>
      </c>
      <c r="AN783" s="367" t="s">
        <v>6787</v>
      </c>
    </row>
    <row r="784" spans="1:40">
      <c r="A784">
        <v>3666</v>
      </c>
      <c r="B784" t="s">
        <v>5481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 s="367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 s="367">
        <v>0</v>
      </c>
      <c r="U784">
        <v>2</v>
      </c>
      <c r="V784">
        <v>0</v>
      </c>
      <c r="W784">
        <v>6</v>
      </c>
      <c r="X784">
        <v>0</v>
      </c>
      <c r="Y784">
        <v>2</v>
      </c>
      <c r="Z784">
        <v>0</v>
      </c>
      <c r="AA784">
        <v>0</v>
      </c>
      <c r="AB784">
        <v>0</v>
      </c>
      <c r="AC784">
        <v>4</v>
      </c>
      <c r="AD784">
        <v>0</v>
      </c>
      <c r="AE784">
        <v>1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2</v>
      </c>
      <c r="AL784">
        <v>0</v>
      </c>
      <c r="AM784" s="367" t="s">
        <v>6761</v>
      </c>
    </row>
    <row r="785" spans="1:40">
      <c r="A785">
        <v>3669</v>
      </c>
      <c r="B785" t="s">
        <v>5482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 s="367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 s="367">
        <v>0</v>
      </c>
      <c r="U785">
        <v>0</v>
      </c>
      <c r="V785">
        <v>10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1</v>
      </c>
      <c r="AE785">
        <v>14</v>
      </c>
      <c r="AF785">
        <v>1</v>
      </c>
      <c r="AG785">
        <v>0</v>
      </c>
      <c r="AH785">
        <v>0</v>
      </c>
      <c r="AI785">
        <v>0</v>
      </c>
      <c r="AJ785">
        <v>1</v>
      </c>
      <c r="AK785">
        <v>0</v>
      </c>
      <c r="AL785">
        <v>10</v>
      </c>
      <c r="AN785" s="367" t="s">
        <v>4718</v>
      </c>
    </row>
    <row r="786" spans="1:40">
      <c r="A786">
        <v>3672</v>
      </c>
      <c r="B786" t="s">
        <v>5483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 s="367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 s="367">
        <v>0</v>
      </c>
      <c r="U786">
        <v>0</v>
      </c>
      <c r="V786">
        <v>5</v>
      </c>
      <c r="W786">
        <v>2</v>
      </c>
      <c r="X786">
        <v>0</v>
      </c>
      <c r="Y786">
        <v>2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2</v>
      </c>
      <c r="AF786">
        <v>0</v>
      </c>
      <c r="AG786">
        <v>0</v>
      </c>
      <c r="AH786">
        <v>0</v>
      </c>
      <c r="AI786">
        <v>9</v>
      </c>
      <c r="AJ786">
        <v>0</v>
      </c>
      <c r="AK786">
        <v>0</v>
      </c>
      <c r="AL786">
        <v>5</v>
      </c>
      <c r="AN786" s="367" t="s">
        <v>6775</v>
      </c>
    </row>
    <row r="787" spans="1:40">
      <c r="A787">
        <v>3673</v>
      </c>
      <c r="B787" t="s">
        <v>5484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 s="36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 s="367">
        <v>0</v>
      </c>
      <c r="U787">
        <v>0</v>
      </c>
      <c r="V787">
        <v>0</v>
      </c>
      <c r="W787">
        <v>3</v>
      </c>
      <c r="X787">
        <v>1</v>
      </c>
      <c r="Y787">
        <v>3</v>
      </c>
      <c r="Z787">
        <v>2</v>
      </c>
      <c r="AA787">
        <v>0</v>
      </c>
      <c r="AB787">
        <v>3</v>
      </c>
      <c r="AC787">
        <v>2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</row>
    <row r="788" spans="1:40">
      <c r="A788">
        <v>3679</v>
      </c>
      <c r="B788" t="s">
        <v>5486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 s="367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 s="367">
        <v>0</v>
      </c>
      <c r="U788">
        <v>0</v>
      </c>
      <c r="V788">
        <v>0</v>
      </c>
      <c r="W788">
        <v>0</v>
      </c>
      <c r="X788">
        <v>2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3</v>
      </c>
      <c r="AE788">
        <v>0</v>
      </c>
      <c r="AF788">
        <v>1</v>
      </c>
      <c r="AG788">
        <v>1</v>
      </c>
      <c r="AH788">
        <v>0</v>
      </c>
      <c r="AI788">
        <v>0</v>
      </c>
      <c r="AJ788">
        <v>0</v>
      </c>
      <c r="AK788">
        <v>0</v>
      </c>
      <c r="AL788">
        <v>0</v>
      </c>
    </row>
    <row r="789" spans="1:40">
      <c r="A789">
        <v>3680</v>
      </c>
      <c r="B789" t="s">
        <v>5487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 s="367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 s="367">
        <v>0</v>
      </c>
      <c r="U789">
        <v>0</v>
      </c>
      <c r="V789">
        <v>0</v>
      </c>
      <c r="W789">
        <v>0</v>
      </c>
      <c r="X789">
        <v>0</v>
      </c>
      <c r="Y789">
        <v>2</v>
      </c>
      <c r="Z789">
        <v>0</v>
      </c>
      <c r="AA789">
        <v>0</v>
      </c>
      <c r="AB789">
        <v>1</v>
      </c>
      <c r="AC789">
        <v>3</v>
      </c>
      <c r="AD789">
        <v>1</v>
      </c>
      <c r="AE789">
        <v>3</v>
      </c>
      <c r="AF789">
        <v>0</v>
      </c>
      <c r="AG789">
        <v>1</v>
      </c>
      <c r="AH789">
        <v>0</v>
      </c>
      <c r="AI789">
        <v>0</v>
      </c>
      <c r="AJ789">
        <v>0</v>
      </c>
      <c r="AK789">
        <v>0</v>
      </c>
      <c r="AL789">
        <v>0</v>
      </c>
    </row>
    <row r="790" spans="1:40">
      <c r="A790">
        <v>3685</v>
      </c>
      <c r="B790" t="s">
        <v>5488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 s="367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 s="367">
        <v>0</v>
      </c>
      <c r="U790">
        <v>0</v>
      </c>
      <c r="V790">
        <v>0</v>
      </c>
      <c r="W790">
        <v>0</v>
      </c>
      <c r="X790">
        <v>0</v>
      </c>
      <c r="Y790">
        <v>1</v>
      </c>
      <c r="Z790">
        <v>0</v>
      </c>
      <c r="AA790">
        <v>0</v>
      </c>
      <c r="AB790">
        <v>0</v>
      </c>
      <c r="AC790">
        <v>0</v>
      </c>
      <c r="AD790">
        <v>4</v>
      </c>
      <c r="AE790">
        <v>1</v>
      </c>
      <c r="AF790">
        <v>0</v>
      </c>
      <c r="AG790">
        <v>1</v>
      </c>
      <c r="AH790">
        <v>0</v>
      </c>
      <c r="AI790">
        <v>1</v>
      </c>
      <c r="AJ790">
        <v>0</v>
      </c>
      <c r="AK790">
        <v>0</v>
      </c>
      <c r="AL790">
        <v>0</v>
      </c>
    </row>
    <row r="791" spans="1:40">
      <c r="A791">
        <v>3687</v>
      </c>
      <c r="B791" t="s">
        <v>5489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 s="367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 s="367">
        <v>0</v>
      </c>
      <c r="U791">
        <v>0</v>
      </c>
      <c r="V791">
        <v>0</v>
      </c>
      <c r="W791">
        <v>3</v>
      </c>
      <c r="X791">
        <v>0</v>
      </c>
      <c r="Y791">
        <v>3</v>
      </c>
      <c r="Z791">
        <v>0</v>
      </c>
      <c r="AA791">
        <v>1</v>
      </c>
      <c r="AB791">
        <v>0</v>
      </c>
      <c r="AC791">
        <v>1</v>
      </c>
      <c r="AD791">
        <v>0</v>
      </c>
      <c r="AE791">
        <v>3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</row>
    <row r="792" spans="1:40">
      <c r="A792">
        <v>3689</v>
      </c>
      <c r="B792" t="s">
        <v>5490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 s="367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 s="367">
        <v>0</v>
      </c>
      <c r="U792">
        <v>0</v>
      </c>
      <c r="V792">
        <v>2</v>
      </c>
      <c r="W792">
        <v>2</v>
      </c>
      <c r="X792">
        <v>0</v>
      </c>
      <c r="Y792">
        <v>2</v>
      </c>
      <c r="Z792">
        <v>1</v>
      </c>
      <c r="AA792">
        <v>0</v>
      </c>
      <c r="AB792">
        <v>0</v>
      </c>
      <c r="AC792">
        <v>2</v>
      </c>
      <c r="AD792">
        <v>0</v>
      </c>
      <c r="AE792">
        <v>6</v>
      </c>
      <c r="AF792">
        <v>0</v>
      </c>
      <c r="AG792">
        <v>0</v>
      </c>
      <c r="AH792">
        <v>0</v>
      </c>
      <c r="AI792">
        <v>3</v>
      </c>
      <c r="AJ792">
        <v>0</v>
      </c>
      <c r="AK792">
        <v>0</v>
      </c>
      <c r="AL792">
        <v>2</v>
      </c>
      <c r="AN792" s="367" t="s">
        <v>4718</v>
      </c>
    </row>
    <row r="793" spans="1:40">
      <c r="A793">
        <v>3691</v>
      </c>
      <c r="B793" t="s">
        <v>5491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 s="367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 s="367">
        <v>0</v>
      </c>
      <c r="U793">
        <v>0</v>
      </c>
      <c r="V793">
        <v>0</v>
      </c>
      <c r="W793">
        <v>2</v>
      </c>
      <c r="X793">
        <v>1</v>
      </c>
      <c r="Y793">
        <v>0</v>
      </c>
      <c r="Z793">
        <v>3</v>
      </c>
      <c r="AA793">
        <v>0</v>
      </c>
      <c r="AB793">
        <v>4</v>
      </c>
      <c r="AC793">
        <v>2</v>
      </c>
      <c r="AD793">
        <v>0</v>
      </c>
      <c r="AE793">
        <v>0</v>
      </c>
      <c r="AF793">
        <v>1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</row>
    <row r="794" spans="1:40">
      <c r="A794">
        <v>3693</v>
      </c>
      <c r="B794" t="s">
        <v>5492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 s="367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 s="367">
        <v>0</v>
      </c>
      <c r="U794">
        <v>0</v>
      </c>
      <c r="V794">
        <v>1</v>
      </c>
      <c r="W794">
        <v>0</v>
      </c>
      <c r="X794">
        <v>0</v>
      </c>
      <c r="Y794">
        <v>2</v>
      </c>
      <c r="Z794">
        <v>0</v>
      </c>
      <c r="AA794">
        <v>0</v>
      </c>
      <c r="AB794">
        <v>1</v>
      </c>
      <c r="AC794">
        <v>0</v>
      </c>
      <c r="AD794">
        <v>5</v>
      </c>
      <c r="AE794">
        <v>3</v>
      </c>
      <c r="AF794">
        <v>0</v>
      </c>
      <c r="AG794">
        <v>1</v>
      </c>
      <c r="AH794">
        <v>0</v>
      </c>
      <c r="AI794">
        <v>0</v>
      </c>
      <c r="AJ794">
        <v>0</v>
      </c>
      <c r="AK794">
        <v>0</v>
      </c>
      <c r="AL794">
        <v>1</v>
      </c>
      <c r="AN794" s="367" t="s">
        <v>6761</v>
      </c>
    </row>
    <row r="795" spans="1:40">
      <c r="A795">
        <v>3694</v>
      </c>
      <c r="B795" t="s">
        <v>5493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 s="367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 s="367">
        <v>0</v>
      </c>
      <c r="U795">
        <v>0</v>
      </c>
      <c r="V795">
        <v>0</v>
      </c>
      <c r="W795">
        <v>0</v>
      </c>
      <c r="X795">
        <v>1</v>
      </c>
      <c r="Y795">
        <v>2</v>
      </c>
      <c r="Z795">
        <v>0</v>
      </c>
      <c r="AA795">
        <v>0</v>
      </c>
      <c r="AB795">
        <v>0</v>
      </c>
      <c r="AC795">
        <v>0</v>
      </c>
      <c r="AD795">
        <v>1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</row>
    <row r="796" spans="1:40">
      <c r="A796">
        <v>3701</v>
      </c>
      <c r="B796" t="s">
        <v>5494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 s="367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 s="367">
        <v>0</v>
      </c>
      <c r="U796">
        <v>0</v>
      </c>
      <c r="V796">
        <v>6</v>
      </c>
      <c r="W796">
        <v>2</v>
      </c>
      <c r="X796">
        <v>0</v>
      </c>
      <c r="Y796">
        <v>3</v>
      </c>
      <c r="Z796">
        <v>0</v>
      </c>
      <c r="AA796">
        <v>0</v>
      </c>
      <c r="AB796">
        <v>0</v>
      </c>
      <c r="AC796">
        <v>1</v>
      </c>
      <c r="AD796">
        <v>0</v>
      </c>
      <c r="AE796">
        <v>1</v>
      </c>
      <c r="AF796">
        <v>0</v>
      </c>
      <c r="AG796">
        <v>1</v>
      </c>
      <c r="AH796">
        <v>0</v>
      </c>
      <c r="AI796">
        <v>10</v>
      </c>
      <c r="AJ796">
        <v>0</v>
      </c>
      <c r="AK796">
        <v>0</v>
      </c>
      <c r="AL796">
        <v>6</v>
      </c>
      <c r="AN796" s="367" t="s">
        <v>6775</v>
      </c>
    </row>
    <row r="797" spans="1:40">
      <c r="A797">
        <v>3702</v>
      </c>
      <c r="B797" t="s">
        <v>5495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 s="36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 s="367">
        <v>0</v>
      </c>
      <c r="U797">
        <v>29</v>
      </c>
      <c r="V797">
        <v>0</v>
      </c>
      <c r="W797">
        <v>1</v>
      </c>
      <c r="X797">
        <v>0</v>
      </c>
      <c r="Y797">
        <v>1</v>
      </c>
      <c r="Z797">
        <v>20</v>
      </c>
      <c r="AA797">
        <v>17</v>
      </c>
      <c r="AB797">
        <v>1</v>
      </c>
      <c r="AC797">
        <v>0</v>
      </c>
      <c r="AD797">
        <v>0</v>
      </c>
      <c r="AE797">
        <v>1</v>
      </c>
      <c r="AF797">
        <v>0</v>
      </c>
      <c r="AG797">
        <v>0</v>
      </c>
      <c r="AH797">
        <v>0</v>
      </c>
      <c r="AI797">
        <v>0</v>
      </c>
      <c r="AJ797">
        <v>1</v>
      </c>
      <c r="AK797">
        <v>29</v>
      </c>
      <c r="AL797">
        <v>0</v>
      </c>
      <c r="AM797" s="367" t="s">
        <v>6168</v>
      </c>
    </row>
    <row r="798" spans="1:40">
      <c r="A798">
        <v>3703</v>
      </c>
      <c r="B798" t="s">
        <v>5496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 s="367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 s="367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1</v>
      </c>
      <c r="AA798">
        <v>0</v>
      </c>
      <c r="AB798">
        <v>2</v>
      </c>
      <c r="AC798">
        <v>1</v>
      </c>
      <c r="AD798">
        <v>1</v>
      </c>
      <c r="AE798">
        <v>1</v>
      </c>
      <c r="AF798">
        <v>1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</row>
    <row r="799" spans="1:40">
      <c r="A799">
        <v>3704</v>
      </c>
      <c r="B799" t="s">
        <v>5497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 s="367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 s="367">
        <v>0</v>
      </c>
      <c r="U799">
        <v>0</v>
      </c>
      <c r="V799">
        <v>0</v>
      </c>
      <c r="W799">
        <v>1</v>
      </c>
      <c r="X799">
        <v>0</v>
      </c>
      <c r="Y799">
        <v>2</v>
      </c>
      <c r="Z799">
        <v>1</v>
      </c>
      <c r="AA799">
        <v>0</v>
      </c>
      <c r="AB799">
        <v>1</v>
      </c>
      <c r="AC799">
        <v>3</v>
      </c>
      <c r="AD799">
        <v>0</v>
      </c>
      <c r="AE799">
        <v>4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</row>
    <row r="800" spans="1:40">
      <c r="A800">
        <v>3705</v>
      </c>
      <c r="B800" t="s">
        <v>5498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 s="367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 s="367">
        <v>0</v>
      </c>
      <c r="U800">
        <v>0</v>
      </c>
      <c r="V800">
        <v>1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1</v>
      </c>
      <c r="AE800">
        <v>3</v>
      </c>
      <c r="AF800">
        <v>1</v>
      </c>
      <c r="AG800">
        <v>0</v>
      </c>
      <c r="AH800">
        <v>0</v>
      </c>
      <c r="AI800">
        <v>5</v>
      </c>
      <c r="AJ800">
        <v>0</v>
      </c>
      <c r="AK800">
        <v>0</v>
      </c>
      <c r="AL800">
        <v>1</v>
      </c>
      <c r="AN800" s="367" t="s">
        <v>6775</v>
      </c>
    </row>
    <row r="801" spans="1:40">
      <c r="A801">
        <v>3706</v>
      </c>
      <c r="B801" t="s">
        <v>5499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 s="367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 s="367">
        <v>0</v>
      </c>
      <c r="U801">
        <v>0</v>
      </c>
      <c r="V801">
        <v>0</v>
      </c>
      <c r="W801">
        <v>2</v>
      </c>
      <c r="X801">
        <v>0</v>
      </c>
      <c r="Y801">
        <v>0</v>
      </c>
      <c r="Z801">
        <v>1</v>
      </c>
      <c r="AA801">
        <v>0</v>
      </c>
      <c r="AB801">
        <v>0</v>
      </c>
      <c r="AC801">
        <v>2</v>
      </c>
      <c r="AD801">
        <v>0</v>
      </c>
      <c r="AE801">
        <v>3</v>
      </c>
      <c r="AF801">
        <v>2</v>
      </c>
      <c r="AG801">
        <v>0</v>
      </c>
      <c r="AH801">
        <v>0</v>
      </c>
      <c r="AI801">
        <v>2</v>
      </c>
      <c r="AJ801">
        <v>0</v>
      </c>
      <c r="AK801">
        <v>0</v>
      </c>
      <c r="AL801">
        <v>0</v>
      </c>
    </row>
    <row r="802" spans="1:40">
      <c r="A802">
        <v>3707</v>
      </c>
      <c r="B802" t="s">
        <v>5500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 s="367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 s="367">
        <v>0</v>
      </c>
      <c r="U802">
        <v>0</v>
      </c>
      <c r="V802">
        <v>0</v>
      </c>
      <c r="W802">
        <v>0</v>
      </c>
      <c r="X802">
        <v>2</v>
      </c>
      <c r="Y802">
        <v>0</v>
      </c>
      <c r="Z802">
        <v>2</v>
      </c>
      <c r="AA802">
        <v>1</v>
      </c>
      <c r="AB802">
        <v>3</v>
      </c>
      <c r="AC802">
        <v>0</v>
      </c>
      <c r="AD802">
        <v>1</v>
      </c>
      <c r="AE802">
        <v>0</v>
      </c>
      <c r="AF802">
        <v>1</v>
      </c>
      <c r="AG802">
        <v>0</v>
      </c>
      <c r="AH802">
        <v>0</v>
      </c>
      <c r="AI802">
        <v>0</v>
      </c>
      <c r="AJ802">
        <v>2</v>
      </c>
      <c r="AK802">
        <v>0</v>
      </c>
      <c r="AL802">
        <v>0</v>
      </c>
    </row>
    <row r="803" spans="1:40">
      <c r="A803">
        <v>3709</v>
      </c>
      <c r="B803" t="s">
        <v>6143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 s="367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 s="367">
        <v>0</v>
      </c>
      <c r="U803">
        <v>0</v>
      </c>
      <c r="V803">
        <v>14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18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14</v>
      </c>
      <c r="AN803" s="367" t="s">
        <v>3542</v>
      </c>
    </row>
    <row r="804" spans="1:40">
      <c r="A804">
        <v>3711</v>
      </c>
      <c r="B804" t="s">
        <v>5502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 s="367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 s="367">
        <v>0</v>
      </c>
      <c r="U804">
        <v>0</v>
      </c>
      <c r="V804">
        <v>0</v>
      </c>
      <c r="W804">
        <v>1</v>
      </c>
      <c r="X804">
        <v>0</v>
      </c>
      <c r="Y804">
        <v>1</v>
      </c>
      <c r="Z804">
        <v>3</v>
      </c>
      <c r="AA804">
        <v>1</v>
      </c>
      <c r="AB804">
        <v>0</v>
      </c>
      <c r="AC804">
        <v>0</v>
      </c>
      <c r="AD804">
        <v>0</v>
      </c>
      <c r="AE804">
        <v>1</v>
      </c>
      <c r="AF804">
        <v>0</v>
      </c>
      <c r="AG804">
        <v>0</v>
      </c>
      <c r="AH804">
        <v>0</v>
      </c>
      <c r="AI804">
        <v>1</v>
      </c>
      <c r="AJ804">
        <v>1</v>
      </c>
      <c r="AK804">
        <v>0</v>
      </c>
      <c r="AL804">
        <v>0</v>
      </c>
    </row>
    <row r="805" spans="1:40">
      <c r="A805">
        <v>3712</v>
      </c>
      <c r="B805" t="s">
        <v>5503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 s="367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 s="367">
        <v>0</v>
      </c>
      <c r="U805">
        <v>0</v>
      </c>
      <c r="V805">
        <v>8</v>
      </c>
      <c r="W805">
        <v>0</v>
      </c>
      <c r="X805">
        <v>2</v>
      </c>
      <c r="Y805">
        <v>0</v>
      </c>
      <c r="Z805">
        <v>0</v>
      </c>
      <c r="AA805">
        <v>0</v>
      </c>
      <c r="AB805">
        <v>0</v>
      </c>
      <c r="AC805">
        <v>4</v>
      </c>
      <c r="AD805">
        <v>10</v>
      </c>
      <c r="AE805">
        <v>0</v>
      </c>
      <c r="AF805">
        <v>6</v>
      </c>
      <c r="AG805">
        <v>0</v>
      </c>
      <c r="AH805">
        <v>0</v>
      </c>
      <c r="AI805">
        <v>4</v>
      </c>
      <c r="AJ805">
        <v>0</v>
      </c>
      <c r="AK805">
        <v>0</v>
      </c>
      <c r="AL805">
        <v>8</v>
      </c>
      <c r="AN805" s="367" t="s">
        <v>6785</v>
      </c>
    </row>
    <row r="806" spans="1:40">
      <c r="A806">
        <v>3714</v>
      </c>
      <c r="B806" t="s">
        <v>5504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 s="367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 s="367">
        <v>0</v>
      </c>
      <c r="U806">
        <v>1</v>
      </c>
      <c r="V806">
        <v>0</v>
      </c>
      <c r="W806">
        <v>3</v>
      </c>
      <c r="X806">
        <v>1</v>
      </c>
      <c r="Y806">
        <v>3</v>
      </c>
      <c r="Z806">
        <v>0</v>
      </c>
      <c r="AA806">
        <v>1</v>
      </c>
      <c r="AB806">
        <v>1</v>
      </c>
      <c r="AC806">
        <v>5</v>
      </c>
      <c r="AD806">
        <v>0</v>
      </c>
      <c r="AE806">
        <v>0</v>
      </c>
      <c r="AF806">
        <v>0</v>
      </c>
      <c r="AG806">
        <v>1</v>
      </c>
      <c r="AH806">
        <v>0</v>
      </c>
      <c r="AI806">
        <v>0</v>
      </c>
      <c r="AJ806">
        <v>0</v>
      </c>
      <c r="AK806">
        <v>1</v>
      </c>
      <c r="AL806">
        <v>0</v>
      </c>
      <c r="AM806" s="367" t="s">
        <v>6778</v>
      </c>
    </row>
    <row r="807" spans="1:40">
      <c r="A807">
        <v>4102</v>
      </c>
      <c r="B807" t="s">
        <v>5505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 s="36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 s="367">
        <v>0</v>
      </c>
      <c r="U807">
        <v>0</v>
      </c>
      <c r="V807">
        <v>0</v>
      </c>
      <c r="W807">
        <v>1</v>
      </c>
      <c r="X807">
        <v>0</v>
      </c>
      <c r="Y807">
        <v>2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1</v>
      </c>
      <c r="AF807">
        <v>0</v>
      </c>
      <c r="AG807">
        <v>0</v>
      </c>
      <c r="AH807">
        <v>0</v>
      </c>
      <c r="AI807">
        <v>2</v>
      </c>
      <c r="AJ807">
        <v>0</v>
      </c>
      <c r="AK807">
        <v>0</v>
      </c>
      <c r="AL807">
        <v>0</v>
      </c>
    </row>
    <row r="808" spans="1:40">
      <c r="A808">
        <v>4104</v>
      </c>
      <c r="B808" t="s">
        <v>5506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 s="367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 s="367">
        <v>0</v>
      </c>
      <c r="U808">
        <v>0</v>
      </c>
      <c r="V808">
        <v>0</v>
      </c>
      <c r="W808">
        <v>0</v>
      </c>
      <c r="X808">
        <v>1</v>
      </c>
      <c r="Y808">
        <v>0</v>
      </c>
      <c r="Z808">
        <v>0</v>
      </c>
      <c r="AA808">
        <v>0</v>
      </c>
      <c r="AB808">
        <v>0</v>
      </c>
      <c r="AC808">
        <v>1</v>
      </c>
      <c r="AD808">
        <v>1</v>
      </c>
      <c r="AE808">
        <v>0</v>
      </c>
      <c r="AF808">
        <v>1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</row>
    <row r="809" spans="1:40">
      <c r="A809">
        <v>4105</v>
      </c>
      <c r="B809" t="s">
        <v>5507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 s="367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 s="367">
        <v>0</v>
      </c>
      <c r="U809">
        <v>0</v>
      </c>
      <c r="V809">
        <v>10</v>
      </c>
      <c r="W809">
        <v>0</v>
      </c>
      <c r="X809">
        <v>1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9</v>
      </c>
      <c r="AE809">
        <v>0</v>
      </c>
      <c r="AF809">
        <v>9</v>
      </c>
      <c r="AG809">
        <v>0</v>
      </c>
      <c r="AH809">
        <v>0</v>
      </c>
      <c r="AI809">
        <v>2</v>
      </c>
      <c r="AJ809">
        <v>0</v>
      </c>
      <c r="AK809">
        <v>0</v>
      </c>
      <c r="AL809">
        <v>10</v>
      </c>
      <c r="AN809" s="367" t="s">
        <v>6785</v>
      </c>
    </row>
    <row r="810" spans="1:40">
      <c r="A810">
        <v>4106</v>
      </c>
      <c r="B810" t="s">
        <v>630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 s="367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 s="367">
        <v>0</v>
      </c>
      <c r="U810">
        <v>0</v>
      </c>
      <c r="V810">
        <v>0</v>
      </c>
      <c r="W810">
        <v>3</v>
      </c>
      <c r="X810">
        <v>1</v>
      </c>
      <c r="Y810">
        <v>0</v>
      </c>
      <c r="Z810">
        <v>2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1</v>
      </c>
      <c r="AG810">
        <v>0</v>
      </c>
      <c r="AH810">
        <v>0</v>
      </c>
      <c r="AI810">
        <v>0</v>
      </c>
      <c r="AJ810">
        <v>1</v>
      </c>
      <c r="AK810">
        <v>0</v>
      </c>
      <c r="AL810">
        <v>0</v>
      </c>
    </row>
    <row r="811" spans="1:40">
      <c r="A811">
        <v>4107</v>
      </c>
      <c r="B811" t="s">
        <v>5508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 s="367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 s="367">
        <v>0</v>
      </c>
      <c r="U811">
        <v>0</v>
      </c>
      <c r="V811">
        <v>0</v>
      </c>
      <c r="W811">
        <v>1</v>
      </c>
      <c r="X811">
        <v>0</v>
      </c>
      <c r="Y811">
        <v>1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1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</row>
    <row r="812" spans="1:40">
      <c r="A812">
        <v>4108</v>
      </c>
      <c r="B812" t="s">
        <v>5509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 s="367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 s="367">
        <v>0</v>
      </c>
      <c r="U812">
        <v>0</v>
      </c>
      <c r="V812">
        <v>0</v>
      </c>
      <c r="W812">
        <v>1</v>
      </c>
      <c r="X812">
        <v>0</v>
      </c>
      <c r="Y812">
        <v>1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1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</row>
    <row r="813" spans="1:40">
      <c r="A813">
        <v>4109</v>
      </c>
      <c r="B813" t="s">
        <v>5510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 s="367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 s="367">
        <v>0</v>
      </c>
      <c r="U813">
        <v>0</v>
      </c>
      <c r="V813">
        <v>0</v>
      </c>
      <c r="W813">
        <v>0</v>
      </c>
      <c r="X813">
        <v>1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2</v>
      </c>
      <c r="AE813">
        <v>0</v>
      </c>
      <c r="AF813">
        <v>1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</row>
    <row r="814" spans="1:40">
      <c r="A814">
        <v>4113</v>
      </c>
      <c r="B814" t="s">
        <v>5511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 s="367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 s="367">
        <v>0</v>
      </c>
      <c r="U814">
        <v>0</v>
      </c>
      <c r="V814">
        <v>6</v>
      </c>
      <c r="W814">
        <v>0</v>
      </c>
      <c r="X814">
        <v>1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10</v>
      </c>
      <c r="AG814">
        <v>0</v>
      </c>
      <c r="AH814">
        <v>0</v>
      </c>
      <c r="AI814">
        <v>1</v>
      </c>
      <c r="AJ814">
        <v>0</v>
      </c>
      <c r="AK814">
        <v>0</v>
      </c>
      <c r="AL814">
        <v>6</v>
      </c>
      <c r="AN814" s="367" t="s">
        <v>3542</v>
      </c>
    </row>
    <row r="815" spans="1:40">
      <c r="A815">
        <v>4114</v>
      </c>
      <c r="B815" t="s">
        <v>5512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 s="367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 s="367">
        <v>0</v>
      </c>
      <c r="U815">
        <v>0</v>
      </c>
      <c r="V815">
        <v>0</v>
      </c>
      <c r="W815">
        <v>0</v>
      </c>
      <c r="X815">
        <v>1</v>
      </c>
      <c r="Y815">
        <v>0</v>
      </c>
      <c r="Z815">
        <v>2</v>
      </c>
      <c r="AA815">
        <v>0</v>
      </c>
      <c r="AB815">
        <v>0</v>
      </c>
      <c r="AC815">
        <v>0</v>
      </c>
      <c r="AD815">
        <v>4</v>
      </c>
      <c r="AE815">
        <v>0</v>
      </c>
      <c r="AF815">
        <v>1</v>
      </c>
      <c r="AG815">
        <v>0</v>
      </c>
      <c r="AH815">
        <v>0</v>
      </c>
      <c r="AI815">
        <v>1</v>
      </c>
      <c r="AJ815">
        <v>0</v>
      </c>
      <c r="AK815">
        <v>0</v>
      </c>
      <c r="AL815">
        <v>0</v>
      </c>
    </row>
    <row r="816" spans="1:40">
      <c r="A816">
        <v>4119</v>
      </c>
      <c r="B816" t="s">
        <v>5514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 s="367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 s="367">
        <v>0</v>
      </c>
      <c r="U816">
        <v>0</v>
      </c>
      <c r="V816">
        <v>0</v>
      </c>
      <c r="W816">
        <v>0</v>
      </c>
      <c r="X816">
        <v>1</v>
      </c>
      <c r="Y816">
        <v>0</v>
      </c>
      <c r="Z816">
        <v>2</v>
      </c>
      <c r="AA816">
        <v>0</v>
      </c>
      <c r="AB816">
        <v>0</v>
      </c>
      <c r="AC816">
        <v>0</v>
      </c>
      <c r="AD816">
        <v>1</v>
      </c>
      <c r="AE816">
        <v>0</v>
      </c>
      <c r="AF816">
        <v>1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</row>
    <row r="817" spans="1:40">
      <c r="A817">
        <v>4120</v>
      </c>
      <c r="B817" t="s">
        <v>5515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 s="36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 s="36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1</v>
      </c>
      <c r="AE817">
        <v>1</v>
      </c>
      <c r="AF817">
        <v>1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</row>
    <row r="818" spans="1:40">
      <c r="A818">
        <v>4123</v>
      </c>
      <c r="B818" t="s">
        <v>5517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 s="367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 s="367">
        <v>0</v>
      </c>
      <c r="U818">
        <v>0</v>
      </c>
      <c r="V818">
        <v>0</v>
      </c>
      <c r="W818">
        <v>0</v>
      </c>
      <c r="X818">
        <v>0</v>
      </c>
      <c r="Y818">
        <v>2</v>
      </c>
      <c r="Z818">
        <v>0</v>
      </c>
      <c r="AA818">
        <v>0</v>
      </c>
      <c r="AB818">
        <v>0</v>
      </c>
      <c r="AC818">
        <v>0</v>
      </c>
      <c r="AD818">
        <v>4</v>
      </c>
      <c r="AE818">
        <v>3</v>
      </c>
      <c r="AF818">
        <v>0</v>
      </c>
      <c r="AG818">
        <v>3</v>
      </c>
      <c r="AH818">
        <v>0</v>
      </c>
      <c r="AI818">
        <v>1</v>
      </c>
      <c r="AJ818">
        <v>0</v>
      </c>
      <c r="AK818">
        <v>0</v>
      </c>
      <c r="AL818">
        <v>0</v>
      </c>
    </row>
    <row r="819" spans="1:40">
      <c r="A819">
        <v>4126</v>
      </c>
      <c r="B819" t="s">
        <v>5518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 s="367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 s="367">
        <v>0</v>
      </c>
      <c r="U819">
        <v>0</v>
      </c>
      <c r="V819">
        <v>0</v>
      </c>
      <c r="W819">
        <v>4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2</v>
      </c>
      <c r="AF819">
        <v>3</v>
      </c>
      <c r="AG819">
        <v>0</v>
      </c>
      <c r="AH819">
        <v>0</v>
      </c>
      <c r="AI819">
        <v>3</v>
      </c>
      <c r="AJ819">
        <v>0</v>
      </c>
      <c r="AK819">
        <v>0</v>
      </c>
      <c r="AL819">
        <v>0</v>
      </c>
    </row>
    <row r="820" spans="1:40">
      <c r="A820">
        <v>4128</v>
      </c>
      <c r="B820" t="s">
        <v>5519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 s="367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 s="367">
        <v>0</v>
      </c>
      <c r="U820">
        <v>0</v>
      </c>
      <c r="V820">
        <v>0</v>
      </c>
      <c r="W820">
        <v>0</v>
      </c>
      <c r="X820">
        <v>1</v>
      </c>
      <c r="Y820">
        <v>4</v>
      </c>
      <c r="Z820">
        <v>1</v>
      </c>
      <c r="AA820">
        <v>0</v>
      </c>
      <c r="AB820">
        <v>0</v>
      </c>
      <c r="AC820">
        <v>4</v>
      </c>
      <c r="AD820">
        <v>1</v>
      </c>
      <c r="AE820">
        <v>0</v>
      </c>
      <c r="AF820">
        <v>0</v>
      </c>
      <c r="AG820">
        <v>0</v>
      </c>
      <c r="AH820">
        <v>0</v>
      </c>
      <c r="AI820">
        <v>2</v>
      </c>
      <c r="AJ820">
        <v>0</v>
      </c>
      <c r="AK820">
        <v>0</v>
      </c>
      <c r="AL820">
        <v>0</v>
      </c>
    </row>
    <row r="821" spans="1:40">
      <c r="A821">
        <v>4129</v>
      </c>
      <c r="B821" t="s">
        <v>5520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 s="367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 s="367">
        <v>0</v>
      </c>
      <c r="U821">
        <v>0</v>
      </c>
      <c r="V821">
        <v>0</v>
      </c>
      <c r="W821">
        <v>0</v>
      </c>
      <c r="X821">
        <v>0</v>
      </c>
      <c r="Y821">
        <v>1</v>
      </c>
      <c r="Z821">
        <v>0</v>
      </c>
      <c r="AA821">
        <v>0</v>
      </c>
      <c r="AB821">
        <v>0</v>
      </c>
      <c r="AC821">
        <v>0</v>
      </c>
      <c r="AD821">
        <v>4</v>
      </c>
      <c r="AE821">
        <v>1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</row>
    <row r="822" spans="1:40">
      <c r="A822">
        <v>4130</v>
      </c>
      <c r="B822" t="s">
        <v>5521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 s="367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 s="367">
        <v>0</v>
      </c>
      <c r="U822">
        <v>0</v>
      </c>
      <c r="V822">
        <v>10</v>
      </c>
      <c r="W822">
        <v>2</v>
      </c>
      <c r="X822">
        <v>0</v>
      </c>
      <c r="Y822">
        <v>2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11</v>
      </c>
      <c r="AF822">
        <v>0</v>
      </c>
      <c r="AG822">
        <v>0</v>
      </c>
      <c r="AH822">
        <v>0</v>
      </c>
      <c r="AI822">
        <v>7</v>
      </c>
      <c r="AJ822">
        <v>0</v>
      </c>
      <c r="AK822">
        <v>0</v>
      </c>
      <c r="AL822">
        <v>10</v>
      </c>
      <c r="AN822" s="367" t="s">
        <v>6258</v>
      </c>
    </row>
    <row r="823" spans="1:40">
      <c r="A823">
        <v>4137</v>
      </c>
      <c r="B823" t="s">
        <v>5523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 s="367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 s="367">
        <v>0</v>
      </c>
      <c r="U823">
        <v>0</v>
      </c>
      <c r="V823">
        <v>0</v>
      </c>
      <c r="W823">
        <v>0</v>
      </c>
      <c r="X823">
        <v>4</v>
      </c>
      <c r="Y823">
        <v>0</v>
      </c>
      <c r="Z823">
        <v>2</v>
      </c>
      <c r="AA823">
        <v>0</v>
      </c>
      <c r="AB823">
        <v>0</v>
      </c>
      <c r="AC823">
        <v>0</v>
      </c>
      <c r="AD823">
        <v>1</v>
      </c>
      <c r="AE823">
        <v>0</v>
      </c>
      <c r="AF823">
        <v>1</v>
      </c>
      <c r="AG823">
        <v>0</v>
      </c>
      <c r="AH823">
        <v>0</v>
      </c>
      <c r="AI823">
        <v>3</v>
      </c>
      <c r="AJ823">
        <v>0</v>
      </c>
      <c r="AK823">
        <v>0</v>
      </c>
      <c r="AL823">
        <v>0</v>
      </c>
    </row>
    <row r="824" spans="1:40">
      <c r="A824">
        <v>4142</v>
      </c>
      <c r="B824" t="s">
        <v>5524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 s="367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 s="367">
        <v>0</v>
      </c>
      <c r="U824">
        <v>0</v>
      </c>
      <c r="V824">
        <v>0</v>
      </c>
      <c r="W824">
        <v>2</v>
      </c>
      <c r="X824">
        <v>0</v>
      </c>
      <c r="Y824">
        <v>3</v>
      </c>
      <c r="Z824">
        <v>2</v>
      </c>
      <c r="AA824">
        <v>0</v>
      </c>
      <c r="AB824">
        <v>1</v>
      </c>
      <c r="AC824">
        <v>0</v>
      </c>
      <c r="AD824">
        <v>0</v>
      </c>
      <c r="AE824">
        <v>3</v>
      </c>
      <c r="AF824">
        <v>0</v>
      </c>
      <c r="AG824">
        <v>0</v>
      </c>
      <c r="AH824">
        <v>0</v>
      </c>
      <c r="AI824">
        <v>0</v>
      </c>
      <c r="AJ824">
        <v>4</v>
      </c>
      <c r="AK824">
        <v>0</v>
      </c>
      <c r="AL824">
        <v>0</v>
      </c>
    </row>
    <row r="825" spans="1:40">
      <c r="A825">
        <v>4147</v>
      </c>
      <c r="B825" t="s">
        <v>5525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 s="367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 s="367">
        <v>0</v>
      </c>
      <c r="U825">
        <v>1</v>
      </c>
      <c r="V825">
        <v>3</v>
      </c>
      <c r="W825">
        <v>0</v>
      </c>
      <c r="X825">
        <v>5</v>
      </c>
      <c r="Y825">
        <v>1</v>
      </c>
      <c r="Z825">
        <v>0</v>
      </c>
      <c r="AA825">
        <v>0</v>
      </c>
      <c r="AB825">
        <v>0</v>
      </c>
      <c r="AC825">
        <v>0</v>
      </c>
      <c r="AD825">
        <v>7</v>
      </c>
      <c r="AE825">
        <v>0</v>
      </c>
      <c r="AF825">
        <v>0</v>
      </c>
      <c r="AG825">
        <v>0</v>
      </c>
      <c r="AH825">
        <v>2</v>
      </c>
      <c r="AI825">
        <v>0</v>
      </c>
      <c r="AJ825">
        <v>0</v>
      </c>
      <c r="AK825">
        <v>1</v>
      </c>
      <c r="AL825">
        <v>3</v>
      </c>
      <c r="AM825" s="367" t="s">
        <v>4718</v>
      </c>
      <c r="AN825" s="367" t="s">
        <v>6761</v>
      </c>
    </row>
    <row r="826" spans="1:40">
      <c r="A826">
        <v>4148</v>
      </c>
      <c r="B826" t="s">
        <v>5526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 s="367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 s="367">
        <v>0</v>
      </c>
      <c r="U826">
        <v>0</v>
      </c>
      <c r="V826">
        <v>0</v>
      </c>
      <c r="W826">
        <v>3</v>
      </c>
      <c r="X826">
        <v>0</v>
      </c>
      <c r="Y826">
        <v>3</v>
      </c>
      <c r="Z826">
        <v>0</v>
      </c>
      <c r="AA826">
        <v>0</v>
      </c>
      <c r="AB826">
        <v>0</v>
      </c>
      <c r="AC826">
        <v>1</v>
      </c>
      <c r="AD826">
        <v>0</v>
      </c>
      <c r="AE826">
        <v>1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</row>
    <row r="827" spans="1:40">
      <c r="A827">
        <v>4153</v>
      </c>
      <c r="B827" t="s">
        <v>5527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 s="36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 s="367">
        <v>0</v>
      </c>
      <c r="U827">
        <v>0</v>
      </c>
      <c r="V827">
        <v>1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2</v>
      </c>
      <c r="AD827">
        <v>1</v>
      </c>
      <c r="AE827">
        <v>5</v>
      </c>
      <c r="AF827">
        <v>1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1</v>
      </c>
      <c r="AN827" s="367" t="s">
        <v>4718</v>
      </c>
    </row>
    <row r="828" spans="1:40">
      <c r="A828">
        <v>4155</v>
      </c>
      <c r="B828" t="s">
        <v>5528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 s="367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 s="367">
        <v>0</v>
      </c>
      <c r="U828">
        <v>0</v>
      </c>
      <c r="V828">
        <v>8</v>
      </c>
      <c r="W828">
        <v>2</v>
      </c>
      <c r="X828">
        <v>0</v>
      </c>
      <c r="Y828">
        <v>2</v>
      </c>
      <c r="Z828">
        <v>3</v>
      </c>
      <c r="AA828">
        <v>0</v>
      </c>
      <c r="AB828">
        <v>0</v>
      </c>
      <c r="AC828">
        <v>0</v>
      </c>
      <c r="AD828">
        <v>0</v>
      </c>
      <c r="AE828">
        <v>12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8</v>
      </c>
      <c r="AN828" s="367" t="s">
        <v>4718</v>
      </c>
    </row>
    <row r="829" spans="1:40">
      <c r="A829">
        <v>4161</v>
      </c>
      <c r="B829" t="s">
        <v>5530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 s="367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 s="367">
        <v>0</v>
      </c>
      <c r="U829">
        <v>0</v>
      </c>
      <c r="V829">
        <v>0</v>
      </c>
      <c r="W829">
        <v>0</v>
      </c>
      <c r="X829">
        <v>0</v>
      </c>
      <c r="Y829">
        <v>3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1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</row>
    <row r="830" spans="1:40">
      <c r="A830">
        <v>4162</v>
      </c>
      <c r="B830" t="s">
        <v>5531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 s="367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 s="367">
        <v>0</v>
      </c>
      <c r="U830">
        <v>4</v>
      </c>
      <c r="V830">
        <v>0</v>
      </c>
      <c r="W830">
        <v>4</v>
      </c>
      <c r="X830">
        <v>0</v>
      </c>
      <c r="Y830">
        <v>8</v>
      </c>
      <c r="Z830">
        <v>0</v>
      </c>
      <c r="AA830">
        <v>0</v>
      </c>
      <c r="AB830">
        <v>1</v>
      </c>
      <c r="AC830">
        <v>1</v>
      </c>
      <c r="AD830">
        <v>0</v>
      </c>
      <c r="AE830">
        <v>2</v>
      </c>
      <c r="AF830">
        <v>0</v>
      </c>
      <c r="AG830">
        <v>1</v>
      </c>
      <c r="AH830">
        <v>0</v>
      </c>
      <c r="AI830">
        <v>0</v>
      </c>
      <c r="AJ830">
        <v>0</v>
      </c>
      <c r="AK830">
        <v>4</v>
      </c>
      <c r="AL830">
        <v>0</v>
      </c>
      <c r="AM830" s="367" t="s">
        <v>3542</v>
      </c>
    </row>
    <row r="831" spans="1:40">
      <c r="A831">
        <v>4163</v>
      </c>
      <c r="B831" t="s">
        <v>5532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 s="367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 s="367">
        <v>0</v>
      </c>
      <c r="U831">
        <v>0</v>
      </c>
      <c r="V831">
        <v>0</v>
      </c>
      <c r="W831">
        <v>0</v>
      </c>
      <c r="X831">
        <v>0</v>
      </c>
      <c r="Y831">
        <v>1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1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</row>
    <row r="832" spans="1:40">
      <c r="A832">
        <v>4164</v>
      </c>
      <c r="B832" t="s">
        <v>5533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 s="367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 s="367">
        <v>0</v>
      </c>
      <c r="U832">
        <v>0</v>
      </c>
      <c r="V832">
        <v>10</v>
      </c>
      <c r="W832">
        <v>0</v>
      </c>
      <c r="X832">
        <v>2</v>
      </c>
      <c r="Y832">
        <v>0</v>
      </c>
      <c r="Z832">
        <v>2</v>
      </c>
      <c r="AA832">
        <v>0</v>
      </c>
      <c r="AB832">
        <v>0</v>
      </c>
      <c r="AC832">
        <v>0</v>
      </c>
      <c r="AD832">
        <v>9</v>
      </c>
      <c r="AE832">
        <v>0</v>
      </c>
      <c r="AF832">
        <v>9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10</v>
      </c>
      <c r="AN832" s="367" t="s">
        <v>6785</v>
      </c>
    </row>
    <row r="833" spans="1:40">
      <c r="A833">
        <v>4167</v>
      </c>
      <c r="B833" t="s">
        <v>5534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 s="367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 s="367">
        <v>0</v>
      </c>
      <c r="U833">
        <v>0</v>
      </c>
      <c r="V833">
        <v>0</v>
      </c>
      <c r="W833">
        <v>2</v>
      </c>
      <c r="X833">
        <v>0</v>
      </c>
      <c r="Y833">
        <v>3</v>
      </c>
      <c r="Z833">
        <v>0</v>
      </c>
      <c r="AA833">
        <v>0</v>
      </c>
      <c r="AB833">
        <v>1</v>
      </c>
      <c r="AC833">
        <v>2</v>
      </c>
      <c r="AD833">
        <v>0</v>
      </c>
      <c r="AE833">
        <v>3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</row>
    <row r="834" spans="1:40">
      <c r="A834">
        <v>4168</v>
      </c>
      <c r="B834" t="s">
        <v>5535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 s="367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 s="367">
        <v>0</v>
      </c>
      <c r="U834">
        <v>4</v>
      </c>
      <c r="V834">
        <v>6</v>
      </c>
      <c r="W834">
        <v>0</v>
      </c>
      <c r="X834">
        <v>8</v>
      </c>
      <c r="Y834">
        <v>2</v>
      </c>
      <c r="Z834">
        <v>0</v>
      </c>
      <c r="AA834">
        <v>0</v>
      </c>
      <c r="AB834">
        <v>0</v>
      </c>
      <c r="AC834">
        <v>2</v>
      </c>
      <c r="AD834">
        <v>10</v>
      </c>
      <c r="AE834">
        <v>0</v>
      </c>
      <c r="AF834">
        <v>0</v>
      </c>
      <c r="AG834">
        <v>0</v>
      </c>
      <c r="AH834">
        <v>0</v>
      </c>
      <c r="AI834">
        <v>3</v>
      </c>
      <c r="AJ834">
        <v>0</v>
      </c>
      <c r="AK834">
        <v>4</v>
      </c>
      <c r="AL834">
        <v>6</v>
      </c>
      <c r="AM834" s="367" t="s">
        <v>4718</v>
      </c>
      <c r="AN834" s="367" t="s">
        <v>6761</v>
      </c>
    </row>
    <row r="835" spans="1:40">
      <c r="A835">
        <v>4171</v>
      </c>
      <c r="B835" t="s">
        <v>5536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 s="367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 s="367">
        <v>0</v>
      </c>
      <c r="U835">
        <v>3</v>
      </c>
      <c r="V835">
        <v>0</v>
      </c>
      <c r="W835">
        <v>7</v>
      </c>
      <c r="X835">
        <v>1</v>
      </c>
      <c r="Y835">
        <v>0</v>
      </c>
      <c r="Z835">
        <v>0</v>
      </c>
      <c r="AA835">
        <v>0</v>
      </c>
      <c r="AB835">
        <v>1</v>
      </c>
      <c r="AC835">
        <v>1</v>
      </c>
      <c r="AD835">
        <v>0</v>
      </c>
      <c r="AE835">
        <v>0</v>
      </c>
      <c r="AF835">
        <v>1</v>
      </c>
      <c r="AG835">
        <v>3</v>
      </c>
      <c r="AH835">
        <v>0</v>
      </c>
      <c r="AI835">
        <v>0</v>
      </c>
      <c r="AJ835">
        <v>0</v>
      </c>
      <c r="AK835">
        <v>3</v>
      </c>
      <c r="AL835">
        <v>0</v>
      </c>
      <c r="AM835" s="367" t="s">
        <v>6761</v>
      </c>
    </row>
    <row r="836" spans="1:40">
      <c r="A836">
        <v>4173</v>
      </c>
      <c r="B836" t="s">
        <v>5537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 s="367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 s="367">
        <v>0</v>
      </c>
      <c r="U836">
        <v>1</v>
      </c>
      <c r="V836">
        <v>0</v>
      </c>
      <c r="W836">
        <v>0</v>
      </c>
      <c r="X836">
        <v>2</v>
      </c>
      <c r="Y836">
        <v>5</v>
      </c>
      <c r="Z836">
        <v>0</v>
      </c>
      <c r="AA836">
        <v>0</v>
      </c>
      <c r="AB836">
        <v>0</v>
      </c>
      <c r="AC836">
        <v>2</v>
      </c>
      <c r="AD836">
        <v>1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1</v>
      </c>
      <c r="AL836">
        <v>0</v>
      </c>
      <c r="AM836" s="367" t="s">
        <v>3542</v>
      </c>
    </row>
    <row r="837" spans="1:40">
      <c r="A837">
        <v>4174</v>
      </c>
      <c r="B837" t="s">
        <v>5538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 s="36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 s="367">
        <v>0</v>
      </c>
      <c r="U837">
        <v>7</v>
      </c>
      <c r="V837">
        <v>0</v>
      </c>
      <c r="W837">
        <v>3</v>
      </c>
      <c r="X837">
        <v>11</v>
      </c>
      <c r="Y837">
        <v>4</v>
      </c>
      <c r="Z837">
        <v>0</v>
      </c>
      <c r="AA837">
        <v>0</v>
      </c>
      <c r="AB837">
        <v>1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1</v>
      </c>
      <c r="AK837">
        <v>7</v>
      </c>
      <c r="AL837">
        <v>0</v>
      </c>
      <c r="AM837" s="367" t="s">
        <v>4718</v>
      </c>
    </row>
    <row r="838" spans="1:40">
      <c r="A838">
        <v>4175</v>
      </c>
      <c r="B838" t="s">
        <v>5539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 s="367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 s="367">
        <v>0</v>
      </c>
      <c r="U838">
        <v>0</v>
      </c>
      <c r="V838">
        <v>0</v>
      </c>
      <c r="W838">
        <v>1</v>
      </c>
      <c r="X838">
        <v>0</v>
      </c>
      <c r="Y838">
        <v>0</v>
      </c>
      <c r="Z838">
        <v>1</v>
      </c>
      <c r="AA838">
        <v>0</v>
      </c>
      <c r="AB838">
        <v>0</v>
      </c>
      <c r="AC838">
        <v>1</v>
      </c>
      <c r="AD838">
        <v>0</v>
      </c>
      <c r="AE838">
        <v>2</v>
      </c>
      <c r="AF838">
        <v>2</v>
      </c>
      <c r="AG838">
        <v>0</v>
      </c>
      <c r="AH838">
        <v>0</v>
      </c>
      <c r="AI838">
        <v>3</v>
      </c>
      <c r="AJ838">
        <v>0</v>
      </c>
      <c r="AK838">
        <v>0</v>
      </c>
      <c r="AL838">
        <v>0</v>
      </c>
    </row>
    <row r="839" spans="1:40">
      <c r="A839">
        <v>4190</v>
      </c>
      <c r="B839" t="s">
        <v>5540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 s="367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 s="367">
        <v>0</v>
      </c>
      <c r="U839">
        <v>0</v>
      </c>
      <c r="V839">
        <v>0</v>
      </c>
      <c r="W839">
        <v>0</v>
      </c>
      <c r="X839">
        <v>2</v>
      </c>
      <c r="Y839">
        <v>0</v>
      </c>
      <c r="Z839">
        <v>2</v>
      </c>
      <c r="AA839">
        <v>0</v>
      </c>
      <c r="AB839">
        <v>0</v>
      </c>
      <c r="AC839">
        <v>0</v>
      </c>
      <c r="AD839">
        <v>3</v>
      </c>
      <c r="AE839">
        <v>0</v>
      </c>
      <c r="AF839">
        <v>3</v>
      </c>
      <c r="AG839">
        <v>0</v>
      </c>
      <c r="AH839">
        <v>0</v>
      </c>
      <c r="AI839">
        <v>1</v>
      </c>
      <c r="AJ839">
        <v>3</v>
      </c>
      <c r="AK839">
        <v>0</v>
      </c>
      <c r="AL839">
        <v>0</v>
      </c>
    </row>
    <row r="840" spans="1:40">
      <c r="A840">
        <v>4205</v>
      </c>
      <c r="B840" t="s">
        <v>6145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 s="367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 s="367">
        <v>0</v>
      </c>
      <c r="U840">
        <v>0</v>
      </c>
      <c r="V840">
        <v>6</v>
      </c>
      <c r="W840">
        <v>0</v>
      </c>
      <c r="X840">
        <v>0</v>
      </c>
      <c r="Y840">
        <v>1</v>
      </c>
      <c r="Z840">
        <v>0</v>
      </c>
      <c r="AA840">
        <v>0</v>
      </c>
      <c r="AB840">
        <v>0</v>
      </c>
      <c r="AC840">
        <v>0</v>
      </c>
      <c r="AD840">
        <v>10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6</v>
      </c>
      <c r="AN840" s="367" t="s">
        <v>6761</v>
      </c>
    </row>
    <row r="841" spans="1:40">
      <c r="A841">
        <v>4207</v>
      </c>
      <c r="B841" t="s">
        <v>5541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 s="367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 s="367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1</v>
      </c>
      <c r="AC841">
        <v>0</v>
      </c>
      <c r="AD841">
        <v>1</v>
      </c>
      <c r="AE841">
        <v>3</v>
      </c>
      <c r="AF841">
        <v>1</v>
      </c>
      <c r="AG841">
        <v>0</v>
      </c>
      <c r="AH841">
        <v>0</v>
      </c>
      <c r="AI841">
        <v>0</v>
      </c>
      <c r="AJ841">
        <v>1</v>
      </c>
      <c r="AK841">
        <v>0</v>
      </c>
      <c r="AL841">
        <v>0</v>
      </c>
    </row>
    <row r="842" spans="1:40">
      <c r="A842">
        <v>4306</v>
      </c>
      <c r="B842" t="s">
        <v>5543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 s="367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 s="367">
        <v>0</v>
      </c>
      <c r="U842">
        <v>0</v>
      </c>
      <c r="V842">
        <v>0</v>
      </c>
      <c r="W842">
        <v>2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2</v>
      </c>
      <c r="AF842">
        <v>1</v>
      </c>
      <c r="AG842">
        <v>2</v>
      </c>
      <c r="AH842">
        <v>0</v>
      </c>
      <c r="AI842">
        <v>2</v>
      </c>
      <c r="AJ842">
        <v>3</v>
      </c>
      <c r="AK842">
        <v>0</v>
      </c>
      <c r="AL842">
        <v>0</v>
      </c>
    </row>
    <row r="843" spans="1:40">
      <c r="A843">
        <v>4401</v>
      </c>
      <c r="B843" t="s">
        <v>5544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 s="367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 s="367">
        <v>0</v>
      </c>
      <c r="U843">
        <v>0</v>
      </c>
      <c r="V843">
        <v>2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6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2</v>
      </c>
      <c r="AN843" s="367" t="s">
        <v>3542</v>
      </c>
    </row>
    <row r="844" spans="1:40">
      <c r="A844">
        <v>4406</v>
      </c>
      <c r="B844" t="s">
        <v>5545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 s="367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 s="367">
        <v>0</v>
      </c>
      <c r="U844">
        <v>0</v>
      </c>
      <c r="V844">
        <v>0</v>
      </c>
      <c r="W844">
        <v>1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3</v>
      </c>
      <c r="AF844">
        <v>1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</row>
    <row r="845" spans="1:40">
      <c r="A845">
        <v>4414</v>
      </c>
      <c r="B845" t="s">
        <v>5546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 s="367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 s="367">
        <v>0</v>
      </c>
      <c r="U845">
        <v>8</v>
      </c>
      <c r="V845">
        <v>27</v>
      </c>
      <c r="W845">
        <v>0</v>
      </c>
      <c r="X845">
        <v>0</v>
      </c>
      <c r="Y845">
        <v>1</v>
      </c>
      <c r="Z845">
        <v>2</v>
      </c>
      <c r="AA845">
        <v>0</v>
      </c>
      <c r="AB845">
        <v>12</v>
      </c>
      <c r="AC845">
        <v>0</v>
      </c>
      <c r="AD845">
        <v>10</v>
      </c>
      <c r="AE845">
        <v>25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8</v>
      </c>
      <c r="AL845">
        <v>27</v>
      </c>
      <c r="AM845" s="367" t="s">
        <v>6775</v>
      </c>
      <c r="AN845" s="367" t="s">
        <v>6782</v>
      </c>
    </row>
    <row r="846" spans="1:40">
      <c r="A846">
        <v>4420</v>
      </c>
      <c r="B846" t="s">
        <v>6210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 s="367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 s="367">
        <v>0</v>
      </c>
      <c r="U846">
        <v>0</v>
      </c>
      <c r="V846">
        <v>0</v>
      </c>
      <c r="W846">
        <v>0</v>
      </c>
      <c r="X846">
        <v>0</v>
      </c>
      <c r="Y846">
        <v>1</v>
      </c>
      <c r="Z846">
        <v>0</v>
      </c>
      <c r="AA846">
        <v>0</v>
      </c>
      <c r="AB846">
        <v>0</v>
      </c>
      <c r="AC846">
        <v>1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</row>
    <row r="847" spans="1:40">
      <c r="A847">
        <v>4426</v>
      </c>
      <c r="B847" t="s">
        <v>5548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 s="36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 s="367">
        <v>0</v>
      </c>
      <c r="U847">
        <v>0</v>
      </c>
      <c r="V847">
        <v>6</v>
      </c>
      <c r="W847">
        <v>0</v>
      </c>
      <c r="X847">
        <v>1</v>
      </c>
      <c r="Y847">
        <v>0</v>
      </c>
      <c r="Z847">
        <v>1</v>
      </c>
      <c r="AA847">
        <v>0</v>
      </c>
      <c r="AB847">
        <v>0</v>
      </c>
      <c r="AC847">
        <v>0</v>
      </c>
      <c r="AD847">
        <v>10</v>
      </c>
      <c r="AE847">
        <v>0</v>
      </c>
      <c r="AF847">
        <v>0</v>
      </c>
      <c r="AG847">
        <v>0</v>
      </c>
      <c r="AH847">
        <v>0</v>
      </c>
      <c r="AI847">
        <v>3</v>
      </c>
      <c r="AJ847">
        <v>0</v>
      </c>
      <c r="AK847">
        <v>0</v>
      </c>
      <c r="AL847">
        <v>6</v>
      </c>
      <c r="AN847" s="367" t="s">
        <v>6761</v>
      </c>
    </row>
    <row r="848" spans="1:40">
      <c r="A848">
        <v>4433</v>
      </c>
      <c r="B848" t="s">
        <v>5550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 s="367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 s="367">
        <v>0</v>
      </c>
      <c r="U848">
        <v>0</v>
      </c>
      <c r="V848">
        <v>1</v>
      </c>
      <c r="W848">
        <v>1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5</v>
      </c>
      <c r="AF848">
        <v>3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1</v>
      </c>
      <c r="AN848" s="367" t="s">
        <v>4718</v>
      </c>
    </row>
    <row r="849" spans="1:40">
      <c r="A849">
        <v>4438</v>
      </c>
      <c r="B849" t="s">
        <v>5551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 s="367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 s="367">
        <v>0</v>
      </c>
      <c r="U849">
        <v>0</v>
      </c>
      <c r="V849">
        <v>0</v>
      </c>
      <c r="W849">
        <v>0</v>
      </c>
      <c r="X849">
        <v>2</v>
      </c>
      <c r="Y849">
        <v>0</v>
      </c>
      <c r="Z849">
        <v>2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1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</row>
    <row r="850" spans="1:40">
      <c r="A850">
        <v>4439</v>
      </c>
      <c r="B850" t="s">
        <v>5552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 s="367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 s="367">
        <v>0</v>
      </c>
      <c r="U850">
        <v>0</v>
      </c>
      <c r="V850">
        <v>0</v>
      </c>
      <c r="W850">
        <v>0</v>
      </c>
      <c r="X850">
        <v>0</v>
      </c>
      <c r="Y850">
        <v>1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1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</row>
    <row r="851" spans="1:40">
      <c r="A851">
        <v>4440</v>
      </c>
      <c r="B851" t="s">
        <v>6526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 s="367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 s="367">
        <v>0</v>
      </c>
      <c r="U851">
        <v>0</v>
      </c>
      <c r="V851">
        <v>4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8</v>
      </c>
      <c r="AE851">
        <v>0</v>
      </c>
      <c r="AF851">
        <v>1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4</v>
      </c>
      <c r="AN851" s="367" t="s">
        <v>6761</v>
      </c>
    </row>
    <row r="852" spans="1:40">
      <c r="A852">
        <v>4503</v>
      </c>
      <c r="B852" t="s">
        <v>5553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 s="367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 s="367">
        <v>0</v>
      </c>
      <c r="U852">
        <v>0</v>
      </c>
      <c r="V852">
        <v>2</v>
      </c>
      <c r="W852">
        <v>3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1</v>
      </c>
      <c r="AF852">
        <v>1</v>
      </c>
      <c r="AG852">
        <v>0</v>
      </c>
      <c r="AH852">
        <v>0</v>
      </c>
      <c r="AI852">
        <v>0</v>
      </c>
      <c r="AJ852">
        <v>6</v>
      </c>
      <c r="AK852">
        <v>0</v>
      </c>
      <c r="AL852">
        <v>2</v>
      </c>
      <c r="AN852" s="367" t="s">
        <v>6778</v>
      </c>
    </row>
    <row r="853" spans="1:40">
      <c r="A853">
        <v>4506</v>
      </c>
      <c r="B853" t="s">
        <v>5554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 s="367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 s="367">
        <v>0</v>
      </c>
      <c r="U853">
        <v>0</v>
      </c>
      <c r="V853">
        <v>0</v>
      </c>
      <c r="W853">
        <v>0</v>
      </c>
      <c r="X853">
        <v>0</v>
      </c>
      <c r="Y853">
        <v>2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</row>
    <row r="854" spans="1:40">
      <c r="A854">
        <v>4510</v>
      </c>
      <c r="B854" t="s">
        <v>5555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 s="367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 s="367">
        <v>0</v>
      </c>
      <c r="U854">
        <v>0</v>
      </c>
      <c r="V854">
        <v>0</v>
      </c>
      <c r="W854">
        <v>0</v>
      </c>
      <c r="X854">
        <v>1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1</v>
      </c>
      <c r="AE854">
        <v>0</v>
      </c>
      <c r="AF854">
        <v>3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</row>
    <row r="855" spans="1:40">
      <c r="A855">
        <v>4523</v>
      </c>
      <c r="B855" t="s">
        <v>6287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 s="367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 s="367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2</v>
      </c>
      <c r="AF855">
        <v>2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</row>
    <row r="856" spans="1:40">
      <c r="A856">
        <v>4526</v>
      </c>
      <c r="B856" t="s">
        <v>5557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 s="367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 s="367">
        <v>0</v>
      </c>
      <c r="U856">
        <v>0</v>
      </c>
      <c r="V856">
        <v>7</v>
      </c>
      <c r="W856">
        <v>0</v>
      </c>
      <c r="X856">
        <v>2</v>
      </c>
      <c r="Y856">
        <v>2</v>
      </c>
      <c r="Z856">
        <v>0</v>
      </c>
      <c r="AA856">
        <v>0</v>
      </c>
      <c r="AB856">
        <v>0</v>
      </c>
      <c r="AC856">
        <v>1</v>
      </c>
      <c r="AD856">
        <v>10</v>
      </c>
      <c r="AE856">
        <v>0</v>
      </c>
      <c r="AF856">
        <v>0</v>
      </c>
      <c r="AG856">
        <v>5</v>
      </c>
      <c r="AH856">
        <v>0</v>
      </c>
      <c r="AI856">
        <v>0</v>
      </c>
      <c r="AJ856">
        <v>0</v>
      </c>
      <c r="AK856">
        <v>0</v>
      </c>
      <c r="AL856">
        <v>7</v>
      </c>
      <c r="AN856" s="367" t="s">
        <v>6792</v>
      </c>
    </row>
    <row r="857" spans="1:40">
      <c r="A857">
        <v>4527</v>
      </c>
      <c r="B857" t="s">
        <v>6146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 s="36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 s="36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1</v>
      </c>
      <c r="AG857">
        <v>0</v>
      </c>
      <c r="AH857">
        <v>0</v>
      </c>
      <c r="AI857">
        <v>1</v>
      </c>
      <c r="AJ857">
        <v>0</v>
      </c>
      <c r="AK857">
        <v>0</v>
      </c>
      <c r="AL857">
        <v>0</v>
      </c>
    </row>
    <row r="858" spans="1:40">
      <c r="A858">
        <v>4529</v>
      </c>
      <c r="B858" t="s">
        <v>5558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 s="367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 s="367">
        <v>0</v>
      </c>
      <c r="U858">
        <v>0</v>
      </c>
      <c r="V858">
        <v>0</v>
      </c>
      <c r="W858">
        <v>2</v>
      </c>
      <c r="X858">
        <v>0</v>
      </c>
      <c r="Y858">
        <v>2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2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</row>
    <row r="859" spans="1:40">
      <c r="A859">
        <v>4532</v>
      </c>
      <c r="B859" t="s">
        <v>5559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 s="367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 s="367">
        <v>0</v>
      </c>
      <c r="U859">
        <v>0</v>
      </c>
      <c r="V859">
        <v>0</v>
      </c>
      <c r="W859">
        <v>0</v>
      </c>
      <c r="X859">
        <v>0</v>
      </c>
      <c r="Y859">
        <v>2</v>
      </c>
      <c r="Z859">
        <v>2</v>
      </c>
      <c r="AA859">
        <v>0</v>
      </c>
      <c r="AB859">
        <v>0</v>
      </c>
      <c r="AC859">
        <v>0</v>
      </c>
      <c r="AD859">
        <v>4</v>
      </c>
      <c r="AE859">
        <v>1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</row>
    <row r="860" spans="1:40">
      <c r="A860">
        <v>4533</v>
      </c>
      <c r="B860" t="s">
        <v>5560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 s="367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 s="367">
        <v>0</v>
      </c>
      <c r="U860">
        <v>0</v>
      </c>
      <c r="V860">
        <v>0</v>
      </c>
      <c r="W860">
        <v>0</v>
      </c>
      <c r="X860">
        <v>3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1</v>
      </c>
      <c r="AG860">
        <v>0</v>
      </c>
      <c r="AH860">
        <v>0</v>
      </c>
      <c r="AI860">
        <v>4</v>
      </c>
      <c r="AJ860">
        <v>0</v>
      </c>
      <c r="AK860">
        <v>0</v>
      </c>
      <c r="AL860">
        <v>0</v>
      </c>
    </row>
    <row r="861" spans="1:40">
      <c r="A861">
        <v>4534</v>
      </c>
      <c r="B861" t="s">
        <v>5561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 s="367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 s="367">
        <v>0</v>
      </c>
      <c r="U861">
        <v>0</v>
      </c>
      <c r="V861">
        <v>3</v>
      </c>
      <c r="W861">
        <v>0</v>
      </c>
      <c r="X861">
        <v>0</v>
      </c>
      <c r="Y861">
        <v>2</v>
      </c>
      <c r="Z861">
        <v>0</v>
      </c>
      <c r="AA861">
        <v>0</v>
      </c>
      <c r="AB861">
        <v>0</v>
      </c>
      <c r="AC861">
        <v>0</v>
      </c>
      <c r="AD861">
        <v>5</v>
      </c>
      <c r="AE861">
        <v>6</v>
      </c>
      <c r="AF861">
        <v>0</v>
      </c>
      <c r="AG861">
        <v>0</v>
      </c>
      <c r="AH861">
        <v>0</v>
      </c>
      <c r="AI861">
        <v>1</v>
      </c>
      <c r="AJ861">
        <v>1</v>
      </c>
      <c r="AK861">
        <v>0</v>
      </c>
      <c r="AL861">
        <v>3</v>
      </c>
      <c r="AN861" s="367" t="s">
        <v>6782</v>
      </c>
    </row>
    <row r="862" spans="1:40">
      <c r="A862">
        <v>4535</v>
      </c>
      <c r="B862" t="s">
        <v>6354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 s="367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 s="367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1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</row>
    <row r="863" spans="1:40">
      <c r="A863">
        <v>4536</v>
      </c>
      <c r="B863" t="s">
        <v>5562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 s="367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 s="367">
        <v>0</v>
      </c>
      <c r="U863">
        <v>0</v>
      </c>
      <c r="V863">
        <v>8</v>
      </c>
      <c r="W863">
        <v>0</v>
      </c>
      <c r="X863">
        <v>1</v>
      </c>
      <c r="Y863">
        <v>2</v>
      </c>
      <c r="Z863">
        <v>0</v>
      </c>
      <c r="AA863">
        <v>0</v>
      </c>
      <c r="AB863">
        <v>0</v>
      </c>
      <c r="AC863">
        <v>0</v>
      </c>
      <c r="AD863">
        <v>3</v>
      </c>
      <c r="AE863">
        <v>0</v>
      </c>
      <c r="AF863">
        <v>0</v>
      </c>
      <c r="AG863">
        <v>1</v>
      </c>
      <c r="AH863">
        <v>12</v>
      </c>
      <c r="AI863">
        <v>0</v>
      </c>
      <c r="AJ863">
        <v>0</v>
      </c>
      <c r="AK863">
        <v>0</v>
      </c>
      <c r="AL863">
        <v>8</v>
      </c>
      <c r="AN863" s="367" t="s">
        <v>3544</v>
      </c>
    </row>
    <row r="864" spans="1:40">
      <c r="A864">
        <v>4540</v>
      </c>
      <c r="B864" t="s">
        <v>5563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 s="367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 s="367">
        <v>0</v>
      </c>
      <c r="U864">
        <v>0</v>
      </c>
      <c r="V864">
        <v>4</v>
      </c>
      <c r="W864">
        <v>1</v>
      </c>
      <c r="X864">
        <v>0</v>
      </c>
      <c r="Y864">
        <v>2</v>
      </c>
      <c r="Z864">
        <v>2</v>
      </c>
      <c r="AA864">
        <v>0</v>
      </c>
      <c r="AB864">
        <v>0</v>
      </c>
      <c r="AC864">
        <v>0</v>
      </c>
      <c r="AD864">
        <v>0</v>
      </c>
      <c r="AE864">
        <v>8</v>
      </c>
      <c r="AF864">
        <v>0</v>
      </c>
      <c r="AG864">
        <v>0</v>
      </c>
      <c r="AH864">
        <v>0</v>
      </c>
      <c r="AI864">
        <v>1</v>
      </c>
      <c r="AJ864">
        <v>1</v>
      </c>
      <c r="AK864">
        <v>0</v>
      </c>
      <c r="AL864">
        <v>4</v>
      </c>
      <c r="AN864" s="367" t="s">
        <v>4718</v>
      </c>
    </row>
    <row r="865" spans="1:38">
      <c r="A865">
        <v>4541</v>
      </c>
      <c r="B865" t="s">
        <v>5564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 s="367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 s="367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1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</row>
    <row r="866" spans="1:38">
      <c r="A866">
        <v>4543</v>
      </c>
      <c r="B866" t="s">
        <v>5565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 s="367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 s="367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3</v>
      </c>
      <c r="AF866">
        <v>1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</row>
    <row r="867" spans="1:38">
      <c r="A867">
        <v>4545</v>
      </c>
      <c r="B867" t="s">
        <v>5566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 s="3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 s="367">
        <v>0</v>
      </c>
      <c r="U867">
        <v>0</v>
      </c>
      <c r="V867">
        <v>0</v>
      </c>
      <c r="W867">
        <v>0</v>
      </c>
      <c r="X867">
        <v>0</v>
      </c>
      <c r="Y867">
        <v>2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1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</row>
    <row r="868" spans="1:38">
      <c r="A868">
        <v>4549</v>
      </c>
      <c r="B868" t="s">
        <v>5567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 s="367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 s="367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2</v>
      </c>
      <c r="AE868">
        <v>0</v>
      </c>
      <c r="AF868">
        <v>3</v>
      </c>
      <c r="AG868">
        <v>0</v>
      </c>
      <c r="AH868">
        <v>0</v>
      </c>
      <c r="AI868">
        <v>1</v>
      </c>
      <c r="AJ868">
        <v>0</v>
      </c>
      <c r="AK868">
        <v>0</v>
      </c>
      <c r="AL868">
        <v>0</v>
      </c>
    </row>
    <row r="869" spans="1:38">
      <c r="A869">
        <v>4550</v>
      </c>
      <c r="B869" t="s">
        <v>6321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 s="367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 s="367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</row>
    <row r="870" spans="1:38">
      <c r="A870">
        <v>4551</v>
      </c>
      <c r="B870" t="s">
        <v>5568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 s="367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 s="367">
        <v>0</v>
      </c>
      <c r="U870">
        <v>0</v>
      </c>
      <c r="V870">
        <v>0</v>
      </c>
      <c r="W870">
        <v>1</v>
      </c>
      <c r="X870">
        <v>0</v>
      </c>
      <c r="Y870">
        <v>3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1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</row>
    <row r="871" spans="1:38">
      <c r="A871">
        <v>4552</v>
      </c>
      <c r="B871" t="s">
        <v>5569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 s="367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 s="367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2</v>
      </c>
      <c r="AF871">
        <v>3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</row>
    <row r="872" spans="1:38">
      <c r="A872">
        <v>4555</v>
      </c>
      <c r="B872" t="s">
        <v>5570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 s="367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 s="367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1</v>
      </c>
      <c r="AF872">
        <v>1</v>
      </c>
      <c r="AG872">
        <v>0</v>
      </c>
      <c r="AH872">
        <v>0</v>
      </c>
      <c r="AI872">
        <v>0</v>
      </c>
      <c r="AJ872">
        <v>1</v>
      </c>
      <c r="AK872">
        <v>0</v>
      </c>
      <c r="AL872">
        <v>0</v>
      </c>
    </row>
    <row r="873" spans="1:38">
      <c r="A873">
        <v>4557</v>
      </c>
      <c r="B873" t="s">
        <v>5571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 s="367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 s="367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1</v>
      </c>
      <c r="AF873">
        <v>1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</row>
    <row r="874" spans="1:38">
      <c r="A874">
        <v>4560</v>
      </c>
      <c r="B874" t="s">
        <v>5572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 s="367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 s="367">
        <v>0</v>
      </c>
      <c r="U874">
        <v>0</v>
      </c>
      <c r="V874">
        <v>0</v>
      </c>
      <c r="W874">
        <v>0</v>
      </c>
      <c r="X874">
        <v>0</v>
      </c>
      <c r="Y874">
        <v>1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</row>
    <row r="875" spans="1:38">
      <c r="A875">
        <v>4562</v>
      </c>
      <c r="B875" t="s">
        <v>5573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 s="367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 s="367">
        <v>0</v>
      </c>
      <c r="U875">
        <v>0</v>
      </c>
      <c r="V875">
        <v>0</v>
      </c>
      <c r="W875">
        <v>0</v>
      </c>
      <c r="X875">
        <v>0</v>
      </c>
      <c r="Y875">
        <v>2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</row>
    <row r="876" spans="1:38">
      <c r="A876">
        <v>4563</v>
      </c>
      <c r="B876" t="s">
        <v>6182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 s="367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 s="367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2</v>
      </c>
      <c r="AE876">
        <v>1</v>
      </c>
      <c r="AF876">
        <v>1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</row>
    <row r="877" spans="1:38">
      <c r="A877">
        <v>4564</v>
      </c>
      <c r="B877" t="s">
        <v>5574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 s="36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 s="367">
        <v>0</v>
      </c>
      <c r="U877">
        <v>0</v>
      </c>
      <c r="V877">
        <v>0</v>
      </c>
      <c r="W877">
        <v>1</v>
      </c>
      <c r="X877">
        <v>1</v>
      </c>
      <c r="Y877">
        <v>2</v>
      </c>
      <c r="Z877">
        <v>2</v>
      </c>
      <c r="AA877">
        <v>0</v>
      </c>
      <c r="AB877">
        <v>0</v>
      </c>
      <c r="AC877">
        <v>1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</row>
    <row r="878" spans="1:38">
      <c r="A878">
        <v>4566</v>
      </c>
      <c r="B878" t="s">
        <v>5575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 s="367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 s="367">
        <v>0</v>
      </c>
      <c r="U878">
        <v>0</v>
      </c>
      <c r="V878">
        <v>0</v>
      </c>
      <c r="W878">
        <v>2</v>
      </c>
      <c r="X878">
        <v>1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3</v>
      </c>
      <c r="AG878">
        <v>1</v>
      </c>
      <c r="AH878">
        <v>0</v>
      </c>
      <c r="AI878">
        <v>3</v>
      </c>
      <c r="AJ878">
        <v>0</v>
      </c>
      <c r="AK878">
        <v>0</v>
      </c>
      <c r="AL878">
        <v>0</v>
      </c>
    </row>
    <row r="879" spans="1:38">
      <c r="A879">
        <v>4568</v>
      </c>
      <c r="B879" t="s">
        <v>6148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 s="367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 s="367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1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</row>
    <row r="880" spans="1:38">
      <c r="A880">
        <v>4571</v>
      </c>
      <c r="B880" t="s">
        <v>5576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 s="367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 s="367">
        <v>0</v>
      </c>
      <c r="U880">
        <v>0</v>
      </c>
      <c r="V880">
        <v>0</v>
      </c>
      <c r="W880">
        <v>0</v>
      </c>
      <c r="X880">
        <v>0</v>
      </c>
      <c r="Y880">
        <v>2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1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</row>
    <row r="881" spans="1:40">
      <c r="A881">
        <v>4572</v>
      </c>
      <c r="B881" t="s">
        <v>5577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 s="367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 s="367">
        <v>0</v>
      </c>
      <c r="U881">
        <v>0</v>
      </c>
      <c r="V881">
        <v>0</v>
      </c>
      <c r="W881">
        <v>0</v>
      </c>
      <c r="X881">
        <v>1</v>
      </c>
      <c r="Y881">
        <v>1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</row>
    <row r="882" spans="1:40">
      <c r="A882">
        <v>4576</v>
      </c>
      <c r="B882" t="s">
        <v>5578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 s="367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 s="367">
        <v>0</v>
      </c>
      <c r="U882">
        <v>0</v>
      </c>
      <c r="V882">
        <v>0</v>
      </c>
      <c r="W882">
        <v>1</v>
      </c>
      <c r="X882">
        <v>2</v>
      </c>
      <c r="Y882">
        <v>0</v>
      </c>
      <c r="Z882">
        <v>1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1</v>
      </c>
      <c r="AG882">
        <v>0</v>
      </c>
      <c r="AH882">
        <v>0</v>
      </c>
      <c r="AI882">
        <v>1</v>
      </c>
      <c r="AJ882">
        <v>3</v>
      </c>
      <c r="AK882">
        <v>0</v>
      </c>
      <c r="AL882">
        <v>0</v>
      </c>
    </row>
    <row r="883" spans="1:40">
      <c r="A883">
        <v>4580</v>
      </c>
      <c r="B883" t="s">
        <v>5579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 s="367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 s="367">
        <v>0</v>
      </c>
      <c r="U883">
        <v>0</v>
      </c>
      <c r="V883">
        <v>0</v>
      </c>
      <c r="W883">
        <v>0</v>
      </c>
      <c r="X883">
        <v>1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2</v>
      </c>
      <c r="AE883">
        <v>0</v>
      </c>
      <c r="AF883">
        <v>3</v>
      </c>
      <c r="AG883">
        <v>1</v>
      </c>
      <c r="AH883">
        <v>0</v>
      </c>
      <c r="AI883">
        <v>0</v>
      </c>
      <c r="AJ883">
        <v>0</v>
      </c>
      <c r="AK883">
        <v>0</v>
      </c>
      <c r="AL883">
        <v>0</v>
      </c>
    </row>
    <row r="884" spans="1:40">
      <c r="A884">
        <v>4581</v>
      </c>
      <c r="B884" t="s">
        <v>5580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 s="367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 s="367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</row>
    <row r="885" spans="1:40">
      <c r="A885">
        <v>4702</v>
      </c>
      <c r="B885" t="s">
        <v>5581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 s="367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 s="367">
        <v>0</v>
      </c>
      <c r="U885">
        <v>0</v>
      </c>
      <c r="V885">
        <v>0</v>
      </c>
      <c r="W885">
        <v>1</v>
      </c>
      <c r="X885">
        <v>0</v>
      </c>
      <c r="Y885">
        <v>3</v>
      </c>
      <c r="Z885">
        <v>1</v>
      </c>
      <c r="AA885">
        <v>0</v>
      </c>
      <c r="AB885">
        <v>1</v>
      </c>
      <c r="AC885">
        <v>0</v>
      </c>
      <c r="AD885">
        <v>0</v>
      </c>
      <c r="AE885">
        <v>1</v>
      </c>
      <c r="AF885">
        <v>0</v>
      </c>
      <c r="AG885">
        <v>0</v>
      </c>
      <c r="AH885">
        <v>0</v>
      </c>
      <c r="AI885">
        <v>0</v>
      </c>
      <c r="AJ885">
        <v>1</v>
      </c>
      <c r="AK885">
        <v>0</v>
      </c>
      <c r="AL885">
        <v>0</v>
      </c>
    </row>
    <row r="886" spans="1:40">
      <c r="A886">
        <v>4707</v>
      </c>
      <c r="B886" t="s">
        <v>5582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 s="367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 s="367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1</v>
      </c>
      <c r="AC886">
        <v>0</v>
      </c>
      <c r="AD886">
        <v>4</v>
      </c>
      <c r="AE886">
        <v>2</v>
      </c>
      <c r="AF886">
        <v>3</v>
      </c>
      <c r="AG886">
        <v>2</v>
      </c>
      <c r="AH886">
        <v>0</v>
      </c>
      <c r="AI886">
        <v>0</v>
      </c>
      <c r="AJ886">
        <v>1</v>
      </c>
      <c r="AK886">
        <v>0</v>
      </c>
      <c r="AL886">
        <v>0</v>
      </c>
    </row>
    <row r="887" spans="1:40">
      <c r="A887">
        <v>4711</v>
      </c>
      <c r="B887" t="s">
        <v>5583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 s="36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 s="367">
        <v>0</v>
      </c>
      <c r="U887">
        <v>0</v>
      </c>
      <c r="V887">
        <v>4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8</v>
      </c>
      <c r="AE887">
        <v>1</v>
      </c>
      <c r="AF887">
        <v>3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4</v>
      </c>
      <c r="AN887" s="367" t="s">
        <v>6761</v>
      </c>
    </row>
    <row r="888" spans="1:40">
      <c r="A888">
        <v>4714</v>
      </c>
      <c r="B888" t="s">
        <v>5584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 s="367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 s="367">
        <v>0</v>
      </c>
      <c r="U888">
        <v>0</v>
      </c>
      <c r="V888">
        <v>0</v>
      </c>
      <c r="W888">
        <v>1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3</v>
      </c>
      <c r="AF888">
        <v>4</v>
      </c>
      <c r="AG888">
        <v>0</v>
      </c>
      <c r="AH888">
        <v>0</v>
      </c>
      <c r="AI888">
        <v>1</v>
      </c>
      <c r="AJ888">
        <v>1</v>
      </c>
      <c r="AK888">
        <v>0</v>
      </c>
      <c r="AL888">
        <v>0</v>
      </c>
    </row>
    <row r="889" spans="1:40">
      <c r="A889">
        <v>4716</v>
      </c>
      <c r="B889" t="s">
        <v>5585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 s="367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 s="367">
        <v>0</v>
      </c>
      <c r="U889">
        <v>0</v>
      </c>
      <c r="V889">
        <v>6</v>
      </c>
      <c r="W889">
        <v>0</v>
      </c>
      <c r="X889">
        <v>1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1</v>
      </c>
      <c r="AE889">
        <v>0</v>
      </c>
      <c r="AF889">
        <v>1</v>
      </c>
      <c r="AG889">
        <v>0</v>
      </c>
      <c r="AH889">
        <v>0</v>
      </c>
      <c r="AI889">
        <v>10</v>
      </c>
      <c r="AJ889">
        <v>0</v>
      </c>
      <c r="AK889">
        <v>0</v>
      </c>
      <c r="AL889">
        <v>6</v>
      </c>
      <c r="AN889" s="367" t="s">
        <v>6775</v>
      </c>
    </row>
    <row r="890" spans="1:40">
      <c r="A890">
        <v>4720</v>
      </c>
      <c r="B890" t="s">
        <v>5586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 s="367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 s="367">
        <v>0</v>
      </c>
      <c r="U890">
        <v>0</v>
      </c>
      <c r="V890">
        <v>0</v>
      </c>
      <c r="W890">
        <v>3</v>
      </c>
      <c r="X890">
        <v>1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3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</row>
    <row r="891" spans="1:40">
      <c r="A891">
        <v>4722</v>
      </c>
      <c r="B891" t="s">
        <v>5588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 s="367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 s="367">
        <v>0</v>
      </c>
      <c r="U891">
        <v>0</v>
      </c>
      <c r="V891">
        <v>4</v>
      </c>
      <c r="W891">
        <v>1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1</v>
      </c>
      <c r="AF891">
        <v>7</v>
      </c>
      <c r="AG891">
        <v>0</v>
      </c>
      <c r="AH891">
        <v>0</v>
      </c>
      <c r="AI891">
        <v>5</v>
      </c>
      <c r="AJ891">
        <v>0</v>
      </c>
      <c r="AK891">
        <v>0</v>
      </c>
      <c r="AL891">
        <v>4</v>
      </c>
      <c r="AN891" s="367" t="s">
        <v>6786</v>
      </c>
    </row>
    <row r="892" spans="1:40">
      <c r="A892">
        <v>4728</v>
      </c>
      <c r="B892" t="s">
        <v>5589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 s="367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 s="367">
        <v>0</v>
      </c>
      <c r="U892">
        <v>0</v>
      </c>
      <c r="V892">
        <v>2</v>
      </c>
      <c r="W892">
        <v>0</v>
      </c>
      <c r="X892">
        <v>1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1</v>
      </c>
      <c r="AE892">
        <v>0</v>
      </c>
      <c r="AF892">
        <v>6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2</v>
      </c>
      <c r="AN892" s="367" t="s">
        <v>3542</v>
      </c>
    </row>
    <row r="893" spans="1:40">
      <c r="A893">
        <v>4735</v>
      </c>
      <c r="B893" t="s">
        <v>5590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 s="367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 s="367">
        <v>0</v>
      </c>
      <c r="U893">
        <v>0</v>
      </c>
      <c r="V893">
        <v>1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1</v>
      </c>
      <c r="AC893">
        <v>0</v>
      </c>
      <c r="AD893">
        <v>1</v>
      </c>
      <c r="AE893">
        <v>5</v>
      </c>
      <c r="AF893">
        <v>1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1</v>
      </c>
      <c r="AN893" s="367" t="s">
        <v>4718</v>
      </c>
    </row>
    <row r="894" spans="1:40">
      <c r="A894">
        <v>4736</v>
      </c>
      <c r="B894" t="s">
        <v>5591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 s="367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 s="367">
        <v>0</v>
      </c>
      <c r="U894">
        <v>0</v>
      </c>
      <c r="V894">
        <v>0</v>
      </c>
      <c r="W894">
        <v>0</v>
      </c>
      <c r="X894">
        <v>3</v>
      </c>
      <c r="Y894">
        <v>0</v>
      </c>
      <c r="Z894">
        <v>1</v>
      </c>
      <c r="AA894">
        <v>0</v>
      </c>
      <c r="AB894">
        <v>2</v>
      </c>
      <c r="AC894">
        <v>1</v>
      </c>
      <c r="AD894">
        <v>1</v>
      </c>
      <c r="AE894">
        <v>0</v>
      </c>
      <c r="AF894">
        <v>1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</row>
    <row r="895" spans="1:40">
      <c r="A895">
        <v>4737</v>
      </c>
      <c r="B895" t="s">
        <v>5592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 s="367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 s="367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1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</row>
    <row r="896" spans="1:40">
      <c r="A896">
        <v>4739</v>
      </c>
      <c r="B896" t="s">
        <v>5593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 s="367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 s="367">
        <v>0</v>
      </c>
      <c r="U896">
        <v>0</v>
      </c>
      <c r="V896">
        <v>0</v>
      </c>
      <c r="W896">
        <v>2</v>
      </c>
      <c r="X896">
        <v>0</v>
      </c>
      <c r="Y896">
        <v>3</v>
      </c>
      <c r="Z896">
        <v>2</v>
      </c>
      <c r="AA896">
        <v>0</v>
      </c>
      <c r="AB896">
        <v>1</v>
      </c>
      <c r="AC896">
        <v>0</v>
      </c>
      <c r="AD896">
        <v>0</v>
      </c>
      <c r="AE896">
        <v>3</v>
      </c>
      <c r="AF896">
        <v>0</v>
      </c>
      <c r="AG896">
        <v>0</v>
      </c>
      <c r="AH896">
        <v>0</v>
      </c>
      <c r="AI896">
        <v>0</v>
      </c>
      <c r="AJ896">
        <v>3</v>
      </c>
      <c r="AK896">
        <v>0</v>
      </c>
      <c r="AL896">
        <v>0</v>
      </c>
    </row>
    <row r="897" spans="1:40">
      <c r="A897">
        <v>4744</v>
      </c>
      <c r="B897" t="s">
        <v>5594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 s="36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 s="367">
        <v>0</v>
      </c>
      <c r="U897">
        <v>0</v>
      </c>
      <c r="V897">
        <v>0</v>
      </c>
      <c r="W897">
        <v>1</v>
      </c>
      <c r="X897">
        <v>3</v>
      </c>
      <c r="Y897">
        <v>0</v>
      </c>
      <c r="Z897">
        <v>0</v>
      </c>
      <c r="AA897">
        <v>0</v>
      </c>
      <c r="AB897">
        <v>1</v>
      </c>
      <c r="AC897">
        <v>2</v>
      </c>
      <c r="AD897">
        <v>0</v>
      </c>
      <c r="AE897">
        <v>0</v>
      </c>
      <c r="AF897">
        <v>2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</row>
    <row r="898" spans="1:40">
      <c r="A898">
        <v>4745</v>
      </c>
      <c r="B898" t="s">
        <v>5595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 s="367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 s="367">
        <v>0</v>
      </c>
      <c r="U898">
        <v>0</v>
      </c>
      <c r="V898">
        <v>0</v>
      </c>
      <c r="W898">
        <v>1</v>
      </c>
      <c r="X898">
        <v>0</v>
      </c>
      <c r="Y898">
        <v>2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4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</row>
    <row r="899" spans="1:40">
      <c r="A899">
        <v>4746</v>
      </c>
      <c r="B899" t="s">
        <v>5596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 s="367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 s="367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1</v>
      </c>
      <c r="AA899">
        <v>0</v>
      </c>
      <c r="AB899">
        <v>0</v>
      </c>
      <c r="AC899">
        <v>1</v>
      </c>
      <c r="AD899">
        <v>1</v>
      </c>
      <c r="AE899">
        <v>4</v>
      </c>
      <c r="AF899">
        <v>1</v>
      </c>
      <c r="AG899">
        <v>0</v>
      </c>
      <c r="AH899">
        <v>0</v>
      </c>
      <c r="AI899">
        <v>4</v>
      </c>
      <c r="AJ899">
        <v>0</v>
      </c>
      <c r="AK899">
        <v>0</v>
      </c>
      <c r="AL899">
        <v>0</v>
      </c>
    </row>
    <row r="900" spans="1:40">
      <c r="A900">
        <v>4760</v>
      </c>
      <c r="B900" t="s">
        <v>5598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 s="367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 s="367">
        <v>0</v>
      </c>
      <c r="U900">
        <v>0</v>
      </c>
      <c r="V900">
        <v>6</v>
      </c>
      <c r="W900">
        <v>3</v>
      </c>
      <c r="X900">
        <v>0</v>
      </c>
      <c r="Y900">
        <v>0</v>
      </c>
      <c r="Z900">
        <v>0</v>
      </c>
      <c r="AA900">
        <v>0</v>
      </c>
      <c r="AB900">
        <v>1</v>
      </c>
      <c r="AC900">
        <v>0</v>
      </c>
      <c r="AD900">
        <v>0</v>
      </c>
      <c r="AE900">
        <v>10</v>
      </c>
      <c r="AF900">
        <v>1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6</v>
      </c>
      <c r="AN900" s="367" t="s">
        <v>4718</v>
      </c>
    </row>
    <row r="901" spans="1:40">
      <c r="A901">
        <v>4763</v>
      </c>
      <c r="B901" t="s">
        <v>5599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 s="367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 s="367">
        <v>0</v>
      </c>
      <c r="U901">
        <v>0</v>
      </c>
      <c r="V901">
        <v>0</v>
      </c>
      <c r="W901">
        <v>1</v>
      </c>
      <c r="X901">
        <v>0</v>
      </c>
      <c r="Y901">
        <v>2</v>
      </c>
      <c r="Z901">
        <v>1</v>
      </c>
      <c r="AA901">
        <v>0</v>
      </c>
      <c r="AB901">
        <v>0</v>
      </c>
      <c r="AC901">
        <v>0</v>
      </c>
      <c r="AD901">
        <v>0</v>
      </c>
      <c r="AE901">
        <v>1</v>
      </c>
      <c r="AF901">
        <v>0</v>
      </c>
      <c r="AG901">
        <v>0</v>
      </c>
      <c r="AH901">
        <v>0</v>
      </c>
      <c r="AI901">
        <v>0</v>
      </c>
      <c r="AJ901">
        <v>1</v>
      </c>
      <c r="AK901">
        <v>0</v>
      </c>
      <c r="AL901">
        <v>0</v>
      </c>
    </row>
    <row r="902" spans="1:40">
      <c r="A902">
        <v>4764</v>
      </c>
      <c r="B902" t="s">
        <v>5600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 s="367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 s="367">
        <v>0</v>
      </c>
      <c r="U902">
        <v>0</v>
      </c>
      <c r="V902">
        <v>0</v>
      </c>
      <c r="W902">
        <v>0</v>
      </c>
      <c r="X902">
        <v>3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1</v>
      </c>
      <c r="AJ902">
        <v>0</v>
      </c>
      <c r="AK902">
        <v>0</v>
      </c>
      <c r="AL902">
        <v>0</v>
      </c>
    </row>
    <row r="903" spans="1:40">
      <c r="A903">
        <v>4766</v>
      </c>
      <c r="B903" t="s">
        <v>5601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 s="367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 s="367">
        <v>0</v>
      </c>
      <c r="U903">
        <v>0</v>
      </c>
      <c r="V903">
        <v>13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1</v>
      </c>
      <c r="AC903">
        <v>0</v>
      </c>
      <c r="AD903">
        <v>3</v>
      </c>
      <c r="AE903">
        <v>1</v>
      </c>
      <c r="AF903">
        <v>17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13</v>
      </c>
      <c r="AN903" s="367" t="s">
        <v>3542</v>
      </c>
    </row>
    <row r="904" spans="1:40">
      <c r="A904">
        <v>4807</v>
      </c>
      <c r="B904" t="s">
        <v>5603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 s="367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 s="367">
        <v>0</v>
      </c>
      <c r="U904">
        <v>0</v>
      </c>
      <c r="V904">
        <v>0</v>
      </c>
      <c r="W904">
        <v>0</v>
      </c>
      <c r="X904">
        <v>2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2</v>
      </c>
      <c r="AG904">
        <v>1</v>
      </c>
      <c r="AH904">
        <v>0</v>
      </c>
      <c r="AI904">
        <v>0</v>
      </c>
      <c r="AJ904">
        <v>0</v>
      </c>
      <c r="AK904">
        <v>0</v>
      </c>
      <c r="AL904">
        <v>0</v>
      </c>
    </row>
    <row r="905" spans="1:40">
      <c r="A905">
        <v>4906</v>
      </c>
      <c r="B905" t="s">
        <v>5605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 s="367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 s="367">
        <v>0</v>
      </c>
      <c r="U905">
        <v>2</v>
      </c>
      <c r="V905">
        <v>0</v>
      </c>
      <c r="W905">
        <v>5</v>
      </c>
      <c r="X905">
        <v>2</v>
      </c>
      <c r="Y905">
        <v>5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1</v>
      </c>
      <c r="AH905">
        <v>0</v>
      </c>
      <c r="AI905">
        <v>1</v>
      </c>
      <c r="AJ905">
        <v>1</v>
      </c>
      <c r="AK905">
        <v>2</v>
      </c>
      <c r="AL905">
        <v>0</v>
      </c>
      <c r="AM905" s="367" t="s">
        <v>6785</v>
      </c>
    </row>
    <row r="906" spans="1:40">
      <c r="A906">
        <v>4908</v>
      </c>
      <c r="B906" t="s">
        <v>5606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 s="367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 s="367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4</v>
      </c>
      <c r="AE906">
        <v>0</v>
      </c>
      <c r="AF906">
        <v>4</v>
      </c>
      <c r="AG906">
        <v>1</v>
      </c>
      <c r="AH906">
        <v>0</v>
      </c>
      <c r="AI906">
        <v>2</v>
      </c>
      <c r="AJ906">
        <v>2</v>
      </c>
      <c r="AK906">
        <v>0</v>
      </c>
      <c r="AL906">
        <v>0</v>
      </c>
    </row>
    <row r="907" spans="1:40">
      <c r="A907">
        <v>4909</v>
      </c>
      <c r="B907" t="s">
        <v>5607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 s="36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 s="367">
        <v>0</v>
      </c>
      <c r="U907">
        <v>0</v>
      </c>
      <c r="V907">
        <v>2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6</v>
      </c>
      <c r="AE907">
        <v>3</v>
      </c>
      <c r="AF907">
        <v>4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2</v>
      </c>
      <c r="AN907" s="367" t="s">
        <v>6761</v>
      </c>
    </row>
    <row r="908" spans="1:40">
      <c r="A908">
        <v>4912</v>
      </c>
      <c r="B908" t="s">
        <v>5608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 s="367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 s="367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1</v>
      </c>
      <c r="AA908">
        <v>0</v>
      </c>
      <c r="AB908">
        <v>0</v>
      </c>
      <c r="AC908">
        <v>2</v>
      </c>
      <c r="AD908">
        <v>1</v>
      </c>
      <c r="AE908">
        <v>1</v>
      </c>
      <c r="AF908">
        <v>1</v>
      </c>
      <c r="AG908">
        <v>0</v>
      </c>
      <c r="AH908">
        <v>0</v>
      </c>
      <c r="AI908">
        <v>1</v>
      </c>
      <c r="AJ908">
        <v>0</v>
      </c>
      <c r="AK908">
        <v>0</v>
      </c>
      <c r="AL908">
        <v>0</v>
      </c>
    </row>
    <row r="909" spans="1:40">
      <c r="A909">
        <v>4915</v>
      </c>
      <c r="B909" t="s">
        <v>5609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 s="367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 s="367">
        <v>0</v>
      </c>
      <c r="U909">
        <v>0</v>
      </c>
      <c r="V909">
        <v>0</v>
      </c>
      <c r="W909">
        <v>0</v>
      </c>
      <c r="X909">
        <v>1</v>
      </c>
      <c r="Y909">
        <v>3</v>
      </c>
      <c r="Z909">
        <v>0</v>
      </c>
      <c r="AA909">
        <v>0</v>
      </c>
      <c r="AB909">
        <v>0</v>
      </c>
      <c r="AC909">
        <v>0</v>
      </c>
      <c r="AD909">
        <v>1</v>
      </c>
      <c r="AE909">
        <v>0</v>
      </c>
      <c r="AF909">
        <v>0</v>
      </c>
      <c r="AG909">
        <v>1</v>
      </c>
      <c r="AH909">
        <v>1</v>
      </c>
      <c r="AI909">
        <v>1</v>
      </c>
      <c r="AJ909">
        <v>1</v>
      </c>
      <c r="AK909">
        <v>0</v>
      </c>
      <c r="AL909">
        <v>0</v>
      </c>
    </row>
    <row r="910" spans="1:40">
      <c r="A910">
        <v>4916</v>
      </c>
      <c r="B910" t="s">
        <v>5610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 s="367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 s="367">
        <v>0</v>
      </c>
      <c r="U910">
        <v>0</v>
      </c>
      <c r="V910">
        <v>0</v>
      </c>
      <c r="W910">
        <v>0</v>
      </c>
      <c r="X910">
        <v>1</v>
      </c>
      <c r="Y910">
        <v>3</v>
      </c>
      <c r="Z910">
        <v>0</v>
      </c>
      <c r="AA910">
        <v>0</v>
      </c>
      <c r="AB910">
        <v>0</v>
      </c>
      <c r="AC910">
        <v>2</v>
      </c>
      <c r="AD910">
        <v>1</v>
      </c>
      <c r="AE910">
        <v>0</v>
      </c>
      <c r="AF910">
        <v>0</v>
      </c>
      <c r="AG910">
        <v>0</v>
      </c>
      <c r="AH910">
        <v>0</v>
      </c>
      <c r="AI910">
        <v>3</v>
      </c>
      <c r="AJ910">
        <v>0</v>
      </c>
      <c r="AK910">
        <v>0</v>
      </c>
      <c r="AL910">
        <v>0</v>
      </c>
    </row>
    <row r="911" spans="1:40">
      <c r="A911">
        <v>4919</v>
      </c>
      <c r="B911" t="s">
        <v>5611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 s="367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 s="367">
        <v>0</v>
      </c>
      <c r="U911">
        <v>1</v>
      </c>
      <c r="V911">
        <v>2</v>
      </c>
      <c r="W911">
        <v>3</v>
      </c>
      <c r="X911">
        <v>1</v>
      </c>
      <c r="Y911">
        <v>0</v>
      </c>
      <c r="Z911">
        <v>0</v>
      </c>
      <c r="AA911">
        <v>5</v>
      </c>
      <c r="AB911">
        <v>0</v>
      </c>
      <c r="AC911">
        <v>2</v>
      </c>
      <c r="AD911">
        <v>0</v>
      </c>
      <c r="AE911">
        <v>0</v>
      </c>
      <c r="AF911">
        <v>6</v>
      </c>
      <c r="AG911">
        <v>1</v>
      </c>
      <c r="AH911">
        <v>0</v>
      </c>
      <c r="AI911">
        <v>1</v>
      </c>
      <c r="AJ911">
        <v>0</v>
      </c>
      <c r="AK911">
        <v>1</v>
      </c>
      <c r="AL911">
        <v>2</v>
      </c>
      <c r="AM911" s="367" t="s">
        <v>3544</v>
      </c>
      <c r="AN911" s="367" t="s">
        <v>3542</v>
      </c>
    </row>
    <row r="912" spans="1:40">
      <c r="A912">
        <v>4927</v>
      </c>
      <c r="B912" t="s">
        <v>5612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 s="367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 s="367">
        <v>0</v>
      </c>
      <c r="U912">
        <v>1</v>
      </c>
      <c r="V912">
        <v>3</v>
      </c>
      <c r="W912">
        <v>1</v>
      </c>
      <c r="X912">
        <v>0</v>
      </c>
      <c r="Y912">
        <v>0</v>
      </c>
      <c r="Z912">
        <v>1</v>
      </c>
      <c r="AA912">
        <v>0</v>
      </c>
      <c r="AB912">
        <v>0</v>
      </c>
      <c r="AC912">
        <v>5</v>
      </c>
      <c r="AD912">
        <v>0</v>
      </c>
      <c r="AE912">
        <v>1</v>
      </c>
      <c r="AF912">
        <v>7</v>
      </c>
      <c r="AG912">
        <v>0</v>
      </c>
      <c r="AH912">
        <v>0</v>
      </c>
      <c r="AI912">
        <v>1</v>
      </c>
      <c r="AJ912">
        <v>0</v>
      </c>
      <c r="AK912">
        <v>1</v>
      </c>
      <c r="AL912">
        <v>3</v>
      </c>
      <c r="AM912" s="367" t="s">
        <v>6778</v>
      </c>
      <c r="AN912" s="367" t="s">
        <v>3542</v>
      </c>
    </row>
    <row r="913" spans="1:40">
      <c r="A913">
        <v>4930</v>
      </c>
      <c r="B913" t="s">
        <v>6183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 s="367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 s="367">
        <v>0</v>
      </c>
      <c r="U913">
        <v>0</v>
      </c>
      <c r="V913">
        <v>0</v>
      </c>
      <c r="W913">
        <v>0</v>
      </c>
      <c r="X913">
        <v>1</v>
      </c>
      <c r="Y913">
        <v>2</v>
      </c>
      <c r="Z913">
        <v>0</v>
      </c>
      <c r="AA913">
        <v>0</v>
      </c>
      <c r="AB913">
        <v>0</v>
      </c>
      <c r="AC913">
        <v>0</v>
      </c>
      <c r="AD913">
        <v>1</v>
      </c>
      <c r="AE913">
        <v>0</v>
      </c>
      <c r="AF913">
        <v>0</v>
      </c>
      <c r="AG913">
        <v>0</v>
      </c>
      <c r="AH913">
        <v>0</v>
      </c>
      <c r="AI913">
        <v>1</v>
      </c>
      <c r="AJ913">
        <v>2</v>
      </c>
      <c r="AK913">
        <v>0</v>
      </c>
      <c r="AL913">
        <v>0</v>
      </c>
    </row>
    <row r="914" spans="1:40">
      <c r="A914">
        <v>4933</v>
      </c>
      <c r="B914" t="s">
        <v>5614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 s="367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 s="367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1</v>
      </c>
      <c r="AF914">
        <v>2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</row>
    <row r="915" spans="1:40">
      <c r="A915">
        <v>4935</v>
      </c>
      <c r="B915" t="s">
        <v>5615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 s="367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 s="367">
        <v>0</v>
      </c>
      <c r="U915">
        <v>0</v>
      </c>
      <c r="V915">
        <v>2</v>
      </c>
      <c r="W915">
        <v>3</v>
      </c>
      <c r="X915">
        <v>0</v>
      </c>
      <c r="Y915">
        <v>0</v>
      </c>
      <c r="Z915">
        <v>2</v>
      </c>
      <c r="AA915">
        <v>0</v>
      </c>
      <c r="AB915">
        <v>0</v>
      </c>
      <c r="AC915">
        <v>0</v>
      </c>
      <c r="AD915">
        <v>0</v>
      </c>
      <c r="AE915">
        <v>1</v>
      </c>
      <c r="AF915">
        <v>1</v>
      </c>
      <c r="AG915">
        <v>0</v>
      </c>
      <c r="AH915">
        <v>0</v>
      </c>
      <c r="AI915">
        <v>6</v>
      </c>
      <c r="AJ915">
        <v>1</v>
      </c>
      <c r="AK915">
        <v>0</v>
      </c>
      <c r="AL915">
        <v>2</v>
      </c>
      <c r="AN915" s="367" t="s">
        <v>6775</v>
      </c>
    </row>
    <row r="916" spans="1:40">
      <c r="A916">
        <v>4938</v>
      </c>
      <c r="B916" t="s">
        <v>5616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 s="367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 s="367">
        <v>0</v>
      </c>
      <c r="U916">
        <v>12</v>
      </c>
      <c r="V916">
        <v>0</v>
      </c>
      <c r="W916">
        <v>0</v>
      </c>
      <c r="X916">
        <v>3</v>
      </c>
      <c r="Y916">
        <v>0</v>
      </c>
      <c r="Z916">
        <v>16</v>
      </c>
      <c r="AA916">
        <v>0</v>
      </c>
      <c r="AB916">
        <v>1</v>
      </c>
      <c r="AC916">
        <v>2</v>
      </c>
      <c r="AD916">
        <v>4</v>
      </c>
      <c r="AE916">
        <v>0</v>
      </c>
      <c r="AF916">
        <v>4</v>
      </c>
      <c r="AG916">
        <v>0</v>
      </c>
      <c r="AH916">
        <v>1</v>
      </c>
      <c r="AI916">
        <v>0</v>
      </c>
      <c r="AJ916">
        <v>0</v>
      </c>
      <c r="AK916">
        <v>12</v>
      </c>
      <c r="AL916">
        <v>0</v>
      </c>
      <c r="AM916" s="367" t="s">
        <v>3543</v>
      </c>
    </row>
    <row r="917" spans="1:40">
      <c r="A917">
        <v>4939</v>
      </c>
      <c r="B917" t="s">
        <v>5617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 s="36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 s="367">
        <v>0</v>
      </c>
      <c r="U917">
        <v>0</v>
      </c>
      <c r="V917">
        <v>4</v>
      </c>
      <c r="W917">
        <v>3</v>
      </c>
      <c r="X917">
        <v>0</v>
      </c>
      <c r="Y917">
        <v>2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8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4</v>
      </c>
      <c r="AN917" s="367" t="s">
        <v>4718</v>
      </c>
    </row>
    <row r="918" spans="1:40">
      <c r="A918">
        <v>4942</v>
      </c>
      <c r="B918" t="s">
        <v>5618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 s="367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 s="367">
        <v>0</v>
      </c>
      <c r="U918">
        <v>0</v>
      </c>
      <c r="V918">
        <v>1</v>
      </c>
      <c r="W918">
        <v>2</v>
      </c>
      <c r="X918">
        <v>0</v>
      </c>
      <c r="Y918">
        <v>2</v>
      </c>
      <c r="Z918">
        <v>2</v>
      </c>
      <c r="AA918">
        <v>0</v>
      </c>
      <c r="AB918">
        <v>0</v>
      </c>
      <c r="AC918">
        <v>0</v>
      </c>
      <c r="AD918">
        <v>0</v>
      </c>
      <c r="AE918">
        <v>5</v>
      </c>
      <c r="AF918">
        <v>0</v>
      </c>
      <c r="AG918">
        <v>0</v>
      </c>
      <c r="AH918">
        <v>0</v>
      </c>
      <c r="AI918">
        <v>2</v>
      </c>
      <c r="AJ918">
        <v>0</v>
      </c>
      <c r="AK918">
        <v>0</v>
      </c>
      <c r="AL918">
        <v>1</v>
      </c>
      <c r="AN918" s="367" t="s">
        <v>4718</v>
      </c>
    </row>
    <row r="919" spans="1:40">
      <c r="A919">
        <v>4943</v>
      </c>
      <c r="B919" t="s">
        <v>5619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 s="367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 s="367">
        <v>0</v>
      </c>
      <c r="U919">
        <v>9</v>
      </c>
      <c r="V919">
        <v>3</v>
      </c>
      <c r="W919">
        <v>3</v>
      </c>
      <c r="X919">
        <v>0</v>
      </c>
      <c r="Y919">
        <v>3</v>
      </c>
      <c r="Z919">
        <v>2</v>
      </c>
      <c r="AA919">
        <v>0</v>
      </c>
      <c r="AB919">
        <v>13</v>
      </c>
      <c r="AC919">
        <v>0</v>
      </c>
      <c r="AD919">
        <v>0</v>
      </c>
      <c r="AE919">
        <v>7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9</v>
      </c>
      <c r="AL919">
        <v>3</v>
      </c>
      <c r="AM919" s="367" t="s">
        <v>6775</v>
      </c>
      <c r="AN919" s="367" t="s">
        <v>4718</v>
      </c>
    </row>
    <row r="920" spans="1:40">
      <c r="A920">
        <v>4952</v>
      </c>
      <c r="B920" t="s">
        <v>5621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 s="367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 s="367">
        <v>0</v>
      </c>
      <c r="U920">
        <v>0</v>
      </c>
      <c r="V920">
        <v>0</v>
      </c>
      <c r="W920">
        <v>0</v>
      </c>
      <c r="X920">
        <v>2</v>
      </c>
      <c r="Y920">
        <v>0</v>
      </c>
      <c r="Z920">
        <v>0</v>
      </c>
      <c r="AA920">
        <v>0</v>
      </c>
      <c r="AB920">
        <v>0</v>
      </c>
      <c r="AC920">
        <v>2</v>
      </c>
      <c r="AD920">
        <v>1</v>
      </c>
      <c r="AE920">
        <v>0</v>
      </c>
      <c r="AF920">
        <v>1</v>
      </c>
      <c r="AG920">
        <v>1</v>
      </c>
      <c r="AH920">
        <v>0</v>
      </c>
      <c r="AI920">
        <v>3</v>
      </c>
      <c r="AJ920">
        <v>0</v>
      </c>
      <c r="AK920">
        <v>0</v>
      </c>
      <c r="AL920">
        <v>0</v>
      </c>
    </row>
    <row r="921" spans="1:40">
      <c r="A921">
        <v>4953</v>
      </c>
      <c r="B921" t="s">
        <v>5622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 s="367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 s="367">
        <v>0</v>
      </c>
      <c r="U921">
        <v>0</v>
      </c>
      <c r="V921">
        <v>3</v>
      </c>
      <c r="W921">
        <v>0</v>
      </c>
      <c r="X921">
        <v>0</v>
      </c>
      <c r="Y921">
        <v>0</v>
      </c>
      <c r="Z921">
        <v>1</v>
      </c>
      <c r="AA921">
        <v>0</v>
      </c>
      <c r="AB921">
        <v>0</v>
      </c>
      <c r="AC921">
        <v>0</v>
      </c>
      <c r="AD921">
        <v>7</v>
      </c>
      <c r="AE921">
        <v>1</v>
      </c>
      <c r="AF921">
        <v>1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3</v>
      </c>
      <c r="AN921" s="367" t="s">
        <v>6761</v>
      </c>
    </row>
    <row r="922" spans="1:40">
      <c r="A922">
        <v>4956</v>
      </c>
      <c r="B922" t="s">
        <v>5623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 s="367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 s="367">
        <v>0</v>
      </c>
      <c r="U922">
        <v>0</v>
      </c>
      <c r="V922">
        <v>2</v>
      </c>
      <c r="W922">
        <v>2</v>
      </c>
      <c r="X922">
        <v>0</v>
      </c>
      <c r="Y922">
        <v>3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6</v>
      </c>
      <c r="AF922">
        <v>0</v>
      </c>
      <c r="AG922">
        <v>0</v>
      </c>
      <c r="AH922">
        <v>0</v>
      </c>
      <c r="AI922">
        <v>2</v>
      </c>
      <c r="AJ922">
        <v>1</v>
      </c>
      <c r="AK922">
        <v>0</v>
      </c>
      <c r="AL922">
        <v>2</v>
      </c>
      <c r="AN922" s="367" t="s">
        <v>4718</v>
      </c>
    </row>
    <row r="923" spans="1:40">
      <c r="A923">
        <v>4958</v>
      </c>
      <c r="B923" t="s">
        <v>5624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 s="367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 s="367">
        <v>0</v>
      </c>
      <c r="U923">
        <v>0</v>
      </c>
      <c r="V923">
        <v>0</v>
      </c>
      <c r="W923">
        <v>3</v>
      </c>
      <c r="X923">
        <v>1</v>
      </c>
      <c r="Y923">
        <v>3</v>
      </c>
      <c r="Z923">
        <v>0</v>
      </c>
      <c r="AA923">
        <v>2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4</v>
      </c>
      <c r="AH923">
        <v>0</v>
      </c>
      <c r="AI923">
        <v>1</v>
      </c>
      <c r="AJ923">
        <v>4</v>
      </c>
      <c r="AK923">
        <v>0</v>
      </c>
      <c r="AL923">
        <v>0</v>
      </c>
    </row>
    <row r="924" spans="1:40">
      <c r="A924">
        <v>4960</v>
      </c>
      <c r="B924" t="s">
        <v>5625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 s="367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 s="367">
        <v>0</v>
      </c>
      <c r="U924">
        <v>0</v>
      </c>
      <c r="V924">
        <v>0</v>
      </c>
      <c r="W924">
        <v>0</v>
      </c>
      <c r="X924">
        <v>0</v>
      </c>
      <c r="Y924">
        <v>1</v>
      </c>
      <c r="Z924">
        <v>0</v>
      </c>
      <c r="AA924">
        <v>0</v>
      </c>
      <c r="AB924">
        <v>0</v>
      </c>
      <c r="AC924">
        <v>0</v>
      </c>
      <c r="AD924">
        <v>1</v>
      </c>
      <c r="AE924">
        <v>1</v>
      </c>
      <c r="AF924">
        <v>0</v>
      </c>
      <c r="AG924">
        <v>0</v>
      </c>
      <c r="AH924">
        <v>0</v>
      </c>
      <c r="AI924">
        <v>2</v>
      </c>
      <c r="AJ924">
        <v>2</v>
      </c>
      <c r="AK924">
        <v>0</v>
      </c>
      <c r="AL924">
        <v>0</v>
      </c>
    </row>
    <row r="925" spans="1:40">
      <c r="A925">
        <v>4961</v>
      </c>
      <c r="B925" t="s">
        <v>5626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 s="367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 s="367">
        <v>0</v>
      </c>
      <c r="U925">
        <v>0</v>
      </c>
      <c r="V925">
        <v>0</v>
      </c>
      <c r="W925">
        <v>0</v>
      </c>
      <c r="X925">
        <v>2</v>
      </c>
      <c r="Y925">
        <v>0</v>
      </c>
      <c r="Z925">
        <v>0</v>
      </c>
      <c r="AA925">
        <v>0</v>
      </c>
      <c r="AB925">
        <v>3</v>
      </c>
      <c r="AC925">
        <v>1</v>
      </c>
      <c r="AD925">
        <v>1</v>
      </c>
      <c r="AE925">
        <v>0</v>
      </c>
      <c r="AF925">
        <v>1</v>
      </c>
      <c r="AG925">
        <v>1</v>
      </c>
      <c r="AH925">
        <v>0</v>
      </c>
      <c r="AI925">
        <v>0</v>
      </c>
      <c r="AJ925">
        <v>0</v>
      </c>
      <c r="AK925">
        <v>0</v>
      </c>
      <c r="AL925">
        <v>0</v>
      </c>
    </row>
    <row r="926" spans="1:40">
      <c r="A926">
        <v>4966</v>
      </c>
      <c r="B926" t="s">
        <v>5627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 s="367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 s="367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1</v>
      </c>
      <c r="AA926">
        <v>4</v>
      </c>
      <c r="AB926">
        <v>2</v>
      </c>
      <c r="AC926">
        <v>0</v>
      </c>
      <c r="AD926">
        <v>1</v>
      </c>
      <c r="AE926">
        <v>2</v>
      </c>
      <c r="AF926">
        <v>1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</row>
    <row r="927" spans="1:40">
      <c r="A927">
        <v>4967</v>
      </c>
      <c r="B927" t="s">
        <v>5628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 s="36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 s="367">
        <v>0</v>
      </c>
      <c r="U927">
        <v>1</v>
      </c>
      <c r="V927">
        <v>0</v>
      </c>
      <c r="W927">
        <v>3</v>
      </c>
      <c r="X927">
        <v>0</v>
      </c>
      <c r="Y927">
        <v>3</v>
      </c>
      <c r="Z927">
        <v>3</v>
      </c>
      <c r="AA927">
        <v>0</v>
      </c>
      <c r="AB927">
        <v>0</v>
      </c>
      <c r="AC927">
        <v>5</v>
      </c>
      <c r="AD927">
        <v>0</v>
      </c>
      <c r="AE927">
        <v>3</v>
      </c>
      <c r="AF927">
        <v>0</v>
      </c>
      <c r="AG927">
        <v>0</v>
      </c>
      <c r="AH927">
        <v>0</v>
      </c>
      <c r="AI927">
        <v>2</v>
      </c>
      <c r="AJ927">
        <v>0</v>
      </c>
      <c r="AK927">
        <v>1</v>
      </c>
      <c r="AL927">
        <v>0</v>
      </c>
      <c r="AM927" s="367" t="s">
        <v>6778</v>
      </c>
    </row>
    <row r="928" spans="1:40">
      <c r="A928">
        <v>4968</v>
      </c>
      <c r="B928" t="s">
        <v>5629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 s="367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 s="367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3</v>
      </c>
      <c r="AA928">
        <v>0</v>
      </c>
      <c r="AB928">
        <v>3</v>
      </c>
      <c r="AC928">
        <v>1</v>
      </c>
      <c r="AD928">
        <v>1</v>
      </c>
      <c r="AE928">
        <v>1</v>
      </c>
      <c r="AF928">
        <v>2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</row>
    <row r="929" spans="1:40">
      <c r="A929">
        <v>4971</v>
      </c>
      <c r="B929" t="s">
        <v>5630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 s="367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 s="367">
        <v>0</v>
      </c>
      <c r="U929">
        <v>11</v>
      </c>
      <c r="V929">
        <v>1</v>
      </c>
      <c r="W929">
        <v>2</v>
      </c>
      <c r="X929">
        <v>0</v>
      </c>
      <c r="Y929">
        <v>15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5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11</v>
      </c>
      <c r="AL929">
        <v>1</v>
      </c>
      <c r="AM929" s="367" t="s">
        <v>3542</v>
      </c>
      <c r="AN929" s="367" t="s">
        <v>4718</v>
      </c>
    </row>
    <row r="930" spans="1:40">
      <c r="A930">
        <v>4973</v>
      </c>
      <c r="B930" t="s">
        <v>5631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 s="367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 s="367">
        <v>0</v>
      </c>
      <c r="U930">
        <v>0</v>
      </c>
      <c r="V930">
        <v>3</v>
      </c>
      <c r="W930">
        <v>0</v>
      </c>
      <c r="X930">
        <v>0</v>
      </c>
      <c r="Y930">
        <v>1</v>
      </c>
      <c r="Z930">
        <v>0</v>
      </c>
      <c r="AA930">
        <v>0</v>
      </c>
      <c r="AB930">
        <v>1</v>
      </c>
      <c r="AC930">
        <v>0</v>
      </c>
      <c r="AD930">
        <v>7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3</v>
      </c>
      <c r="AN930" s="367" t="s">
        <v>6761</v>
      </c>
    </row>
    <row r="931" spans="1:40">
      <c r="A931">
        <v>4974</v>
      </c>
      <c r="B931" t="s">
        <v>5632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 s="367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 s="367">
        <v>0</v>
      </c>
      <c r="U931">
        <v>0</v>
      </c>
      <c r="V931">
        <v>5</v>
      </c>
      <c r="W931">
        <v>0</v>
      </c>
      <c r="X931">
        <v>1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9</v>
      </c>
      <c r="AE931">
        <v>0</v>
      </c>
      <c r="AF931">
        <v>1</v>
      </c>
      <c r="AG931">
        <v>1</v>
      </c>
      <c r="AH931">
        <v>0</v>
      </c>
      <c r="AI931">
        <v>0</v>
      </c>
      <c r="AJ931">
        <v>0</v>
      </c>
      <c r="AK931">
        <v>0</v>
      </c>
      <c r="AL931">
        <v>5</v>
      </c>
      <c r="AN931" s="367" t="s">
        <v>6761</v>
      </c>
    </row>
    <row r="932" spans="1:40">
      <c r="A932">
        <v>4976</v>
      </c>
      <c r="B932" t="s">
        <v>5633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 s="367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 s="367">
        <v>0</v>
      </c>
      <c r="U932">
        <v>2</v>
      </c>
      <c r="V932">
        <v>0</v>
      </c>
      <c r="W932">
        <v>5</v>
      </c>
      <c r="X932">
        <v>2</v>
      </c>
      <c r="Y932">
        <v>5</v>
      </c>
      <c r="Z932">
        <v>4</v>
      </c>
      <c r="AA932">
        <v>0</v>
      </c>
      <c r="AB932">
        <v>4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4</v>
      </c>
      <c r="AK932">
        <v>2</v>
      </c>
      <c r="AL932">
        <v>0</v>
      </c>
      <c r="AM932" s="367" t="s">
        <v>6785</v>
      </c>
    </row>
    <row r="933" spans="1:40">
      <c r="A933">
        <v>4977</v>
      </c>
      <c r="B933" t="s">
        <v>5634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 s="367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 s="367">
        <v>0</v>
      </c>
      <c r="U933">
        <v>0</v>
      </c>
      <c r="V933">
        <v>0</v>
      </c>
      <c r="W933">
        <v>1</v>
      </c>
      <c r="X933">
        <v>0</v>
      </c>
      <c r="Y933">
        <v>2</v>
      </c>
      <c r="Z933">
        <v>1</v>
      </c>
      <c r="AA933">
        <v>0</v>
      </c>
      <c r="AB933">
        <v>1</v>
      </c>
      <c r="AC933">
        <v>0</v>
      </c>
      <c r="AD933">
        <v>0</v>
      </c>
      <c r="AE933">
        <v>3</v>
      </c>
      <c r="AF933">
        <v>0</v>
      </c>
      <c r="AG933">
        <v>0</v>
      </c>
      <c r="AH933">
        <v>0</v>
      </c>
      <c r="AI933">
        <v>0</v>
      </c>
      <c r="AJ933">
        <v>1</v>
      </c>
      <c r="AK933">
        <v>0</v>
      </c>
      <c r="AL933">
        <v>0</v>
      </c>
    </row>
    <row r="934" spans="1:40">
      <c r="A934">
        <v>4979</v>
      </c>
      <c r="B934" t="s">
        <v>5635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 s="367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 s="367">
        <v>0</v>
      </c>
      <c r="U934">
        <v>0</v>
      </c>
      <c r="V934">
        <v>0</v>
      </c>
      <c r="W934">
        <v>1</v>
      </c>
      <c r="X934">
        <v>2</v>
      </c>
      <c r="Y934">
        <v>2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2</v>
      </c>
      <c r="AK934">
        <v>0</v>
      </c>
      <c r="AL934">
        <v>0</v>
      </c>
    </row>
    <row r="935" spans="1:40">
      <c r="A935">
        <v>4989</v>
      </c>
      <c r="B935" t="s">
        <v>5636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 s="367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 s="367">
        <v>0</v>
      </c>
      <c r="U935">
        <v>1</v>
      </c>
      <c r="V935">
        <v>0</v>
      </c>
      <c r="W935">
        <v>2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5</v>
      </c>
      <c r="AD935">
        <v>0</v>
      </c>
      <c r="AE935">
        <v>1</v>
      </c>
      <c r="AF935">
        <v>1</v>
      </c>
      <c r="AG935">
        <v>0</v>
      </c>
      <c r="AH935">
        <v>0</v>
      </c>
      <c r="AI935">
        <v>0</v>
      </c>
      <c r="AJ935">
        <v>0</v>
      </c>
      <c r="AK935">
        <v>1</v>
      </c>
      <c r="AL935">
        <v>0</v>
      </c>
      <c r="AM935" s="367" t="s">
        <v>6778</v>
      </c>
    </row>
    <row r="936" spans="1:40">
      <c r="A936">
        <v>4991</v>
      </c>
      <c r="B936" t="s">
        <v>6149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 s="367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 s="367">
        <v>0</v>
      </c>
      <c r="U936">
        <v>0</v>
      </c>
      <c r="V936">
        <v>0</v>
      </c>
      <c r="W936">
        <v>0</v>
      </c>
      <c r="X936">
        <v>0</v>
      </c>
      <c r="Y936">
        <v>2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3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</row>
    <row r="937" spans="1:40">
      <c r="A937">
        <v>4994</v>
      </c>
      <c r="B937" t="s">
        <v>5637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 s="36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 s="367">
        <v>0</v>
      </c>
      <c r="U937">
        <v>0</v>
      </c>
      <c r="V937">
        <v>0</v>
      </c>
      <c r="W937">
        <v>0</v>
      </c>
      <c r="X937">
        <v>0</v>
      </c>
      <c r="Y937">
        <v>2</v>
      </c>
      <c r="Z937">
        <v>2</v>
      </c>
      <c r="AA937">
        <v>0</v>
      </c>
      <c r="AB937">
        <v>0</v>
      </c>
      <c r="AC937">
        <v>1</v>
      </c>
      <c r="AD937">
        <v>1</v>
      </c>
      <c r="AE937">
        <v>2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</row>
    <row r="938" spans="1:40">
      <c r="A938">
        <v>4995</v>
      </c>
      <c r="B938" t="s">
        <v>6195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 s="367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 s="367">
        <v>0</v>
      </c>
      <c r="U938">
        <v>0</v>
      </c>
      <c r="V938">
        <v>2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1</v>
      </c>
      <c r="AE938">
        <v>1</v>
      </c>
      <c r="AF938">
        <v>6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2</v>
      </c>
      <c r="AN938" s="367" t="s">
        <v>3542</v>
      </c>
    </row>
    <row r="939" spans="1:40">
      <c r="A939">
        <v>4999</v>
      </c>
      <c r="B939" t="s">
        <v>5638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 s="367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 s="367">
        <v>0</v>
      </c>
      <c r="U939">
        <v>0</v>
      </c>
      <c r="V939">
        <v>0</v>
      </c>
      <c r="W939">
        <v>0</v>
      </c>
      <c r="X939">
        <v>1</v>
      </c>
      <c r="Y939">
        <v>2</v>
      </c>
      <c r="Z939">
        <v>2</v>
      </c>
      <c r="AA939">
        <v>0</v>
      </c>
      <c r="AB939">
        <v>0</v>
      </c>
      <c r="AC939">
        <v>0</v>
      </c>
      <c r="AD939">
        <v>2</v>
      </c>
      <c r="AE939">
        <v>0</v>
      </c>
      <c r="AF939">
        <v>0</v>
      </c>
      <c r="AG939">
        <v>0</v>
      </c>
      <c r="AH939">
        <v>2</v>
      </c>
      <c r="AI939">
        <v>0</v>
      </c>
      <c r="AJ939">
        <v>0</v>
      </c>
      <c r="AK939">
        <v>0</v>
      </c>
      <c r="AL939">
        <v>0</v>
      </c>
    </row>
    <row r="940" spans="1:40">
      <c r="A940">
        <v>5007</v>
      </c>
      <c r="B940" t="s">
        <v>5639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 s="367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 s="367">
        <v>0</v>
      </c>
      <c r="U940">
        <v>0</v>
      </c>
      <c r="V940">
        <v>0</v>
      </c>
      <c r="W940">
        <v>0</v>
      </c>
      <c r="X940">
        <v>0</v>
      </c>
      <c r="Y940">
        <v>2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</row>
    <row r="941" spans="1:40">
      <c r="A941">
        <v>5011</v>
      </c>
      <c r="B941" t="s">
        <v>5641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 s="367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 s="367">
        <v>0</v>
      </c>
      <c r="U941">
        <v>0</v>
      </c>
      <c r="V941">
        <v>3</v>
      </c>
      <c r="W941">
        <v>1</v>
      </c>
      <c r="X941">
        <v>2</v>
      </c>
      <c r="Y941">
        <v>3</v>
      </c>
      <c r="Z941">
        <v>0</v>
      </c>
      <c r="AA941">
        <v>0</v>
      </c>
      <c r="AB941">
        <v>1</v>
      </c>
      <c r="AC941">
        <v>0</v>
      </c>
      <c r="AD941">
        <v>0</v>
      </c>
      <c r="AE941">
        <v>0</v>
      </c>
      <c r="AF941">
        <v>0</v>
      </c>
      <c r="AG941">
        <v>7</v>
      </c>
      <c r="AH941">
        <v>0</v>
      </c>
      <c r="AI941">
        <v>0</v>
      </c>
      <c r="AJ941">
        <v>1</v>
      </c>
      <c r="AK941">
        <v>0</v>
      </c>
      <c r="AL941">
        <v>3</v>
      </c>
      <c r="AN941" s="367" t="s">
        <v>3543</v>
      </c>
    </row>
    <row r="942" spans="1:40">
      <c r="A942">
        <v>5013</v>
      </c>
      <c r="B942" t="s">
        <v>5642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 s="367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 s="367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2</v>
      </c>
      <c r="AF942">
        <v>1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</row>
    <row r="943" spans="1:40">
      <c r="A943">
        <v>5015</v>
      </c>
      <c r="B943" t="s">
        <v>5644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 s="367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 s="367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1</v>
      </c>
      <c r="AE943">
        <v>0</v>
      </c>
      <c r="AF943">
        <v>3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</row>
    <row r="944" spans="1:40">
      <c r="A944">
        <v>5202</v>
      </c>
      <c r="B944" t="s">
        <v>6151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 s="367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 s="367">
        <v>0</v>
      </c>
      <c r="U944">
        <v>0</v>
      </c>
      <c r="V944">
        <v>0</v>
      </c>
      <c r="W944">
        <v>0</v>
      </c>
      <c r="X944">
        <v>0</v>
      </c>
      <c r="Y944">
        <v>3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</row>
    <row r="945" spans="1:40">
      <c r="A945">
        <v>5203</v>
      </c>
      <c r="B945" t="s">
        <v>5645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 s="367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 s="367">
        <v>0</v>
      </c>
      <c r="U945">
        <v>0</v>
      </c>
      <c r="V945">
        <v>2</v>
      </c>
      <c r="W945">
        <v>2</v>
      </c>
      <c r="X945">
        <v>1</v>
      </c>
      <c r="Y945">
        <v>2</v>
      </c>
      <c r="Z945">
        <v>2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6</v>
      </c>
      <c r="AJ945">
        <v>0</v>
      </c>
      <c r="AK945">
        <v>0</v>
      </c>
      <c r="AL945">
        <v>2</v>
      </c>
      <c r="AN945" s="367" t="s">
        <v>6775</v>
      </c>
    </row>
    <row r="946" spans="1:40">
      <c r="A946">
        <v>5206</v>
      </c>
      <c r="B946" t="s">
        <v>5646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 s="367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 s="367">
        <v>0</v>
      </c>
      <c r="U946">
        <v>0</v>
      </c>
      <c r="V946">
        <v>0</v>
      </c>
      <c r="W946">
        <v>0</v>
      </c>
      <c r="X946">
        <v>2</v>
      </c>
      <c r="Y946">
        <v>2</v>
      </c>
      <c r="Z946">
        <v>0</v>
      </c>
      <c r="AA946">
        <v>0</v>
      </c>
      <c r="AB946">
        <v>0</v>
      </c>
      <c r="AC946">
        <v>0</v>
      </c>
      <c r="AD946">
        <v>2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</row>
    <row r="947" spans="1:40">
      <c r="A947">
        <v>5211</v>
      </c>
      <c r="B947" t="s">
        <v>5647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 s="36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 s="367">
        <v>0</v>
      </c>
      <c r="U947">
        <v>0</v>
      </c>
      <c r="V947">
        <v>7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7</v>
      </c>
      <c r="AE947">
        <v>3</v>
      </c>
      <c r="AF947">
        <v>8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7</v>
      </c>
      <c r="AN947" s="367" t="s">
        <v>6785</v>
      </c>
    </row>
    <row r="948" spans="1:40">
      <c r="A948">
        <v>5213</v>
      </c>
      <c r="B948" t="s">
        <v>5648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 s="367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 s="367">
        <v>0</v>
      </c>
      <c r="U948">
        <v>0</v>
      </c>
      <c r="V948">
        <v>5</v>
      </c>
      <c r="W948">
        <v>1</v>
      </c>
      <c r="X948">
        <v>1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9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5</v>
      </c>
      <c r="AN948" s="367" t="s">
        <v>3542</v>
      </c>
    </row>
    <row r="949" spans="1:40">
      <c r="A949">
        <v>5215</v>
      </c>
      <c r="B949" t="s">
        <v>5649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 s="367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 s="367">
        <v>0</v>
      </c>
      <c r="U949">
        <v>0</v>
      </c>
      <c r="V949">
        <v>0</v>
      </c>
      <c r="W949">
        <v>2</v>
      </c>
      <c r="X949">
        <v>1</v>
      </c>
      <c r="Y949">
        <v>3</v>
      </c>
      <c r="Z949">
        <v>2</v>
      </c>
      <c r="AA949">
        <v>0</v>
      </c>
      <c r="AB949">
        <v>1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3</v>
      </c>
      <c r="AK949">
        <v>0</v>
      </c>
      <c r="AL949">
        <v>0</v>
      </c>
    </row>
    <row r="950" spans="1:40">
      <c r="A950">
        <v>5220</v>
      </c>
      <c r="B950" t="s">
        <v>6184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 s="367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 s="367">
        <v>0</v>
      </c>
      <c r="U950">
        <v>0</v>
      </c>
      <c r="V950">
        <v>0</v>
      </c>
      <c r="W950">
        <v>0</v>
      </c>
      <c r="X950">
        <v>0</v>
      </c>
      <c r="Y950">
        <v>1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2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</row>
    <row r="951" spans="1:40">
      <c r="A951">
        <v>5222</v>
      </c>
      <c r="B951" t="s">
        <v>6549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 s="367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 s="367">
        <v>0</v>
      </c>
      <c r="U951">
        <v>0</v>
      </c>
      <c r="V951">
        <v>0</v>
      </c>
      <c r="W951">
        <v>0</v>
      </c>
      <c r="X951">
        <v>4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1</v>
      </c>
      <c r="AE951">
        <v>0</v>
      </c>
      <c r="AF951">
        <v>1</v>
      </c>
      <c r="AG951">
        <v>1</v>
      </c>
      <c r="AH951">
        <v>0</v>
      </c>
      <c r="AI951">
        <v>0</v>
      </c>
      <c r="AJ951">
        <v>0</v>
      </c>
      <c r="AK951">
        <v>0</v>
      </c>
      <c r="AL951">
        <v>0</v>
      </c>
    </row>
    <row r="952" spans="1:40">
      <c r="A952">
        <v>5223</v>
      </c>
      <c r="B952" t="s">
        <v>5650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 s="367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 s="367">
        <v>0</v>
      </c>
      <c r="U952">
        <v>0</v>
      </c>
      <c r="V952">
        <v>0</v>
      </c>
      <c r="W952">
        <v>0</v>
      </c>
      <c r="X952">
        <v>2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4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</row>
    <row r="953" spans="1:40">
      <c r="A953">
        <v>5225</v>
      </c>
      <c r="B953" t="s">
        <v>5651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 s="367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 s="367">
        <v>0</v>
      </c>
      <c r="U953">
        <v>0</v>
      </c>
      <c r="V953">
        <v>0</v>
      </c>
      <c r="W953">
        <v>0</v>
      </c>
      <c r="X953">
        <v>2</v>
      </c>
      <c r="Y953">
        <v>1</v>
      </c>
      <c r="Z953">
        <v>2</v>
      </c>
      <c r="AA953">
        <v>0</v>
      </c>
      <c r="AB953">
        <v>0</v>
      </c>
      <c r="AC953">
        <v>0</v>
      </c>
      <c r="AD953">
        <v>4</v>
      </c>
      <c r="AE953">
        <v>0</v>
      </c>
      <c r="AF953">
        <v>0</v>
      </c>
      <c r="AG953">
        <v>0</v>
      </c>
      <c r="AH953">
        <v>0</v>
      </c>
      <c r="AI953">
        <v>1</v>
      </c>
      <c r="AJ953">
        <v>0</v>
      </c>
      <c r="AK953">
        <v>0</v>
      </c>
      <c r="AL953">
        <v>0</v>
      </c>
    </row>
    <row r="954" spans="1:40">
      <c r="A954">
        <v>5230</v>
      </c>
      <c r="B954" t="s">
        <v>5652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 s="367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 s="367">
        <v>0</v>
      </c>
      <c r="U954">
        <v>0</v>
      </c>
      <c r="V954">
        <v>0</v>
      </c>
      <c r="W954">
        <v>0</v>
      </c>
      <c r="X954">
        <v>1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3</v>
      </c>
      <c r="AE954">
        <v>0</v>
      </c>
      <c r="AF954">
        <v>1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</row>
    <row r="955" spans="1:40">
      <c r="A955">
        <v>5234</v>
      </c>
      <c r="B955" t="s">
        <v>5653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 s="367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 s="367">
        <v>0</v>
      </c>
      <c r="U955">
        <v>0</v>
      </c>
      <c r="V955">
        <v>1</v>
      </c>
      <c r="W955">
        <v>0</v>
      </c>
      <c r="X955">
        <v>0</v>
      </c>
      <c r="Y955">
        <v>2</v>
      </c>
      <c r="Z955">
        <v>1</v>
      </c>
      <c r="AA955">
        <v>0</v>
      </c>
      <c r="AB955">
        <v>0</v>
      </c>
      <c r="AC955">
        <v>0</v>
      </c>
      <c r="AD955">
        <v>1</v>
      </c>
      <c r="AE955">
        <v>5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1</v>
      </c>
      <c r="AN955" s="367" t="s">
        <v>4718</v>
      </c>
    </row>
    <row r="956" spans="1:40">
      <c r="A956">
        <v>5236</v>
      </c>
      <c r="B956" t="s">
        <v>5654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 s="367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 s="367">
        <v>0</v>
      </c>
      <c r="U956">
        <v>1</v>
      </c>
      <c r="V956">
        <v>0</v>
      </c>
      <c r="W956">
        <v>5</v>
      </c>
      <c r="X956">
        <v>1</v>
      </c>
      <c r="Y956">
        <v>0</v>
      </c>
      <c r="Z956">
        <v>0</v>
      </c>
      <c r="AA956">
        <v>0</v>
      </c>
      <c r="AB956">
        <v>0</v>
      </c>
      <c r="AC956">
        <v>1</v>
      </c>
      <c r="AD956">
        <v>0</v>
      </c>
      <c r="AE956">
        <v>0</v>
      </c>
      <c r="AF956">
        <v>1</v>
      </c>
      <c r="AG956">
        <v>0</v>
      </c>
      <c r="AH956">
        <v>0</v>
      </c>
      <c r="AI956">
        <v>1</v>
      </c>
      <c r="AJ956">
        <v>0</v>
      </c>
      <c r="AK956">
        <v>1</v>
      </c>
      <c r="AL956">
        <v>0</v>
      </c>
      <c r="AM956" s="367" t="s">
        <v>6761</v>
      </c>
    </row>
    <row r="957" spans="1:40">
      <c r="A957">
        <v>5243</v>
      </c>
      <c r="B957" t="s">
        <v>5655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 s="36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 s="367">
        <v>0</v>
      </c>
      <c r="U957">
        <v>0</v>
      </c>
      <c r="V957">
        <v>0</v>
      </c>
      <c r="W957">
        <v>0</v>
      </c>
      <c r="X957">
        <v>0</v>
      </c>
      <c r="Y957">
        <v>2</v>
      </c>
      <c r="Z957">
        <v>3</v>
      </c>
      <c r="AA957">
        <v>0</v>
      </c>
      <c r="AB957">
        <v>0</v>
      </c>
      <c r="AC957">
        <v>1</v>
      </c>
      <c r="AD957">
        <v>1</v>
      </c>
      <c r="AE957">
        <v>1</v>
      </c>
      <c r="AF957">
        <v>0</v>
      </c>
      <c r="AG957">
        <v>0</v>
      </c>
      <c r="AH957">
        <v>0</v>
      </c>
      <c r="AI957">
        <v>1</v>
      </c>
      <c r="AJ957">
        <v>0</v>
      </c>
      <c r="AK957">
        <v>0</v>
      </c>
      <c r="AL957">
        <v>0</v>
      </c>
    </row>
    <row r="958" spans="1:40">
      <c r="A958">
        <v>5245</v>
      </c>
      <c r="B958" t="s">
        <v>5656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 s="367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 s="367">
        <v>0</v>
      </c>
      <c r="U958">
        <v>0</v>
      </c>
      <c r="V958">
        <v>0</v>
      </c>
      <c r="W958">
        <v>0</v>
      </c>
      <c r="X958">
        <v>2</v>
      </c>
      <c r="Y958">
        <v>0</v>
      </c>
      <c r="Z958">
        <v>0</v>
      </c>
      <c r="AA958">
        <v>0</v>
      </c>
      <c r="AB958">
        <v>0</v>
      </c>
      <c r="AC958">
        <v>2</v>
      </c>
      <c r="AD958">
        <v>3</v>
      </c>
      <c r="AE958">
        <v>0</v>
      </c>
      <c r="AF958">
        <v>2</v>
      </c>
      <c r="AG958">
        <v>1</v>
      </c>
      <c r="AH958">
        <v>0</v>
      </c>
      <c r="AI958">
        <v>1</v>
      </c>
      <c r="AJ958">
        <v>0</v>
      </c>
      <c r="AK958">
        <v>0</v>
      </c>
      <c r="AL958">
        <v>0</v>
      </c>
    </row>
    <row r="959" spans="1:40">
      <c r="A959">
        <v>5251</v>
      </c>
      <c r="B959" t="s">
        <v>5657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 s="367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 s="367">
        <v>0</v>
      </c>
      <c r="U959">
        <v>0</v>
      </c>
      <c r="V959">
        <v>0</v>
      </c>
      <c r="W959">
        <v>1</v>
      </c>
      <c r="X959">
        <v>0</v>
      </c>
      <c r="Y959">
        <v>1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3</v>
      </c>
      <c r="AF959">
        <v>0</v>
      </c>
      <c r="AG959">
        <v>0</v>
      </c>
      <c r="AH959">
        <v>0</v>
      </c>
      <c r="AI959">
        <v>0</v>
      </c>
      <c r="AJ959">
        <v>1</v>
      </c>
      <c r="AK959">
        <v>0</v>
      </c>
      <c r="AL959">
        <v>0</v>
      </c>
    </row>
    <row r="960" spans="1:40">
      <c r="A960">
        <v>5258</v>
      </c>
      <c r="B960" t="s">
        <v>5658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 s="367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 s="367">
        <v>0</v>
      </c>
      <c r="U960">
        <v>0</v>
      </c>
      <c r="V960">
        <v>4</v>
      </c>
      <c r="W960">
        <v>2</v>
      </c>
      <c r="X960">
        <v>1</v>
      </c>
      <c r="Y960">
        <v>2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6</v>
      </c>
      <c r="AJ960">
        <v>6</v>
      </c>
      <c r="AK960">
        <v>0</v>
      </c>
      <c r="AL960">
        <v>4</v>
      </c>
      <c r="AN960" s="367" t="s">
        <v>3551</v>
      </c>
    </row>
    <row r="961" spans="1:40">
      <c r="A961">
        <v>5263</v>
      </c>
      <c r="B961" t="s">
        <v>5659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 s="367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 s="367">
        <v>0</v>
      </c>
      <c r="U961">
        <v>7</v>
      </c>
      <c r="V961">
        <v>0</v>
      </c>
      <c r="W961">
        <v>0</v>
      </c>
      <c r="X961">
        <v>0</v>
      </c>
      <c r="Y961">
        <v>11</v>
      </c>
      <c r="Z961">
        <v>0</v>
      </c>
      <c r="AA961">
        <v>0</v>
      </c>
      <c r="AB961">
        <v>1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7</v>
      </c>
      <c r="AL961">
        <v>0</v>
      </c>
      <c r="AM961" s="367" t="s">
        <v>3542</v>
      </c>
    </row>
    <row r="962" spans="1:40">
      <c r="A962">
        <v>5269</v>
      </c>
      <c r="B962" t="s">
        <v>5660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 s="367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 s="367">
        <v>0</v>
      </c>
      <c r="U962">
        <v>0</v>
      </c>
      <c r="V962">
        <v>0</v>
      </c>
      <c r="W962">
        <v>1</v>
      </c>
      <c r="X962">
        <v>0</v>
      </c>
      <c r="Y962">
        <v>1</v>
      </c>
      <c r="Z962">
        <v>0</v>
      </c>
      <c r="AA962">
        <v>1</v>
      </c>
      <c r="AB962">
        <v>0</v>
      </c>
      <c r="AC962">
        <v>0</v>
      </c>
      <c r="AD962">
        <v>0</v>
      </c>
      <c r="AE962">
        <v>1</v>
      </c>
      <c r="AF962">
        <v>0</v>
      </c>
      <c r="AG962">
        <v>1</v>
      </c>
      <c r="AH962">
        <v>0</v>
      </c>
      <c r="AI962">
        <v>4</v>
      </c>
      <c r="AJ962">
        <v>0</v>
      </c>
      <c r="AK962">
        <v>0</v>
      </c>
      <c r="AL962">
        <v>0</v>
      </c>
    </row>
    <row r="963" spans="1:40">
      <c r="A963">
        <v>5274</v>
      </c>
      <c r="B963" t="s">
        <v>5662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 s="367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 s="367">
        <v>0</v>
      </c>
      <c r="U963">
        <v>0</v>
      </c>
      <c r="V963">
        <v>0</v>
      </c>
      <c r="W963">
        <v>0</v>
      </c>
      <c r="X963">
        <v>1</v>
      </c>
      <c r="Y963">
        <v>0</v>
      </c>
      <c r="Z963">
        <v>3</v>
      </c>
      <c r="AA963">
        <v>2</v>
      </c>
      <c r="AB963">
        <v>0</v>
      </c>
      <c r="AC963">
        <v>1</v>
      </c>
      <c r="AD963">
        <v>1</v>
      </c>
      <c r="AE963">
        <v>0</v>
      </c>
      <c r="AF963">
        <v>2</v>
      </c>
      <c r="AG963">
        <v>0</v>
      </c>
      <c r="AH963">
        <v>0</v>
      </c>
      <c r="AI963">
        <v>3</v>
      </c>
      <c r="AJ963">
        <v>0</v>
      </c>
      <c r="AK963">
        <v>0</v>
      </c>
      <c r="AL963">
        <v>0</v>
      </c>
    </row>
    <row r="964" spans="1:40">
      <c r="A964">
        <v>5283</v>
      </c>
      <c r="B964" t="s">
        <v>5663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 s="367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 s="367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2</v>
      </c>
      <c r="AE964">
        <v>0</v>
      </c>
      <c r="AF964">
        <v>3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</row>
    <row r="965" spans="1:40">
      <c r="A965">
        <v>5284</v>
      </c>
      <c r="B965" t="s">
        <v>5664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 s="367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 s="367">
        <v>0</v>
      </c>
      <c r="U965">
        <v>0</v>
      </c>
      <c r="V965">
        <v>0</v>
      </c>
      <c r="W965">
        <v>0</v>
      </c>
      <c r="X965">
        <v>2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</row>
    <row r="966" spans="1:40">
      <c r="A966">
        <v>5285</v>
      </c>
      <c r="B966" t="s">
        <v>5665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 s="367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 s="367">
        <v>0</v>
      </c>
      <c r="U966">
        <v>0</v>
      </c>
      <c r="V966">
        <v>0</v>
      </c>
      <c r="W966">
        <v>0</v>
      </c>
      <c r="X966">
        <v>1</v>
      </c>
      <c r="Y966">
        <v>4</v>
      </c>
      <c r="Z966">
        <v>0</v>
      </c>
      <c r="AA966">
        <v>0</v>
      </c>
      <c r="AB966">
        <v>2</v>
      </c>
      <c r="AC966">
        <v>1</v>
      </c>
      <c r="AD966">
        <v>1</v>
      </c>
      <c r="AE966">
        <v>0</v>
      </c>
      <c r="AF966">
        <v>0</v>
      </c>
      <c r="AG966">
        <v>3</v>
      </c>
      <c r="AH966">
        <v>0</v>
      </c>
      <c r="AI966">
        <v>0</v>
      </c>
      <c r="AJ966">
        <v>0</v>
      </c>
      <c r="AK966">
        <v>0</v>
      </c>
      <c r="AL966">
        <v>0</v>
      </c>
    </row>
    <row r="967" spans="1:40">
      <c r="A967">
        <v>5287</v>
      </c>
      <c r="B967" t="s">
        <v>5666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 s="3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 s="367">
        <v>0</v>
      </c>
      <c r="U967">
        <v>0</v>
      </c>
      <c r="V967">
        <v>6</v>
      </c>
      <c r="W967">
        <v>0</v>
      </c>
      <c r="X967">
        <v>0</v>
      </c>
      <c r="Y967">
        <v>1</v>
      </c>
      <c r="Z967">
        <v>0</v>
      </c>
      <c r="AA967">
        <v>0</v>
      </c>
      <c r="AB967">
        <v>0</v>
      </c>
      <c r="AC967">
        <v>0</v>
      </c>
      <c r="AD967">
        <v>10</v>
      </c>
      <c r="AE967">
        <v>0</v>
      </c>
      <c r="AF967">
        <v>0</v>
      </c>
      <c r="AG967">
        <v>1</v>
      </c>
      <c r="AH967">
        <v>0</v>
      </c>
      <c r="AI967">
        <v>0</v>
      </c>
      <c r="AJ967">
        <v>0</v>
      </c>
      <c r="AK967">
        <v>0</v>
      </c>
      <c r="AL967">
        <v>6</v>
      </c>
      <c r="AN967" s="367" t="s">
        <v>6761</v>
      </c>
    </row>
    <row r="968" spans="1:40">
      <c r="A968">
        <v>5288</v>
      </c>
      <c r="B968" t="s">
        <v>5667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 s="367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 s="367">
        <v>0</v>
      </c>
      <c r="U968">
        <v>0</v>
      </c>
      <c r="V968">
        <v>2</v>
      </c>
      <c r="W968">
        <v>0</v>
      </c>
      <c r="X968">
        <v>2</v>
      </c>
      <c r="Y968">
        <v>0</v>
      </c>
      <c r="Z968">
        <v>1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6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2</v>
      </c>
      <c r="AN968" s="367" t="s">
        <v>3542</v>
      </c>
    </row>
    <row r="969" spans="1:40">
      <c r="A969">
        <v>5289</v>
      </c>
      <c r="B969" t="s">
        <v>5668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 s="367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 s="367">
        <v>0</v>
      </c>
      <c r="U969">
        <v>0</v>
      </c>
      <c r="V969">
        <v>6</v>
      </c>
      <c r="W969">
        <v>1</v>
      </c>
      <c r="X969">
        <v>0</v>
      </c>
      <c r="Y969">
        <v>0</v>
      </c>
      <c r="Z969">
        <v>2</v>
      </c>
      <c r="AA969">
        <v>0</v>
      </c>
      <c r="AB969">
        <v>1</v>
      </c>
      <c r="AC969">
        <v>0</v>
      </c>
      <c r="AD969">
        <v>0</v>
      </c>
      <c r="AE969">
        <v>1</v>
      </c>
      <c r="AF969">
        <v>10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6</v>
      </c>
      <c r="AN969" s="367" t="s">
        <v>3542</v>
      </c>
    </row>
    <row r="970" spans="1:40">
      <c r="A970">
        <v>5291</v>
      </c>
      <c r="B970" t="s">
        <v>5669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 s="367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 s="367">
        <v>0</v>
      </c>
      <c r="U970">
        <v>0</v>
      </c>
      <c r="V970">
        <v>7</v>
      </c>
      <c r="W970">
        <v>1</v>
      </c>
      <c r="X970">
        <v>2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11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7</v>
      </c>
      <c r="AN970" s="367" t="s">
        <v>3542</v>
      </c>
    </row>
    <row r="971" spans="1:40">
      <c r="A971">
        <v>5299</v>
      </c>
      <c r="B971" t="s">
        <v>316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 s="367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 s="367">
        <v>0</v>
      </c>
      <c r="U971">
        <v>1</v>
      </c>
      <c r="V971">
        <v>0</v>
      </c>
      <c r="W971">
        <v>0</v>
      </c>
      <c r="X971">
        <v>0</v>
      </c>
      <c r="Y971">
        <v>5</v>
      </c>
      <c r="Z971">
        <v>1</v>
      </c>
      <c r="AA971">
        <v>0</v>
      </c>
      <c r="AB971">
        <v>3</v>
      </c>
      <c r="AC971">
        <v>2</v>
      </c>
      <c r="AD971">
        <v>0</v>
      </c>
      <c r="AE971">
        <v>3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1</v>
      </c>
      <c r="AL971">
        <v>0</v>
      </c>
      <c r="AM971" s="367" t="s">
        <v>3542</v>
      </c>
    </row>
    <row r="972" spans="1:40">
      <c r="A972">
        <v>5306</v>
      </c>
      <c r="B972" t="s">
        <v>5670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 s="367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 s="367">
        <v>0</v>
      </c>
      <c r="U972">
        <v>0</v>
      </c>
      <c r="V972">
        <v>0</v>
      </c>
      <c r="W972">
        <v>0</v>
      </c>
      <c r="X972">
        <v>0</v>
      </c>
      <c r="Y972">
        <v>1</v>
      </c>
      <c r="Z972">
        <v>0</v>
      </c>
      <c r="AA972">
        <v>0</v>
      </c>
      <c r="AB972">
        <v>2</v>
      </c>
      <c r="AC972">
        <v>0</v>
      </c>
      <c r="AD972">
        <v>1</v>
      </c>
      <c r="AE972">
        <v>1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</row>
    <row r="973" spans="1:40">
      <c r="A973">
        <v>5315</v>
      </c>
      <c r="B973" t="s">
        <v>5672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 s="367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 s="367">
        <v>0</v>
      </c>
      <c r="U973">
        <v>0</v>
      </c>
      <c r="V973">
        <v>8</v>
      </c>
      <c r="W973">
        <v>0</v>
      </c>
      <c r="X973">
        <v>2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1</v>
      </c>
      <c r="AE973">
        <v>0</v>
      </c>
      <c r="AF973">
        <v>12</v>
      </c>
      <c r="AG973">
        <v>0</v>
      </c>
      <c r="AH973">
        <v>0</v>
      </c>
      <c r="AI973">
        <v>3</v>
      </c>
      <c r="AJ973">
        <v>0</v>
      </c>
      <c r="AK973">
        <v>0</v>
      </c>
      <c r="AL973">
        <v>8</v>
      </c>
      <c r="AN973" s="367" t="s">
        <v>3542</v>
      </c>
    </row>
    <row r="974" spans="1:40">
      <c r="A974">
        <v>5321</v>
      </c>
      <c r="B974" t="s">
        <v>5673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 s="367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 s="367">
        <v>0</v>
      </c>
      <c r="U974">
        <v>0</v>
      </c>
      <c r="V974">
        <v>0</v>
      </c>
      <c r="W974">
        <v>3</v>
      </c>
      <c r="X974">
        <v>0</v>
      </c>
      <c r="Y974">
        <v>2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2</v>
      </c>
      <c r="AF974">
        <v>0</v>
      </c>
      <c r="AG974">
        <v>0</v>
      </c>
      <c r="AH974">
        <v>0</v>
      </c>
      <c r="AI974">
        <v>0</v>
      </c>
      <c r="AJ974">
        <v>1</v>
      </c>
      <c r="AK974">
        <v>0</v>
      </c>
      <c r="AL974">
        <v>0</v>
      </c>
    </row>
    <row r="975" spans="1:40">
      <c r="A975">
        <v>5328</v>
      </c>
      <c r="B975" t="s">
        <v>5674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 s="367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 s="367">
        <v>0</v>
      </c>
      <c r="U975">
        <v>0</v>
      </c>
      <c r="V975">
        <v>0</v>
      </c>
      <c r="W975">
        <v>2</v>
      </c>
      <c r="X975">
        <v>0</v>
      </c>
      <c r="Y975">
        <v>2</v>
      </c>
      <c r="Z975">
        <v>0</v>
      </c>
      <c r="AA975">
        <v>0</v>
      </c>
      <c r="AB975">
        <v>1</v>
      </c>
      <c r="AC975">
        <v>1</v>
      </c>
      <c r="AD975">
        <v>0</v>
      </c>
      <c r="AE975">
        <v>1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</row>
    <row r="976" spans="1:40">
      <c r="A976">
        <v>5344</v>
      </c>
      <c r="B976" t="s">
        <v>6560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 s="367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 s="367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2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</row>
    <row r="977" spans="1:40">
      <c r="A977">
        <v>5347</v>
      </c>
      <c r="B977" t="s">
        <v>5675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 s="36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 s="367">
        <v>0</v>
      </c>
      <c r="U977">
        <v>1</v>
      </c>
      <c r="V977">
        <v>0</v>
      </c>
      <c r="W977">
        <v>4</v>
      </c>
      <c r="X977">
        <v>1</v>
      </c>
      <c r="Y977">
        <v>0</v>
      </c>
      <c r="Z977">
        <v>2</v>
      </c>
      <c r="AA977">
        <v>5</v>
      </c>
      <c r="AB977">
        <v>0</v>
      </c>
      <c r="AC977">
        <v>0</v>
      </c>
      <c r="AD977">
        <v>0</v>
      </c>
      <c r="AE977">
        <v>0</v>
      </c>
      <c r="AF977">
        <v>1</v>
      </c>
      <c r="AG977">
        <v>0</v>
      </c>
      <c r="AH977">
        <v>0</v>
      </c>
      <c r="AI977">
        <v>1</v>
      </c>
      <c r="AJ977">
        <v>1</v>
      </c>
      <c r="AK977">
        <v>1</v>
      </c>
      <c r="AL977">
        <v>0</v>
      </c>
      <c r="AM977" s="367" t="s">
        <v>3544</v>
      </c>
    </row>
    <row r="978" spans="1:40">
      <c r="A978">
        <v>5351</v>
      </c>
      <c r="B978" t="s">
        <v>5676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 s="367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 s="367">
        <v>0</v>
      </c>
      <c r="U978">
        <v>0</v>
      </c>
      <c r="V978">
        <v>0</v>
      </c>
      <c r="W978">
        <v>3</v>
      </c>
      <c r="X978">
        <v>0</v>
      </c>
      <c r="Y978">
        <v>3</v>
      </c>
      <c r="Z978">
        <v>0</v>
      </c>
      <c r="AA978">
        <v>0</v>
      </c>
      <c r="AB978">
        <v>1</v>
      </c>
      <c r="AC978">
        <v>0</v>
      </c>
      <c r="AD978">
        <v>0</v>
      </c>
      <c r="AE978">
        <v>4</v>
      </c>
      <c r="AF978">
        <v>0</v>
      </c>
      <c r="AG978">
        <v>1</v>
      </c>
      <c r="AH978">
        <v>0</v>
      </c>
      <c r="AI978">
        <v>0</v>
      </c>
      <c r="AJ978">
        <v>2</v>
      </c>
      <c r="AK978">
        <v>0</v>
      </c>
      <c r="AL978">
        <v>0</v>
      </c>
    </row>
    <row r="979" spans="1:40">
      <c r="A979">
        <v>5353</v>
      </c>
      <c r="B979" t="s">
        <v>5677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 s="367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 s="367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1</v>
      </c>
      <c r="AA979">
        <v>0</v>
      </c>
      <c r="AB979">
        <v>0</v>
      </c>
      <c r="AC979">
        <v>0</v>
      </c>
      <c r="AD979">
        <v>0</v>
      </c>
      <c r="AE979">
        <v>1</v>
      </c>
      <c r="AF979">
        <v>1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</row>
    <row r="980" spans="1:40">
      <c r="A980">
        <v>5356</v>
      </c>
      <c r="B980" t="s">
        <v>5678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 s="367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 s="367">
        <v>0</v>
      </c>
      <c r="U980">
        <v>0</v>
      </c>
      <c r="V980">
        <v>5</v>
      </c>
      <c r="W980">
        <v>0</v>
      </c>
      <c r="X980">
        <v>1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4</v>
      </c>
      <c r="AE980">
        <v>0</v>
      </c>
      <c r="AF980">
        <v>6</v>
      </c>
      <c r="AG980">
        <v>1</v>
      </c>
      <c r="AH980">
        <v>0</v>
      </c>
      <c r="AI980">
        <v>7</v>
      </c>
      <c r="AJ980">
        <v>0</v>
      </c>
      <c r="AK980">
        <v>0</v>
      </c>
      <c r="AL980">
        <v>5</v>
      </c>
      <c r="AN980" s="367" t="s">
        <v>6786</v>
      </c>
    </row>
    <row r="981" spans="1:40">
      <c r="A981">
        <v>5371</v>
      </c>
      <c r="B981" t="s">
        <v>5679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 s="367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 s="367">
        <v>0</v>
      </c>
      <c r="U981">
        <v>0</v>
      </c>
      <c r="V981">
        <v>8</v>
      </c>
      <c r="W981">
        <v>1</v>
      </c>
      <c r="X981">
        <v>0</v>
      </c>
      <c r="Y981">
        <v>0</v>
      </c>
      <c r="Z981">
        <v>0</v>
      </c>
      <c r="AA981">
        <v>0</v>
      </c>
      <c r="AB981">
        <v>1</v>
      </c>
      <c r="AC981">
        <v>3</v>
      </c>
      <c r="AD981">
        <v>0</v>
      </c>
      <c r="AE981">
        <v>1</v>
      </c>
      <c r="AF981">
        <v>12</v>
      </c>
      <c r="AG981">
        <v>1</v>
      </c>
      <c r="AH981">
        <v>0</v>
      </c>
      <c r="AI981">
        <v>0</v>
      </c>
      <c r="AJ981">
        <v>0</v>
      </c>
      <c r="AK981">
        <v>0</v>
      </c>
      <c r="AL981">
        <v>8</v>
      </c>
      <c r="AN981" s="367" t="s">
        <v>3542</v>
      </c>
    </row>
    <row r="982" spans="1:40">
      <c r="A982">
        <v>5386</v>
      </c>
      <c r="B982" t="s">
        <v>5680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 s="367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 s="367">
        <v>0</v>
      </c>
      <c r="U982">
        <v>0</v>
      </c>
      <c r="V982">
        <v>0</v>
      </c>
      <c r="W982">
        <v>0</v>
      </c>
      <c r="X982">
        <v>0</v>
      </c>
      <c r="Y982">
        <v>2</v>
      </c>
      <c r="Z982">
        <v>0</v>
      </c>
      <c r="AA982">
        <v>0</v>
      </c>
      <c r="AB982">
        <v>0</v>
      </c>
      <c r="AC982">
        <v>0</v>
      </c>
      <c r="AD982">
        <v>1</v>
      </c>
      <c r="AE982">
        <v>1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</row>
    <row r="983" spans="1:40">
      <c r="A983">
        <v>5392</v>
      </c>
      <c r="B983" t="s">
        <v>5682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 s="367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 s="367">
        <v>0</v>
      </c>
      <c r="U983">
        <v>0</v>
      </c>
      <c r="V983">
        <v>6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2</v>
      </c>
      <c r="AD983">
        <v>10</v>
      </c>
      <c r="AE983">
        <v>1</v>
      </c>
      <c r="AF983">
        <v>1</v>
      </c>
      <c r="AG983">
        <v>3</v>
      </c>
      <c r="AH983">
        <v>0</v>
      </c>
      <c r="AI983">
        <v>0</v>
      </c>
      <c r="AJ983">
        <v>0</v>
      </c>
      <c r="AK983">
        <v>0</v>
      </c>
      <c r="AL983">
        <v>6</v>
      </c>
      <c r="AN983" s="367" t="s">
        <v>6761</v>
      </c>
    </row>
    <row r="984" spans="1:40">
      <c r="A984">
        <v>5398</v>
      </c>
      <c r="B984" t="s">
        <v>6152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 s="367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 s="367">
        <v>0</v>
      </c>
      <c r="U984">
        <v>0</v>
      </c>
      <c r="V984">
        <v>0</v>
      </c>
      <c r="W984">
        <v>0</v>
      </c>
      <c r="X984">
        <v>1</v>
      </c>
      <c r="Y984">
        <v>0</v>
      </c>
      <c r="Z984">
        <v>0</v>
      </c>
      <c r="AA984">
        <v>0</v>
      </c>
      <c r="AB984">
        <v>0</v>
      </c>
      <c r="AC984">
        <v>1</v>
      </c>
      <c r="AD984">
        <v>1</v>
      </c>
      <c r="AE984">
        <v>0</v>
      </c>
      <c r="AF984">
        <v>2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</row>
    <row r="985" spans="1:40">
      <c r="A985">
        <v>5403</v>
      </c>
      <c r="B985" t="s">
        <v>5683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 s="367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 s="367">
        <v>0</v>
      </c>
      <c r="U985">
        <v>0</v>
      </c>
      <c r="V985">
        <v>0</v>
      </c>
      <c r="W985">
        <v>0</v>
      </c>
      <c r="X985">
        <v>1</v>
      </c>
      <c r="Y985">
        <v>1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</row>
    <row r="986" spans="1:40">
      <c r="A986">
        <v>5410</v>
      </c>
      <c r="B986" t="s">
        <v>5684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 s="367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 s="367">
        <v>0</v>
      </c>
      <c r="U986">
        <v>0</v>
      </c>
      <c r="V986">
        <v>6</v>
      </c>
      <c r="W986">
        <v>0</v>
      </c>
      <c r="X986">
        <v>1</v>
      </c>
      <c r="Y986">
        <v>1</v>
      </c>
      <c r="Z986">
        <v>0</v>
      </c>
      <c r="AA986">
        <v>0</v>
      </c>
      <c r="AB986">
        <v>0</v>
      </c>
      <c r="AC986">
        <v>0</v>
      </c>
      <c r="AD986">
        <v>10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6</v>
      </c>
      <c r="AN986" s="367" t="s">
        <v>6761</v>
      </c>
    </row>
    <row r="987" spans="1:40">
      <c r="A987">
        <v>5426</v>
      </c>
      <c r="B987" t="s">
        <v>5686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 s="36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 s="367">
        <v>0</v>
      </c>
      <c r="U987">
        <v>0</v>
      </c>
      <c r="V987">
        <v>0</v>
      </c>
      <c r="W987">
        <v>0</v>
      </c>
      <c r="X987">
        <v>0</v>
      </c>
      <c r="Y987">
        <v>2</v>
      </c>
      <c r="Z987">
        <v>0</v>
      </c>
      <c r="AA987">
        <v>0</v>
      </c>
      <c r="AB987">
        <v>0</v>
      </c>
      <c r="AC987">
        <v>0</v>
      </c>
      <c r="AD987">
        <v>2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</row>
    <row r="988" spans="1:40">
      <c r="A988">
        <v>5432</v>
      </c>
      <c r="B988" t="s">
        <v>5687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 s="367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 s="367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</row>
    <row r="989" spans="1:40">
      <c r="A989">
        <v>5434</v>
      </c>
      <c r="B989" t="s">
        <v>5688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 s="367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 s="367">
        <v>0</v>
      </c>
      <c r="U989">
        <v>0</v>
      </c>
      <c r="V989">
        <v>0</v>
      </c>
      <c r="W989">
        <v>2</v>
      </c>
      <c r="X989">
        <v>0</v>
      </c>
      <c r="Y989">
        <v>0</v>
      </c>
      <c r="Z989">
        <v>2</v>
      </c>
      <c r="AA989">
        <v>0</v>
      </c>
      <c r="AB989">
        <v>1</v>
      </c>
      <c r="AC989">
        <v>0</v>
      </c>
      <c r="AD989">
        <v>0</v>
      </c>
      <c r="AE989">
        <v>4</v>
      </c>
      <c r="AF989">
        <v>1</v>
      </c>
      <c r="AG989">
        <v>0</v>
      </c>
      <c r="AH989">
        <v>0</v>
      </c>
      <c r="AI989">
        <v>0</v>
      </c>
      <c r="AJ989">
        <v>1</v>
      </c>
      <c r="AK989">
        <v>0</v>
      </c>
      <c r="AL989">
        <v>0</v>
      </c>
    </row>
    <row r="990" spans="1:40">
      <c r="A990">
        <v>5438</v>
      </c>
      <c r="B990" t="s">
        <v>5689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 s="367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 s="367">
        <v>0</v>
      </c>
      <c r="U990">
        <v>0</v>
      </c>
      <c r="V990">
        <v>0</v>
      </c>
      <c r="W990">
        <v>0</v>
      </c>
      <c r="X990">
        <v>0</v>
      </c>
      <c r="Y990">
        <v>1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</row>
    <row r="991" spans="1:40">
      <c r="A991">
        <v>5439</v>
      </c>
      <c r="B991" t="s">
        <v>5690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 s="367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 s="367">
        <v>0</v>
      </c>
      <c r="U991">
        <v>0</v>
      </c>
      <c r="V991">
        <v>26</v>
      </c>
      <c r="W991">
        <v>0</v>
      </c>
      <c r="X991">
        <v>1</v>
      </c>
      <c r="Y991">
        <v>2</v>
      </c>
      <c r="Z991">
        <v>0</v>
      </c>
      <c r="AA991">
        <v>0</v>
      </c>
      <c r="AB991">
        <v>0</v>
      </c>
      <c r="AC991">
        <v>0</v>
      </c>
      <c r="AD991">
        <v>10</v>
      </c>
      <c r="AE991">
        <v>0</v>
      </c>
      <c r="AF991">
        <v>0</v>
      </c>
      <c r="AG991">
        <v>0</v>
      </c>
      <c r="AH991">
        <v>24</v>
      </c>
      <c r="AI991">
        <v>0</v>
      </c>
      <c r="AJ991">
        <v>0</v>
      </c>
      <c r="AK991">
        <v>0</v>
      </c>
      <c r="AL991">
        <v>26</v>
      </c>
      <c r="AN991" s="367" t="s">
        <v>6787</v>
      </c>
    </row>
    <row r="992" spans="1:40">
      <c r="A992">
        <v>5443</v>
      </c>
      <c r="B992" t="s">
        <v>5691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 s="367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 s="367">
        <v>0</v>
      </c>
      <c r="U992">
        <v>0</v>
      </c>
      <c r="V992">
        <v>0</v>
      </c>
      <c r="W992">
        <v>0</v>
      </c>
      <c r="X992">
        <v>2</v>
      </c>
      <c r="Y992">
        <v>2</v>
      </c>
      <c r="Z992">
        <v>0</v>
      </c>
      <c r="AA992">
        <v>0</v>
      </c>
      <c r="AB992">
        <v>1</v>
      </c>
      <c r="AC992">
        <v>2</v>
      </c>
      <c r="AD992">
        <v>4</v>
      </c>
      <c r="AE992">
        <v>0</v>
      </c>
      <c r="AF992">
        <v>0</v>
      </c>
      <c r="AG992">
        <v>2</v>
      </c>
      <c r="AH992">
        <v>0</v>
      </c>
      <c r="AI992">
        <v>0</v>
      </c>
      <c r="AJ992">
        <v>0</v>
      </c>
      <c r="AK992">
        <v>0</v>
      </c>
      <c r="AL992">
        <v>0</v>
      </c>
    </row>
    <row r="993" spans="1:40">
      <c r="A993">
        <v>5450</v>
      </c>
      <c r="B993" t="s">
        <v>5692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 s="367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 s="367">
        <v>0</v>
      </c>
      <c r="U993">
        <v>0</v>
      </c>
      <c r="V993">
        <v>0</v>
      </c>
      <c r="W993">
        <v>0</v>
      </c>
      <c r="X993">
        <v>2</v>
      </c>
      <c r="Y993">
        <v>1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</row>
    <row r="994" spans="1:40">
      <c r="A994">
        <v>5452</v>
      </c>
      <c r="B994" t="s">
        <v>5693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 s="367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 s="367">
        <v>0</v>
      </c>
      <c r="U994">
        <v>0</v>
      </c>
      <c r="V994">
        <v>0</v>
      </c>
      <c r="W994">
        <v>3</v>
      </c>
      <c r="X994">
        <v>1</v>
      </c>
      <c r="Y994">
        <v>2</v>
      </c>
      <c r="Z994">
        <v>0</v>
      </c>
      <c r="AA994">
        <v>0</v>
      </c>
      <c r="AB994">
        <v>1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1</v>
      </c>
      <c r="AK994">
        <v>0</v>
      </c>
      <c r="AL994">
        <v>0</v>
      </c>
    </row>
    <row r="995" spans="1:40">
      <c r="A995">
        <v>5457</v>
      </c>
      <c r="B995" t="s">
        <v>5694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 s="367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 s="367">
        <v>0</v>
      </c>
      <c r="U995">
        <v>0</v>
      </c>
      <c r="V995">
        <v>2</v>
      </c>
      <c r="W995">
        <v>0</v>
      </c>
      <c r="X995">
        <v>1</v>
      </c>
      <c r="Y995">
        <v>0</v>
      </c>
      <c r="Z995">
        <v>0</v>
      </c>
      <c r="AA995">
        <v>0</v>
      </c>
      <c r="AB995">
        <v>4</v>
      </c>
      <c r="AC995">
        <v>0</v>
      </c>
      <c r="AD995">
        <v>1</v>
      </c>
      <c r="AE995">
        <v>0</v>
      </c>
      <c r="AF995">
        <v>1</v>
      </c>
      <c r="AG995">
        <v>6</v>
      </c>
      <c r="AH995">
        <v>0</v>
      </c>
      <c r="AI995">
        <v>0</v>
      </c>
      <c r="AJ995">
        <v>0</v>
      </c>
      <c r="AK995">
        <v>0</v>
      </c>
      <c r="AL995">
        <v>2</v>
      </c>
      <c r="AN995" s="367" t="s">
        <v>3543</v>
      </c>
    </row>
    <row r="996" spans="1:40">
      <c r="A996">
        <v>5464</v>
      </c>
      <c r="B996" t="s">
        <v>5695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 s="367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 s="367">
        <v>0</v>
      </c>
      <c r="U996">
        <v>0</v>
      </c>
      <c r="V996">
        <v>0</v>
      </c>
      <c r="W996">
        <v>0</v>
      </c>
      <c r="X996">
        <v>1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1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</row>
    <row r="997" spans="1:40">
      <c r="A997">
        <v>5465</v>
      </c>
      <c r="B997" t="s">
        <v>6296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 s="36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 s="367">
        <v>0</v>
      </c>
      <c r="U997">
        <v>0</v>
      </c>
      <c r="V997">
        <v>0</v>
      </c>
      <c r="W997">
        <v>1</v>
      </c>
      <c r="X997">
        <v>0</v>
      </c>
      <c r="Y997">
        <v>1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1</v>
      </c>
      <c r="AF997">
        <v>0</v>
      </c>
      <c r="AG997">
        <v>0</v>
      </c>
      <c r="AH997">
        <v>0</v>
      </c>
      <c r="AI997">
        <v>0</v>
      </c>
      <c r="AJ997">
        <v>1</v>
      </c>
      <c r="AK997">
        <v>0</v>
      </c>
      <c r="AL997">
        <v>0</v>
      </c>
    </row>
    <row r="998" spans="1:40">
      <c r="A998">
        <v>5469</v>
      </c>
      <c r="B998" t="s">
        <v>5696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 s="367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 s="367">
        <v>0</v>
      </c>
      <c r="U998">
        <v>0</v>
      </c>
      <c r="V998">
        <v>0</v>
      </c>
      <c r="W998">
        <v>2</v>
      </c>
      <c r="X998">
        <v>0</v>
      </c>
      <c r="Y998">
        <v>2</v>
      </c>
      <c r="Z998">
        <v>2</v>
      </c>
      <c r="AA998">
        <v>0</v>
      </c>
      <c r="AB998">
        <v>0</v>
      </c>
      <c r="AC998">
        <v>2</v>
      </c>
      <c r="AD998">
        <v>0</v>
      </c>
      <c r="AE998">
        <v>3</v>
      </c>
      <c r="AF998">
        <v>0</v>
      </c>
      <c r="AG998">
        <v>0</v>
      </c>
      <c r="AH998">
        <v>0</v>
      </c>
      <c r="AI998">
        <v>2</v>
      </c>
      <c r="AJ998">
        <v>0</v>
      </c>
      <c r="AK998">
        <v>0</v>
      </c>
      <c r="AL998">
        <v>0</v>
      </c>
    </row>
    <row r="999" spans="1:40">
      <c r="A999">
        <v>5471</v>
      </c>
      <c r="B999" t="s">
        <v>5697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 s="367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 s="367">
        <v>0</v>
      </c>
      <c r="U999">
        <v>0</v>
      </c>
      <c r="V999">
        <v>0</v>
      </c>
      <c r="W999">
        <v>0</v>
      </c>
      <c r="X999">
        <v>0</v>
      </c>
      <c r="Y999">
        <v>2</v>
      </c>
      <c r="Z999">
        <v>0</v>
      </c>
      <c r="AA999">
        <v>0</v>
      </c>
      <c r="AB999">
        <v>1</v>
      </c>
      <c r="AC999">
        <v>0</v>
      </c>
      <c r="AD999">
        <v>2</v>
      </c>
      <c r="AE999">
        <v>1</v>
      </c>
      <c r="AF999">
        <v>0</v>
      </c>
      <c r="AG999">
        <v>0</v>
      </c>
      <c r="AH999">
        <v>0</v>
      </c>
      <c r="AI999">
        <v>0</v>
      </c>
      <c r="AJ999">
        <v>1</v>
      </c>
      <c r="AK999">
        <v>0</v>
      </c>
      <c r="AL999">
        <v>0</v>
      </c>
    </row>
    <row r="1000" spans="1:40">
      <c r="A1000">
        <v>5474</v>
      </c>
      <c r="B1000" t="s">
        <v>5698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 s="367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 s="367">
        <v>0</v>
      </c>
      <c r="U1000">
        <v>0</v>
      </c>
      <c r="V1000">
        <v>0</v>
      </c>
      <c r="W1000">
        <v>1</v>
      </c>
      <c r="X1000">
        <v>4</v>
      </c>
      <c r="Y1000">
        <v>0</v>
      </c>
      <c r="Z1000">
        <v>0</v>
      </c>
      <c r="AA1000">
        <v>0</v>
      </c>
      <c r="AB1000">
        <v>0</v>
      </c>
      <c r="AC1000">
        <v>1</v>
      </c>
      <c r="AD1000">
        <v>0</v>
      </c>
      <c r="AE1000">
        <v>0</v>
      </c>
      <c r="AF1000">
        <v>1</v>
      </c>
      <c r="AG1000">
        <v>0</v>
      </c>
      <c r="AH1000">
        <v>0</v>
      </c>
      <c r="AI1000">
        <v>1</v>
      </c>
      <c r="AJ1000">
        <v>0</v>
      </c>
      <c r="AK1000">
        <v>0</v>
      </c>
      <c r="AL1000">
        <v>0</v>
      </c>
    </row>
    <row r="1001" spans="1:40">
      <c r="A1001">
        <v>5478</v>
      </c>
      <c r="B1001" t="s">
        <v>5699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 s="367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 s="367">
        <v>0</v>
      </c>
      <c r="U1001">
        <v>0</v>
      </c>
      <c r="V1001">
        <v>0</v>
      </c>
      <c r="W1001">
        <v>2</v>
      </c>
      <c r="X1001">
        <v>0</v>
      </c>
      <c r="Y1001">
        <v>4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1</v>
      </c>
      <c r="AF1001">
        <v>0</v>
      </c>
      <c r="AG1001">
        <v>0</v>
      </c>
      <c r="AH1001">
        <v>0</v>
      </c>
      <c r="AI1001">
        <v>0</v>
      </c>
      <c r="AJ1001">
        <v>2</v>
      </c>
      <c r="AK1001">
        <v>0</v>
      </c>
      <c r="AL1001">
        <v>0</v>
      </c>
    </row>
    <row r="1002" spans="1:40">
      <c r="A1002">
        <v>5481</v>
      </c>
      <c r="B1002" t="s">
        <v>5700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 s="367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 s="367">
        <v>0</v>
      </c>
      <c r="U1002">
        <v>0</v>
      </c>
      <c r="V1002">
        <v>0</v>
      </c>
      <c r="W1002">
        <v>0</v>
      </c>
      <c r="X1002">
        <v>0</v>
      </c>
      <c r="Y1002">
        <v>3</v>
      </c>
      <c r="Z1002">
        <v>0</v>
      </c>
      <c r="AA1002">
        <v>0</v>
      </c>
      <c r="AB1002">
        <v>0</v>
      </c>
      <c r="AC1002">
        <v>0</v>
      </c>
      <c r="AD1002">
        <v>4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</row>
    <row r="1003" spans="1:40">
      <c r="A1003">
        <v>5483</v>
      </c>
      <c r="B1003" t="s">
        <v>5701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 s="367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 s="367">
        <v>0</v>
      </c>
      <c r="U1003">
        <v>0</v>
      </c>
      <c r="V1003">
        <v>0</v>
      </c>
      <c r="W1003">
        <v>0</v>
      </c>
      <c r="X1003">
        <v>1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1</v>
      </c>
      <c r="AE1003">
        <v>0</v>
      </c>
      <c r="AF1003">
        <v>1</v>
      </c>
      <c r="AG1003">
        <v>1</v>
      </c>
      <c r="AH1003">
        <v>1</v>
      </c>
      <c r="AI1003">
        <v>2</v>
      </c>
      <c r="AJ1003">
        <v>2</v>
      </c>
      <c r="AK1003">
        <v>0</v>
      </c>
      <c r="AL1003">
        <v>0</v>
      </c>
    </row>
    <row r="1004" spans="1:40">
      <c r="A1004">
        <v>5490</v>
      </c>
      <c r="B1004" t="s">
        <v>6153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 s="367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 s="367">
        <v>0</v>
      </c>
      <c r="U1004">
        <v>0</v>
      </c>
      <c r="V1004">
        <v>6</v>
      </c>
      <c r="W1004">
        <v>0</v>
      </c>
      <c r="X1004">
        <v>1</v>
      </c>
      <c r="Y1004">
        <v>1</v>
      </c>
      <c r="Z1004">
        <v>0</v>
      </c>
      <c r="AA1004">
        <v>0</v>
      </c>
      <c r="AB1004">
        <v>0</v>
      </c>
      <c r="AC1004">
        <v>0</v>
      </c>
      <c r="AD1004">
        <v>10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6</v>
      </c>
      <c r="AN1004" s="367" t="s">
        <v>6761</v>
      </c>
    </row>
    <row r="1005" spans="1:40">
      <c r="A1005">
        <v>5493</v>
      </c>
      <c r="B1005" t="s">
        <v>5702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 s="367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 s="367">
        <v>0</v>
      </c>
      <c r="U1005">
        <v>4</v>
      </c>
      <c r="V1005">
        <v>0</v>
      </c>
      <c r="W1005">
        <v>3</v>
      </c>
      <c r="X1005">
        <v>7</v>
      </c>
      <c r="Y1005">
        <v>5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4</v>
      </c>
      <c r="AL1005">
        <v>0</v>
      </c>
      <c r="AM1005" s="367" t="s">
        <v>6784</v>
      </c>
    </row>
    <row r="1006" spans="1:40">
      <c r="A1006">
        <v>5498</v>
      </c>
      <c r="B1006" t="s">
        <v>5703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 s="367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 s="367">
        <v>0</v>
      </c>
      <c r="U1006">
        <v>0</v>
      </c>
      <c r="V1006">
        <v>0</v>
      </c>
      <c r="W1006">
        <v>0</v>
      </c>
      <c r="X1006">
        <v>0</v>
      </c>
      <c r="Y1006">
        <v>1</v>
      </c>
      <c r="Z1006">
        <v>0</v>
      </c>
      <c r="AA1006">
        <v>0</v>
      </c>
      <c r="AB1006">
        <v>1</v>
      </c>
      <c r="AC1006">
        <v>0</v>
      </c>
      <c r="AD1006">
        <v>2</v>
      </c>
      <c r="AE1006">
        <v>1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</row>
    <row r="1007" spans="1:40">
      <c r="A1007">
        <v>5508</v>
      </c>
      <c r="B1007" t="s">
        <v>5704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 s="36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 s="367">
        <v>0</v>
      </c>
      <c r="U1007">
        <v>0</v>
      </c>
      <c r="V1007">
        <v>4</v>
      </c>
      <c r="W1007">
        <v>0</v>
      </c>
      <c r="X1007">
        <v>0</v>
      </c>
      <c r="Y1007">
        <v>2</v>
      </c>
      <c r="Z1007">
        <v>0</v>
      </c>
      <c r="AA1007">
        <v>0</v>
      </c>
      <c r="AB1007">
        <v>1</v>
      </c>
      <c r="AC1007">
        <v>0</v>
      </c>
      <c r="AD1007">
        <v>8</v>
      </c>
      <c r="AE1007">
        <v>1</v>
      </c>
      <c r="AF1007">
        <v>0</v>
      </c>
      <c r="AG1007">
        <v>0</v>
      </c>
      <c r="AH1007">
        <v>0</v>
      </c>
      <c r="AI1007">
        <v>0</v>
      </c>
      <c r="AJ1007">
        <v>1</v>
      </c>
      <c r="AK1007">
        <v>0</v>
      </c>
      <c r="AL1007">
        <v>4</v>
      </c>
      <c r="AN1007" s="367" t="s">
        <v>6761</v>
      </c>
    </row>
    <row r="1008" spans="1:40">
      <c r="A1008">
        <v>5511</v>
      </c>
      <c r="B1008" t="s">
        <v>6154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 s="367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 s="367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</row>
    <row r="1009" spans="1:40">
      <c r="A1009">
        <v>5512</v>
      </c>
      <c r="B1009" t="s">
        <v>5705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 s="367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 s="367">
        <v>0</v>
      </c>
      <c r="U1009">
        <v>0</v>
      </c>
      <c r="V1009">
        <v>6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10</v>
      </c>
      <c r="AE1009">
        <v>0</v>
      </c>
      <c r="AF1009">
        <v>3</v>
      </c>
      <c r="AG1009">
        <v>1</v>
      </c>
      <c r="AH1009">
        <v>0</v>
      </c>
      <c r="AI1009">
        <v>0</v>
      </c>
      <c r="AJ1009">
        <v>0</v>
      </c>
      <c r="AK1009">
        <v>0</v>
      </c>
      <c r="AL1009">
        <v>6</v>
      </c>
      <c r="AN1009" s="367" t="s">
        <v>6761</v>
      </c>
    </row>
    <row r="1010" spans="1:40">
      <c r="A1010">
        <v>5514</v>
      </c>
      <c r="B1010" t="s">
        <v>6350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 s="367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 s="367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1</v>
      </c>
      <c r="AH1010">
        <v>0</v>
      </c>
      <c r="AI1010">
        <v>0</v>
      </c>
      <c r="AJ1010">
        <v>0</v>
      </c>
      <c r="AK1010">
        <v>0</v>
      </c>
      <c r="AL1010">
        <v>0</v>
      </c>
    </row>
    <row r="1011" spans="1:40">
      <c r="A1011">
        <v>5515</v>
      </c>
      <c r="B1011" t="s">
        <v>5706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 s="367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 s="367">
        <v>0</v>
      </c>
      <c r="U1011">
        <v>0</v>
      </c>
      <c r="V1011">
        <v>0</v>
      </c>
      <c r="W1011">
        <v>0</v>
      </c>
      <c r="X1011">
        <v>1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1</v>
      </c>
      <c r="AE1011">
        <v>0</v>
      </c>
      <c r="AF1011">
        <v>3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</row>
    <row r="1012" spans="1:40">
      <c r="A1012">
        <v>5516</v>
      </c>
      <c r="B1012" t="s">
        <v>6185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 s="367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 s="367">
        <v>0</v>
      </c>
      <c r="U1012">
        <v>0</v>
      </c>
      <c r="V1012">
        <v>11</v>
      </c>
      <c r="W1012">
        <v>0</v>
      </c>
      <c r="X1012">
        <v>0</v>
      </c>
      <c r="Y1012">
        <v>1</v>
      </c>
      <c r="Z1012">
        <v>0</v>
      </c>
      <c r="AA1012">
        <v>0</v>
      </c>
      <c r="AB1012">
        <v>0</v>
      </c>
      <c r="AC1012">
        <v>0</v>
      </c>
      <c r="AD1012">
        <v>1</v>
      </c>
      <c r="AE1012">
        <v>15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11</v>
      </c>
      <c r="AN1012" s="367" t="s">
        <v>4718</v>
      </c>
    </row>
    <row r="1013" spans="1:40">
      <c r="A1013">
        <v>5520</v>
      </c>
      <c r="B1013" t="s">
        <v>6351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 s="367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 s="367">
        <v>0</v>
      </c>
      <c r="U1013">
        <v>0</v>
      </c>
      <c r="V1013">
        <v>0</v>
      </c>
      <c r="W1013">
        <v>0</v>
      </c>
      <c r="X1013">
        <v>0</v>
      </c>
      <c r="Y1013">
        <v>3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</row>
    <row r="1014" spans="1:40">
      <c r="A1014">
        <v>5521</v>
      </c>
      <c r="B1014" t="s">
        <v>5708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 s="367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 s="367">
        <v>0</v>
      </c>
      <c r="U1014">
        <v>0</v>
      </c>
      <c r="V1014">
        <v>8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7</v>
      </c>
      <c r="AE1014">
        <v>9</v>
      </c>
      <c r="AF1014">
        <v>1</v>
      </c>
      <c r="AG1014">
        <v>0</v>
      </c>
      <c r="AH1014">
        <v>0</v>
      </c>
      <c r="AI1014">
        <v>3</v>
      </c>
      <c r="AJ1014">
        <v>0</v>
      </c>
      <c r="AK1014">
        <v>0</v>
      </c>
      <c r="AL1014">
        <v>8</v>
      </c>
      <c r="AN1014" s="367" t="s">
        <v>6782</v>
      </c>
    </row>
    <row r="1015" spans="1:40">
      <c r="A1015">
        <v>5522</v>
      </c>
      <c r="B1015" t="s">
        <v>5709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 s="367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 s="367">
        <v>0</v>
      </c>
      <c r="U1015">
        <v>3</v>
      </c>
      <c r="V1015">
        <v>7</v>
      </c>
      <c r="W1015">
        <v>0</v>
      </c>
      <c r="X1015">
        <v>0</v>
      </c>
      <c r="Y1015">
        <v>0</v>
      </c>
      <c r="Z1015">
        <v>7</v>
      </c>
      <c r="AA1015">
        <v>0</v>
      </c>
      <c r="AB1015">
        <v>0</v>
      </c>
      <c r="AC1015">
        <v>1</v>
      </c>
      <c r="AD1015">
        <v>1</v>
      </c>
      <c r="AE1015">
        <v>2</v>
      </c>
      <c r="AF1015">
        <v>11</v>
      </c>
      <c r="AG1015">
        <v>0</v>
      </c>
      <c r="AH1015">
        <v>0</v>
      </c>
      <c r="AI1015">
        <v>1</v>
      </c>
      <c r="AJ1015">
        <v>0</v>
      </c>
      <c r="AK1015">
        <v>3</v>
      </c>
      <c r="AL1015">
        <v>7</v>
      </c>
      <c r="AM1015" s="367" t="s">
        <v>3543</v>
      </c>
      <c r="AN1015" s="367" t="s">
        <v>3542</v>
      </c>
    </row>
    <row r="1016" spans="1:40">
      <c r="A1016">
        <v>5523</v>
      </c>
      <c r="B1016" t="s">
        <v>6312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 s="367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 s="367">
        <v>0</v>
      </c>
      <c r="U1016">
        <v>0</v>
      </c>
      <c r="V1016">
        <v>0</v>
      </c>
      <c r="W1016">
        <v>1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3</v>
      </c>
      <c r="AF1016">
        <v>1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</row>
    <row r="1017" spans="1:40">
      <c r="A1017">
        <v>5525</v>
      </c>
      <c r="B1017" t="s">
        <v>5710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 s="36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 s="367">
        <v>0</v>
      </c>
      <c r="U1017">
        <v>0</v>
      </c>
      <c r="V1017">
        <v>0</v>
      </c>
      <c r="W1017">
        <v>0</v>
      </c>
      <c r="X1017">
        <v>0</v>
      </c>
      <c r="Y1017">
        <v>2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</row>
    <row r="1018" spans="1:40">
      <c r="A1018">
        <v>5530</v>
      </c>
      <c r="B1018" t="s">
        <v>5711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 s="367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 s="367">
        <v>0</v>
      </c>
      <c r="U1018">
        <v>0</v>
      </c>
      <c r="V1018">
        <v>5</v>
      </c>
      <c r="W1018">
        <v>0</v>
      </c>
      <c r="X1018">
        <v>1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6</v>
      </c>
      <c r="AE1018">
        <v>0</v>
      </c>
      <c r="AF1018">
        <v>1</v>
      </c>
      <c r="AG1018">
        <v>0</v>
      </c>
      <c r="AH1018">
        <v>0</v>
      </c>
      <c r="AI1018">
        <v>7</v>
      </c>
      <c r="AJ1018">
        <v>1</v>
      </c>
      <c r="AK1018">
        <v>0</v>
      </c>
      <c r="AL1018">
        <v>5</v>
      </c>
      <c r="AN1018" s="367" t="s">
        <v>6788</v>
      </c>
    </row>
    <row r="1019" spans="1:40">
      <c r="A1019">
        <v>5531</v>
      </c>
      <c r="B1019" t="s">
        <v>5712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 s="367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 s="367">
        <v>0</v>
      </c>
      <c r="U1019">
        <v>0</v>
      </c>
      <c r="V1019">
        <v>2</v>
      </c>
      <c r="W1019">
        <v>1</v>
      </c>
      <c r="X1019">
        <v>0</v>
      </c>
      <c r="Y1019">
        <v>2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1</v>
      </c>
      <c r="AF1019">
        <v>0</v>
      </c>
      <c r="AG1019">
        <v>0</v>
      </c>
      <c r="AH1019">
        <v>0</v>
      </c>
      <c r="AI1019">
        <v>6</v>
      </c>
      <c r="AJ1019">
        <v>1</v>
      </c>
      <c r="AK1019">
        <v>0</v>
      </c>
      <c r="AL1019">
        <v>2</v>
      </c>
      <c r="AN1019" s="367" t="s">
        <v>6775</v>
      </c>
    </row>
    <row r="1020" spans="1:40">
      <c r="A1020">
        <v>5533</v>
      </c>
      <c r="B1020" t="s">
        <v>5713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 s="367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 s="367">
        <v>0</v>
      </c>
      <c r="U1020">
        <v>0</v>
      </c>
      <c r="V1020">
        <v>0</v>
      </c>
      <c r="W1020">
        <v>0</v>
      </c>
      <c r="X1020">
        <v>2</v>
      </c>
      <c r="Y1020">
        <v>2</v>
      </c>
      <c r="Z1020">
        <v>0</v>
      </c>
      <c r="AA1020">
        <v>0</v>
      </c>
      <c r="AB1020">
        <v>0</v>
      </c>
      <c r="AC1020">
        <v>0</v>
      </c>
      <c r="AD1020">
        <v>4</v>
      </c>
      <c r="AE1020">
        <v>0</v>
      </c>
      <c r="AF1020">
        <v>0</v>
      </c>
      <c r="AG1020">
        <v>1</v>
      </c>
      <c r="AH1020">
        <v>0</v>
      </c>
      <c r="AI1020">
        <v>1</v>
      </c>
      <c r="AJ1020">
        <v>0</v>
      </c>
      <c r="AK1020">
        <v>0</v>
      </c>
      <c r="AL1020">
        <v>0</v>
      </c>
    </row>
    <row r="1021" spans="1:40">
      <c r="A1021">
        <v>5534</v>
      </c>
      <c r="B1021" t="s">
        <v>5714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 s="367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 s="367">
        <v>0</v>
      </c>
      <c r="U1021">
        <v>0</v>
      </c>
      <c r="V1021">
        <v>0</v>
      </c>
      <c r="W1021">
        <v>2</v>
      </c>
      <c r="X1021">
        <v>0</v>
      </c>
      <c r="Y1021">
        <v>1</v>
      </c>
      <c r="Z1021">
        <v>2</v>
      </c>
      <c r="AA1021">
        <v>0</v>
      </c>
      <c r="AB1021">
        <v>1</v>
      </c>
      <c r="AC1021">
        <v>0</v>
      </c>
      <c r="AD1021">
        <v>0</v>
      </c>
      <c r="AE1021">
        <v>1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</row>
    <row r="1022" spans="1:40">
      <c r="A1022">
        <v>5536</v>
      </c>
      <c r="B1022" t="s">
        <v>5715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 s="367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 s="367">
        <v>0</v>
      </c>
      <c r="U1022">
        <v>0</v>
      </c>
      <c r="V1022">
        <v>6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7</v>
      </c>
      <c r="AE1022">
        <v>1</v>
      </c>
      <c r="AF1022">
        <v>4</v>
      </c>
      <c r="AG1022">
        <v>7</v>
      </c>
      <c r="AH1022">
        <v>0</v>
      </c>
      <c r="AI1022">
        <v>0</v>
      </c>
      <c r="AJ1022">
        <v>1</v>
      </c>
      <c r="AK1022">
        <v>0</v>
      </c>
      <c r="AL1022">
        <v>6</v>
      </c>
      <c r="AN1022" s="367" t="s">
        <v>6792</v>
      </c>
    </row>
    <row r="1023" spans="1:40">
      <c r="A1023">
        <v>5538</v>
      </c>
      <c r="B1023" t="s">
        <v>5716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 s="367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 s="367">
        <v>0</v>
      </c>
      <c r="U1023">
        <v>0</v>
      </c>
      <c r="V1023">
        <v>0</v>
      </c>
      <c r="W1023">
        <v>1</v>
      </c>
      <c r="X1023">
        <v>0</v>
      </c>
      <c r="Y1023">
        <v>2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4</v>
      </c>
      <c r="AF1023">
        <v>0</v>
      </c>
      <c r="AG1023">
        <v>1</v>
      </c>
      <c r="AH1023">
        <v>0</v>
      </c>
      <c r="AI1023">
        <v>0</v>
      </c>
      <c r="AJ1023">
        <v>0</v>
      </c>
      <c r="AK1023">
        <v>0</v>
      </c>
      <c r="AL1023">
        <v>0</v>
      </c>
    </row>
    <row r="1024" spans="1:40">
      <c r="A1024">
        <v>5543</v>
      </c>
      <c r="B1024" t="s">
        <v>5717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 s="367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 s="367">
        <v>0</v>
      </c>
      <c r="U1024">
        <v>0</v>
      </c>
      <c r="V1024">
        <v>0</v>
      </c>
      <c r="W1024">
        <v>0</v>
      </c>
      <c r="X1024">
        <v>1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1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</row>
    <row r="1025" spans="1:40">
      <c r="A1025">
        <v>5546</v>
      </c>
      <c r="B1025" t="s">
        <v>5718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 s="367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 s="367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</row>
    <row r="1026" spans="1:40">
      <c r="A1026">
        <v>5601</v>
      </c>
      <c r="B1026" t="s">
        <v>6347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 s="367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 s="367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1</v>
      </c>
      <c r="AF1026">
        <v>1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</row>
    <row r="1027" spans="1:40">
      <c r="A1027">
        <v>5603</v>
      </c>
      <c r="B1027" t="s">
        <v>5719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 s="36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 s="36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1</v>
      </c>
      <c r="AE1027">
        <v>3</v>
      </c>
      <c r="AF1027">
        <v>1</v>
      </c>
      <c r="AG1027">
        <v>0</v>
      </c>
      <c r="AH1027">
        <v>0</v>
      </c>
      <c r="AI1027">
        <v>3</v>
      </c>
      <c r="AJ1027">
        <v>3</v>
      </c>
      <c r="AK1027">
        <v>0</v>
      </c>
      <c r="AL1027">
        <v>0</v>
      </c>
    </row>
    <row r="1028" spans="1:40">
      <c r="A1028">
        <v>5604</v>
      </c>
      <c r="B1028" t="s">
        <v>6340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 s="367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 s="367">
        <v>0</v>
      </c>
      <c r="U1028">
        <v>0</v>
      </c>
      <c r="V1028">
        <v>0</v>
      </c>
      <c r="W1028">
        <v>0</v>
      </c>
      <c r="X1028">
        <v>0</v>
      </c>
      <c r="Y1028">
        <v>1</v>
      </c>
      <c r="Z1028">
        <v>0</v>
      </c>
      <c r="AA1028">
        <v>0</v>
      </c>
      <c r="AB1028">
        <v>0</v>
      </c>
      <c r="AC1028">
        <v>0</v>
      </c>
      <c r="AD1028">
        <v>3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</row>
    <row r="1029" spans="1:40">
      <c r="A1029">
        <v>5607</v>
      </c>
      <c r="B1029" t="s">
        <v>5720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 s="367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 s="367">
        <v>0</v>
      </c>
      <c r="U1029">
        <v>0</v>
      </c>
      <c r="V1029">
        <v>0</v>
      </c>
      <c r="W1029">
        <v>2</v>
      </c>
      <c r="X1029">
        <v>2</v>
      </c>
      <c r="Y1029">
        <v>0</v>
      </c>
      <c r="Z1029">
        <v>1</v>
      </c>
      <c r="AA1029">
        <v>0</v>
      </c>
      <c r="AB1029">
        <v>1</v>
      </c>
      <c r="AC1029">
        <v>0</v>
      </c>
      <c r="AD1029">
        <v>0</v>
      </c>
      <c r="AE1029">
        <v>0</v>
      </c>
      <c r="AF1029">
        <v>1</v>
      </c>
      <c r="AG1029">
        <v>0</v>
      </c>
      <c r="AH1029">
        <v>0</v>
      </c>
      <c r="AI1029">
        <v>0</v>
      </c>
      <c r="AJ1029">
        <v>4</v>
      </c>
      <c r="AK1029">
        <v>0</v>
      </c>
      <c r="AL1029">
        <v>0</v>
      </c>
    </row>
    <row r="1030" spans="1:40">
      <c r="A1030">
        <v>5608</v>
      </c>
      <c r="B1030" t="s">
        <v>5721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 s="367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 s="367">
        <v>0</v>
      </c>
      <c r="U1030">
        <v>0</v>
      </c>
      <c r="V1030">
        <v>3</v>
      </c>
      <c r="W1030">
        <v>0</v>
      </c>
      <c r="X1030">
        <v>0</v>
      </c>
      <c r="Y1030">
        <v>0</v>
      </c>
      <c r="Z1030">
        <v>1</v>
      </c>
      <c r="AA1030">
        <v>0</v>
      </c>
      <c r="AB1030">
        <v>0</v>
      </c>
      <c r="AC1030">
        <v>0</v>
      </c>
      <c r="AD1030">
        <v>7</v>
      </c>
      <c r="AE1030">
        <v>2</v>
      </c>
      <c r="AF1030">
        <v>1</v>
      </c>
      <c r="AG1030">
        <v>0</v>
      </c>
      <c r="AH1030">
        <v>0</v>
      </c>
      <c r="AI1030">
        <v>1</v>
      </c>
      <c r="AJ1030">
        <v>1</v>
      </c>
      <c r="AK1030">
        <v>0</v>
      </c>
      <c r="AL1030">
        <v>3</v>
      </c>
      <c r="AN1030" s="367" t="s">
        <v>6761</v>
      </c>
    </row>
    <row r="1031" spans="1:40">
      <c r="A1031">
        <v>5609</v>
      </c>
      <c r="B1031" t="s">
        <v>5722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 s="367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 s="367">
        <v>0</v>
      </c>
      <c r="U1031">
        <v>0</v>
      </c>
      <c r="V1031">
        <v>0</v>
      </c>
      <c r="W1031">
        <v>0</v>
      </c>
      <c r="X1031">
        <v>1</v>
      </c>
      <c r="Y1031">
        <v>0</v>
      </c>
      <c r="Z1031">
        <v>0</v>
      </c>
      <c r="AA1031">
        <v>0</v>
      </c>
      <c r="AB1031">
        <v>1</v>
      </c>
      <c r="AC1031">
        <v>0</v>
      </c>
      <c r="AD1031">
        <v>1</v>
      </c>
      <c r="AE1031">
        <v>0</v>
      </c>
      <c r="AF1031">
        <v>1</v>
      </c>
      <c r="AG1031">
        <v>3</v>
      </c>
      <c r="AH1031">
        <v>0</v>
      </c>
      <c r="AI1031">
        <v>0</v>
      </c>
      <c r="AJ1031">
        <v>2</v>
      </c>
      <c r="AK1031">
        <v>0</v>
      </c>
      <c r="AL1031">
        <v>0</v>
      </c>
    </row>
    <row r="1032" spans="1:40">
      <c r="A1032">
        <v>5706</v>
      </c>
      <c r="B1032" t="s">
        <v>5723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 s="367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 s="367">
        <v>0</v>
      </c>
      <c r="U1032">
        <v>0</v>
      </c>
      <c r="V1032">
        <v>0</v>
      </c>
      <c r="W1032">
        <v>2</v>
      </c>
      <c r="X1032">
        <v>0</v>
      </c>
      <c r="Y1032">
        <v>0</v>
      </c>
      <c r="Z1032">
        <v>0</v>
      </c>
      <c r="AA1032">
        <v>0</v>
      </c>
      <c r="AB1032">
        <v>2</v>
      </c>
      <c r="AC1032">
        <v>2</v>
      </c>
      <c r="AD1032">
        <v>0</v>
      </c>
      <c r="AE1032">
        <v>3</v>
      </c>
      <c r="AF1032">
        <v>1</v>
      </c>
      <c r="AG1032">
        <v>1</v>
      </c>
      <c r="AH1032">
        <v>0</v>
      </c>
      <c r="AI1032">
        <v>0</v>
      </c>
      <c r="AJ1032">
        <v>0</v>
      </c>
      <c r="AK1032">
        <v>0</v>
      </c>
      <c r="AL1032">
        <v>0</v>
      </c>
    </row>
    <row r="1033" spans="1:40">
      <c r="A1033">
        <v>5820</v>
      </c>
      <c r="B1033" t="s">
        <v>5724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 s="367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 s="367">
        <v>0</v>
      </c>
      <c r="U1033">
        <v>6</v>
      </c>
      <c r="V1033">
        <v>0</v>
      </c>
      <c r="W1033">
        <v>10</v>
      </c>
      <c r="X1033">
        <v>0</v>
      </c>
      <c r="Y1033">
        <v>0</v>
      </c>
      <c r="Z1033">
        <v>0</v>
      </c>
      <c r="AA1033">
        <v>0</v>
      </c>
      <c r="AB1033">
        <v>1</v>
      </c>
      <c r="AC1033">
        <v>0</v>
      </c>
      <c r="AD1033">
        <v>0</v>
      </c>
      <c r="AE1033">
        <v>1</v>
      </c>
      <c r="AF1033">
        <v>4</v>
      </c>
      <c r="AG1033">
        <v>0</v>
      </c>
      <c r="AH1033">
        <v>0</v>
      </c>
      <c r="AI1033">
        <v>0</v>
      </c>
      <c r="AJ1033">
        <v>0</v>
      </c>
      <c r="AK1033">
        <v>6</v>
      </c>
      <c r="AL1033">
        <v>0</v>
      </c>
      <c r="AM1033" s="367" t="s">
        <v>6761</v>
      </c>
    </row>
    <row r="1034" spans="1:40">
      <c r="A1034">
        <v>5864</v>
      </c>
      <c r="B1034" t="s">
        <v>5725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 s="367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 s="367">
        <v>0</v>
      </c>
      <c r="U1034">
        <v>0</v>
      </c>
      <c r="V1034">
        <v>3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6</v>
      </c>
      <c r="AE1034">
        <v>5</v>
      </c>
      <c r="AF1034">
        <v>1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3</v>
      </c>
      <c r="AN1034" s="367" t="s">
        <v>6782</v>
      </c>
    </row>
    <row r="1035" spans="1:40">
      <c r="A1035">
        <v>5871</v>
      </c>
      <c r="B1035" t="s">
        <v>5726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 s="367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 s="367">
        <v>0</v>
      </c>
      <c r="U1035">
        <v>0</v>
      </c>
      <c r="V1035">
        <v>4</v>
      </c>
      <c r="W1035">
        <v>0</v>
      </c>
      <c r="X1035">
        <v>2</v>
      </c>
      <c r="Y1035">
        <v>0</v>
      </c>
      <c r="Z1035">
        <v>2</v>
      </c>
      <c r="AA1035">
        <v>0</v>
      </c>
      <c r="AB1035">
        <v>0</v>
      </c>
      <c r="AC1035">
        <v>0</v>
      </c>
      <c r="AD1035">
        <v>8</v>
      </c>
      <c r="AE1035">
        <v>0</v>
      </c>
      <c r="AF1035">
        <v>2</v>
      </c>
      <c r="AG1035">
        <v>0</v>
      </c>
      <c r="AH1035">
        <v>1</v>
      </c>
      <c r="AI1035">
        <v>4</v>
      </c>
      <c r="AJ1035">
        <v>1</v>
      </c>
      <c r="AK1035">
        <v>0</v>
      </c>
      <c r="AL1035">
        <v>4</v>
      </c>
      <c r="AN1035" s="367" t="s">
        <v>6761</v>
      </c>
    </row>
    <row r="1036" spans="1:40">
      <c r="A1036">
        <v>5876</v>
      </c>
      <c r="B1036" t="s">
        <v>5727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 s="367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 s="367">
        <v>0</v>
      </c>
      <c r="U1036">
        <v>0</v>
      </c>
      <c r="V1036">
        <v>0</v>
      </c>
      <c r="W1036">
        <v>0</v>
      </c>
      <c r="X1036">
        <v>4</v>
      </c>
      <c r="Y1036">
        <v>1</v>
      </c>
      <c r="Z1036">
        <v>2</v>
      </c>
      <c r="AA1036">
        <v>0</v>
      </c>
      <c r="AB1036">
        <v>3</v>
      </c>
      <c r="AC1036">
        <v>0</v>
      </c>
      <c r="AD1036">
        <v>1</v>
      </c>
      <c r="AE1036">
        <v>0</v>
      </c>
      <c r="AF1036">
        <v>0</v>
      </c>
      <c r="AG1036">
        <v>0</v>
      </c>
      <c r="AH1036">
        <v>1</v>
      </c>
      <c r="AI1036">
        <v>0</v>
      </c>
      <c r="AJ1036">
        <v>1</v>
      </c>
      <c r="AK1036">
        <v>0</v>
      </c>
      <c r="AL1036">
        <v>0</v>
      </c>
    </row>
    <row r="1037" spans="1:40">
      <c r="A1037">
        <v>5880</v>
      </c>
      <c r="B1037" t="s">
        <v>5728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 s="36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 s="367">
        <v>0</v>
      </c>
      <c r="U1037">
        <v>0</v>
      </c>
      <c r="V1037">
        <v>0</v>
      </c>
      <c r="W1037">
        <v>0</v>
      </c>
      <c r="X1037">
        <v>2</v>
      </c>
      <c r="Y1037">
        <v>0</v>
      </c>
      <c r="Z1037">
        <v>2</v>
      </c>
      <c r="AA1037">
        <v>3</v>
      </c>
      <c r="AB1037">
        <v>3</v>
      </c>
      <c r="AC1037">
        <v>0</v>
      </c>
      <c r="AD1037">
        <v>1</v>
      </c>
      <c r="AE1037">
        <v>0</v>
      </c>
      <c r="AF1037">
        <v>1</v>
      </c>
      <c r="AG1037">
        <v>0</v>
      </c>
      <c r="AH1037">
        <v>0</v>
      </c>
      <c r="AI1037">
        <v>0</v>
      </c>
      <c r="AJ1037">
        <v>1</v>
      </c>
      <c r="AK1037">
        <v>0</v>
      </c>
      <c r="AL1037">
        <v>0</v>
      </c>
    </row>
    <row r="1038" spans="1:40">
      <c r="A1038">
        <v>5902</v>
      </c>
      <c r="B1038" t="s">
        <v>5729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 s="367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 s="367">
        <v>0</v>
      </c>
      <c r="U1038">
        <v>0</v>
      </c>
      <c r="V1038">
        <v>3</v>
      </c>
      <c r="W1038">
        <v>0</v>
      </c>
      <c r="X1038">
        <v>0</v>
      </c>
      <c r="Y1038">
        <v>2</v>
      </c>
      <c r="Z1038">
        <v>0</v>
      </c>
      <c r="AA1038">
        <v>0</v>
      </c>
      <c r="AB1038">
        <v>0</v>
      </c>
      <c r="AC1038">
        <v>0</v>
      </c>
      <c r="AD1038">
        <v>7</v>
      </c>
      <c r="AE1038">
        <v>3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3</v>
      </c>
      <c r="AN1038" s="367" t="s">
        <v>6761</v>
      </c>
    </row>
    <row r="1039" spans="1:40">
      <c r="A1039">
        <v>5903</v>
      </c>
      <c r="B1039" t="s">
        <v>5730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 s="367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 s="367">
        <v>0</v>
      </c>
      <c r="U1039">
        <v>0</v>
      </c>
      <c r="V1039">
        <v>21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10</v>
      </c>
      <c r="AE1039">
        <v>0</v>
      </c>
      <c r="AF1039">
        <v>19</v>
      </c>
      <c r="AG1039">
        <v>1</v>
      </c>
      <c r="AH1039">
        <v>0</v>
      </c>
      <c r="AI1039">
        <v>0</v>
      </c>
      <c r="AJ1039">
        <v>0</v>
      </c>
      <c r="AK1039">
        <v>0</v>
      </c>
      <c r="AL1039">
        <v>21</v>
      </c>
      <c r="AN1039" s="367" t="s">
        <v>6785</v>
      </c>
    </row>
    <row r="1040" spans="1:40">
      <c r="A1040">
        <v>5904</v>
      </c>
      <c r="B1040" t="s">
        <v>5731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 s="367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 s="367">
        <v>0</v>
      </c>
      <c r="U1040">
        <v>0</v>
      </c>
      <c r="V1040">
        <v>2</v>
      </c>
      <c r="W1040">
        <v>0</v>
      </c>
      <c r="X1040">
        <v>2</v>
      </c>
      <c r="Y1040">
        <v>0</v>
      </c>
      <c r="Z1040">
        <v>0</v>
      </c>
      <c r="AA1040">
        <v>1</v>
      </c>
      <c r="AB1040">
        <v>1</v>
      </c>
      <c r="AC1040">
        <v>0</v>
      </c>
      <c r="AD1040">
        <v>5</v>
      </c>
      <c r="AE1040">
        <v>0</v>
      </c>
      <c r="AF1040">
        <v>5</v>
      </c>
      <c r="AG1040">
        <v>0</v>
      </c>
      <c r="AH1040">
        <v>0</v>
      </c>
      <c r="AI1040">
        <v>0</v>
      </c>
      <c r="AJ1040">
        <v>1</v>
      </c>
      <c r="AK1040">
        <v>0</v>
      </c>
      <c r="AL1040">
        <v>2</v>
      </c>
      <c r="AN1040" s="367" t="s">
        <v>6785</v>
      </c>
    </row>
    <row r="1041" spans="1:40">
      <c r="A1041">
        <v>5905</v>
      </c>
      <c r="B1041" t="s">
        <v>5732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 s="367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 s="367">
        <v>0</v>
      </c>
      <c r="U1041">
        <v>0</v>
      </c>
      <c r="V1041">
        <v>6</v>
      </c>
      <c r="W1041">
        <v>3</v>
      </c>
      <c r="X1041">
        <v>0</v>
      </c>
      <c r="Y1041">
        <v>3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8</v>
      </c>
      <c r="AF1041">
        <v>0</v>
      </c>
      <c r="AG1041">
        <v>0</v>
      </c>
      <c r="AH1041">
        <v>0</v>
      </c>
      <c r="AI1041">
        <v>6</v>
      </c>
      <c r="AJ1041">
        <v>0</v>
      </c>
      <c r="AK1041">
        <v>0</v>
      </c>
      <c r="AL1041">
        <v>6</v>
      </c>
      <c r="AN1041" s="367" t="s">
        <v>6258</v>
      </c>
    </row>
    <row r="1042" spans="1:40">
      <c r="A1042">
        <v>5906</v>
      </c>
      <c r="B1042" t="s">
        <v>5733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 s="367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 s="367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</row>
    <row r="1043" spans="1:40">
      <c r="A1043">
        <v>5907</v>
      </c>
      <c r="B1043" t="s">
        <v>5734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 s="367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 s="367">
        <v>0</v>
      </c>
      <c r="U1043">
        <v>0</v>
      </c>
      <c r="V1043">
        <v>0</v>
      </c>
      <c r="W1043">
        <v>1</v>
      </c>
      <c r="X1043">
        <v>3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1</v>
      </c>
      <c r="AG1043">
        <v>2</v>
      </c>
      <c r="AH1043">
        <v>0</v>
      </c>
      <c r="AI1043">
        <v>0</v>
      </c>
      <c r="AJ1043">
        <v>0</v>
      </c>
      <c r="AK1043">
        <v>0</v>
      </c>
      <c r="AL1043">
        <v>0</v>
      </c>
    </row>
    <row r="1044" spans="1:40">
      <c r="A1044">
        <v>6005</v>
      </c>
      <c r="B1044" t="s">
        <v>5735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 s="367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 s="367">
        <v>0</v>
      </c>
      <c r="U1044">
        <v>0</v>
      </c>
      <c r="V1044">
        <v>0</v>
      </c>
      <c r="W1044">
        <v>0</v>
      </c>
      <c r="X1044">
        <v>1</v>
      </c>
      <c r="Y1044">
        <v>0</v>
      </c>
      <c r="Z1044">
        <v>0</v>
      </c>
      <c r="AA1044">
        <v>0</v>
      </c>
      <c r="AB1044">
        <v>0</v>
      </c>
      <c r="AC1044">
        <v>2</v>
      </c>
      <c r="AD1044">
        <v>1</v>
      </c>
      <c r="AE1044">
        <v>0</v>
      </c>
      <c r="AF1044">
        <v>1</v>
      </c>
      <c r="AG1044">
        <v>0</v>
      </c>
      <c r="AH1044">
        <v>0</v>
      </c>
      <c r="AI1044">
        <v>3</v>
      </c>
      <c r="AJ1044">
        <v>0</v>
      </c>
      <c r="AK1044">
        <v>0</v>
      </c>
      <c r="AL1044">
        <v>0</v>
      </c>
    </row>
    <row r="1045" spans="1:40">
      <c r="A1045">
        <v>6015</v>
      </c>
      <c r="B1045" t="s">
        <v>5736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 s="367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 s="367">
        <v>0</v>
      </c>
      <c r="U1045">
        <v>0</v>
      </c>
      <c r="V1045">
        <v>8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1</v>
      </c>
      <c r="AD1045">
        <v>4</v>
      </c>
      <c r="AE1045">
        <v>8</v>
      </c>
      <c r="AF1045">
        <v>6</v>
      </c>
      <c r="AG1045">
        <v>0</v>
      </c>
      <c r="AH1045">
        <v>0</v>
      </c>
      <c r="AI1045">
        <v>6</v>
      </c>
      <c r="AJ1045">
        <v>0</v>
      </c>
      <c r="AK1045">
        <v>0</v>
      </c>
      <c r="AL1045">
        <v>8</v>
      </c>
      <c r="AN1045" s="367" t="s">
        <v>6783</v>
      </c>
    </row>
    <row r="1046" spans="1:40">
      <c r="A1046">
        <v>6016</v>
      </c>
      <c r="B1046" t="s">
        <v>5737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 s="367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 s="367">
        <v>0</v>
      </c>
      <c r="U1046">
        <v>0</v>
      </c>
      <c r="V1046">
        <v>15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2</v>
      </c>
      <c r="AC1046">
        <v>2</v>
      </c>
      <c r="AD1046">
        <v>10</v>
      </c>
      <c r="AE1046">
        <v>1</v>
      </c>
      <c r="AF1046">
        <v>13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15</v>
      </c>
      <c r="AN1046" s="367" t="s">
        <v>6785</v>
      </c>
    </row>
    <row r="1047" spans="1:40">
      <c r="A1047">
        <v>6020</v>
      </c>
      <c r="B1047" t="s">
        <v>6186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 s="36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 s="36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</row>
    <row r="1048" spans="1:40">
      <c r="A1048">
        <v>6021</v>
      </c>
      <c r="B1048" t="s">
        <v>6247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 s="367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 s="367">
        <v>0</v>
      </c>
      <c r="U1048">
        <v>0</v>
      </c>
      <c r="V1048">
        <v>0</v>
      </c>
      <c r="W1048">
        <v>0</v>
      </c>
      <c r="X1048">
        <v>0</v>
      </c>
      <c r="Y1048">
        <v>2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</row>
    <row r="1049" spans="1:40">
      <c r="A1049">
        <v>6023</v>
      </c>
      <c r="B1049" t="s">
        <v>6187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 s="367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 s="367">
        <v>0</v>
      </c>
      <c r="U1049">
        <v>0</v>
      </c>
      <c r="V1049">
        <v>0</v>
      </c>
      <c r="W1049">
        <v>0</v>
      </c>
      <c r="X1049">
        <v>0</v>
      </c>
      <c r="Y1049">
        <v>2</v>
      </c>
      <c r="Z1049">
        <v>0</v>
      </c>
      <c r="AA1049">
        <v>0</v>
      </c>
      <c r="AB1049">
        <v>0</v>
      </c>
      <c r="AC1049">
        <v>0</v>
      </c>
      <c r="AD1049">
        <v>1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</row>
    <row r="1050" spans="1:40">
      <c r="A1050">
        <v>6024</v>
      </c>
      <c r="B1050" t="s">
        <v>5738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 s="367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 s="367">
        <v>0</v>
      </c>
      <c r="U1050">
        <v>0</v>
      </c>
      <c r="V1050">
        <v>0</v>
      </c>
      <c r="W1050">
        <v>1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1</v>
      </c>
      <c r="AG1050">
        <v>0</v>
      </c>
      <c r="AH1050">
        <v>0</v>
      </c>
      <c r="AI1050">
        <v>3</v>
      </c>
      <c r="AJ1050">
        <v>0</v>
      </c>
      <c r="AK1050">
        <v>0</v>
      </c>
      <c r="AL1050">
        <v>0</v>
      </c>
    </row>
    <row r="1051" spans="1:40">
      <c r="A1051">
        <v>6026</v>
      </c>
      <c r="B1051" t="s">
        <v>5739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 s="367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 s="367">
        <v>0</v>
      </c>
      <c r="U1051">
        <v>0</v>
      </c>
      <c r="V1051">
        <v>19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2</v>
      </c>
      <c r="AD1051">
        <v>2</v>
      </c>
      <c r="AE1051">
        <v>18</v>
      </c>
      <c r="AF1051">
        <v>4</v>
      </c>
      <c r="AG1051">
        <v>0</v>
      </c>
      <c r="AH1051">
        <v>0</v>
      </c>
      <c r="AI1051">
        <v>9</v>
      </c>
      <c r="AJ1051">
        <v>0</v>
      </c>
      <c r="AK1051">
        <v>0</v>
      </c>
      <c r="AL1051">
        <v>19</v>
      </c>
      <c r="AN1051" s="367" t="s">
        <v>6258</v>
      </c>
    </row>
    <row r="1052" spans="1:40">
      <c r="A1052">
        <v>6108</v>
      </c>
      <c r="B1052" t="s">
        <v>5741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 s="367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 s="367">
        <v>0</v>
      </c>
      <c r="U1052">
        <v>0</v>
      </c>
      <c r="V1052">
        <v>0</v>
      </c>
      <c r="W1052">
        <v>0</v>
      </c>
      <c r="X1052">
        <v>1</v>
      </c>
      <c r="Y1052">
        <v>2</v>
      </c>
      <c r="Z1052">
        <v>3</v>
      </c>
      <c r="AA1052">
        <v>0</v>
      </c>
      <c r="AB1052">
        <v>0</v>
      </c>
      <c r="AC1052">
        <v>0</v>
      </c>
      <c r="AD1052">
        <v>1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</row>
    <row r="1053" spans="1:40">
      <c r="A1053">
        <v>6111</v>
      </c>
      <c r="B1053" t="s">
        <v>5742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 s="367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 s="367">
        <v>0</v>
      </c>
      <c r="U1053">
        <v>0</v>
      </c>
      <c r="V1053">
        <v>4</v>
      </c>
      <c r="W1053">
        <v>0</v>
      </c>
      <c r="X1053">
        <v>0</v>
      </c>
      <c r="Y1053">
        <v>2</v>
      </c>
      <c r="Z1053">
        <v>0</v>
      </c>
      <c r="AA1053">
        <v>0</v>
      </c>
      <c r="AB1053">
        <v>0</v>
      </c>
      <c r="AC1053">
        <v>1</v>
      </c>
      <c r="AD1053">
        <v>8</v>
      </c>
      <c r="AE1053">
        <v>2</v>
      </c>
      <c r="AF1053">
        <v>0</v>
      </c>
      <c r="AG1053">
        <v>1</v>
      </c>
      <c r="AH1053">
        <v>0</v>
      </c>
      <c r="AI1053">
        <v>1</v>
      </c>
      <c r="AJ1053">
        <v>0</v>
      </c>
      <c r="AK1053">
        <v>0</v>
      </c>
      <c r="AL1053">
        <v>4</v>
      </c>
      <c r="AN1053" s="367" t="s">
        <v>6761</v>
      </c>
    </row>
    <row r="1054" spans="1:40">
      <c r="A1054">
        <v>6112</v>
      </c>
      <c r="B1054" t="s">
        <v>5743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 s="367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 s="367">
        <v>0</v>
      </c>
      <c r="U1054">
        <v>0</v>
      </c>
      <c r="V1054">
        <v>6</v>
      </c>
      <c r="W1054">
        <v>0</v>
      </c>
      <c r="X1054">
        <v>0</v>
      </c>
      <c r="Y1054">
        <v>2</v>
      </c>
      <c r="Z1054">
        <v>2</v>
      </c>
      <c r="AA1054">
        <v>0</v>
      </c>
      <c r="AB1054">
        <v>1</v>
      </c>
      <c r="AC1054">
        <v>0</v>
      </c>
      <c r="AD1054">
        <v>10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6</v>
      </c>
      <c r="AN1054" s="367" t="s">
        <v>6761</v>
      </c>
    </row>
    <row r="1055" spans="1:40">
      <c r="A1055">
        <v>6114</v>
      </c>
      <c r="B1055" t="s">
        <v>5744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 s="367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 s="367">
        <v>0</v>
      </c>
      <c r="U1055">
        <v>0</v>
      </c>
      <c r="V1055">
        <v>0</v>
      </c>
      <c r="W1055">
        <v>0</v>
      </c>
      <c r="X1055">
        <v>0</v>
      </c>
      <c r="Y1055">
        <v>1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2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</row>
    <row r="1056" spans="1:40">
      <c r="A1056">
        <v>6115</v>
      </c>
      <c r="B1056" t="s">
        <v>5745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 s="367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 s="367">
        <v>0</v>
      </c>
      <c r="U1056">
        <v>0</v>
      </c>
      <c r="V1056">
        <v>5</v>
      </c>
      <c r="W1056">
        <v>0</v>
      </c>
      <c r="X1056">
        <v>0</v>
      </c>
      <c r="Y1056">
        <v>0</v>
      </c>
      <c r="Z1056">
        <v>3</v>
      </c>
      <c r="AA1056">
        <v>0</v>
      </c>
      <c r="AB1056">
        <v>0</v>
      </c>
      <c r="AC1056">
        <v>0</v>
      </c>
      <c r="AD1056">
        <v>5</v>
      </c>
      <c r="AE1056">
        <v>0</v>
      </c>
      <c r="AF1056">
        <v>8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5</v>
      </c>
      <c r="AN1056" s="367" t="s">
        <v>6785</v>
      </c>
    </row>
    <row r="1057" spans="1:40">
      <c r="A1057">
        <v>6116</v>
      </c>
      <c r="B1057" t="s">
        <v>5746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 s="36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 s="367">
        <v>0</v>
      </c>
      <c r="U1057">
        <v>0</v>
      </c>
      <c r="V1057">
        <v>0</v>
      </c>
      <c r="W1057">
        <v>3</v>
      </c>
      <c r="X1057">
        <v>0</v>
      </c>
      <c r="Y1057">
        <v>3</v>
      </c>
      <c r="Z1057">
        <v>3</v>
      </c>
      <c r="AA1057">
        <v>0</v>
      </c>
      <c r="AB1057">
        <v>0</v>
      </c>
      <c r="AC1057">
        <v>0</v>
      </c>
      <c r="AD1057">
        <v>0</v>
      </c>
      <c r="AE1057">
        <v>1</v>
      </c>
      <c r="AF1057">
        <v>0</v>
      </c>
      <c r="AG1057">
        <v>0</v>
      </c>
      <c r="AH1057">
        <v>0</v>
      </c>
      <c r="AI1057">
        <v>1</v>
      </c>
      <c r="AJ1057">
        <v>2</v>
      </c>
      <c r="AK1057">
        <v>0</v>
      </c>
      <c r="AL1057">
        <v>0</v>
      </c>
    </row>
    <row r="1058" spans="1:40">
      <c r="A1058">
        <v>6117</v>
      </c>
      <c r="B1058" t="s">
        <v>5747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 s="367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 s="367">
        <v>0</v>
      </c>
      <c r="U1058">
        <v>3</v>
      </c>
      <c r="V1058">
        <v>0</v>
      </c>
      <c r="W1058">
        <v>0</v>
      </c>
      <c r="X1058">
        <v>0</v>
      </c>
      <c r="Y1058">
        <v>7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3</v>
      </c>
      <c r="AL1058">
        <v>0</v>
      </c>
      <c r="AM1058" s="367" t="s">
        <v>3542</v>
      </c>
    </row>
    <row r="1059" spans="1:40">
      <c r="A1059">
        <v>6118</v>
      </c>
      <c r="B1059" t="s">
        <v>5748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 s="367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 s="367">
        <v>0</v>
      </c>
      <c r="U1059">
        <v>0</v>
      </c>
      <c r="V1059">
        <v>0</v>
      </c>
      <c r="W1059">
        <v>2</v>
      </c>
      <c r="X1059">
        <v>0</v>
      </c>
      <c r="Y1059">
        <v>2</v>
      </c>
      <c r="Z1059">
        <v>2</v>
      </c>
      <c r="AA1059">
        <v>0</v>
      </c>
      <c r="AB1059">
        <v>0</v>
      </c>
      <c r="AC1059">
        <v>0</v>
      </c>
      <c r="AD1059">
        <v>0</v>
      </c>
      <c r="AE1059">
        <v>2</v>
      </c>
      <c r="AF1059">
        <v>0</v>
      </c>
      <c r="AG1059">
        <v>0</v>
      </c>
      <c r="AH1059">
        <v>0</v>
      </c>
      <c r="AI1059">
        <v>0</v>
      </c>
      <c r="AJ1059">
        <v>2</v>
      </c>
      <c r="AK1059">
        <v>0</v>
      </c>
      <c r="AL1059">
        <v>0</v>
      </c>
    </row>
    <row r="1060" spans="1:40">
      <c r="A1060">
        <v>6120</v>
      </c>
      <c r="B1060" t="s">
        <v>5749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 s="367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 s="367">
        <v>0</v>
      </c>
      <c r="U1060">
        <v>0</v>
      </c>
      <c r="V1060">
        <v>7</v>
      </c>
      <c r="W1060">
        <v>0</v>
      </c>
      <c r="X1060">
        <v>0</v>
      </c>
      <c r="Y1060">
        <v>1</v>
      </c>
      <c r="Z1060">
        <v>2</v>
      </c>
      <c r="AA1060">
        <v>0</v>
      </c>
      <c r="AB1060">
        <v>0</v>
      </c>
      <c r="AC1060">
        <v>4</v>
      </c>
      <c r="AD1060">
        <v>1</v>
      </c>
      <c r="AE1060">
        <v>1</v>
      </c>
      <c r="AF1060">
        <v>0</v>
      </c>
      <c r="AG1060">
        <v>0</v>
      </c>
      <c r="AH1060">
        <v>0</v>
      </c>
      <c r="AI1060">
        <v>11</v>
      </c>
      <c r="AJ1060">
        <v>0</v>
      </c>
      <c r="AK1060">
        <v>0</v>
      </c>
      <c r="AL1060">
        <v>7</v>
      </c>
      <c r="AN1060" s="367" t="s">
        <v>6775</v>
      </c>
    </row>
    <row r="1061" spans="1:40">
      <c r="A1061">
        <v>6122</v>
      </c>
      <c r="B1061" t="s">
        <v>5751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 s="367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 s="367">
        <v>0</v>
      </c>
      <c r="U1061">
        <v>0</v>
      </c>
      <c r="V1061">
        <v>0</v>
      </c>
      <c r="W1061">
        <v>3</v>
      </c>
      <c r="X1061">
        <v>0</v>
      </c>
      <c r="Y1061">
        <v>2</v>
      </c>
      <c r="Z1061">
        <v>0</v>
      </c>
      <c r="AA1061">
        <v>0</v>
      </c>
      <c r="AB1061">
        <v>0</v>
      </c>
      <c r="AC1061">
        <v>2</v>
      </c>
      <c r="AD1061">
        <v>0</v>
      </c>
      <c r="AE1061">
        <v>1</v>
      </c>
      <c r="AF1061">
        <v>0</v>
      </c>
      <c r="AG1061">
        <v>0</v>
      </c>
      <c r="AH1061">
        <v>0</v>
      </c>
      <c r="AI1061">
        <v>4</v>
      </c>
      <c r="AJ1061">
        <v>0</v>
      </c>
      <c r="AK1061">
        <v>0</v>
      </c>
      <c r="AL1061">
        <v>0</v>
      </c>
    </row>
    <row r="1062" spans="1:40">
      <c r="A1062">
        <v>6123</v>
      </c>
      <c r="B1062" t="s">
        <v>5752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 s="367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 s="367">
        <v>0</v>
      </c>
      <c r="U1062">
        <v>0</v>
      </c>
      <c r="V1062">
        <v>0</v>
      </c>
      <c r="W1062">
        <v>0</v>
      </c>
      <c r="X1062">
        <v>0</v>
      </c>
      <c r="Y1062">
        <v>2</v>
      </c>
      <c r="Z1062">
        <v>0</v>
      </c>
      <c r="AA1062">
        <v>0</v>
      </c>
      <c r="AB1062">
        <v>1</v>
      </c>
      <c r="AC1062">
        <v>0</v>
      </c>
      <c r="AD1062">
        <v>1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</row>
    <row r="1063" spans="1:40">
      <c r="A1063">
        <v>6125</v>
      </c>
      <c r="B1063" t="s">
        <v>5753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 s="367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 s="367">
        <v>0</v>
      </c>
      <c r="U1063">
        <v>1</v>
      </c>
      <c r="V1063">
        <v>3</v>
      </c>
      <c r="W1063">
        <v>5</v>
      </c>
      <c r="X1063">
        <v>0</v>
      </c>
      <c r="Y1063">
        <v>2</v>
      </c>
      <c r="Z1063">
        <v>1</v>
      </c>
      <c r="AA1063">
        <v>0</v>
      </c>
      <c r="AB1063">
        <v>0</v>
      </c>
      <c r="AC1063">
        <v>1</v>
      </c>
      <c r="AD1063">
        <v>0</v>
      </c>
      <c r="AE1063">
        <v>7</v>
      </c>
      <c r="AF1063">
        <v>0</v>
      </c>
      <c r="AG1063">
        <v>0</v>
      </c>
      <c r="AH1063">
        <v>0</v>
      </c>
      <c r="AI1063">
        <v>3</v>
      </c>
      <c r="AJ1063">
        <v>0</v>
      </c>
      <c r="AK1063">
        <v>1</v>
      </c>
      <c r="AL1063">
        <v>3</v>
      </c>
      <c r="AM1063" s="367" t="s">
        <v>6761</v>
      </c>
      <c r="AN1063" s="367" t="s">
        <v>4718</v>
      </c>
    </row>
    <row r="1064" spans="1:40">
      <c r="A1064">
        <v>6126</v>
      </c>
      <c r="B1064" t="s">
        <v>5754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 s="367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 s="367">
        <v>0</v>
      </c>
      <c r="U1064">
        <v>0</v>
      </c>
      <c r="V1064">
        <v>0</v>
      </c>
      <c r="W1064">
        <v>1</v>
      </c>
      <c r="X1064">
        <v>0</v>
      </c>
      <c r="Y1064">
        <v>2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4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</row>
    <row r="1065" spans="1:40">
      <c r="A1065">
        <v>6127</v>
      </c>
      <c r="B1065" t="s">
        <v>5755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 s="367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 s="367">
        <v>0</v>
      </c>
      <c r="U1065">
        <v>0</v>
      </c>
      <c r="V1065">
        <v>0</v>
      </c>
      <c r="W1065">
        <v>3</v>
      </c>
      <c r="X1065">
        <v>0</v>
      </c>
      <c r="Y1065">
        <v>3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3</v>
      </c>
      <c r="AF1065">
        <v>0</v>
      </c>
      <c r="AG1065">
        <v>0</v>
      </c>
      <c r="AH1065">
        <v>0</v>
      </c>
      <c r="AI1065">
        <v>0</v>
      </c>
      <c r="AJ1065">
        <v>3</v>
      </c>
      <c r="AK1065">
        <v>0</v>
      </c>
      <c r="AL1065">
        <v>0</v>
      </c>
    </row>
    <row r="1066" spans="1:40">
      <c r="A1066">
        <v>6128</v>
      </c>
      <c r="B1066" t="s">
        <v>5756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 s="367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 s="367">
        <v>0</v>
      </c>
      <c r="U1066">
        <v>0</v>
      </c>
      <c r="V1066">
        <v>0</v>
      </c>
      <c r="W1066">
        <v>1</v>
      </c>
      <c r="X1066">
        <v>0</v>
      </c>
      <c r="Y1066">
        <v>0</v>
      </c>
      <c r="Z1066">
        <v>3</v>
      </c>
      <c r="AA1066">
        <v>0</v>
      </c>
      <c r="AB1066">
        <v>0</v>
      </c>
      <c r="AC1066">
        <v>0</v>
      </c>
      <c r="AD1066">
        <v>0</v>
      </c>
      <c r="AE1066">
        <v>1</v>
      </c>
      <c r="AF1066">
        <v>2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</row>
    <row r="1067" spans="1:40">
      <c r="A1067">
        <v>6129</v>
      </c>
      <c r="B1067" t="s">
        <v>6188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 s="3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 s="367">
        <v>0</v>
      </c>
      <c r="U1067">
        <v>2</v>
      </c>
      <c r="V1067">
        <v>18</v>
      </c>
      <c r="W1067">
        <v>2</v>
      </c>
      <c r="X1067">
        <v>6</v>
      </c>
      <c r="Y1067">
        <v>2</v>
      </c>
      <c r="Z1067">
        <v>0</v>
      </c>
      <c r="AA1067">
        <v>0</v>
      </c>
      <c r="AB1067">
        <v>0</v>
      </c>
      <c r="AC1067">
        <v>1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22</v>
      </c>
      <c r="AJ1067">
        <v>0</v>
      </c>
      <c r="AK1067">
        <v>2</v>
      </c>
      <c r="AL1067">
        <v>18</v>
      </c>
      <c r="AM1067" s="367" t="s">
        <v>4718</v>
      </c>
      <c r="AN1067" s="367" t="s">
        <v>6775</v>
      </c>
    </row>
    <row r="1068" spans="1:40">
      <c r="A1068">
        <v>6133</v>
      </c>
      <c r="B1068" t="s">
        <v>5757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 s="367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 s="367">
        <v>0</v>
      </c>
      <c r="U1068">
        <v>4</v>
      </c>
      <c r="V1068">
        <v>1</v>
      </c>
      <c r="W1068">
        <v>0</v>
      </c>
      <c r="X1068">
        <v>8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5</v>
      </c>
      <c r="AE1068">
        <v>0</v>
      </c>
      <c r="AF1068">
        <v>1</v>
      </c>
      <c r="AG1068">
        <v>0</v>
      </c>
      <c r="AH1068">
        <v>0</v>
      </c>
      <c r="AI1068">
        <v>0</v>
      </c>
      <c r="AJ1068">
        <v>0</v>
      </c>
      <c r="AK1068">
        <v>4</v>
      </c>
      <c r="AL1068">
        <v>1</v>
      </c>
      <c r="AM1068" s="367" t="s">
        <v>4718</v>
      </c>
      <c r="AN1068" s="367" t="s">
        <v>6761</v>
      </c>
    </row>
    <row r="1069" spans="1:40">
      <c r="A1069">
        <v>6134</v>
      </c>
      <c r="B1069" t="s">
        <v>5758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 s="367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 s="367">
        <v>0</v>
      </c>
      <c r="U1069">
        <v>0</v>
      </c>
      <c r="V1069">
        <v>0</v>
      </c>
      <c r="W1069">
        <v>2</v>
      </c>
      <c r="X1069">
        <v>1</v>
      </c>
      <c r="Y1069">
        <v>2</v>
      </c>
      <c r="Z1069">
        <v>0</v>
      </c>
      <c r="AA1069">
        <v>0</v>
      </c>
      <c r="AB1069">
        <v>0</v>
      </c>
      <c r="AC1069">
        <v>1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</row>
    <row r="1070" spans="1:40">
      <c r="A1070">
        <v>6136</v>
      </c>
      <c r="B1070" t="s">
        <v>5759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 s="367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 s="367">
        <v>0</v>
      </c>
      <c r="U1070">
        <v>0</v>
      </c>
      <c r="V1070">
        <v>0</v>
      </c>
      <c r="W1070">
        <v>1</v>
      </c>
      <c r="X1070">
        <v>1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1</v>
      </c>
      <c r="AG1070">
        <v>1</v>
      </c>
      <c r="AH1070">
        <v>0</v>
      </c>
      <c r="AI1070">
        <v>0</v>
      </c>
      <c r="AJ1070">
        <v>0</v>
      </c>
      <c r="AK1070">
        <v>0</v>
      </c>
      <c r="AL1070">
        <v>0</v>
      </c>
    </row>
    <row r="1071" spans="1:40">
      <c r="A1071">
        <v>6138</v>
      </c>
      <c r="B1071" t="s">
        <v>5760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 s="367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 s="367">
        <v>0</v>
      </c>
      <c r="U1071">
        <v>0</v>
      </c>
      <c r="V1071">
        <v>0</v>
      </c>
      <c r="W1071">
        <v>0</v>
      </c>
      <c r="X1071">
        <v>2</v>
      </c>
      <c r="Y1071">
        <v>0</v>
      </c>
      <c r="Z1071">
        <v>3</v>
      </c>
      <c r="AA1071">
        <v>0</v>
      </c>
      <c r="AB1071">
        <v>1</v>
      </c>
      <c r="AC1071">
        <v>2</v>
      </c>
      <c r="AD1071">
        <v>2</v>
      </c>
      <c r="AE1071">
        <v>0</v>
      </c>
      <c r="AF1071">
        <v>1</v>
      </c>
      <c r="AG1071">
        <v>0</v>
      </c>
      <c r="AH1071">
        <v>2</v>
      </c>
      <c r="AI1071">
        <v>0</v>
      </c>
      <c r="AJ1071">
        <v>0</v>
      </c>
      <c r="AK1071">
        <v>0</v>
      </c>
      <c r="AL1071">
        <v>0</v>
      </c>
    </row>
    <row r="1072" spans="1:40">
      <c r="A1072">
        <v>6139</v>
      </c>
      <c r="B1072" t="s">
        <v>5761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 s="367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 s="367">
        <v>0</v>
      </c>
      <c r="U1072">
        <v>0</v>
      </c>
      <c r="V1072">
        <v>0</v>
      </c>
      <c r="W1072">
        <v>2</v>
      </c>
      <c r="X1072">
        <v>0</v>
      </c>
      <c r="Y1072">
        <v>1</v>
      </c>
      <c r="Z1072">
        <v>3</v>
      </c>
      <c r="AA1072">
        <v>0</v>
      </c>
      <c r="AB1072">
        <v>0</v>
      </c>
      <c r="AC1072">
        <v>1</v>
      </c>
      <c r="AD1072">
        <v>0</v>
      </c>
      <c r="AE1072">
        <v>1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</row>
    <row r="1073" spans="1:40">
      <c r="A1073">
        <v>6140</v>
      </c>
      <c r="B1073" t="s">
        <v>5762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 s="367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 s="367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1</v>
      </c>
      <c r="AF1073">
        <v>1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</row>
    <row r="1074" spans="1:40">
      <c r="A1074">
        <v>6141</v>
      </c>
      <c r="B1074" t="s">
        <v>5763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 s="367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 s="367">
        <v>0</v>
      </c>
      <c r="U1074">
        <v>0</v>
      </c>
      <c r="V1074">
        <v>0</v>
      </c>
      <c r="W1074">
        <v>1</v>
      </c>
      <c r="X1074">
        <v>2</v>
      </c>
      <c r="Y1074">
        <v>0</v>
      </c>
      <c r="Z1074">
        <v>2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</row>
    <row r="1075" spans="1:40">
      <c r="A1075">
        <v>6146</v>
      </c>
      <c r="B1075" t="s">
        <v>5765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 s="367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 s="367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1</v>
      </c>
      <c r="AA1075">
        <v>0</v>
      </c>
      <c r="AB1075">
        <v>0</v>
      </c>
      <c r="AC1075">
        <v>0</v>
      </c>
      <c r="AD1075">
        <v>4</v>
      </c>
      <c r="AE1075">
        <v>1</v>
      </c>
      <c r="AF1075">
        <v>4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</row>
    <row r="1076" spans="1:40">
      <c r="A1076">
        <v>6147</v>
      </c>
      <c r="B1076" t="s">
        <v>5766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 s="367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 s="367">
        <v>0</v>
      </c>
      <c r="U1076">
        <v>0</v>
      </c>
      <c r="V1076">
        <v>0</v>
      </c>
      <c r="W1076">
        <v>2</v>
      </c>
      <c r="X1076">
        <v>0</v>
      </c>
      <c r="Y1076">
        <v>2</v>
      </c>
      <c r="Z1076">
        <v>1</v>
      </c>
      <c r="AA1076">
        <v>2</v>
      </c>
      <c r="AB1076">
        <v>0</v>
      </c>
      <c r="AC1076">
        <v>0</v>
      </c>
      <c r="AD1076">
        <v>0</v>
      </c>
      <c r="AE1076">
        <v>1</v>
      </c>
      <c r="AF1076">
        <v>0</v>
      </c>
      <c r="AG1076">
        <v>0</v>
      </c>
      <c r="AH1076">
        <v>0</v>
      </c>
      <c r="AI1076">
        <v>3</v>
      </c>
      <c r="AJ1076">
        <v>0</v>
      </c>
      <c r="AK1076">
        <v>0</v>
      </c>
      <c r="AL1076">
        <v>0</v>
      </c>
    </row>
    <row r="1077" spans="1:40">
      <c r="A1077">
        <v>6148</v>
      </c>
      <c r="B1077" t="s">
        <v>5767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 s="36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 s="36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3</v>
      </c>
      <c r="AF1077">
        <v>2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</row>
    <row r="1078" spans="1:40">
      <c r="A1078">
        <v>6150</v>
      </c>
      <c r="B1078" t="s">
        <v>5768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 s="367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 s="367">
        <v>0</v>
      </c>
      <c r="U1078">
        <v>0</v>
      </c>
      <c r="V1078">
        <v>0</v>
      </c>
      <c r="W1078">
        <v>3</v>
      </c>
      <c r="X1078">
        <v>0</v>
      </c>
      <c r="Y1078">
        <v>3</v>
      </c>
      <c r="Z1078">
        <v>0</v>
      </c>
      <c r="AA1078">
        <v>0</v>
      </c>
      <c r="AB1078">
        <v>1</v>
      </c>
      <c r="AC1078">
        <v>2</v>
      </c>
      <c r="AD1078">
        <v>0</v>
      </c>
      <c r="AE1078">
        <v>3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</row>
    <row r="1079" spans="1:40">
      <c r="A1079">
        <v>6151</v>
      </c>
      <c r="B1079" t="s">
        <v>5769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 s="367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 s="367">
        <v>0</v>
      </c>
      <c r="U1079">
        <v>0</v>
      </c>
      <c r="V1079">
        <v>4</v>
      </c>
      <c r="W1079">
        <v>0</v>
      </c>
      <c r="X1079">
        <v>0</v>
      </c>
      <c r="Y1079">
        <v>1</v>
      </c>
      <c r="Z1079">
        <v>0</v>
      </c>
      <c r="AA1079">
        <v>0</v>
      </c>
      <c r="AB1079">
        <v>0</v>
      </c>
      <c r="AC1079">
        <v>0</v>
      </c>
      <c r="AD1079">
        <v>8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4</v>
      </c>
      <c r="AN1079" s="367" t="s">
        <v>6761</v>
      </c>
    </row>
    <row r="1080" spans="1:40">
      <c r="A1080">
        <v>6153</v>
      </c>
      <c r="B1080" t="s">
        <v>5770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 s="367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 s="367">
        <v>0</v>
      </c>
      <c r="U1080">
        <v>0</v>
      </c>
      <c r="V1080">
        <v>0</v>
      </c>
      <c r="W1080">
        <v>2</v>
      </c>
      <c r="X1080">
        <v>1</v>
      </c>
      <c r="Y1080">
        <v>2</v>
      </c>
      <c r="Z1080">
        <v>2</v>
      </c>
      <c r="AA1080">
        <v>0</v>
      </c>
      <c r="AB1080">
        <v>1</v>
      </c>
      <c r="AC1080">
        <v>3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</row>
    <row r="1081" spans="1:40">
      <c r="A1081">
        <v>6154</v>
      </c>
      <c r="B1081" t="s">
        <v>5771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 s="367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 s="367">
        <v>0</v>
      </c>
      <c r="U1081">
        <v>0</v>
      </c>
      <c r="V1081">
        <v>0</v>
      </c>
      <c r="W1081">
        <v>0</v>
      </c>
      <c r="X1081">
        <v>1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1</v>
      </c>
      <c r="AE1081">
        <v>0</v>
      </c>
      <c r="AF1081">
        <v>3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</row>
    <row r="1082" spans="1:40">
      <c r="A1082">
        <v>6155</v>
      </c>
      <c r="B1082" t="s">
        <v>5772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 s="367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 s="367">
        <v>0</v>
      </c>
      <c r="U1082">
        <v>0</v>
      </c>
      <c r="V1082">
        <v>0</v>
      </c>
      <c r="W1082">
        <v>0</v>
      </c>
      <c r="X1082">
        <v>4</v>
      </c>
      <c r="Y1082">
        <v>0</v>
      </c>
      <c r="Z1082">
        <v>2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</row>
    <row r="1083" spans="1:40">
      <c r="A1083">
        <v>6156</v>
      </c>
      <c r="B1083" t="s">
        <v>5773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 s="367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 s="367">
        <v>0</v>
      </c>
      <c r="U1083">
        <v>0</v>
      </c>
      <c r="V1083">
        <v>0</v>
      </c>
      <c r="W1083">
        <v>0</v>
      </c>
      <c r="X1083">
        <v>0</v>
      </c>
      <c r="Y1083">
        <v>2</v>
      </c>
      <c r="Z1083">
        <v>0</v>
      </c>
      <c r="AA1083">
        <v>0</v>
      </c>
      <c r="AB1083">
        <v>1</v>
      </c>
      <c r="AC1083">
        <v>0</v>
      </c>
      <c r="AD1083">
        <v>3</v>
      </c>
      <c r="AE1083">
        <v>3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</row>
    <row r="1084" spans="1:40">
      <c r="A1084">
        <v>6158</v>
      </c>
      <c r="B1084" t="s">
        <v>5774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 s="367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 s="367">
        <v>0</v>
      </c>
      <c r="U1084">
        <v>0</v>
      </c>
      <c r="V1084">
        <v>0</v>
      </c>
      <c r="W1084">
        <v>3</v>
      </c>
      <c r="X1084">
        <v>1</v>
      </c>
      <c r="Y1084">
        <v>2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</row>
    <row r="1085" spans="1:40">
      <c r="A1085">
        <v>6160</v>
      </c>
      <c r="B1085" t="s">
        <v>6304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 s="367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 s="367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3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</row>
    <row r="1086" spans="1:40">
      <c r="A1086">
        <v>6161</v>
      </c>
      <c r="B1086" t="s">
        <v>5775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 s="367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 s="367">
        <v>0</v>
      </c>
      <c r="U1086">
        <v>0</v>
      </c>
      <c r="V1086">
        <v>6</v>
      </c>
      <c r="W1086">
        <v>0</v>
      </c>
      <c r="X1086">
        <v>0</v>
      </c>
      <c r="Y1086">
        <v>2</v>
      </c>
      <c r="Z1086">
        <v>0</v>
      </c>
      <c r="AA1086">
        <v>0</v>
      </c>
      <c r="AB1086">
        <v>0</v>
      </c>
      <c r="AC1086">
        <v>1</v>
      </c>
      <c r="AD1086">
        <v>10</v>
      </c>
      <c r="AE1086">
        <v>1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6</v>
      </c>
      <c r="AN1086" s="367" t="s">
        <v>6761</v>
      </c>
    </row>
    <row r="1087" spans="1:40">
      <c r="A1087">
        <v>6163</v>
      </c>
      <c r="B1087" t="s">
        <v>5776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 s="36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 s="367">
        <v>0</v>
      </c>
      <c r="U1087">
        <v>0</v>
      </c>
      <c r="V1087">
        <v>2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1</v>
      </c>
      <c r="AC1087">
        <v>2</v>
      </c>
      <c r="AD1087">
        <v>4</v>
      </c>
      <c r="AE1087">
        <v>1</v>
      </c>
      <c r="AF1087">
        <v>6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2</v>
      </c>
      <c r="AN1087" s="367" t="s">
        <v>3542</v>
      </c>
    </row>
    <row r="1088" spans="1:40">
      <c r="A1088">
        <v>6164</v>
      </c>
      <c r="B1088" t="s">
        <v>5777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 s="367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 s="367">
        <v>0</v>
      </c>
      <c r="U1088">
        <v>0</v>
      </c>
      <c r="V1088">
        <v>0</v>
      </c>
      <c r="W1088">
        <v>0</v>
      </c>
      <c r="X1088">
        <v>0</v>
      </c>
      <c r="Y1088">
        <v>2</v>
      </c>
      <c r="Z1088">
        <v>2</v>
      </c>
      <c r="AA1088">
        <v>0</v>
      </c>
      <c r="AB1088">
        <v>0</v>
      </c>
      <c r="AC1088">
        <v>1</v>
      </c>
      <c r="AD1088">
        <v>1</v>
      </c>
      <c r="AE1088">
        <v>3</v>
      </c>
      <c r="AF1088">
        <v>0</v>
      </c>
      <c r="AG1088">
        <v>0</v>
      </c>
      <c r="AH1088">
        <v>0</v>
      </c>
      <c r="AI1088">
        <v>2</v>
      </c>
      <c r="AJ1088">
        <v>0</v>
      </c>
      <c r="AK1088">
        <v>0</v>
      </c>
      <c r="AL1088">
        <v>0</v>
      </c>
    </row>
    <row r="1089" spans="1:40">
      <c r="A1089">
        <v>6165</v>
      </c>
      <c r="B1089" t="s">
        <v>5778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 s="367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 s="367">
        <v>0</v>
      </c>
      <c r="U1089">
        <v>0</v>
      </c>
      <c r="V1089">
        <v>2</v>
      </c>
      <c r="W1089">
        <v>1</v>
      </c>
      <c r="X1089">
        <v>0</v>
      </c>
      <c r="Y1089">
        <v>3</v>
      </c>
      <c r="Z1089">
        <v>0</v>
      </c>
      <c r="AA1089">
        <v>0</v>
      </c>
      <c r="AB1089">
        <v>1</v>
      </c>
      <c r="AC1089">
        <v>0</v>
      </c>
      <c r="AD1089">
        <v>0</v>
      </c>
      <c r="AE1089">
        <v>6</v>
      </c>
      <c r="AF1089">
        <v>0</v>
      </c>
      <c r="AG1089">
        <v>0</v>
      </c>
      <c r="AH1089">
        <v>0</v>
      </c>
      <c r="AI1089">
        <v>0</v>
      </c>
      <c r="AJ1089">
        <v>3</v>
      </c>
      <c r="AK1089">
        <v>0</v>
      </c>
      <c r="AL1089">
        <v>2</v>
      </c>
      <c r="AN1089" s="367" t="s">
        <v>4718</v>
      </c>
    </row>
    <row r="1090" spans="1:40">
      <c r="A1090">
        <v>6166</v>
      </c>
      <c r="B1090" t="s">
        <v>5779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 s="367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 s="367">
        <v>0</v>
      </c>
      <c r="U1090">
        <v>0</v>
      </c>
      <c r="V1090">
        <v>0</v>
      </c>
      <c r="W1090">
        <v>0</v>
      </c>
      <c r="X1090">
        <v>0</v>
      </c>
      <c r="Y1090">
        <v>1</v>
      </c>
      <c r="Z1090">
        <v>0</v>
      </c>
      <c r="AA1090">
        <v>0</v>
      </c>
      <c r="AB1090">
        <v>0</v>
      </c>
      <c r="AC1090">
        <v>0</v>
      </c>
      <c r="AD1090">
        <v>1</v>
      </c>
      <c r="AE1090">
        <v>3</v>
      </c>
      <c r="AF1090">
        <v>0</v>
      </c>
      <c r="AG1090">
        <v>1</v>
      </c>
      <c r="AH1090">
        <v>0</v>
      </c>
      <c r="AI1090">
        <v>0</v>
      </c>
      <c r="AJ1090">
        <v>0</v>
      </c>
      <c r="AK1090">
        <v>0</v>
      </c>
      <c r="AL1090">
        <v>0</v>
      </c>
    </row>
    <row r="1091" spans="1:40">
      <c r="A1091">
        <v>6168</v>
      </c>
      <c r="B1091" t="s">
        <v>5780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 s="367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 s="367">
        <v>0</v>
      </c>
      <c r="U1091">
        <v>0</v>
      </c>
      <c r="V1091">
        <v>0</v>
      </c>
      <c r="W1091">
        <v>3</v>
      </c>
      <c r="X1091">
        <v>2</v>
      </c>
      <c r="Y1091">
        <v>3</v>
      </c>
      <c r="Z1091">
        <v>2</v>
      </c>
      <c r="AA1091">
        <v>0</v>
      </c>
      <c r="AB1091">
        <v>1</v>
      </c>
      <c r="AC1091">
        <v>1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</row>
    <row r="1092" spans="1:40">
      <c r="A1092">
        <v>6170</v>
      </c>
      <c r="B1092" t="s">
        <v>5781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 s="367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 s="367">
        <v>0</v>
      </c>
      <c r="U1092">
        <v>0</v>
      </c>
      <c r="V1092">
        <v>0</v>
      </c>
      <c r="W1092">
        <v>0</v>
      </c>
      <c r="X1092">
        <v>1</v>
      </c>
      <c r="Y1092">
        <v>2</v>
      </c>
      <c r="Z1092">
        <v>0</v>
      </c>
      <c r="AA1092">
        <v>0</v>
      </c>
      <c r="AB1092">
        <v>0</v>
      </c>
      <c r="AC1092">
        <v>1</v>
      </c>
      <c r="AD1092">
        <v>1</v>
      </c>
      <c r="AE1092">
        <v>0</v>
      </c>
      <c r="AF1092">
        <v>0</v>
      </c>
      <c r="AG1092">
        <v>1</v>
      </c>
      <c r="AH1092">
        <v>0</v>
      </c>
      <c r="AI1092">
        <v>1</v>
      </c>
      <c r="AJ1092">
        <v>0</v>
      </c>
      <c r="AK1092">
        <v>0</v>
      </c>
      <c r="AL1092">
        <v>0</v>
      </c>
    </row>
    <row r="1093" spans="1:40">
      <c r="A1093">
        <v>6171</v>
      </c>
      <c r="B1093" t="s">
        <v>6155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 s="367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 s="367">
        <v>0</v>
      </c>
      <c r="U1093">
        <v>0</v>
      </c>
      <c r="V1093">
        <v>5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1</v>
      </c>
      <c r="AF1093">
        <v>9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5</v>
      </c>
      <c r="AN1093" s="367" t="s">
        <v>3542</v>
      </c>
    </row>
    <row r="1094" spans="1:40">
      <c r="A1094">
        <v>6173</v>
      </c>
      <c r="B1094" t="s">
        <v>5782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 s="367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 s="367">
        <v>0</v>
      </c>
      <c r="U1094">
        <v>2</v>
      </c>
      <c r="V1094">
        <v>0</v>
      </c>
      <c r="W1094">
        <v>5</v>
      </c>
      <c r="X1094">
        <v>0</v>
      </c>
      <c r="Y1094">
        <v>5</v>
      </c>
      <c r="Z1094">
        <v>2</v>
      </c>
      <c r="AA1094">
        <v>0</v>
      </c>
      <c r="AB1094">
        <v>0</v>
      </c>
      <c r="AC1094">
        <v>2</v>
      </c>
      <c r="AD1094">
        <v>0</v>
      </c>
      <c r="AE1094">
        <v>1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2</v>
      </c>
      <c r="AL1094">
        <v>0</v>
      </c>
      <c r="AM1094" s="367" t="s">
        <v>6785</v>
      </c>
    </row>
    <row r="1095" spans="1:40">
      <c r="A1095">
        <v>6174</v>
      </c>
      <c r="B1095" t="s">
        <v>5783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 s="367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 s="367">
        <v>0</v>
      </c>
      <c r="U1095">
        <v>0</v>
      </c>
      <c r="V1095">
        <v>0</v>
      </c>
      <c r="W1095">
        <v>0</v>
      </c>
      <c r="X1095">
        <v>0</v>
      </c>
      <c r="Y1095">
        <v>3</v>
      </c>
      <c r="Z1095">
        <v>0</v>
      </c>
      <c r="AA1095">
        <v>0</v>
      </c>
      <c r="AB1095">
        <v>0</v>
      </c>
      <c r="AC1095">
        <v>2</v>
      </c>
      <c r="AD1095">
        <v>3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</row>
    <row r="1096" spans="1:40">
      <c r="A1096">
        <v>6175</v>
      </c>
      <c r="B1096" t="s">
        <v>5784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 s="367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 s="367">
        <v>0</v>
      </c>
      <c r="U1096">
        <v>0</v>
      </c>
      <c r="V1096">
        <v>0</v>
      </c>
      <c r="W1096">
        <v>0</v>
      </c>
      <c r="X1096">
        <v>0</v>
      </c>
      <c r="Y1096">
        <v>2</v>
      </c>
      <c r="Z1096">
        <v>0</v>
      </c>
      <c r="AA1096">
        <v>0</v>
      </c>
      <c r="AB1096">
        <v>0</v>
      </c>
      <c r="AC1096">
        <v>0</v>
      </c>
      <c r="AD1096">
        <v>1</v>
      </c>
      <c r="AE1096">
        <v>4</v>
      </c>
      <c r="AF1096">
        <v>0</v>
      </c>
      <c r="AG1096">
        <v>1</v>
      </c>
      <c r="AH1096">
        <v>0</v>
      </c>
      <c r="AI1096">
        <v>2</v>
      </c>
      <c r="AJ1096">
        <v>2</v>
      </c>
      <c r="AK1096">
        <v>0</v>
      </c>
      <c r="AL1096">
        <v>0</v>
      </c>
    </row>
    <row r="1097" spans="1:40">
      <c r="A1097">
        <v>6176</v>
      </c>
      <c r="B1097" t="s">
        <v>5785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 s="36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 s="367">
        <v>0</v>
      </c>
      <c r="U1097">
        <v>10</v>
      </c>
      <c r="V1097">
        <v>0</v>
      </c>
      <c r="W1097">
        <v>3</v>
      </c>
      <c r="X1097">
        <v>0</v>
      </c>
      <c r="Y1097">
        <v>1</v>
      </c>
      <c r="Z1097">
        <v>10</v>
      </c>
      <c r="AA1097">
        <v>8</v>
      </c>
      <c r="AB1097">
        <v>0</v>
      </c>
      <c r="AC1097">
        <v>0</v>
      </c>
      <c r="AD1097">
        <v>0</v>
      </c>
      <c r="AE1097">
        <v>3</v>
      </c>
      <c r="AF1097">
        <v>0</v>
      </c>
      <c r="AG1097">
        <v>0</v>
      </c>
      <c r="AH1097">
        <v>0</v>
      </c>
      <c r="AI1097">
        <v>1</v>
      </c>
      <c r="AJ1097">
        <v>0</v>
      </c>
      <c r="AK1097">
        <v>10</v>
      </c>
      <c r="AL1097">
        <v>0</v>
      </c>
      <c r="AM1097" s="367" t="s">
        <v>6168</v>
      </c>
    </row>
    <row r="1098" spans="1:40">
      <c r="A1098">
        <v>6177</v>
      </c>
      <c r="B1098" t="s">
        <v>5786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 s="367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 s="367">
        <v>0</v>
      </c>
      <c r="U1098">
        <v>0</v>
      </c>
      <c r="V1098">
        <v>0</v>
      </c>
      <c r="W1098">
        <v>1</v>
      </c>
      <c r="X1098">
        <v>0</v>
      </c>
      <c r="Y1098">
        <v>2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2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</row>
    <row r="1099" spans="1:40">
      <c r="A1099">
        <v>6179</v>
      </c>
      <c r="B1099" t="s">
        <v>5787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 s="367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 s="367">
        <v>0</v>
      </c>
      <c r="U1099">
        <v>0</v>
      </c>
      <c r="V1099">
        <v>0</v>
      </c>
      <c r="W1099">
        <v>2</v>
      </c>
      <c r="X1099">
        <v>0</v>
      </c>
      <c r="Y1099">
        <v>1</v>
      </c>
      <c r="Z1099">
        <v>0</v>
      </c>
      <c r="AA1099">
        <v>0</v>
      </c>
      <c r="AB1099">
        <v>0</v>
      </c>
      <c r="AC1099">
        <v>1</v>
      </c>
      <c r="AD1099">
        <v>0</v>
      </c>
      <c r="AE1099">
        <v>1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</row>
    <row r="1100" spans="1:40">
      <c r="A1100">
        <v>6180</v>
      </c>
      <c r="B1100" t="s">
        <v>5788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 s="367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 s="367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1</v>
      </c>
      <c r="AB1100">
        <v>1</v>
      </c>
      <c r="AC1100">
        <v>0</v>
      </c>
      <c r="AD1100">
        <v>1</v>
      </c>
      <c r="AE1100">
        <v>1</v>
      </c>
      <c r="AF1100">
        <v>1</v>
      </c>
      <c r="AG1100">
        <v>0</v>
      </c>
      <c r="AH1100">
        <v>0</v>
      </c>
      <c r="AI1100">
        <v>0</v>
      </c>
      <c r="AJ1100">
        <v>3</v>
      </c>
      <c r="AK1100">
        <v>0</v>
      </c>
      <c r="AL1100">
        <v>0</v>
      </c>
    </row>
    <row r="1101" spans="1:40">
      <c r="A1101">
        <v>6183</v>
      </c>
      <c r="B1101" t="s">
        <v>5790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 s="367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 s="367">
        <v>0</v>
      </c>
      <c r="U1101">
        <v>0</v>
      </c>
      <c r="V1101">
        <v>0</v>
      </c>
      <c r="W1101">
        <v>1</v>
      </c>
      <c r="X1101">
        <v>1</v>
      </c>
      <c r="Y1101">
        <v>1</v>
      </c>
      <c r="Z1101">
        <v>2</v>
      </c>
      <c r="AA1101">
        <v>0</v>
      </c>
      <c r="AB1101">
        <v>2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</row>
    <row r="1102" spans="1:40">
      <c r="A1102">
        <v>6184</v>
      </c>
      <c r="B1102" t="s">
        <v>5791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 s="367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 s="367">
        <v>0</v>
      </c>
      <c r="U1102">
        <v>0</v>
      </c>
      <c r="V1102">
        <v>0</v>
      </c>
      <c r="W1102">
        <v>0</v>
      </c>
      <c r="X1102">
        <v>0</v>
      </c>
      <c r="Y1102">
        <v>4</v>
      </c>
      <c r="Z1102">
        <v>0</v>
      </c>
      <c r="AA1102">
        <v>0</v>
      </c>
      <c r="AB1102">
        <v>0</v>
      </c>
      <c r="AC1102">
        <v>0</v>
      </c>
      <c r="AD1102">
        <v>1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</row>
    <row r="1103" spans="1:40">
      <c r="A1103">
        <v>6185</v>
      </c>
      <c r="B1103" t="s">
        <v>5792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 s="367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 s="367">
        <v>0</v>
      </c>
      <c r="U1103">
        <v>3</v>
      </c>
      <c r="V1103">
        <v>0</v>
      </c>
      <c r="W1103">
        <v>1</v>
      </c>
      <c r="X1103">
        <v>1</v>
      </c>
      <c r="Y1103">
        <v>4</v>
      </c>
      <c r="Z1103">
        <v>0</v>
      </c>
      <c r="AA1103">
        <v>0</v>
      </c>
      <c r="AB1103">
        <v>7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3</v>
      </c>
      <c r="AL1103">
        <v>0</v>
      </c>
      <c r="AM1103" s="367" t="s">
        <v>6775</v>
      </c>
    </row>
    <row r="1104" spans="1:40">
      <c r="A1104">
        <v>6186</v>
      </c>
      <c r="B1104" t="s">
        <v>5793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 s="367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 s="367">
        <v>0</v>
      </c>
      <c r="U1104">
        <v>0</v>
      </c>
      <c r="V1104">
        <v>5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4</v>
      </c>
      <c r="AE1104">
        <v>3</v>
      </c>
      <c r="AF1104">
        <v>3</v>
      </c>
      <c r="AG1104">
        <v>0</v>
      </c>
      <c r="AH1104">
        <v>0</v>
      </c>
      <c r="AI1104">
        <v>9</v>
      </c>
      <c r="AJ1104">
        <v>0</v>
      </c>
      <c r="AK1104">
        <v>0</v>
      </c>
      <c r="AL1104">
        <v>5</v>
      </c>
      <c r="AN1104" s="367" t="s">
        <v>6775</v>
      </c>
    </row>
    <row r="1105" spans="1:40">
      <c r="A1105">
        <v>6187</v>
      </c>
      <c r="B1105" t="s">
        <v>5794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 s="367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 s="367">
        <v>0</v>
      </c>
      <c r="U1105">
        <v>0</v>
      </c>
      <c r="V1105">
        <v>0</v>
      </c>
      <c r="W1105">
        <v>0</v>
      </c>
      <c r="X1105">
        <v>2</v>
      </c>
      <c r="Y1105">
        <v>0</v>
      </c>
      <c r="Z1105">
        <v>0</v>
      </c>
      <c r="AA1105">
        <v>0</v>
      </c>
      <c r="AB1105">
        <v>4</v>
      </c>
      <c r="AC1105">
        <v>2</v>
      </c>
      <c r="AD1105">
        <v>1</v>
      </c>
      <c r="AE1105">
        <v>0</v>
      </c>
      <c r="AF1105">
        <v>1</v>
      </c>
      <c r="AG1105">
        <v>2</v>
      </c>
      <c r="AH1105">
        <v>0</v>
      </c>
      <c r="AI1105">
        <v>0</v>
      </c>
      <c r="AJ1105">
        <v>0</v>
      </c>
      <c r="AK1105">
        <v>0</v>
      </c>
      <c r="AL1105">
        <v>0</v>
      </c>
    </row>
    <row r="1106" spans="1:40">
      <c r="A1106">
        <v>6188</v>
      </c>
      <c r="B1106" t="s">
        <v>5795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 s="367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 s="367">
        <v>0</v>
      </c>
      <c r="U1106">
        <v>0</v>
      </c>
      <c r="V1106">
        <v>10</v>
      </c>
      <c r="W1106">
        <v>0</v>
      </c>
      <c r="X1106">
        <v>2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8</v>
      </c>
      <c r="AE1106">
        <v>0</v>
      </c>
      <c r="AF1106">
        <v>10</v>
      </c>
      <c r="AG1106">
        <v>1</v>
      </c>
      <c r="AH1106">
        <v>0</v>
      </c>
      <c r="AI1106">
        <v>2</v>
      </c>
      <c r="AJ1106">
        <v>1</v>
      </c>
      <c r="AK1106">
        <v>0</v>
      </c>
      <c r="AL1106">
        <v>10</v>
      </c>
      <c r="AN1106" s="367" t="s">
        <v>6785</v>
      </c>
    </row>
    <row r="1107" spans="1:40">
      <c r="A1107">
        <v>6189</v>
      </c>
      <c r="B1107" t="s">
        <v>5796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 s="36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 s="367">
        <v>0</v>
      </c>
      <c r="U1107">
        <v>0</v>
      </c>
      <c r="V1107">
        <v>7</v>
      </c>
      <c r="W1107">
        <v>1</v>
      </c>
      <c r="X1107">
        <v>0</v>
      </c>
      <c r="Y1107">
        <v>0</v>
      </c>
      <c r="Z1107">
        <v>2</v>
      </c>
      <c r="AA1107">
        <v>0</v>
      </c>
      <c r="AB1107">
        <v>1</v>
      </c>
      <c r="AC1107">
        <v>0</v>
      </c>
      <c r="AD1107">
        <v>0</v>
      </c>
      <c r="AE1107">
        <v>1</v>
      </c>
      <c r="AF1107">
        <v>11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7</v>
      </c>
      <c r="AN1107" s="367" t="s">
        <v>3542</v>
      </c>
    </row>
    <row r="1108" spans="1:40">
      <c r="A1108">
        <v>6190</v>
      </c>
      <c r="B1108" t="s">
        <v>5797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 s="367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 s="367">
        <v>0</v>
      </c>
      <c r="U1108">
        <v>0</v>
      </c>
      <c r="V1108">
        <v>0</v>
      </c>
      <c r="W1108">
        <v>0</v>
      </c>
      <c r="X1108">
        <v>2</v>
      </c>
      <c r="Y1108">
        <v>0</v>
      </c>
      <c r="Z1108">
        <v>0</v>
      </c>
      <c r="AA1108">
        <v>0</v>
      </c>
      <c r="AB1108">
        <v>1</v>
      </c>
      <c r="AC1108">
        <v>0</v>
      </c>
      <c r="AD1108">
        <v>1</v>
      </c>
      <c r="AE1108">
        <v>0</v>
      </c>
      <c r="AF1108">
        <v>1</v>
      </c>
      <c r="AG1108">
        <v>1</v>
      </c>
      <c r="AH1108">
        <v>0</v>
      </c>
      <c r="AI1108">
        <v>0</v>
      </c>
      <c r="AJ1108">
        <v>2</v>
      </c>
      <c r="AK1108">
        <v>0</v>
      </c>
      <c r="AL1108">
        <v>0</v>
      </c>
    </row>
    <row r="1109" spans="1:40">
      <c r="A1109">
        <v>6191</v>
      </c>
      <c r="B1109" t="s">
        <v>5798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 s="367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 s="367">
        <v>0</v>
      </c>
      <c r="U1109">
        <v>0</v>
      </c>
      <c r="V1109">
        <v>0</v>
      </c>
      <c r="W1109">
        <v>3</v>
      </c>
      <c r="X1109">
        <v>0</v>
      </c>
      <c r="Y1109">
        <v>3</v>
      </c>
      <c r="Z1109">
        <v>2</v>
      </c>
      <c r="AA1109">
        <v>0</v>
      </c>
      <c r="AB1109">
        <v>1</v>
      </c>
      <c r="AC1109">
        <v>3</v>
      </c>
      <c r="AD1109">
        <v>0</v>
      </c>
      <c r="AE1109">
        <v>3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</row>
    <row r="1110" spans="1:40">
      <c r="A1110">
        <v>6192</v>
      </c>
      <c r="B1110" t="s">
        <v>5799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 s="367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 s="367">
        <v>0</v>
      </c>
      <c r="U1110">
        <v>1</v>
      </c>
      <c r="V1110">
        <v>8</v>
      </c>
      <c r="W1110">
        <v>0</v>
      </c>
      <c r="X1110">
        <v>1</v>
      </c>
      <c r="Y1110">
        <v>0</v>
      </c>
      <c r="Z1110">
        <v>5</v>
      </c>
      <c r="AA1110">
        <v>0</v>
      </c>
      <c r="AB1110">
        <v>0</v>
      </c>
      <c r="AC1110">
        <v>0</v>
      </c>
      <c r="AD1110">
        <v>5</v>
      </c>
      <c r="AE1110">
        <v>0</v>
      </c>
      <c r="AF1110">
        <v>11</v>
      </c>
      <c r="AG1110">
        <v>0</v>
      </c>
      <c r="AH1110">
        <v>0</v>
      </c>
      <c r="AI1110">
        <v>0</v>
      </c>
      <c r="AJ1110">
        <v>0</v>
      </c>
      <c r="AK1110">
        <v>1</v>
      </c>
      <c r="AL1110">
        <v>8</v>
      </c>
      <c r="AM1110" s="367" t="s">
        <v>3543</v>
      </c>
      <c r="AN1110" s="367" t="s">
        <v>6785</v>
      </c>
    </row>
    <row r="1111" spans="1:40">
      <c r="A1111">
        <v>6195</v>
      </c>
      <c r="B1111" t="s">
        <v>6156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 s="367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 s="367">
        <v>0</v>
      </c>
      <c r="U1111">
        <v>0</v>
      </c>
      <c r="V1111">
        <v>2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6</v>
      </c>
      <c r="AE1111">
        <v>1</v>
      </c>
      <c r="AF1111">
        <v>2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2</v>
      </c>
      <c r="AN1111" s="367" t="s">
        <v>6761</v>
      </c>
    </row>
    <row r="1112" spans="1:40">
      <c r="A1112">
        <v>6196</v>
      </c>
      <c r="B1112" t="s">
        <v>5800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 s="367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 s="367">
        <v>0</v>
      </c>
      <c r="U1112">
        <v>3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7</v>
      </c>
      <c r="AC1112">
        <v>2</v>
      </c>
      <c r="AD1112">
        <v>1</v>
      </c>
      <c r="AE1112">
        <v>3</v>
      </c>
      <c r="AF1112">
        <v>1</v>
      </c>
      <c r="AG1112">
        <v>1</v>
      </c>
      <c r="AH1112">
        <v>0</v>
      </c>
      <c r="AI1112">
        <v>0</v>
      </c>
      <c r="AJ1112">
        <v>0</v>
      </c>
      <c r="AK1112">
        <v>3</v>
      </c>
      <c r="AL1112">
        <v>0</v>
      </c>
      <c r="AM1112" s="367" t="s">
        <v>6775</v>
      </c>
    </row>
    <row r="1113" spans="1:40">
      <c r="A1113">
        <v>6197</v>
      </c>
      <c r="B1113" t="s">
        <v>5801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 s="367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 s="367">
        <v>0</v>
      </c>
      <c r="U1113">
        <v>0</v>
      </c>
      <c r="V1113">
        <v>0</v>
      </c>
      <c r="W1113">
        <v>0</v>
      </c>
      <c r="X1113">
        <v>0</v>
      </c>
      <c r="Y1113">
        <v>2</v>
      </c>
      <c r="Z1113">
        <v>0</v>
      </c>
      <c r="AA1113">
        <v>0</v>
      </c>
      <c r="AB1113">
        <v>0</v>
      </c>
      <c r="AC1113">
        <v>2</v>
      </c>
      <c r="AD1113">
        <v>1</v>
      </c>
      <c r="AE1113">
        <v>1</v>
      </c>
      <c r="AF1113">
        <v>0</v>
      </c>
      <c r="AG1113">
        <v>1</v>
      </c>
      <c r="AH1113">
        <v>0</v>
      </c>
      <c r="AI1113">
        <v>0</v>
      </c>
      <c r="AJ1113">
        <v>0</v>
      </c>
      <c r="AK1113">
        <v>0</v>
      </c>
      <c r="AL1113">
        <v>0</v>
      </c>
    </row>
    <row r="1114" spans="1:40">
      <c r="A1114">
        <v>6201</v>
      </c>
      <c r="B1114" t="s">
        <v>5802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 s="367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 s="367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1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</row>
    <row r="1115" spans="1:40">
      <c r="A1115">
        <v>6202</v>
      </c>
      <c r="B1115" t="s">
        <v>5803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 s="367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 s="367">
        <v>0</v>
      </c>
      <c r="U1115">
        <v>1</v>
      </c>
      <c r="V1115">
        <v>3</v>
      </c>
      <c r="W1115">
        <v>0</v>
      </c>
      <c r="X1115">
        <v>0</v>
      </c>
      <c r="Y1115">
        <v>0</v>
      </c>
      <c r="Z1115">
        <v>2</v>
      </c>
      <c r="AA1115">
        <v>0</v>
      </c>
      <c r="AB1115">
        <v>0</v>
      </c>
      <c r="AC1115">
        <v>5</v>
      </c>
      <c r="AD1115">
        <v>1</v>
      </c>
      <c r="AE1115">
        <v>7</v>
      </c>
      <c r="AF1115">
        <v>1</v>
      </c>
      <c r="AG1115">
        <v>0</v>
      </c>
      <c r="AH1115">
        <v>0</v>
      </c>
      <c r="AI1115">
        <v>0</v>
      </c>
      <c r="AJ1115">
        <v>0</v>
      </c>
      <c r="AK1115">
        <v>1</v>
      </c>
      <c r="AL1115">
        <v>3</v>
      </c>
      <c r="AM1115" s="367" t="s">
        <v>6778</v>
      </c>
      <c r="AN1115" s="367" t="s">
        <v>4718</v>
      </c>
    </row>
    <row r="1116" spans="1:40">
      <c r="A1116">
        <v>6203</v>
      </c>
      <c r="B1116" t="s">
        <v>5804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 s="367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 s="367">
        <v>0</v>
      </c>
      <c r="U1116">
        <v>0</v>
      </c>
      <c r="V1116">
        <v>0</v>
      </c>
      <c r="W1116">
        <v>2</v>
      </c>
      <c r="X1116">
        <v>0</v>
      </c>
      <c r="Y1116">
        <v>4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2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</row>
    <row r="1117" spans="1:40">
      <c r="A1117">
        <v>6204</v>
      </c>
      <c r="B1117" t="s">
        <v>6157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 s="36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 s="367">
        <v>0</v>
      </c>
      <c r="U1117">
        <v>0</v>
      </c>
      <c r="V1117">
        <v>0</v>
      </c>
      <c r="W1117">
        <v>1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1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</row>
    <row r="1118" spans="1:40">
      <c r="A1118">
        <v>6205</v>
      </c>
      <c r="B1118" t="s">
        <v>5805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 s="367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 s="367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2</v>
      </c>
      <c r="AA1118">
        <v>0</v>
      </c>
      <c r="AB1118">
        <v>0</v>
      </c>
      <c r="AC1118">
        <v>0</v>
      </c>
      <c r="AD1118">
        <v>1</v>
      </c>
      <c r="AE1118">
        <v>2</v>
      </c>
      <c r="AF1118">
        <v>1</v>
      </c>
      <c r="AG1118">
        <v>0</v>
      </c>
      <c r="AH1118">
        <v>0</v>
      </c>
      <c r="AI1118">
        <v>1</v>
      </c>
      <c r="AJ1118">
        <v>1</v>
      </c>
      <c r="AK1118">
        <v>0</v>
      </c>
      <c r="AL1118">
        <v>0</v>
      </c>
    </row>
    <row r="1119" spans="1:40">
      <c r="A1119">
        <v>6206</v>
      </c>
      <c r="B1119" t="s">
        <v>5806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 s="367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 s="367">
        <v>0</v>
      </c>
      <c r="U1119">
        <v>0</v>
      </c>
      <c r="V1119">
        <v>0</v>
      </c>
      <c r="W1119">
        <v>2</v>
      </c>
      <c r="X1119">
        <v>0</v>
      </c>
      <c r="Y1119">
        <v>2</v>
      </c>
      <c r="Z1119">
        <v>3</v>
      </c>
      <c r="AA1119">
        <v>0</v>
      </c>
      <c r="AB1119">
        <v>0</v>
      </c>
      <c r="AC1119">
        <v>0</v>
      </c>
      <c r="AD1119">
        <v>0</v>
      </c>
      <c r="AE1119">
        <v>4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</row>
    <row r="1120" spans="1:40">
      <c r="A1120">
        <v>6207</v>
      </c>
      <c r="B1120" t="s">
        <v>5807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 s="367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 s="367">
        <v>0</v>
      </c>
      <c r="U1120">
        <v>0</v>
      </c>
      <c r="V1120">
        <v>0</v>
      </c>
      <c r="W1120">
        <v>2</v>
      </c>
      <c r="X1120">
        <v>1</v>
      </c>
      <c r="Y1120">
        <v>2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1</v>
      </c>
      <c r="AJ1120">
        <v>0</v>
      </c>
      <c r="AK1120">
        <v>0</v>
      </c>
      <c r="AL1120">
        <v>0</v>
      </c>
    </row>
    <row r="1121" spans="1:40">
      <c r="A1121">
        <v>6208</v>
      </c>
      <c r="B1121" t="s">
        <v>5808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 s="367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 s="367">
        <v>0</v>
      </c>
      <c r="U1121">
        <v>0</v>
      </c>
      <c r="V1121">
        <v>0</v>
      </c>
      <c r="W1121">
        <v>0</v>
      </c>
      <c r="X1121">
        <v>1</v>
      </c>
      <c r="Y1121">
        <v>2</v>
      </c>
      <c r="Z1121">
        <v>0</v>
      </c>
      <c r="AA1121">
        <v>0</v>
      </c>
      <c r="AB1121">
        <v>1</v>
      </c>
      <c r="AC1121">
        <v>0</v>
      </c>
      <c r="AD1121">
        <v>4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</row>
    <row r="1122" spans="1:40">
      <c r="A1122">
        <v>6209</v>
      </c>
      <c r="B1122" t="s">
        <v>5809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 s="367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 s="367">
        <v>0</v>
      </c>
      <c r="U1122">
        <v>0</v>
      </c>
      <c r="V1122">
        <v>0</v>
      </c>
      <c r="W1122">
        <v>2</v>
      </c>
      <c r="X1122">
        <v>0</v>
      </c>
      <c r="Y1122">
        <v>2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1</v>
      </c>
      <c r="AF1122">
        <v>0</v>
      </c>
      <c r="AG1122">
        <v>2</v>
      </c>
      <c r="AH1122">
        <v>0</v>
      </c>
      <c r="AI1122">
        <v>1</v>
      </c>
      <c r="AJ1122">
        <v>1</v>
      </c>
      <c r="AK1122">
        <v>0</v>
      </c>
      <c r="AL1122">
        <v>0</v>
      </c>
    </row>
    <row r="1123" spans="1:40">
      <c r="A1123">
        <v>6210</v>
      </c>
      <c r="B1123" t="s">
        <v>6327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 s="367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 s="367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1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</row>
    <row r="1124" spans="1:40">
      <c r="A1124">
        <v>6213</v>
      </c>
      <c r="B1124" t="s">
        <v>5810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 s="367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 s="367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1</v>
      </c>
      <c r="AA1124">
        <v>0</v>
      </c>
      <c r="AB1124">
        <v>1</v>
      </c>
      <c r="AC1124">
        <v>0</v>
      </c>
      <c r="AD1124">
        <v>1</v>
      </c>
      <c r="AE1124">
        <v>1</v>
      </c>
      <c r="AF1124">
        <v>1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</row>
    <row r="1125" spans="1:40">
      <c r="A1125">
        <v>6214</v>
      </c>
      <c r="B1125" t="s">
        <v>5811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 s="367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 s="367">
        <v>0</v>
      </c>
      <c r="U1125">
        <v>0</v>
      </c>
      <c r="V1125">
        <v>8</v>
      </c>
      <c r="W1125">
        <v>2</v>
      </c>
      <c r="X1125">
        <v>0</v>
      </c>
      <c r="Y1125">
        <v>0</v>
      </c>
      <c r="Z1125">
        <v>3</v>
      </c>
      <c r="AA1125">
        <v>0</v>
      </c>
      <c r="AB1125">
        <v>0</v>
      </c>
      <c r="AC1125">
        <v>0</v>
      </c>
      <c r="AD1125">
        <v>0</v>
      </c>
      <c r="AE1125">
        <v>1</v>
      </c>
      <c r="AF1125">
        <v>12</v>
      </c>
      <c r="AG1125">
        <v>0</v>
      </c>
      <c r="AH1125">
        <v>1</v>
      </c>
      <c r="AI1125">
        <v>0</v>
      </c>
      <c r="AJ1125">
        <v>0</v>
      </c>
      <c r="AK1125">
        <v>0</v>
      </c>
      <c r="AL1125">
        <v>8</v>
      </c>
      <c r="AN1125" s="367" t="s">
        <v>3542</v>
      </c>
    </row>
    <row r="1126" spans="1:40">
      <c r="A1126">
        <v>6215</v>
      </c>
      <c r="B1126" t="s">
        <v>5812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 s="367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 s="367">
        <v>0</v>
      </c>
      <c r="U1126">
        <v>0</v>
      </c>
      <c r="V1126">
        <v>0</v>
      </c>
      <c r="W1126">
        <v>1</v>
      </c>
      <c r="X1126">
        <v>0</v>
      </c>
      <c r="Y1126">
        <v>2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3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</row>
    <row r="1127" spans="1:40">
      <c r="A1127">
        <v>6216</v>
      </c>
      <c r="B1127" t="s">
        <v>5813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 s="36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 s="367">
        <v>0</v>
      </c>
      <c r="U1127">
        <v>0</v>
      </c>
      <c r="V1127">
        <v>2</v>
      </c>
      <c r="W1127">
        <v>0</v>
      </c>
      <c r="X1127">
        <v>0</v>
      </c>
      <c r="Y1127">
        <v>2</v>
      </c>
      <c r="Z1127">
        <v>0</v>
      </c>
      <c r="AA1127">
        <v>0</v>
      </c>
      <c r="AB1127">
        <v>0</v>
      </c>
      <c r="AC1127">
        <v>3</v>
      </c>
      <c r="AD1127">
        <v>4</v>
      </c>
      <c r="AE1127">
        <v>3</v>
      </c>
      <c r="AF1127">
        <v>0</v>
      </c>
      <c r="AG1127">
        <v>6</v>
      </c>
      <c r="AH1127">
        <v>0</v>
      </c>
      <c r="AI1127">
        <v>1</v>
      </c>
      <c r="AJ1127">
        <v>0</v>
      </c>
      <c r="AK1127">
        <v>0</v>
      </c>
      <c r="AL1127">
        <v>2</v>
      </c>
      <c r="AN1127" s="367" t="s">
        <v>3543</v>
      </c>
    </row>
    <row r="1128" spans="1:40">
      <c r="A1128">
        <v>6218</v>
      </c>
      <c r="B1128" t="s">
        <v>5815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 s="367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 s="367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4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</row>
    <row r="1129" spans="1:40">
      <c r="A1129">
        <v>6219</v>
      </c>
      <c r="B1129" t="s">
        <v>5816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 s="367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 s="367">
        <v>0</v>
      </c>
      <c r="U1129">
        <v>0</v>
      </c>
      <c r="V1129">
        <v>0</v>
      </c>
      <c r="W1129">
        <v>2</v>
      </c>
      <c r="X1129">
        <v>0</v>
      </c>
      <c r="Y1129">
        <v>1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2</v>
      </c>
      <c r="AF1129">
        <v>0</v>
      </c>
      <c r="AG1129">
        <v>0</v>
      </c>
      <c r="AH1129">
        <v>0</v>
      </c>
      <c r="AI1129">
        <v>0</v>
      </c>
      <c r="AJ1129">
        <v>2</v>
      </c>
      <c r="AK1129">
        <v>0</v>
      </c>
      <c r="AL1129">
        <v>0</v>
      </c>
    </row>
    <row r="1130" spans="1:40">
      <c r="A1130">
        <v>6220</v>
      </c>
      <c r="B1130" t="s">
        <v>5817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 s="367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 s="367">
        <v>0</v>
      </c>
      <c r="U1130">
        <v>6</v>
      </c>
      <c r="V1130">
        <v>0</v>
      </c>
      <c r="W1130">
        <v>10</v>
      </c>
      <c r="X1130">
        <v>1</v>
      </c>
      <c r="Y1130">
        <v>2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1</v>
      </c>
      <c r="AK1130">
        <v>6</v>
      </c>
      <c r="AL1130">
        <v>0</v>
      </c>
      <c r="AM1130" s="367" t="s">
        <v>6761</v>
      </c>
    </row>
    <row r="1131" spans="1:40">
      <c r="A1131">
        <v>6224</v>
      </c>
      <c r="B1131" t="s">
        <v>5819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 s="367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 s="367">
        <v>0</v>
      </c>
      <c r="U1131">
        <v>0</v>
      </c>
      <c r="V1131">
        <v>0</v>
      </c>
      <c r="W1131">
        <v>2</v>
      </c>
      <c r="X1131">
        <v>1</v>
      </c>
      <c r="Y1131">
        <v>2</v>
      </c>
      <c r="Z1131">
        <v>0</v>
      </c>
      <c r="AA1131">
        <v>0</v>
      </c>
      <c r="AB1131">
        <v>1</v>
      </c>
      <c r="AC1131">
        <v>0</v>
      </c>
      <c r="AD1131">
        <v>0</v>
      </c>
      <c r="AE1131">
        <v>0</v>
      </c>
      <c r="AF1131">
        <v>0</v>
      </c>
      <c r="AG1131">
        <v>1</v>
      </c>
      <c r="AH1131">
        <v>0</v>
      </c>
      <c r="AI1131">
        <v>0</v>
      </c>
      <c r="AJ1131">
        <v>1</v>
      </c>
      <c r="AK1131">
        <v>0</v>
      </c>
      <c r="AL1131">
        <v>0</v>
      </c>
    </row>
    <row r="1132" spans="1:40">
      <c r="A1132">
        <v>6226</v>
      </c>
      <c r="B1132" t="s">
        <v>5820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 s="367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 s="367">
        <v>0</v>
      </c>
      <c r="U1132">
        <v>0</v>
      </c>
      <c r="V1132">
        <v>0</v>
      </c>
      <c r="W1132">
        <v>0</v>
      </c>
      <c r="X1132">
        <v>0</v>
      </c>
      <c r="Y1132">
        <v>2</v>
      </c>
      <c r="Z1132">
        <v>2</v>
      </c>
      <c r="AA1132">
        <v>0</v>
      </c>
      <c r="AB1132">
        <v>0</v>
      </c>
      <c r="AC1132">
        <v>0</v>
      </c>
      <c r="AD1132">
        <v>1</v>
      </c>
      <c r="AE1132">
        <v>1</v>
      </c>
      <c r="AF1132">
        <v>0</v>
      </c>
      <c r="AG1132">
        <v>0</v>
      </c>
      <c r="AH1132">
        <v>0</v>
      </c>
      <c r="AI1132">
        <v>3</v>
      </c>
      <c r="AJ1132">
        <v>2</v>
      </c>
      <c r="AK1132">
        <v>0</v>
      </c>
      <c r="AL1132">
        <v>0</v>
      </c>
    </row>
    <row r="1133" spans="1:40">
      <c r="A1133">
        <v>6227</v>
      </c>
      <c r="B1133" t="s">
        <v>5821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 s="367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 s="367">
        <v>0</v>
      </c>
      <c r="U1133">
        <v>0</v>
      </c>
      <c r="V1133">
        <v>0</v>
      </c>
      <c r="W1133">
        <v>0</v>
      </c>
      <c r="X1133">
        <v>4</v>
      </c>
      <c r="Y1133">
        <v>1</v>
      </c>
      <c r="Z1133">
        <v>0</v>
      </c>
      <c r="AA1133">
        <v>0</v>
      </c>
      <c r="AB1133">
        <v>1</v>
      </c>
      <c r="AC1133">
        <v>0</v>
      </c>
      <c r="AD1133">
        <v>2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</row>
    <row r="1134" spans="1:40">
      <c r="A1134">
        <v>6229</v>
      </c>
      <c r="B1134" t="s">
        <v>5822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 s="367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 s="367">
        <v>0</v>
      </c>
      <c r="U1134">
        <v>0</v>
      </c>
      <c r="V1134">
        <v>0</v>
      </c>
      <c r="W1134">
        <v>0</v>
      </c>
      <c r="X1134">
        <v>3</v>
      </c>
      <c r="Y1134">
        <v>2</v>
      </c>
      <c r="Z1134">
        <v>0</v>
      </c>
      <c r="AA1134">
        <v>0</v>
      </c>
      <c r="AB1134">
        <v>0</v>
      </c>
      <c r="AC1134">
        <v>0</v>
      </c>
      <c r="AD1134">
        <v>2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</row>
    <row r="1135" spans="1:40">
      <c r="A1135">
        <v>6230</v>
      </c>
      <c r="B1135" t="s">
        <v>5823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 s="367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 s="367">
        <v>0</v>
      </c>
      <c r="U1135">
        <v>0</v>
      </c>
      <c r="V1135">
        <v>0</v>
      </c>
      <c r="W1135">
        <v>1</v>
      </c>
      <c r="X1135">
        <v>3</v>
      </c>
      <c r="Y1135">
        <v>1</v>
      </c>
      <c r="Z1135">
        <v>2</v>
      </c>
      <c r="AA1135">
        <v>0</v>
      </c>
      <c r="AB1135">
        <v>1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</row>
    <row r="1136" spans="1:40">
      <c r="A1136">
        <v>6233</v>
      </c>
      <c r="B1136" t="s">
        <v>5825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 s="367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 s="367">
        <v>0</v>
      </c>
      <c r="U1136">
        <v>0</v>
      </c>
      <c r="V1136">
        <v>0</v>
      </c>
      <c r="W1136">
        <v>2</v>
      </c>
      <c r="X1136">
        <v>0</v>
      </c>
      <c r="Y1136">
        <v>2</v>
      </c>
      <c r="Z1136">
        <v>0</v>
      </c>
      <c r="AA1136">
        <v>0</v>
      </c>
      <c r="AB1136">
        <v>1</v>
      </c>
      <c r="AC1136">
        <v>0</v>
      </c>
      <c r="AD1136">
        <v>0</v>
      </c>
      <c r="AE1136">
        <v>3</v>
      </c>
      <c r="AF1136">
        <v>0</v>
      </c>
      <c r="AG1136">
        <v>0</v>
      </c>
      <c r="AH1136">
        <v>0</v>
      </c>
      <c r="AI1136">
        <v>0</v>
      </c>
      <c r="AJ1136">
        <v>1</v>
      </c>
      <c r="AK1136">
        <v>0</v>
      </c>
      <c r="AL1136">
        <v>0</v>
      </c>
    </row>
    <row r="1137" spans="1:40">
      <c r="A1137">
        <v>6234</v>
      </c>
      <c r="B1137" t="s">
        <v>5826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 s="36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 s="367">
        <v>0</v>
      </c>
      <c r="U1137">
        <v>1</v>
      </c>
      <c r="V1137">
        <v>0</v>
      </c>
      <c r="W1137">
        <v>3</v>
      </c>
      <c r="X1137">
        <v>5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1</v>
      </c>
      <c r="AG1137">
        <v>0</v>
      </c>
      <c r="AH1137">
        <v>0</v>
      </c>
      <c r="AI1137">
        <v>0</v>
      </c>
      <c r="AJ1137">
        <v>0</v>
      </c>
      <c r="AK1137">
        <v>1</v>
      </c>
      <c r="AL1137">
        <v>0</v>
      </c>
      <c r="AM1137" s="367" t="s">
        <v>4718</v>
      </c>
    </row>
    <row r="1138" spans="1:40">
      <c r="A1138">
        <v>6235</v>
      </c>
      <c r="B1138" t="s">
        <v>5827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 s="367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 s="367">
        <v>0</v>
      </c>
      <c r="U1138">
        <v>0</v>
      </c>
      <c r="V1138">
        <v>0</v>
      </c>
      <c r="W1138">
        <v>1</v>
      </c>
      <c r="X1138">
        <v>0</v>
      </c>
      <c r="Y1138">
        <v>1</v>
      </c>
      <c r="Z1138">
        <v>1</v>
      </c>
      <c r="AA1138">
        <v>0</v>
      </c>
      <c r="AB1138">
        <v>1</v>
      </c>
      <c r="AC1138">
        <v>0</v>
      </c>
      <c r="AD1138">
        <v>0</v>
      </c>
      <c r="AE1138">
        <v>1</v>
      </c>
      <c r="AF1138">
        <v>0</v>
      </c>
      <c r="AG1138">
        <v>0</v>
      </c>
      <c r="AH1138">
        <v>0</v>
      </c>
      <c r="AI1138">
        <v>0</v>
      </c>
      <c r="AJ1138">
        <v>2</v>
      </c>
      <c r="AK1138">
        <v>0</v>
      </c>
      <c r="AL1138">
        <v>0</v>
      </c>
    </row>
    <row r="1139" spans="1:40">
      <c r="A1139">
        <v>6237</v>
      </c>
      <c r="B1139" t="s">
        <v>5828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 s="367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 s="367">
        <v>0</v>
      </c>
      <c r="U1139">
        <v>3</v>
      </c>
      <c r="V1139">
        <v>2</v>
      </c>
      <c r="W1139">
        <v>6</v>
      </c>
      <c r="X1139">
        <v>0</v>
      </c>
      <c r="Y1139">
        <v>5</v>
      </c>
      <c r="Z1139">
        <v>0</v>
      </c>
      <c r="AA1139">
        <v>0</v>
      </c>
      <c r="AB1139">
        <v>1</v>
      </c>
      <c r="AC1139">
        <v>1</v>
      </c>
      <c r="AD1139">
        <v>0</v>
      </c>
      <c r="AE1139">
        <v>6</v>
      </c>
      <c r="AF1139">
        <v>0</v>
      </c>
      <c r="AG1139">
        <v>1</v>
      </c>
      <c r="AH1139">
        <v>0</v>
      </c>
      <c r="AI1139">
        <v>0</v>
      </c>
      <c r="AJ1139">
        <v>0</v>
      </c>
      <c r="AK1139">
        <v>3</v>
      </c>
      <c r="AL1139">
        <v>2</v>
      </c>
      <c r="AM1139" s="367" t="s">
        <v>6785</v>
      </c>
      <c r="AN1139" s="367" t="s">
        <v>4718</v>
      </c>
    </row>
    <row r="1140" spans="1:40">
      <c r="A1140">
        <v>6240</v>
      </c>
      <c r="B1140" t="s">
        <v>5830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 s="367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 s="367">
        <v>0</v>
      </c>
      <c r="U1140">
        <v>0</v>
      </c>
      <c r="V1140">
        <v>0</v>
      </c>
      <c r="W1140">
        <v>2</v>
      </c>
      <c r="X1140">
        <v>1</v>
      </c>
      <c r="Y1140">
        <v>2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2</v>
      </c>
      <c r="AK1140">
        <v>0</v>
      </c>
      <c r="AL1140">
        <v>0</v>
      </c>
    </row>
    <row r="1141" spans="1:40">
      <c r="A1141">
        <v>6243</v>
      </c>
      <c r="B1141" t="s">
        <v>5831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 s="367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 s="367">
        <v>0</v>
      </c>
      <c r="U1141">
        <v>0</v>
      </c>
      <c r="V1141">
        <v>3</v>
      </c>
      <c r="W1141">
        <v>3</v>
      </c>
      <c r="X1141">
        <v>1</v>
      </c>
      <c r="Y1141">
        <v>2</v>
      </c>
      <c r="Z1141">
        <v>0</v>
      </c>
      <c r="AA1141">
        <v>0</v>
      </c>
      <c r="AB1141">
        <v>0</v>
      </c>
      <c r="AC1141">
        <v>2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7</v>
      </c>
      <c r="AJ1141">
        <v>0</v>
      </c>
      <c r="AK1141">
        <v>0</v>
      </c>
      <c r="AL1141">
        <v>3</v>
      </c>
      <c r="AN1141" s="367" t="s">
        <v>6775</v>
      </c>
    </row>
    <row r="1142" spans="1:40">
      <c r="A1142">
        <v>6244</v>
      </c>
      <c r="B1142" t="s">
        <v>6593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 s="367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 s="367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3</v>
      </c>
      <c r="AE1142">
        <v>0</v>
      </c>
      <c r="AF1142">
        <v>1</v>
      </c>
      <c r="AG1142">
        <v>3</v>
      </c>
      <c r="AH1142">
        <v>0</v>
      </c>
      <c r="AI1142">
        <v>3</v>
      </c>
      <c r="AJ1142">
        <v>0</v>
      </c>
      <c r="AK1142">
        <v>0</v>
      </c>
      <c r="AL1142">
        <v>0</v>
      </c>
    </row>
    <row r="1143" spans="1:40">
      <c r="A1143">
        <v>6245</v>
      </c>
      <c r="B1143" t="s">
        <v>5832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 s="367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 s="367">
        <v>0</v>
      </c>
      <c r="U1143">
        <v>0</v>
      </c>
      <c r="V1143">
        <v>6</v>
      </c>
      <c r="W1143">
        <v>0</v>
      </c>
      <c r="X1143">
        <v>2</v>
      </c>
      <c r="Y1143">
        <v>0</v>
      </c>
      <c r="Z1143">
        <v>0</v>
      </c>
      <c r="AA1143">
        <v>0</v>
      </c>
      <c r="AB1143">
        <v>3</v>
      </c>
      <c r="AC1143">
        <v>0</v>
      </c>
      <c r="AD1143">
        <v>10</v>
      </c>
      <c r="AE1143">
        <v>0</v>
      </c>
      <c r="AF1143">
        <v>1</v>
      </c>
      <c r="AG1143">
        <v>2</v>
      </c>
      <c r="AH1143">
        <v>0</v>
      </c>
      <c r="AI1143">
        <v>0</v>
      </c>
      <c r="AJ1143">
        <v>1</v>
      </c>
      <c r="AK1143">
        <v>0</v>
      </c>
      <c r="AL1143">
        <v>6</v>
      </c>
      <c r="AN1143" s="367" t="s">
        <v>6761</v>
      </c>
    </row>
    <row r="1144" spans="1:40">
      <c r="A1144">
        <v>6246</v>
      </c>
      <c r="B1144" t="s">
        <v>5833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 s="367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 s="367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1</v>
      </c>
      <c r="AD1144">
        <v>1</v>
      </c>
      <c r="AE1144">
        <v>3</v>
      </c>
      <c r="AF1144">
        <v>1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</row>
    <row r="1145" spans="1:40">
      <c r="A1145">
        <v>6248</v>
      </c>
      <c r="B1145" t="s">
        <v>5834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 s="367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 s="367">
        <v>0</v>
      </c>
      <c r="U1145">
        <v>0</v>
      </c>
      <c r="V1145">
        <v>7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2</v>
      </c>
      <c r="AD1145">
        <v>1</v>
      </c>
      <c r="AE1145">
        <v>11</v>
      </c>
      <c r="AF1145">
        <v>4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7</v>
      </c>
      <c r="AN1145" s="367" t="s">
        <v>4718</v>
      </c>
    </row>
    <row r="1146" spans="1:40">
      <c r="A1146">
        <v>6251</v>
      </c>
      <c r="B1146" t="s">
        <v>5835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 s="367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 s="367">
        <v>0</v>
      </c>
      <c r="U1146">
        <v>0</v>
      </c>
      <c r="V1146">
        <v>0</v>
      </c>
      <c r="W1146">
        <v>0</v>
      </c>
      <c r="X1146">
        <v>3</v>
      </c>
      <c r="Y1146">
        <v>0</v>
      </c>
      <c r="Z1146">
        <v>3</v>
      </c>
      <c r="AA1146">
        <v>0</v>
      </c>
      <c r="AB1146">
        <v>0</v>
      </c>
      <c r="AC1146">
        <v>0</v>
      </c>
      <c r="AD1146">
        <v>1</v>
      </c>
      <c r="AE1146">
        <v>0</v>
      </c>
      <c r="AF1146">
        <v>4</v>
      </c>
      <c r="AG1146">
        <v>0</v>
      </c>
      <c r="AH1146">
        <v>0</v>
      </c>
      <c r="AI1146">
        <v>2</v>
      </c>
      <c r="AJ1146">
        <v>2</v>
      </c>
      <c r="AK1146">
        <v>0</v>
      </c>
      <c r="AL1146">
        <v>0</v>
      </c>
    </row>
    <row r="1147" spans="1:40">
      <c r="A1147">
        <v>6257</v>
      </c>
      <c r="B1147" t="s">
        <v>5836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 s="36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 s="367">
        <v>0</v>
      </c>
      <c r="U1147">
        <v>7</v>
      </c>
      <c r="V1147">
        <v>0</v>
      </c>
      <c r="W1147">
        <v>2</v>
      </c>
      <c r="X1147">
        <v>0</v>
      </c>
      <c r="Y1147">
        <v>11</v>
      </c>
      <c r="Z1147">
        <v>1</v>
      </c>
      <c r="AA1147">
        <v>0</v>
      </c>
      <c r="AB1147">
        <v>0</v>
      </c>
      <c r="AC1147">
        <v>1</v>
      </c>
      <c r="AD1147">
        <v>0</v>
      </c>
      <c r="AE1147">
        <v>2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7</v>
      </c>
      <c r="AL1147">
        <v>0</v>
      </c>
      <c r="AM1147" s="367" t="s">
        <v>3542</v>
      </c>
    </row>
    <row r="1148" spans="1:40">
      <c r="A1148">
        <v>6261</v>
      </c>
      <c r="B1148" t="s">
        <v>5837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 s="367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 s="367">
        <v>0</v>
      </c>
      <c r="U1148">
        <v>0</v>
      </c>
      <c r="V1148">
        <v>0</v>
      </c>
      <c r="W1148">
        <v>3</v>
      </c>
      <c r="X1148">
        <v>0</v>
      </c>
      <c r="Y1148">
        <v>4</v>
      </c>
      <c r="Z1148">
        <v>2</v>
      </c>
      <c r="AA1148">
        <v>0</v>
      </c>
      <c r="AB1148">
        <v>2</v>
      </c>
      <c r="AC1148">
        <v>0</v>
      </c>
      <c r="AD1148">
        <v>0</v>
      </c>
      <c r="AE1148">
        <v>1</v>
      </c>
      <c r="AF1148">
        <v>0</v>
      </c>
      <c r="AG1148">
        <v>0</v>
      </c>
      <c r="AH1148">
        <v>0</v>
      </c>
      <c r="AI1148">
        <v>0</v>
      </c>
      <c r="AJ1148">
        <v>1</v>
      </c>
      <c r="AK1148">
        <v>0</v>
      </c>
      <c r="AL1148">
        <v>0</v>
      </c>
    </row>
    <row r="1149" spans="1:40">
      <c r="A1149">
        <v>6263</v>
      </c>
      <c r="B1149" t="s">
        <v>5838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 s="367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 s="367">
        <v>0</v>
      </c>
      <c r="U1149">
        <v>0</v>
      </c>
      <c r="V1149">
        <v>0</v>
      </c>
      <c r="W1149">
        <v>0</v>
      </c>
      <c r="X1149">
        <v>0</v>
      </c>
      <c r="Y1149">
        <v>2</v>
      </c>
      <c r="Z1149">
        <v>0</v>
      </c>
      <c r="AA1149">
        <v>0</v>
      </c>
      <c r="AB1149">
        <v>0</v>
      </c>
      <c r="AC1149">
        <v>0</v>
      </c>
      <c r="AD1149">
        <v>3</v>
      </c>
      <c r="AE1149">
        <v>0</v>
      </c>
      <c r="AF1149">
        <v>0</v>
      </c>
      <c r="AG1149">
        <v>1</v>
      </c>
      <c r="AH1149">
        <v>0</v>
      </c>
      <c r="AI1149">
        <v>0</v>
      </c>
      <c r="AJ1149">
        <v>0</v>
      </c>
      <c r="AK1149">
        <v>0</v>
      </c>
      <c r="AL1149">
        <v>0</v>
      </c>
    </row>
    <row r="1150" spans="1:40">
      <c r="A1150">
        <v>6265</v>
      </c>
      <c r="B1150" t="s">
        <v>5839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 s="367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 s="367">
        <v>0</v>
      </c>
      <c r="U1150">
        <v>0</v>
      </c>
      <c r="V1150">
        <v>0</v>
      </c>
      <c r="W1150">
        <v>0</v>
      </c>
      <c r="X1150">
        <v>1</v>
      </c>
      <c r="Y1150">
        <v>2</v>
      </c>
      <c r="Z1150">
        <v>0</v>
      </c>
      <c r="AA1150">
        <v>0</v>
      </c>
      <c r="AB1150">
        <v>0</v>
      </c>
      <c r="AC1150">
        <v>0</v>
      </c>
      <c r="AD1150">
        <v>3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2</v>
      </c>
      <c r="AK1150">
        <v>0</v>
      </c>
      <c r="AL1150">
        <v>0</v>
      </c>
    </row>
    <row r="1151" spans="1:40">
      <c r="A1151">
        <v>6266</v>
      </c>
      <c r="B1151" t="s">
        <v>5840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 s="367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 s="367">
        <v>0</v>
      </c>
      <c r="U1151">
        <v>0</v>
      </c>
      <c r="V1151">
        <v>0</v>
      </c>
      <c r="W1151">
        <v>2</v>
      </c>
      <c r="X1151">
        <v>0</v>
      </c>
      <c r="Y1151">
        <v>2</v>
      </c>
      <c r="Z1151">
        <v>1</v>
      </c>
      <c r="AA1151">
        <v>0</v>
      </c>
      <c r="AB1151">
        <v>0</v>
      </c>
      <c r="AC1151">
        <v>1</v>
      </c>
      <c r="AD1151">
        <v>0</v>
      </c>
      <c r="AE1151">
        <v>1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</row>
    <row r="1152" spans="1:40">
      <c r="A1152">
        <v>6269</v>
      </c>
      <c r="B1152" t="s">
        <v>5841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 s="367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 s="367">
        <v>0</v>
      </c>
      <c r="U1152">
        <v>0</v>
      </c>
      <c r="V1152">
        <v>2</v>
      </c>
      <c r="W1152">
        <v>2</v>
      </c>
      <c r="X1152">
        <v>1</v>
      </c>
      <c r="Y1152">
        <v>2</v>
      </c>
      <c r="Z1152">
        <v>0</v>
      </c>
      <c r="AA1152">
        <v>0</v>
      </c>
      <c r="AB1152">
        <v>0</v>
      </c>
      <c r="AC1152">
        <v>3</v>
      </c>
      <c r="AD1152">
        <v>0</v>
      </c>
      <c r="AE1152">
        <v>0</v>
      </c>
      <c r="AF1152">
        <v>0</v>
      </c>
      <c r="AG1152">
        <v>1</v>
      </c>
      <c r="AH1152">
        <v>0</v>
      </c>
      <c r="AI1152">
        <v>6</v>
      </c>
      <c r="AJ1152">
        <v>0</v>
      </c>
      <c r="AK1152">
        <v>0</v>
      </c>
      <c r="AL1152">
        <v>2</v>
      </c>
      <c r="AN1152" s="367" t="s">
        <v>6775</v>
      </c>
    </row>
    <row r="1153" spans="1:40">
      <c r="A1153">
        <v>6270</v>
      </c>
      <c r="B1153" t="s">
        <v>5842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 s="367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 s="367">
        <v>0</v>
      </c>
      <c r="U1153">
        <v>0</v>
      </c>
      <c r="V1153">
        <v>1</v>
      </c>
      <c r="W1153">
        <v>2</v>
      </c>
      <c r="X1153">
        <v>0</v>
      </c>
      <c r="Y1153">
        <v>1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5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1</v>
      </c>
      <c r="AN1153" s="367" t="s">
        <v>4718</v>
      </c>
    </row>
    <row r="1154" spans="1:40">
      <c r="A1154">
        <v>6274</v>
      </c>
      <c r="B1154" t="s">
        <v>5844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 s="367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 s="367">
        <v>0</v>
      </c>
      <c r="U1154">
        <v>0</v>
      </c>
      <c r="V1154">
        <v>0</v>
      </c>
      <c r="W1154">
        <v>0</v>
      </c>
      <c r="X1154">
        <v>0</v>
      </c>
      <c r="Y1154">
        <v>1</v>
      </c>
      <c r="Z1154">
        <v>1</v>
      </c>
      <c r="AA1154">
        <v>0</v>
      </c>
      <c r="AB1154">
        <v>1</v>
      </c>
      <c r="AC1154">
        <v>0</v>
      </c>
      <c r="AD1154">
        <v>3</v>
      </c>
      <c r="AE1154">
        <v>2</v>
      </c>
      <c r="AF1154">
        <v>0</v>
      </c>
      <c r="AG1154">
        <v>0</v>
      </c>
      <c r="AH1154">
        <v>0</v>
      </c>
      <c r="AI1154">
        <v>0</v>
      </c>
      <c r="AJ1154">
        <v>1</v>
      </c>
      <c r="AK1154">
        <v>0</v>
      </c>
      <c r="AL1154">
        <v>0</v>
      </c>
    </row>
    <row r="1155" spans="1:40">
      <c r="A1155">
        <v>6275</v>
      </c>
      <c r="B1155" t="s">
        <v>5845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 s="367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 s="367">
        <v>0</v>
      </c>
      <c r="U1155">
        <v>0</v>
      </c>
      <c r="V1155">
        <v>0</v>
      </c>
      <c r="W1155">
        <v>0</v>
      </c>
      <c r="X1155">
        <v>0</v>
      </c>
      <c r="Y1155">
        <v>2</v>
      </c>
      <c r="Z1155">
        <v>0</v>
      </c>
      <c r="AA1155">
        <v>0</v>
      </c>
      <c r="AB1155">
        <v>0</v>
      </c>
      <c r="AC1155">
        <v>1</v>
      </c>
      <c r="AD1155">
        <v>1</v>
      </c>
      <c r="AE1155">
        <v>2</v>
      </c>
      <c r="AF1155">
        <v>0</v>
      </c>
      <c r="AG1155">
        <v>1</v>
      </c>
      <c r="AH1155">
        <v>0</v>
      </c>
      <c r="AI1155">
        <v>0</v>
      </c>
      <c r="AJ1155">
        <v>0</v>
      </c>
      <c r="AK1155">
        <v>0</v>
      </c>
      <c r="AL1155">
        <v>0</v>
      </c>
    </row>
    <row r="1156" spans="1:40">
      <c r="A1156">
        <v>6276</v>
      </c>
      <c r="B1156" t="s">
        <v>5846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 s="367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 s="367">
        <v>0</v>
      </c>
      <c r="U1156">
        <v>0</v>
      </c>
      <c r="V1156">
        <v>0</v>
      </c>
      <c r="W1156">
        <v>0</v>
      </c>
      <c r="X1156">
        <v>0</v>
      </c>
      <c r="Y1156">
        <v>1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2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</row>
    <row r="1157" spans="1:40">
      <c r="A1157">
        <v>6277</v>
      </c>
      <c r="B1157" t="s">
        <v>5847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 s="36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 s="367">
        <v>0</v>
      </c>
      <c r="U1157">
        <v>0</v>
      </c>
      <c r="V1157">
        <v>3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7</v>
      </c>
      <c r="AE1157">
        <v>0</v>
      </c>
      <c r="AF1157">
        <v>1</v>
      </c>
      <c r="AG1157">
        <v>1</v>
      </c>
      <c r="AH1157">
        <v>0</v>
      </c>
      <c r="AI1157">
        <v>0</v>
      </c>
      <c r="AJ1157">
        <v>0</v>
      </c>
      <c r="AK1157">
        <v>0</v>
      </c>
      <c r="AL1157">
        <v>3</v>
      </c>
      <c r="AN1157" s="367" t="s">
        <v>6761</v>
      </c>
    </row>
    <row r="1158" spans="1:40">
      <c r="A1158">
        <v>6278</v>
      </c>
      <c r="B1158" t="s">
        <v>5848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 s="367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 s="367">
        <v>0</v>
      </c>
      <c r="U1158">
        <v>0</v>
      </c>
      <c r="V1158">
        <v>0</v>
      </c>
      <c r="W1158">
        <v>3</v>
      </c>
      <c r="X1158">
        <v>2</v>
      </c>
      <c r="Y1158">
        <v>0</v>
      </c>
      <c r="Z1158">
        <v>2</v>
      </c>
      <c r="AA1158">
        <v>0</v>
      </c>
      <c r="AB1158">
        <v>0</v>
      </c>
      <c r="AC1158">
        <v>3</v>
      </c>
      <c r="AD1158">
        <v>0</v>
      </c>
      <c r="AE1158">
        <v>0</v>
      </c>
      <c r="AF1158">
        <v>1</v>
      </c>
      <c r="AG1158">
        <v>0</v>
      </c>
      <c r="AH1158">
        <v>0</v>
      </c>
      <c r="AI1158">
        <v>2</v>
      </c>
      <c r="AJ1158">
        <v>0</v>
      </c>
      <c r="AK1158">
        <v>0</v>
      </c>
      <c r="AL1158">
        <v>0</v>
      </c>
    </row>
    <row r="1159" spans="1:40">
      <c r="A1159">
        <v>6279</v>
      </c>
      <c r="B1159" t="s">
        <v>5849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 s="367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 s="367">
        <v>0</v>
      </c>
      <c r="U1159">
        <v>0</v>
      </c>
      <c r="V1159">
        <v>0</v>
      </c>
      <c r="W1159">
        <v>0</v>
      </c>
      <c r="X1159">
        <v>1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1</v>
      </c>
      <c r="AE1159">
        <v>0</v>
      </c>
      <c r="AF1159">
        <v>1</v>
      </c>
      <c r="AG1159">
        <v>1</v>
      </c>
      <c r="AH1159">
        <v>0</v>
      </c>
      <c r="AI1159">
        <v>2</v>
      </c>
      <c r="AJ1159">
        <v>0</v>
      </c>
      <c r="AK1159">
        <v>0</v>
      </c>
      <c r="AL1159">
        <v>0</v>
      </c>
    </row>
    <row r="1160" spans="1:40">
      <c r="A1160">
        <v>6281</v>
      </c>
      <c r="B1160" t="s">
        <v>5850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 s="367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 s="367">
        <v>0</v>
      </c>
      <c r="U1160">
        <v>0</v>
      </c>
      <c r="V1160">
        <v>0</v>
      </c>
      <c r="W1160">
        <v>0</v>
      </c>
      <c r="X1160">
        <v>0</v>
      </c>
      <c r="Y1160">
        <v>1</v>
      </c>
      <c r="Z1160">
        <v>2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</row>
    <row r="1161" spans="1:40">
      <c r="A1161">
        <v>6282</v>
      </c>
      <c r="B1161" t="s">
        <v>5851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 s="367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 s="367">
        <v>0</v>
      </c>
      <c r="U1161">
        <v>2</v>
      </c>
      <c r="V1161">
        <v>14</v>
      </c>
      <c r="W1161">
        <v>3</v>
      </c>
      <c r="X1161">
        <v>0</v>
      </c>
      <c r="Y1161">
        <v>5</v>
      </c>
      <c r="Z1161">
        <v>0</v>
      </c>
      <c r="AA1161">
        <v>0</v>
      </c>
      <c r="AB1161">
        <v>0</v>
      </c>
      <c r="AC1161">
        <v>5</v>
      </c>
      <c r="AD1161">
        <v>0</v>
      </c>
      <c r="AE1161">
        <v>7</v>
      </c>
      <c r="AF1161">
        <v>0</v>
      </c>
      <c r="AG1161">
        <v>15</v>
      </c>
      <c r="AH1161">
        <v>0</v>
      </c>
      <c r="AI1161">
        <v>1</v>
      </c>
      <c r="AJ1161">
        <v>0</v>
      </c>
      <c r="AK1161">
        <v>2</v>
      </c>
      <c r="AL1161">
        <v>14</v>
      </c>
      <c r="AM1161" s="367" t="s">
        <v>6254</v>
      </c>
      <c r="AN1161" s="367" t="s">
        <v>6167</v>
      </c>
    </row>
    <row r="1162" spans="1:40">
      <c r="A1162">
        <v>6283</v>
      </c>
      <c r="B1162" t="s">
        <v>5852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 s="367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 s="367">
        <v>0</v>
      </c>
      <c r="U1162">
        <v>1</v>
      </c>
      <c r="V1162">
        <v>1</v>
      </c>
      <c r="W1162">
        <v>3</v>
      </c>
      <c r="X1162">
        <v>2</v>
      </c>
      <c r="Y1162">
        <v>5</v>
      </c>
      <c r="Z1162">
        <v>0</v>
      </c>
      <c r="AA1162">
        <v>0</v>
      </c>
      <c r="AB1162">
        <v>2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5</v>
      </c>
      <c r="AK1162">
        <v>1</v>
      </c>
      <c r="AL1162">
        <v>1</v>
      </c>
      <c r="AM1162" s="367" t="s">
        <v>3542</v>
      </c>
      <c r="AN1162" s="367" t="s">
        <v>6778</v>
      </c>
    </row>
    <row r="1163" spans="1:40">
      <c r="A1163">
        <v>6284</v>
      </c>
      <c r="B1163" t="s">
        <v>5853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 s="367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 s="367">
        <v>0</v>
      </c>
      <c r="U1163">
        <v>0</v>
      </c>
      <c r="V1163">
        <v>0</v>
      </c>
      <c r="W1163">
        <v>1</v>
      </c>
      <c r="X1163">
        <v>0</v>
      </c>
      <c r="Y1163">
        <v>2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v>1</v>
      </c>
      <c r="AF1163">
        <v>0</v>
      </c>
      <c r="AG1163">
        <v>0</v>
      </c>
      <c r="AH1163">
        <v>0</v>
      </c>
      <c r="AI1163">
        <v>1</v>
      </c>
      <c r="AJ1163">
        <v>0</v>
      </c>
      <c r="AK1163">
        <v>0</v>
      </c>
      <c r="AL1163">
        <v>0</v>
      </c>
    </row>
    <row r="1164" spans="1:40">
      <c r="A1164">
        <v>6285</v>
      </c>
      <c r="B1164" t="s">
        <v>5854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 s="367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 s="367">
        <v>0</v>
      </c>
      <c r="U1164">
        <v>0</v>
      </c>
      <c r="V1164">
        <v>1</v>
      </c>
      <c r="W1164">
        <v>0</v>
      </c>
      <c r="X1164">
        <v>1</v>
      </c>
      <c r="Y1164">
        <v>0</v>
      </c>
      <c r="Z1164">
        <v>0</v>
      </c>
      <c r="AA1164">
        <v>4</v>
      </c>
      <c r="AB1164">
        <v>0</v>
      </c>
      <c r="AC1164">
        <v>0</v>
      </c>
      <c r="AD1164">
        <v>1</v>
      </c>
      <c r="AE1164">
        <v>0</v>
      </c>
      <c r="AF1164">
        <v>5</v>
      </c>
      <c r="AG1164">
        <v>1</v>
      </c>
      <c r="AH1164">
        <v>0</v>
      </c>
      <c r="AI1164">
        <v>1</v>
      </c>
      <c r="AJ1164">
        <v>3</v>
      </c>
      <c r="AK1164">
        <v>0</v>
      </c>
      <c r="AL1164">
        <v>1</v>
      </c>
      <c r="AN1164" s="367" t="s">
        <v>3542</v>
      </c>
    </row>
    <row r="1165" spans="1:40">
      <c r="A1165">
        <v>6288</v>
      </c>
      <c r="B1165" t="s">
        <v>5855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 s="367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 s="367">
        <v>0</v>
      </c>
      <c r="U1165">
        <v>2</v>
      </c>
      <c r="V1165">
        <v>0</v>
      </c>
      <c r="W1165">
        <v>5</v>
      </c>
      <c r="X1165">
        <v>0</v>
      </c>
      <c r="Y1165">
        <v>5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4</v>
      </c>
      <c r="AF1165">
        <v>0</v>
      </c>
      <c r="AG1165">
        <v>2</v>
      </c>
      <c r="AH1165">
        <v>0</v>
      </c>
      <c r="AI1165">
        <v>1</v>
      </c>
      <c r="AJ1165">
        <v>3</v>
      </c>
      <c r="AK1165">
        <v>2</v>
      </c>
      <c r="AL1165">
        <v>0</v>
      </c>
      <c r="AM1165" s="367" t="s">
        <v>6785</v>
      </c>
    </row>
    <row r="1166" spans="1:40">
      <c r="A1166">
        <v>6290</v>
      </c>
      <c r="B1166" t="s">
        <v>5856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 s="367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 s="367">
        <v>0</v>
      </c>
      <c r="U1166">
        <v>0</v>
      </c>
      <c r="V1166">
        <v>2</v>
      </c>
      <c r="W1166">
        <v>3</v>
      </c>
      <c r="X1166">
        <v>0</v>
      </c>
      <c r="Y1166">
        <v>4</v>
      </c>
      <c r="Z1166">
        <v>0</v>
      </c>
      <c r="AA1166">
        <v>1</v>
      </c>
      <c r="AB1166">
        <v>0</v>
      </c>
      <c r="AC1166">
        <v>1</v>
      </c>
      <c r="AD1166">
        <v>0</v>
      </c>
      <c r="AE1166">
        <v>2</v>
      </c>
      <c r="AF1166">
        <v>0</v>
      </c>
      <c r="AG1166">
        <v>1</v>
      </c>
      <c r="AH1166">
        <v>0</v>
      </c>
      <c r="AI1166">
        <v>6</v>
      </c>
      <c r="AJ1166">
        <v>0</v>
      </c>
      <c r="AK1166">
        <v>0</v>
      </c>
      <c r="AL1166">
        <v>2</v>
      </c>
      <c r="AN1166" s="367" t="s">
        <v>6775</v>
      </c>
    </row>
    <row r="1167" spans="1:40">
      <c r="A1167">
        <v>6292</v>
      </c>
      <c r="B1167" t="s">
        <v>5857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 s="3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 s="367">
        <v>0</v>
      </c>
      <c r="U1167">
        <v>0</v>
      </c>
      <c r="V1167">
        <v>0</v>
      </c>
      <c r="W1167">
        <v>0</v>
      </c>
      <c r="X1167">
        <v>0</v>
      </c>
      <c r="Y1167">
        <v>2</v>
      </c>
      <c r="Z1167">
        <v>0</v>
      </c>
      <c r="AA1167">
        <v>0</v>
      </c>
      <c r="AB1167">
        <v>0</v>
      </c>
      <c r="AC1167">
        <v>0</v>
      </c>
      <c r="AD1167">
        <v>1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</row>
    <row r="1168" spans="1:40">
      <c r="A1168">
        <v>6405</v>
      </c>
      <c r="B1168" t="s">
        <v>5858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 s="367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 s="367">
        <v>0</v>
      </c>
      <c r="U1168">
        <v>2</v>
      </c>
      <c r="V1168">
        <v>6</v>
      </c>
      <c r="W1168">
        <v>0</v>
      </c>
      <c r="X1168">
        <v>2</v>
      </c>
      <c r="Y1168">
        <v>6</v>
      </c>
      <c r="Z1168">
        <v>0</v>
      </c>
      <c r="AA1168">
        <v>0</v>
      </c>
      <c r="AB1168">
        <v>0</v>
      </c>
      <c r="AC1168">
        <v>0</v>
      </c>
      <c r="AD1168">
        <v>10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2</v>
      </c>
      <c r="AL1168">
        <v>6</v>
      </c>
      <c r="AM1168" s="367" t="s">
        <v>3542</v>
      </c>
      <c r="AN1168" s="367" t="s">
        <v>6761</v>
      </c>
    </row>
    <row r="1169" spans="1:40">
      <c r="A1169">
        <v>6409</v>
      </c>
      <c r="B1169" t="s">
        <v>5859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 s="367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 s="367">
        <v>0</v>
      </c>
      <c r="U1169">
        <v>1</v>
      </c>
      <c r="V1169">
        <v>0</v>
      </c>
      <c r="W1169">
        <v>2</v>
      </c>
      <c r="X1169">
        <v>0</v>
      </c>
      <c r="Y1169">
        <v>2</v>
      </c>
      <c r="Z1169">
        <v>3</v>
      </c>
      <c r="AA1169">
        <v>2</v>
      </c>
      <c r="AB1169">
        <v>5</v>
      </c>
      <c r="AC1169">
        <v>0</v>
      </c>
      <c r="AD1169">
        <v>0</v>
      </c>
      <c r="AE1169">
        <v>2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1</v>
      </c>
      <c r="AL1169">
        <v>0</v>
      </c>
      <c r="AM1169" s="367" t="s">
        <v>6775</v>
      </c>
    </row>
    <row r="1170" spans="1:40">
      <c r="A1170">
        <v>6411</v>
      </c>
      <c r="B1170" t="s">
        <v>5860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 s="367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 s="367">
        <v>0</v>
      </c>
      <c r="U1170">
        <v>0</v>
      </c>
      <c r="V1170">
        <v>1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3</v>
      </c>
      <c r="AD1170">
        <v>3</v>
      </c>
      <c r="AE1170">
        <v>5</v>
      </c>
      <c r="AF1170">
        <v>1</v>
      </c>
      <c r="AG1170">
        <v>3</v>
      </c>
      <c r="AH1170">
        <v>0</v>
      </c>
      <c r="AI1170">
        <v>1</v>
      </c>
      <c r="AJ1170">
        <v>0</v>
      </c>
      <c r="AK1170">
        <v>0</v>
      </c>
      <c r="AL1170">
        <v>1</v>
      </c>
      <c r="AN1170" s="367" t="s">
        <v>4718</v>
      </c>
    </row>
    <row r="1171" spans="1:40">
      <c r="A1171">
        <v>6412</v>
      </c>
      <c r="B1171" t="s">
        <v>5861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 s="367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 s="367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2</v>
      </c>
      <c r="AA1171">
        <v>0</v>
      </c>
      <c r="AB1171">
        <v>0</v>
      </c>
      <c r="AC1171">
        <v>0</v>
      </c>
      <c r="AD1171">
        <v>1</v>
      </c>
      <c r="AE1171">
        <v>3</v>
      </c>
      <c r="AF1171">
        <v>1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</row>
    <row r="1172" spans="1:40">
      <c r="A1172">
        <v>6414</v>
      </c>
      <c r="B1172" t="s">
        <v>5862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 s="367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 s="367">
        <v>0</v>
      </c>
      <c r="U1172">
        <v>0</v>
      </c>
      <c r="V1172">
        <v>0</v>
      </c>
      <c r="W1172">
        <v>0</v>
      </c>
      <c r="X1172">
        <v>2</v>
      </c>
      <c r="Y1172">
        <v>1</v>
      </c>
      <c r="Z1172">
        <v>0</v>
      </c>
      <c r="AA1172">
        <v>0</v>
      </c>
      <c r="AB1172">
        <v>1</v>
      </c>
      <c r="AC1172">
        <v>0</v>
      </c>
      <c r="AD1172">
        <v>1</v>
      </c>
      <c r="AE1172">
        <v>0</v>
      </c>
      <c r="AF1172">
        <v>0</v>
      </c>
      <c r="AG1172">
        <v>2</v>
      </c>
      <c r="AH1172">
        <v>0</v>
      </c>
      <c r="AI1172">
        <v>0</v>
      </c>
      <c r="AJ1172">
        <v>1</v>
      </c>
      <c r="AK1172">
        <v>0</v>
      </c>
      <c r="AL1172">
        <v>0</v>
      </c>
    </row>
    <row r="1173" spans="1:40">
      <c r="A1173">
        <v>6415</v>
      </c>
      <c r="B1173" t="s">
        <v>5863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 s="367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 s="367">
        <v>0</v>
      </c>
      <c r="U1173">
        <v>0</v>
      </c>
      <c r="V1173">
        <v>0</v>
      </c>
      <c r="W1173">
        <v>1</v>
      </c>
      <c r="X1173">
        <v>2</v>
      </c>
      <c r="Y1173">
        <v>0</v>
      </c>
      <c r="Z1173">
        <v>2</v>
      </c>
      <c r="AA1173">
        <v>0</v>
      </c>
      <c r="AB1173">
        <v>3</v>
      </c>
      <c r="AC1173">
        <v>2</v>
      </c>
      <c r="AD1173">
        <v>0</v>
      </c>
      <c r="AE1173">
        <v>0</v>
      </c>
      <c r="AF1173">
        <v>2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</row>
    <row r="1174" spans="1:40">
      <c r="A1174">
        <v>6416</v>
      </c>
      <c r="B1174" t="s">
        <v>5864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 s="367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 s="367">
        <v>0</v>
      </c>
      <c r="U1174">
        <v>0</v>
      </c>
      <c r="V1174">
        <v>0</v>
      </c>
      <c r="W1174">
        <v>1</v>
      </c>
      <c r="X1174">
        <v>0</v>
      </c>
      <c r="Y1174">
        <v>2</v>
      </c>
      <c r="Z1174">
        <v>0</v>
      </c>
      <c r="AA1174">
        <v>0</v>
      </c>
      <c r="AB1174">
        <v>1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</row>
    <row r="1175" spans="1:40">
      <c r="A1175">
        <v>6418</v>
      </c>
      <c r="B1175" t="s">
        <v>5865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 s="367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 s="367">
        <v>0</v>
      </c>
      <c r="U1175">
        <v>0</v>
      </c>
      <c r="V1175">
        <v>2</v>
      </c>
      <c r="W1175">
        <v>1</v>
      </c>
      <c r="X1175">
        <v>0</v>
      </c>
      <c r="Y1175">
        <v>2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6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2</v>
      </c>
      <c r="AN1175" s="367" t="s">
        <v>4718</v>
      </c>
    </row>
    <row r="1176" spans="1:40">
      <c r="A1176">
        <v>6425</v>
      </c>
      <c r="B1176" t="s">
        <v>6196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 s="367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 s="367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1</v>
      </c>
      <c r="AE1176">
        <v>1</v>
      </c>
      <c r="AF1176">
        <v>2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</row>
    <row r="1177" spans="1:40">
      <c r="A1177">
        <v>6426</v>
      </c>
      <c r="B1177" t="s">
        <v>5866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 s="36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 s="367">
        <v>0</v>
      </c>
      <c r="U1177">
        <v>0</v>
      </c>
      <c r="V1177">
        <v>0</v>
      </c>
      <c r="W1177">
        <v>1</v>
      </c>
      <c r="X1177">
        <v>2</v>
      </c>
      <c r="Y1177">
        <v>1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1</v>
      </c>
      <c r="AJ1177">
        <v>0</v>
      </c>
      <c r="AK1177">
        <v>0</v>
      </c>
      <c r="AL1177">
        <v>0</v>
      </c>
    </row>
    <row r="1178" spans="1:40">
      <c r="A1178">
        <v>6432</v>
      </c>
      <c r="B1178" t="s">
        <v>5867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 s="367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 s="367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1</v>
      </c>
      <c r="AA1178">
        <v>0</v>
      </c>
      <c r="AB1178">
        <v>0</v>
      </c>
      <c r="AC1178">
        <v>0</v>
      </c>
      <c r="AD1178">
        <v>1</v>
      </c>
      <c r="AE1178">
        <v>0</v>
      </c>
      <c r="AF1178">
        <v>1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</row>
    <row r="1179" spans="1:40">
      <c r="A1179">
        <v>6435</v>
      </c>
      <c r="B1179" t="s">
        <v>5868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 s="367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 s="367">
        <v>0</v>
      </c>
      <c r="U1179">
        <v>0</v>
      </c>
      <c r="V1179">
        <v>0</v>
      </c>
      <c r="W1179">
        <v>2</v>
      </c>
      <c r="X1179">
        <v>0</v>
      </c>
      <c r="Y1179">
        <v>3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3</v>
      </c>
      <c r="AF1179">
        <v>0</v>
      </c>
      <c r="AG1179">
        <v>1</v>
      </c>
      <c r="AH1179">
        <v>0</v>
      </c>
      <c r="AI1179">
        <v>0</v>
      </c>
      <c r="AJ1179">
        <v>0</v>
      </c>
      <c r="AK1179">
        <v>0</v>
      </c>
      <c r="AL1179">
        <v>0</v>
      </c>
    </row>
    <row r="1180" spans="1:40">
      <c r="A1180">
        <v>6438</v>
      </c>
      <c r="B1180" t="s">
        <v>5869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 s="367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 s="367">
        <v>0</v>
      </c>
      <c r="U1180">
        <v>1</v>
      </c>
      <c r="V1180">
        <v>1</v>
      </c>
      <c r="W1180">
        <v>2</v>
      </c>
      <c r="X1180">
        <v>0</v>
      </c>
      <c r="Y1180">
        <v>5</v>
      </c>
      <c r="Z1180">
        <v>0</v>
      </c>
      <c r="AA1180">
        <v>0</v>
      </c>
      <c r="AB1180">
        <v>0</v>
      </c>
      <c r="AC1180">
        <v>2</v>
      </c>
      <c r="AD1180">
        <v>0</v>
      </c>
      <c r="AE1180">
        <v>5</v>
      </c>
      <c r="AF1180">
        <v>0</v>
      </c>
      <c r="AG1180">
        <v>1</v>
      </c>
      <c r="AH1180">
        <v>0</v>
      </c>
      <c r="AI1180">
        <v>3</v>
      </c>
      <c r="AJ1180">
        <v>0</v>
      </c>
      <c r="AK1180">
        <v>1</v>
      </c>
      <c r="AL1180">
        <v>1</v>
      </c>
      <c r="AM1180" s="367" t="s">
        <v>3542</v>
      </c>
      <c r="AN1180" s="367" t="s">
        <v>4718</v>
      </c>
    </row>
    <row r="1181" spans="1:40">
      <c r="A1181">
        <v>6441</v>
      </c>
      <c r="B1181" t="s">
        <v>5870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 s="367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 s="367">
        <v>0</v>
      </c>
      <c r="U1181">
        <v>0</v>
      </c>
      <c r="V1181">
        <v>0</v>
      </c>
      <c r="W1181">
        <v>2</v>
      </c>
      <c r="X1181">
        <v>0</v>
      </c>
      <c r="Y1181">
        <v>2</v>
      </c>
      <c r="Z1181">
        <v>0</v>
      </c>
      <c r="AA1181">
        <v>0</v>
      </c>
      <c r="AB1181">
        <v>1</v>
      </c>
      <c r="AC1181">
        <v>0</v>
      </c>
      <c r="AD1181">
        <v>0</v>
      </c>
      <c r="AE1181">
        <v>1</v>
      </c>
      <c r="AF1181">
        <v>0</v>
      </c>
      <c r="AG1181">
        <v>0</v>
      </c>
      <c r="AH1181">
        <v>0</v>
      </c>
      <c r="AI1181">
        <v>0</v>
      </c>
      <c r="AJ1181">
        <v>1</v>
      </c>
      <c r="AK1181">
        <v>0</v>
      </c>
      <c r="AL1181">
        <v>0</v>
      </c>
    </row>
    <row r="1182" spans="1:40">
      <c r="A1182">
        <v>6442</v>
      </c>
      <c r="B1182" t="s">
        <v>5871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 s="367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 s="367">
        <v>0</v>
      </c>
      <c r="U1182">
        <v>0</v>
      </c>
      <c r="V1182">
        <v>0</v>
      </c>
      <c r="W1182">
        <v>0</v>
      </c>
      <c r="X1182">
        <v>1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2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</row>
    <row r="1183" spans="1:40">
      <c r="A1183">
        <v>6449</v>
      </c>
      <c r="B1183" t="s">
        <v>5873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 s="367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 s="367">
        <v>0</v>
      </c>
      <c r="U1183">
        <v>0</v>
      </c>
      <c r="V1183">
        <v>0</v>
      </c>
      <c r="W1183">
        <v>0</v>
      </c>
      <c r="X1183">
        <v>0</v>
      </c>
      <c r="Y1183">
        <v>3</v>
      </c>
      <c r="Z1183">
        <v>0</v>
      </c>
      <c r="AA1183">
        <v>0</v>
      </c>
      <c r="AB1183">
        <v>0</v>
      </c>
      <c r="AC1183">
        <v>1</v>
      </c>
      <c r="AD1183">
        <v>0</v>
      </c>
      <c r="AE1183">
        <v>1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</row>
    <row r="1184" spans="1:40">
      <c r="A1184">
        <v>6451</v>
      </c>
      <c r="B1184" t="s">
        <v>5874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 s="367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 s="367">
        <v>0</v>
      </c>
      <c r="U1184">
        <v>0</v>
      </c>
      <c r="V1184">
        <v>0</v>
      </c>
      <c r="W1184">
        <v>3</v>
      </c>
      <c r="X1184">
        <v>1</v>
      </c>
      <c r="Y1184">
        <v>3</v>
      </c>
      <c r="Z1184">
        <v>3</v>
      </c>
      <c r="AA1184">
        <v>0</v>
      </c>
      <c r="AB1184">
        <v>3</v>
      </c>
      <c r="AC1184">
        <v>3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</row>
    <row r="1185" spans="1:40">
      <c r="A1185">
        <v>6456</v>
      </c>
      <c r="B1185" t="s">
        <v>5875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 s="367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 s="367">
        <v>0</v>
      </c>
      <c r="U1185">
        <v>0</v>
      </c>
      <c r="V1185">
        <v>5</v>
      </c>
      <c r="W1185">
        <v>0</v>
      </c>
      <c r="X1185">
        <v>0</v>
      </c>
      <c r="Y1185">
        <v>2</v>
      </c>
      <c r="Z1185">
        <v>1</v>
      </c>
      <c r="AA1185">
        <v>0</v>
      </c>
      <c r="AB1185">
        <v>0</v>
      </c>
      <c r="AC1185">
        <v>2</v>
      </c>
      <c r="AD1185">
        <v>7</v>
      </c>
      <c r="AE1185">
        <v>1</v>
      </c>
      <c r="AF1185">
        <v>0</v>
      </c>
      <c r="AG1185">
        <v>0</v>
      </c>
      <c r="AH1185">
        <v>0</v>
      </c>
      <c r="AI1185">
        <v>6</v>
      </c>
      <c r="AJ1185">
        <v>0</v>
      </c>
      <c r="AK1185">
        <v>0</v>
      </c>
      <c r="AL1185">
        <v>5</v>
      </c>
      <c r="AN1185" s="367" t="s">
        <v>6788</v>
      </c>
    </row>
    <row r="1186" spans="1:40">
      <c r="A1186">
        <v>6457</v>
      </c>
      <c r="B1186" t="s">
        <v>5876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 s="367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 s="367">
        <v>0</v>
      </c>
      <c r="U1186">
        <v>0</v>
      </c>
      <c r="V1186">
        <v>1</v>
      </c>
      <c r="W1186">
        <v>0</v>
      </c>
      <c r="X1186">
        <v>0</v>
      </c>
      <c r="Y1186">
        <v>0</v>
      </c>
      <c r="Z1186">
        <v>1</v>
      </c>
      <c r="AA1186">
        <v>0</v>
      </c>
      <c r="AB1186">
        <v>0</v>
      </c>
      <c r="AC1186">
        <v>1</v>
      </c>
      <c r="AD1186">
        <v>1</v>
      </c>
      <c r="AE1186">
        <v>5</v>
      </c>
      <c r="AF1186">
        <v>1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1</v>
      </c>
      <c r="AN1186" s="367" t="s">
        <v>4718</v>
      </c>
    </row>
    <row r="1187" spans="1:40">
      <c r="A1187">
        <v>6461</v>
      </c>
      <c r="B1187" t="s">
        <v>5877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 s="36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 s="367">
        <v>0</v>
      </c>
      <c r="U1187">
        <v>0</v>
      </c>
      <c r="V1187">
        <v>0</v>
      </c>
      <c r="W1187">
        <v>2</v>
      </c>
      <c r="X1187">
        <v>0</v>
      </c>
      <c r="Y1187">
        <v>2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3</v>
      </c>
      <c r="AF1187">
        <v>0</v>
      </c>
      <c r="AG1187">
        <v>0</v>
      </c>
      <c r="AH1187">
        <v>0</v>
      </c>
      <c r="AI1187">
        <v>0</v>
      </c>
      <c r="AJ1187">
        <v>1</v>
      </c>
      <c r="AK1187">
        <v>0</v>
      </c>
      <c r="AL1187">
        <v>0</v>
      </c>
    </row>
    <row r="1188" spans="1:40">
      <c r="A1188">
        <v>6462</v>
      </c>
      <c r="B1188" t="s">
        <v>5878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 s="367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 s="367">
        <v>0</v>
      </c>
      <c r="U1188">
        <v>0</v>
      </c>
      <c r="V1188">
        <v>0</v>
      </c>
      <c r="W1188">
        <v>0</v>
      </c>
      <c r="X1188">
        <v>1</v>
      </c>
      <c r="Y1188">
        <v>0</v>
      </c>
      <c r="Z1188">
        <v>0</v>
      </c>
      <c r="AA1188">
        <v>0</v>
      </c>
      <c r="AB1188">
        <v>1</v>
      </c>
      <c r="AC1188">
        <v>0</v>
      </c>
      <c r="AD1188">
        <v>1</v>
      </c>
      <c r="AE1188">
        <v>0</v>
      </c>
      <c r="AF1188">
        <v>1</v>
      </c>
      <c r="AG1188">
        <v>1</v>
      </c>
      <c r="AH1188">
        <v>0</v>
      </c>
      <c r="AI1188">
        <v>0</v>
      </c>
      <c r="AJ1188">
        <v>2</v>
      </c>
      <c r="AK1188">
        <v>0</v>
      </c>
      <c r="AL1188">
        <v>0</v>
      </c>
    </row>
    <row r="1189" spans="1:40">
      <c r="A1189">
        <v>6464</v>
      </c>
      <c r="B1189" t="s">
        <v>5879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 s="367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 s="367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2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</row>
    <row r="1190" spans="1:40">
      <c r="A1190">
        <v>6469</v>
      </c>
      <c r="B1190" t="s">
        <v>5880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 s="367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 s="367">
        <v>0</v>
      </c>
      <c r="U1190">
        <v>0</v>
      </c>
      <c r="V1190">
        <v>0</v>
      </c>
      <c r="W1190">
        <v>1</v>
      </c>
      <c r="X1190">
        <v>0</v>
      </c>
      <c r="Y1190">
        <v>1</v>
      </c>
      <c r="Z1190">
        <v>2</v>
      </c>
      <c r="AA1190">
        <v>0</v>
      </c>
      <c r="AB1190">
        <v>0</v>
      </c>
      <c r="AC1190">
        <v>1</v>
      </c>
      <c r="AD1190">
        <v>0</v>
      </c>
      <c r="AE1190">
        <v>1</v>
      </c>
      <c r="AF1190">
        <v>0</v>
      </c>
      <c r="AG1190">
        <v>0</v>
      </c>
      <c r="AH1190">
        <v>0</v>
      </c>
      <c r="AI1190">
        <v>2</v>
      </c>
      <c r="AJ1190">
        <v>0</v>
      </c>
      <c r="AK1190">
        <v>0</v>
      </c>
      <c r="AL1190">
        <v>0</v>
      </c>
    </row>
    <row r="1191" spans="1:40">
      <c r="A1191">
        <v>6472</v>
      </c>
      <c r="B1191" t="s">
        <v>5881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 s="367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 s="367">
        <v>0</v>
      </c>
      <c r="U1191">
        <v>0</v>
      </c>
      <c r="V1191">
        <v>0</v>
      </c>
      <c r="W1191">
        <v>1</v>
      </c>
      <c r="X1191">
        <v>1</v>
      </c>
      <c r="Y1191">
        <v>3</v>
      </c>
      <c r="Z1191">
        <v>0</v>
      </c>
      <c r="AA1191">
        <v>0</v>
      </c>
      <c r="AB1191">
        <v>2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</row>
    <row r="1192" spans="1:40">
      <c r="A1192">
        <v>6485</v>
      </c>
      <c r="B1192" t="s">
        <v>5883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 s="367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 s="367">
        <v>0</v>
      </c>
      <c r="U1192">
        <v>0</v>
      </c>
      <c r="V1192">
        <v>2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3</v>
      </c>
      <c r="AD1192">
        <v>1</v>
      </c>
      <c r="AE1192">
        <v>0</v>
      </c>
      <c r="AF1192">
        <v>1</v>
      </c>
      <c r="AG1192">
        <v>1</v>
      </c>
      <c r="AH1192">
        <v>0</v>
      </c>
      <c r="AI1192">
        <v>6</v>
      </c>
      <c r="AJ1192">
        <v>0</v>
      </c>
      <c r="AK1192">
        <v>0</v>
      </c>
      <c r="AL1192">
        <v>2</v>
      </c>
      <c r="AN1192" s="367" t="s">
        <v>6775</v>
      </c>
    </row>
    <row r="1193" spans="1:40">
      <c r="A1193">
        <v>6486</v>
      </c>
      <c r="B1193" t="s">
        <v>5884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 s="367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 s="367">
        <v>0</v>
      </c>
      <c r="U1193">
        <v>0</v>
      </c>
      <c r="V1193">
        <v>0</v>
      </c>
      <c r="W1193">
        <v>0</v>
      </c>
      <c r="X1193">
        <v>0</v>
      </c>
      <c r="Y1193">
        <v>1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</row>
    <row r="1194" spans="1:40">
      <c r="A1194">
        <v>6488</v>
      </c>
      <c r="B1194" t="s">
        <v>5885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 s="367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 s="367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3</v>
      </c>
      <c r="AB1194">
        <v>1</v>
      </c>
      <c r="AC1194">
        <v>0</v>
      </c>
      <c r="AD1194">
        <v>1</v>
      </c>
      <c r="AE1194">
        <v>1</v>
      </c>
      <c r="AF1194">
        <v>2</v>
      </c>
      <c r="AG1194">
        <v>1</v>
      </c>
      <c r="AH1194">
        <v>0</v>
      </c>
      <c r="AI1194">
        <v>0</v>
      </c>
      <c r="AJ1194">
        <v>4</v>
      </c>
      <c r="AK1194">
        <v>0</v>
      </c>
      <c r="AL1194">
        <v>0</v>
      </c>
    </row>
    <row r="1195" spans="1:40">
      <c r="A1195">
        <v>6491</v>
      </c>
      <c r="B1195" t="s">
        <v>5886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 s="367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 s="367">
        <v>0</v>
      </c>
      <c r="U1195">
        <v>0</v>
      </c>
      <c r="V1195">
        <v>0</v>
      </c>
      <c r="W1195">
        <v>0</v>
      </c>
      <c r="X1195">
        <v>1</v>
      </c>
      <c r="Y1195">
        <v>2</v>
      </c>
      <c r="Z1195">
        <v>0</v>
      </c>
      <c r="AA1195">
        <v>0</v>
      </c>
      <c r="AB1195">
        <v>4</v>
      </c>
      <c r="AC1195">
        <v>0</v>
      </c>
      <c r="AD1195">
        <v>1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2</v>
      </c>
      <c r="AK1195">
        <v>0</v>
      </c>
      <c r="AL1195">
        <v>0</v>
      </c>
    </row>
    <row r="1196" spans="1:40">
      <c r="A1196">
        <v>6494</v>
      </c>
      <c r="B1196" t="s">
        <v>5887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 s="367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 s="367">
        <v>0</v>
      </c>
      <c r="U1196">
        <v>0</v>
      </c>
      <c r="V1196">
        <v>0</v>
      </c>
      <c r="W1196">
        <v>0</v>
      </c>
      <c r="X1196">
        <v>1</v>
      </c>
      <c r="Y1196">
        <v>0</v>
      </c>
      <c r="Z1196">
        <v>0</v>
      </c>
      <c r="AA1196">
        <v>0</v>
      </c>
      <c r="AB1196">
        <v>1</v>
      </c>
      <c r="AC1196">
        <v>2</v>
      </c>
      <c r="AD1196">
        <v>1</v>
      </c>
      <c r="AE1196">
        <v>0</v>
      </c>
      <c r="AF1196">
        <v>1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</row>
    <row r="1197" spans="1:40">
      <c r="A1197">
        <v>6496</v>
      </c>
      <c r="B1197" t="s">
        <v>6245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 s="36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 s="367">
        <v>0</v>
      </c>
      <c r="U1197">
        <v>0</v>
      </c>
      <c r="V1197">
        <v>7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7</v>
      </c>
      <c r="AE1197">
        <v>8</v>
      </c>
      <c r="AF1197">
        <v>1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7</v>
      </c>
      <c r="AN1197" s="367" t="s">
        <v>6782</v>
      </c>
    </row>
    <row r="1198" spans="1:40">
      <c r="A1198">
        <v>6499</v>
      </c>
      <c r="B1198" t="s">
        <v>5888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 s="367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 s="367">
        <v>0</v>
      </c>
      <c r="U1198">
        <v>0</v>
      </c>
      <c r="V1198">
        <v>0</v>
      </c>
      <c r="W1198">
        <v>0</v>
      </c>
      <c r="X1198">
        <v>0</v>
      </c>
      <c r="Y1198">
        <v>2</v>
      </c>
      <c r="Z1198">
        <v>0</v>
      </c>
      <c r="AA1198">
        <v>0</v>
      </c>
      <c r="AB1198">
        <v>0</v>
      </c>
      <c r="AC1198">
        <v>0</v>
      </c>
      <c r="AD1198">
        <v>1</v>
      </c>
      <c r="AE1198">
        <v>3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</row>
    <row r="1199" spans="1:40">
      <c r="A1199">
        <v>6504</v>
      </c>
      <c r="B1199" t="s">
        <v>5889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 s="367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 s="367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2</v>
      </c>
      <c r="AA1199">
        <v>0</v>
      </c>
      <c r="AB1199">
        <v>0</v>
      </c>
      <c r="AC1199">
        <v>0</v>
      </c>
      <c r="AD1199">
        <v>1</v>
      </c>
      <c r="AE1199">
        <v>1</v>
      </c>
      <c r="AF1199">
        <v>1</v>
      </c>
      <c r="AG1199">
        <v>0</v>
      </c>
      <c r="AH1199">
        <v>0</v>
      </c>
      <c r="AI1199">
        <v>1</v>
      </c>
      <c r="AJ1199">
        <v>0</v>
      </c>
      <c r="AK1199">
        <v>0</v>
      </c>
      <c r="AL1199">
        <v>0</v>
      </c>
    </row>
    <row r="1200" spans="1:40">
      <c r="A1200">
        <v>6505</v>
      </c>
      <c r="B1200" t="s">
        <v>5890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 s="367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 s="367">
        <v>0</v>
      </c>
      <c r="U1200">
        <v>0</v>
      </c>
      <c r="V1200">
        <v>2</v>
      </c>
      <c r="W1200">
        <v>2</v>
      </c>
      <c r="X1200">
        <v>0</v>
      </c>
      <c r="Y1200">
        <v>2</v>
      </c>
      <c r="Z1200">
        <v>2</v>
      </c>
      <c r="AA1200">
        <v>1</v>
      </c>
      <c r="AB1200">
        <v>1</v>
      </c>
      <c r="AC1200">
        <v>0</v>
      </c>
      <c r="AD1200">
        <v>0</v>
      </c>
      <c r="AE1200">
        <v>6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2</v>
      </c>
      <c r="AN1200" s="367" t="s">
        <v>4718</v>
      </c>
    </row>
    <row r="1201" spans="1:40">
      <c r="A1201">
        <v>6506</v>
      </c>
      <c r="B1201" t="s">
        <v>5891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 s="367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 s="367">
        <v>0</v>
      </c>
      <c r="U1201">
        <v>0</v>
      </c>
      <c r="V1201">
        <v>0</v>
      </c>
      <c r="W1201">
        <v>1</v>
      </c>
      <c r="X1201">
        <v>0</v>
      </c>
      <c r="Y1201">
        <v>1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1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</row>
    <row r="1202" spans="1:40">
      <c r="A1202">
        <v>6508</v>
      </c>
      <c r="B1202" t="s">
        <v>5892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 s="367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 s="367">
        <v>0</v>
      </c>
      <c r="U1202">
        <v>0</v>
      </c>
      <c r="V1202">
        <v>0</v>
      </c>
      <c r="W1202">
        <v>4</v>
      </c>
      <c r="X1202">
        <v>0</v>
      </c>
      <c r="Y1202">
        <v>1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1</v>
      </c>
      <c r="AF1202">
        <v>0</v>
      </c>
      <c r="AG1202">
        <v>1</v>
      </c>
      <c r="AH1202">
        <v>0</v>
      </c>
      <c r="AI1202">
        <v>0</v>
      </c>
      <c r="AJ1202">
        <v>1</v>
      </c>
      <c r="AK1202">
        <v>0</v>
      </c>
      <c r="AL1202">
        <v>0</v>
      </c>
    </row>
    <row r="1203" spans="1:40">
      <c r="A1203">
        <v>6509</v>
      </c>
      <c r="B1203" t="s">
        <v>5893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 s="367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 s="367">
        <v>0</v>
      </c>
      <c r="U1203">
        <v>2</v>
      </c>
      <c r="V1203">
        <v>0</v>
      </c>
      <c r="W1203">
        <v>5</v>
      </c>
      <c r="X1203">
        <v>0</v>
      </c>
      <c r="Y1203">
        <v>5</v>
      </c>
      <c r="Z1203">
        <v>0</v>
      </c>
      <c r="AA1203">
        <v>0</v>
      </c>
      <c r="AB1203">
        <v>3</v>
      </c>
      <c r="AC1203">
        <v>2</v>
      </c>
      <c r="AD1203">
        <v>0</v>
      </c>
      <c r="AE1203">
        <v>1</v>
      </c>
      <c r="AF1203">
        <v>0</v>
      </c>
      <c r="AG1203">
        <v>1</v>
      </c>
      <c r="AH1203">
        <v>0</v>
      </c>
      <c r="AI1203">
        <v>0</v>
      </c>
      <c r="AJ1203">
        <v>0</v>
      </c>
      <c r="AK1203">
        <v>2</v>
      </c>
      <c r="AL1203">
        <v>0</v>
      </c>
      <c r="AM1203" s="367" t="s">
        <v>6785</v>
      </c>
    </row>
    <row r="1204" spans="1:40">
      <c r="A1204">
        <v>6510</v>
      </c>
      <c r="B1204" t="s">
        <v>5894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 s="367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 s="367">
        <v>0</v>
      </c>
      <c r="U1204">
        <v>0</v>
      </c>
      <c r="V1204">
        <v>0</v>
      </c>
      <c r="W1204">
        <v>1</v>
      </c>
      <c r="X1204">
        <v>0</v>
      </c>
      <c r="Y1204">
        <v>1</v>
      </c>
      <c r="Z1204">
        <v>0</v>
      </c>
      <c r="AA1204">
        <v>0</v>
      </c>
      <c r="AB1204">
        <v>2</v>
      </c>
      <c r="AC1204">
        <v>2</v>
      </c>
      <c r="AD1204">
        <v>0</v>
      </c>
      <c r="AE1204">
        <v>1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</row>
    <row r="1205" spans="1:40">
      <c r="A1205">
        <v>6514</v>
      </c>
      <c r="B1205" t="s">
        <v>5895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 s="367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 s="367">
        <v>0</v>
      </c>
      <c r="U1205">
        <v>1</v>
      </c>
      <c r="V1205">
        <v>0</v>
      </c>
      <c r="W1205">
        <v>5</v>
      </c>
      <c r="X1205">
        <v>1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1</v>
      </c>
      <c r="AG1205">
        <v>0</v>
      </c>
      <c r="AH1205">
        <v>0</v>
      </c>
      <c r="AI1205">
        <v>0</v>
      </c>
      <c r="AJ1205">
        <v>1</v>
      </c>
      <c r="AK1205">
        <v>1</v>
      </c>
      <c r="AL1205">
        <v>0</v>
      </c>
      <c r="AM1205" s="367" t="s">
        <v>6761</v>
      </c>
    </row>
    <row r="1206" spans="1:40">
      <c r="A1206">
        <v>6516</v>
      </c>
      <c r="B1206" t="s">
        <v>5897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 s="367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 s="367">
        <v>0</v>
      </c>
      <c r="U1206">
        <v>0</v>
      </c>
      <c r="V1206">
        <v>0</v>
      </c>
      <c r="W1206">
        <v>0</v>
      </c>
      <c r="X1206">
        <v>1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</row>
    <row r="1207" spans="1:40">
      <c r="A1207">
        <v>6523</v>
      </c>
      <c r="B1207" t="s">
        <v>5898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 s="36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 s="36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2</v>
      </c>
      <c r="AA1207">
        <v>0</v>
      </c>
      <c r="AB1207">
        <v>0</v>
      </c>
      <c r="AC1207">
        <v>0</v>
      </c>
      <c r="AD1207">
        <v>2</v>
      </c>
      <c r="AE1207">
        <v>1</v>
      </c>
      <c r="AF1207">
        <v>4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</row>
    <row r="1208" spans="1:40">
      <c r="A1208">
        <v>6525</v>
      </c>
      <c r="B1208" t="s">
        <v>5899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 s="367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 s="367">
        <v>0</v>
      </c>
      <c r="U1208">
        <v>1</v>
      </c>
      <c r="V1208">
        <v>0</v>
      </c>
      <c r="W1208">
        <v>2</v>
      </c>
      <c r="X1208">
        <v>0</v>
      </c>
      <c r="Y1208">
        <v>5</v>
      </c>
      <c r="Z1208">
        <v>0</v>
      </c>
      <c r="AA1208">
        <v>0</v>
      </c>
      <c r="AB1208">
        <v>2</v>
      </c>
      <c r="AC1208">
        <v>1</v>
      </c>
      <c r="AD1208">
        <v>0</v>
      </c>
      <c r="AE1208">
        <v>4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1</v>
      </c>
      <c r="AL1208">
        <v>0</v>
      </c>
      <c r="AM1208" s="367" t="s">
        <v>3542</v>
      </c>
    </row>
    <row r="1209" spans="1:40">
      <c r="A1209">
        <v>6530</v>
      </c>
      <c r="B1209" t="s">
        <v>6299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 s="367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 s="367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4</v>
      </c>
      <c r="AE1209">
        <v>1</v>
      </c>
      <c r="AF1209">
        <v>1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</row>
    <row r="1210" spans="1:40">
      <c r="A1210">
        <v>6532</v>
      </c>
      <c r="B1210" t="s">
        <v>5901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 s="367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 s="367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1</v>
      </c>
      <c r="AE1210">
        <v>1</v>
      </c>
      <c r="AF1210">
        <v>1</v>
      </c>
      <c r="AG1210">
        <v>1</v>
      </c>
      <c r="AH1210">
        <v>0</v>
      </c>
      <c r="AI1210">
        <v>1</v>
      </c>
      <c r="AJ1210">
        <v>0</v>
      </c>
      <c r="AK1210">
        <v>0</v>
      </c>
      <c r="AL1210">
        <v>0</v>
      </c>
    </row>
    <row r="1211" spans="1:40">
      <c r="A1211">
        <v>6533</v>
      </c>
      <c r="B1211" t="s">
        <v>5902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 s="367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 s="367">
        <v>0</v>
      </c>
      <c r="U1211">
        <v>0</v>
      </c>
      <c r="V1211">
        <v>0</v>
      </c>
      <c r="W1211">
        <v>1</v>
      </c>
      <c r="X1211">
        <v>0</v>
      </c>
      <c r="Y1211">
        <v>1</v>
      </c>
      <c r="Z1211">
        <v>1</v>
      </c>
      <c r="AA1211">
        <v>0</v>
      </c>
      <c r="AB1211">
        <v>0</v>
      </c>
      <c r="AC1211">
        <v>1</v>
      </c>
      <c r="AD1211">
        <v>0</v>
      </c>
      <c r="AE1211">
        <v>1</v>
      </c>
      <c r="AF1211">
        <v>0</v>
      </c>
      <c r="AG1211">
        <v>0</v>
      </c>
      <c r="AH1211">
        <v>0</v>
      </c>
      <c r="AI1211">
        <v>3</v>
      </c>
      <c r="AJ1211">
        <v>0</v>
      </c>
      <c r="AK1211">
        <v>0</v>
      </c>
      <c r="AL1211">
        <v>0</v>
      </c>
    </row>
    <row r="1212" spans="1:40">
      <c r="A1212">
        <v>6538</v>
      </c>
      <c r="B1212" t="s">
        <v>5903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 s="367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 s="367">
        <v>0</v>
      </c>
      <c r="U1212">
        <v>3</v>
      </c>
      <c r="V1212">
        <v>5</v>
      </c>
      <c r="W1212">
        <v>7</v>
      </c>
      <c r="X1212">
        <v>2</v>
      </c>
      <c r="Y1212">
        <v>0</v>
      </c>
      <c r="Z1212">
        <v>0</v>
      </c>
      <c r="AA1212">
        <v>0</v>
      </c>
      <c r="AB1212">
        <v>1</v>
      </c>
      <c r="AC1212">
        <v>0</v>
      </c>
      <c r="AD1212">
        <v>0</v>
      </c>
      <c r="AE1212">
        <v>0</v>
      </c>
      <c r="AF1212">
        <v>1</v>
      </c>
      <c r="AG1212">
        <v>1</v>
      </c>
      <c r="AH1212">
        <v>0</v>
      </c>
      <c r="AI1212">
        <v>0</v>
      </c>
      <c r="AJ1212">
        <v>9</v>
      </c>
      <c r="AK1212">
        <v>3</v>
      </c>
      <c r="AL1212">
        <v>5</v>
      </c>
      <c r="AM1212" s="367" t="s">
        <v>6761</v>
      </c>
      <c r="AN1212" s="367" t="s">
        <v>6778</v>
      </c>
    </row>
    <row r="1213" spans="1:40">
      <c r="A1213">
        <v>6542</v>
      </c>
      <c r="B1213" t="s">
        <v>6323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 s="367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 s="367">
        <v>0</v>
      </c>
      <c r="U1213">
        <v>0</v>
      </c>
      <c r="V1213">
        <v>0</v>
      </c>
      <c r="W1213">
        <v>1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3</v>
      </c>
      <c r="AF1213">
        <v>1</v>
      </c>
      <c r="AG1213">
        <v>1</v>
      </c>
      <c r="AH1213">
        <v>0</v>
      </c>
      <c r="AI1213">
        <v>0</v>
      </c>
      <c r="AJ1213">
        <v>0</v>
      </c>
      <c r="AK1213">
        <v>0</v>
      </c>
      <c r="AL1213">
        <v>0</v>
      </c>
    </row>
    <row r="1214" spans="1:40">
      <c r="A1214">
        <v>6548</v>
      </c>
      <c r="B1214" t="s">
        <v>5904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 s="367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 s="367">
        <v>0</v>
      </c>
      <c r="U1214">
        <v>0</v>
      </c>
      <c r="V1214">
        <v>0</v>
      </c>
      <c r="W1214">
        <v>2</v>
      </c>
      <c r="X1214">
        <v>0</v>
      </c>
      <c r="Y1214">
        <v>0</v>
      </c>
      <c r="Z1214">
        <v>1</v>
      </c>
      <c r="AA1214">
        <v>0</v>
      </c>
      <c r="AB1214">
        <v>0</v>
      </c>
      <c r="AC1214">
        <v>3</v>
      </c>
      <c r="AD1214">
        <v>0</v>
      </c>
      <c r="AE1214">
        <v>1</v>
      </c>
      <c r="AF1214">
        <v>3</v>
      </c>
      <c r="AG1214">
        <v>0</v>
      </c>
      <c r="AH1214">
        <v>0</v>
      </c>
      <c r="AI1214">
        <v>3</v>
      </c>
      <c r="AJ1214">
        <v>0</v>
      </c>
      <c r="AK1214">
        <v>0</v>
      </c>
      <c r="AL1214">
        <v>0</v>
      </c>
    </row>
    <row r="1215" spans="1:40">
      <c r="A1215">
        <v>6552</v>
      </c>
      <c r="B1215" t="s">
        <v>5905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 s="367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 s="367">
        <v>0</v>
      </c>
      <c r="U1215">
        <v>1</v>
      </c>
      <c r="V1215">
        <v>2</v>
      </c>
      <c r="W1215">
        <v>0</v>
      </c>
      <c r="X1215">
        <v>0</v>
      </c>
      <c r="Y1215">
        <v>5</v>
      </c>
      <c r="Z1215">
        <v>0</v>
      </c>
      <c r="AA1215">
        <v>0</v>
      </c>
      <c r="AB1215">
        <v>1</v>
      </c>
      <c r="AC1215">
        <v>0</v>
      </c>
      <c r="AD1215">
        <v>0</v>
      </c>
      <c r="AE1215">
        <v>6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1</v>
      </c>
      <c r="AL1215">
        <v>2</v>
      </c>
      <c r="AM1215" s="367" t="s">
        <v>3542</v>
      </c>
      <c r="AN1215" s="367" t="s">
        <v>4718</v>
      </c>
    </row>
    <row r="1216" spans="1:40">
      <c r="A1216">
        <v>6558</v>
      </c>
      <c r="B1216" t="s">
        <v>5906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 s="367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 s="367">
        <v>0</v>
      </c>
      <c r="U1216">
        <v>0</v>
      </c>
      <c r="V1216">
        <v>0</v>
      </c>
      <c r="W1216">
        <v>0</v>
      </c>
      <c r="X1216">
        <v>1</v>
      </c>
      <c r="Y1216">
        <v>2</v>
      </c>
      <c r="Z1216">
        <v>3</v>
      </c>
      <c r="AA1216">
        <v>0</v>
      </c>
      <c r="AB1216">
        <v>0</v>
      </c>
      <c r="AC1216">
        <v>0</v>
      </c>
      <c r="AD1216">
        <v>1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</row>
    <row r="1217" spans="1:40">
      <c r="A1217">
        <v>6561</v>
      </c>
      <c r="B1217" t="s">
        <v>5907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 s="36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 s="367">
        <v>0</v>
      </c>
      <c r="U1217">
        <v>0</v>
      </c>
      <c r="V1217">
        <v>0</v>
      </c>
      <c r="W1217">
        <v>1</v>
      </c>
      <c r="X1217">
        <v>0</v>
      </c>
      <c r="Y1217">
        <v>2</v>
      </c>
      <c r="Z1217">
        <v>0</v>
      </c>
      <c r="AA1217">
        <v>1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</row>
    <row r="1218" spans="1:40">
      <c r="A1218">
        <v>6570</v>
      </c>
      <c r="B1218" t="s">
        <v>5908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 s="367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 s="367">
        <v>0</v>
      </c>
      <c r="U1218">
        <v>0</v>
      </c>
      <c r="V1218">
        <v>2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1</v>
      </c>
      <c r="AF1218">
        <v>6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2</v>
      </c>
      <c r="AN1218" s="367" t="s">
        <v>3542</v>
      </c>
    </row>
    <row r="1219" spans="1:40">
      <c r="A1219">
        <v>6573</v>
      </c>
      <c r="B1219" t="s">
        <v>5909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 s="367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 s="367">
        <v>0</v>
      </c>
      <c r="U1219">
        <v>0</v>
      </c>
      <c r="V1219">
        <v>0</v>
      </c>
      <c r="W1219">
        <v>0</v>
      </c>
      <c r="X1219">
        <v>0</v>
      </c>
      <c r="Y1219">
        <v>2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</row>
    <row r="1220" spans="1:40">
      <c r="A1220">
        <v>6578</v>
      </c>
      <c r="B1220" t="s">
        <v>5910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 s="367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 s="367">
        <v>0</v>
      </c>
      <c r="U1220">
        <v>0</v>
      </c>
      <c r="V1220">
        <v>1</v>
      </c>
      <c r="W1220">
        <v>1</v>
      </c>
      <c r="X1220">
        <v>0</v>
      </c>
      <c r="Y1220">
        <v>0</v>
      </c>
      <c r="Z1220">
        <v>0</v>
      </c>
      <c r="AA1220">
        <v>0</v>
      </c>
      <c r="AB1220">
        <v>1</v>
      </c>
      <c r="AC1220">
        <v>4</v>
      </c>
      <c r="AD1220">
        <v>0</v>
      </c>
      <c r="AE1220">
        <v>5</v>
      </c>
      <c r="AF1220">
        <v>1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1</v>
      </c>
      <c r="AN1220" s="367" t="s">
        <v>4718</v>
      </c>
    </row>
    <row r="1221" spans="1:40">
      <c r="A1221">
        <v>6579</v>
      </c>
      <c r="B1221" t="s">
        <v>5911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 s="367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 s="367">
        <v>0</v>
      </c>
      <c r="U1221">
        <v>0</v>
      </c>
      <c r="V1221">
        <v>0</v>
      </c>
      <c r="W1221">
        <v>1</v>
      </c>
      <c r="X1221">
        <v>0</v>
      </c>
      <c r="Y1221">
        <v>3</v>
      </c>
      <c r="Z1221">
        <v>1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</row>
    <row r="1222" spans="1:40">
      <c r="A1222">
        <v>6581</v>
      </c>
      <c r="B1222" t="s">
        <v>5912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 s="367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 s="367">
        <v>0</v>
      </c>
      <c r="U1222">
        <v>1</v>
      </c>
      <c r="V1222">
        <v>3</v>
      </c>
      <c r="W1222">
        <v>0</v>
      </c>
      <c r="X1222">
        <v>0</v>
      </c>
      <c r="Y1222">
        <v>5</v>
      </c>
      <c r="Z1222">
        <v>0</v>
      </c>
      <c r="AA1222">
        <v>0</v>
      </c>
      <c r="AB1222">
        <v>0</v>
      </c>
      <c r="AC1222">
        <v>1</v>
      </c>
      <c r="AD1222">
        <v>1</v>
      </c>
      <c r="AE1222">
        <v>7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1</v>
      </c>
      <c r="AL1222">
        <v>3</v>
      </c>
      <c r="AM1222" s="367" t="s">
        <v>3542</v>
      </c>
      <c r="AN1222" s="367" t="s">
        <v>4718</v>
      </c>
    </row>
    <row r="1223" spans="1:40">
      <c r="A1223">
        <v>6582</v>
      </c>
      <c r="B1223" t="s">
        <v>5913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 s="367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 s="367">
        <v>0</v>
      </c>
      <c r="U1223">
        <v>0</v>
      </c>
      <c r="V1223">
        <v>8</v>
      </c>
      <c r="W1223">
        <v>2</v>
      </c>
      <c r="X1223">
        <v>0</v>
      </c>
      <c r="Y1223">
        <v>2</v>
      </c>
      <c r="Z1223">
        <v>2</v>
      </c>
      <c r="AA1223">
        <v>0</v>
      </c>
      <c r="AB1223">
        <v>4</v>
      </c>
      <c r="AC1223">
        <v>0</v>
      </c>
      <c r="AD1223">
        <v>0</v>
      </c>
      <c r="AE1223">
        <v>2</v>
      </c>
      <c r="AF1223">
        <v>0</v>
      </c>
      <c r="AG1223">
        <v>0</v>
      </c>
      <c r="AH1223">
        <v>0</v>
      </c>
      <c r="AI1223">
        <v>0</v>
      </c>
      <c r="AJ1223">
        <v>12</v>
      </c>
      <c r="AK1223">
        <v>0</v>
      </c>
      <c r="AL1223">
        <v>8</v>
      </c>
      <c r="AN1223" s="367" t="s">
        <v>6778</v>
      </c>
    </row>
    <row r="1224" spans="1:40">
      <c r="A1224">
        <v>6592</v>
      </c>
      <c r="B1224" t="s">
        <v>5915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 s="367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 s="367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2</v>
      </c>
      <c r="AA1224">
        <v>0</v>
      </c>
      <c r="AB1224">
        <v>1</v>
      </c>
      <c r="AC1224">
        <v>2</v>
      </c>
      <c r="AD1224">
        <v>1</v>
      </c>
      <c r="AE1224">
        <v>0</v>
      </c>
      <c r="AF1224">
        <v>1</v>
      </c>
      <c r="AG1224">
        <v>0</v>
      </c>
      <c r="AH1224">
        <v>1</v>
      </c>
      <c r="AI1224">
        <v>0</v>
      </c>
      <c r="AJ1224">
        <v>0</v>
      </c>
      <c r="AK1224">
        <v>0</v>
      </c>
      <c r="AL1224">
        <v>0</v>
      </c>
    </row>
    <row r="1225" spans="1:40">
      <c r="A1225">
        <v>6594</v>
      </c>
      <c r="B1225" t="s">
        <v>6189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 s="367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 s="367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1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</row>
    <row r="1226" spans="1:40">
      <c r="A1226">
        <v>6598</v>
      </c>
      <c r="B1226" t="s">
        <v>5916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 s="367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 s="367">
        <v>0</v>
      </c>
      <c r="U1226">
        <v>1</v>
      </c>
      <c r="V1226">
        <v>0</v>
      </c>
      <c r="W1226">
        <v>2</v>
      </c>
      <c r="X1226">
        <v>0</v>
      </c>
      <c r="Y1226">
        <v>2</v>
      </c>
      <c r="Z1226">
        <v>0</v>
      </c>
      <c r="AA1226">
        <v>0</v>
      </c>
      <c r="AB1226">
        <v>0</v>
      </c>
      <c r="AC1226">
        <v>5</v>
      </c>
      <c r="AD1226">
        <v>0</v>
      </c>
      <c r="AE1226">
        <v>2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1</v>
      </c>
      <c r="AL1226">
        <v>0</v>
      </c>
      <c r="AM1226" s="367" t="s">
        <v>6778</v>
      </c>
    </row>
    <row r="1227" spans="1:40">
      <c r="A1227">
        <v>6603</v>
      </c>
      <c r="B1227" t="s">
        <v>5917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 s="36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 s="367">
        <v>0</v>
      </c>
      <c r="U1227">
        <v>0</v>
      </c>
      <c r="V1227">
        <v>0</v>
      </c>
      <c r="W1227">
        <v>0</v>
      </c>
      <c r="X1227">
        <v>0</v>
      </c>
      <c r="Y1227">
        <v>2</v>
      </c>
      <c r="Z1227">
        <v>0</v>
      </c>
      <c r="AA1227">
        <v>0</v>
      </c>
      <c r="AB1227">
        <v>0</v>
      </c>
      <c r="AC1227">
        <v>0</v>
      </c>
      <c r="AD1227">
        <v>1</v>
      </c>
      <c r="AE1227">
        <v>2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</row>
    <row r="1228" spans="1:40">
      <c r="A1228">
        <v>6605</v>
      </c>
      <c r="B1228" t="s">
        <v>5918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 s="367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 s="367">
        <v>0</v>
      </c>
      <c r="U1228">
        <v>0</v>
      </c>
      <c r="V1228">
        <v>0</v>
      </c>
      <c r="W1228">
        <v>1</v>
      </c>
      <c r="X1228">
        <v>0</v>
      </c>
      <c r="Y1228">
        <v>2</v>
      </c>
      <c r="Z1228">
        <v>2</v>
      </c>
      <c r="AA1228">
        <v>0</v>
      </c>
      <c r="AB1228">
        <v>0</v>
      </c>
      <c r="AC1228">
        <v>0</v>
      </c>
      <c r="AD1228">
        <v>0</v>
      </c>
      <c r="AE1228">
        <v>1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</row>
    <row r="1229" spans="1:40">
      <c r="A1229">
        <v>6609</v>
      </c>
      <c r="B1229" t="s">
        <v>5919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 s="367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 s="367">
        <v>0</v>
      </c>
      <c r="U1229">
        <v>0</v>
      </c>
      <c r="V1229">
        <v>0</v>
      </c>
      <c r="W1229">
        <v>0</v>
      </c>
      <c r="X1229">
        <v>1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1</v>
      </c>
      <c r="AE1229">
        <v>0</v>
      </c>
      <c r="AF1229">
        <v>1</v>
      </c>
      <c r="AG1229">
        <v>0</v>
      </c>
      <c r="AH1229">
        <v>0</v>
      </c>
      <c r="AI1229">
        <v>0</v>
      </c>
      <c r="AJ1229">
        <v>1</v>
      </c>
      <c r="AK1229">
        <v>0</v>
      </c>
      <c r="AL1229">
        <v>0</v>
      </c>
    </row>
    <row r="1230" spans="1:40">
      <c r="A1230">
        <v>6612</v>
      </c>
      <c r="B1230" t="s">
        <v>5920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 s="367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 s="367">
        <v>0</v>
      </c>
      <c r="U1230">
        <v>0</v>
      </c>
      <c r="V1230">
        <v>0</v>
      </c>
      <c r="W1230">
        <v>1</v>
      </c>
      <c r="X1230">
        <v>0</v>
      </c>
      <c r="Y1230">
        <v>1</v>
      </c>
      <c r="Z1230">
        <v>1</v>
      </c>
      <c r="AA1230">
        <v>0</v>
      </c>
      <c r="AB1230">
        <v>0</v>
      </c>
      <c r="AC1230">
        <v>0</v>
      </c>
      <c r="AD1230">
        <v>0</v>
      </c>
      <c r="AE1230">
        <v>1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</row>
    <row r="1231" spans="1:40">
      <c r="A1231">
        <v>6613</v>
      </c>
      <c r="B1231" t="s">
        <v>5921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 s="367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 s="367">
        <v>0</v>
      </c>
      <c r="U1231">
        <v>0</v>
      </c>
      <c r="V1231">
        <v>0</v>
      </c>
      <c r="W1231">
        <v>0</v>
      </c>
      <c r="X1231">
        <v>0</v>
      </c>
      <c r="Y1231">
        <v>2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1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</row>
    <row r="1232" spans="1:40">
      <c r="A1232">
        <v>6625</v>
      </c>
      <c r="B1232" t="s">
        <v>5922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 s="367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 s="367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1</v>
      </c>
      <c r="AH1232">
        <v>0</v>
      </c>
      <c r="AI1232">
        <v>0</v>
      </c>
      <c r="AJ1232">
        <v>0</v>
      </c>
      <c r="AK1232">
        <v>0</v>
      </c>
      <c r="AL1232">
        <v>0</v>
      </c>
    </row>
    <row r="1233" spans="1:40">
      <c r="A1233">
        <v>6642</v>
      </c>
      <c r="B1233" t="s">
        <v>6290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 s="367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 s="367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3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</row>
    <row r="1234" spans="1:40">
      <c r="A1234">
        <v>6643</v>
      </c>
      <c r="B1234" t="s">
        <v>5924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 s="367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 s="367">
        <v>0</v>
      </c>
      <c r="U1234">
        <v>1</v>
      </c>
      <c r="V1234">
        <v>0</v>
      </c>
      <c r="W1234">
        <v>5</v>
      </c>
      <c r="X1234">
        <v>1</v>
      </c>
      <c r="Y1234">
        <v>0</v>
      </c>
      <c r="Z1234">
        <v>0</v>
      </c>
      <c r="AA1234">
        <v>0</v>
      </c>
      <c r="AB1234">
        <v>2</v>
      </c>
      <c r="AC1234">
        <v>0</v>
      </c>
      <c r="AD1234">
        <v>0</v>
      </c>
      <c r="AE1234">
        <v>0</v>
      </c>
      <c r="AF1234">
        <v>2</v>
      </c>
      <c r="AG1234">
        <v>1</v>
      </c>
      <c r="AH1234">
        <v>0</v>
      </c>
      <c r="AI1234">
        <v>0</v>
      </c>
      <c r="AJ1234">
        <v>0</v>
      </c>
      <c r="AK1234">
        <v>1</v>
      </c>
      <c r="AL1234">
        <v>0</v>
      </c>
      <c r="AM1234" s="367" t="s">
        <v>6761</v>
      </c>
    </row>
    <row r="1235" spans="1:40">
      <c r="A1235">
        <v>6651</v>
      </c>
      <c r="B1235" t="s">
        <v>5925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 s="367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 s="367">
        <v>0</v>
      </c>
      <c r="U1235">
        <v>0</v>
      </c>
      <c r="V1235">
        <v>0</v>
      </c>
      <c r="W1235">
        <v>0</v>
      </c>
      <c r="X1235">
        <v>0</v>
      </c>
      <c r="Y1235">
        <v>2</v>
      </c>
      <c r="Z1235">
        <v>1</v>
      </c>
      <c r="AA1235">
        <v>0</v>
      </c>
      <c r="AB1235">
        <v>0</v>
      </c>
      <c r="AC1235">
        <v>1</v>
      </c>
      <c r="AD1235">
        <v>0</v>
      </c>
      <c r="AE1235">
        <v>1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</row>
    <row r="1236" spans="1:40">
      <c r="A1236">
        <v>6654</v>
      </c>
      <c r="B1236" t="s">
        <v>5926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 s="367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 s="367">
        <v>0</v>
      </c>
      <c r="U1236">
        <v>0</v>
      </c>
      <c r="V1236">
        <v>4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8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4</v>
      </c>
      <c r="AN1236" s="367" t="s">
        <v>3542</v>
      </c>
    </row>
    <row r="1237" spans="1:40">
      <c r="A1237">
        <v>6655</v>
      </c>
      <c r="B1237" t="s">
        <v>5927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 s="36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 s="36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1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</row>
    <row r="1238" spans="1:40">
      <c r="A1238">
        <v>6664</v>
      </c>
      <c r="B1238" t="s">
        <v>5928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 s="367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 s="367">
        <v>0</v>
      </c>
      <c r="U1238">
        <v>0</v>
      </c>
      <c r="V1238">
        <v>0</v>
      </c>
      <c r="W1238">
        <v>0</v>
      </c>
      <c r="X1238">
        <v>0</v>
      </c>
      <c r="Y1238">
        <v>2</v>
      </c>
      <c r="Z1238">
        <v>1</v>
      </c>
      <c r="AA1238">
        <v>0</v>
      </c>
      <c r="AB1238">
        <v>0</v>
      </c>
      <c r="AC1238">
        <v>0</v>
      </c>
      <c r="AD1238">
        <v>0</v>
      </c>
      <c r="AE1238">
        <v>1</v>
      </c>
      <c r="AF1238">
        <v>0</v>
      </c>
      <c r="AG1238">
        <v>0</v>
      </c>
      <c r="AH1238">
        <v>0</v>
      </c>
      <c r="AI1238">
        <v>0</v>
      </c>
      <c r="AJ1238">
        <v>1</v>
      </c>
      <c r="AK1238">
        <v>0</v>
      </c>
      <c r="AL1238">
        <v>0</v>
      </c>
    </row>
    <row r="1239" spans="1:40">
      <c r="A1239">
        <v>6666</v>
      </c>
      <c r="B1239" t="s">
        <v>5929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 s="367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 s="367">
        <v>0</v>
      </c>
      <c r="U1239">
        <v>0</v>
      </c>
      <c r="V1239">
        <v>0</v>
      </c>
      <c r="W1239">
        <v>0</v>
      </c>
      <c r="X1239">
        <v>0</v>
      </c>
      <c r="Y1239">
        <v>1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1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</row>
    <row r="1240" spans="1:40">
      <c r="A1240">
        <v>6667</v>
      </c>
      <c r="B1240" t="s">
        <v>5930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 s="367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 s="367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4</v>
      </c>
      <c r="AE1240">
        <v>1</v>
      </c>
      <c r="AF1240">
        <v>1</v>
      </c>
      <c r="AG1240">
        <v>0</v>
      </c>
      <c r="AH1240">
        <v>0</v>
      </c>
      <c r="AI1240">
        <v>1</v>
      </c>
      <c r="AJ1240">
        <v>2</v>
      </c>
      <c r="AK1240">
        <v>0</v>
      </c>
      <c r="AL1240">
        <v>0</v>
      </c>
    </row>
    <row r="1241" spans="1:40">
      <c r="A1241">
        <v>6668</v>
      </c>
      <c r="B1241" t="s">
        <v>5931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 s="367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 s="367">
        <v>0</v>
      </c>
      <c r="U1241">
        <v>0</v>
      </c>
      <c r="V1241">
        <v>0</v>
      </c>
      <c r="W1241">
        <v>2</v>
      </c>
      <c r="X1241">
        <v>0</v>
      </c>
      <c r="Y1241">
        <v>3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3</v>
      </c>
      <c r="AF1241">
        <v>0</v>
      </c>
      <c r="AG1241">
        <v>0</v>
      </c>
      <c r="AH1241">
        <v>0</v>
      </c>
      <c r="AI1241">
        <v>1</v>
      </c>
      <c r="AJ1241">
        <v>0</v>
      </c>
      <c r="AK1241">
        <v>0</v>
      </c>
      <c r="AL1241">
        <v>0</v>
      </c>
    </row>
    <row r="1242" spans="1:40">
      <c r="A1242">
        <v>6669</v>
      </c>
      <c r="B1242" t="s">
        <v>5932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 s="367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 s="367">
        <v>0</v>
      </c>
      <c r="U1242">
        <v>0</v>
      </c>
      <c r="V1242">
        <v>0</v>
      </c>
      <c r="W1242">
        <v>2</v>
      </c>
      <c r="X1242">
        <v>0</v>
      </c>
      <c r="Y1242">
        <v>1</v>
      </c>
      <c r="Z1242">
        <v>2</v>
      </c>
      <c r="AA1242">
        <v>0</v>
      </c>
      <c r="AB1242">
        <v>1</v>
      </c>
      <c r="AC1242">
        <v>0</v>
      </c>
      <c r="AD1242">
        <v>0</v>
      </c>
      <c r="AE1242">
        <v>2</v>
      </c>
      <c r="AF1242">
        <v>0</v>
      </c>
      <c r="AG1242">
        <v>0</v>
      </c>
      <c r="AH1242">
        <v>1</v>
      </c>
      <c r="AI1242">
        <v>0</v>
      </c>
      <c r="AJ1242">
        <v>1</v>
      </c>
      <c r="AK1242">
        <v>0</v>
      </c>
      <c r="AL1242">
        <v>0</v>
      </c>
    </row>
    <row r="1243" spans="1:40">
      <c r="A1243">
        <v>6670</v>
      </c>
      <c r="B1243" t="s">
        <v>5933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 s="367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 s="367">
        <v>0</v>
      </c>
      <c r="U1243">
        <v>0</v>
      </c>
      <c r="V1243">
        <v>3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1</v>
      </c>
      <c r="AE1243">
        <v>6</v>
      </c>
      <c r="AF1243">
        <v>1</v>
      </c>
      <c r="AG1243">
        <v>5</v>
      </c>
      <c r="AH1243">
        <v>0</v>
      </c>
      <c r="AI1243">
        <v>0</v>
      </c>
      <c r="AJ1243">
        <v>0</v>
      </c>
      <c r="AK1243">
        <v>0</v>
      </c>
      <c r="AL1243">
        <v>3</v>
      </c>
      <c r="AN1243" s="367" t="s">
        <v>6167</v>
      </c>
    </row>
    <row r="1244" spans="1:40">
      <c r="A1244">
        <v>6671</v>
      </c>
      <c r="B1244" t="s">
        <v>5934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 s="367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 s="367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</row>
    <row r="1245" spans="1:40">
      <c r="A1245">
        <v>6672</v>
      </c>
      <c r="B1245" t="s">
        <v>5935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 s="367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 s="367">
        <v>0</v>
      </c>
      <c r="U1245">
        <v>0</v>
      </c>
      <c r="V1245">
        <v>0</v>
      </c>
      <c r="W1245">
        <v>0</v>
      </c>
      <c r="X1245">
        <v>1</v>
      </c>
      <c r="Y1245">
        <v>3</v>
      </c>
      <c r="Z1245">
        <v>2</v>
      </c>
      <c r="AA1245">
        <v>0</v>
      </c>
      <c r="AB1245">
        <v>0</v>
      </c>
      <c r="AC1245">
        <v>1</v>
      </c>
      <c r="AD1245">
        <v>1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</row>
    <row r="1246" spans="1:40">
      <c r="A1246">
        <v>6679</v>
      </c>
      <c r="B1246" t="s">
        <v>5937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 s="367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 s="367">
        <v>0</v>
      </c>
      <c r="U1246">
        <v>2</v>
      </c>
      <c r="V1246">
        <v>5</v>
      </c>
      <c r="W1246">
        <v>2</v>
      </c>
      <c r="X1246">
        <v>0</v>
      </c>
      <c r="Y1246">
        <v>6</v>
      </c>
      <c r="Z1246">
        <v>2</v>
      </c>
      <c r="AA1246">
        <v>0</v>
      </c>
      <c r="AB1246">
        <v>1</v>
      </c>
      <c r="AC1246">
        <v>1</v>
      </c>
      <c r="AD1246">
        <v>0</v>
      </c>
      <c r="AE1246">
        <v>1</v>
      </c>
      <c r="AF1246">
        <v>0</v>
      </c>
      <c r="AG1246">
        <v>0</v>
      </c>
      <c r="AH1246">
        <v>9</v>
      </c>
      <c r="AI1246">
        <v>0</v>
      </c>
      <c r="AJ1246">
        <v>0</v>
      </c>
      <c r="AK1246">
        <v>2</v>
      </c>
      <c r="AL1246">
        <v>5</v>
      </c>
      <c r="AM1246" s="367" t="s">
        <v>3542</v>
      </c>
      <c r="AN1246" s="367" t="s">
        <v>3544</v>
      </c>
    </row>
    <row r="1247" spans="1:40">
      <c r="A1247">
        <v>6698</v>
      </c>
      <c r="B1247" t="s">
        <v>5938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 s="36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 s="367">
        <v>0</v>
      </c>
      <c r="U1247">
        <v>0</v>
      </c>
      <c r="V1247">
        <v>2</v>
      </c>
      <c r="W1247">
        <v>1</v>
      </c>
      <c r="X1247">
        <v>0</v>
      </c>
      <c r="Y1247">
        <v>2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6</v>
      </c>
      <c r="AF1247">
        <v>0</v>
      </c>
      <c r="AG1247">
        <v>0</v>
      </c>
      <c r="AH1247">
        <v>0</v>
      </c>
      <c r="AI1247">
        <v>1</v>
      </c>
      <c r="AJ1247">
        <v>0</v>
      </c>
      <c r="AK1247">
        <v>0</v>
      </c>
      <c r="AL1247">
        <v>2</v>
      </c>
      <c r="AN1247" s="367" t="s">
        <v>4718</v>
      </c>
    </row>
    <row r="1248" spans="1:40">
      <c r="A1248">
        <v>6712</v>
      </c>
      <c r="B1248" t="s">
        <v>6412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 s="367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 s="367">
        <v>0</v>
      </c>
      <c r="U1248">
        <v>3</v>
      </c>
      <c r="V1248">
        <v>1</v>
      </c>
      <c r="W1248">
        <v>0</v>
      </c>
      <c r="X1248">
        <v>7</v>
      </c>
      <c r="Y1248">
        <v>3</v>
      </c>
      <c r="Z1248">
        <v>0</v>
      </c>
      <c r="AA1248">
        <v>0</v>
      </c>
      <c r="AB1248">
        <v>0</v>
      </c>
      <c r="AC1248">
        <v>0</v>
      </c>
      <c r="AD1248">
        <v>4</v>
      </c>
      <c r="AE1248">
        <v>0</v>
      </c>
      <c r="AF1248">
        <v>0</v>
      </c>
      <c r="AG1248">
        <v>5</v>
      </c>
      <c r="AH1248">
        <v>0</v>
      </c>
      <c r="AI1248">
        <v>1</v>
      </c>
      <c r="AJ1248">
        <v>0</v>
      </c>
      <c r="AK1248">
        <v>3</v>
      </c>
      <c r="AL1248">
        <v>1</v>
      </c>
      <c r="AM1248" s="367" t="s">
        <v>4718</v>
      </c>
      <c r="AN1248" s="367" t="s">
        <v>3543</v>
      </c>
    </row>
    <row r="1249" spans="1:40">
      <c r="A1249">
        <v>6715</v>
      </c>
      <c r="B1249" t="s">
        <v>5940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 s="367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 s="367">
        <v>0</v>
      </c>
      <c r="U1249">
        <v>1</v>
      </c>
      <c r="V1249">
        <v>0</v>
      </c>
      <c r="W1249">
        <v>2</v>
      </c>
      <c r="X1249">
        <v>5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2</v>
      </c>
      <c r="AH1249">
        <v>0</v>
      </c>
      <c r="AI1249">
        <v>1</v>
      </c>
      <c r="AJ1249">
        <v>1</v>
      </c>
      <c r="AK1249">
        <v>1</v>
      </c>
      <c r="AL1249">
        <v>0</v>
      </c>
      <c r="AM1249" s="367" t="s">
        <v>4718</v>
      </c>
    </row>
    <row r="1250" spans="1:40">
      <c r="A1250">
        <v>6732</v>
      </c>
      <c r="B1250" t="s">
        <v>5941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 s="367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 s="367">
        <v>0</v>
      </c>
      <c r="U1250">
        <v>0</v>
      </c>
      <c r="V1250">
        <v>0</v>
      </c>
      <c r="W1250">
        <v>0</v>
      </c>
      <c r="X1250">
        <v>1</v>
      </c>
      <c r="Y1250">
        <v>0</v>
      </c>
      <c r="Z1250">
        <v>0</v>
      </c>
      <c r="AA1250">
        <v>0</v>
      </c>
      <c r="AB1250">
        <v>3</v>
      </c>
      <c r="AC1250">
        <v>3</v>
      </c>
      <c r="AD1250">
        <v>1</v>
      </c>
      <c r="AE1250">
        <v>0</v>
      </c>
      <c r="AF1250">
        <v>1</v>
      </c>
      <c r="AG1250">
        <v>3</v>
      </c>
      <c r="AH1250">
        <v>0</v>
      </c>
      <c r="AI1250">
        <v>0</v>
      </c>
      <c r="AJ1250">
        <v>0</v>
      </c>
      <c r="AK1250">
        <v>0</v>
      </c>
      <c r="AL1250">
        <v>0</v>
      </c>
    </row>
    <row r="1251" spans="1:40">
      <c r="A1251">
        <v>6741</v>
      </c>
      <c r="B1251" t="s">
        <v>5942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 s="367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 s="367">
        <v>0</v>
      </c>
      <c r="U1251">
        <v>0</v>
      </c>
      <c r="V1251">
        <v>8</v>
      </c>
      <c r="W1251">
        <v>0</v>
      </c>
      <c r="X1251">
        <v>0</v>
      </c>
      <c r="Y1251">
        <v>0</v>
      </c>
      <c r="Z1251">
        <v>1</v>
      </c>
      <c r="AA1251">
        <v>0</v>
      </c>
      <c r="AB1251">
        <v>0</v>
      </c>
      <c r="AC1251">
        <v>1</v>
      </c>
      <c r="AD1251">
        <v>2</v>
      </c>
      <c r="AE1251">
        <v>1</v>
      </c>
      <c r="AF1251">
        <v>8</v>
      </c>
      <c r="AG1251">
        <v>0</v>
      </c>
      <c r="AH1251">
        <v>0</v>
      </c>
      <c r="AI1251">
        <v>8</v>
      </c>
      <c r="AJ1251">
        <v>0</v>
      </c>
      <c r="AK1251">
        <v>0</v>
      </c>
      <c r="AL1251">
        <v>8</v>
      </c>
      <c r="AN1251" s="367" t="s">
        <v>6786</v>
      </c>
    </row>
    <row r="1252" spans="1:40">
      <c r="A1252">
        <v>6743</v>
      </c>
      <c r="B1252" t="s">
        <v>5943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 s="367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 s="367">
        <v>0</v>
      </c>
      <c r="U1252">
        <v>0</v>
      </c>
      <c r="V1252">
        <v>0</v>
      </c>
      <c r="W1252">
        <v>0</v>
      </c>
      <c r="X1252">
        <v>1</v>
      </c>
      <c r="Y1252">
        <v>0</v>
      </c>
      <c r="Z1252">
        <v>0</v>
      </c>
      <c r="AA1252">
        <v>0</v>
      </c>
      <c r="AB1252">
        <v>1</v>
      </c>
      <c r="AC1252">
        <v>1</v>
      </c>
      <c r="AD1252">
        <v>1</v>
      </c>
      <c r="AE1252">
        <v>0</v>
      </c>
      <c r="AF1252">
        <v>1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</row>
    <row r="1253" spans="1:40">
      <c r="A1253">
        <v>6754</v>
      </c>
      <c r="B1253" t="s">
        <v>5944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 s="367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 s="367">
        <v>0</v>
      </c>
      <c r="U1253">
        <v>0</v>
      </c>
      <c r="V1253">
        <v>3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7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3</v>
      </c>
      <c r="AN1253" s="367" t="s">
        <v>3542</v>
      </c>
    </row>
    <row r="1254" spans="1:40">
      <c r="A1254">
        <v>6756</v>
      </c>
      <c r="B1254" t="s">
        <v>5945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 s="367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 s="367">
        <v>0</v>
      </c>
      <c r="U1254">
        <v>0</v>
      </c>
      <c r="V1254">
        <v>0</v>
      </c>
      <c r="W1254">
        <v>3</v>
      </c>
      <c r="X1254">
        <v>0</v>
      </c>
      <c r="Y1254">
        <v>2</v>
      </c>
      <c r="Z1254">
        <v>2</v>
      </c>
      <c r="AA1254">
        <v>0</v>
      </c>
      <c r="AB1254">
        <v>3</v>
      </c>
      <c r="AC1254">
        <v>0</v>
      </c>
      <c r="AD1254">
        <v>0</v>
      </c>
      <c r="AE1254">
        <v>1</v>
      </c>
      <c r="AF1254">
        <v>0</v>
      </c>
      <c r="AG1254">
        <v>0</v>
      </c>
      <c r="AH1254">
        <v>0</v>
      </c>
      <c r="AI1254">
        <v>0</v>
      </c>
      <c r="AJ1254">
        <v>4</v>
      </c>
      <c r="AK1254">
        <v>0</v>
      </c>
      <c r="AL1254">
        <v>0</v>
      </c>
    </row>
    <row r="1255" spans="1:40">
      <c r="A1255">
        <v>6768</v>
      </c>
      <c r="B1255" t="s">
        <v>5946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 s="367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 s="367">
        <v>0</v>
      </c>
      <c r="U1255">
        <v>0</v>
      </c>
      <c r="V1255">
        <v>0</v>
      </c>
      <c r="W1255">
        <v>1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1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</row>
    <row r="1256" spans="1:40">
      <c r="A1256">
        <v>6776</v>
      </c>
      <c r="B1256" t="s">
        <v>5947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 s="367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 s="367">
        <v>0</v>
      </c>
      <c r="U1256">
        <v>0</v>
      </c>
      <c r="V1256">
        <v>0</v>
      </c>
      <c r="W1256">
        <v>3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2</v>
      </c>
      <c r="AF1256">
        <v>3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</row>
    <row r="1257" spans="1:40">
      <c r="A1257">
        <v>6781</v>
      </c>
      <c r="B1257" t="s">
        <v>5948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 s="36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 s="367">
        <v>0</v>
      </c>
      <c r="U1257">
        <v>1</v>
      </c>
      <c r="V1257">
        <v>1</v>
      </c>
      <c r="W1257">
        <v>0</v>
      </c>
      <c r="X1257">
        <v>0</v>
      </c>
      <c r="Y1257">
        <v>0</v>
      </c>
      <c r="Z1257">
        <v>2</v>
      </c>
      <c r="AA1257">
        <v>5</v>
      </c>
      <c r="AB1257">
        <v>4</v>
      </c>
      <c r="AC1257">
        <v>1</v>
      </c>
      <c r="AD1257">
        <v>1</v>
      </c>
      <c r="AE1257">
        <v>1</v>
      </c>
      <c r="AF1257">
        <v>5</v>
      </c>
      <c r="AG1257">
        <v>0</v>
      </c>
      <c r="AH1257">
        <v>0</v>
      </c>
      <c r="AI1257">
        <v>0</v>
      </c>
      <c r="AJ1257">
        <v>0</v>
      </c>
      <c r="AK1257">
        <v>1</v>
      </c>
      <c r="AL1257">
        <v>1</v>
      </c>
      <c r="AM1257" s="367" t="s">
        <v>3544</v>
      </c>
      <c r="AN1257" s="367" t="s">
        <v>3542</v>
      </c>
    </row>
    <row r="1258" spans="1:40">
      <c r="A1258">
        <v>6788</v>
      </c>
      <c r="B1258" t="s">
        <v>6205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 s="367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 s="367">
        <v>0</v>
      </c>
      <c r="U1258">
        <v>0</v>
      </c>
      <c r="V1258">
        <v>0</v>
      </c>
      <c r="W1258">
        <v>0</v>
      </c>
      <c r="X1258">
        <v>3</v>
      </c>
      <c r="Y1258">
        <v>0</v>
      </c>
      <c r="Z1258">
        <v>1</v>
      </c>
      <c r="AA1258">
        <v>0</v>
      </c>
      <c r="AB1258">
        <v>0</v>
      </c>
      <c r="AC1258">
        <v>0</v>
      </c>
      <c r="AD1258">
        <v>2</v>
      </c>
      <c r="AE1258">
        <v>0</v>
      </c>
      <c r="AF1258">
        <v>2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</row>
    <row r="1259" spans="1:40">
      <c r="A1259">
        <v>6790</v>
      </c>
      <c r="B1259" t="s">
        <v>6225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 s="367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 s="367">
        <v>0</v>
      </c>
      <c r="U1259">
        <v>0</v>
      </c>
      <c r="V1259">
        <v>0</v>
      </c>
      <c r="W1259">
        <v>0</v>
      </c>
      <c r="X1259">
        <v>0</v>
      </c>
      <c r="Y1259">
        <v>2</v>
      </c>
      <c r="Z1259">
        <v>0</v>
      </c>
      <c r="AA1259">
        <v>0</v>
      </c>
      <c r="AB1259">
        <v>0</v>
      </c>
      <c r="AC1259">
        <v>0</v>
      </c>
      <c r="AD1259">
        <v>1</v>
      </c>
      <c r="AE1259">
        <v>0</v>
      </c>
      <c r="AF1259">
        <v>0</v>
      </c>
      <c r="AG1259">
        <v>1</v>
      </c>
      <c r="AH1259">
        <v>0</v>
      </c>
      <c r="AI1259">
        <v>1</v>
      </c>
      <c r="AJ1259">
        <v>0</v>
      </c>
      <c r="AK1259">
        <v>0</v>
      </c>
      <c r="AL1259">
        <v>0</v>
      </c>
    </row>
    <row r="1260" spans="1:40">
      <c r="A1260">
        <v>6803</v>
      </c>
      <c r="B1260" t="s">
        <v>5949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 s="367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 s="367">
        <v>0</v>
      </c>
      <c r="U1260">
        <v>0</v>
      </c>
      <c r="V1260">
        <v>0</v>
      </c>
      <c r="W1260">
        <v>2</v>
      </c>
      <c r="X1260">
        <v>0</v>
      </c>
      <c r="Y1260">
        <v>2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</row>
    <row r="1261" spans="1:40">
      <c r="A1261">
        <v>8011</v>
      </c>
      <c r="B1261" t="s">
        <v>5950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 s="367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 s="367">
        <v>0</v>
      </c>
      <c r="U1261">
        <v>0</v>
      </c>
      <c r="V1261">
        <v>0</v>
      </c>
      <c r="W1261">
        <v>2</v>
      </c>
      <c r="X1261">
        <v>2</v>
      </c>
      <c r="Y1261">
        <v>2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2</v>
      </c>
      <c r="AK1261">
        <v>0</v>
      </c>
      <c r="AL1261">
        <v>0</v>
      </c>
    </row>
    <row r="1262" spans="1:40">
      <c r="A1262">
        <v>8016</v>
      </c>
      <c r="B1262" t="s">
        <v>5951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 s="367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 s="367">
        <v>0</v>
      </c>
      <c r="U1262">
        <v>0</v>
      </c>
      <c r="V1262">
        <v>0</v>
      </c>
      <c r="W1262">
        <v>0</v>
      </c>
      <c r="X1262">
        <v>2</v>
      </c>
      <c r="Y1262">
        <v>0</v>
      </c>
      <c r="Z1262">
        <v>1</v>
      </c>
      <c r="AA1262">
        <v>0</v>
      </c>
      <c r="AB1262">
        <v>0</v>
      </c>
      <c r="AC1262">
        <v>0</v>
      </c>
      <c r="AD1262">
        <v>2</v>
      </c>
      <c r="AE1262">
        <v>0</v>
      </c>
      <c r="AF1262">
        <v>2</v>
      </c>
      <c r="AG1262">
        <v>0</v>
      </c>
      <c r="AH1262">
        <v>0</v>
      </c>
      <c r="AI1262">
        <v>2</v>
      </c>
      <c r="AJ1262">
        <v>1</v>
      </c>
      <c r="AK1262">
        <v>0</v>
      </c>
      <c r="AL1262">
        <v>0</v>
      </c>
    </row>
    <row r="1263" spans="1:40">
      <c r="A1263">
        <v>8021</v>
      </c>
      <c r="B1263" t="s">
        <v>5952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 s="367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 s="367">
        <v>0</v>
      </c>
      <c r="U1263">
        <v>0</v>
      </c>
      <c r="V1263">
        <v>0</v>
      </c>
      <c r="W1263">
        <v>2</v>
      </c>
      <c r="X1263">
        <v>0</v>
      </c>
      <c r="Y1263">
        <v>0</v>
      </c>
      <c r="Z1263">
        <v>3</v>
      </c>
      <c r="AA1263">
        <v>0</v>
      </c>
      <c r="AB1263">
        <v>2</v>
      </c>
      <c r="AC1263">
        <v>3</v>
      </c>
      <c r="AD1263">
        <v>0</v>
      </c>
      <c r="AE1263">
        <v>3</v>
      </c>
      <c r="AF1263">
        <v>1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</row>
    <row r="1264" spans="1:40">
      <c r="A1264">
        <v>8024</v>
      </c>
      <c r="B1264" t="s">
        <v>5953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 s="367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 s="367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1</v>
      </c>
      <c r="AD1264">
        <v>1</v>
      </c>
      <c r="AE1264">
        <v>4</v>
      </c>
      <c r="AF1264">
        <v>1</v>
      </c>
      <c r="AG1264">
        <v>0</v>
      </c>
      <c r="AH1264">
        <v>0</v>
      </c>
      <c r="AI1264">
        <v>1</v>
      </c>
      <c r="AJ1264">
        <v>0</v>
      </c>
      <c r="AK1264">
        <v>0</v>
      </c>
      <c r="AL1264">
        <v>0</v>
      </c>
    </row>
    <row r="1265" spans="1:40">
      <c r="A1265">
        <v>8027</v>
      </c>
      <c r="B1265" t="s">
        <v>5954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 s="367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 s="367">
        <v>0</v>
      </c>
      <c r="U1265">
        <v>0</v>
      </c>
      <c r="V1265">
        <v>0</v>
      </c>
      <c r="W1265">
        <v>1</v>
      </c>
      <c r="X1265">
        <v>2</v>
      </c>
      <c r="Y1265">
        <v>1</v>
      </c>
      <c r="Z1265">
        <v>1</v>
      </c>
      <c r="AA1265">
        <v>0</v>
      </c>
      <c r="AB1265">
        <v>1</v>
      </c>
      <c r="AC1265">
        <v>2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</row>
    <row r="1266" spans="1:40">
      <c r="A1266">
        <v>8028</v>
      </c>
      <c r="B1266" t="s">
        <v>5955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 s="367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 s="367">
        <v>0</v>
      </c>
      <c r="U1266">
        <v>0</v>
      </c>
      <c r="V1266">
        <v>0</v>
      </c>
      <c r="W1266">
        <v>3</v>
      </c>
      <c r="X1266">
        <v>0</v>
      </c>
      <c r="Y1266">
        <v>2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v>1</v>
      </c>
      <c r="AF1266">
        <v>0</v>
      </c>
      <c r="AG1266">
        <v>1</v>
      </c>
      <c r="AH1266">
        <v>0</v>
      </c>
      <c r="AI1266">
        <v>2</v>
      </c>
      <c r="AJ1266">
        <v>3</v>
      </c>
      <c r="AK1266">
        <v>0</v>
      </c>
      <c r="AL1266">
        <v>0</v>
      </c>
    </row>
    <row r="1267" spans="1:40">
      <c r="A1267">
        <v>8032</v>
      </c>
      <c r="B1267" t="s">
        <v>6318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 s="3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 s="3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1</v>
      </c>
      <c r="AF1267">
        <v>1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</row>
    <row r="1268" spans="1:40">
      <c r="A1268">
        <v>8039</v>
      </c>
      <c r="B1268" t="s">
        <v>5957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 s="367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 s="367">
        <v>0</v>
      </c>
      <c r="U1268">
        <v>1</v>
      </c>
      <c r="V1268">
        <v>5</v>
      </c>
      <c r="W1268">
        <v>3</v>
      </c>
      <c r="X1268">
        <v>0</v>
      </c>
      <c r="Y1268">
        <v>5</v>
      </c>
      <c r="Z1268">
        <v>2</v>
      </c>
      <c r="AA1268">
        <v>0</v>
      </c>
      <c r="AB1268">
        <v>3</v>
      </c>
      <c r="AC1268">
        <v>2</v>
      </c>
      <c r="AD1268">
        <v>0</v>
      </c>
      <c r="AE1268">
        <v>9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1</v>
      </c>
      <c r="AL1268">
        <v>5</v>
      </c>
      <c r="AM1268" s="367" t="s">
        <v>3542</v>
      </c>
      <c r="AN1268" s="367" t="s">
        <v>4718</v>
      </c>
    </row>
    <row r="1269" spans="1:40">
      <c r="A1269">
        <v>8040</v>
      </c>
      <c r="B1269" t="s">
        <v>5958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 s="367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 s="367">
        <v>0</v>
      </c>
      <c r="U1269">
        <v>1</v>
      </c>
      <c r="V1269">
        <v>1</v>
      </c>
      <c r="W1269">
        <v>2</v>
      </c>
      <c r="X1269">
        <v>0</v>
      </c>
      <c r="Y1269">
        <v>5</v>
      </c>
      <c r="Z1269">
        <v>1</v>
      </c>
      <c r="AA1269">
        <v>0</v>
      </c>
      <c r="AB1269">
        <v>0</v>
      </c>
      <c r="AC1269">
        <v>0</v>
      </c>
      <c r="AD1269">
        <v>0</v>
      </c>
      <c r="AE1269">
        <v>5</v>
      </c>
      <c r="AF1269">
        <v>0</v>
      </c>
      <c r="AG1269">
        <v>0</v>
      </c>
      <c r="AH1269">
        <v>0</v>
      </c>
      <c r="AI1269">
        <v>1</v>
      </c>
      <c r="AJ1269">
        <v>3</v>
      </c>
      <c r="AK1269">
        <v>1</v>
      </c>
      <c r="AL1269">
        <v>1</v>
      </c>
      <c r="AM1269" s="367" t="s">
        <v>3542</v>
      </c>
      <c r="AN1269" s="367" t="s">
        <v>4718</v>
      </c>
    </row>
    <row r="1270" spans="1:40">
      <c r="A1270">
        <v>8043</v>
      </c>
      <c r="B1270" t="s">
        <v>5959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 s="367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 s="367">
        <v>0</v>
      </c>
      <c r="U1270">
        <v>0</v>
      </c>
      <c r="V1270">
        <v>0</v>
      </c>
      <c r="W1270">
        <v>1</v>
      </c>
      <c r="X1270">
        <v>0</v>
      </c>
      <c r="Y1270">
        <v>2</v>
      </c>
      <c r="Z1270">
        <v>0</v>
      </c>
      <c r="AA1270">
        <v>0</v>
      </c>
      <c r="AB1270">
        <v>0</v>
      </c>
      <c r="AC1270">
        <v>1</v>
      </c>
      <c r="AD1270">
        <v>0</v>
      </c>
      <c r="AE1270">
        <v>2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</row>
    <row r="1271" spans="1:40">
      <c r="A1271">
        <v>8044</v>
      </c>
      <c r="B1271" t="s">
        <v>5960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 s="367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 s="367">
        <v>0</v>
      </c>
      <c r="U1271">
        <v>1</v>
      </c>
      <c r="V1271">
        <v>1</v>
      </c>
      <c r="W1271">
        <v>5</v>
      </c>
      <c r="X1271">
        <v>0</v>
      </c>
      <c r="Y1271">
        <v>1</v>
      </c>
      <c r="Z1271">
        <v>0</v>
      </c>
      <c r="AA1271">
        <v>0</v>
      </c>
      <c r="AB1271">
        <v>2</v>
      </c>
      <c r="AC1271">
        <v>0</v>
      </c>
      <c r="AD1271">
        <v>0</v>
      </c>
      <c r="AE1271">
        <v>1</v>
      </c>
      <c r="AF1271">
        <v>0</v>
      </c>
      <c r="AG1271">
        <v>3</v>
      </c>
      <c r="AH1271">
        <v>0</v>
      </c>
      <c r="AI1271">
        <v>0</v>
      </c>
      <c r="AJ1271">
        <v>5</v>
      </c>
      <c r="AK1271">
        <v>1</v>
      </c>
      <c r="AL1271">
        <v>1</v>
      </c>
      <c r="AM1271" s="367" t="s">
        <v>6761</v>
      </c>
      <c r="AN1271" s="367" t="s">
        <v>6778</v>
      </c>
    </row>
    <row r="1272" spans="1:40">
      <c r="A1272">
        <v>8046</v>
      </c>
      <c r="B1272" t="s">
        <v>5961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 s="367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 s="367">
        <v>0</v>
      </c>
      <c r="U1272">
        <v>0</v>
      </c>
      <c r="V1272">
        <v>1</v>
      </c>
      <c r="W1272">
        <v>2</v>
      </c>
      <c r="X1272">
        <v>1</v>
      </c>
      <c r="Y1272">
        <v>3</v>
      </c>
      <c r="Z1272">
        <v>2</v>
      </c>
      <c r="AA1272">
        <v>0</v>
      </c>
      <c r="AB1272">
        <v>1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5</v>
      </c>
      <c r="AI1272">
        <v>0</v>
      </c>
      <c r="AJ1272">
        <v>1</v>
      </c>
      <c r="AK1272">
        <v>0</v>
      </c>
      <c r="AL1272">
        <v>1</v>
      </c>
      <c r="AN1272" s="367" t="s">
        <v>3544</v>
      </c>
    </row>
    <row r="1273" spans="1:40">
      <c r="A1273">
        <v>8047</v>
      </c>
      <c r="B1273" t="s">
        <v>6306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 s="367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 s="367">
        <v>0</v>
      </c>
      <c r="U1273">
        <v>0</v>
      </c>
      <c r="V1273">
        <v>0</v>
      </c>
      <c r="W1273">
        <v>0</v>
      </c>
      <c r="X1273">
        <v>0</v>
      </c>
      <c r="Y1273">
        <v>1</v>
      </c>
      <c r="Z1273">
        <v>0</v>
      </c>
      <c r="AA1273">
        <v>0</v>
      </c>
      <c r="AB1273">
        <v>0</v>
      </c>
      <c r="AC1273">
        <v>0</v>
      </c>
      <c r="AD1273">
        <v>1</v>
      </c>
      <c r="AE1273">
        <v>1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</row>
    <row r="1274" spans="1:40">
      <c r="A1274">
        <v>8048</v>
      </c>
      <c r="B1274" t="s">
        <v>5962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 s="367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 s="367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1</v>
      </c>
      <c r="AF1274">
        <v>1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</row>
    <row r="1275" spans="1:40">
      <c r="A1275">
        <v>8049</v>
      </c>
      <c r="B1275" t="s">
        <v>5963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 s="367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 s="367">
        <v>0</v>
      </c>
      <c r="U1275">
        <v>0</v>
      </c>
      <c r="V1275">
        <v>6</v>
      </c>
      <c r="W1275">
        <v>0</v>
      </c>
      <c r="X1275">
        <v>0</v>
      </c>
      <c r="Y1275">
        <v>2</v>
      </c>
      <c r="Z1275">
        <v>0</v>
      </c>
      <c r="AA1275">
        <v>0</v>
      </c>
      <c r="AB1275">
        <v>0</v>
      </c>
      <c r="AC1275">
        <v>0</v>
      </c>
      <c r="AD1275">
        <v>10</v>
      </c>
      <c r="AE1275">
        <v>2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6</v>
      </c>
      <c r="AN1275" s="367" t="s">
        <v>6761</v>
      </c>
    </row>
    <row r="1276" spans="1:40">
      <c r="A1276">
        <v>8050</v>
      </c>
      <c r="B1276" t="s">
        <v>5964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 s="367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 s="367">
        <v>0</v>
      </c>
      <c r="U1276">
        <v>1</v>
      </c>
      <c r="V1276">
        <v>0</v>
      </c>
      <c r="W1276">
        <v>5</v>
      </c>
      <c r="X1276">
        <v>0</v>
      </c>
      <c r="Y1276">
        <v>3</v>
      </c>
      <c r="Z1276">
        <v>0</v>
      </c>
      <c r="AA1276">
        <v>0</v>
      </c>
      <c r="AB1276">
        <v>0</v>
      </c>
      <c r="AC1276">
        <v>1</v>
      </c>
      <c r="AD1276">
        <v>0</v>
      </c>
      <c r="AE1276">
        <v>1</v>
      </c>
      <c r="AF1276">
        <v>0</v>
      </c>
      <c r="AG1276">
        <v>1</v>
      </c>
      <c r="AH1276">
        <v>0</v>
      </c>
      <c r="AI1276">
        <v>0</v>
      </c>
      <c r="AJ1276">
        <v>0</v>
      </c>
      <c r="AK1276">
        <v>1</v>
      </c>
      <c r="AL1276">
        <v>0</v>
      </c>
      <c r="AM1276" s="367" t="s">
        <v>6761</v>
      </c>
    </row>
    <row r="1277" spans="1:40">
      <c r="A1277">
        <v>8054</v>
      </c>
      <c r="B1277" t="s">
        <v>5965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 s="36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 s="367">
        <v>0</v>
      </c>
      <c r="U1277">
        <v>0</v>
      </c>
      <c r="V1277">
        <v>0</v>
      </c>
      <c r="W1277">
        <v>0</v>
      </c>
      <c r="X1277">
        <v>0</v>
      </c>
      <c r="Y1277">
        <v>3</v>
      </c>
      <c r="Z1277">
        <v>0</v>
      </c>
      <c r="AA1277">
        <v>0</v>
      </c>
      <c r="AB1277">
        <v>0</v>
      </c>
      <c r="AC1277">
        <v>1</v>
      </c>
      <c r="AD1277">
        <v>1</v>
      </c>
      <c r="AE1277">
        <v>1</v>
      </c>
      <c r="AF1277">
        <v>0</v>
      </c>
      <c r="AG1277">
        <v>1</v>
      </c>
      <c r="AH1277">
        <v>0</v>
      </c>
      <c r="AI1277">
        <v>4</v>
      </c>
      <c r="AJ1277">
        <v>0</v>
      </c>
      <c r="AK1277">
        <v>0</v>
      </c>
      <c r="AL1277">
        <v>0</v>
      </c>
    </row>
    <row r="1278" spans="1:40">
      <c r="A1278">
        <v>8064</v>
      </c>
      <c r="B1278" t="s">
        <v>5966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 s="367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 s="367">
        <v>0</v>
      </c>
      <c r="U1278">
        <v>0</v>
      </c>
      <c r="V1278">
        <v>0</v>
      </c>
      <c r="W1278">
        <v>0</v>
      </c>
      <c r="X1278">
        <v>2</v>
      </c>
      <c r="Y1278">
        <v>2</v>
      </c>
      <c r="Z1278">
        <v>0</v>
      </c>
      <c r="AA1278">
        <v>0</v>
      </c>
      <c r="AB1278">
        <v>0</v>
      </c>
      <c r="AC1278">
        <v>1</v>
      </c>
      <c r="AD1278">
        <v>1</v>
      </c>
      <c r="AE1278">
        <v>0</v>
      </c>
      <c r="AF1278">
        <v>0</v>
      </c>
      <c r="AG1278">
        <v>1</v>
      </c>
      <c r="AH1278">
        <v>0</v>
      </c>
      <c r="AI1278">
        <v>3</v>
      </c>
      <c r="AJ1278">
        <v>0</v>
      </c>
      <c r="AK1278">
        <v>0</v>
      </c>
      <c r="AL1278">
        <v>0</v>
      </c>
    </row>
    <row r="1279" spans="1:40">
      <c r="A1279">
        <v>8066</v>
      </c>
      <c r="B1279" t="s">
        <v>6302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 s="367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 s="367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1</v>
      </c>
      <c r="AC1279">
        <v>0</v>
      </c>
      <c r="AD1279">
        <v>0</v>
      </c>
      <c r="AE1279">
        <v>0</v>
      </c>
      <c r="AF1279">
        <v>1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</row>
    <row r="1280" spans="1:40">
      <c r="A1280">
        <v>8070</v>
      </c>
      <c r="B1280" t="s">
        <v>5968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 s="367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 s="367">
        <v>0</v>
      </c>
      <c r="U1280">
        <v>1</v>
      </c>
      <c r="V1280">
        <v>2</v>
      </c>
      <c r="W1280">
        <v>5</v>
      </c>
      <c r="X1280">
        <v>1</v>
      </c>
      <c r="Y1280">
        <v>2</v>
      </c>
      <c r="Z1280">
        <v>2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6</v>
      </c>
      <c r="AJ1280">
        <v>2</v>
      </c>
      <c r="AK1280">
        <v>1</v>
      </c>
      <c r="AL1280">
        <v>2</v>
      </c>
      <c r="AM1280" s="367" t="s">
        <v>6761</v>
      </c>
      <c r="AN1280" s="367" t="s">
        <v>6775</v>
      </c>
    </row>
    <row r="1281" spans="1:40">
      <c r="A1281">
        <v>8072</v>
      </c>
      <c r="B1281" t="s">
        <v>5970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 s="367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 s="367">
        <v>0</v>
      </c>
      <c r="U1281">
        <v>0</v>
      </c>
      <c r="V1281">
        <v>2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6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2</v>
      </c>
      <c r="AN1281" s="367" t="s">
        <v>6761</v>
      </c>
    </row>
    <row r="1282" spans="1:40">
      <c r="A1282">
        <v>8074</v>
      </c>
      <c r="B1282" t="s">
        <v>5971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 s="367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 s="367">
        <v>0</v>
      </c>
      <c r="U1282">
        <v>0</v>
      </c>
      <c r="V1282">
        <v>1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3</v>
      </c>
      <c r="AE1282">
        <v>2</v>
      </c>
      <c r="AF1282">
        <v>1</v>
      </c>
      <c r="AG1282">
        <v>0</v>
      </c>
      <c r="AH1282">
        <v>0</v>
      </c>
      <c r="AI1282">
        <v>5</v>
      </c>
      <c r="AJ1282">
        <v>0</v>
      </c>
      <c r="AK1282">
        <v>0</v>
      </c>
      <c r="AL1282">
        <v>1</v>
      </c>
      <c r="AN1282" s="367" t="s">
        <v>6775</v>
      </c>
    </row>
    <row r="1283" spans="1:40">
      <c r="A1283">
        <v>8076</v>
      </c>
      <c r="B1283" t="s">
        <v>5972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 s="367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 s="367">
        <v>0</v>
      </c>
      <c r="U1283">
        <v>0</v>
      </c>
      <c r="V1283">
        <v>0</v>
      </c>
      <c r="W1283">
        <v>1</v>
      </c>
      <c r="X1283">
        <v>0</v>
      </c>
      <c r="Y1283">
        <v>1</v>
      </c>
      <c r="Z1283">
        <v>0</v>
      </c>
      <c r="AA1283">
        <v>0</v>
      </c>
      <c r="AB1283">
        <v>0</v>
      </c>
      <c r="AC1283">
        <v>3</v>
      </c>
      <c r="AD1283">
        <v>0</v>
      </c>
      <c r="AE1283">
        <v>1</v>
      </c>
      <c r="AF1283">
        <v>0</v>
      </c>
      <c r="AG1283">
        <v>1</v>
      </c>
      <c r="AH1283">
        <v>0</v>
      </c>
      <c r="AI1283">
        <v>4</v>
      </c>
      <c r="AJ1283">
        <v>0</v>
      </c>
      <c r="AK1283">
        <v>0</v>
      </c>
      <c r="AL1283">
        <v>0</v>
      </c>
    </row>
    <row r="1284" spans="1:40">
      <c r="A1284">
        <v>8081</v>
      </c>
      <c r="B1284" t="s">
        <v>5973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 s="367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 s="367">
        <v>0</v>
      </c>
      <c r="U1284">
        <v>0</v>
      </c>
      <c r="V1284">
        <v>0</v>
      </c>
      <c r="W1284">
        <v>0</v>
      </c>
      <c r="X1284">
        <v>1</v>
      </c>
      <c r="Y1284">
        <v>0</v>
      </c>
      <c r="Z1284">
        <v>0</v>
      </c>
      <c r="AA1284">
        <v>0</v>
      </c>
      <c r="AB1284">
        <v>0</v>
      </c>
      <c r="AC1284">
        <v>2</v>
      </c>
      <c r="AD1284">
        <v>2</v>
      </c>
      <c r="AE1284">
        <v>0</v>
      </c>
      <c r="AF1284">
        <v>2</v>
      </c>
      <c r="AG1284">
        <v>2</v>
      </c>
      <c r="AH1284">
        <v>0</v>
      </c>
      <c r="AI1284">
        <v>4</v>
      </c>
      <c r="AJ1284">
        <v>0</v>
      </c>
      <c r="AK1284">
        <v>0</v>
      </c>
      <c r="AL1284">
        <v>0</v>
      </c>
    </row>
    <row r="1285" spans="1:40">
      <c r="A1285">
        <v>8085</v>
      </c>
      <c r="B1285" t="s">
        <v>6224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 s="367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 s="367">
        <v>0</v>
      </c>
      <c r="U1285">
        <v>3</v>
      </c>
      <c r="V1285">
        <v>0</v>
      </c>
      <c r="W1285">
        <v>1</v>
      </c>
      <c r="X1285">
        <v>7</v>
      </c>
      <c r="Y1285">
        <v>1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3</v>
      </c>
      <c r="AL1285">
        <v>0</v>
      </c>
      <c r="AM1285" s="367" t="s">
        <v>4718</v>
      </c>
    </row>
    <row r="1286" spans="1:40">
      <c r="A1286">
        <v>8086</v>
      </c>
      <c r="B1286" t="s">
        <v>5974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 s="367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 s="367">
        <v>0</v>
      </c>
      <c r="U1286">
        <v>0</v>
      </c>
      <c r="V1286">
        <v>3</v>
      </c>
      <c r="W1286">
        <v>0</v>
      </c>
      <c r="X1286">
        <v>0</v>
      </c>
      <c r="Y1286">
        <v>0</v>
      </c>
      <c r="Z1286">
        <v>2</v>
      </c>
      <c r="AA1286">
        <v>0</v>
      </c>
      <c r="AB1286">
        <v>4</v>
      </c>
      <c r="AC1286">
        <v>1</v>
      </c>
      <c r="AD1286">
        <v>1</v>
      </c>
      <c r="AE1286">
        <v>7</v>
      </c>
      <c r="AF1286">
        <v>1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3</v>
      </c>
      <c r="AN1286" s="367" t="s">
        <v>4718</v>
      </c>
    </row>
    <row r="1287" spans="1:40">
      <c r="A1287">
        <v>8089</v>
      </c>
      <c r="B1287" t="s">
        <v>5976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 s="36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 s="367">
        <v>0</v>
      </c>
      <c r="U1287">
        <v>0</v>
      </c>
      <c r="V1287">
        <v>0</v>
      </c>
      <c r="W1287">
        <v>0</v>
      </c>
      <c r="X1287">
        <v>1</v>
      </c>
      <c r="Y1287">
        <v>1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</row>
    <row r="1288" spans="1:40">
      <c r="A1288">
        <v>8091</v>
      </c>
      <c r="B1288" t="s">
        <v>5977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 s="367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 s="367">
        <v>0</v>
      </c>
      <c r="U1288">
        <v>0</v>
      </c>
      <c r="V1288">
        <v>0</v>
      </c>
      <c r="W1288">
        <v>3</v>
      </c>
      <c r="X1288">
        <v>1</v>
      </c>
      <c r="Y1288">
        <v>3</v>
      </c>
      <c r="Z1288">
        <v>2</v>
      </c>
      <c r="AA1288">
        <v>0</v>
      </c>
      <c r="AB1288">
        <v>1</v>
      </c>
      <c r="AC1288">
        <v>1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</row>
    <row r="1289" spans="1:40">
      <c r="A1289">
        <v>8097</v>
      </c>
      <c r="B1289" t="s">
        <v>5979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 s="367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 s="367">
        <v>0</v>
      </c>
      <c r="U1289">
        <v>0</v>
      </c>
      <c r="V1289">
        <v>8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1</v>
      </c>
      <c r="AE1289">
        <v>1</v>
      </c>
      <c r="AF1289">
        <v>1</v>
      </c>
      <c r="AG1289">
        <v>0</v>
      </c>
      <c r="AH1289">
        <v>0</v>
      </c>
      <c r="AI1289">
        <v>1</v>
      </c>
      <c r="AJ1289">
        <v>12</v>
      </c>
      <c r="AK1289">
        <v>0</v>
      </c>
      <c r="AL1289">
        <v>8</v>
      </c>
      <c r="AN1289" s="367" t="s">
        <v>6778</v>
      </c>
    </row>
    <row r="1290" spans="1:40">
      <c r="A1290">
        <v>8099</v>
      </c>
      <c r="B1290" t="s">
        <v>5980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 s="367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 s="367">
        <v>0</v>
      </c>
      <c r="U1290">
        <v>0</v>
      </c>
      <c r="V1290">
        <v>0</v>
      </c>
      <c r="W1290">
        <v>0</v>
      </c>
      <c r="X1290">
        <v>1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1</v>
      </c>
      <c r="AE1290">
        <v>0</v>
      </c>
      <c r="AF1290">
        <v>1</v>
      </c>
      <c r="AG1290">
        <v>0</v>
      </c>
      <c r="AH1290">
        <v>0</v>
      </c>
      <c r="AI1290">
        <v>0</v>
      </c>
      <c r="AJ1290">
        <v>1</v>
      </c>
      <c r="AK1290">
        <v>0</v>
      </c>
      <c r="AL1290">
        <v>0</v>
      </c>
    </row>
    <row r="1291" spans="1:40">
      <c r="A1291">
        <v>8103</v>
      </c>
      <c r="B1291" t="s">
        <v>5981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 s="367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 s="367">
        <v>0</v>
      </c>
      <c r="U1291">
        <v>0</v>
      </c>
      <c r="V1291">
        <v>0</v>
      </c>
      <c r="W1291">
        <v>1</v>
      </c>
      <c r="X1291">
        <v>2</v>
      </c>
      <c r="Y1291">
        <v>2</v>
      </c>
      <c r="Z1291">
        <v>1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1</v>
      </c>
      <c r="AJ1291">
        <v>1</v>
      </c>
      <c r="AK1291">
        <v>0</v>
      </c>
      <c r="AL1291">
        <v>0</v>
      </c>
    </row>
    <row r="1292" spans="1:40">
      <c r="A1292">
        <v>8104</v>
      </c>
      <c r="B1292" t="s">
        <v>5982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 s="367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 s="367">
        <v>0</v>
      </c>
      <c r="U1292">
        <v>0</v>
      </c>
      <c r="V1292">
        <v>0</v>
      </c>
      <c r="W1292">
        <v>0</v>
      </c>
      <c r="X1292">
        <v>1</v>
      </c>
      <c r="Y1292">
        <v>0</v>
      </c>
      <c r="Z1292">
        <v>0</v>
      </c>
      <c r="AA1292">
        <v>0</v>
      </c>
      <c r="AB1292">
        <v>1</v>
      </c>
      <c r="AC1292">
        <v>0</v>
      </c>
      <c r="AD1292">
        <v>1</v>
      </c>
      <c r="AE1292">
        <v>0</v>
      </c>
      <c r="AF1292">
        <v>1</v>
      </c>
      <c r="AG1292">
        <v>0</v>
      </c>
      <c r="AH1292">
        <v>0</v>
      </c>
      <c r="AI1292">
        <v>0</v>
      </c>
      <c r="AJ1292">
        <v>1</v>
      </c>
      <c r="AK1292">
        <v>0</v>
      </c>
      <c r="AL1292">
        <v>0</v>
      </c>
    </row>
    <row r="1293" spans="1:40">
      <c r="A1293">
        <v>8105</v>
      </c>
      <c r="B1293" t="s">
        <v>5983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 s="367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 s="367">
        <v>0</v>
      </c>
      <c r="U1293">
        <v>0</v>
      </c>
      <c r="V1293">
        <v>0</v>
      </c>
      <c r="W1293">
        <v>0</v>
      </c>
      <c r="X1293">
        <v>0</v>
      </c>
      <c r="Y1293">
        <v>3</v>
      </c>
      <c r="Z1293">
        <v>0</v>
      </c>
      <c r="AA1293">
        <v>0</v>
      </c>
      <c r="AB1293">
        <v>1</v>
      </c>
      <c r="AC1293">
        <v>0</v>
      </c>
      <c r="AD1293">
        <v>1</v>
      </c>
      <c r="AE1293">
        <v>1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</row>
    <row r="1294" spans="1:40">
      <c r="A1294">
        <v>8107</v>
      </c>
      <c r="B1294" t="s">
        <v>5984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 s="367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 s="367">
        <v>0</v>
      </c>
      <c r="U1294">
        <v>0</v>
      </c>
      <c r="V1294">
        <v>0</v>
      </c>
      <c r="W1294">
        <v>0</v>
      </c>
      <c r="X1294">
        <v>2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3</v>
      </c>
      <c r="AE1294">
        <v>0</v>
      </c>
      <c r="AF1294">
        <v>3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</row>
    <row r="1295" spans="1:40">
      <c r="A1295">
        <v>8109</v>
      </c>
      <c r="B1295" t="s">
        <v>6161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 s="367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 s="367">
        <v>0</v>
      </c>
      <c r="U1295">
        <v>0</v>
      </c>
      <c r="V1295">
        <v>0</v>
      </c>
      <c r="W1295">
        <v>1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1</v>
      </c>
      <c r="AF1295">
        <v>1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</row>
    <row r="1296" spans="1:40">
      <c r="A1296">
        <v>8110</v>
      </c>
      <c r="B1296" t="s">
        <v>5985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 s="367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 s="367">
        <v>0</v>
      </c>
      <c r="U1296">
        <v>0</v>
      </c>
      <c r="V1296">
        <v>0</v>
      </c>
      <c r="W1296">
        <v>3</v>
      </c>
      <c r="X1296">
        <v>0</v>
      </c>
      <c r="Y1296">
        <v>2</v>
      </c>
      <c r="Z1296">
        <v>0</v>
      </c>
      <c r="AA1296">
        <v>0</v>
      </c>
      <c r="AB1296">
        <v>1</v>
      </c>
      <c r="AC1296">
        <v>3</v>
      </c>
      <c r="AD1296">
        <v>0</v>
      </c>
      <c r="AE1296">
        <v>1</v>
      </c>
      <c r="AF1296">
        <v>0</v>
      </c>
      <c r="AG1296">
        <v>1</v>
      </c>
      <c r="AH1296">
        <v>0</v>
      </c>
      <c r="AI1296">
        <v>0</v>
      </c>
      <c r="AJ1296">
        <v>0</v>
      </c>
      <c r="AK1296">
        <v>0</v>
      </c>
      <c r="AL1296">
        <v>0</v>
      </c>
    </row>
    <row r="1297" spans="1:40">
      <c r="A1297">
        <v>8111</v>
      </c>
      <c r="B1297" t="s">
        <v>5986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 s="36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 s="367">
        <v>0</v>
      </c>
      <c r="U1297">
        <v>0</v>
      </c>
      <c r="V1297">
        <v>0</v>
      </c>
      <c r="W1297">
        <v>0</v>
      </c>
      <c r="X1297">
        <v>1</v>
      </c>
      <c r="Y1297">
        <v>2</v>
      </c>
      <c r="Z1297">
        <v>0</v>
      </c>
      <c r="AA1297">
        <v>0</v>
      </c>
      <c r="AB1297">
        <v>0</v>
      </c>
      <c r="AC1297">
        <v>1</v>
      </c>
      <c r="AD1297">
        <v>1</v>
      </c>
      <c r="AE1297">
        <v>0</v>
      </c>
      <c r="AF1297">
        <v>0</v>
      </c>
      <c r="AG1297">
        <v>1</v>
      </c>
      <c r="AH1297">
        <v>0</v>
      </c>
      <c r="AI1297">
        <v>0</v>
      </c>
      <c r="AJ1297">
        <v>0</v>
      </c>
      <c r="AK1297">
        <v>0</v>
      </c>
      <c r="AL1297">
        <v>0</v>
      </c>
    </row>
    <row r="1298" spans="1:40">
      <c r="A1298">
        <v>8112</v>
      </c>
      <c r="B1298" t="s">
        <v>5987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 s="367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 s="367">
        <v>0</v>
      </c>
      <c r="U1298">
        <v>0</v>
      </c>
      <c r="V1298">
        <v>0</v>
      </c>
      <c r="W1298">
        <v>0</v>
      </c>
      <c r="X1298">
        <v>1</v>
      </c>
      <c r="Y1298">
        <v>0</v>
      </c>
      <c r="Z1298">
        <v>3</v>
      </c>
      <c r="AA1298">
        <v>0</v>
      </c>
      <c r="AB1298">
        <v>0</v>
      </c>
      <c r="AC1298">
        <v>0</v>
      </c>
      <c r="AD1298">
        <v>1</v>
      </c>
      <c r="AE1298">
        <v>0</v>
      </c>
      <c r="AF1298">
        <v>1</v>
      </c>
      <c r="AG1298">
        <v>0</v>
      </c>
      <c r="AH1298">
        <v>2</v>
      </c>
      <c r="AI1298">
        <v>1</v>
      </c>
      <c r="AJ1298">
        <v>1</v>
      </c>
      <c r="AK1298">
        <v>0</v>
      </c>
      <c r="AL1298">
        <v>0</v>
      </c>
    </row>
    <row r="1299" spans="1:40">
      <c r="A1299">
        <v>8114</v>
      </c>
      <c r="B1299" t="s">
        <v>5988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 s="367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 s="367">
        <v>0</v>
      </c>
      <c r="U1299">
        <v>1</v>
      </c>
      <c r="V1299">
        <v>0</v>
      </c>
      <c r="W1299">
        <v>3</v>
      </c>
      <c r="X1299">
        <v>0</v>
      </c>
      <c r="Y1299">
        <v>3</v>
      </c>
      <c r="Z1299">
        <v>2</v>
      </c>
      <c r="AA1299">
        <v>5</v>
      </c>
      <c r="AB1299">
        <v>1</v>
      </c>
      <c r="AC1299">
        <v>1</v>
      </c>
      <c r="AD1299">
        <v>0</v>
      </c>
      <c r="AE1299">
        <v>1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1</v>
      </c>
      <c r="AL1299">
        <v>0</v>
      </c>
      <c r="AM1299" s="367" t="s">
        <v>3544</v>
      </c>
    </row>
    <row r="1300" spans="1:40">
      <c r="A1300">
        <v>8121</v>
      </c>
      <c r="B1300" t="s">
        <v>6400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 s="367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 s="367">
        <v>0</v>
      </c>
      <c r="U1300">
        <v>1</v>
      </c>
      <c r="V1300">
        <v>0</v>
      </c>
      <c r="W1300">
        <v>0</v>
      </c>
      <c r="X1300">
        <v>0</v>
      </c>
      <c r="Y1300">
        <v>5</v>
      </c>
      <c r="Z1300">
        <v>0</v>
      </c>
      <c r="AA1300">
        <v>0</v>
      </c>
      <c r="AB1300">
        <v>0</v>
      </c>
      <c r="AC1300">
        <v>0</v>
      </c>
      <c r="AD1300">
        <v>1</v>
      </c>
      <c r="AE1300">
        <v>0</v>
      </c>
      <c r="AF1300">
        <v>0</v>
      </c>
      <c r="AG1300">
        <v>3</v>
      </c>
      <c r="AH1300">
        <v>0</v>
      </c>
      <c r="AI1300">
        <v>0</v>
      </c>
      <c r="AJ1300">
        <v>0</v>
      </c>
      <c r="AK1300">
        <v>1</v>
      </c>
      <c r="AL1300">
        <v>0</v>
      </c>
      <c r="AM1300" s="367" t="s">
        <v>3542</v>
      </c>
    </row>
    <row r="1301" spans="1:40">
      <c r="A1301">
        <v>8131</v>
      </c>
      <c r="B1301" t="s">
        <v>5989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 s="367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 s="367">
        <v>0</v>
      </c>
      <c r="U1301">
        <v>0</v>
      </c>
      <c r="V1301">
        <v>0</v>
      </c>
      <c r="W1301">
        <v>2</v>
      </c>
      <c r="X1301">
        <v>1</v>
      </c>
      <c r="Y1301">
        <v>0</v>
      </c>
      <c r="Z1301">
        <v>2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1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</row>
    <row r="1302" spans="1:40">
      <c r="A1302">
        <v>8147</v>
      </c>
      <c r="B1302" t="s">
        <v>5990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 s="367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 s="367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4</v>
      </c>
      <c r="AE1302">
        <v>0</v>
      </c>
      <c r="AF1302">
        <v>1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</row>
    <row r="1303" spans="1:40">
      <c r="A1303">
        <v>8150</v>
      </c>
      <c r="B1303" t="s">
        <v>5991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 s="367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 s="367">
        <v>0</v>
      </c>
      <c r="U1303">
        <v>0</v>
      </c>
      <c r="V1303">
        <v>0</v>
      </c>
      <c r="W1303">
        <v>1</v>
      </c>
      <c r="X1303">
        <v>0</v>
      </c>
      <c r="Y1303">
        <v>1</v>
      </c>
      <c r="Z1303">
        <v>0</v>
      </c>
      <c r="AA1303">
        <v>0</v>
      </c>
      <c r="AB1303">
        <v>0</v>
      </c>
      <c r="AC1303">
        <v>2</v>
      </c>
      <c r="AD1303">
        <v>0</v>
      </c>
      <c r="AE1303">
        <v>1</v>
      </c>
      <c r="AF1303">
        <v>0</v>
      </c>
      <c r="AG1303">
        <v>1</v>
      </c>
      <c r="AH1303">
        <v>1</v>
      </c>
      <c r="AI1303">
        <v>1</v>
      </c>
      <c r="AJ1303">
        <v>0</v>
      </c>
      <c r="AK1303">
        <v>0</v>
      </c>
      <c r="AL1303">
        <v>0</v>
      </c>
    </row>
    <row r="1304" spans="1:40">
      <c r="A1304">
        <v>8163</v>
      </c>
      <c r="B1304" t="s">
        <v>5993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 s="367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 s="367">
        <v>0</v>
      </c>
      <c r="U1304">
        <v>0</v>
      </c>
      <c r="V1304">
        <v>0</v>
      </c>
      <c r="W1304">
        <v>0</v>
      </c>
      <c r="X1304">
        <v>1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1</v>
      </c>
      <c r="AE1304">
        <v>0</v>
      </c>
      <c r="AF1304">
        <v>1</v>
      </c>
      <c r="AG1304">
        <v>1</v>
      </c>
      <c r="AH1304">
        <v>0</v>
      </c>
      <c r="AI1304">
        <v>2</v>
      </c>
      <c r="AJ1304">
        <v>1</v>
      </c>
      <c r="AK1304">
        <v>0</v>
      </c>
      <c r="AL1304">
        <v>0</v>
      </c>
    </row>
    <row r="1305" spans="1:40">
      <c r="A1305">
        <v>8171</v>
      </c>
      <c r="B1305" t="s">
        <v>5994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 s="367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 s="367">
        <v>0</v>
      </c>
      <c r="U1305">
        <v>0</v>
      </c>
      <c r="V1305">
        <v>5</v>
      </c>
      <c r="W1305">
        <v>0</v>
      </c>
      <c r="X1305">
        <v>2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9</v>
      </c>
      <c r="AE1305">
        <v>0</v>
      </c>
      <c r="AF1305">
        <v>2</v>
      </c>
      <c r="AG1305">
        <v>0</v>
      </c>
      <c r="AH1305">
        <v>0</v>
      </c>
      <c r="AI1305">
        <v>0</v>
      </c>
      <c r="AJ1305">
        <v>1</v>
      </c>
      <c r="AK1305">
        <v>0</v>
      </c>
      <c r="AL1305">
        <v>5</v>
      </c>
      <c r="AN1305" s="367" t="s">
        <v>6761</v>
      </c>
    </row>
    <row r="1306" spans="1:40">
      <c r="A1306">
        <v>8182</v>
      </c>
      <c r="B1306" t="s">
        <v>5995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 s="367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 s="367">
        <v>0</v>
      </c>
      <c r="U1306">
        <v>0</v>
      </c>
      <c r="V1306">
        <v>0</v>
      </c>
      <c r="W1306">
        <v>2</v>
      </c>
      <c r="X1306">
        <v>0</v>
      </c>
      <c r="Y1306">
        <v>2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v>1</v>
      </c>
      <c r="AF1306">
        <v>0</v>
      </c>
      <c r="AG1306">
        <v>0</v>
      </c>
      <c r="AH1306">
        <v>0</v>
      </c>
      <c r="AI1306">
        <v>1</v>
      </c>
      <c r="AJ1306">
        <v>0</v>
      </c>
      <c r="AK1306">
        <v>0</v>
      </c>
      <c r="AL1306">
        <v>0</v>
      </c>
    </row>
    <row r="1307" spans="1:40">
      <c r="A1307">
        <v>8201</v>
      </c>
      <c r="B1307" t="s">
        <v>5997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 s="36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 s="367">
        <v>0</v>
      </c>
      <c r="U1307">
        <v>0</v>
      </c>
      <c r="V1307">
        <v>0</v>
      </c>
      <c r="W1307">
        <v>0</v>
      </c>
      <c r="X1307">
        <v>1</v>
      </c>
      <c r="Y1307">
        <v>2</v>
      </c>
      <c r="Z1307">
        <v>0</v>
      </c>
      <c r="AA1307">
        <v>0</v>
      </c>
      <c r="AB1307">
        <v>0</v>
      </c>
      <c r="AC1307">
        <v>0</v>
      </c>
      <c r="AD1307">
        <v>1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</row>
    <row r="1308" spans="1:40">
      <c r="A1308">
        <v>8210</v>
      </c>
      <c r="B1308" t="s">
        <v>5998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 s="367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 s="367">
        <v>0</v>
      </c>
      <c r="U1308">
        <v>0</v>
      </c>
      <c r="V1308">
        <v>2</v>
      </c>
      <c r="W1308">
        <v>0</v>
      </c>
      <c r="X1308">
        <v>0</v>
      </c>
      <c r="Y1308">
        <v>3</v>
      </c>
      <c r="Z1308">
        <v>2</v>
      </c>
      <c r="AA1308">
        <v>0</v>
      </c>
      <c r="AB1308">
        <v>1</v>
      </c>
      <c r="AC1308">
        <v>0</v>
      </c>
      <c r="AD1308">
        <v>1</v>
      </c>
      <c r="AE1308">
        <v>6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2</v>
      </c>
      <c r="AN1308" s="367" t="s">
        <v>4718</v>
      </c>
    </row>
    <row r="1309" spans="1:40">
      <c r="A1309">
        <v>8213</v>
      </c>
      <c r="B1309" t="s">
        <v>5999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 s="367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 s="367">
        <v>0</v>
      </c>
      <c r="U1309">
        <v>8</v>
      </c>
      <c r="V1309">
        <v>0</v>
      </c>
      <c r="W1309">
        <v>6</v>
      </c>
      <c r="X1309">
        <v>0</v>
      </c>
      <c r="Y1309">
        <v>9</v>
      </c>
      <c r="Z1309">
        <v>5</v>
      </c>
      <c r="AA1309">
        <v>0</v>
      </c>
      <c r="AB1309">
        <v>0</v>
      </c>
      <c r="AC1309">
        <v>0</v>
      </c>
      <c r="AD1309">
        <v>0</v>
      </c>
      <c r="AE1309">
        <v>2</v>
      </c>
      <c r="AF1309">
        <v>0</v>
      </c>
      <c r="AG1309">
        <v>0</v>
      </c>
      <c r="AH1309">
        <v>0</v>
      </c>
      <c r="AI1309">
        <v>2</v>
      </c>
      <c r="AJ1309">
        <v>3</v>
      </c>
      <c r="AK1309">
        <v>8</v>
      </c>
      <c r="AL1309">
        <v>0</v>
      </c>
      <c r="AM1309" s="367" t="s">
        <v>6791</v>
      </c>
    </row>
    <row r="1310" spans="1:40">
      <c r="A1310">
        <v>8215</v>
      </c>
      <c r="B1310" t="s">
        <v>6000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 s="367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 s="367">
        <v>0</v>
      </c>
      <c r="U1310">
        <v>0</v>
      </c>
      <c r="V1310">
        <v>0</v>
      </c>
      <c r="W1310">
        <v>1</v>
      </c>
      <c r="X1310">
        <v>1</v>
      </c>
      <c r="Y1310">
        <v>1</v>
      </c>
      <c r="Z1310">
        <v>2</v>
      </c>
      <c r="AA1310">
        <v>0</v>
      </c>
      <c r="AB1310">
        <v>0</v>
      </c>
      <c r="AC1310">
        <v>2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2</v>
      </c>
      <c r="AJ1310">
        <v>0</v>
      </c>
      <c r="AK1310">
        <v>0</v>
      </c>
      <c r="AL1310">
        <v>0</v>
      </c>
    </row>
    <row r="1311" spans="1:40">
      <c r="A1311">
        <v>8222</v>
      </c>
      <c r="B1311" t="s">
        <v>6001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 s="367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 s="367">
        <v>0</v>
      </c>
      <c r="U1311">
        <v>0</v>
      </c>
      <c r="V1311">
        <v>0</v>
      </c>
      <c r="W1311">
        <v>0</v>
      </c>
      <c r="X1311">
        <v>1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1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</row>
    <row r="1312" spans="1:40">
      <c r="A1312">
        <v>8234</v>
      </c>
      <c r="B1312" t="s">
        <v>6002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 s="367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 s="367">
        <v>0</v>
      </c>
      <c r="U1312">
        <v>0</v>
      </c>
      <c r="V1312">
        <v>2</v>
      </c>
      <c r="W1312">
        <v>2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  <c r="AD1312">
        <v>0</v>
      </c>
      <c r="AE1312">
        <v>2</v>
      </c>
      <c r="AF1312">
        <v>6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2</v>
      </c>
      <c r="AN1312" s="367" t="s">
        <v>3542</v>
      </c>
    </row>
    <row r="1313" spans="1:40">
      <c r="A1313">
        <v>8240</v>
      </c>
      <c r="B1313" t="s">
        <v>6003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 s="367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 s="367">
        <v>0</v>
      </c>
      <c r="U1313">
        <v>0</v>
      </c>
      <c r="V1313">
        <v>0</v>
      </c>
      <c r="W1313">
        <v>0</v>
      </c>
      <c r="X1313">
        <v>1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4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</row>
    <row r="1314" spans="1:40">
      <c r="A1314">
        <v>8249</v>
      </c>
      <c r="B1314" t="s">
        <v>6004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 s="367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 s="367">
        <v>0</v>
      </c>
      <c r="U1314">
        <v>0</v>
      </c>
      <c r="V1314">
        <v>0</v>
      </c>
      <c r="W1314">
        <v>0</v>
      </c>
      <c r="X1314">
        <v>3</v>
      </c>
      <c r="Y1314">
        <v>0</v>
      </c>
      <c r="Z1314">
        <v>2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1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</row>
    <row r="1315" spans="1:40">
      <c r="A1315">
        <v>8255</v>
      </c>
      <c r="B1315" t="s">
        <v>6005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 s="367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 s="367">
        <v>0</v>
      </c>
      <c r="U1315">
        <v>2</v>
      </c>
      <c r="V1315">
        <v>0</v>
      </c>
      <c r="W1315">
        <v>0</v>
      </c>
      <c r="X1315">
        <v>0</v>
      </c>
      <c r="Y1315">
        <v>0</v>
      </c>
      <c r="Z1315">
        <v>2</v>
      </c>
      <c r="AA1315">
        <v>2</v>
      </c>
      <c r="AB1315">
        <v>6</v>
      </c>
      <c r="AC1315">
        <v>1</v>
      </c>
      <c r="AD1315">
        <v>1</v>
      </c>
      <c r="AE1315">
        <v>1</v>
      </c>
      <c r="AF1315">
        <v>1</v>
      </c>
      <c r="AG1315">
        <v>0</v>
      </c>
      <c r="AH1315">
        <v>0</v>
      </c>
      <c r="AI1315">
        <v>0</v>
      </c>
      <c r="AJ1315">
        <v>0</v>
      </c>
      <c r="AK1315">
        <v>2</v>
      </c>
      <c r="AL1315">
        <v>0</v>
      </c>
      <c r="AM1315" s="367" t="s">
        <v>6775</v>
      </c>
    </row>
    <row r="1316" spans="1:40">
      <c r="A1316">
        <v>8271</v>
      </c>
      <c r="B1316" t="s">
        <v>6007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 s="367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 s="367">
        <v>0</v>
      </c>
      <c r="U1316">
        <v>0</v>
      </c>
      <c r="V1316">
        <v>0</v>
      </c>
      <c r="W1316">
        <v>1</v>
      </c>
      <c r="X1316">
        <v>3</v>
      </c>
      <c r="Y1316">
        <v>1</v>
      </c>
      <c r="Z1316">
        <v>1</v>
      </c>
      <c r="AA1316">
        <v>0</v>
      </c>
      <c r="AB1316">
        <v>0</v>
      </c>
      <c r="AC1316">
        <v>1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1</v>
      </c>
      <c r="AJ1316">
        <v>0</v>
      </c>
      <c r="AK1316">
        <v>0</v>
      </c>
      <c r="AL1316">
        <v>0</v>
      </c>
    </row>
    <row r="1317" spans="1:40">
      <c r="A1317">
        <v>8284</v>
      </c>
      <c r="B1317" t="s">
        <v>6008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 s="36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 s="36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2</v>
      </c>
      <c r="AE1317">
        <v>2</v>
      </c>
      <c r="AF1317">
        <v>2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</row>
    <row r="1318" spans="1:40">
      <c r="A1318">
        <v>8289</v>
      </c>
      <c r="B1318" t="s">
        <v>6009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 s="367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 s="367">
        <v>0</v>
      </c>
      <c r="U1318">
        <v>0</v>
      </c>
      <c r="V1318">
        <v>0</v>
      </c>
      <c r="W1318">
        <v>2</v>
      </c>
      <c r="X1318">
        <v>0</v>
      </c>
      <c r="Y1318">
        <v>2</v>
      </c>
      <c r="Z1318">
        <v>0</v>
      </c>
      <c r="AA1318">
        <v>0</v>
      </c>
      <c r="AB1318">
        <v>0</v>
      </c>
      <c r="AC1318">
        <v>2</v>
      </c>
      <c r="AD1318">
        <v>0</v>
      </c>
      <c r="AE1318">
        <v>3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</row>
    <row r="1319" spans="1:40">
      <c r="A1319">
        <v>8299</v>
      </c>
      <c r="B1319" t="s">
        <v>6010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 s="367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 s="367">
        <v>0</v>
      </c>
      <c r="U1319">
        <v>3</v>
      </c>
      <c r="V1319">
        <v>0</v>
      </c>
      <c r="W1319">
        <v>0</v>
      </c>
      <c r="X1319">
        <v>7</v>
      </c>
      <c r="Y1319">
        <v>0</v>
      </c>
      <c r="Z1319">
        <v>2</v>
      </c>
      <c r="AA1319">
        <v>0</v>
      </c>
      <c r="AB1319">
        <v>2</v>
      </c>
      <c r="AC1319">
        <v>1</v>
      </c>
      <c r="AD1319">
        <v>1</v>
      </c>
      <c r="AE1319">
        <v>0</v>
      </c>
      <c r="AF1319">
        <v>1</v>
      </c>
      <c r="AG1319">
        <v>0</v>
      </c>
      <c r="AH1319">
        <v>0</v>
      </c>
      <c r="AI1319">
        <v>0</v>
      </c>
      <c r="AJ1319">
        <v>0</v>
      </c>
      <c r="AK1319">
        <v>3</v>
      </c>
      <c r="AL1319">
        <v>0</v>
      </c>
      <c r="AM1319" s="367" t="s">
        <v>4718</v>
      </c>
    </row>
    <row r="1320" spans="1:40">
      <c r="A1320">
        <v>8341</v>
      </c>
      <c r="B1320" t="s">
        <v>6011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 s="367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 s="367">
        <v>0</v>
      </c>
      <c r="U1320">
        <v>0</v>
      </c>
      <c r="V1320">
        <v>0</v>
      </c>
      <c r="W1320">
        <v>1</v>
      </c>
      <c r="X1320">
        <v>1</v>
      </c>
      <c r="Y1320">
        <v>0</v>
      </c>
      <c r="Z1320">
        <v>3</v>
      </c>
      <c r="AA1320">
        <v>1</v>
      </c>
      <c r="AB1320">
        <v>0</v>
      </c>
      <c r="AC1320">
        <v>0</v>
      </c>
      <c r="AD1320">
        <v>0</v>
      </c>
      <c r="AE1320">
        <v>0</v>
      </c>
      <c r="AF1320">
        <v>1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</row>
    <row r="1321" spans="1:40">
      <c r="A1321">
        <v>8349</v>
      </c>
      <c r="B1321" t="s">
        <v>6012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 s="367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 s="367">
        <v>0</v>
      </c>
      <c r="U1321">
        <v>1</v>
      </c>
      <c r="V1321">
        <v>0</v>
      </c>
      <c r="W1321">
        <v>0</v>
      </c>
      <c r="X1321">
        <v>0</v>
      </c>
      <c r="Y1321">
        <v>5</v>
      </c>
      <c r="Z1321">
        <v>0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1</v>
      </c>
      <c r="AL1321">
        <v>0</v>
      </c>
      <c r="AM1321" s="367" t="s">
        <v>3542</v>
      </c>
    </row>
    <row r="1322" spans="1:40">
      <c r="A1322">
        <v>8358</v>
      </c>
      <c r="B1322" t="s">
        <v>6013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 s="367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 s="367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0</v>
      </c>
      <c r="AD1322">
        <v>4</v>
      </c>
      <c r="AE1322">
        <v>1</v>
      </c>
      <c r="AF1322">
        <v>2</v>
      </c>
      <c r="AG1322">
        <v>1</v>
      </c>
      <c r="AH1322">
        <v>0</v>
      </c>
      <c r="AI1322">
        <v>2</v>
      </c>
      <c r="AJ1322">
        <v>4</v>
      </c>
      <c r="AK1322">
        <v>0</v>
      </c>
      <c r="AL1322">
        <v>0</v>
      </c>
    </row>
    <row r="1323" spans="1:40">
      <c r="A1323">
        <v>8367</v>
      </c>
      <c r="B1323" t="s">
        <v>6014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 s="367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 s="367">
        <v>0</v>
      </c>
      <c r="U1323">
        <v>0</v>
      </c>
      <c r="V1323">
        <v>0</v>
      </c>
      <c r="W1323">
        <v>1</v>
      </c>
      <c r="X1323">
        <v>1</v>
      </c>
      <c r="Y1323">
        <v>2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1</v>
      </c>
      <c r="AJ1323">
        <v>1</v>
      </c>
      <c r="AK1323">
        <v>0</v>
      </c>
      <c r="AL1323">
        <v>0</v>
      </c>
    </row>
    <row r="1324" spans="1:40">
      <c r="A1324">
        <v>8374</v>
      </c>
      <c r="B1324" t="s">
        <v>6015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 s="367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 s="367">
        <v>0</v>
      </c>
      <c r="U1324">
        <v>0</v>
      </c>
      <c r="V1324">
        <v>0</v>
      </c>
      <c r="W1324">
        <v>0</v>
      </c>
      <c r="X1324">
        <v>2</v>
      </c>
      <c r="Y1324">
        <v>0</v>
      </c>
      <c r="Z1324">
        <v>2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</row>
    <row r="1325" spans="1:40">
      <c r="A1325">
        <v>8383</v>
      </c>
      <c r="B1325" t="s">
        <v>6016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 s="367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 s="367">
        <v>0</v>
      </c>
      <c r="U1325">
        <v>0</v>
      </c>
      <c r="V1325">
        <v>2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2</v>
      </c>
      <c r="AD1325">
        <v>2</v>
      </c>
      <c r="AE1325">
        <v>3</v>
      </c>
      <c r="AF1325">
        <v>5</v>
      </c>
      <c r="AG1325">
        <v>1</v>
      </c>
      <c r="AH1325">
        <v>0</v>
      </c>
      <c r="AI1325">
        <v>5</v>
      </c>
      <c r="AJ1325">
        <v>0</v>
      </c>
      <c r="AK1325">
        <v>0</v>
      </c>
      <c r="AL1325">
        <v>2</v>
      </c>
      <c r="AN1325" s="367" t="s">
        <v>6786</v>
      </c>
    </row>
    <row r="1326" spans="1:40">
      <c r="A1326">
        <v>8390</v>
      </c>
      <c r="B1326" t="s">
        <v>6017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 s="367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 s="367">
        <v>0</v>
      </c>
      <c r="U1326">
        <v>0</v>
      </c>
      <c r="V1326">
        <v>0</v>
      </c>
      <c r="W1326">
        <v>1</v>
      </c>
      <c r="X1326">
        <v>1</v>
      </c>
      <c r="Y1326">
        <v>2</v>
      </c>
      <c r="Z1326">
        <v>0</v>
      </c>
      <c r="AA1326">
        <v>0</v>
      </c>
      <c r="AB1326">
        <v>0</v>
      </c>
      <c r="AC1326">
        <v>1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</row>
    <row r="1327" spans="1:40">
      <c r="A1327">
        <v>8401</v>
      </c>
      <c r="B1327" t="s">
        <v>6018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 s="36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 s="36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1</v>
      </c>
      <c r="AE1327">
        <v>1</v>
      </c>
      <c r="AF1327">
        <v>1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</row>
    <row r="1328" spans="1:40">
      <c r="A1328">
        <v>8404</v>
      </c>
      <c r="B1328" t="s">
        <v>6020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 s="367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 s="367">
        <v>0</v>
      </c>
      <c r="U1328">
        <v>1</v>
      </c>
      <c r="V1328">
        <v>3</v>
      </c>
      <c r="W1328">
        <v>2</v>
      </c>
      <c r="X1328">
        <v>0</v>
      </c>
      <c r="Y1328">
        <v>0</v>
      </c>
      <c r="Z1328">
        <v>5</v>
      </c>
      <c r="AA1328">
        <v>0</v>
      </c>
      <c r="AB1328">
        <v>0</v>
      </c>
      <c r="AC1328">
        <v>0</v>
      </c>
      <c r="AD1328">
        <v>0</v>
      </c>
      <c r="AE1328">
        <v>1</v>
      </c>
      <c r="AF1328">
        <v>7</v>
      </c>
      <c r="AG1328">
        <v>0</v>
      </c>
      <c r="AH1328">
        <v>0</v>
      </c>
      <c r="AI1328">
        <v>0</v>
      </c>
      <c r="AJ1328">
        <v>0</v>
      </c>
      <c r="AK1328">
        <v>1</v>
      </c>
      <c r="AL1328">
        <v>3</v>
      </c>
      <c r="AM1328" s="367" t="s">
        <v>3543</v>
      </c>
      <c r="AN1328" s="367" t="s">
        <v>3542</v>
      </c>
    </row>
    <row r="1329" spans="1:40">
      <c r="A1329">
        <v>8410</v>
      </c>
      <c r="B1329" t="s">
        <v>6190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 s="367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 s="367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v>1</v>
      </c>
      <c r="AF1329">
        <v>1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</row>
    <row r="1330" spans="1:40">
      <c r="A1330">
        <v>8411</v>
      </c>
      <c r="B1330" t="s">
        <v>6021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 s="367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 s="367">
        <v>0</v>
      </c>
      <c r="U1330">
        <v>0</v>
      </c>
      <c r="V1330">
        <v>1</v>
      </c>
      <c r="W1330">
        <v>0</v>
      </c>
      <c r="X1330">
        <v>2</v>
      </c>
      <c r="Y1330">
        <v>2</v>
      </c>
      <c r="Z1330">
        <v>0</v>
      </c>
      <c r="AA1330">
        <v>0</v>
      </c>
      <c r="AB1330">
        <v>0</v>
      </c>
      <c r="AC1330">
        <v>0</v>
      </c>
      <c r="AD1330">
        <v>5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1</v>
      </c>
      <c r="AN1330" s="367" t="s">
        <v>6761</v>
      </c>
    </row>
    <row r="1331" spans="1:40">
      <c r="A1331">
        <v>8415</v>
      </c>
      <c r="B1331" t="s">
        <v>6022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 s="367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 s="367">
        <v>0</v>
      </c>
      <c r="U1331">
        <v>0</v>
      </c>
      <c r="V1331">
        <v>0</v>
      </c>
      <c r="W1331">
        <v>3</v>
      </c>
      <c r="X1331">
        <v>1</v>
      </c>
      <c r="Y1331">
        <v>2</v>
      </c>
      <c r="Z1331">
        <v>2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1</v>
      </c>
      <c r="AJ1331">
        <v>4</v>
      </c>
      <c r="AK1331">
        <v>0</v>
      </c>
      <c r="AL1331">
        <v>0</v>
      </c>
    </row>
    <row r="1332" spans="1:40">
      <c r="A1332">
        <v>8420</v>
      </c>
      <c r="B1332" t="s">
        <v>6023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 s="367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 s="367">
        <v>0</v>
      </c>
      <c r="U1332">
        <v>1</v>
      </c>
      <c r="V1332">
        <v>0</v>
      </c>
      <c r="W1332">
        <v>1</v>
      </c>
      <c r="X1332">
        <v>1</v>
      </c>
      <c r="Y1332">
        <v>5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1</v>
      </c>
      <c r="AH1332">
        <v>0</v>
      </c>
      <c r="AI1332">
        <v>0</v>
      </c>
      <c r="AJ1332">
        <v>3</v>
      </c>
      <c r="AK1332">
        <v>1</v>
      </c>
      <c r="AL1332">
        <v>0</v>
      </c>
      <c r="AM1332" s="367" t="s">
        <v>3542</v>
      </c>
    </row>
    <row r="1333" spans="1:40">
      <c r="A1333">
        <v>8422</v>
      </c>
      <c r="B1333" t="s">
        <v>6024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 s="367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 s="367">
        <v>0</v>
      </c>
      <c r="U1333">
        <v>0</v>
      </c>
      <c r="V1333">
        <v>6</v>
      </c>
      <c r="W1333">
        <v>2</v>
      </c>
      <c r="X1333">
        <v>0</v>
      </c>
      <c r="Y1333">
        <v>0</v>
      </c>
      <c r="Z1333">
        <v>2</v>
      </c>
      <c r="AA1333">
        <v>0</v>
      </c>
      <c r="AB1333">
        <v>1</v>
      </c>
      <c r="AC1333">
        <v>0</v>
      </c>
      <c r="AD1333">
        <v>0</v>
      </c>
      <c r="AE1333">
        <v>10</v>
      </c>
      <c r="AF1333">
        <v>1</v>
      </c>
      <c r="AG1333">
        <v>0</v>
      </c>
      <c r="AH1333">
        <v>1</v>
      </c>
      <c r="AI1333">
        <v>0</v>
      </c>
      <c r="AJ1333">
        <v>0</v>
      </c>
      <c r="AK1333">
        <v>0</v>
      </c>
      <c r="AL1333">
        <v>6</v>
      </c>
      <c r="AN1333" s="367" t="s">
        <v>4718</v>
      </c>
    </row>
    <row r="1334" spans="1:40">
      <c r="A1334">
        <v>8424</v>
      </c>
      <c r="B1334" t="s">
        <v>6209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 s="367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 s="367">
        <v>0</v>
      </c>
      <c r="U1334">
        <v>0</v>
      </c>
      <c r="V1334">
        <v>0</v>
      </c>
      <c r="W1334">
        <v>0</v>
      </c>
      <c r="X1334">
        <v>1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2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</row>
    <row r="1335" spans="1:40">
      <c r="A1335">
        <v>8429</v>
      </c>
      <c r="B1335" t="s">
        <v>6025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 s="367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 s="367">
        <v>0</v>
      </c>
      <c r="U1335">
        <v>0</v>
      </c>
      <c r="V1335">
        <v>4</v>
      </c>
      <c r="W1335">
        <v>0</v>
      </c>
      <c r="X1335">
        <v>0</v>
      </c>
      <c r="Y1335">
        <v>2</v>
      </c>
      <c r="Z1335">
        <v>0</v>
      </c>
      <c r="AA1335">
        <v>0</v>
      </c>
      <c r="AB1335">
        <v>0</v>
      </c>
      <c r="AC1335">
        <v>0</v>
      </c>
      <c r="AD1335">
        <v>8</v>
      </c>
      <c r="AE1335">
        <v>2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4</v>
      </c>
      <c r="AN1335" s="367" t="s">
        <v>6761</v>
      </c>
    </row>
    <row r="1336" spans="1:40">
      <c r="A1336">
        <v>8431</v>
      </c>
      <c r="B1336" t="s">
        <v>6026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 s="367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 s="367">
        <v>0</v>
      </c>
      <c r="U1336">
        <v>0</v>
      </c>
      <c r="V1336">
        <v>0</v>
      </c>
      <c r="W1336">
        <v>2</v>
      </c>
      <c r="X1336">
        <v>1</v>
      </c>
      <c r="Y1336">
        <v>2</v>
      </c>
      <c r="Z1336">
        <v>0</v>
      </c>
      <c r="AA1336">
        <v>0</v>
      </c>
      <c r="AB1336">
        <v>2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1</v>
      </c>
      <c r="AK1336">
        <v>0</v>
      </c>
      <c r="AL1336">
        <v>0</v>
      </c>
    </row>
    <row r="1337" spans="1:40">
      <c r="A1337">
        <v>8432</v>
      </c>
      <c r="B1337" t="s">
        <v>6310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 s="36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 s="367">
        <v>0</v>
      </c>
      <c r="U1337">
        <v>0</v>
      </c>
      <c r="V1337">
        <v>0</v>
      </c>
      <c r="W1337">
        <v>0</v>
      </c>
      <c r="X1337">
        <v>0</v>
      </c>
      <c r="Y1337">
        <v>2</v>
      </c>
      <c r="Z1337">
        <v>0</v>
      </c>
      <c r="AA1337">
        <v>0</v>
      </c>
      <c r="AB1337">
        <v>0</v>
      </c>
      <c r="AC1337">
        <v>0</v>
      </c>
      <c r="AD1337">
        <v>1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</row>
    <row r="1338" spans="1:40">
      <c r="A1338">
        <v>8433</v>
      </c>
      <c r="B1338" t="s">
        <v>6027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 s="367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 s="367">
        <v>0</v>
      </c>
      <c r="U1338">
        <v>0</v>
      </c>
      <c r="V1338">
        <v>0</v>
      </c>
      <c r="W1338">
        <v>2</v>
      </c>
      <c r="X1338">
        <v>4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1</v>
      </c>
      <c r="AG1338">
        <v>1</v>
      </c>
      <c r="AH1338">
        <v>0</v>
      </c>
      <c r="AI1338">
        <v>0</v>
      </c>
      <c r="AJ1338">
        <v>2</v>
      </c>
      <c r="AK1338">
        <v>0</v>
      </c>
      <c r="AL1338">
        <v>0</v>
      </c>
    </row>
    <row r="1339" spans="1:40">
      <c r="A1339">
        <v>8435</v>
      </c>
      <c r="B1339" t="s">
        <v>6028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 s="367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 s="367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1</v>
      </c>
      <c r="AH1339">
        <v>0</v>
      </c>
      <c r="AI1339">
        <v>0</v>
      </c>
      <c r="AJ1339">
        <v>0</v>
      </c>
      <c r="AK1339">
        <v>0</v>
      </c>
      <c r="AL1339">
        <v>0</v>
      </c>
    </row>
    <row r="1340" spans="1:40">
      <c r="A1340">
        <v>8436</v>
      </c>
      <c r="B1340" t="s">
        <v>6029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 s="367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 s="367">
        <v>0</v>
      </c>
      <c r="U1340">
        <v>0</v>
      </c>
      <c r="V1340">
        <v>0</v>
      </c>
      <c r="W1340">
        <v>2</v>
      </c>
      <c r="X1340">
        <v>1</v>
      </c>
      <c r="Y1340">
        <v>2</v>
      </c>
      <c r="Z1340">
        <v>0</v>
      </c>
      <c r="AA1340">
        <v>0</v>
      </c>
      <c r="AB1340">
        <v>3</v>
      </c>
      <c r="AC1340">
        <v>2</v>
      </c>
      <c r="AD1340">
        <v>0</v>
      </c>
      <c r="AE1340">
        <v>0</v>
      </c>
      <c r="AF1340">
        <v>0</v>
      </c>
      <c r="AG1340">
        <v>1</v>
      </c>
      <c r="AH1340">
        <v>0</v>
      </c>
      <c r="AI1340">
        <v>0</v>
      </c>
      <c r="AJ1340">
        <v>0</v>
      </c>
      <c r="AK1340">
        <v>0</v>
      </c>
      <c r="AL1340">
        <v>0</v>
      </c>
    </row>
    <row r="1341" spans="1:40">
      <c r="A1341">
        <v>8437</v>
      </c>
      <c r="B1341" t="s">
        <v>6030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 s="367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 s="367">
        <v>0</v>
      </c>
      <c r="U1341">
        <v>0</v>
      </c>
      <c r="V1341">
        <v>6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10</v>
      </c>
      <c r="AE1341">
        <v>1</v>
      </c>
      <c r="AF1341">
        <v>2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6</v>
      </c>
      <c r="AN1341" s="367" t="s">
        <v>6761</v>
      </c>
    </row>
    <row r="1342" spans="1:40">
      <c r="A1342">
        <v>8440</v>
      </c>
      <c r="B1342" t="s">
        <v>6031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 s="367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 s="367">
        <v>0</v>
      </c>
      <c r="U1342">
        <v>0</v>
      </c>
      <c r="V1342">
        <v>0</v>
      </c>
      <c r="W1342">
        <v>1</v>
      </c>
      <c r="X1342">
        <v>0</v>
      </c>
      <c r="Y1342">
        <v>0</v>
      </c>
      <c r="Z1342">
        <v>0</v>
      </c>
      <c r="AA1342">
        <v>0</v>
      </c>
      <c r="AB1342">
        <v>1</v>
      </c>
      <c r="AC1342">
        <v>1</v>
      </c>
      <c r="AD1342">
        <v>0</v>
      </c>
      <c r="AE1342">
        <v>1</v>
      </c>
      <c r="AF1342">
        <v>2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</row>
    <row r="1343" spans="1:40">
      <c r="A1343">
        <v>8442</v>
      </c>
      <c r="B1343" t="s">
        <v>6032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 s="367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 s="367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  <c r="AD1343">
        <v>2</v>
      </c>
      <c r="AE1343">
        <v>3</v>
      </c>
      <c r="AF1343">
        <v>2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</row>
    <row r="1344" spans="1:40">
      <c r="A1344">
        <v>8443</v>
      </c>
      <c r="B1344" t="s">
        <v>6033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 s="367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 s="367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3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</row>
    <row r="1345" spans="1:40">
      <c r="A1345">
        <v>8444</v>
      </c>
      <c r="B1345" t="s">
        <v>6034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 s="367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 s="367">
        <v>0</v>
      </c>
      <c r="U1345">
        <v>0</v>
      </c>
      <c r="V1345">
        <v>0</v>
      </c>
      <c r="W1345">
        <v>0</v>
      </c>
      <c r="X1345">
        <v>1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2</v>
      </c>
      <c r="AG1345">
        <v>0</v>
      </c>
      <c r="AH1345">
        <v>0</v>
      </c>
      <c r="AI1345">
        <v>0</v>
      </c>
      <c r="AJ1345">
        <v>2</v>
      </c>
      <c r="AK1345">
        <v>0</v>
      </c>
      <c r="AL1345">
        <v>0</v>
      </c>
    </row>
    <row r="1346" spans="1:40">
      <c r="A1346">
        <v>8446</v>
      </c>
      <c r="B1346" t="s">
        <v>6035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 s="367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 s="367">
        <v>0</v>
      </c>
      <c r="U1346">
        <v>0</v>
      </c>
      <c r="V1346">
        <v>0</v>
      </c>
      <c r="W1346">
        <v>0</v>
      </c>
      <c r="X1346">
        <v>1</v>
      </c>
      <c r="Y1346">
        <v>1</v>
      </c>
      <c r="Z1346">
        <v>0</v>
      </c>
      <c r="AA1346">
        <v>0</v>
      </c>
      <c r="AB1346">
        <v>0</v>
      </c>
      <c r="AC1346">
        <v>0</v>
      </c>
      <c r="AD1346">
        <v>4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</row>
    <row r="1347" spans="1:40">
      <c r="A1347">
        <v>8450</v>
      </c>
      <c r="B1347" t="s">
        <v>6036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 s="36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 s="367">
        <v>0</v>
      </c>
      <c r="U1347">
        <v>0</v>
      </c>
      <c r="V1347">
        <v>1</v>
      </c>
      <c r="W1347">
        <v>2</v>
      </c>
      <c r="X1347">
        <v>1</v>
      </c>
      <c r="Y1347">
        <v>2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5</v>
      </c>
      <c r="AK1347">
        <v>0</v>
      </c>
      <c r="AL1347">
        <v>1</v>
      </c>
      <c r="AN1347" s="367" t="s">
        <v>6778</v>
      </c>
    </row>
    <row r="1348" spans="1:40">
      <c r="A1348">
        <v>8454</v>
      </c>
      <c r="B1348" t="s">
        <v>6037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 s="367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 s="367">
        <v>0</v>
      </c>
      <c r="U1348">
        <v>0</v>
      </c>
      <c r="V1348">
        <v>0</v>
      </c>
      <c r="W1348">
        <v>2</v>
      </c>
      <c r="X1348">
        <v>0</v>
      </c>
      <c r="Y1348">
        <v>2</v>
      </c>
      <c r="Z1348">
        <v>2</v>
      </c>
      <c r="AA1348">
        <v>2</v>
      </c>
      <c r="AB1348">
        <v>0</v>
      </c>
      <c r="AC1348">
        <v>0</v>
      </c>
      <c r="AD1348">
        <v>0</v>
      </c>
      <c r="AE1348">
        <v>3</v>
      </c>
      <c r="AF1348">
        <v>0</v>
      </c>
      <c r="AG1348">
        <v>0</v>
      </c>
      <c r="AH1348">
        <v>0</v>
      </c>
      <c r="AI1348">
        <v>3</v>
      </c>
      <c r="AJ1348">
        <v>1</v>
      </c>
      <c r="AK1348">
        <v>0</v>
      </c>
      <c r="AL1348">
        <v>0</v>
      </c>
    </row>
    <row r="1349" spans="1:40">
      <c r="A1349">
        <v>8462</v>
      </c>
      <c r="B1349" t="s">
        <v>6038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 s="367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 s="367">
        <v>0</v>
      </c>
      <c r="U1349">
        <v>0</v>
      </c>
      <c r="V1349">
        <v>0</v>
      </c>
      <c r="W1349">
        <v>3</v>
      </c>
      <c r="X1349">
        <v>3</v>
      </c>
      <c r="Y1349">
        <v>3</v>
      </c>
      <c r="Z1349">
        <v>2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</row>
    <row r="1350" spans="1:40">
      <c r="A1350">
        <v>8464</v>
      </c>
      <c r="B1350" t="s">
        <v>6040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 s="367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 s="367">
        <v>0</v>
      </c>
      <c r="U1350">
        <v>0</v>
      </c>
      <c r="V1350">
        <v>0</v>
      </c>
      <c r="W1350">
        <v>3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1</v>
      </c>
      <c r="AD1350">
        <v>0</v>
      </c>
      <c r="AE1350">
        <v>0</v>
      </c>
      <c r="AF1350">
        <v>1</v>
      </c>
      <c r="AG1350">
        <v>1</v>
      </c>
      <c r="AH1350">
        <v>0</v>
      </c>
      <c r="AI1350">
        <v>2</v>
      </c>
      <c r="AJ1350">
        <v>0</v>
      </c>
      <c r="AK1350">
        <v>0</v>
      </c>
      <c r="AL1350">
        <v>0</v>
      </c>
    </row>
    <row r="1351" spans="1:40">
      <c r="A1351">
        <v>8466</v>
      </c>
      <c r="B1351" t="s">
        <v>6041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 s="367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 s="367">
        <v>0</v>
      </c>
      <c r="U1351">
        <v>0</v>
      </c>
      <c r="V1351">
        <v>4</v>
      </c>
      <c r="W1351">
        <v>0</v>
      </c>
      <c r="X1351">
        <v>0</v>
      </c>
      <c r="Y1351">
        <v>2</v>
      </c>
      <c r="Z1351">
        <v>0</v>
      </c>
      <c r="AA1351">
        <v>0</v>
      </c>
      <c r="AB1351">
        <v>0</v>
      </c>
      <c r="AC1351">
        <v>0</v>
      </c>
      <c r="AD1351">
        <v>8</v>
      </c>
      <c r="AE1351">
        <v>1</v>
      </c>
      <c r="AF1351">
        <v>0</v>
      </c>
      <c r="AG1351">
        <v>1</v>
      </c>
      <c r="AH1351">
        <v>0</v>
      </c>
      <c r="AI1351">
        <v>0</v>
      </c>
      <c r="AJ1351">
        <v>1</v>
      </c>
      <c r="AK1351">
        <v>0</v>
      </c>
      <c r="AL1351">
        <v>4</v>
      </c>
      <c r="AN1351" s="367" t="s">
        <v>6761</v>
      </c>
    </row>
    <row r="1352" spans="1:40">
      <c r="A1352">
        <v>8467</v>
      </c>
      <c r="B1352" t="s">
        <v>6042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 s="367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 s="367">
        <v>0</v>
      </c>
      <c r="U1352">
        <v>0</v>
      </c>
      <c r="V1352">
        <v>0</v>
      </c>
      <c r="W1352">
        <v>0</v>
      </c>
      <c r="X1352">
        <v>0</v>
      </c>
      <c r="Y1352">
        <v>1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1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</row>
    <row r="1353" spans="1:40">
      <c r="A1353">
        <v>8473</v>
      </c>
      <c r="B1353" t="s">
        <v>6043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 s="367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 s="367">
        <v>0</v>
      </c>
      <c r="U1353">
        <v>0</v>
      </c>
      <c r="V1353">
        <v>0</v>
      </c>
      <c r="W1353">
        <v>0</v>
      </c>
      <c r="X1353">
        <v>0</v>
      </c>
      <c r="Y1353">
        <v>2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</row>
    <row r="1354" spans="1:40">
      <c r="A1354">
        <v>8476</v>
      </c>
      <c r="B1354" t="s">
        <v>6241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 s="367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 s="367">
        <v>0</v>
      </c>
      <c r="U1354">
        <v>0</v>
      </c>
      <c r="V1354">
        <v>2</v>
      </c>
      <c r="W1354">
        <v>0</v>
      </c>
      <c r="X1354">
        <v>2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2</v>
      </c>
      <c r="AE1354">
        <v>0</v>
      </c>
      <c r="AF1354">
        <v>6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2</v>
      </c>
      <c r="AN1354" s="367" t="s">
        <v>3542</v>
      </c>
    </row>
    <row r="1355" spans="1:40">
      <c r="A1355">
        <v>8480</v>
      </c>
      <c r="B1355" t="s">
        <v>6046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 s="367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 s="367">
        <v>0</v>
      </c>
      <c r="U1355">
        <v>0</v>
      </c>
      <c r="V1355">
        <v>0</v>
      </c>
      <c r="W1355">
        <v>0</v>
      </c>
      <c r="X1355">
        <v>1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</row>
    <row r="1356" spans="1:40">
      <c r="A1356">
        <v>8481</v>
      </c>
      <c r="B1356" t="s">
        <v>6047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 s="367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 s="367">
        <v>0</v>
      </c>
      <c r="U1356">
        <v>1</v>
      </c>
      <c r="V1356">
        <v>0</v>
      </c>
      <c r="W1356">
        <v>0</v>
      </c>
      <c r="X1356">
        <v>0</v>
      </c>
      <c r="Y1356">
        <v>5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1</v>
      </c>
      <c r="AL1356">
        <v>0</v>
      </c>
      <c r="AM1356" s="367" t="s">
        <v>3542</v>
      </c>
    </row>
    <row r="1357" spans="1:40">
      <c r="A1357">
        <v>8482</v>
      </c>
      <c r="B1357" t="s">
        <v>6048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 s="36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 s="367">
        <v>0</v>
      </c>
      <c r="U1357">
        <v>2</v>
      </c>
      <c r="V1357">
        <v>0</v>
      </c>
      <c r="W1357">
        <v>0</v>
      </c>
      <c r="X1357">
        <v>1</v>
      </c>
      <c r="Y1357">
        <v>6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2</v>
      </c>
      <c r="AL1357">
        <v>0</v>
      </c>
      <c r="AM1357" s="367" t="s">
        <v>3542</v>
      </c>
    </row>
    <row r="1358" spans="1:40">
      <c r="A1358">
        <v>8489</v>
      </c>
      <c r="B1358" t="s">
        <v>6050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 s="367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 s="367">
        <v>0</v>
      </c>
      <c r="U1358">
        <v>2</v>
      </c>
      <c r="V1358">
        <v>0</v>
      </c>
      <c r="W1358">
        <v>3</v>
      </c>
      <c r="X1358">
        <v>5</v>
      </c>
      <c r="Y1358">
        <v>2</v>
      </c>
      <c r="Z1358">
        <v>0</v>
      </c>
      <c r="AA1358">
        <v>0</v>
      </c>
      <c r="AB1358">
        <v>0</v>
      </c>
      <c r="AC1358">
        <v>5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2</v>
      </c>
      <c r="AL1358">
        <v>0</v>
      </c>
      <c r="AM1358" s="367" t="s">
        <v>6835</v>
      </c>
    </row>
    <row r="1359" spans="1:40">
      <c r="A1359">
        <v>8499</v>
      </c>
      <c r="B1359" t="s">
        <v>6051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 s="367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 s="367">
        <v>0</v>
      </c>
      <c r="U1359">
        <v>0</v>
      </c>
      <c r="V1359">
        <v>3</v>
      </c>
      <c r="W1359">
        <v>0</v>
      </c>
      <c r="X1359">
        <v>0</v>
      </c>
      <c r="Y1359">
        <v>2</v>
      </c>
      <c r="Z1359">
        <v>2</v>
      </c>
      <c r="AA1359">
        <v>0</v>
      </c>
      <c r="AB1359">
        <v>0</v>
      </c>
      <c r="AC1359">
        <v>0</v>
      </c>
      <c r="AD1359">
        <v>0</v>
      </c>
      <c r="AE1359">
        <v>7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3</v>
      </c>
      <c r="AN1359" s="367" t="s">
        <v>4718</v>
      </c>
    </row>
    <row r="1360" spans="1:40">
      <c r="A1360">
        <v>8905</v>
      </c>
      <c r="B1360" t="s">
        <v>6052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 s="367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 s="367">
        <v>0</v>
      </c>
      <c r="U1360">
        <v>0</v>
      </c>
      <c r="V1360">
        <v>0</v>
      </c>
      <c r="W1360">
        <v>1</v>
      </c>
      <c r="X1360">
        <v>0</v>
      </c>
      <c r="Y1360">
        <v>2</v>
      </c>
      <c r="Z1360">
        <v>0</v>
      </c>
      <c r="AA1360">
        <v>0</v>
      </c>
      <c r="AB1360">
        <v>0</v>
      </c>
      <c r="AC1360">
        <v>2</v>
      </c>
      <c r="AD1360">
        <v>0</v>
      </c>
      <c r="AE1360">
        <v>3</v>
      </c>
      <c r="AF1360">
        <v>0</v>
      </c>
      <c r="AG1360">
        <v>0</v>
      </c>
      <c r="AH1360">
        <v>0</v>
      </c>
      <c r="AI1360">
        <v>1</v>
      </c>
      <c r="AJ1360">
        <v>0</v>
      </c>
      <c r="AK1360">
        <v>0</v>
      </c>
      <c r="AL1360">
        <v>0</v>
      </c>
    </row>
    <row r="1361" spans="1:40">
      <c r="A1361">
        <v>8908</v>
      </c>
      <c r="B1361" t="s">
        <v>6053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 s="367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 s="367">
        <v>0</v>
      </c>
      <c r="U1361">
        <v>0</v>
      </c>
      <c r="V1361">
        <v>0</v>
      </c>
      <c r="W1361">
        <v>0</v>
      </c>
      <c r="X1361">
        <v>0</v>
      </c>
      <c r="Y1361">
        <v>1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</row>
    <row r="1362" spans="1:40">
      <c r="A1362">
        <v>8916</v>
      </c>
      <c r="B1362" t="s">
        <v>6054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 s="367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 s="367">
        <v>0</v>
      </c>
      <c r="U1362">
        <v>0</v>
      </c>
      <c r="V1362">
        <v>0</v>
      </c>
      <c r="W1362">
        <v>0</v>
      </c>
      <c r="X1362">
        <v>2</v>
      </c>
      <c r="Y1362">
        <v>0</v>
      </c>
      <c r="Z1362">
        <v>0</v>
      </c>
      <c r="AA1362">
        <v>0</v>
      </c>
      <c r="AB1362">
        <v>0</v>
      </c>
      <c r="AC1362">
        <v>0</v>
      </c>
      <c r="AD1362">
        <v>1</v>
      </c>
      <c r="AE1362">
        <v>0</v>
      </c>
      <c r="AF1362">
        <v>3</v>
      </c>
      <c r="AG1362">
        <v>1</v>
      </c>
      <c r="AH1362">
        <v>0</v>
      </c>
      <c r="AI1362">
        <v>1</v>
      </c>
      <c r="AJ1362">
        <v>0</v>
      </c>
      <c r="AK1362">
        <v>0</v>
      </c>
      <c r="AL1362">
        <v>0</v>
      </c>
    </row>
    <row r="1363" spans="1:40">
      <c r="A1363">
        <v>8924</v>
      </c>
      <c r="B1363" t="s">
        <v>6055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 s="367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 s="367">
        <v>0</v>
      </c>
      <c r="U1363">
        <v>0</v>
      </c>
      <c r="V1363">
        <v>2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6</v>
      </c>
      <c r="AE1363">
        <v>0</v>
      </c>
      <c r="AF1363">
        <v>1</v>
      </c>
      <c r="AG1363">
        <v>3</v>
      </c>
      <c r="AH1363">
        <v>0</v>
      </c>
      <c r="AI1363">
        <v>1</v>
      </c>
      <c r="AJ1363">
        <v>2</v>
      </c>
      <c r="AK1363">
        <v>0</v>
      </c>
      <c r="AL1363">
        <v>2</v>
      </c>
      <c r="AN1363" s="367" t="s">
        <v>6761</v>
      </c>
    </row>
    <row r="1364" spans="1:40">
      <c r="A1364">
        <v>8926</v>
      </c>
      <c r="B1364" t="s">
        <v>6056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 s="367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 s="367">
        <v>0</v>
      </c>
      <c r="U1364">
        <v>0</v>
      </c>
      <c r="V1364">
        <v>1</v>
      </c>
      <c r="W1364">
        <v>2</v>
      </c>
      <c r="X1364">
        <v>0</v>
      </c>
      <c r="Y1364">
        <v>0</v>
      </c>
      <c r="Z1364">
        <v>2</v>
      </c>
      <c r="AA1364">
        <v>0</v>
      </c>
      <c r="AB1364">
        <v>0</v>
      </c>
      <c r="AC1364">
        <v>0</v>
      </c>
      <c r="AD1364">
        <v>0</v>
      </c>
      <c r="AE1364">
        <v>3</v>
      </c>
      <c r="AF1364">
        <v>4</v>
      </c>
      <c r="AG1364">
        <v>0</v>
      </c>
      <c r="AH1364">
        <v>1</v>
      </c>
      <c r="AI1364">
        <v>5</v>
      </c>
      <c r="AJ1364">
        <v>0</v>
      </c>
      <c r="AK1364">
        <v>0</v>
      </c>
      <c r="AL1364">
        <v>1</v>
      </c>
      <c r="AN1364" s="367" t="s">
        <v>6775</v>
      </c>
    </row>
    <row r="1365" spans="1:40">
      <c r="A1365">
        <v>8927</v>
      </c>
      <c r="B1365" t="s">
        <v>6057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 s="367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 s="367">
        <v>0</v>
      </c>
      <c r="U1365">
        <v>0</v>
      </c>
      <c r="V1365">
        <v>0</v>
      </c>
      <c r="W1365">
        <v>0</v>
      </c>
      <c r="X1365">
        <v>1</v>
      </c>
      <c r="Y1365">
        <v>0</v>
      </c>
      <c r="Z1365">
        <v>3</v>
      </c>
      <c r="AA1365">
        <v>0</v>
      </c>
      <c r="AB1365">
        <v>0</v>
      </c>
      <c r="AC1365">
        <v>0</v>
      </c>
      <c r="AD1365">
        <v>1</v>
      </c>
      <c r="AE1365">
        <v>0</v>
      </c>
      <c r="AF1365">
        <v>4</v>
      </c>
      <c r="AG1365">
        <v>0</v>
      </c>
      <c r="AH1365">
        <v>0</v>
      </c>
      <c r="AI1365">
        <v>3</v>
      </c>
      <c r="AJ1365">
        <v>1</v>
      </c>
      <c r="AK1365">
        <v>0</v>
      </c>
      <c r="AL1365">
        <v>0</v>
      </c>
    </row>
    <row r="1366" spans="1:40">
      <c r="A1366">
        <v>8929</v>
      </c>
      <c r="B1366" t="s">
        <v>6059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 s="367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 s="367">
        <v>0</v>
      </c>
      <c r="U1366">
        <v>0</v>
      </c>
      <c r="V1366">
        <v>5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9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5</v>
      </c>
      <c r="AN1366" s="367" t="s">
        <v>6761</v>
      </c>
    </row>
    <row r="1367" spans="1:40">
      <c r="A1367">
        <v>8930</v>
      </c>
      <c r="B1367" t="s">
        <v>6163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 s="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 s="367">
        <v>0</v>
      </c>
      <c r="U1367">
        <v>0</v>
      </c>
      <c r="V1367">
        <v>0</v>
      </c>
      <c r="W1367">
        <v>1</v>
      </c>
      <c r="X1367">
        <v>0</v>
      </c>
      <c r="Y1367">
        <v>2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3</v>
      </c>
      <c r="AF1367">
        <v>0</v>
      </c>
      <c r="AG1367">
        <v>0</v>
      </c>
      <c r="AH1367">
        <v>0</v>
      </c>
      <c r="AI1367">
        <v>0</v>
      </c>
      <c r="AJ1367">
        <v>1</v>
      </c>
      <c r="AK1367">
        <v>0</v>
      </c>
      <c r="AL1367">
        <v>0</v>
      </c>
    </row>
    <row r="1368" spans="1:40">
      <c r="A1368">
        <v>8931</v>
      </c>
      <c r="B1368" t="s">
        <v>6060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 s="367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 s="367">
        <v>0</v>
      </c>
      <c r="U1368">
        <v>0</v>
      </c>
      <c r="V1368">
        <v>0</v>
      </c>
      <c r="W1368">
        <v>0</v>
      </c>
      <c r="X1368">
        <v>3</v>
      </c>
      <c r="Y1368">
        <v>0</v>
      </c>
      <c r="Z1368">
        <v>0</v>
      </c>
      <c r="AA1368">
        <v>0</v>
      </c>
      <c r="AB1368">
        <v>0</v>
      </c>
      <c r="AC1368">
        <v>1</v>
      </c>
      <c r="AD1368">
        <v>1</v>
      </c>
      <c r="AE1368">
        <v>0</v>
      </c>
      <c r="AF1368">
        <v>1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</row>
    <row r="1369" spans="1:40">
      <c r="A1369">
        <v>8932</v>
      </c>
      <c r="B1369" t="s">
        <v>6301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 s="367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 s="367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1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</row>
    <row r="1370" spans="1:40">
      <c r="A1370">
        <v>8933</v>
      </c>
      <c r="B1370" t="s">
        <v>6672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 s="367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 s="367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3</v>
      </c>
      <c r="AE1370">
        <v>0</v>
      </c>
      <c r="AF1370">
        <v>1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</row>
    <row r="1371" spans="1:40">
      <c r="A1371">
        <v>8936</v>
      </c>
      <c r="B1371" t="s">
        <v>6061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 s="367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 s="367">
        <v>0</v>
      </c>
      <c r="U1371">
        <v>0</v>
      </c>
      <c r="V1371">
        <v>5</v>
      </c>
      <c r="W1371">
        <v>0</v>
      </c>
      <c r="X1371">
        <v>1</v>
      </c>
      <c r="Y1371">
        <v>0</v>
      </c>
      <c r="Z1371">
        <v>0</v>
      </c>
      <c r="AA1371">
        <v>0</v>
      </c>
      <c r="AB1371">
        <v>0</v>
      </c>
      <c r="AC1371">
        <v>1</v>
      </c>
      <c r="AD1371">
        <v>9</v>
      </c>
      <c r="AE1371">
        <v>0</v>
      </c>
      <c r="AF1371">
        <v>3</v>
      </c>
      <c r="AG1371">
        <v>0</v>
      </c>
      <c r="AH1371">
        <v>0</v>
      </c>
      <c r="AI1371">
        <v>1</v>
      </c>
      <c r="AJ1371">
        <v>0</v>
      </c>
      <c r="AK1371">
        <v>0</v>
      </c>
      <c r="AL1371">
        <v>5</v>
      </c>
      <c r="AN1371" s="367" t="s">
        <v>6761</v>
      </c>
    </row>
    <row r="1372" spans="1:40">
      <c r="A1372">
        <v>8938</v>
      </c>
      <c r="B1372" t="s">
        <v>6062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 s="367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 s="367">
        <v>0</v>
      </c>
      <c r="U1372">
        <v>0</v>
      </c>
      <c r="V1372">
        <v>1</v>
      </c>
      <c r="W1372">
        <v>1</v>
      </c>
      <c r="X1372">
        <v>0</v>
      </c>
      <c r="Y1372">
        <v>1</v>
      </c>
      <c r="Z1372">
        <v>1</v>
      </c>
      <c r="AA1372">
        <v>0</v>
      </c>
      <c r="AB1372">
        <v>0</v>
      </c>
      <c r="AC1372">
        <v>0</v>
      </c>
      <c r="AD1372">
        <v>0</v>
      </c>
      <c r="AE1372">
        <v>5</v>
      </c>
      <c r="AF1372">
        <v>0</v>
      </c>
      <c r="AG1372">
        <v>0</v>
      </c>
      <c r="AH1372">
        <v>0</v>
      </c>
      <c r="AI1372">
        <v>3</v>
      </c>
      <c r="AJ1372">
        <v>1</v>
      </c>
      <c r="AK1372">
        <v>0</v>
      </c>
      <c r="AL1372">
        <v>1</v>
      </c>
      <c r="AN1372" s="367" t="s">
        <v>4718</v>
      </c>
    </row>
    <row r="1373" spans="1:40">
      <c r="A1373">
        <v>8942</v>
      </c>
      <c r="B1373" t="s">
        <v>6063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 s="367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 s="367">
        <v>0</v>
      </c>
      <c r="U1373">
        <v>0</v>
      </c>
      <c r="V1373">
        <v>0</v>
      </c>
      <c r="W1373">
        <v>3</v>
      </c>
      <c r="X1373">
        <v>0</v>
      </c>
      <c r="Y1373">
        <v>2</v>
      </c>
      <c r="Z1373">
        <v>1</v>
      </c>
      <c r="AA1373">
        <v>0</v>
      </c>
      <c r="AB1373">
        <v>0</v>
      </c>
      <c r="AC1373">
        <v>0</v>
      </c>
      <c r="AD1373">
        <v>0</v>
      </c>
      <c r="AE1373">
        <v>1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</row>
    <row r="1374" spans="1:40">
      <c r="A1374">
        <v>8996</v>
      </c>
      <c r="B1374" t="s">
        <v>6064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 s="367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 s="367">
        <v>0</v>
      </c>
      <c r="U1374">
        <v>0</v>
      </c>
      <c r="V1374">
        <v>0</v>
      </c>
      <c r="W1374">
        <v>0</v>
      </c>
      <c r="X1374">
        <v>0</v>
      </c>
      <c r="Y1374">
        <v>2</v>
      </c>
      <c r="Z1374">
        <v>0</v>
      </c>
      <c r="AA1374">
        <v>0</v>
      </c>
      <c r="AB1374">
        <v>1</v>
      </c>
      <c r="AC1374">
        <v>0</v>
      </c>
      <c r="AD1374">
        <v>1</v>
      </c>
      <c r="AE1374">
        <v>4</v>
      </c>
      <c r="AF1374">
        <v>0</v>
      </c>
      <c r="AG1374">
        <v>2</v>
      </c>
      <c r="AH1374">
        <v>0</v>
      </c>
      <c r="AI1374">
        <v>0</v>
      </c>
      <c r="AJ1374">
        <v>0</v>
      </c>
      <c r="AK1374">
        <v>0</v>
      </c>
      <c r="AL1374">
        <v>0</v>
      </c>
    </row>
    <row r="1375" spans="1:40">
      <c r="A1375">
        <v>9802</v>
      </c>
      <c r="B1375" t="s">
        <v>6065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 s="367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 s="367">
        <v>0</v>
      </c>
      <c r="U1375">
        <v>0</v>
      </c>
      <c r="V1375">
        <v>0</v>
      </c>
      <c r="W1375">
        <v>3</v>
      </c>
      <c r="X1375">
        <v>0</v>
      </c>
      <c r="Y1375">
        <v>0</v>
      </c>
      <c r="Z1375">
        <v>0</v>
      </c>
      <c r="AA1375">
        <v>2</v>
      </c>
      <c r="AB1375">
        <v>0</v>
      </c>
      <c r="AC1375">
        <v>0</v>
      </c>
      <c r="AD1375">
        <v>0</v>
      </c>
      <c r="AE1375">
        <v>3</v>
      </c>
      <c r="AF1375">
        <v>1</v>
      </c>
      <c r="AG1375">
        <v>1</v>
      </c>
      <c r="AH1375">
        <v>0</v>
      </c>
      <c r="AI1375">
        <v>3</v>
      </c>
      <c r="AJ1375">
        <v>3</v>
      </c>
      <c r="AK1375">
        <v>0</v>
      </c>
      <c r="AL1375">
        <v>0</v>
      </c>
    </row>
    <row r="1376" spans="1:40">
      <c r="A1376">
        <v>9902</v>
      </c>
      <c r="B1376" t="s">
        <v>6066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 s="367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 s="367">
        <v>0</v>
      </c>
      <c r="U1376">
        <v>0</v>
      </c>
      <c r="V1376">
        <v>0</v>
      </c>
      <c r="W1376">
        <v>0</v>
      </c>
      <c r="X1376">
        <v>0</v>
      </c>
      <c r="Y1376">
        <v>2</v>
      </c>
      <c r="Z1376">
        <v>2</v>
      </c>
      <c r="AA1376">
        <v>0</v>
      </c>
      <c r="AB1376">
        <v>0</v>
      </c>
      <c r="AC1376">
        <v>0</v>
      </c>
      <c r="AD1376">
        <v>0</v>
      </c>
      <c r="AE1376">
        <v>2</v>
      </c>
      <c r="AF1376">
        <v>0</v>
      </c>
      <c r="AG1376">
        <v>0</v>
      </c>
      <c r="AH1376">
        <v>0</v>
      </c>
      <c r="AI1376">
        <v>1</v>
      </c>
      <c r="AJ1376">
        <v>0</v>
      </c>
      <c r="AK1376">
        <v>0</v>
      </c>
      <c r="AL1376">
        <v>0</v>
      </c>
    </row>
    <row r="1377" spans="1:40">
      <c r="A1377">
        <v>9904</v>
      </c>
      <c r="B1377" t="s">
        <v>6067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 s="36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 s="367">
        <v>0</v>
      </c>
      <c r="U1377">
        <v>0</v>
      </c>
      <c r="V1377">
        <v>0</v>
      </c>
      <c r="W1377">
        <v>1</v>
      </c>
      <c r="X1377">
        <v>1</v>
      </c>
      <c r="Y1377">
        <v>0</v>
      </c>
      <c r="Z1377">
        <v>0</v>
      </c>
      <c r="AA1377">
        <v>2</v>
      </c>
      <c r="AB1377">
        <v>1</v>
      </c>
      <c r="AC1377">
        <v>1</v>
      </c>
      <c r="AD1377">
        <v>0</v>
      </c>
      <c r="AE1377">
        <v>0</v>
      </c>
      <c r="AF1377">
        <v>4</v>
      </c>
      <c r="AG1377">
        <v>1</v>
      </c>
      <c r="AH1377">
        <v>0</v>
      </c>
      <c r="AI1377">
        <v>0</v>
      </c>
      <c r="AJ1377">
        <v>0</v>
      </c>
      <c r="AK1377">
        <v>0</v>
      </c>
      <c r="AL1377">
        <v>0</v>
      </c>
    </row>
    <row r="1378" spans="1:40">
      <c r="A1378">
        <v>9905</v>
      </c>
      <c r="B1378" t="s">
        <v>6068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 s="367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 s="367">
        <v>0</v>
      </c>
      <c r="U1378">
        <v>0</v>
      </c>
      <c r="V1378">
        <v>15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7</v>
      </c>
      <c r="AE1378">
        <v>1</v>
      </c>
      <c r="AF1378">
        <v>16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15</v>
      </c>
      <c r="AN1378" s="367" t="s">
        <v>6785</v>
      </c>
    </row>
    <row r="1379" spans="1:40">
      <c r="A1379">
        <v>9906</v>
      </c>
      <c r="B1379" t="s">
        <v>6069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 s="367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 s="367">
        <v>0</v>
      </c>
      <c r="U1379">
        <v>0</v>
      </c>
      <c r="V1379">
        <v>0</v>
      </c>
      <c r="W1379">
        <v>0</v>
      </c>
      <c r="X1379">
        <v>0</v>
      </c>
      <c r="Y1379">
        <v>1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1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</row>
    <row r="1380" spans="1:40">
      <c r="A1380">
        <v>9907</v>
      </c>
      <c r="B1380" t="s">
        <v>6070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 s="367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 s="367">
        <v>0</v>
      </c>
      <c r="U1380">
        <v>0</v>
      </c>
      <c r="V1380">
        <v>0</v>
      </c>
      <c r="W1380">
        <v>2</v>
      </c>
      <c r="X1380">
        <v>1</v>
      </c>
      <c r="Y1380">
        <v>2</v>
      </c>
      <c r="Z1380">
        <v>3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2</v>
      </c>
      <c r="AK1380">
        <v>0</v>
      </c>
      <c r="AL1380">
        <v>0</v>
      </c>
    </row>
    <row r="1381" spans="1:40">
      <c r="A1381">
        <v>9908</v>
      </c>
      <c r="B1381" t="s">
        <v>6071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 s="367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 s="367">
        <v>0</v>
      </c>
      <c r="U1381">
        <v>0</v>
      </c>
      <c r="V1381">
        <v>6</v>
      </c>
      <c r="W1381">
        <v>0</v>
      </c>
      <c r="X1381">
        <v>0</v>
      </c>
      <c r="Y1381">
        <v>2</v>
      </c>
      <c r="Z1381">
        <v>2</v>
      </c>
      <c r="AA1381">
        <v>0</v>
      </c>
      <c r="AB1381">
        <v>0</v>
      </c>
      <c r="AC1381">
        <v>0</v>
      </c>
      <c r="AD1381">
        <v>10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6</v>
      </c>
      <c r="AN1381" s="367" t="s">
        <v>6761</v>
      </c>
    </row>
    <row r="1382" spans="1:40">
      <c r="A1382">
        <v>9910</v>
      </c>
      <c r="B1382" t="s">
        <v>6072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 s="367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 s="367">
        <v>0</v>
      </c>
      <c r="U1382">
        <v>0</v>
      </c>
      <c r="V1382">
        <v>3</v>
      </c>
      <c r="W1382">
        <v>2</v>
      </c>
      <c r="X1382">
        <v>0</v>
      </c>
      <c r="Y1382">
        <v>0</v>
      </c>
      <c r="Z1382">
        <v>2</v>
      </c>
      <c r="AA1382">
        <v>3</v>
      </c>
      <c r="AB1382">
        <v>0</v>
      </c>
      <c r="AC1382">
        <v>1</v>
      </c>
      <c r="AD1382">
        <v>0</v>
      </c>
      <c r="AE1382">
        <v>2</v>
      </c>
      <c r="AF1382">
        <v>7</v>
      </c>
      <c r="AG1382">
        <v>0</v>
      </c>
      <c r="AH1382">
        <v>0</v>
      </c>
      <c r="AI1382">
        <v>2</v>
      </c>
      <c r="AJ1382">
        <v>0</v>
      </c>
      <c r="AK1382">
        <v>0</v>
      </c>
      <c r="AL1382">
        <v>3</v>
      </c>
      <c r="AN1382" s="367" t="s">
        <v>3542</v>
      </c>
    </row>
    <row r="1383" spans="1:40">
      <c r="A1383">
        <v>9911</v>
      </c>
      <c r="B1383" t="s">
        <v>6073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 s="367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 s="367">
        <v>0</v>
      </c>
      <c r="U1383">
        <v>0</v>
      </c>
      <c r="V1383">
        <v>5</v>
      </c>
      <c r="W1383">
        <v>0</v>
      </c>
      <c r="X1383">
        <v>1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5</v>
      </c>
      <c r="AE1383">
        <v>0</v>
      </c>
      <c r="AF1383">
        <v>8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5</v>
      </c>
      <c r="AN1383" s="367" t="s">
        <v>6785</v>
      </c>
    </row>
    <row r="1384" spans="1:40">
      <c r="A1384">
        <v>9914</v>
      </c>
      <c r="B1384" t="s">
        <v>6074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 s="367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 s="367">
        <v>0</v>
      </c>
      <c r="U1384">
        <v>0</v>
      </c>
      <c r="V1384">
        <v>4</v>
      </c>
      <c r="W1384">
        <v>2</v>
      </c>
      <c r="X1384">
        <v>0</v>
      </c>
      <c r="Y1384">
        <v>1</v>
      </c>
      <c r="Z1384">
        <v>0</v>
      </c>
      <c r="AA1384">
        <v>0</v>
      </c>
      <c r="AB1384">
        <v>3</v>
      </c>
      <c r="AC1384">
        <v>0</v>
      </c>
      <c r="AD1384">
        <v>0</v>
      </c>
      <c r="AE1384">
        <v>3</v>
      </c>
      <c r="AF1384">
        <v>0</v>
      </c>
      <c r="AG1384">
        <v>8</v>
      </c>
      <c r="AH1384">
        <v>0</v>
      </c>
      <c r="AI1384">
        <v>0</v>
      </c>
      <c r="AJ1384">
        <v>1</v>
      </c>
      <c r="AK1384">
        <v>0</v>
      </c>
      <c r="AL1384">
        <v>4</v>
      </c>
      <c r="AN1384" s="367" t="s">
        <v>3543</v>
      </c>
    </row>
    <row r="1385" spans="1:40">
      <c r="A1385">
        <v>9917</v>
      </c>
      <c r="B1385" t="s">
        <v>6075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 s="367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 s="367">
        <v>0</v>
      </c>
      <c r="U1385">
        <v>0</v>
      </c>
      <c r="V1385">
        <v>0</v>
      </c>
      <c r="W1385">
        <v>0</v>
      </c>
      <c r="X1385">
        <v>0</v>
      </c>
      <c r="Y1385">
        <v>2</v>
      </c>
      <c r="Z1385">
        <v>3</v>
      </c>
      <c r="AA1385">
        <v>0</v>
      </c>
      <c r="AB1385">
        <v>0</v>
      </c>
      <c r="AC1385">
        <v>0</v>
      </c>
      <c r="AD1385">
        <v>3</v>
      </c>
      <c r="AE1385">
        <v>1</v>
      </c>
      <c r="AF1385">
        <v>0</v>
      </c>
      <c r="AG1385">
        <v>0</v>
      </c>
      <c r="AH1385">
        <v>1</v>
      </c>
      <c r="AI1385">
        <v>1</v>
      </c>
      <c r="AJ1385">
        <v>0</v>
      </c>
      <c r="AK1385">
        <v>0</v>
      </c>
      <c r="AL1385">
        <v>0</v>
      </c>
    </row>
    <row r="1386" spans="1:40">
      <c r="A1386">
        <v>9918</v>
      </c>
      <c r="B1386" t="s">
        <v>6076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 s="367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 s="367">
        <v>0</v>
      </c>
      <c r="U1386">
        <v>0</v>
      </c>
      <c r="V1386">
        <v>0</v>
      </c>
      <c r="W1386">
        <v>0</v>
      </c>
      <c r="X1386">
        <v>0</v>
      </c>
      <c r="Y1386">
        <v>2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</row>
    <row r="1387" spans="1:40">
      <c r="A1387">
        <v>9919</v>
      </c>
      <c r="B1387" t="s">
        <v>6077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 s="36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 s="367">
        <v>0</v>
      </c>
      <c r="U1387">
        <v>0</v>
      </c>
      <c r="V1387">
        <v>0</v>
      </c>
      <c r="W1387">
        <v>1</v>
      </c>
      <c r="X1387">
        <v>2</v>
      </c>
      <c r="Y1387">
        <v>3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1</v>
      </c>
      <c r="AJ1387">
        <v>1</v>
      </c>
      <c r="AK1387">
        <v>0</v>
      </c>
      <c r="AL1387">
        <v>0</v>
      </c>
    </row>
    <row r="1388" spans="1:40">
      <c r="A1388">
        <v>9921</v>
      </c>
      <c r="B1388" t="s">
        <v>6078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 s="367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 s="367">
        <v>0</v>
      </c>
      <c r="U1388">
        <v>0</v>
      </c>
      <c r="V1388">
        <v>0</v>
      </c>
      <c r="W1388">
        <v>2</v>
      </c>
      <c r="X1388">
        <v>0</v>
      </c>
      <c r="Y1388">
        <v>0</v>
      </c>
      <c r="Z1388">
        <v>1</v>
      </c>
      <c r="AA1388">
        <v>2</v>
      </c>
      <c r="AB1388">
        <v>0</v>
      </c>
      <c r="AC1388">
        <v>0</v>
      </c>
      <c r="AD1388">
        <v>0</v>
      </c>
      <c r="AE1388">
        <v>2</v>
      </c>
      <c r="AF1388">
        <v>1</v>
      </c>
      <c r="AG1388">
        <v>0</v>
      </c>
      <c r="AH1388">
        <v>0</v>
      </c>
      <c r="AI1388">
        <v>4</v>
      </c>
      <c r="AJ1388">
        <v>1</v>
      </c>
      <c r="AK1388">
        <v>0</v>
      </c>
      <c r="AL1388">
        <v>0</v>
      </c>
    </row>
    <row r="1389" spans="1:40">
      <c r="A1389">
        <v>9924</v>
      </c>
      <c r="B1389" t="s">
        <v>6079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 s="367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 s="367">
        <v>0</v>
      </c>
      <c r="U1389">
        <v>0</v>
      </c>
      <c r="V1389">
        <v>0</v>
      </c>
      <c r="W1389">
        <v>2</v>
      </c>
      <c r="X1389">
        <v>1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4</v>
      </c>
      <c r="AG1389">
        <v>1</v>
      </c>
      <c r="AH1389">
        <v>0</v>
      </c>
      <c r="AI1389">
        <v>1</v>
      </c>
      <c r="AJ1389">
        <v>0</v>
      </c>
      <c r="AK1389">
        <v>0</v>
      </c>
      <c r="AL1389">
        <v>0</v>
      </c>
    </row>
    <row r="1390" spans="1:40">
      <c r="A1390">
        <v>9925</v>
      </c>
      <c r="B1390" t="s">
        <v>6080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 s="367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 s="367">
        <v>0</v>
      </c>
      <c r="U1390">
        <v>0</v>
      </c>
      <c r="V1390">
        <v>5</v>
      </c>
      <c r="W1390">
        <v>0</v>
      </c>
      <c r="X1390">
        <v>0</v>
      </c>
      <c r="Y1390">
        <v>0</v>
      </c>
      <c r="Z1390">
        <v>2</v>
      </c>
      <c r="AA1390">
        <v>0</v>
      </c>
      <c r="AB1390">
        <v>0</v>
      </c>
      <c r="AC1390">
        <v>0</v>
      </c>
      <c r="AD1390">
        <v>9</v>
      </c>
      <c r="AE1390">
        <v>0</v>
      </c>
      <c r="AF1390">
        <v>4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5</v>
      </c>
      <c r="AN1390" s="367" t="s">
        <v>6761</v>
      </c>
    </row>
    <row r="1391" spans="1:40">
      <c r="A1391">
        <v>9926</v>
      </c>
      <c r="B1391" t="s">
        <v>6081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 s="367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 s="367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</row>
    <row r="1392" spans="1:40">
      <c r="A1392">
        <v>9927</v>
      </c>
      <c r="B1392" t="s">
        <v>6082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 s="367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 s="367">
        <v>0</v>
      </c>
      <c r="U1392">
        <v>0</v>
      </c>
      <c r="V1392">
        <v>1</v>
      </c>
      <c r="W1392">
        <v>0</v>
      </c>
      <c r="X1392">
        <v>0</v>
      </c>
      <c r="Y1392">
        <v>0</v>
      </c>
      <c r="Z1392">
        <v>1</v>
      </c>
      <c r="AA1392">
        <v>0</v>
      </c>
      <c r="AB1392">
        <v>0</v>
      </c>
      <c r="AC1392">
        <v>1</v>
      </c>
      <c r="AD1392">
        <v>5</v>
      </c>
      <c r="AE1392">
        <v>3</v>
      </c>
      <c r="AF1392">
        <v>1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1</v>
      </c>
      <c r="AN1392" s="367" t="s">
        <v>6761</v>
      </c>
    </row>
    <row r="1393" spans="1:40">
      <c r="A1393">
        <v>9930</v>
      </c>
      <c r="B1393" t="s">
        <v>6083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 s="367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 s="367">
        <v>0</v>
      </c>
      <c r="U1393">
        <v>0</v>
      </c>
      <c r="V1393">
        <v>0</v>
      </c>
      <c r="W1393">
        <v>1</v>
      </c>
      <c r="X1393">
        <v>0</v>
      </c>
      <c r="Y1393">
        <v>0</v>
      </c>
      <c r="Z1393">
        <v>2</v>
      </c>
      <c r="AA1393">
        <v>0</v>
      </c>
      <c r="AB1393">
        <v>0</v>
      </c>
      <c r="AC1393">
        <v>0</v>
      </c>
      <c r="AD1393">
        <v>0</v>
      </c>
      <c r="AE1393">
        <v>1</v>
      </c>
      <c r="AF1393">
        <v>1</v>
      </c>
      <c r="AG1393">
        <v>0</v>
      </c>
      <c r="AH1393">
        <v>0</v>
      </c>
      <c r="AI1393">
        <v>3</v>
      </c>
      <c r="AJ1393">
        <v>0</v>
      </c>
      <c r="AK1393">
        <v>0</v>
      </c>
      <c r="AL1393">
        <v>0</v>
      </c>
    </row>
    <row r="1394" spans="1:40">
      <c r="A1394">
        <v>9931</v>
      </c>
      <c r="B1394" t="s">
        <v>6084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 s="367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 s="367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</row>
    <row r="1395" spans="1:40">
      <c r="A1395">
        <v>9933</v>
      </c>
      <c r="B1395" t="s">
        <v>6085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 s="367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 s="367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1</v>
      </c>
      <c r="AA1395">
        <v>0</v>
      </c>
      <c r="AB1395">
        <v>0</v>
      </c>
      <c r="AC1395">
        <v>0</v>
      </c>
      <c r="AD1395">
        <v>1</v>
      </c>
      <c r="AE1395">
        <v>1</v>
      </c>
      <c r="AF1395">
        <v>2</v>
      </c>
      <c r="AG1395">
        <v>0</v>
      </c>
      <c r="AH1395">
        <v>0</v>
      </c>
      <c r="AI1395">
        <v>2</v>
      </c>
      <c r="AJ1395">
        <v>0</v>
      </c>
      <c r="AK1395">
        <v>0</v>
      </c>
      <c r="AL1395">
        <v>0</v>
      </c>
    </row>
    <row r="1396" spans="1:40">
      <c r="A1396">
        <v>9934</v>
      </c>
      <c r="B1396" t="s">
        <v>6086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 s="367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 s="367">
        <v>0</v>
      </c>
      <c r="U1396">
        <v>5</v>
      </c>
      <c r="V1396">
        <v>0</v>
      </c>
      <c r="W1396">
        <v>1</v>
      </c>
      <c r="X1396">
        <v>9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1</v>
      </c>
      <c r="AG1396">
        <v>0</v>
      </c>
      <c r="AH1396">
        <v>0</v>
      </c>
      <c r="AI1396">
        <v>0</v>
      </c>
      <c r="AJ1396">
        <v>0</v>
      </c>
      <c r="AK1396">
        <v>5</v>
      </c>
      <c r="AL1396">
        <v>0</v>
      </c>
      <c r="AM1396" s="367" t="s">
        <v>4718</v>
      </c>
    </row>
    <row r="1397" spans="1:40">
      <c r="A1397">
        <v>9935</v>
      </c>
      <c r="B1397" t="s">
        <v>6087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 s="36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 s="367">
        <v>0</v>
      </c>
      <c r="U1397">
        <v>0</v>
      </c>
      <c r="V1397">
        <v>0</v>
      </c>
      <c r="W1397">
        <v>0</v>
      </c>
      <c r="X1397">
        <v>1</v>
      </c>
      <c r="Y1397">
        <v>4</v>
      </c>
      <c r="Z1397">
        <v>3</v>
      </c>
      <c r="AA1397">
        <v>0</v>
      </c>
      <c r="AB1397">
        <v>0</v>
      </c>
      <c r="AC1397">
        <v>0</v>
      </c>
      <c r="AD1397">
        <v>1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</row>
    <row r="1398" spans="1:40">
      <c r="A1398">
        <v>9937</v>
      </c>
      <c r="B1398" t="s">
        <v>6088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 s="367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 s="367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</row>
    <row r="1399" spans="1:40">
      <c r="A1399">
        <v>9938</v>
      </c>
      <c r="B1399" t="s">
        <v>6089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 s="367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 s="367">
        <v>0</v>
      </c>
      <c r="U1399">
        <v>0</v>
      </c>
      <c r="V1399">
        <v>0</v>
      </c>
      <c r="W1399">
        <v>2</v>
      </c>
      <c r="X1399">
        <v>0</v>
      </c>
      <c r="Y1399">
        <v>2</v>
      </c>
      <c r="Z1399">
        <v>0</v>
      </c>
      <c r="AA1399">
        <v>0</v>
      </c>
      <c r="AB1399">
        <v>3</v>
      </c>
      <c r="AC1399">
        <v>3</v>
      </c>
      <c r="AD1399">
        <v>0</v>
      </c>
      <c r="AE1399">
        <v>1</v>
      </c>
      <c r="AF1399">
        <v>0</v>
      </c>
      <c r="AG1399">
        <v>1</v>
      </c>
      <c r="AH1399">
        <v>0</v>
      </c>
      <c r="AI1399">
        <v>0</v>
      </c>
      <c r="AJ1399">
        <v>0</v>
      </c>
      <c r="AK1399">
        <v>0</v>
      </c>
      <c r="AL1399">
        <v>0</v>
      </c>
    </row>
    <row r="1400" spans="1:40">
      <c r="A1400">
        <v>9939</v>
      </c>
      <c r="B1400" t="s">
        <v>6090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 s="367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 s="367">
        <v>0</v>
      </c>
      <c r="U1400">
        <v>0</v>
      </c>
      <c r="V1400">
        <v>0</v>
      </c>
      <c r="W1400">
        <v>0</v>
      </c>
      <c r="X1400">
        <v>1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1</v>
      </c>
      <c r="AE1400">
        <v>0</v>
      </c>
      <c r="AF1400">
        <v>1</v>
      </c>
      <c r="AG1400">
        <v>4</v>
      </c>
      <c r="AH1400">
        <v>0</v>
      </c>
      <c r="AI1400">
        <v>1</v>
      </c>
      <c r="AJ1400">
        <v>0</v>
      </c>
      <c r="AK1400">
        <v>0</v>
      </c>
      <c r="AL1400">
        <v>0</v>
      </c>
    </row>
    <row r="1401" spans="1:40">
      <c r="A1401">
        <v>9940</v>
      </c>
      <c r="B1401" t="s">
        <v>6091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 s="367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 s="367">
        <v>0</v>
      </c>
      <c r="U1401">
        <v>0</v>
      </c>
      <c r="V1401">
        <v>0</v>
      </c>
      <c r="W1401">
        <v>0</v>
      </c>
      <c r="X1401">
        <v>4</v>
      </c>
      <c r="Y1401">
        <v>2</v>
      </c>
      <c r="Z1401">
        <v>3</v>
      </c>
      <c r="AA1401">
        <v>0</v>
      </c>
      <c r="AB1401">
        <v>1</v>
      </c>
      <c r="AC1401">
        <v>0</v>
      </c>
      <c r="AD1401">
        <v>4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</row>
    <row r="1402" spans="1:40">
      <c r="A1402">
        <v>9941</v>
      </c>
      <c r="B1402" t="s">
        <v>6092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 s="367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 s="367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3</v>
      </c>
      <c r="AA1402">
        <v>0</v>
      </c>
      <c r="AB1402">
        <v>1</v>
      </c>
      <c r="AC1402">
        <v>2</v>
      </c>
      <c r="AD1402">
        <v>2</v>
      </c>
      <c r="AE1402">
        <v>1</v>
      </c>
      <c r="AF1402">
        <v>2</v>
      </c>
      <c r="AG1402">
        <v>0</v>
      </c>
      <c r="AH1402">
        <v>1</v>
      </c>
      <c r="AI1402">
        <v>0</v>
      </c>
      <c r="AJ1402">
        <v>0</v>
      </c>
      <c r="AK1402">
        <v>0</v>
      </c>
      <c r="AL1402">
        <v>0</v>
      </c>
    </row>
    <row r="1403" spans="1:40">
      <c r="A1403">
        <v>9942</v>
      </c>
      <c r="B1403" t="s">
        <v>6093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 s="367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 s="367">
        <v>0</v>
      </c>
      <c r="U1403">
        <v>0</v>
      </c>
      <c r="V1403">
        <v>0</v>
      </c>
      <c r="W1403">
        <v>1</v>
      </c>
      <c r="X1403">
        <v>0</v>
      </c>
      <c r="Y1403">
        <v>2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</row>
    <row r="1404" spans="1:40">
      <c r="A1404">
        <v>9943</v>
      </c>
      <c r="B1404" t="s">
        <v>6094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 s="367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 s="367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1</v>
      </c>
      <c r="AG1404">
        <v>0</v>
      </c>
      <c r="AH1404">
        <v>0</v>
      </c>
      <c r="AI1404">
        <v>4</v>
      </c>
      <c r="AJ1404">
        <v>0</v>
      </c>
      <c r="AK1404">
        <v>0</v>
      </c>
      <c r="AL1404">
        <v>0</v>
      </c>
    </row>
    <row r="1405" spans="1:40">
      <c r="A1405">
        <v>9944</v>
      </c>
      <c r="B1405" t="s">
        <v>6095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 s="367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 s="367">
        <v>0</v>
      </c>
      <c r="U1405">
        <v>3</v>
      </c>
      <c r="V1405">
        <v>0</v>
      </c>
      <c r="W1405">
        <v>0</v>
      </c>
      <c r="X1405">
        <v>7</v>
      </c>
      <c r="Y1405">
        <v>1</v>
      </c>
      <c r="Z1405">
        <v>0</v>
      </c>
      <c r="AA1405">
        <v>0</v>
      </c>
      <c r="AB1405">
        <v>0</v>
      </c>
      <c r="AC1405">
        <v>0</v>
      </c>
      <c r="AD1405">
        <v>3</v>
      </c>
      <c r="AE1405">
        <v>0</v>
      </c>
      <c r="AF1405">
        <v>0</v>
      </c>
      <c r="AG1405">
        <v>1</v>
      </c>
      <c r="AH1405">
        <v>0</v>
      </c>
      <c r="AI1405">
        <v>0</v>
      </c>
      <c r="AJ1405">
        <v>0</v>
      </c>
      <c r="AK1405">
        <v>3</v>
      </c>
      <c r="AL1405">
        <v>0</v>
      </c>
      <c r="AM1405" s="367" t="s">
        <v>4718</v>
      </c>
    </row>
    <row r="1406" spans="1:40">
      <c r="A1406">
        <v>9945</v>
      </c>
      <c r="B1406" t="s">
        <v>6096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 s="367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 s="367">
        <v>0</v>
      </c>
      <c r="U1406">
        <v>0</v>
      </c>
      <c r="V1406">
        <v>8</v>
      </c>
      <c r="W1406">
        <v>0</v>
      </c>
      <c r="X1406">
        <v>2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8</v>
      </c>
      <c r="AE1406">
        <v>0</v>
      </c>
      <c r="AF1406">
        <v>8</v>
      </c>
      <c r="AG1406">
        <v>1</v>
      </c>
      <c r="AH1406">
        <v>1</v>
      </c>
      <c r="AI1406">
        <v>1</v>
      </c>
      <c r="AJ1406">
        <v>1</v>
      </c>
      <c r="AK1406">
        <v>0</v>
      </c>
      <c r="AL1406">
        <v>8</v>
      </c>
      <c r="AN1406" s="367" t="s">
        <v>6785</v>
      </c>
    </row>
    <row r="1407" spans="1:40">
      <c r="A1407">
        <v>9946</v>
      </c>
      <c r="B1407" t="s">
        <v>6097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 s="36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 s="367">
        <v>0</v>
      </c>
      <c r="U1407">
        <v>0</v>
      </c>
      <c r="V1407">
        <v>0</v>
      </c>
      <c r="W1407">
        <v>2</v>
      </c>
      <c r="X1407">
        <v>0</v>
      </c>
      <c r="Y1407">
        <v>1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3</v>
      </c>
      <c r="AJ1407">
        <v>0</v>
      </c>
      <c r="AK1407">
        <v>0</v>
      </c>
      <c r="AL1407">
        <v>0</v>
      </c>
    </row>
    <row r="1408" spans="1:40">
      <c r="A1408">
        <v>9951</v>
      </c>
      <c r="B1408" t="s">
        <v>6098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 s="367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 s="367">
        <v>0</v>
      </c>
      <c r="U1408">
        <v>0</v>
      </c>
      <c r="V1408">
        <v>1</v>
      </c>
      <c r="W1408">
        <v>1</v>
      </c>
      <c r="X1408">
        <v>0</v>
      </c>
      <c r="Y1408">
        <v>1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5</v>
      </c>
      <c r="AF1408">
        <v>0</v>
      </c>
      <c r="AG1408">
        <v>0</v>
      </c>
      <c r="AH1408">
        <v>0</v>
      </c>
      <c r="AI1408">
        <v>0</v>
      </c>
      <c r="AJ1408">
        <v>1</v>
      </c>
      <c r="AK1408">
        <v>0</v>
      </c>
      <c r="AL1408">
        <v>1</v>
      </c>
      <c r="AN1408" s="367" t="s">
        <v>4718</v>
      </c>
    </row>
    <row r="1409" spans="1:39">
      <c r="A1409">
        <v>9955</v>
      </c>
      <c r="B1409" t="s">
        <v>6099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 s="367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 s="367">
        <v>0</v>
      </c>
      <c r="U1409">
        <v>2</v>
      </c>
      <c r="V1409">
        <v>0</v>
      </c>
      <c r="W1409">
        <v>3</v>
      </c>
      <c r="X1409">
        <v>1</v>
      </c>
      <c r="Y1409">
        <v>6</v>
      </c>
      <c r="Z1409">
        <v>0</v>
      </c>
      <c r="AA1409">
        <v>0</v>
      </c>
      <c r="AB1409">
        <v>0</v>
      </c>
      <c r="AC1409">
        <v>1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2</v>
      </c>
      <c r="AL1409">
        <v>0</v>
      </c>
      <c r="AM1409" s="367" t="s">
        <v>3542</v>
      </c>
    </row>
    <row r="1410" spans="1:39">
      <c r="A1410">
        <v>9962</v>
      </c>
      <c r="B1410" t="s">
        <v>6101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 s="367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 s="367">
        <v>0</v>
      </c>
      <c r="U1410">
        <v>0</v>
      </c>
      <c r="V1410">
        <v>0</v>
      </c>
      <c r="W1410">
        <v>0</v>
      </c>
      <c r="X1410">
        <v>1</v>
      </c>
      <c r="Y1410">
        <v>2</v>
      </c>
      <c r="Z1410">
        <v>0</v>
      </c>
      <c r="AA1410">
        <v>0</v>
      </c>
      <c r="AB1410">
        <v>1</v>
      </c>
      <c r="AC1410">
        <v>0</v>
      </c>
      <c r="AD1410">
        <v>1</v>
      </c>
      <c r="AE1410">
        <v>0</v>
      </c>
      <c r="AF1410">
        <v>0</v>
      </c>
      <c r="AG1410">
        <v>1</v>
      </c>
      <c r="AH1410">
        <v>0</v>
      </c>
      <c r="AI1410">
        <v>0</v>
      </c>
      <c r="AJ1410">
        <v>0</v>
      </c>
      <c r="AK1410">
        <v>0</v>
      </c>
      <c r="AL1410">
        <v>0</v>
      </c>
    </row>
  </sheetData>
  <phoneticPr fontId="1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工作表8">
    <tabColor rgb="FF00B0F0"/>
  </sheetPr>
  <dimension ref="A1:N1740"/>
  <sheetViews>
    <sheetView workbookViewId="0">
      <selection activeCell="A7" sqref="A7"/>
    </sheetView>
  </sheetViews>
  <sheetFormatPr defaultColWidth="9" defaultRowHeight="15.75"/>
  <cols>
    <col min="1" max="1" width="6.28515625" style="245" bestFit="1" customWidth="1"/>
    <col min="2" max="2" width="9.5703125" style="245" customWidth="1"/>
    <col min="3" max="3" width="7.5703125" style="245" customWidth="1"/>
    <col min="4" max="5" width="9.5703125" style="245" customWidth="1"/>
    <col min="6" max="7" width="9.42578125" style="245" customWidth="1"/>
    <col min="8" max="8" width="7.28515625" style="245" customWidth="1"/>
    <col min="9" max="9" width="10.7109375" style="245" customWidth="1"/>
    <col min="10" max="10" width="8" style="245" customWidth="1"/>
    <col min="11" max="13" width="9" style="245"/>
    <col min="14" max="14" width="7.140625" style="257" customWidth="1"/>
    <col min="15" max="16384" width="9" style="245"/>
  </cols>
  <sheetData>
    <row r="1" spans="1:14">
      <c r="A1" s="245" t="s">
        <v>6102</v>
      </c>
      <c r="B1" s="245" t="s">
        <v>6103</v>
      </c>
      <c r="C1" s="245" t="s">
        <v>6681</v>
      </c>
      <c r="D1" s="245" t="s">
        <v>6682</v>
      </c>
      <c r="E1" s="245" t="s">
        <v>6683</v>
      </c>
      <c r="F1" s="245" t="s">
        <v>6685</v>
      </c>
      <c r="G1" s="245" t="s">
        <v>6684</v>
      </c>
      <c r="H1" s="245" t="s">
        <v>1059</v>
      </c>
      <c r="I1" s="245" t="s">
        <v>6686</v>
      </c>
      <c r="J1" s="245" t="s">
        <v>6687</v>
      </c>
      <c r="K1" s="245" t="s">
        <v>6166</v>
      </c>
      <c r="L1" s="245" t="s">
        <v>6688</v>
      </c>
      <c r="M1" s="245" t="s">
        <v>6695</v>
      </c>
      <c r="N1" s="357" t="s">
        <v>6829</v>
      </c>
    </row>
    <row r="2" spans="1:14">
      <c r="A2">
        <v>1101</v>
      </c>
      <c r="B2" t="s">
        <v>4771</v>
      </c>
      <c r="C2">
        <v>612</v>
      </c>
      <c r="D2">
        <v>-24</v>
      </c>
      <c r="E2">
        <v>-36</v>
      </c>
      <c r="F2">
        <v>-16</v>
      </c>
      <c r="G2">
        <v>-13</v>
      </c>
      <c r="H2">
        <v>18.48</v>
      </c>
      <c r="I2">
        <v>2</v>
      </c>
      <c r="J2">
        <v>3.3</v>
      </c>
      <c r="K2" s="245">
        <v>-24.31</v>
      </c>
      <c r="L2" s="245">
        <v>12.89</v>
      </c>
      <c r="M2" s="245">
        <v>21953.25</v>
      </c>
      <c r="N2" s="257" t="s">
        <v>6830</v>
      </c>
    </row>
    <row r="3" spans="1:14">
      <c r="A3">
        <v>1102</v>
      </c>
      <c r="B3" t="s">
        <v>4772</v>
      </c>
      <c r="C3">
        <v>354</v>
      </c>
      <c r="D3">
        <v>-6</v>
      </c>
      <c r="E3">
        <v>-10</v>
      </c>
      <c r="F3">
        <v>6</v>
      </c>
      <c r="G3">
        <v>11</v>
      </c>
      <c r="H3">
        <v>18.940000000000001</v>
      </c>
      <c r="I3">
        <v>3.4</v>
      </c>
      <c r="J3">
        <v>4.7</v>
      </c>
      <c r="K3" s="245">
        <v>-16.14</v>
      </c>
      <c r="L3" s="245">
        <v>41.88</v>
      </c>
      <c r="M3" s="245">
        <v>4940.05</v>
      </c>
      <c r="N3" s="257" t="s">
        <v>6830</v>
      </c>
    </row>
    <row r="4" spans="1:14">
      <c r="A4">
        <v>1103</v>
      </c>
      <c r="B4" t="s">
        <v>4773</v>
      </c>
      <c r="C4">
        <v>77.47</v>
      </c>
      <c r="D4">
        <v>-59</v>
      </c>
      <c r="E4">
        <v>-163</v>
      </c>
      <c r="F4">
        <v>-23</v>
      </c>
      <c r="G4">
        <v>-9</v>
      </c>
      <c r="H4">
        <v>-23.67</v>
      </c>
      <c r="I4">
        <v>0.65</v>
      </c>
      <c r="J4">
        <v>1.02</v>
      </c>
      <c r="K4" s="245">
        <v>-25.21</v>
      </c>
      <c r="L4" s="245">
        <v>13.99</v>
      </c>
      <c r="M4" s="245">
        <v>587.65</v>
      </c>
      <c r="N4" s="257" t="s">
        <v>6830</v>
      </c>
    </row>
    <row r="5" spans="1:14">
      <c r="A5">
        <v>1104</v>
      </c>
      <c r="B5" t="s">
        <v>4774</v>
      </c>
      <c r="C5">
        <v>65.36</v>
      </c>
      <c r="D5">
        <v>-11</v>
      </c>
      <c r="E5">
        <v>44</v>
      </c>
      <c r="F5">
        <v>7</v>
      </c>
      <c r="G5">
        <v>21</v>
      </c>
      <c r="H5">
        <v>11.68</v>
      </c>
      <c r="I5">
        <v>1</v>
      </c>
      <c r="J5">
        <v>1.66</v>
      </c>
      <c r="K5" s="245">
        <v>-12.08</v>
      </c>
      <c r="L5" s="245">
        <v>49.65</v>
      </c>
      <c r="M5" s="245">
        <v>912.15</v>
      </c>
      <c r="N5" s="257" t="s">
        <v>6831</v>
      </c>
    </row>
    <row r="6" spans="1:14">
      <c r="A6">
        <v>1108</v>
      </c>
      <c r="B6" t="s">
        <v>4775</v>
      </c>
      <c r="C6">
        <v>40.47</v>
      </c>
      <c r="D6">
        <v>-33</v>
      </c>
      <c r="E6">
        <v>-24</v>
      </c>
      <c r="F6">
        <v>-2</v>
      </c>
      <c r="G6">
        <v>-2</v>
      </c>
      <c r="H6">
        <v>8.98</v>
      </c>
      <c r="I6">
        <v>0.6</v>
      </c>
      <c r="J6">
        <v>0.65</v>
      </c>
      <c r="K6" s="245">
        <v>-23.88</v>
      </c>
      <c r="L6" s="245">
        <v>36.01</v>
      </c>
      <c r="M6" s="245">
        <v>203.4</v>
      </c>
      <c r="N6" s="257" t="s">
        <v>6830</v>
      </c>
    </row>
    <row r="7" spans="1:14">
      <c r="A7">
        <v>1109</v>
      </c>
      <c r="B7" t="s">
        <v>4776</v>
      </c>
      <c r="C7">
        <v>34.19</v>
      </c>
      <c r="D7">
        <v>-16</v>
      </c>
      <c r="E7">
        <v>-16</v>
      </c>
      <c r="F7">
        <v>5</v>
      </c>
      <c r="G7">
        <v>-32</v>
      </c>
      <c r="H7">
        <v>23.82</v>
      </c>
      <c r="I7">
        <v>1.5</v>
      </c>
      <c r="J7">
        <v>2.52</v>
      </c>
      <c r="K7" s="245">
        <v>-30.22</v>
      </c>
      <c r="L7" s="245">
        <v>29.17</v>
      </c>
      <c r="M7" s="245">
        <v>179.5</v>
      </c>
      <c r="N7" s="257" t="s">
        <v>6830</v>
      </c>
    </row>
    <row r="8" spans="1:14">
      <c r="A8">
        <v>1110</v>
      </c>
      <c r="B8" t="s">
        <v>4777</v>
      </c>
      <c r="C8">
        <v>57.2</v>
      </c>
      <c r="D8">
        <v>689</v>
      </c>
      <c r="E8">
        <v>139</v>
      </c>
      <c r="F8">
        <v>-36</v>
      </c>
      <c r="G8">
        <v>-20</v>
      </c>
      <c r="H8">
        <v>0.65</v>
      </c>
      <c r="I8">
        <v>0.2</v>
      </c>
      <c r="J8">
        <v>0.25</v>
      </c>
      <c r="K8" s="245">
        <v>-14.41</v>
      </c>
      <c r="L8" s="245">
        <v>31.26</v>
      </c>
      <c r="M8" s="245">
        <v>556.20000000000005</v>
      </c>
      <c r="N8" s="257" t="s">
        <v>6831</v>
      </c>
    </row>
    <row r="9" spans="1:14">
      <c r="A9">
        <v>1201</v>
      </c>
      <c r="B9" t="s">
        <v>4778</v>
      </c>
      <c r="C9">
        <v>50.6</v>
      </c>
      <c r="D9">
        <v>-5</v>
      </c>
      <c r="E9">
        <v>8</v>
      </c>
      <c r="F9">
        <v>-5</v>
      </c>
      <c r="G9">
        <v>-4</v>
      </c>
      <c r="H9">
        <v>3.25</v>
      </c>
      <c r="I9">
        <v>0.5</v>
      </c>
      <c r="J9">
        <v>1</v>
      </c>
      <c r="K9" s="245">
        <v>-14.11</v>
      </c>
      <c r="L9" s="245">
        <v>28.1</v>
      </c>
      <c r="M9" s="245">
        <v>1732.1</v>
      </c>
      <c r="N9" s="257" t="s">
        <v>6830</v>
      </c>
    </row>
    <row r="10" spans="1:14">
      <c r="A10">
        <v>1203</v>
      </c>
      <c r="B10" t="s">
        <v>4779</v>
      </c>
      <c r="C10">
        <v>24</v>
      </c>
      <c r="D10">
        <v>0</v>
      </c>
      <c r="E10">
        <v>-11</v>
      </c>
      <c r="F10">
        <v>0</v>
      </c>
      <c r="G10">
        <v>9</v>
      </c>
      <c r="H10">
        <v>14.86</v>
      </c>
      <c r="I10">
        <v>1.1000000000000001</v>
      </c>
      <c r="J10">
        <v>1.88</v>
      </c>
      <c r="K10" s="245">
        <v>-7.76</v>
      </c>
      <c r="L10" s="245">
        <v>38.200000000000003</v>
      </c>
      <c r="M10" s="245">
        <v>33.35</v>
      </c>
      <c r="N10" s="257" t="s">
        <v>6831</v>
      </c>
    </row>
    <row r="11" spans="1:14">
      <c r="A11">
        <v>1210</v>
      </c>
      <c r="B11" t="s">
        <v>4780</v>
      </c>
      <c r="C11">
        <v>85.21</v>
      </c>
      <c r="D11">
        <v>-44</v>
      </c>
      <c r="E11">
        <v>-44</v>
      </c>
      <c r="F11">
        <v>7</v>
      </c>
      <c r="G11">
        <v>1</v>
      </c>
      <c r="H11">
        <v>2.31</v>
      </c>
      <c r="I11">
        <v>2</v>
      </c>
      <c r="J11">
        <v>2.3199999999999998</v>
      </c>
      <c r="K11" s="245">
        <v>-23.54</v>
      </c>
      <c r="L11" s="245">
        <v>12.96</v>
      </c>
      <c r="M11" s="245">
        <v>2417.0500000000002</v>
      </c>
      <c r="N11" s="257" t="s">
        <v>6830</v>
      </c>
    </row>
    <row r="12" spans="1:14">
      <c r="A12">
        <v>1213</v>
      </c>
      <c r="B12" t="s">
        <v>6422</v>
      </c>
      <c r="C12">
        <v>5.66</v>
      </c>
      <c r="D12">
        <v>-246</v>
      </c>
      <c r="E12">
        <v>-24</v>
      </c>
      <c r="F12">
        <v>-13</v>
      </c>
      <c r="G12">
        <v>-16</v>
      </c>
      <c r="H12">
        <v>-15.29</v>
      </c>
      <c r="I12">
        <v>0</v>
      </c>
      <c r="J12">
        <v>-1.67</v>
      </c>
      <c r="K12" s="245">
        <v>-14.93</v>
      </c>
      <c r="L12" s="245">
        <v>45.7</v>
      </c>
      <c r="M12" s="245">
        <v>4.4000000000000004</v>
      </c>
      <c r="N12" s="257" t="s">
        <v>6831</v>
      </c>
    </row>
    <row r="13" spans="1:14">
      <c r="A13">
        <v>1215</v>
      </c>
      <c r="B13" t="s">
        <v>4781</v>
      </c>
      <c r="C13">
        <v>26.79</v>
      </c>
      <c r="D13">
        <v>-19</v>
      </c>
      <c r="E13">
        <v>-16</v>
      </c>
      <c r="F13">
        <v>-11</v>
      </c>
      <c r="G13">
        <v>9</v>
      </c>
      <c r="H13">
        <v>6.41</v>
      </c>
      <c r="I13">
        <v>4</v>
      </c>
      <c r="J13">
        <v>5.0599999999999996</v>
      </c>
      <c r="K13" s="245">
        <v>-8.5299999999999994</v>
      </c>
      <c r="L13" s="245">
        <v>20.94</v>
      </c>
      <c r="M13" s="245">
        <v>457.2</v>
      </c>
      <c r="N13" s="257" t="s">
        <v>6830</v>
      </c>
    </row>
    <row r="14" spans="1:14">
      <c r="A14">
        <v>1216</v>
      </c>
      <c r="B14" t="s">
        <v>4782</v>
      </c>
      <c r="C14">
        <v>568</v>
      </c>
      <c r="D14">
        <v>-6</v>
      </c>
      <c r="E14">
        <v>-4</v>
      </c>
      <c r="F14">
        <v>2</v>
      </c>
      <c r="G14">
        <v>12</v>
      </c>
      <c r="H14">
        <v>6</v>
      </c>
      <c r="I14">
        <v>2.7</v>
      </c>
      <c r="J14">
        <v>3.5</v>
      </c>
      <c r="K14" s="245">
        <v>-15.13</v>
      </c>
      <c r="L14" s="245">
        <v>35.950000000000003</v>
      </c>
      <c r="M14" s="245">
        <v>6617.25</v>
      </c>
      <c r="N14" s="257" t="s">
        <v>6830</v>
      </c>
    </row>
    <row r="15" spans="1:14">
      <c r="A15">
        <v>1217</v>
      </c>
      <c r="B15" t="s">
        <v>4783</v>
      </c>
      <c r="C15">
        <v>49.45</v>
      </c>
      <c r="D15">
        <v>-12</v>
      </c>
      <c r="E15">
        <v>-20</v>
      </c>
      <c r="F15">
        <v>-21</v>
      </c>
      <c r="G15">
        <v>10</v>
      </c>
      <c r="H15">
        <v>3.64</v>
      </c>
      <c r="I15">
        <v>0.3</v>
      </c>
      <c r="J15">
        <v>0.41</v>
      </c>
      <c r="K15" s="245">
        <v>-22.06</v>
      </c>
      <c r="L15" s="245">
        <v>28.29</v>
      </c>
      <c r="M15" s="245">
        <v>13588.9</v>
      </c>
      <c r="N15" s="257" t="s">
        <v>6830</v>
      </c>
    </row>
    <row r="16" spans="1:14">
      <c r="A16">
        <v>1218</v>
      </c>
      <c r="B16" t="s">
        <v>4784</v>
      </c>
      <c r="C16">
        <v>49.99</v>
      </c>
      <c r="D16">
        <v>-30</v>
      </c>
      <c r="E16">
        <v>-33</v>
      </c>
      <c r="F16">
        <v>-1</v>
      </c>
      <c r="G16">
        <v>12</v>
      </c>
      <c r="H16">
        <v>2.11</v>
      </c>
      <c r="I16">
        <v>1</v>
      </c>
      <c r="J16">
        <v>1.22</v>
      </c>
      <c r="K16" s="245">
        <v>-12.41</v>
      </c>
      <c r="L16" s="245">
        <v>49.26</v>
      </c>
      <c r="M16" s="245">
        <v>3939.4</v>
      </c>
      <c r="N16" s="257" t="s">
        <v>6831</v>
      </c>
    </row>
    <row r="17" spans="1:14">
      <c r="A17">
        <v>1219</v>
      </c>
      <c r="B17" t="s">
        <v>4785</v>
      </c>
      <c r="C17">
        <v>32.200000000000003</v>
      </c>
      <c r="D17">
        <v>-50</v>
      </c>
      <c r="E17">
        <v>-8</v>
      </c>
      <c r="F17">
        <v>-10</v>
      </c>
      <c r="G17">
        <v>19</v>
      </c>
      <c r="H17">
        <v>2.0499999999999998</v>
      </c>
      <c r="I17">
        <v>1.1000000000000001</v>
      </c>
      <c r="J17">
        <v>1</v>
      </c>
      <c r="K17" s="245">
        <v>-23.18</v>
      </c>
      <c r="L17" s="245">
        <v>44.08</v>
      </c>
      <c r="M17" s="245">
        <v>20364.5</v>
      </c>
      <c r="N17" s="257" t="s">
        <v>6830</v>
      </c>
    </row>
    <row r="18" spans="1:14">
      <c r="A18">
        <v>1220</v>
      </c>
      <c r="B18" t="s">
        <v>4786</v>
      </c>
      <c r="C18">
        <v>17.7</v>
      </c>
      <c r="D18">
        <v>9</v>
      </c>
      <c r="E18">
        <v>3</v>
      </c>
      <c r="F18">
        <v>-13</v>
      </c>
      <c r="G18">
        <v>-5</v>
      </c>
      <c r="H18">
        <v>7.01</v>
      </c>
      <c r="I18">
        <v>1</v>
      </c>
      <c r="J18">
        <v>1</v>
      </c>
      <c r="K18" s="245">
        <v>-28.04</v>
      </c>
      <c r="L18" s="245">
        <v>40.46</v>
      </c>
      <c r="M18" s="245">
        <v>12529.1</v>
      </c>
      <c r="N18" s="257" t="s">
        <v>6831</v>
      </c>
    </row>
    <row r="19" spans="1:14">
      <c r="A19">
        <v>1225</v>
      </c>
      <c r="B19" t="s">
        <v>4787</v>
      </c>
      <c r="C19">
        <v>21.87</v>
      </c>
      <c r="D19">
        <v>16</v>
      </c>
      <c r="E19">
        <v>4</v>
      </c>
      <c r="F19">
        <v>-4</v>
      </c>
      <c r="G19">
        <v>19</v>
      </c>
      <c r="H19">
        <v>4.05</v>
      </c>
      <c r="I19">
        <v>1.6</v>
      </c>
      <c r="J19">
        <v>2.0699999999999998</v>
      </c>
      <c r="K19" s="245">
        <v>-21.16</v>
      </c>
      <c r="L19" s="245">
        <v>21.04</v>
      </c>
      <c r="M19" s="245">
        <v>184.4</v>
      </c>
      <c r="N19" s="257" t="s">
        <v>6831</v>
      </c>
    </row>
    <row r="20" spans="1:14">
      <c r="A20">
        <v>1227</v>
      </c>
      <c r="B20" t="s">
        <v>4788</v>
      </c>
      <c r="C20">
        <v>91.5</v>
      </c>
      <c r="D20">
        <v>-23</v>
      </c>
      <c r="E20">
        <v>-26</v>
      </c>
      <c r="F20">
        <v>-4</v>
      </c>
      <c r="G20">
        <v>-7</v>
      </c>
      <c r="H20">
        <v>8.69</v>
      </c>
      <c r="I20">
        <v>1.9</v>
      </c>
      <c r="J20">
        <v>2.7</v>
      </c>
      <c r="K20" s="245">
        <v>-12.91</v>
      </c>
      <c r="L20" s="245">
        <v>33.81</v>
      </c>
      <c r="M20" s="245">
        <v>994.15</v>
      </c>
      <c r="N20" s="257" t="s">
        <v>6830</v>
      </c>
    </row>
    <row r="21" spans="1:14">
      <c r="A21">
        <v>1229</v>
      </c>
      <c r="B21" t="s">
        <v>4789</v>
      </c>
      <c r="C21">
        <v>140</v>
      </c>
      <c r="D21">
        <v>35</v>
      </c>
      <c r="E21">
        <v>37</v>
      </c>
      <c r="F21">
        <v>-18</v>
      </c>
      <c r="G21">
        <v>21</v>
      </c>
      <c r="H21">
        <v>12.75</v>
      </c>
      <c r="I21">
        <v>2.2999999999999998</v>
      </c>
      <c r="J21">
        <v>2.92</v>
      </c>
      <c r="K21" s="245">
        <v>-27.57</v>
      </c>
      <c r="L21" s="245">
        <v>10.69</v>
      </c>
      <c r="M21" s="245">
        <v>3078.75</v>
      </c>
      <c r="N21" s="257" t="s">
        <v>6830</v>
      </c>
    </row>
    <row r="22" spans="1:14">
      <c r="A22">
        <v>1231</v>
      </c>
      <c r="B22" t="s">
        <v>4790</v>
      </c>
      <c r="C22">
        <v>20.170000000000002</v>
      </c>
      <c r="D22">
        <v>18</v>
      </c>
      <c r="E22">
        <v>28</v>
      </c>
      <c r="F22">
        <v>0</v>
      </c>
      <c r="G22">
        <v>16</v>
      </c>
      <c r="H22">
        <v>9.94</v>
      </c>
      <c r="I22">
        <v>2.6</v>
      </c>
      <c r="J22">
        <v>4.03</v>
      </c>
      <c r="K22" s="245">
        <v>-10.91</v>
      </c>
      <c r="L22" s="245">
        <v>55.28</v>
      </c>
      <c r="M22" s="245">
        <v>555.85</v>
      </c>
      <c r="N22" s="257" t="s">
        <v>6831</v>
      </c>
    </row>
    <row r="23" spans="1:14">
      <c r="A23">
        <v>1232</v>
      </c>
      <c r="B23" t="s">
        <v>4791</v>
      </c>
      <c r="C23">
        <v>15.99</v>
      </c>
      <c r="D23">
        <v>-3</v>
      </c>
      <c r="E23">
        <v>-5</v>
      </c>
      <c r="F23">
        <v>-11</v>
      </c>
      <c r="G23">
        <v>0</v>
      </c>
      <c r="H23">
        <v>7.48</v>
      </c>
      <c r="I23">
        <v>6</v>
      </c>
      <c r="J23">
        <v>7.76</v>
      </c>
      <c r="K23" s="245">
        <v>-11.27</v>
      </c>
      <c r="L23" s="245">
        <v>38.93</v>
      </c>
      <c r="M23" s="245">
        <v>94.9</v>
      </c>
      <c r="N23" s="257" t="s">
        <v>6830</v>
      </c>
    </row>
    <row r="24" spans="1:14">
      <c r="A24">
        <v>1233</v>
      </c>
      <c r="B24" t="s">
        <v>4792</v>
      </c>
      <c r="C24">
        <v>9.0500000000000007</v>
      </c>
      <c r="D24">
        <v>-24</v>
      </c>
      <c r="E24">
        <v>-77</v>
      </c>
      <c r="F24">
        <v>-7</v>
      </c>
      <c r="G24">
        <v>-9</v>
      </c>
      <c r="H24">
        <v>0.84</v>
      </c>
      <c r="I24">
        <v>0.8</v>
      </c>
      <c r="J24">
        <v>0.48</v>
      </c>
      <c r="K24" s="245">
        <v>-5.24</v>
      </c>
      <c r="L24" s="245">
        <v>46.03</v>
      </c>
      <c r="M24" s="245">
        <v>9.5</v>
      </c>
      <c r="N24" s="257" t="s">
        <v>6831</v>
      </c>
    </row>
    <row r="25" spans="1:14">
      <c r="A25">
        <v>1234</v>
      </c>
      <c r="B25" t="s">
        <v>4793</v>
      </c>
      <c r="C25">
        <v>40.18</v>
      </c>
      <c r="D25">
        <v>-10</v>
      </c>
      <c r="E25">
        <v>-1</v>
      </c>
      <c r="F25">
        <v>1</v>
      </c>
      <c r="G25">
        <v>-6</v>
      </c>
      <c r="H25">
        <v>6.57</v>
      </c>
      <c r="I25">
        <v>1.7</v>
      </c>
      <c r="J25">
        <v>1.98</v>
      </c>
      <c r="K25" s="245">
        <v>-8.26</v>
      </c>
      <c r="L25" s="245">
        <v>28.67</v>
      </c>
      <c r="M25" s="245">
        <v>213.7</v>
      </c>
      <c r="N25" s="257" t="s">
        <v>6830</v>
      </c>
    </row>
    <row r="26" spans="1:14">
      <c r="A26">
        <v>1235</v>
      </c>
      <c r="B26" t="s">
        <v>4794</v>
      </c>
      <c r="C26">
        <v>10.43</v>
      </c>
      <c r="D26">
        <v>25</v>
      </c>
      <c r="E26">
        <v>-126</v>
      </c>
      <c r="F26">
        <v>-14</v>
      </c>
      <c r="G26">
        <v>17</v>
      </c>
      <c r="H26">
        <v>-12.57</v>
      </c>
      <c r="I26">
        <v>3.8</v>
      </c>
      <c r="J26">
        <v>0.81</v>
      </c>
      <c r="K26" s="245">
        <v>-10.9</v>
      </c>
      <c r="L26" s="245">
        <v>58.61</v>
      </c>
      <c r="M26" s="245">
        <v>211.65</v>
      </c>
      <c r="N26" s="257" t="s">
        <v>6832</v>
      </c>
    </row>
    <row r="27" spans="1:14">
      <c r="A27">
        <v>1236</v>
      </c>
      <c r="B27" t="s">
        <v>4795</v>
      </c>
      <c r="C27">
        <v>10.83</v>
      </c>
      <c r="D27">
        <v>-15298</v>
      </c>
      <c r="E27">
        <v>-322</v>
      </c>
      <c r="F27">
        <v>-20</v>
      </c>
      <c r="G27">
        <v>29</v>
      </c>
      <c r="H27">
        <v>-2.77</v>
      </c>
      <c r="I27">
        <v>0.5</v>
      </c>
      <c r="J27">
        <v>-0.25</v>
      </c>
      <c r="K27" s="245">
        <v>-25.96</v>
      </c>
      <c r="L27" s="245">
        <v>35.42</v>
      </c>
      <c r="M27" s="245">
        <v>866.95</v>
      </c>
      <c r="N27" s="257" t="s">
        <v>6831</v>
      </c>
    </row>
    <row r="28" spans="1:14">
      <c r="A28">
        <v>1240</v>
      </c>
      <c r="B28" t="s">
        <v>4796</v>
      </c>
      <c r="C28">
        <v>3.67</v>
      </c>
      <c r="D28">
        <v>-25</v>
      </c>
      <c r="E28">
        <v>-34</v>
      </c>
      <c r="F28">
        <v>5</v>
      </c>
      <c r="G28">
        <v>16</v>
      </c>
      <c r="H28">
        <v>2.93</v>
      </c>
      <c r="I28">
        <v>2.5</v>
      </c>
      <c r="J28">
        <v>3.57</v>
      </c>
      <c r="K28" s="245">
        <v>-37.75</v>
      </c>
      <c r="L28" s="245">
        <v>23.9</v>
      </c>
      <c r="M28" s="245">
        <v>2252.85</v>
      </c>
      <c r="N28" s="257" t="s">
        <v>6830</v>
      </c>
    </row>
    <row r="29" spans="1:14">
      <c r="A29">
        <v>1256</v>
      </c>
      <c r="B29" t="s">
        <v>4797</v>
      </c>
      <c r="C29">
        <v>3.38</v>
      </c>
      <c r="D29">
        <v>-9</v>
      </c>
      <c r="E29">
        <v>0</v>
      </c>
      <c r="F29">
        <v>-41</v>
      </c>
      <c r="G29">
        <v>-52</v>
      </c>
      <c r="H29">
        <v>21.63</v>
      </c>
      <c r="I29">
        <v>13</v>
      </c>
      <c r="J29">
        <v>20.94</v>
      </c>
      <c r="K29" s="245">
        <v>-53.31</v>
      </c>
      <c r="L29" s="245">
        <v>19.170000000000002</v>
      </c>
      <c r="M29" s="245">
        <v>49.35</v>
      </c>
      <c r="N29" s="257" t="s">
        <v>6830</v>
      </c>
    </row>
    <row r="30" spans="1:14">
      <c r="A30">
        <v>1258</v>
      </c>
      <c r="B30" t="s">
        <v>4798</v>
      </c>
      <c r="C30">
        <v>3.68</v>
      </c>
      <c r="D30">
        <v>321</v>
      </c>
      <c r="E30">
        <v>522</v>
      </c>
      <c r="F30">
        <v>3</v>
      </c>
      <c r="G30">
        <v>8</v>
      </c>
      <c r="H30">
        <v>4.95</v>
      </c>
      <c r="I30">
        <v>0</v>
      </c>
      <c r="J30">
        <v>2</v>
      </c>
      <c r="K30" s="245">
        <v>-25.74</v>
      </c>
      <c r="L30" s="245">
        <v>50.42</v>
      </c>
      <c r="M30" s="245">
        <v>540.65</v>
      </c>
      <c r="N30" s="257" t="s">
        <v>6831</v>
      </c>
    </row>
    <row r="31" spans="1:14">
      <c r="A31">
        <v>1259</v>
      </c>
      <c r="B31" t="s">
        <v>6250</v>
      </c>
      <c r="C31">
        <v>3.23</v>
      </c>
      <c r="D31">
        <v>-40</v>
      </c>
      <c r="E31">
        <v>-106</v>
      </c>
      <c r="F31">
        <v>-3</v>
      </c>
      <c r="G31">
        <v>5</v>
      </c>
      <c r="H31">
        <v>-0.15</v>
      </c>
      <c r="I31">
        <v>2.2999999999999998</v>
      </c>
      <c r="J31">
        <v>3.07</v>
      </c>
      <c r="K31" s="245">
        <v>-4.1900000000000004</v>
      </c>
      <c r="L31" s="245">
        <v>66.86</v>
      </c>
      <c r="M31" s="245">
        <v>9.4499999999999993</v>
      </c>
      <c r="N31" s="257" t="s">
        <v>6831</v>
      </c>
    </row>
    <row r="32" spans="1:14">
      <c r="A32">
        <v>1264</v>
      </c>
      <c r="B32" t="s">
        <v>4799</v>
      </c>
      <c r="C32">
        <v>3.7</v>
      </c>
      <c r="D32">
        <v>13</v>
      </c>
      <c r="E32">
        <v>17</v>
      </c>
      <c r="F32">
        <v>5</v>
      </c>
      <c r="G32">
        <v>9</v>
      </c>
      <c r="H32">
        <v>19.170000000000002</v>
      </c>
      <c r="I32">
        <v>12</v>
      </c>
      <c r="J32">
        <v>16.190000000000001</v>
      </c>
      <c r="K32" s="245">
        <v>-22.3</v>
      </c>
      <c r="L32" s="245">
        <v>10.43</v>
      </c>
      <c r="M32" s="245">
        <v>12</v>
      </c>
      <c r="N32" s="257" t="s">
        <v>6830</v>
      </c>
    </row>
    <row r="33" spans="1:14">
      <c r="A33">
        <v>1268</v>
      </c>
      <c r="B33" t="s">
        <v>6343</v>
      </c>
      <c r="C33">
        <v>4.2699999999999996</v>
      </c>
      <c r="D33">
        <v>-73</v>
      </c>
      <c r="E33">
        <v>-140</v>
      </c>
      <c r="F33">
        <v>-34</v>
      </c>
      <c r="G33">
        <v>-29</v>
      </c>
      <c r="H33">
        <v>-2.2599999999999998</v>
      </c>
      <c r="I33">
        <v>3</v>
      </c>
      <c r="J33">
        <v>2.0099999999999998</v>
      </c>
      <c r="K33" s="245">
        <v>-26.81</v>
      </c>
      <c r="L33" s="245">
        <v>11.41</v>
      </c>
      <c r="M33" s="245">
        <v>12.15</v>
      </c>
      <c r="N33" s="257" t="s">
        <v>6830</v>
      </c>
    </row>
    <row r="34" spans="1:14">
      <c r="A34">
        <v>1301</v>
      </c>
      <c r="B34" t="s">
        <v>4800</v>
      </c>
      <c r="C34">
        <v>636</v>
      </c>
      <c r="D34">
        <v>256</v>
      </c>
      <c r="E34">
        <v>251</v>
      </c>
      <c r="F34">
        <v>-5</v>
      </c>
      <c r="G34">
        <v>3</v>
      </c>
      <c r="H34">
        <v>21.99</v>
      </c>
      <c r="I34">
        <v>8.1999999999999993</v>
      </c>
      <c r="J34">
        <v>11.21</v>
      </c>
      <c r="K34" s="245">
        <v>-15.29</v>
      </c>
      <c r="L34" s="245">
        <v>35.22</v>
      </c>
      <c r="M34" s="245">
        <v>7356.45</v>
      </c>
      <c r="N34" s="257" t="s">
        <v>6830</v>
      </c>
    </row>
    <row r="35" spans="1:14">
      <c r="A35">
        <v>1303</v>
      </c>
      <c r="B35" t="s">
        <v>4801</v>
      </c>
      <c r="C35">
        <v>793</v>
      </c>
      <c r="D35">
        <v>215</v>
      </c>
      <c r="E35">
        <v>281</v>
      </c>
      <c r="F35">
        <v>-19</v>
      </c>
      <c r="G35">
        <v>-14</v>
      </c>
      <c r="H35">
        <v>19.68</v>
      </c>
      <c r="I35">
        <v>7.5</v>
      </c>
      <c r="J35">
        <v>10.25</v>
      </c>
      <c r="K35" s="245">
        <v>-13.62</v>
      </c>
      <c r="L35" s="245">
        <v>16.41</v>
      </c>
      <c r="M35" s="245">
        <v>8513.25</v>
      </c>
      <c r="N35" s="257" t="s">
        <v>6830</v>
      </c>
    </row>
    <row r="36" spans="1:14">
      <c r="A36">
        <v>1304</v>
      </c>
      <c r="B36" t="s">
        <v>4802</v>
      </c>
      <c r="C36">
        <v>118</v>
      </c>
      <c r="D36">
        <v>77</v>
      </c>
      <c r="E36">
        <v>87</v>
      </c>
      <c r="F36">
        <v>0</v>
      </c>
      <c r="G36">
        <v>-5</v>
      </c>
      <c r="H36">
        <v>17.95</v>
      </c>
      <c r="I36">
        <v>2.2000000000000002</v>
      </c>
      <c r="J36">
        <v>4.84</v>
      </c>
      <c r="K36" s="245">
        <v>-45.04</v>
      </c>
      <c r="L36" s="245">
        <v>20.23</v>
      </c>
      <c r="M36" s="245">
        <v>5664.3</v>
      </c>
      <c r="N36" s="257" t="s">
        <v>6830</v>
      </c>
    </row>
    <row r="37" spans="1:14">
      <c r="A37">
        <v>1305</v>
      </c>
      <c r="B37" t="s">
        <v>4803</v>
      </c>
      <c r="C37">
        <v>58.1</v>
      </c>
      <c r="D37">
        <v>46</v>
      </c>
      <c r="E37">
        <v>54</v>
      </c>
      <c r="F37">
        <v>-7</v>
      </c>
      <c r="G37">
        <v>14</v>
      </c>
      <c r="H37">
        <v>16.399999999999999</v>
      </c>
      <c r="I37">
        <v>2.5</v>
      </c>
      <c r="J37">
        <v>4.25</v>
      </c>
      <c r="K37" s="245">
        <v>-38.159999999999997</v>
      </c>
      <c r="L37" s="245">
        <v>16.48</v>
      </c>
      <c r="M37" s="245">
        <v>1593.9</v>
      </c>
      <c r="N37" s="257" t="s">
        <v>6830</v>
      </c>
    </row>
    <row r="38" spans="1:14">
      <c r="A38">
        <v>1307</v>
      </c>
      <c r="B38" t="s">
        <v>4804</v>
      </c>
      <c r="C38">
        <v>39.78</v>
      </c>
      <c r="D38">
        <v>-46</v>
      </c>
      <c r="E38">
        <v>-51</v>
      </c>
      <c r="F38">
        <v>-3</v>
      </c>
      <c r="G38">
        <v>40</v>
      </c>
      <c r="H38">
        <v>2.87</v>
      </c>
      <c r="I38">
        <v>0.5</v>
      </c>
      <c r="J38">
        <v>0.28999999999999998</v>
      </c>
      <c r="K38" s="245">
        <v>-29.29</v>
      </c>
      <c r="L38" s="245">
        <v>19.16</v>
      </c>
      <c r="M38" s="245">
        <v>83.05</v>
      </c>
      <c r="N38" s="257" t="s">
        <v>6830</v>
      </c>
    </row>
    <row r="39" spans="1:14">
      <c r="A39">
        <v>1308</v>
      </c>
      <c r="B39" t="s">
        <v>4805</v>
      </c>
      <c r="C39">
        <v>59.37</v>
      </c>
      <c r="D39">
        <v>181</v>
      </c>
      <c r="E39">
        <v>259</v>
      </c>
      <c r="F39">
        <v>-18</v>
      </c>
      <c r="G39">
        <v>-27</v>
      </c>
      <c r="H39">
        <v>34.700000000000003</v>
      </c>
      <c r="I39">
        <v>3</v>
      </c>
      <c r="J39">
        <v>5.22</v>
      </c>
      <c r="K39" s="245">
        <v>-46.48</v>
      </c>
      <c r="L39" s="245">
        <v>14.99</v>
      </c>
      <c r="M39" s="245">
        <v>4420.7</v>
      </c>
      <c r="N39" s="257" t="s">
        <v>6830</v>
      </c>
    </row>
    <row r="40" spans="1:14">
      <c r="A40">
        <v>1309</v>
      </c>
      <c r="B40" t="s">
        <v>4806</v>
      </c>
      <c r="C40">
        <v>37.86</v>
      </c>
      <c r="D40">
        <v>-3</v>
      </c>
      <c r="E40">
        <v>-7</v>
      </c>
      <c r="F40">
        <v>0</v>
      </c>
      <c r="G40">
        <v>-12</v>
      </c>
      <c r="H40">
        <v>10.82</v>
      </c>
      <c r="I40">
        <v>2.5</v>
      </c>
      <c r="J40">
        <v>4.8899999999999997</v>
      </c>
      <c r="K40" s="245">
        <v>-47.15</v>
      </c>
      <c r="L40" s="245">
        <v>18.55</v>
      </c>
      <c r="M40" s="245">
        <v>792.85</v>
      </c>
      <c r="N40" s="257" t="s">
        <v>6830</v>
      </c>
    </row>
    <row r="41" spans="1:14">
      <c r="A41">
        <v>1310</v>
      </c>
      <c r="B41" t="s">
        <v>4807</v>
      </c>
      <c r="C41">
        <v>52.78</v>
      </c>
      <c r="D41">
        <v>-63</v>
      </c>
      <c r="E41">
        <v>-194</v>
      </c>
      <c r="F41">
        <v>0</v>
      </c>
      <c r="G41">
        <v>15</v>
      </c>
      <c r="H41">
        <v>-0.73</v>
      </c>
      <c r="I41">
        <v>0.15</v>
      </c>
      <c r="J41">
        <v>0.2</v>
      </c>
      <c r="K41" s="245">
        <v>-40.08</v>
      </c>
      <c r="L41" s="245">
        <v>10.199999999999999</v>
      </c>
      <c r="M41" s="245">
        <v>703.15</v>
      </c>
      <c r="N41" s="257" t="s">
        <v>6830</v>
      </c>
    </row>
    <row r="42" spans="1:14">
      <c r="A42">
        <v>1312</v>
      </c>
      <c r="B42" t="s">
        <v>4808</v>
      </c>
      <c r="C42">
        <v>90.66</v>
      </c>
      <c r="D42">
        <v>40</v>
      </c>
      <c r="E42">
        <v>65</v>
      </c>
      <c r="F42">
        <v>5</v>
      </c>
      <c r="G42">
        <v>-7</v>
      </c>
      <c r="H42">
        <v>12.92</v>
      </c>
      <c r="I42">
        <v>2</v>
      </c>
      <c r="J42">
        <v>6.47</v>
      </c>
      <c r="K42" s="245">
        <v>-33.75</v>
      </c>
      <c r="L42" s="245">
        <v>13.66</v>
      </c>
      <c r="M42" s="245">
        <v>4442.5</v>
      </c>
      <c r="N42" s="257" t="s">
        <v>6830</v>
      </c>
    </row>
    <row r="43" spans="1:14">
      <c r="A43">
        <v>1313</v>
      </c>
      <c r="B43" t="s">
        <v>4809</v>
      </c>
      <c r="C43">
        <v>135</v>
      </c>
      <c r="D43">
        <v>0</v>
      </c>
      <c r="E43">
        <v>7</v>
      </c>
      <c r="F43">
        <v>-20</v>
      </c>
      <c r="G43">
        <v>-14</v>
      </c>
      <c r="H43">
        <v>2.99</v>
      </c>
      <c r="I43">
        <v>1</v>
      </c>
      <c r="J43">
        <v>1.66</v>
      </c>
      <c r="K43" s="245">
        <v>-49.23</v>
      </c>
      <c r="L43" s="245">
        <v>18.16</v>
      </c>
      <c r="M43" s="245">
        <v>2541.4</v>
      </c>
      <c r="N43" s="257" t="s">
        <v>6830</v>
      </c>
    </row>
    <row r="44" spans="1:14">
      <c r="A44">
        <v>1314</v>
      </c>
      <c r="B44" t="s">
        <v>4810</v>
      </c>
      <c r="C44">
        <v>378</v>
      </c>
      <c r="D44">
        <v>433</v>
      </c>
      <c r="E44">
        <v>238</v>
      </c>
      <c r="F44">
        <v>6</v>
      </c>
      <c r="G44">
        <v>-1</v>
      </c>
      <c r="H44">
        <v>7.15</v>
      </c>
      <c r="I44">
        <v>0.4</v>
      </c>
      <c r="J44">
        <v>1.0900000000000001</v>
      </c>
      <c r="K44" s="245">
        <v>-34.36</v>
      </c>
      <c r="L44" s="245">
        <v>9.52</v>
      </c>
      <c r="M44" s="245">
        <v>20695.7</v>
      </c>
      <c r="N44" s="257" t="s">
        <v>6830</v>
      </c>
    </row>
    <row r="45" spans="1:14">
      <c r="A45">
        <v>1315</v>
      </c>
      <c r="B45" t="s">
        <v>4811</v>
      </c>
      <c r="C45">
        <v>9.9</v>
      </c>
      <c r="D45">
        <v>-99</v>
      </c>
      <c r="E45">
        <v>-80</v>
      </c>
      <c r="F45">
        <v>-27</v>
      </c>
      <c r="G45">
        <v>10</v>
      </c>
      <c r="H45">
        <v>0.3</v>
      </c>
      <c r="I45">
        <v>4.5</v>
      </c>
      <c r="J45">
        <v>0.04</v>
      </c>
      <c r="K45" s="245">
        <v>-12.18</v>
      </c>
      <c r="L45" s="245">
        <v>20.07</v>
      </c>
      <c r="M45" s="245">
        <v>11.85</v>
      </c>
      <c r="N45" s="257" t="s">
        <v>6831</v>
      </c>
    </row>
    <row r="46" spans="1:14">
      <c r="A46">
        <v>1316</v>
      </c>
      <c r="B46" t="s">
        <v>4812</v>
      </c>
      <c r="C46">
        <v>23.97</v>
      </c>
      <c r="D46">
        <v>-143</v>
      </c>
      <c r="E46">
        <v>-210</v>
      </c>
      <c r="F46">
        <v>60</v>
      </c>
      <c r="G46">
        <v>219</v>
      </c>
      <c r="H46">
        <v>-9.58</v>
      </c>
      <c r="I46">
        <v>0</v>
      </c>
      <c r="J46">
        <v>-0.5</v>
      </c>
      <c r="K46" s="245">
        <v>-34.590000000000003</v>
      </c>
      <c r="L46" s="245">
        <v>32.57</v>
      </c>
      <c r="M46" s="245">
        <v>4020.3</v>
      </c>
      <c r="N46" s="257" t="s">
        <v>6831</v>
      </c>
    </row>
    <row r="47" spans="1:14">
      <c r="A47">
        <v>1319</v>
      </c>
      <c r="B47" t="s">
        <v>4813</v>
      </c>
      <c r="C47">
        <v>59.14</v>
      </c>
      <c r="D47">
        <v>-14</v>
      </c>
      <c r="E47">
        <v>0</v>
      </c>
      <c r="F47">
        <v>-5</v>
      </c>
      <c r="G47">
        <v>22</v>
      </c>
      <c r="H47">
        <v>2.95</v>
      </c>
      <c r="I47">
        <v>0.85</v>
      </c>
      <c r="J47">
        <v>1.1599999999999999</v>
      </c>
      <c r="K47" s="245">
        <v>-15.16</v>
      </c>
      <c r="L47" s="245">
        <v>62.1</v>
      </c>
      <c r="M47" s="245">
        <v>801.2</v>
      </c>
      <c r="N47" s="257" t="s">
        <v>6830</v>
      </c>
    </row>
    <row r="48" spans="1:14">
      <c r="A48">
        <v>1321</v>
      </c>
      <c r="B48" t="s">
        <v>4814</v>
      </c>
      <c r="C48">
        <v>22.72</v>
      </c>
      <c r="D48">
        <v>-55</v>
      </c>
      <c r="E48">
        <v>-113</v>
      </c>
      <c r="F48">
        <v>-6</v>
      </c>
      <c r="G48">
        <v>15</v>
      </c>
      <c r="H48">
        <v>-0.5</v>
      </c>
      <c r="I48">
        <v>0.7</v>
      </c>
      <c r="J48">
        <v>1.45</v>
      </c>
      <c r="K48" s="245">
        <v>-18.73</v>
      </c>
      <c r="L48" s="245">
        <v>22.32</v>
      </c>
      <c r="M48" s="245">
        <v>245.3</v>
      </c>
      <c r="N48" s="257" t="s">
        <v>6830</v>
      </c>
    </row>
    <row r="49" spans="1:14">
      <c r="A49">
        <v>1323</v>
      </c>
      <c r="B49" t="s">
        <v>4815</v>
      </c>
      <c r="C49">
        <v>9.1199999999999992</v>
      </c>
      <c r="D49">
        <v>-2</v>
      </c>
      <c r="E49">
        <v>-4</v>
      </c>
      <c r="F49">
        <v>-18</v>
      </c>
      <c r="G49">
        <v>0</v>
      </c>
      <c r="H49">
        <v>11.6</v>
      </c>
      <c r="I49">
        <v>1.6</v>
      </c>
      <c r="J49">
        <v>3.04</v>
      </c>
      <c r="K49" s="245">
        <v>-12.84</v>
      </c>
      <c r="L49" s="245">
        <v>20.88</v>
      </c>
      <c r="M49" s="245">
        <v>75.599999999999994</v>
      </c>
      <c r="N49" s="257" t="s">
        <v>6830</v>
      </c>
    </row>
    <row r="50" spans="1:14">
      <c r="A50">
        <v>1324</v>
      </c>
      <c r="B50" t="s">
        <v>4816</v>
      </c>
      <c r="C50">
        <v>7.51</v>
      </c>
      <c r="D50">
        <v>-96</v>
      </c>
      <c r="E50">
        <v>-37</v>
      </c>
      <c r="F50">
        <v>-4</v>
      </c>
      <c r="G50">
        <v>13</v>
      </c>
      <c r="H50">
        <v>0.94</v>
      </c>
      <c r="I50">
        <v>0.2</v>
      </c>
      <c r="J50">
        <v>0.01</v>
      </c>
      <c r="K50" s="245">
        <v>-26.62</v>
      </c>
      <c r="L50" s="245">
        <v>12.66</v>
      </c>
      <c r="M50" s="245">
        <v>35.65</v>
      </c>
      <c r="N50" s="257" t="s">
        <v>6830</v>
      </c>
    </row>
    <row r="51" spans="1:14">
      <c r="A51">
        <v>1325</v>
      </c>
      <c r="B51" t="s">
        <v>4817</v>
      </c>
      <c r="C51">
        <v>8.52</v>
      </c>
      <c r="D51">
        <v>-86</v>
      </c>
      <c r="E51">
        <v>-85</v>
      </c>
      <c r="F51">
        <v>23</v>
      </c>
      <c r="G51">
        <v>-62</v>
      </c>
      <c r="H51">
        <v>31.07</v>
      </c>
      <c r="I51">
        <v>2</v>
      </c>
      <c r="J51">
        <v>3.26</v>
      </c>
      <c r="K51" s="245">
        <v>-67.03</v>
      </c>
      <c r="L51" s="245">
        <v>15.25</v>
      </c>
      <c r="M51" s="245">
        <v>1453</v>
      </c>
      <c r="N51" s="257" t="s">
        <v>6830</v>
      </c>
    </row>
    <row r="52" spans="1:14">
      <c r="A52">
        <v>1326</v>
      </c>
      <c r="B52" t="s">
        <v>4818</v>
      </c>
      <c r="C52">
        <v>586</v>
      </c>
      <c r="D52">
        <v>98</v>
      </c>
      <c r="E52">
        <v>124</v>
      </c>
      <c r="F52">
        <v>0</v>
      </c>
      <c r="G52">
        <v>10</v>
      </c>
      <c r="H52">
        <v>9.41</v>
      </c>
      <c r="I52">
        <v>4.8</v>
      </c>
      <c r="J52">
        <v>6.56</v>
      </c>
      <c r="K52" s="245">
        <v>-11.56</v>
      </c>
      <c r="L52" s="245">
        <v>31.15</v>
      </c>
      <c r="M52" s="245">
        <v>4284.6499999999996</v>
      </c>
      <c r="N52" s="257" t="s">
        <v>6830</v>
      </c>
    </row>
    <row r="53" spans="1:14">
      <c r="A53">
        <v>1336</v>
      </c>
      <c r="B53" t="s">
        <v>4819</v>
      </c>
      <c r="C53">
        <v>7.7</v>
      </c>
      <c r="D53">
        <v>-60</v>
      </c>
      <c r="E53">
        <v>102</v>
      </c>
      <c r="F53">
        <v>2</v>
      </c>
      <c r="G53">
        <v>7</v>
      </c>
      <c r="H53">
        <v>6.75</v>
      </c>
      <c r="I53">
        <v>0.4</v>
      </c>
      <c r="J53">
        <v>1</v>
      </c>
      <c r="K53" s="245">
        <v>-23.69</v>
      </c>
      <c r="L53" s="245">
        <v>33.020000000000003</v>
      </c>
      <c r="M53" s="245">
        <v>37.25</v>
      </c>
      <c r="N53" s="257" t="s">
        <v>6830</v>
      </c>
    </row>
    <row r="54" spans="1:14">
      <c r="A54">
        <v>1337</v>
      </c>
      <c r="B54" t="s">
        <v>4820</v>
      </c>
      <c r="C54">
        <v>26.89</v>
      </c>
      <c r="D54">
        <v>64</v>
      </c>
      <c r="E54">
        <v>60</v>
      </c>
      <c r="F54">
        <v>75</v>
      </c>
      <c r="G54">
        <v>-50</v>
      </c>
      <c r="H54">
        <v>-47.84</v>
      </c>
      <c r="I54">
        <v>0</v>
      </c>
      <c r="J54">
        <v>-1.71</v>
      </c>
      <c r="K54" s="245">
        <v>-32.03</v>
      </c>
      <c r="L54" s="245">
        <v>13.68</v>
      </c>
      <c r="M54" s="245">
        <v>249.45</v>
      </c>
      <c r="N54" s="257" t="s">
        <v>6830</v>
      </c>
    </row>
    <row r="55" spans="1:14">
      <c r="A55">
        <v>1338</v>
      </c>
      <c r="B55" t="s">
        <v>4821</v>
      </c>
      <c r="C55">
        <v>8.3800000000000008</v>
      </c>
      <c r="D55">
        <v>22</v>
      </c>
      <c r="E55">
        <v>0</v>
      </c>
      <c r="F55">
        <v>-42</v>
      </c>
      <c r="G55">
        <v>-25</v>
      </c>
      <c r="H55">
        <v>3.47</v>
      </c>
      <c r="I55">
        <v>2.5</v>
      </c>
      <c r="J55">
        <v>4.04</v>
      </c>
      <c r="K55" s="245">
        <v>-27.32</v>
      </c>
      <c r="L55" s="245">
        <v>24.14</v>
      </c>
      <c r="M55" s="245">
        <v>161.4</v>
      </c>
      <c r="N55" s="257" t="s">
        <v>6830</v>
      </c>
    </row>
    <row r="56" spans="1:14">
      <c r="A56">
        <v>1339</v>
      </c>
      <c r="B56" t="s">
        <v>4822</v>
      </c>
      <c r="C56">
        <v>7.41</v>
      </c>
      <c r="D56">
        <v>6</v>
      </c>
      <c r="E56">
        <v>-50</v>
      </c>
      <c r="F56">
        <v>10</v>
      </c>
      <c r="G56">
        <v>4</v>
      </c>
      <c r="H56">
        <v>9.1</v>
      </c>
      <c r="I56">
        <v>2</v>
      </c>
      <c r="J56">
        <v>1.83</v>
      </c>
      <c r="K56" s="245">
        <v>-10.39</v>
      </c>
      <c r="L56" s="245">
        <v>77.989999999999995</v>
      </c>
      <c r="M56" s="245">
        <v>90.8</v>
      </c>
      <c r="N56" s="257" t="s">
        <v>6831</v>
      </c>
    </row>
    <row r="57" spans="1:14">
      <c r="A57">
        <v>1340</v>
      </c>
      <c r="B57" t="s">
        <v>4823</v>
      </c>
      <c r="C57">
        <v>15.29</v>
      </c>
      <c r="D57">
        <v>-31</v>
      </c>
      <c r="E57">
        <v>-30</v>
      </c>
      <c r="F57">
        <v>-42</v>
      </c>
      <c r="G57">
        <v>-52</v>
      </c>
      <c r="H57">
        <v>-80.489999999999995</v>
      </c>
      <c r="I57">
        <v>0</v>
      </c>
      <c r="J57">
        <v>-3.35</v>
      </c>
      <c r="K57" s="245">
        <v>-20.16</v>
      </c>
      <c r="L57" s="245">
        <v>17.13</v>
      </c>
      <c r="M57" s="245">
        <v>86.15</v>
      </c>
      <c r="N57" s="257" t="s">
        <v>6830</v>
      </c>
    </row>
    <row r="58" spans="1:14">
      <c r="A58">
        <v>1341</v>
      </c>
      <c r="B58" t="s">
        <v>6423</v>
      </c>
      <c r="C58">
        <v>5.04</v>
      </c>
      <c r="D58">
        <v>-4</v>
      </c>
      <c r="E58">
        <v>-9</v>
      </c>
      <c r="F58">
        <v>-23</v>
      </c>
      <c r="G58">
        <v>28</v>
      </c>
      <c r="H58">
        <v>12.82</v>
      </c>
      <c r="I58">
        <v>6</v>
      </c>
      <c r="J58">
        <v>5.99</v>
      </c>
      <c r="K58" s="245">
        <v>-16.34</v>
      </c>
      <c r="L58" s="245">
        <v>72.239999999999995</v>
      </c>
      <c r="M58" s="245">
        <v>7.5</v>
      </c>
      <c r="N58" s="257" t="s">
        <v>6831</v>
      </c>
    </row>
    <row r="59" spans="1:14">
      <c r="A59">
        <v>1342</v>
      </c>
      <c r="B59" t="s">
        <v>4824</v>
      </c>
      <c r="C59">
        <v>6.78</v>
      </c>
      <c r="D59">
        <v>35</v>
      </c>
      <c r="E59">
        <v>26</v>
      </c>
      <c r="F59">
        <v>0</v>
      </c>
      <c r="G59">
        <v>58</v>
      </c>
      <c r="H59">
        <v>15.28</v>
      </c>
      <c r="I59">
        <v>3</v>
      </c>
      <c r="J59">
        <v>3.92</v>
      </c>
      <c r="K59" s="245">
        <v>-0.13</v>
      </c>
      <c r="L59" s="245">
        <v>84.78</v>
      </c>
      <c r="M59" s="245">
        <v>329.85</v>
      </c>
      <c r="N59" s="257" t="s">
        <v>6832</v>
      </c>
    </row>
    <row r="60" spans="1:14">
      <c r="A60">
        <v>1402</v>
      </c>
      <c r="B60" t="s">
        <v>4825</v>
      </c>
      <c r="C60">
        <v>535</v>
      </c>
      <c r="D60">
        <v>14</v>
      </c>
      <c r="E60">
        <v>17</v>
      </c>
      <c r="F60">
        <v>-6</v>
      </c>
      <c r="G60">
        <v>18</v>
      </c>
      <c r="H60">
        <v>4.9000000000000004</v>
      </c>
      <c r="I60">
        <v>1.5</v>
      </c>
      <c r="J60">
        <v>1.94</v>
      </c>
      <c r="K60" s="245">
        <v>-8.44</v>
      </c>
      <c r="L60" s="245">
        <v>76.72</v>
      </c>
      <c r="M60" s="245">
        <v>6919.3</v>
      </c>
      <c r="N60" s="257" t="s">
        <v>6831</v>
      </c>
    </row>
    <row r="61" spans="1:14">
      <c r="A61">
        <v>1409</v>
      </c>
      <c r="B61" t="s">
        <v>4826</v>
      </c>
      <c r="C61">
        <v>161</v>
      </c>
      <c r="D61">
        <v>32</v>
      </c>
      <c r="E61">
        <v>97</v>
      </c>
      <c r="F61">
        <v>-8</v>
      </c>
      <c r="G61">
        <v>11</v>
      </c>
      <c r="H61">
        <v>14.5</v>
      </c>
      <c r="I61">
        <v>1.4</v>
      </c>
      <c r="J61">
        <v>2.41</v>
      </c>
      <c r="K61" s="245">
        <v>-21.05</v>
      </c>
      <c r="L61" s="245">
        <v>20.94</v>
      </c>
      <c r="M61" s="245">
        <v>2724.4</v>
      </c>
      <c r="N61" s="257" t="s">
        <v>6830</v>
      </c>
    </row>
    <row r="62" spans="1:14">
      <c r="A62">
        <v>1410</v>
      </c>
      <c r="B62" t="s">
        <v>4827</v>
      </c>
      <c r="C62">
        <v>6.3</v>
      </c>
      <c r="D62">
        <v>39</v>
      </c>
      <c r="E62">
        <v>24</v>
      </c>
      <c r="F62">
        <v>-9</v>
      </c>
      <c r="G62">
        <v>-12</v>
      </c>
      <c r="H62">
        <v>22.85</v>
      </c>
      <c r="I62">
        <v>1.3</v>
      </c>
      <c r="J62">
        <v>1.29</v>
      </c>
      <c r="K62" s="245">
        <v>-11.92</v>
      </c>
      <c r="L62" s="245">
        <v>21.03</v>
      </c>
      <c r="M62" s="245">
        <v>53.6</v>
      </c>
      <c r="N62" s="257" t="s">
        <v>6830</v>
      </c>
    </row>
    <row r="63" spans="1:14">
      <c r="A63">
        <v>1413</v>
      </c>
      <c r="B63" t="s">
        <v>6424</v>
      </c>
      <c r="C63">
        <v>13.21</v>
      </c>
      <c r="D63">
        <v>165</v>
      </c>
      <c r="E63">
        <v>160</v>
      </c>
      <c r="F63">
        <v>-4</v>
      </c>
      <c r="G63">
        <v>29</v>
      </c>
      <c r="H63">
        <v>3.35</v>
      </c>
      <c r="I63">
        <v>0</v>
      </c>
      <c r="J63">
        <v>0.8</v>
      </c>
      <c r="K63" s="245">
        <v>-26.67</v>
      </c>
      <c r="L63" s="245">
        <v>24.86</v>
      </c>
      <c r="M63" s="245">
        <v>228.5</v>
      </c>
      <c r="N63" s="257" t="s">
        <v>6830</v>
      </c>
    </row>
    <row r="64" spans="1:14">
      <c r="A64">
        <v>1414</v>
      </c>
      <c r="B64" t="s">
        <v>4828</v>
      </c>
      <c r="C64">
        <v>22</v>
      </c>
      <c r="D64">
        <v>143</v>
      </c>
      <c r="E64">
        <v>945</v>
      </c>
      <c r="F64">
        <v>2</v>
      </c>
      <c r="G64">
        <v>-9</v>
      </c>
      <c r="H64">
        <v>12.63</v>
      </c>
      <c r="I64">
        <v>0.54</v>
      </c>
      <c r="J64">
        <v>0.65</v>
      </c>
      <c r="K64" s="245">
        <v>-19.41</v>
      </c>
      <c r="L64" s="245">
        <v>43.48</v>
      </c>
      <c r="M64" s="245">
        <v>349.65</v>
      </c>
      <c r="N64" s="257" t="s">
        <v>6831</v>
      </c>
    </row>
    <row r="65" spans="1:14">
      <c r="A65">
        <v>1416</v>
      </c>
      <c r="B65" t="s">
        <v>4829</v>
      </c>
      <c r="C65">
        <v>18.53</v>
      </c>
      <c r="D65">
        <v>123</v>
      </c>
      <c r="E65">
        <v>68</v>
      </c>
      <c r="F65">
        <v>5</v>
      </c>
      <c r="G65">
        <v>-13</v>
      </c>
      <c r="H65">
        <v>-23.06</v>
      </c>
      <c r="I65">
        <v>0.5</v>
      </c>
      <c r="J65">
        <v>0.44</v>
      </c>
      <c r="K65" s="245">
        <v>-12.24</v>
      </c>
      <c r="L65" s="245">
        <v>18.62</v>
      </c>
      <c r="M65" s="245">
        <v>176.75</v>
      </c>
      <c r="N65" s="257" t="s">
        <v>6831</v>
      </c>
    </row>
    <row r="66" spans="1:14">
      <c r="A66">
        <v>1417</v>
      </c>
      <c r="B66" t="s">
        <v>4830</v>
      </c>
      <c r="C66">
        <v>18.989999999999998</v>
      </c>
      <c r="D66">
        <v>127</v>
      </c>
      <c r="E66">
        <v>109</v>
      </c>
      <c r="F66">
        <v>-24</v>
      </c>
      <c r="G66">
        <v>-1</v>
      </c>
      <c r="H66">
        <v>2.66</v>
      </c>
      <c r="I66">
        <v>0.35</v>
      </c>
      <c r="J66">
        <v>0.51</v>
      </c>
      <c r="K66" s="245">
        <v>-42.15</v>
      </c>
      <c r="L66" s="245">
        <v>6.46</v>
      </c>
      <c r="M66" s="245">
        <v>211.35</v>
      </c>
      <c r="N66" s="257" t="s">
        <v>6830</v>
      </c>
    </row>
    <row r="67" spans="1:14">
      <c r="A67">
        <v>1418</v>
      </c>
      <c r="B67" t="s">
        <v>6425</v>
      </c>
      <c r="C67">
        <v>5.68</v>
      </c>
      <c r="D67">
        <v>26</v>
      </c>
      <c r="E67">
        <v>10</v>
      </c>
      <c r="F67">
        <v>-97</v>
      </c>
      <c r="G67">
        <v>-98</v>
      </c>
      <c r="H67">
        <v>-625.14</v>
      </c>
      <c r="I67">
        <v>0</v>
      </c>
      <c r="J67">
        <v>-3.1</v>
      </c>
      <c r="K67" s="245">
        <v>-2.44</v>
      </c>
      <c r="L67" s="245">
        <v>84.57</v>
      </c>
      <c r="M67" s="245">
        <v>141</v>
      </c>
      <c r="N67" s="257" t="s">
        <v>6832</v>
      </c>
    </row>
    <row r="68" spans="1:14">
      <c r="A68">
        <v>1419</v>
      </c>
      <c r="B68" t="s">
        <v>4831</v>
      </c>
      <c r="C68">
        <v>30</v>
      </c>
      <c r="D68">
        <v>23</v>
      </c>
      <c r="E68">
        <v>22</v>
      </c>
      <c r="F68">
        <v>-11</v>
      </c>
      <c r="G68">
        <v>5</v>
      </c>
      <c r="H68">
        <v>7.28</v>
      </c>
      <c r="I68">
        <v>1</v>
      </c>
      <c r="J68">
        <v>1.51</v>
      </c>
      <c r="K68" s="245">
        <v>-8.73</v>
      </c>
      <c r="L68" s="245">
        <v>28.86</v>
      </c>
      <c r="M68" s="245">
        <v>60.5</v>
      </c>
      <c r="N68" s="257" t="s">
        <v>6831</v>
      </c>
    </row>
    <row r="69" spans="1:14">
      <c r="A69">
        <v>1423</v>
      </c>
      <c r="B69" t="s">
        <v>4832</v>
      </c>
      <c r="C69">
        <v>13.84</v>
      </c>
      <c r="D69">
        <v>-56</v>
      </c>
      <c r="E69">
        <v>66</v>
      </c>
      <c r="F69">
        <v>-43</v>
      </c>
      <c r="G69">
        <v>-6</v>
      </c>
      <c r="H69">
        <v>-34.82</v>
      </c>
      <c r="I69">
        <v>0.75</v>
      </c>
      <c r="J69">
        <v>1.1100000000000001</v>
      </c>
      <c r="K69" s="245">
        <v>-13.72</v>
      </c>
      <c r="L69" s="245">
        <v>38.72</v>
      </c>
      <c r="M69" s="245">
        <v>82.4</v>
      </c>
      <c r="N69" s="257" t="s">
        <v>6831</v>
      </c>
    </row>
    <row r="70" spans="1:14">
      <c r="A70">
        <v>1432</v>
      </c>
      <c r="B70" t="s">
        <v>6426</v>
      </c>
      <c r="C70">
        <v>9</v>
      </c>
      <c r="D70">
        <v>-1083</v>
      </c>
      <c r="E70">
        <v>-221</v>
      </c>
      <c r="F70">
        <v>-11</v>
      </c>
      <c r="G70">
        <v>0</v>
      </c>
      <c r="H70">
        <v>-18.34</v>
      </c>
      <c r="I70">
        <v>0</v>
      </c>
      <c r="J70">
        <v>-2.0499999999999998</v>
      </c>
      <c r="K70" s="245">
        <v>-51.64</v>
      </c>
      <c r="L70" s="245">
        <v>6.71</v>
      </c>
      <c r="M70" s="245">
        <v>492.6</v>
      </c>
      <c r="N70" s="257" t="s">
        <v>6830</v>
      </c>
    </row>
    <row r="71" spans="1:14">
      <c r="A71">
        <v>1434</v>
      </c>
      <c r="B71" t="s">
        <v>4833</v>
      </c>
      <c r="C71">
        <v>168</v>
      </c>
      <c r="D71">
        <v>2</v>
      </c>
      <c r="E71">
        <v>168</v>
      </c>
      <c r="F71">
        <v>-1</v>
      </c>
      <c r="G71">
        <v>6</v>
      </c>
      <c r="H71">
        <v>4.7300000000000004</v>
      </c>
      <c r="I71">
        <v>1</v>
      </c>
      <c r="J71">
        <v>1.27</v>
      </c>
      <c r="K71" s="245">
        <v>-22.11</v>
      </c>
      <c r="L71" s="245">
        <v>15.19</v>
      </c>
      <c r="M71" s="245">
        <v>1778.55</v>
      </c>
      <c r="N71" s="257" t="s">
        <v>6830</v>
      </c>
    </row>
    <row r="72" spans="1:14">
      <c r="A72">
        <v>1435</v>
      </c>
      <c r="B72" t="s">
        <v>6427</v>
      </c>
      <c r="C72">
        <v>13.97</v>
      </c>
      <c r="D72">
        <v>131</v>
      </c>
      <c r="E72">
        <v>-65</v>
      </c>
      <c r="F72">
        <v>-4</v>
      </c>
      <c r="G72">
        <v>-16</v>
      </c>
      <c r="H72">
        <v>-238.38</v>
      </c>
      <c r="I72">
        <v>0</v>
      </c>
      <c r="J72">
        <v>0.05</v>
      </c>
      <c r="K72" s="245">
        <v>-28.81</v>
      </c>
      <c r="L72" s="245">
        <v>39.479999999999997</v>
      </c>
      <c r="M72" s="245">
        <v>59.95</v>
      </c>
      <c r="N72" s="257" t="s">
        <v>6831</v>
      </c>
    </row>
    <row r="73" spans="1:14">
      <c r="A73">
        <v>1436</v>
      </c>
      <c r="B73" t="s">
        <v>4834</v>
      </c>
      <c r="C73">
        <v>9.6199999999999992</v>
      </c>
      <c r="D73">
        <v>170</v>
      </c>
      <c r="E73">
        <v>96</v>
      </c>
      <c r="F73">
        <v>64</v>
      </c>
      <c r="G73">
        <v>-99</v>
      </c>
      <c r="H73">
        <v>20.82</v>
      </c>
      <c r="I73">
        <v>4.16</v>
      </c>
      <c r="J73">
        <v>5.08</v>
      </c>
      <c r="K73" s="245">
        <v>-6.2</v>
      </c>
      <c r="L73" s="245">
        <v>68.790000000000006</v>
      </c>
      <c r="M73" s="245">
        <v>94.3</v>
      </c>
      <c r="N73" s="257" t="s">
        <v>6832</v>
      </c>
    </row>
    <row r="74" spans="1:14">
      <c r="A74">
        <v>1437</v>
      </c>
      <c r="B74" t="s">
        <v>4835</v>
      </c>
      <c r="C74">
        <v>20.329999999999998</v>
      </c>
      <c r="D74">
        <v>28</v>
      </c>
      <c r="E74">
        <v>1</v>
      </c>
      <c r="F74">
        <v>0</v>
      </c>
      <c r="G74">
        <v>22</v>
      </c>
      <c r="H74">
        <v>52.71</v>
      </c>
      <c r="I74">
        <v>0.9</v>
      </c>
      <c r="J74">
        <v>2.25</v>
      </c>
      <c r="K74" s="245">
        <v>-19.190000000000001</v>
      </c>
      <c r="L74" s="245">
        <v>19.11</v>
      </c>
      <c r="M74" s="245">
        <v>462.85</v>
      </c>
      <c r="N74" s="257" t="s">
        <v>6830</v>
      </c>
    </row>
    <row r="75" spans="1:14">
      <c r="A75">
        <v>1438</v>
      </c>
      <c r="B75" t="s">
        <v>4836</v>
      </c>
      <c r="C75">
        <v>7.12</v>
      </c>
      <c r="D75">
        <v>-34</v>
      </c>
      <c r="E75">
        <v>-120</v>
      </c>
      <c r="F75">
        <v>-100</v>
      </c>
      <c r="G75">
        <v>-100</v>
      </c>
      <c r="H75">
        <v>-77.83</v>
      </c>
      <c r="I75">
        <v>0</v>
      </c>
      <c r="J75">
        <v>0.56999999999999995</v>
      </c>
      <c r="K75" s="245">
        <v>-16.149999999999999</v>
      </c>
      <c r="L75" s="245">
        <v>64.27</v>
      </c>
      <c r="M75" s="245">
        <v>84.75</v>
      </c>
      <c r="N75" s="257" t="s">
        <v>6831</v>
      </c>
    </row>
    <row r="76" spans="1:14">
      <c r="A76">
        <v>1439</v>
      </c>
      <c r="B76" t="s">
        <v>4837</v>
      </c>
      <c r="C76">
        <v>9.1999999999999993</v>
      </c>
      <c r="D76">
        <v>152</v>
      </c>
      <c r="E76">
        <v>6</v>
      </c>
      <c r="F76">
        <v>-95</v>
      </c>
      <c r="G76">
        <v>-96</v>
      </c>
      <c r="H76">
        <v>-35.69</v>
      </c>
      <c r="I76">
        <v>0.2</v>
      </c>
      <c r="J76">
        <v>1.39</v>
      </c>
      <c r="K76" s="245">
        <v>-15.09</v>
      </c>
      <c r="L76" s="245">
        <v>31.09</v>
      </c>
      <c r="M76" s="245">
        <v>17.100000000000001</v>
      </c>
      <c r="N76" s="257" t="s">
        <v>6830</v>
      </c>
    </row>
    <row r="77" spans="1:14">
      <c r="A77">
        <v>1440</v>
      </c>
      <c r="B77" t="s">
        <v>4838</v>
      </c>
      <c r="C77">
        <v>165</v>
      </c>
      <c r="D77">
        <v>205</v>
      </c>
      <c r="E77">
        <v>745</v>
      </c>
      <c r="F77">
        <v>-14</v>
      </c>
      <c r="G77">
        <v>-6</v>
      </c>
      <c r="H77">
        <v>6.03</v>
      </c>
      <c r="I77">
        <v>0.8</v>
      </c>
      <c r="J77">
        <v>1.77</v>
      </c>
      <c r="K77" s="245">
        <v>-36.770000000000003</v>
      </c>
      <c r="L77" s="245">
        <v>12.14</v>
      </c>
      <c r="M77" s="245">
        <v>4854.8</v>
      </c>
      <c r="N77" s="257" t="s">
        <v>6830</v>
      </c>
    </row>
    <row r="78" spans="1:14">
      <c r="A78">
        <v>1441</v>
      </c>
      <c r="B78" t="s">
        <v>6428</v>
      </c>
      <c r="C78">
        <v>10.08</v>
      </c>
      <c r="D78">
        <v>44</v>
      </c>
      <c r="E78">
        <v>54</v>
      </c>
      <c r="F78">
        <v>-23</v>
      </c>
      <c r="G78">
        <v>23</v>
      </c>
      <c r="H78">
        <v>-7.4</v>
      </c>
      <c r="I78">
        <v>0</v>
      </c>
      <c r="J78">
        <v>-0.75</v>
      </c>
      <c r="K78" s="245">
        <v>-38.880000000000003</v>
      </c>
      <c r="L78" s="245">
        <v>13.98</v>
      </c>
      <c r="M78" s="245">
        <v>64.8</v>
      </c>
      <c r="N78" s="257" t="s">
        <v>6830</v>
      </c>
    </row>
    <row r="79" spans="1:14">
      <c r="A79">
        <v>1442</v>
      </c>
      <c r="B79" t="s">
        <v>4839</v>
      </c>
      <c r="C79">
        <v>36.619999999999997</v>
      </c>
      <c r="D79">
        <v>570</v>
      </c>
      <c r="E79">
        <v>365</v>
      </c>
      <c r="F79">
        <v>-60</v>
      </c>
      <c r="G79">
        <v>-19</v>
      </c>
      <c r="H79">
        <v>14.8</v>
      </c>
      <c r="I79">
        <v>1.2</v>
      </c>
      <c r="J79">
        <v>1.41</v>
      </c>
      <c r="K79" s="245">
        <v>-19.850000000000001</v>
      </c>
      <c r="L79" s="245">
        <v>29.99</v>
      </c>
      <c r="M79" s="245">
        <v>283.05</v>
      </c>
      <c r="N79" s="257" t="s">
        <v>6831</v>
      </c>
    </row>
    <row r="80" spans="1:14">
      <c r="A80">
        <v>1443</v>
      </c>
      <c r="B80" t="s">
        <v>6356</v>
      </c>
      <c r="C80">
        <v>13.53</v>
      </c>
      <c r="D80">
        <v>447</v>
      </c>
      <c r="E80">
        <v>100</v>
      </c>
      <c r="F80">
        <v>-22</v>
      </c>
      <c r="G80">
        <v>-2</v>
      </c>
      <c r="H80">
        <v>21.01</v>
      </c>
      <c r="I80">
        <v>0</v>
      </c>
      <c r="J80">
        <v>1.65</v>
      </c>
      <c r="K80" s="245">
        <v>-15.45</v>
      </c>
      <c r="L80" s="245">
        <v>39.35</v>
      </c>
      <c r="M80" s="245">
        <v>234.85</v>
      </c>
      <c r="N80" s="257" t="s">
        <v>6831</v>
      </c>
    </row>
    <row r="81" spans="1:14">
      <c r="A81">
        <v>1444</v>
      </c>
      <c r="B81" t="s">
        <v>4840</v>
      </c>
      <c r="C81">
        <v>95.73</v>
      </c>
      <c r="D81">
        <v>253</v>
      </c>
      <c r="E81">
        <v>183</v>
      </c>
      <c r="F81">
        <v>39</v>
      </c>
      <c r="G81">
        <v>87</v>
      </c>
      <c r="H81">
        <v>1.93</v>
      </c>
      <c r="I81">
        <v>0.3</v>
      </c>
      <c r="J81">
        <v>0.68</v>
      </c>
      <c r="K81" s="245">
        <v>-27.93</v>
      </c>
      <c r="L81" s="245">
        <v>38.31</v>
      </c>
      <c r="M81" s="245">
        <v>3069.85</v>
      </c>
      <c r="N81" s="257" t="s">
        <v>6830</v>
      </c>
    </row>
    <row r="82" spans="1:14">
      <c r="A82">
        <v>1445</v>
      </c>
      <c r="B82" t="s">
        <v>4841</v>
      </c>
      <c r="C82">
        <v>13.06</v>
      </c>
      <c r="D82">
        <v>56</v>
      </c>
      <c r="E82">
        <v>60</v>
      </c>
      <c r="F82">
        <v>5</v>
      </c>
      <c r="G82">
        <v>38</v>
      </c>
      <c r="H82">
        <v>-3.81</v>
      </c>
      <c r="I82">
        <v>0</v>
      </c>
      <c r="J82">
        <v>-0.19</v>
      </c>
      <c r="K82" s="245">
        <v>-14.33</v>
      </c>
      <c r="L82" s="245">
        <v>13.15</v>
      </c>
      <c r="M82" s="245">
        <v>25.15</v>
      </c>
      <c r="N82" s="257" t="s">
        <v>6831</v>
      </c>
    </row>
    <row r="83" spans="1:14">
      <c r="A83">
        <v>1446</v>
      </c>
      <c r="B83" t="s">
        <v>4842</v>
      </c>
      <c r="C83">
        <v>13.77</v>
      </c>
      <c r="D83">
        <v>-130</v>
      </c>
      <c r="E83">
        <v>-552</v>
      </c>
      <c r="F83">
        <v>-6</v>
      </c>
      <c r="G83">
        <v>13</v>
      </c>
      <c r="H83">
        <v>-6.28</v>
      </c>
      <c r="I83">
        <v>0.3</v>
      </c>
      <c r="J83">
        <v>-0.12</v>
      </c>
      <c r="K83" s="245">
        <v>-8.91</v>
      </c>
      <c r="L83" s="245">
        <v>50.31</v>
      </c>
      <c r="M83" s="245">
        <v>69.650000000000006</v>
      </c>
      <c r="N83" s="257" t="s">
        <v>6831</v>
      </c>
    </row>
    <row r="84" spans="1:14">
      <c r="A84">
        <v>1447</v>
      </c>
      <c r="B84" t="s">
        <v>4843</v>
      </c>
      <c r="C84">
        <v>91.44</v>
      </c>
      <c r="D84">
        <v>166</v>
      </c>
      <c r="E84">
        <v>199</v>
      </c>
      <c r="F84">
        <v>-41</v>
      </c>
      <c r="G84">
        <v>-8</v>
      </c>
      <c r="H84">
        <v>1.46</v>
      </c>
      <c r="I84">
        <v>0</v>
      </c>
      <c r="J84">
        <v>0.31</v>
      </c>
      <c r="K84" s="245">
        <v>-44.65</v>
      </c>
      <c r="L84" s="245">
        <v>17.63</v>
      </c>
      <c r="M84" s="245">
        <v>1630.65</v>
      </c>
      <c r="N84" s="257" t="s">
        <v>6830</v>
      </c>
    </row>
    <row r="85" spans="1:14">
      <c r="A85">
        <v>1449</v>
      </c>
      <c r="B85" t="s">
        <v>6172</v>
      </c>
      <c r="C85">
        <v>11.34</v>
      </c>
      <c r="D85">
        <v>158</v>
      </c>
      <c r="E85">
        <v>35</v>
      </c>
      <c r="F85">
        <v>-12</v>
      </c>
      <c r="G85">
        <v>-8</v>
      </c>
      <c r="H85">
        <v>-6.18</v>
      </c>
      <c r="I85">
        <v>0</v>
      </c>
      <c r="J85">
        <v>0.83</v>
      </c>
      <c r="K85" s="245">
        <v>-32.33</v>
      </c>
      <c r="L85" s="245">
        <v>30.89</v>
      </c>
      <c r="M85" s="245">
        <v>38.6</v>
      </c>
      <c r="N85" s="257" t="s">
        <v>6830</v>
      </c>
    </row>
    <row r="86" spans="1:14">
      <c r="A86">
        <v>1451</v>
      </c>
      <c r="B86" t="s">
        <v>4844</v>
      </c>
      <c r="C86">
        <v>20.72</v>
      </c>
      <c r="D86">
        <v>157</v>
      </c>
      <c r="E86">
        <v>182</v>
      </c>
      <c r="F86">
        <v>18</v>
      </c>
      <c r="G86">
        <v>36</v>
      </c>
      <c r="H86">
        <v>3.09</v>
      </c>
      <c r="I86">
        <v>1</v>
      </c>
      <c r="J86">
        <v>1.23</v>
      </c>
      <c r="K86" s="245">
        <v>-10.69</v>
      </c>
      <c r="L86" s="245">
        <v>74.239999999999995</v>
      </c>
      <c r="M86" s="245">
        <v>334.55</v>
      </c>
      <c r="N86" s="257" t="s">
        <v>6831</v>
      </c>
    </row>
    <row r="87" spans="1:14">
      <c r="A87">
        <v>1452</v>
      </c>
      <c r="B87" t="s">
        <v>4845</v>
      </c>
      <c r="C87">
        <v>13.26</v>
      </c>
      <c r="D87">
        <v>260</v>
      </c>
      <c r="E87">
        <v>465</v>
      </c>
      <c r="F87">
        <v>-14</v>
      </c>
      <c r="G87">
        <v>1</v>
      </c>
      <c r="H87">
        <v>11.18</v>
      </c>
      <c r="I87">
        <v>2</v>
      </c>
      <c r="J87">
        <v>2.65</v>
      </c>
      <c r="K87" s="245">
        <v>-28.34</v>
      </c>
      <c r="L87" s="245">
        <v>26.22</v>
      </c>
      <c r="M87" s="245">
        <v>380.65</v>
      </c>
      <c r="N87" s="257" t="s">
        <v>6830</v>
      </c>
    </row>
    <row r="88" spans="1:14">
      <c r="A88">
        <v>1453</v>
      </c>
      <c r="B88" t="s">
        <v>4846</v>
      </c>
      <c r="C88">
        <v>10.06</v>
      </c>
      <c r="D88">
        <v>592</v>
      </c>
      <c r="E88">
        <v>-190</v>
      </c>
      <c r="F88">
        <v>-99</v>
      </c>
      <c r="G88">
        <v>0</v>
      </c>
      <c r="H88">
        <v>-21.74</v>
      </c>
      <c r="I88">
        <v>0.3</v>
      </c>
      <c r="J88">
        <v>1.05</v>
      </c>
      <c r="K88" s="245">
        <v>-11</v>
      </c>
      <c r="L88" s="245">
        <v>81.06</v>
      </c>
      <c r="M88" s="245">
        <v>4615.45</v>
      </c>
      <c r="N88" s="257" t="s">
        <v>6832</v>
      </c>
    </row>
    <row r="89" spans="1:14">
      <c r="A89">
        <v>1454</v>
      </c>
      <c r="B89" t="s">
        <v>4847</v>
      </c>
      <c r="C89">
        <v>12.98</v>
      </c>
      <c r="D89">
        <v>113</v>
      </c>
      <c r="E89">
        <v>88</v>
      </c>
      <c r="F89">
        <v>-4</v>
      </c>
      <c r="G89">
        <v>31</v>
      </c>
      <c r="H89">
        <v>-0.73</v>
      </c>
      <c r="I89">
        <v>0.5</v>
      </c>
      <c r="J89">
        <v>0.04</v>
      </c>
      <c r="K89" s="245">
        <v>-9.52</v>
      </c>
      <c r="L89" s="245">
        <v>45.88</v>
      </c>
      <c r="M89" s="245">
        <v>95.95</v>
      </c>
      <c r="N89" s="257" t="s">
        <v>6832</v>
      </c>
    </row>
    <row r="90" spans="1:14">
      <c r="A90">
        <v>1455</v>
      </c>
      <c r="B90" t="s">
        <v>4848</v>
      </c>
      <c r="C90">
        <v>53.16</v>
      </c>
      <c r="D90">
        <v>2393</v>
      </c>
      <c r="E90">
        <v>331</v>
      </c>
      <c r="F90">
        <v>-19</v>
      </c>
      <c r="G90">
        <v>3</v>
      </c>
      <c r="H90">
        <v>5.78</v>
      </c>
      <c r="I90">
        <v>0.8</v>
      </c>
      <c r="J90">
        <v>1.73</v>
      </c>
      <c r="K90" s="245">
        <v>-52.64</v>
      </c>
      <c r="L90" s="245">
        <v>15.53</v>
      </c>
      <c r="M90" s="245">
        <v>1652.7</v>
      </c>
      <c r="N90" s="257" t="s">
        <v>6830</v>
      </c>
    </row>
    <row r="91" spans="1:14">
      <c r="A91">
        <v>1456</v>
      </c>
      <c r="B91" t="s">
        <v>4849</v>
      </c>
      <c r="C91">
        <v>9.3699999999999992</v>
      </c>
      <c r="D91">
        <v>567</v>
      </c>
      <c r="E91">
        <v>287</v>
      </c>
      <c r="F91">
        <v>122</v>
      </c>
      <c r="G91">
        <v>23</v>
      </c>
      <c r="H91">
        <v>24.73</v>
      </c>
      <c r="I91">
        <v>1.5</v>
      </c>
      <c r="J91">
        <v>4.8499999999999996</v>
      </c>
      <c r="K91" s="245">
        <v>-38.97</v>
      </c>
      <c r="L91" s="245">
        <v>25.63</v>
      </c>
      <c r="M91" s="245">
        <v>34.950000000000003</v>
      </c>
      <c r="N91" s="257" t="s">
        <v>6830</v>
      </c>
    </row>
    <row r="92" spans="1:14">
      <c r="A92">
        <v>1457</v>
      </c>
      <c r="B92" t="s">
        <v>4850</v>
      </c>
      <c r="C92">
        <v>30.16</v>
      </c>
      <c r="D92">
        <v>-34</v>
      </c>
      <c r="E92">
        <v>-63</v>
      </c>
      <c r="F92">
        <v>-7</v>
      </c>
      <c r="G92">
        <v>12</v>
      </c>
      <c r="H92">
        <v>7.96</v>
      </c>
      <c r="I92">
        <v>1</v>
      </c>
      <c r="J92">
        <v>0.9</v>
      </c>
      <c r="K92" s="245">
        <v>-10.77</v>
      </c>
      <c r="L92" s="245">
        <v>37.119999999999997</v>
      </c>
      <c r="M92" s="245">
        <v>431.55</v>
      </c>
      <c r="N92" s="257" t="s">
        <v>6831</v>
      </c>
    </row>
    <row r="93" spans="1:14">
      <c r="A93">
        <v>1459</v>
      </c>
      <c r="B93" t="s">
        <v>4851</v>
      </c>
      <c r="C93">
        <v>35.86</v>
      </c>
      <c r="D93">
        <v>514</v>
      </c>
      <c r="E93">
        <v>71</v>
      </c>
      <c r="F93">
        <v>-8</v>
      </c>
      <c r="G93">
        <v>-1</v>
      </c>
      <c r="H93">
        <v>-2.57</v>
      </c>
      <c r="I93">
        <v>0.2</v>
      </c>
      <c r="J93">
        <v>2.0099999999999998</v>
      </c>
      <c r="K93" s="245">
        <v>-37.69</v>
      </c>
      <c r="L93" s="245">
        <v>13.46</v>
      </c>
      <c r="M93" s="245">
        <v>263.5</v>
      </c>
      <c r="N93" s="257" t="s">
        <v>6830</v>
      </c>
    </row>
    <row r="94" spans="1:14">
      <c r="A94">
        <v>1460</v>
      </c>
      <c r="B94" t="s">
        <v>6227</v>
      </c>
      <c r="C94">
        <v>69.459999999999994</v>
      </c>
      <c r="D94">
        <v>119</v>
      </c>
      <c r="E94">
        <v>142</v>
      </c>
      <c r="F94">
        <v>-24</v>
      </c>
      <c r="G94">
        <v>-2</v>
      </c>
      <c r="H94">
        <v>3.64</v>
      </c>
      <c r="I94">
        <v>0</v>
      </c>
      <c r="J94">
        <v>0.39</v>
      </c>
      <c r="K94" s="245">
        <v>-48.62</v>
      </c>
      <c r="L94" s="245">
        <v>24.08</v>
      </c>
      <c r="M94" s="245">
        <v>1594</v>
      </c>
      <c r="N94" s="257" t="s">
        <v>6830</v>
      </c>
    </row>
    <row r="95" spans="1:14">
      <c r="A95">
        <v>1463</v>
      </c>
      <c r="B95" t="s">
        <v>4852</v>
      </c>
      <c r="C95">
        <v>17.32</v>
      </c>
      <c r="D95">
        <v>34</v>
      </c>
      <c r="E95">
        <v>-113</v>
      </c>
      <c r="F95">
        <v>-8</v>
      </c>
      <c r="G95">
        <v>5</v>
      </c>
      <c r="H95">
        <v>-0.25</v>
      </c>
      <c r="I95">
        <v>0.4</v>
      </c>
      <c r="J95">
        <v>0.49</v>
      </c>
      <c r="K95" s="245">
        <v>-16.98</v>
      </c>
      <c r="L95" s="245">
        <v>39.380000000000003</v>
      </c>
      <c r="M95" s="245">
        <v>80.150000000000006</v>
      </c>
      <c r="N95" s="257" t="s">
        <v>6830</v>
      </c>
    </row>
    <row r="96" spans="1:14">
      <c r="A96">
        <v>1464</v>
      </c>
      <c r="B96" t="s">
        <v>4853</v>
      </c>
      <c r="C96">
        <v>38.450000000000003</v>
      </c>
      <c r="D96">
        <v>194</v>
      </c>
      <c r="E96">
        <v>11661</v>
      </c>
      <c r="F96">
        <v>-11</v>
      </c>
      <c r="G96">
        <v>18</v>
      </c>
      <c r="H96">
        <v>3.54</v>
      </c>
      <c r="I96">
        <v>0.25</v>
      </c>
      <c r="J96">
        <v>0.48</v>
      </c>
      <c r="K96" s="245">
        <v>-25.27</v>
      </c>
      <c r="L96" s="245">
        <v>18.649999999999999</v>
      </c>
      <c r="M96" s="245">
        <v>448.15</v>
      </c>
      <c r="N96" s="257" t="s">
        <v>6830</v>
      </c>
    </row>
    <row r="97" spans="1:14">
      <c r="A97">
        <v>1465</v>
      </c>
      <c r="B97" t="s">
        <v>4854</v>
      </c>
      <c r="C97">
        <v>10.36</v>
      </c>
      <c r="D97">
        <v>-282</v>
      </c>
      <c r="E97">
        <v>-83</v>
      </c>
      <c r="F97">
        <v>-63</v>
      </c>
      <c r="G97">
        <v>23</v>
      </c>
      <c r="H97">
        <v>-7</v>
      </c>
      <c r="I97">
        <v>0.3</v>
      </c>
      <c r="J97">
        <v>-0.93</v>
      </c>
      <c r="K97" s="245">
        <v>-9.52</v>
      </c>
      <c r="L97" s="245">
        <v>44.34</v>
      </c>
      <c r="M97" s="245">
        <v>49.9</v>
      </c>
      <c r="N97" s="257" t="s">
        <v>6830</v>
      </c>
    </row>
    <row r="98" spans="1:14">
      <c r="A98">
        <v>1466</v>
      </c>
      <c r="B98" t="s">
        <v>4855</v>
      </c>
      <c r="C98">
        <v>11.11</v>
      </c>
      <c r="D98">
        <v>340</v>
      </c>
      <c r="E98">
        <v>1512</v>
      </c>
      <c r="F98">
        <v>-16</v>
      </c>
      <c r="G98">
        <v>1</v>
      </c>
      <c r="H98">
        <v>6.66</v>
      </c>
      <c r="I98">
        <v>1</v>
      </c>
      <c r="J98">
        <v>1.6</v>
      </c>
      <c r="K98" s="245">
        <v>-35.15</v>
      </c>
      <c r="L98" s="245">
        <v>27.1</v>
      </c>
      <c r="M98" s="245">
        <v>171.95</v>
      </c>
      <c r="N98" s="257" t="s">
        <v>6830</v>
      </c>
    </row>
    <row r="99" spans="1:14">
      <c r="A99">
        <v>1467</v>
      </c>
      <c r="B99" t="s">
        <v>4856</v>
      </c>
      <c r="C99">
        <v>23.36</v>
      </c>
      <c r="D99">
        <v>-125</v>
      </c>
      <c r="E99">
        <v>-78</v>
      </c>
      <c r="F99">
        <v>-29</v>
      </c>
      <c r="G99">
        <v>-6</v>
      </c>
      <c r="H99">
        <v>1.42</v>
      </c>
      <c r="I99">
        <v>0</v>
      </c>
      <c r="J99">
        <v>-0.13</v>
      </c>
      <c r="K99" s="245">
        <v>-20.350000000000001</v>
      </c>
      <c r="L99" s="245">
        <v>26.79</v>
      </c>
      <c r="M99" s="245">
        <v>949.7</v>
      </c>
      <c r="N99" s="257" t="s">
        <v>6830</v>
      </c>
    </row>
    <row r="100" spans="1:14">
      <c r="A100">
        <v>1468</v>
      </c>
      <c r="B100" t="s">
        <v>6429</v>
      </c>
      <c r="C100">
        <v>16.04</v>
      </c>
      <c r="D100">
        <v>-68</v>
      </c>
      <c r="E100">
        <v>10</v>
      </c>
      <c r="F100">
        <v>-2</v>
      </c>
      <c r="G100">
        <v>-8</v>
      </c>
      <c r="H100">
        <v>-0.18</v>
      </c>
      <c r="I100">
        <v>0</v>
      </c>
      <c r="J100">
        <v>0.06</v>
      </c>
      <c r="K100" s="245">
        <v>-17.14</v>
      </c>
      <c r="L100" s="245">
        <v>49.11</v>
      </c>
      <c r="M100" s="245">
        <v>63.1</v>
      </c>
      <c r="N100" s="257" t="s">
        <v>6830</v>
      </c>
    </row>
    <row r="101" spans="1:14">
      <c r="A101">
        <v>1470</v>
      </c>
      <c r="B101" t="s">
        <v>4857</v>
      </c>
      <c r="C101">
        <v>8.57</v>
      </c>
      <c r="D101">
        <v>84</v>
      </c>
      <c r="E101">
        <v>318</v>
      </c>
      <c r="F101">
        <v>-44</v>
      </c>
      <c r="G101">
        <v>-5</v>
      </c>
      <c r="H101">
        <v>8.9</v>
      </c>
      <c r="I101">
        <v>0.8</v>
      </c>
      <c r="J101">
        <v>0.76</v>
      </c>
      <c r="K101" s="245">
        <v>-19.39</v>
      </c>
      <c r="L101" s="245">
        <v>49.52</v>
      </c>
      <c r="M101" s="245">
        <v>558.04999999999995</v>
      </c>
      <c r="N101" s="257" t="s">
        <v>6831</v>
      </c>
    </row>
    <row r="102" spans="1:14">
      <c r="A102">
        <v>1471</v>
      </c>
      <c r="B102" t="s">
        <v>6430</v>
      </c>
      <c r="C102">
        <v>15.04</v>
      </c>
      <c r="D102">
        <v>-104</v>
      </c>
      <c r="E102">
        <v>-34</v>
      </c>
      <c r="F102">
        <v>43</v>
      </c>
      <c r="G102">
        <v>-26</v>
      </c>
      <c r="H102">
        <v>-39.67</v>
      </c>
      <c r="I102">
        <v>0</v>
      </c>
      <c r="J102">
        <v>-0.12</v>
      </c>
      <c r="K102" s="245">
        <v>-47.59</v>
      </c>
      <c r="L102" s="245">
        <v>16.45</v>
      </c>
      <c r="M102" s="245">
        <v>228.85</v>
      </c>
      <c r="N102" s="257" t="s">
        <v>6830</v>
      </c>
    </row>
    <row r="103" spans="1:14">
      <c r="A103">
        <v>1472</v>
      </c>
      <c r="B103" t="s">
        <v>6431</v>
      </c>
      <c r="C103">
        <v>2.4900000000000002</v>
      </c>
      <c r="D103">
        <v>92</v>
      </c>
      <c r="E103">
        <v>105</v>
      </c>
      <c r="F103">
        <v>0</v>
      </c>
      <c r="G103">
        <v>31</v>
      </c>
      <c r="H103">
        <v>1.71</v>
      </c>
      <c r="I103">
        <v>0</v>
      </c>
      <c r="J103">
        <v>-1.22</v>
      </c>
      <c r="K103" s="245">
        <v>-20.27</v>
      </c>
      <c r="L103" s="245">
        <v>59.05</v>
      </c>
      <c r="M103" s="245">
        <v>5.6</v>
      </c>
      <c r="N103" s="257" t="s">
        <v>6832</v>
      </c>
    </row>
    <row r="104" spans="1:14">
      <c r="A104">
        <v>1473</v>
      </c>
      <c r="B104" t="s">
        <v>4858</v>
      </c>
      <c r="C104">
        <v>14.71</v>
      </c>
      <c r="D104">
        <v>61</v>
      </c>
      <c r="E104">
        <v>52</v>
      </c>
      <c r="F104">
        <v>-40</v>
      </c>
      <c r="G104">
        <v>18</v>
      </c>
      <c r="H104">
        <v>-2.72</v>
      </c>
      <c r="I104">
        <v>0.1</v>
      </c>
      <c r="J104">
        <v>-0.92</v>
      </c>
      <c r="K104" s="245">
        <v>-5.38</v>
      </c>
      <c r="L104" s="245">
        <v>36.799999999999997</v>
      </c>
      <c r="M104" s="245">
        <v>139.35</v>
      </c>
      <c r="N104" s="257" t="s">
        <v>6831</v>
      </c>
    </row>
    <row r="105" spans="1:14">
      <c r="A105">
        <v>1474</v>
      </c>
      <c r="B105" t="s">
        <v>4859</v>
      </c>
      <c r="C105">
        <v>12.98</v>
      </c>
      <c r="D105">
        <v>39</v>
      </c>
      <c r="E105">
        <v>105</v>
      </c>
      <c r="F105">
        <v>-12</v>
      </c>
      <c r="G105">
        <v>15</v>
      </c>
      <c r="H105">
        <v>4.0199999999999996</v>
      </c>
      <c r="I105">
        <v>0.5</v>
      </c>
      <c r="J105">
        <v>1.1100000000000001</v>
      </c>
      <c r="K105" s="245">
        <v>-26.41</v>
      </c>
      <c r="L105" s="245">
        <v>13.27</v>
      </c>
      <c r="M105" s="245">
        <v>289.60000000000002</v>
      </c>
      <c r="N105" s="257" t="s">
        <v>6830</v>
      </c>
    </row>
    <row r="106" spans="1:14">
      <c r="A106">
        <v>1475</v>
      </c>
      <c r="B106" t="s">
        <v>6300</v>
      </c>
      <c r="C106">
        <v>2.6</v>
      </c>
      <c r="D106">
        <v>2005</v>
      </c>
      <c r="E106">
        <v>469</v>
      </c>
      <c r="F106">
        <v>-9</v>
      </c>
      <c r="G106">
        <v>758</v>
      </c>
      <c r="H106">
        <v>17.03</v>
      </c>
      <c r="I106">
        <v>0</v>
      </c>
      <c r="J106">
        <v>3.66</v>
      </c>
      <c r="K106" s="245">
        <v>-17.95</v>
      </c>
      <c r="L106" s="245">
        <v>39.46</v>
      </c>
      <c r="M106" s="245">
        <v>114.2</v>
      </c>
      <c r="N106" s="257" t="s">
        <v>6832</v>
      </c>
    </row>
    <row r="107" spans="1:14">
      <c r="A107">
        <v>1476</v>
      </c>
      <c r="B107" t="s">
        <v>4860</v>
      </c>
      <c r="C107">
        <v>27.43</v>
      </c>
      <c r="D107">
        <v>21</v>
      </c>
      <c r="E107">
        <v>16</v>
      </c>
      <c r="F107">
        <v>0</v>
      </c>
      <c r="G107">
        <v>17</v>
      </c>
      <c r="H107">
        <v>17.809999999999999</v>
      </c>
      <c r="I107">
        <v>12</v>
      </c>
      <c r="J107">
        <v>18.77</v>
      </c>
      <c r="K107" s="245">
        <v>-25.59</v>
      </c>
      <c r="L107" s="245">
        <v>64.650000000000006</v>
      </c>
      <c r="M107" s="245">
        <v>1221.95</v>
      </c>
      <c r="N107" s="257" t="s">
        <v>6831</v>
      </c>
    </row>
    <row r="108" spans="1:14">
      <c r="A108">
        <v>1477</v>
      </c>
      <c r="B108" t="s">
        <v>4861</v>
      </c>
      <c r="C108">
        <v>24.18</v>
      </c>
      <c r="D108">
        <v>28</v>
      </c>
      <c r="E108">
        <v>26</v>
      </c>
      <c r="F108">
        <v>-9</v>
      </c>
      <c r="G108">
        <v>-1</v>
      </c>
      <c r="H108">
        <v>11.69</v>
      </c>
      <c r="I108">
        <v>9.5</v>
      </c>
      <c r="J108">
        <v>11.2</v>
      </c>
      <c r="K108" s="245">
        <v>-40.93</v>
      </c>
      <c r="L108" s="245">
        <v>17.010000000000002</v>
      </c>
      <c r="M108" s="245">
        <v>2739.8</v>
      </c>
      <c r="N108" s="257" t="s">
        <v>6830</v>
      </c>
    </row>
    <row r="109" spans="1:14">
      <c r="A109">
        <v>1503</v>
      </c>
      <c r="B109" t="s">
        <v>4862</v>
      </c>
      <c r="C109">
        <v>52.09</v>
      </c>
      <c r="D109">
        <v>19</v>
      </c>
      <c r="E109">
        <v>2</v>
      </c>
      <c r="F109">
        <v>-13</v>
      </c>
      <c r="G109">
        <v>-1</v>
      </c>
      <c r="H109">
        <v>7.22</v>
      </c>
      <c r="I109">
        <v>1.8</v>
      </c>
      <c r="J109">
        <v>3.46</v>
      </c>
      <c r="K109" s="245">
        <v>-1.25</v>
      </c>
      <c r="L109" s="245">
        <v>73.58</v>
      </c>
      <c r="M109" s="245">
        <v>242.8</v>
      </c>
      <c r="N109" s="257" t="s">
        <v>6832</v>
      </c>
    </row>
    <row r="110" spans="1:14">
      <c r="A110">
        <v>1504</v>
      </c>
      <c r="B110" t="s">
        <v>4863</v>
      </c>
      <c r="C110">
        <v>213</v>
      </c>
      <c r="D110">
        <v>44</v>
      </c>
      <c r="E110">
        <v>43</v>
      </c>
      <c r="F110">
        <v>-14</v>
      </c>
      <c r="G110">
        <v>8</v>
      </c>
      <c r="H110">
        <v>9.65</v>
      </c>
      <c r="I110">
        <v>1.35</v>
      </c>
      <c r="J110">
        <v>2.38</v>
      </c>
      <c r="K110" s="245">
        <v>-19.29</v>
      </c>
      <c r="L110" s="245">
        <v>28.61</v>
      </c>
      <c r="M110" s="245">
        <v>5313.2</v>
      </c>
      <c r="N110" s="257" t="s">
        <v>6830</v>
      </c>
    </row>
    <row r="111" spans="1:14">
      <c r="A111">
        <v>1506</v>
      </c>
      <c r="B111" t="s">
        <v>6432</v>
      </c>
      <c r="C111">
        <v>26.36</v>
      </c>
      <c r="D111">
        <v>113</v>
      </c>
      <c r="E111">
        <v>85</v>
      </c>
      <c r="F111">
        <v>5</v>
      </c>
      <c r="G111">
        <v>51</v>
      </c>
      <c r="H111">
        <v>-2.88</v>
      </c>
      <c r="I111">
        <v>0</v>
      </c>
      <c r="J111">
        <v>0.26</v>
      </c>
      <c r="K111" s="245">
        <v>-17.760000000000002</v>
      </c>
      <c r="L111" s="245">
        <v>56.04</v>
      </c>
      <c r="M111" s="245">
        <v>1424.7</v>
      </c>
      <c r="N111" s="257" t="s">
        <v>6832</v>
      </c>
    </row>
    <row r="112" spans="1:14">
      <c r="A112">
        <v>1512</v>
      </c>
      <c r="B112" t="s">
        <v>6433</v>
      </c>
      <c r="C112">
        <v>25.33</v>
      </c>
      <c r="D112">
        <v>-20</v>
      </c>
      <c r="E112">
        <v>-16</v>
      </c>
      <c r="F112">
        <v>-14</v>
      </c>
      <c r="G112">
        <v>-46</v>
      </c>
      <c r="H112">
        <v>-16.27</v>
      </c>
      <c r="I112">
        <v>0</v>
      </c>
      <c r="J112">
        <v>-0.65</v>
      </c>
      <c r="K112" s="245">
        <v>-45.05</v>
      </c>
      <c r="L112" s="245">
        <v>3.65</v>
      </c>
      <c r="M112" s="245">
        <v>93.1</v>
      </c>
      <c r="N112" s="257" t="s">
        <v>6830</v>
      </c>
    </row>
    <row r="113" spans="1:14">
      <c r="A113">
        <v>1513</v>
      </c>
      <c r="B113" t="s">
        <v>4864</v>
      </c>
      <c r="C113">
        <v>47.61</v>
      </c>
      <c r="D113">
        <v>27</v>
      </c>
      <c r="E113">
        <v>55</v>
      </c>
      <c r="F113">
        <v>-25</v>
      </c>
      <c r="G113">
        <v>-12</v>
      </c>
      <c r="H113">
        <v>14.86</v>
      </c>
      <c r="I113">
        <v>2.8</v>
      </c>
      <c r="J113">
        <v>4.1900000000000004</v>
      </c>
      <c r="K113" s="245">
        <v>-16.04</v>
      </c>
      <c r="L113" s="245">
        <v>45.34</v>
      </c>
      <c r="M113" s="245">
        <v>18983.05</v>
      </c>
      <c r="N113" s="257" t="s">
        <v>6831</v>
      </c>
    </row>
    <row r="114" spans="1:14">
      <c r="A114">
        <v>1514</v>
      </c>
      <c r="B114" t="s">
        <v>4865</v>
      </c>
      <c r="C114">
        <v>22.83</v>
      </c>
      <c r="D114">
        <v>15</v>
      </c>
      <c r="E114">
        <v>7</v>
      </c>
      <c r="F114">
        <v>1</v>
      </c>
      <c r="G114">
        <v>55</v>
      </c>
      <c r="H114">
        <v>6.62</v>
      </c>
      <c r="I114">
        <v>1.25</v>
      </c>
      <c r="J114">
        <v>1.6</v>
      </c>
      <c r="K114" s="245">
        <v>-12.5</v>
      </c>
      <c r="L114" s="245">
        <v>38.229999999999997</v>
      </c>
      <c r="M114" s="245">
        <v>2484.35</v>
      </c>
      <c r="N114" s="257" t="s">
        <v>6831</v>
      </c>
    </row>
    <row r="115" spans="1:14">
      <c r="A115">
        <v>1515</v>
      </c>
      <c r="B115" t="s">
        <v>4866</v>
      </c>
      <c r="C115">
        <v>18.14</v>
      </c>
      <c r="D115">
        <v>28</v>
      </c>
      <c r="E115">
        <v>23</v>
      </c>
      <c r="F115">
        <v>-8</v>
      </c>
      <c r="G115">
        <v>-76</v>
      </c>
      <c r="H115">
        <v>7.76</v>
      </c>
      <c r="I115">
        <v>3</v>
      </c>
      <c r="J115">
        <v>5.8</v>
      </c>
      <c r="K115" s="245">
        <v>-56.79</v>
      </c>
      <c r="L115" s="245">
        <v>13.57</v>
      </c>
      <c r="M115" s="245">
        <v>697.25</v>
      </c>
      <c r="N115" s="257" t="s">
        <v>6830</v>
      </c>
    </row>
    <row r="116" spans="1:14">
      <c r="A116">
        <v>1516</v>
      </c>
      <c r="B116" t="s">
        <v>4867</v>
      </c>
      <c r="C116">
        <v>3.56</v>
      </c>
      <c r="D116">
        <v>114</v>
      </c>
      <c r="E116">
        <v>55</v>
      </c>
      <c r="F116">
        <v>-99</v>
      </c>
      <c r="G116">
        <v>-99</v>
      </c>
      <c r="H116">
        <v>3.71</v>
      </c>
      <c r="I116">
        <v>1.55</v>
      </c>
      <c r="J116">
        <v>1.72</v>
      </c>
      <c r="K116" s="245">
        <v>-29.44</v>
      </c>
      <c r="L116" s="245">
        <v>19.71</v>
      </c>
      <c r="M116" s="245">
        <v>799.4</v>
      </c>
      <c r="N116" s="257" t="s">
        <v>6830</v>
      </c>
    </row>
    <row r="117" spans="1:14">
      <c r="A117">
        <v>1517</v>
      </c>
      <c r="B117" t="s">
        <v>4868</v>
      </c>
      <c r="C117">
        <v>22.56</v>
      </c>
      <c r="D117">
        <v>144</v>
      </c>
      <c r="E117">
        <v>232</v>
      </c>
      <c r="F117">
        <v>-36</v>
      </c>
      <c r="G117">
        <v>-15</v>
      </c>
      <c r="H117">
        <v>9.33</v>
      </c>
      <c r="I117">
        <v>0.8</v>
      </c>
      <c r="J117">
        <v>2</v>
      </c>
      <c r="K117" s="245">
        <v>-38.380000000000003</v>
      </c>
      <c r="L117" s="245">
        <v>18.489999999999998</v>
      </c>
      <c r="M117" s="245">
        <v>535.25</v>
      </c>
      <c r="N117" s="257" t="s">
        <v>6830</v>
      </c>
    </row>
    <row r="118" spans="1:14">
      <c r="A118">
        <v>1519</v>
      </c>
      <c r="B118" t="s">
        <v>4869</v>
      </c>
      <c r="C118">
        <v>26.1</v>
      </c>
      <c r="D118">
        <v>-37</v>
      </c>
      <c r="E118">
        <v>-17</v>
      </c>
      <c r="F118">
        <v>-14</v>
      </c>
      <c r="G118">
        <v>-28</v>
      </c>
      <c r="H118">
        <v>4.3499999999999996</v>
      </c>
      <c r="I118">
        <v>1</v>
      </c>
      <c r="J118">
        <v>1.1100000000000001</v>
      </c>
      <c r="K118" s="245">
        <v>-29.1</v>
      </c>
      <c r="L118" s="245">
        <v>20.81</v>
      </c>
      <c r="M118" s="245">
        <v>1172.7</v>
      </c>
      <c r="N118" s="257" t="s">
        <v>6830</v>
      </c>
    </row>
    <row r="119" spans="1:14">
      <c r="A119">
        <v>1521</v>
      </c>
      <c r="B119" t="s">
        <v>4870</v>
      </c>
      <c r="C119">
        <v>7.62</v>
      </c>
      <c r="D119">
        <v>-48</v>
      </c>
      <c r="E119">
        <v>-31</v>
      </c>
      <c r="F119">
        <v>-14</v>
      </c>
      <c r="G119">
        <v>-3</v>
      </c>
      <c r="H119">
        <v>2.5499999999999998</v>
      </c>
      <c r="I119">
        <v>0.6</v>
      </c>
      <c r="J119">
        <v>1.08</v>
      </c>
      <c r="K119" s="245">
        <v>-29.73</v>
      </c>
      <c r="L119" s="245">
        <v>7.04</v>
      </c>
      <c r="M119" s="245">
        <v>36.85</v>
      </c>
      <c r="N119" s="257" t="s">
        <v>6830</v>
      </c>
    </row>
    <row r="120" spans="1:14">
      <c r="A120">
        <v>1522</v>
      </c>
      <c r="B120" t="s">
        <v>4871</v>
      </c>
      <c r="C120">
        <v>31.28</v>
      </c>
      <c r="D120">
        <v>-17</v>
      </c>
      <c r="E120">
        <v>60</v>
      </c>
      <c r="F120">
        <v>-7</v>
      </c>
      <c r="G120">
        <v>19</v>
      </c>
      <c r="H120">
        <v>2.59</v>
      </c>
      <c r="I120">
        <v>0.5</v>
      </c>
      <c r="J120">
        <v>0.62</v>
      </c>
      <c r="K120" s="245">
        <v>-9.26</v>
      </c>
      <c r="L120" s="245">
        <v>78.290000000000006</v>
      </c>
      <c r="M120" s="245">
        <v>1453.65</v>
      </c>
      <c r="N120" s="257" t="s">
        <v>6832</v>
      </c>
    </row>
    <row r="121" spans="1:14">
      <c r="A121">
        <v>1524</v>
      </c>
      <c r="B121" t="s">
        <v>4872</v>
      </c>
      <c r="C121">
        <v>16.53</v>
      </c>
      <c r="D121">
        <v>69</v>
      </c>
      <c r="E121">
        <v>51</v>
      </c>
      <c r="F121">
        <v>3</v>
      </c>
      <c r="G121">
        <v>89</v>
      </c>
      <c r="H121">
        <v>4.26</v>
      </c>
      <c r="I121">
        <v>0.3</v>
      </c>
      <c r="J121">
        <v>0.38</v>
      </c>
      <c r="K121" s="245">
        <v>-8.7100000000000009</v>
      </c>
      <c r="L121" s="245">
        <v>74.55</v>
      </c>
      <c r="M121" s="245">
        <v>15696.85</v>
      </c>
      <c r="N121" s="257" t="s">
        <v>6832</v>
      </c>
    </row>
    <row r="122" spans="1:14">
      <c r="A122">
        <v>1525</v>
      </c>
      <c r="B122" t="s">
        <v>4873</v>
      </c>
      <c r="C122">
        <v>7.34</v>
      </c>
      <c r="D122">
        <v>-5</v>
      </c>
      <c r="E122">
        <v>130</v>
      </c>
      <c r="F122">
        <v>-8</v>
      </c>
      <c r="G122">
        <v>0</v>
      </c>
      <c r="H122">
        <v>1.1399999999999999</v>
      </c>
      <c r="I122">
        <v>2.1</v>
      </c>
      <c r="J122">
        <v>4.18</v>
      </c>
      <c r="K122" s="245">
        <v>-25.75</v>
      </c>
      <c r="L122" s="245">
        <v>25.72</v>
      </c>
      <c r="M122" s="245">
        <v>20.95</v>
      </c>
      <c r="N122" s="257" t="s">
        <v>6830</v>
      </c>
    </row>
    <row r="123" spans="1:14">
      <c r="A123">
        <v>1526</v>
      </c>
      <c r="B123" t="s">
        <v>4874</v>
      </c>
      <c r="C123">
        <v>6</v>
      </c>
      <c r="D123">
        <v>47</v>
      </c>
      <c r="E123">
        <v>156</v>
      </c>
      <c r="F123">
        <v>-8</v>
      </c>
      <c r="G123">
        <v>24</v>
      </c>
      <c r="H123">
        <v>18</v>
      </c>
      <c r="I123">
        <v>2.6</v>
      </c>
      <c r="J123">
        <v>4.38</v>
      </c>
      <c r="K123" s="245">
        <v>-24.84</v>
      </c>
      <c r="L123" s="245">
        <v>46.73</v>
      </c>
      <c r="M123" s="245">
        <v>134.69999999999999</v>
      </c>
      <c r="N123" s="257" t="s">
        <v>6830</v>
      </c>
    </row>
    <row r="124" spans="1:14">
      <c r="A124">
        <v>1527</v>
      </c>
      <c r="B124" t="s">
        <v>4875</v>
      </c>
      <c r="C124">
        <v>13.85</v>
      </c>
      <c r="D124">
        <v>14</v>
      </c>
      <c r="E124">
        <v>8</v>
      </c>
      <c r="F124">
        <v>-24</v>
      </c>
      <c r="G124">
        <v>7</v>
      </c>
      <c r="H124">
        <v>13.36</v>
      </c>
      <c r="I124">
        <v>2.4</v>
      </c>
      <c r="J124">
        <v>3.37</v>
      </c>
      <c r="K124" s="245">
        <v>-19.27</v>
      </c>
      <c r="L124" s="245">
        <v>66.510000000000005</v>
      </c>
      <c r="M124" s="245">
        <v>253.1</v>
      </c>
      <c r="N124" s="257" t="s">
        <v>6830</v>
      </c>
    </row>
    <row r="125" spans="1:14">
      <c r="A125">
        <v>1528</v>
      </c>
      <c r="B125" t="s">
        <v>4876</v>
      </c>
      <c r="C125">
        <v>19.93</v>
      </c>
      <c r="D125">
        <v>285</v>
      </c>
      <c r="E125">
        <v>153</v>
      </c>
      <c r="F125">
        <v>-4</v>
      </c>
      <c r="G125">
        <v>20</v>
      </c>
      <c r="H125">
        <v>1.98</v>
      </c>
      <c r="I125">
        <v>0.1</v>
      </c>
      <c r="J125">
        <v>1.1399999999999999</v>
      </c>
      <c r="K125" s="245">
        <v>-31</v>
      </c>
      <c r="L125" s="245">
        <v>8.0299999999999994</v>
      </c>
      <c r="M125" s="245">
        <v>245.8</v>
      </c>
      <c r="N125" s="257" t="s">
        <v>6830</v>
      </c>
    </row>
    <row r="126" spans="1:14">
      <c r="A126">
        <v>1529</v>
      </c>
      <c r="B126" t="s">
        <v>4877</v>
      </c>
      <c r="C126">
        <v>13.59</v>
      </c>
      <c r="D126">
        <v>81</v>
      </c>
      <c r="E126">
        <v>65</v>
      </c>
      <c r="F126">
        <v>-51</v>
      </c>
      <c r="G126">
        <v>38</v>
      </c>
      <c r="H126">
        <v>32.799999999999997</v>
      </c>
      <c r="I126">
        <v>0.9</v>
      </c>
      <c r="J126">
        <v>1.03</v>
      </c>
      <c r="K126" s="245">
        <v>-44.08</v>
      </c>
      <c r="L126" s="245">
        <v>11.18</v>
      </c>
      <c r="M126" s="245">
        <v>4202.7</v>
      </c>
      <c r="N126" s="257" t="s">
        <v>6830</v>
      </c>
    </row>
    <row r="127" spans="1:14">
      <c r="A127">
        <v>1530</v>
      </c>
      <c r="B127" t="s">
        <v>4878</v>
      </c>
      <c r="C127">
        <v>9.65</v>
      </c>
      <c r="D127">
        <v>-79</v>
      </c>
      <c r="E127">
        <v>601</v>
      </c>
      <c r="F127">
        <v>53</v>
      </c>
      <c r="G127">
        <v>-13</v>
      </c>
      <c r="H127">
        <v>7.33</v>
      </c>
      <c r="I127">
        <v>1.5</v>
      </c>
      <c r="J127">
        <v>1.35</v>
      </c>
      <c r="K127" s="245">
        <v>-30.49</v>
      </c>
      <c r="L127" s="245">
        <v>11</v>
      </c>
      <c r="M127" s="245">
        <v>17.399999999999999</v>
      </c>
      <c r="N127" s="257" t="s">
        <v>6830</v>
      </c>
    </row>
    <row r="128" spans="1:14">
      <c r="A128">
        <v>1531</v>
      </c>
      <c r="B128" t="s">
        <v>4879</v>
      </c>
      <c r="C128">
        <v>18.36</v>
      </c>
      <c r="D128">
        <v>411</v>
      </c>
      <c r="E128">
        <v>369</v>
      </c>
      <c r="F128">
        <v>-32</v>
      </c>
      <c r="G128">
        <v>-20</v>
      </c>
      <c r="H128">
        <v>7.33</v>
      </c>
      <c r="I128">
        <v>0.7</v>
      </c>
      <c r="J128">
        <v>0.94</v>
      </c>
      <c r="K128" s="245">
        <v>-13.07</v>
      </c>
      <c r="L128" s="245">
        <v>26.33</v>
      </c>
      <c r="M128" s="245">
        <v>181.95</v>
      </c>
      <c r="N128" s="257" t="s">
        <v>6830</v>
      </c>
    </row>
    <row r="129" spans="1:14">
      <c r="A129">
        <v>1532</v>
      </c>
      <c r="B129" t="s">
        <v>4880</v>
      </c>
      <c r="C129">
        <v>37.61</v>
      </c>
      <c r="D129">
        <v>112</v>
      </c>
      <c r="E129">
        <v>43</v>
      </c>
      <c r="F129">
        <v>-46</v>
      </c>
      <c r="G129">
        <v>-24</v>
      </c>
      <c r="H129">
        <v>9.8699999999999992</v>
      </c>
      <c r="I129">
        <v>2.11</v>
      </c>
      <c r="J129">
        <v>3.22</v>
      </c>
      <c r="K129" s="245">
        <v>-15.75</v>
      </c>
      <c r="L129" s="245">
        <v>14.92</v>
      </c>
      <c r="M129" s="245">
        <v>276</v>
      </c>
      <c r="N129" s="257" t="s">
        <v>6830</v>
      </c>
    </row>
    <row r="130" spans="1:14">
      <c r="A130">
        <v>1533</v>
      </c>
      <c r="B130" t="s">
        <v>4881</v>
      </c>
      <c r="C130">
        <v>9.85</v>
      </c>
      <c r="D130">
        <v>357</v>
      </c>
      <c r="E130">
        <v>-54</v>
      </c>
      <c r="F130">
        <v>-7</v>
      </c>
      <c r="G130">
        <v>-7</v>
      </c>
      <c r="H130">
        <v>0.99</v>
      </c>
      <c r="I130">
        <v>0.3</v>
      </c>
      <c r="J130">
        <v>0.88</v>
      </c>
      <c r="K130" s="245">
        <v>-27.37</v>
      </c>
      <c r="L130" s="245">
        <v>27.15</v>
      </c>
      <c r="M130" s="245">
        <v>3957.7</v>
      </c>
      <c r="N130" s="257" t="s">
        <v>6831</v>
      </c>
    </row>
    <row r="131" spans="1:14">
      <c r="A131">
        <v>1535</v>
      </c>
      <c r="B131" t="s">
        <v>4882</v>
      </c>
      <c r="C131">
        <v>12.37</v>
      </c>
      <c r="D131">
        <v>104</v>
      </c>
      <c r="E131">
        <v>274</v>
      </c>
      <c r="F131">
        <v>-13</v>
      </c>
      <c r="G131">
        <v>-5</v>
      </c>
      <c r="H131">
        <v>2.86</v>
      </c>
      <c r="I131">
        <v>2.6</v>
      </c>
      <c r="J131">
        <v>3.26</v>
      </c>
      <c r="K131" s="245">
        <v>-6.52</v>
      </c>
      <c r="L131" s="245">
        <v>38.869999999999997</v>
      </c>
      <c r="M131" s="245">
        <v>42.7</v>
      </c>
      <c r="N131" s="257" t="s">
        <v>6831</v>
      </c>
    </row>
    <row r="132" spans="1:14">
      <c r="A132">
        <v>1536</v>
      </c>
      <c r="B132" t="s">
        <v>4883</v>
      </c>
      <c r="C132">
        <v>27.95</v>
      </c>
      <c r="D132">
        <v>19</v>
      </c>
      <c r="E132">
        <v>13</v>
      </c>
      <c r="F132">
        <v>1</v>
      </c>
      <c r="G132">
        <v>13</v>
      </c>
      <c r="H132">
        <v>6.75</v>
      </c>
      <c r="I132">
        <v>1.36</v>
      </c>
      <c r="J132">
        <v>1.23</v>
      </c>
      <c r="K132" s="245">
        <v>-39.909999999999997</v>
      </c>
      <c r="L132" s="245">
        <v>22.8</v>
      </c>
      <c r="M132" s="245">
        <v>569.15</v>
      </c>
      <c r="N132" s="257" t="s">
        <v>6830</v>
      </c>
    </row>
    <row r="133" spans="1:14">
      <c r="A133">
        <v>1537</v>
      </c>
      <c r="B133" t="s">
        <v>4884</v>
      </c>
      <c r="C133">
        <v>8.1999999999999993</v>
      </c>
      <c r="D133">
        <v>-29</v>
      </c>
      <c r="E133">
        <v>-33</v>
      </c>
      <c r="F133">
        <v>5</v>
      </c>
      <c r="G133">
        <v>6</v>
      </c>
      <c r="H133">
        <v>13.71</v>
      </c>
      <c r="I133">
        <v>7</v>
      </c>
      <c r="J133">
        <v>7.58</v>
      </c>
      <c r="K133" s="245">
        <v>-14.95</v>
      </c>
      <c r="L133" s="245">
        <v>24.91</v>
      </c>
      <c r="M133" s="245">
        <v>66.599999999999994</v>
      </c>
      <c r="N133" s="257" t="s">
        <v>6830</v>
      </c>
    </row>
    <row r="134" spans="1:14">
      <c r="A134">
        <v>1538</v>
      </c>
      <c r="B134" t="s">
        <v>6434</v>
      </c>
      <c r="C134">
        <v>2.64</v>
      </c>
      <c r="D134">
        <v>-1002</v>
      </c>
      <c r="E134">
        <v>15</v>
      </c>
      <c r="F134">
        <v>-43</v>
      </c>
      <c r="G134">
        <v>-38</v>
      </c>
      <c r="H134">
        <v>-26.7</v>
      </c>
      <c r="I134">
        <v>0</v>
      </c>
      <c r="J134">
        <v>-5.13</v>
      </c>
      <c r="K134" s="245">
        <v>-48.77</v>
      </c>
      <c r="L134" s="245">
        <v>20.34</v>
      </c>
      <c r="M134" s="245">
        <v>22.75</v>
      </c>
      <c r="N134" s="257" t="s">
        <v>6830</v>
      </c>
    </row>
    <row r="135" spans="1:14">
      <c r="A135">
        <v>1539</v>
      </c>
      <c r="B135" t="s">
        <v>4885</v>
      </c>
      <c r="C135">
        <v>6.53</v>
      </c>
      <c r="D135">
        <v>575</v>
      </c>
      <c r="E135">
        <v>88</v>
      </c>
      <c r="F135">
        <v>-17</v>
      </c>
      <c r="G135">
        <v>-4</v>
      </c>
      <c r="H135">
        <v>7.4</v>
      </c>
      <c r="I135">
        <v>0.8</v>
      </c>
      <c r="J135">
        <v>1.35</v>
      </c>
      <c r="K135" s="245">
        <v>-17.47</v>
      </c>
      <c r="L135" s="245">
        <v>59.87</v>
      </c>
      <c r="M135" s="245">
        <v>1149.55</v>
      </c>
      <c r="N135" s="257" t="s">
        <v>6831</v>
      </c>
    </row>
    <row r="136" spans="1:14">
      <c r="A136">
        <v>1540</v>
      </c>
      <c r="B136" t="s">
        <v>4886</v>
      </c>
      <c r="C136">
        <v>8.5399999999999991</v>
      </c>
      <c r="D136">
        <v>82</v>
      </c>
      <c r="E136">
        <v>119</v>
      </c>
      <c r="F136">
        <v>36</v>
      </c>
      <c r="G136">
        <v>41</v>
      </c>
      <c r="H136">
        <v>0.4</v>
      </c>
      <c r="I136">
        <v>0.3</v>
      </c>
      <c r="J136">
        <v>-0.04</v>
      </c>
      <c r="K136" s="245">
        <v>-13.16</v>
      </c>
      <c r="L136" s="245">
        <v>53.21</v>
      </c>
      <c r="M136" s="245">
        <v>128.5</v>
      </c>
      <c r="N136" s="257" t="s">
        <v>6830</v>
      </c>
    </row>
    <row r="137" spans="1:14">
      <c r="A137">
        <v>1541</v>
      </c>
      <c r="B137" t="s">
        <v>4887</v>
      </c>
      <c r="C137">
        <v>7.88</v>
      </c>
      <c r="D137">
        <v>-34</v>
      </c>
      <c r="E137">
        <v>-42</v>
      </c>
      <c r="F137">
        <v>-16</v>
      </c>
      <c r="G137">
        <v>0</v>
      </c>
      <c r="H137">
        <v>6.37</v>
      </c>
      <c r="I137">
        <v>2.5</v>
      </c>
      <c r="J137">
        <v>3.8</v>
      </c>
      <c r="K137" s="245">
        <v>-14.78</v>
      </c>
      <c r="L137" s="245">
        <v>30.84</v>
      </c>
      <c r="M137" s="245">
        <v>193.2</v>
      </c>
      <c r="N137" s="257" t="s">
        <v>6830</v>
      </c>
    </row>
    <row r="138" spans="1:14">
      <c r="A138">
        <v>1558</v>
      </c>
      <c r="B138" t="s">
        <v>4888</v>
      </c>
      <c r="C138">
        <v>6.05</v>
      </c>
      <c r="D138">
        <v>-37</v>
      </c>
      <c r="E138">
        <v>-40</v>
      </c>
      <c r="F138">
        <v>-38</v>
      </c>
      <c r="G138">
        <v>-38</v>
      </c>
      <c r="H138">
        <v>9.23</v>
      </c>
      <c r="I138">
        <v>8.5</v>
      </c>
      <c r="J138">
        <v>8.67</v>
      </c>
      <c r="K138" s="245">
        <v>-18.29</v>
      </c>
      <c r="L138" s="245">
        <v>32.21</v>
      </c>
      <c r="M138" s="245">
        <v>59.8</v>
      </c>
      <c r="N138" s="257" t="s">
        <v>6830</v>
      </c>
    </row>
    <row r="139" spans="1:14">
      <c r="A139">
        <v>1560</v>
      </c>
      <c r="B139" t="s">
        <v>4889</v>
      </c>
      <c r="C139">
        <v>14.3</v>
      </c>
      <c r="D139">
        <v>33</v>
      </c>
      <c r="E139">
        <v>32</v>
      </c>
      <c r="F139">
        <v>1</v>
      </c>
      <c r="G139">
        <v>22</v>
      </c>
      <c r="H139">
        <v>15.49</v>
      </c>
      <c r="I139">
        <v>2.8</v>
      </c>
      <c r="J139">
        <v>4.78</v>
      </c>
      <c r="K139" s="245">
        <v>-6.83</v>
      </c>
      <c r="L139" s="245">
        <v>64.55</v>
      </c>
      <c r="M139" s="245">
        <v>6188.1</v>
      </c>
      <c r="N139" s="257" t="s">
        <v>6832</v>
      </c>
    </row>
    <row r="140" spans="1:14">
      <c r="A140">
        <v>1565</v>
      </c>
      <c r="B140" t="s">
        <v>4890</v>
      </c>
      <c r="C140">
        <v>5.04</v>
      </c>
      <c r="D140">
        <v>27</v>
      </c>
      <c r="E140">
        <v>23</v>
      </c>
      <c r="F140">
        <v>-26</v>
      </c>
      <c r="G140">
        <v>-7</v>
      </c>
      <c r="H140">
        <v>22.79</v>
      </c>
      <c r="I140">
        <v>15</v>
      </c>
      <c r="J140">
        <v>18.8</v>
      </c>
      <c r="K140" s="245">
        <v>-35.9</v>
      </c>
      <c r="L140" s="245">
        <v>18.600000000000001</v>
      </c>
      <c r="M140" s="245">
        <v>134.75</v>
      </c>
      <c r="N140" s="257" t="s">
        <v>6830</v>
      </c>
    </row>
    <row r="141" spans="1:14">
      <c r="A141">
        <v>1568</v>
      </c>
      <c r="B141" t="s">
        <v>4891</v>
      </c>
      <c r="C141">
        <v>10.3</v>
      </c>
      <c r="D141">
        <v>187</v>
      </c>
      <c r="E141">
        <v>259</v>
      </c>
      <c r="F141">
        <v>-27</v>
      </c>
      <c r="G141">
        <v>-16</v>
      </c>
      <c r="H141">
        <v>1.8</v>
      </c>
      <c r="I141">
        <v>0.3</v>
      </c>
      <c r="J141">
        <v>0.28999999999999998</v>
      </c>
      <c r="K141" s="245">
        <v>-38.35</v>
      </c>
      <c r="L141" s="245">
        <v>14.61</v>
      </c>
      <c r="M141" s="245">
        <v>80.8</v>
      </c>
      <c r="N141" s="257" t="s">
        <v>6830</v>
      </c>
    </row>
    <row r="142" spans="1:14">
      <c r="A142">
        <v>1569</v>
      </c>
      <c r="B142" t="s">
        <v>4892</v>
      </c>
      <c r="C142">
        <v>12.14</v>
      </c>
      <c r="D142">
        <v>-18</v>
      </c>
      <c r="E142">
        <v>-31</v>
      </c>
      <c r="F142">
        <v>-30</v>
      </c>
      <c r="G142">
        <v>56</v>
      </c>
      <c r="H142">
        <v>8.56</v>
      </c>
      <c r="I142">
        <v>1.6</v>
      </c>
      <c r="J142">
        <v>2.62</v>
      </c>
      <c r="K142" s="245">
        <v>-20.53</v>
      </c>
      <c r="L142" s="245">
        <v>45.93</v>
      </c>
      <c r="M142" s="245">
        <v>813.05</v>
      </c>
      <c r="N142" s="257" t="s">
        <v>6831</v>
      </c>
    </row>
    <row r="143" spans="1:14">
      <c r="A143">
        <v>1570</v>
      </c>
      <c r="B143" t="s">
        <v>4893</v>
      </c>
      <c r="C143">
        <v>5.15</v>
      </c>
      <c r="D143">
        <v>181</v>
      </c>
      <c r="E143">
        <v>63</v>
      </c>
      <c r="F143">
        <v>-42</v>
      </c>
      <c r="G143">
        <v>9</v>
      </c>
      <c r="H143">
        <v>15.31</v>
      </c>
      <c r="I143">
        <v>1</v>
      </c>
      <c r="J143">
        <v>2.61</v>
      </c>
      <c r="K143" s="245">
        <v>-37.79</v>
      </c>
      <c r="L143" s="245">
        <v>20.11</v>
      </c>
      <c r="M143" s="245">
        <v>164.75</v>
      </c>
      <c r="N143" s="257" t="s">
        <v>6830</v>
      </c>
    </row>
    <row r="144" spans="1:14">
      <c r="A144">
        <v>1580</v>
      </c>
      <c r="B144" t="s">
        <v>4894</v>
      </c>
      <c r="C144">
        <v>5.0199999999999996</v>
      </c>
      <c r="D144">
        <v>46</v>
      </c>
      <c r="E144">
        <v>41</v>
      </c>
      <c r="F144">
        <v>-6</v>
      </c>
      <c r="G144">
        <v>-23</v>
      </c>
      <c r="H144">
        <v>16.12</v>
      </c>
      <c r="I144">
        <v>7</v>
      </c>
      <c r="J144">
        <v>10.16</v>
      </c>
      <c r="K144" s="245">
        <v>-13.3</v>
      </c>
      <c r="L144" s="245">
        <v>17.89</v>
      </c>
      <c r="M144" s="245">
        <v>122.85</v>
      </c>
      <c r="N144" s="257" t="s">
        <v>6830</v>
      </c>
    </row>
    <row r="145" spans="1:14">
      <c r="A145">
        <v>1582</v>
      </c>
      <c r="B145" t="s">
        <v>4895</v>
      </c>
      <c r="C145">
        <v>12.37</v>
      </c>
      <c r="D145">
        <v>-75</v>
      </c>
      <c r="E145">
        <v>-74</v>
      </c>
      <c r="F145">
        <v>-29</v>
      </c>
      <c r="G145">
        <v>-12</v>
      </c>
      <c r="H145">
        <v>3.87</v>
      </c>
      <c r="I145">
        <v>5.3</v>
      </c>
      <c r="J145">
        <v>2.0299999999999998</v>
      </c>
      <c r="K145" s="245">
        <v>-20.47</v>
      </c>
      <c r="L145" s="245">
        <v>27.69</v>
      </c>
      <c r="M145" s="245">
        <v>161</v>
      </c>
      <c r="N145" s="257" t="s">
        <v>6830</v>
      </c>
    </row>
    <row r="146" spans="1:14">
      <c r="A146">
        <v>1583</v>
      </c>
      <c r="B146" t="s">
        <v>4896</v>
      </c>
      <c r="C146">
        <v>11.04</v>
      </c>
      <c r="D146">
        <v>-36</v>
      </c>
      <c r="E146">
        <v>934</v>
      </c>
      <c r="F146">
        <v>14</v>
      </c>
      <c r="G146">
        <v>-16</v>
      </c>
      <c r="H146">
        <v>9</v>
      </c>
      <c r="I146">
        <v>2.5</v>
      </c>
      <c r="J146">
        <v>3.29</v>
      </c>
      <c r="K146" s="245">
        <v>-25.17</v>
      </c>
      <c r="L146" s="245">
        <v>59.98</v>
      </c>
      <c r="M146" s="245">
        <v>5.05</v>
      </c>
      <c r="N146" s="257" t="s">
        <v>6830</v>
      </c>
    </row>
    <row r="147" spans="1:14">
      <c r="A147">
        <v>1584</v>
      </c>
      <c r="B147" t="s">
        <v>4897</v>
      </c>
      <c r="C147">
        <v>12.24</v>
      </c>
      <c r="D147">
        <v>62</v>
      </c>
      <c r="E147">
        <v>230</v>
      </c>
      <c r="F147">
        <v>0</v>
      </c>
      <c r="G147">
        <v>78</v>
      </c>
      <c r="H147">
        <v>1.26</v>
      </c>
      <c r="I147">
        <v>0.2</v>
      </c>
      <c r="J147">
        <v>0.46</v>
      </c>
      <c r="K147" s="245">
        <v>-15</v>
      </c>
      <c r="L147" s="245">
        <v>65.05</v>
      </c>
      <c r="M147" s="245">
        <v>16915.400000000001</v>
      </c>
      <c r="N147" s="257" t="s">
        <v>6832</v>
      </c>
    </row>
    <row r="148" spans="1:14">
      <c r="A148">
        <v>1586</v>
      </c>
      <c r="B148" t="s">
        <v>4898</v>
      </c>
      <c r="C148">
        <v>8.58</v>
      </c>
      <c r="D148">
        <v>-21</v>
      </c>
      <c r="E148">
        <v>-19</v>
      </c>
      <c r="F148">
        <v>-33</v>
      </c>
      <c r="G148">
        <v>-16</v>
      </c>
      <c r="H148">
        <v>7.02</v>
      </c>
      <c r="I148">
        <v>0.65</v>
      </c>
      <c r="J148">
        <v>1.29</v>
      </c>
      <c r="K148" s="245">
        <v>-16.3</v>
      </c>
      <c r="L148" s="245">
        <v>14.45</v>
      </c>
      <c r="M148" s="245">
        <v>171.9</v>
      </c>
      <c r="N148" s="257" t="s">
        <v>6830</v>
      </c>
    </row>
    <row r="149" spans="1:14">
      <c r="A149">
        <v>1587</v>
      </c>
      <c r="B149" t="s">
        <v>4899</v>
      </c>
      <c r="C149">
        <v>6.86</v>
      </c>
      <c r="D149">
        <v>-40</v>
      </c>
      <c r="E149">
        <v>19</v>
      </c>
      <c r="F149">
        <v>-3</v>
      </c>
      <c r="G149">
        <v>1</v>
      </c>
      <c r="H149">
        <v>6.66</v>
      </c>
      <c r="I149">
        <v>1</v>
      </c>
      <c r="J149">
        <v>1.49</v>
      </c>
      <c r="K149" s="245">
        <v>-28.03</v>
      </c>
      <c r="L149" s="245">
        <v>11.13</v>
      </c>
      <c r="M149" s="245">
        <v>51.55</v>
      </c>
      <c r="N149" s="257" t="s">
        <v>6830</v>
      </c>
    </row>
    <row r="150" spans="1:14">
      <c r="A150">
        <v>1589</v>
      </c>
      <c r="B150" t="s">
        <v>4900</v>
      </c>
      <c r="C150">
        <v>11.06</v>
      </c>
      <c r="D150">
        <v>-58</v>
      </c>
      <c r="E150">
        <v>-41</v>
      </c>
      <c r="F150">
        <v>1</v>
      </c>
      <c r="G150">
        <v>-11</v>
      </c>
      <c r="H150">
        <v>3.53</v>
      </c>
      <c r="I150">
        <v>0.6</v>
      </c>
      <c r="J150">
        <v>1.95</v>
      </c>
      <c r="K150" s="245">
        <v>-32.81</v>
      </c>
      <c r="L150" s="245">
        <v>18.440000000000001</v>
      </c>
      <c r="M150" s="245">
        <v>3245.95</v>
      </c>
      <c r="N150" s="257" t="s">
        <v>6830</v>
      </c>
    </row>
    <row r="151" spans="1:14">
      <c r="A151">
        <v>1590</v>
      </c>
      <c r="B151" t="s">
        <v>4901</v>
      </c>
      <c r="C151">
        <v>20</v>
      </c>
      <c r="D151">
        <v>32</v>
      </c>
      <c r="E151">
        <v>37</v>
      </c>
      <c r="F151">
        <v>-20</v>
      </c>
      <c r="G151">
        <v>-6</v>
      </c>
      <c r="H151">
        <v>32.35</v>
      </c>
      <c r="I151">
        <v>13.31</v>
      </c>
      <c r="J151">
        <v>33.67</v>
      </c>
      <c r="K151" s="245">
        <v>-28.05</v>
      </c>
      <c r="L151" s="245">
        <v>32.299999999999997</v>
      </c>
      <c r="M151" s="245">
        <v>575.6</v>
      </c>
      <c r="N151" s="257" t="s">
        <v>6831</v>
      </c>
    </row>
    <row r="152" spans="1:14">
      <c r="A152">
        <v>1591</v>
      </c>
      <c r="B152" t="s">
        <v>4902</v>
      </c>
      <c r="C152">
        <v>3.31</v>
      </c>
      <c r="D152">
        <v>-5</v>
      </c>
      <c r="E152">
        <v>371</v>
      </c>
      <c r="F152">
        <v>0</v>
      </c>
      <c r="G152">
        <v>6</v>
      </c>
      <c r="H152">
        <v>10.68</v>
      </c>
      <c r="I152">
        <v>1</v>
      </c>
      <c r="J152">
        <v>1.52</v>
      </c>
      <c r="K152" s="245">
        <v>-6.43</v>
      </c>
      <c r="L152" s="245">
        <v>75.2</v>
      </c>
      <c r="M152" s="245">
        <v>702.65</v>
      </c>
      <c r="N152" s="257" t="s">
        <v>6832</v>
      </c>
    </row>
    <row r="153" spans="1:14">
      <c r="A153">
        <v>1593</v>
      </c>
      <c r="B153" t="s">
        <v>4903</v>
      </c>
      <c r="C153">
        <v>3.52</v>
      </c>
      <c r="D153">
        <v>19</v>
      </c>
      <c r="E153">
        <v>48</v>
      </c>
      <c r="F153">
        <v>7</v>
      </c>
      <c r="G153">
        <v>-56</v>
      </c>
      <c r="H153">
        <v>14.77</v>
      </c>
      <c r="I153">
        <v>3.8</v>
      </c>
      <c r="J153">
        <v>4.9000000000000004</v>
      </c>
      <c r="K153" s="245">
        <v>-49.53</v>
      </c>
      <c r="L153" s="245">
        <v>16.39</v>
      </c>
      <c r="M153" s="245">
        <v>52.45</v>
      </c>
      <c r="N153" s="257" t="s">
        <v>6830</v>
      </c>
    </row>
    <row r="154" spans="1:14">
      <c r="A154">
        <v>1595</v>
      </c>
      <c r="B154" t="s">
        <v>4904</v>
      </c>
      <c r="C154">
        <v>4.6900000000000004</v>
      </c>
      <c r="D154">
        <v>2014</v>
      </c>
      <c r="E154">
        <v>235</v>
      </c>
      <c r="F154">
        <v>17</v>
      </c>
      <c r="G154">
        <v>7</v>
      </c>
      <c r="H154">
        <v>10.37</v>
      </c>
      <c r="I154">
        <v>2</v>
      </c>
      <c r="J154">
        <v>3.93</v>
      </c>
      <c r="K154" s="245">
        <v>-28.25</v>
      </c>
      <c r="L154" s="245">
        <v>29.36</v>
      </c>
      <c r="M154" s="245">
        <v>27.6</v>
      </c>
      <c r="N154" s="257" t="s">
        <v>6830</v>
      </c>
    </row>
    <row r="155" spans="1:14">
      <c r="A155">
        <v>1597</v>
      </c>
      <c r="B155" t="s">
        <v>4905</v>
      </c>
      <c r="C155">
        <v>8.11</v>
      </c>
      <c r="D155">
        <v>52</v>
      </c>
      <c r="E155">
        <v>74</v>
      </c>
      <c r="F155">
        <v>-19</v>
      </c>
      <c r="G155">
        <v>-27</v>
      </c>
      <c r="H155">
        <v>26.03</v>
      </c>
      <c r="I155">
        <v>2.5</v>
      </c>
      <c r="J155">
        <v>3.82</v>
      </c>
      <c r="K155" s="245">
        <v>-38.36</v>
      </c>
      <c r="L155" s="245">
        <v>27.08</v>
      </c>
      <c r="M155" s="245">
        <v>93.5</v>
      </c>
      <c r="N155" s="257" t="s">
        <v>6830</v>
      </c>
    </row>
    <row r="156" spans="1:14">
      <c r="A156">
        <v>1598</v>
      </c>
      <c r="B156" t="s">
        <v>4906</v>
      </c>
      <c r="C156">
        <v>13.41</v>
      </c>
      <c r="D156">
        <v>-66</v>
      </c>
      <c r="E156">
        <v>-57</v>
      </c>
      <c r="F156">
        <v>-43</v>
      </c>
      <c r="G156">
        <v>-53</v>
      </c>
      <c r="H156">
        <v>6.69</v>
      </c>
      <c r="I156">
        <v>2.5</v>
      </c>
      <c r="J156">
        <v>3.48</v>
      </c>
      <c r="K156" s="245">
        <v>-61.74</v>
      </c>
      <c r="L156" s="245">
        <v>24.28</v>
      </c>
      <c r="M156" s="245">
        <v>251.1</v>
      </c>
      <c r="N156" s="257" t="s">
        <v>6830</v>
      </c>
    </row>
    <row r="157" spans="1:14">
      <c r="A157">
        <v>1599</v>
      </c>
      <c r="B157" t="s">
        <v>4907</v>
      </c>
      <c r="C157">
        <v>7.45</v>
      </c>
      <c r="D157">
        <v>47</v>
      </c>
      <c r="E157">
        <v>66</v>
      </c>
      <c r="F157">
        <v>-37</v>
      </c>
      <c r="G157">
        <v>14</v>
      </c>
      <c r="H157">
        <v>11</v>
      </c>
      <c r="I157">
        <v>3</v>
      </c>
      <c r="J157">
        <v>4.72</v>
      </c>
      <c r="K157" s="245">
        <v>-23.39</v>
      </c>
      <c r="L157" s="245">
        <v>21.04</v>
      </c>
      <c r="M157" s="245">
        <v>711</v>
      </c>
      <c r="N157" s="257" t="s">
        <v>6831</v>
      </c>
    </row>
    <row r="158" spans="1:14">
      <c r="A158">
        <v>1603</v>
      </c>
      <c r="B158" t="s">
        <v>4908</v>
      </c>
      <c r="C158">
        <v>19.16</v>
      </c>
      <c r="D158">
        <v>-13</v>
      </c>
      <c r="E158">
        <v>91</v>
      </c>
      <c r="F158">
        <v>-15</v>
      </c>
      <c r="G158">
        <v>80</v>
      </c>
      <c r="H158">
        <v>10.72</v>
      </c>
      <c r="I158">
        <v>0.5</v>
      </c>
      <c r="J158">
        <v>1.78</v>
      </c>
      <c r="K158" s="245">
        <v>-14.08</v>
      </c>
      <c r="L158" s="245">
        <v>44.72</v>
      </c>
      <c r="M158" s="245">
        <v>1417</v>
      </c>
      <c r="N158" s="257" t="s">
        <v>6831</v>
      </c>
    </row>
    <row r="159" spans="1:14">
      <c r="A159">
        <v>1604</v>
      </c>
      <c r="B159" t="s">
        <v>4909</v>
      </c>
      <c r="C159">
        <v>38.72</v>
      </c>
      <c r="D159">
        <v>-5</v>
      </c>
      <c r="E159">
        <v>12</v>
      </c>
      <c r="F159">
        <v>3</v>
      </c>
      <c r="G159">
        <v>13</v>
      </c>
      <c r="H159">
        <v>6.68</v>
      </c>
      <c r="I159">
        <v>2.7</v>
      </c>
      <c r="J159">
        <v>4.5199999999999996</v>
      </c>
      <c r="K159" s="245">
        <v>-9.15</v>
      </c>
      <c r="L159" s="245">
        <v>26.61</v>
      </c>
      <c r="M159" s="245">
        <v>349.6</v>
      </c>
      <c r="N159" s="257" t="s">
        <v>6831</v>
      </c>
    </row>
    <row r="160" spans="1:14">
      <c r="A160">
        <v>1605</v>
      </c>
      <c r="B160" t="s">
        <v>4910</v>
      </c>
      <c r="C160">
        <v>343</v>
      </c>
      <c r="D160">
        <v>117</v>
      </c>
      <c r="E160">
        <v>80</v>
      </c>
      <c r="F160">
        <v>7</v>
      </c>
      <c r="G160">
        <v>40</v>
      </c>
      <c r="H160">
        <v>8.52</v>
      </c>
      <c r="I160">
        <v>1.6</v>
      </c>
      <c r="J160">
        <v>4.2699999999999996</v>
      </c>
      <c r="K160" s="245">
        <v>-20.350000000000001</v>
      </c>
      <c r="L160" s="245">
        <v>60.99</v>
      </c>
      <c r="M160" s="245">
        <v>159760.65</v>
      </c>
      <c r="N160" s="257" t="s">
        <v>6831</v>
      </c>
    </row>
    <row r="161" spans="1:14">
      <c r="A161">
        <v>1608</v>
      </c>
      <c r="B161" t="s">
        <v>4911</v>
      </c>
      <c r="C161">
        <v>63.27</v>
      </c>
      <c r="D161">
        <v>344</v>
      </c>
      <c r="E161">
        <v>356</v>
      </c>
      <c r="F161">
        <v>-18</v>
      </c>
      <c r="G161">
        <v>5</v>
      </c>
      <c r="H161">
        <v>7.49</v>
      </c>
      <c r="I161">
        <v>1.5</v>
      </c>
      <c r="J161">
        <v>3.27</v>
      </c>
      <c r="K161" s="245">
        <v>-47.19</v>
      </c>
      <c r="L161" s="245">
        <v>23.48</v>
      </c>
      <c r="M161" s="245">
        <v>3121.95</v>
      </c>
      <c r="N161" s="257" t="s">
        <v>6830</v>
      </c>
    </row>
    <row r="162" spans="1:14">
      <c r="A162">
        <v>1609</v>
      </c>
      <c r="B162" t="s">
        <v>4912</v>
      </c>
      <c r="C162">
        <v>64.58</v>
      </c>
      <c r="D162">
        <v>60</v>
      </c>
      <c r="E162">
        <v>251</v>
      </c>
      <c r="F162">
        <v>-9</v>
      </c>
      <c r="G162">
        <v>14</v>
      </c>
      <c r="H162">
        <v>5.49</v>
      </c>
      <c r="I162">
        <v>0.95</v>
      </c>
      <c r="J162">
        <v>2.2999999999999998</v>
      </c>
      <c r="K162" s="245">
        <v>-22.66</v>
      </c>
      <c r="L162" s="245">
        <v>38.31</v>
      </c>
      <c r="M162" s="245">
        <v>23035.200000000001</v>
      </c>
      <c r="N162" s="257" t="s">
        <v>6830</v>
      </c>
    </row>
    <row r="163" spans="1:14">
      <c r="A163">
        <v>1611</v>
      </c>
      <c r="B163" t="s">
        <v>4913</v>
      </c>
      <c r="C163">
        <v>32.270000000000003</v>
      </c>
      <c r="D163">
        <v>254</v>
      </c>
      <c r="E163">
        <v>-93</v>
      </c>
      <c r="F163">
        <v>-7</v>
      </c>
      <c r="G163">
        <v>-7</v>
      </c>
      <c r="H163">
        <v>0.34</v>
      </c>
      <c r="I163">
        <v>0.8</v>
      </c>
      <c r="J163">
        <v>0.86</v>
      </c>
      <c r="K163" s="245">
        <v>-21.59</v>
      </c>
      <c r="L163" s="245">
        <v>28.18</v>
      </c>
      <c r="M163" s="245">
        <v>8657.9</v>
      </c>
      <c r="N163" s="257" t="s">
        <v>6831</v>
      </c>
    </row>
    <row r="164" spans="1:14">
      <c r="A164">
        <v>1612</v>
      </c>
      <c r="B164" t="s">
        <v>4914</v>
      </c>
      <c r="C164">
        <v>31.6</v>
      </c>
      <c r="D164">
        <v>421</v>
      </c>
      <c r="E164">
        <v>25</v>
      </c>
      <c r="F164">
        <v>-17</v>
      </c>
      <c r="G164">
        <v>-3</v>
      </c>
      <c r="H164">
        <v>6.14</v>
      </c>
      <c r="I164">
        <v>2.8</v>
      </c>
      <c r="J164">
        <v>8.5399999999999991</v>
      </c>
      <c r="K164" s="245">
        <v>-30.02</v>
      </c>
      <c r="L164" s="245">
        <v>29.89</v>
      </c>
      <c r="M164" s="245">
        <v>3852.65</v>
      </c>
      <c r="N164" s="257" t="s">
        <v>6830</v>
      </c>
    </row>
    <row r="165" spans="1:14">
      <c r="A165">
        <v>1614</v>
      </c>
      <c r="B165" t="s">
        <v>4915</v>
      </c>
      <c r="C165">
        <v>26.91</v>
      </c>
      <c r="D165">
        <v>4</v>
      </c>
      <c r="E165">
        <v>8</v>
      </c>
      <c r="F165">
        <v>16</v>
      </c>
      <c r="G165">
        <v>18</v>
      </c>
      <c r="H165">
        <v>7.69</v>
      </c>
      <c r="I165">
        <v>1.23</v>
      </c>
      <c r="J165">
        <v>1.42</v>
      </c>
      <c r="K165" s="245">
        <v>-6.73</v>
      </c>
      <c r="L165" s="245">
        <v>43.01</v>
      </c>
      <c r="M165" s="245">
        <v>49.55</v>
      </c>
      <c r="N165" s="257" t="s">
        <v>6831</v>
      </c>
    </row>
    <row r="166" spans="1:14">
      <c r="A166">
        <v>1615</v>
      </c>
      <c r="B166" t="s">
        <v>4916</v>
      </c>
      <c r="C166">
        <v>13.78</v>
      </c>
      <c r="D166">
        <v>37</v>
      </c>
      <c r="E166">
        <v>23</v>
      </c>
      <c r="F166">
        <v>-23</v>
      </c>
      <c r="G166">
        <v>-58</v>
      </c>
      <c r="H166">
        <v>11.02</v>
      </c>
      <c r="I166">
        <v>2.8</v>
      </c>
      <c r="J166">
        <v>3.27</v>
      </c>
      <c r="K166" s="245">
        <v>-23.26</v>
      </c>
      <c r="L166" s="245">
        <v>32.49</v>
      </c>
      <c r="M166" s="245">
        <v>90.65</v>
      </c>
      <c r="N166" s="257" t="s">
        <v>6830</v>
      </c>
    </row>
    <row r="167" spans="1:14">
      <c r="A167">
        <v>1616</v>
      </c>
      <c r="B167" t="s">
        <v>6435</v>
      </c>
      <c r="C167">
        <v>19.41</v>
      </c>
      <c r="D167">
        <v>5452</v>
      </c>
      <c r="E167">
        <v>502</v>
      </c>
      <c r="F167">
        <v>-10</v>
      </c>
      <c r="G167">
        <v>61</v>
      </c>
      <c r="H167">
        <v>3.79</v>
      </c>
      <c r="I167">
        <v>0</v>
      </c>
      <c r="J167">
        <v>0.5</v>
      </c>
      <c r="K167" s="245">
        <v>-32.51</v>
      </c>
      <c r="L167" s="245">
        <v>15.59</v>
      </c>
      <c r="M167" s="245">
        <v>1612.5</v>
      </c>
      <c r="N167" s="257" t="s">
        <v>6830</v>
      </c>
    </row>
    <row r="168" spans="1:14">
      <c r="A168">
        <v>1617</v>
      </c>
      <c r="B168" t="s">
        <v>4917</v>
      </c>
      <c r="C168">
        <v>15.77</v>
      </c>
      <c r="D168">
        <v>40</v>
      </c>
      <c r="E168">
        <v>39</v>
      </c>
      <c r="F168">
        <v>-9</v>
      </c>
      <c r="G168">
        <v>-19</v>
      </c>
      <c r="H168">
        <v>5.83</v>
      </c>
      <c r="I168">
        <v>0.9</v>
      </c>
      <c r="J168">
        <v>1.45</v>
      </c>
      <c r="K168" s="245">
        <v>-24.77</v>
      </c>
      <c r="L168" s="245">
        <v>17.55</v>
      </c>
      <c r="M168" s="245">
        <v>40.200000000000003</v>
      </c>
      <c r="N168" s="257" t="s">
        <v>6830</v>
      </c>
    </row>
    <row r="169" spans="1:14">
      <c r="A169">
        <v>1618</v>
      </c>
      <c r="B169" t="s">
        <v>4918</v>
      </c>
      <c r="C169">
        <v>19.260000000000002</v>
      </c>
      <c r="D169">
        <v>-3</v>
      </c>
      <c r="E169">
        <v>4</v>
      </c>
      <c r="F169">
        <v>-63</v>
      </c>
      <c r="G169">
        <v>-30</v>
      </c>
      <c r="H169">
        <v>8.9499999999999993</v>
      </c>
      <c r="I169">
        <v>0.5</v>
      </c>
      <c r="J169">
        <v>1.04</v>
      </c>
      <c r="K169" s="245">
        <v>-35.770000000000003</v>
      </c>
      <c r="L169" s="245">
        <v>23.43</v>
      </c>
      <c r="M169" s="245">
        <v>451.85</v>
      </c>
      <c r="N169" s="257" t="s">
        <v>6830</v>
      </c>
    </row>
    <row r="170" spans="1:14">
      <c r="A170">
        <v>1626</v>
      </c>
      <c r="B170" t="s">
        <v>4919</v>
      </c>
      <c r="C170">
        <v>14.55</v>
      </c>
      <c r="D170">
        <v>-296</v>
      </c>
      <c r="E170">
        <v>-265</v>
      </c>
      <c r="F170">
        <v>17</v>
      </c>
      <c r="G170">
        <v>3</v>
      </c>
      <c r="H170">
        <v>-3.6</v>
      </c>
      <c r="I170">
        <v>0</v>
      </c>
      <c r="J170">
        <v>-2.11</v>
      </c>
      <c r="K170" s="245">
        <v>-33.75</v>
      </c>
      <c r="L170" s="245">
        <v>20.38</v>
      </c>
      <c r="M170" s="245">
        <v>129.25</v>
      </c>
      <c r="N170" s="257" t="s">
        <v>6830</v>
      </c>
    </row>
    <row r="171" spans="1:14">
      <c r="A171">
        <v>1701</v>
      </c>
      <c r="B171" t="s">
        <v>4920</v>
      </c>
      <c r="C171">
        <v>29.8</v>
      </c>
      <c r="D171">
        <v>-7</v>
      </c>
      <c r="E171">
        <v>0</v>
      </c>
      <c r="F171">
        <v>0</v>
      </c>
      <c r="G171">
        <v>4</v>
      </c>
      <c r="H171">
        <v>5.33</v>
      </c>
      <c r="I171">
        <v>0.9</v>
      </c>
      <c r="J171">
        <v>1.74</v>
      </c>
      <c r="K171" s="245">
        <v>-22.13</v>
      </c>
      <c r="L171" s="245">
        <v>27.24</v>
      </c>
      <c r="M171" s="245">
        <v>11916.7</v>
      </c>
      <c r="N171" s="257" t="s">
        <v>6830</v>
      </c>
    </row>
    <row r="172" spans="1:14">
      <c r="A172">
        <v>1702</v>
      </c>
      <c r="B172" t="s">
        <v>4921</v>
      </c>
      <c r="C172">
        <v>29.41</v>
      </c>
      <c r="D172">
        <v>24</v>
      </c>
      <c r="E172">
        <v>6</v>
      </c>
      <c r="F172">
        <v>-2</v>
      </c>
      <c r="G172">
        <v>-2</v>
      </c>
      <c r="H172">
        <v>9</v>
      </c>
      <c r="I172">
        <v>2.2000000000000002</v>
      </c>
      <c r="J172">
        <v>4.32</v>
      </c>
      <c r="K172" s="245">
        <v>-13.53</v>
      </c>
      <c r="L172" s="245">
        <v>22.64</v>
      </c>
      <c r="M172" s="245">
        <v>372.65</v>
      </c>
      <c r="N172" s="257" t="s">
        <v>6830</v>
      </c>
    </row>
    <row r="173" spans="1:14">
      <c r="A173">
        <v>1707</v>
      </c>
      <c r="B173" t="s">
        <v>4922</v>
      </c>
      <c r="C173">
        <v>14.81</v>
      </c>
      <c r="D173">
        <v>2</v>
      </c>
      <c r="E173">
        <v>0</v>
      </c>
      <c r="F173">
        <v>-4</v>
      </c>
      <c r="G173">
        <v>8</v>
      </c>
      <c r="H173">
        <v>23.59</v>
      </c>
      <c r="I173">
        <v>6.1</v>
      </c>
      <c r="J173">
        <v>8.81</v>
      </c>
      <c r="K173" s="245">
        <v>-18.18</v>
      </c>
      <c r="L173" s="245">
        <v>40.82</v>
      </c>
      <c r="M173" s="245">
        <v>153.19999999999999</v>
      </c>
      <c r="N173" s="257" t="s">
        <v>6830</v>
      </c>
    </row>
    <row r="174" spans="1:14">
      <c r="A174">
        <v>1708</v>
      </c>
      <c r="B174" t="s">
        <v>4923</v>
      </c>
      <c r="C174">
        <v>24.9</v>
      </c>
      <c r="D174">
        <v>285</v>
      </c>
      <c r="E174">
        <v>220</v>
      </c>
      <c r="F174">
        <v>-4</v>
      </c>
      <c r="G174">
        <v>49</v>
      </c>
      <c r="H174">
        <v>16.97</v>
      </c>
      <c r="I174">
        <v>2</v>
      </c>
      <c r="J174">
        <v>2.69</v>
      </c>
      <c r="K174" s="245">
        <v>-21.2</v>
      </c>
      <c r="L174" s="245">
        <v>57.67</v>
      </c>
      <c r="M174" s="245">
        <v>65375.75</v>
      </c>
      <c r="N174" s="257" t="s">
        <v>6831</v>
      </c>
    </row>
    <row r="175" spans="1:14">
      <c r="A175">
        <v>1709</v>
      </c>
      <c r="B175" t="s">
        <v>4924</v>
      </c>
      <c r="C175">
        <v>47.7</v>
      </c>
      <c r="D175">
        <v>70</v>
      </c>
      <c r="E175">
        <v>71</v>
      </c>
      <c r="F175">
        <v>-25</v>
      </c>
      <c r="G175">
        <v>2</v>
      </c>
      <c r="H175">
        <v>13.25</v>
      </c>
      <c r="I175">
        <v>1.7</v>
      </c>
      <c r="J175">
        <v>1.99</v>
      </c>
      <c r="K175" s="245">
        <v>-22.6</v>
      </c>
      <c r="L175" s="245">
        <v>24.2</v>
      </c>
      <c r="M175" s="245">
        <v>5942.55</v>
      </c>
      <c r="N175" s="257" t="s">
        <v>6831</v>
      </c>
    </row>
    <row r="176" spans="1:14">
      <c r="A176">
        <v>1710</v>
      </c>
      <c r="B176" t="s">
        <v>4925</v>
      </c>
      <c r="C176">
        <v>88.57</v>
      </c>
      <c r="D176">
        <v>180</v>
      </c>
      <c r="E176">
        <v>411</v>
      </c>
      <c r="F176">
        <v>4</v>
      </c>
      <c r="G176">
        <v>-12</v>
      </c>
      <c r="H176">
        <v>5.17</v>
      </c>
      <c r="I176">
        <v>0.7</v>
      </c>
      <c r="J176">
        <v>1.03</v>
      </c>
      <c r="K176" s="245">
        <v>-31.96</v>
      </c>
      <c r="L176" s="245">
        <v>17.97</v>
      </c>
      <c r="M176" s="245">
        <v>1982.7</v>
      </c>
      <c r="N176" s="257" t="s">
        <v>6830</v>
      </c>
    </row>
    <row r="177" spans="1:14">
      <c r="A177">
        <v>1711</v>
      </c>
      <c r="B177" t="s">
        <v>4926</v>
      </c>
      <c r="C177">
        <v>54.77</v>
      </c>
      <c r="D177">
        <v>135</v>
      </c>
      <c r="E177">
        <v>170</v>
      </c>
      <c r="F177">
        <v>-16</v>
      </c>
      <c r="G177">
        <v>-3</v>
      </c>
      <c r="H177">
        <v>6.01</v>
      </c>
      <c r="I177">
        <v>0.5</v>
      </c>
      <c r="J177">
        <v>0.86</v>
      </c>
      <c r="K177" s="245">
        <v>-28.97</v>
      </c>
      <c r="L177" s="245">
        <v>24.17</v>
      </c>
      <c r="M177" s="245">
        <v>4401.1499999999996</v>
      </c>
      <c r="N177" s="257" t="s">
        <v>6831</v>
      </c>
    </row>
    <row r="178" spans="1:14">
      <c r="A178">
        <v>1712</v>
      </c>
      <c r="B178" t="s">
        <v>4927</v>
      </c>
      <c r="C178">
        <v>42.04</v>
      </c>
      <c r="D178">
        <v>28</v>
      </c>
      <c r="E178">
        <v>17</v>
      </c>
      <c r="F178">
        <v>-7</v>
      </c>
      <c r="G178">
        <v>33</v>
      </c>
      <c r="H178">
        <v>6.14</v>
      </c>
      <c r="I178">
        <v>1.8</v>
      </c>
      <c r="J178">
        <v>2.19</v>
      </c>
      <c r="K178" s="245">
        <v>-16.2</v>
      </c>
      <c r="L178" s="245">
        <v>26.64</v>
      </c>
      <c r="M178" s="245">
        <v>7213.3</v>
      </c>
      <c r="N178" s="257" t="s">
        <v>6831</v>
      </c>
    </row>
    <row r="179" spans="1:14">
      <c r="A179">
        <v>1713</v>
      </c>
      <c r="B179" t="s">
        <v>4928</v>
      </c>
      <c r="C179">
        <v>15.09</v>
      </c>
      <c r="D179">
        <v>72</v>
      </c>
      <c r="E179">
        <v>49</v>
      </c>
      <c r="F179">
        <v>-6</v>
      </c>
      <c r="G179">
        <v>9</v>
      </c>
      <c r="H179">
        <v>4.16</v>
      </c>
      <c r="I179">
        <v>0.85</v>
      </c>
      <c r="J179">
        <v>1.04</v>
      </c>
      <c r="K179" s="245">
        <v>-14.47</v>
      </c>
      <c r="L179" s="245">
        <v>28.64</v>
      </c>
      <c r="M179" s="245">
        <v>49.35</v>
      </c>
      <c r="N179" s="257" t="s">
        <v>6830</v>
      </c>
    </row>
    <row r="180" spans="1:14">
      <c r="A180">
        <v>1714</v>
      </c>
      <c r="B180" t="s">
        <v>4929</v>
      </c>
      <c r="C180">
        <v>101</v>
      </c>
      <c r="D180">
        <v>-39</v>
      </c>
      <c r="E180">
        <v>-50</v>
      </c>
      <c r="F180">
        <v>0</v>
      </c>
      <c r="G180">
        <v>12</v>
      </c>
      <c r="H180">
        <v>8.82</v>
      </c>
      <c r="I180">
        <v>0.42</v>
      </c>
      <c r="J180">
        <v>0.72</v>
      </c>
      <c r="K180" s="245">
        <v>-25.65</v>
      </c>
      <c r="L180" s="245">
        <v>25.95</v>
      </c>
      <c r="M180" s="245">
        <v>2704.65</v>
      </c>
      <c r="N180" s="257" t="s">
        <v>6830</v>
      </c>
    </row>
    <row r="181" spans="1:14">
      <c r="A181">
        <v>1717</v>
      </c>
      <c r="B181" t="s">
        <v>4930</v>
      </c>
      <c r="C181">
        <v>124</v>
      </c>
      <c r="D181">
        <v>39</v>
      </c>
      <c r="E181">
        <v>30</v>
      </c>
      <c r="F181">
        <v>-10</v>
      </c>
      <c r="G181">
        <v>-4</v>
      </c>
      <c r="H181">
        <v>8.11</v>
      </c>
      <c r="I181">
        <v>1.5</v>
      </c>
      <c r="J181">
        <v>2.86</v>
      </c>
      <c r="K181" s="245">
        <v>-22.27</v>
      </c>
      <c r="L181" s="245">
        <v>23.8</v>
      </c>
      <c r="M181" s="245">
        <v>19689.150000000001</v>
      </c>
      <c r="N181" s="257" t="s">
        <v>6830</v>
      </c>
    </row>
    <row r="182" spans="1:14">
      <c r="A182">
        <v>1718</v>
      </c>
      <c r="B182" t="s">
        <v>4931</v>
      </c>
      <c r="C182">
        <v>168</v>
      </c>
      <c r="D182">
        <v>-4</v>
      </c>
      <c r="E182">
        <v>71</v>
      </c>
      <c r="F182">
        <v>0</v>
      </c>
      <c r="G182">
        <v>5</v>
      </c>
      <c r="H182">
        <v>13.22</v>
      </c>
      <c r="I182">
        <v>0</v>
      </c>
      <c r="J182">
        <v>0</v>
      </c>
      <c r="K182" s="245">
        <v>-35.78</v>
      </c>
      <c r="L182" s="245">
        <v>13.03</v>
      </c>
      <c r="M182" s="245">
        <v>2791.45</v>
      </c>
      <c r="N182" s="257" t="s">
        <v>6830</v>
      </c>
    </row>
    <row r="183" spans="1:14">
      <c r="A183">
        <v>1720</v>
      </c>
      <c r="B183" t="s">
        <v>4932</v>
      </c>
      <c r="C183">
        <v>17.86</v>
      </c>
      <c r="D183">
        <v>33</v>
      </c>
      <c r="E183">
        <v>24</v>
      </c>
      <c r="F183">
        <v>0</v>
      </c>
      <c r="G183">
        <v>10</v>
      </c>
      <c r="H183">
        <v>19.04</v>
      </c>
      <c r="I183">
        <v>2.5</v>
      </c>
      <c r="J183">
        <v>3.95</v>
      </c>
      <c r="K183" s="245">
        <v>-11.87</v>
      </c>
      <c r="L183" s="245">
        <v>32.159999999999997</v>
      </c>
      <c r="M183" s="245">
        <v>2078.85</v>
      </c>
      <c r="N183" s="257" t="s">
        <v>6831</v>
      </c>
    </row>
    <row r="184" spans="1:14">
      <c r="A184">
        <v>1721</v>
      </c>
      <c r="B184" t="s">
        <v>4933</v>
      </c>
      <c r="C184">
        <v>18.48</v>
      </c>
      <c r="D184">
        <v>-113</v>
      </c>
      <c r="E184">
        <v>60</v>
      </c>
      <c r="F184">
        <v>-6</v>
      </c>
      <c r="G184">
        <v>51</v>
      </c>
      <c r="H184">
        <v>-3.37</v>
      </c>
      <c r="I184">
        <v>0</v>
      </c>
      <c r="J184">
        <v>-0.38</v>
      </c>
      <c r="K184" s="245">
        <v>-41.85</v>
      </c>
      <c r="L184" s="245">
        <v>19.84</v>
      </c>
      <c r="M184" s="245">
        <v>4998</v>
      </c>
      <c r="N184" s="257" t="s">
        <v>6831</v>
      </c>
    </row>
    <row r="185" spans="1:14">
      <c r="A185">
        <v>1722</v>
      </c>
      <c r="B185" t="s">
        <v>4934</v>
      </c>
      <c r="C185">
        <v>98</v>
      </c>
      <c r="D185">
        <v>23</v>
      </c>
      <c r="E185">
        <v>-59</v>
      </c>
      <c r="F185">
        <v>-5</v>
      </c>
      <c r="G185">
        <v>62</v>
      </c>
      <c r="H185">
        <v>3.71</v>
      </c>
      <c r="I185">
        <v>2.8</v>
      </c>
      <c r="J185">
        <v>3.1</v>
      </c>
      <c r="K185" s="245">
        <v>-20.71</v>
      </c>
      <c r="L185" s="245">
        <v>25.64</v>
      </c>
      <c r="M185" s="245">
        <v>8093.75</v>
      </c>
      <c r="N185" s="257" t="s">
        <v>6831</v>
      </c>
    </row>
    <row r="186" spans="1:14">
      <c r="A186">
        <v>1723</v>
      </c>
      <c r="B186" t="s">
        <v>4935</v>
      </c>
      <c r="C186">
        <v>23.69</v>
      </c>
      <c r="D186">
        <v>54</v>
      </c>
      <c r="E186">
        <v>55</v>
      </c>
      <c r="F186">
        <v>42</v>
      </c>
      <c r="G186">
        <v>93</v>
      </c>
      <c r="H186">
        <v>14.94</v>
      </c>
      <c r="I186">
        <v>4</v>
      </c>
      <c r="J186">
        <v>4.7300000000000004</v>
      </c>
      <c r="K186" s="245">
        <v>-8.0500000000000007</v>
      </c>
      <c r="L186" s="245">
        <v>59.8</v>
      </c>
      <c r="M186" s="245">
        <v>1056.3499999999999</v>
      </c>
      <c r="N186" s="257" t="s">
        <v>6831</v>
      </c>
    </row>
    <row r="187" spans="1:14">
      <c r="A187">
        <v>1725</v>
      </c>
      <c r="B187" t="s">
        <v>765</v>
      </c>
      <c r="C187">
        <v>18.18</v>
      </c>
      <c r="D187">
        <v>28</v>
      </c>
      <c r="E187">
        <v>61</v>
      </c>
      <c r="F187">
        <v>-14</v>
      </c>
      <c r="G187">
        <v>-6</v>
      </c>
      <c r="H187">
        <v>2.2999999999999998</v>
      </c>
      <c r="I187">
        <v>1.23</v>
      </c>
      <c r="J187">
        <v>1.76</v>
      </c>
      <c r="K187" s="245">
        <v>-51.69</v>
      </c>
      <c r="L187" s="245">
        <v>11.32</v>
      </c>
      <c r="M187" s="245">
        <v>48.55</v>
      </c>
      <c r="N187" s="257" t="s">
        <v>6830</v>
      </c>
    </row>
    <row r="188" spans="1:14">
      <c r="A188">
        <v>1726</v>
      </c>
      <c r="B188" t="s">
        <v>4936</v>
      </c>
      <c r="C188">
        <v>16.2</v>
      </c>
      <c r="D188">
        <v>6</v>
      </c>
      <c r="E188">
        <v>2</v>
      </c>
      <c r="F188">
        <v>-22</v>
      </c>
      <c r="G188">
        <v>11</v>
      </c>
      <c r="H188">
        <v>11.31</v>
      </c>
      <c r="I188">
        <v>3.5</v>
      </c>
      <c r="J188">
        <v>5.45</v>
      </c>
      <c r="K188" s="245">
        <v>-7.35</v>
      </c>
      <c r="L188" s="245">
        <v>22.53</v>
      </c>
      <c r="M188" s="245">
        <v>33.950000000000003</v>
      </c>
      <c r="N188" s="257" t="s">
        <v>6830</v>
      </c>
    </row>
    <row r="189" spans="1:14">
      <c r="A189">
        <v>1727</v>
      </c>
      <c r="B189" t="s">
        <v>4937</v>
      </c>
      <c r="C189">
        <v>10.82</v>
      </c>
      <c r="D189">
        <v>235</v>
      </c>
      <c r="E189">
        <v>1317</v>
      </c>
      <c r="F189">
        <v>-22</v>
      </c>
      <c r="G189">
        <v>15</v>
      </c>
      <c r="H189">
        <v>7.92</v>
      </c>
      <c r="I189">
        <v>0.52</v>
      </c>
      <c r="J189">
        <v>1.86</v>
      </c>
      <c r="K189" s="245">
        <v>-38.31</v>
      </c>
      <c r="L189" s="245">
        <v>23.35</v>
      </c>
      <c r="M189" s="245">
        <v>3386.55</v>
      </c>
      <c r="N189" s="257" t="s">
        <v>6831</v>
      </c>
    </row>
    <row r="190" spans="1:14">
      <c r="A190">
        <v>1730</v>
      </c>
      <c r="B190" t="s">
        <v>4938</v>
      </c>
      <c r="C190">
        <v>6.32</v>
      </c>
      <c r="D190">
        <v>-24</v>
      </c>
      <c r="E190">
        <v>6</v>
      </c>
      <c r="F190">
        <v>-6</v>
      </c>
      <c r="G190">
        <v>-6</v>
      </c>
      <c r="H190">
        <v>10.72</v>
      </c>
      <c r="I190">
        <v>3</v>
      </c>
      <c r="J190">
        <v>4.1399999999999997</v>
      </c>
      <c r="K190" s="245">
        <v>-17.02</v>
      </c>
      <c r="L190" s="245">
        <v>7.79</v>
      </c>
      <c r="M190" s="245">
        <v>33.950000000000003</v>
      </c>
      <c r="N190" s="257" t="s">
        <v>6830</v>
      </c>
    </row>
    <row r="191" spans="1:14">
      <c r="A191">
        <v>1731</v>
      </c>
      <c r="B191" t="s">
        <v>4939</v>
      </c>
      <c r="C191">
        <v>13.29</v>
      </c>
      <c r="D191">
        <v>-3</v>
      </c>
      <c r="E191">
        <v>17</v>
      </c>
      <c r="F191">
        <v>-5</v>
      </c>
      <c r="G191">
        <v>-20</v>
      </c>
      <c r="H191">
        <v>15.49</v>
      </c>
      <c r="I191">
        <v>1.17</v>
      </c>
      <c r="J191">
        <v>1.24</v>
      </c>
      <c r="K191" s="245">
        <v>-20.87</v>
      </c>
      <c r="L191" s="245">
        <v>26.9</v>
      </c>
      <c r="M191" s="245">
        <v>2514.65</v>
      </c>
      <c r="N191" s="257" t="s">
        <v>6830</v>
      </c>
    </row>
    <row r="192" spans="1:14">
      <c r="A192">
        <v>1732</v>
      </c>
      <c r="B192" t="s">
        <v>4940</v>
      </c>
      <c r="C192">
        <v>4.24</v>
      </c>
      <c r="D192">
        <v>-49</v>
      </c>
      <c r="E192">
        <v>-63</v>
      </c>
      <c r="F192">
        <v>2</v>
      </c>
      <c r="G192">
        <v>-11</v>
      </c>
      <c r="H192">
        <v>2.78</v>
      </c>
      <c r="I192">
        <v>0.35</v>
      </c>
      <c r="J192">
        <v>0.46</v>
      </c>
      <c r="K192" s="245">
        <v>-35.78</v>
      </c>
      <c r="L192" s="245">
        <v>29.64</v>
      </c>
      <c r="M192" s="245">
        <v>9972.1</v>
      </c>
      <c r="N192" s="257" t="s">
        <v>6831</v>
      </c>
    </row>
    <row r="193" spans="1:14">
      <c r="A193">
        <v>1733</v>
      </c>
      <c r="B193" t="s">
        <v>4941</v>
      </c>
      <c r="C193">
        <v>9.99</v>
      </c>
      <c r="D193">
        <v>113</v>
      </c>
      <c r="E193">
        <v>98</v>
      </c>
      <c r="F193">
        <v>18</v>
      </c>
      <c r="G193">
        <v>32</v>
      </c>
      <c r="H193">
        <v>9.61</v>
      </c>
      <c r="I193">
        <v>1.3</v>
      </c>
      <c r="J193">
        <v>2.0299999999999998</v>
      </c>
      <c r="K193" s="245">
        <v>-10.9</v>
      </c>
      <c r="L193" s="245">
        <v>34.93</v>
      </c>
      <c r="M193" s="245">
        <v>1671.6</v>
      </c>
      <c r="N193" s="257" t="s">
        <v>6831</v>
      </c>
    </row>
    <row r="194" spans="1:14">
      <c r="A194">
        <v>1734</v>
      </c>
      <c r="B194" t="s">
        <v>4942</v>
      </c>
      <c r="C194">
        <v>16.77</v>
      </c>
      <c r="D194">
        <v>-18</v>
      </c>
      <c r="E194">
        <v>-49</v>
      </c>
      <c r="F194">
        <v>-17</v>
      </c>
      <c r="G194">
        <v>7</v>
      </c>
      <c r="H194">
        <v>-7.51</v>
      </c>
      <c r="I194">
        <v>0.2</v>
      </c>
      <c r="J194">
        <v>-0.23</v>
      </c>
      <c r="K194" s="245">
        <v>-40.11</v>
      </c>
      <c r="L194" s="245">
        <v>18.79</v>
      </c>
      <c r="M194" s="245">
        <v>10178.299999999999</v>
      </c>
      <c r="N194" s="257" t="s">
        <v>6830</v>
      </c>
    </row>
    <row r="195" spans="1:14">
      <c r="A195">
        <v>1735</v>
      </c>
      <c r="B195" t="s">
        <v>4943</v>
      </c>
      <c r="C195">
        <v>9.93</v>
      </c>
      <c r="D195">
        <v>-86</v>
      </c>
      <c r="E195">
        <v>-77</v>
      </c>
      <c r="F195">
        <v>-23</v>
      </c>
      <c r="G195">
        <v>-10</v>
      </c>
      <c r="H195">
        <v>0.98</v>
      </c>
      <c r="I195">
        <v>0</v>
      </c>
      <c r="J195">
        <v>0.1</v>
      </c>
      <c r="K195" s="245">
        <v>-10.050000000000001</v>
      </c>
      <c r="L195" s="245">
        <v>18.48</v>
      </c>
      <c r="M195" s="245">
        <v>6.55</v>
      </c>
      <c r="N195" s="257" t="s">
        <v>6830</v>
      </c>
    </row>
    <row r="196" spans="1:14">
      <c r="A196">
        <v>1736</v>
      </c>
      <c r="B196" t="s">
        <v>4944</v>
      </c>
      <c r="C196">
        <v>30.36</v>
      </c>
      <c r="D196">
        <v>-86</v>
      </c>
      <c r="E196">
        <v>-83</v>
      </c>
      <c r="F196">
        <v>-17</v>
      </c>
      <c r="G196">
        <v>-5</v>
      </c>
      <c r="H196">
        <v>0.5</v>
      </c>
      <c r="I196">
        <v>0.5</v>
      </c>
      <c r="J196">
        <v>0.13</v>
      </c>
      <c r="K196" s="245">
        <v>-41.26</v>
      </c>
      <c r="L196" s="245">
        <v>39.81</v>
      </c>
      <c r="M196" s="245">
        <v>415.4</v>
      </c>
      <c r="N196" s="257" t="s">
        <v>6830</v>
      </c>
    </row>
    <row r="197" spans="1:14">
      <c r="A197">
        <v>1737</v>
      </c>
      <c r="B197" t="s">
        <v>4945</v>
      </c>
      <c r="C197">
        <v>20</v>
      </c>
      <c r="D197">
        <v>10</v>
      </c>
      <c r="E197">
        <v>14</v>
      </c>
      <c r="F197">
        <v>-19</v>
      </c>
      <c r="G197">
        <v>-3</v>
      </c>
      <c r="H197">
        <v>12.92</v>
      </c>
      <c r="I197">
        <v>1.5</v>
      </c>
      <c r="J197">
        <v>1.97</v>
      </c>
      <c r="K197" s="245">
        <v>-5.92</v>
      </c>
      <c r="L197" s="245">
        <v>35.92</v>
      </c>
      <c r="M197" s="245">
        <v>348.95</v>
      </c>
      <c r="N197" s="257" t="s">
        <v>6831</v>
      </c>
    </row>
    <row r="198" spans="1:14">
      <c r="A198">
        <v>1742</v>
      </c>
      <c r="B198" t="s">
        <v>4946</v>
      </c>
      <c r="C198">
        <v>8.15</v>
      </c>
      <c r="D198">
        <v>5772</v>
      </c>
      <c r="E198">
        <v>-34</v>
      </c>
      <c r="F198">
        <v>-49</v>
      </c>
      <c r="G198">
        <v>81</v>
      </c>
      <c r="H198">
        <v>2.91</v>
      </c>
      <c r="I198">
        <v>1.7</v>
      </c>
      <c r="J198">
        <v>5.16</v>
      </c>
      <c r="K198" s="245">
        <v>-16.399999999999999</v>
      </c>
      <c r="L198" s="245">
        <v>21.57</v>
      </c>
      <c r="M198" s="245">
        <v>89.65</v>
      </c>
      <c r="N198" s="257" t="s">
        <v>6831</v>
      </c>
    </row>
    <row r="199" spans="1:14">
      <c r="A199">
        <v>1752</v>
      </c>
      <c r="B199" t="s">
        <v>4947</v>
      </c>
      <c r="C199">
        <v>10.09</v>
      </c>
      <c r="D199">
        <v>6</v>
      </c>
      <c r="E199">
        <v>17</v>
      </c>
      <c r="F199">
        <v>3</v>
      </c>
      <c r="G199">
        <v>4</v>
      </c>
      <c r="H199">
        <v>14.66</v>
      </c>
      <c r="I199">
        <v>1.8</v>
      </c>
      <c r="J199">
        <v>1.94</v>
      </c>
      <c r="K199" s="245">
        <v>-14.05</v>
      </c>
      <c r="L199" s="245">
        <v>13.61</v>
      </c>
      <c r="M199" s="245">
        <v>271.45</v>
      </c>
      <c r="N199" s="257" t="s">
        <v>6830</v>
      </c>
    </row>
    <row r="200" spans="1:14">
      <c r="A200">
        <v>1760</v>
      </c>
      <c r="B200" t="s">
        <v>4948</v>
      </c>
      <c r="C200">
        <v>8.57</v>
      </c>
      <c r="D200">
        <v>274</v>
      </c>
      <c r="E200">
        <v>58</v>
      </c>
      <c r="F200">
        <v>30</v>
      </c>
      <c r="G200">
        <v>84</v>
      </c>
      <c r="H200">
        <v>8.6999999999999993</v>
      </c>
      <c r="I200">
        <v>1.5</v>
      </c>
      <c r="J200">
        <v>1.32</v>
      </c>
      <c r="K200" s="245">
        <v>-36.630000000000003</v>
      </c>
      <c r="L200" s="245">
        <v>35.32</v>
      </c>
      <c r="M200" s="245">
        <v>14414.75</v>
      </c>
      <c r="N200" s="257" t="s">
        <v>6831</v>
      </c>
    </row>
    <row r="201" spans="1:14">
      <c r="A201">
        <v>1762</v>
      </c>
      <c r="B201" t="s">
        <v>4949</v>
      </c>
      <c r="C201">
        <v>7.75</v>
      </c>
      <c r="D201">
        <v>-24</v>
      </c>
      <c r="E201">
        <v>63</v>
      </c>
      <c r="F201">
        <v>-18</v>
      </c>
      <c r="G201">
        <v>175</v>
      </c>
      <c r="H201">
        <v>22.66</v>
      </c>
      <c r="I201">
        <v>1.3</v>
      </c>
      <c r="J201">
        <v>5.17</v>
      </c>
      <c r="K201" s="245">
        <v>-33.409999999999997</v>
      </c>
      <c r="L201" s="245">
        <v>37.89</v>
      </c>
      <c r="M201" s="245">
        <v>3743.45</v>
      </c>
      <c r="N201" s="257" t="s">
        <v>6830</v>
      </c>
    </row>
    <row r="202" spans="1:14">
      <c r="A202">
        <v>1773</v>
      </c>
      <c r="B202" t="s">
        <v>4950</v>
      </c>
      <c r="C202">
        <v>20</v>
      </c>
      <c r="D202">
        <v>37</v>
      </c>
      <c r="E202">
        <v>38</v>
      </c>
      <c r="F202">
        <v>-9</v>
      </c>
      <c r="G202">
        <v>15</v>
      </c>
      <c r="H202">
        <v>17.12</v>
      </c>
      <c r="I202">
        <v>5.5</v>
      </c>
      <c r="J202">
        <v>8.08</v>
      </c>
      <c r="K202" s="245">
        <v>-15.35</v>
      </c>
      <c r="L202" s="245">
        <v>32.06</v>
      </c>
      <c r="M202" s="245">
        <v>375.75</v>
      </c>
      <c r="N202" s="257" t="s">
        <v>6832</v>
      </c>
    </row>
    <row r="203" spans="1:14">
      <c r="A203">
        <v>1776</v>
      </c>
      <c r="B203" t="s">
        <v>4951</v>
      </c>
      <c r="C203">
        <v>7.03</v>
      </c>
      <c r="D203">
        <v>181</v>
      </c>
      <c r="E203">
        <v>3</v>
      </c>
      <c r="F203">
        <v>-18</v>
      </c>
      <c r="G203">
        <v>10</v>
      </c>
      <c r="H203">
        <v>6.13</v>
      </c>
      <c r="I203">
        <v>1.5</v>
      </c>
      <c r="J203">
        <v>2.0499999999999998</v>
      </c>
      <c r="K203" s="245">
        <v>-34.78</v>
      </c>
      <c r="L203" s="245">
        <v>18.98</v>
      </c>
      <c r="M203" s="245">
        <v>50.35</v>
      </c>
      <c r="N203" s="257" t="s">
        <v>6830</v>
      </c>
    </row>
    <row r="204" spans="1:14">
      <c r="A204">
        <v>1777</v>
      </c>
      <c r="B204" t="s">
        <v>6242</v>
      </c>
      <c r="C204">
        <v>4</v>
      </c>
      <c r="D204">
        <v>-44</v>
      </c>
      <c r="E204">
        <v>-44</v>
      </c>
      <c r="F204">
        <v>2</v>
      </c>
      <c r="G204">
        <v>-20</v>
      </c>
      <c r="H204">
        <v>19.62</v>
      </c>
      <c r="I204">
        <v>2.15</v>
      </c>
      <c r="J204">
        <v>3.38</v>
      </c>
      <c r="K204" s="245">
        <v>-20.37</v>
      </c>
      <c r="L204" s="245">
        <v>19.22</v>
      </c>
      <c r="M204" s="245">
        <v>44.85</v>
      </c>
      <c r="N204" s="257" t="s">
        <v>6830</v>
      </c>
    </row>
    <row r="205" spans="1:14">
      <c r="A205">
        <v>1781</v>
      </c>
      <c r="B205" t="s">
        <v>6436</v>
      </c>
      <c r="C205">
        <v>4.74</v>
      </c>
      <c r="D205">
        <v>-130</v>
      </c>
      <c r="E205">
        <v>-477</v>
      </c>
      <c r="F205">
        <v>-14</v>
      </c>
      <c r="G205">
        <v>-45</v>
      </c>
      <c r="H205">
        <v>-11.93</v>
      </c>
      <c r="I205">
        <v>0</v>
      </c>
      <c r="J205">
        <v>-1.31</v>
      </c>
      <c r="K205" s="245">
        <v>-40</v>
      </c>
      <c r="L205" s="245">
        <v>28.86</v>
      </c>
      <c r="M205" s="245">
        <v>475.05</v>
      </c>
      <c r="N205" s="257" t="s">
        <v>6830</v>
      </c>
    </row>
    <row r="206" spans="1:14">
      <c r="A206">
        <v>1783</v>
      </c>
      <c r="B206" t="s">
        <v>4952</v>
      </c>
      <c r="C206">
        <v>7.69</v>
      </c>
      <c r="D206">
        <v>38</v>
      </c>
      <c r="E206">
        <v>47</v>
      </c>
      <c r="F206">
        <v>-14</v>
      </c>
      <c r="G206">
        <v>31</v>
      </c>
      <c r="H206">
        <v>17.57</v>
      </c>
      <c r="I206">
        <v>1</v>
      </c>
      <c r="J206">
        <v>1.21</v>
      </c>
      <c r="K206" s="245">
        <v>-53.95</v>
      </c>
      <c r="L206" s="245">
        <v>22.76</v>
      </c>
      <c r="M206" s="245">
        <v>390.7</v>
      </c>
      <c r="N206" s="257" t="s">
        <v>6830</v>
      </c>
    </row>
    <row r="207" spans="1:14">
      <c r="A207">
        <v>1784</v>
      </c>
      <c r="B207" t="s">
        <v>4953</v>
      </c>
      <c r="C207">
        <v>4.96</v>
      </c>
      <c r="D207">
        <v>2521</v>
      </c>
      <c r="E207">
        <v>918</v>
      </c>
      <c r="F207">
        <v>-7</v>
      </c>
      <c r="G207">
        <v>-2</v>
      </c>
      <c r="H207">
        <v>3.39</v>
      </c>
      <c r="I207">
        <v>0.48</v>
      </c>
      <c r="J207">
        <v>0.56000000000000005</v>
      </c>
      <c r="K207" s="245">
        <v>-26.69</v>
      </c>
      <c r="L207" s="245">
        <v>41.06</v>
      </c>
      <c r="M207" s="245">
        <v>288.2</v>
      </c>
      <c r="N207" s="257" t="s">
        <v>6830</v>
      </c>
    </row>
    <row r="208" spans="1:14">
      <c r="A208">
        <v>1785</v>
      </c>
      <c r="B208" t="s">
        <v>4954</v>
      </c>
      <c r="C208">
        <v>59.36</v>
      </c>
      <c r="D208">
        <v>48</v>
      </c>
      <c r="E208">
        <v>1</v>
      </c>
      <c r="F208">
        <v>-45</v>
      </c>
      <c r="G208">
        <v>-32</v>
      </c>
      <c r="H208">
        <v>5.16</v>
      </c>
      <c r="I208">
        <v>1.5</v>
      </c>
      <c r="J208">
        <v>2.15</v>
      </c>
      <c r="K208" s="245">
        <v>-22.16</v>
      </c>
      <c r="L208" s="245">
        <v>21.76</v>
      </c>
      <c r="M208" s="245">
        <v>2970.8</v>
      </c>
      <c r="N208" s="257" t="s">
        <v>6830</v>
      </c>
    </row>
    <row r="209" spans="1:14">
      <c r="A209">
        <v>1786</v>
      </c>
      <c r="B209" t="s">
        <v>4955</v>
      </c>
      <c r="C209">
        <v>6.61</v>
      </c>
      <c r="D209">
        <v>-20</v>
      </c>
      <c r="E209">
        <v>-16</v>
      </c>
      <c r="F209">
        <v>-43</v>
      </c>
      <c r="G209">
        <v>4</v>
      </c>
      <c r="H209">
        <v>24.12</v>
      </c>
      <c r="I209">
        <v>1.42</v>
      </c>
      <c r="J209">
        <v>1.54</v>
      </c>
      <c r="K209" s="245">
        <v>-29.08</v>
      </c>
      <c r="L209" s="245">
        <v>36.96</v>
      </c>
      <c r="M209" s="245">
        <v>53</v>
      </c>
      <c r="N209" s="257" t="s">
        <v>6830</v>
      </c>
    </row>
    <row r="210" spans="1:14">
      <c r="A210">
        <v>1788</v>
      </c>
      <c r="B210" t="s">
        <v>4956</v>
      </c>
      <c r="C210">
        <v>4.05</v>
      </c>
      <c r="D210">
        <v>9</v>
      </c>
      <c r="E210">
        <v>10</v>
      </c>
      <c r="F210">
        <v>-7</v>
      </c>
      <c r="G210">
        <v>6</v>
      </c>
      <c r="H210">
        <v>11.17</v>
      </c>
      <c r="I210">
        <v>7</v>
      </c>
      <c r="J210">
        <v>8.99</v>
      </c>
      <c r="K210" s="245">
        <v>-7.1</v>
      </c>
      <c r="L210" s="245">
        <v>54.65</v>
      </c>
      <c r="M210" s="245">
        <v>35.799999999999997</v>
      </c>
      <c r="N210" s="257" t="s">
        <v>6831</v>
      </c>
    </row>
    <row r="211" spans="1:14">
      <c r="A211">
        <v>1789</v>
      </c>
      <c r="B211" t="s">
        <v>4957</v>
      </c>
      <c r="C211">
        <v>79.069999999999993</v>
      </c>
      <c r="D211">
        <v>-13</v>
      </c>
      <c r="E211">
        <v>-23</v>
      </c>
      <c r="F211">
        <v>-46</v>
      </c>
      <c r="G211">
        <v>-30</v>
      </c>
      <c r="H211">
        <v>10.45</v>
      </c>
      <c r="I211">
        <v>0.48</v>
      </c>
      <c r="J211">
        <v>0.31</v>
      </c>
      <c r="K211" s="245">
        <v>-19.5</v>
      </c>
      <c r="L211" s="245">
        <v>21.93</v>
      </c>
      <c r="M211" s="245">
        <v>3364.05</v>
      </c>
      <c r="N211" s="257" t="s">
        <v>6830</v>
      </c>
    </row>
    <row r="212" spans="1:14">
      <c r="A212">
        <v>1795</v>
      </c>
      <c r="B212" t="s">
        <v>4958</v>
      </c>
      <c r="C212">
        <v>26.27</v>
      </c>
      <c r="D212">
        <v>36</v>
      </c>
      <c r="E212">
        <v>42</v>
      </c>
      <c r="F212">
        <v>-15</v>
      </c>
      <c r="G212">
        <v>-13</v>
      </c>
      <c r="H212">
        <v>18.149999999999999</v>
      </c>
      <c r="I212">
        <v>1.93</v>
      </c>
      <c r="J212">
        <v>5.5</v>
      </c>
      <c r="K212" s="245">
        <v>-24.44</v>
      </c>
      <c r="L212" s="245">
        <v>48.78</v>
      </c>
      <c r="M212" s="245">
        <v>5637.95</v>
      </c>
      <c r="N212" s="257" t="s">
        <v>6831</v>
      </c>
    </row>
    <row r="213" spans="1:14">
      <c r="A213">
        <v>1796</v>
      </c>
      <c r="B213" t="s">
        <v>6352</v>
      </c>
      <c r="C213">
        <v>4.1399999999999997</v>
      </c>
      <c r="D213">
        <v>1167</v>
      </c>
      <c r="E213">
        <v>360</v>
      </c>
      <c r="F213">
        <v>-2</v>
      </c>
      <c r="G213">
        <v>21</v>
      </c>
      <c r="H213">
        <v>15.09</v>
      </c>
      <c r="I213">
        <v>1</v>
      </c>
      <c r="J213">
        <v>1.45</v>
      </c>
      <c r="K213" s="245">
        <v>-8.83</v>
      </c>
      <c r="L213" s="245">
        <v>34.020000000000003</v>
      </c>
      <c r="M213" s="245">
        <v>39.5</v>
      </c>
      <c r="N213" s="257" t="s">
        <v>6832</v>
      </c>
    </row>
    <row r="214" spans="1:14">
      <c r="A214">
        <v>1799</v>
      </c>
      <c r="B214" t="s">
        <v>6437</v>
      </c>
      <c r="C214">
        <v>16.329999999999998</v>
      </c>
      <c r="D214">
        <v>7</v>
      </c>
      <c r="E214">
        <v>-33</v>
      </c>
      <c r="F214">
        <v>-68</v>
      </c>
      <c r="G214">
        <v>-58</v>
      </c>
      <c r="H214">
        <v>-107.39</v>
      </c>
      <c r="I214">
        <v>0</v>
      </c>
      <c r="J214">
        <v>-0.99</v>
      </c>
      <c r="K214" s="245">
        <v>-21.14</v>
      </c>
      <c r="L214" s="245">
        <v>26</v>
      </c>
      <c r="M214" s="245">
        <v>327.60000000000002</v>
      </c>
      <c r="N214" s="257" t="s">
        <v>6830</v>
      </c>
    </row>
    <row r="215" spans="1:14">
      <c r="A215">
        <v>1802</v>
      </c>
      <c r="B215" t="s">
        <v>4959</v>
      </c>
      <c r="C215">
        <v>290</v>
      </c>
      <c r="D215">
        <v>397</v>
      </c>
      <c r="E215">
        <v>359</v>
      </c>
      <c r="F215">
        <v>3</v>
      </c>
      <c r="G215">
        <v>-20</v>
      </c>
      <c r="H215">
        <v>20.62</v>
      </c>
      <c r="I215">
        <v>1.82</v>
      </c>
      <c r="J215">
        <v>3.95</v>
      </c>
      <c r="K215" s="245">
        <v>-56.89</v>
      </c>
      <c r="L215" s="245">
        <v>18.510000000000002</v>
      </c>
      <c r="M215" s="245">
        <v>4463.45</v>
      </c>
      <c r="N215" s="257" t="s">
        <v>6830</v>
      </c>
    </row>
    <row r="216" spans="1:14">
      <c r="A216">
        <v>1805</v>
      </c>
      <c r="B216" t="s">
        <v>6438</v>
      </c>
      <c r="C216">
        <v>10.02</v>
      </c>
      <c r="D216">
        <v>45</v>
      </c>
      <c r="E216">
        <v>36</v>
      </c>
      <c r="F216">
        <v>-96</v>
      </c>
      <c r="G216">
        <v>-88</v>
      </c>
      <c r="H216">
        <v>-18.28</v>
      </c>
      <c r="I216">
        <v>0</v>
      </c>
      <c r="J216">
        <v>-0.34</v>
      </c>
      <c r="K216" s="245">
        <v>-22.08</v>
      </c>
      <c r="L216" s="245">
        <v>20.74</v>
      </c>
      <c r="M216" s="245">
        <v>30.4</v>
      </c>
      <c r="N216" s="257" t="s">
        <v>6830</v>
      </c>
    </row>
    <row r="217" spans="1:14">
      <c r="A217">
        <v>1806</v>
      </c>
      <c r="B217" t="s">
        <v>4960</v>
      </c>
      <c r="C217">
        <v>43.37</v>
      </c>
      <c r="D217">
        <v>346</v>
      </c>
      <c r="E217">
        <v>106</v>
      </c>
      <c r="F217">
        <v>-3</v>
      </c>
      <c r="G217">
        <v>9</v>
      </c>
      <c r="H217">
        <v>0.67</v>
      </c>
      <c r="I217">
        <v>1</v>
      </c>
      <c r="J217">
        <v>2.29</v>
      </c>
      <c r="K217" s="245">
        <v>-24.14</v>
      </c>
      <c r="L217" s="245">
        <v>26.95</v>
      </c>
      <c r="M217" s="245">
        <v>838.8</v>
      </c>
      <c r="N217" s="257" t="s">
        <v>6830</v>
      </c>
    </row>
    <row r="218" spans="1:14">
      <c r="A218">
        <v>1808</v>
      </c>
      <c r="B218" t="s">
        <v>4961</v>
      </c>
      <c r="C218">
        <v>39.21</v>
      </c>
      <c r="D218">
        <v>1325</v>
      </c>
      <c r="E218">
        <v>416</v>
      </c>
      <c r="F218">
        <v>-63</v>
      </c>
      <c r="G218">
        <v>-89</v>
      </c>
      <c r="H218">
        <v>19.940000000000001</v>
      </c>
      <c r="I218">
        <v>3.5</v>
      </c>
      <c r="J218">
        <v>4.26</v>
      </c>
      <c r="K218" s="245">
        <v>-4.0199999999999996</v>
      </c>
      <c r="L218" s="245">
        <v>77.63</v>
      </c>
      <c r="M218" s="245">
        <v>1012.75</v>
      </c>
      <c r="N218" s="257" t="s">
        <v>6832</v>
      </c>
    </row>
    <row r="219" spans="1:14">
      <c r="A219">
        <v>1809</v>
      </c>
      <c r="B219" t="s">
        <v>4962</v>
      </c>
      <c r="C219">
        <v>16.7</v>
      </c>
      <c r="D219">
        <v>130</v>
      </c>
      <c r="E219">
        <v>86</v>
      </c>
      <c r="F219">
        <v>-8</v>
      </c>
      <c r="G219">
        <v>26</v>
      </c>
      <c r="H219">
        <v>-0.63</v>
      </c>
      <c r="I219">
        <v>0.25</v>
      </c>
      <c r="J219">
        <v>0.25</v>
      </c>
      <c r="K219" s="245">
        <v>-30</v>
      </c>
      <c r="L219" s="245">
        <v>12.22</v>
      </c>
      <c r="M219" s="245">
        <v>416.25</v>
      </c>
      <c r="N219" s="257" t="s">
        <v>6830</v>
      </c>
    </row>
    <row r="220" spans="1:14">
      <c r="A220">
        <v>1810</v>
      </c>
      <c r="B220" t="s">
        <v>4963</v>
      </c>
      <c r="C220">
        <v>36.979999999999997</v>
      </c>
      <c r="D220">
        <v>2098</v>
      </c>
      <c r="E220">
        <v>35940</v>
      </c>
      <c r="F220">
        <v>-14</v>
      </c>
      <c r="G220">
        <v>-13</v>
      </c>
      <c r="H220">
        <v>1.25</v>
      </c>
      <c r="I220">
        <v>0.2</v>
      </c>
      <c r="J220">
        <v>3.33</v>
      </c>
      <c r="K220" s="245">
        <v>-31.42</v>
      </c>
      <c r="L220" s="245">
        <v>13.5</v>
      </c>
      <c r="M220" s="245">
        <v>923.3</v>
      </c>
      <c r="N220" s="257" t="s">
        <v>6830</v>
      </c>
    </row>
    <row r="221" spans="1:14">
      <c r="A221">
        <v>1813</v>
      </c>
      <c r="B221" t="s">
        <v>6314</v>
      </c>
      <c r="C221">
        <v>4.66</v>
      </c>
      <c r="D221">
        <v>-6360</v>
      </c>
      <c r="E221">
        <v>-45</v>
      </c>
      <c r="F221">
        <v>1</v>
      </c>
      <c r="G221">
        <v>-37</v>
      </c>
      <c r="H221">
        <v>-13.12</v>
      </c>
      <c r="I221">
        <v>0.5</v>
      </c>
      <c r="J221">
        <v>-0.28000000000000003</v>
      </c>
      <c r="K221" s="245">
        <v>-4.75</v>
      </c>
      <c r="L221" s="245">
        <v>46.74</v>
      </c>
      <c r="M221" s="245">
        <v>76.05</v>
      </c>
      <c r="N221" s="257" t="s">
        <v>6832</v>
      </c>
    </row>
    <row r="222" spans="1:14">
      <c r="A222">
        <v>1815</v>
      </c>
      <c r="B222" t="s">
        <v>4964</v>
      </c>
      <c r="C222">
        <v>42.84</v>
      </c>
      <c r="D222">
        <v>225</v>
      </c>
      <c r="E222">
        <v>214</v>
      </c>
      <c r="F222">
        <v>56</v>
      </c>
      <c r="G222">
        <v>14</v>
      </c>
      <c r="H222">
        <v>13.4</v>
      </c>
      <c r="I222">
        <v>0.9</v>
      </c>
      <c r="J222">
        <v>1.43</v>
      </c>
      <c r="K222" s="245">
        <v>-40.35</v>
      </c>
      <c r="L222" s="245">
        <v>28.89</v>
      </c>
      <c r="M222" s="245">
        <v>1234.3499999999999</v>
      </c>
      <c r="N222" s="257" t="s">
        <v>6830</v>
      </c>
    </row>
    <row r="223" spans="1:14">
      <c r="A223">
        <v>1817</v>
      </c>
      <c r="B223" t="s">
        <v>4965</v>
      </c>
      <c r="C223">
        <v>7.26</v>
      </c>
      <c r="D223">
        <v>2</v>
      </c>
      <c r="E223">
        <v>-1</v>
      </c>
      <c r="F223">
        <v>-11</v>
      </c>
      <c r="G223">
        <v>16</v>
      </c>
      <c r="H223">
        <v>12.01</v>
      </c>
      <c r="I223">
        <v>2</v>
      </c>
      <c r="J223">
        <v>3.07</v>
      </c>
      <c r="K223" s="245">
        <v>-17.36</v>
      </c>
      <c r="L223" s="245">
        <v>14.8</v>
      </c>
      <c r="M223" s="245">
        <v>79.349999999999994</v>
      </c>
      <c r="N223" s="257" t="s">
        <v>6830</v>
      </c>
    </row>
    <row r="224" spans="1:14">
      <c r="A224">
        <v>1903</v>
      </c>
      <c r="B224" t="s">
        <v>4966</v>
      </c>
      <c r="C224">
        <v>26</v>
      </c>
      <c r="D224">
        <v>162</v>
      </c>
      <c r="E224">
        <v>82</v>
      </c>
      <c r="F224">
        <v>-30</v>
      </c>
      <c r="G224">
        <v>-15</v>
      </c>
      <c r="H224">
        <v>-8.15</v>
      </c>
      <c r="I224">
        <v>0</v>
      </c>
      <c r="J224">
        <v>0.32</v>
      </c>
      <c r="K224" s="245">
        <v>-29.06</v>
      </c>
      <c r="L224" s="245">
        <v>15.83</v>
      </c>
      <c r="M224" s="245">
        <v>137.25</v>
      </c>
      <c r="N224" s="257" t="s">
        <v>6830</v>
      </c>
    </row>
    <row r="225" spans="1:14">
      <c r="A225">
        <v>1904</v>
      </c>
      <c r="B225" t="s">
        <v>4967</v>
      </c>
      <c r="C225">
        <v>110</v>
      </c>
      <c r="D225">
        <v>7</v>
      </c>
      <c r="E225">
        <v>-8</v>
      </c>
      <c r="F225">
        <v>-5</v>
      </c>
      <c r="G225">
        <v>3</v>
      </c>
      <c r="H225">
        <v>10.17</v>
      </c>
      <c r="I225">
        <v>1.9</v>
      </c>
      <c r="J225">
        <v>3.58</v>
      </c>
      <c r="K225" s="245">
        <v>-41.46</v>
      </c>
      <c r="L225" s="245">
        <v>12.33</v>
      </c>
      <c r="M225" s="245">
        <v>2225.3000000000002</v>
      </c>
      <c r="N225" s="257" t="s">
        <v>6830</v>
      </c>
    </row>
    <row r="226" spans="1:14">
      <c r="A226">
        <v>1905</v>
      </c>
      <c r="B226" t="s">
        <v>4968</v>
      </c>
      <c r="C226">
        <v>110</v>
      </c>
      <c r="D226">
        <v>248</v>
      </c>
      <c r="E226">
        <v>169</v>
      </c>
      <c r="F226">
        <v>-13</v>
      </c>
      <c r="G226">
        <v>-1</v>
      </c>
      <c r="H226">
        <v>1.24</v>
      </c>
      <c r="I226">
        <v>0.4</v>
      </c>
      <c r="J226">
        <v>0.45</v>
      </c>
      <c r="K226" s="245">
        <v>-43.75</v>
      </c>
      <c r="L226" s="245">
        <v>17.93</v>
      </c>
      <c r="M226" s="245">
        <v>3960.7</v>
      </c>
      <c r="N226" s="257" t="s">
        <v>6830</v>
      </c>
    </row>
    <row r="227" spans="1:14">
      <c r="A227">
        <v>1906</v>
      </c>
      <c r="B227" t="s">
        <v>4969</v>
      </c>
      <c r="C227">
        <v>15.1</v>
      </c>
      <c r="D227">
        <v>97</v>
      </c>
      <c r="E227">
        <v>-80</v>
      </c>
      <c r="F227">
        <v>3</v>
      </c>
      <c r="G227">
        <v>3734</v>
      </c>
      <c r="H227">
        <v>0.1</v>
      </c>
      <c r="I227">
        <v>0.6</v>
      </c>
      <c r="J227">
        <v>1.22</v>
      </c>
      <c r="K227" s="245">
        <v>-25.47</v>
      </c>
      <c r="L227" s="245">
        <v>24.97</v>
      </c>
      <c r="M227" s="245">
        <v>1107.25</v>
      </c>
      <c r="N227" s="257" t="s">
        <v>6830</v>
      </c>
    </row>
    <row r="228" spans="1:14">
      <c r="A228">
        <v>1907</v>
      </c>
      <c r="B228" t="s">
        <v>4970</v>
      </c>
      <c r="C228">
        <v>166</v>
      </c>
      <c r="D228">
        <v>17</v>
      </c>
      <c r="E228">
        <v>42</v>
      </c>
      <c r="F228">
        <v>-14</v>
      </c>
      <c r="G228">
        <v>-14</v>
      </c>
      <c r="H228">
        <v>9.39</v>
      </c>
      <c r="I228">
        <v>1.5</v>
      </c>
      <c r="J228">
        <v>3.13</v>
      </c>
      <c r="K228" s="245">
        <v>-45.2</v>
      </c>
      <c r="L228" s="245">
        <v>9.82</v>
      </c>
      <c r="M228" s="245">
        <v>1992.05</v>
      </c>
      <c r="N228" s="257" t="s">
        <v>6830</v>
      </c>
    </row>
    <row r="229" spans="1:14">
      <c r="A229">
        <v>1909</v>
      </c>
      <c r="B229" t="s">
        <v>4971</v>
      </c>
      <c r="C229">
        <v>127</v>
      </c>
      <c r="D229">
        <v>153</v>
      </c>
      <c r="E229">
        <v>80</v>
      </c>
      <c r="F229">
        <v>-19</v>
      </c>
      <c r="G229">
        <v>14</v>
      </c>
      <c r="H229">
        <v>7.34</v>
      </c>
      <c r="I229">
        <v>1.2</v>
      </c>
      <c r="J229">
        <v>1.84</v>
      </c>
      <c r="K229" s="245">
        <v>-47.77</v>
      </c>
      <c r="L229" s="245">
        <v>20.92</v>
      </c>
      <c r="M229" s="245">
        <v>5005.05</v>
      </c>
      <c r="N229" s="257" t="s">
        <v>6830</v>
      </c>
    </row>
    <row r="230" spans="1:14">
      <c r="A230">
        <v>2002</v>
      </c>
      <c r="B230" t="s">
        <v>4972</v>
      </c>
      <c r="C230">
        <v>1573</v>
      </c>
      <c r="D230">
        <v>2951</v>
      </c>
      <c r="E230">
        <v>3373</v>
      </c>
      <c r="F230">
        <v>8</v>
      </c>
      <c r="G230">
        <v>23</v>
      </c>
      <c r="H230">
        <v>17.03</v>
      </c>
      <c r="I230">
        <v>3.1</v>
      </c>
      <c r="J230">
        <v>4.0199999999999996</v>
      </c>
      <c r="K230" s="245">
        <v>-19.71</v>
      </c>
      <c r="L230" s="245">
        <v>18.63</v>
      </c>
      <c r="M230" s="245">
        <v>40143.4</v>
      </c>
      <c r="N230" s="257" t="s">
        <v>6830</v>
      </c>
    </row>
    <row r="231" spans="1:14">
      <c r="A231">
        <v>2006</v>
      </c>
      <c r="B231" t="s">
        <v>4973</v>
      </c>
      <c r="C231">
        <v>73.02</v>
      </c>
      <c r="D231">
        <v>66</v>
      </c>
      <c r="E231">
        <v>59</v>
      </c>
      <c r="F231">
        <v>-6</v>
      </c>
      <c r="G231">
        <v>12</v>
      </c>
      <c r="H231">
        <v>12.01</v>
      </c>
      <c r="I231">
        <v>6.4</v>
      </c>
      <c r="J231">
        <v>5.95</v>
      </c>
      <c r="K231" s="245">
        <v>-30.12</v>
      </c>
      <c r="L231" s="245">
        <v>8.02</v>
      </c>
      <c r="M231" s="245">
        <v>3606.2</v>
      </c>
      <c r="N231" s="257" t="s">
        <v>6831</v>
      </c>
    </row>
    <row r="232" spans="1:14">
      <c r="A232">
        <v>2007</v>
      </c>
      <c r="B232" t="s">
        <v>4974</v>
      </c>
      <c r="C232">
        <v>53.06</v>
      </c>
      <c r="D232">
        <v>102</v>
      </c>
      <c r="E232">
        <v>207</v>
      </c>
      <c r="F232">
        <v>8</v>
      </c>
      <c r="G232">
        <v>48</v>
      </c>
      <c r="H232">
        <v>5.42</v>
      </c>
      <c r="I232">
        <v>0</v>
      </c>
      <c r="J232">
        <v>0.02</v>
      </c>
      <c r="K232" s="245">
        <v>-57.74</v>
      </c>
      <c r="L232" s="245">
        <v>12.64</v>
      </c>
      <c r="M232" s="245">
        <v>1510.65</v>
      </c>
      <c r="N232" s="257" t="s">
        <v>6830</v>
      </c>
    </row>
    <row r="233" spans="1:14">
      <c r="A233">
        <v>2008</v>
      </c>
      <c r="B233" t="s">
        <v>4975</v>
      </c>
      <c r="C233">
        <v>20.079999999999998</v>
      </c>
      <c r="D233">
        <v>228</v>
      </c>
      <c r="E233">
        <v>241</v>
      </c>
      <c r="F233">
        <v>83</v>
      </c>
      <c r="G233">
        <v>86</v>
      </c>
      <c r="H233">
        <v>6.25</v>
      </c>
      <c r="I233">
        <v>0</v>
      </c>
      <c r="J233">
        <v>0.21</v>
      </c>
      <c r="K233" s="245">
        <v>-46.37</v>
      </c>
      <c r="L233" s="245">
        <v>13.31</v>
      </c>
      <c r="M233" s="245">
        <v>93.45</v>
      </c>
      <c r="N233" s="257" t="s">
        <v>6830</v>
      </c>
    </row>
    <row r="234" spans="1:14">
      <c r="A234">
        <v>2009</v>
      </c>
      <c r="B234" t="s">
        <v>4976</v>
      </c>
      <c r="C234">
        <v>35.96</v>
      </c>
      <c r="D234">
        <v>433</v>
      </c>
      <c r="E234">
        <v>437</v>
      </c>
      <c r="F234">
        <v>-6</v>
      </c>
      <c r="G234">
        <v>8</v>
      </c>
      <c r="H234">
        <v>7.97</v>
      </c>
      <c r="I234">
        <v>1</v>
      </c>
      <c r="J234">
        <v>1.18</v>
      </c>
      <c r="K234" s="245">
        <v>-52.95</v>
      </c>
      <c r="L234" s="245">
        <v>9.4499999999999993</v>
      </c>
      <c r="M234" s="245">
        <v>2423.5</v>
      </c>
      <c r="N234" s="257" t="s">
        <v>6830</v>
      </c>
    </row>
    <row r="235" spans="1:14">
      <c r="A235">
        <v>2010</v>
      </c>
      <c r="B235" t="s">
        <v>4977</v>
      </c>
      <c r="C235">
        <v>64.760000000000005</v>
      </c>
      <c r="D235">
        <v>138</v>
      </c>
      <c r="E235">
        <v>151</v>
      </c>
      <c r="F235">
        <v>-10</v>
      </c>
      <c r="G235">
        <v>-1</v>
      </c>
      <c r="H235">
        <v>5.18</v>
      </c>
      <c r="I235">
        <v>1.3</v>
      </c>
      <c r="J235">
        <v>1.88</v>
      </c>
      <c r="K235" s="245">
        <v>-49.4</v>
      </c>
      <c r="L235" s="245">
        <v>16.47</v>
      </c>
      <c r="M235" s="245">
        <v>2499.9499999999998</v>
      </c>
      <c r="N235" s="257" t="s">
        <v>6830</v>
      </c>
    </row>
    <row r="236" spans="1:14">
      <c r="A236">
        <v>2012</v>
      </c>
      <c r="B236" t="s">
        <v>4978</v>
      </c>
      <c r="C236">
        <v>28.77</v>
      </c>
      <c r="D236">
        <v>232</v>
      </c>
      <c r="E236">
        <v>214</v>
      </c>
      <c r="F236">
        <v>-24</v>
      </c>
      <c r="G236">
        <v>4</v>
      </c>
      <c r="H236">
        <v>9.33</v>
      </c>
      <c r="I236">
        <v>2</v>
      </c>
      <c r="J236">
        <v>2.81</v>
      </c>
      <c r="K236" s="245">
        <v>-35.29</v>
      </c>
      <c r="L236" s="245">
        <v>17.88</v>
      </c>
      <c r="M236" s="245">
        <v>300.10000000000002</v>
      </c>
      <c r="N236" s="257" t="s">
        <v>6830</v>
      </c>
    </row>
    <row r="237" spans="1:14">
      <c r="A237">
        <v>2013</v>
      </c>
      <c r="B237" t="s">
        <v>4979</v>
      </c>
      <c r="C237">
        <v>20</v>
      </c>
      <c r="D237">
        <v>-21</v>
      </c>
      <c r="E237">
        <v>70</v>
      </c>
      <c r="F237">
        <v>-5</v>
      </c>
      <c r="G237">
        <v>42</v>
      </c>
      <c r="H237">
        <v>2.96</v>
      </c>
      <c r="I237">
        <v>2</v>
      </c>
      <c r="J237">
        <v>2.4900000000000002</v>
      </c>
      <c r="K237" s="245">
        <v>-37.82</v>
      </c>
      <c r="L237" s="245">
        <v>20.55</v>
      </c>
      <c r="M237" s="245">
        <v>2740</v>
      </c>
      <c r="N237" s="257" t="s">
        <v>6830</v>
      </c>
    </row>
    <row r="238" spans="1:14">
      <c r="A238">
        <v>2014</v>
      </c>
      <c r="B238" t="s">
        <v>4980</v>
      </c>
      <c r="C238">
        <v>143</v>
      </c>
      <c r="D238">
        <v>1102</v>
      </c>
      <c r="E238">
        <v>1828</v>
      </c>
      <c r="F238">
        <v>20</v>
      </c>
      <c r="G238">
        <v>46</v>
      </c>
      <c r="H238">
        <v>12.14</v>
      </c>
      <c r="I238">
        <v>2.8</v>
      </c>
      <c r="J238">
        <v>4.42</v>
      </c>
      <c r="K238" s="245">
        <v>-49.15</v>
      </c>
      <c r="L238" s="245">
        <v>16.059999999999999</v>
      </c>
      <c r="M238" s="245">
        <v>14347.7</v>
      </c>
      <c r="N238" s="257" t="s">
        <v>6830</v>
      </c>
    </row>
    <row r="239" spans="1:14">
      <c r="A239">
        <v>2015</v>
      </c>
      <c r="B239" t="s">
        <v>4981</v>
      </c>
      <c r="C239">
        <v>58.15</v>
      </c>
      <c r="D239">
        <v>54</v>
      </c>
      <c r="E239">
        <v>52</v>
      </c>
      <c r="F239">
        <v>-9</v>
      </c>
      <c r="G239">
        <v>23</v>
      </c>
      <c r="H239">
        <v>12.31</v>
      </c>
      <c r="I239">
        <v>5</v>
      </c>
      <c r="J239">
        <v>6.94</v>
      </c>
      <c r="K239" s="245">
        <v>-25.25</v>
      </c>
      <c r="L239" s="245">
        <v>11.8</v>
      </c>
      <c r="M239" s="245">
        <v>363.25</v>
      </c>
      <c r="N239" s="257" t="s">
        <v>6830</v>
      </c>
    </row>
    <row r="240" spans="1:14">
      <c r="A240">
        <v>2017</v>
      </c>
      <c r="B240" t="s">
        <v>4982</v>
      </c>
      <c r="C240">
        <v>34.18</v>
      </c>
      <c r="D240">
        <v>853</v>
      </c>
      <c r="E240">
        <v>4096</v>
      </c>
      <c r="F240">
        <v>-4</v>
      </c>
      <c r="G240">
        <v>-1</v>
      </c>
      <c r="H240">
        <v>13.53</v>
      </c>
      <c r="I240">
        <v>1.2</v>
      </c>
      <c r="J240">
        <v>1.98</v>
      </c>
      <c r="K240" s="245">
        <v>-58.15</v>
      </c>
      <c r="L240" s="245">
        <v>15.88</v>
      </c>
      <c r="M240" s="245">
        <v>1524.2</v>
      </c>
      <c r="N240" s="257" t="s">
        <v>6830</v>
      </c>
    </row>
    <row r="241" spans="1:14">
      <c r="A241">
        <v>2020</v>
      </c>
      <c r="B241" t="s">
        <v>4983</v>
      </c>
      <c r="C241">
        <v>22.25</v>
      </c>
      <c r="D241">
        <v>98</v>
      </c>
      <c r="E241">
        <v>95</v>
      </c>
      <c r="F241">
        <v>-2</v>
      </c>
      <c r="G241">
        <v>20</v>
      </c>
      <c r="H241">
        <v>7.97</v>
      </c>
      <c r="I241">
        <v>3</v>
      </c>
      <c r="J241">
        <v>3.52</v>
      </c>
      <c r="K241" s="245">
        <v>-31.86</v>
      </c>
      <c r="L241" s="245">
        <v>25.13</v>
      </c>
      <c r="M241" s="245">
        <v>658.4</v>
      </c>
      <c r="N241" s="257" t="s">
        <v>6830</v>
      </c>
    </row>
    <row r="242" spans="1:14">
      <c r="A242">
        <v>2022</v>
      </c>
      <c r="B242" t="s">
        <v>6439</v>
      </c>
      <c r="C242">
        <v>47.97</v>
      </c>
      <c r="D242">
        <v>315</v>
      </c>
      <c r="E242">
        <v>681</v>
      </c>
      <c r="F242">
        <v>25</v>
      </c>
      <c r="G242">
        <v>11</v>
      </c>
      <c r="H242">
        <v>8.59</v>
      </c>
      <c r="I242">
        <v>0</v>
      </c>
      <c r="J242">
        <v>0.89</v>
      </c>
      <c r="K242" s="245">
        <v>-63.84</v>
      </c>
      <c r="L242" s="245">
        <v>7.86</v>
      </c>
      <c r="M242" s="245">
        <v>1315.95</v>
      </c>
      <c r="N242" s="257" t="s">
        <v>6830</v>
      </c>
    </row>
    <row r="243" spans="1:14">
      <c r="A243">
        <v>2023</v>
      </c>
      <c r="B243" t="s">
        <v>4984</v>
      </c>
      <c r="C243">
        <v>189</v>
      </c>
      <c r="D243">
        <v>908</v>
      </c>
      <c r="E243">
        <v>344</v>
      </c>
      <c r="F243">
        <v>3</v>
      </c>
      <c r="G243">
        <v>15</v>
      </c>
      <c r="H243">
        <v>5.59</v>
      </c>
      <c r="I243">
        <v>1</v>
      </c>
      <c r="J243">
        <v>2.75</v>
      </c>
      <c r="K243" s="245">
        <v>-52.64</v>
      </c>
      <c r="L243" s="245">
        <v>16.72</v>
      </c>
      <c r="M243" s="245">
        <v>6879.75</v>
      </c>
      <c r="N243" s="257" t="s">
        <v>6830</v>
      </c>
    </row>
    <row r="244" spans="1:14">
      <c r="A244">
        <v>2024</v>
      </c>
      <c r="B244" t="s">
        <v>4985</v>
      </c>
      <c r="C244">
        <v>9.75</v>
      </c>
      <c r="D244">
        <v>434</v>
      </c>
      <c r="E244">
        <v>402</v>
      </c>
      <c r="F244">
        <v>-31</v>
      </c>
      <c r="G244">
        <v>-21</v>
      </c>
      <c r="H244">
        <v>11.95</v>
      </c>
      <c r="I244">
        <v>1.2</v>
      </c>
      <c r="J244">
        <v>1.47</v>
      </c>
      <c r="K244" s="245">
        <v>-39.29</v>
      </c>
      <c r="L244" s="245">
        <v>15.93</v>
      </c>
      <c r="M244" s="245">
        <v>903.35</v>
      </c>
      <c r="N244" s="257" t="s">
        <v>6830</v>
      </c>
    </row>
    <row r="245" spans="1:14">
      <c r="A245">
        <v>2025</v>
      </c>
      <c r="B245" t="s">
        <v>6440</v>
      </c>
      <c r="C245">
        <v>28.11</v>
      </c>
      <c r="D245">
        <v>231</v>
      </c>
      <c r="E245">
        <v>219</v>
      </c>
      <c r="F245">
        <v>1</v>
      </c>
      <c r="G245">
        <v>104</v>
      </c>
      <c r="H245">
        <v>10.75</v>
      </c>
      <c r="I245">
        <v>0</v>
      </c>
      <c r="J245">
        <v>0.98</v>
      </c>
      <c r="K245" s="245">
        <v>-31.45</v>
      </c>
      <c r="L245" s="245">
        <v>49.45</v>
      </c>
      <c r="M245" s="245">
        <v>621.70000000000005</v>
      </c>
      <c r="N245" s="257" t="s">
        <v>6831</v>
      </c>
    </row>
    <row r="246" spans="1:14">
      <c r="A246">
        <v>2027</v>
      </c>
      <c r="B246" t="s">
        <v>4986</v>
      </c>
      <c r="C246">
        <v>200</v>
      </c>
      <c r="D246">
        <v>11496</v>
      </c>
      <c r="E246">
        <v>938</v>
      </c>
      <c r="F246">
        <v>-6</v>
      </c>
      <c r="G246">
        <v>33</v>
      </c>
      <c r="H246">
        <v>19.55</v>
      </c>
      <c r="I246">
        <v>1.9</v>
      </c>
      <c r="J246">
        <v>5.76</v>
      </c>
      <c r="K246" s="245">
        <v>-31.87</v>
      </c>
      <c r="L246" s="245">
        <v>19.739999999999998</v>
      </c>
      <c r="M246" s="245">
        <v>23038.799999999999</v>
      </c>
      <c r="N246" s="257" t="s">
        <v>6830</v>
      </c>
    </row>
    <row r="247" spans="1:14">
      <c r="A247">
        <v>2028</v>
      </c>
      <c r="B247" t="s">
        <v>4987</v>
      </c>
      <c r="C247">
        <v>32.57</v>
      </c>
      <c r="D247">
        <v>176</v>
      </c>
      <c r="E247">
        <v>228</v>
      </c>
      <c r="F247">
        <v>-13</v>
      </c>
      <c r="G247">
        <v>33</v>
      </c>
      <c r="H247">
        <v>14.46</v>
      </c>
      <c r="I247">
        <v>2.5</v>
      </c>
      <c r="J247">
        <v>5.1100000000000003</v>
      </c>
      <c r="K247" s="245">
        <v>-52.21</v>
      </c>
      <c r="L247" s="245">
        <v>13.11</v>
      </c>
      <c r="M247" s="245">
        <v>1604.25</v>
      </c>
      <c r="N247" s="257" t="s">
        <v>6830</v>
      </c>
    </row>
    <row r="248" spans="1:14">
      <c r="A248">
        <v>2029</v>
      </c>
      <c r="B248" t="s">
        <v>4988</v>
      </c>
      <c r="C248">
        <v>32.11</v>
      </c>
      <c r="D248">
        <v>405</v>
      </c>
      <c r="E248">
        <v>312</v>
      </c>
      <c r="F248">
        <v>-9</v>
      </c>
      <c r="G248">
        <v>17</v>
      </c>
      <c r="H248">
        <v>10.86</v>
      </c>
      <c r="I248">
        <v>2.5499999999999998</v>
      </c>
      <c r="J248">
        <v>3.94</v>
      </c>
      <c r="K248" s="245">
        <v>-47.93</v>
      </c>
      <c r="L248" s="245">
        <v>22.88</v>
      </c>
      <c r="M248" s="245">
        <v>2247.6999999999998</v>
      </c>
      <c r="N248" s="257" t="s">
        <v>6830</v>
      </c>
    </row>
    <row r="249" spans="1:14">
      <c r="A249">
        <v>2030</v>
      </c>
      <c r="B249" t="s">
        <v>4989</v>
      </c>
      <c r="C249">
        <v>28.05</v>
      </c>
      <c r="D249">
        <v>1011</v>
      </c>
      <c r="E249">
        <v>635</v>
      </c>
      <c r="F249">
        <v>-22</v>
      </c>
      <c r="G249">
        <v>32</v>
      </c>
      <c r="H249">
        <v>11.33</v>
      </c>
      <c r="I249">
        <v>2</v>
      </c>
      <c r="J249">
        <v>4.29</v>
      </c>
      <c r="K249" s="245">
        <v>-45.08</v>
      </c>
      <c r="L249" s="245">
        <v>17.79</v>
      </c>
      <c r="M249" s="245">
        <v>10106.700000000001</v>
      </c>
      <c r="N249" s="257" t="s">
        <v>6830</v>
      </c>
    </row>
    <row r="250" spans="1:14">
      <c r="A250">
        <v>2031</v>
      </c>
      <c r="B250" t="s">
        <v>4990</v>
      </c>
      <c r="C250">
        <v>32.11</v>
      </c>
      <c r="D250">
        <v>227</v>
      </c>
      <c r="E250">
        <v>461</v>
      </c>
      <c r="F250">
        <v>-25</v>
      </c>
      <c r="G250">
        <v>29</v>
      </c>
      <c r="H250">
        <v>18.7</v>
      </c>
      <c r="I250">
        <v>4</v>
      </c>
      <c r="J250">
        <v>8.6199999999999992</v>
      </c>
      <c r="K250" s="245">
        <v>-48.31</v>
      </c>
      <c r="L250" s="245">
        <v>19.600000000000001</v>
      </c>
      <c r="M250" s="245">
        <v>6588.7</v>
      </c>
      <c r="N250" s="257" t="s">
        <v>6830</v>
      </c>
    </row>
    <row r="251" spans="1:14">
      <c r="A251">
        <v>2032</v>
      </c>
      <c r="B251" t="s">
        <v>4991</v>
      </c>
      <c r="C251">
        <v>13.05</v>
      </c>
      <c r="D251">
        <v>119</v>
      </c>
      <c r="E251">
        <v>114</v>
      </c>
      <c r="F251">
        <v>-28</v>
      </c>
      <c r="G251">
        <v>7</v>
      </c>
      <c r="H251">
        <v>5.45</v>
      </c>
      <c r="I251">
        <v>1.18</v>
      </c>
      <c r="J251">
        <v>1.28</v>
      </c>
      <c r="K251" s="245">
        <v>-44.62</v>
      </c>
      <c r="L251" s="245">
        <v>17.82</v>
      </c>
      <c r="M251" s="245">
        <v>2249.6</v>
      </c>
      <c r="N251" s="257" t="s">
        <v>6830</v>
      </c>
    </row>
    <row r="252" spans="1:14">
      <c r="A252">
        <v>2033</v>
      </c>
      <c r="B252" t="s">
        <v>4992</v>
      </c>
      <c r="C252">
        <v>8.06</v>
      </c>
      <c r="D252">
        <v>-25</v>
      </c>
      <c r="E252">
        <v>-32</v>
      </c>
      <c r="F252">
        <v>-30</v>
      </c>
      <c r="G252">
        <v>4</v>
      </c>
      <c r="H252">
        <v>1.7</v>
      </c>
      <c r="I252">
        <v>0.2</v>
      </c>
      <c r="J252">
        <v>0.18</v>
      </c>
      <c r="K252" s="245">
        <v>-38.69</v>
      </c>
      <c r="L252" s="245">
        <v>25.69</v>
      </c>
      <c r="M252" s="245">
        <v>2219.8000000000002</v>
      </c>
      <c r="N252" s="257" t="s">
        <v>6831</v>
      </c>
    </row>
    <row r="253" spans="1:14">
      <c r="A253">
        <v>2034</v>
      </c>
      <c r="B253" t="s">
        <v>4993</v>
      </c>
      <c r="C253">
        <v>44.53</v>
      </c>
      <c r="D253">
        <v>197</v>
      </c>
      <c r="E253">
        <v>199</v>
      </c>
      <c r="F253">
        <v>19</v>
      </c>
      <c r="G253">
        <v>33</v>
      </c>
      <c r="H253">
        <v>7.81</v>
      </c>
      <c r="I253">
        <v>1.5</v>
      </c>
      <c r="J253">
        <v>2.86</v>
      </c>
      <c r="K253" s="245">
        <v>-35.520000000000003</v>
      </c>
      <c r="L253" s="245">
        <v>20.81</v>
      </c>
      <c r="M253" s="245">
        <v>3468.65</v>
      </c>
      <c r="N253" s="257" t="s">
        <v>6830</v>
      </c>
    </row>
    <row r="254" spans="1:14">
      <c r="A254">
        <v>2035</v>
      </c>
      <c r="B254" t="s">
        <v>4994</v>
      </c>
      <c r="C254">
        <v>35</v>
      </c>
      <c r="D254">
        <v>338</v>
      </c>
      <c r="E254">
        <v>307</v>
      </c>
      <c r="F254">
        <v>-9</v>
      </c>
      <c r="G254">
        <v>22</v>
      </c>
      <c r="H254">
        <v>9.58</v>
      </c>
      <c r="I254">
        <v>0</v>
      </c>
      <c r="J254">
        <v>4.53</v>
      </c>
      <c r="K254" s="245">
        <v>-34.770000000000003</v>
      </c>
      <c r="L254" s="245">
        <v>9.68</v>
      </c>
      <c r="M254" s="245">
        <v>437</v>
      </c>
      <c r="N254" s="257" t="s">
        <v>6830</v>
      </c>
    </row>
    <row r="255" spans="1:14">
      <c r="A255">
        <v>2038</v>
      </c>
      <c r="B255" t="s">
        <v>4995</v>
      </c>
      <c r="C255">
        <v>18.12</v>
      </c>
      <c r="D255">
        <v>196</v>
      </c>
      <c r="E255">
        <v>190</v>
      </c>
      <c r="F255">
        <v>-12</v>
      </c>
      <c r="G255">
        <v>11</v>
      </c>
      <c r="H255">
        <v>5.09</v>
      </c>
      <c r="I255">
        <v>1.5</v>
      </c>
      <c r="J255">
        <v>2.54</v>
      </c>
      <c r="K255" s="245">
        <v>-62.77</v>
      </c>
      <c r="L255" s="245">
        <v>15.89</v>
      </c>
      <c r="M255" s="245">
        <v>1214.95</v>
      </c>
      <c r="N255" s="257" t="s">
        <v>6830</v>
      </c>
    </row>
    <row r="256" spans="1:14">
      <c r="A256">
        <v>2049</v>
      </c>
      <c r="B256" t="s">
        <v>4996</v>
      </c>
      <c r="C256">
        <v>34.07</v>
      </c>
      <c r="D256">
        <v>85</v>
      </c>
      <c r="E256">
        <v>195</v>
      </c>
      <c r="F256">
        <v>1</v>
      </c>
      <c r="G256">
        <v>22</v>
      </c>
      <c r="H256">
        <v>18.760000000000002</v>
      </c>
      <c r="I256">
        <v>4.5</v>
      </c>
      <c r="J256">
        <v>10.36</v>
      </c>
      <c r="K256" s="245">
        <v>-46.56</v>
      </c>
      <c r="L256" s="245">
        <v>22.85</v>
      </c>
      <c r="M256" s="245">
        <v>1567.7</v>
      </c>
      <c r="N256" s="257" t="s">
        <v>6830</v>
      </c>
    </row>
    <row r="257" spans="1:14">
      <c r="A257">
        <v>2059</v>
      </c>
      <c r="B257" t="s">
        <v>4997</v>
      </c>
      <c r="C257">
        <v>9.52</v>
      </c>
      <c r="D257">
        <v>77</v>
      </c>
      <c r="E257">
        <v>38</v>
      </c>
      <c r="F257">
        <v>-5</v>
      </c>
      <c r="G257">
        <v>21</v>
      </c>
      <c r="H257">
        <v>42.88</v>
      </c>
      <c r="I257">
        <v>10.88</v>
      </c>
      <c r="J257">
        <v>21.75</v>
      </c>
      <c r="K257" s="245">
        <v>-18.829999999999998</v>
      </c>
      <c r="L257" s="245">
        <v>58.81</v>
      </c>
      <c r="M257" s="245">
        <v>251.9</v>
      </c>
      <c r="N257" s="257" t="s">
        <v>6831</v>
      </c>
    </row>
    <row r="258" spans="1:14">
      <c r="A258">
        <v>2061</v>
      </c>
      <c r="B258" t="s">
        <v>6346</v>
      </c>
      <c r="C258">
        <v>4.6900000000000004</v>
      </c>
      <c r="D258">
        <v>1877</v>
      </c>
      <c r="E258">
        <v>325</v>
      </c>
      <c r="F258">
        <v>0</v>
      </c>
      <c r="G258">
        <v>-10</v>
      </c>
      <c r="H258">
        <v>2.59</v>
      </c>
      <c r="I258">
        <v>1</v>
      </c>
      <c r="J258">
        <v>2.37</v>
      </c>
      <c r="K258" s="245">
        <v>-30</v>
      </c>
      <c r="L258" s="245">
        <v>29.97</v>
      </c>
      <c r="M258" s="245">
        <v>23.85</v>
      </c>
      <c r="N258" s="257" t="s">
        <v>6830</v>
      </c>
    </row>
    <row r="259" spans="1:14">
      <c r="A259">
        <v>2062</v>
      </c>
      <c r="B259" t="s">
        <v>673</v>
      </c>
      <c r="C259">
        <v>19.989999999999998</v>
      </c>
      <c r="D259">
        <v>662</v>
      </c>
      <c r="E259">
        <v>5365</v>
      </c>
      <c r="F259">
        <v>-13</v>
      </c>
      <c r="G259">
        <v>3</v>
      </c>
      <c r="H259">
        <v>5.81</v>
      </c>
      <c r="I259">
        <v>0.5</v>
      </c>
      <c r="J259">
        <v>2.48</v>
      </c>
      <c r="K259" s="245">
        <v>-29.41</v>
      </c>
      <c r="L259" s="245">
        <v>19.260000000000002</v>
      </c>
      <c r="M259" s="245">
        <v>236.65</v>
      </c>
      <c r="N259" s="257" t="s">
        <v>6830</v>
      </c>
    </row>
    <row r="260" spans="1:14">
      <c r="A260">
        <v>2063</v>
      </c>
      <c r="B260" t="s">
        <v>6173</v>
      </c>
      <c r="C260">
        <v>4.5</v>
      </c>
      <c r="D260">
        <v>39</v>
      </c>
      <c r="E260">
        <v>41</v>
      </c>
      <c r="F260">
        <v>14</v>
      </c>
      <c r="G260">
        <v>37</v>
      </c>
      <c r="H260">
        <v>14.07</v>
      </c>
      <c r="I260">
        <v>3</v>
      </c>
      <c r="J260">
        <v>3.31</v>
      </c>
      <c r="K260" s="245">
        <v>-11.88</v>
      </c>
      <c r="L260" s="245">
        <v>23.27</v>
      </c>
      <c r="M260" s="245">
        <v>91.9</v>
      </c>
      <c r="N260" s="257" t="s">
        <v>6830</v>
      </c>
    </row>
    <row r="261" spans="1:14">
      <c r="A261">
        <v>2064</v>
      </c>
      <c r="B261" t="s">
        <v>4998</v>
      </c>
      <c r="C261">
        <v>6.96</v>
      </c>
      <c r="D261">
        <v>221</v>
      </c>
      <c r="E261">
        <v>291</v>
      </c>
      <c r="F261">
        <v>-24</v>
      </c>
      <c r="G261">
        <v>1</v>
      </c>
      <c r="H261">
        <v>5.48</v>
      </c>
      <c r="I261">
        <v>1</v>
      </c>
      <c r="J261">
        <v>1.81</v>
      </c>
      <c r="K261" s="245">
        <v>-36.200000000000003</v>
      </c>
      <c r="L261" s="245">
        <v>26.27</v>
      </c>
      <c r="M261" s="245">
        <v>671.25</v>
      </c>
      <c r="N261" s="257" t="s">
        <v>6830</v>
      </c>
    </row>
    <row r="262" spans="1:14">
      <c r="A262">
        <v>2065</v>
      </c>
      <c r="B262" t="s">
        <v>4999</v>
      </c>
      <c r="C262">
        <v>5.43</v>
      </c>
      <c r="D262">
        <v>81</v>
      </c>
      <c r="E262">
        <v>72</v>
      </c>
      <c r="F262">
        <v>-3</v>
      </c>
      <c r="G262">
        <v>-9</v>
      </c>
      <c r="H262">
        <v>12.2</v>
      </c>
      <c r="I262">
        <v>5.14</v>
      </c>
      <c r="J262">
        <v>5.42</v>
      </c>
      <c r="K262" s="245">
        <v>-17.2</v>
      </c>
      <c r="L262" s="245">
        <v>13.19</v>
      </c>
      <c r="M262" s="245">
        <v>124.3</v>
      </c>
      <c r="N262" s="257" t="s">
        <v>6830</v>
      </c>
    </row>
    <row r="263" spans="1:14">
      <c r="A263">
        <v>2066</v>
      </c>
      <c r="B263" t="s">
        <v>6194</v>
      </c>
      <c r="C263">
        <v>3.65</v>
      </c>
      <c r="D263">
        <v>37</v>
      </c>
      <c r="E263">
        <v>128</v>
      </c>
      <c r="F263">
        <v>0</v>
      </c>
      <c r="G263">
        <v>16</v>
      </c>
      <c r="H263">
        <v>8.43</v>
      </c>
      <c r="I263">
        <v>2</v>
      </c>
      <c r="J263">
        <v>4</v>
      </c>
      <c r="K263" s="245">
        <v>-13.35</v>
      </c>
      <c r="L263" s="245">
        <v>45.08</v>
      </c>
      <c r="M263" s="245">
        <v>15.65</v>
      </c>
      <c r="N263" s="257" t="s">
        <v>6831</v>
      </c>
    </row>
    <row r="264" spans="1:14">
      <c r="A264">
        <v>2067</v>
      </c>
      <c r="B264" t="s">
        <v>6441</v>
      </c>
      <c r="C264">
        <v>4.51</v>
      </c>
      <c r="D264">
        <v>66</v>
      </c>
      <c r="E264">
        <v>50</v>
      </c>
      <c r="F264">
        <v>3</v>
      </c>
      <c r="G264">
        <v>20</v>
      </c>
      <c r="H264">
        <v>-2.62</v>
      </c>
      <c r="I264">
        <v>0</v>
      </c>
      <c r="J264">
        <v>-0.24</v>
      </c>
      <c r="K264" s="245">
        <v>-18.809999999999999</v>
      </c>
      <c r="L264" s="245">
        <v>33.450000000000003</v>
      </c>
      <c r="M264" s="245">
        <v>16.95</v>
      </c>
      <c r="N264" s="257" t="s">
        <v>6831</v>
      </c>
    </row>
    <row r="265" spans="1:14">
      <c r="A265">
        <v>2069</v>
      </c>
      <c r="B265" t="s">
        <v>5000</v>
      </c>
      <c r="C265">
        <v>16.63</v>
      </c>
      <c r="D265">
        <v>1744</v>
      </c>
      <c r="E265">
        <v>762</v>
      </c>
      <c r="F265">
        <v>7</v>
      </c>
      <c r="G265">
        <v>40</v>
      </c>
      <c r="H265">
        <v>6.72</v>
      </c>
      <c r="I265">
        <v>2.2000000000000002</v>
      </c>
      <c r="J265">
        <v>4.7300000000000004</v>
      </c>
      <c r="K265" s="245">
        <v>-45.08</v>
      </c>
      <c r="L265" s="245">
        <v>15.89</v>
      </c>
      <c r="M265" s="245">
        <v>2151.1</v>
      </c>
      <c r="N265" s="257" t="s">
        <v>6830</v>
      </c>
    </row>
    <row r="266" spans="1:14">
      <c r="A266">
        <v>2070</v>
      </c>
      <c r="B266" t="s">
        <v>6319</v>
      </c>
      <c r="C266">
        <v>3.57</v>
      </c>
      <c r="D266">
        <v>283</v>
      </c>
      <c r="E266">
        <v>452</v>
      </c>
      <c r="F266">
        <v>-4</v>
      </c>
      <c r="G266">
        <v>-24</v>
      </c>
      <c r="H266">
        <v>19.670000000000002</v>
      </c>
      <c r="I266">
        <v>1.5</v>
      </c>
      <c r="J266">
        <v>2.66</v>
      </c>
      <c r="K266" s="245">
        <v>-19.05</v>
      </c>
      <c r="L266" s="245">
        <v>41.26</v>
      </c>
      <c r="M266" s="245">
        <v>8.4</v>
      </c>
      <c r="N266" s="257" t="s">
        <v>6831</v>
      </c>
    </row>
    <row r="267" spans="1:14">
      <c r="A267">
        <v>2101</v>
      </c>
      <c r="B267" t="s">
        <v>5001</v>
      </c>
      <c r="C267">
        <v>83.39</v>
      </c>
      <c r="D267">
        <v>-128</v>
      </c>
      <c r="E267">
        <v>-180</v>
      </c>
      <c r="F267">
        <v>13</v>
      </c>
      <c r="G267">
        <v>20</v>
      </c>
      <c r="H267">
        <v>-10.29</v>
      </c>
      <c r="I267">
        <v>0</v>
      </c>
      <c r="J267">
        <v>-0.28999999999999998</v>
      </c>
      <c r="K267" s="245">
        <v>-20.69</v>
      </c>
      <c r="L267" s="245">
        <v>25.22</v>
      </c>
      <c r="M267" s="245">
        <v>1479.75</v>
      </c>
      <c r="N267" s="257" t="s">
        <v>6830</v>
      </c>
    </row>
    <row r="268" spans="1:14">
      <c r="A268">
        <v>2102</v>
      </c>
      <c r="B268" t="s">
        <v>5002</v>
      </c>
      <c r="C268">
        <v>47.33</v>
      </c>
      <c r="D268">
        <v>-2208</v>
      </c>
      <c r="E268">
        <v>-847</v>
      </c>
      <c r="F268">
        <v>-7</v>
      </c>
      <c r="G268">
        <v>11</v>
      </c>
      <c r="H268">
        <v>-118.38</v>
      </c>
      <c r="I268">
        <v>0</v>
      </c>
      <c r="J268">
        <v>-5.1100000000000003</v>
      </c>
      <c r="K268" s="245">
        <v>-30.15</v>
      </c>
      <c r="L268" s="245">
        <v>18.559999999999999</v>
      </c>
      <c r="M268" s="245">
        <v>1420.7</v>
      </c>
      <c r="N268" s="257" t="s">
        <v>6830</v>
      </c>
    </row>
    <row r="269" spans="1:14">
      <c r="A269">
        <v>2103</v>
      </c>
      <c r="B269" t="s">
        <v>5003</v>
      </c>
      <c r="C269">
        <v>82.57</v>
      </c>
      <c r="D269">
        <v>1973</v>
      </c>
      <c r="E269">
        <v>377</v>
      </c>
      <c r="F269">
        <v>-2</v>
      </c>
      <c r="G269">
        <v>0</v>
      </c>
      <c r="H269">
        <v>12.07</v>
      </c>
      <c r="I269">
        <v>2.4</v>
      </c>
      <c r="J269">
        <v>4.76</v>
      </c>
      <c r="K269" s="245">
        <v>-33.71</v>
      </c>
      <c r="L269" s="245">
        <v>12.53</v>
      </c>
      <c r="M269" s="245">
        <v>2159.9499999999998</v>
      </c>
      <c r="N269" s="257" t="s">
        <v>6830</v>
      </c>
    </row>
    <row r="270" spans="1:14">
      <c r="A270">
        <v>2104</v>
      </c>
      <c r="B270" t="s">
        <v>5004</v>
      </c>
      <c r="C270">
        <v>98.47</v>
      </c>
      <c r="D270">
        <v>407</v>
      </c>
      <c r="E270">
        <v>268</v>
      </c>
      <c r="F270">
        <v>8</v>
      </c>
      <c r="G270">
        <v>-2</v>
      </c>
      <c r="H270">
        <v>21.03</v>
      </c>
      <c r="I270">
        <v>0.2</v>
      </c>
      <c r="J270">
        <v>3.5</v>
      </c>
      <c r="K270" s="245">
        <v>-30.13</v>
      </c>
      <c r="L270" s="245">
        <v>9.51</v>
      </c>
      <c r="M270" s="245">
        <v>2864.15</v>
      </c>
      <c r="N270" s="257" t="s">
        <v>6830</v>
      </c>
    </row>
    <row r="271" spans="1:14">
      <c r="A271">
        <v>2105</v>
      </c>
      <c r="B271" t="s">
        <v>5005</v>
      </c>
      <c r="C271">
        <v>324</v>
      </c>
      <c r="D271">
        <v>-11</v>
      </c>
      <c r="E271">
        <v>-10</v>
      </c>
      <c r="F271">
        <v>-25</v>
      </c>
      <c r="G271">
        <v>-16</v>
      </c>
      <c r="H271">
        <v>7.54</v>
      </c>
      <c r="I271">
        <v>1.2</v>
      </c>
      <c r="J271">
        <v>1.63</v>
      </c>
      <c r="K271" s="245">
        <v>-30</v>
      </c>
      <c r="L271" s="245">
        <v>22.44</v>
      </c>
      <c r="M271" s="245">
        <v>2716.1</v>
      </c>
      <c r="N271" s="257" t="s">
        <v>6830</v>
      </c>
    </row>
    <row r="272" spans="1:14">
      <c r="A272">
        <v>2106</v>
      </c>
      <c r="B272" t="s">
        <v>5006</v>
      </c>
      <c r="C272">
        <v>90.94</v>
      </c>
      <c r="D272">
        <v>-5</v>
      </c>
      <c r="E272">
        <v>13</v>
      </c>
      <c r="F272">
        <v>-23</v>
      </c>
      <c r="G272">
        <v>-5</v>
      </c>
      <c r="H272">
        <v>4.99</v>
      </c>
      <c r="I272">
        <v>1</v>
      </c>
      <c r="J272">
        <v>1.01</v>
      </c>
      <c r="K272" s="245">
        <v>-27.44</v>
      </c>
      <c r="L272" s="245">
        <v>34.44</v>
      </c>
      <c r="M272" s="245">
        <v>995.9</v>
      </c>
      <c r="N272" s="257" t="s">
        <v>6830</v>
      </c>
    </row>
    <row r="273" spans="1:14">
      <c r="A273">
        <v>2107</v>
      </c>
      <c r="B273" t="s">
        <v>5007</v>
      </c>
      <c r="C273">
        <v>34.229999999999997</v>
      </c>
      <c r="D273">
        <v>-13</v>
      </c>
      <c r="E273">
        <v>-22</v>
      </c>
      <c r="F273">
        <v>25</v>
      </c>
      <c r="G273">
        <v>-2</v>
      </c>
      <c r="H273">
        <v>22.44</v>
      </c>
      <c r="I273">
        <v>1.2</v>
      </c>
      <c r="J273">
        <v>2.27</v>
      </c>
      <c r="K273" s="245">
        <v>-15.95</v>
      </c>
      <c r="L273" s="245">
        <v>50.1</v>
      </c>
      <c r="M273" s="245">
        <v>303.75</v>
      </c>
      <c r="N273" s="257" t="s">
        <v>6830</v>
      </c>
    </row>
    <row r="274" spans="1:14">
      <c r="A274">
        <v>2108</v>
      </c>
      <c r="B274" t="s">
        <v>5008</v>
      </c>
      <c r="C274">
        <v>49.24</v>
      </c>
      <c r="D274">
        <v>107</v>
      </c>
      <c r="E274">
        <v>105</v>
      </c>
      <c r="F274">
        <v>-6</v>
      </c>
      <c r="G274">
        <v>-52</v>
      </c>
      <c r="H274">
        <v>42.15</v>
      </c>
      <c r="I274">
        <v>7</v>
      </c>
      <c r="J274">
        <v>14.92</v>
      </c>
      <c r="K274" s="245">
        <v>-72.73</v>
      </c>
      <c r="L274" s="245">
        <v>2.99</v>
      </c>
      <c r="M274" s="245">
        <v>2769.15</v>
      </c>
      <c r="N274" s="257" t="s">
        <v>6830</v>
      </c>
    </row>
    <row r="275" spans="1:14">
      <c r="A275">
        <v>2109</v>
      </c>
      <c r="B275" t="s">
        <v>5009</v>
      </c>
      <c r="C275">
        <v>27.93</v>
      </c>
      <c r="D275">
        <v>0</v>
      </c>
      <c r="E275">
        <v>15</v>
      </c>
      <c r="F275">
        <v>-15</v>
      </c>
      <c r="G275">
        <v>-1</v>
      </c>
      <c r="H275">
        <v>12.63</v>
      </c>
      <c r="I275">
        <v>1</v>
      </c>
      <c r="J275">
        <v>1.3</v>
      </c>
      <c r="K275" s="245">
        <v>-32.4</v>
      </c>
      <c r="L275" s="245">
        <v>19.78</v>
      </c>
      <c r="M275" s="245">
        <v>88.15</v>
      </c>
      <c r="N275" s="257" t="s">
        <v>6830</v>
      </c>
    </row>
    <row r="276" spans="1:14">
      <c r="A276">
        <v>2114</v>
      </c>
      <c r="B276" t="s">
        <v>5010</v>
      </c>
      <c r="C276">
        <v>7.79</v>
      </c>
      <c r="D276">
        <v>84</v>
      </c>
      <c r="E276">
        <v>2</v>
      </c>
      <c r="F276">
        <v>0</v>
      </c>
      <c r="G276">
        <v>2</v>
      </c>
      <c r="H276">
        <v>26.97</v>
      </c>
      <c r="I276">
        <v>7</v>
      </c>
      <c r="J276">
        <v>12.42</v>
      </c>
      <c r="K276" s="245">
        <v>-26.38</v>
      </c>
      <c r="L276" s="245">
        <v>17.63</v>
      </c>
      <c r="M276" s="245">
        <v>61.45</v>
      </c>
      <c r="N276" s="257" t="s">
        <v>6830</v>
      </c>
    </row>
    <row r="277" spans="1:14">
      <c r="A277">
        <v>2115</v>
      </c>
      <c r="B277" t="s">
        <v>5011</v>
      </c>
      <c r="C277">
        <v>9.94</v>
      </c>
      <c r="D277">
        <v>-32</v>
      </c>
      <c r="E277">
        <v>43</v>
      </c>
      <c r="F277">
        <v>-1</v>
      </c>
      <c r="G277">
        <v>-5</v>
      </c>
      <c r="H277">
        <v>13.88</v>
      </c>
      <c r="I277">
        <v>1.6</v>
      </c>
      <c r="J277">
        <v>4.0199999999999996</v>
      </c>
      <c r="K277" s="245">
        <v>-32.35</v>
      </c>
      <c r="L277" s="245">
        <v>6.62</v>
      </c>
      <c r="M277" s="245">
        <v>56.6</v>
      </c>
      <c r="N277" s="257" t="s">
        <v>6830</v>
      </c>
    </row>
    <row r="278" spans="1:14">
      <c r="A278">
        <v>2201</v>
      </c>
      <c r="B278" t="s">
        <v>5012</v>
      </c>
      <c r="C278">
        <v>100</v>
      </c>
      <c r="D278">
        <v>59</v>
      </c>
      <c r="E278">
        <v>685</v>
      </c>
      <c r="F278">
        <v>-12</v>
      </c>
      <c r="G278">
        <v>-4</v>
      </c>
      <c r="H278">
        <v>9.14</v>
      </c>
      <c r="I278">
        <v>1.5</v>
      </c>
      <c r="J278">
        <v>4.82</v>
      </c>
      <c r="K278" s="245">
        <v>-7.39</v>
      </c>
      <c r="L278" s="245">
        <v>62.24</v>
      </c>
      <c r="M278" s="245">
        <v>2342.6</v>
      </c>
      <c r="N278" s="257" t="s">
        <v>6831</v>
      </c>
    </row>
    <row r="279" spans="1:14">
      <c r="A279">
        <v>2204</v>
      </c>
      <c r="B279" t="s">
        <v>5013</v>
      </c>
      <c r="C279">
        <v>55.36</v>
      </c>
      <c r="D279">
        <v>24</v>
      </c>
      <c r="E279">
        <v>14</v>
      </c>
      <c r="F279">
        <v>0</v>
      </c>
      <c r="G279">
        <v>-3</v>
      </c>
      <c r="H279">
        <v>6.55</v>
      </c>
      <c r="I279">
        <v>5.5</v>
      </c>
      <c r="J279">
        <v>7.67</v>
      </c>
      <c r="K279" s="245">
        <v>-22.06</v>
      </c>
      <c r="L279" s="245">
        <v>44.9</v>
      </c>
      <c r="M279" s="245">
        <v>999.2</v>
      </c>
      <c r="N279" s="257" t="s">
        <v>6830</v>
      </c>
    </row>
    <row r="280" spans="1:14">
      <c r="A280">
        <v>2206</v>
      </c>
      <c r="B280" t="s">
        <v>5014</v>
      </c>
      <c r="C280">
        <v>79.760000000000005</v>
      </c>
      <c r="D280">
        <v>-4</v>
      </c>
      <c r="E280">
        <v>13</v>
      </c>
      <c r="F280">
        <v>-4</v>
      </c>
      <c r="G280">
        <v>7</v>
      </c>
      <c r="H280">
        <v>5.34</v>
      </c>
      <c r="I280">
        <v>1.3</v>
      </c>
      <c r="J280">
        <v>2.2999999999999998</v>
      </c>
      <c r="K280" s="245">
        <v>-7.37</v>
      </c>
      <c r="L280" s="245">
        <v>49.69</v>
      </c>
      <c r="M280" s="245">
        <v>686.75</v>
      </c>
      <c r="N280" s="257" t="s">
        <v>6832</v>
      </c>
    </row>
    <row r="281" spans="1:14">
      <c r="A281">
        <v>2207</v>
      </c>
      <c r="B281" t="s">
        <v>5015</v>
      </c>
      <c r="C281">
        <v>54.61</v>
      </c>
      <c r="D281">
        <v>18</v>
      </c>
      <c r="E281">
        <v>15</v>
      </c>
      <c r="F281">
        <v>-13</v>
      </c>
      <c r="G281">
        <v>-12</v>
      </c>
      <c r="H281">
        <v>10.81</v>
      </c>
      <c r="I281">
        <v>20</v>
      </c>
      <c r="J281">
        <v>29.68</v>
      </c>
      <c r="K281" s="245">
        <v>-16.440000000000001</v>
      </c>
      <c r="L281" s="245">
        <v>22.76</v>
      </c>
      <c r="M281" s="245">
        <v>216.7</v>
      </c>
      <c r="N281" s="257" t="s">
        <v>6830</v>
      </c>
    </row>
    <row r="282" spans="1:14">
      <c r="A282">
        <v>2208</v>
      </c>
      <c r="B282" t="s">
        <v>5016</v>
      </c>
      <c r="C282">
        <v>93.17</v>
      </c>
      <c r="D282">
        <v>100</v>
      </c>
      <c r="E282">
        <v>99</v>
      </c>
      <c r="F282">
        <v>-42</v>
      </c>
      <c r="G282">
        <v>-24</v>
      </c>
      <c r="H282">
        <v>-0.02</v>
      </c>
      <c r="I282">
        <v>0</v>
      </c>
      <c r="J282">
        <v>0.02</v>
      </c>
      <c r="K282" s="245">
        <v>-44.23</v>
      </c>
      <c r="L282" s="245">
        <v>16.39</v>
      </c>
      <c r="M282" s="245">
        <v>2343.15</v>
      </c>
      <c r="N282" s="257" t="s">
        <v>6830</v>
      </c>
    </row>
    <row r="283" spans="1:14">
      <c r="A283">
        <v>2211</v>
      </c>
      <c r="B283" t="s">
        <v>5017</v>
      </c>
      <c r="C283">
        <v>41.99</v>
      </c>
      <c r="D283">
        <v>14</v>
      </c>
      <c r="E283">
        <v>14</v>
      </c>
      <c r="F283">
        <v>2</v>
      </c>
      <c r="G283">
        <v>46</v>
      </c>
      <c r="H283">
        <v>12.89</v>
      </c>
      <c r="I283">
        <v>3</v>
      </c>
      <c r="J283">
        <v>3.11</v>
      </c>
      <c r="K283" s="245">
        <v>-16.260000000000002</v>
      </c>
      <c r="L283" s="245">
        <v>50.82</v>
      </c>
      <c r="M283" s="245">
        <v>808.6</v>
      </c>
      <c r="N283" s="257" t="s">
        <v>6832</v>
      </c>
    </row>
    <row r="284" spans="1:14">
      <c r="A284">
        <v>2221</v>
      </c>
      <c r="B284" t="s">
        <v>5018</v>
      </c>
      <c r="C284">
        <v>4.2300000000000004</v>
      </c>
      <c r="D284">
        <v>172</v>
      </c>
      <c r="E284">
        <v>162</v>
      </c>
      <c r="F284">
        <v>4</v>
      </c>
      <c r="G284">
        <v>14</v>
      </c>
      <c r="H284">
        <v>15.11</v>
      </c>
      <c r="I284">
        <v>3</v>
      </c>
      <c r="J284">
        <v>4.2699999999999996</v>
      </c>
      <c r="K284" s="245">
        <v>-23.23</v>
      </c>
      <c r="L284" s="245">
        <v>43.49</v>
      </c>
      <c r="M284" s="245">
        <v>616.65</v>
      </c>
      <c r="N284" s="257" t="s">
        <v>6831</v>
      </c>
    </row>
    <row r="285" spans="1:14">
      <c r="A285">
        <v>2227</v>
      </c>
      <c r="B285" t="s">
        <v>6442</v>
      </c>
      <c r="C285">
        <v>30</v>
      </c>
      <c r="D285">
        <v>-53</v>
      </c>
      <c r="E285">
        <v>-58</v>
      </c>
      <c r="F285">
        <v>-35</v>
      </c>
      <c r="G285">
        <v>-38</v>
      </c>
      <c r="H285">
        <v>0.5</v>
      </c>
      <c r="I285">
        <v>9.06</v>
      </c>
      <c r="J285">
        <v>10.09</v>
      </c>
      <c r="K285" s="245">
        <v>-18.73</v>
      </c>
      <c r="L285" s="245">
        <v>49.65</v>
      </c>
      <c r="M285" s="245">
        <v>54.75</v>
      </c>
      <c r="N285" s="257" t="s">
        <v>6830</v>
      </c>
    </row>
    <row r="286" spans="1:14">
      <c r="A286">
        <v>2228</v>
      </c>
      <c r="B286" t="s">
        <v>5019</v>
      </c>
      <c r="C286">
        <v>7.57</v>
      </c>
      <c r="D286">
        <v>141</v>
      </c>
      <c r="E286">
        <v>8</v>
      </c>
      <c r="F286">
        <v>-25</v>
      </c>
      <c r="G286">
        <v>1</v>
      </c>
      <c r="H286">
        <v>4.08</v>
      </c>
      <c r="I286">
        <v>2</v>
      </c>
      <c r="J286">
        <v>3.15</v>
      </c>
      <c r="K286" s="245">
        <v>-24.79</v>
      </c>
      <c r="L286" s="245">
        <v>14.45</v>
      </c>
      <c r="M286" s="245">
        <v>46.45</v>
      </c>
      <c r="N286" s="257" t="s">
        <v>6830</v>
      </c>
    </row>
    <row r="287" spans="1:14">
      <c r="A287">
        <v>2230</v>
      </c>
      <c r="B287" t="s">
        <v>5020</v>
      </c>
      <c r="C287">
        <v>3.99</v>
      </c>
      <c r="D287">
        <v>56</v>
      </c>
      <c r="E287">
        <v>98</v>
      </c>
      <c r="F287">
        <v>13</v>
      </c>
      <c r="G287">
        <v>-20</v>
      </c>
      <c r="H287">
        <v>-0.06</v>
      </c>
      <c r="I287">
        <v>0</v>
      </c>
      <c r="J287">
        <v>-0.08</v>
      </c>
      <c r="K287" s="245">
        <v>-12.03</v>
      </c>
      <c r="L287" s="245">
        <v>52.1</v>
      </c>
      <c r="M287" s="245">
        <v>890.05</v>
      </c>
      <c r="N287" s="257" t="s">
        <v>6831</v>
      </c>
    </row>
    <row r="288" spans="1:14">
      <c r="A288">
        <v>2231</v>
      </c>
      <c r="B288" t="s">
        <v>5021</v>
      </c>
      <c r="C288">
        <v>12.19</v>
      </c>
      <c r="D288">
        <v>94</v>
      </c>
      <c r="E288">
        <v>53</v>
      </c>
      <c r="F288">
        <v>-26</v>
      </c>
      <c r="G288">
        <v>-36</v>
      </c>
      <c r="H288">
        <v>14.52</v>
      </c>
      <c r="I288">
        <v>2</v>
      </c>
      <c r="J288">
        <v>4.2300000000000004</v>
      </c>
      <c r="K288" s="245">
        <v>-36.700000000000003</v>
      </c>
      <c r="L288" s="245">
        <v>31.57</v>
      </c>
      <c r="M288" s="245">
        <v>224.4</v>
      </c>
      <c r="N288" s="257" t="s">
        <v>6830</v>
      </c>
    </row>
    <row r="289" spans="1:14">
      <c r="A289">
        <v>2233</v>
      </c>
      <c r="B289" t="s">
        <v>5022</v>
      </c>
      <c r="C289">
        <v>6.02</v>
      </c>
      <c r="D289">
        <v>47</v>
      </c>
      <c r="E289">
        <v>60</v>
      </c>
      <c r="F289">
        <v>-16</v>
      </c>
      <c r="G289">
        <v>-11</v>
      </c>
      <c r="H289">
        <v>20.079999999999998</v>
      </c>
      <c r="I289">
        <v>5.4</v>
      </c>
      <c r="J289">
        <v>9.01</v>
      </c>
      <c r="K289" s="245">
        <v>-29.72</v>
      </c>
      <c r="L289" s="245">
        <v>18.260000000000002</v>
      </c>
      <c r="M289" s="245">
        <v>1008.35</v>
      </c>
      <c r="N289" s="257" t="s">
        <v>6830</v>
      </c>
    </row>
    <row r="290" spans="1:14">
      <c r="A290">
        <v>2235</v>
      </c>
      <c r="B290" t="s">
        <v>6335</v>
      </c>
      <c r="C290">
        <v>3.58</v>
      </c>
      <c r="D290">
        <v>-29</v>
      </c>
      <c r="E290">
        <v>-5</v>
      </c>
      <c r="F290">
        <v>-15</v>
      </c>
      <c r="G290">
        <v>26</v>
      </c>
      <c r="H290">
        <v>10.130000000000001</v>
      </c>
      <c r="I290">
        <v>1.5</v>
      </c>
      <c r="J290">
        <v>1.42</v>
      </c>
      <c r="K290" s="245">
        <v>-20.079999999999998</v>
      </c>
      <c r="L290" s="245">
        <v>40.76</v>
      </c>
      <c r="M290" s="245">
        <v>16.350000000000001</v>
      </c>
      <c r="N290" s="257" t="s">
        <v>6830</v>
      </c>
    </row>
    <row r="291" spans="1:14">
      <c r="A291">
        <v>2236</v>
      </c>
      <c r="B291" t="s">
        <v>5023</v>
      </c>
      <c r="C291">
        <v>4.57</v>
      </c>
      <c r="D291">
        <v>158</v>
      </c>
      <c r="E291">
        <v>64</v>
      </c>
      <c r="F291">
        <v>-18</v>
      </c>
      <c r="G291">
        <v>-1</v>
      </c>
      <c r="H291">
        <v>6.56</v>
      </c>
      <c r="I291">
        <v>4.5</v>
      </c>
      <c r="J291">
        <v>1.47</v>
      </c>
      <c r="K291" s="245">
        <v>-21.95</v>
      </c>
      <c r="L291" s="245">
        <v>19.329999999999998</v>
      </c>
      <c r="M291" s="245">
        <v>57.2</v>
      </c>
      <c r="N291" s="257" t="s">
        <v>6830</v>
      </c>
    </row>
    <row r="292" spans="1:14">
      <c r="A292">
        <v>2239</v>
      </c>
      <c r="B292" t="s">
        <v>5024</v>
      </c>
      <c r="C292">
        <v>11.81</v>
      </c>
      <c r="D292">
        <v>18</v>
      </c>
      <c r="E292">
        <v>-46</v>
      </c>
      <c r="F292">
        <v>3</v>
      </c>
      <c r="G292">
        <v>-30</v>
      </c>
      <c r="H292">
        <v>3.33</v>
      </c>
      <c r="I292">
        <v>2.5</v>
      </c>
      <c r="J292">
        <v>5.64</v>
      </c>
      <c r="K292" s="245">
        <v>-43.63</v>
      </c>
      <c r="L292" s="245">
        <v>14.79</v>
      </c>
      <c r="M292" s="245">
        <v>94.7</v>
      </c>
      <c r="N292" s="257" t="s">
        <v>6830</v>
      </c>
    </row>
    <row r="293" spans="1:14">
      <c r="A293">
        <v>2241</v>
      </c>
      <c r="B293" t="s">
        <v>5025</v>
      </c>
      <c r="C293">
        <v>8.9600000000000009</v>
      </c>
      <c r="D293">
        <v>-1776</v>
      </c>
      <c r="E293">
        <v>-265</v>
      </c>
      <c r="F293">
        <v>-14</v>
      </c>
      <c r="G293">
        <v>-17</v>
      </c>
      <c r="H293">
        <v>-6.3</v>
      </c>
      <c r="I293">
        <v>0</v>
      </c>
      <c r="J293">
        <v>-1.23</v>
      </c>
      <c r="K293" s="245">
        <v>-51.14</v>
      </c>
      <c r="L293" s="245">
        <v>12.62</v>
      </c>
      <c r="M293" s="245">
        <v>117.4</v>
      </c>
      <c r="N293" s="257" t="s">
        <v>6830</v>
      </c>
    </row>
    <row r="294" spans="1:14">
      <c r="A294">
        <v>2243</v>
      </c>
      <c r="B294" t="s">
        <v>5026</v>
      </c>
      <c r="C294">
        <v>4.59</v>
      </c>
      <c r="D294">
        <v>72</v>
      </c>
      <c r="E294">
        <v>97</v>
      </c>
      <c r="F294">
        <v>-31</v>
      </c>
      <c r="G294">
        <v>286</v>
      </c>
      <c r="H294">
        <v>-0.69</v>
      </c>
      <c r="I294">
        <v>0</v>
      </c>
      <c r="J294">
        <v>-1.81</v>
      </c>
      <c r="K294" s="245">
        <v>-37.68</v>
      </c>
      <c r="L294" s="245">
        <v>27.34</v>
      </c>
      <c r="M294" s="245">
        <v>1211.3</v>
      </c>
      <c r="N294" s="257" t="s">
        <v>6831</v>
      </c>
    </row>
    <row r="295" spans="1:14">
      <c r="A295">
        <v>2247</v>
      </c>
      <c r="B295" t="s">
        <v>5027</v>
      </c>
      <c r="C295">
        <v>8.07</v>
      </c>
      <c r="D295">
        <v>15</v>
      </c>
      <c r="E295">
        <v>20</v>
      </c>
      <c r="F295">
        <v>35</v>
      </c>
      <c r="G295">
        <v>13</v>
      </c>
      <c r="H295">
        <v>3.69</v>
      </c>
      <c r="I295">
        <v>12</v>
      </c>
      <c r="J295">
        <v>15.36</v>
      </c>
      <c r="K295" s="245">
        <v>-12.02</v>
      </c>
      <c r="L295" s="245">
        <v>29.04</v>
      </c>
      <c r="M295" s="245">
        <v>24.7</v>
      </c>
      <c r="N295" s="257" t="s">
        <v>6830</v>
      </c>
    </row>
    <row r="296" spans="1:14">
      <c r="A296">
        <v>2250</v>
      </c>
      <c r="B296" t="s">
        <v>5028</v>
      </c>
      <c r="C296">
        <v>2.7</v>
      </c>
      <c r="D296">
        <v>40</v>
      </c>
      <c r="E296">
        <v>22</v>
      </c>
      <c r="F296">
        <v>-22</v>
      </c>
      <c r="G296">
        <v>-27</v>
      </c>
      <c r="H296">
        <v>5.33</v>
      </c>
      <c r="I296">
        <v>3.22</v>
      </c>
      <c r="J296">
        <v>6.06</v>
      </c>
      <c r="K296" s="245">
        <v>-62.41</v>
      </c>
      <c r="L296" s="245">
        <v>29.04</v>
      </c>
      <c r="M296" s="245">
        <v>73.900000000000006</v>
      </c>
      <c r="N296" s="257" t="s">
        <v>6830</v>
      </c>
    </row>
    <row r="297" spans="1:14">
      <c r="A297">
        <v>2301</v>
      </c>
      <c r="B297" t="s">
        <v>5029</v>
      </c>
      <c r="C297">
        <v>235</v>
      </c>
      <c r="D297">
        <v>41</v>
      </c>
      <c r="E297">
        <v>27</v>
      </c>
      <c r="F297">
        <v>-9</v>
      </c>
      <c r="G297">
        <v>0</v>
      </c>
      <c r="H297">
        <v>7.91</v>
      </c>
      <c r="I297">
        <v>4.5</v>
      </c>
      <c r="J297">
        <v>6.01</v>
      </c>
      <c r="K297" s="245">
        <v>-11.5</v>
      </c>
      <c r="L297" s="245">
        <v>20.74</v>
      </c>
      <c r="M297" s="245">
        <v>6604.75</v>
      </c>
      <c r="N297" s="257" t="s">
        <v>6831</v>
      </c>
    </row>
    <row r="298" spans="1:14">
      <c r="A298">
        <v>2302</v>
      </c>
      <c r="B298" t="s">
        <v>5030</v>
      </c>
      <c r="C298">
        <v>16.63</v>
      </c>
      <c r="D298">
        <v>-19</v>
      </c>
      <c r="E298">
        <v>-41</v>
      </c>
      <c r="F298">
        <v>7</v>
      </c>
      <c r="G298">
        <v>11</v>
      </c>
      <c r="H298">
        <v>10.98</v>
      </c>
      <c r="I298">
        <v>0.6</v>
      </c>
      <c r="J298">
        <v>0.51</v>
      </c>
      <c r="K298" s="245">
        <v>-28.35</v>
      </c>
      <c r="L298" s="245">
        <v>58.15</v>
      </c>
      <c r="M298" s="245">
        <v>1184.5999999999999</v>
      </c>
      <c r="N298" s="257" t="s">
        <v>6830</v>
      </c>
    </row>
    <row r="299" spans="1:14">
      <c r="A299">
        <v>2303</v>
      </c>
      <c r="B299" t="s">
        <v>5031</v>
      </c>
      <c r="C299">
        <v>1248</v>
      </c>
      <c r="D299">
        <v>102</v>
      </c>
      <c r="E299">
        <v>134</v>
      </c>
      <c r="F299">
        <v>2</v>
      </c>
      <c r="G299">
        <v>39</v>
      </c>
      <c r="H299">
        <v>24.26</v>
      </c>
      <c r="I299">
        <v>3</v>
      </c>
      <c r="J299">
        <v>4.57</v>
      </c>
      <c r="K299" s="245">
        <v>-31.32</v>
      </c>
      <c r="L299" s="245">
        <v>41.94</v>
      </c>
      <c r="M299" s="245">
        <v>92047.9</v>
      </c>
      <c r="N299" s="257" t="s">
        <v>6830</v>
      </c>
    </row>
    <row r="300" spans="1:14">
      <c r="A300">
        <v>2305</v>
      </c>
      <c r="B300" t="s">
        <v>5032</v>
      </c>
      <c r="C300">
        <v>20.56</v>
      </c>
      <c r="D300">
        <v>-7</v>
      </c>
      <c r="E300">
        <v>7</v>
      </c>
      <c r="F300">
        <v>-47</v>
      </c>
      <c r="G300">
        <v>-53</v>
      </c>
      <c r="H300">
        <v>-10.06</v>
      </c>
      <c r="I300">
        <v>0</v>
      </c>
      <c r="J300">
        <v>0.06</v>
      </c>
      <c r="K300" s="245">
        <v>-14.11</v>
      </c>
      <c r="L300" s="245">
        <v>62.59</v>
      </c>
      <c r="M300" s="245">
        <v>1809.85</v>
      </c>
      <c r="N300" s="257" t="s">
        <v>6831</v>
      </c>
    </row>
    <row r="301" spans="1:14">
      <c r="A301">
        <v>2308</v>
      </c>
      <c r="B301" t="s">
        <v>5033</v>
      </c>
      <c r="C301">
        <v>259</v>
      </c>
      <c r="D301">
        <v>4</v>
      </c>
      <c r="E301">
        <v>0</v>
      </c>
      <c r="F301">
        <v>-11</v>
      </c>
      <c r="G301">
        <v>3</v>
      </c>
      <c r="H301">
        <v>9.9700000000000006</v>
      </c>
      <c r="I301">
        <v>5.5</v>
      </c>
      <c r="J301">
        <v>10.32</v>
      </c>
      <c r="K301" s="245">
        <v>-33.43</v>
      </c>
      <c r="L301" s="245">
        <v>20.07</v>
      </c>
      <c r="M301" s="245">
        <v>4914.3500000000004</v>
      </c>
      <c r="N301" s="257" t="s">
        <v>6830</v>
      </c>
    </row>
    <row r="302" spans="1:14">
      <c r="A302">
        <v>2312</v>
      </c>
      <c r="B302" t="s">
        <v>5034</v>
      </c>
      <c r="C302">
        <v>149</v>
      </c>
      <c r="D302">
        <v>-7</v>
      </c>
      <c r="E302">
        <v>68</v>
      </c>
      <c r="F302">
        <v>-5</v>
      </c>
      <c r="G302">
        <v>12</v>
      </c>
      <c r="H302">
        <v>0.88</v>
      </c>
      <c r="I302">
        <v>0.2</v>
      </c>
      <c r="J302">
        <v>0.01</v>
      </c>
      <c r="K302" s="245">
        <v>-25.98</v>
      </c>
      <c r="L302" s="245">
        <v>19.010000000000002</v>
      </c>
      <c r="M302" s="245">
        <v>15910.45</v>
      </c>
      <c r="N302" s="257" t="s">
        <v>6830</v>
      </c>
    </row>
    <row r="303" spans="1:14">
      <c r="A303">
        <v>2313</v>
      </c>
      <c r="B303" t="s">
        <v>5035</v>
      </c>
      <c r="C303">
        <v>119</v>
      </c>
      <c r="D303">
        <v>10</v>
      </c>
      <c r="E303">
        <v>2</v>
      </c>
      <c r="F303">
        <v>-14</v>
      </c>
      <c r="G303">
        <v>15</v>
      </c>
      <c r="H303">
        <v>10.81</v>
      </c>
      <c r="I303">
        <v>1.8</v>
      </c>
      <c r="J303">
        <v>4.3099999999999996</v>
      </c>
      <c r="K303" s="245">
        <v>-15.14</v>
      </c>
      <c r="L303" s="245">
        <v>32.99</v>
      </c>
      <c r="M303" s="245">
        <v>20089.55</v>
      </c>
      <c r="N303" s="257" t="s">
        <v>6831</v>
      </c>
    </row>
    <row r="304" spans="1:14">
      <c r="A304">
        <v>2314</v>
      </c>
      <c r="B304" t="s">
        <v>6443</v>
      </c>
      <c r="C304">
        <v>23.8</v>
      </c>
      <c r="D304">
        <v>-371</v>
      </c>
      <c r="E304">
        <v>-246</v>
      </c>
      <c r="F304">
        <v>-13</v>
      </c>
      <c r="G304">
        <v>8</v>
      </c>
      <c r="H304">
        <v>-12.09</v>
      </c>
      <c r="I304">
        <v>0</v>
      </c>
      <c r="J304">
        <v>-1.97</v>
      </c>
      <c r="K304" s="245">
        <v>-43.73</v>
      </c>
      <c r="L304" s="245">
        <v>21.99</v>
      </c>
      <c r="M304" s="245">
        <v>1224.4000000000001</v>
      </c>
      <c r="N304" s="257" t="s">
        <v>6830</v>
      </c>
    </row>
    <row r="305" spans="1:14">
      <c r="A305">
        <v>2316</v>
      </c>
      <c r="B305" t="s">
        <v>5036</v>
      </c>
      <c r="C305">
        <v>18.27</v>
      </c>
      <c r="D305">
        <v>28</v>
      </c>
      <c r="E305">
        <v>104</v>
      </c>
      <c r="F305">
        <v>-39</v>
      </c>
      <c r="G305">
        <v>-17</v>
      </c>
      <c r="H305">
        <v>0.18</v>
      </c>
      <c r="I305">
        <v>1</v>
      </c>
      <c r="J305">
        <v>2.94</v>
      </c>
      <c r="K305" s="245">
        <v>-29.07</v>
      </c>
      <c r="L305" s="245">
        <v>12.05</v>
      </c>
      <c r="M305" s="245">
        <v>215.25</v>
      </c>
      <c r="N305" s="257" t="s">
        <v>6830</v>
      </c>
    </row>
    <row r="306" spans="1:14">
      <c r="A306">
        <v>2317</v>
      </c>
      <c r="B306" t="s">
        <v>5037</v>
      </c>
      <c r="C306">
        <v>1386</v>
      </c>
      <c r="D306">
        <v>34</v>
      </c>
      <c r="E306">
        <v>34</v>
      </c>
      <c r="F306">
        <v>-4</v>
      </c>
      <c r="G306">
        <v>-2</v>
      </c>
      <c r="H306">
        <v>2.4900000000000002</v>
      </c>
      <c r="I306">
        <v>5.2</v>
      </c>
      <c r="J306">
        <v>10.050000000000001</v>
      </c>
      <c r="K306" s="245">
        <v>-12.92</v>
      </c>
      <c r="L306" s="245">
        <v>50.13</v>
      </c>
      <c r="M306" s="245">
        <v>23782.15</v>
      </c>
      <c r="N306" s="257" t="s">
        <v>6831</v>
      </c>
    </row>
    <row r="307" spans="1:14">
      <c r="A307">
        <v>2321</v>
      </c>
      <c r="B307" t="s">
        <v>6444</v>
      </c>
      <c r="C307">
        <v>4.45</v>
      </c>
      <c r="D307">
        <v>151</v>
      </c>
      <c r="E307">
        <v>113</v>
      </c>
      <c r="F307">
        <v>-8</v>
      </c>
      <c r="G307">
        <v>4</v>
      </c>
      <c r="H307">
        <v>0.68</v>
      </c>
      <c r="I307">
        <v>0</v>
      </c>
      <c r="J307">
        <v>0.12</v>
      </c>
      <c r="K307" s="245">
        <v>-30.37</v>
      </c>
      <c r="L307" s="245">
        <v>7.96</v>
      </c>
      <c r="M307" s="245">
        <v>13.4</v>
      </c>
      <c r="N307" s="257" t="s">
        <v>6830</v>
      </c>
    </row>
    <row r="308" spans="1:14">
      <c r="A308">
        <v>2323</v>
      </c>
      <c r="B308" t="s">
        <v>5038</v>
      </c>
      <c r="C308">
        <v>115</v>
      </c>
      <c r="D308">
        <v>5</v>
      </c>
      <c r="E308">
        <v>44</v>
      </c>
      <c r="F308">
        <v>-4</v>
      </c>
      <c r="G308">
        <v>0</v>
      </c>
      <c r="H308">
        <v>-1.49</v>
      </c>
      <c r="I308">
        <v>0.1</v>
      </c>
      <c r="J308">
        <v>0.14000000000000001</v>
      </c>
      <c r="K308" s="245">
        <v>-35.58</v>
      </c>
      <c r="L308" s="245">
        <v>10.18</v>
      </c>
      <c r="M308" s="245">
        <v>4786.6000000000004</v>
      </c>
      <c r="N308" s="257" t="s">
        <v>6830</v>
      </c>
    </row>
    <row r="309" spans="1:14">
      <c r="A309">
        <v>2324</v>
      </c>
      <c r="B309" t="s">
        <v>5039</v>
      </c>
      <c r="C309">
        <v>440</v>
      </c>
      <c r="D309">
        <v>32</v>
      </c>
      <c r="E309">
        <v>16</v>
      </c>
      <c r="F309">
        <v>-47</v>
      </c>
      <c r="G309">
        <v>-39</v>
      </c>
      <c r="H309">
        <v>1.08</v>
      </c>
      <c r="I309">
        <v>2</v>
      </c>
      <c r="J309">
        <v>2.9</v>
      </c>
      <c r="K309" s="245">
        <v>-15.44</v>
      </c>
      <c r="L309" s="245">
        <v>23.38</v>
      </c>
      <c r="M309" s="245">
        <v>26973.8</v>
      </c>
      <c r="N309" s="257" t="s">
        <v>6830</v>
      </c>
    </row>
    <row r="310" spans="1:14">
      <c r="A310">
        <v>2327</v>
      </c>
      <c r="B310" t="s">
        <v>5040</v>
      </c>
      <c r="C310">
        <v>54.4</v>
      </c>
      <c r="D310">
        <v>90</v>
      </c>
      <c r="E310">
        <v>79</v>
      </c>
      <c r="F310">
        <v>-4</v>
      </c>
      <c r="G310">
        <v>12</v>
      </c>
      <c r="H310">
        <v>27.29</v>
      </c>
      <c r="I310">
        <v>10</v>
      </c>
      <c r="J310">
        <v>46.46</v>
      </c>
      <c r="K310" s="245">
        <v>-37.97</v>
      </c>
      <c r="L310" s="245">
        <v>14.61</v>
      </c>
      <c r="M310" s="245">
        <v>2230.1999999999998</v>
      </c>
      <c r="N310" s="257" t="s">
        <v>6830</v>
      </c>
    </row>
    <row r="311" spans="1:14">
      <c r="A311">
        <v>2328</v>
      </c>
      <c r="B311" t="s">
        <v>5041</v>
      </c>
      <c r="C311">
        <v>51.83</v>
      </c>
      <c r="D311">
        <v>47</v>
      </c>
      <c r="E311">
        <v>49</v>
      </c>
      <c r="F311">
        <v>-8</v>
      </c>
      <c r="G311">
        <v>15</v>
      </c>
      <c r="H311">
        <v>5.71</v>
      </c>
      <c r="I311">
        <v>1</v>
      </c>
      <c r="J311">
        <v>1.87</v>
      </c>
      <c r="K311" s="245">
        <v>-26.57</v>
      </c>
      <c r="L311" s="245">
        <v>20.94</v>
      </c>
      <c r="M311" s="245">
        <v>2295.25</v>
      </c>
      <c r="N311" s="257" t="s">
        <v>6830</v>
      </c>
    </row>
    <row r="312" spans="1:14">
      <c r="A312">
        <v>2329</v>
      </c>
      <c r="B312" t="s">
        <v>5042</v>
      </c>
      <c r="C312">
        <v>55.54</v>
      </c>
      <c r="D312">
        <v>675</v>
      </c>
      <c r="E312">
        <v>1108</v>
      </c>
      <c r="F312">
        <v>-2</v>
      </c>
      <c r="G312">
        <v>6</v>
      </c>
      <c r="H312">
        <v>11.76</v>
      </c>
      <c r="I312">
        <v>1</v>
      </c>
      <c r="J312">
        <v>2.2400000000000002</v>
      </c>
      <c r="K312" s="245">
        <v>-39.94</v>
      </c>
      <c r="L312" s="245">
        <v>33.49</v>
      </c>
      <c r="M312" s="245">
        <v>2562.4</v>
      </c>
      <c r="N312" s="257" t="s">
        <v>6830</v>
      </c>
    </row>
    <row r="313" spans="1:14">
      <c r="A313">
        <v>2330</v>
      </c>
      <c r="B313" t="s">
        <v>5043</v>
      </c>
      <c r="C313">
        <v>2593</v>
      </c>
      <c r="D313">
        <v>15</v>
      </c>
      <c r="E313">
        <v>14</v>
      </c>
      <c r="F313">
        <v>0</v>
      </c>
      <c r="G313">
        <v>55</v>
      </c>
      <c r="H313">
        <v>40.950000000000003</v>
      </c>
      <c r="I313">
        <v>11</v>
      </c>
      <c r="J313">
        <v>23.01</v>
      </c>
      <c r="K313" s="245">
        <v>-24.42</v>
      </c>
      <c r="L313" s="245">
        <v>12.11</v>
      </c>
      <c r="M313" s="245">
        <v>32819.9</v>
      </c>
      <c r="N313" s="257" t="s">
        <v>6830</v>
      </c>
    </row>
    <row r="314" spans="1:14">
      <c r="A314">
        <v>2331</v>
      </c>
      <c r="B314" t="s">
        <v>5044</v>
      </c>
      <c r="C314">
        <v>55.74</v>
      </c>
      <c r="D314">
        <v>41</v>
      </c>
      <c r="E314">
        <v>-739</v>
      </c>
      <c r="F314">
        <v>7</v>
      </c>
      <c r="G314">
        <v>33</v>
      </c>
      <c r="H314">
        <v>-0.81</v>
      </c>
      <c r="I314">
        <v>0</v>
      </c>
      <c r="J314">
        <v>0.13</v>
      </c>
      <c r="K314" s="245">
        <v>-27.24</v>
      </c>
      <c r="L314" s="245">
        <v>25.13</v>
      </c>
      <c r="M314" s="245">
        <v>1200.2</v>
      </c>
      <c r="N314" s="257" t="s">
        <v>6830</v>
      </c>
    </row>
    <row r="315" spans="1:14">
      <c r="A315">
        <v>2332</v>
      </c>
      <c r="B315" t="s">
        <v>5045</v>
      </c>
      <c r="C315">
        <v>59.98</v>
      </c>
      <c r="D315">
        <v>-75</v>
      </c>
      <c r="E315">
        <v>111</v>
      </c>
      <c r="F315">
        <v>-16</v>
      </c>
      <c r="G315">
        <v>11</v>
      </c>
      <c r="H315">
        <v>1.0900000000000001</v>
      </c>
      <c r="I315">
        <v>0.3</v>
      </c>
      <c r="J315">
        <v>0.38</v>
      </c>
      <c r="K315" s="245">
        <v>-32.36</v>
      </c>
      <c r="L315" s="245">
        <v>25.87</v>
      </c>
      <c r="M315" s="245">
        <v>2055.25</v>
      </c>
      <c r="N315" s="257" t="s">
        <v>6830</v>
      </c>
    </row>
    <row r="316" spans="1:14">
      <c r="A316">
        <v>2337</v>
      </c>
      <c r="B316" t="s">
        <v>5046</v>
      </c>
      <c r="C316">
        <v>185</v>
      </c>
      <c r="D316">
        <v>124</v>
      </c>
      <c r="E316">
        <v>88</v>
      </c>
      <c r="F316">
        <v>-8</v>
      </c>
      <c r="G316">
        <v>1</v>
      </c>
      <c r="H316">
        <v>21.88</v>
      </c>
      <c r="I316">
        <v>1.8</v>
      </c>
      <c r="J316">
        <v>6.48</v>
      </c>
      <c r="K316" s="245">
        <v>-20.100000000000001</v>
      </c>
      <c r="L316" s="245">
        <v>23.09</v>
      </c>
      <c r="M316" s="245">
        <v>9888.4</v>
      </c>
      <c r="N316" s="257" t="s">
        <v>6830</v>
      </c>
    </row>
    <row r="317" spans="1:14">
      <c r="A317">
        <v>2338</v>
      </c>
      <c r="B317" t="s">
        <v>5047</v>
      </c>
      <c r="C317">
        <v>25.56</v>
      </c>
      <c r="D317">
        <v>82</v>
      </c>
      <c r="E317">
        <v>26</v>
      </c>
      <c r="F317">
        <v>14</v>
      </c>
      <c r="G317">
        <v>45</v>
      </c>
      <c r="H317">
        <v>7.14</v>
      </c>
      <c r="I317">
        <v>2</v>
      </c>
      <c r="J317">
        <v>5.65</v>
      </c>
      <c r="K317" s="245">
        <v>-31.97</v>
      </c>
      <c r="L317" s="245">
        <v>28.85</v>
      </c>
      <c r="M317" s="245">
        <v>5488.4</v>
      </c>
      <c r="N317" s="257" t="s">
        <v>6830</v>
      </c>
    </row>
    <row r="318" spans="1:14">
      <c r="A318">
        <v>2340</v>
      </c>
      <c r="B318" t="s">
        <v>5048</v>
      </c>
      <c r="C318">
        <v>43.86</v>
      </c>
      <c r="D318">
        <v>44</v>
      </c>
      <c r="E318">
        <v>46</v>
      </c>
      <c r="F318">
        <v>-8</v>
      </c>
      <c r="G318">
        <v>-17</v>
      </c>
      <c r="H318">
        <v>16.45</v>
      </c>
      <c r="I318">
        <v>2.2999999999999998</v>
      </c>
      <c r="J318">
        <v>2.11</v>
      </c>
      <c r="K318" s="245">
        <v>-47.89</v>
      </c>
      <c r="L318" s="245">
        <v>13.55</v>
      </c>
      <c r="M318" s="245">
        <v>4019</v>
      </c>
      <c r="N318" s="257" t="s">
        <v>6830</v>
      </c>
    </row>
    <row r="319" spans="1:14">
      <c r="A319">
        <v>2342</v>
      </c>
      <c r="B319" t="s">
        <v>5049</v>
      </c>
      <c r="C319">
        <v>15.61</v>
      </c>
      <c r="D319">
        <v>12</v>
      </c>
      <c r="E319">
        <v>19</v>
      </c>
      <c r="F319">
        <v>4</v>
      </c>
      <c r="G319">
        <v>37</v>
      </c>
      <c r="H319">
        <v>13.38</v>
      </c>
      <c r="I319">
        <v>0.5</v>
      </c>
      <c r="J319">
        <v>1.58</v>
      </c>
      <c r="K319" s="245">
        <v>-26.49</v>
      </c>
      <c r="L319" s="245">
        <v>48.32</v>
      </c>
      <c r="M319" s="245">
        <v>1511.45</v>
      </c>
      <c r="N319" s="257" t="s">
        <v>6831</v>
      </c>
    </row>
    <row r="320" spans="1:14">
      <c r="A320">
        <v>2344</v>
      </c>
      <c r="B320" t="s">
        <v>5050</v>
      </c>
      <c r="C320">
        <v>398</v>
      </c>
      <c r="D320">
        <v>887</v>
      </c>
      <c r="E320">
        <v>1032</v>
      </c>
      <c r="F320">
        <v>-3</v>
      </c>
      <c r="G320">
        <v>7</v>
      </c>
      <c r="H320">
        <v>18.510000000000002</v>
      </c>
      <c r="I320">
        <v>1</v>
      </c>
      <c r="J320">
        <v>3.42</v>
      </c>
      <c r="K320" s="245">
        <v>-27.53</v>
      </c>
      <c r="L320" s="245">
        <v>20.66</v>
      </c>
      <c r="M320" s="245">
        <v>26228.75</v>
      </c>
      <c r="N320" s="257" t="s">
        <v>6830</v>
      </c>
    </row>
    <row r="321" spans="1:14">
      <c r="A321">
        <v>2345</v>
      </c>
      <c r="B321" t="s">
        <v>5051</v>
      </c>
      <c r="C321">
        <v>56</v>
      </c>
      <c r="D321">
        <v>-6</v>
      </c>
      <c r="E321">
        <v>-15</v>
      </c>
      <c r="F321">
        <v>-16</v>
      </c>
      <c r="G321">
        <v>21</v>
      </c>
      <c r="H321">
        <v>9.1300000000000008</v>
      </c>
      <c r="I321">
        <v>6</v>
      </c>
      <c r="J321">
        <v>8.44</v>
      </c>
      <c r="K321" s="245">
        <v>-33.47</v>
      </c>
      <c r="L321" s="245">
        <v>69.05</v>
      </c>
      <c r="M321" s="245">
        <v>2623.6</v>
      </c>
      <c r="N321" s="257" t="s">
        <v>6830</v>
      </c>
    </row>
    <row r="322" spans="1:14">
      <c r="A322">
        <v>2347</v>
      </c>
      <c r="B322" t="s">
        <v>5052</v>
      </c>
      <c r="C322">
        <v>166</v>
      </c>
      <c r="D322">
        <v>108</v>
      </c>
      <c r="E322">
        <v>29</v>
      </c>
      <c r="F322">
        <v>-26</v>
      </c>
      <c r="G322">
        <v>-6</v>
      </c>
      <c r="H322">
        <v>2.2799999999999998</v>
      </c>
      <c r="I322">
        <v>5</v>
      </c>
      <c r="J322">
        <v>10.35</v>
      </c>
      <c r="K322" s="245">
        <v>-10.28</v>
      </c>
      <c r="L322" s="245">
        <v>45.27</v>
      </c>
      <c r="M322" s="245">
        <v>4299.8</v>
      </c>
      <c r="N322" s="257" t="s">
        <v>6832</v>
      </c>
    </row>
    <row r="323" spans="1:14">
      <c r="A323">
        <v>2348</v>
      </c>
      <c r="B323" t="s">
        <v>5053</v>
      </c>
      <c r="C323">
        <v>10.64</v>
      </c>
      <c r="D323">
        <v>22</v>
      </c>
      <c r="E323">
        <v>47</v>
      </c>
      <c r="F323">
        <v>1</v>
      </c>
      <c r="G323">
        <v>16</v>
      </c>
      <c r="H323">
        <v>38.020000000000003</v>
      </c>
      <c r="I323">
        <v>8</v>
      </c>
      <c r="J323">
        <v>15.58</v>
      </c>
      <c r="K323" s="245">
        <v>-23.01</v>
      </c>
      <c r="L323" s="245">
        <v>7.13</v>
      </c>
      <c r="M323" s="245">
        <v>124.9</v>
      </c>
      <c r="N323" s="257" t="s">
        <v>6830</v>
      </c>
    </row>
    <row r="324" spans="1:14">
      <c r="A324">
        <v>2349</v>
      </c>
      <c r="B324" t="s">
        <v>6445</v>
      </c>
      <c r="C324">
        <v>69.36</v>
      </c>
      <c r="D324">
        <v>84</v>
      </c>
      <c r="E324">
        <v>46</v>
      </c>
      <c r="F324">
        <v>-1</v>
      </c>
      <c r="G324">
        <v>-7</v>
      </c>
      <c r="H324">
        <v>-3.46</v>
      </c>
      <c r="I324">
        <v>0</v>
      </c>
      <c r="J324">
        <v>-0.49</v>
      </c>
      <c r="K324" s="245">
        <v>-29.27</v>
      </c>
      <c r="L324" s="245">
        <v>21.72</v>
      </c>
      <c r="M324" s="245">
        <v>1092.7</v>
      </c>
      <c r="N324" s="257" t="s">
        <v>6830</v>
      </c>
    </row>
    <row r="325" spans="1:14">
      <c r="A325">
        <v>2351</v>
      </c>
      <c r="B325" t="s">
        <v>5054</v>
      </c>
      <c r="C325">
        <v>18.21</v>
      </c>
      <c r="D325">
        <v>126</v>
      </c>
      <c r="E325">
        <v>103</v>
      </c>
      <c r="F325">
        <v>4</v>
      </c>
      <c r="G325">
        <v>11</v>
      </c>
      <c r="H325">
        <v>10.99</v>
      </c>
      <c r="I325">
        <v>3</v>
      </c>
      <c r="J325">
        <v>4.68</v>
      </c>
      <c r="K325" s="245">
        <v>-33.5</v>
      </c>
      <c r="L325" s="245">
        <v>24.1</v>
      </c>
      <c r="M325" s="245">
        <v>1857.9</v>
      </c>
      <c r="N325" s="257" t="s">
        <v>6830</v>
      </c>
    </row>
    <row r="326" spans="1:14">
      <c r="A326">
        <v>2352</v>
      </c>
      <c r="B326" t="s">
        <v>5055</v>
      </c>
      <c r="C326">
        <v>196</v>
      </c>
      <c r="D326">
        <v>64</v>
      </c>
      <c r="E326">
        <v>11</v>
      </c>
      <c r="F326">
        <v>-12</v>
      </c>
      <c r="G326">
        <v>12</v>
      </c>
      <c r="H326">
        <v>3.26</v>
      </c>
      <c r="I326">
        <v>2.5</v>
      </c>
      <c r="J326">
        <v>4.22</v>
      </c>
      <c r="K326" s="245">
        <v>-21.59</v>
      </c>
      <c r="L326" s="245">
        <v>25.29</v>
      </c>
      <c r="M326" s="245">
        <v>7081.15</v>
      </c>
      <c r="N326" s="257" t="s">
        <v>6830</v>
      </c>
    </row>
    <row r="327" spans="1:14">
      <c r="A327">
        <v>2353</v>
      </c>
      <c r="B327" t="s">
        <v>5056</v>
      </c>
      <c r="C327">
        <v>304</v>
      </c>
      <c r="D327">
        <v>83</v>
      </c>
      <c r="E327">
        <v>58</v>
      </c>
      <c r="F327">
        <v>-36</v>
      </c>
      <c r="G327">
        <v>-22</v>
      </c>
      <c r="H327">
        <v>4.4400000000000004</v>
      </c>
      <c r="I327">
        <v>2.2799999999999998</v>
      </c>
      <c r="J327">
        <v>3.63</v>
      </c>
      <c r="K327" s="245">
        <v>-11.42</v>
      </c>
      <c r="L327" s="245">
        <v>42.09</v>
      </c>
      <c r="M327" s="245">
        <v>14036.95</v>
      </c>
      <c r="N327" s="257" t="s">
        <v>6832</v>
      </c>
    </row>
    <row r="328" spans="1:14">
      <c r="A328">
        <v>2354</v>
      </c>
      <c r="B328" t="s">
        <v>5057</v>
      </c>
      <c r="C328">
        <v>141</v>
      </c>
      <c r="D328">
        <v>-5</v>
      </c>
      <c r="E328">
        <v>37</v>
      </c>
      <c r="F328">
        <v>-30</v>
      </c>
      <c r="G328">
        <v>-11</v>
      </c>
      <c r="H328">
        <v>3.45</v>
      </c>
      <c r="I328">
        <v>1.7</v>
      </c>
      <c r="J328">
        <v>3.17</v>
      </c>
      <c r="K328" s="245">
        <v>-22.14</v>
      </c>
      <c r="L328" s="245">
        <v>17.420000000000002</v>
      </c>
      <c r="M328" s="245">
        <v>3677.05</v>
      </c>
      <c r="N328" s="257" t="s">
        <v>6830</v>
      </c>
    </row>
    <row r="329" spans="1:14">
      <c r="A329">
        <v>2355</v>
      </c>
      <c r="B329" t="s">
        <v>5058</v>
      </c>
      <c r="C329">
        <v>39.74</v>
      </c>
      <c r="D329">
        <v>638</v>
      </c>
      <c r="E329">
        <v>-50</v>
      </c>
      <c r="F329">
        <v>-18</v>
      </c>
      <c r="G329">
        <v>-12</v>
      </c>
      <c r="H329">
        <v>-1.02</v>
      </c>
      <c r="I329">
        <v>0.5</v>
      </c>
      <c r="J329">
        <v>0.85</v>
      </c>
      <c r="K329" s="245">
        <v>-34.01</v>
      </c>
      <c r="L329" s="245">
        <v>17.05</v>
      </c>
      <c r="M329" s="245">
        <v>1113.75</v>
      </c>
      <c r="N329" s="257" t="s">
        <v>6830</v>
      </c>
    </row>
    <row r="330" spans="1:14">
      <c r="A330">
        <v>2356</v>
      </c>
      <c r="B330" t="s">
        <v>5059</v>
      </c>
      <c r="C330">
        <v>358</v>
      </c>
      <c r="D330">
        <v>-9</v>
      </c>
      <c r="E330">
        <v>6</v>
      </c>
      <c r="F330">
        <v>-17</v>
      </c>
      <c r="G330">
        <v>15</v>
      </c>
      <c r="H330">
        <v>0.91</v>
      </c>
      <c r="I330">
        <v>1.4</v>
      </c>
      <c r="J330">
        <v>1.82</v>
      </c>
      <c r="K330" s="245">
        <v>-4.17</v>
      </c>
      <c r="L330" s="245">
        <v>74.260000000000005</v>
      </c>
      <c r="M330" s="245">
        <v>7291.4</v>
      </c>
      <c r="N330" s="257" t="s">
        <v>6832</v>
      </c>
    </row>
    <row r="331" spans="1:14">
      <c r="A331">
        <v>2357</v>
      </c>
      <c r="B331" t="s">
        <v>5060</v>
      </c>
      <c r="C331">
        <v>74.27</v>
      </c>
      <c r="D331">
        <v>64</v>
      </c>
      <c r="E331">
        <v>97</v>
      </c>
      <c r="F331">
        <v>-39</v>
      </c>
      <c r="G331">
        <v>-14</v>
      </c>
      <c r="H331">
        <v>9.2200000000000006</v>
      </c>
      <c r="I331">
        <v>42</v>
      </c>
      <c r="J331">
        <v>59.98</v>
      </c>
      <c r="K331" s="245">
        <v>-14.98</v>
      </c>
      <c r="L331" s="245">
        <v>18.27</v>
      </c>
      <c r="M331" s="245">
        <v>2349.3000000000002</v>
      </c>
      <c r="N331" s="257" t="s">
        <v>6830</v>
      </c>
    </row>
    <row r="332" spans="1:14">
      <c r="A332">
        <v>2358</v>
      </c>
      <c r="B332" t="s">
        <v>5061</v>
      </c>
      <c r="C332">
        <v>12.46</v>
      </c>
      <c r="D332">
        <v>1282</v>
      </c>
      <c r="E332">
        <v>255</v>
      </c>
      <c r="F332">
        <v>0</v>
      </c>
      <c r="G332">
        <v>32</v>
      </c>
      <c r="H332">
        <v>8.4</v>
      </c>
      <c r="I332">
        <v>0.3</v>
      </c>
      <c r="J332">
        <v>1.29</v>
      </c>
      <c r="K332" s="245">
        <v>-38.36</v>
      </c>
      <c r="L332" s="245">
        <v>9.34</v>
      </c>
      <c r="M332" s="245">
        <v>974.8</v>
      </c>
      <c r="N332" s="257" t="s">
        <v>6830</v>
      </c>
    </row>
    <row r="333" spans="1:14">
      <c r="A333">
        <v>2359</v>
      </c>
      <c r="B333" t="s">
        <v>5062</v>
      </c>
      <c r="C333">
        <v>17.14</v>
      </c>
      <c r="D333">
        <v>611</v>
      </c>
      <c r="E333">
        <v>5</v>
      </c>
      <c r="F333">
        <v>30</v>
      </c>
      <c r="G333">
        <v>64</v>
      </c>
      <c r="H333">
        <v>1.26</v>
      </c>
      <c r="I333">
        <v>0.9</v>
      </c>
      <c r="J333">
        <v>1.1599999999999999</v>
      </c>
      <c r="K333" s="245">
        <v>-16.72</v>
      </c>
      <c r="L333" s="245">
        <v>40.299999999999997</v>
      </c>
      <c r="M333" s="245">
        <v>6646.55</v>
      </c>
      <c r="N333" s="257" t="s">
        <v>6831</v>
      </c>
    </row>
    <row r="334" spans="1:14">
      <c r="A334">
        <v>2360</v>
      </c>
      <c r="B334" t="s">
        <v>5063</v>
      </c>
      <c r="C334">
        <v>42.24</v>
      </c>
      <c r="D334">
        <v>80</v>
      </c>
      <c r="E334">
        <v>9</v>
      </c>
      <c r="F334">
        <v>-29</v>
      </c>
      <c r="G334">
        <v>-9</v>
      </c>
      <c r="H334">
        <v>17.489999999999998</v>
      </c>
      <c r="I334">
        <v>7</v>
      </c>
      <c r="J334">
        <v>9.9600000000000009</v>
      </c>
      <c r="K334" s="245">
        <v>-33.61</v>
      </c>
      <c r="L334" s="245">
        <v>20.37</v>
      </c>
      <c r="M334" s="245">
        <v>554.25</v>
      </c>
      <c r="N334" s="257" t="s">
        <v>6830</v>
      </c>
    </row>
    <row r="335" spans="1:14">
      <c r="A335">
        <v>2362</v>
      </c>
      <c r="B335" t="s">
        <v>5064</v>
      </c>
      <c r="C335">
        <v>64.22</v>
      </c>
      <c r="D335">
        <v>169</v>
      </c>
      <c r="E335">
        <v>41</v>
      </c>
      <c r="F335">
        <v>-73</v>
      </c>
      <c r="G335">
        <v>-68</v>
      </c>
      <c r="H335">
        <v>7.74</v>
      </c>
      <c r="I335">
        <v>2.1</v>
      </c>
      <c r="J335">
        <v>3.03</v>
      </c>
      <c r="K335" s="245">
        <v>-4.97</v>
      </c>
      <c r="L335" s="245">
        <v>65.67</v>
      </c>
      <c r="M335" s="245">
        <v>921.85</v>
      </c>
      <c r="N335" s="257" t="s">
        <v>6832</v>
      </c>
    </row>
    <row r="336" spans="1:14">
      <c r="A336">
        <v>2363</v>
      </c>
      <c r="B336" t="s">
        <v>5065</v>
      </c>
      <c r="C336">
        <v>68.14</v>
      </c>
      <c r="D336">
        <v>161</v>
      </c>
      <c r="E336">
        <v>20</v>
      </c>
      <c r="F336">
        <v>-15</v>
      </c>
      <c r="G336">
        <v>12</v>
      </c>
      <c r="H336">
        <v>-140.97</v>
      </c>
      <c r="I336">
        <v>1.8</v>
      </c>
      <c r="J336">
        <v>0.28999999999999998</v>
      </c>
      <c r="K336" s="245">
        <v>-29.25</v>
      </c>
      <c r="L336" s="245">
        <v>44.86</v>
      </c>
      <c r="M336" s="245">
        <v>2628.8</v>
      </c>
      <c r="N336" s="257" t="s">
        <v>6830</v>
      </c>
    </row>
    <row r="337" spans="1:14">
      <c r="A337">
        <v>2364</v>
      </c>
      <c r="B337" t="s">
        <v>6446</v>
      </c>
      <c r="C337">
        <v>2.4700000000000002</v>
      </c>
      <c r="D337">
        <v>67</v>
      </c>
      <c r="E337">
        <v>316</v>
      </c>
      <c r="F337">
        <v>-3</v>
      </c>
      <c r="G337">
        <v>-21</v>
      </c>
      <c r="H337">
        <v>1.07</v>
      </c>
      <c r="I337">
        <v>1</v>
      </c>
      <c r="J337">
        <v>1.1399999999999999</v>
      </c>
      <c r="K337" s="245">
        <v>-9.11</v>
      </c>
      <c r="L337" s="245">
        <v>56.21</v>
      </c>
      <c r="M337" s="245">
        <v>43.05</v>
      </c>
      <c r="N337" s="257" t="s">
        <v>6832</v>
      </c>
    </row>
    <row r="338" spans="1:14">
      <c r="A338">
        <v>2365</v>
      </c>
      <c r="B338" t="s">
        <v>5066</v>
      </c>
      <c r="C338">
        <v>22.15</v>
      </c>
      <c r="D338">
        <v>-65</v>
      </c>
      <c r="E338">
        <v>-68</v>
      </c>
      <c r="F338">
        <v>39</v>
      </c>
      <c r="G338">
        <v>45</v>
      </c>
      <c r="H338">
        <v>3.73</v>
      </c>
      <c r="I338">
        <v>0.2</v>
      </c>
      <c r="J338">
        <v>0.23</v>
      </c>
      <c r="K338" s="245">
        <v>-25.93</v>
      </c>
      <c r="L338" s="245">
        <v>14.93</v>
      </c>
      <c r="M338" s="245">
        <v>232.15</v>
      </c>
      <c r="N338" s="257" t="s">
        <v>6830</v>
      </c>
    </row>
    <row r="339" spans="1:14">
      <c r="A339">
        <v>2367</v>
      </c>
      <c r="B339" t="s">
        <v>5067</v>
      </c>
      <c r="C339">
        <v>61.94</v>
      </c>
      <c r="D339">
        <v>83</v>
      </c>
      <c r="E339">
        <v>13</v>
      </c>
      <c r="F339">
        <v>-9</v>
      </c>
      <c r="G339">
        <v>26</v>
      </c>
      <c r="H339">
        <v>-14.79</v>
      </c>
      <c r="I339">
        <v>0</v>
      </c>
      <c r="J339">
        <v>-0.39</v>
      </c>
      <c r="K339" s="245">
        <v>-35.76</v>
      </c>
      <c r="L339" s="245">
        <v>16.05</v>
      </c>
      <c r="M339" s="245">
        <v>1255.9000000000001</v>
      </c>
      <c r="N339" s="257" t="s">
        <v>6830</v>
      </c>
    </row>
    <row r="340" spans="1:14">
      <c r="A340">
        <v>2368</v>
      </c>
      <c r="B340" t="s">
        <v>5068</v>
      </c>
      <c r="C340">
        <v>54.64</v>
      </c>
      <c r="D340">
        <v>41</v>
      </c>
      <c r="E340">
        <v>34</v>
      </c>
      <c r="F340">
        <v>-3</v>
      </c>
      <c r="G340">
        <v>19</v>
      </c>
      <c r="H340">
        <v>15.49</v>
      </c>
      <c r="I340">
        <v>2.2000000000000002</v>
      </c>
      <c r="J340">
        <v>5.41</v>
      </c>
      <c r="K340" s="245">
        <v>-5.49</v>
      </c>
      <c r="L340" s="245">
        <v>63.54</v>
      </c>
      <c r="M340" s="245">
        <v>14659.75</v>
      </c>
      <c r="N340" s="257" t="s">
        <v>6832</v>
      </c>
    </row>
    <row r="341" spans="1:14">
      <c r="A341">
        <v>2369</v>
      </c>
      <c r="B341" t="s">
        <v>5069</v>
      </c>
      <c r="C341">
        <v>38.01</v>
      </c>
      <c r="D341">
        <v>671</v>
      </c>
      <c r="E341">
        <v>643</v>
      </c>
      <c r="F341">
        <v>-9</v>
      </c>
      <c r="G341">
        <v>-10</v>
      </c>
      <c r="H341">
        <v>11.5</v>
      </c>
      <c r="I341">
        <v>1.29</v>
      </c>
      <c r="J341">
        <v>2.35</v>
      </c>
      <c r="K341" s="245">
        <v>-37</v>
      </c>
      <c r="L341" s="245">
        <v>17.13</v>
      </c>
      <c r="M341" s="245">
        <v>1406.25</v>
      </c>
      <c r="N341" s="257" t="s">
        <v>6830</v>
      </c>
    </row>
    <row r="342" spans="1:14">
      <c r="A342">
        <v>2371</v>
      </c>
      <c r="B342" t="s">
        <v>5070</v>
      </c>
      <c r="C342">
        <v>233</v>
      </c>
      <c r="D342">
        <v>151</v>
      </c>
      <c r="E342">
        <v>161</v>
      </c>
      <c r="F342">
        <v>-27</v>
      </c>
      <c r="G342">
        <v>-5</v>
      </c>
      <c r="H342">
        <v>2.72</v>
      </c>
      <c r="I342">
        <v>0</v>
      </c>
      <c r="J342">
        <v>1.57</v>
      </c>
      <c r="K342" s="245">
        <v>-11.53</v>
      </c>
      <c r="L342" s="245">
        <v>59.04</v>
      </c>
      <c r="M342" s="245">
        <v>11942.6</v>
      </c>
      <c r="N342" s="257" t="s">
        <v>6832</v>
      </c>
    </row>
    <row r="343" spans="1:14">
      <c r="A343">
        <v>2373</v>
      </c>
      <c r="B343" t="s">
        <v>5071</v>
      </c>
      <c r="C343">
        <v>23.62</v>
      </c>
      <c r="D343">
        <v>-2</v>
      </c>
      <c r="E343">
        <v>-3</v>
      </c>
      <c r="F343">
        <v>-41</v>
      </c>
      <c r="G343">
        <v>-51</v>
      </c>
      <c r="H343">
        <v>10.82</v>
      </c>
      <c r="I343">
        <v>6</v>
      </c>
      <c r="J343">
        <v>6.19</v>
      </c>
      <c r="K343" s="245">
        <v>-6.48</v>
      </c>
      <c r="L343" s="245">
        <v>23.81</v>
      </c>
      <c r="M343" s="245">
        <v>32.85</v>
      </c>
      <c r="N343" s="257" t="s">
        <v>6830</v>
      </c>
    </row>
    <row r="344" spans="1:14">
      <c r="A344">
        <v>2374</v>
      </c>
      <c r="B344" t="s">
        <v>5072</v>
      </c>
      <c r="C344">
        <v>28.75</v>
      </c>
      <c r="D344">
        <v>261</v>
      </c>
      <c r="E344">
        <v>46</v>
      </c>
      <c r="F344">
        <v>5</v>
      </c>
      <c r="G344">
        <v>69</v>
      </c>
      <c r="H344">
        <v>-9.27</v>
      </c>
      <c r="I344">
        <v>1</v>
      </c>
      <c r="J344">
        <v>2.42</v>
      </c>
      <c r="K344" s="245">
        <v>-32.200000000000003</v>
      </c>
      <c r="L344" s="245">
        <v>13.49</v>
      </c>
      <c r="M344" s="245">
        <v>1721.3</v>
      </c>
      <c r="N344" s="257" t="s">
        <v>6831</v>
      </c>
    </row>
    <row r="345" spans="1:14">
      <c r="A345">
        <v>2375</v>
      </c>
      <c r="B345" t="s">
        <v>5073</v>
      </c>
      <c r="C345">
        <v>13.58</v>
      </c>
      <c r="D345">
        <v>36</v>
      </c>
      <c r="E345">
        <v>29</v>
      </c>
      <c r="F345">
        <v>-16</v>
      </c>
      <c r="G345">
        <v>-32</v>
      </c>
      <c r="H345">
        <v>12.2</v>
      </c>
      <c r="I345">
        <v>2</v>
      </c>
      <c r="J345">
        <v>8.6199999999999992</v>
      </c>
      <c r="K345" s="245">
        <v>-50.75</v>
      </c>
      <c r="L345" s="245">
        <v>10.11</v>
      </c>
      <c r="M345" s="245">
        <v>624.95000000000005</v>
      </c>
      <c r="N345" s="257" t="s">
        <v>6830</v>
      </c>
    </row>
    <row r="346" spans="1:14">
      <c r="A346">
        <v>2376</v>
      </c>
      <c r="B346" t="s">
        <v>5074</v>
      </c>
      <c r="C346">
        <v>63.56</v>
      </c>
      <c r="D346">
        <v>207</v>
      </c>
      <c r="E346">
        <v>243</v>
      </c>
      <c r="F346">
        <v>-19</v>
      </c>
      <c r="G346">
        <v>-30</v>
      </c>
      <c r="H346">
        <v>11.88</v>
      </c>
      <c r="I346">
        <v>12</v>
      </c>
      <c r="J346">
        <v>21.01</v>
      </c>
      <c r="K346" s="245">
        <v>-34.85</v>
      </c>
      <c r="L346" s="245">
        <v>10.71</v>
      </c>
      <c r="M346" s="245">
        <v>5894.35</v>
      </c>
      <c r="N346" s="257" t="s">
        <v>6830</v>
      </c>
    </row>
    <row r="347" spans="1:14">
      <c r="A347">
        <v>2377</v>
      </c>
      <c r="B347" t="s">
        <v>5075</v>
      </c>
      <c r="C347">
        <v>84.48</v>
      </c>
      <c r="D347">
        <v>112</v>
      </c>
      <c r="E347">
        <v>117</v>
      </c>
      <c r="F347">
        <v>-12</v>
      </c>
      <c r="G347">
        <v>3</v>
      </c>
      <c r="H347">
        <v>9.9</v>
      </c>
      <c r="I347">
        <v>10.5</v>
      </c>
      <c r="J347">
        <v>20.03</v>
      </c>
      <c r="K347" s="245">
        <v>-31.45</v>
      </c>
      <c r="L347" s="245">
        <v>27.09</v>
      </c>
      <c r="M347" s="245">
        <v>3574.4</v>
      </c>
      <c r="N347" s="257" t="s">
        <v>6830</v>
      </c>
    </row>
    <row r="348" spans="1:14">
      <c r="A348">
        <v>2379</v>
      </c>
      <c r="B348" t="s">
        <v>5076</v>
      </c>
      <c r="C348">
        <v>51.28</v>
      </c>
      <c r="D348">
        <v>91</v>
      </c>
      <c r="E348">
        <v>100</v>
      </c>
      <c r="F348">
        <v>0</v>
      </c>
      <c r="G348">
        <v>33</v>
      </c>
      <c r="H348">
        <v>16.420000000000002</v>
      </c>
      <c r="I348">
        <v>27</v>
      </c>
      <c r="J348">
        <v>33</v>
      </c>
      <c r="K348" s="245">
        <v>-31.24</v>
      </c>
      <c r="L348" s="245">
        <v>40.19</v>
      </c>
      <c r="M348" s="245">
        <v>2493.8000000000002</v>
      </c>
      <c r="N348" s="257" t="s">
        <v>6830</v>
      </c>
    </row>
    <row r="349" spans="1:14">
      <c r="A349">
        <v>2380</v>
      </c>
      <c r="B349" t="s">
        <v>6447</v>
      </c>
      <c r="C349">
        <v>18.940000000000001</v>
      </c>
      <c r="D349">
        <v>69</v>
      </c>
      <c r="E349">
        <v>65</v>
      </c>
      <c r="F349">
        <v>-54</v>
      </c>
      <c r="G349">
        <v>-52</v>
      </c>
      <c r="H349">
        <v>-4.4800000000000004</v>
      </c>
      <c r="I349">
        <v>0</v>
      </c>
      <c r="J349">
        <v>-0.69</v>
      </c>
      <c r="K349" s="245">
        <v>-45.46</v>
      </c>
      <c r="L349" s="245">
        <v>7.21</v>
      </c>
      <c r="M349" s="245">
        <v>508.2</v>
      </c>
      <c r="N349" s="257" t="s">
        <v>6830</v>
      </c>
    </row>
    <row r="350" spans="1:14">
      <c r="A350">
        <v>2382</v>
      </c>
      <c r="B350" t="s">
        <v>5077</v>
      </c>
      <c r="C350">
        <v>386</v>
      </c>
      <c r="D350">
        <v>35</v>
      </c>
      <c r="E350">
        <v>14</v>
      </c>
      <c r="F350">
        <v>-39</v>
      </c>
      <c r="G350">
        <v>-21</v>
      </c>
      <c r="H350">
        <v>3.3</v>
      </c>
      <c r="I350">
        <v>6.6</v>
      </c>
      <c r="J350">
        <v>8.73</v>
      </c>
      <c r="K350" s="245">
        <v>-20.420000000000002</v>
      </c>
      <c r="L350" s="245">
        <v>11.42</v>
      </c>
      <c r="M350" s="245">
        <v>7672.4</v>
      </c>
      <c r="N350" s="257" t="s">
        <v>6830</v>
      </c>
    </row>
    <row r="351" spans="1:14">
      <c r="A351">
        <v>2383</v>
      </c>
      <c r="B351" t="s">
        <v>5078</v>
      </c>
      <c r="C351">
        <v>33.29</v>
      </c>
      <c r="D351">
        <v>48</v>
      </c>
      <c r="E351">
        <v>47</v>
      </c>
      <c r="F351">
        <v>-10</v>
      </c>
      <c r="G351">
        <v>4</v>
      </c>
      <c r="H351">
        <v>17.98</v>
      </c>
      <c r="I351">
        <v>10</v>
      </c>
      <c r="J351">
        <v>16.5</v>
      </c>
      <c r="K351" s="245">
        <v>-26.34</v>
      </c>
      <c r="L351" s="245">
        <v>21.47</v>
      </c>
      <c r="M351" s="245">
        <v>1883.55</v>
      </c>
      <c r="N351" s="257" t="s">
        <v>6830</v>
      </c>
    </row>
    <row r="352" spans="1:14">
      <c r="A352">
        <v>2385</v>
      </c>
      <c r="B352" t="s">
        <v>5079</v>
      </c>
      <c r="C352">
        <v>75.180000000000007</v>
      </c>
      <c r="D352">
        <v>15</v>
      </c>
      <c r="E352">
        <v>12</v>
      </c>
      <c r="F352">
        <v>-23</v>
      </c>
      <c r="G352">
        <v>0</v>
      </c>
      <c r="H352">
        <v>8.01</v>
      </c>
      <c r="I352">
        <v>6.1</v>
      </c>
      <c r="J352">
        <v>8.7100000000000009</v>
      </c>
      <c r="K352" s="245">
        <v>-10.63</v>
      </c>
      <c r="L352" s="245">
        <v>14.88</v>
      </c>
      <c r="M352" s="245">
        <v>1198.9000000000001</v>
      </c>
      <c r="N352" s="257" t="s">
        <v>6831</v>
      </c>
    </row>
    <row r="353" spans="1:14">
      <c r="A353">
        <v>2387</v>
      </c>
      <c r="B353" t="s">
        <v>5080</v>
      </c>
      <c r="C353">
        <v>19.52</v>
      </c>
      <c r="D353">
        <v>-19</v>
      </c>
      <c r="E353">
        <v>-22</v>
      </c>
      <c r="F353">
        <v>-46</v>
      </c>
      <c r="G353">
        <v>-42</v>
      </c>
      <c r="H353">
        <v>6.43</v>
      </c>
      <c r="I353">
        <v>3</v>
      </c>
      <c r="J353">
        <v>5.31</v>
      </c>
      <c r="K353" s="245">
        <v>-40.83</v>
      </c>
      <c r="L353" s="245">
        <v>21.22</v>
      </c>
      <c r="M353" s="245">
        <v>417.4</v>
      </c>
      <c r="N353" s="257" t="s">
        <v>6830</v>
      </c>
    </row>
    <row r="354" spans="1:14">
      <c r="A354">
        <v>2388</v>
      </c>
      <c r="B354" t="s">
        <v>5081</v>
      </c>
      <c r="C354">
        <v>49.67</v>
      </c>
      <c r="D354">
        <v>-10</v>
      </c>
      <c r="E354">
        <v>-85</v>
      </c>
      <c r="F354">
        <v>-23</v>
      </c>
      <c r="G354">
        <v>53</v>
      </c>
      <c r="H354">
        <v>-20.6</v>
      </c>
      <c r="I354">
        <v>1</v>
      </c>
      <c r="J354">
        <v>8.01</v>
      </c>
      <c r="K354" s="245">
        <v>-53.04</v>
      </c>
      <c r="L354" s="245">
        <v>11.65</v>
      </c>
      <c r="M354" s="245">
        <v>1821.8</v>
      </c>
      <c r="N354" s="257" t="s">
        <v>6830</v>
      </c>
    </row>
    <row r="355" spans="1:14">
      <c r="A355">
        <v>2390</v>
      </c>
      <c r="B355" t="s">
        <v>5082</v>
      </c>
      <c r="C355">
        <v>21.4</v>
      </c>
      <c r="D355">
        <v>630</v>
      </c>
      <c r="E355">
        <v>-39</v>
      </c>
      <c r="F355">
        <v>-10</v>
      </c>
      <c r="G355">
        <v>-29</v>
      </c>
      <c r="H355">
        <v>-28.92</v>
      </c>
      <c r="I355">
        <v>1</v>
      </c>
      <c r="J355">
        <v>6.67</v>
      </c>
      <c r="K355" s="245">
        <v>-43.32</v>
      </c>
      <c r="L355" s="245">
        <v>33.99</v>
      </c>
      <c r="M355" s="245">
        <v>8215.35</v>
      </c>
      <c r="N355" s="257" t="s">
        <v>6830</v>
      </c>
    </row>
    <row r="356" spans="1:14">
      <c r="A356">
        <v>2392</v>
      </c>
      <c r="B356" t="s">
        <v>5083</v>
      </c>
      <c r="C356">
        <v>51.23</v>
      </c>
      <c r="D356">
        <v>-28</v>
      </c>
      <c r="E356">
        <v>-20</v>
      </c>
      <c r="F356">
        <v>28</v>
      </c>
      <c r="G356">
        <v>9</v>
      </c>
      <c r="H356">
        <v>2.2000000000000002</v>
      </c>
      <c r="I356">
        <v>1.5</v>
      </c>
      <c r="J356">
        <v>1.9</v>
      </c>
      <c r="K356" s="245">
        <v>-31.07</v>
      </c>
      <c r="L356" s="245">
        <v>7.63</v>
      </c>
      <c r="M356" s="245">
        <v>523.25</v>
      </c>
      <c r="N356" s="257" t="s">
        <v>6830</v>
      </c>
    </row>
    <row r="357" spans="1:14">
      <c r="A357">
        <v>2393</v>
      </c>
      <c r="B357" t="s">
        <v>5084</v>
      </c>
      <c r="C357">
        <v>44.34</v>
      </c>
      <c r="D357">
        <v>59</v>
      </c>
      <c r="E357">
        <v>78</v>
      </c>
      <c r="F357">
        <v>-33</v>
      </c>
      <c r="G357">
        <v>-34</v>
      </c>
      <c r="H357">
        <v>9.65</v>
      </c>
      <c r="I357">
        <v>3.5</v>
      </c>
      <c r="J357">
        <v>4.37</v>
      </c>
      <c r="K357" s="245">
        <v>-36.43</v>
      </c>
      <c r="L357" s="245">
        <v>18.399999999999999</v>
      </c>
      <c r="M357" s="245">
        <v>1719.4</v>
      </c>
      <c r="N357" s="257" t="s">
        <v>6830</v>
      </c>
    </row>
    <row r="358" spans="1:14">
      <c r="A358">
        <v>2395</v>
      </c>
      <c r="B358" t="s">
        <v>5085</v>
      </c>
      <c r="C358">
        <v>77.58</v>
      </c>
      <c r="D358">
        <v>13</v>
      </c>
      <c r="E358">
        <v>8</v>
      </c>
      <c r="F358">
        <v>-21</v>
      </c>
      <c r="G358">
        <v>2</v>
      </c>
      <c r="H358">
        <v>16.72</v>
      </c>
      <c r="I358">
        <v>8</v>
      </c>
      <c r="J358">
        <v>10.67</v>
      </c>
      <c r="K358" s="245">
        <v>-14.16</v>
      </c>
      <c r="L358" s="245">
        <v>39.79</v>
      </c>
      <c r="M358" s="245">
        <v>919.7</v>
      </c>
      <c r="N358" s="257" t="s">
        <v>6830</v>
      </c>
    </row>
    <row r="359" spans="1:14">
      <c r="A359">
        <v>2397</v>
      </c>
      <c r="B359" t="s">
        <v>5086</v>
      </c>
      <c r="C359">
        <v>11.44</v>
      </c>
      <c r="D359">
        <v>63</v>
      </c>
      <c r="E359">
        <v>-18</v>
      </c>
      <c r="F359">
        <v>-7</v>
      </c>
      <c r="G359">
        <v>96</v>
      </c>
      <c r="H359">
        <v>3.98</v>
      </c>
      <c r="I359">
        <v>3.6</v>
      </c>
      <c r="J359">
        <v>5.38</v>
      </c>
      <c r="K359" s="245">
        <v>-14</v>
      </c>
      <c r="L359" s="245">
        <v>35.229999999999997</v>
      </c>
      <c r="M359" s="245">
        <v>29.6</v>
      </c>
      <c r="N359" s="257" t="s">
        <v>6831</v>
      </c>
    </row>
    <row r="360" spans="1:14">
      <c r="A360">
        <v>2399</v>
      </c>
      <c r="B360" t="s">
        <v>5087</v>
      </c>
      <c r="C360">
        <v>17.809999999999999</v>
      </c>
      <c r="D360">
        <v>148</v>
      </c>
      <c r="E360">
        <v>905</v>
      </c>
      <c r="F360">
        <v>-11</v>
      </c>
      <c r="G360">
        <v>-16</v>
      </c>
      <c r="H360">
        <v>7.81</v>
      </c>
      <c r="I360">
        <v>1.2</v>
      </c>
      <c r="J360">
        <v>2.0299999999999998</v>
      </c>
      <c r="K360" s="245">
        <v>-41.5</v>
      </c>
      <c r="L360" s="245">
        <v>14.78</v>
      </c>
      <c r="M360" s="245">
        <v>965.6</v>
      </c>
      <c r="N360" s="257" t="s">
        <v>6830</v>
      </c>
    </row>
    <row r="361" spans="1:14">
      <c r="A361">
        <v>2401</v>
      </c>
      <c r="B361" t="s">
        <v>5088</v>
      </c>
      <c r="C361">
        <v>59.19</v>
      </c>
      <c r="D361">
        <v>183</v>
      </c>
      <c r="E361">
        <v>78</v>
      </c>
      <c r="F361">
        <v>0</v>
      </c>
      <c r="G361">
        <v>14</v>
      </c>
      <c r="H361">
        <v>11.6</v>
      </c>
      <c r="I361">
        <v>2</v>
      </c>
      <c r="J361">
        <v>2.0099999999999998</v>
      </c>
      <c r="K361" s="245">
        <v>-25.97</v>
      </c>
      <c r="L361" s="245">
        <v>50.52</v>
      </c>
      <c r="M361" s="245">
        <v>5062.55</v>
      </c>
      <c r="N361" s="257" t="s">
        <v>6830</v>
      </c>
    </row>
    <row r="362" spans="1:14">
      <c r="A362">
        <v>2402</v>
      </c>
      <c r="B362" t="s">
        <v>5089</v>
      </c>
      <c r="C362">
        <v>30.75</v>
      </c>
      <c r="D362">
        <v>85</v>
      </c>
      <c r="E362">
        <v>6</v>
      </c>
      <c r="F362">
        <v>-13</v>
      </c>
      <c r="G362">
        <v>1</v>
      </c>
      <c r="H362">
        <v>3.21</v>
      </c>
      <c r="I362">
        <v>0.5</v>
      </c>
      <c r="J362">
        <v>0.75</v>
      </c>
      <c r="K362" s="245">
        <v>-29.31</v>
      </c>
      <c r="L362" s="245">
        <v>22.29</v>
      </c>
      <c r="M362" s="245">
        <v>441.75</v>
      </c>
      <c r="N362" s="257" t="s">
        <v>6830</v>
      </c>
    </row>
    <row r="363" spans="1:14">
      <c r="A363">
        <v>2404</v>
      </c>
      <c r="B363" t="s">
        <v>5090</v>
      </c>
      <c r="C363">
        <v>19.05</v>
      </c>
      <c r="D363">
        <v>-31</v>
      </c>
      <c r="E363">
        <v>-32</v>
      </c>
      <c r="F363">
        <v>15</v>
      </c>
      <c r="G363">
        <v>16</v>
      </c>
      <c r="H363">
        <v>12.26</v>
      </c>
      <c r="I363">
        <v>13</v>
      </c>
      <c r="J363">
        <v>14.53</v>
      </c>
      <c r="K363" s="245">
        <v>-28.34</v>
      </c>
      <c r="L363" s="245">
        <v>23.2</v>
      </c>
      <c r="M363" s="245">
        <v>554</v>
      </c>
      <c r="N363" s="257" t="s">
        <v>6830</v>
      </c>
    </row>
    <row r="364" spans="1:14">
      <c r="A364">
        <v>2405</v>
      </c>
      <c r="B364" t="s">
        <v>6174</v>
      </c>
      <c r="C364">
        <v>34.340000000000003</v>
      </c>
      <c r="D364">
        <v>215</v>
      </c>
      <c r="E364">
        <v>-96</v>
      </c>
      <c r="F364">
        <v>32</v>
      </c>
      <c r="G364">
        <v>26</v>
      </c>
      <c r="H364">
        <v>0.12</v>
      </c>
      <c r="I364">
        <v>0</v>
      </c>
      <c r="J364">
        <v>0.57999999999999996</v>
      </c>
      <c r="K364" s="245">
        <v>-43.95</v>
      </c>
      <c r="L364" s="245">
        <v>15.26</v>
      </c>
      <c r="M364" s="245">
        <v>3551.65</v>
      </c>
      <c r="N364" s="257" t="s">
        <v>6830</v>
      </c>
    </row>
    <row r="365" spans="1:14">
      <c r="A365">
        <v>2406</v>
      </c>
      <c r="B365" t="s">
        <v>5091</v>
      </c>
      <c r="C365">
        <v>35.090000000000003</v>
      </c>
      <c r="D365">
        <v>51</v>
      </c>
      <c r="E365">
        <v>57</v>
      </c>
      <c r="F365">
        <v>3</v>
      </c>
      <c r="G365">
        <v>-16</v>
      </c>
      <c r="H365">
        <v>-1.23</v>
      </c>
      <c r="I365">
        <v>0</v>
      </c>
      <c r="J365">
        <v>0.09</v>
      </c>
      <c r="K365" s="245">
        <v>-46.55</v>
      </c>
      <c r="L365" s="245">
        <v>14.68</v>
      </c>
      <c r="M365" s="245">
        <v>5155.1499999999996</v>
      </c>
      <c r="N365" s="257" t="s">
        <v>6830</v>
      </c>
    </row>
    <row r="366" spans="1:14">
      <c r="A366">
        <v>2408</v>
      </c>
      <c r="B366" t="s">
        <v>5092</v>
      </c>
      <c r="C366">
        <v>309</v>
      </c>
      <c r="D366">
        <v>197</v>
      </c>
      <c r="E366">
        <v>222</v>
      </c>
      <c r="F366">
        <v>-2</v>
      </c>
      <c r="G366">
        <v>-10</v>
      </c>
      <c r="H366">
        <v>31.76</v>
      </c>
      <c r="I366">
        <v>3.7</v>
      </c>
      <c r="J366">
        <v>7.4</v>
      </c>
      <c r="K366" s="245">
        <v>-20.55</v>
      </c>
      <c r="L366" s="245">
        <v>27.88</v>
      </c>
      <c r="M366" s="245">
        <v>8243.6</v>
      </c>
      <c r="N366" s="257" t="s">
        <v>6830</v>
      </c>
    </row>
    <row r="367" spans="1:14">
      <c r="A367">
        <v>2409</v>
      </c>
      <c r="B367" t="s">
        <v>5093</v>
      </c>
      <c r="C367">
        <v>962</v>
      </c>
      <c r="D367">
        <v>2082</v>
      </c>
      <c r="E367">
        <v>2928</v>
      </c>
      <c r="F367">
        <v>-27</v>
      </c>
      <c r="G367">
        <v>-31</v>
      </c>
      <c r="H367">
        <v>17.02</v>
      </c>
      <c r="I367">
        <v>1</v>
      </c>
      <c r="J367">
        <v>6.44</v>
      </c>
      <c r="K367" s="245">
        <v>-29.57</v>
      </c>
      <c r="L367" s="245">
        <v>21.24</v>
      </c>
      <c r="M367" s="245">
        <v>68431.75</v>
      </c>
      <c r="N367" s="257" t="s">
        <v>6830</v>
      </c>
    </row>
    <row r="368" spans="1:14">
      <c r="A368">
        <v>2412</v>
      </c>
      <c r="B368" t="s">
        <v>5094</v>
      </c>
      <c r="C368">
        <v>775</v>
      </c>
      <c r="D368">
        <v>7</v>
      </c>
      <c r="E368">
        <v>6</v>
      </c>
      <c r="F368">
        <v>1</v>
      </c>
      <c r="G368">
        <v>7</v>
      </c>
      <c r="H368">
        <v>21.35</v>
      </c>
      <c r="I368">
        <v>4.6100000000000003</v>
      </c>
      <c r="J368">
        <v>4.6100000000000003</v>
      </c>
      <c r="K368" s="245">
        <v>-6.42</v>
      </c>
      <c r="L368" s="245">
        <v>41.45</v>
      </c>
      <c r="M368" s="245">
        <v>9853.25</v>
      </c>
      <c r="N368" s="257" t="s">
        <v>6831</v>
      </c>
    </row>
    <row r="369" spans="1:14">
      <c r="A369">
        <v>2413</v>
      </c>
      <c r="B369" t="s">
        <v>5095</v>
      </c>
      <c r="C369">
        <v>12.73</v>
      </c>
      <c r="D369">
        <v>419</v>
      </c>
      <c r="E369">
        <v>254</v>
      </c>
      <c r="F369">
        <v>8</v>
      </c>
      <c r="G369">
        <v>17</v>
      </c>
      <c r="H369">
        <v>1.41</v>
      </c>
      <c r="I369">
        <v>0</v>
      </c>
      <c r="J369">
        <v>0.35</v>
      </c>
      <c r="K369" s="245">
        <v>-27.52</v>
      </c>
      <c r="L369" s="245">
        <v>21.85</v>
      </c>
      <c r="M369" s="245">
        <v>196.4</v>
      </c>
      <c r="N369" s="257" t="s">
        <v>6830</v>
      </c>
    </row>
    <row r="370" spans="1:14">
      <c r="A370">
        <v>2414</v>
      </c>
      <c r="B370" t="s">
        <v>5096</v>
      </c>
      <c r="C370">
        <v>16.170000000000002</v>
      </c>
      <c r="D370">
        <v>54</v>
      </c>
      <c r="E370">
        <v>58</v>
      </c>
      <c r="F370">
        <v>-23</v>
      </c>
      <c r="G370">
        <v>-1</v>
      </c>
      <c r="H370">
        <v>3.08</v>
      </c>
      <c r="I370">
        <v>2.8</v>
      </c>
      <c r="J370">
        <v>3.44</v>
      </c>
      <c r="K370" s="245">
        <v>-20.12</v>
      </c>
      <c r="L370" s="245">
        <v>18.63</v>
      </c>
      <c r="M370" s="245">
        <v>121</v>
      </c>
      <c r="N370" s="257" t="s">
        <v>6831</v>
      </c>
    </row>
    <row r="371" spans="1:14">
      <c r="A371">
        <v>2415</v>
      </c>
      <c r="B371" t="s">
        <v>5097</v>
      </c>
      <c r="C371">
        <v>8</v>
      </c>
      <c r="D371">
        <v>253</v>
      </c>
      <c r="E371">
        <v>89</v>
      </c>
      <c r="F371">
        <v>-18</v>
      </c>
      <c r="G371">
        <v>-9</v>
      </c>
      <c r="H371">
        <v>17.8</v>
      </c>
      <c r="I371">
        <v>2.1</v>
      </c>
      <c r="J371">
        <v>2.73</v>
      </c>
      <c r="K371" s="245">
        <v>-45.94</v>
      </c>
      <c r="L371" s="245">
        <v>20.350000000000001</v>
      </c>
      <c r="M371" s="245">
        <v>195.15</v>
      </c>
      <c r="N371" s="257" t="s">
        <v>6830</v>
      </c>
    </row>
    <row r="372" spans="1:14">
      <c r="A372">
        <v>2417</v>
      </c>
      <c r="B372" t="s">
        <v>5098</v>
      </c>
      <c r="C372">
        <v>15.84</v>
      </c>
      <c r="D372">
        <v>-77</v>
      </c>
      <c r="E372">
        <v>-71</v>
      </c>
      <c r="F372">
        <v>-2</v>
      </c>
      <c r="G372">
        <v>-32</v>
      </c>
      <c r="H372">
        <v>11.38</v>
      </c>
      <c r="I372">
        <v>0.15</v>
      </c>
      <c r="J372">
        <v>0.27</v>
      </c>
      <c r="K372" s="245">
        <v>-43.92</v>
      </c>
      <c r="L372" s="245">
        <v>23.88</v>
      </c>
      <c r="M372" s="245">
        <v>9207.5499999999993</v>
      </c>
      <c r="N372" s="257" t="s">
        <v>6830</v>
      </c>
    </row>
    <row r="373" spans="1:14">
      <c r="A373">
        <v>2419</v>
      </c>
      <c r="B373" t="s">
        <v>5099</v>
      </c>
      <c r="C373">
        <v>32.130000000000003</v>
      </c>
      <c r="D373">
        <v>-45</v>
      </c>
      <c r="E373">
        <v>-33</v>
      </c>
      <c r="F373">
        <v>-14</v>
      </c>
      <c r="G373">
        <v>3</v>
      </c>
      <c r="H373">
        <v>3.06</v>
      </c>
      <c r="I373">
        <v>0.5</v>
      </c>
      <c r="J373">
        <v>0.22</v>
      </c>
      <c r="K373" s="245">
        <v>-30.91</v>
      </c>
      <c r="L373" s="245">
        <v>24.87</v>
      </c>
      <c r="M373" s="245">
        <v>1749.35</v>
      </c>
      <c r="N373" s="257" t="s">
        <v>6830</v>
      </c>
    </row>
    <row r="374" spans="1:14">
      <c r="A374">
        <v>2420</v>
      </c>
      <c r="B374" t="s">
        <v>5100</v>
      </c>
      <c r="C374">
        <v>15.26</v>
      </c>
      <c r="D374">
        <v>31</v>
      </c>
      <c r="E374">
        <v>22</v>
      </c>
      <c r="F374">
        <v>1</v>
      </c>
      <c r="G374">
        <v>1</v>
      </c>
      <c r="H374">
        <v>23.65</v>
      </c>
      <c r="I374">
        <v>3</v>
      </c>
      <c r="J374">
        <v>3.82</v>
      </c>
      <c r="K374" s="245">
        <v>-13.46</v>
      </c>
      <c r="L374" s="245">
        <v>32.17</v>
      </c>
      <c r="M374" s="245">
        <v>161.19999999999999</v>
      </c>
      <c r="N374" s="257" t="s">
        <v>6830</v>
      </c>
    </row>
    <row r="375" spans="1:14">
      <c r="A375">
        <v>2421</v>
      </c>
      <c r="B375" t="s">
        <v>5101</v>
      </c>
      <c r="C375">
        <v>25.09</v>
      </c>
      <c r="D375">
        <v>-49</v>
      </c>
      <c r="E375">
        <v>-58</v>
      </c>
      <c r="F375">
        <v>-18</v>
      </c>
      <c r="G375">
        <v>-21</v>
      </c>
      <c r="H375">
        <v>3.42</v>
      </c>
      <c r="I375">
        <v>1.2</v>
      </c>
      <c r="J375">
        <v>1.71</v>
      </c>
      <c r="K375" s="245">
        <v>-25.74</v>
      </c>
      <c r="L375" s="245">
        <v>16.89</v>
      </c>
      <c r="M375" s="245">
        <v>645.70000000000005</v>
      </c>
      <c r="N375" s="257" t="s">
        <v>6830</v>
      </c>
    </row>
    <row r="376" spans="1:14">
      <c r="A376">
        <v>2423</v>
      </c>
      <c r="B376" t="s">
        <v>5102</v>
      </c>
      <c r="C376">
        <v>14.5</v>
      </c>
      <c r="D376">
        <v>45</v>
      </c>
      <c r="E376">
        <v>52</v>
      </c>
      <c r="F376">
        <v>-16</v>
      </c>
      <c r="G376">
        <v>-1</v>
      </c>
      <c r="H376">
        <v>14.56</v>
      </c>
      <c r="I376">
        <v>1.5</v>
      </c>
      <c r="J376">
        <v>2</v>
      </c>
      <c r="K376" s="245">
        <v>-15.52</v>
      </c>
      <c r="L376" s="245">
        <v>55.44</v>
      </c>
      <c r="M376" s="245">
        <v>271.45</v>
      </c>
      <c r="N376" s="257" t="s">
        <v>6831</v>
      </c>
    </row>
    <row r="377" spans="1:14">
      <c r="A377">
        <v>2424</v>
      </c>
      <c r="B377" t="s">
        <v>6448</v>
      </c>
      <c r="C377">
        <v>3.4</v>
      </c>
      <c r="D377">
        <v>-58</v>
      </c>
      <c r="E377">
        <v>-22</v>
      </c>
      <c r="F377">
        <v>-20</v>
      </c>
      <c r="G377">
        <v>707</v>
      </c>
      <c r="H377">
        <v>-1701.75</v>
      </c>
      <c r="I377">
        <v>0</v>
      </c>
      <c r="J377">
        <v>-8.57</v>
      </c>
      <c r="K377" s="245">
        <v>-26.83</v>
      </c>
      <c r="L377" s="245">
        <v>62.8</v>
      </c>
      <c r="M377" s="245">
        <v>10</v>
      </c>
      <c r="N377" s="257" t="s">
        <v>6831</v>
      </c>
    </row>
    <row r="378" spans="1:14">
      <c r="A378">
        <v>2425</v>
      </c>
      <c r="B378" t="s">
        <v>5103</v>
      </c>
      <c r="C378">
        <v>10.14</v>
      </c>
      <c r="D378">
        <v>-11</v>
      </c>
      <c r="E378">
        <v>57</v>
      </c>
      <c r="F378">
        <v>-13</v>
      </c>
      <c r="G378">
        <v>4</v>
      </c>
      <c r="H378">
        <v>5.45</v>
      </c>
      <c r="I378">
        <v>0.6</v>
      </c>
      <c r="J378">
        <v>1.27</v>
      </c>
      <c r="K378" s="245">
        <v>-4.17</v>
      </c>
      <c r="L378" s="245">
        <v>78.459999999999994</v>
      </c>
      <c r="M378" s="245">
        <v>1230.05</v>
      </c>
      <c r="N378" s="257" t="s">
        <v>6832</v>
      </c>
    </row>
    <row r="379" spans="1:14">
      <c r="A379">
        <v>2426</v>
      </c>
      <c r="B379" t="s">
        <v>5104</v>
      </c>
      <c r="C379">
        <v>30.06</v>
      </c>
      <c r="D379">
        <v>135</v>
      </c>
      <c r="E379">
        <v>3628</v>
      </c>
      <c r="F379">
        <v>-5</v>
      </c>
      <c r="G379">
        <v>-20</v>
      </c>
      <c r="H379">
        <v>9.82</v>
      </c>
      <c r="I379">
        <v>1</v>
      </c>
      <c r="J379">
        <v>2.41</v>
      </c>
      <c r="K379" s="245">
        <v>-36.57</v>
      </c>
      <c r="L379" s="245">
        <v>14.6</v>
      </c>
      <c r="M379" s="245">
        <v>755.4</v>
      </c>
      <c r="N379" s="257" t="s">
        <v>6830</v>
      </c>
    </row>
    <row r="380" spans="1:14">
      <c r="A380">
        <v>2427</v>
      </c>
      <c r="B380" t="s">
        <v>5105</v>
      </c>
      <c r="C380">
        <v>18.43</v>
      </c>
      <c r="D380">
        <v>29</v>
      </c>
      <c r="E380">
        <v>34</v>
      </c>
      <c r="F380">
        <v>-27</v>
      </c>
      <c r="G380">
        <v>-11</v>
      </c>
      <c r="H380">
        <v>4.3499999999999996</v>
      </c>
      <c r="I380">
        <v>0.35</v>
      </c>
      <c r="J380">
        <v>0.81</v>
      </c>
      <c r="K380" s="245">
        <v>-15.33</v>
      </c>
      <c r="L380" s="245">
        <v>36.020000000000003</v>
      </c>
      <c r="M380" s="245">
        <v>347.1</v>
      </c>
      <c r="N380" s="257" t="s">
        <v>6831</v>
      </c>
    </row>
    <row r="381" spans="1:14">
      <c r="A381">
        <v>2428</v>
      </c>
      <c r="B381" t="s">
        <v>5106</v>
      </c>
      <c r="C381">
        <v>12.81</v>
      </c>
      <c r="D381">
        <v>15</v>
      </c>
      <c r="E381">
        <v>15</v>
      </c>
      <c r="F381">
        <v>11</v>
      </c>
      <c r="G381">
        <v>1</v>
      </c>
      <c r="H381">
        <v>28.33</v>
      </c>
      <c r="I381">
        <v>6.3</v>
      </c>
      <c r="J381">
        <v>12.31</v>
      </c>
      <c r="K381" s="245">
        <v>-50</v>
      </c>
      <c r="L381" s="245">
        <v>32.119999999999997</v>
      </c>
      <c r="M381" s="245">
        <v>763.9</v>
      </c>
      <c r="N381" s="257" t="s">
        <v>6830</v>
      </c>
    </row>
    <row r="382" spans="1:14">
      <c r="A382">
        <v>2429</v>
      </c>
      <c r="B382" t="s">
        <v>6449</v>
      </c>
      <c r="C382">
        <v>3.97</v>
      </c>
      <c r="D382">
        <v>86</v>
      </c>
      <c r="E382">
        <v>86</v>
      </c>
      <c r="F382">
        <v>-18</v>
      </c>
      <c r="G382">
        <v>-51</v>
      </c>
      <c r="H382">
        <v>-0.83</v>
      </c>
      <c r="I382">
        <v>0</v>
      </c>
      <c r="J382">
        <v>0.05</v>
      </c>
      <c r="K382" s="245">
        <v>-42.08</v>
      </c>
      <c r="L382" s="245">
        <v>21.19</v>
      </c>
      <c r="M382" s="245">
        <v>22.4</v>
      </c>
      <c r="N382" s="257" t="s">
        <v>6830</v>
      </c>
    </row>
    <row r="383" spans="1:14">
      <c r="A383">
        <v>2430</v>
      </c>
      <c r="B383" t="s">
        <v>5107</v>
      </c>
      <c r="C383">
        <v>16.64</v>
      </c>
      <c r="D383">
        <v>111</v>
      </c>
      <c r="E383">
        <v>91</v>
      </c>
      <c r="F383">
        <v>22</v>
      </c>
      <c r="G383">
        <v>24</v>
      </c>
      <c r="H383">
        <v>3.58</v>
      </c>
      <c r="I383">
        <v>3.54</v>
      </c>
      <c r="J383">
        <v>3.93</v>
      </c>
      <c r="K383" s="245">
        <v>-30.57</v>
      </c>
      <c r="L383" s="245">
        <v>17.5</v>
      </c>
      <c r="M383" s="245">
        <v>364.25</v>
      </c>
      <c r="N383" s="257" t="s">
        <v>6830</v>
      </c>
    </row>
    <row r="384" spans="1:14">
      <c r="A384">
        <v>2431</v>
      </c>
      <c r="B384" t="s">
        <v>5108</v>
      </c>
      <c r="C384">
        <v>11.09</v>
      </c>
      <c r="D384">
        <v>145</v>
      </c>
      <c r="E384">
        <v>-406</v>
      </c>
      <c r="F384">
        <v>-10</v>
      </c>
      <c r="G384">
        <v>-41</v>
      </c>
      <c r="H384">
        <v>-6.72</v>
      </c>
      <c r="I384">
        <v>0.45</v>
      </c>
      <c r="J384">
        <v>1.03</v>
      </c>
      <c r="K384" s="245">
        <v>-31.11</v>
      </c>
      <c r="L384" s="245">
        <v>20</v>
      </c>
      <c r="M384" s="245">
        <v>149</v>
      </c>
      <c r="N384" s="257" t="s">
        <v>6830</v>
      </c>
    </row>
    <row r="385" spans="1:14">
      <c r="A385">
        <v>2433</v>
      </c>
      <c r="B385" t="s">
        <v>5109</v>
      </c>
      <c r="C385">
        <v>14.44</v>
      </c>
      <c r="D385">
        <v>-4</v>
      </c>
      <c r="E385">
        <v>-11</v>
      </c>
      <c r="F385">
        <v>0</v>
      </c>
      <c r="G385">
        <v>-18</v>
      </c>
      <c r="H385">
        <v>11.55</v>
      </c>
      <c r="I385">
        <v>3.5</v>
      </c>
      <c r="J385">
        <v>3.8</v>
      </c>
      <c r="K385" s="245">
        <v>-6.91</v>
      </c>
      <c r="L385" s="245">
        <v>37.799999999999997</v>
      </c>
      <c r="M385" s="245">
        <v>39.85</v>
      </c>
      <c r="N385" s="257" t="s">
        <v>6830</v>
      </c>
    </row>
    <row r="386" spans="1:14">
      <c r="A386">
        <v>2434</v>
      </c>
      <c r="B386" t="s">
        <v>5110</v>
      </c>
      <c r="C386">
        <v>3.7</v>
      </c>
      <c r="D386">
        <v>-200</v>
      </c>
      <c r="E386">
        <v>62</v>
      </c>
      <c r="F386">
        <v>37</v>
      </c>
      <c r="G386">
        <v>-15</v>
      </c>
      <c r="H386">
        <v>-18.95</v>
      </c>
      <c r="I386">
        <v>0</v>
      </c>
      <c r="J386">
        <v>-0.54</v>
      </c>
      <c r="K386" s="245">
        <v>-34.770000000000003</v>
      </c>
      <c r="L386" s="245">
        <v>34.61</v>
      </c>
      <c r="M386" s="245">
        <v>19.8</v>
      </c>
      <c r="N386" s="257" t="s">
        <v>6830</v>
      </c>
    </row>
    <row r="387" spans="1:14">
      <c r="A387">
        <v>2436</v>
      </c>
      <c r="B387" t="s">
        <v>5111</v>
      </c>
      <c r="C387">
        <v>17.8</v>
      </c>
      <c r="D387">
        <v>120</v>
      </c>
      <c r="E387">
        <v>264</v>
      </c>
      <c r="F387">
        <v>-28</v>
      </c>
      <c r="G387">
        <v>-13</v>
      </c>
      <c r="H387">
        <v>12.77</v>
      </c>
      <c r="I387">
        <v>3</v>
      </c>
      <c r="J387">
        <v>4.25</v>
      </c>
      <c r="K387" s="245">
        <v>-42.34</v>
      </c>
      <c r="L387" s="245">
        <v>11.96</v>
      </c>
      <c r="M387" s="245">
        <v>3327.5</v>
      </c>
      <c r="N387" s="257" t="s">
        <v>6830</v>
      </c>
    </row>
    <row r="388" spans="1:14">
      <c r="A388">
        <v>2438</v>
      </c>
      <c r="B388" t="s">
        <v>6450</v>
      </c>
      <c r="C388">
        <v>6.01</v>
      </c>
      <c r="D388">
        <v>-17</v>
      </c>
      <c r="E388">
        <v>373</v>
      </c>
      <c r="F388">
        <v>-9</v>
      </c>
      <c r="G388">
        <v>-34</v>
      </c>
      <c r="H388">
        <v>6.76</v>
      </c>
      <c r="I388">
        <v>0</v>
      </c>
      <c r="J388">
        <v>-7.0000000000000007E-2</v>
      </c>
      <c r="K388" s="245">
        <v>-31.3</v>
      </c>
      <c r="L388" s="245">
        <v>10.24</v>
      </c>
      <c r="M388" s="245">
        <v>38.549999999999997</v>
      </c>
      <c r="N388" s="257" t="s">
        <v>6830</v>
      </c>
    </row>
    <row r="389" spans="1:14">
      <c r="A389">
        <v>2439</v>
      </c>
      <c r="B389" t="s">
        <v>5112</v>
      </c>
      <c r="C389">
        <v>21.64</v>
      </c>
      <c r="D389">
        <v>-2</v>
      </c>
      <c r="E389">
        <v>-3</v>
      </c>
      <c r="F389">
        <v>-3</v>
      </c>
      <c r="G389">
        <v>-25</v>
      </c>
      <c r="H389">
        <v>3.04</v>
      </c>
      <c r="I389">
        <v>4</v>
      </c>
      <c r="J389">
        <v>5.4</v>
      </c>
      <c r="K389" s="245">
        <v>-35.39</v>
      </c>
      <c r="L389" s="245">
        <v>19.78</v>
      </c>
      <c r="M389" s="245">
        <v>402.5</v>
      </c>
      <c r="N389" s="257" t="s">
        <v>6830</v>
      </c>
    </row>
    <row r="390" spans="1:14">
      <c r="A390">
        <v>2440</v>
      </c>
      <c r="B390" t="s">
        <v>6175</v>
      </c>
      <c r="C390">
        <v>13.91</v>
      </c>
      <c r="D390">
        <v>-52</v>
      </c>
      <c r="E390">
        <v>24</v>
      </c>
      <c r="F390">
        <v>7</v>
      </c>
      <c r="G390">
        <v>-17</v>
      </c>
      <c r="H390">
        <v>3.75</v>
      </c>
      <c r="I390">
        <v>0</v>
      </c>
      <c r="J390">
        <v>0.75</v>
      </c>
      <c r="K390" s="245">
        <v>-50.57</v>
      </c>
      <c r="L390" s="245">
        <v>10.43</v>
      </c>
      <c r="M390" s="245">
        <v>225.25</v>
      </c>
      <c r="N390" s="257" t="s">
        <v>6830</v>
      </c>
    </row>
    <row r="391" spans="1:14">
      <c r="A391">
        <v>2441</v>
      </c>
      <c r="B391" t="s">
        <v>5113</v>
      </c>
      <c r="C391">
        <v>56.88</v>
      </c>
      <c r="D391">
        <v>72</v>
      </c>
      <c r="E391">
        <v>73</v>
      </c>
      <c r="F391">
        <v>2</v>
      </c>
      <c r="G391">
        <v>7</v>
      </c>
      <c r="H391">
        <v>29.02</v>
      </c>
      <c r="I391">
        <v>5</v>
      </c>
      <c r="J391">
        <v>8.09</v>
      </c>
      <c r="K391" s="245">
        <v>-27.94</v>
      </c>
      <c r="L391" s="245">
        <v>41.86</v>
      </c>
      <c r="M391" s="245">
        <v>753.15</v>
      </c>
      <c r="N391" s="257" t="s">
        <v>6830</v>
      </c>
    </row>
    <row r="392" spans="1:14">
      <c r="A392">
        <v>2442</v>
      </c>
      <c r="B392" t="s">
        <v>5114</v>
      </c>
      <c r="C392">
        <v>24.13</v>
      </c>
      <c r="D392">
        <v>291</v>
      </c>
      <c r="E392">
        <v>588</v>
      </c>
      <c r="F392">
        <v>-6</v>
      </c>
      <c r="G392">
        <v>-98</v>
      </c>
      <c r="H392">
        <v>21.92</v>
      </c>
      <c r="I392">
        <v>0.7</v>
      </c>
      <c r="J392">
        <v>1.99</v>
      </c>
      <c r="K392" s="245">
        <v>-14.68</v>
      </c>
      <c r="L392" s="245">
        <v>34.36</v>
      </c>
      <c r="M392" s="245">
        <v>2011.6</v>
      </c>
      <c r="N392" s="257" t="s">
        <v>6831</v>
      </c>
    </row>
    <row r="393" spans="1:14">
      <c r="A393">
        <v>2443</v>
      </c>
      <c r="B393" t="s">
        <v>6451</v>
      </c>
      <c r="C393">
        <v>14.56</v>
      </c>
      <c r="D393">
        <v>75</v>
      </c>
      <c r="E393">
        <v>70</v>
      </c>
      <c r="F393">
        <v>-34</v>
      </c>
      <c r="G393">
        <v>-80</v>
      </c>
      <c r="H393">
        <v>-61.07</v>
      </c>
      <c r="I393">
        <v>0</v>
      </c>
      <c r="J393">
        <v>-0.73</v>
      </c>
      <c r="K393" s="245">
        <v>-32.130000000000003</v>
      </c>
      <c r="L393" s="245">
        <v>33.75</v>
      </c>
      <c r="M393" s="245">
        <v>102.8</v>
      </c>
      <c r="N393" s="257" t="s">
        <v>6831</v>
      </c>
    </row>
    <row r="394" spans="1:14">
      <c r="A394">
        <v>2444</v>
      </c>
      <c r="B394" t="s">
        <v>6452</v>
      </c>
      <c r="C394">
        <v>10.55</v>
      </c>
      <c r="D394">
        <v>112</v>
      </c>
      <c r="E394">
        <v>132</v>
      </c>
      <c r="F394">
        <v>-14</v>
      </c>
      <c r="G394">
        <v>52</v>
      </c>
      <c r="H394">
        <v>1.45</v>
      </c>
      <c r="I394">
        <v>0</v>
      </c>
      <c r="J394">
        <v>0.12</v>
      </c>
      <c r="K394" s="245">
        <v>-23.17</v>
      </c>
      <c r="L394" s="245">
        <v>45.11</v>
      </c>
      <c r="M394" s="245">
        <v>363.1</v>
      </c>
      <c r="N394" s="257" t="s">
        <v>6831</v>
      </c>
    </row>
    <row r="395" spans="1:14">
      <c r="A395">
        <v>2449</v>
      </c>
      <c r="B395" t="s">
        <v>5115</v>
      </c>
      <c r="C395">
        <v>122</v>
      </c>
      <c r="D395">
        <v>43</v>
      </c>
      <c r="E395">
        <v>42</v>
      </c>
      <c r="F395">
        <v>2</v>
      </c>
      <c r="G395">
        <v>22</v>
      </c>
      <c r="H395">
        <v>19.57</v>
      </c>
      <c r="I395">
        <v>3</v>
      </c>
      <c r="J395">
        <v>4.2300000000000004</v>
      </c>
      <c r="K395" s="245">
        <v>-16.149999999999999</v>
      </c>
      <c r="L395" s="245">
        <v>59.9</v>
      </c>
      <c r="M395" s="245">
        <v>5910.6</v>
      </c>
      <c r="N395" s="257" t="s">
        <v>6831</v>
      </c>
    </row>
    <row r="396" spans="1:14">
      <c r="A396">
        <v>2450</v>
      </c>
      <c r="B396" t="s">
        <v>5116</v>
      </c>
      <c r="C396">
        <v>25.82</v>
      </c>
      <c r="D396">
        <v>36</v>
      </c>
      <c r="E396">
        <v>56</v>
      </c>
      <c r="F396">
        <v>-16</v>
      </c>
      <c r="G396">
        <v>9</v>
      </c>
      <c r="H396">
        <v>1.56</v>
      </c>
      <c r="I396">
        <v>2</v>
      </c>
      <c r="J396">
        <v>2.31</v>
      </c>
      <c r="K396" s="245">
        <v>-6.49</v>
      </c>
      <c r="L396" s="245">
        <v>35.409999999999997</v>
      </c>
      <c r="M396" s="245">
        <v>172.8</v>
      </c>
      <c r="N396" s="257" t="s">
        <v>6831</v>
      </c>
    </row>
    <row r="397" spans="1:14">
      <c r="A397">
        <v>2451</v>
      </c>
      <c r="B397" t="s">
        <v>5117</v>
      </c>
      <c r="C397">
        <v>42.9</v>
      </c>
      <c r="D397">
        <v>111</v>
      </c>
      <c r="E397">
        <v>138</v>
      </c>
      <c r="F397">
        <v>-25</v>
      </c>
      <c r="G397">
        <v>-29</v>
      </c>
      <c r="H397">
        <v>20.2</v>
      </c>
      <c r="I397">
        <v>6</v>
      </c>
      <c r="J397">
        <v>5.9</v>
      </c>
      <c r="K397" s="245">
        <v>-11.14</v>
      </c>
      <c r="L397" s="245">
        <v>19.329999999999998</v>
      </c>
      <c r="M397" s="245">
        <v>490.45</v>
      </c>
      <c r="N397" s="257" t="s">
        <v>6831</v>
      </c>
    </row>
    <row r="398" spans="1:14">
      <c r="A398">
        <v>2453</v>
      </c>
      <c r="B398" t="s">
        <v>5118</v>
      </c>
      <c r="C398">
        <v>10</v>
      </c>
      <c r="D398">
        <v>28</v>
      </c>
      <c r="E398">
        <v>56</v>
      </c>
      <c r="F398">
        <v>2</v>
      </c>
      <c r="G398">
        <v>0</v>
      </c>
      <c r="H398">
        <v>4.34</v>
      </c>
      <c r="I398">
        <v>1.9</v>
      </c>
      <c r="J398">
        <v>2.16</v>
      </c>
      <c r="K398" s="245">
        <v>-16.54</v>
      </c>
      <c r="L398" s="245">
        <v>45.51</v>
      </c>
      <c r="M398" s="245">
        <v>343.9</v>
      </c>
      <c r="N398" s="257" t="s">
        <v>6831</v>
      </c>
    </row>
    <row r="399" spans="1:14">
      <c r="A399">
        <v>2454</v>
      </c>
      <c r="B399" t="s">
        <v>5119</v>
      </c>
      <c r="C399">
        <v>159</v>
      </c>
      <c r="D399">
        <v>169</v>
      </c>
      <c r="E399">
        <v>149</v>
      </c>
      <c r="F399">
        <v>-11</v>
      </c>
      <c r="G399">
        <v>43</v>
      </c>
      <c r="H399">
        <v>21.9</v>
      </c>
      <c r="I399">
        <v>73</v>
      </c>
      <c r="J399">
        <v>70.56</v>
      </c>
      <c r="K399" s="245">
        <v>-32.1</v>
      </c>
      <c r="L399" s="245">
        <v>15.15</v>
      </c>
      <c r="M399" s="245">
        <v>6127</v>
      </c>
      <c r="N399" s="257" t="s">
        <v>6830</v>
      </c>
    </row>
    <row r="400" spans="1:14">
      <c r="A400">
        <v>2455</v>
      </c>
      <c r="B400" t="s">
        <v>5120</v>
      </c>
      <c r="C400">
        <v>18.489999999999998</v>
      </c>
      <c r="D400">
        <v>60</v>
      </c>
      <c r="E400">
        <v>53</v>
      </c>
      <c r="F400">
        <v>-10</v>
      </c>
      <c r="G400">
        <v>-11</v>
      </c>
      <c r="H400">
        <v>29.28</v>
      </c>
      <c r="I400">
        <v>4</v>
      </c>
      <c r="J400">
        <v>4.62</v>
      </c>
      <c r="K400" s="245">
        <v>-44.8</v>
      </c>
      <c r="L400" s="245">
        <v>16.34</v>
      </c>
      <c r="M400" s="245">
        <v>3811.85</v>
      </c>
      <c r="N400" s="257" t="s">
        <v>6830</v>
      </c>
    </row>
    <row r="401" spans="1:14">
      <c r="A401">
        <v>2457</v>
      </c>
      <c r="B401" t="s">
        <v>5121</v>
      </c>
      <c r="C401">
        <v>37.520000000000003</v>
      </c>
      <c r="D401">
        <v>-102</v>
      </c>
      <c r="E401">
        <v>8</v>
      </c>
      <c r="F401">
        <v>-11</v>
      </c>
      <c r="G401">
        <v>0</v>
      </c>
      <c r="H401">
        <v>-2.76</v>
      </c>
      <c r="I401">
        <v>0</v>
      </c>
      <c r="J401">
        <v>-0.92</v>
      </c>
      <c r="K401" s="245">
        <v>-29.66</v>
      </c>
      <c r="L401" s="245">
        <v>20.54</v>
      </c>
      <c r="M401" s="245">
        <v>5246.15</v>
      </c>
      <c r="N401" s="257" t="s">
        <v>6831</v>
      </c>
    </row>
    <row r="402" spans="1:14">
      <c r="A402">
        <v>2458</v>
      </c>
      <c r="B402" t="s">
        <v>5122</v>
      </c>
      <c r="C402">
        <v>30.38</v>
      </c>
      <c r="D402">
        <v>57</v>
      </c>
      <c r="E402">
        <v>34</v>
      </c>
      <c r="F402">
        <v>-23</v>
      </c>
      <c r="G402">
        <v>-26</v>
      </c>
      <c r="H402">
        <v>30.91</v>
      </c>
      <c r="I402">
        <v>13.5</v>
      </c>
      <c r="J402">
        <v>17.64</v>
      </c>
      <c r="K402" s="245">
        <v>-33.64</v>
      </c>
      <c r="L402" s="245">
        <v>17.64</v>
      </c>
      <c r="M402" s="245">
        <v>1782.9</v>
      </c>
      <c r="N402" s="257" t="s">
        <v>6830</v>
      </c>
    </row>
    <row r="403" spans="1:14">
      <c r="A403">
        <v>2459</v>
      </c>
      <c r="B403" t="s">
        <v>5123</v>
      </c>
      <c r="C403">
        <v>10.55</v>
      </c>
      <c r="D403">
        <v>18</v>
      </c>
      <c r="E403">
        <v>12</v>
      </c>
      <c r="F403">
        <v>-8</v>
      </c>
      <c r="G403">
        <v>-13</v>
      </c>
      <c r="H403">
        <v>10.72</v>
      </c>
      <c r="I403">
        <v>3.5</v>
      </c>
      <c r="J403">
        <v>5.01</v>
      </c>
      <c r="K403" s="245">
        <v>-19.89</v>
      </c>
      <c r="L403" s="245">
        <v>9.2200000000000006</v>
      </c>
      <c r="M403" s="245">
        <v>129.85</v>
      </c>
      <c r="N403" s="257" t="s">
        <v>6830</v>
      </c>
    </row>
    <row r="404" spans="1:14">
      <c r="A404">
        <v>2460</v>
      </c>
      <c r="B404" t="s">
        <v>5124</v>
      </c>
      <c r="C404">
        <v>16.920000000000002</v>
      </c>
      <c r="D404">
        <v>672</v>
      </c>
      <c r="E404">
        <v>1217</v>
      </c>
      <c r="F404">
        <v>-19</v>
      </c>
      <c r="G404">
        <v>-32</v>
      </c>
      <c r="H404">
        <v>10.29</v>
      </c>
      <c r="I404">
        <v>0.3</v>
      </c>
      <c r="J404">
        <v>1.47</v>
      </c>
      <c r="K404" s="245">
        <v>-42.82</v>
      </c>
      <c r="L404" s="245">
        <v>18.52</v>
      </c>
      <c r="M404" s="245">
        <v>377.95</v>
      </c>
      <c r="N404" s="257" t="s">
        <v>6830</v>
      </c>
    </row>
    <row r="405" spans="1:14">
      <c r="A405">
        <v>2461</v>
      </c>
      <c r="B405" t="s">
        <v>5125</v>
      </c>
      <c r="C405">
        <v>16.38</v>
      </c>
      <c r="D405">
        <v>78</v>
      </c>
      <c r="E405">
        <v>-5</v>
      </c>
      <c r="F405">
        <v>-2</v>
      </c>
      <c r="G405">
        <v>6</v>
      </c>
      <c r="H405">
        <v>3.52</v>
      </c>
      <c r="I405">
        <v>1.74</v>
      </c>
      <c r="J405">
        <v>2.42</v>
      </c>
      <c r="K405" s="245">
        <v>-24.72</v>
      </c>
      <c r="L405" s="245">
        <v>8.8000000000000007</v>
      </c>
      <c r="M405" s="245">
        <v>492.95</v>
      </c>
      <c r="N405" s="257" t="s">
        <v>6830</v>
      </c>
    </row>
    <row r="406" spans="1:14">
      <c r="A406">
        <v>2462</v>
      </c>
      <c r="B406" t="s">
        <v>5126</v>
      </c>
      <c r="C406">
        <v>14.19</v>
      </c>
      <c r="D406">
        <v>-5</v>
      </c>
      <c r="E406">
        <v>-229</v>
      </c>
      <c r="F406">
        <v>0</v>
      </c>
      <c r="G406">
        <v>-7</v>
      </c>
      <c r="H406">
        <v>-2.95</v>
      </c>
      <c r="I406">
        <v>0.6</v>
      </c>
      <c r="J406">
        <v>0.83</v>
      </c>
      <c r="K406" s="245">
        <v>-34.08</v>
      </c>
      <c r="L406" s="245">
        <v>8.9600000000000009</v>
      </c>
      <c r="M406" s="245">
        <v>689.25</v>
      </c>
      <c r="N406" s="257" t="s">
        <v>6830</v>
      </c>
    </row>
    <row r="407" spans="1:14">
      <c r="A407">
        <v>2464</v>
      </c>
      <c r="B407" t="s">
        <v>5127</v>
      </c>
      <c r="C407">
        <v>19.55</v>
      </c>
      <c r="D407">
        <v>3</v>
      </c>
      <c r="E407">
        <v>3</v>
      </c>
      <c r="F407">
        <v>-3</v>
      </c>
      <c r="G407">
        <v>11</v>
      </c>
      <c r="H407">
        <v>7.01</v>
      </c>
      <c r="I407">
        <v>2.2000000000000002</v>
      </c>
      <c r="J407">
        <v>2.7</v>
      </c>
      <c r="K407" s="245">
        <v>-14.36</v>
      </c>
      <c r="L407" s="245">
        <v>22.8</v>
      </c>
      <c r="M407" s="245">
        <v>236.25</v>
      </c>
      <c r="N407" s="257" t="s">
        <v>6830</v>
      </c>
    </row>
    <row r="408" spans="1:14">
      <c r="A408">
        <v>2465</v>
      </c>
      <c r="B408" t="s">
        <v>5128</v>
      </c>
      <c r="C408">
        <v>5.35</v>
      </c>
      <c r="D408">
        <v>1653</v>
      </c>
      <c r="E408">
        <v>972</v>
      </c>
      <c r="F408">
        <v>-20</v>
      </c>
      <c r="G408">
        <v>-68</v>
      </c>
      <c r="H408">
        <v>6.27</v>
      </c>
      <c r="I408">
        <v>2</v>
      </c>
      <c r="J408">
        <v>8.1199999999999992</v>
      </c>
      <c r="K408" s="245">
        <v>-52.19</v>
      </c>
      <c r="L408" s="245">
        <v>9.43</v>
      </c>
      <c r="M408" s="245">
        <v>2742.85</v>
      </c>
      <c r="N408" s="257" t="s">
        <v>6830</v>
      </c>
    </row>
    <row r="409" spans="1:14">
      <c r="A409">
        <v>2466</v>
      </c>
      <c r="B409" t="s">
        <v>5129</v>
      </c>
      <c r="C409">
        <v>16.16</v>
      </c>
      <c r="D409">
        <v>762</v>
      </c>
      <c r="E409">
        <v>100</v>
      </c>
      <c r="F409">
        <v>39</v>
      </c>
      <c r="G409">
        <v>13</v>
      </c>
      <c r="H409">
        <v>0.05</v>
      </c>
      <c r="I409">
        <v>0.4</v>
      </c>
      <c r="J409">
        <v>0.35</v>
      </c>
      <c r="K409" s="245">
        <v>-30.96</v>
      </c>
      <c r="L409" s="245">
        <v>29.6</v>
      </c>
      <c r="M409" s="245">
        <v>69.95</v>
      </c>
      <c r="N409" s="257" t="s">
        <v>6830</v>
      </c>
    </row>
    <row r="410" spans="1:14">
      <c r="A410">
        <v>2467</v>
      </c>
      <c r="B410" t="s">
        <v>5130</v>
      </c>
      <c r="C410">
        <v>15.21</v>
      </c>
      <c r="D410">
        <v>50</v>
      </c>
      <c r="E410">
        <v>39</v>
      </c>
      <c r="F410">
        <v>-4</v>
      </c>
      <c r="G410">
        <v>-31</v>
      </c>
      <c r="H410">
        <v>12.93</v>
      </c>
      <c r="I410">
        <v>3.32</v>
      </c>
      <c r="J410">
        <v>4.3499999999999996</v>
      </c>
      <c r="K410" s="245">
        <v>-35.049999999999997</v>
      </c>
      <c r="L410" s="245">
        <v>15.51</v>
      </c>
      <c r="M410" s="245">
        <v>164.45</v>
      </c>
      <c r="N410" s="257" t="s">
        <v>6830</v>
      </c>
    </row>
    <row r="411" spans="1:14">
      <c r="A411">
        <v>2468</v>
      </c>
      <c r="B411" t="s">
        <v>5131</v>
      </c>
      <c r="C411">
        <v>6.99</v>
      </c>
      <c r="D411">
        <v>15</v>
      </c>
      <c r="E411">
        <v>12</v>
      </c>
      <c r="F411">
        <v>-24</v>
      </c>
      <c r="G411">
        <v>-32</v>
      </c>
      <c r="H411">
        <v>2.4700000000000002</v>
      </c>
      <c r="I411">
        <v>0.4</v>
      </c>
      <c r="J411">
        <v>0.64</v>
      </c>
      <c r="K411" s="245">
        <v>-13.71</v>
      </c>
      <c r="L411" s="245">
        <v>29.69</v>
      </c>
      <c r="M411" s="245">
        <v>45.05</v>
      </c>
      <c r="N411" s="257" t="s">
        <v>6830</v>
      </c>
    </row>
    <row r="412" spans="1:14">
      <c r="A412">
        <v>2471</v>
      </c>
      <c r="B412" t="s">
        <v>5132</v>
      </c>
      <c r="C412">
        <v>4.72</v>
      </c>
      <c r="D412">
        <v>17</v>
      </c>
      <c r="E412">
        <v>49</v>
      </c>
      <c r="F412">
        <v>7</v>
      </c>
      <c r="G412">
        <v>11</v>
      </c>
      <c r="H412">
        <v>15.42</v>
      </c>
      <c r="I412">
        <v>2.2400000000000002</v>
      </c>
      <c r="J412">
        <v>2.42</v>
      </c>
      <c r="K412" s="245">
        <v>-9.43</v>
      </c>
      <c r="L412" s="245">
        <v>46.88</v>
      </c>
      <c r="M412" s="245">
        <v>125.75</v>
      </c>
      <c r="N412" s="257" t="s">
        <v>6831</v>
      </c>
    </row>
    <row r="413" spans="1:14">
      <c r="A413">
        <v>2472</v>
      </c>
      <c r="B413" t="s">
        <v>5133</v>
      </c>
      <c r="C413">
        <v>16.34</v>
      </c>
      <c r="D413">
        <v>51</v>
      </c>
      <c r="E413">
        <v>39</v>
      </c>
      <c r="F413">
        <v>0</v>
      </c>
      <c r="G413">
        <v>17</v>
      </c>
      <c r="H413">
        <v>18.03</v>
      </c>
      <c r="I413">
        <v>3.2</v>
      </c>
      <c r="J413">
        <v>6.12</v>
      </c>
      <c r="K413" s="245">
        <v>-24.38</v>
      </c>
      <c r="L413" s="245">
        <v>29.02</v>
      </c>
      <c r="M413" s="245">
        <v>308.7</v>
      </c>
      <c r="N413" s="257" t="s">
        <v>6830</v>
      </c>
    </row>
    <row r="414" spans="1:14">
      <c r="A414">
        <v>2474</v>
      </c>
      <c r="B414" t="s">
        <v>5134</v>
      </c>
      <c r="C414">
        <v>72.97</v>
      </c>
      <c r="D414">
        <v>-59</v>
      </c>
      <c r="E414">
        <v>-41</v>
      </c>
      <c r="F414">
        <v>-58</v>
      </c>
      <c r="G414">
        <v>-70</v>
      </c>
      <c r="H414">
        <v>21.32</v>
      </c>
      <c r="I414">
        <v>10</v>
      </c>
      <c r="J414">
        <v>11.31</v>
      </c>
      <c r="K414" s="245">
        <v>-18.75</v>
      </c>
      <c r="L414" s="245">
        <v>71.53</v>
      </c>
      <c r="M414" s="245">
        <v>2237.6</v>
      </c>
      <c r="N414" s="257" t="s">
        <v>6830</v>
      </c>
    </row>
    <row r="415" spans="1:14">
      <c r="A415">
        <v>2476</v>
      </c>
      <c r="B415" t="s">
        <v>5135</v>
      </c>
      <c r="C415">
        <v>18.97</v>
      </c>
      <c r="D415">
        <v>110</v>
      </c>
      <c r="E415">
        <v>86</v>
      </c>
      <c r="F415">
        <v>-8</v>
      </c>
      <c r="G415">
        <v>-10</v>
      </c>
      <c r="H415">
        <v>15.62</v>
      </c>
      <c r="I415">
        <v>2.1</v>
      </c>
      <c r="J415">
        <v>3.49</v>
      </c>
      <c r="K415" s="245">
        <v>-41.87</v>
      </c>
      <c r="L415" s="245">
        <v>17.55</v>
      </c>
      <c r="M415" s="245">
        <v>1470.25</v>
      </c>
      <c r="N415" s="257" t="s">
        <v>6830</v>
      </c>
    </row>
    <row r="416" spans="1:14">
      <c r="A416">
        <v>2477</v>
      </c>
      <c r="B416" t="s">
        <v>5136</v>
      </c>
      <c r="C416">
        <v>19.82</v>
      </c>
      <c r="D416">
        <v>823</v>
      </c>
      <c r="E416">
        <v>-119</v>
      </c>
      <c r="F416">
        <v>31</v>
      </c>
      <c r="G416">
        <v>25</v>
      </c>
      <c r="H416">
        <v>-0.73</v>
      </c>
      <c r="I416">
        <v>1</v>
      </c>
      <c r="J416">
        <v>8.27</v>
      </c>
      <c r="K416" s="245">
        <v>-35.32</v>
      </c>
      <c r="L416" s="245">
        <v>8.92</v>
      </c>
      <c r="M416" s="245">
        <v>253.9</v>
      </c>
      <c r="N416" s="257" t="s">
        <v>6830</v>
      </c>
    </row>
    <row r="417" spans="1:14">
      <c r="A417">
        <v>2478</v>
      </c>
      <c r="B417" t="s">
        <v>5137</v>
      </c>
      <c r="C417">
        <v>14.47</v>
      </c>
      <c r="D417">
        <v>42</v>
      </c>
      <c r="E417">
        <v>53</v>
      </c>
      <c r="F417">
        <v>-12</v>
      </c>
      <c r="G417">
        <v>-14</v>
      </c>
      <c r="H417">
        <v>18.66</v>
      </c>
      <c r="I417">
        <v>4</v>
      </c>
      <c r="J417">
        <v>6.6</v>
      </c>
      <c r="K417" s="245">
        <v>-32.619999999999997</v>
      </c>
      <c r="L417" s="245">
        <v>21.27</v>
      </c>
      <c r="M417" s="245">
        <v>246.05</v>
      </c>
      <c r="N417" s="257" t="s">
        <v>6830</v>
      </c>
    </row>
    <row r="418" spans="1:14">
      <c r="A418">
        <v>2480</v>
      </c>
      <c r="B418" t="s">
        <v>5138</v>
      </c>
      <c r="C418">
        <v>10.63</v>
      </c>
      <c r="D418">
        <v>28</v>
      </c>
      <c r="E418">
        <v>39</v>
      </c>
      <c r="F418">
        <v>-3</v>
      </c>
      <c r="G418">
        <v>15</v>
      </c>
      <c r="H418">
        <v>11.56</v>
      </c>
      <c r="I418">
        <v>5.62</v>
      </c>
      <c r="J418">
        <v>6</v>
      </c>
      <c r="K418" s="245">
        <v>-10.44</v>
      </c>
      <c r="L418" s="245">
        <v>25.39</v>
      </c>
      <c r="M418" s="245">
        <v>175.7</v>
      </c>
      <c r="N418" s="257" t="s">
        <v>6832</v>
      </c>
    </row>
    <row r="419" spans="1:14">
      <c r="A419">
        <v>2481</v>
      </c>
      <c r="B419" t="s">
        <v>5139</v>
      </c>
      <c r="C419">
        <v>38.28</v>
      </c>
      <c r="D419">
        <v>119</v>
      </c>
      <c r="E419">
        <v>130</v>
      </c>
      <c r="F419">
        <v>-12</v>
      </c>
      <c r="G419">
        <v>-1</v>
      </c>
      <c r="H419">
        <v>16.52</v>
      </c>
      <c r="I419">
        <v>3</v>
      </c>
      <c r="J419">
        <v>5.66</v>
      </c>
      <c r="K419" s="245">
        <v>-37.28</v>
      </c>
      <c r="L419" s="245">
        <v>19.05</v>
      </c>
      <c r="M419" s="245">
        <v>15012.4</v>
      </c>
      <c r="N419" s="257" t="s">
        <v>6830</v>
      </c>
    </row>
    <row r="420" spans="1:14">
      <c r="A420">
        <v>2482</v>
      </c>
      <c r="B420" t="s">
        <v>5140</v>
      </c>
      <c r="C420">
        <v>6.96</v>
      </c>
      <c r="D420">
        <v>121</v>
      </c>
      <c r="E420">
        <v>99</v>
      </c>
      <c r="F420">
        <v>126</v>
      </c>
      <c r="G420">
        <v>93</v>
      </c>
      <c r="H420">
        <v>-0.03</v>
      </c>
      <c r="I420">
        <v>0</v>
      </c>
      <c r="J420">
        <v>0.11</v>
      </c>
      <c r="K420" s="245">
        <v>-16.71</v>
      </c>
      <c r="L420" s="245">
        <v>56.59</v>
      </c>
      <c r="M420" s="245">
        <v>1636</v>
      </c>
      <c r="N420" s="257" t="s">
        <v>6831</v>
      </c>
    </row>
    <row r="421" spans="1:14">
      <c r="A421">
        <v>2483</v>
      </c>
      <c r="B421" t="s">
        <v>5141</v>
      </c>
      <c r="C421">
        <v>10.9</v>
      </c>
      <c r="D421">
        <v>83</v>
      </c>
      <c r="E421">
        <v>-49</v>
      </c>
      <c r="F421">
        <v>8</v>
      </c>
      <c r="G421">
        <v>29</v>
      </c>
      <c r="H421">
        <v>0.54</v>
      </c>
      <c r="I421">
        <v>1</v>
      </c>
      <c r="J421">
        <v>1.4</v>
      </c>
      <c r="K421" s="245">
        <v>-27.34</v>
      </c>
      <c r="L421" s="245">
        <v>35.65</v>
      </c>
      <c r="M421" s="245">
        <v>98.7</v>
      </c>
      <c r="N421" s="257" t="s">
        <v>6830</v>
      </c>
    </row>
    <row r="422" spans="1:14">
      <c r="A422">
        <v>2484</v>
      </c>
      <c r="B422" t="s">
        <v>5142</v>
      </c>
      <c r="C422">
        <v>15.94</v>
      </c>
      <c r="D422">
        <v>150</v>
      </c>
      <c r="E422">
        <v>155</v>
      </c>
      <c r="F422">
        <v>5</v>
      </c>
      <c r="G422">
        <v>16</v>
      </c>
      <c r="H422">
        <v>15.95</v>
      </c>
      <c r="I422">
        <v>1.5</v>
      </c>
      <c r="J422">
        <v>2.54</v>
      </c>
      <c r="K422" s="245">
        <v>-22.89</v>
      </c>
      <c r="L422" s="245">
        <v>64.010000000000005</v>
      </c>
      <c r="M422" s="245">
        <v>5138.5</v>
      </c>
      <c r="N422" s="257" t="s">
        <v>6831</v>
      </c>
    </row>
    <row r="423" spans="1:14">
      <c r="A423">
        <v>2485</v>
      </c>
      <c r="B423" t="s">
        <v>5143</v>
      </c>
      <c r="C423">
        <v>31.76</v>
      </c>
      <c r="D423">
        <v>-137</v>
      </c>
      <c r="E423">
        <v>-90</v>
      </c>
      <c r="F423">
        <v>-22</v>
      </c>
      <c r="G423">
        <v>-21</v>
      </c>
      <c r="H423">
        <v>-7.85</v>
      </c>
      <c r="I423">
        <v>0</v>
      </c>
      <c r="J423">
        <v>-1.1100000000000001</v>
      </c>
      <c r="K423" s="245">
        <v>-34.08</v>
      </c>
      <c r="L423" s="245">
        <v>14.2</v>
      </c>
      <c r="M423" s="245">
        <v>655.7</v>
      </c>
      <c r="N423" s="257" t="s">
        <v>6830</v>
      </c>
    </row>
    <row r="424" spans="1:14">
      <c r="A424">
        <v>2486</v>
      </c>
      <c r="B424" t="s">
        <v>5144</v>
      </c>
      <c r="C424">
        <v>22.19</v>
      </c>
      <c r="D424">
        <v>344</v>
      </c>
      <c r="E424">
        <v>1235</v>
      </c>
      <c r="F424">
        <v>-2</v>
      </c>
      <c r="G424">
        <v>-1</v>
      </c>
      <c r="H424">
        <v>8.92</v>
      </c>
      <c r="I424">
        <v>0.5</v>
      </c>
      <c r="J424">
        <v>1.79</v>
      </c>
      <c r="K424" s="245">
        <v>-47.11</v>
      </c>
      <c r="L424" s="245">
        <v>15.57</v>
      </c>
      <c r="M424" s="245">
        <v>1684</v>
      </c>
      <c r="N424" s="257" t="s">
        <v>6830</v>
      </c>
    </row>
    <row r="425" spans="1:14">
      <c r="A425">
        <v>2488</v>
      </c>
      <c r="B425" t="s">
        <v>5145</v>
      </c>
      <c r="C425">
        <v>7.99</v>
      </c>
      <c r="D425">
        <v>-22</v>
      </c>
      <c r="E425">
        <v>-10</v>
      </c>
      <c r="F425">
        <v>69</v>
      </c>
      <c r="G425">
        <v>34</v>
      </c>
      <c r="H425">
        <v>6.34</v>
      </c>
      <c r="I425">
        <v>1.2</v>
      </c>
      <c r="J425">
        <v>1.79</v>
      </c>
      <c r="K425" s="245">
        <v>-18.79</v>
      </c>
      <c r="L425" s="245">
        <v>26.93</v>
      </c>
      <c r="M425" s="245">
        <v>35.6</v>
      </c>
      <c r="N425" s="257" t="s">
        <v>6830</v>
      </c>
    </row>
    <row r="426" spans="1:14">
      <c r="A426">
        <v>2489</v>
      </c>
      <c r="B426" t="s">
        <v>5146</v>
      </c>
      <c r="C426">
        <v>76</v>
      </c>
      <c r="D426">
        <v>781</v>
      </c>
      <c r="E426">
        <v>40</v>
      </c>
      <c r="F426">
        <v>-37</v>
      </c>
      <c r="G426">
        <v>-29</v>
      </c>
      <c r="H426">
        <v>-1.48</v>
      </c>
      <c r="I426">
        <v>1.25</v>
      </c>
      <c r="J426">
        <v>6.3</v>
      </c>
      <c r="K426" s="245">
        <v>-37.869999999999997</v>
      </c>
      <c r="L426" s="245">
        <v>18.88</v>
      </c>
      <c r="M426" s="245">
        <v>2550.4</v>
      </c>
      <c r="N426" s="257" t="s">
        <v>6830</v>
      </c>
    </row>
    <row r="427" spans="1:14">
      <c r="A427">
        <v>2491</v>
      </c>
      <c r="B427" t="s">
        <v>5147</v>
      </c>
      <c r="C427">
        <v>8.1999999999999993</v>
      </c>
      <c r="D427">
        <v>-41</v>
      </c>
      <c r="E427">
        <v>-14</v>
      </c>
      <c r="F427">
        <v>60</v>
      </c>
      <c r="G427">
        <v>-108</v>
      </c>
      <c r="H427">
        <v>34.479999999999997</v>
      </c>
      <c r="I427">
        <v>0.1</v>
      </c>
      <c r="J427">
        <v>0.63</v>
      </c>
      <c r="K427" s="245">
        <v>-65.069999999999993</v>
      </c>
      <c r="L427" s="245">
        <v>7.17</v>
      </c>
      <c r="M427" s="245">
        <v>153.80000000000001</v>
      </c>
      <c r="N427" s="257" t="s">
        <v>6830</v>
      </c>
    </row>
    <row r="428" spans="1:14">
      <c r="A428">
        <v>2492</v>
      </c>
      <c r="B428" t="s">
        <v>5148</v>
      </c>
      <c r="C428">
        <v>48.58</v>
      </c>
      <c r="D428">
        <v>24</v>
      </c>
      <c r="E428">
        <v>6</v>
      </c>
      <c r="F428">
        <v>0</v>
      </c>
      <c r="G428">
        <v>-10</v>
      </c>
      <c r="H428">
        <v>19.95</v>
      </c>
      <c r="I428">
        <v>4.5</v>
      </c>
      <c r="J428">
        <v>16.350000000000001</v>
      </c>
      <c r="K428" s="245">
        <v>-53.19</v>
      </c>
      <c r="L428" s="245">
        <v>7.11</v>
      </c>
      <c r="M428" s="245">
        <v>2450.6999999999998</v>
      </c>
      <c r="N428" s="257" t="s">
        <v>6830</v>
      </c>
    </row>
    <row r="429" spans="1:14">
      <c r="A429">
        <v>2493</v>
      </c>
      <c r="B429" t="s">
        <v>5149</v>
      </c>
      <c r="C429">
        <v>11.44</v>
      </c>
      <c r="D429">
        <v>11</v>
      </c>
      <c r="E429">
        <v>14</v>
      </c>
      <c r="F429">
        <v>-21</v>
      </c>
      <c r="G429">
        <v>8</v>
      </c>
      <c r="H429">
        <v>15.43</v>
      </c>
      <c r="I429">
        <v>2.75</v>
      </c>
      <c r="J429">
        <v>3</v>
      </c>
      <c r="K429" s="245">
        <v>-3.4</v>
      </c>
      <c r="L429" s="245">
        <v>54.61</v>
      </c>
      <c r="M429" s="245">
        <v>144.80000000000001</v>
      </c>
      <c r="N429" s="257" t="s">
        <v>6832</v>
      </c>
    </row>
    <row r="430" spans="1:14">
      <c r="A430">
        <v>2495</v>
      </c>
      <c r="B430" t="s">
        <v>5150</v>
      </c>
      <c r="C430">
        <v>27.35</v>
      </c>
      <c r="D430">
        <v>323</v>
      </c>
      <c r="E430">
        <v>186</v>
      </c>
      <c r="F430">
        <v>-19</v>
      </c>
      <c r="G430">
        <v>-9</v>
      </c>
      <c r="H430">
        <v>2.19</v>
      </c>
      <c r="I430">
        <v>0.4</v>
      </c>
      <c r="J430">
        <v>0.53</v>
      </c>
      <c r="K430" s="245">
        <v>-35.270000000000003</v>
      </c>
      <c r="L430" s="245">
        <v>23.55</v>
      </c>
      <c r="M430" s="245">
        <v>458.65</v>
      </c>
      <c r="N430" s="257" t="s">
        <v>6830</v>
      </c>
    </row>
    <row r="431" spans="1:14">
      <c r="A431">
        <v>2496</v>
      </c>
      <c r="B431" t="s">
        <v>5151</v>
      </c>
      <c r="C431">
        <v>1.91</v>
      </c>
      <c r="D431">
        <v>-10</v>
      </c>
      <c r="E431">
        <v>7</v>
      </c>
      <c r="F431">
        <v>-1</v>
      </c>
      <c r="G431">
        <v>0</v>
      </c>
      <c r="H431">
        <v>11.66</v>
      </c>
      <c r="I431">
        <v>3</v>
      </c>
      <c r="J431">
        <v>3.02</v>
      </c>
      <c r="K431" s="245">
        <v>-18.510000000000002</v>
      </c>
      <c r="L431" s="245">
        <v>28.61</v>
      </c>
      <c r="M431" s="245">
        <v>10.3</v>
      </c>
      <c r="N431" s="257" t="s">
        <v>6830</v>
      </c>
    </row>
    <row r="432" spans="1:14">
      <c r="A432">
        <v>2497</v>
      </c>
      <c r="B432" t="s">
        <v>5152</v>
      </c>
      <c r="C432">
        <v>11.87</v>
      </c>
      <c r="D432">
        <v>217</v>
      </c>
      <c r="E432">
        <v>294</v>
      </c>
      <c r="F432">
        <v>-29</v>
      </c>
      <c r="G432">
        <v>3</v>
      </c>
      <c r="H432">
        <v>6.92</v>
      </c>
      <c r="I432">
        <v>0</v>
      </c>
      <c r="J432">
        <v>0.81</v>
      </c>
      <c r="K432" s="245">
        <v>-36.17</v>
      </c>
      <c r="L432" s="245">
        <v>14.91</v>
      </c>
      <c r="M432" s="245">
        <v>6840.1</v>
      </c>
      <c r="N432" s="257" t="s">
        <v>6831</v>
      </c>
    </row>
    <row r="433" spans="1:14">
      <c r="A433">
        <v>2498</v>
      </c>
      <c r="B433" t="s">
        <v>5153</v>
      </c>
      <c r="C433">
        <v>82.49</v>
      </c>
      <c r="D433">
        <v>48</v>
      </c>
      <c r="E433">
        <v>35</v>
      </c>
      <c r="F433">
        <v>-50</v>
      </c>
      <c r="G433">
        <v>-44</v>
      </c>
      <c r="H433">
        <v>-78.36</v>
      </c>
      <c r="I433">
        <v>0</v>
      </c>
      <c r="J433">
        <v>-3.75</v>
      </c>
      <c r="K433" s="245">
        <v>-53.03</v>
      </c>
      <c r="L433" s="245">
        <v>9.0299999999999994</v>
      </c>
      <c r="M433" s="245">
        <v>13814.55</v>
      </c>
      <c r="N433" s="257" t="s">
        <v>6830</v>
      </c>
    </row>
    <row r="434" spans="1:14">
      <c r="A434">
        <v>2501</v>
      </c>
      <c r="B434" t="s">
        <v>5154</v>
      </c>
      <c r="C434">
        <v>115</v>
      </c>
      <c r="D434">
        <v>-44</v>
      </c>
      <c r="E434">
        <v>-43</v>
      </c>
      <c r="F434">
        <v>46</v>
      </c>
      <c r="G434">
        <v>3</v>
      </c>
      <c r="H434">
        <v>7.02</v>
      </c>
      <c r="I434">
        <v>0.6</v>
      </c>
      <c r="J434">
        <v>0.73</v>
      </c>
      <c r="K434" s="245">
        <v>-13.74</v>
      </c>
      <c r="L434" s="245">
        <v>28.36</v>
      </c>
      <c r="M434" s="245">
        <v>393.1</v>
      </c>
      <c r="N434" s="257" t="s">
        <v>6830</v>
      </c>
    </row>
    <row r="435" spans="1:14">
      <c r="A435">
        <v>2504</v>
      </c>
      <c r="B435" t="s">
        <v>5155</v>
      </c>
      <c r="C435">
        <v>118</v>
      </c>
      <c r="D435">
        <v>14</v>
      </c>
      <c r="E435">
        <v>39</v>
      </c>
      <c r="F435">
        <v>-3</v>
      </c>
      <c r="G435">
        <v>-7</v>
      </c>
      <c r="H435">
        <v>14.88</v>
      </c>
      <c r="I435">
        <v>1.8</v>
      </c>
      <c r="J435">
        <v>2.42</v>
      </c>
      <c r="K435" s="245">
        <v>-18.78</v>
      </c>
      <c r="L435" s="245">
        <v>39.39</v>
      </c>
      <c r="M435" s="245">
        <v>5902.45</v>
      </c>
      <c r="N435" s="257" t="s">
        <v>6831</v>
      </c>
    </row>
    <row r="436" spans="1:14">
      <c r="A436">
        <v>2505</v>
      </c>
      <c r="B436" t="s">
        <v>5156</v>
      </c>
      <c r="C436">
        <v>38</v>
      </c>
      <c r="D436">
        <v>-80</v>
      </c>
      <c r="E436">
        <v>-81</v>
      </c>
      <c r="F436">
        <v>-84</v>
      </c>
      <c r="G436">
        <v>-82</v>
      </c>
      <c r="H436">
        <v>18.350000000000001</v>
      </c>
      <c r="I436">
        <v>0</v>
      </c>
      <c r="J436">
        <v>2.58</v>
      </c>
      <c r="K436" s="245">
        <v>-40.06</v>
      </c>
      <c r="L436" s="245">
        <v>7.78</v>
      </c>
      <c r="M436" s="245">
        <v>247.35</v>
      </c>
      <c r="N436" s="257" t="s">
        <v>6830</v>
      </c>
    </row>
    <row r="437" spans="1:14">
      <c r="A437">
        <v>2506</v>
      </c>
      <c r="B437" t="s">
        <v>5157</v>
      </c>
      <c r="C437">
        <v>38.700000000000003</v>
      </c>
      <c r="D437">
        <v>213</v>
      </c>
      <c r="E437">
        <v>563</v>
      </c>
      <c r="F437">
        <v>-25</v>
      </c>
      <c r="G437">
        <v>-55</v>
      </c>
      <c r="H437">
        <v>6.54</v>
      </c>
      <c r="I437">
        <v>0.1</v>
      </c>
      <c r="J437">
        <v>0.13</v>
      </c>
      <c r="K437" s="245">
        <v>-12.39</v>
      </c>
      <c r="L437" s="245">
        <v>40.08</v>
      </c>
      <c r="M437" s="245">
        <v>660.1</v>
      </c>
      <c r="N437" s="257" t="s">
        <v>6831</v>
      </c>
    </row>
    <row r="438" spans="1:14">
      <c r="A438">
        <v>2509</v>
      </c>
      <c r="B438" t="s">
        <v>5158</v>
      </c>
      <c r="C438">
        <v>22.45</v>
      </c>
      <c r="D438">
        <v>-81</v>
      </c>
      <c r="E438">
        <v>-74</v>
      </c>
      <c r="F438">
        <v>0</v>
      </c>
      <c r="G438">
        <v>-83</v>
      </c>
      <c r="H438">
        <v>10.8</v>
      </c>
      <c r="I438">
        <v>0</v>
      </c>
      <c r="J438">
        <v>0.2</v>
      </c>
      <c r="K438" s="245">
        <v>-32.119999999999997</v>
      </c>
      <c r="L438" s="245">
        <v>12.79</v>
      </c>
      <c r="M438" s="245">
        <v>213.8</v>
      </c>
      <c r="N438" s="257" t="s">
        <v>6830</v>
      </c>
    </row>
    <row r="439" spans="1:14">
      <c r="A439">
        <v>2511</v>
      </c>
      <c r="B439" t="s">
        <v>5159</v>
      </c>
      <c r="C439">
        <v>162</v>
      </c>
      <c r="D439">
        <v>100</v>
      </c>
      <c r="E439">
        <v>485</v>
      </c>
      <c r="F439">
        <v>-17</v>
      </c>
      <c r="G439">
        <v>29</v>
      </c>
      <c r="H439">
        <v>8.0399999999999991</v>
      </c>
      <c r="I439">
        <v>0.5</v>
      </c>
      <c r="J439">
        <v>0.95</v>
      </c>
      <c r="K439" s="245">
        <v>-17.809999999999999</v>
      </c>
      <c r="L439" s="245">
        <v>17.12</v>
      </c>
      <c r="M439" s="245">
        <v>796.75</v>
      </c>
      <c r="N439" s="257" t="s">
        <v>6830</v>
      </c>
    </row>
    <row r="440" spans="1:14">
      <c r="A440">
        <v>2514</v>
      </c>
      <c r="B440" t="s">
        <v>5160</v>
      </c>
      <c r="C440">
        <v>39.47</v>
      </c>
      <c r="D440">
        <v>-19</v>
      </c>
      <c r="E440">
        <v>-3</v>
      </c>
      <c r="F440">
        <v>-1</v>
      </c>
      <c r="G440">
        <v>14</v>
      </c>
      <c r="H440">
        <v>2.85</v>
      </c>
      <c r="I440">
        <v>0</v>
      </c>
      <c r="J440">
        <v>2.4500000000000002</v>
      </c>
      <c r="K440" s="245">
        <v>-14.14</v>
      </c>
      <c r="L440" s="245">
        <v>20.420000000000002</v>
      </c>
      <c r="M440" s="245">
        <v>84.75</v>
      </c>
      <c r="N440" s="257" t="s">
        <v>6830</v>
      </c>
    </row>
    <row r="441" spans="1:14">
      <c r="A441">
        <v>2515</v>
      </c>
      <c r="B441" t="s">
        <v>5161</v>
      </c>
      <c r="C441">
        <v>153</v>
      </c>
      <c r="D441">
        <v>344</v>
      </c>
      <c r="E441">
        <v>-195</v>
      </c>
      <c r="F441">
        <v>-12</v>
      </c>
      <c r="G441">
        <v>-29</v>
      </c>
      <c r="H441">
        <v>-2.09</v>
      </c>
      <c r="I441">
        <v>0.53</v>
      </c>
      <c r="J441">
        <v>1.75</v>
      </c>
      <c r="K441" s="245">
        <v>-14.72</v>
      </c>
      <c r="L441" s="245">
        <v>30.06</v>
      </c>
      <c r="M441" s="245">
        <v>5980.1</v>
      </c>
      <c r="N441" s="257" t="s">
        <v>6831</v>
      </c>
    </row>
    <row r="442" spans="1:14">
      <c r="A442">
        <v>2516</v>
      </c>
      <c r="B442" t="s">
        <v>6453</v>
      </c>
      <c r="C442">
        <v>22.62</v>
      </c>
      <c r="D442">
        <v>114</v>
      </c>
      <c r="E442">
        <v>106</v>
      </c>
      <c r="F442">
        <v>30</v>
      </c>
      <c r="G442">
        <v>-16</v>
      </c>
      <c r="H442">
        <v>0.72</v>
      </c>
      <c r="I442">
        <v>0</v>
      </c>
      <c r="J442">
        <v>0.47</v>
      </c>
      <c r="K442" s="245">
        <v>-26.01</v>
      </c>
      <c r="L442" s="245">
        <v>8.2899999999999991</v>
      </c>
      <c r="M442" s="245">
        <v>265.25</v>
      </c>
      <c r="N442" s="257" t="s">
        <v>6830</v>
      </c>
    </row>
    <row r="443" spans="1:14">
      <c r="A443">
        <v>2520</v>
      </c>
      <c r="B443" t="s">
        <v>5162</v>
      </c>
      <c r="C443">
        <v>55.41</v>
      </c>
      <c r="D443">
        <v>4</v>
      </c>
      <c r="E443">
        <v>0</v>
      </c>
      <c r="F443">
        <v>-1</v>
      </c>
      <c r="G443">
        <v>23</v>
      </c>
      <c r="H443">
        <v>20.5</v>
      </c>
      <c r="I443">
        <v>2.5</v>
      </c>
      <c r="J443">
        <v>6.47</v>
      </c>
      <c r="K443" s="245">
        <v>-23.68</v>
      </c>
      <c r="L443" s="245">
        <v>17.84</v>
      </c>
      <c r="M443" s="245">
        <v>803.9</v>
      </c>
      <c r="N443" s="257" t="s">
        <v>6830</v>
      </c>
    </row>
    <row r="444" spans="1:14">
      <c r="A444">
        <v>2524</v>
      </c>
      <c r="B444" t="s">
        <v>5163</v>
      </c>
      <c r="C444">
        <v>37.17</v>
      </c>
      <c r="D444">
        <v>0</v>
      </c>
      <c r="E444">
        <v>-4</v>
      </c>
      <c r="F444">
        <v>41</v>
      </c>
      <c r="G444">
        <v>-31</v>
      </c>
      <c r="H444">
        <v>31.15</v>
      </c>
      <c r="I444">
        <v>0</v>
      </c>
      <c r="J444">
        <v>4.54</v>
      </c>
      <c r="K444" s="245">
        <v>-34.39</v>
      </c>
      <c r="L444" s="245">
        <v>33.81</v>
      </c>
      <c r="M444" s="245">
        <v>137.85</v>
      </c>
      <c r="N444" s="257" t="s">
        <v>6830</v>
      </c>
    </row>
    <row r="445" spans="1:14">
      <c r="A445">
        <v>2527</v>
      </c>
      <c r="B445" t="s">
        <v>5164</v>
      </c>
      <c r="C445">
        <v>27.03</v>
      </c>
      <c r="D445">
        <v>329</v>
      </c>
      <c r="E445">
        <v>236</v>
      </c>
      <c r="F445">
        <v>49</v>
      </c>
      <c r="G445">
        <v>-50</v>
      </c>
      <c r="H445">
        <v>25.06</v>
      </c>
      <c r="I445">
        <v>3</v>
      </c>
      <c r="J445">
        <v>6.19</v>
      </c>
      <c r="K445" s="245">
        <v>-25.25</v>
      </c>
      <c r="L445" s="245">
        <v>9.5399999999999991</v>
      </c>
      <c r="M445" s="245">
        <v>296.64999999999998</v>
      </c>
      <c r="N445" s="257" t="s">
        <v>6830</v>
      </c>
    </row>
    <row r="446" spans="1:14">
      <c r="A446">
        <v>2528</v>
      </c>
      <c r="B446" t="s">
        <v>5165</v>
      </c>
      <c r="C446">
        <v>37.99</v>
      </c>
      <c r="D446">
        <v>332</v>
      </c>
      <c r="E446">
        <v>374</v>
      </c>
      <c r="F446">
        <v>-43</v>
      </c>
      <c r="G446">
        <v>130</v>
      </c>
      <c r="H446">
        <v>17.77</v>
      </c>
      <c r="I446">
        <v>0.47</v>
      </c>
      <c r="J446">
        <v>1.49</v>
      </c>
      <c r="K446" s="245">
        <v>-19.350000000000001</v>
      </c>
      <c r="L446" s="245">
        <v>16.43</v>
      </c>
      <c r="M446" s="245">
        <v>57.65</v>
      </c>
      <c r="N446" s="257" t="s">
        <v>6830</v>
      </c>
    </row>
    <row r="447" spans="1:14">
      <c r="A447">
        <v>2530</v>
      </c>
      <c r="B447" t="s">
        <v>5166</v>
      </c>
      <c r="C447">
        <v>83.99</v>
      </c>
      <c r="D447">
        <v>-26</v>
      </c>
      <c r="E447">
        <v>-36</v>
      </c>
      <c r="F447">
        <v>-38</v>
      </c>
      <c r="G447">
        <v>18740</v>
      </c>
      <c r="H447">
        <v>-997.9</v>
      </c>
      <c r="I447">
        <v>0</v>
      </c>
      <c r="J447">
        <v>-0.2</v>
      </c>
      <c r="K447" s="245">
        <v>-8.57</v>
      </c>
      <c r="L447" s="245">
        <v>24.38</v>
      </c>
      <c r="M447" s="245">
        <v>422.9</v>
      </c>
      <c r="N447" s="257" t="s">
        <v>6831</v>
      </c>
    </row>
    <row r="448" spans="1:14">
      <c r="A448">
        <v>2534</v>
      </c>
      <c r="B448" t="s">
        <v>5167</v>
      </c>
      <c r="C448">
        <v>47.42</v>
      </c>
      <c r="D448">
        <v>38</v>
      </c>
      <c r="E448">
        <v>41</v>
      </c>
      <c r="F448">
        <v>-54</v>
      </c>
      <c r="G448">
        <v>43</v>
      </c>
      <c r="H448">
        <v>26.69</v>
      </c>
      <c r="I448">
        <v>1.2</v>
      </c>
      <c r="J448">
        <v>1.78</v>
      </c>
      <c r="K448" s="245">
        <v>-5.47</v>
      </c>
      <c r="L448" s="245">
        <v>56.38</v>
      </c>
      <c r="M448" s="245">
        <v>931.65</v>
      </c>
      <c r="N448" s="257" t="s">
        <v>6832</v>
      </c>
    </row>
    <row r="449" spans="1:14">
      <c r="A449">
        <v>2535</v>
      </c>
      <c r="B449" t="s">
        <v>5168</v>
      </c>
      <c r="C449">
        <v>33.840000000000003</v>
      </c>
      <c r="D449">
        <v>7</v>
      </c>
      <c r="E449">
        <v>14</v>
      </c>
      <c r="F449">
        <v>29</v>
      </c>
      <c r="G449">
        <v>30</v>
      </c>
      <c r="H449">
        <v>9.89</v>
      </c>
      <c r="I449">
        <v>2.5</v>
      </c>
      <c r="J449">
        <v>3.78</v>
      </c>
      <c r="K449" s="245">
        <v>-12.88</v>
      </c>
      <c r="L449" s="245">
        <v>20.94</v>
      </c>
      <c r="M449" s="245">
        <v>530.54999999999995</v>
      </c>
      <c r="N449" s="257" t="s">
        <v>6831</v>
      </c>
    </row>
    <row r="450" spans="1:14">
      <c r="A450">
        <v>2536</v>
      </c>
      <c r="B450" t="s">
        <v>5169</v>
      </c>
      <c r="C450">
        <v>33.28</v>
      </c>
      <c r="D450">
        <v>-105</v>
      </c>
      <c r="E450">
        <v>-92</v>
      </c>
      <c r="F450">
        <v>0</v>
      </c>
      <c r="G450">
        <v>-43</v>
      </c>
      <c r="H450">
        <v>20.18</v>
      </c>
      <c r="I450">
        <v>0</v>
      </c>
      <c r="J450">
        <v>-0.1</v>
      </c>
      <c r="K450" s="245">
        <v>-13.19</v>
      </c>
      <c r="L450" s="245">
        <v>8.33</v>
      </c>
      <c r="M450" s="245">
        <v>208.45</v>
      </c>
      <c r="N450" s="257" t="s">
        <v>6830</v>
      </c>
    </row>
    <row r="451" spans="1:14">
      <c r="A451">
        <v>2537</v>
      </c>
      <c r="B451" t="s">
        <v>5170</v>
      </c>
      <c r="C451">
        <v>30.05</v>
      </c>
      <c r="D451">
        <v>135</v>
      </c>
      <c r="E451">
        <v>146</v>
      </c>
      <c r="F451">
        <v>-79</v>
      </c>
      <c r="G451">
        <v>131564</v>
      </c>
      <c r="H451">
        <v>22.32</v>
      </c>
      <c r="I451">
        <v>0.9</v>
      </c>
      <c r="J451">
        <v>1.38</v>
      </c>
      <c r="K451" s="245">
        <v>-19.739999999999998</v>
      </c>
      <c r="L451" s="245">
        <v>29.05</v>
      </c>
      <c r="M451" s="245">
        <v>3823.3</v>
      </c>
      <c r="N451" s="257" t="s">
        <v>6830</v>
      </c>
    </row>
    <row r="452" spans="1:14">
      <c r="A452">
        <v>2538</v>
      </c>
      <c r="B452" t="s">
        <v>5171</v>
      </c>
      <c r="C452">
        <v>43.84</v>
      </c>
      <c r="D452">
        <v>2</v>
      </c>
      <c r="E452">
        <v>-15</v>
      </c>
      <c r="F452">
        <v>40</v>
      </c>
      <c r="G452">
        <v>98</v>
      </c>
      <c r="H452">
        <v>-11.7</v>
      </c>
      <c r="I452">
        <v>0.5</v>
      </c>
      <c r="J452">
        <v>-0.31</v>
      </c>
      <c r="K452" s="245">
        <v>-18.670000000000002</v>
      </c>
      <c r="L452" s="245">
        <v>38.72</v>
      </c>
      <c r="M452" s="245">
        <v>1019.4</v>
      </c>
      <c r="N452" s="257" t="s">
        <v>6831</v>
      </c>
    </row>
    <row r="453" spans="1:14">
      <c r="A453">
        <v>2539</v>
      </c>
      <c r="B453" t="s">
        <v>5172</v>
      </c>
      <c r="C453">
        <v>64.47</v>
      </c>
      <c r="D453">
        <v>-8</v>
      </c>
      <c r="E453">
        <v>-6</v>
      </c>
      <c r="F453">
        <v>0</v>
      </c>
      <c r="G453">
        <v>974095</v>
      </c>
      <c r="H453">
        <v>23.03</v>
      </c>
      <c r="I453">
        <v>1.6</v>
      </c>
      <c r="J453">
        <v>1.18</v>
      </c>
      <c r="K453" s="245">
        <v>-10.54</v>
      </c>
      <c r="L453" s="245">
        <v>45.86</v>
      </c>
      <c r="M453" s="245">
        <v>213.55</v>
      </c>
      <c r="N453" s="257" t="s">
        <v>6830</v>
      </c>
    </row>
    <row r="454" spans="1:14">
      <c r="A454">
        <v>2540</v>
      </c>
      <c r="B454" t="s">
        <v>5173</v>
      </c>
      <c r="C454">
        <v>16.12</v>
      </c>
      <c r="D454">
        <v>24</v>
      </c>
      <c r="E454">
        <v>26</v>
      </c>
      <c r="F454">
        <v>11</v>
      </c>
      <c r="G454">
        <v>11</v>
      </c>
      <c r="H454">
        <v>29.96</v>
      </c>
      <c r="I454">
        <v>10</v>
      </c>
      <c r="J454">
        <v>7.02</v>
      </c>
      <c r="K454" s="245">
        <v>-23.34</v>
      </c>
      <c r="L454" s="245">
        <v>38.89</v>
      </c>
      <c r="M454" s="245">
        <v>59.8</v>
      </c>
      <c r="N454" s="257" t="s">
        <v>6831</v>
      </c>
    </row>
    <row r="455" spans="1:14">
      <c r="A455">
        <v>2542</v>
      </c>
      <c r="B455" t="s">
        <v>6176</v>
      </c>
      <c r="C455">
        <v>155</v>
      </c>
      <c r="D455">
        <v>239</v>
      </c>
      <c r="E455">
        <v>142</v>
      </c>
      <c r="F455">
        <v>-59</v>
      </c>
      <c r="G455">
        <v>-79</v>
      </c>
      <c r="H455">
        <v>22.62</v>
      </c>
      <c r="I455">
        <v>5.2</v>
      </c>
      <c r="J455">
        <v>6.45</v>
      </c>
      <c r="K455" s="245">
        <v>-12.48</v>
      </c>
      <c r="L455" s="245">
        <v>27.46</v>
      </c>
      <c r="M455" s="245">
        <v>6171.1</v>
      </c>
      <c r="N455" s="257" t="s">
        <v>6830</v>
      </c>
    </row>
    <row r="456" spans="1:14">
      <c r="A456">
        <v>2543</v>
      </c>
      <c r="B456" t="s">
        <v>6454</v>
      </c>
      <c r="C456">
        <v>23.74</v>
      </c>
      <c r="D456">
        <v>678</v>
      </c>
      <c r="E456">
        <v>-228</v>
      </c>
      <c r="F456">
        <v>0</v>
      </c>
      <c r="G456">
        <v>16</v>
      </c>
      <c r="H456">
        <v>-1.29</v>
      </c>
      <c r="I456">
        <v>0</v>
      </c>
      <c r="J456">
        <v>1.56</v>
      </c>
      <c r="K456" s="245">
        <v>-30.04</v>
      </c>
      <c r="L456" s="245">
        <v>20.59</v>
      </c>
      <c r="M456" s="245">
        <v>446.65</v>
      </c>
      <c r="N456" s="257" t="s">
        <v>6830</v>
      </c>
    </row>
    <row r="457" spans="1:14">
      <c r="A457">
        <v>2545</v>
      </c>
      <c r="B457" t="s">
        <v>5174</v>
      </c>
      <c r="C457">
        <v>32.770000000000003</v>
      </c>
      <c r="D457">
        <v>40</v>
      </c>
      <c r="E457">
        <v>37</v>
      </c>
      <c r="F457">
        <v>-16</v>
      </c>
      <c r="G457">
        <v>-36</v>
      </c>
      <c r="H457">
        <v>36.29</v>
      </c>
      <c r="I457">
        <v>6.3</v>
      </c>
      <c r="J457">
        <v>7.46</v>
      </c>
      <c r="K457" s="245">
        <v>-14.15</v>
      </c>
      <c r="L457" s="245">
        <v>58.41</v>
      </c>
      <c r="M457" s="245">
        <v>1950.5</v>
      </c>
      <c r="N457" s="257" t="s">
        <v>6831</v>
      </c>
    </row>
    <row r="458" spans="1:14">
      <c r="A458">
        <v>2546</v>
      </c>
      <c r="B458" t="s">
        <v>5175</v>
      </c>
      <c r="C458">
        <v>10.6</v>
      </c>
      <c r="D458">
        <v>18</v>
      </c>
      <c r="E458">
        <v>13</v>
      </c>
      <c r="F458">
        <v>-8</v>
      </c>
      <c r="G458">
        <v>10</v>
      </c>
      <c r="H458">
        <v>8.1300000000000008</v>
      </c>
      <c r="I458">
        <v>3.6</v>
      </c>
      <c r="J458">
        <v>6.98</v>
      </c>
      <c r="K458" s="245">
        <v>-13.33</v>
      </c>
      <c r="L458" s="245">
        <v>32.82</v>
      </c>
      <c r="M458" s="245">
        <v>139.5</v>
      </c>
      <c r="N458" s="257" t="s">
        <v>6831</v>
      </c>
    </row>
    <row r="459" spans="1:14">
      <c r="A459">
        <v>2547</v>
      </c>
      <c r="B459" t="s">
        <v>5176</v>
      </c>
      <c r="C459">
        <v>88</v>
      </c>
      <c r="D459">
        <v>-90</v>
      </c>
      <c r="E459">
        <v>-52</v>
      </c>
      <c r="F459">
        <v>-1</v>
      </c>
      <c r="G459">
        <v>-10</v>
      </c>
      <c r="H459">
        <v>3.44</v>
      </c>
      <c r="I459">
        <v>0.2</v>
      </c>
      <c r="J459">
        <v>7.0000000000000007E-2</v>
      </c>
      <c r="K459" s="245">
        <v>-21.11</v>
      </c>
      <c r="L459" s="245">
        <v>11.33</v>
      </c>
      <c r="M459" s="245">
        <v>874.55</v>
      </c>
      <c r="N459" s="257" t="s">
        <v>6830</v>
      </c>
    </row>
    <row r="460" spans="1:14">
      <c r="A460">
        <v>2548</v>
      </c>
      <c r="B460" t="s">
        <v>5177</v>
      </c>
      <c r="C460">
        <v>27.68</v>
      </c>
      <c r="D460">
        <v>5</v>
      </c>
      <c r="E460">
        <v>13</v>
      </c>
      <c r="F460">
        <v>102</v>
      </c>
      <c r="G460">
        <v>84</v>
      </c>
      <c r="H460">
        <v>26.08</v>
      </c>
      <c r="I460">
        <v>7.5</v>
      </c>
      <c r="J460">
        <v>10.56</v>
      </c>
      <c r="K460" s="245">
        <v>-3.28</v>
      </c>
      <c r="L460" s="245">
        <v>48.54</v>
      </c>
      <c r="M460" s="245">
        <v>524.5</v>
      </c>
      <c r="N460" s="257" t="s">
        <v>6832</v>
      </c>
    </row>
    <row r="461" spans="1:14">
      <c r="A461">
        <v>2596</v>
      </c>
      <c r="B461" t="s">
        <v>5178</v>
      </c>
      <c r="C461">
        <v>10</v>
      </c>
      <c r="D461">
        <v>60</v>
      </c>
      <c r="E461">
        <v>44</v>
      </c>
      <c r="F461">
        <v>27626</v>
      </c>
      <c r="G461">
        <v>-65</v>
      </c>
      <c r="H461">
        <v>23.62</v>
      </c>
      <c r="I461">
        <v>1.5</v>
      </c>
      <c r="J461">
        <v>3.05</v>
      </c>
      <c r="K461" s="245">
        <v>-24.19</v>
      </c>
      <c r="L461" s="245">
        <v>12.97</v>
      </c>
      <c r="M461" s="245">
        <v>87.9</v>
      </c>
      <c r="N461" s="257" t="s">
        <v>6830</v>
      </c>
    </row>
    <row r="462" spans="1:14">
      <c r="A462">
        <v>2597</v>
      </c>
      <c r="B462" t="s">
        <v>5179</v>
      </c>
      <c r="C462">
        <v>18.489999999999998</v>
      </c>
      <c r="D462">
        <v>63</v>
      </c>
      <c r="E462">
        <v>100</v>
      </c>
      <c r="F462">
        <v>-10</v>
      </c>
      <c r="G462">
        <v>-2</v>
      </c>
      <c r="H462">
        <v>10.84</v>
      </c>
      <c r="I462">
        <v>9</v>
      </c>
      <c r="J462">
        <v>9.9600000000000009</v>
      </c>
      <c r="K462" s="245">
        <v>-38.01</v>
      </c>
      <c r="L462" s="245">
        <v>13.96</v>
      </c>
      <c r="M462" s="245">
        <v>223.1</v>
      </c>
      <c r="N462" s="257" t="s">
        <v>6830</v>
      </c>
    </row>
    <row r="463" spans="1:14">
      <c r="A463">
        <v>2601</v>
      </c>
      <c r="B463" t="s">
        <v>5180</v>
      </c>
      <c r="C463">
        <v>83.47</v>
      </c>
      <c r="D463">
        <v>131</v>
      </c>
      <c r="E463">
        <v>177</v>
      </c>
      <c r="F463">
        <v>-17</v>
      </c>
      <c r="G463">
        <v>-8</v>
      </c>
      <c r="H463">
        <v>12.67</v>
      </c>
      <c r="I463">
        <v>0</v>
      </c>
      <c r="J463">
        <v>0.2</v>
      </c>
      <c r="K463" s="245">
        <v>-61.51</v>
      </c>
      <c r="L463" s="245">
        <v>16.91</v>
      </c>
      <c r="M463" s="245">
        <v>6057.6</v>
      </c>
      <c r="N463" s="257" t="s">
        <v>6830</v>
      </c>
    </row>
    <row r="464" spans="1:14">
      <c r="A464">
        <v>2603</v>
      </c>
      <c r="B464" t="s">
        <v>5181</v>
      </c>
      <c r="C464">
        <v>529</v>
      </c>
      <c r="D464">
        <v>814</v>
      </c>
      <c r="E464">
        <v>721</v>
      </c>
      <c r="F464">
        <v>-4</v>
      </c>
      <c r="G464">
        <v>102</v>
      </c>
      <c r="H464">
        <v>58.21</v>
      </c>
      <c r="I464">
        <v>18</v>
      </c>
      <c r="J464">
        <v>45.57</v>
      </c>
      <c r="K464" s="245">
        <v>-40.99</v>
      </c>
      <c r="L464" s="245">
        <v>44.21</v>
      </c>
      <c r="M464" s="245">
        <v>96027.7</v>
      </c>
      <c r="N464" s="257" t="s">
        <v>6831</v>
      </c>
    </row>
    <row r="465" spans="1:14">
      <c r="A465">
        <v>2605</v>
      </c>
      <c r="B465" t="s">
        <v>5182</v>
      </c>
      <c r="C465">
        <v>58.53</v>
      </c>
      <c r="D465">
        <v>236</v>
      </c>
      <c r="E465">
        <v>37</v>
      </c>
      <c r="F465">
        <v>-27</v>
      </c>
      <c r="G465">
        <v>-12</v>
      </c>
      <c r="H465">
        <v>24.77</v>
      </c>
      <c r="I465">
        <v>1</v>
      </c>
      <c r="J465">
        <v>1.2</v>
      </c>
      <c r="K465" s="245">
        <v>-54.59</v>
      </c>
      <c r="L465" s="245">
        <v>32.81</v>
      </c>
      <c r="M465" s="245">
        <v>25714.1</v>
      </c>
      <c r="N465" s="257" t="s">
        <v>6830</v>
      </c>
    </row>
    <row r="466" spans="1:14">
      <c r="A466">
        <v>2606</v>
      </c>
      <c r="B466" t="s">
        <v>5183</v>
      </c>
      <c r="C466">
        <v>84.5</v>
      </c>
      <c r="D466">
        <v>456</v>
      </c>
      <c r="E466">
        <v>649</v>
      </c>
      <c r="F466">
        <v>-4</v>
      </c>
      <c r="G466">
        <v>2</v>
      </c>
      <c r="H466">
        <v>27.18</v>
      </c>
      <c r="I466">
        <v>3</v>
      </c>
      <c r="J466">
        <v>5.79</v>
      </c>
      <c r="K466" s="245">
        <v>-36.31</v>
      </c>
      <c r="L466" s="245">
        <v>45.73</v>
      </c>
      <c r="M466" s="245">
        <v>23716.7</v>
      </c>
      <c r="N466" s="257" t="s">
        <v>6831</v>
      </c>
    </row>
    <row r="467" spans="1:14">
      <c r="A467">
        <v>2607</v>
      </c>
      <c r="B467" t="s">
        <v>5184</v>
      </c>
      <c r="C467">
        <v>106</v>
      </c>
      <c r="D467">
        <v>58</v>
      </c>
      <c r="E467">
        <v>28</v>
      </c>
      <c r="F467">
        <v>-1</v>
      </c>
      <c r="G467">
        <v>153</v>
      </c>
      <c r="H467">
        <v>10.8</v>
      </c>
      <c r="I467">
        <v>0.4</v>
      </c>
      <c r="J467">
        <v>1</v>
      </c>
      <c r="K467" s="245">
        <v>-33.08</v>
      </c>
      <c r="L467" s="245">
        <v>27.04</v>
      </c>
      <c r="M467" s="245">
        <v>28432.2</v>
      </c>
      <c r="N467" s="257" t="s">
        <v>6831</v>
      </c>
    </row>
    <row r="468" spans="1:14">
      <c r="A468">
        <v>2608</v>
      </c>
      <c r="B468" t="s">
        <v>5185</v>
      </c>
      <c r="C468">
        <v>46.7</v>
      </c>
      <c r="D468">
        <v>-5</v>
      </c>
      <c r="E468">
        <v>-7</v>
      </c>
      <c r="F468">
        <v>-11</v>
      </c>
      <c r="G468">
        <v>4</v>
      </c>
      <c r="H468">
        <v>13.9</v>
      </c>
      <c r="I468">
        <v>1.65</v>
      </c>
      <c r="J468">
        <v>2.99</v>
      </c>
      <c r="K468" s="245">
        <v>-47.26</v>
      </c>
      <c r="L468" s="245">
        <v>23.28</v>
      </c>
      <c r="M468" s="245">
        <v>6376</v>
      </c>
      <c r="N468" s="257" t="s">
        <v>6830</v>
      </c>
    </row>
    <row r="469" spans="1:14">
      <c r="A469">
        <v>2609</v>
      </c>
      <c r="B469" t="s">
        <v>5186</v>
      </c>
      <c r="C469">
        <v>349</v>
      </c>
      <c r="D469">
        <v>1258</v>
      </c>
      <c r="E469">
        <v>945</v>
      </c>
      <c r="F469">
        <v>-2</v>
      </c>
      <c r="G469">
        <v>69</v>
      </c>
      <c r="H469">
        <v>60.95</v>
      </c>
      <c r="I469">
        <v>20</v>
      </c>
      <c r="J469">
        <v>48.73</v>
      </c>
      <c r="K469" s="245">
        <v>-49.25</v>
      </c>
      <c r="L469" s="245">
        <v>39.04</v>
      </c>
      <c r="M469" s="245">
        <v>51161.2</v>
      </c>
      <c r="N469" s="257" t="s">
        <v>6831</v>
      </c>
    </row>
    <row r="470" spans="1:14">
      <c r="A470">
        <v>2610</v>
      </c>
      <c r="B470" t="s">
        <v>5187</v>
      </c>
      <c r="C470">
        <v>599</v>
      </c>
      <c r="D470">
        <v>3300</v>
      </c>
      <c r="E470">
        <v>585</v>
      </c>
      <c r="F470">
        <v>0</v>
      </c>
      <c r="G470">
        <v>12</v>
      </c>
      <c r="H470">
        <v>10.78</v>
      </c>
      <c r="I470">
        <v>0.84</v>
      </c>
      <c r="J470">
        <v>1.67</v>
      </c>
      <c r="K470" s="245">
        <v>-20.81</v>
      </c>
      <c r="L470" s="245">
        <v>36.83</v>
      </c>
      <c r="M470" s="245">
        <v>162037.45000000001</v>
      </c>
      <c r="N470" s="257" t="s">
        <v>6831</v>
      </c>
    </row>
    <row r="471" spans="1:14">
      <c r="A471">
        <v>2611</v>
      </c>
      <c r="B471" t="s">
        <v>5188</v>
      </c>
      <c r="C471">
        <v>17.18</v>
      </c>
      <c r="D471">
        <v>617</v>
      </c>
      <c r="E471">
        <v>78</v>
      </c>
      <c r="F471">
        <v>8</v>
      </c>
      <c r="G471">
        <v>11</v>
      </c>
      <c r="H471">
        <v>-4.0199999999999996</v>
      </c>
      <c r="I471">
        <v>2</v>
      </c>
      <c r="J471">
        <v>1.69</v>
      </c>
      <c r="K471" s="245">
        <v>-51.96</v>
      </c>
      <c r="L471" s="245">
        <v>30.46</v>
      </c>
      <c r="M471" s="245">
        <v>8009.55</v>
      </c>
      <c r="N471" s="257" t="s">
        <v>6830</v>
      </c>
    </row>
    <row r="472" spans="1:14">
      <c r="A472">
        <v>2612</v>
      </c>
      <c r="B472" t="s">
        <v>5189</v>
      </c>
      <c r="C472">
        <v>19.739999999999998</v>
      </c>
      <c r="D472">
        <v>221</v>
      </c>
      <c r="E472">
        <v>123</v>
      </c>
      <c r="F472">
        <v>4</v>
      </c>
      <c r="G472">
        <v>49</v>
      </c>
      <c r="H472">
        <v>9.9600000000000009</v>
      </c>
      <c r="I472">
        <v>2.68</v>
      </c>
      <c r="J472">
        <v>5.27</v>
      </c>
      <c r="K472" s="245">
        <v>-44.88</v>
      </c>
      <c r="L472" s="245">
        <v>28.31</v>
      </c>
      <c r="M472" s="245">
        <v>2767.85</v>
      </c>
      <c r="N472" s="257" t="s">
        <v>6830</v>
      </c>
    </row>
    <row r="473" spans="1:14">
      <c r="A473">
        <v>2613</v>
      </c>
      <c r="B473" t="s">
        <v>5190</v>
      </c>
      <c r="C473">
        <v>14.84</v>
      </c>
      <c r="D473">
        <v>620</v>
      </c>
      <c r="E473">
        <v>97</v>
      </c>
      <c r="F473">
        <v>-5</v>
      </c>
      <c r="G473">
        <v>3</v>
      </c>
      <c r="H473">
        <v>11.41</v>
      </c>
      <c r="I473">
        <v>1.65</v>
      </c>
      <c r="J473">
        <v>1.63</v>
      </c>
      <c r="K473" s="245">
        <v>-31.3</v>
      </c>
      <c r="L473" s="245">
        <v>42.75</v>
      </c>
      <c r="M473" s="245">
        <v>8628.85</v>
      </c>
      <c r="N473" s="257" t="s">
        <v>6831</v>
      </c>
    </row>
    <row r="474" spans="1:14">
      <c r="A474">
        <v>2614</v>
      </c>
      <c r="B474" t="s">
        <v>5191</v>
      </c>
      <c r="C474">
        <v>52.89</v>
      </c>
      <c r="D474">
        <v>51</v>
      </c>
      <c r="E474">
        <v>1647</v>
      </c>
      <c r="F474">
        <v>-3</v>
      </c>
      <c r="G474">
        <v>10</v>
      </c>
      <c r="H474">
        <v>2.85</v>
      </c>
      <c r="I474">
        <v>1</v>
      </c>
      <c r="J474">
        <v>1.37</v>
      </c>
      <c r="K474" s="245">
        <v>-64.239999999999995</v>
      </c>
      <c r="L474" s="245">
        <v>15.61</v>
      </c>
      <c r="M474" s="245">
        <v>6662.8</v>
      </c>
      <c r="N474" s="257" t="s">
        <v>6830</v>
      </c>
    </row>
    <row r="475" spans="1:14">
      <c r="A475">
        <v>2615</v>
      </c>
      <c r="B475" t="s">
        <v>5192</v>
      </c>
      <c r="C475">
        <v>244</v>
      </c>
      <c r="D475">
        <v>810</v>
      </c>
      <c r="E475">
        <v>898</v>
      </c>
      <c r="F475">
        <v>1</v>
      </c>
      <c r="G475">
        <v>65</v>
      </c>
      <c r="H475">
        <v>56</v>
      </c>
      <c r="I475">
        <v>12</v>
      </c>
      <c r="J475">
        <v>42.35</v>
      </c>
      <c r="K475" s="245">
        <v>-58.07</v>
      </c>
      <c r="L475" s="245">
        <v>26.18</v>
      </c>
      <c r="M475" s="245">
        <v>14762.4</v>
      </c>
      <c r="N475" s="257" t="s">
        <v>6830</v>
      </c>
    </row>
    <row r="476" spans="1:14">
      <c r="A476">
        <v>2616</v>
      </c>
      <c r="B476" t="s">
        <v>5193</v>
      </c>
      <c r="C476">
        <v>13.72</v>
      </c>
      <c r="D476">
        <v>11</v>
      </c>
      <c r="E476">
        <v>-2</v>
      </c>
      <c r="F476">
        <v>-10</v>
      </c>
      <c r="G476">
        <v>6</v>
      </c>
      <c r="H476">
        <v>2</v>
      </c>
      <c r="I476">
        <v>2.5</v>
      </c>
      <c r="J476">
        <v>3.06</v>
      </c>
      <c r="K476" s="245">
        <v>-11.36</v>
      </c>
      <c r="L476" s="245">
        <v>27.73</v>
      </c>
      <c r="M476" s="245">
        <v>337.95</v>
      </c>
      <c r="N476" s="257" t="s">
        <v>6831</v>
      </c>
    </row>
    <row r="477" spans="1:14">
      <c r="A477">
        <v>2617</v>
      </c>
      <c r="B477" t="s">
        <v>5194</v>
      </c>
      <c r="C477">
        <v>41.72</v>
      </c>
      <c r="D477">
        <v>154</v>
      </c>
      <c r="E477">
        <v>141</v>
      </c>
      <c r="F477">
        <v>6</v>
      </c>
      <c r="G477">
        <v>19</v>
      </c>
      <c r="H477">
        <v>34.46</v>
      </c>
      <c r="I477">
        <v>2</v>
      </c>
      <c r="J477">
        <v>3.16</v>
      </c>
      <c r="K477" s="245">
        <v>-54.94</v>
      </c>
      <c r="L477" s="245">
        <v>37.159999999999997</v>
      </c>
      <c r="M477" s="245">
        <v>6319.85</v>
      </c>
      <c r="N477" s="257" t="s">
        <v>6830</v>
      </c>
    </row>
    <row r="478" spans="1:14">
      <c r="A478">
        <v>2618</v>
      </c>
      <c r="B478" t="s">
        <v>5195</v>
      </c>
      <c r="C478">
        <v>528</v>
      </c>
      <c r="D478">
        <v>303</v>
      </c>
      <c r="E478">
        <v>1352</v>
      </c>
      <c r="F478">
        <v>2</v>
      </c>
      <c r="G478">
        <v>36</v>
      </c>
      <c r="H478">
        <v>9.9700000000000006</v>
      </c>
      <c r="I478">
        <v>0.6</v>
      </c>
      <c r="J478">
        <v>1.31</v>
      </c>
      <c r="K478" s="245">
        <v>-14.23</v>
      </c>
      <c r="L478" s="245">
        <v>52.87</v>
      </c>
      <c r="M478" s="245">
        <v>170661.8</v>
      </c>
      <c r="N478" s="257" t="s">
        <v>6832</v>
      </c>
    </row>
    <row r="479" spans="1:14">
      <c r="A479">
        <v>2630</v>
      </c>
      <c r="B479" t="s">
        <v>6455</v>
      </c>
      <c r="C479">
        <v>15.05</v>
      </c>
      <c r="D479">
        <v>81</v>
      </c>
      <c r="E479">
        <v>117</v>
      </c>
      <c r="F479">
        <v>-23</v>
      </c>
      <c r="G479">
        <v>-11</v>
      </c>
      <c r="H479">
        <v>0.18</v>
      </c>
      <c r="I479">
        <v>1</v>
      </c>
      <c r="J479">
        <v>0.53</v>
      </c>
      <c r="K479" s="245">
        <v>-37.64</v>
      </c>
      <c r="L479" s="245">
        <v>23.13</v>
      </c>
      <c r="M479" s="245">
        <v>439.8</v>
      </c>
      <c r="N479" s="257" t="s">
        <v>6830</v>
      </c>
    </row>
    <row r="480" spans="1:14">
      <c r="A480">
        <v>2633</v>
      </c>
      <c r="B480" t="s">
        <v>5196</v>
      </c>
      <c r="C480">
        <v>562</v>
      </c>
      <c r="D480">
        <v>-38</v>
      </c>
      <c r="E480">
        <v>-71</v>
      </c>
      <c r="F480">
        <v>-14</v>
      </c>
      <c r="G480">
        <v>-27</v>
      </c>
      <c r="H480">
        <v>10.98</v>
      </c>
      <c r="I480">
        <v>0.76</v>
      </c>
      <c r="J480">
        <v>0.64</v>
      </c>
      <c r="K480" s="245">
        <v>-12.86</v>
      </c>
      <c r="L480" s="245">
        <v>20.55</v>
      </c>
      <c r="M480" s="245">
        <v>3582</v>
      </c>
      <c r="N480" s="257" t="s">
        <v>6830</v>
      </c>
    </row>
    <row r="481" spans="1:14">
      <c r="A481">
        <v>2634</v>
      </c>
      <c r="B481" t="s">
        <v>5197</v>
      </c>
      <c r="C481">
        <v>94.18</v>
      </c>
      <c r="D481">
        <v>40</v>
      </c>
      <c r="E481">
        <v>173</v>
      </c>
      <c r="F481">
        <v>-9</v>
      </c>
      <c r="G481">
        <v>8</v>
      </c>
      <c r="H481">
        <v>2.0699999999999998</v>
      </c>
      <c r="I481">
        <v>0.35</v>
      </c>
      <c r="J481">
        <v>0.59</v>
      </c>
      <c r="K481" s="245">
        <v>-9.49</v>
      </c>
      <c r="L481" s="245">
        <v>53.83</v>
      </c>
      <c r="M481" s="245">
        <v>10972.65</v>
      </c>
      <c r="N481" s="257" t="s">
        <v>6831</v>
      </c>
    </row>
    <row r="482" spans="1:14">
      <c r="A482">
        <v>2636</v>
      </c>
      <c r="B482" t="s">
        <v>5198</v>
      </c>
      <c r="C482">
        <v>14.33</v>
      </c>
      <c r="D482">
        <v>603</v>
      </c>
      <c r="E482">
        <v>521</v>
      </c>
      <c r="F482">
        <v>-18</v>
      </c>
      <c r="G482">
        <v>30</v>
      </c>
      <c r="H482">
        <v>12</v>
      </c>
      <c r="I482">
        <v>13</v>
      </c>
      <c r="J482">
        <v>30.03</v>
      </c>
      <c r="K482" s="245">
        <v>-63.4</v>
      </c>
      <c r="L482" s="245">
        <v>25.18</v>
      </c>
      <c r="M482" s="245">
        <v>1427.75</v>
      </c>
      <c r="N482" s="257" t="s">
        <v>6830</v>
      </c>
    </row>
    <row r="483" spans="1:14">
      <c r="A483">
        <v>2637</v>
      </c>
      <c r="B483" t="s">
        <v>5199</v>
      </c>
      <c r="C483">
        <v>76.36</v>
      </c>
      <c r="D483">
        <v>7300</v>
      </c>
      <c r="E483">
        <v>451</v>
      </c>
      <c r="F483">
        <v>9</v>
      </c>
      <c r="G483">
        <v>73</v>
      </c>
      <c r="H483">
        <v>43.08</v>
      </c>
      <c r="I483">
        <v>5.5</v>
      </c>
      <c r="J483">
        <v>11.05</v>
      </c>
      <c r="K483" s="245">
        <v>-21.07</v>
      </c>
      <c r="L483" s="245">
        <v>58.49</v>
      </c>
      <c r="M483" s="245">
        <v>34617.15</v>
      </c>
      <c r="N483" s="257" t="s">
        <v>6832</v>
      </c>
    </row>
    <row r="484" spans="1:14">
      <c r="A484">
        <v>2640</v>
      </c>
      <c r="B484" t="s">
        <v>6298</v>
      </c>
      <c r="C484">
        <v>5.92</v>
      </c>
      <c r="D484">
        <v>-19</v>
      </c>
      <c r="E484">
        <v>-21</v>
      </c>
      <c r="F484">
        <v>-7</v>
      </c>
      <c r="G484">
        <v>6</v>
      </c>
      <c r="H484">
        <v>15.76</v>
      </c>
      <c r="I484">
        <v>3.5</v>
      </c>
      <c r="J484">
        <v>4.1100000000000003</v>
      </c>
      <c r="K484" s="245">
        <v>-12.95</v>
      </c>
      <c r="L484" s="245">
        <v>14.58</v>
      </c>
      <c r="M484" s="245">
        <v>27.05</v>
      </c>
      <c r="N484" s="257" t="s">
        <v>6831</v>
      </c>
    </row>
    <row r="485" spans="1:14">
      <c r="A485">
        <v>2641</v>
      </c>
      <c r="B485" t="s">
        <v>5200</v>
      </c>
      <c r="C485">
        <v>19.010000000000002</v>
      </c>
      <c r="D485">
        <v>294</v>
      </c>
      <c r="E485">
        <v>169</v>
      </c>
      <c r="F485">
        <v>-8</v>
      </c>
      <c r="G485">
        <v>58</v>
      </c>
      <c r="H485">
        <v>30.87</v>
      </c>
      <c r="I485">
        <v>0.8</v>
      </c>
      <c r="J485">
        <v>2.2400000000000002</v>
      </c>
      <c r="K485" s="245">
        <v>-36.49</v>
      </c>
      <c r="L485" s="245">
        <v>66.17</v>
      </c>
      <c r="M485" s="245">
        <v>11704.5</v>
      </c>
      <c r="N485" s="257" t="s">
        <v>6831</v>
      </c>
    </row>
    <row r="486" spans="1:14">
      <c r="A486">
        <v>2642</v>
      </c>
      <c r="B486" t="s">
        <v>5201</v>
      </c>
      <c r="C486">
        <v>9.5399999999999991</v>
      </c>
      <c r="D486">
        <v>15</v>
      </c>
      <c r="E486">
        <v>16</v>
      </c>
      <c r="F486">
        <v>3</v>
      </c>
      <c r="G486">
        <v>7</v>
      </c>
      <c r="H486">
        <v>6.37</v>
      </c>
      <c r="I486">
        <v>2.1</v>
      </c>
      <c r="J486">
        <v>2.52</v>
      </c>
      <c r="K486" s="245">
        <v>-54.23</v>
      </c>
      <c r="L486" s="245">
        <v>23.35</v>
      </c>
      <c r="M486" s="245">
        <v>6641.4</v>
      </c>
      <c r="N486" s="257" t="s">
        <v>6830</v>
      </c>
    </row>
    <row r="487" spans="1:14">
      <c r="A487">
        <v>2643</v>
      </c>
      <c r="B487" t="s">
        <v>5202</v>
      </c>
      <c r="C487">
        <v>3</v>
      </c>
      <c r="D487">
        <v>36</v>
      </c>
      <c r="E487">
        <v>56</v>
      </c>
      <c r="F487">
        <v>17</v>
      </c>
      <c r="G487">
        <v>38</v>
      </c>
      <c r="H487">
        <v>7.23</v>
      </c>
      <c r="I487">
        <v>5</v>
      </c>
      <c r="J487">
        <v>9.7200000000000006</v>
      </c>
      <c r="K487" s="245">
        <v>-46.44</v>
      </c>
      <c r="L487" s="245">
        <v>23.28</v>
      </c>
      <c r="M487" s="245">
        <v>152</v>
      </c>
      <c r="N487" s="257" t="s">
        <v>6830</v>
      </c>
    </row>
    <row r="488" spans="1:14">
      <c r="A488">
        <v>2701</v>
      </c>
      <c r="B488" t="s">
        <v>5203</v>
      </c>
      <c r="C488">
        <v>44.99</v>
      </c>
      <c r="D488">
        <v>-51</v>
      </c>
      <c r="E488">
        <v>-14</v>
      </c>
      <c r="F488">
        <v>-10</v>
      </c>
      <c r="G488">
        <v>-33</v>
      </c>
      <c r="H488">
        <v>49.44</v>
      </c>
      <c r="I488">
        <v>0.17</v>
      </c>
      <c r="J488">
        <v>0.19</v>
      </c>
      <c r="K488" s="245">
        <v>-13.01</v>
      </c>
      <c r="L488" s="245">
        <v>23.73</v>
      </c>
      <c r="M488" s="245">
        <v>95.25</v>
      </c>
      <c r="N488" s="257" t="s">
        <v>6830</v>
      </c>
    </row>
    <row r="489" spans="1:14">
      <c r="A489">
        <v>2702</v>
      </c>
      <c r="B489" t="s">
        <v>6226</v>
      </c>
      <c r="C489">
        <v>11.04</v>
      </c>
      <c r="D489">
        <v>775</v>
      </c>
      <c r="E489">
        <v>47</v>
      </c>
      <c r="F489">
        <v>-1</v>
      </c>
      <c r="G489">
        <v>76</v>
      </c>
      <c r="H489">
        <v>-12.83</v>
      </c>
      <c r="I489">
        <v>4.5</v>
      </c>
      <c r="J489">
        <v>16.53</v>
      </c>
      <c r="K489" s="245">
        <v>-20.59</v>
      </c>
      <c r="L489" s="245">
        <v>34.14</v>
      </c>
      <c r="M489" s="245">
        <v>1203.2</v>
      </c>
      <c r="N489" s="257" t="s">
        <v>6830</v>
      </c>
    </row>
    <row r="490" spans="1:14">
      <c r="A490">
        <v>2704</v>
      </c>
      <c r="B490" t="s">
        <v>5204</v>
      </c>
      <c r="C490">
        <v>36.69</v>
      </c>
      <c r="D490">
        <v>-2809</v>
      </c>
      <c r="E490">
        <v>-35</v>
      </c>
      <c r="F490">
        <v>-23</v>
      </c>
      <c r="G490">
        <v>-37</v>
      </c>
      <c r="H490">
        <v>-24.55</v>
      </c>
      <c r="I490">
        <v>0</v>
      </c>
      <c r="J490">
        <v>-0.24</v>
      </c>
      <c r="K490" s="245">
        <v>-9.0299999999999994</v>
      </c>
      <c r="L490" s="245">
        <v>35.93</v>
      </c>
      <c r="M490" s="245">
        <v>261.89999999999998</v>
      </c>
      <c r="N490" s="257" t="s">
        <v>6831</v>
      </c>
    </row>
    <row r="491" spans="1:14">
      <c r="A491">
        <v>2705</v>
      </c>
      <c r="B491" t="s">
        <v>5205</v>
      </c>
      <c r="C491">
        <v>19.13</v>
      </c>
      <c r="D491">
        <v>10</v>
      </c>
      <c r="E491">
        <v>-31</v>
      </c>
      <c r="F491">
        <v>-4</v>
      </c>
      <c r="G491">
        <v>-30</v>
      </c>
      <c r="H491">
        <v>-38.5</v>
      </c>
      <c r="I491">
        <v>0</v>
      </c>
      <c r="J491">
        <v>-1.46</v>
      </c>
      <c r="K491" s="245">
        <v>-22.93</v>
      </c>
      <c r="L491" s="245">
        <v>11.32</v>
      </c>
      <c r="M491" s="245">
        <v>122.9</v>
      </c>
      <c r="N491" s="257" t="s">
        <v>6830</v>
      </c>
    </row>
    <row r="492" spans="1:14">
      <c r="A492">
        <v>2706</v>
      </c>
      <c r="B492" t="s">
        <v>5206</v>
      </c>
      <c r="C492">
        <v>49.99</v>
      </c>
      <c r="D492">
        <v>-51</v>
      </c>
      <c r="E492">
        <v>1</v>
      </c>
      <c r="F492">
        <v>0</v>
      </c>
      <c r="G492">
        <v>2</v>
      </c>
      <c r="H492">
        <v>66.5</v>
      </c>
      <c r="I492">
        <v>0.14000000000000001</v>
      </c>
      <c r="J492">
        <v>0.16</v>
      </c>
      <c r="K492" s="245">
        <v>-21.35</v>
      </c>
      <c r="L492" s="245">
        <v>16.78</v>
      </c>
      <c r="M492" s="245">
        <v>149.30000000000001</v>
      </c>
      <c r="N492" s="257" t="s">
        <v>6830</v>
      </c>
    </row>
    <row r="493" spans="1:14">
      <c r="A493">
        <v>2707</v>
      </c>
      <c r="B493" t="s">
        <v>5207</v>
      </c>
      <c r="C493">
        <v>12.74</v>
      </c>
      <c r="D493">
        <v>205</v>
      </c>
      <c r="E493">
        <v>-26</v>
      </c>
      <c r="F493">
        <v>-12</v>
      </c>
      <c r="G493">
        <v>-15</v>
      </c>
      <c r="H493">
        <v>10.92</v>
      </c>
      <c r="I493">
        <v>12.39</v>
      </c>
      <c r="J493">
        <v>17.09</v>
      </c>
      <c r="K493" s="245">
        <v>-17.440000000000001</v>
      </c>
      <c r="L493" s="245">
        <v>33.159999999999997</v>
      </c>
      <c r="M493" s="245">
        <v>400.45</v>
      </c>
      <c r="N493" s="257" t="s">
        <v>6831</v>
      </c>
    </row>
    <row r="494" spans="1:14">
      <c r="A494">
        <v>2712</v>
      </c>
      <c r="B494" t="s">
        <v>5208</v>
      </c>
      <c r="C494">
        <v>10.5</v>
      </c>
      <c r="D494">
        <v>-121</v>
      </c>
      <c r="E494">
        <v>-138</v>
      </c>
      <c r="F494">
        <v>18</v>
      </c>
      <c r="G494">
        <v>-38</v>
      </c>
      <c r="H494">
        <v>-10.91</v>
      </c>
      <c r="I494">
        <v>0</v>
      </c>
      <c r="J494">
        <v>-0.2</v>
      </c>
      <c r="K494" s="245">
        <v>-28.86</v>
      </c>
      <c r="L494" s="245">
        <v>24.18</v>
      </c>
      <c r="M494" s="245">
        <v>9.65</v>
      </c>
      <c r="N494" s="257" t="s">
        <v>6830</v>
      </c>
    </row>
    <row r="495" spans="1:14">
      <c r="A495">
        <v>2718</v>
      </c>
      <c r="B495" t="s">
        <v>6456</v>
      </c>
      <c r="C495">
        <v>8.4499999999999993</v>
      </c>
      <c r="D495">
        <v>68</v>
      </c>
      <c r="E495">
        <v>-3</v>
      </c>
      <c r="F495">
        <v>110</v>
      </c>
      <c r="G495">
        <v>92</v>
      </c>
      <c r="H495">
        <v>-55.66</v>
      </c>
      <c r="I495">
        <v>0</v>
      </c>
      <c r="J495">
        <v>-0.55000000000000004</v>
      </c>
      <c r="K495" s="245">
        <v>-9.5399999999999991</v>
      </c>
      <c r="L495" s="245">
        <v>55.48</v>
      </c>
      <c r="M495" s="245">
        <v>9.65</v>
      </c>
      <c r="N495" s="257" t="s">
        <v>6832</v>
      </c>
    </row>
    <row r="496" spans="1:14">
      <c r="A496">
        <v>2719</v>
      </c>
      <c r="B496" t="s">
        <v>6457</v>
      </c>
      <c r="C496">
        <v>3.4</v>
      </c>
      <c r="D496">
        <v>51</v>
      </c>
      <c r="E496">
        <v>42</v>
      </c>
      <c r="F496">
        <v>149</v>
      </c>
      <c r="G496">
        <v>4</v>
      </c>
      <c r="H496">
        <v>-180.11</v>
      </c>
      <c r="I496">
        <v>0</v>
      </c>
      <c r="J496">
        <v>-1.29</v>
      </c>
      <c r="K496" s="245">
        <v>-12.78</v>
      </c>
      <c r="L496" s="245">
        <v>70.89</v>
      </c>
      <c r="M496" s="245">
        <v>10.55</v>
      </c>
      <c r="N496" s="257" t="s">
        <v>6832</v>
      </c>
    </row>
    <row r="497" spans="1:14">
      <c r="A497">
        <v>2722</v>
      </c>
      <c r="B497" t="s">
        <v>5209</v>
      </c>
      <c r="C497">
        <v>11.15</v>
      </c>
      <c r="D497">
        <v>-81</v>
      </c>
      <c r="E497">
        <v>-102</v>
      </c>
      <c r="F497">
        <v>7</v>
      </c>
      <c r="G497">
        <v>-5</v>
      </c>
      <c r="H497">
        <v>-0.39</v>
      </c>
      <c r="I497">
        <v>0.2</v>
      </c>
      <c r="J497">
        <v>0.18</v>
      </c>
      <c r="K497" s="245">
        <v>-26.57</v>
      </c>
      <c r="L497" s="245">
        <v>11.89</v>
      </c>
      <c r="M497" s="245">
        <v>41.1</v>
      </c>
      <c r="N497" s="257" t="s">
        <v>6830</v>
      </c>
    </row>
    <row r="498" spans="1:14">
      <c r="A498">
        <v>2723</v>
      </c>
      <c r="B498" t="s">
        <v>5210</v>
      </c>
      <c r="C498">
        <v>18</v>
      </c>
      <c r="D498">
        <v>7</v>
      </c>
      <c r="E498">
        <v>-11</v>
      </c>
      <c r="F498">
        <v>-21</v>
      </c>
      <c r="G498">
        <v>-21</v>
      </c>
      <c r="H498">
        <v>7.13</v>
      </c>
      <c r="I498">
        <v>5</v>
      </c>
      <c r="J498">
        <v>6.07</v>
      </c>
      <c r="K498" s="245">
        <v>-51.41</v>
      </c>
      <c r="L498" s="245">
        <v>24.59</v>
      </c>
      <c r="M498" s="245">
        <v>487.6</v>
      </c>
      <c r="N498" s="257" t="s">
        <v>6830</v>
      </c>
    </row>
    <row r="499" spans="1:14">
      <c r="A499">
        <v>2724</v>
      </c>
      <c r="B499" t="s">
        <v>6458</v>
      </c>
      <c r="C499">
        <v>5.96</v>
      </c>
      <c r="D499">
        <v>70</v>
      </c>
      <c r="E499">
        <v>68</v>
      </c>
      <c r="F499">
        <v>0</v>
      </c>
      <c r="G499">
        <v>-22</v>
      </c>
      <c r="H499">
        <v>-41.24</v>
      </c>
      <c r="I499">
        <v>0</v>
      </c>
      <c r="J499">
        <v>-1.0900000000000001</v>
      </c>
      <c r="K499" s="245">
        <v>-20.62</v>
      </c>
      <c r="L499" s="245">
        <v>58.17</v>
      </c>
      <c r="M499" s="245">
        <v>3.45</v>
      </c>
      <c r="N499" s="257" t="s">
        <v>6832</v>
      </c>
    </row>
    <row r="500" spans="1:14">
      <c r="A500">
        <v>2726</v>
      </c>
      <c r="B500" t="s">
        <v>5211</v>
      </c>
      <c r="C500">
        <v>3.57</v>
      </c>
      <c r="D500">
        <v>-392</v>
      </c>
      <c r="E500">
        <v>-609</v>
      </c>
      <c r="F500">
        <v>17</v>
      </c>
      <c r="G500">
        <v>-50</v>
      </c>
      <c r="H500">
        <v>-7.77</v>
      </c>
      <c r="I500">
        <v>0</v>
      </c>
      <c r="J500">
        <v>-2.65</v>
      </c>
      <c r="K500" s="245">
        <v>-67.349999999999994</v>
      </c>
      <c r="L500" s="245">
        <v>15.56</v>
      </c>
      <c r="M500" s="245">
        <v>90.9</v>
      </c>
      <c r="N500" s="257" t="s">
        <v>6830</v>
      </c>
    </row>
    <row r="501" spans="1:14">
      <c r="A501">
        <v>2727</v>
      </c>
      <c r="B501" t="s">
        <v>5212</v>
      </c>
      <c r="C501">
        <v>7.69</v>
      </c>
      <c r="D501">
        <v>-167</v>
      </c>
      <c r="E501">
        <v>-103</v>
      </c>
      <c r="F501">
        <v>-13</v>
      </c>
      <c r="G501">
        <v>-22</v>
      </c>
      <c r="H501">
        <v>-0.12</v>
      </c>
      <c r="I501">
        <v>0</v>
      </c>
      <c r="J501">
        <v>-1.4</v>
      </c>
      <c r="K501" s="245">
        <v>-42.58</v>
      </c>
      <c r="L501" s="245">
        <v>14.06</v>
      </c>
      <c r="M501" s="245">
        <v>239.65</v>
      </c>
      <c r="N501" s="257" t="s">
        <v>6830</v>
      </c>
    </row>
    <row r="502" spans="1:14">
      <c r="A502">
        <v>2729</v>
      </c>
      <c r="B502" t="s">
        <v>6459</v>
      </c>
      <c r="C502">
        <v>2.3199999999999998</v>
      </c>
      <c r="D502">
        <v>-55</v>
      </c>
      <c r="E502">
        <v>-68</v>
      </c>
      <c r="F502">
        <v>-21</v>
      </c>
      <c r="G502">
        <v>-30</v>
      </c>
      <c r="H502">
        <v>3.62</v>
      </c>
      <c r="I502">
        <v>7.15</v>
      </c>
      <c r="J502">
        <v>7.04</v>
      </c>
      <c r="K502" s="245">
        <v>-16.28</v>
      </c>
      <c r="L502" s="245">
        <v>41.93</v>
      </c>
      <c r="M502" s="245">
        <v>13.65</v>
      </c>
      <c r="N502" s="257" t="s">
        <v>6830</v>
      </c>
    </row>
    <row r="503" spans="1:14">
      <c r="A503">
        <v>2731</v>
      </c>
      <c r="B503" t="s">
        <v>5213</v>
      </c>
      <c r="C503">
        <v>7.65</v>
      </c>
      <c r="D503">
        <v>-17</v>
      </c>
      <c r="E503">
        <v>0</v>
      </c>
      <c r="F503">
        <v>-17</v>
      </c>
      <c r="G503">
        <v>-34</v>
      </c>
      <c r="H503">
        <v>-54.53</v>
      </c>
      <c r="I503">
        <v>0</v>
      </c>
      <c r="J503">
        <v>-6.43</v>
      </c>
      <c r="K503" s="245">
        <v>-15.07</v>
      </c>
      <c r="L503" s="245">
        <v>25.75</v>
      </c>
      <c r="M503" s="245">
        <v>1268.95</v>
      </c>
      <c r="N503" s="257" t="s">
        <v>6831</v>
      </c>
    </row>
    <row r="504" spans="1:14">
      <c r="A504">
        <v>2732</v>
      </c>
      <c r="B504" t="s">
        <v>5214</v>
      </c>
      <c r="C504">
        <v>4.59</v>
      </c>
      <c r="D504">
        <v>-19</v>
      </c>
      <c r="E504">
        <v>-19</v>
      </c>
      <c r="F504">
        <v>-7</v>
      </c>
      <c r="G504">
        <v>-8</v>
      </c>
      <c r="H504">
        <v>4.62</v>
      </c>
      <c r="I504">
        <v>2.34</v>
      </c>
      <c r="J504">
        <v>3.08</v>
      </c>
      <c r="K504" s="245">
        <v>-27.01</v>
      </c>
      <c r="L504" s="245">
        <v>14.67</v>
      </c>
      <c r="M504" s="245">
        <v>47.55</v>
      </c>
      <c r="N504" s="257" t="s">
        <v>6830</v>
      </c>
    </row>
    <row r="505" spans="1:14">
      <c r="A505">
        <v>2734</v>
      </c>
      <c r="B505" t="s">
        <v>6460</v>
      </c>
      <c r="C505">
        <v>3.72</v>
      </c>
      <c r="D505">
        <v>1</v>
      </c>
      <c r="E505">
        <v>15</v>
      </c>
      <c r="F505">
        <v>119</v>
      </c>
      <c r="G505">
        <v>27</v>
      </c>
      <c r="H505">
        <v>-45.5</v>
      </c>
      <c r="I505">
        <v>0</v>
      </c>
      <c r="J505">
        <v>-2.29</v>
      </c>
      <c r="K505" s="245">
        <v>-17.73</v>
      </c>
      <c r="L505" s="245">
        <v>40.68</v>
      </c>
      <c r="M505" s="245">
        <v>408.4</v>
      </c>
      <c r="N505" s="257" t="s">
        <v>6831</v>
      </c>
    </row>
    <row r="506" spans="1:14">
      <c r="A506">
        <v>2736</v>
      </c>
      <c r="B506" t="s">
        <v>5215</v>
      </c>
      <c r="C506">
        <v>4.8899999999999997</v>
      </c>
      <c r="D506">
        <v>-489</v>
      </c>
      <c r="E506">
        <v>-205</v>
      </c>
      <c r="F506">
        <v>-24</v>
      </c>
      <c r="G506">
        <v>-26</v>
      </c>
      <c r="H506">
        <v>-6.14</v>
      </c>
      <c r="I506">
        <v>0</v>
      </c>
      <c r="J506">
        <v>-0.69</v>
      </c>
      <c r="K506" s="245">
        <v>-17.14</v>
      </c>
      <c r="L506" s="245">
        <v>58.97</v>
      </c>
      <c r="M506" s="245">
        <v>207.2</v>
      </c>
      <c r="N506" s="257" t="s">
        <v>6831</v>
      </c>
    </row>
    <row r="507" spans="1:14">
      <c r="A507">
        <v>2739</v>
      </c>
      <c r="B507" t="s">
        <v>6461</v>
      </c>
      <c r="C507">
        <v>11.15</v>
      </c>
      <c r="D507">
        <v>-104</v>
      </c>
      <c r="E507">
        <v>-92</v>
      </c>
      <c r="F507">
        <v>-25</v>
      </c>
      <c r="G507">
        <v>-14</v>
      </c>
      <c r="H507">
        <v>-34.35</v>
      </c>
      <c r="I507">
        <v>0</v>
      </c>
      <c r="J507">
        <v>-6.45</v>
      </c>
      <c r="K507" s="245">
        <v>-18.7</v>
      </c>
      <c r="L507" s="245">
        <v>41.42</v>
      </c>
      <c r="M507" s="245">
        <v>37.15</v>
      </c>
      <c r="N507" s="257" t="s">
        <v>6830</v>
      </c>
    </row>
    <row r="508" spans="1:14">
      <c r="A508">
        <v>2740</v>
      </c>
      <c r="B508" t="s">
        <v>6462</v>
      </c>
      <c r="C508">
        <v>1.31</v>
      </c>
      <c r="D508">
        <v>13</v>
      </c>
      <c r="E508">
        <v>10</v>
      </c>
      <c r="F508">
        <v>-31</v>
      </c>
      <c r="G508">
        <v>-62</v>
      </c>
      <c r="H508">
        <v>-39.36</v>
      </c>
      <c r="I508">
        <v>0</v>
      </c>
      <c r="J508">
        <v>-2.65</v>
      </c>
      <c r="K508" s="245">
        <v>-19.579999999999998</v>
      </c>
      <c r="L508" s="245">
        <v>55.34</v>
      </c>
      <c r="M508" s="245">
        <v>1.25</v>
      </c>
      <c r="N508" s="257" t="s">
        <v>6831</v>
      </c>
    </row>
    <row r="509" spans="1:14">
      <c r="A509">
        <v>2743</v>
      </c>
      <c r="B509" t="s">
        <v>5216</v>
      </c>
      <c r="C509">
        <v>3.2</v>
      </c>
      <c r="D509">
        <v>-34</v>
      </c>
      <c r="E509">
        <v>0</v>
      </c>
      <c r="F509">
        <v>4</v>
      </c>
      <c r="G509">
        <v>-47</v>
      </c>
      <c r="H509">
        <v>-44.6</v>
      </c>
      <c r="I509">
        <v>0</v>
      </c>
      <c r="J509">
        <v>-1.64</v>
      </c>
      <c r="K509" s="245">
        <v>-11.92</v>
      </c>
      <c r="L509" s="245">
        <v>82.47</v>
      </c>
      <c r="M509" s="245">
        <v>9332.85</v>
      </c>
      <c r="N509" s="257" t="s">
        <v>6832</v>
      </c>
    </row>
    <row r="510" spans="1:14">
      <c r="A510">
        <v>2745</v>
      </c>
      <c r="B510" t="s">
        <v>6463</v>
      </c>
      <c r="C510">
        <v>2.93</v>
      </c>
      <c r="D510">
        <v>-52</v>
      </c>
      <c r="E510">
        <v>19</v>
      </c>
      <c r="F510">
        <v>44</v>
      </c>
      <c r="G510">
        <v>-35</v>
      </c>
      <c r="H510">
        <v>-133.61000000000001</v>
      </c>
      <c r="I510">
        <v>0</v>
      </c>
      <c r="J510">
        <v>-4.41</v>
      </c>
      <c r="K510" s="245">
        <v>-10.53</v>
      </c>
      <c r="L510" s="245">
        <v>57.8</v>
      </c>
      <c r="M510" s="245">
        <v>350.65</v>
      </c>
      <c r="N510" s="257" t="s">
        <v>6832</v>
      </c>
    </row>
    <row r="511" spans="1:14">
      <c r="A511">
        <v>2748</v>
      </c>
      <c r="B511" t="s">
        <v>5217</v>
      </c>
      <c r="C511">
        <v>9.0399999999999991</v>
      </c>
      <c r="D511">
        <v>-126</v>
      </c>
      <c r="E511">
        <v>-160</v>
      </c>
      <c r="F511">
        <v>-21</v>
      </c>
      <c r="G511">
        <v>5</v>
      </c>
      <c r="H511">
        <v>-3.78</v>
      </c>
      <c r="I511">
        <v>0.5</v>
      </c>
      <c r="J511">
        <v>-0.38</v>
      </c>
      <c r="K511" s="245">
        <v>-16.39</v>
      </c>
      <c r="L511" s="245">
        <v>23.93</v>
      </c>
      <c r="M511" s="245">
        <v>42.2</v>
      </c>
      <c r="N511" s="257" t="s">
        <v>6830</v>
      </c>
    </row>
    <row r="512" spans="1:14">
      <c r="A512">
        <v>2752</v>
      </c>
      <c r="B512" t="s">
        <v>6464</v>
      </c>
      <c r="C512">
        <v>2.2999999999999998</v>
      </c>
      <c r="D512">
        <v>-34</v>
      </c>
      <c r="E512">
        <v>-36</v>
      </c>
      <c r="F512">
        <v>-19</v>
      </c>
      <c r="G512">
        <v>-12</v>
      </c>
      <c r="H512">
        <v>8.8000000000000007</v>
      </c>
      <c r="I512">
        <v>5.7</v>
      </c>
      <c r="J512">
        <v>6.68</v>
      </c>
      <c r="K512" s="245">
        <v>-10.18</v>
      </c>
      <c r="L512" s="245">
        <v>30.52</v>
      </c>
      <c r="M512" s="245">
        <v>7.5</v>
      </c>
      <c r="N512" s="257" t="s">
        <v>6831</v>
      </c>
    </row>
    <row r="513" spans="1:14">
      <c r="A513">
        <v>2753</v>
      </c>
      <c r="B513" t="s">
        <v>6141</v>
      </c>
      <c r="C513">
        <v>6.6</v>
      </c>
      <c r="D513">
        <v>-17</v>
      </c>
      <c r="E513">
        <v>-14</v>
      </c>
      <c r="F513">
        <v>0</v>
      </c>
      <c r="G513">
        <v>13</v>
      </c>
      <c r="H513">
        <v>10.97</v>
      </c>
      <c r="I513">
        <v>6.5</v>
      </c>
      <c r="J513">
        <v>8.74</v>
      </c>
      <c r="K513" s="245" t="s">
        <v>6279</v>
      </c>
      <c r="L513" s="245" t="s">
        <v>6279</v>
      </c>
      <c r="M513" s="245" t="s">
        <v>6279</v>
      </c>
      <c r="N513" s="257" t="s">
        <v>6279</v>
      </c>
    </row>
    <row r="514" spans="1:14">
      <c r="A514">
        <v>2754</v>
      </c>
      <c r="B514" t="s">
        <v>6308</v>
      </c>
      <c r="C514">
        <v>4.62</v>
      </c>
      <c r="D514">
        <v>-29</v>
      </c>
      <c r="E514">
        <v>-35</v>
      </c>
      <c r="F514">
        <v>-9</v>
      </c>
      <c r="G514">
        <v>14</v>
      </c>
      <c r="H514">
        <v>1.29</v>
      </c>
      <c r="I514">
        <v>0.45</v>
      </c>
      <c r="J514">
        <v>0.49</v>
      </c>
      <c r="K514" s="245">
        <v>-14.16</v>
      </c>
      <c r="L514" s="245">
        <v>17.79</v>
      </c>
      <c r="M514" s="245">
        <v>26.35</v>
      </c>
      <c r="N514" s="257" t="s">
        <v>6830</v>
      </c>
    </row>
    <row r="515" spans="1:14">
      <c r="A515">
        <v>2755</v>
      </c>
      <c r="B515" t="s">
        <v>6465</v>
      </c>
      <c r="C515">
        <v>2</v>
      </c>
      <c r="D515">
        <v>3</v>
      </c>
      <c r="E515">
        <v>8</v>
      </c>
      <c r="F515">
        <v>-3</v>
      </c>
      <c r="G515">
        <v>10</v>
      </c>
      <c r="H515">
        <v>6.31</v>
      </c>
      <c r="I515">
        <v>3</v>
      </c>
      <c r="J515">
        <v>3.65</v>
      </c>
      <c r="K515" s="245">
        <v>-1.44</v>
      </c>
      <c r="L515" s="245">
        <v>86.08</v>
      </c>
      <c r="M515" s="245">
        <v>13</v>
      </c>
      <c r="N515" s="257" t="s">
        <v>6832</v>
      </c>
    </row>
    <row r="516" spans="1:14">
      <c r="A516">
        <v>2801</v>
      </c>
      <c r="B516" t="s">
        <v>5218</v>
      </c>
      <c r="C516">
        <v>1048</v>
      </c>
      <c r="D516">
        <v>25</v>
      </c>
      <c r="E516">
        <v>0</v>
      </c>
      <c r="F516">
        <v>3</v>
      </c>
      <c r="G516">
        <v>38</v>
      </c>
      <c r="H516">
        <v>0</v>
      </c>
      <c r="I516">
        <v>0.6</v>
      </c>
      <c r="J516">
        <v>0.84</v>
      </c>
      <c r="K516" s="245">
        <v>-11.28</v>
      </c>
      <c r="L516" s="245">
        <v>28.99</v>
      </c>
      <c r="M516" s="245">
        <v>11912.85</v>
      </c>
      <c r="N516" s="257" t="s">
        <v>6831</v>
      </c>
    </row>
    <row r="517" spans="1:14">
      <c r="A517">
        <v>2809</v>
      </c>
      <c r="B517" t="s">
        <v>5219</v>
      </c>
      <c r="C517">
        <v>112</v>
      </c>
      <c r="D517">
        <v>2</v>
      </c>
      <c r="E517">
        <v>0</v>
      </c>
      <c r="F517">
        <v>134</v>
      </c>
      <c r="G517">
        <v>-86</v>
      </c>
      <c r="H517">
        <v>0</v>
      </c>
      <c r="I517">
        <v>2.1</v>
      </c>
      <c r="J517">
        <v>5.0199999999999996</v>
      </c>
      <c r="K517" s="245">
        <v>-15.81</v>
      </c>
      <c r="L517" s="245">
        <v>21.11</v>
      </c>
      <c r="M517" s="245">
        <v>2440.0500000000002</v>
      </c>
      <c r="N517" s="257" t="s">
        <v>6830</v>
      </c>
    </row>
    <row r="518" spans="1:14">
      <c r="A518">
        <v>2812</v>
      </c>
      <c r="B518" t="s">
        <v>5220</v>
      </c>
      <c r="C518">
        <v>453</v>
      </c>
      <c r="D518">
        <v>19</v>
      </c>
      <c r="E518">
        <v>0</v>
      </c>
      <c r="F518">
        <v>-14</v>
      </c>
      <c r="G518">
        <v>-7</v>
      </c>
      <c r="H518">
        <v>0</v>
      </c>
      <c r="I518">
        <v>0.75</v>
      </c>
      <c r="J518">
        <v>1.1000000000000001</v>
      </c>
      <c r="K518" s="245">
        <v>-17.28</v>
      </c>
      <c r="L518" s="245">
        <v>30.38</v>
      </c>
      <c r="M518" s="245">
        <v>8271.0499999999993</v>
      </c>
      <c r="N518" s="257" t="s">
        <v>6831</v>
      </c>
    </row>
    <row r="519" spans="1:14">
      <c r="A519">
        <v>2816</v>
      </c>
      <c r="B519" t="s">
        <v>5221</v>
      </c>
      <c r="C519">
        <v>22.36</v>
      </c>
      <c r="D519">
        <v>0</v>
      </c>
      <c r="E519">
        <v>17</v>
      </c>
      <c r="F519">
        <v>-23</v>
      </c>
      <c r="G519">
        <v>-36</v>
      </c>
      <c r="H519">
        <v>9.01</v>
      </c>
      <c r="I519">
        <v>1</v>
      </c>
      <c r="J519">
        <v>3.12</v>
      </c>
      <c r="K519" s="245">
        <v>-17.29</v>
      </c>
      <c r="L519" s="245">
        <v>21.65</v>
      </c>
      <c r="M519" s="245">
        <v>166.6</v>
      </c>
      <c r="N519" s="257" t="s">
        <v>6830</v>
      </c>
    </row>
    <row r="520" spans="1:14">
      <c r="A520">
        <v>2820</v>
      </c>
      <c r="B520" t="s">
        <v>5222</v>
      </c>
      <c r="C520">
        <v>134</v>
      </c>
      <c r="D520">
        <v>17</v>
      </c>
      <c r="E520">
        <v>0</v>
      </c>
      <c r="F520">
        <v>-51</v>
      </c>
      <c r="G520">
        <v>-71</v>
      </c>
      <c r="H520">
        <v>0</v>
      </c>
      <c r="I520">
        <v>0.9</v>
      </c>
      <c r="J520">
        <v>1.38</v>
      </c>
      <c r="K520" s="245">
        <v>-7.48</v>
      </c>
      <c r="L520" s="245">
        <v>41.97</v>
      </c>
      <c r="M520" s="245">
        <v>1314.05</v>
      </c>
      <c r="N520" s="257" t="s">
        <v>6831</v>
      </c>
    </row>
    <row r="521" spans="1:14">
      <c r="A521">
        <v>2832</v>
      </c>
      <c r="B521" t="s">
        <v>5223</v>
      </c>
      <c r="C521">
        <v>36.22</v>
      </c>
      <c r="D521">
        <v>-45</v>
      </c>
      <c r="E521">
        <v>-47</v>
      </c>
      <c r="F521">
        <v>-3</v>
      </c>
      <c r="G521">
        <v>-19</v>
      </c>
      <c r="H521">
        <v>5.43</v>
      </c>
      <c r="I521">
        <v>0.75</v>
      </c>
      <c r="J521">
        <v>1.03</v>
      </c>
      <c r="K521" s="245">
        <v>-10.55</v>
      </c>
      <c r="L521" s="245">
        <v>21.72</v>
      </c>
      <c r="M521" s="245">
        <v>270.60000000000002</v>
      </c>
      <c r="N521" s="257" t="s">
        <v>6830</v>
      </c>
    </row>
    <row r="522" spans="1:14">
      <c r="A522">
        <v>2834</v>
      </c>
      <c r="B522" t="s">
        <v>5224</v>
      </c>
      <c r="C522">
        <v>774</v>
      </c>
      <c r="D522">
        <v>8</v>
      </c>
      <c r="E522">
        <v>0</v>
      </c>
      <c r="F522">
        <v>1</v>
      </c>
      <c r="G522">
        <v>11</v>
      </c>
      <c r="H522">
        <v>0</v>
      </c>
      <c r="I522">
        <v>0.47</v>
      </c>
      <c r="J522">
        <v>0.66</v>
      </c>
      <c r="K522" s="245">
        <v>-17.989999999999998</v>
      </c>
      <c r="L522" s="245">
        <v>34.42</v>
      </c>
      <c r="M522" s="245">
        <v>60746.400000000001</v>
      </c>
      <c r="N522" s="257" t="s">
        <v>6831</v>
      </c>
    </row>
    <row r="523" spans="1:14">
      <c r="A523">
        <v>2836</v>
      </c>
      <c r="B523" t="s">
        <v>5225</v>
      </c>
      <c r="C523">
        <v>116</v>
      </c>
      <c r="D523">
        <v>19</v>
      </c>
      <c r="E523">
        <v>0</v>
      </c>
      <c r="F523">
        <v>-8</v>
      </c>
      <c r="G523">
        <v>-2</v>
      </c>
      <c r="H523">
        <v>0</v>
      </c>
      <c r="I523">
        <v>0.7</v>
      </c>
      <c r="J523">
        <v>0.78</v>
      </c>
      <c r="K523" s="245">
        <v>-19.27</v>
      </c>
      <c r="L523" s="245">
        <v>25.09</v>
      </c>
      <c r="M523" s="245">
        <v>1427.4</v>
      </c>
      <c r="N523" s="257" t="s">
        <v>6831</v>
      </c>
    </row>
    <row r="524" spans="1:14">
      <c r="A524">
        <v>2838</v>
      </c>
      <c r="B524" t="s">
        <v>5226</v>
      </c>
      <c r="C524">
        <v>329</v>
      </c>
      <c r="D524">
        <v>29</v>
      </c>
      <c r="E524">
        <v>0</v>
      </c>
      <c r="F524">
        <v>12</v>
      </c>
      <c r="G524">
        <v>-35</v>
      </c>
      <c r="H524">
        <v>0</v>
      </c>
      <c r="I524">
        <v>1.03</v>
      </c>
      <c r="J524">
        <v>1.21</v>
      </c>
      <c r="K524" s="245">
        <v>-20.61</v>
      </c>
      <c r="L524" s="245">
        <v>33.409999999999997</v>
      </c>
      <c r="M524" s="245">
        <v>3369.8</v>
      </c>
      <c r="N524" s="257" t="s">
        <v>6831</v>
      </c>
    </row>
    <row r="525" spans="1:14">
      <c r="A525">
        <v>2845</v>
      </c>
      <c r="B525" t="s">
        <v>5227</v>
      </c>
      <c r="C525">
        <v>351</v>
      </c>
      <c r="D525">
        <v>16</v>
      </c>
      <c r="E525">
        <v>0</v>
      </c>
      <c r="F525">
        <v>18</v>
      </c>
      <c r="G525">
        <v>12</v>
      </c>
      <c r="H525">
        <v>0</v>
      </c>
      <c r="I525">
        <v>0.59</v>
      </c>
      <c r="J525">
        <v>0.84</v>
      </c>
      <c r="K525" s="245">
        <v>-12.93</v>
      </c>
      <c r="L525" s="245">
        <v>35.31</v>
      </c>
      <c r="M525" s="245">
        <v>5951.95</v>
      </c>
      <c r="N525" s="257" t="s">
        <v>6831</v>
      </c>
    </row>
    <row r="526" spans="1:14">
      <c r="A526">
        <v>2849</v>
      </c>
      <c r="B526" t="s">
        <v>5228</v>
      </c>
      <c r="C526">
        <v>195</v>
      </c>
      <c r="D526">
        <v>7</v>
      </c>
      <c r="E526">
        <v>0</v>
      </c>
      <c r="F526">
        <v>-7</v>
      </c>
      <c r="G526">
        <v>1</v>
      </c>
      <c r="H526">
        <v>0</v>
      </c>
      <c r="I526">
        <v>0.73</v>
      </c>
      <c r="J526">
        <v>1.19</v>
      </c>
      <c r="K526" s="245">
        <v>-12.1</v>
      </c>
      <c r="L526" s="245">
        <v>29.3</v>
      </c>
      <c r="M526" s="245">
        <v>107.55</v>
      </c>
      <c r="N526" s="257" t="s">
        <v>6830</v>
      </c>
    </row>
    <row r="527" spans="1:14">
      <c r="A527">
        <v>2850</v>
      </c>
      <c r="B527" t="s">
        <v>5229</v>
      </c>
      <c r="C527">
        <v>31.59</v>
      </c>
      <c r="D527">
        <v>38</v>
      </c>
      <c r="E527">
        <v>39</v>
      </c>
      <c r="F527">
        <v>-7</v>
      </c>
      <c r="G527">
        <v>-5</v>
      </c>
      <c r="H527">
        <v>14.43</v>
      </c>
      <c r="I527">
        <v>3.2</v>
      </c>
      <c r="J527">
        <v>7.13</v>
      </c>
      <c r="K527" s="245">
        <v>-8.33</v>
      </c>
      <c r="L527" s="245">
        <v>51.76</v>
      </c>
      <c r="M527" s="245">
        <v>476.65</v>
      </c>
      <c r="N527" s="257" t="s">
        <v>6832</v>
      </c>
    </row>
    <row r="528" spans="1:14">
      <c r="A528">
        <v>2851</v>
      </c>
      <c r="B528" t="s">
        <v>5230</v>
      </c>
      <c r="C528">
        <v>59.03</v>
      </c>
      <c r="D528">
        <v>36</v>
      </c>
      <c r="E528">
        <v>38</v>
      </c>
      <c r="F528">
        <v>34</v>
      </c>
      <c r="G528">
        <v>36</v>
      </c>
      <c r="H528">
        <v>12.09</v>
      </c>
      <c r="I528">
        <v>1.8</v>
      </c>
      <c r="J528">
        <v>3.5</v>
      </c>
      <c r="K528" s="245">
        <v>-30.82</v>
      </c>
      <c r="L528" s="245">
        <v>35.880000000000003</v>
      </c>
      <c r="M528" s="245">
        <v>765.45</v>
      </c>
      <c r="N528" s="257" t="s">
        <v>6831</v>
      </c>
    </row>
    <row r="529" spans="1:14">
      <c r="A529">
        <v>2852</v>
      </c>
      <c r="B529" t="s">
        <v>5231</v>
      </c>
      <c r="C529">
        <v>30.11</v>
      </c>
      <c r="D529">
        <v>261</v>
      </c>
      <c r="E529">
        <v>210</v>
      </c>
      <c r="F529">
        <v>5</v>
      </c>
      <c r="G529">
        <v>5</v>
      </c>
      <c r="H529">
        <v>9.8800000000000008</v>
      </c>
      <c r="I529">
        <v>1.21</v>
      </c>
      <c r="J529">
        <v>1.84</v>
      </c>
      <c r="K529" s="245">
        <v>-9.36</v>
      </c>
      <c r="L529" s="245">
        <v>46.07</v>
      </c>
      <c r="M529" s="245">
        <v>384.2</v>
      </c>
      <c r="N529" s="257" t="s">
        <v>6831</v>
      </c>
    </row>
    <row r="530" spans="1:14">
      <c r="A530">
        <v>2855</v>
      </c>
      <c r="B530" t="s">
        <v>5232</v>
      </c>
      <c r="C530">
        <v>145</v>
      </c>
      <c r="D530">
        <v>10</v>
      </c>
      <c r="E530">
        <v>18</v>
      </c>
      <c r="F530">
        <v>18</v>
      </c>
      <c r="G530">
        <v>-75</v>
      </c>
      <c r="H530">
        <v>36.72</v>
      </c>
      <c r="I530">
        <v>1.89</v>
      </c>
      <c r="J530">
        <v>2.75</v>
      </c>
      <c r="K530" s="245">
        <v>-33.69</v>
      </c>
      <c r="L530" s="245">
        <v>18.96</v>
      </c>
      <c r="M530" s="245">
        <v>1274.8499999999999</v>
      </c>
      <c r="N530" s="257" t="s">
        <v>6830</v>
      </c>
    </row>
    <row r="531" spans="1:14">
      <c r="A531">
        <v>2867</v>
      </c>
      <c r="B531" t="s">
        <v>5233</v>
      </c>
      <c r="C531">
        <v>309</v>
      </c>
      <c r="D531">
        <v>-24</v>
      </c>
      <c r="E531">
        <v>-175</v>
      </c>
      <c r="F531">
        <v>-35</v>
      </c>
      <c r="G531">
        <v>-35</v>
      </c>
      <c r="H531">
        <v>-0.83</v>
      </c>
      <c r="I531">
        <v>0</v>
      </c>
      <c r="J531">
        <v>0.42</v>
      </c>
      <c r="K531" s="245">
        <v>-30.2</v>
      </c>
      <c r="L531" s="245">
        <v>11.88</v>
      </c>
      <c r="M531" s="245">
        <v>8570.5499999999993</v>
      </c>
      <c r="N531" s="257" t="s">
        <v>6830</v>
      </c>
    </row>
    <row r="532" spans="1:14">
      <c r="A532">
        <v>2880</v>
      </c>
      <c r="B532" t="s">
        <v>5234</v>
      </c>
      <c r="C532">
        <v>1319</v>
      </c>
      <c r="D532">
        <v>98</v>
      </c>
      <c r="E532">
        <v>0</v>
      </c>
      <c r="F532">
        <v>-7</v>
      </c>
      <c r="G532">
        <v>9</v>
      </c>
      <c r="H532">
        <v>0</v>
      </c>
      <c r="I532">
        <v>1.1200000000000001</v>
      </c>
      <c r="J532">
        <v>1.3</v>
      </c>
      <c r="K532" s="245">
        <v>-14.79</v>
      </c>
      <c r="L532" s="245">
        <v>27.38</v>
      </c>
      <c r="M532" s="245">
        <v>14141.3</v>
      </c>
      <c r="N532" s="257" t="s">
        <v>6831</v>
      </c>
    </row>
    <row r="533" spans="1:14">
      <c r="A533">
        <v>2881</v>
      </c>
      <c r="B533" t="s">
        <v>5235</v>
      </c>
      <c r="C533">
        <v>1180</v>
      </c>
      <c r="D533">
        <v>61</v>
      </c>
      <c r="E533">
        <v>0</v>
      </c>
      <c r="F533">
        <v>14</v>
      </c>
      <c r="G533">
        <v>-16</v>
      </c>
      <c r="H533">
        <v>0</v>
      </c>
      <c r="I533">
        <v>4</v>
      </c>
      <c r="J533">
        <v>12.49</v>
      </c>
      <c r="K533" s="245">
        <v>-27.19</v>
      </c>
      <c r="L533" s="245">
        <v>24.41</v>
      </c>
      <c r="M533" s="245">
        <v>28325.95</v>
      </c>
      <c r="N533" s="257" t="s">
        <v>6830</v>
      </c>
    </row>
    <row r="534" spans="1:14">
      <c r="A534">
        <v>2882</v>
      </c>
      <c r="B534" t="s">
        <v>5236</v>
      </c>
      <c r="C534">
        <v>1316</v>
      </c>
      <c r="D534">
        <v>85</v>
      </c>
      <c r="E534">
        <v>0</v>
      </c>
      <c r="F534">
        <v>-34</v>
      </c>
      <c r="G534">
        <v>-43</v>
      </c>
      <c r="H534">
        <v>0</v>
      </c>
      <c r="I534">
        <v>3.5</v>
      </c>
      <c r="J534">
        <v>10.34</v>
      </c>
      <c r="K534" s="245">
        <v>-22.22</v>
      </c>
      <c r="L534" s="245">
        <v>28.91</v>
      </c>
      <c r="M534" s="245">
        <v>23940.75</v>
      </c>
      <c r="N534" s="257" t="s">
        <v>6830</v>
      </c>
    </row>
    <row r="535" spans="1:14">
      <c r="A535">
        <v>2883</v>
      </c>
      <c r="B535" t="s">
        <v>5237</v>
      </c>
      <c r="C535">
        <v>1719</v>
      </c>
      <c r="D535">
        <v>127</v>
      </c>
      <c r="E535">
        <v>0</v>
      </c>
      <c r="F535">
        <v>-39</v>
      </c>
      <c r="G535">
        <v>-30</v>
      </c>
      <c r="H535">
        <v>0</v>
      </c>
      <c r="I535">
        <v>1</v>
      </c>
      <c r="J535">
        <v>2.34</v>
      </c>
      <c r="K535" s="245">
        <v>-21.14</v>
      </c>
      <c r="L535" s="245">
        <v>23.09</v>
      </c>
      <c r="M535" s="245">
        <v>60539.1</v>
      </c>
      <c r="N535" s="257" t="s">
        <v>6831</v>
      </c>
    </row>
    <row r="536" spans="1:14">
      <c r="A536">
        <v>2884</v>
      </c>
      <c r="B536" t="s">
        <v>5238</v>
      </c>
      <c r="C536">
        <v>1335</v>
      </c>
      <c r="D536">
        <v>14</v>
      </c>
      <c r="E536">
        <v>0</v>
      </c>
      <c r="F536">
        <v>-15</v>
      </c>
      <c r="G536">
        <v>-21</v>
      </c>
      <c r="H536">
        <v>0</v>
      </c>
      <c r="I536">
        <v>1.34</v>
      </c>
      <c r="J536">
        <v>1.54</v>
      </c>
      <c r="K536" s="245">
        <v>-18.489999999999998</v>
      </c>
      <c r="L536" s="245">
        <v>32.22</v>
      </c>
      <c r="M536" s="245">
        <v>33274.300000000003</v>
      </c>
      <c r="N536" s="257" t="s">
        <v>6830</v>
      </c>
    </row>
    <row r="537" spans="1:14">
      <c r="A537">
        <v>2885</v>
      </c>
      <c r="B537" t="s">
        <v>5239</v>
      </c>
      <c r="C537">
        <v>1213</v>
      </c>
      <c r="D537">
        <v>43</v>
      </c>
      <c r="E537">
        <v>0</v>
      </c>
      <c r="F537">
        <v>-12</v>
      </c>
      <c r="G537">
        <v>-31</v>
      </c>
      <c r="H537">
        <v>0</v>
      </c>
      <c r="I537">
        <v>1.8</v>
      </c>
      <c r="J537">
        <v>2.87</v>
      </c>
      <c r="K537" s="245">
        <v>-13.67</v>
      </c>
      <c r="L537" s="245">
        <v>36.14</v>
      </c>
      <c r="M537" s="245">
        <v>23959.9</v>
      </c>
      <c r="N537" s="257" t="s">
        <v>6830</v>
      </c>
    </row>
    <row r="538" spans="1:14">
      <c r="A538">
        <v>2886</v>
      </c>
      <c r="B538" t="s">
        <v>5240</v>
      </c>
      <c r="C538">
        <v>1359</v>
      </c>
      <c r="D538">
        <v>2</v>
      </c>
      <c r="E538">
        <v>0</v>
      </c>
      <c r="F538">
        <v>-21</v>
      </c>
      <c r="G538">
        <v>-25</v>
      </c>
      <c r="H538">
        <v>0</v>
      </c>
      <c r="I538">
        <v>1.65</v>
      </c>
      <c r="J538">
        <v>1.89</v>
      </c>
      <c r="K538" s="245">
        <v>-18.72</v>
      </c>
      <c r="L538" s="245">
        <v>27.93</v>
      </c>
      <c r="M538" s="245">
        <v>26276.400000000001</v>
      </c>
      <c r="N538" s="257" t="s">
        <v>6831</v>
      </c>
    </row>
    <row r="539" spans="1:14">
      <c r="A539">
        <v>2887</v>
      </c>
      <c r="B539" t="s">
        <v>5241</v>
      </c>
      <c r="C539">
        <v>1140</v>
      </c>
      <c r="D539">
        <v>40</v>
      </c>
      <c r="E539">
        <v>0</v>
      </c>
      <c r="F539">
        <v>-17</v>
      </c>
      <c r="G539">
        <v>12</v>
      </c>
      <c r="H539">
        <v>0</v>
      </c>
      <c r="I539">
        <v>1.1000000000000001</v>
      </c>
      <c r="J539">
        <v>1.63</v>
      </c>
      <c r="K539" s="245">
        <v>-20.75</v>
      </c>
      <c r="L539" s="245">
        <v>21.25</v>
      </c>
      <c r="M539" s="245">
        <v>39120.699999999997</v>
      </c>
      <c r="N539" s="257" t="s">
        <v>6830</v>
      </c>
    </row>
    <row r="540" spans="1:14">
      <c r="A540">
        <v>2888</v>
      </c>
      <c r="B540" t="s">
        <v>5242</v>
      </c>
      <c r="C540">
        <v>1548</v>
      </c>
      <c r="D540">
        <v>57</v>
      </c>
      <c r="E540">
        <v>0</v>
      </c>
      <c r="F540">
        <v>-29</v>
      </c>
      <c r="G540">
        <v>-34</v>
      </c>
      <c r="H540">
        <v>0</v>
      </c>
      <c r="I540">
        <v>0.43</v>
      </c>
      <c r="J540">
        <v>1.67</v>
      </c>
      <c r="K540" s="245">
        <v>-27.16</v>
      </c>
      <c r="L540" s="245">
        <v>9.42</v>
      </c>
      <c r="M540" s="245">
        <v>126521.4</v>
      </c>
      <c r="N540" s="257" t="s">
        <v>6830</v>
      </c>
    </row>
    <row r="541" spans="1:14">
      <c r="A541">
        <v>2889</v>
      </c>
      <c r="B541" t="s">
        <v>5243</v>
      </c>
      <c r="C541">
        <v>299</v>
      </c>
      <c r="D541">
        <v>23</v>
      </c>
      <c r="E541">
        <v>0</v>
      </c>
      <c r="F541">
        <v>28</v>
      </c>
      <c r="G541">
        <v>-28</v>
      </c>
      <c r="H541">
        <v>0</v>
      </c>
      <c r="I541">
        <v>1.1499999999999999</v>
      </c>
      <c r="J541">
        <v>1.3</v>
      </c>
      <c r="K541" s="245">
        <v>-12.99</v>
      </c>
      <c r="L541" s="245">
        <v>32.729999999999997</v>
      </c>
      <c r="M541" s="245">
        <v>4535.3999999999996</v>
      </c>
      <c r="N541" s="257" t="s">
        <v>6830</v>
      </c>
    </row>
    <row r="542" spans="1:14">
      <c r="A542">
        <v>2890</v>
      </c>
      <c r="B542" t="s">
        <v>5244</v>
      </c>
      <c r="C542">
        <v>1127</v>
      </c>
      <c r="D542">
        <v>32</v>
      </c>
      <c r="E542">
        <v>0</v>
      </c>
      <c r="F542">
        <v>-13</v>
      </c>
      <c r="G542">
        <v>7</v>
      </c>
      <c r="H542">
        <v>0</v>
      </c>
      <c r="I542">
        <v>0.9</v>
      </c>
      <c r="J542">
        <v>1.44</v>
      </c>
      <c r="K542" s="245">
        <v>-12.92</v>
      </c>
      <c r="L542" s="245">
        <v>34.69</v>
      </c>
      <c r="M542" s="245">
        <v>20182.150000000001</v>
      </c>
      <c r="N542" s="257" t="s">
        <v>6831</v>
      </c>
    </row>
    <row r="543" spans="1:14">
      <c r="A543">
        <v>2891</v>
      </c>
      <c r="B543" t="s">
        <v>5245</v>
      </c>
      <c r="C543">
        <v>1949</v>
      </c>
      <c r="D543">
        <v>26</v>
      </c>
      <c r="E543">
        <v>0</v>
      </c>
      <c r="F543">
        <v>-5</v>
      </c>
      <c r="G543">
        <v>24</v>
      </c>
      <c r="H543">
        <v>0</v>
      </c>
      <c r="I543">
        <v>1.25</v>
      </c>
      <c r="J543">
        <v>2.73</v>
      </c>
      <c r="K543" s="245">
        <v>-16.96</v>
      </c>
      <c r="L543" s="245">
        <v>31.11</v>
      </c>
      <c r="M543" s="245">
        <v>48617.5</v>
      </c>
      <c r="N543" s="257" t="s">
        <v>6831</v>
      </c>
    </row>
    <row r="544" spans="1:14">
      <c r="A544">
        <v>2892</v>
      </c>
      <c r="B544" t="s">
        <v>5246</v>
      </c>
      <c r="C544">
        <v>1296</v>
      </c>
      <c r="D544">
        <v>17</v>
      </c>
      <c r="E544">
        <v>0</v>
      </c>
      <c r="F544">
        <v>-8</v>
      </c>
      <c r="G544">
        <v>1</v>
      </c>
      <c r="H544">
        <v>0</v>
      </c>
      <c r="I544">
        <v>1.2</v>
      </c>
      <c r="J544">
        <v>1.52</v>
      </c>
      <c r="K544" s="245">
        <v>-14.33</v>
      </c>
      <c r="L544" s="245">
        <v>30.2</v>
      </c>
      <c r="M544" s="245">
        <v>17438.75</v>
      </c>
      <c r="N544" s="257" t="s">
        <v>6831</v>
      </c>
    </row>
    <row r="545" spans="1:14">
      <c r="A545">
        <v>2897</v>
      </c>
      <c r="B545" t="s">
        <v>5247</v>
      </c>
      <c r="C545">
        <v>273</v>
      </c>
      <c r="D545">
        <v>39</v>
      </c>
      <c r="E545">
        <v>0</v>
      </c>
      <c r="F545">
        <v>-16</v>
      </c>
      <c r="G545">
        <v>-37</v>
      </c>
      <c r="H545">
        <v>0</v>
      </c>
      <c r="I545">
        <v>0.3</v>
      </c>
      <c r="J545">
        <v>0.63</v>
      </c>
      <c r="K545" s="245">
        <v>-23.98</v>
      </c>
      <c r="L545" s="245">
        <v>22.45</v>
      </c>
      <c r="M545" s="245">
        <v>9440.4</v>
      </c>
      <c r="N545" s="257" t="s">
        <v>6831</v>
      </c>
    </row>
    <row r="546" spans="1:14">
      <c r="A546">
        <v>2901</v>
      </c>
      <c r="B546" t="s">
        <v>5248</v>
      </c>
      <c r="C546">
        <v>7.3</v>
      </c>
      <c r="D546">
        <v>-65</v>
      </c>
      <c r="E546">
        <v>-164</v>
      </c>
      <c r="F546">
        <v>-1</v>
      </c>
      <c r="G546">
        <v>14</v>
      </c>
      <c r="H546">
        <v>-5.89</v>
      </c>
      <c r="I546">
        <v>7.0000000000000007E-2</v>
      </c>
      <c r="J546">
        <v>7.0000000000000007E-2</v>
      </c>
      <c r="K546" s="245">
        <v>-31.63</v>
      </c>
      <c r="L546" s="245">
        <v>11.22</v>
      </c>
      <c r="M546" s="245">
        <v>51.25</v>
      </c>
      <c r="N546" s="257" t="s">
        <v>6830</v>
      </c>
    </row>
    <row r="547" spans="1:14">
      <c r="A547">
        <v>2903</v>
      </c>
      <c r="B547" t="s">
        <v>5249</v>
      </c>
      <c r="C547">
        <v>141</v>
      </c>
      <c r="D547">
        <v>-25</v>
      </c>
      <c r="E547">
        <v>-11</v>
      </c>
      <c r="F547">
        <v>-17</v>
      </c>
      <c r="G547">
        <v>-13</v>
      </c>
      <c r="H547">
        <v>10.29</v>
      </c>
      <c r="I547">
        <v>0.9</v>
      </c>
      <c r="J547">
        <v>0.86</v>
      </c>
      <c r="K547" s="245">
        <v>-19.75</v>
      </c>
      <c r="L547" s="245">
        <v>15.81</v>
      </c>
      <c r="M547" s="245">
        <v>447.35</v>
      </c>
      <c r="N547" s="257" t="s">
        <v>6830</v>
      </c>
    </row>
    <row r="548" spans="1:14">
      <c r="A548">
        <v>2904</v>
      </c>
      <c r="B548" t="s">
        <v>5250</v>
      </c>
      <c r="C548">
        <v>6.9</v>
      </c>
      <c r="D548">
        <v>-55</v>
      </c>
      <c r="E548">
        <v>-51</v>
      </c>
      <c r="F548">
        <v>5</v>
      </c>
      <c r="G548">
        <v>2</v>
      </c>
      <c r="H548">
        <v>18.98</v>
      </c>
      <c r="I548">
        <v>0.8</v>
      </c>
      <c r="J548">
        <v>1.03</v>
      </c>
      <c r="K548" s="245">
        <v>-27.33</v>
      </c>
      <c r="L548" s="245">
        <v>7.43</v>
      </c>
      <c r="M548" s="245">
        <v>37.35</v>
      </c>
      <c r="N548" s="257" t="s">
        <v>6830</v>
      </c>
    </row>
    <row r="549" spans="1:14">
      <c r="A549">
        <v>2905</v>
      </c>
      <c r="B549" t="s">
        <v>5251</v>
      </c>
      <c r="C549">
        <v>91.33</v>
      </c>
      <c r="D549">
        <v>3</v>
      </c>
      <c r="E549">
        <v>-45</v>
      </c>
      <c r="F549">
        <v>9</v>
      </c>
      <c r="G549">
        <v>22</v>
      </c>
      <c r="H549">
        <v>6.78</v>
      </c>
      <c r="I549">
        <v>1.1000000000000001</v>
      </c>
      <c r="J549">
        <v>2.19</v>
      </c>
      <c r="K549" s="245">
        <v>-27.59</v>
      </c>
      <c r="L549" s="245">
        <v>19.329999999999998</v>
      </c>
      <c r="M549" s="245">
        <v>397.8</v>
      </c>
      <c r="N549" s="257" t="s">
        <v>6830</v>
      </c>
    </row>
    <row r="550" spans="1:14">
      <c r="A550">
        <v>2906</v>
      </c>
      <c r="B550" t="s">
        <v>5252</v>
      </c>
      <c r="C550">
        <v>20.91</v>
      </c>
      <c r="D550">
        <v>44</v>
      </c>
      <c r="E550">
        <v>29</v>
      </c>
      <c r="F550">
        <v>-17</v>
      </c>
      <c r="G550">
        <v>-14</v>
      </c>
      <c r="H550">
        <v>4.0599999999999996</v>
      </c>
      <c r="I550">
        <v>0.4</v>
      </c>
      <c r="J550">
        <v>0.43</v>
      </c>
      <c r="K550" s="245">
        <v>-41.88</v>
      </c>
      <c r="L550" s="245">
        <v>14.08</v>
      </c>
      <c r="M550" s="245">
        <v>5601.5</v>
      </c>
      <c r="N550" s="257" t="s">
        <v>6830</v>
      </c>
    </row>
    <row r="551" spans="1:14">
      <c r="A551">
        <v>2908</v>
      </c>
      <c r="B551" t="s">
        <v>5253</v>
      </c>
      <c r="C551">
        <v>50.98</v>
      </c>
      <c r="D551">
        <v>1</v>
      </c>
      <c r="E551">
        <v>-33</v>
      </c>
      <c r="F551">
        <v>-9</v>
      </c>
      <c r="G551">
        <v>-15</v>
      </c>
      <c r="H551">
        <v>1.74</v>
      </c>
      <c r="I551">
        <v>1.28</v>
      </c>
      <c r="J551">
        <v>1.58</v>
      </c>
      <c r="K551" s="245">
        <v>-19.399999999999999</v>
      </c>
      <c r="L551" s="245">
        <v>71.92</v>
      </c>
      <c r="M551" s="245">
        <v>124.15</v>
      </c>
      <c r="N551" s="257" t="s">
        <v>6830</v>
      </c>
    </row>
    <row r="552" spans="1:14">
      <c r="A552">
        <v>2910</v>
      </c>
      <c r="B552" t="s">
        <v>5254</v>
      </c>
      <c r="C552">
        <v>20.87</v>
      </c>
      <c r="D552">
        <v>23</v>
      </c>
      <c r="E552">
        <v>-18</v>
      </c>
      <c r="F552">
        <v>-7</v>
      </c>
      <c r="G552">
        <v>-11</v>
      </c>
      <c r="H552">
        <v>24.86</v>
      </c>
      <c r="I552">
        <v>0.5</v>
      </c>
      <c r="J552">
        <v>0.8</v>
      </c>
      <c r="K552" s="245">
        <v>-23.97</v>
      </c>
      <c r="L552" s="245">
        <v>59.31</v>
      </c>
      <c r="M552" s="245">
        <v>12.85</v>
      </c>
      <c r="N552" s="257" t="s">
        <v>6830</v>
      </c>
    </row>
    <row r="553" spans="1:14">
      <c r="A553">
        <v>2911</v>
      </c>
      <c r="B553" t="s">
        <v>5255</v>
      </c>
      <c r="C553">
        <v>18.46</v>
      </c>
      <c r="D553">
        <v>22</v>
      </c>
      <c r="E553">
        <v>-60</v>
      </c>
      <c r="F553">
        <v>-20</v>
      </c>
      <c r="G553">
        <v>-26</v>
      </c>
      <c r="H553">
        <v>-14.09</v>
      </c>
      <c r="I553">
        <v>0</v>
      </c>
      <c r="J553">
        <v>-1.32</v>
      </c>
      <c r="K553" s="245">
        <v>-25.46</v>
      </c>
      <c r="L553" s="245">
        <v>16.079999999999998</v>
      </c>
      <c r="M553" s="245">
        <v>135.05000000000001</v>
      </c>
      <c r="N553" s="257" t="s">
        <v>6830</v>
      </c>
    </row>
    <row r="554" spans="1:14">
      <c r="A554">
        <v>2912</v>
      </c>
      <c r="B554" t="s">
        <v>5256</v>
      </c>
      <c r="C554">
        <v>103</v>
      </c>
      <c r="D554">
        <v>-11</v>
      </c>
      <c r="E554">
        <v>-12</v>
      </c>
      <c r="F554">
        <v>0</v>
      </c>
      <c r="G554">
        <v>10</v>
      </c>
      <c r="H554">
        <v>4.0599999999999996</v>
      </c>
      <c r="I554">
        <v>9</v>
      </c>
      <c r="J554">
        <v>8.52</v>
      </c>
      <c r="K554" s="245">
        <v>-10.199999999999999</v>
      </c>
      <c r="L554" s="245">
        <v>48.05</v>
      </c>
      <c r="M554" s="245">
        <v>1170.3</v>
      </c>
      <c r="N554" s="257" t="s">
        <v>6830</v>
      </c>
    </row>
    <row r="555" spans="1:14">
      <c r="A555">
        <v>2913</v>
      </c>
      <c r="B555" t="s">
        <v>5257</v>
      </c>
      <c r="C555">
        <v>79</v>
      </c>
      <c r="D555">
        <v>-6368</v>
      </c>
      <c r="E555">
        <v>-23</v>
      </c>
      <c r="F555">
        <v>2</v>
      </c>
      <c r="G555">
        <v>-14</v>
      </c>
      <c r="H555">
        <v>-49.45</v>
      </c>
      <c r="I555">
        <v>0</v>
      </c>
      <c r="J555">
        <v>-1.42</v>
      </c>
      <c r="K555" s="245">
        <v>-17.75</v>
      </c>
      <c r="L555" s="245">
        <v>18.329999999999998</v>
      </c>
      <c r="M555" s="245">
        <v>1557.45</v>
      </c>
      <c r="N555" s="257" t="s">
        <v>6830</v>
      </c>
    </row>
    <row r="556" spans="1:14">
      <c r="A556">
        <v>2915</v>
      </c>
      <c r="B556" t="s">
        <v>5258</v>
      </c>
      <c r="C556">
        <v>73.430000000000007</v>
      </c>
      <c r="D556">
        <v>93</v>
      </c>
      <c r="E556">
        <v>-26</v>
      </c>
      <c r="F556">
        <v>30</v>
      </c>
      <c r="G556">
        <v>12</v>
      </c>
      <c r="H556">
        <v>1.42</v>
      </c>
      <c r="I556">
        <v>5</v>
      </c>
      <c r="J556">
        <v>22.49</v>
      </c>
      <c r="K556" s="245">
        <v>-45.08</v>
      </c>
      <c r="L556" s="245">
        <v>18.36</v>
      </c>
      <c r="M556" s="245">
        <v>8731.7999999999993</v>
      </c>
      <c r="N556" s="257" t="s">
        <v>6830</v>
      </c>
    </row>
    <row r="557" spans="1:14">
      <c r="A557">
        <v>2916</v>
      </c>
      <c r="B557" t="s">
        <v>5259</v>
      </c>
      <c r="C557">
        <v>5.46</v>
      </c>
      <c r="D557">
        <v>56</v>
      </c>
      <c r="E557">
        <v>28</v>
      </c>
      <c r="F557">
        <v>-15</v>
      </c>
      <c r="G557">
        <v>-21</v>
      </c>
      <c r="H557">
        <v>9.11</v>
      </c>
      <c r="I557">
        <v>2.2000000000000002</v>
      </c>
      <c r="J557">
        <v>2.52</v>
      </c>
      <c r="K557" s="245">
        <v>-10.199999999999999</v>
      </c>
      <c r="L557" s="245">
        <v>32.68</v>
      </c>
      <c r="M557" s="245">
        <v>37.200000000000003</v>
      </c>
      <c r="N557" s="257" t="s">
        <v>6831</v>
      </c>
    </row>
    <row r="558" spans="1:14">
      <c r="A558">
        <v>2923</v>
      </c>
      <c r="B558" t="s">
        <v>6466</v>
      </c>
      <c r="C558">
        <v>174</v>
      </c>
      <c r="D558">
        <v>0</v>
      </c>
      <c r="E558">
        <v>-44</v>
      </c>
      <c r="F558">
        <v>-99</v>
      </c>
      <c r="G558">
        <v>-95</v>
      </c>
      <c r="H558">
        <v>38</v>
      </c>
      <c r="I558">
        <v>1.2</v>
      </c>
      <c r="J558">
        <v>0.67</v>
      </c>
      <c r="K558" s="245">
        <v>-18.23</v>
      </c>
      <c r="L558" s="245">
        <v>44.69</v>
      </c>
      <c r="M558" s="245">
        <v>43.35</v>
      </c>
      <c r="N558" s="257" t="s">
        <v>6831</v>
      </c>
    </row>
    <row r="559" spans="1:14">
      <c r="A559">
        <v>2924</v>
      </c>
      <c r="B559" t="s">
        <v>6467</v>
      </c>
      <c r="C559">
        <v>3.28</v>
      </c>
      <c r="D559">
        <v>54</v>
      </c>
      <c r="E559">
        <v>-142</v>
      </c>
      <c r="F559">
        <v>-35</v>
      </c>
      <c r="G559">
        <v>-78</v>
      </c>
      <c r="H559">
        <v>-60.52</v>
      </c>
      <c r="I559">
        <v>0</v>
      </c>
      <c r="J559">
        <v>-1.72</v>
      </c>
      <c r="K559" s="245">
        <v>-35.21</v>
      </c>
      <c r="L559" s="245">
        <v>14.35</v>
      </c>
      <c r="M559" s="245">
        <v>1.7</v>
      </c>
      <c r="N559" s="257" t="s">
        <v>6831</v>
      </c>
    </row>
    <row r="560" spans="1:14">
      <c r="A560">
        <v>2926</v>
      </c>
      <c r="B560" t="s">
        <v>5260</v>
      </c>
      <c r="C560">
        <v>4.7300000000000004</v>
      </c>
      <c r="D560">
        <v>-568</v>
      </c>
      <c r="E560">
        <v>-610</v>
      </c>
      <c r="F560">
        <v>-8</v>
      </c>
      <c r="G560">
        <v>-8</v>
      </c>
      <c r="H560">
        <v>-9.5500000000000007</v>
      </c>
      <c r="I560">
        <v>0</v>
      </c>
      <c r="J560">
        <v>-4.82</v>
      </c>
      <c r="K560" s="245">
        <v>-23.08</v>
      </c>
      <c r="L560" s="245">
        <v>7.16</v>
      </c>
      <c r="M560" s="245">
        <v>11.35</v>
      </c>
      <c r="N560" s="257" t="s">
        <v>6830</v>
      </c>
    </row>
    <row r="561" spans="1:14">
      <c r="A561">
        <v>2929</v>
      </c>
      <c r="B561" t="s">
        <v>5261</v>
      </c>
      <c r="C561">
        <v>10.94</v>
      </c>
      <c r="D561">
        <v>68</v>
      </c>
      <c r="E561">
        <v>69</v>
      </c>
      <c r="F561">
        <v>-35</v>
      </c>
      <c r="G561">
        <v>-16</v>
      </c>
      <c r="H561">
        <v>-24.78</v>
      </c>
      <c r="I561">
        <v>0</v>
      </c>
      <c r="J561">
        <v>-6.43</v>
      </c>
      <c r="K561" s="245">
        <v>-55.04</v>
      </c>
      <c r="L561" s="245">
        <v>22.25</v>
      </c>
      <c r="M561" s="245">
        <v>167.9</v>
      </c>
      <c r="N561" s="257" t="s">
        <v>6830</v>
      </c>
    </row>
    <row r="562" spans="1:14">
      <c r="A562">
        <v>2936</v>
      </c>
      <c r="B562" t="s">
        <v>5262</v>
      </c>
      <c r="C562">
        <v>7.6</v>
      </c>
      <c r="D562">
        <v>24</v>
      </c>
      <c r="E562">
        <v>49</v>
      </c>
      <c r="F562">
        <v>-16</v>
      </c>
      <c r="G562">
        <v>-33</v>
      </c>
      <c r="H562">
        <v>5.67</v>
      </c>
      <c r="I562">
        <v>0</v>
      </c>
      <c r="J562">
        <v>4.0199999999999996</v>
      </c>
      <c r="K562" s="245">
        <v>-0.63</v>
      </c>
      <c r="L562" s="245">
        <v>89.28</v>
      </c>
      <c r="M562" s="245">
        <v>36.85</v>
      </c>
      <c r="N562" s="257" t="s">
        <v>6832</v>
      </c>
    </row>
    <row r="563" spans="1:14">
      <c r="A563">
        <v>2937</v>
      </c>
      <c r="B563" t="s">
        <v>6468</v>
      </c>
      <c r="C563">
        <v>4.04</v>
      </c>
      <c r="D563">
        <v>13</v>
      </c>
      <c r="E563">
        <v>17</v>
      </c>
      <c r="F563">
        <v>0</v>
      </c>
      <c r="G563">
        <v>20</v>
      </c>
      <c r="H563">
        <v>4.62</v>
      </c>
      <c r="I563">
        <v>2.25</v>
      </c>
      <c r="J563">
        <v>3.2</v>
      </c>
      <c r="K563" s="245">
        <v>-16</v>
      </c>
      <c r="L563" s="245">
        <v>49.05</v>
      </c>
      <c r="M563" s="245">
        <v>7.4</v>
      </c>
      <c r="N563" s="257" t="s">
        <v>6831</v>
      </c>
    </row>
    <row r="564" spans="1:14">
      <c r="A564">
        <v>2939</v>
      </c>
      <c r="B564" t="s">
        <v>5263</v>
      </c>
      <c r="C564">
        <v>4.55</v>
      </c>
      <c r="D564">
        <v>-1854</v>
      </c>
      <c r="E564">
        <v>-139</v>
      </c>
      <c r="F564">
        <v>19</v>
      </c>
      <c r="G564">
        <v>37</v>
      </c>
      <c r="H564">
        <v>-3.14</v>
      </c>
      <c r="I564">
        <v>0</v>
      </c>
      <c r="J564">
        <v>-1.06</v>
      </c>
      <c r="K564" s="245">
        <v>-47.71</v>
      </c>
      <c r="L564" s="245">
        <v>39.049999999999997</v>
      </c>
      <c r="M564" s="245">
        <v>55.3</v>
      </c>
      <c r="N564" s="257" t="s">
        <v>6830</v>
      </c>
    </row>
    <row r="565" spans="1:14">
      <c r="A565">
        <v>2945</v>
      </c>
      <c r="B565" t="s">
        <v>6469</v>
      </c>
      <c r="C565">
        <v>6.75</v>
      </c>
      <c r="D565">
        <v>6</v>
      </c>
      <c r="E565">
        <v>-2</v>
      </c>
      <c r="F565">
        <v>7</v>
      </c>
      <c r="G565">
        <v>9</v>
      </c>
      <c r="H565">
        <v>1.76</v>
      </c>
      <c r="I565">
        <v>2.59</v>
      </c>
      <c r="J565">
        <v>3.21</v>
      </c>
      <c r="K565" s="245" t="s">
        <v>6279</v>
      </c>
      <c r="L565" s="245" t="s">
        <v>6279</v>
      </c>
      <c r="M565" s="245" t="s">
        <v>6279</v>
      </c>
      <c r="N565" s="257" t="s">
        <v>6279</v>
      </c>
    </row>
    <row r="566" spans="1:14">
      <c r="A566">
        <v>2947</v>
      </c>
      <c r="B566" t="s">
        <v>6470</v>
      </c>
      <c r="C566">
        <v>1.92</v>
      </c>
      <c r="D566">
        <v>9</v>
      </c>
      <c r="E566">
        <v>5</v>
      </c>
      <c r="F566">
        <v>0</v>
      </c>
      <c r="G566">
        <v>9</v>
      </c>
      <c r="H566">
        <v>8.56</v>
      </c>
      <c r="I566">
        <v>3.8</v>
      </c>
      <c r="J566">
        <v>6.26</v>
      </c>
      <c r="K566" s="245" t="s">
        <v>6279</v>
      </c>
      <c r="L566" s="245" t="s">
        <v>6279</v>
      </c>
      <c r="M566" s="245" t="s">
        <v>6279</v>
      </c>
      <c r="N566" s="257" t="s">
        <v>6279</v>
      </c>
    </row>
    <row r="567" spans="1:14">
      <c r="A567">
        <v>3002</v>
      </c>
      <c r="B567" t="s">
        <v>5264</v>
      </c>
      <c r="C567">
        <v>10.199999999999999</v>
      </c>
      <c r="D567">
        <v>-88</v>
      </c>
      <c r="E567">
        <v>-514</v>
      </c>
      <c r="F567">
        <v>-20</v>
      </c>
      <c r="G567">
        <v>20</v>
      </c>
      <c r="H567">
        <v>-4.83</v>
      </c>
      <c r="I567">
        <v>0</v>
      </c>
      <c r="J567">
        <v>-0.02</v>
      </c>
      <c r="K567" s="245">
        <v>-19.59</v>
      </c>
      <c r="L567" s="245">
        <v>36.909999999999997</v>
      </c>
      <c r="M567" s="245">
        <v>67.95</v>
      </c>
      <c r="N567" s="257" t="s">
        <v>6830</v>
      </c>
    </row>
    <row r="568" spans="1:14">
      <c r="A568">
        <v>3003</v>
      </c>
      <c r="B568" t="s">
        <v>5265</v>
      </c>
      <c r="C568">
        <v>15.56</v>
      </c>
      <c r="D568">
        <v>113</v>
      </c>
      <c r="E568">
        <v>88</v>
      </c>
      <c r="F568">
        <v>-2</v>
      </c>
      <c r="G568">
        <v>0</v>
      </c>
      <c r="H568">
        <v>23.39</v>
      </c>
      <c r="I568">
        <v>2</v>
      </c>
      <c r="J568">
        <v>4.9800000000000004</v>
      </c>
      <c r="K568" s="245">
        <v>-36.51</v>
      </c>
      <c r="L568" s="245">
        <v>14.29</v>
      </c>
      <c r="M568" s="245">
        <v>835.75</v>
      </c>
      <c r="N568" s="257" t="s">
        <v>6830</v>
      </c>
    </row>
    <row r="569" spans="1:14">
      <c r="A569">
        <v>3004</v>
      </c>
      <c r="B569" t="s">
        <v>5266</v>
      </c>
      <c r="C569">
        <v>5.26</v>
      </c>
      <c r="D569">
        <v>-261</v>
      </c>
      <c r="E569">
        <v>-448</v>
      </c>
      <c r="F569">
        <v>-17</v>
      </c>
      <c r="G569">
        <v>35</v>
      </c>
      <c r="H569">
        <v>-8.2200000000000006</v>
      </c>
      <c r="I569">
        <v>0</v>
      </c>
      <c r="J569">
        <v>-1.84</v>
      </c>
      <c r="K569" s="245">
        <v>-20.78</v>
      </c>
      <c r="L569" s="245">
        <v>20.02</v>
      </c>
      <c r="M569" s="245">
        <v>73.400000000000006</v>
      </c>
      <c r="N569" s="257" t="s">
        <v>6830</v>
      </c>
    </row>
    <row r="570" spans="1:14">
      <c r="A570">
        <v>3005</v>
      </c>
      <c r="B570" t="s">
        <v>5267</v>
      </c>
      <c r="C570">
        <v>60</v>
      </c>
      <c r="D570">
        <v>59</v>
      </c>
      <c r="E570">
        <v>-16</v>
      </c>
      <c r="F570">
        <v>-49</v>
      </c>
      <c r="G570">
        <v>-55</v>
      </c>
      <c r="H570">
        <v>8.68</v>
      </c>
      <c r="I570">
        <v>3.59</v>
      </c>
      <c r="J570">
        <v>7.2</v>
      </c>
      <c r="K570" s="245">
        <v>-27.92</v>
      </c>
      <c r="L570" s="245">
        <v>5.77</v>
      </c>
      <c r="M570" s="245">
        <v>1328.95</v>
      </c>
      <c r="N570" s="257" t="s">
        <v>6830</v>
      </c>
    </row>
    <row r="571" spans="1:14">
      <c r="A571">
        <v>3006</v>
      </c>
      <c r="B571" t="s">
        <v>5268</v>
      </c>
      <c r="C571">
        <v>28.61</v>
      </c>
      <c r="D571">
        <v>364</v>
      </c>
      <c r="E571">
        <v>408</v>
      </c>
      <c r="F571">
        <v>-4</v>
      </c>
      <c r="G571">
        <v>-13</v>
      </c>
      <c r="H571">
        <v>24.64</v>
      </c>
      <c r="I571">
        <v>8</v>
      </c>
      <c r="J571">
        <v>17.760000000000002</v>
      </c>
      <c r="K571" s="245">
        <v>-45.07</v>
      </c>
      <c r="L571" s="245">
        <v>14.34</v>
      </c>
      <c r="M571" s="245">
        <v>11795.15</v>
      </c>
      <c r="N571" s="257" t="s">
        <v>6830</v>
      </c>
    </row>
    <row r="572" spans="1:14">
      <c r="A572">
        <v>3008</v>
      </c>
      <c r="B572" t="s">
        <v>5269</v>
      </c>
      <c r="C572">
        <v>13.34</v>
      </c>
      <c r="D572">
        <v>-23</v>
      </c>
      <c r="E572">
        <v>-27</v>
      </c>
      <c r="F572">
        <v>-16</v>
      </c>
      <c r="G572">
        <v>-7</v>
      </c>
      <c r="H572">
        <v>49.29</v>
      </c>
      <c r="I572">
        <v>70.16</v>
      </c>
      <c r="J572">
        <v>139.28</v>
      </c>
      <c r="K572" s="245">
        <v>-50.77</v>
      </c>
      <c r="L572" s="245">
        <v>12.45</v>
      </c>
      <c r="M572" s="245">
        <v>544</v>
      </c>
      <c r="N572" s="257" t="s">
        <v>6830</v>
      </c>
    </row>
    <row r="573" spans="1:14">
      <c r="A573">
        <v>3010</v>
      </c>
      <c r="B573" t="s">
        <v>5270</v>
      </c>
      <c r="C573">
        <v>23.6</v>
      </c>
      <c r="D573">
        <v>51</v>
      </c>
      <c r="E573">
        <v>45</v>
      </c>
      <c r="F573">
        <v>-16</v>
      </c>
      <c r="G573">
        <v>5</v>
      </c>
      <c r="H573">
        <v>4.3600000000000003</v>
      </c>
      <c r="I573">
        <v>6.8</v>
      </c>
      <c r="J573">
        <v>12.05</v>
      </c>
      <c r="K573" s="245">
        <v>-13.68</v>
      </c>
      <c r="L573" s="245">
        <v>19.28</v>
      </c>
      <c r="M573" s="245">
        <v>465.55</v>
      </c>
      <c r="N573" s="257" t="s">
        <v>6831</v>
      </c>
    </row>
    <row r="574" spans="1:14">
      <c r="A574">
        <v>3011</v>
      </c>
      <c r="B574" t="s">
        <v>6471</v>
      </c>
      <c r="C574">
        <v>11.27</v>
      </c>
      <c r="D574">
        <v>174</v>
      </c>
      <c r="E574">
        <v>6</v>
      </c>
      <c r="F574">
        <v>-6</v>
      </c>
      <c r="G574">
        <v>-5</v>
      </c>
      <c r="H574">
        <v>-5.65</v>
      </c>
      <c r="I574">
        <v>0</v>
      </c>
      <c r="J574">
        <v>0.59</v>
      </c>
      <c r="K574" s="245">
        <v>-20.78</v>
      </c>
      <c r="L574" s="245">
        <v>64.599999999999994</v>
      </c>
      <c r="M574" s="245">
        <v>3751.35</v>
      </c>
      <c r="N574" s="257" t="s">
        <v>6832</v>
      </c>
    </row>
    <row r="575" spans="1:14">
      <c r="A575">
        <v>3013</v>
      </c>
      <c r="B575" t="s">
        <v>5271</v>
      </c>
      <c r="C575">
        <v>19.59</v>
      </c>
      <c r="D575">
        <v>-243</v>
      </c>
      <c r="E575">
        <v>-163</v>
      </c>
      <c r="F575">
        <v>8</v>
      </c>
      <c r="G575">
        <v>45</v>
      </c>
      <c r="H575">
        <v>-2.3199999999999998</v>
      </c>
      <c r="I575">
        <v>0</v>
      </c>
      <c r="J575">
        <v>-0.74</v>
      </c>
      <c r="K575" s="245">
        <v>-17.579999999999998</v>
      </c>
      <c r="L575" s="245">
        <v>75.88</v>
      </c>
      <c r="M575" s="245">
        <v>131.44999999999999</v>
      </c>
      <c r="N575" s="257" t="s">
        <v>6831</v>
      </c>
    </row>
    <row r="576" spans="1:14">
      <c r="A576">
        <v>3014</v>
      </c>
      <c r="B576" t="s">
        <v>5272</v>
      </c>
      <c r="C576">
        <v>16.100000000000001</v>
      </c>
      <c r="D576">
        <v>93</v>
      </c>
      <c r="E576">
        <v>88</v>
      </c>
      <c r="F576">
        <v>-6</v>
      </c>
      <c r="G576">
        <v>-10</v>
      </c>
      <c r="H576">
        <v>29.18</v>
      </c>
      <c r="I576">
        <v>9</v>
      </c>
      <c r="J576">
        <v>11.21</v>
      </c>
      <c r="K576" s="245">
        <v>-33.869999999999997</v>
      </c>
      <c r="L576" s="245">
        <v>15.42</v>
      </c>
      <c r="M576" s="245">
        <v>823.65</v>
      </c>
      <c r="N576" s="257" t="s">
        <v>6830</v>
      </c>
    </row>
    <row r="577" spans="1:14">
      <c r="A577">
        <v>3015</v>
      </c>
      <c r="B577" t="s">
        <v>5273</v>
      </c>
      <c r="C577">
        <v>18.72</v>
      </c>
      <c r="D577">
        <v>15</v>
      </c>
      <c r="E577">
        <v>45</v>
      </c>
      <c r="F577">
        <v>4</v>
      </c>
      <c r="G577">
        <v>-9</v>
      </c>
      <c r="H577">
        <v>4.04</v>
      </c>
      <c r="I577">
        <v>3.3</v>
      </c>
      <c r="J577">
        <v>4.03</v>
      </c>
      <c r="K577" s="245">
        <v>-17.39</v>
      </c>
      <c r="L577" s="245">
        <v>20.67</v>
      </c>
      <c r="M577" s="245">
        <v>86.75</v>
      </c>
      <c r="N577" s="257" t="s">
        <v>6831</v>
      </c>
    </row>
    <row r="578" spans="1:14">
      <c r="A578">
        <v>3016</v>
      </c>
      <c r="B578" t="s">
        <v>5274</v>
      </c>
      <c r="C578">
        <v>28.8</v>
      </c>
      <c r="D578">
        <v>1381</v>
      </c>
      <c r="E578">
        <v>3939</v>
      </c>
      <c r="F578">
        <v>0</v>
      </c>
      <c r="G578">
        <v>28</v>
      </c>
      <c r="H578">
        <v>9.1999999999999993</v>
      </c>
      <c r="I578">
        <v>1.2</v>
      </c>
      <c r="J578">
        <v>1.35</v>
      </c>
      <c r="K578" s="245">
        <v>-37.799999999999997</v>
      </c>
      <c r="L578" s="245">
        <v>19.13</v>
      </c>
      <c r="M578" s="245">
        <v>2940.35</v>
      </c>
      <c r="N578" s="257" t="s">
        <v>6830</v>
      </c>
    </row>
    <row r="579" spans="1:14">
      <c r="A579">
        <v>3017</v>
      </c>
      <c r="B579" t="s">
        <v>5275</v>
      </c>
      <c r="C579">
        <v>35.33</v>
      </c>
      <c r="D579">
        <v>60</v>
      </c>
      <c r="E579">
        <v>47</v>
      </c>
      <c r="F579">
        <v>7</v>
      </c>
      <c r="G579">
        <v>0</v>
      </c>
      <c r="H579">
        <v>10.199999999999999</v>
      </c>
      <c r="I579">
        <v>4.3</v>
      </c>
      <c r="J579">
        <v>8.2100000000000009</v>
      </c>
      <c r="K579" s="245">
        <v>-18.04</v>
      </c>
      <c r="L579" s="245">
        <v>25.36</v>
      </c>
      <c r="M579" s="245">
        <v>7634.3</v>
      </c>
      <c r="N579" s="257" t="s">
        <v>6831</v>
      </c>
    </row>
    <row r="580" spans="1:14">
      <c r="A580">
        <v>3018</v>
      </c>
      <c r="B580" t="s">
        <v>6472</v>
      </c>
      <c r="C580">
        <v>7.81</v>
      </c>
      <c r="D580">
        <v>-359</v>
      </c>
      <c r="E580">
        <v>-84</v>
      </c>
      <c r="F580">
        <v>-53</v>
      </c>
      <c r="G580">
        <v>-41</v>
      </c>
      <c r="H580">
        <v>-6.88</v>
      </c>
      <c r="I580">
        <v>0</v>
      </c>
      <c r="J580">
        <v>-4.18</v>
      </c>
      <c r="K580" s="245">
        <v>-42.22</v>
      </c>
      <c r="L580" s="245">
        <v>23.39</v>
      </c>
      <c r="M580" s="245">
        <v>152.19999999999999</v>
      </c>
      <c r="N580" s="257" t="s">
        <v>6830</v>
      </c>
    </row>
    <row r="581" spans="1:14">
      <c r="A581">
        <v>3019</v>
      </c>
      <c r="B581" t="s">
        <v>5276</v>
      </c>
      <c r="C581">
        <v>28.1</v>
      </c>
      <c r="D581">
        <v>208</v>
      </c>
      <c r="E581">
        <v>128</v>
      </c>
      <c r="F581">
        <v>-13</v>
      </c>
      <c r="G581">
        <v>-7</v>
      </c>
      <c r="H581">
        <v>9.75</v>
      </c>
      <c r="I581">
        <v>3.7</v>
      </c>
      <c r="J581">
        <v>5.34</v>
      </c>
      <c r="K581" s="245">
        <v>-38.840000000000003</v>
      </c>
      <c r="L581" s="245">
        <v>14.77</v>
      </c>
      <c r="M581" s="245">
        <v>1169.55</v>
      </c>
      <c r="N581" s="257" t="s">
        <v>6830</v>
      </c>
    </row>
    <row r="582" spans="1:14">
      <c r="A582">
        <v>3021</v>
      </c>
      <c r="B582" t="s">
        <v>5277</v>
      </c>
      <c r="C582">
        <v>9.3000000000000007</v>
      </c>
      <c r="D582">
        <v>36</v>
      </c>
      <c r="E582">
        <v>38</v>
      </c>
      <c r="F582">
        <v>-25</v>
      </c>
      <c r="G582">
        <v>1</v>
      </c>
      <c r="H582">
        <v>7</v>
      </c>
      <c r="I582">
        <v>0.6</v>
      </c>
      <c r="J582">
        <v>1.41</v>
      </c>
      <c r="K582" s="245">
        <v>-29.43</v>
      </c>
      <c r="L582" s="245">
        <v>17.55</v>
      </c>
      <c r="M582" s="245">
        <v>101.6</v>
      </c>
      <c r="N582" s="257" t="s">
        <v>6830</v>
      </c>
    </row>
    <row r="583" spans="1:14">
      <c r="A583">
        <v>3022</v>
      </c>
      <c r="B583" t="s">
        <v>5278</v>
      </c>
      <c r="C583">
        <v>17.649999999999999</v>
      </c>
      <c r="D583">
        <v>-13</v>
      </c>
      <c r="E583">
        <v>-19</v>
      </c>
      <c r="F583">
        <v>-2</v>
      </c>
      <c r="G583">
        <v>-11</v>
      </c>
      <c r="H583">
        <v>11.55</v>
      </c>
      <c r="I583">
        <v>3</v>
      </c>
      <c r="J583">
        <v>4.9000000000000004</v>
      </c>
      <c r="K583" s="245">
        <v>-20.67</v>
      </c>
      <c r="L583" s="245">
        <v>19.829999999999998</v>
      </c>
      <c r="M583" s="245">
        <v>72.599999999999994</v>
      </c>
      <c r="N583" s="257" t="s">
        <v>6830</v>
      </c>
    </row>
    <row r="584" spans="1:14">
      <c r="A584">
        <v>3023</v>
      </c>
      <c r="B584" t="s">
        <v>5279</v>
      </c>
      <c r="C584">
        <v>23.52</v>
      </c>
      <c r="D584">
        <v>13</v>
      </c>
      <c r="E584">
        <v>5</v>
      </c>
      <c r="F584">
        <v>0</v>
      </c>
      <c r="G584">
        <v>14</v>
      </c>
      <c r="H584">
        <v>10.92</v>
      </c>
      <c r="I584">
        <v>7</v>
      </c>
      <c r="J584">
        <v>10</v>
      </c>
      <c r="K584" s="245">
        <v>-14.1</v>
      </c>
      <c r="L584" s="245">
        <v>45.38</v>
      </c>
      <c r="M584" s="245">
        <v>653.70000000000005</v>
      </c>
      <c r="N584" s="257" t="s">
        <v>6831</v>
      </c>
    </row>
    <row r="585" spans="1:14">
      <c r="A585">
        <v>3024</v>
      </c>
      <c r="B585" t="s">
        <v>6177</v>
      </c>
      <c r="C585">
        <v>27.71</v>
      </c>
      <c r="D585">
        <v>381</v>
      </c>
      <c r="E585">
        <v>-65</v>
      </c>
      <c r="F585">
        <v>1</v>
      </c>
      <c r="G585">
        <v>43</v>
      </c>
      <c r="H585">
        <v>1</v>
      </c>
      <c r="I585">
        <v>0.3</v>
      </c>
      <c r="J585">
        <v>0.75</v>
      </c>
      <c r="K585" s="245">
        <v>-23.2</v>
      </c>
      <c r="L585" s="245">
        <v>19.54</v>
      </c>
      <c r="M585" s="245">
        <v>451.75</v>
      </c>
      <c r="N585" s="257" t="s">
        <v>6830</v>
      </c>
    </row>
    <row r="586" spans="1:14">
      <c r="A586">
        <v>3025</v>
      </c>
      <c r="B586" t="s">
        <v>5280</v>
      </c>
      <c r="C586">
        <v>7.09</v>
      </c>
      <c r="D586">
        <v>-58</v>
      </c>
      <c r="E586">
        <v>-57</v>
      </c>
      <c r="F586">
        <v>18</v>
      </c>
      <c r="G586">
        <v>49</v>
      </c>
      <c r="H586">
        <v>7.76</v>
      </c>
      <c r="I586">
        <v>0.4</v>
      </c>
      <c r="J586">
        <v>0.47</v>
      </c>
      <c r="K586" s="245">
        <v>-30.31</v>
      </c>
      <c r="L586" s="245">
        <v>34.840000000000003</v>
      </c>
      <c r="M586" s="245">
        <v>228.05</v>
      </c>
      <c r="N586" s="257" t="s">
        <v>6830</v>
      </c>
    </row>
    <row r="587" spans="1:14">
      <c r="A587">
        <v>3026</v>
      </c>
      <c r="B587" t="s">
        <v>5281</v>
      </c>
      <c r="C587">
        <v>15.79</v>
      </c>
      <c r="D587">
        <v>49</v>
      </c>
      <c r="E587">
        <v>33</v>
      </c>
      <c r="F587">
        <v>-14</v>
      </c>
      <c r="G587">
        <v>-11</v>
      </c>
      <c r="H587">
        <v>12.12</v>
      </c>
      <c r="I587">
        <v>9</v>
      </c>
      <c r="J587">
        <v>12.36</v>
      </c>
      <c r="K587" s="245">
        <v>-26.73</v>
      </c>
      <c r="L587" s="245">
        <v>26.51</v>
      </c>
      <c r="M587" s="245">
        <v>270.75</v>
      </c>
      <c r="N587" s="257" t="s">
        <v>6830</v>
      </c>
    </row>
    <row r="588" spans="1:14">
      <c r="A588">
        <v>3027</v>
      </c>
      <c r="B588" t="s">
        <v>5282</v>
      </c>
      <c r="C588">
        <v>9.8800000000000008</v>
      </c>
      <c r="D588">
        <v>1</v>
      </c>
      <c r="E588">
        <v>-85</v>
      </c>
      <c r="F588">
        <v>0</v>
      </c>
      <c r="G588">
        <v>-5</v>
      </c>
      <c r="H588">
        <v>0.53</v>
      </c>
      <c r="I588">
        <v>0</v>
      </c>
      <c r="J588">
        <v>0.28000000000000003</v>
      </c>
      <c r="K588" s="245">
        <v>-34.53</v>
      </c>
      <c r="L588" s="245">
        <v>17.559999999999999</v>
      </c>
      <c r="M588" s="245">
        <v>360.8</v>
      </c>
      <c r="N588" s="257" t="s">
        <v>6830</v>
      </c>
    </row>
    <row r="589" spans="1:14">
      <c r="A589">
        <v>3028</v>
      </c>
      <c r="B589" t="s">
        <v>5283</v>
      </c>
      <c r="C589">
        <v>21.58</v>
      </c>
      <c r="D589">
        <v>85</v>
      </c>
      <c r="E589">
        <v>149</v>
      </c>
      <c r="F589">
        <v>-19</v>
      </c>
      <c r="G589">
        <v>10</v>
      </c>
      <c r="H589">
        <v>2.5299999999999998</v>
      </c>
      <c r="I589">
        <v>3.5</v>
      </c>
      <c r="J589">
        <v>4.0999999999999996</v>
      </c>
      <c r="K589" s="245">
        <v>-11.48</v>
      </c>
      <c r="L589" s="245">
        <v>31.75</v>
      </c>
      <c r="M589" s="245">
        <v>603.79999999999995</v>
      </c>
      <c r="N589" s="257" t="s">
        <v>6831</v>
      </c>
    </row>
    <row r="590" spans="1:14">
      <c r="A590">
        <v>3029</v>
      </c>
      <c r="B590" t="s">
        <v>5284</v>
      </c>
      <c r="C590">
        <v>15.24</v>
      </c>
      <c r="D590">
        <v>21</v>
      </c>
      <c r="E590">
        <v>24</v>
      </c>
      <c r="F590">
        <v>-16</v>
      </c>
      <c r="G590">
        <v>0</v>
      </c>
      <c r="H590">
        <v>4.8600000000000003</v>
      </c>
      <c r="I590">
        <v>3.6</v>
      </c>
      <c r="J590">
        <v>4.24</v>
      </c>
      <c r="K590" s="245">
        <v>-18.329999999999998</v>
      </c>
      <c r="L590" s="245">
        <v>10.25</v>
      </c>
      <c r="M590" s="245">
        <v>423.85</v>
      </c>
      <c r="N590" s="257" t="s">
        <v>6830</v>
      </c>
    </row>
    <row r="591" spans="1:14">
      <c r="A591">
        <v>3030</v>
      </c>
      <c r="B591" t="s">
        <v>5285</v>
      </c>
      <c r="C591">
        <v>23.62</v>
      </c>
      <c r="D591">
        <v>8</v>
      </c>
      <c r="E591">
        <v>8</v>
      </c>
      <c r="F591">
        <v>-23</v>
      </c>
      <c r="G591">
        <v>-4</v>
      </c>
      <c r="H591">
        <v>27.79</v>
      </c>
      <c r="I591">
        <v>3.3</v>
      </c>
      <c r="J591">
        <v>5.0199999999999996</v>
      </c>
      <c r="K591" s="245">
        <v>-13.4</v>
      </c>
      <c r="L591" s="245">
        <v>35.44</v>
      </c>
      <c r="M591" s="245">
        <v>1123.5999999999999</v>
      </c>
      <c r="N591" s="257" t="s">
        <v>6831</v>
      </c>
    </row>
    <row r="592" spans="1:14">
      <c r="A592">
        <v>3031</v>
      </c>
      <c r="B592" t="s">
        <v>5286</v>
      </c>
      <c r="C592">
        <v>18.16</v>
      </c>
      <c r="D592">
        <v>89</v>
      </c>
      <c r="E592">
        <v>47</v>
      </c>
      <c r="F592">
        <v>23</v>
      </c>
      <c r="G592">
        <v>-2</v>
      </c>
      <c r="H592">
        <v>10.35</v>
      </c>
      <c r="I592">
        <v>1</v>
      </c>
      <c r="J592">
        <v>1.45</v>
      </c>
      <c r="K592" s="245">
        <v>-43.33</v>
      </c>
      <c r="L592" s="245">
        <v>11.83</v>
      </c>
      <c r="M592" s="245">
        <v>189.75</v>
      </c>
      <c r="N592" s="257" t="s">
        <v>6830</v>
      </c>
    </row>
    <row r="593" spans="1:14">
      <c r="A593">
        <v>3032</v>
      </c>
      <c r="B593" t="s">
        <v>5287</v>
      </c>
      <c r="C593">
        <v>11.32</v>
      </c>
      <c r="D593">
        <v>-31</v>
      </c>
      <c r="E593">
        <v>-25</v>
      </c>
      <c r="F593">
        <v>0</v>
      </c>
      <c r="G593">
        <v>-22</v>
      </c>
      <c r="H593">
        <v>5.42</v>
      </c>
      <c r="I593">
        <v>2</v>
      </c>
      <c r="J593">
        <v>2.63</v>
      </c>
      <c r="K593" s="245">
        <v>-35.4</v>
      </c>
      <c r="L593" s="245">
        <v>12.71</v>
      </c>
      <c r="M593" s="245">
        <v>68.55</v>
      </c>
      <c r="N593" s="257" t="s">
        <v>6830</v>
      </c>
    </row>
    <row r="594" spans="1:14">
      <c r="A594">
        <v>3033</v>
      </c>
      <c r="B594" t="s">
        <v>5288</v>
      </c>
      <c r="C594">
        <v>42.09</v>
      </c>
      <c r="D594">
        <v>146</v>
      </c>
      <c r="E594">
        <v>158</v>
      </c>
      <c r="F594">
        <v>-18</v>
      </c>
      <c r="G594">
        <v>-16</v>
      </c>
      <c r="H594">
        <v>3.49</v>
      </c>
      <c r="I594">
        <v>3.02</v>
      </c>
      <c r="J594">
        <v>4.54</v>
      </c>
      <c r="K594" s="245">
        <v>-13.81</v>
      </c>
      <c r="L594" s="245">
        <v>19.57</v>
      </c>
      <c r="M594" s="245">
        <v>2620.25</v>
      </c>
      <c r="N594" s="257" t="s">
        <v>6831</v>
      </c>
    </row>
    <row r="595" spans="1:14">
      <c r="A595">
        <v>3034</v>
      </c>
      <c r="B595" t="s">
        <v>5289</v>
      </c>
      <c r="C595">
        <v>60.85</v>
      </c>
      <c r="D595">
        <v>228</v>
      </c>
      <c r="E595">
        <v>223</v>
      </c>
      <c r="F595">
        <v>-1</v>
      </c>
      <c r="G595">
        <v>11</v>
      </c>
      <c r="H595">
        <v>35.29</v>
      </c>
      <c r="I595">
        <v>51.5</v>
      </c>
      <c r="J595">
        <v>63.87</v>
      </c>
      <c r="K595" s="245">
        <v>-32.729999999999997</v>
      </c>
      <c r="L595" s="245">
        <v>31.92</v>
      </c>
      <c r="M595" s="245">
        <v>5629.65</v>
      </c>
      <c r="N595" s="257" t="s">
        <v>6830</v>
      </c>
    </row>
    <row r="596" spans="1:14">
      <c r="A596">
        <v>3035</v>
      </c>
      <c r="B596" t="s">
        <v>5290</v>
      </c>
      <c r="C596">
        <v>24.85</v>
      </c>
      <c r="D596">
        <v>403</v>
      </c>
      <c r="E596">
        <v>840</v>
      </c>
      <c r="F596">
        <v>1</v>
      </c>
      <c r="G596">
        <v>100</v>
      </c>
      <c r="H596">
        <v>17.34</v>
      </c>
      <c r="I596">
        <v>3.3</v>
      </c>
      <c r="J596">
        <v>4.6500000000000004</v>
      </c>
      <c r="K596" s="245">
        <v>-23.83</v>
      </c>
      <c r="L596" s="245">
        <v>34.06</v>
      </c>
      <c r="M596" s="245">
        <v>27537.8</v>
      </c>
      <c r="N596" s="257" t="s">
        <v>6832</v>
      </c>
    </row>
    <row r="597" spans="1:14">
      <c r="A597">
        <v>3036</v>
      </c>
      <c r="B597" t="s">
        <v>5291</v>
      </c>
      <c r="C597">
        <v>88.36</v>
      </c>
      <c r="D597">
        <v>107</v>
      </c>
      <c r="E597">
        <v>98</v>
      </c>
      <c r="F597">
        <v>-6</v>
      </c>
      <c r="G597">
        <v>23</v>
      </c>
      <c r="H597">
        <v>2.36</v>
      </c>
      <c r="I597">
        <v>5.5</v>
      </c>
      <c r="J597">
        <v>9.9600000000000009</v>
      </c>
      <c r="K597" s="245">
        <v>-32.57</v>
      </c>
      <c r="L597" s="245">
        <v>9.0399999999999991</v>
      </c>
      <c r="M597" s="245">
        <v>6266.45</v>
      </c>
      <c r="N597" s="257" t="s">
        <v>6830</v>
      </c>
    </row>
    <row r="598" spans="1:14">
      <c r="A598">
        <v>3037</v>
      </c>
      <c r="B598" t="s">
        <v>5292</v>
      </c>
      <c r="C598">
        <v>147</v>
      </c>
      <c r="D598">
        <v>154</v>
      </c>
      <c r="E598">
        <v>227</v>
      </c>
      <c r="F598">
        <v>4</v>
      </c>
      <c r="G598">
        <v>41</v>
      </c>
      <c r="H598">
        <v>12.6</v>
      </c>
      <c r="I598">
        <v>3.4</v>
      </c>
      <c r="J598">
        <v>8.98</v>
      </c>
      <c r="K598" s="245">
        <v>-17.82</v>
      </c>
      <c r="L598" s="245">
        <v>34.75</v>
      </c>
      <c r="M598" s="245">
        <v>27464.45</v>
      </c>
      <c r="N598" s="257" t="s">
        <v>6832</v>
      </c>
    </row>
    <row r="599" spans="1:14">
      <c r="A599">
        <v>3038</v>
      </c>
      <c r="B599" t="s">
        <v>5293</v>
      </c>
      <c r="C599">
        <v>15.74</v>
      </c>
      <c r="D599">
        <v>1</v>
      </c>
      <c r="E599">
        <v>-20</v>
      </c>
      <c r="F599">
        <v>10</v>
      </c>
      <c r="G599">
        <v>11</v>
      </c>
      <c r="H599">
        <v>6.38</v>
      </c>
      <c r="I599">
        <v>1.2</v>
      </c>
      <c r="J599">
        <v>1.6</v>
      </c>
      <c r="K599" s="245">
        <v>-25.31</v>
      </c>
      <c r="L599" s="245">
        <v>23.36</v>
      </c>
      <c r="M599" s="245">
        <v>191.1</v>
      </c>
      <c r="N599" s="257" t="s">
        <v>6831</v>
      </c>
    </row>
    <row r="600" spans="1:14">
      <c r="A600">
        <v>3040</v>
      </c>
      <c r="B600" t="s">
        <v>5294</v>
      </c>
      <c r="C600">
        <v>6.3</v>
      </c>
      <c r="D600">
        <v>-68</v>
      </c>
      <c r="E600">
        <v>72</v>
      </c>
      <c r="F600">
        <v>-10</v>
      </c>
      <c r="G600">
        <v>-9</v>
      </c>
      <c r="H600">
        <v>39.6</v>
      </c>
      <c r="I600">
        <v>2</v>
      </c>
      <c r="J600">
        <v>1.97</v>
      </c>
      <c r="K600" s="245">
        <v>-38.35</v>
      </c>
      <c r="L600" s="245">
        <v>6.78</v>
      </c>
      <c r="M600" s="245">
        <v>33.5</v>
      </c>
      <c r="N600" s="257" t="s">
        <v>6830</v>
      </c>
    </row>
    <row r="601" spans="1:14">
      <c r="A601">
        <v>3041</v>
      </c>
      <c r="B601" t="s">
        <v>5295</v>
      </c>
      <c r="C601">
        <v>19.34</v>
      </c>
      <c r="D601">
        <v>62</v>
      </c>
      <c r="E601">
        <v>73</v>
      </c>
      <c r="F601">
        <v>-9</v>
      </c>
      <c r="G601">
        <v>-1</v>
      </c>
      <c r="H601">
        <v>-3.31</v>
      </c>
      <c r="I601">
        <v>0</v>
      </c>
      <c r="J601">
        <v>-0.47</v>
      </c>
      <c r="K601" s="245">
        <v>-36.68</v>
      </c>
      <c r="L601" s="245">
        <v>27.72</v>
      </c>
      <c r="M601" s="245">
        <v>2044.2</v>
      </c>
      <c r="N601" s="257" t="s">
        <v>6830</v>
      </c>
    </row>
    <row r="602" spans="1:14">
      <c r="A602">
        <v>3042</v>
      </c>
      <c r="B602" t="s">
        <v>5296</v>
      </c>
      <c r="C602">
        <v>30.97</v>
      </c>
      <c r="D602">
        <v>118</v>
      </c>
      <c r="E602">
        <v>114</v>
      </c>
      <c r="F602">
        <v>1</v>
      </c>
      <c r="G602">
        <v>-27</v>
      </c>
      <c r="H602">
        <v>22.79</v>
      </c>
      <c r="I602">
        <v>7.5</v>
      </c>
      <c r="J602">
        <v>10.06</v>
      </c>
      <c r="K602" s="245">
        <v>-37.99</v>
      </c>
      <c r="L602" s="245">
        <v>23.06</v>
      </c>
      <c r="M602" s="245">
        <v>1923.45</v>
      </c>
      <c r="N602" s="257" t="s">
        <v>6830</v>
      </c>
    </row>
    <row r="603" spans="1:14">
      <c r="A603">
        <v>3043</v>
      </c>
      <c r="B603" t="s">
        <v>6473</v>
      </c>
      <c r="C603">
        <v>19.48</v>
      </c>
      <c r="D603">
        <v>148</v>
      </c>
      <c r="E603">
        <v>-144</v>
      </c>
      <c r="F603">
        <v>24</v>
      </c>
      <c r="G603">
        <v>9</v>
      </c>
      <c r="H603">
        <v>-6.35</v>
      </c>
      <c r="I603">
        <v>0</v>
      </c>
      <c r="J603">
        <v>0.12</v>
      </c>
      <c r="K603" s="245">
        <v>-34.700000000000003</v>
      </c>
      <c r="L603" s="245">
        <v>19.62</v>
      </c>
      <c r="M603" s="245">
        <v>270.64999999999998</v>
      </c>
      <c r="N603" s="257" t="s">
        <v>6830</v>
      </c>
    </row>
    <row r="604" spans="1:14">
      <c r="A604">
        <v>3044</v>
      </c>
      <c r="B604" t="s">
        <v>5297</v>
      </c>
      <c r="C604">
        <v>52.56</v>
      </c>
      <c r="D604">
        <v>-4</v>
      </c>
      <c r="E604">
        <v>0</v>
      </c>
      <c r="F604">
        <v>-5</v>
      </c>
      <c r="G604">
        <v>1</v>
      </c>
      <c r="H604">
        <v>10.5</v>
      </c>
      <c r="I604">
        <v>7</v>
      </c>
      <c r="J604">
        <v>11.15</v>
      </c>
      <c r="K604" s="245">
        <v>-14.75</v>
      </c>
      <c r="L604" s="245">
        <v>18.05</v>
      </c>
      <c r="M604" s="245">
        <v>999.7</v>
      </c>
      <c r="N604" s="257" t="s">
        <v>6831</v>
      </c>
    </row>
    <row r="605" spans="1:14">
      <c r="A605">
        <v>3045</v>
      </c>
      <c r="B605" t="s">
        <v>5298</v>
      </c>
      <c r="C605">
        <v>351</v>
      </c>
      <c r="D605">
        <v>3</v>
      </c>
      <c r="E605">
        <v>0</v>
      </c>
      <c r="F605">
        <v>-3</v>
      </c>
      <c r="G605">
        <v>15</v>
      </c>
      <c r="H605">
        <v>10.28</v>
      </c>
      <c r="I605">
        <v>4.3</v>
      </c>
      <c r="J605">
        <v>3.9</v>
      </c>
      <c r="K605" s="245">
        <v>-2.74</v>
      </c>
      <c r="L605" s="245">
        <v>58.78</v>
      </c>
      <c r="M605" s="245">
        <v>3600.55</v>
      </c>
      <c r="N605" s="257" t="s">
        <v>6832</v>
      </c>
    </row>
    <row r="606" spans="1:14">
      <c r="A606">
        <v>3046</v>
      </c>
      <c r="B606" t="s">
        <v>6474</v>
      </c>
      <c r="C606">
        <v>7.14</v>
      </c>
      <c r="D606">
        <v>308</v>
      </c>
      <c r="E606">
        <v>216</v>
      </c>
      <c r="F606">
        <v>-63</v>
      </c>
      <c r="G606">
        <v>-32</v>
      </c>
      <c r="H606">
        <v>2.93</v>
      </c>
      <c r="I606">
        <v>0</v>
      </c>
      <c r="J606">
        <v>1.82</v>
      </c>
      <c r="K606" s="245">
        <v>-46.45</v>
      </c>
      <c r="L606" s="245">
        <v>19.79</v>
      </c>
      <c r="M606" s="245">
        <v>225.75</v>
      </c>
      <c r="N606" s="257" t="s">
        <v>6830</v>
      </c>
    </row>
    <row r="607" spans="1:14">
      <c r="A607">
        <v>3047</v>
      </c>
      <c r="B607" t="s">
        <v>5299</v>
      </c>
      <c r="C607">
        <v>19.07</v>
      </c>
      <c r="D607">
        <v>-131</v>
      </c>
      <c r="E607">
        <v>-110</v>
      </c>
      <c r="F607">
        <v>-5</v>
      </c>
      <c r="G607">
        <v>10</v>
      </c>
      <c r="H607">
        <v>-0.72</v>
      </c>
      <c r="I607">
        <v>0</v>
      </c>
      <c r="J607">
        <v>-0.28999999999999998</v>
      </c>
      <c r="K607" s="245">
        <v>-24.5</v>
      </c>
      <c r="L607" s="245">
        <v>25.49</v>
      </c>
      <c r="M607" s="245">
        <v>789.1</v>
      </c>
      <c r="N607" s="257" t="s">
        <v>6830</v>
      </c>
    </row>
    <row r="608" spans="1:14">
      <c r="A608">
        <v>3048</v>
      </c>
      <c r="B608" t="s">
        <v>5300</v>
      </c>
      <c r="C608">
        <v>26.98</v>
      </c>
      <c r="D608">
        <v>62</v>
      </c>
      <c r="E608">
        <v>24</v>
      </c>
      <c r="F608">
        <v>-24</v>
      </c>
      <c r="G608">
        <v>1</v>
      </c>
      <c r="H608">
        <v>1.49</v>
      </c>
      <c r="I608">
        <v>3.4</v>
      </c>
      <c r="J608">
        <v>4.63</v>
      </c>
      <c r="K608" s="245">
        <v>-14.36</v>
      </c>
      <c r="L608" s="245">
        <v>26.56</v>
      </c>
      <c r="M608" s="245">
        <v>731.35</v>
      </c>
      <c r="N608" s="257" t="s">
        <v>6831</v>
      </c>
    </row>
    <row r="609" spans="1:14">
      <c r="A609">
        <v>3049</v>
      </c>
      <c r="B609" t="s">
        <v>5301</v>
      </c>
      <c r="C609">
        <v>80.69</v>
      </c>
      <c r="D609">
        <v>191</v>
      </c>
      <c r="E609">
        <v>139</v>
      </c>
      <c r="F609">
        <v>-21</v>
      </c>
      <c r="G609">
        <v>-24</v>
      </c>
      <c r="H609">
        <v>26.57</v>
      </c>
      <c r="I609">
        <v>0.35</v>
      </c>
      <c r="J609">
        <v>1.24</v>
      </c>
      <c r="K609" s="245">
        <v>-43.22</v>
      </c>
      <c r="L609" s="245">
        <v>10.16</v>
      </c>
      <c r="M609" s="245">
        <v>4187.1499999999996</v>
      </c>
      <c r="N609" s="257" t="s">
        <v>6830</v>
      </c>
    </row>
    <row r="610" spans="1:14">
      <c r="A610">
        <v>3050</v>
      </c>
      <c r="B610" t="s">
        <v>5302</v>
      </c>
      <c r="C610">
        <v>14.59</v>
      </c>
      <c r="D610">
        <v>10</v>
      </c>
      <c r="E610">
        <v>-38</v>
      </c>
      <c r="F610">
        <v>-7</v>
      </c>
      <c r="G610">
        <v>11</v>
      </c>
      <c r="H610">
        <v>11.12</v>
      </c>
      <c r="I610">
        <v>0.6</v>
      </c>
      <c r="J610">
        <v>0.9</v>
      </c>
      <c r="K610" s="245">
        <v>-12.63</v>
      </c>
      <c r="L610" s="245">
        <v>36.229999999999997</v>
      </c>
      <c r="M610" s="245">
        <v>1900</v>
      </c>
      <c r="N610" s="257" t="s">
        <v>6831</v>
      </c>
    </row>
    <row r="611" spans="1:14">
      <c r="A611">
        <v>3051</v>
      </c>
      <c r="B611" t="s">
        <v>6178</v>
      </c>
      <c r="C611">
        <v>17</v>
      </c>
      <c r="D611">
        <v>4819</v>
      </c>
      <c r="E611">
        <v>167</v>
      </c>
      <c r="F611">
        <v>12</v>
      </c>
      <c r="G611">
        <v>-4</v>
      </c>
      <c r="H611">
        <v>9.93</v>
      </c>
      <c r="I611">
        <v>0</v>
      </c>
      <c r="J611">
        <v>4.76</v>
      </c>
      <c r="K611" s="245">
        <v>-55.08</v>
      </c>
      <c r="L611" s="245">
        <v>14.47</v>
      </c>
      <c r="M611" s="245">
        <v>1190.95</v>
      </c>
      <c r="N611" s="257" t="s">
        <v>6830</v>
      </c>
    </row>
    <row r="612" spans="1:14">
      <c r="A612">
        <v>3052</v>
      </c>
      <c r="B612" t="s">
        <v>5303</v>
      </c>
      <c r="C612">
        <v>22.87</v>
      </c>
      <c r="D612">
        <v>-67</v>
      </c>
      <c r="E612">
        <v>-76</v>
      </c>
      <c r="F612">
        <v>-28</v>
      </c>
      <c r="G612">
        <v>-47</v>
      </c>
      <c r="H612">
        <v>1.88</v>
      </c>
      <c r="I612">
        <v>0.25</v>
      </c>
      <c r="J612">
        <v>0.52</v>
      </c>
      <c r="K612" s="245">
        <v>-20.16</v>
      </c>
      <c r="L612" s="245">
        <v>29.3</v>
      </c>
      <c r="M612" s="245">
        <v>134.15</v>
      </c>
      <c r="N612" s="257" t="s">
        <v>6830</v>
      </c>
    </row>
    <row r="613" spans="1:14">
      <c r="A613">
        <v>3054</v>
      </c>
      <c r="B613" t="s">
        <v>5304</v>
      </c>
      <c r="C613">
        <v>8.34</v>
      </c>
      <c r="D613">
        <v>434</v>
      </c>
      <c r="E613">
        <v>52</v>
      </c>
      <c r="F613">
        <v>-30</v>
      </c>
      <c r="G613">
        <v>-35</v>
      </c>
      <c r="H613">
        <v>-101.73</v>
      </c>
      <c r="I613">
        <v>0</v>
      </c>
      <c r="J613">
        <v>0.55000000000000004</v>
      </c>
      <c r="K613" s="245">
        <v>-46.14</v>
      </c>
      <c r="L613" s="245">
        <v>10.7</v>
      </c>
      <c r="M613" s="245">
        <v>30</v>
      </c>
      <c r="N613" s="257" t="s">
        <v>6830</v>
      </c>
    </row>
    <row r="614" spans="1:14">
      <c r="A614">
        <v>3055</v>
      </c>
      <c r="B614" t="s">
        <v>5305</v>
      </c>
      <c r="C614">
        <v>11.87</v>
      </c>
      <c r="D614">
        <v>-910</v>
      </c>
      <c r="E614">
        <v>-207</v>
      </c>
      <c r="F614">
        <v>-44</v>
      </c>
      <c r="G614">
        <v>-58</v>
      </c>
      <c r="H614">
        <v>-13.37</v>
      </c>
      <c r="I614">
        <v>0.2</v>
      </c>
      <c r="J614">
        <v>-3.7</v>
      </c>
      <c r="K614" s="245">
        <v>-26.13</v>
      </c>
      <c r="L614" s="245">
        <v>30.4</v>
      </c>
      <c r="M614" s="245">
        <v>106.55</v>
      </c>
      <c r="N614" s="257" t="s">
        <v>6830</v>
      </c>
    </row>
    <row r="615" spans="1:14">
      <c r="A615">
        <v>3056</v>
      </c>
      <c r="B615" t="s">
        <v>5306</v>
      </c>
      <c r="C615">
        <v>21.17</v>
      </c>
      <c r="D615">
        <v>-37</v>
      </c>
      <c r="E615">
        <v>-37</v>
      </c>
      <c r="F615">
        <v>-29</v>
      </c>
      <c r="G615">
        <v>-61</v>
      </c>
      <c r="H615">
        <v>21.73</v>
      </c>
      <c r="I615">
        <v>1.5</v>
      </c>
      <c r="J615">
        <v>3.01</v>
      </c>
      <c r="K615" s="245">
        <v>-24.36</v>
      </c>
      <c r="L615" s="245">
        <v>19.71</v>
      </c>
      <c r="M615" s="245">
        <v>559.04999999999995</v>
      </c>
      <c r="N615" s="257" t="s">
        <v>6830</v>
      </c>
    </row>
    <row r="616" spans="1:14">
      <c r="A616">
        <v>3057</v>
      </c>
      <c r="B616" t="s">
        <v>6475</v>
      </c>
      <c r="C616">
        <v>9.26</v>
      </c>
      <c r="D616">
        <v>100</v>
      </c>
      <c r="E616">
        <v>96</v>
      </c>
      <c r="F616">
        <v>-36</v>
      </c>
      <c r="G616">
        <v>37</v>
      </c>
      <c r="H616">
        <v>-0.51</v>
      </c>
      <c r="I616">
        <v>0</v>
      </c>
      <c r="J616">
        <v>0.01</v>
      </c>
      <c r="K616" s="245">
        <v>-27.58</v>
      </c>
      <c r="L616" s="245">
        <v>8.5</v>
      </c>
      <c r="M616" s="245">
        <v>80.8</v>
      </c>
      <c r="N616" s="257" t="s">
        <v>6830</v>
      </c>
    </row>
    <row r="617" spans="1:14">
      <c r="A617">
        <v>3058</v>
      </c>
      <c r="B617" t="s">
        <v>6476</v>
      </c>
      <c r="C617">
        <v>15.85</v>
      </c>
      <c r="D617">
        <v>-165</v>
      </c>
      <c r="E617">
        <v>-117</v>
      </c>
      <c r="F617">
        <v>0</v>
      </c>
      <c r="G617">
        <v>-13</v>
      </c>
      <c r="H617">
        <v>-6.69</v>
      </c>
      <c r="I617">
        <v>0</v>
      </c>
      <c r="J617">
        <v>-2.06</v>
      </c>
      <c r="K617" s="245">
        <v>-50.12</v>
      </c>
      <c r="L617" s="245">
        <v>8.5</v>
      </c>
      <c r="M617" s="245">
        <v>367.5</v>
      </c>
      <c r="N617" s="257" t="s">
        <v>6830</v>
      </c>
    </row>
    <row r="618" spans="1:14">
      <c r="A618">
        <v>3059</v>
      </c>
      <c r="B618" t="s">
        <v>5307</v>
      </c>
      <c r="C618">
        <v>27.89</v>
      </c>
      <c r="D618">
        <v>73</v>
      </c>
      <c r="E618">
        <v>172</v>
      </c>
      <c r="F618">
        <v>-54</v>
      </c>
      <c r="G618">
        <v>-19</v>
      </c>
      <c r="H618">
        <v>2.56</v>
      </c>
      <c r="I618">
        <v>0.7</v>
      </c>
      <c r="J618">
        <v>0.85</v>
      </c>
      <c r="K618" s="245">
        <v>-32.17</v>
      </c>
      <c r="L618" s="245">
        <v>22.65</v>
      </c>
      <c r="M618" s="245">
        <v>3814.45</v>
      </c>
      <c r="N618" s="257" t="s">
        <v>6830</v>
      </c>
    </row>
    <row r="619" spans="1:14">
      <c r="A619">
        <v>3060</v>
      </c>
      <c r="B619" t="s">
        <v>5308</v>
      </c>
      <c r="C619">
        <v>13.75</v>
      </c>
      <c r="D619">
        <v>164</v>
      </c>
      <c r="E619">
        <v>165</v>
      </c>
      <c r="F619">
        <v>-14</v>
      </c>
      <c r="G619">
        <v>18</v>
      </c>
      <c r="H619">
        <v>4.3899999999999997</v>
      </c>
      <c r="I619">
        <v>1</v>
      </c>
      <c r="J619">
        <v>1.36</v>
      </c>
      <c r="K619" s="245">
        <v>-41.31</v>
      </c>
      <c r="L619" s="245">
        <v>15.12</v>
      </c>
      <c r="M619" s="245">
        <v>326.39999999999998</v>
      </c>
      <c r="N619" s="257" t="s">
        <v>6830</v>
      </c>
    </row>
    <row r="620" spans="1:14">
      <c r="A620">
        <v>3062</v>
      </c>
      <c r="B620" t="s">
        <v>5309</v>
      </c>
      <c r="C620">
        <v>32.86</v>
      </c>
      <c r="D620">
        <v>3</v>
      </c>
      <c r="E620">
        <v>-1000</v>
      </c>
      <c r="F620">
        <v>-17</v>
      </c>
      <c r="G620">
        <v>-35</v>
      </c>
      <c r="H620">
        <v>-7.11</v>
      </c>
      <c r="I620">
        <v>0.05</v>
      </c>
      <c r="J620">
        <v>7.0000000000000007E-2</v>
      </c>
      <c r="K620" s="245">
        <v>-42.1</v>
      </c>
      <c r="L620" s="245">
        <v>18.3</v>
      </c>
      <c r="M620" s="245">
        <v>2586.65</v>
      </c>
      <c r="N620" s="257" t="s">
        <v>6830</v>
      </c>
    </row>
    <row r="621" spans="1:14">
      <c r="A621">
        <v>3064</v>
      </c>
      <c r="B621" t="s">
        <v>6477</v>
      </c>
      <c r="C621">
        <v>2.67</v>
      </c>
      <c r="D621">
        <v>61</v>
      </c>
      <c r="E621">
        <v>83</v>
      </c>
      <c r="F621">
        <v>7</v>
      </c>
      <c r="G621">
        <v>-73</v>
      </c>
      <c r="H621">
        <v>-3.56</v>
      </c>
      <c r="I621">
        <v>0</v>
      </c>
      <c r="J621">
        <v>-0.75</v>
      </c>
      <c r="K621" s="245">
        <v>-56.47</v>
      </c>
      <c r="L621" s="245">
        <v>11.17</v>
      </c>
      <c r="M621" s="245">
        <v>2.15</v>
      </c>
      <c r="N621" s="257" t="s">
        <v>6830</v>
      </c>
    </row>
    <row r="622" spans="1:14">
      <c r="A622">
        <v>3066</v>
      </c>
      <c r="B622" t="s">
        <v>6334</v>
      </c>
      <c r="C622">
        <v>8.3000000000000007</v>
      </c>
      <c r="D622">
        <v>343</v>
      </c>
      <c r="E622">
        <v>156</v>
      </c>
      <c r="F622">
        <v>-28</v>
      </c>
      <c r="G622">
        <v>-44</v>
      </c>
      <c r="H622">
        <v>4.62</v>
      </c>
      <c r="I622">
        <v>0</v>
      </c>
      <c r="J622">
        <v>2.08</v>
      </c>
      <c r="K622" s="245">
        <v>-37.03</v>
      </c>
      <c r="L622" s="245">
        <v>19.84</v>
      </c>
      <c r="M622" s="245">
        <v>248.3</v>
      </c>
      <c r="N622" s="257" t="s">
        <v>6831</v>
      </c>
    </row>
    <row r="623" spans="1:14">
      <c r="A623">
        <v>3067</v>
      </c>
      <c r="B623" t="s">
        <v>6478</v>
      </c>
      <c r="C623">
        <v>2</v>
      </c>
      <c r="D623">
        <v>504</v>
      </c>
      <c r="E623">
        <v>7</v>
      </c>
      <c r="F623">
        <v>889</v>
      </c>
      <c r="G623">
        <v>15</v>
      </c>
      <c r="H623">
        <v>-43.96</v>
      </c>
      <c r="I623">
        <v>0</v>
      </c>
      <c r="J623">
        <v>4.71</v>
      </c>
      <c r="K623" s="245">
        <v>-4.53</v>
      </c>
      <c r="L623" s="245">
        <v>39.78</v>
      </c>
      <c r="M623" s="245">
        <v>6.85</v>
      </c>
      <c r="N623" s="257" t="s">
        <v>6832</v>
      </c>
    </row>
    <row r="624" spans="1:14">
      <c r="A624">
        <v>3071</v>
      </c>
      <c r="B624" t="s">
        <v>5310</v>
      </c>
      <c r="C624">
        <v>11</v>
      </c>
      <c r="D624">
        <v>0</v>
      </c>
      <c r="E624">
        <v>16</v>
      </c>
      <c r="F624">
        <v>-19</v>
      </c>
      <c r="G624">
        <v>-18</v>
      </c>
      <c r="H624">
        <v>8.9</v>
      </c>
      <c r="I624">
        <v>1.6</v>
      </c>
      <c r="J624">
        <v>1.86</v>
      </c>
      <c r="K624" s="245">
        <v>-18.23</v>
      </c>
      <c r="L624" s="245">
        <v>46.9</v>
      </c>
      <c r="M624" s="245">
        <v>297.75</v>
      </c>
      <c r="N624" s="257" t="s">
        <v>6831</v>
      </c>
    </row>
    <row r="625" spans="1:14">
      <c r="A625">
        <v>3073</v>
      </c>
      <c r="B625" t="s">
        <v>6479</v>
      </c>
      <c r="C625">
        <v>2.7</v>
      </c>
      <c r="D625">
        <v>-696</v>
      </c>
      <c r="E625">
        <v>-1291</v>
      </c>
      <c r="F625">
        <v>-21</v>
      </c>
      <c r="G625">
        <v>-2</v>
      </c>
      <c r="H625">
        <v>-41.15</v>
      </c>
      <c r="I625">
        <v>0</v>
      </c>
      <c r="J625">
        <v>-3.16</v>
      </c>
      <c r="K625" s="245">
        <v>-25.81</v>
      </c>
      <c r="L625" s="245">
        <v>21.93</v>
      </c>
      <c r="M625" s="245">
        <v>9.65</v>
      </c>
      <c r="N625" s="257" t="s">
        <v>6830</v>
      </c>
    </row>
    <row r="626" spans="1:14">
      <c r="A626">
        <v>3078</v>
      </c>
      <c r="B626" t="s">
        <v>5311</v>
      </c>
      <c r="C626">
        <v>22.73</v>
      </c>
      <c r="D626">
        <v>-5</v>
      </c>
      <c r="E626">
        <v>-2</v>
      </c>
      <c r="F626">
        <v>16</v>
      </c>
      <c r="G626">
        <v>-32</v>
      </c>
      <c r="H626">
        <v>12.13</v>
      </c>
      <c r="I626">
        <v>3.25</v>
      </c>
      <c r="J626">
        <v>4.3</v>
      </c>
      <c r="K626" s="245">
        <v>-40.11</v>
      </c>
      <c r="L626" s="245">
        <v>19.350000000000001</v>
      </c>
      <c r="M626" s="245">
        <v>276.3</v>
      </c>
      <c r="N626" s="257" t="s">
        <v>6830</v>
      </c>
    </row>
    <row r="627" spans="1:14">
      <c r="A627">
        <v>3081</v>
      </c>
      <c r="B627" t="s">
        <v>5312</v>
      </c>
      <c r="C627">
        <v>9.1300000000000008</v>
      </c>
      <c r="D627">
        <v>-42</v>
      </c>
      <c r="E627">
        <v>-41</v>
      </c>
      <c r="F627">
        <v>8</v>
      </c>
      <c r="G627">
        <v>-7</v>
      </c>
      <c r="H627">
        <v>22</v>
      </c>
      <c r="I627">
        <v>3.5</v>
      </c>
      <c r="J627">
        <v>3.71</v>
      </c>
      <c r="K627" s="245">
        <v>-51.84</v>
      </c>
      <c r="L627" s="245">
        <v>9.59</v>
      </c>
      <c r="M627" s="245">
        <v>324.8</v>
      </c>
      <c r="N627" s="257" t="s">
        <v>6830</v>
      </c>
    </row>
    <row r="628" spans="1:14">
      <c r="A628">
        <v>3083</v>
      </c>
      <c r="B628" t="s">
        <v>5313</v>
      </c>
      <c r="C628">
        <v>8.6199999999999992</v>
      </c>
      <c r="D628">
        <v>-384</v>
      </c>
      <c r="E628">
        <v>-532</v>
      </c>
      <c r="F628">
        <v>14</v>
      </c>
      <c r="G628">
        <v>35</v>
      </c>
      <c r="H628">
        <v>-18.45</v>
      </c>
      <c r="I628">
        <v>0</v>
      </c>
      <c r="J628">
        <v>-0.46</v>
      </c>
      <c r="K628" s="245">
        <v>-34.67</v>
      </c>
      <c r="L628" s="245">
        <v>26.9</v>
      </c>
      <c r="M628" s="245">
        <v>531.25</v>
      </c>
      <c r="N628" s="257" t="s">
        <v>6830</v>
      </c>
    </row>
    <row r="629" spans="1:14">
      <c r="A629">
        <v>3085</v>
      </c>
      <c r="B629" t="s">
        <v>6480</v>
      </c>
      <c r="C629">
        <v>5.8</v>
      </c>
      <c r="D629">
        <v>119</v>
      </c>
      <c r="E629">
        <v>58</v>
      </c>
      <c r="F629">
        <v>86</v>
      </c>
      <c r="G629">
        <v>488</v>
      </c>
      <c r="H629">
        <v>-61</v>
      </c>
      <c r="I629">
        <v>0</v>
      </c>
      <c r="J629">
        <v>0.37</v>
      </c>
      <c r="K629" s="245">
        <v>-34.880000000000003</v>
      </c>
      <c r="L629" s="245">
        <v>43.23</v>
      </c>
      <c r="M629" s="245">
        <v>20.75</v>
      </c>
      <c r="N629" s="257" t="s">
        <v>6831</v>
      </c>
    </row>
    <row r="630" spans="1:14">
      <c r="A630">
        <v>3086</v>
      </c>
      <c r="B630" t="s">
        <v>5314</v>
      </c>
      <c r="C630">
        <v>1.93</v>
      </c>
      <c r="D630">
        <v>16379</v>
      </c>
      <c r="E630">
        <v>5265</v>
      </c>
      <c r="F630">
        <v>-14</v>
      </c>
      <c r="G630">
        <v>-45</v>
      </c>
      <c r="H630">
        <v>38.619999999999997</v>
      </c>
      <c r="I630">
        <v>3.5</v>
      </c>
      <c r="J630">
        <v>4.8</v>
      </c>
      <c r="K630" s="245">
        <v>-40.17</v>
      </c>
      <c r="L630" s="245">
        <v>18.14</v>
      </c>
      <c r="M630" s="245">
        <v>132.85</v>
      </c>
      <c r="N630" s="257" t="s">
        <v>6830</v>
      </c>
    </row>
    <row r="631" spans="1:14">
      <c r="A631">
        <v>3088</v>
      </c>
      <c r="B631" t="s">
        <v>5315</v>
      </c>
      <c r="C631">
        <v>9.02</v>
      </c>
      <c r="D631">
        <v>27</v>
      </c>
      <c r="E631">
        <v>3</v>
      </c>
      <c r="F631">
        <v>-17</v>
      </c>
      <c r="G631">
        <v>40</v>
      </c>
      <c r="H631">
        <v>8.23</v>
      </c>
      <c r="I631">
        <v>3.05</v>
      </c>
      <c r="J631">
        <v>4.57</v>
      </c>
      <c r="K631" s="245">
        <v>-16.670000000000002</v>
      </c>
      <c r="L631" s="245">
        <v>28.1</v>
      </c>
      <c r="M631" s="245">
        <v>642.25</v>
      </c>
      <c r="N631" s="257" t="s">
        <v>6831</v>
      </c>
    </row>
    <row r="632" spans="1:14">
      <c r="A632">
        <v>3089</v>
      </c>
      <c r="B632" t="s">
        <v>6481</v>
      </c>
      <c r="C632">
        <v>6.51</v>
      </c>
      <c r="D632">
        <v>252</v>
      </c>
      <c r="E632">
        <v>238</v>
      </c>
      <c r="F632">
        <v>34</v>
      </c>
      <c r="G632">
        <v>20</v>
      </c>
      <c r="H632">
        <v>8.07</v>
      </c>
      <c r="I632">
        <v>0</v>
      </c>
      <c r="J632">
        <v>0.69</v>
      </c>
      <c r="K632" s="245">
        <v>-40.29</v>
      </c>
      <c r="L632" s="245">
        <v>21.02</v>
      </c>
      <c r="M632" s="245">
        <v>22.75</v>
      </c>
      <c r="N632" s="257" t="s">
        <v>6831</v>
      </c>
    </row>
    <row r="633" spans="1:14">
      <c r="A633">
        <v>3090</v>
      </c>
      <c r="B633" t="s">
        <v>5316</v>
      </c>
      <c r="C633">
        <v>17.86</v>
      </c>
      <c r="D633">
        <v>39</v>
      </c>
      <c r="E633">
        <v>29</v>
      </c>
      <c r="F633">
        <v>-3</v>
      </c>
      <c r="G633">
        <v>4</v>
      </c>
      <c r="H633">
        <v>10.56</v>
      </c>
      <c r="I633">
        <v>4</v>
      </c>
      <c r="J633">
        <v>4.59</v>
      </c>
      <c r="K633" s="245">
        <v>-12.05</v>
      </c>
      <c r="L633" s="245">
        <v>45.11</v>
      </c>
      <c r="M633" s="245">
        <v>202.65</v>
      </c>
      <c r="N633" s="257" t="s">
        <v>6831</v>
      </c>
    </row>
    <row r="634" spans="1:14">
      <c r="A634">
        <v>3092</v>
      </c>
      <c r="B634" t="s">
        <v>5317</v>
      </c>
      <c r="C634">
        <v>9.26</v>
      </c>
      <c r="D634">
        <v>-82</v>
      </c>
      <c r="E634">
        <v>-83</v>
      </c>
      <c r="F634">
        <v>-11</v>
      </c>
      <c r="G634">
        <v>51</v>
      </c>
      <c r="H634">
        <v>0.89</v>
      </c>
      <c r="I634">
        <v>0</v>
      </c>
      <c r="J634">
        <v>0.25</v>
      </c>
      <c r="K634" s="245">
        <v>-37.119999999999997</v>
      </c>
      <c r="L634" s="245">
        <v>19.86</v>
      </c>
      <c r="M634" s="245">
        <v>1762.95</v>
      </c>
      <c r="N634" s="257" t="s">
        <v>6830</v>
      </c>
    </row>
    <row r="635" spans="1:14">
      <c r="A635">
        <v>3093</v>
      </c>
      <c r="B635" t="s">
        <v>6289</v>
      </c>
      <c r="C635">
        <v>3.62</v>
      </c>
      <c r="D635">
        <v>52</v>
      </c>
      <c r="E635">
        <v>74</v>
      </c>
      <c r="F635">
        <v>37</v>
      </c>
      <c r="G635">
        <v>96</v>
      </c>
      <c r="H635">
        <v>17.5</v>
      </c>
      <c r="I635">
        <v>6.3</v>
      </c>
      <c r="J635">
        <v>7.41</v>
      </c>
      <c r="K635" s="245">
        <v>-4.24</v>
      </c>
      <c r="L635" s="245">
        <v>65.05</v>
      </c>
      <c r="M635" s="245">
        <v>662.75</v>
      </c>
      <c r="N635" s="257" t="s">
        <v>6832</v>
      </c>
    </row>
    <row r="636" spans="1:14">
      <c r="A636">
        <v>3094</v>
      </c>
      <c r="B636" t="s">
        <v>5318</v>
      </c>
      <c r="C636">
        <v>8.31</v>
      </c>
      <c r="D636">
        <v>108</v>
      </c>
      <c r="E636">
        <v>179</v>
      </c>
      <c r="F636">
        <v>0</v>
      </c>
      <c r="G636">
        <v>-4</v>
      </c>
      <c r="H636">
        <v>19.940000000000001</v>
      </c>
      <c r="I636">
        <v>1</v>
      </c>
      <c r="J636">
        <v>0.85</v>
      </c>
      <c r="K636" s="245">
        <v>-41.9</v>
      </c>
      <c r="L636" s="245">
        <v>24.77</v>
      </c>
      <c r="M636" s="245">
        <v>442.9</v>
      </c>
      <c r="N636" s="257" t="s">
        <v>6830</v>
      </c>
    </row>
    <row r="637" spans="1:14">
      <c r="A637">
        <v>3095</v>
      </c>
      <c r="B637" t="s">
        <v>6482</v>
      </c>
      <c r="C637">
        <v>10.92</v>
      </c>
      <c r="D637">
        <v>52</v>
      </c>
      <c r="E637">
        <v>44</v>
      </c>
      <c r="F637">
        <v>-11</v>
      </c>
      <c r="G637">
        <v>-2</v>
      </c>
      <c r="H637">
        <v>-5.98</v>
      </c>
      <c r="I637">
        <v>0</v>
      </c>
      <c r="J637">
        <v>-0.28000000000000003</v>
      </c>
      <c r="K637" s="245">
        <v>-41.86</v>
      </c>
      <c r="L637" s="245">
        <v>6.59</v>
      </c>
      <c r="M637" s="245">
        <v>30.45</v>
      </c>
      <c r="N637" s="257" t="s">
        <v>6830</v>
      </c>
    </row>
    <row r="638" spans="1:14">
      <c r="A638">
        <v>3105</v>
      </c>
      <c r="B638" t="s">
        <v>5319</v>
      </c>
      <c r="C638">
        <v>42.39</v>
      </c>
      <c r="D638">
        <v>-19</v>
      </c>
      <c r="E638">
        <v>-17</v>
      </c>
      <c r="F638">
        <v>-2</v>
      </c>
      <c r="G638">
        <v>-11</v>
      </c>
      <c r="H638">
        <v>24.53</v>
      </c>
      <c r="I638">
        <v>8</v>
      </c>
      <c r="J638">
        <v>12.9</v>
      </c>
      <c r="K638" s="245">
        <v>-51.12</v>
      </c>
      <c r="L638" s="245">
        <v>6.45</v>
      </c>
      <c r="M638" s="245">
        <v>3574</v>
      </c>
      <c r="N638" s="257" t="s">
        <v>6830</v>
      </c>
    </row>
    <row r="639" spans="1:14">
      <c r="A639">
        <v>3114</v>
      </c>
      <c r="B639" t="s">
        <v>5320</v>
      </c>
      <c r="C639">
        <v>5.9</v>
      </c>
      <c r="D639">
        <v>37</v>
      </c>
      <c r="E639">
        <v>28</v>
      </c>
      <c r="F639">
        <v>58</v>
      </c>
      <c r="G639">
        <v>44</v>
      </c>
      <c r="H639">
        <v>4.5599999999999996</v>
      </c>
      <c r="I639">
        <v>1.5</v>
      </c>
      <c r="J639">
        <v>2.42</v>
      </c>
      <c r="K639" s="245">
        <v>-38.369999999999997</v>
      </c>
      <c r="L639" s="245">
        <v>45.68</v>
      </c>
      <c r="M639" s="245">
        <v>299.85000000000002</v>
      </c>
      <c r="N639" s="257" t="s">
        <v>6830</v>
      </c>
    </row>
    <row r="640" spans="1:14">
      <c r="A640">
        <v>3115</v>
      </c>
      <c r="B640" t="s">
        <v>6483</v>
      </c>
      <c r="C640">
        <v>4.3600000000000003</v>
      </c>
      <c r="D640">
        <v>67</v>
      </c>
      <c r="E640">
        <v>33</v>
      </c>
      <c r="F640">
        <v>-100</v>
      </c>
      <c r="G640">
        <v>-100</v>
      </c>
      <c r="H640">
        <v>-2.4900000000000002</v>
      </c>
      <c r="I640">
        <v>0</v>
      </c>
      <c r="J640">
        <v>-0.33</v>
      </c>
      <c r="K640" s="245">
        <v>-32.24</v>
      </c>
      <c r="L640" s="245">
        <v>13.38</v>
      </c>
      <c r="M640" s="245">
        <v>14.75</v>
      </c>
      <c r="N640" s="257" t="s">
        <v>6830</v>
      </c>
    </row>
    <row r="641" spans="1:14">
      <c r="A641">
        <v>3118</v>
      </c>
      <c r="B641" t="s">
        <v>5321</v>
      </c>
      <c r="C641">
        <v>3.24</v>
      </c>
      <c r="D641">
        <v>17</v>
      </c>
      <c r="E641">
        <v>19</v>
      </c>
      <c r="F641">
        <v>-16</v>
      </c>
      <c r="G641">
        <v>-14</v>
      </c>
      <c r="H641">
        <v>11.66</v>
      </c>
      <c r="I641">
        <v>1.9</v>
      </c>
      <c r="J641">
        <v>2.1</v>
      </c>
      <c r="K641" s="245">
        <v>-15.54</v>
      </c>
      <c r="L641" s="245">
        <v>18.13</v>
      </c>
      <c r="M641" s="245">
        <v>267.25</v>
      </c>
      <c r="N641" s="257" t="s">
        <v>6830</v>
      </c>
    </row>
    <row r="642" spans="1:14">
      <c r="A642">
        <v>3122</v>
      </c>
      <c r="B642" t="s">
        <v>5322</v>
      </c>
      <c r="C642">
        <v>3.9</v>
      </c>
      <c r="D642">
        <v>1262</v>
      </c>
      <c r="E642">
        <v>1058</v>
      </c>
      <c r="F642">
        <v>-19</v>
      </c>
      <c r="G642">
        <v>-14</v>
      </c>
      <c r="H642">
        <v>17.05</v>
      </c>
      <c r="I642">
        <v>2.2000000000000002</v>
      </c>
      <c r="J642">
        <v>3.38</v>
      </c>
      <c r="K642" s="245">
        <v>-32.42</v>
      </c>
      <c r="L642" s="245">
        <v>16.41</v>
      </c>
      <c r="M642" s="245">
        <v>1544.65</v>
      </c>
      <c r="N642" s="257" t="s">
        <v>6831</v>
      </c>
    </row>
    <row r="643" spans="1:14">
      <c r="A643">
        <v>3128</v>
      </c>
      <c r="B643" t="s">
        <v>5323</v>
      </c>
      <c r="C643">
        <v>4.2</v>
      </c>
      <c r="D643">
        <v>29</v>
      </c>
      <c r="E643">
        <v>10</v>
      </c>
      <c r="F643">
        <v>-17</v>
      </c>
      <c r="G643">
        <v>33</v>
      </c>
      <c r="H643">
        <v>4.04</v>
      </c>
      <c r="I643">
        <v>0.7</v>
      </c>
      <c r="J643">
        <v>0.8</v>
      </c>
      <c r="K643" s="245">
        <v>-36.51</v>
      </c>
      <c r="L643" s="245">
        <v>27.37</v>
      </c>
      <c r="M643" s="245">
        <v>227.5</v>
      </c>
      <c r="N643" s="257" t="s">
        <v>6830</v>
      </c>
    </row>
    <row r="644" spans="1:14">
      <c r="A644">
        <v>3130</v>
      </c>
      <c r="B644" t="s">
        <v>5324</v>
      </c>
      <c r="C644">
        <v>3.31</v>
      </c>
      <c r="D644">
        <v>43</v>
      </c>
      <c r="E644">
        <v>37</v>
      </c>
      <c r="F644">
        <v>-11</v>
      </c>
      <c r="G644">
        <v>14</v>
      </c>
      <c r="H644">
        <v>21.34</v>
      </c>
      <c r="I644">
        <v>11.16</v>
      </c>
      <c r="J644">
        <v>11.16</v>
      </c>
      <c r="K644" s="245">
        <v>-3.43</v>
      </c>
      <c r="L644" s="245">
        <v>48.04</v>
      </c>
      <c r="M644" s="245">
        <v>22.05</v>
      </c>
      <c r="N644" s="257" t="s">
        <v>6832</v>
      </c>
    </row>
    <row r="645" spans="1:14">
      <c r="A645">
        <v>3131</v>
      </c>
      <c r="B645" t="s">
        <v>6484</v>
      </c>
      <c r="C645">
        <v>2.92</v>
      </c>
      <c r="D645">
        <v>68</v>
      </c>
      <c r="E645">
        <v>54</v>
      </c>
      <c r="F645">
        <v>-5</v>
      </c>
      <c r="G645">
        <v>1</v>
      </c>
      <c r="H645">
        <v>22.53</v>
      </c>
      <c r="I645">
        <v>17</v>
      </c>
      <c r="J645">
        <v>23.47</v>
      </c>
      <c r="K645" s="245">
        <v>-37.65</v>
      </c>
      <c r="L645" s="245">
        <v>16.059999999999999</v>
      </c>
      <c r="M645" s="245">
        <v>52.7</v>
      </c>
      <c r="N645" s="257" t="s">
        <v>6830</v>
      </c>
    </row>
    <row r="646" spans="1:14">
      <c r="A646">
        <v>3138</v>
      </c>
      <c r="B646" t="s">
        <v>5325</v>
      </c>
      <c r="C646">
        <v>4.87</v>
      </c>
      <c r="D646">
        <v>155</v>
      </c>
      <c r="E646">
        <v>55</v>
      </c>
      <c r="F646">
        <v>-25</v>
      </c>
      <c r="G646">
        <v>-20</v>
      </c>
      <c r="H646">
        <v>10.83</v>
      </c>
      <c r="I646">
        <v>3</v>
      </c>
      <c r="J646">
        <v>5.96</v>
      </c>
      <c r="K646" s="245">
        <v>-46.82</v>
      </c>
      <c r="L646" s="245">
        <v>14.86</v>
      </c>
      <c r="M646" s="245">
        <v>221.65</v>
      </c>
      <c r="N646" s="257" t="s">
        <v>6830</v>
      </c>
    </row>
    <row r="647" spans="1:14">
      <c r="A647">
        <v>3141</v>
      </c>
      <c r="B647" t="s">
        <v>5326</v>
      </c>
      <c r="C647">
        <v>7.47</v>
      </c>
      <c r="D647">
        <v>445</v>
      </c>
      <c r="E647">
        <v>461</v>
      </c>
      <c r="F647">
        <v>0</v>
      </c>
      <c r="G647">
        <v>34</v>
      </c>
      <c r="H647">
        <v>29.97</v>
      </c>
      <c r="I647">
        <v>4</v>
      </c>
      <c r="J647">
        <v>9.8000000000000007</v>
      </c>
      <c r="K647" s="245">
        <v>-47.52</v>
      </c>
      <c r="L647" s="245">
        <v>34.380000000000003</v>
      </c>
      <c r="M647" s="245">
        <v>8068.8</v>
      </c>
      <c r="N647" s="257" t="s">
        <v>6830</v>
      </c>
    </row>
    <row r="648" spans="1:14">
      <c r="A648">
        <v>3147</v>
      </c>
      <c r="B648" t="s">
        <v>5327</v>
      </c>
      <c r="C648">
        <v>3.9</v>
      </c>
      <c r="D648">
        <v>54</v>
      </c>
      <c r="E648">
        <v>93</v>
      </c>
      <c r="F648">
        <v>9</v>
      </c>
      <c r="G648">
        <v>-18</v>
      </c>
      <c r="H648">
        <v>5.26</v>
      </c>
      <c r="I648">
        <v>4</v>
      </c>
      <c r="J648">
        <v>4.9400000000000004</v>
      </c>
      <c r="K648" s="245">
        <v>-30.97</v>
      </c>
      <c r="L648" s="245">
        <v>34.08</v>
      </c>
      <c r="M648" s="245">
        <v>35.15</v>
      </c>
      <c r="N648" s="257" t="s">
        <v>6830</v>
      </c>
    </row>
    <row r="649" spans="1:14">
      <c r="A649">
        <v>3149</v>
      </c>
      <c r="B649" t="s">
        <v>6485</v>
      </c>
      <c r="C649">
        <v>22.33</v>
      </c>
      <c r="D649">
        <v>58</v>
      </c>
      <c r="E649">
        <v>54</v>
      </c>
      <c r="F649">
        <v>37</v>
      </c>
      <c r="G649">
        <v>13</v>
      </c>
      <c r="H649">
        <v>-7.59</v>
      </c>
      <c r="I649">
        <v>0</v>
      </c>
      <c r="J649">
        <v>-0.59</v>
      </c>
      <c r="K649" s="245">
        <v>-54.04</v>
      </c>
      <c r="L649" s="245">
        <v>29.43</v>
      </c>
      <c r="M649" s="245">
        <v>651.95000000000005</v>
      </c>
      <c r="N649" s="257" t="s">
        <v>6830</v>
      </c>
    </row>
    <row r="650" spans="1:14">
      <c r="A650">
        <v>3152</v>
      </c>
      <c r="B650" t="s">
        <v>5328</v>
      </c>
      <c r="C650">
        <v>6.9</v>
      </c>
      <c r="D650">
        <v>23</v>
      </c>
      <c r="E650">
        <v>24</v>
      </c>
      <c r="F650">
        <v>-4</v>
      </c>
      <c r="G650">
        <v>-52</v>
      </c>
      <c r="H650">
        <v>45.67</v>
      </c>
      <c r="I650">
        <v>8</v>
      </c>
      <c r="J650">
        <v>14.88</v>
      </c>
      <c r="K650" s="245">
        <v>-55.96</v>
      </c>
      <c r="L650" s="245">
        <v>29.28</v>
      </c>
      <c r="M650" s="245">
        <v>110.45</v>
      </c>
      <c r="N650" s="257" t="s">
        <v>6830</v>
      </c>
    </row>
    <row r="651" spans="1:14">
      <c r="A651">
        <v>3162</v>
      </c>
      <c r="B651" t="s">
        <v>5329</v>
      </c>
      <c r="C651">
        <v>10.95</v>
      </c>
      <c r="D651">
        <v>734</v>
      </c>
      <c r="E651">
        <v>429</v>
      </c>
      <c r="F651">
        <v>5</v>
      </c>
      <c r="G651">
        <v>31</v>
      </c>
      <c r="H651">
        <v>5.7</v>
      </c>
      <c r="I651">
        <v>0</v>
      </c>
      <c r="J651">
        <v>0.82</v>
      </c>
      <c r="K651" s="245">
        <v>-38.68</v>
      </c>
      <c r="L651" s="245">
        <v>19.21</v>
      </c>
      <c r="M651" s="245">
        <v>175.35</v>
      </c>
      <c r="N651" s="257" t="s">
        <v>6830</v>
      </c>
    </row>
    <row r="652" spans="1:14">
      <c r="A652">
        <v>3163</v>
      </c>
      <c r="B652" t="s">
        <v>5330</v>
      </c>
      <c r="C652">
        <v>7.52</v>
      </c>
      <c r="D652">
        <v>-64</v>
      </c>
      <c r="E652">
        <v>-75</v>
      </c>
      <c r="F652">
        <v>8</v>
      </c>
      <c r="G652">
        <v>56</v>
      </c>
      <c r="H652">
        <v>4.6900000000000004</v>
      </c>
      <c r="I652">
        <v>1</v>
      </c>
      <c r="J652">
        <v>1.0900000000000001</v>
      </c>
      <c r="K652" s="245">
        <v>-3.93</v>
      </c>
      <c r="L652" s="245">
        <v>78.099999999999994</v>
      </c>
      <c r="M652" s="245">
        <v>1170.4000000000001</v>
      </c>
      <c r="N652" s="257" t="s">
        <v>6832</v>
      </c>
    </row>
    <row r="653" spans="1:14">
      <c r="A653">
        <v>3164</v>
      </c>
      <c r="B653" t="s">
        <v>5331</v>
      </c>
      <c r="C653">
        <v>8.6300000000000008</v>
      </c>
      <c r="D653">
        <v>82</v>
      </c>
      <c r="E653">
        <v>76</v>
      </c>
      <c r="F653">
        <v>-32</v>
      </c>
      <c r="G653">
        <v>-21</v>
      </c>
      <c r="H653">
        <v>29.22</v>
      </c>
      <c r="I653">
        <v>1.1000000000000001</v>
      </c>
      <c r="J653">
        <v>1.31</v>
      </c>
      <c r="K653" s="245">
        <v>-13.57</v>
      </c>
      <c r="L653" s="245">
        <v>36.979999999999997</v>
      </c>
      <c r="M653" s="245">
        <v>253.8</v>
      </c>
      <c r="N653" s="257" t="s">
        <v>6830</v>
      </c>
    </row>
    <row r="654" spans="1:14">
      <c r="A654">
        <v>3167</v>
      </c>
      <c r="B654" t="s">
        <v>5332</v>
      </c>
      <c r="C654">
        <v>8.01</v>
      </c>
      <c r="D654">
        <v>5</v>
      </c>
      <c r="E654">
        <v>171</v>
      </c>
      <c r="F654">
        <v>-14</v>
      </c>
      <c r="G654">
        <v>-44</v>
      </c>
      <c r="H654">
        <v>12.4</v>
      </c>
      <c r="I654">
        <v>4</v>
      </c>
      <c r="J654">
        <v>5.51</v>
      </c>
      <c r="K654" s="245">
        <v>-48.88</v>
      </c>
      <c r="L654" s="245">
        <v>12.94</v>
      </c>
      <c r="M654" s="245">
        <v>194.1</v>
      </c>
      <c r="N654" s="257" t="s">
        <v>6830</v>
      </c>
    </row>
    <row r="655" spans="1:14">
      <c r="A655">
        <v>3169</v>
      </c>
      <c r="B655" t="s">
        <v>5333</v>
      </c>
      <c r="C655">
        <v>6.21</v>
      </c>
      <c r="D655">
        <v>141</v>
      </c>
      <c r="E655">
        <v>145</v>
      </c>
      <c r="F655">
        <v>0</v>
      </c>
      <c r="G655">
        <v>52</v>
      </c>
      <c r="H655">
        <v>34.74</v>
      </c>
      <c r="I655">
        <v>5</v>
      </c>
      <c r="J655">
        <v>6.34</v>
      </c>
      <c r="K655" s="245">
        <v>-47.08</v>
      </c>
      <c r="L655" s="245">
        <v>20.67</v>
      </c>
      <c r="M655" s="245">
        <v>4192</v>
      </c>
      <c r="N655" s="257" t="s">
        <v>6830</v>
      </c>
    </row>
    <row r="656" spans="1:14">
      <c r="A656">
        <v>3171</v>
      </c>
      <c r="B656" t="s">
        <v>6313</v>
      </c>
      <c r="C656">
        <v>6.67</v>
      </c>
      <c r="D656">
        <v>-16</v>
      </c>
      <c r="E656">
        <v>-21</v>
      </c>
      <c r="F656">
        <v>0</v>
      </c>
      <c r="G656">
        <v>-4</v>
      </c>
      <c r="H656">
        <v>5.64</v>
      </c>
      <c r="I656">
        <v>1.57</v>
      </c>
      <c r="J656">
        <v>1.64</v>
      </c>
      <c r="K656" s="245">
        <v>-35.880000000000003</v>
      </c>
      <c r="L656" s="245">
        <v>26.25</v>
      </c>
      <c r="M656" s="245">
        <v>114.15</v>
      </c>
      <c r="N656" s="257" t="s">
        <v>6830</v>
      </c>
    </row>
    <row r="657" spans="1:14">
      <c r="A657">
        <v>3176</v>
      </c>
      <c r="B657" t="s">
        <v>6486</v>
      </c>
      <c r="C657">
        <v>13.94</v>
      </c>
      <c r="D657">
        <v>226</v>
      </c>
      <c r="E657">
        <v>186</v>
      </c>
      <c r="F657">
        <v>-66</v>
      </c>
      <c r="G657">
        <v>-15</v>
      </c>
      <c r="H657">
        <v>20.12</v>
      </c>
      <c r="I657">
        <v>0</v>
      </c>
      <c r="J657">
        <v>-0.38</v>
      </c>
      <c r="K657" s="245">
        <v>-45.89</v>
      </c>
      <c r="L657" s="245">
        <v>33.6</v>
      </c>
      <c r="M657" s="245">
        <v>1214.8499999999999</v>
      </c>
      <c r="N657" s="257" t="s">
        <v>6830</v>
      </c>
    </row>
    <row r="658" spans="1:14">
      <c r="A658">
        <v>3178</v>
      </c>
      <c r="B658" t="s">
        <v>5334</v>
      </c>
      <c r="C658">
        <v>4.5</v>
      </c>
      <c r="D658">
        <v>-12</v>
      </c>
      <c r="E658">
        <v>-21</v>
      </c>
      <c r="F658">
        <v>-2</v>
      </c>
      <c r="G658">
        <v>0</v>
      </c>
      <c r="H658">
        <v>8.89</v>
      </c>
      <c r="I658">
        <v>1</v>
      </c>
      <c r="J658">
        <v>2</v>
      </c>
      <c r="K658" s="245">
        <v>-39.200000000000003</v>
      </c>
      <c r="L658" s="245">
        <v>13.5</v>
      </c>
      <c r="M658" s="245">
        <v>74.650000000000006</v>
      </c>
      <c r="N658" s="257" t="s">
        <v>6830</v>
      </c>
    </row>
    <row r="659" spans="1:14">
      <c r="A659">
        <v>3188</v>
      </c>
      <c r="B659" t="s">
        <v>5335</v>
      </c>
      <c r="C659">
        <v>12.02</v>
      </c>
      <c r="D659">
        <v>266</v>
      </c>
      <c r="E659">
        <v>239</v>
      </c>
      <c r="F659">
        <v>-2</v>
      </c>
      <c r="G659">
        <v>-91</v>
      </c>
      <c r="H659">
        <v>18.12</v>
      </c>
      <c r="I659">
        <v>1</v>
      </c>
      <c r="J659">
        <v>1.78</v>
      </c>
      <c r="K659" s="245">
        <v>-18.18</v>
      </c>
      <c r="L659" s="245">
        <v>31.46</v>
      </c>
      <c r="M659" s="245">
        <v>26.85</v>
      </c>
      <c r="N659" s="257" t="s">
        <v>6831</v>
      </c>
    </row>
    <row r="660" spans="1:14">
      <c r="A660">
        <v>3189</v>
      </c>
      <c r="B660" t="s">
        <v>5336</v>
      </c>
      <c r="C660">
        <v>45.08</v>
      </c>
      <c r="D660">
        <v>383</v>
      </c>
      <c r="E660">
        <v>273</v>
      </c>
      <c r="F660">
        <v>0</v>
      </c>
      <c r="G660">
        <v>37</v>
      </c>
      <c r="H660">
        <v>14.03</v>
      </c>
      <c r="I660">
        <v>4.5</v>
      </c>
      <c r="J660">
        <v>8.56</v>
      </c>
      <c r="K660" s="245">
        <v>-34.17</v>
      </c>
      <c r="L660" s="245">
        <v>25.16</v>
      </c>
      <c r="M660" s="245">
        <v>13561.3</v>
      </c>
      <c r="N660" s="257" t="s">
        <v>6830</v>
      </c>
    </row>
    <row r="661" spans="1:14">
      <c r="A661">
        <v>3191</v>
      </c>
      <c r="B661" t="s">
        <v>6487</v>
      </c>
      <c r="C661">
        <v>8.7100000000000009</v>
      </c>
      <c r="D661">
        <v>81</v>
      </c>
      <c r="E661">
        <v>79</v>
      </c>
      <c r="F661">
        <v>41</v>
      </c>
      <c r="G661">
        <v>22</v>
      </c>
      <c r="H661">
        <v>-6.13</v>
      </c>
      <c r="I661">
        <v>0</v>
      </c>
      <c r="J661">
        <v>-0.59</v>
      </c>
      <c r="K661" s="245">
        <v>-25.6</v>
      </c>
      <c r="L661" s="245">
        <v>29.8</v>
      </c>
      <c r="M661" s="245">
        <v>39.1</v>
      </c>
      <c r="N661" s="257" t="s">
        <v>6831</v>
      </c>
    </row>
    <row r="662" spans="1:14">
      <c r="A662">
        <v>3202</v>
      </c>
      <c r="B662" t="s">
        <v>5337</v>
      </c>
      <c r="C662">
        <v>11.71</v>
      </c>
      <c r="D662">
        <v>690</v>
      </c>
      <c r="E662">
        <v>-52</v>
      </c>
      <c r="F662">
        <v>-22</v>
      </c>
      <c r="G662">
        <v>-24</v>
      </c>
      <c r="H662">
        <v>1.21</v>
      </c>
      <c r="I662">
        <v>0</v>
      </c>
      <c r="J662">
        <v>0.31</v>
      </c>
      <c r="K662" s="245">
        <v>-35.979999999999997</v>
      </c>
      <c r="L662" s="245">
        <v>13.29</v>
      </c>
      <c r="M662" s="245">
        <v>422.75</v>
      </c>
      <c r="N662" s="257" t="s">
        <v>6830</v>
      </c>
    </row>
    <row r="663" spans="1:14">
      <c r="A663">
        <v>3205</v>
      </c>
      <c r="B663" t="s">
        <v>5338</v>
      </c>
      <c r="C663">
        <v>3.27</v>
      </c>
      <c r="D663">
        <v>-17</v>
      </c>
      <c r="E663">
        <v>-25</v>
      </c>
      <c r="F663">
        <v>3</v>
      </c>
      <c r="G663">
        <v>-15</v>
      </c>
      <c r="H663">
        <v>-15.32</v>
      </c>
      <c r="I663">
        <v>0</v>
      </c>
      <c r="J663">
        <v>-2.66</v>
      </c>
      <c r="K663" s="245">
        <v>-29.22</v>
      </c>
      <c r="L663" s="245">
        <v>18.28</v>
      </c>
      <c r="M663" s="245">
        <v>147.25</v>
      </c>
      <c r="N663" s="257" t="s">
        <v>6830</v>
      </c>
    </row>
    <row r="664" spans="1:14">
      <c r="A664">
        <v>3206</v>
      </c>
      <c r="B664" t="s">
        <v>6243</v>
      </c>
      <c r="C664">
        <v>5.89</v>
      </c>
      <c r="D664">
        <v>-16</v>
      </c>
      <c r="E664">
        <v>-31</v>
      </c>
      <c r="F664">
        <v>1</v>
      </c>
      <c r="G664">
        <v>-18</v>
      </c>
      <c r="H664">
        <v>3.34</v>
      </c>
      <c r="I664">
        <v>1.8</v>
      </c>
      <c r="J664">
        <v>2.39</v>
      </c>
      <c r="K664" s="245">
        <v>-22.59</v>
      </c>
      <c r="L664" s="245">
        <v>11.39</v>
      </c>
      <c r="M664" s="245">
        <v>33.950000000000003</v>
      </c>
      <c r="N664" s="257" t="s">
        <v>6830</v>
      </c>
    </row>
    <row r="665" spans="1:14">
      <c r="A665">
        <v>3207</v>
      </c>
      <c r="B665" t="s">
        <v>5339</v>
      </c>
      <c r="C665">
        <v>4.37</v>
      </c>
      <c r="D665">
        <v>247</v>
      </c>
      <c r="E665">
        <v>117</v>
      </c>
      <c r="F665">
        <v>15</v>
      </c>
      <c r="G665">
        <v>36</v>
      </c>
      <c r="H665">
        <v>0.37</v>
      </c>
      <c r="I665">
        <v>0</v>
      </c>
      <c r="J665">
        <v>0.74</v>
      </c>
      <c r="K665" s="245">
        <v>-15.02</v>
      </c>
      <c r="L665" s="245">
        <v>57.88</v>
      </c>
      <c r="M665" s="245">
        <v>1664.5</v>
      </c>
      <c r="N665" s="257" t="s">
        <v>6832</v>
      </c>
    </row>
    <row r="666" spans="1:14">
      <c r="A666">
        <v>3209</v>
      </c>
      <c r="B666" t="s">
        <v>5340</v>
      </c>
      <c r="C666">
        <v>20.05</v>
      </c>
      <c r="D666">
        <v>74</v>
      </c>
      <c r="E666">
        <v>90</v>
      </c>
      <c r="F666">
        <v>15</v>
      </c>
      <c r="G666">
        <v>20</v>
      </c>
      <c r="H666">
        <v>2.3199999999999998</v>
      </c>
      <c r="I666">
        <v>3.2</v>
      </c>
      <c r="J666">
        <v>4.05</v>
      </c>
      <c r="K666" s="245">
        <v>-5.07</v>
      </c>
      <c r="L666" s="245">
        <v>71.39</v>
      </c>
      <c r="M666" s="245">
        <v>2050.0500000000002</v>
      </c>
      <c r="N666" s="257" t="s">
        <v>6832</v>
      </c>
    </row>
    <row r="667" spans="1:14">
      <c r="A667">
        <v>3211</v>
      </c>
      <c r="B667" t="s">
        <v>5341</v>
      </c>
      <c r="C667">
        <v>14.96</v>
      </c>
      <c r="D667">
        <v>219</v>
      </c>
      <c r="E667">
        <v>-36</v>
      </c>
      <c r="F667">
        <v>-40</v>
      </c>
      <c r="G667">
        <v>-43</v>
      </c>
      <c r="H667">
        <v>4.08</v>
      </c>
      <c r="I667">
        <v>15.03</v>
      </c>
      <c r="J667">
        <v>22.42</v>
      </c>
      <c r="K667" s="245">
        <v>-37.880000000000003</v>
      </c>
      <c r="L667" s="245">
        <v>6.76</v>
      </c>
      <c r="M667" s="245">
        <v>576.54999999999995</v>
      </c>
      <c r="N667" s="257" t="s">
        <v>6830</v>
      </c>
    </row>
    <row r="668" spans="1:14">
      <c r="A668">
        <v>3213</v>
      </c>
      <c r="B668" t="s">
        <v>5342</v>
      </c>
      <c r="C668">
        <v>5.86</v>
      </c>
      <c r="D668">
        <v>95</v>
      </c>
      <c r="E668">
        <v>-12</v>
      </c>
      <c r="F668">
        <v>22</v>
      </c>
      <c r="G668">
        <v>-8</v>
      </c>
      <c r="H668">
        <v>11.56</v>
      </c>
      <c r="I668">
        <v>3.7</v>
      </c>
      <c r="J668">
        <v>10.87</v>
      </c>
      <c r="K668" s="245">
        <v>-25.98</v>
      </c>
      <c r="L668" s="245">
        <v>4.04</v>
      </c>
      <c r="M668" s="245">
        <v>89.85</v>
      </c>
      <c r="N668" s="257" t="s">
        <v>6830</v>
      </c>
    </row>
    <row r="669" spans="1:14">
      <c r="A669">
        <v>3217</v>
      </c>
      <c r="B669" t="s">
        <v>5343</v>
      </c>
      <c r="C669">
        <v>9.01</v>
      </c>
      <c r="D669">
        <v>4</v>
      </c>
      <c r="E669">
        <v>0</v>
      </c>
      <c r="F669">
        <v>-37</v>
      </c>
      <c r="G669">
        <v>-29</v>
      </c>
      <c r="H669">
        <v>26.02</v>
      </c>
      <c r="I669">
        <v>5.6</v>
      </c>
      <c r="J669">
        <v>7.11</v>
      </c>
      <c r="K669" s="245">
        <v>-41.27</v>
      </c>
      <c r="L669" s="245">
        <v>12.62</v>
      </c>
      <c r="M669" s="245">
        <v>838.9</v>
      </c>
      <c r="N669" s="257" t="s">
        <v>6830</v>
      </c>
    </row>
    <row r="670" spans="1:14">
      <c r="A670">
        <v>3218</v>
      </c>
      <c r="B670" t="s">
        <v>5344</v>
      </c>
      <c r="C670">
        <v>7.61</v>
      </c>
      <c r="D670">
        <v>26</v>
      </c>
      <c r="E670">
        <v>28</v>
      </c>
      <c r="F670">
        <v>3</v>
      </c>
      <c r="G670">
        <v>23</v>
      </c>
      <c r="H670">
        <v>29.2</v>
      </c>
      <c r="I670">
        <v>5.5</v>
      </c>
      <c r="J670">
        <v>7.82</v>
      </c>
      <c r="K670" s="245">
        <v>-45.33</v>
      </c>
      <c r="L670" s="245">
        <v>29.04</v>
      </c>
      <c r="M670" s="245">
        <v>437.3</v>
      </c>
      <c r="N670" s="257" t="s">
        <v>6830</v>
      </c>
    </row>
    <row r="671" spans="1:14">
      <c r="A671">
        <v>3219</v>
      </c>
      <c r="B671" t="s">
        <v>5345</v>
      </c>
      <c r="C671">
        <v>7.02</v>
      </c>
      <c r="D671">
        <v>1606</v>
      </c>
      <c r="E671">
        <v>799</v>
      </c>
      <c r="F671">
        <v>20</v>
      </c>
      <c r="G671">
        <v>-49</v>
      </c>
      <c r="H671">
        <v>21.4</v>
      </c>
      <c r="I671">
        <v>2.5</v>
      </c>
      <c r="J671">
        <v>6.33</v>
      </c>
      <c r="K671" s="245">
        <v>-56.99</v>
      </c>
      <c r="L671" s="245">
        <v>6.69</v>
      </c>
      <c r="M671" s="245">
        <v>32.35</v>
      </c>
      <c r="N671" s="257" t="s">
        <v>6830</v>
      </c>
    </row>
    <row r="672" spans="1:14">
      <c r="A672">
        <v>3221</v>
      </c>
      <c r="B672" t="s">
        <v>5346</v>
      </c>
      <c r="C672">
        <v>10.28</v>
      </c>
      <c r="D672">
        <v>851</v>
      </c>
      <c r="E672">
        <v>1692</v>
      </c>
      <c r="F672">
        <v>2</v>
      </c>
      <c r="G672">
        <v>11</v>
      </c>
      <c r="H672">
        <v>7.82</v>
      </c>
      <c r="I672">
        <v>2.1</v>
      </c>
      <c r="J672">
        <v>5.28</v>
      </c>
      <c r="K672" s="245">
        <v>-28.47</v>
      </c>
      <c r="L672" s="245">
        <v>45.74</v>
      </c>
      <c r="M672" s="245">
        <v>5844.25</v>
      </c>
      <c r="N672" s="257" t="s">
        <v>6831</v>
      </c>
    </row>
    <row r="673" spans="1:14">
      <c r="A673">
        <v>3224</v>
      </c>
      <c r="B673" t="s">
        <v>5347</v>
      </c>
      <c r="C673">
        <v>6.81</v>
      </c>
      <c r="D673">
        <v>35</v>
      </c>
      <c r="E673">
        <v>55</v>
      </c>
      <c r="F673">
        <v>-24</v>
      </c>
      <c r="G673">
        <v>36</v>
      </c>
      <c r="H673">
        <v>-1.79</v>
      </c>
      <c r="I673">
        <v>0</v>
      </c>
      <c r="J673">
        <v>-0.4</v>
      </c>
      <c r="K673" s="245">
        <v>-27.64</v>
      </c>
      <c r="L673" s="245">
        <v>38.01</v>
      </c>
      <c r="M673" s="245">
        <v>983.95</v>
      </c>
      <c r="N673" s="257" t="s">
        <v>6831</v>
      </c>
    </row>
    <row r="674" spans="1:14">
      <c r="A674">
        <v>3226</v>
      </c>
      <c r="B674" t="s">
        <v>6333</v>
      </c>
      <c r="C674">
        <v>6.44</v>
      </c>
      <c r="D674">
        <v>-28</v>
      </c>
      <c r="E674">
        <v>14</v>
      </c>
      <c r="F674">
        <v>4</v>
      </c>
      <c r="G674">
        <v>0</v>
      </c>
      <c r="H674">
        <v>17.52</v>
      </c>
      <c r="I674">
        <v>2.5</v>
      </c>
      <c r="J674">
        <v>3.58</v>
      </c>
      <c r="K674" s="245">
        <v>-11.05</v>
      </c>
      <c r="L674" s="245">
        <v>74.599999999999994</v>
      </c>
      <c r="M674" s="245">
        <v>1.85</v>
      </c>
      <c r="N674" s="257" t="s">
        <v>6831</v>
      </c>
    </row>
    <row r="675" spans="1:14">
      <c r="A675">
        <v>3227</v>
      </c>
      <c r="B675" t="s">
        <v>5348</v>
      </c>
      <c r="C675">
        <v>14.45</v>
      </c>
      <c r="D675">
        <v>9</v>
      </c>
      <c r="E675">
        <v>0</v>
      </c>
      <c r="F675">
        <v>11</v>
      </c>
      <c r="G675">
        <v>-35</v>
      </c>
      <c r="H675">
        <v>20.82</v>
      </c>
      <c r="I675">
        <v>9.14</v>
      </c>
      <c r="J675">
        <v>11.32</v>
      </c>
      <c r="K675" s="245">
        <v>-49.43</v>
      </c>
      <c r="L675" s="245">
        <v>14.67</v>
      </c>
      <c r="M675" s="245">
        <v>526.65</v>
      </c>
      <c r="N675" s="257" t="s">
        <v>6830</v>
      </c>
    </row>
    <row r="676" spans="1:14">
      <c r="A676">
        <v>3228</v>
      </c>
      <c r="B676" t="s">
        <v>6411</v>
      </c>
      <c r="C676">
        <v>6.77</v>
      </c>
      <c r="D676">
        <v>185</v>
      </c>
      <c r="E676">
        <v>193</v>
      </c>
      <c r="F676">
        <v>-16</v>
      </c>
      <c r="G676">
        <v>-68</v>
      </c>
      <c r="H676">
        <v>35.03</v>
      </c>
      <c r="I676">
        <v>0</v>
      </c>
      <c r="J676">
        <v>2.92</v>
      </c>
      <c r="K676" s="245">
        <v>-34.909999999999997</v>
      </c>
      <c r="L676" s="245">
        <v>44.88</v>
      </c>
      <c r="M676" s="245">
        <v>1153.8</v>
      </c>
      <c r="N676" s="257" t="s">
        <v>6830</v>
      </c>
    </row>
    <row r="677" spans="1:14">
      <c r="A677">
        <v>3229</v>
      </c>
      <c r="B677" t="s">
        <v>6488</v>
      </c>
      <c r="C677">
        <v>6.42</v>
      </c>
      <c r="D677">
        <v>71</v>
      </c>
      <c r="E677">
        <v>65</v>
      </c>
      <c r="F677">
        <v>43</v>
      </c>
      <c r="G677">
        <v>45</v>
      </c>
      <c r="H677">
        <v>-13.64</v>
      </c>
      <c r="I677">
        <v>0</v>
      </c>
      <c r="J677">
        <v>-1.72</v>
      </c>
      <c r="K677" s="245">
        <v>-19.52</v>
      </c>
      <c r="L677" s="245">
        <v>48.45</v>
      </c>
      <c r="M677" s="245">
        <v>26</v>
      </c>
      <c r="N677" s="257" t="s">
        <v>6832</v>
      </c>
    </row>
    <row r="678" spans="1:14">
      <c r="A678">
        <v>3230</v>
      </c>
      <c r="B678" t="s">
        <v>5349</v>
      </c>
      <c r="C678">
        <v>7.1</v>
      </c>
      <c r="D678">
        <v>-362</v>
      </c>
      <c r="E678">
        <v>-80</v>
      </c>
      <c r="F678">
        <v>-15</v>
      </c>
      <c r="G678">
        <v>-41</v>
      </c>
      <c r="H678">
        <v>0.74</v>
      </c>
      <c r="I678">
        <v>0</v>
      </c>
      <c r="J678">
        <v>-0.51</v>
      </c>
      <c r="K678" s="245">
        <v>-26.34</v>
      </c>
      <c r="L678" s="245">
        <v>47.21</v>
      </c>
      <c r="M678" s="245">
        <v>180.3</v>
      </c>
      <c r="N678" s="257" t="s">
        <v>6830</v>
      </c>
    </row>
    <row r="679" spans="1:14">
      <c r="A679">
        <v>3231</v>
      </c>
      <c r="B679" t="s">
        <v>5350</v>
      </c>
      <c r="C679">
        <v>290</v>
      </c>
      <c r="D679">
        <v>14</v>
      </c>
      <c r="E679">
        <v>13</v>
      </c>
      <c r="F679">
        <v>-27</v>
      </c>
      <c r="G679">
        <v>0</v>
      </c>
      <c r="H679">
        <v>1.9</v>
      </c>
      <c r="I679">
        <v>2.2000000000000002</v>
      </c>
      <c r="J679">
        <v>3.76</v>
      </c>
      <c r="K679" s="245">
        <v>-16.739999999999998</v>
      </c>
      <c r="L679" s="245">
        <v>22.3</v>
      </c>
      <c r="M679" s="245">
        <v>10530.35</v>
      </c>
      <c r="N679" s="257" t="s">
        <v>6830</v>
      </c>
    </row>
    <row r="680" spans="1:14">
      <c r="A680">
        <v>3232</v>
      </c>
      <c r="B680" t="s">
        <v>5351</v>
      </c>
      <c r="C680">
        <v>3.65</v>
      </c>
      <c r="D680">
        <v>104</v>
      </c>
      <c r="E680">
        <v>657</v>
      </c>
      <c r="F680">
        <v>-10</v>
      </c>
      <c r="G680">
        <v>23</v>
      </c>
      <c r="H680">
        <v>3.78</v>
      </c>
      <c r="I680">
        <v>0.5</v>
      </c>
      <c r="J680">
        <v>0.84</v>
      </c>
      <c r="K680" s="245">
        <v>-24.89</v>
      </c>
      <c r="L680" s="245">
        <v>74.98</v>
      </c>
      <c r="M680" s="245">
        <v>885.45</v>
      </c>
      <c r="N680" s="257" t="s">
        <v>6831</v>
      </c>
    </row>
    <row r="681" spans="1:14">
      <c r="A681">
        <v>3234</v>
      </c>
      <c r="B681" t="s">
        <v>5352</v>
      </c>
      <c r="C681">
        <v>7.64</v>
      </c>
      <c r="D681">
        <v>-8612</v>
      </c>
      <c r="E681">
        <v>-385</v>
      </c>
      <c r="F681">
        <v>-9</v>
      </c>
      <c r="G681">
        <v>-25</v>
      </c>
      <c r="H681">
        <v>-9.18</v>
      </c>
      <c r="I681">
        <v>0</v>
      </c>
      <c r="J681">
        <v>-1.74</v>
      </c>
      <c r="K681" s="245">
        <v>-42.86</v>
      </c>
      <c r="L681" s="245">
        <v>17.739999999999998</v>
      </c>
      <c r="M681" s="245">
        <v>186.4</v>
      </c>
      <c r="N681" s="257" t="s">
        <v>6830</v>
      </c>
    </row>
    <row r="682" spans="1:14">
      <c r="A682">
        <v>3236</v>
      </c>
      <c r="B682" t="s">
        <v>5353</v>
      </c>
      <c r="C682">
        <v>9.2899999999999991</v>
      </c>
      <c r="D682">
        <v>28</v>
      </c>
      <c r="E682">
        <v>46</v>
      </c>
      <c r="F682">
        <v>-14</v>
      </c>
      <c r="G682">
        <v>20</v>
      </c>
      <c r="H682">
        <v>5.99</v>
      </c>
      <c r="I682">
        <v>0.6</v>
      </c>
      <c r="J682">
        <v>1.02</v>
      </c>
      <c r="K682" s="245">
        <v>-32.61</v>
      </c>
      <c r="L682" s="245">
        <v>22.79</v>
      </c>
      <c r="M682" s="245">
        <v>89.7</v>
      </c>
      <c r="N682" s="257" t="s">
        <v>6830</v>
      </c>
    </row>
    <row r="683" spans="1:14">
      <c r="A683">
        <v>3252</v>
      </c>
      <c r="B683" t="s">
        <v>5354</v>
      </c>
      <c r="C683">
        <v>5.01</v>
      </c>
      <c r="D683">
        <v>135</v>
      </c>
      <c r="E683">
        <v>105</v>
      </c>
      <c r="F683">
        <v>23</v>
      </c>
      <c r="G683">
        <v>35</v>
      </c>
      <c r="H683">
        <v>0.99</v>
      </c>
      <c r="I683">
        <v>0.5</v>
      </c>
      <c r="J683">
        <v>0.71</v>
      </c>
      <c r="K683" s="245">
        <v>-20.239999999999998</v>
      </c>
      <c r="L683" s="245">
        <v>17.09</v>
      </c>
      <c r="M683" s="245">
        <v>54.25</v>
      </c>
      <c r="N683" s="257" t="s">
        <v>6830</v>
      </c>
    </row>
    <row r="684" spans="1:14">
      <c r="A684">
        <v>3257</v>
      </c>
      <c r="B684" t="s">
        <v>5355</v>
      </c>
      <c r="C684">
        <v>7.99</v>
      </c>
      <c r="D684">
        <v>67</v>
      </c>
      <c r="E684">
        <v>70</v>
      </c>
      <c r="F684">
        <v>-6</v>
      </c>
      <c r="G684">
        <v>-34</v>
      </c>
      <c r="H684">
        <v>35.94</v>
      </c>
      <c r="I684">
        <v>5</v>
      </c>
      <c r="J684">
        <v>5.03</v>
      </c>
      <c r="K684" s="245">
        <v>-22.64</v>
      </c>
      <c r="L684" s="245">
        <v>42.44</v>
      </c>
      <c r="M684" s="245">
        <v>106.85</v>
      </c>
      <c r="N684" s="257" t="s">
        <v>6831</v>
      </c>
    </row>
    <row r="685" spans="1:14">
      <c r="A685">
        <v>3259</v>
      </c>
      <c r="B685" t="s">
        <v>6489</v>
      </c>
      <c r="C685">
        <v>7.46</v>
      </c>
      <c r="D685">
        <v>101</v>
      </c>
      <c r="E685">
        <v>97</v>
      </c>
      <c r="F685">
        <v>-18</v>
      </c>
      <c r="G685">
        <v>-38</v>
      </c>
      <c r="H685">
        <v>-0.5</v>
      </c>
      <c r="I685">
        <v>0</v>
      </c>
      <c r="J685">
        <v>0.02</v>
      </c>
      <c r="K685" s="245">
        <v>-61.8</v>
      </c>
      <c r="L685" s="245">
        <v>8.84</v>
      </c>
      <c r="M685" s="245">
        <v>48.9</v>
      </c>
      <c r="N685" s="257" t="s">
        <v>6830</v>
      </c>
    </row>
    <row r="686" spans="1:14">
      <c r="A686">
        <v>3260</v>
      </c>
      <c r="B686" t="s">
        <v>5356</v>
      </c>
      <c r="C686">
        <v>26.67</v>
      </c>
      <c r="D686">
        <v>73</v>
      </c>
      <c r="E686">
        <v>22</v>
      </c>
      <c r="F686">
        <v>-10</v>
      </c>
      <c r="G686">
        <v>-19</v>
      </c>
      <c r="H686">
        <v>5.85</v>
      </c>
      <c r="I686">
        <v>5.5</v>
      </c>
      <c r="J686">
        <v>9.14</v>
      </c>
      <c r="K686" s="245">
        <v>-46.52</v>
      </c>
      <c r="L686" s="245">
        <v>11.25</v>
      </c>
      <c r="M686" s="245">
        <v>1606.25</v>
      </c>
      <c r="N686" s="257" t="s">
        <v>6830</v>
      </c>
    </row>
    <row r="687" spans="1:14">
      <c r="A687">
        <v>3264</v>
      </c>
      <c r="B687" t="s">
        <v>5357</v>
      </c>
      <c r="C687">
        <v>49.01</v>
      </c>
      <c r="D687">
        <v>44</v>
      </c>
      <c r="E687">
        <v>37</v>
      </c>
      <c r="F687">
        <v>1</v>
      </c>
      <c r="G687">
        <v>18</v>
      </c>
      <c r="H687">
        <v>25.7</v>
      </c>
      <c r="I687">
        <v>2.8</v>
      </c>
      <c r="J687">
        <v>5.46</v>
      </c>
      <c r="K687" s="245">
        <v>-37.69</v>
      </c>
      <c r="L687" s="245">
        <v>26.4</v>
      </c>
      <c r="M687" s="245">
        <v>1525.05</v>
      </c>
      <c r="N687" s="257" t="s">
        <v>6830</v>
      </c>
    </row>
    <row r="688" spans="1:14">
      <c r="A688">
        <v>3265</v>
      </c>
      <c r="B688" t="s">
        <v>5358</v>
      </c>
      <c r="C688">
        <v>13.62</v>
      </c>
      <c r="D688">
        <v>88</v>
      </c>
      <c r="E688">
        <v>111</v>
      </c>
      <c r="F688">
        <v>-4</v>
      </c>
      <c r="G688">
        <v>46</v>
      </c>
      <c r="H688">
        <v>15.56</v>
      </c>
      <c r="I688">
        <v>2.2999999999999998</v>
      </c>
      <c r="J688">
        <v>2.89</v>
      </c>
      <c r="K688" s="245">
        <v>-3.76</v>
      </c>
      <c r="L688" s="245">
        <v>88.99</v>
      </c>
      <c r="M688" s="245">
        <v>6734</v>
      </c>
      <c r="N688" s="257" t="s">
        <v>6832</v>
      </c>
    </row>
    <row r="689" spans="1:14">
      <c r="A689">
        <v>3266</v>
      </c>
      <c r="B689" t="s">
        <v>5359</v>
      </c>
      <c r="C689">
        <v>35.229999999999997</v>
      </c>
      <c r="D689">
        <v>-71</v>
      </c>
      <c r="E689">
        <v>-83</v>
      </c>
      <c r="F689">
        <v>-84</v>
      </c>
      <c r="G689">
        <v>322</v>
      </c>
      <c r="H689">
        <v>2.64</v>
      </c>
      <c r="I689">
        <v>0</v>
      </c>
      <c r="J689">
        <v>0.25</v>
      </c>
      <c r="K689" s="245">
        <v>-26.9</v>
      </c>
      <c r="L689" s="245">
        <v>15.33</v>
      </c>
      <c r="M689" s="245">
        <v>727.05</v>
      </c>
      <c r="N689" s="257" t="s">
        <v>6830</v>
      </c>
    </row>
    <row r="690" spans="1:14">
      <c r="A690">
        <v>3268</v>
      </c>
      <c r="B690" t="s">
        <v>5360</v>
      </c>
      <c r="C690">
        <v>3.34</v>
      </c>
      <c r="D690">
        <v>5</v>
      </c>
      <c r="E690">
        <v>269</v>
      </c>
      <c r="F690">
        <v>-20</v>
      </c>
      <c r="G690">
        <v>20</v>
      </c>
      <c r="H690">
        <v>2.52</v>
      </c>
      <c r="I690">
        <v>0.6</v>
      </c>
      <c r="J690">
        <v>0.95</v>
      </c>
      <c r="K690" s="245">
        <v>-53.83</v>
      </c>
      <c r="L690" s="245">
        <v>25.84</v>
      </c>
      <c r="M690" s="245">
        <v>44.85</v>
      </c>
      <c r="N690" s="257" t="s">
        <v>6830</v>
      </c>
    </row>
    <row r="691" spans="1:14">
      <c r="A691">
        <v>3272</v>
      </c>
      <c r="B691" t="s">
        <v>5361</v>
      </c>
      <c r="C691">
        <v>5.46</v>
      </c>
      <c r="D691">
        <v>-82</v>
      </c>
      <c r="E691">
        <v>-97</v>
      </c>
      <c r="F691">
        <v>-58</v>
      </c>
      <c r="G691">
        <v>-39</v>
      </c>
      <c r="H691">
        <v>0.11</v>
      </c>
      <c r="I691">
        <v>1</v>
      </c>
      <c r="J691">
        <v>0.57999999999999996</v>
      </c>
      <c r="K691" s="245">
        <v>-48.61</v>
      </c>
      <c r="L691" s="245">
        <v>7.7</v>
      </c>
      <c r="M691" s="245">
        <v>58.25</v>
      </c>
      <c r="N691" s="257" t="s">
        <v>6830</v>
      </c>
    </row>
    <row r="692" spans="1:14">
      <c r="A692">
        <v>3276</v>
      </c>
      <c r="B692" t="s">
        <v>5362</v>
      </c>
      <c r="C692">
        <v>6.97</v>
      </c>
      <c r="D692">
        <v>419</v>
      </c>
      <c r="E692">
        <v>111</v>
      </c>
      <c r="F692">
        <v>0</v>
      </c>
      <c r="G692">
        <v>46</v>
      </c>
      <c r="H692">
        <v>0.82</v>
      </c>
      <c r="I692">
        <v>0.4</v>
      </c>
      <c r="J692">
        <v>1.18</v>
      </c>
      <c r="K692" s="245">
        <v>-25.23</v>
      </c>
      <c r="L692" s="245">
        <v>27.24</v>
      </c>
      <c r="M692" s="245">
        <v>278.05</v>
      </c>
      <c r="N692" s="257" t="s">
        <v>6831</v>
      </c>
    </row>
    <row r="693" spans="1:14">
      <c r="A693">
        <v>3284</v>
      </c>
      <c r="B693" t="s">
        <v>5363</v>
      </c>
      <c r="C693">
        <v>6.89</v>
      </c>
      <c r="D693">
        <v>34</v>
      </c>
      <c r="E693">
        <v>-80</v>
      </c>
      <c r="F693">
        <v>8</v>
      </c>
      <c r="G693">
        <v>6</v>
      </c>
      <c r="H693">
        <v>-9.23</v>
      </c>
      <c r="I693">
        <v>0</v>
      </c>
      <c r="J693">
        <v>-0.86</v>
      </c>
      <c r="K693" s="245">
        <v>-9.41</v>
      </c>
      <c r="L693" s="245">
        <v>31.71</v>
      </c>
      <c r="M693" s="245">
        <v>25.9</v>
      </c>
      <c r="N693" s="257" t="s">
        <v>6831</v>
      </c>
    </row>
    <row r="694" spans="1:14">
      <c r="A694">
        <v>3285</v>
      </c>
      <c r="B694" t="s">
        <v>6292</v>
      </c>
      <c r="C694">
        <v>4.2699999999999996</v>
      </c>
      <c r="D694">
        <v>-77</v>
      </c>
      <c r="E694">
        <v>-81</v>
      </c>
      <c r="F694">
        <v>55</v>
      </c>
      <c r="G694">
        <v>-14</v>
      </c>
      <c r="H694">
        <v>1.04</v>
      </c>
      <c r="I694">
        <v>0</v>
      </c>
      <c r="J694">
        <v>-0.02</v>
      </c>
      <c r="K694" s="245">
        <v>-20.5</v>
      </c>
      <c r="L694" s="245">
        <v>32.590000000000003</v>
      </c>
      <c r="M694" s="245">
        <v>19.149999999999999</v>
      </c>
      <c r="N694" s="257" t="s">
        <v>6830</v>
      </c>
    </row>
    <row r="695" spans="1:14">
      <c r="A695">
        <v>3287</v>
      </c>
      <c r="B695" t="s">
        <v>6179</v>
      </c>
      <c r="C695">
        <v>4.3899999999999997</v>
      </c>
      <c r="D695">
        <v>-24</v>
      </c>
      <c r="E695">
        <v>-8</v>
      </c>
      <c r="F695">
        <v>43</v>
      </c>
      <c r="G695">
        <v>-27</v>
      </c>
      <c r="H695">
        <v>10.220000000000001</v>
      </c>
      <c r="I695">
        <v>0</v>
      </c>
      <c r="J695">
        <v>1.1399999999999999</v>
      </c>
      <c r="K695" s="245">
        <v>-41.83</v>
      </c>
      <c r="L695" s="245">
        <v>20.010000000000002</v>
      </c>
      <c r="M695" s="245">
        <v>77.599999999999994</v>
      </c>
      <c r="N695" s="257" t="s">
        <v>6830</v>
      </c>
    </row>
    <row r="696" spans="1:14">
      <c r="A696">
        <v>3288</v>
      </c>
      <c r="B696" t="s">
        <v>6490</v>
      </c>
      <c r="C696">
        <v>2.2599999999999998</v>
      </c>
      <c r="D696">
        <v>-317</v>
      </c>
      <c r="E696">
        <v>-49</v>
      </c>
      <c r="F696">
        <v>-16</v>
      </c>
      <c r="G696">
        <v>15</v>
      </c>
      <c r="H696">
        <v>-29.41</v>
      </c>
      <c r="I696">
        <v>0</v>
      </c>
      <c r="J696">
        <v>-1.48</v>
      </c>
      <c r="K696" s="245">
        <v>-35.880000000000003</v>
      </c>
      <c r="L696" s="245">
        <v>31.54</v>
      </c>
      <c r="M696" s="245">
        <v>24.45</v>
      </c>
      <c r="N696" s="257" t="s">
        <v>6830</v>
      </c>
    </row>
    <row r="697" spans="1:14">
      <c r="A697">
        <v>3289</v>
      </c>
      <c r="B697" t="s">
        <v>5364</v>
      </c>
      <c r="C697">
        <v>7.47</v>
      </c>
      <c r="D697">
        <v>-46</v>
      </c>
      <c r="E697">
        <v>-16</v>
      </c>
      <c r="F697">
        <v>-6</v>
      </c>
      <c r="G697">
        <v>6</v>
      </c>
      <c r="H697">
        <v>5.87</v>
      </c>
      <c r="I697">
        <v>0</v>
      </c>
      <c r="J697">
        <v>2.02</v>
      </c>
      <c r="K697" s="245">
        <v>-16</v>
      </c>
      <c r="L697" s="245">
        <v>39.53</v>
      </c>
      <c r="M697" s="245">
        <v>141.05000000000001</v>
      </c>
      <c r="N697" s="257" t="s">
        <v>6831</v>
      </c>
    </row>
    <row r="698" spans="1:14">
      <c r="A698">
        <v>3290</v>
      </c>
      <c r="B698" t="s">
        <v>5365</v>
      </c>
      <c r="C698">
        <v>9.9499999999999993</v>
      </c>
      <c r="D698">
        <v>25</v>
      </c>
      <c r="E698">
        <v>-31</v>
      </c>
      <c r="F698">
        <v>20</v>
      </c>
      <c r="G698">
        <v>6</v>
      </c>
      <c r="H698">
        <v>3.94</v>
      </c>
      <c r="I698">
        <v>0.5</v>
      </c>
      <c r="J698">
        <v>0.77</v>
      </c>
      <c r="K698" s="245">
        <v>-32.75</v>
      </c>
      <c r="L698" s="245">
        <v>26.39</v>
      </c>
      <c r="M698" s="245">
        <v>250.2</v>
      </c>
      <c r="N698" s="257" t="s">
        <v>6831</v>
      </c>
    </row>
    <row r="699" spans="1:14">
      <c r="A699">
        <v>3293</v>
      </c>
      <c r="B699" t="s">
        <v>5366</v>
      </c>
      <c r="C699">
        <v>7.04</v>
      </c>
      <c r="D699">
        <v>38</v>
      </c>
      <c r="E699">
        <v>37</v>
      </c>
      <c r="F699">
        <v>-3</v>
      </c>
      <c r="G699">
        <v>5</v>
      </c>
      <c r="H699">
        <v>51.51</v>
      </c>
      <c r="I699">
        <v>60</v>
      </c>
      <c r="J699">
        <v>67.209999999999994</v>
      </c>
      <c r="K699" s="245">
        <v>-23.06</v>
      </c>
      <c r="L699" s="245">
        <v>30.13</v>
      </c>
      <c r="M699" s="245">
        <v>239.55</v>
      </c>
      <c r="N699" s="257" t="s">
        <v>6831</v>
      </c>
    </row>
    <row r="700" spans="1:14">
      <c r="A700">
        <v>3294</v>
      </c>
      <c r="B700" t="s">
        <v>5367</v>
      </c>
      <c r="C700">
        <v>13.2</v>
      </c>
      <c r="D700">
        <v>-72</v>
      </c>
      <c r="E700">
        <v>-79</v>
      </c>
      <c r="F700">
        <v>-73</v>
      </c>
      <c r="G700">
        <v>-67</v>
      </c>
      <c r="H700">
        <v>0.85</v>
      </c>
      <c r="I700">
        <v>0.25</v>
      </c>
      <c r="J700">
        <v>0.18</v>
      </c>
      <c r="K700" s="245">
        <v>-50.94</v>
      </c>
      <c r="L700" s="245">
        <v>22.37</v>
      </c>
      <c r="M700" s="245">
        <v>999.7</v>
      </c>
      <c r="N700" s="257" t="s">
        <v>6830</v>
      </c>
    </row>
    <row r="701" spans="1:14">
      <c r="A701">
        <v>3296</v>
      </c>
      <c r="B701" t="s">
        <v>5368</v>
      </c>
      <c r="C701">
        <v>9.67</v>
      </c>
      <c r="D701">
        <v>-804</v>
      </c>
      <c r="E701">
        <v>-493</v>
      </c>
      <c r="F701">
        <v>63</v>
      </c>
      <c r="G701">
        <v>-4</v>
      </c>
      <c r="H701">
        <v>-5.01</v>
      </c>
      <c r="I701">
        <v>0</v>
      </c>
      <c r="J701">
        <v>-1.64</v>
      </c>
      <c r="K701" s="245">
        <v>-38.79</v>
      </c>
      <c r="L701" s="245">
        <v>33.42</v>
      </c>
      <c r="M701" s="245">
        <v>198.9</v>
      </c>
      <c r="N701" s="257" t="s">
        <v>6830</v>
      </c>
    </row>
    <row r="702" spans="1:14">
      <c r="A702">
        <v>3297</v>
      </c>
      <c r="B702" t="s">
        <v>5369</v>
      </c>
      <c r="C702">
        <v>3.6</v>
      </c>
      <c r="D702">
        <v>77</v>
      </c>
      <c r="E702">
        <v>103</v>
      </c>
      <c r="F702">
        <v>16</v>
      </c>
      <c r="G702">
        <v>22</v>
      </c>
      <c r="H702">
        <v>0.63</v>
      </c>
      <c r="I702">
        <v>0</v>
      </c>
      <c r="J702">
        <v>-0.42</v>
      </c>
      <c r="K702" s="245">
        <v>-38.96</v>
      </c>
      <c r="L702" s="245">
        <v>26.21</v>
      </c>
      <c r="M702" s="245">
        <v>91.75</v>
      </c>
      <c r="N702" s="257" t="s">
        <v>6830</v>
      </c>
    </row>
    <row r="703" spans="1:14">
      <c r="A703">
        <v>3303</v>
      </c>
      <c r="B703" t="s">
        <v>5370</v>
      </c>
      <c r="C703">
        <v>9.4</v>
      </c>
      <c r="D703">
        <v>4</v>
      </c>
      <c r="E703">
        <v>30</v>
      </c>
      <c r="F703">
        <v>-17</v>
      </c>
      <c r="G703">
        <v>5</v>
      </c>
      <c r="H703">
        <v>13.33</v>
      </c>
      <c r="I703">
        <v>1.45</v>
      </c>
      <c r="J703">
        <v>1.61</v>
      </c>
      <c r="K703" s="245">
        <v>-14.05</v>
      </c>
      <c r="L703" s="245">
        <v>41.45</v>
      </c>
      <c r="M703" s="245">
        <v>176.1</v>
      </c>
      <c r="N703" s="257" t="s">
        <v>6831</v>
      </c>
    </row>
    <row r="704" spans="1:14">
      <c r="A704">
        <v>3305</v>
      </c>
      <c r="B704" t="s">
        <v>5371</v>
      </c>
      <c r="C704">
        <v>13.42</v>
      </c>
      <c r="D704">
        <v>244</v>
      </c>
      <c r="E704">
        <v>212</v>
      </c>
      <c r="F704">
        <v>0</v>
      </c>
      <c r="G704">
        <v>65</v>
      </c>
      <c r="H704">
        <v>10.57</v>
      </c>
      <c r="I704">
        <v>2.5</v>
      </c>
      <c r="J704">
        <v>4.92</v>
      </c>
      <c r="K704" s="245">
        <v>-31.71</v>
      </c>
      <c r="L704" s="245">
        <v>16.38</v>
      </c>
      <c r="M704" s="245">
        <v>2263.4499999999998</v>
      </c>
      <c r="N704" s="257" t="s">
        <v>6831</v>
      </c>
    </row>
    <row r="705" spans="1:14">
      <c r="A705">
        <v>3306</v>
      </c>
      <c r="B705" t="s">
        <v>5372</v>
      </c>
      <c r="C705">
        <v>5.0599999999999996</v>
      </c>
      <c r="D705">
        <v>197</v>
      </c>
      <c r="E705">
        <v>115</v>
      </c>
      <c r="F705">
        <v>-50</v>
      </c>
      <c r="G705">
        <v>-48</v>
      </c>
      <c r="H705">
        <v>0.28000000000000003</v>
      </c>
      <c r="I705">
        <v>0.8</v>
      </c>
      <c r="J705">
        <v>1.05</v>
      </c>
      <c r="K705" s="245">
        <v>-49.82</v>
      </c>
      <c r="L705" s="245">
        <v>8.01</v>
      </c>
      <c r="M705" s="245">
        <v>150.30000000000001</v>
      </c>
      <c r="N705" s="257" t="s">
        <v>6830</v>
      </c>
    </row>
    <row r="706" spans="1:14">
      <c r="A706">
        <v>3308</v>
      </c>
      <c r="B706" t="s">
        <v>6491</v>
      </c>
      <c r="C706">
        <v>7.06</v>
      </c>
      <c r="D706">
        <v>69</v>
      </c>
      <c r="E706">
        <v>-3</v>
      </c>
      <c r="F706">
        <v>-13</v>
      </c>
      <c r="G706">
        <v>-21</v>
      </c>
      <c r="H706">
        <v>-16.63</v>
      </c>
      <c r="I706">
        <v>0</v>
      </c>
      <c r="J706">
        <v>-0.37</v>
      </c>
      <c r="K706" s="245">
        <v>-30.3</v>
      </c>
      <c r="L706" s="245">
        <v>47.9</v>
      </c>
      <c r="M706" s="245">
        <v>196.3</v>
      </c>
      <c r="N706" s="257" t="s">
        <v>6831</v>
      </c>
    </row>
    <row r="707" spans="1:14">
      <c r="A707">
        <v>3310</v>
      </c>
      <c r="B707" t="s">
        <v>5373</v>
      </c>
      <c r="C707">
        <v>5.25</v>
      </c>
      <c r="D707">
        <v>70</v>
      </c>
      <c r="E707">
        <v>-22</v>
      </c>
      <c r="F707">
        <v>-16</v>
      </c>
      <c r="G707">
        <v>1</v>
      </c>
      <c r="H707">
        <v>5.42</v>
      </c>
      <c r="I707">
        <v>2.2000000000000002</v>
      </c>
      <c r="J707">
        <v>1.33</v>
      </c>
      <c r="K707" s="245">
        <v>-15.72</v>
      </c>
      <c r="L707" s="245">
        <v>23.6</v>
      </c>
      <c r="M707" s="245">
        <v>45.2</v>
      </c>
      <c r="N707" s="257" t="s">
        <v>6831</v>
      </c>
    </row>
    <row r="708" spans="1:14">
      <c r="A708">
        <v>3311</v>
      </c>
      <c r="B708" t="s">
        <v>5374</v>
      </c>
      <c r="C708">
        <v>6.8</v>
      </c>
      <c r="D708">
        <v>116</v>
      </c>
      <c r="E708">
        <v>131</v>
      </c>
      <c r="F708">
        <v>4</v>
      </c>
      <c r="G708">
        <v>18</v>
      </c>
      <c r="H708">
        <v>3.16</v>
      </c>
      <c r="I708">
        <v>0.47</v>
      </c>
      <c r="J708">
        <v>0.94</v>
      </c>
      <c r="K708" s="245">
        <v>-19.7</v>
      </c>
      <c r="L708" s="245">
        <v>32.24</v>
      </c>
      <c r="M708" s="245">
        <v>34.450000000000003</v>
      </c>
      <c r="N708" s="257" t="s">
        <v>6830</v>
      </c>
    </row>
    <row r="709" spans="1:14">
      <c r="A709">
        <v>3312</v>
      </c>
      <c r="B709" t="s">
        <v>5375</v>
      </c>
      <c r="C709">
        <v>13.76</v>
      </c>
      <c r="D709">
        <v>125</v>
      </c>
      <c r="E709">
        <v>98</v>
      </c>
      <c r="F709">
        <v>-19</v>
      </c>
      <c r="G709">
        <v>8</v>
      </c>
      <c r="H709">
        <v>2.9</v>
      </c>
      <c r="I709">
        <v>2</v>
      </c>
      <c r="J709">
        <v>3.24</v>
      </c>
      <c r="K709" s="245">
        <v>-16.350000000000001</v>
      </c>
      <c r="L709" s="245">
        <v>25.99</v>
      </c>
      <c r="M709" s="245">
        <v>699.9</v>
      </c>
      <c r="N709" s="257" t="s">
        <v>6831</v>
      </c>
    </row>
    <row r="710" spans="1:14">
      <c r="A710">
        <v>3313</v>
      </c>
      <c r="B710" t="s">
        <v>6492</v>
      </c>
      <c r="C710">
        <v>11.87</v>
      </c>
      <c r="D710">
        <v>248</v>
      </c>
      <c r="E710">
        <v>-30</v>
      </c>
      <c r="F710">
        <v>-12</v>
      </c>
      <c r="G710">
        <v>-85</v>
      </c>
      <c r="H710">
        <v>-38.72</v>
      </c>
      <c r="I710">
        <v>0</v>
      </c>
      <c r="J710">
        <v>0.42</v>
      </c>
      <c r="K710" s="245">
        <v>-19.670000000000002</v>
      </c>
      <c r="L710" s="245">
        <v>43.75</v>
      </c>
      <c r="M710" s="245">
        <v>1460.9</v>
      </c>
      <c r="N710" s="257" t="s">
        <v>6831</v>
      </c>
    </row>
    <row r="711" spans="1:14">
      <c r="A711">
        <v>3317</v>
      </c>
      <c r="B711" t="s">
        <v>5376</v>
      </c>
      <c r="C711">
        <v>6.12</v>
      </c>
      <c r="D711">
        <v>90</v>
      </c>
      <c r="E711">
        <v>75</v>
      </c>
      <c r="F711">
        <v>1</v>
      </c>
      <c r="G711">
        <v>4</v>
      </c>
      <c r="H711">
        <v>15.71</v>
      </c>
      <c r="I711">
        <v>1.2</v>
      </c>
      <c r="J711">
        <v>5.78</v>
      </c>
      <c r="K711" s="245">
        <v>-35.549999999999997</v>
      </c>
      <c r="L711" s="245">
        <v>43.55</v>
      </c>
      <c r="M711" s="245">
        <v>1028.5999999999999</v>
      </c>
      <c r="N711" s="257" t="s">
        <v>6830</v>
      </c>
    </row>
    <row r="712" spans="1:14">
      <c r="A712">
        <v>3321</v>
      </c>
      <c r="B712" t="s">
        <v>6493</v>
      </c>
      <c r="C712">
        <v>15.61</v>
      </c>
      <c r="D712">
        <v>68</v>
      </c>
      <c r="E712">
        <v>75</v>
      </c>
      <c r="F712">
        <v>-3</v>
      </c>
      <c r="G712">
        <v>-5</v>
      </c>
      <c r="H712">
        <v>-2.4300000000000002</v>
      </c>
      <c r="I712">
        <v>0</v>
      </c>
      <c r="J712">
        <v>-0.54</v>
      </c>
      <c r="K712" s="245">
        <v>-30.19</v>
      </c>
      <c r="L712" s="245">
        <v>8.6300000000000008</v>
      </c>
      <c r="M712" s="245">
        <v>169.05</v>
      </c>
      <c r="N712" s="257" t="s">
        <v>6830</v>
      </c>
    </row>
    <row r="713" spans="1:14">
      <c r="A713">
        <v>3322</v>
      </c>
      <c r="B713" t="s">
        <v>6180</v>
      </c>
      <c r="C713">
        <v>10.74</v>
      </c>
      <c r="D713">
        <v>2114</v>
      </c>
      <c r="E713">
        <v>236</v>
      </c>
      <c r="F713">
        <v>-35</v>
      </c>
      <c r="G713">
        <v>-46</v>
      </c>
      <c r="H713">
        <v>4.3099999999999996</v>
      </c>
      <c r="I713">
        <v>0.6</v>
      </c>
      <c r="J713">
        <v>1.85</v>
      </c>
      <c r="K713" s="245">
        <v>-34.909999999999997</v>
      </c>
      <c r="L713" s="245">
        <v>21.46</v>
      </c>
      <c r="M713" s="245">
        <v>1253.05</v>
      </c>
      <c r="N713" s="257" t="s">
        <v>6831</v>
      </c>
    </row>
    <row r="714" spans="1:14">
      <c r="A714">
        <v>3323</v>
      </c>
      <c r="B714" t="s">
        <v>5377</v>
      </c>
      <c r="C714">
        <v>8.0299999999999994</v>
      </c>
      <c r="D714">
        <v>-24</v>
      </c>
      <c r="E714">
        <v>-21</v>
      </c>
      <c r="F714">
        <v>-57</v>
      </c>
      <c r="G714">
        <v>-49</v>
      </c>
      <c r="H714">
        <v>2.48</v>
      </c>
      <c r="I714">
        <v>2</v>
      </c>
      <c r="J714">
        <v>3.16</v>
      </c>
      <c r="K714" s="245">
        <v>-46.48</v>
      </c>
      <c r="L714" s="245">
        <v>16.350000000000001</v>
      </c>
      <c r="M714" s="245">
        <v>171.4</v>
      </c>
      <c r="N714" s="257" t="s">
        <v>6830</v>
      </c>
    </row>
    <row r="715" spans="1:14">
      <c r="A715">
        <v>3324</v>
      </c>
      <c r="B715" t="s">
        <v>5378</v>
      </c>
      <c r="C715">
        <v>8.83</v>
      </c>
      <c r="D715">
        <v>2</v>
      </c>
      <c r="E715">
        <v>-11</v>
      </c>
      <c r="F715">
        <v>-27</v>
      </c>
      <c r="G715">
        <v>-6</v>
      </c>
      <c r="H715">
        <v>9.67</v>
      </c>
      <c r="I715">
        <v>6</v>
      </c>
      <c r="J715">
        <v>13.12</v>
      </c>
      <c r="K715" s="245">
        <v>-40.75</v>
      </c>
      <c r="L715" s="245">
        <v>10.68</v>
      </c>
      <c r="M715" s="245">
        <v>1509.85</v>
      </c>
      <c r="N715" s="257" t="s">
        <v>6830</v>
      </c>
    </row>
    <row r="716" spans="1:14">
      <c r="A716">
        <v>3325</v>
      </c>
      <c r="B716" t="s">
        <v>5379</v>
      </c>
      <c r="C716">
        <v>8.4600000000000009</v>
      </c>
      <c r="D716">
        <v>-138</v>
      </c>
      <c r="E716">
        <v>-123</v>
      </c>
      <c r="F716">
        <v>28</v>
      </c>
      <c r="G716">
        <v>-41</v>
      </c>
      <c r="H716">
        <v>-4.2</v>
      </c>
      <c r="I716">
        <v>0</v>
      </c>
      <c r="J716">
        <v>-0.7</v>
      </c>
      <c r="K716" s="245">
        <v>-50.87</v>
      </c>
      <c r="L716" s="245">
        <v>6.96</v>
      </c>
      <c r="M716" s="245">
        <v>121.8</v>
      </c>
      <c r="N716" s="257" t="s">
        <v>6830</v>
      </c>
    </row>
    <row r="717" spans="1:14">
      <c r="A717">
        <v>3332</v>
      </c>
      <c r="B717" t="s">
        <v>6357</v>
      </c>
      <c r="C717">
        <v>4.8099999999999996</v>
      </c>
      <c r="D717">
        <v>-13</v>
      </c>
      <c r="E717">
        <v>-1</v>
      </c>
      <c r="F717">
        <v>14</v>
      </c>
      <c r="G717">
        <v>54</v>
      </c>
      <c r="H717">
        <v>8.1999999999999993</v>
      </c>
      <c r="I717">
        <v>1</v>
      </c>
      <c r="J717">
        <v>2.2000000000000002</v>
      </c>
      <c r="K717" s="245">
        <v>-5.3</v>
      </c>
      <c r="L717" s="245">
        <v>39.380000000000003</v>
      </c>
      <c r="M717" s="245">
        <v>26.2</v>
      </c>
      <c r="N717" s="257" t="s">
        <v>6831</v>
      </c>
    </row>
    <row r="718" spans="1:14">
      <c r="A718">
        <v>3338</v>
      </c>
      <c r="B718" t="s">
        <v>5380</v>
      </c>
      <c r="C718">
        <v>8.7899999999999991</v>
      </c>
      <c r="D718">
        <v>-16</v>
      </c>
      <c r="E718">
        <v>-22</v>
      </c>
      <c r="F718">
        <v>-38</v>
      </c>
      <c r="G718">
        <v>-26</v>
      </c>
      <c r="H718">
        <v>5.68</v>
      </c>
      <c r="I718">
        <v>1.5</v>
      </c>
      <c r="J718">
        <v>2.13</v>
      </c>
      <c r="K718" s="245">
        <v>-34.97</v>
      </c>
      <c r="L718" s="245">
        <v>12.67</v>
      </c>
      <c r="M718" s="245">
        <v>366.3</v>
      </c>
      <c r="N718" s="257" t="s">
        <v>6830</v>
      </c>
    </row>
    <row r="719" spans="1:14">
      <c r="A719">
        <v>3339</v>
      </c>
      <c r="B719" t="s">
        <v>5381</v>
      </c>
      <c r="C719">
        <v>5.16</v>
      </c>
      <c r="D719">
        <v>251</v>
      </c>
      <c r="E719">
        <v>82</v>
      </c>
      <c r="F719">
        <v>-12</v>
      </c>
      <c r="G719">
        <v>-31</v>
      </c>
      <c r="H719">
        <v>-1.1100000000000001</v>
      </c>
      <c r="I719">
        <v>0</v>
      </c>
      <c r="J719">
        <v>1.77</v>
      </c>
      <c r="K719" s="245">
        <v>-58.67</v>
      </c>
      <c r="L719" s="245">
        <v>5.32</v>
      </c>
      <c r="M719" s="245">
        <v>165.8</v>
      </c>
      <c r="N719" s="257" t="s">
        <v>6830</v>
      </c>
    </row>
    <row r="720" spans="1:14">
      <c r="A720">
        <v>3346</v>
      </c>
      <c r="B720" t="s">
        <v>5382</v>
      </c>
      <c r="C720">
        <v>10.66</v>
      </c>
      <c r="D720">
        <v>680</v>
      </c>
      <c r="E720">
        <v>1465</v>
      </c>
      <c r="F720">
        <v>-35</v>
      </c>
      <c r="G720">
        <v>-13</v>
      </c>
      <c r="H720">
        <v>1.62</v>
      </c>
      <c r="I720">
        <v>0.62</v>
      </c>
      <c r="J720">
        <v>1.03</v>
      </c>
      <c r="K720" s="245">
        <v>-47.39</v>
      </c>
      <c r="L720" s="245">
        <v>11.82</v>
      </c>
      <c r="M720" s="245">
        <v>348.35</v>
      </c>
      <c r="N720" s="257" t="s">
        <v>6830</v>
      </c>
    </row>
    <row r="721" spans="1:14">
      <c r="A721">
        <v>3354</v>
      </c>
      <c r="B721" t="s">
        <v>5383</v>
      </c>
      <c r="C721">
        <v>7.01</v>
      </c>
      <c r="D721">
        <v>0</v>
      </c>
      <c r="E721">
        <v>-98</v>
      </c>
      <c r="F721">
        <v>-52</v>
      </c>
      <c r="G721">
        <v>0</v>
      </c>
      <c r="H721">
        <v>-40.71</v>
      </c>
      <c r="I721">
        <v>0.3</v>
      </c>
      <c r="J721">
        <v>-0.74</v>
      </c>
      <c r="K721" s="245">
        <v>-33.68</v>
      </c>
      <c r="L721" s="245">
        <v>32.42</v>
      </c>
      <c r="M721" s="245">
        <v>454.25</v>
      </c>
      <c r="N721" s="257" t="s">
        <v>6830</v>
      </c>
    </row>
    <row r="722" spans="1:14">
      <c r="A722">
        <v>3356</v>
      </c>
      <c r="B722" t="s">
        <v>5384</v>
      </c>
      <c r="C722">
        <v>8.98</v>
      </c>
      <c r="D722">
        <v>11</v>
      </c>
      <c r="E722">
        <v>261</v>
      </c>
      <c r="F722">
        <v>-10</v>
      </c>
      <c r="G722">
        <v>-5</v>
      </c>
      <c r="H722">
        <v>12.35</v>
      </c>
      <c r="I722">
        <v>1.2</v>
      </c>
      <c r="J722">
        <v>1.97</v>
      </c>
      <c r="K722" s="245">
        <v>-34.42</v>
      </c>
      <c r="L722" s="245">
        <v>42.23</v>
      </c>
      <c r="M722" s="245">
        <v>1614.05</v>
      </c>
      <c r="N722" s="257" t="s">
        <v>6830</v>
      </c>
    </row>
    <row r="723" spans="1:14">
      <c r="A723">
        <v>3357</v>
      </c>
      <c r="B723" t="s">
        <v>5385</v>
      </c>
      <c r="C723">
        <v>10.31</v>
      </c>
      <c r="D723">
        <v>62</v>
      </c>
      <c r="E723">
        <v>49</v>
      </c>
      <c r="F723">
        <v>-18</v>
      </c>
      <c r="G723">
        <v>-13</v>
      </c>
      <c r="H723">
        <v>21.58</v>
      </c>
      <c r="I723">
        <v>7</v>
      </c>
      <c r="J723">
        <v>12.08</v>
      </c>
      <c r="K723" s="245">
        <v>-42.82</v>
      </c>
      <c r="L723" s="245">
        <v>22.65</v>
      </c>
      <c r="M723" s="245">
        <v>113.1</v>
      </c>
      <c r="N723" s="257" t="s">
        <v>6830</v>
      </c>
    </row>
    <row r="724" spans="1:14">
      <c r="A724">
        <v>3360</v>
      </c>
      <c r="B724" t="s">
        <v>5386</v>
      </c>
      <c r="C724">
        <v>6.87</v>
      </c>
      <c r="D724">
        <v>44</v>
      </c>
      <c r="E724">
        <v>-11</v>
      </c>
      <c r="F724">
        <v>-30</v>
      </c>
      <c r="G724">
        <v>-10</v>
      </c>
      <c r="H724">
        <v>1.45</v>
      </c>
      <c r="I724">
        <v>1.25</v>
      </c>
      <c r="J724">
        <v>1.45</v>
      </c>
      <c r="K724" s="245">
        <v>-14.84</v>
      </c>
      <c r="L724" s="245">
        <v>41.62</v>
      </c>
      <c r="M724" s="245">
        <v>446.9</v>
      </c>
      <c r="N724" s="257" t="s">
        <v>6831</v>
      </c>
    </row>
    <row r="725" spans="1:14">
      <c r="A725">
        <v>3362</v>
      </c>
      <c r="B725" t="s">
        <v>5387</v>
      </c>
      <c r="C725">
        <v>14.15</v>
      </c>
      <c r="D725">
        <v>99</v>
      </c>
      <c r="E725">
        <v>369</v>
      </c>
      <c r="F725">
        <v>0</v>
      </c>
      <c r="G725">
        <v>5</v>
      </c>
      <c r="H725">
        <v>1.19</v>
      </c>
      <c r="I725">
        <v>0</v>
      </c>
      <c r="J725">
        <v>0.03</v>
      </c>
      <c r="K725" s="245">
        <v>-45.97</v>
      </c>
      <c r="L725" s="245">
        <v>25.07</v>
      </c>
      <c r="M725" s="245">
        <v>259.3</v>
      </c>
      <c r="N725" s="257" t="s">
        <v>6830</v>
      </c>
    </row>
    <row r="726" spans="1:14">
      <c r="A726">
        <v>3363</v>
      </c>
      <c r="B726" t="s">
        <v>5388</v>
      </c>
      <c r="C726">
        <v>8.83</v>
      </c>
      <c r="D726">
        <v>112</v>
      </c>
      <c r="E726">
        <v>189</v>
      </c>
      <c r="F726">
        <v>-14</v>
      </c>
      <c r="G726">
        <v>-12</v>
      </c>
      <c r="H726">
        <v>12.13</v>
      </c>
      <c r="I726">
        <v>1.6</v>
      </c>
      <c r="J726">
        <v>2.31</v>
      </c>
      <c r="K726" s="245">
        <v>-37.26</v>
      </c>
      <c r="L726" s="245">
        <v>12.7</v>
      </c>
      <c r="M726" s="245">
        <v>245.1</v>
      </c>
      <c r="N726" s="257" t="s">
        <v>6830</v>
      </c>
    </row>
    <row r="727" spans="1:14">
      <c r="A727">
        <v>3372</v>
      </c>
      <c r="B727" t="s">
        <v>5389</v>
      </c>
      <c r="C727">
        <v>17.54</v>
      </c>
      <c r="D727">
        <v>3828</v>
      </c>
      <c r="E727">
        <v>4959</v>
      </c>
      <c r="F727">
        <v>0</v>
      </c>
      <c r="G727">
        <v>-15</v>
      </c>
      <c r="H727">
        <v>21.31</v>
      </c>
      <c r="I727">
        <v>1</v>
      </c>
      <c r="J727">
        <v>2.39</v>
      </c>
      <c r="K727" s="245">
        <v>-52.58</v>
      </c>
      <c r="L727" s="245">
        <v>15</v>
      </c>
      <c r="M727" s="245">
        <v>328.9</v>
      </c>
      <c r="N727" s="257" t="s">
        <v>6830</v>
      </c>
    </row>
    <row r="728" spans="1:14">
      <c r="A728">
        <v>3373</v>
      </c>
      <c r="B728" t="s">
        <v>5390</v>
      </c>
      <c r="C728">
        <v>4.32</v>
      </c>
      <c r="D728">
        <v>-84</v>
      </c>
      <c r="E728">
        <v>-84</v>
      </c>
      <c r="F728">
        <v>-92</v>
      </c>
      <c r="G728">
        <v>-96</v>
      </c>
      <c r="H728">
        <v>15.17</v>
      </c>
      <c r="I728">
        <v>1.5</v>
      </c>
      <c r="J728">
        <v>2.6</v>
      </c>
      <c r="K728" s="245">
        <v>-62.74</v>
      </c>
      <c r="L728" s="245">
        <v>18.670000000000002</v>
      </c>
      <c r="M728" s="245">
        <v>255.8</v>
      </c>
      <c r="N728" s="257" t="s">
        <v>6830</v>
      </c>
    </row>
    <row r="729" spans="1:14">
      <c r="A729">
        <v>3374</v>
      </c>
      <c r="B729" t="s">
        <v>5391</v>
      </c>
      <c r="C729">
        <v>27.13</v>
      </c>
      <c r="D729">
        <v>8</v>
      </c>
      <c r="E729">
        <v>25</v>
      </c>
      <c r="F729">
        <v>3</v>
      </c>
      <c r="G729">
        <v>54</v>
      </c>
      <c r="H729">
        <v>28.8</v>
      </c>
      <c r="I729">
        <v>3</v>
      </c>
      <c r="J729">
        <v>6.92</v>
      </c>
      <c r="K729" s="245">
        <v>-29.87</v>
      </c>
      <c r="L729" s="245">
        <v>63.95</v>
      </c>
      <c r="M729" s="245">
        <v>7005.8</v>
      </c>
      <c r="N729" s="257" t="s">
        <v>6830</v>
      </c>
    </row>
    <row r="730" spans="1:14">
      <c r="A730">
        <v>3376</v>
      </c>
      <c r="B730" t="s">
        <v>5392</v>
      </c>
      <c r="C730">
        <v>19.239999999999998</v>
      </c>
      <c r="D730">
        <v>-30</v>
      </c>
      <c r="E730">
        <v>-41</v>
      </c>
      <c r="F730">
        <v>-17</v>
      </c>
      <c r="G730">
        <v>-20</v>
      </c>
      <c r="H730">
        <v>12.99</v>
      </c>
      <c r="I730">
        <v>5</v>
      </c>
      <c r="J730">
        <v>6.08</v>
      </c>
      <c r="K730" s="245">
        <v>-35.86</v>
      </c>
      <c r="L730" s="245">
        <v>55.14</v>
      </c>
      <c r="M730" s="245">
        <v>332</v>
      </c>
      <c r="N730" s="257" t="s">
        <v>6830</v>
      </c>
    </row>
    <row r="731" spans="1:14">
      <c r="A731">
        <v>3379</v>
      </c>
      <c r="B731" t="s">
        <v>5393</v>
      </c>
      <c r="C731">
        <v>3.8</v>
      </c>
      <c r="D731">
        <v>-42</v>
      </c>
      <c r="E731">
        <v>101</v>
      </c>
      <c r="F731">
        <v>-28</v>
      </c>
      <c r="G731">
        <v>-63</v>
      </c>
      <c r="H731">
        <v>0.22</v>
      </c>
      <c r="I731">
        <v>0.25</v>
      </c>
      <c r="J731">
        <v>0.27</v>
      </c>
      <c r="K731" s="245">
        <v>-23.7</v>
      </c>
      <c r="L731" s="245">
        <v>29.37</v>
      </c>
      <c r="M731" s="245">
        <v>114.8</v>
      </c>
      <c r="N731" s="257" t="s">
        <v>6830</v>
      </c>
    </row>
    <row r="732" spans="1:14">
      <c r="A732">
        <v>3380</v>
      </c>
      <c r="B732" t="s">
        <v>5394</v>
      </c>
      <c r="C732">
        <v>54.17</v>
      </c>
      <c r="D732">
        <v>-25</v>
      </c>
      <c r="E732">
        <v>-20</v>
      </c>
      <c r="F732">
        <v>-27</v>
      </c>
      <c r="G732">
        <v>-2</v>
      </c>
      <c r="H732">
        <v>2.5499999999999998</v>
      </c>
      <c r="I732">
        <v>0.8</v>
      </c>
      <c r="J732">
        <v>0.8</v>
      </c>
      <c r="K732" s="245">
        <v>-27.95</v>
      </c>
      <c r="L732" s="245">
        <v>19.010000000000002</v>
      </c>
      <c r="M732" s="245">
        <v>932.15</v>
      </c>
      <c r="N732" s="257" t="s">
        <v>6830</v>
      </c>
    </row>
    <row r="733" spans="1:14">
      <c r="A733">
        <v>3383</v>
      </c>
      <c r="B733" t="s">
        <v>6494</v>
      </c>
      <c r="C733">
        <v>7.5</v>
      </c>
      <c r="D733">
        <v>63</v>
      </c>
      <c r="E733">
        <v>12</v>
      </c>
      <c r="F733">
        <v>-10</v>
      </c>
      <c r="G733">
        <v>-32</v>
      </c>
      <c r="H733">
        <v>-41.11</v>
      </c>
      <c r="I733">
        <v>0</v>
      </c>
      <c r="J733">
        <v>-1.48</v>
      </c>
      <c r="K733" s="245">
        <v>-49.1</v>
      </c>
      <c r="L733" s="245">
        <v>11.83</v>
      </c>
      <c r="M733" s="245">
        <v>138.44999999999999</v>
      </c>
      <c r="N733" s="257" t="s">
        <v>6830</v>
      </c>
    </row>
    <row r="734" spans="1:14">
      <c r="A734">
        <v>3388</v>
      </c>
      <c r="B734" t="s">
        <v>5395</v>
      </c>
      <c r="C734">
        <v>7.4</v>
      </c>
      <c r="D734">
        <v>49</v>
      </c>
      <c r="E734">
        <v>53</v>
      </c>
      <c r="F734">
        <v>-22</v>
      </c>
      <c r="G734">
        <v>0</v>
      </c>
      <c r="H734">
        <v>8.1300000000000008</v>
      </c>
      <c r="I734">
        <v>6</v>
      </c>
      <c r="J734">
        <v>8.0399999999999991</v>
      </c>
      <c r="K734" s="245">
        <v>-7.51</v>
      </c>
      <c r="L734" s="245">
        <v>43.35</v>
      </c>
      <c r="M734" s="245">
        <v>84.9</v>
      </c>
      <c r="N734" s="257" t="s">
        <v>6831</v>
      </c>
    </row>
    <row r="735" spans="1:14">
      <c r="A735">
        <v>3390</v>
      </c>
      <c r="B735" t="s">
        <v>5396</v>
      </c>
      <c r="C735">
        <v>6.75</v>
      </c>
      <c r="D735">
        <v>126</v>
      </c>
      <c r="E735">
        <v>143</v>
      </c>
      <c r="F735">
        <v>14</v>
      </c>
      <c r="G735">
        <v>50</v>
      </c>
      <c r="H735">
        <v>5.93</v>
      </c>
      <c r="I735">
        <v>0.38</v>
      </c>
      <c r="J735">
        <v>0.48</v>
      </c>
      <c r="K735" s="245">
        <v>-43.18</v>
      </c>
      <c r="L735" s="245">
        <v>32.92</v>
      </c>
      <c r="M735" s="245">
        <v>200.15</v>
      </c>
      <c r="N735" s="257" t="s">
        <v>6830</v>
      </c>
    </row>
    <row r="736" spans="1:14">
      <c r="A736">
        <v>3402</v>
      </c>
      <c r="B736" t="s">
        <v>5397</v>
      </c>
      <c r="C736">
        <v>7.3</v>
      </c>
      <c r="D736">
        <v>32</v>
      </c>
      <c r="E736">
        <v>29</v>
      </c>
      <c r="F736">
        <v>3</v>
      </c>
      <c r="G736">
        <v>28</v>
      </c>
      <c r="H736">
        <v>10.65</v>
      </c>
      <c r="I736">
        <v>3</v>
      </c>
      <c r="J736">
        <v>3.93</v>
      </c>
      <c r="K736" s="245">
        <v>-15.72</v>
      </c>
      <c r="L736" s="245">
        <v>21.9</v>
      </c>
      <c r="M736" s="245">
        <v>206.9</v>
      </c>
      <c r="N736" s="257" t="s">
        <v>6831</v>
      </c>
    </row>
    <row r="737" spans="1:14">
      <c r="A737">
        <v>3406</v>
      </c>
      <c r="B737" t="s">
        <v>5398</v>
      </c>
      <c r="C737">
        <v>11.26</v>
      </c>
      <c r="D737">
        <v>-24</v>
      </c>
      <c r="E737">
        <v>-33</v>
      </c>
      <c r="F737">
        <v>-26</v>
      </c>
      <c r="G737">
        <v>35</v>
      </c>
      <c r="H737">
        <v>18.02</v>
      </c>
      <c r="I737">
        <v>8</v>
      </c>
      <c r="J737">
        <v>20.52</v>
      </c>
      <c r="K737" s="245">
        <v>-46.66</v>
      </c>
      <c r="L737" s="245">
        <v>8.35</v>
      </c>
      <c r="M737" s="245">
        <v>1384.25</v>
      </c>
      <c r="N737" s="257" t="s">
        <v>6830</v>
      </c>
    </row>
    <row r="738" spans="1:14">
      <c r="A738">
        <v>3413</v>
      </c>
      <c r="B738" t="s">
        <v>5399</v>
      </c>
      <c r="C738">
        <v>9.67</v>
      </c>
      <c r="D738">
        <v>22</v>
      </c>
      <c r="E738">
        <v>21</v>
      </c>
      <c r="F738">
        <v>-25</v>
      </c>
      <c r="G738">
        <v>-16</v>
      </c>
      <c r="H738">
        <v>16.239999999999998</v>
      </c>
      <c r="I738">
        <v>9.5</v>
      </c>
      <c r="J738">
        <v>17.010000000000002</v>
      </c>
      <c r="K738" s="245">
        <v>-19.96</v>
      </c>
      <c r="L738" s="245">
        <v>42.9</v>
      </c>
      <c r="M738" s="245">
        <v>541.85</v>
      </c>
      <c r="N738" s="257" t="s">
        <v>6831</v>
      </c>
    </row>
    <row r="739" spans="1:14">
      <c r="A739">
        <v>3416</v>
      </c>
      <c r="B739" t="s">
        <v>5400</v>
      </c>
      <c r="C739">
        <v>7.26</v>
      </c>
      <c r="D739">
        <v>42</v>
      </c>
      <c r="E739">
        <v>50</v>
      </c>
      <c r="F739">
        <v>-31</v>
      </c>
      <c r="G739">
        <v>12</v>
      </c>
      <c r="H739">
        <v>17.48</v>
      </c>
      <c r="I739">
        <v>4.5</v>
      </c>
      <c r="J739">
        <v>5.03</v>
      </c>
      <c r="K739" s="245">
        <v>-11</v>
      </c>
      <c r="L739" s="245">
        <v>40.049999999999997</v>
      </c>
      <c r="M739" s="245">
        <v>42.2</v>
      </c>
      <c r="N739" s="257" t="s">
        <v>6830</v>
      </c>
    </row>
    <row r="740" spans="1:14">
      <c r="A740">
        <v>3419</v>
      </c>
      <c r="B740" t="s">
        <v>5401</v>
      </c>
      <c r="C740">
        <v>12.04</v>
      </c>
      <c r="D740">
        <v>-155</v>
      </c>
      <c r="E740">
        <v>-15</v>
      </c>
      <c r="F740">
        <v>11</v>
      </c>
      <c r="G740">
        <v>7</v>
      </c>
      <c r="H740">
        <v>-3.45</v>
      </c>
      <c r="I740">
        <v>0</v>
      </c>
      <c r="J740">
        <v>-0.33</v>
      </c>
      <c r="K740" s="245">
        <v>-47.53</v>
      </c>
      <c r="L740" s="245">
        <v>14.8</v>
      </c>
      <c r="M740" s="245">
        <v>510.05</v>
      </c>
      <c r="N740" s="257" t="s">
        <v>6830</v>
      </c>
    </row>
    <row r="741" spans="1:14">
      <c r="A741">
        <v>3426</v>
      </c>
      <c r="B741" t="s">
        <v>6495</v>
      </c>
      <c r="C741">
        <v>2.64</v>
      </c>
      <c r="D741">
        <v>14</v>
      </c>
      <c r="E741">
        <v>2</v>
      </c>
      <c r="F741">
        <v>-2</v>
      </c>
      <c r="G741">
        <v>13</v>
      </c>
      <c r="H741">
        <v>10.52</v>
      </c>
      <c r="I741">
        <v>2</v>
      </c>
      <c r="J741">
        <v>2.48</v>
      </c>
      <c r="K741" s="245">
        <v>-8.98</v>
      </c>
      <c r="L741" s="245">
        <v>31.85</v>
      </c>
      <c r="M741" s="245">
        <v>4.2</v>
      </c>
      <c r="N741" s="257" t="s">
        <v>6830</v>
      </c>
    </row>
    <row r="742" spans="1:14">
      <c r="A742">
        <v>3432</v>
      </c>
      <c r="B742" t="s">
        <v>5402</v>
      </c>
      <c r="C742">
        <v>6.65</v>
      </c>
      <c r="D742">
        <v>75</v>
      </c>
      <c r="E742">
        <v>10</v>
      </c>
      <c r="F742">
        <v>81</v>
      </c>
      <c r="G742">
        <v>-54</v>
      </c>
      <c r="H742">
        <v>-54.85</v>
      </c>
      <c r="I742">
        <v>0.5</v>
      </c>
      <c r="J742">
        <v>0.86</v>
      </c>
      <c r="K742" s="245">
        <v>-22.38</v>
      </c>
      <c r="L742" s="245">
        <v>29.97</v>
      </c>
      <c r="M742" s="245">
        <v>54.9</v>
      </c>
      <c r="N742" s="257" t="s">
        <v>6830</v>
      </c>
    </row>
    <row r="743" spans="1:14">
      <c r="A743">
        <v>3434</v>
      </c>
      <c r="B743" t="s">
        <v>5403</v>
      </c>
      <c r="C743">
        <v>2.27</v>
      </c>
      <c r="D743">
        <v>283</v>
      </c>
      <c r="E743">
        <v>323</v>
      </c>
      <c r="F743">
        <v>-44</v>
      </c>
      <c r="G743">
        <v>2</v>
      </c>
      <c r="H743">
        <v>3.4</v>
      </c>
      <c r="I743">
        <v>0.8</v>
      </c>
      <c r="J743">
        <v>0.82</v>
      </c>
      <c r="K743" s="245">
        <v>-31.61</v>
      </c>
      <c r="L743" s="245">
        <v>62.13</v>
      </c>
      <c r="M743" s="245">
        <v>1962.5</v>
      </c>
      <c r="N743" s="257" t="s">
        <v>6831</v>
      </c>
    </row>
    <row r="744" spans="1:14">
      <c r="A744">
        <v>3437</v>
      </c>
      <c r="B744" t="s">
        <v>5404</v>
      </c>
      <c r="C744">
        <v>14.45</v>
      </c>
      <c r="D744">
        <v>179</v>
      </c>
      <c r="E744">
        <v>157</v>
      </c>
      <c r="F744">
        <v>-24</v>
      </c>
      <c r="G744">
        <v>-30</v>
      </c>
      <c r="H744">
        <v>1.39</v>
      </c>
      <c r="I744">
        <v>0.45</v>
      </c>
      <c r="J744">
        <v>0.61</v>
      </c>
      <c r="K744" s="245">
        <v>-38.979999999999997</v>
      </c>
      <c r="L744" s="245">
        <v>20.98</v>
      </c>
      <c r="M744" s="245">
        <v>386.6</v>
      </c>
      <c r="N744" s="257" t="s">
        <v>6830</v>
      </c>
    </row>
    <row r="745" spans="1:14">
      <c r="A745">
        <v>3438</v>
      </c>
      <c r="B745" t="s">
        <v>5405</v>
      </c>
      <c r="C745">
        <v>4.71</v>
      </c>
      <c r="D745">
        <v>121</v>
      </c>
      <c r="E745">
        <v>135</v>
      </c>
      <c r="F745">
        <v>-11</v>
      </c>
      <c r="G745">
        <v>-13</v>
      </c>
      <c r="H745">
        <v>19.690000000000001</v>
      </c>
      <c r="I745">
        <v>3.6</v>
      </c>
      <c r="J745">
        <v>5.14</v>
      </c>
      <c r="K745" s="245">
        <v>-43.26</v>
      </c>
      <c r="L745" s="245">
        <v>28.41</v>
      </c>
      <c r="M745" s="245">
        <v>189.4</v>
      </c>
      <c r="N745" s="257" t="s">
        <v>6830</v>
      </c>
    </row>
    <row r="746" spans="1:14">
      <c r="A746">
        <v>3441</v>
      </c>
      <c r="B746" t="s">
        <v>5406</v>
      </c>
      <c r="C746">
        <v>4</v>
      </c>
      <c r="D746">
        <v>273</v>
      </c>
      <c r="E746">
        <v>324</v>
      </c>
      <c r="F746">
        <v>-1</v>
      </c>
      <c r="G746">
        <v>38</v>
      </c>
      <c r="H746">
        <v>7.08</v>
      </c>
      <c r="I746">
        <v>0.5</v>
      </c>
      <c r="J746">
        <v>0.63</v>
      </c>
      <c r="K746" s="245">
        <v>-37.29</v>
      </c>
      <c r="L746" s="245">
        <v>30.93</v>
      </c>
      <c r="M746" s="245">
        <v>75.150000000000006</v>
      </c>
      <c r="N746" s="257" t="s">
        <v>6830</v>
      </c>
    </row>
    <row r="747" spans="1:14">
      <c r="A747">
        <v>3443</v>
      </c>
      <c r="B747" t="s">
        <v>5407</v>
      </c>
      <c r="C747">
        <v>13.4</v>
      </c>
      <c r="D747">
        <v>71</v>
      </c>
      <c r="E747">
        <v>73</v>
      </c>
      <c r="F747">
        <v>17</v>
      </c>
      <c r="G747">
        <v>75</v>
      </c>
      <c r="H747">
        <v>11.08</v>
      </c>
      <c r="I747">
        <v>7</v>
      </c>
      <c r="J747">
        <v>10.9</v>
      </c>
      <c r="K747" s="245">
        <v>-21.79</v>
      </c>
      <c r="L747" s="245">
        <v>70.05</v>
      </c>
      <c r="M747" s="245">
        <v>3700.65</v>
      </c>
      <c r="N747" s="257" t="s">
        <v>6831</v>
      </c>
    </row>
    <row r="748" spans="1:14">
      <c r="A748">
        <v>3444</v>
      </c>
      <c r="B748" t="s">
        <v>5408</v>
      </c>
      <c r="C748">
        <v>3.91</v>
      </c>
      <c r="D748">
        <v>26</v>
      </c>
      <c r="E748">
        <v>26</v>
      </c>
      <c r="F748">
        <v>2</v>
      </c>
      <c r="G748">
        <v>12</v>
      </c>
      <c r="H748">
        <v>12.35</v>
      </c>
      <c r="I748">
        <v>2.2999999999999998</v>
      </c>
      <c r="J748">
        <v>3.44</v>
      </c>
      <c r="K748" s="245">
        <v>-31.69</v>
      </c>
      <c r="L748" s="245">
        <v>54.18</v>
      </c>
      <c r="M748" s="245">
        <v>358.35</v>
      </c>
      <c r="N748" s="257" t="s">
        <v>6831</v>
      </c>
    </row>
    <row r="749" spans="1:14">
      <c r="A749">
        <v>3450</v>
      </c>
      <c r="B749" t="s">
        <v>5409</v>
      </c>
      <c r="C749">
        <v>14.56</v>
      </c>
      <c r="D749">
        <v>38</v>
      </c>
      <c r="E749">
        <v>25</v>
      </c>
      <c r="F749">
        <v>-2</v>
      </c>
      <c r="G749">
        <v>-13</v>
      </c>
      <c r="H749">
        <v>15.47</v>
      </c>
      <c r="I749">
        <v>1.8</v>
      </c>
      <c r="J749">
        <v>2.5499999999999998</v>
      </c>
      <c r="K749" s="245">
        <v>-35.25</v>
      </c>
      <c r="L749" s="245">
        <v>9.6999999999999993</v>
      </c>
      <c r="M749" s="245">
        <v>209.2</v>
      </c>
      <c r="N749" s="257" t="s">
        <v>6830</v>
      </c>
    </row>
    <row r="750" spans="1:14">
      <c r="A750">
        <v>3454</v>
      </c>
      <c r="B750" t="s">
        <v>5410</v>
      </c>
      <c r="C750">
        <v>8.65</v>
      </c>
      <c r="D750">
        <v>-7</v>
      </c>
      <c r="E750">
        <v>-65</v>
      </c>
      <c r="F750">
        <v>0</v>
      </c>
      <c r="G750">
        <v>51</v>
      </c>
      <c r="H750">
        <v>1.67</v>
      </c>
      <c r="I750">
        <v>1.4</v>
      </c>
      <c r="J750">
        <v>2.17</v>
      </c>
      <c r="K750" s="245">
        <v>-3.91</v>
      </c>
      <c r="L750" s="245">
        <v>67.319999999999993</v>
      </c>
      <c r="M750" s="245">
        <v>195.85</v>
      </c>
      <c r="N750" s="257" t="s">
        <v>6832</v>
      </c>
    </row>
    <row r="751" spans="1:14">
      <c r="A751">
        <v>3455</v>
      </c>
      <c r="B751" t="s">
        <v>5411</v>
      </c>
      <c r="C751">
        <v>5.98</v>
      </c>
      <c r="D751">
        <v>86</v>
      </c>
      <c r="E751">
        <v>66</v>
      </c>
      <c r="F751">
        <v>33</v>
      </c>
      <c r="G751">
        <v>4</v>
      </c>
      <c r="H751">
        <v>19.93</v>
      </c>
      <c r="I751">
        <v>5.5</v>
      </c>
      <c r="J751">
        <v>7.5</v>
      </c>
      <c r="K751" s="245">
        <v>-29.02</v>
      </c>
      <c r="L751" s="245">
        <v>18.399999999999999</v>
      </c>
      <c r="M751" s="245">
        <v>596</v>
      </c>
      <c r="N751" s="257" t="s">
        <v>6831</v>
      </c>
    </row>
    <row r="752" spans="1:14">
      <c r="A752">
        <v>3465</v>
      </c>
      <c r="B752" t="s">
        <v>6496</v>
      </c>
      <c r="C752">
        <v>3.23</v>
      </c>
      <c r="D752">
        <v>1102</v>
      </c>
      <c r="E752">
        <v>1203</v>
      </c>
      <c r="F752">
        <v>-26</v>
      </c>
      <c r="G752">
        <v>-45</v>
      </c>
      <c r="H752">
        <v>20.239999999999998</v>
      </c>
      <c r="I752">
        <v>8.5</v>
      </c>
      <c r="J752">
        <v>16.36</v>
      </c>
      <c r="K752" s="245">
        <v>-64.48</v>
      </c>
      <c r="L752" s="245">
        <v>7.36</v>
      </c>
      <c r="M752" s="245">
        <v>29.45</v>
      </c>
      <c r="N752" s="257" t="s">
        <v>6830</v>
      </c>
    </row>
    <row r="753" spans="1:14">
      <c r="A753">
        <v>3466</v>
      </c>
      <c r="B753" t="s">
        <v>5412</v>
      </c>
      <c r="C753">
        <v>6.08</v>
      </c>
      <c r="D753">
        <v>47</v>
      </c>
      <c r="E753">
        <v>-32</v>
      </c>
      <c r="F753">
        <v>174</v>
      </c>
      <c r="G753">
        <v>-7</v>
      </c>
      <c r="H753">
        <v>-7.77</v>
      </c>
      <c r="I753">
        <v>0</v>
      </c>
      <c r="J753">
        <v>-1.31</v>
      </c>
      <c r="K753" s="245">
        <v>-18.260000000000002</v>
      </c>
      <c r="L753" s="245">
        <v>68.47</v>
      </c>
      <c r="M753" s="245">
        <v>478.85</v>
      </c>
      <c r="N753" s="257" t="s">
        <v>6831</v>
      </c>
    </row>
    <row r="754" spans="1:14">
      <c r="A754">
        <v>3479</v>
      </c>
      <c r="B754" t="s">
        <v>5413</v>
      </c>
      <c r="C754">
        <v>7.1</v>
      </c>
      <c r="D754">
        <v>-4</v>
      </c>
      <c r="E754">
        <v>-3</v>
      </c>
      <c r="F754">
        <v>-22</v>
      </c>
      <c r="G754">
        <v>40</v>
      </c>
      <c r="H754">
        <v>5.23</v>
      </c>
      <c r="I754">
        <v>2.6</v>
      </c>
      <c r="J754">
        <v>2.94</v>
      </c>
      <c r="K754" s="245">
        <v>-12.42</v>
      </c>
      <c r="L754" s="245">
        <v>50.34</v>
      </c>
      <c r="M754" s="245">
        <v>380.25</v>
      </c>
      <c r="N754" s="257" t="s">
        <v>6831</v>
      </c>
    </row>
    <row r="755" spans="1:14">
      <c r="A755">
        <v>3481</v>
      </c>
      <c r="B755" t="s">
        <v>5414</v>
      </c>
      <c r="C755">
        <v>1055</v>
      </c>
      <c r="D755">
        <v>3409</v>
      </c>
      <c r="E755">
        <v>3361</v>
      </c>
      <c r="F755">
        <v>-13</v>
      </c>
      <c r="G755">
        <v>-32</v>
      </c>
      <c r="H755">
        <v>17.91</v>
      </c>
      <c r="I755">
        <v>1.05</v>
      </c>
      <c r="J755">
        <v>5.53</v>
      </c>
      <c r="K755" s="245">
        <v>-39.590000000000003</v>
      </c>
      <c r="L755" s="245">
        <v>14.91</v>
      </c>
      <c r="M755" s="245">
        <v>92497.4</v>
      </c>
      <c r="N755" s="257" t="s">
        <v>6830</v>
      </c>
    </row>
    <row r="756" spans="1:14">
      <c r="A756">
        <v>3483</v>
      </c>
      <c r="B756" t="s">
        <v>5415</v>
      </c>
      <c r="C756">
        <v>7.79</v>
      </c>
      <c r="D756">
        <v>35</v>
      </c>
      <c r="E756">
        <v>-16</v>
      </c>
      <c r="F756">
        <v>-34</v>
      </c>
      <c r="G756">
        <v>-5</v>
      </c>
      <c r="H756">
        <v>5.23</v>
      </c>
      <c r="I756">
        <v>3</v>
      </c>
      <c r="J756">
        <v>5.34</v>
      </c>
      <c r="K756" s="245">
        <v>-39.83</v>
      </c>
      <c r="L756" s="245">
        <v>13.22</v>
      </c>
      <c r="M756" s="245">
        <v>552</v>
      </c>
      <c r="N756" s="257" t="s">
        <v>6830</v>
      </c>
    </row>
    <row r="757" spans="1:14">
      <c r="A757">
        <v>3484</v>
      </c>
      <c r="B757" t="s">
        <v>5416</v>
      </c>
      <c r="C757">
        <v>6.97</v>
      </c>
      <c r="D757">
        <v>56</v>
      </c>
      <c r="E757">
        <v>51</v>
      </c>
      <c r="F757">
        <v>-15</v>
      </c>
      <c r="G757">
        <v>-7</v>
      </c>
      <c r="H757">
        <v>9.5</v>
      </c>
      <c r="I757">
        <v>4.0999999999999996</v>
      </c>
      <c r="J757">
        <v>8.16</v>
      </c>
      <c r="K757" s="245">
        <v>-36.25</v>
      </c>
      <c r="L757" s="245">
        <v>11.59</v>
      </c>
      <c r="M757" s="245">
        <v>289</v>
      </c>
      <c r="N757" s="257" t="s">
        <v>6830</v>
      </c>
    </row>
    <row r="758" spans="1:14">
      <c r="A758">
        <v>3489</v>
      </c>
      <c r="B758" t="s">
        <v>6305</v>
      </c>
      <c r="C758">
        <v>8.31</v>
      </c>
      <c r="D758">
        <v>79</v>
      </c>
      <c r="E758">
        <v>110</v>
      </c>
      <c r="F758">
        <v>-37</v>
      </c>
      <c r="G758">
        <v>-78</v>
      </c>
      <c r="H758">
        <v>3.51</v>
      </c>
      <c r="I758">
        <v>0.5</v>
      </c>
      <c r="J758">
        <v>0.56999999999999995</v>
      </c>
      <c r="K758" s="245">
        <v>-32.35</v>
      </c>
      <c r="L758" s="245">
        <v>36.65</v>
      </c>
      <c r="M758" s="245">
        <v>46.6</v>
      </c>
      <c r="N758" s="257" t="s">
        <v>6830</v>
      </c>
    </row>
    <row r="759" spans="1:14">
      <c r="A759">
        <v>3490</v>
      </c>
      <c r="B759" t="s">
        <v>5417</v>
      </c>
      <c r="C759">
        <v>5.7</v>
      </c>
      <c r="D759">
        <v>119</v>
      </c>
      <c r="E759">
        <v>259</v>
      </c>
      <c r="F759">
        <v>-41</v>
      </c>
      <c r="G759">
        <v>-19</v>
      </c>
      <c r="H759">
        <v>20.98</v>
      </c>
      <c r="I759">
        <v>1.2</v>
      </c>
      <c r="J759">
        <v>2.19</v>
      </c>
      <c r="K759" s="245">
        <v>-27.42</v>
      </c>
      <c r="L759" s="245">
        <v>18.77</v>
      </c>
      <c r="M759" s="245">
        <v>277</v>
      </c>
      <c r="N759" s="257" t="s">
        <v>6830</v>
      </c>
    </row>
    <row r="760" spans="1:14">
      <c r="A760">
        <v>3491</v>
      </c>
      <c r="B760" t="s">
        <v>5418</v>
      </c>
      <c r="C760">
        <v>6.21</v>
      </c>
      <c r="D760">
        <v>80</v>
      </c>
      <c r="E760">
        <v>24</v>
      </c>
      <c r="F760">
        <v>-48</v>
      </c>
      <c r="G760">
        <v>-29</v>
      </c>
      <c r="H760">
        <v>12.59</v>
      </c>
      <c r="I760">
        <v>4</v>
      </c>
      <c r="J760">
        <v>3.81</v>
      </c>
      <c r="K760" s="245">
        <v>-39.96</v>
      </c>
      <c r="L760" s="245">
        <v>18.64</v>
      </c>
      <c r="M760" s="245">
        <v>2858.7</v>
      </c>
      <c r="N760" s="257" t="s">
        <v>6831</v>
      </c>
    </row>
    <row r="761" spans="1:14">
      <c r="A761">
        <v>3492</v>
      </c>
      <c r="B761" t="s">
        <v>5419</v>
      </c>
      <c r="C761">
        <v>3.55</v>
      </c>
      <c r="D761">
        <v>18</v>
      </c>
      <c r="E761">
        <v>35</v>
      </c>
      <c r="F761">
        <v>17</v>
      </c>
      <c r="G761">
        <v>-5</v>
      </c>
      <c r="H761">
        <v>3.75</v>
      </c>
      <c r="I761">
        <v>0.3</v>
      </c>
      <c r="J761">
        <v>0.5</v>
      </c>
      <c r="K761" s="245">
        <v>-35.71</v>
      </c>
      <c r="L761" s="245">
        <v>17.2</v>
      </c>
      <c r="M761" s="245">
        <v>56.2</v>
      </c>
      <c r="N761" s="257" t="s">
        <v>6830</v>
      </c>
    </row>
    <row r="762" spans="1:14">
      <c r="A762">
        <v>3494</v>
      </c>
      <c r="B762" t="s">
        <v>6497</v>
      </c>
      <c r="C762">
        <v>12</v>
      </c>
      <c r="D762">
        <v>67</v>
      </c>
      <c r="E762">
        <v>51</v>
      </c>
      <c r="F762">
        <v>10</v>
      </c>
      <c r="G762">
        <v>15</v>
      </c>
      <c r="H762">
        <v>-53.7</v>
      </c>
      <c r="I762">
        <v>0</v>
      </c>
      <c r="J762">
        <v>-1.57</v>
      </c>
      <c r="K762" s="245">
        <v>-5.0199999999999996</v>
      </c>
      <c r="L762" s="245">
        <v>85.72</v>
      </c>
      <c r="M762" s="245">
        <v>103.5</v>
      </c>
      <c r="N762" s="257" t="s">
        <v>6832</v>
      </c>
    </row>
    <row r="763" spans="1:14">
      <c r="A763">
        <v>3498</v>
      </c>
      <c r="B763" t="s">
        <v>5420</v>
      </c>
      <c r="C763">
        <v>6.28</v>
      </c>
      <c r="D763">
        <v>143</v>
      </c>
      <c r="E763">
        <v>159</v>
      </c>
      <c r="F763">
        <v>41</v>
      </c>
      <c r="G763">
        <v>-70</v>
      </c>
      <c r="H763">
        <v>1.98</v>
      </c>
      <c r="I763">
        <v>0</v>
      </c>
      <c r="J763">
        <v>0.27</v>
      </c>
      <c r="K763" s="245">
        <v>-43.4</v>
      </c>
      <c r="L763" s="245">
        <v>6.35</v>
      </c>
      <c r="M763" s="245">
        <v>41.45</v>
      </c>
      <c r="N763" s="257" t="s">
        <v>6830</v>
      </c>
    </row>
    <row r="764" spans="1:14">
      <c r="A764">
        <v>3499</v>
      </c>
      <c r="B764" t="s">
        <v>5421</v>
      </c>
      <c r="C764">
        <v>5.49</v>
      </c>
      <c r="D764">
        <v>62</v>
      </c>
      <c r="E764">
        <v>16</v>
      </c>
      <c r="F764">
        <v>14</v>
      </c>
      <c r="G764">
        <v>6</v>
      </c>
      <c r="H764">
        <v>-10.9</v>
      </c>
      <c r="I764">
        <v>0</v>
      </c>
      <c r="J764">
        <v>-0.18</v>
      </c>
      <c r="K764" s="245">
        <v>-43.17</v>
      </c>
      <c r="L764" s="245">
        <v>16.87</v>
      </c>
      <c r="M764" s="245">
        <v>304.8</v>
      </c>
      <c r="N764" s="257" t="s">
        <v>6830</v>
      </c>
    </row>
    <row r="765" spans="1:14">
      <c r="A765">
        <v>3501</v>
      </c>
      <c r="B765" t="s">
        <v>5422</v>
      </c>
      <c r="C765">
        <v>11.82</v>
      </c>
      <c r="D765">
        <v>-18</v>
      </c>
      <c r="E765">
        <v>-18</v>
      </c>
      <c r="F765">
        <v>-26</v>
      </c>
      <c r="G765">
        <v>-11</v>
      </c>
      <c r="H765">
        <v>7.95</v>
      </c>
      <c r="I765">
        <v>2</v>
      </c>
      <c r="J765">
        <v>2.92</v>
      </c>
      <c r="K765" s="245">
        <v>-19.47</v>
      </c>
      <c r="L765" s="245">
        <v>10.31</v>
      </c>
      <c r="M765" s="245">
        <v>65.7</v>
      </c>
      <c r="N765" s="257" t="s">
        <v>6830</v>
      </c>
    </row>
    <row r="766" spans="1:14">
      <c r="A766">
        <v>3504</v>
      </c>
      <c r="B766" t="s">
        <v>5423</v>
      </c>
      <c r="C766">
        <v>11.4</v>
      </c>
      <c r="D766">
        <v>111</v>
      </c>
      <c r="E766">
        <v>111</v>
      </c>
      <c r="F766">
        <v>-55</v>
      </c>
      <c r="G766">
        <v>-42</v>
      </c>
      <c r="H766">
        <v>0.6</v>
      </c>
      <c r="I766">
        <v>0</v>
      </c>
      <c r="J766">
        <v>0.23</v>
      </c>
      <c r="K766" s="245">
        <v>-60.13</v>
      </c>
      <c r="L766" s="245">
        <v>9.43</v>
      </c>
      <c r="M766" s="245">
        <v>630.1</v>
      </c>
      <c r="N766" s="257" t="s">
        <v>6830</v>
      </c>
    </row>
    <row r="767" spans="1:14">
      <c r="A767">
        <v>3508</v>
      </c>
      <c r="B767" t="s">
        <v>5424</v>
      </c>
      <c r="C767">
        <v>10.210000000000001</v>
      </c>
      <c r="D767">
        <v>43</v>
      </c>
      <c r="E767">
        <v>55</v>
      </c>
      <c r="F767">
        <v>-21</v>
      </c>
      <c r="G767">
        <v>11</v>
      </c>
      <c r="H767">
        <v>-11.85</v>
      </c>
      <c r="I767">
        <v>0</v>
      </c>
      <c r="J767">
        <v>-0.92</v>
      </c>
      <c r="K767" s="245">
        <v>-55.43</v>
      </c>
      <c r="L767" s="245">
        <v>13.15</v>
      </c>
      <c r="M767" s="245">
        <v>1874.1</v>
      </c>
      <c r="N767" s="257" t="s">
        <v>6830</v>
      </c>
    </row>
    <row r="768" spans="1:14">
      <c r="A768">
        <v>3511</v>
      </c>
      <c r="B768" t="s">
        <v>5425</v>
      </c>
      <c r="C768">
        <v>7.99</v>
      </c>
      <c r="D768">
        <v>65</v>
      </c>
      <c r="E768">
        <v>69</v>
      </c>
      <c r="F768">
        <v>-8</v>
      </c>
      <c r="G768">
        <v>17</v>
      </c>
      <c r="H768">
        <v>6.1</v>
      </c>
      <c r="I768">
        <v>1</v>
      </c>
      <c r="J768">
        <v>1.39</v>
      </c>
      <c r="K768" s="245">
        <v>-40.67</v>
      </c>
      <c r="L768" s="245">
        <v>30.99</v>
      </c>
      <c r="M768" s="245">
        <v>1559.95</v>
      </c>
      <c r="N768" s="257" t="s">
        <v>6830</v>
      </c>
    </row>
    <row r="769" spans="1:14">
      <c r="A769">
        <v>3512</v>
      </c>
      <c r="B769" t="s">
        <v>6142</v>
      </c>
      <c r="C769">
        <v>8.4</v>
      </c>
      <c r="D769">
        <v>56</v>
      </c>
      <c r="E769">
        <v>76</v>
      </c>
      <c r="F769">
        <v>-26</v>
      </c>
      <c r="G769">
        <v>46</v>
      </c>
      <c r="H769">
        <v>16.18</v>
      </c>
      <c r="I769">
        <v>3</v>
      </c>
      <c r="J769">
        <v>3.79</v>
      </c>
      <c r="K769" s="245">
        <v>-11.77</v>
      </c>
      <c r="L769" s="245">
        <v>23.43</v>
      </c>
      <c r="M769" s="245">
        <v>66.349999999999994</v>
      </c>
      <c r="N769" s="257" t="s">
        <v>6831</v>
      </c>
    </row>
    <row r="770" spans="1:14">
      <c r="A770">
        <v>3515</v>
      </c>
      <c r="B770" t="s">
        <v>5426</v>
      </c>
      <c r="C770">
        <v>12.29</v>
      </c>
      <c r="D770">
        <v>63</v>
      </c>
      <c r="E770">
        <v>64</v>
      </c>
      <c r="F770">
        <v>-24</v>
      </c>
      <c r="G770">
        <v>-39</v>
      </c>
      <c r="H770">
        <v>15.47</v>
      </c>
      <c r="I770">
        <v>13</v>
      </c>
      <c r="J770">
        <v>19.670000000000002</v>
      </c>
      <c r="K770" s="245">
        <v>-46.74</v>
      </c>
      <c r="L770" s="245">
        <v>8.9600000000000009</v>
      </c>
      <c r="M770" s="245">
        <v>761.7</v>
      </c>
      <c r="N770" s="257" t="s">
        <v>6830</v>
      </c>
    </row>
    <row r="771" spans="1:14">
      <c r="A771">
        <v>3516</v>
      </c>
      <c r="B771" t="s">
        <v>6228</v>
      </c>
      <c r="C771">
        <v>5.05</v>
      </c>
      <c r="D771">
        <v>143</v>
      </c>
      <c r="E771">
        <v>128</v>
      </c>
      <c r="F771">
        <v>-3</v>
      </c>
      <c r="G771">
        <v>9</v>
      </c>
      <c r="H771">
        <v>0.35</v>
      </c>
      <c r="I771">
        <v>0.2</v>
      </c>
      <c r="J771">
        <v>0.86</v>
      </c>
      <c r="K771" s="245">
        <v>-17.71</v>
      </c>
      <c r="L771" s="245">
        <v>37.97</v>
      </c>
      <c r="M771" s="245">
        <v>44.35</v>
      </c>
      <c r="N771" s="257" t="s">
        <v>6830</v>
      </c>
    </row>
    <row r="772" spans="1:14">
      <c r="A772">
        <v>3518</v>
      </c>
      <c r="B772" t="s">
        <v>5427</v>
      </c>
      <c r="C772">
        <v>8.07</v>
      </c>
      <c r="D772">
        <v>173</v>
      </c>
      <c r="E772">
        <v>488</v>
      </c>
      <c r="F772">
        <v>-39</v>
      </c>
      <c r="G772">
        <v>-48</v>
      </c>
      <c r="H772">
        <v>7.58</v>
      </c>
      <c r="I772">
        <v>1</v>
      </c>
      <c r="J772">
        <v>0.52</v>
      </c>
      <c r="K772" s="245">
        <v>-33.39</v>
      </c>
      <c r="L772" s="245">
        <v>17.05</v>
      </c>
      <c r="M772" s="245">
        <v>108.5</v>
      </c>
      <c r="N772" s="257" t="s">
        <v>6830</v>
      </c>
    </row>
    <row r="773" spans="1:14">
      <c r="A773">
        <v>3520</v>
      </c>
      <c r="B773" t="s">
        <v>6331</v>
      </c>
      <c r="C773">
        <v>6.88</v>
      </c>
      <c r="D773">
        <v>-27</v>
      </c>
      <c r="E773">
        <v>-15</v>
      </c>
      <c r="F773">
        <v>-31</v>
      </c>
      <c r="G773">
        <v>17</v>
      </c>
      <c r="H773">
        <v>2.0699999999999998</v>
      </c>
      <c r="I773">
        <v>0</v>
      </c>
      <c r="J773">
        <v>0.13</v>
      </c>
      <c r="K773" s="245">
        <v>-25.98</v>
      </c>
      <c r="L773" s="245">
        <v>17.13</v>
      </c>
      <c r="M773" s="245">
        <v>163.25</v>
      </c>
      <c r="N773" s="257" t="s">
        <v>6830</v>
      </c>
    </row>
    <row r="774" spans="1:14">
      <c r="A774">
        <v>3521</v>
      </c>
      <c r="B774" t="s">
        <v>5428</v>
      </c>
      <c r="C774">
        <v>4.72</v>
      </c>
      <c r="D774">
        <v>-93</v>
      </c>
      <c r="E774">
        <v>-11</v>
      </c>
      <c r="F774">
        <v>10</v>
      </c>
      <c r="G774">
        <v>-22</v>
      </c>
      <c r="H774">
        <v>-14.21</v>
      </c>
      <c r="I774">
        <v>0</v>
      </c>
      <c r="J774">
        <v>-1.68</v>
      </c>
      <c r="K774" s="245">
        <v>-10.54</v>
      </c>
      <c r="L774" s="245">
        <v>54.27</v>
      </c>
      <c r="M774" s="245">
        <v>30.55</v>
      </c>
      <c r="N774" s="257" t="s">
        <v>6832</v>
      </c>
    </row>
    <row r="775" spans="1:14">
      <c r="A775">
        <v>3522</v>
      </c>
      <c r="B775" t="s">
        <v>6498</v>
      </c>
      <c r="C775">
        <v>7.1</v>
      </c>
      <c r="D775">
        <v>-7</v>
      </c>
      <c r="E775">
        <v>-23</v>
      </c>
      <c r="F775">
        <v>-48</v>
      </c>
      <c r="G775">
        <v>-47</v>
      </c>
      <c r="H775">
        <v>-52.84</v>
      </c>
      <c r="I775">
        <v>0</v>
      </c>
      <c r="J775">
        <v>-6.64</v>
      </c>
      <c r="K775" s="245">
        <v>-25.17</v>
      </c>
      <c r="L775" s="245">
        <v>59.64</v>
      </c>
      <c r="M775" s="245">
        <v>301.5</v>
      </c>
      <c r="N775" s="257" t="s">
        <v>6831</v>
      </c>
    </row>
    <row r="776" spans="1:14">
      <c r="A776">
        <v>3523</v>
      </c>
      <c r="B776" t="s">
        <v>6499</v>
      </c>
      <c r="C776">
        <v>6.18</v>
      </c>
      <c r="D776">
        <v>-38</v>
      </c>
      <c r="E776">
        <v>-44</v>
      </c>
      <c r="F776">
        <v>-49</v>
      </c>
      <c r="G776">
        <v>-64</v>
      </c>
      <c r="H776">
        <v>-40.11</v>
      </c>
      <c r="I776">
        <v>0</v>
      </c>
      <c r="J776">
        <v>-1.95</v>
      </c>
      <c r="K776" s="245">
        <v>-21.93</v>
      </c>
      <c r="L776" s="245">
        <v>54.55</v>
      </c>
      <c r="M776" s="245">
        <v>28.2</v>
      </c>
      <c r="N776" s="257" t="s">
        <v>6831</v>
      </c>
    </row>
    <row r="777" spans="1:14">
      <c r="A777">
        <v>3526</v>
      </c>
      <c r="B777" t="s">
        <v>5429</v>
      </c>
      <c r="C777">
        <v>5.89</v>
      </c>
      <c r="D777">
        <v>23</v>
      </c>
      <c r="E777">
        <v>17</v>
      </c>
      <c r="F777">
        <v>-48</v>
      </c>
      <c r="G777">
        <v>-56</v>
      </c>
      <c r="H777">
        <v>27.21</v>
      </c>
      <c r="I777">
        <v>11.16</v>
      </c>
      <c r="J777">
        <v>11.19</v>
      </c>
      <c r="K777" s="245">
        <v>-26.65</v>
      </c>
      <c r="L777" s="245">
        <v>24.51</v>
      </c>
      <c r="M777" s="245">
        <v>484.8</v>
      </c>
      <c r="N777" s="257" t="s">
        <v>6830</v>
      </c>
    </row>
    <row r="778" spans="1:14">
      <c r="A778">
        <v>3527</v>
      </c>
      <c r="B778" t="s">
        <v>5430</v>
      </c>
      <c r="C778">
        <v>4.4400000000000004</v>
      </c>
      <c r="D778">
        <v>730</v>
      </c>
      <c r="E778">
        <v>2520</v>
      </c>
      <c r="F778">
        <v>16</v>
      </c>
      <c r="G778">
        <v>29</v>
      </c>
      <c r="H778">
        <v>18.47</v>
      </c>
      <c r="I778">
        <v>8</v>
      </c>
      <c r="J778">
        <v>12.69</v>
      </c>
      <c r="K778" s="245">
        <v>-42.29</v>
      </c>
      <c r="L778" s="245">
        <v>59.04</v>
      </c>
      <c r="M778" s="245">
        <v>809.2</v>
      </c>
      <c r="N778" s="257" t="s">
        <v>6830</v>
      </c>
    </row>
    <row r="779" spans="1:14">
      <c r="A779">
        <v>3528</v>
      </c>
      <c r="B779" t="s">
        <v>5431</v>
      </c>
      <c r="C779">
        <v>6.61</v>
      </c>
      <c r="D779">
        <v>43</v>
      </c>
      <c r="E779">
        <v>63</v>
      </c>
      <c r="F779">
        <v>6</v>
      </c>
      <c r="G779">
        <v>8</v>
      </c>
      <c r="H779">
        <v>5.45</v>
      </c>
      <c r="I779">
        <v>3.8</v>
      </c>
      <c r="J779">
        <v>4.57</v>
      </c>
      <c r="K779" s="245">
        <v>-12.63</v>
      </c>
      <c r="L779" s="245">
        <v>50.99</v>
      </c>
      <c r="M779" s="245">
        <v>17.850000000000001</v>
      </c>
      <c r="N779" s="257" t="s">
        <v>6832</v>
      </c>
    </row>
    <row r="780" spans="1:14">
      <c r="A780">
        <v>3529</v>
      </c>
      <c r="B780" t="s">
        <v>5432</v>
      </c>
      <c r="C780">
        <v>7.61</v>
      </c>
      <c r="D780">
        <v>54</v>
      </c>
      <c r="E780">
        <v>54</v>
      </c>
      <c r="F780">
        <v>729</v>
      </c>
      <c r="G780">
        <v>45</v>
      </c>
      <c r="H780">
        <v>53.68</v>
      </c>
      <c r="I780">
        <v>14</v>
      </c>
      <c r="J780">
        <v>14.78</v>
      </c>
      <c r="K780" s="245">
        <v>-47.82</v>
      </c>
      <c r="L780" s="245">
        <v>28.8</v>
      </c>
      <c r="M780" s="245">
        <v>1340.7</v>
      </c>
      <c r="N780" s="257" t="s">
        <v>6830</v>
      </c>
    </row>
    <row r="781" spans="1:14">
      <c r="A781">
        <v>3530</v>
      </c>
      <c r="B781" t="s">
        <v>5433</v>
      </c>
      <c r="C781">
        <v>7.81</v>
      </c>
      <c r="D781">
        <v>163</v>
      </c>
      <c r="E781">
        <v>174</v>
      </c>
      <c r="F781">
        <v>-11</v>
      </c>
      <c r="G781">
        <v>-18</v>
      </c>
      <c r="H781">
        <v>22.12</v>
      </c>
      <c r="I781">
        <v>3.5</v>
      </c>
      <c r="J781">
        <v>9.61</v>
      </c>
      <c r="K781" s="245">
        <v>-49.69</v>
      </c>
      <c r="L781" s="245">
        <v>75.72</v>
      </c>
      <c r="M781" s="245">
        <v>817.4</v>
      </c>
      <c r="N781" s="257" t="s">
        <v>6830</v>
      </c>
    </row>
    <row r="782" spans="1:14">
      <c r="A782">
        <v>3531</v>
      </c>
      <c r="B782" t="s">
        <v>6345</v>
      </c>
      <c r="C782">
        <v>6.11</v>
      </c>
      <c r="D782">
        <v>83</v>
      </c>
      <c r="E782">
        <v>9</v>
      </c>
      <c r="F782">
        <v>-2</v>
      </c>
      <c r="G782">
        <v>8</v>
      </c>
      <c r="H782">
        <v>4.17</v>
      </c>
      <c r="I782">
        <v>1.2</v>
      </c>
      <c r="J782">
        <v>1.38</v>
      </c>
      <c r="K782" s="245">
        <v>-6.78</v>
      </c>
      <c r="L782" s="245">
        <v>63.4</v>
      </c>
      <c r="M782" s="245">
        <v>4</v>
      </c>
      <c r="N782" s="257" t="s">
        <v>6831</v>
      </c>
    </row>
    <row r="783" spans="1:14">
      <c r="A783">
        <v>3532</v>
      </c>
      <c r="B783" t="s">
        <v>5434</v>
      </c>
      <c r="C783">
        <v>38.78</v>
      </c>
      <c r="D783">
        <v>7</v>
      </c>
      <c r="E783">
        <v>-1</v>
      </c>
      <c r="F783">
        <v>2</v>
      </c>
      <c r="G783">
        <v>39</v>
      </c>
      <c r="H783">
        <v>14.93</v>
      </c>
      <c r="I783">
        <v>2.2200000000000002</v>
      </c>
      <c r="J783">
        <v>3.64</v>
      </c>
      <c r="K783" s="245">
        <v>-38.299999999999997</v>
      </c>
      <c r="L783" s="245">
        <v>19.23</v>
      </c>
      <c r="M783" s="245">
        <v>10405.9</v>
      </c>
      <c r="N783" s="257" t="s">
        <v>6831</v>
      </c>
    </row>
    <row r="784" spans="1:14">
      <c r="A784">
        <v>3533</v>
      </c>
      <c r="B784" t="s">
        <v>5435</v>
      </c>
      <c r="C784">
        <v>10.61</v>
      </c>
      <c r="D784">
        <v>24</v>
      </c>
      <c r="E784">
        <v>17</v>
      </c>
      <c r="F784">
        <v>-9</v>
      </c>
      <c r="G784">
        <v>23</v>
      </c>
      <c r="H784">
        <v>20.38</v>
      </c>
      <c r="I784">
        <v>16</v>
      </c>
      <c r="J784">
        <v>33.32</v>
      </c>
      <c r="K784" s="245">
        <v>-2.04</v>
      </c>
      <c r="L784" s="245">
        <v>83.51</v>
      </c>
      <c r="M784" s="245">
        <v>765.15</v>
      </c>
      <c r="N784" s="257" t="s">
        <v>6832</v>
      </c>
    </row>
    <row r="785" spans="1:14">
      <c r="A785">
        <v>3535</v>
      </c>
      <c r="B785" t="s">
        <v>5436</v>
      </c>
      <c r="C785">
        <v>7.9</v>
      </c>
      <c r="D785">
        <v>195</v>
      </c>
      <c r="E785">
        <v>455</v>
      </c>
      <c r="F785">
        <v>-16</v>
      </c>
      <c r="G785">
        <v>132</v>
      </c>
      <c r="H785">
        <v>9.0299999999999994</v>
      </c>
      <c r="I785">
        <v>0.5</v>
      </c>
      <c r="J785">
        <v>1.22</v>
      </c>
      <c r="K785" s="245">
        <v>0</v>
      </c>
      <c r="L785" s="245">
        <v>68.430000000000007</v>
      </c>
      <c r="M785" s="245">
        <v>5098.3999999999996</v>
      </c>
      <c r="N785" s="257" t="s">
        <v>6832</v>
      </c>
    </row>
    <row r="786" spans="1:14">
      <c r="A786">
        <v>3536</v>
      </c>
      <c r="B786" t="s">
        <v>6500</v>
      </c>
      <c r="C786">
        <v>10.68</v>
      </c>
      <c r="D786">
        <v>21</v>
      </c>
      <c r="E786">
        <v>10</v>
      </c>
      <c r="F786">
        <v>-18</v>
      </c>
      <c r="G786">
        <v>-30</v>
      </c>
      <c r="H786">
        <v>-16.04</v>
      </c>
      <c r="I786">
        <v>0</v>
      </c>
      <c r="J786">
        <v>-0.88</v>
      </c>
      <c r="K786" s="245">
        <v>-42.36</v>
      </c>
      <c r="L786" s="245">
        <v>22.39</v>
      </c>
      <c r="M786" s="245">
        <v>37.450000000000003</v>
      </c>
      <c r="N786" s="257" t="s">
        <v>6830</v>
      </c>
    </row>
    <row r="787" spans="1:14">
      <c r="A787">
        <v>3537</v>
      </c>
      <c r="B787" t="s">
        <v>5437</v>
      </c>
      <c r="C787">
        <v>5.35</v>
      </c>
      <c r="D787">
        <v>41</v>
      </c>
      <c r="E787">
        <v>26</v>
      </c>
      <c r="F787">
        <v>-52</v>
      </c>
      <c r="G787">
        <v>-49</v>
      </c>
      <c r="H787">
        <v>9.3000000000000007</v>
      </c>
      <c r="I787">
        <v>3.5</v>
      </c>
      <c r="J787">
        <v>3.97</v>
      </c>
      <c r="K787" s="245">
        <v>-11.43</v>
      </c>
      <c r="L787" s="245">
        <v>41.01</v>
      </c>
      <c r="M787" s="245">
        <v>320.14999999999998</v>
      </c>
      <c r="N787" s="257" t="s">
        <v>6831</v>
      </c>
    </row>
    <row r="788" spans="1:14">
      <c r="A788">
        <v>3540</v>
      </c>
      <c r="B788" t="s">
        <v>5438</v>
      </c>
      <c r="C788">
        <v>7.3</v>
      </c>
      <c r="D788">
        <v>-56</v>
      </c>
      <c r="E788">
        <v>-46</v>
      </c>
      <c r="F788">
        <v>-7</v>
      </c>
      <c r="G788">
        <v>-51</v>
      </c>
      <c r="H788">
        <v>7.89</v>
      </c>
      <c r="I788">
        <v>1.6</v>
      </c>
      <c r="J788">
        <v>3.06</v>
      </c>
      <c r="K788" s="245">
        <v>-62.82</v>
      </c>
      <c r="L788" s="245">
        <v>6.99</v>
      </c>
      <c r="M788" s="245">
        <v>138.5</v>
      </c>
      <c r="N788" s="257" t="s">
        <v>6830</v>
      </c>
    </row>
    <row r="789" spans="1:14">
      <c r="A789">
        <v>3541</v>
      </c>
      <c r="B789" t="s">
        <v>5439</v>
      </c>
      <c r="C789">
        <v>5.67</v>
      </c>
      <c r="D789">
        <v>57</v>
      </c>
      <c r="E789">
        <v>35</v>
      </c>
      <c r="F789">
        <v>-9</v>
      </c>
      <c r="G789">
        <v>36</v>
      </c>
      <c r="H789">
        <v>14.96</v>
      </c>
      <c r="I789">
        <v>3</v>
      </c>
      <c r="J789">
        <v>3.38</v>
      </c>
      <c r="K789" s="245">
        <v>-2.61</v>
      </c>
      <c r="L789" s="245">
        <v>78.72</v>
      </c>
      <c r="M789" s="245">
        <v>229.8</v>
      </c>
      <c r="N789" s="257" t="s">
        <v>6832</v>
      </c>
    </row>
    <row r="790" spans="1:14">
      <c r="A790">
        <v>3543</v>
      </c>
      <c r="B790" t="s">
        <v>5440</v>
      </c>
      <c r="C790">
        <v>8.92</v>
      </c>
      <c r="D790">
        <v>145</v>
      </c>
      <c r="E790">
        <v>-92</v>
      </c>
      <c r="F790">
        <v>-20</v>
      </c>
      <c r="G790">
        <v>-12</v>
      </c>
      <c r="H790">
        <v>7.0000000000000007E-2</v>
      </c>
      <c r="I790">
        <v>1.2</v>
      </c>
      <c r="J790">
        <v>1.99</v>
      </c>
      <c r="K790" s="245">
        <v>-32.68</v>
      </c>
      <c r="L790" s="245">
        <v>21.17</v>
      </c>
      <c r="M790" s="245">
        <v>28.8</v>
      </c>
      <c r="N790" s="257" t="s">
        <v>6830</v>
      </c>
    </row>
    <row r="791" spans="1:14">
      <c r="A791">
        <v>3545</v>
      </c>
      <c r="B791" t="s">
        <v>5441</v>
      </c>
      <c r="C791">
        <v>21.65</v>
      </c>
      <c r="D791">
        <v>519</v>
      </c>
      <c r="E791">
        <v>591</v>
      </c>
      <c r="F791">
        <v>-10</v>
      </c>
      <c r="G791">
        <v>-40</v>
      </c>
      <c r="H791">
        <v>32.42</v>
      </c>
      <c r="I791">
        <v>15.71</v>
      </c>
      <c r="J791">
        <v>30.23</v>
      </c>
      <c r="K791" s="245">
        <v>-62.08</v>
      </c>
      <c r="L791" s="245">
        <v>10.71</v>
      </c>
      <c r="M791" s="245">
        <v>4300.05</v>
      </c>
      <c r="N791" s="257" t="s">
        <v>6830</v>
      </c>
    </row>
    <row r="792" spans="1:14">
      <c r="A792">
        <v>3546</v>
      </c>
      <c r="B792" t="s">
        <v>5442</v>
      </c>
      <c r="C792">
        <v>4.8099999999999996</v>
      </c>
      <c r="D792">
        <v>2</v>
      </c>
      <c r="E792">
        <v>3</v>
      </c>
      <c r="F792">
        <v>12</v>
      </c>
      <c r="G792">
        <v>25</v>
      </c>
      <c r="H792">
        <v>20.38</v>
      </c>
      <c r="I792">
        <v>5</v>
      </c>
      <c r="J792">
        <v>6.01</v>
      </c>
      <c r="K792" s="245">
        <v>-24.5</v>
      </c>
      <c r="L792" s="245">
        <v>24.13</v>
      </c>
      <c r="M792" s="245">
        <v>136.85</v>
      </c>
      <c r="N792" s="257" t="s">
        <v>6830</v>
      </c>
    </row>
    <row r="793" spans="1:14">
      <c r="A793">
        <v>3548</v>
      </c>
      <c r="B793" t="s">
        <v>5443</v>
      </c>
      <c r="C793">
        <v>6.01</v>
      </c>
      <c r="D793">
        <v>-18</v>
      </c>
      <c r="E793">
        <v>-25</v>
      </c>
      <c r="F793">
        <v>-43</v>
      </c>
      <c r="G793">
        <v>-29</v>
      </c>
      <c r="H793">
        <v>3.09</v>
      </c>
      <c r="I793">
        <v>2</v>
      </c>
      <c r="J793">
        <v>4.12</v>
      </c>
      <c r="K793" s="245">
        <v>-22.28</v>
      </c>
      <c r="L793" s="245">
        <v>24.72</v>
      </c>
      <c r="M793" s="245">
        <v>338</v>
      </c>
      <c r="N793" s="257" t="s">
        <v>6831</v>
      </c>
    </row>
    <row r="794" spans="1:14">
      <c r="A794">
        <v>3550</v>
      </c>
      <c r="B794" t="s">
        <v>5444</v>
      </c>
      <c r="C794">
        <v>8.5</v>
      </c>
      <c r="D794">
        <v>0</v>
      </c>
      <c r="E794">
        <v>4</v>
      </c>
      <c r="F794">
        <v>-17</v>
      </c>
      <c r="G794">
        <v>-19</v>
      </c>
      <c r="H794">
        <v>2.63</v>
      </c>
      <c r="I794">
        <v>0.6</v>
      </c>
      <c r="J794">
        <v>0.96</v>
      </c>
      <c r="K794" s="245">
        <v>-41.33</v>
      </c>
      <c r="L794" s="245">
        <v>9.56</v>
      </c>
      <c r="M794" s="245">
        <v>146.1</v>
      </c>
      <c r="N794" s="257" t="s">
        <v>6830</v>
      </c>
    </row>
    <row r="795" spans="1:14">
      <c r="A795">
        <v>3551</v>
      </c>
      <c r="B795" t="s">
        <v>5445</v>
      </c>
      <c r="C795">
        <v>5.67</v>
      </c>
      <c r="D795">
        <v>61</v>
      </c>
      <c r="E795">
        <v>24</v>
      </c>
      <c r="F795">
        <v>4</v>
      </c>
      <c r="G795">
        <v>16</v>
      </c>
      <c r="H795">
        <v>19.510000000000002</v>
      </c>
      <c r="I795">
        <v>3.5</v>
      </c>
      <c r="J795">
        <v>7.16</v>
      </c>
      <c r="K795" s="245">
        <v>-19.850000000000001</v>
      </c>
      <c r="L795" s="245">
        <v>19.510000000000002</v>
      </c>
      <c r="M795" s="245">
        <v>143.80000000000001</v>
      </c>
      <c r="N795" s="257" t="s">
        <v>6831</v>
      </c>
    </row>
    <row r="796" spans="1:14">
      <c r="A796">
        <v>3552</v>
      </c>
      <c r="B796" t="s">
        <v>5446</v>
      </c>
      <c r="C796">
        <v>8.5500000000000007</v>
      </c>
      <c r="D796">
        <v>66</v>
      </c>
      <c r="E796">
        <v>232</v>
      </c>
      <c r="F796">
        <v>-20</v>
      </c>
      <c r="G796">
        <v>-3</v>
      </c>
      <c r="H796">
        <v>5.97</v>
      </c>
      <c r="I796">
        <v>2.5</v>
      </c>
      <c r="J796">
        <v>5.44</v>
      </c>
      <c r="K796" s="245">
        <v>-46.64</v>
      </c>
      <c r="L796" s="245">
        <v>52.85</v>
      </c>
      <c r="M796" s="245">
        <v>3388.7</v>
      </c>
      <c r="N796" s="257" t="s">
        <v>6830</v>
      </c>
    </row>
    <row r="797" spans="1:14">
      <c r="A797">
        <v>3555</v>
      </c>
      <c r="B797" t="s">
        <v>6181</v>
      </c>
      <c r="C797">
        <v>2.57</v>
      </c>
      <c r="D797">
        <v>137</v>
      </c>
      <c r="E797">
        <v>-20</v>
      </c>
      <c r="F797">
        <v>-65</v>
      </c>
      <c r="G797">
        <v>104</v>
      </c>
      <c r="H797">
        <v>-200.52</v>
      </c>
      <c r="I797">
        <v>0.2</v>
      </c>
      <c r="J797">
        <v>0.93</v>
      </c>
      <c r="K797" s="245">
        <v>-35.409999999999997</v>
      </c>
      <c r="L797" s="245">
        <v>16.440000000000001</v>
      </c>
      <c r="M797" s="245">
        <v>8.4</v>
      </c>
      <c r="N797" s="257" t="s">
        <v>6830</v>
      </c>
    </row>
    <row r="798" spans="1:14">
      <c r="A798">
        <v>3556</v>
      </c>
      <c r="B798" t="s">
        <v>5447</v>
      </c>
      <c r="C798">
        <v>6.12</v>
      </c>
      <c r="D798">
        <v>60</v>
      </c>
      <c r="E798">
        <v>61</v>
      </c>
      <c r="F798">
        <v>-19</v>
      </c>
      <c r="G798">
        <v>8</v>
      </c>
      <c r="H798">
        <v>26.95</v>
      </c>
      <c r="I798">
        <v>5.4</v>
      </c>
      <c r="J798">
        <v>6.08</v>
      </c>
      <c r="K798" s="245">
        <v>-36.08</v>
      </c>
      <c r="L798" s="245">
        <v>36.29</v>
      </c>
      <c r="M798" s="245">
        <v>368.25</v>
      </c>
      <c r="N798" s="257" t="s">
        <v>6830</v>
      </c>
    </row>
    <row r="799" spans="1:14">
      <c r="A799">
        <v>3557</v>
      </c>
      <c r="B799" t="s">
        <v>5448</v>
      </c>
      <c r="C799">
        <v>8.0299999999999994</v>
      </c>
      <c r="D799">
        <v>-19</v>
      </c>
      <c r="E799">
        <v>-19</v>
      </c>
      <c r="F799">
        <v>-6</v>
      </c>
      <c r="G799">
        <v>17</v>
      </c>
      <c r="H799">
        <v>11.85</v>
      </c>
      <c r="I799">
        <v>6</v>
      </c>
      <c r="J799">
        <v>7.74</v>
      </c>
      <c r="K799" s="245">
        <v>-17.04</v>
      </c>
      <c r="L799" s="245">
        <v>33.020000000000003</v>
      </c>
      <c r="M799" s="245">
        <v>71.650000000000006</v>
      </c>
      <c r="N799" s="257" t="s">
        <v>6830</v>
      </c>
    </row>
    <row r="800" spans="1:14">
      <c r="A800">
        <v>3558</v>
      </c>
      <c r="B800" t="s">
        <v>5449</v>
      </c>
      <c r="C800">
        <v>4.9000000000000004</v>
      </c>
      <c r="D800">
        <v>18</v>
      </c>
      <c r="E800">
        <v>-5</v>
      </c>
      <c r="F800">
        <v>-24</v>
      </c>
      <c r="G800">
        <v>25</v>
      </c>
      <c r="H800">
        <v>5.71</v>
      </c>
      <c r="I800">
        <v>3</v>
      </c>
      <c r="J800">
        <v>9.16</v>
      </c>
      <c r="K800" s="245">
        <v>-17.39</v>
      </c>
      <c r="L800" s="245">
        <v>68.510000000000005</v>
      </c>
      <c r="M800" s="245">
        <v>10396.200000000001</v>
      </c>
      <c r="N800" s="257" t="s">
        <v>6832</v>
      </c>
    </row>
    <row r="801" spans="1:14">
      <c r="A801">
        <v>3563</v>
      </c>
      <c r="B801" t="s">
        <v>5450</v>
      </c>
      <c r="C801">
        <v>4.47</v>
      </c>
      <c r="D801">
        <v>26</v>
      </c>
      <c r="E801">
        <v>22</v>
      </c>
      <c r="F801">
        <v>-6</v>
      </c>
      <c r="G801">
        <v>-17</v>
      </c>
      <c r="H801">
        <v>38.86</v>
      </c>
      <c r="I801">
        <v>12</v>
      </c>
      <c r="J801">
        <v>18.510000000000002</v>
      </c>
      <c r="K801" s="245">
        <v>-38.74</v>
      </c>
      <c r="L801" s="245">
        <v>11.51</v>
      </c>
      <c r="M801" s="245">
        <v>98.35</v>
      </c>
      <c r="N801" s="257" t="s">
        <v>6830</v>
      </c>
    </row>
    <row r="802" spans="1:14">
      <c r="A802">
        <v>3564</v>
      </c>
      <c r="B802" t="s">
        <v>6501</v>
      </c>
      <c r="C802">
        <v>5.91</v>
      </c>
      <c r="D802">
        <v>-16</v>
      </c>
      <c r="E802">
        <v>-2</v>
      </c>
      <c r="F802">
        <v>32</v>
      </c>
      <c r="G802">
        <v>109</v>
      </c>
      <c r="H802">
        <v>3.94</v>
      </c>
      <c r="I802">
        <v>0.6</v>
      </c>
      <c r="J802">
        <v>0.75</v>
      </c>
      <c r="K802" s="245">
        <v>-24.65</v>
      </c>
      <c r="L802" s="245">
        <v>49.29</v>
      </c>
      <c r="M802" s="245">
        <v>98.35</v>
      </c>
      <c r="N802" s="257" t="s">
        <v>6830</v>
      </c>
    </row>
    <row r="803" spans="1:14">
      <c r="A803">
        <v>3567</v>
      </c>
      <c r="B803" t="s">
        <v>5451</v>
      </c>
      <c r="C803">
        <v>3.41</v>
      </c>
      <c r="D803">
        <v>31</v>
      </c>
      <c r="E803">
        <v>22</v>
      </c>
      <c r="F803">
        <v>-2</v>
      </c>
      <c r="G803">
        <v>3</v>
      </c>
      <c r="H803">
        <v>28.01</v>
      </c>
      <c r="I803">
        <v>2.6</v>
      </c>
      <c r="J803">
        <v>3.09</v>
      </c>
      <c r="K803" s="245">
        <v>-17.829999999999998</v>
      </c>
      <c r="L803" s="245">
        <v>24.78</v>
      </c>
      <c r="M803" s="245">
        <v>84.25</v>
      </c>
      <c r="N803" s="257" t="s">
        <v>6830</v>
      </c>
    </row>
    <row r="804" spans="1:14">
      <c r="A804">
        <v>3570</v>
      </c>
      <c r="B804" t="s">
        <v>6502</v>
      </c>
      <c r="C804">
        <v>1.7</v>
      </c>
      <c r="D804">
        <v>6</v>
      </c>
      <c r="E804">
        <v>9</v>
      </c>
      <c r="F804">
        <v>-20</v>
      </c>
      <c r="G804">
        <v>4</v>
      </c>
      <c r="H804">
        <v>13.63</v>
      </c>
      <c r="I804">
        <v>6</v>
      </c>
      <c r="J804">
        <v>8.5</v>
      </c>
      <c r="K804" s="245">
        <v>-3.19</v>
      </c>
      <c r="L804" s="245">
        <v>70.22</v>
      </c>
      <c r="M804" s="245">
        <v>34.15</v>
      </c>
      <c r="N804" s="257" t="s">
        <v>6832</v>
      </c>
    </row>
    <row r="805" spans="1:14">
      <c r="A805">
        <v>3576</v>
      </c>
      <c r="B805" t="s">
        <v>6503</v>
      </c>
      <c r="C805">
        <v>162</v>
      </c>
      <c r="D805">
        <v>78</v>
      </c>
      <c r="E805">
        <v>82</v>
      </c>
      <c r="F805">
        <v>-35</v>
      </c>
      <c r="G805">
        <v>5</v>
      </c>
      <c r="H805">
        <v>-5.74</v>
      </c>
      <c r="I805">
        <v>0</v>
      </c>
      <c r="J805">
        <v>-0.84</v>
      </c>
      <c r="K805" s="245">
        <v>-22.67</v>
      </c>
      <c r="L805" s="245">
        <v>30.78</v>
      </c>
      <c r="M805" s="245">
        <v>11257.5</v>
      </c>
      <c r="N805" s="257" t="s">
        <v>6831</v>
      </c>
    </row>
    <row r="806" spans="1:14">
      <c r="A806">
        <v>3577</v>
      </c>
      <c r="B806" t="s">
        <v>5452</v>
      </c>
      <c r="C806">
        <v>5.28</v>
      </c>
      <c r="D806">
        <v>326</v>
      </c>
      <c r="E806">
        <v>338</v>
      </c>
      <c r="F806">
        <v>24</v>
      </c>
      <c r="G806">
        <v>17</v>
      </c>
      <c r="H806">
        <v>19.850000000000001</v>
      </c>
      <c r="I806">
        <v>2.5</v>
      </c>
      <c r="J806">
        <v>3.23</v>
      </c>
      <c r="K806" s="245">
        <v>-19.14</v>
      </c>
      <c r="L806" s="245">
        <v>31.52</v>
      </c>
      <c r="M806" s="245">
        <v>112.1</v>
      </c>
      <c r="N806" s="257" t="s">
        <v>6831</v>
      </c>
    </row>
    <row r="807" spans="1:14">
      <c r="A807">
        <v>3580</v>
      </c>
      <c r="B807" t="s">
        <v>5453</v>
      </c>
      <c r="C807">
        <v>3.94</v>
      </c>
      <c r="D807">
        <v>64</v>
      </c>
      <c r="E807">
        <v>168</v>
      </c>
      <c r="F807">
        <v>-20</v>
      </c>
      <c r="G807">
        <v>-16</v>
      </c>
      <c r="H807">
        <v>17.600000000000001</v>
      </c>
      <c r="I807">
        <v>2.1</v>
      </c>
      <c r="J807">
        <v>3.02</v>
      </c>
      <c r="K807" s="245">
        <v>-12.87</v>
      </c>
      <c r="L807" s="245">
        <v>38.14</v>
      </c>
      <c r="M807" s="245">
        <v>253.65</v>
      </c>
      <c r="N807" s="257" t="s">
        <v>6832</v>
      </c>
    </row>
    <row r="808" spans="1:14">
      <c r="A808">
        <v>3581</v>
      </c>
      <c r="B808" t="s">
        <v>5454</v>
      </c>
      <c r="C808">
        <v>5.0999999999999996</v>
      </c>
      <c r="D808">
        <v>9</v>
      </c>
      <c r="E808">
        <v>19</v>
      </c>
      <c r="F808">
        <v>0</v>
      </c>
      <c r="G808">
        <v>-1</v>
      </c>
      <c r="H808">
        <v>11.37</v>
      </c>
      <c r="I808">
        <v>1</v>
      </c>
      <c r="J808">
        <v>2.11</v>
      </c>
      <c r="K808" s="245">
        <v>-28.92</v>
      </c>
      <c r="L808" s="245">
        <v>16.09</v>
      </c>
      <c r="M808" s="245">
        <v>28.95</v>
      </c>
      <c r="N808" s="257" t="s">
        <v>6830</v>
      </c>
    </row>
    <row r="809" spans="1:14">
      <c r="A809">
        <v>3583</v>
      </c>
      <c r="B809" t="s">
        <v>5455</v>
      </c>
      <c r="C809">
        <v>8.11</v>
      </c>
      <c r="D809">
        <v>37</v>
      </c>
      <c r="E809">
        <v>19</v>
      </c>
      <c r="F809">
        <v>19</v>
      </c>
      <c r="G809">
        <v>14</v>
      </c>
      <c r="H809">
        <v>11.85</v>
      </c>
      <c r="I809">
        <v>2.5</v>
      </c>
      <c r="J809">
        <v>5.23</v>
      </c>
      <c r="K809" s="245">
        <v>-28.61</v>
      </c>
      <c r="L809" s="245">
        <v>34.72</v>
      </c>
      <c r="M809" s="245">
        <v>595.54999999999995</v>
      </c>
      <c r="N809" s="257" t="s">
        <v>6831</v>
      </c>
    </row>
    <row r="810" spans="1:14">
      <c r="A810">
        <v>3587</v>
      </c>
      <c r="B810" t="s">
        <v>5456</v>
      </c>
      <c r="C810">
        <v>6.23</v>
      </c>
      <c r="D810">
        <v>52</v>
      </c>
      <c r="E810">
        <v>51</v>
      </c>
      <c r="F810">
        <v>-11</v>
      </c>
      <c r="G810">
        <v>13</v>
      </c>
      <c r="H810">
        <v>19.93</v>
      </c>
      <c r="I810">
        <v>5</v>
      </c>
      <c r="J810">
        <v>9.48</v>
      </c>
      <c r="K810" s="245">
        <v>-30.65</v>
      </c>
      <c r="L810" s="245">
        <v>11.22</v>
      </c>
      <c r="M810" s="245">
        <v>261.10000000000002</v>
      </c>
      <c r="N810" s="257" t="s">
        <v>6830</v>
      </c>
    </row>
    <row r="811" spans="1:14">
      <c r="A811">
        <v>3588</v>
      </c>
      <c r="B811" t="s">
        <v>5457</v>
      </c>
      <c r="C811">
        <v>5.28</v>
      </c>
      <c r="D811">
        <v>443</v>
      </c>
      <c r="E811">
        <v>369</v>
      </c>
      <c r="F811">
        <v>-5</v>
      </c>
      <c r="G811">
        <v>4</v>
      </c>
      <c r="H811">
        <v>17.22</v>
      </c>
      <c r="I811">
        <v>4</v>
      </c>
      <c r="J811">
        <v>6.37</v>
      </c>
      <c r="K811" s="245">
        <v>-40.11</v>
      </c>
      <c r="L811" s="245">
        <v>18.350000000000001</v>
      </c>
      <c r="M811" s="245">
        <v>991.2</v>
      </c>
      <c r="N811" s="257" t="s">
        <v>6830</v>
      </c>
    </row>
    <row r="812" spans="1:14">
      <c r="A812">
        <v>3591</v>
      </c>
      <c r="B812" t="s">
        <v>5458</v>
      </c>
      <c r="C812">
        <v>12.88</v>
      </c>
      <c r="D812">
        <v>289</v>
      </c>
      <c r="E812">
        <v>3804</v>
      </c>
      <c r="F812">
        <v>-5</v>
      </c>
      <c r="G812">
        <v>-24</v>
      </c>
      <c r="H812">
        <v>7.13</v>
      </c>
      <c r="I812">
        <v>0.79</v>
      </c>
      <c r="J812">
        <v>1</v>
      </c>
      <c r="K812" s="245">
        <v>-49.21</v>
      </c>
      <c r="L812" s="245">
        <v>12.26</v>
      </c>
      <c r="M812" s="245">
        <v>243</v>
      </c>
      <c r="N812" s="257" t="s">
        <v>6830</v>
      </c>
    </row>
    <row r="813" spans="1:14">
      <c r="A813">
        <v>3593</v>
      </c>
      <c r="B813" t="s">
        <v>6504</v>
      </c>
      <c r="C813">
        <v>9.3000000000000007</v>
      </c>
      <c r="D813">
        <v>-171</v>
      </c>
      <c r="E813">
        <v>-173</v>
      </c>
      <c r="F813">
        <v>-48</v>
      </c>
      <c r="G813">
        <v>-63</v>
      </c>
      <c r="H813">
        <v>-1.64</v>
      </c>
      <c r="I813">
        <v>0</v>
      </c>
      <c r="J813">
        <v>0.02</v>
      </c>
      <c r="K813" s="245">
        <v>-21.12</v>
      </c>
      <c r="L813" s="245">
        <v>38.130000000000003</v>
      </c>
      <c r="M813" s="245">
        <v>116.5</v>
      </c>
      <c r="N813" s="257" t="s">
        <v>6831</v>
      </c>
    </row>
    <row r="814" spans="1:14">
      <c r="A814">
        <v>3594</v>
      </c>
      <c r="B814" t="s">
        <v>5459</v>
      </c>
      <c r="C814">
        <v>9.06</v>
      </c>
      <c r="D814">
        <v>154</v>
      </c>
      <c r="E814">
        <v>-12</v>
      </c>
      <c r="F814">
        <v>12</v>
      </c>
      <c r="G814">
        <v>0</v>
      </c>
      <c r="H814">
        <v>2.1</v>
      </c>
      <c r="I814">
        <v>0.1</v>
      </c>
      <c r="J814">
        <v>0.3</v>
      </c>
      <c r="K814" s="245">
        <v>-19.21</v>
      </c>
      <c r="L814" s="245">
        <v>20.2</v>
      </c>
      <c r="M814" s="245">
        <v>498.75</v>
      </c>
      <c r="N814" s="257" t="s">
        <v>6830</v>
      </c>
    </row>
    <row r="815" spans="1:14">
      <c r="A815">
        <v>3596</v>
      </c>
      <c r="B815" t="s">
        <v>5460</v>
      </c>
      <c r="C815">
        <v>22.67</v>
      </c>
      <c r="D815">
        <v>4</v>
      </c>
      <c r="E815">
        <v>-3</v>
      </c>
      <c r="F815">
        <v>-26</v>
      </c>
      <c r="G815">
        <v>-18</v>
      </c>
      <c r="H815">
        <v>5.75</v>
      </c>
      <c r="I815">
        <v>6.71</v>
      </c>
      <c r="J815">
        <v>8.6</v>
      </c>
      <c r="K815" s="245">
        <v>-15.83</v>
      </c>
      <c r="L815" s="245">
        <v>39.549999999999997</v>
      </c>
      <c r="M815" s="245">
        <v>7833.1</v>
      </c>
      <c r="N815" s="257" t="s">
        <v>6831</v>
      </c>
    </row>
    <row r="816" spans="1:14">
      <c r="A816">
        <v>3597</v>
      </c>
      <c r="B816" t="s">
        <v>5461</v>
      </c>
      <c r="C816">
        <v>3.91</v>
      </c>
      <c r="D816">
        <v>76</v>
      </c>
      <c r="E816">
        <v>47</v>
      </c>
      <c r="F816">
        <v>-28</v>
      </c>
      <c r="G816">
        <v>-28</v>
      </c>
      <c r="H816">
        <v>10.4</v>
      </c>
      <c r="I816">
        <v>1.7</v>
      </c>
      <c r="J816">
        <v>2.1</v>
      </c>
      <c r="K816" s="245">
        <v>-27.58</v>
      </c>
      <c r="L816" s="245">
        <v>23.2</v>
      </c>
      <c r="M816" s="245">
        <v>55.5</v>
      </c>
      <c r="N816" s="257" t="s">
        <v>6830</v>
      </c>
    </row>
    <row r="817" spans="1:14">
      <c r="A817">
        <v>3605</v>
      </c>
      <c r="B817" t="s">
        <v>5462</v>
      </c>
      <c r="C817">
        <v>13.43</v>
      </c>
      <c r="D817">
        <v>95</v>
      </c>
      <c r="E817">
        <v>47</v>
      </c>
      <c r="F817">
        <v>-17</v>
      </c>
      <c r="G817">
        <v>-9</v>
      </c>
      <c r="H817">
        <v>4.8600000000000003</v>
      </c>
      <c r="I817">
        <v>1.5</v>
      </c>
      <c r="J817">
        <v>4.16</v>
      </c>
      <c r="K817" s="245">
        <v>-38.450000000000003</v>
      </c>
      <c r="L817" s="245">
        <v>11.39</v>
      </c>
      <c r="M817" s="245">
        <v>517.75</v>
      </c>
      <c r="N817" s="257" t="s">
        <v>6830</v>
      </c>
    </row>
    <row r="818" spans="1:14">
      <c r="A818">
        <v>3607</v>
      </c>
      <c r="B818" t="s">
        <v>5463</v>
      </c>
      <c r="C818">
        <v>12.16</v>
      </c>
      <c r="D818">
        <v>30</v>
      </c>
      <c r="E818">
        <v>-1</v>
      </c>
      <c r="F818">
        <v>-41</v>
      </c>
      <c r="G818">
        <v>-42</v>
      </c>
      <c r="H818">
        <v>-12.13</v>
      </c>
      <c r="I818">
        <v>1</v>
      </c>
      <c r="J818">
        <v>-2.2200000000000002</v>
      </c>
      <c r="K818" s="245">
        <v>-34.4</v>
      </c>
      <c r="L818" s="245">
        <v>43.92</v>
      </c>
      <c r="M818" s="245">
        <v>562.75</v>
      </c>
      <c r="N818" s="257" t="s">
        <v>6830</v>
      </c>
    </row>
    <row r="819" spans="1:14">
      <c r="A819">
        <v>3609</v>
      </c>
      <c r="B819" t="s">
        <v>5464</v>
      </c>
      <c r="C819">
        <v>3.06</v>
      </c>
      <c r="D819">
        <v>102</v>
      </c>
      <c r="E819">
        <v>143</v>
      </c>
      <c r="F819">
        <v>0</v>
      </c>
      <c r="G819">
        <v>49</v>
      </c>
      <c r="H819">
        <v>1.1100000000000001</v>
      </c>
      <c r="I819">
        <v>0</v>
      </c>
      <c r="J819">
        <v>0.01</v>
      </c>
      <c r="K819" s="245">
        <v>-18.54</v>
      </c>
      <c r="L819" s="245">
        <v>21.26</v>
      </c>
      <c r="M819" s="245">
        <v>46.1</v>
      </c>
      <c r="N819" s="257" t="s">
        <v>6831</v>
      </c>
    </row>
    <row r="820" spans="1:14">
      <c r="A820">
        <v>3611</v>
      </c>
      <c r="B820" t="s">
        <v>5465</v>
      </c>
      <c r="C820">
        <v>4.24</v>
      </c>
      <c r="D820">
        <v>9</v>
      </c>
      <c r="E820">
        <v>14</v>
      </c>
      <c r="F820">
        <v>-4</v>
      </c>
      <c r="G820">
        <v>7</v>
      </c>
      <c r="H820">
        <v>15.33</v>
      </c>
      <c r="I820">
        <v>11</v>
      </c>
      <c r="J820">
        <v>18.47</v>
      </c>
      <c r="K820" s="245">
        <v>-31.17</v>
      </c>
      <c r="L820" s="245">
        <v>7.42</v>
      </c>
      <c r="M820" s="245">
        <v>54.05</v>
      </c>
      <c r="N820" s="257" t="s">
        <v>6830</v>
      </c>
    </row>
    <row r="821" spans="1:14">
      <c r="A821">
        <v>3615</v>
      </c>
      <c r="B821" t="s">
        <v>5466</v>
      </c>
      <c r="C821">
        <v>6.84</v>
      </c>
      <c r="D821">
        <v>373</v>
      </c>
      <c r="E821">
        <v>398</v>
      </c>
      <c r="F821">
        <v>-7</v>
      </c>
      <c r="G821">
        <v>0</v>
      </c>
      <c r="H821">
        <v>8.2100000000000009</v>
      </c>
      <c r="I821">
        <v>0.37</v>
      </c>
      <c r="J821">
        <v>1.43</v>
      </c>
      <c r="K821" s="245">
        <v>-37.67</v>
      </c>
      <c r="L821" s="245">
        <v>20.53</v>
      </c>
      <c r="M821" s="245">
        <v>179.4</v>
      </c>
      <c r="N821" s="257" t="s">
        <v>6830</v>
      </c>
    </row>
    <row r="822" spans="1:14">
      <c r="A822">
        <v>3617</v>
      </c>
      <c r="B822" t="s">
        <v>5467</v>
      </c>
      <c r="C822">
        <v>8.09</v>
      </c>
      <c r="D822">
        <v>-111</v>
      </c>
      <c r="E822">
        <v>-87</v>
      </c>
      <c r="F822">
        <v>36</v>
      </c>
      <c r="G822">
        <v>53</v>
      </c>
      <c r="H822">
        <v>1.06</v>
      </c>
      <c r="I822">
        <v>1</v>
      </c>
      <c r="J822">
        <v>-0.89</v>
      </c>
      <c r="K822" s="245">
        <v>-22.51</v>
      </c>
      <c r="L822" s="245">
        <v>40.31</v>
      </c>
      <c r="M822" s="245">
        <v>82.05</v>
      </c>
      <c r="N822" s="257" t="s">
        <v>6831</v>
      </c>
    </row>
    <row r="823" spans="1:14">
      <c r="A823">
        <v>3622</v>
      </c>
      <c r="B823" t="s">
        <v>5468</v>
      </c>
      <c r="C823">
        <v>15.13</v>
      </c>
      <c r="D823">
        <v>47</v>
      </c>
      <c r="E823">
        <v>622</v>
      </c>
      <c r="F823">
        <v>-15</v>
      </c>
      <c r="G823">
        <v>32</v>
      </c>
      <c r="H823">
        <v>3.73</v>
      </c>
      <c r="I823">
        <v>1.2</v>
      </c>
      <c r="J823">
        <v>1.85</v>
      </c>
      <c r="K823" s="245">
        <v>-9.1300000000000008</v>
      </c>
      <c r="L823" s="245">
        <v>66.11</v>
      </c>
      <c r="M823" s="245">
        <v>309.45</v>
      </c>
      <c r="N823" s="257" t="s">
        <v>6831</v>
      </c>
    </row>
    <row r="824" spans="1:14">
      <c r="A824">
        <v>3623</v>
      </c>
      <c r="B824" t="s">
        <v>5469</v>
      </c>
      <c r="C824">
        <v>2.91</v>
      </c>
      <c r="D824">
        <v>-11</v>
      </c>
      <c r="E824">
        <v>9</v>
      </c>
      <c r="F824">
        <v>1</v>
      </c>
      <c r="G824">
        <v>45</v>
      </c>
      <c r="H824">
        <v>-10.84</v>
      </c>
      <c r="I824">
        <v>0</v>
      </c>
      <c r="J824">
        <v>-1.24</v>
      </c>
      <c r="K824" s="245">
        <v>-30.25</v>
      </c>
      <c r="L824" s="245">
        <v>22.25</v>
      </c>
      <c r="M824" s="245">
        <v>120.3</v>
      </c>
      <c r="N824" s="257" t="s">
        <v>6830</v>
      </c>
    </row>
    <row r="825" spans="1:14">
      <c r="A825">
        <v>3624</v>
      </c>
      <c r="B825" t="s">
        <v>5470</v>
      </c>
      <c r="C825">
        <v>11.73</v>
      </c>
      <c r="D825">
        <v>179</v>
      </c>
      <c r="E825">
        <v>203</v>
      </c>
      <c r="F825">
        <v>-14</v>
      </c>
      <c r="G825">
        <v>3</v>
      </c>
      <c r="H825">
        <v>19.670000000000002</v>
      </c>
      <c r="I825">
        <v>2.2000000000000002</v>
      </c>
      <c r="J825">
        <v>4.04</v>
      </c>
      <c r="K825" s="245">
        <v>-23</v>
      </c>
      <c r="L825" s="245">
        <v>31.6</v>
      </c>
      <c r="M825" s="245">
        <v>6421.35</v>
      </c>
      <c r="N825" s="257" t="s">
        <v>6831</v>
      </c>
    </row>
    <row r="826" spans="1:14">
      <c r="A826">
        <v>3625</v>
      </c>
      <c r="B826" t="s">
        <v>5471</v>
      </c>
      <c r="C826">
        <v>11.41</v>
      </c>
      <c r="D826">
        <v>-2</v>
      </c>
      <c r="E826">
        <v>-4</v>
      </c>
      <c r="F826">
        <v>-4</v>
      </c>
      <c r="G826">
        <v>0</v>
      </c>
      <c r="H826">
        <v>-5.2</v>
      </c>
      <c r="I826">
        <v>0</v>
      </c>
      <c r="J826">
        <v>-1.92</v>
      </c>
      <c r="K826" s="245">
        <v>-47.34</v>
      </c>
      <c r="L826" s="245">
        <v>7.45</v>
      </c>
      <c r="M826" s="245">
        <v>206.35</v>
      </c>
      <c r="N826" s="257" t="s">
        <v>6830</v>
      </c>
    </row>
    <row r="827" spans="1:14">
      <c r="A827">
        <v>3628</v>
      </c>
      <c r="B827" t="s">
        <v>5472</v>
      </c>
      <c r="C827">
        <v>4.5</v>
      </c>
      <c r="D827">
        <v>70</v>
      </c>
      <c r="E827">
        <v>47</v>
      </c>
      <c r="F827">
        <v>-21</v>
      </c>
      <c r="G827">
        <v>-29</v>
      </c>
      <c r="H827">
        <v>2.61</v>
      </c>
      <c r="I827">
        <v>1.25</v>
      </c>
      <c r="J827">
        <v>1.6</v>
      </c>
      <c r="K827" s="245">
        <v>-29.82</v>
      </c>
      <c r="L827" s="245">
        <v>21.01</v>
      </c>
      <c r="M827" s="245">
        <v>457.9</v>
      </c>
      <c r="N827" s="257" t="s">
        <v>6831</v>
      </c>
    </row>
    <row r="828" spans="1:14">
      <c r="A828">
        <v>3629</v>
      </c>
      <c r="B828" t="s">
        <v>6505</v>
      </c>
      <c r="C828">
        <v>3.37</v>
      </c>
      <c r="D828">
        <v>-780</v>
      </c>
      <c r="E828">
        <v>-237</v>
      </c>
      <c r="F828">
        <v>-60</v>
      </c>
      <c r="G828">
        <v>-75</v>
      </c>
      <c r="H828">
        <v>-31.41</v>
      </c>
      <c r="I828">
        <v>0</v>
      </c>
      <c r="J828">
        <v>-4.76</v>
      </c>
      <c r="K828" s="245">
        <v>-53.4</v>
      </c>
      <c r="L828" s="245">
        <v>9.84</v>
      </c>
      <c r="M828" s="245">
        <v>14.5</v>
      </c>
      <c r="N828" s="257" t="s">
        <v>6830</v>
      </c>
    </row>
    <row r="829" spans="1:14">
      <c r="A829">
        <v>3630</v>
      </c>
      <c r="B829" t="s">
        <v>5473</v>
      </c>
      <c r="C829">
        <v>18.41</v>
      </c>
      <c r="D829">
        <v>-128</v>
      </c>
      <c r="E829">
        <v>-88</v>
      </c>
      <c r="F829">
        <v>-11</v>
      </c>
      <c r="G829">
        <v>-23</v>
      </c>
      <c r="H829">
        <v>-27.46</v>
      </c>
      <c r="I829">
        <v>0</v>
      </c>
      <c r="J829">
        <v>-3.43</v>
      </c>
      <c r="K829" s="245">
        <v>-46.5</v>
      </c>
      <c r="L829" s="245">
        <v>20.58</v>
      </c>
      <c r="M829" s="245">
        <v>207.95</v>
      </c>
      <c r="N829" s="257" t="s">
        <v>6830</v>
      </c>
    </row>
    <row r="830" spans="1:14">
      <c r="A830">
        <v>3631</v>
      </c>
      <c r="B830" t="s">
        <v>6288</v>
      </c>
      <c r="C830">
        <v>8.18</v>
      </c>
      <c r="D830">
        <v>-80</v>
      </c>
      <c r="E830">
        <v>-50</v>
      </c>
      <c r="F830">
        <v>56</v>
      </c>
      <c r="G830">
        <v>21</v>
      </c>
      <c r="H830">
        <v>-24.03</v>
      </c>
      <c r="I830">
        <v>0.5</v>
      </c>
      <c r="J830">
        <v>-0.16</v>
      </c>
      <c r="K830" s="245">
        <v>-28.5</v>
      </c>
      <c r="L830" s="245">
        <v>38.130000000000003</v>
      </c>
      <c r="M830" s="245">
        <v>22.7</v>
      </c>
      <c r="N830" s="257" t="s">
        <v>6830</v>
      </c>
    </row>
    <row r="831" spans="1:14">
      <c r="A831">
        <v>3632</v>
      </c>
      <c r="B831" t="s">
        <v>6506</v>
      </c>
      <c r="C831">
        <v>4.08</v>
      </c>
      <c r="D831">
        <v>80</v>
      </c>
      <c r="E831">
        <v>-8</v>
      </c>
      <c r="F831">
        <v>19</v>
      </c>
      <c r="G831">
        <v>-18</v>
      </c>
      <c r="H831">
        <v>-43.29</v>
      </c>
      <c r="I831">
        <v>0</v>
      </c>
      <c r="J831">
        <v>-0.71</v>
      </c>
      <c r="K831" s="245">
        <v>-15.53</v>
      </c>
      <c r="L831" s="245">
        <v>19.75</v>
      </c>
      <c r="M831" s="245">
        <v>11.65</v>
      </c>
      <c r="N831" s="257" t="s">
        <v>6831</v>
      </c>
    </row>
    <row r="832" spans="1:14">
      <c r="A832">
        <v>3642</v>
      </c>
      <c r="B832" t="s">
        <v>6507</v>
      </c>
      <c r="C832">
        <v>4.33</v>
      </c>
      <c r="D832">
        <v>37</v>
      </c>
      <c r="E832">
        <v>0</v>
      </c>
      <c r="F832">
        <v>-74</v>
      </c>
      <c r="G832">
        <v>-73</v>
      </c>
      <c r="H832">
        <v>-26.99</v>
      </c>
      <c r="I832">
        <v>0</v>
      </c>
      <c r="J832">
        <v>-2.3199999999999998</v>
      </c>
      <c r="K832" s="245">
        <v>-45.89</v>
      </c>
      <c r="L832" s="245">
        <v>48.92</v>
      </c>
      <c r="M832" s="245">
        <v>80.099999999999994</v>
      </c>
      <c r="N832" s="257" t="s">
        <v>6830</v>
      </c>
    </row>
    <row r="833" spans="1:14">
      <c r="A833">
        <v>3645</v>
      </c>
      <c r="B833" t="s">
        <v>5474</v>
      </c>
      <c r="C833">
        <v>13.17</v>
      </c>
      <c r="D833">
        <v>-15</v>
      </c>
      <c r="E833">
        <v>-6</v>
      </c>
      <c r="F833">
        <v>-9</v>
      </c>
      <c r="G833">
        <v>7</v>
      </c>
      <c r="H833">
        <v>16.329999999999998</v>
      </c>
      <c r="I833">
        <v>1.2</v>
      </c>
      <c r="J833">
        <v>2.3199999999999998</v>
      </c>
      <c r="K833" s="245">
        <v>-26.24</v>
      </c>
      <c r="L833" s="245">
        <v>38.020000000000003</v>
      </c>
      <c r="M833" s="245">
        <v>4650.3</v>
      </c>
      <c r="N833" s="257" t="s">
        <v>6831</v>
      </c>
    </row>
    <row r="834" spans="1:14">
      <c r="A834">
        <v>3646</v>
      </c>
      <c r="B834" t="s">
        <v>5475</v>
      </c>
      <c r="C834">
        <v>3.92</v>
      </c>
      <c r="D834">
        <v>87</v>
      </c>
      <c r="E834">
        <v>84</v>
      </c>
      <c r="F834">
        <v>17</v>
      </c>
      <c r="G834">
        <v>1</v>
      </c>
      <c r="H834">
        <v>12.82</v>
      </c>
      <c r="I834">
        <v>1.68</v>
      </c>
      <c r="J834">
        <v>2.17</v>
      </c>
      <c r="K834" s="245">
        <v>-24.12</v>
      </c>
      <c r="L834" s="245">
        <v>21.21</v>
      </c>
      <c r="M834" s="245">
        <v>94.55</v>
      </c>
      <c r="N834" s="257" t="s">
        <v>6830</v>
      </c>
    </row>
    <row r="835" spans="1:14">
      <c r="A835">
        <v>3652</v>
      </c>
      <c r="B835" t="s">
        <v>5476</v>
      </c>
      <c r="C835">
        <v>7.5</v>
      </c>
      <c r="D835">
        <v>204</v>
      </c>
      <c r="E835">
        <v>342</v>
      </c>
      <c r="F835">
        <v>-24</v>
      </c>
      <c r="G835">
        <v>-2</v>
      </c>
      <c r="H835">
        <v>3.57</v>
      </c>
      <c r="I835">
        <v>0.41</v>
      </c>
      <c r="J835">
        <v>1.03</v>
      </c>
      <c r="K835" s="245">
        <v>-36.97</v>
      </c>
      <c r="L835" s="245">
        <v>54.46</v>
      </c>
      <c r="M835" s="245">
        <v>19.100000000000001</v>
      </c>
      <c r="N835" s="257" t="s">
        <v>6830</v>
      </c>
    </row>
    <row r="836" spans="1:14">
      <c r="A836">
        <v>3653</v>
      </c>
      <c r="B836" t="s">
        <v>5477</v>
      </c>
      <c r="C836">
        <v>12.22</v>
      </c>
      <c r="D836">
        <v>26</v>
      </c>
      <c r="E836">
        <v>52</v>
      </c>
      <c r="F836">
        <v>-9</v>
      </c>
      <c r="G836">
        <v>23</v>
      </c>
      <c r="H836">
        <v>19.43</v>
      </c>
      <c r="I836">
        <v>7</v>
      </c>
      <c r="J836">
        <v>9.8800000000000008</v>
      </c>
      <c r="K836" s="245">
        <v>-18.760000000000002</v>
      </c>
      <c r="L836" s="245">
        <v>59.01</v>
      </c>
      <c r="M836" s="245">
        <v>808.2</v>
      </c>
      <c r="N836" s="257" t="s">
        <v>6831</v>
      </c>
    </row>
    <row r="837" spans="1:14">
      <c r="A837">
        <v>3661</v>
      </c>
      <c r="B837" t="s">
        <v>5478</v>
      </c>
      <c r="C837">
        <v>7.12</v>
      </c>
      <c r="D837">
        <v>78</v>
      </c>
      <c r="E837">
        <v>85</v>
      </c>
      <c r="F837">
        <v>6</v>
      </c>
      <c r="G837">
        <v>-9</v>
      </c>
      <c r="H837">
        <v>17.53</v>
      </c>
      <c r="I837">
        <v>10.59</v>
      </c>
      <c r="J837">
        <v>21.34</v>
      </c>
      <c r="K837" s="245">
        <v>-32.229999999999997</v>
      </c>
      <c r="L837" s="245">
        <v>32.83</v>
      </c>
      <c r="M837" s="245">
        <v>3966.6</v>
      </c>
      <c r="N837" s="257" t="s">
        <v>6831</v>
      </c>
    </row>
    <row r="838" spans="1:14">
      <c r="A838">
        <v>3663</v>
      </c>
      <c r="B838" t="s">
        <v>5479</v>
      </c>
      <c r="C838">
        <v>7.34</v>
      </c>
      <c r="D838">
        <v>48</v>
      </c>
      <c r="E838">
        <v>32</v>
      </c>
      <c r="F838">
        <v>-10</v>
      </c>
      <c r="G838">
        <v>-9</v>
      </c>
      <c r="H838">
        <v>3.09</v>
      </c>
      <c r="I838">
        <v>0.9</v>
      </c>
      <c r="J838">
        <v>0.96</v>
      </c>
      <c r="K838" s="245">
        <v>-52.82</v>
      </c>
      <c r="L838" s="245">
        <v>10.130000000000001</v>
      </c>
      <c r="M838" s="245">
        <v>135.65</v>
      </c>
      <c r="N838" s="257" t="s">
        <v>6830</v>
      </c>
    </row>
    <row r="839" spans="1:14">
      <c r="A839">
        <v>3664</v>
      </c>
      <c r="B839" t="s">
        <v>6508</v>
      </c>
      <c r="C839">
        <v>5.1100000000000003</v>
      </c>
      <c r="D839">
        <v>7</v>
      </c>
      <c r="E839">
        <v>-41</v>
      </c>
      <c r="F839">
        <v>-11</v>
      </c>
      <c r="G839">
        <v>-3</v>
      </c>
      <c r="H839">
        <v>-24.69</v>
      </c>
      <c r="I839">
        <v>0</v>
      </c>
      <c r="J839">
        <v>-1.94</v>
      </c>
      <c r="K839" s="245">
        <v>-22.34</v>
      </c>
      <c r="L839" s="245">
        <v>35.07</v>
      </c>
      <c r="M839" s="245">
        <v>246.7</v>
      </c>
      <c r="N839" s="257" t="s">
        <v>6830</v>
      </c>
    </row>
    <row r="840" spans="1:14">
      <c r="A840">
        <v>3665</v>
      </c>
      <c r="B840" t="s">
        <v>5480</v>
      </c>
      <c r="C840">
        <v>15.27</v>
      </c>
      <c r="D840">
        <v>11</v>
      </c>
      <c r="E840">
        <v>8</v>
      </c>
      <c r="F840">
        <v>-1</v>
      </c>
      <c r="G840">
        <v>86</v>
      </c>
      <c r="H840">
        <v>9.31</v>
      </c>
      <c r="I840">
        <v>9.1300000000000008</v>
      </c>
      <c r="J840">
        <v>15.22</v>
      </c>
      <c r="K840" s="245">
        <v>-11.77</v>
      </c>
      <c r="L840" s="245">
        <v>53.67</v>
      </c>
      <c r="M840" s="245">
        <v>2403.4499999999998</v>
      </c>
      <c r="N840" s="257" t="s">
        <v>6832</v>
      </c>
    </row>
    <row r="841" spans="1:14">
      <c r="A841">
        <v>3666</v>
      </c>
      <c r="B841" t="s">
        <v>5481</v>
      </c>
      <c r="C841">
        <v>5.86</v>
      </c>
      <c r="D841">
        <v>-124</v>
      </c>
      <c r="E841">
        <v>-148</v>
      </c>
      <c r="F841">
        <v>-27</v>
      </c>
      <c r="G841">
        <v>-46</v>
      </c>
      <c r="H841">
        <v>-3.38</v>
      </c>
      <c r="I841">
        <v>0</v>
      </c>
      <c r="J841">
        <v>-0.55000000000000004</v>
      </c>
      <c r="K841" s="245">
        <v>-48.3</v>
      </c>
      <c r="L841" s="245">
        <v>30.22</v>
      </c>
      <c r="M841" s="245">
        <v>236.25</v>
      </c>
      <c r="N841" s="257" t="s">
        <v>6830</v>
      </c>
    </row>
    <row r="842" spans="1:14">
      <c r="A842">
        <v>3669</v>
      </c>
      <c r="B842" t="s">
        <v>5482</v>
      </c>
      <c r="C842">
        <v>9.2899999999999991</v>
      </c>
      <c r="D842">
        <v>-17</v>
      </c>
      <c r="E842">
        <v>-22</v>
      </c>
      <c r="F842">
        <v>0</v>
      </c>
      <c r="G842">
        <v>-32</v>
      </c>
      <c r="H842">
        <v>20.09</v>
      </c>
      <c r="I842">
        <v>3.8</v>
      </c>
      <c r="J842">
        <v>7.02</v>
      </c>
      <c r="K842" s="245">
        <v>-41.18</v>
      </c>
      <c r="L842" s="245">
        <v>18.489999999999998</v>
      </c>
      <c r="M842" s="245">
        <v>2577.65</v>
      </c>
      <c r="N842" s="257" t="s">
        <v>6830</v>
      </c>
    </row>
    <row r="843" spans="1:14">
      <c r="A843">
        <v>3672</v>
      </c>
      <c r="B843" t="s">
        <v>5483</v>
      </c>
      <c r="C843">
        <v>3.17</v>
      </c>
      <c r="D843">
        <v>-63</v>
      </c>
      <c r="E843">
        <v>9</v>
      </c>
      <c r="F843">
        <v>-2</v>
      </c>
      <c r="G843">
        <v>16</v>
      </c>
      <c r="H843">
        <v>3.35</v>
      </c>
      <c r="I843">
        <v>0.1</v>
      </c>
      <c r="J843">
        <v>0.24</v>
      </c>
      <c r="K843" s="245">
        <v>-29.82</v>
      </c>
      <c r="L843" s="245">
        <v>46.7</v>
      </c>
      <c r="M843" s="245">
        <v>271.60000000000002</v>
      </c>
      <c r="N843" s="257" t="s">
        <v>6831</v>
      </c>
    </row>
    <row r="844" spans="1:14">
      <c r="A844">
        <v>3673</v>
      </c>
      <c r="B844" t="s">
        <v>5484</v>
      </c>
      <c r="C844">
        <v>40.659999999999997</v>
      </c>
      <c r="D844">
        <v>6</v>
      </c>
      <c r="E844">
        <v>-66</v>
      </c>
      <c r="F844">
        <v>-35</v>
      </c>
      <c r="G844">
        <v>-25</v>
      </c>
      <c r="H844">
        <v>0.3</v>
      </c>
      <c r="I844">
        <v>1.5</v>
      </c>
      <c r="J844">
        <v>2.63</v>
      </c>
      <c r="K844" s="245">
        <v>-34.19</v>
      </c>
      <c r="L844" s="245">
        <v>17.52</v>
      </c>
      <c r="M844" s="245">
        <v>1273</v>
      </c>
      <c r="N844" s="257" t="s">
        <v>6830</v>
      </c>
    </row>
    <row r="845" spans="1:14">
      <c r="A845">
        <v>3675</v>
      </c>
      <c r="B845" t="s">
        <v>5485</v>
      </c>
      <c r="C845">
        <v>4.4400000000000004</v>
      </c>
      <c r="D845">
        <v>249</v>
      </c>
      <c r="E845">
        <v>154</v>
      </c>
      <c r="F845">
        <v>0</v>
      </c>
      <c r="G845">
        <v>10</v>
      </c>
      <c r="H845">
        <v>16.510000000000002</v>
      </c>
      <c r="I845">
        <v>5</v>
      </c>
      <c r="J845">
        <v>7.36</v>
      </c>
      <c r="K845" s="245">
        <v>-15.53</v>
      </c>
      <c r="L845" s="245">
        <v>45.07</v>
      </c>
      <c r="M845" s="245">
        <v>2728.1</v>
      </c>
      <c r="N845" s="257" t="s">
        <v>6832</v>
      </c>
    </row>
    <row r="846" spans="1:14">
      <c r="A846">
        <v>3679</v>
      </c>
      <c r="B846" t="s">
        <v>5486</v>
      </c>
      <c r="C846">
        <v>6.26</v>
      </c>
      <c r="D846">
        <v>-15</v>
      </c>
      <c r="E846">
        <v>-16</v>
      </c>
      <c r="F846">
        <v>-57</v>
      </c>
      <c r="G846">
        <v>-64</v>
      </c>
      <c r="H846">
        <v>18.420000000000002</v>
      </c>
      <c r="I846">
        <v>9</v>
      </c>
      <c r="J846">
        <v>9.6999999999999993</v>
      </c>
      <c r="K846" s="245">
        <v>-42.81</v>
      </c>
      <c r="L846" s="245">
        <v>25.69</v>
      </c>
      <c r="M846" s="245">
        <v>44.65</v>
      </c>
      <c r="N846" s="257" t="s">
        <v>6830</v>
      </c>
    </row>
    <row r="847" spans="1:14">
      <c r="A847">
        <v>3680</v>
      </c>
      <c r="B847" t="s">
        <v>5487</v>
      </c>
      <c r="C847">
        <v>8.4</v>
      </c>
      <c r="D847">
        <v>-24</v>
      </c>
      <c r="E847">
        <v>369</v>
      </c>
      <c r="F847">
        <v>-10</v>
      </c>
      <c r="G847">
        <v>120</v>
      </c>
      <c r="H847">
        <v>14.74</v>
      </c>
      <c r="I847">
        <v>2.8</v>
      </c>
      <c r="J847">
        <v>4.03</v>
      </c>
      <c r="K847" s="245">
        <v>-38.32</v>
      </c>
      <c r="L847" s="245">
        <v>23.09</v>
      </c>
      <c r="M847" s="245">
        <v>473.4</v>
      </c>
      <c r="N847" s="257" t="s">
        <v>6830</v>
      </c>
    </row>
    <row r="848" spans="1:14">
      <c r="A848">
        <v>3682</v>
      </c>
      <c r="B848" t="s">
        <v>6509</v>
      </c>
      <c r="C848">
        <v>431</v>
      </c>
      <c r="D848">
        <v>7</v>
      </c>
      <c r="E848">
        <v>9</v>
      </c>
      <c r="F848">
        <v>1</v>
      </c>
      <c r="G848">
        <v>3</v>
      </c>
      <c r="H848">
        <v>-39.479999999999997</v>
      </c>
      <c r="I848">
        <v>0</v>
      </c>
      <c r="J848">
        <v>-1.35</v>
      </c>
      <c r="K848" s="245">
        <v>-24.09</v>
      </c>
      <c r="L848" s="245">
        <v>55.39</v>
      </c>
      <c r="M848" s="245">
        <v>7975.85</v>
      </c>
      <c r="N848" s="257" t="s">
        <v>6830</v>
      </c>
    </row>
    <row r="849" spans="1:14">
      <c r="A849">
        <v>3684</v>
      </c>
      <c r="B849" t="s">
        <v>6510</v>
      </c>
      <c r="C849">
        <v>2.4500000000000002</v>
      </c>
      <c r="D849">
        <v>75</v>
      </c>
      <c r="E849">
        <v>55</v>
      </c>
      <c r="F849">
        <v>7</v>
      </c>
      <c r="G849">
        <v>48</v>
      </c>
      <c r="H849">
        <v>12.32</v>
      </c>
      <c r="I849">
        <v>3</v>
      </c>
      <c r="J849">
        <v>3.5</v>
      </c>
      <c r="K849" s="245">
        <v>-29.31</v>
      </c>
      <c r="L849" s="245">
        <v>27.38</v>
      </c>
      <c r="M849" s="245">
        <v>17.2</v>
      </c>
      <c r="N849" s="257" t="s">
        <v>6831</v>
      </c>
    </row>
    <row r="850" spans="1:14">
      <c r="A850">
        <v>3685</v>
      </c>
      <c r="B850" t="s">
        <v>5488</v>
      </c>
      <c r="C850">
        <v>7.95</v>
      </c>
      <c r="D850">
        <v>-54</v>
      </c>
      <c r="E850">
        <v>56</v>
      </c>
      <c r="F850">
        <v>-44</v>
      </c>
      <c r="G850">
        <v>-25</v>
      </c>
      <c r="H850">
        <v>-0.45</v>
      </c>
      <c r="I850">
        <v>0</v>
      </c>
      <c r="J850">
        <v>0.05</v>
      </c>
      <c r="K850" s="245">
        <v>-49.47</v>
      </c>
      <c r="L850" s="245">
        <v>13.91</v>
      </c>
      <c r="M850" s="245">
        <v>53.45</v>
      </c>
      <c r="N850" s="257" t="s">
        <v>6830</v>
      </c>
    </row>
    <row r="851" spans="1:14">
      <c r="A851">
        <v>3686</v>
      </c>
      <c r="B851" t="s">
        <v>6511</v>
      </c>
      <c r="C851">
        <v>11.35</v>
      </c>
      <c r="D851">
        <v>86</v>
      </c>
      <c r="E851">
        <v>239</v>
      </c>
      <c r="F851">
        <v>-2</v>
      </c>
      <c r="G851">
        <v>-91</v>
      </c>
      <c r="H851">
        <v>36.21</v>
      </c>
      <c r="I851">
        <v>0</v>
      </c>
      <c r="J851">
        <v>-0.18</v>
      </c>
      <c r="K851" s="245">
        <v>-47.63</v>
      </c>
      <c r="L851" s="245">
        <v>19.13</v>
      </c>
      <c r="M851" s="245">
        <v>850.25</v>
      </c>
      <c r="N851" s="257" t="s">
        <v>6830</v>
      </c>
    </row>
    <row r="852" spans="1:14">
      <c r="A852">
        <v>3687</v>
      </c>
      <c r="B852" t="s">
        <v>5489</v>
      </c>
      <c r="C852">
        <v>3</v>
      </c>
      <c r="D852">
        <v>73</v>
      </c>
      <c r="E852">
        <v>92</v>
      </c>
      <c r="F852">
        <v>-10</v>
      </c>
      <c r="G852">
        <v>15</v>
      </c>
      <c r="H852">
        <v>21.7</v>
      </c>
      <c r="I852">
        <v>1.2</v>
      </c>
      <c r="J852">
        <v>2.42</v>
      </c>
      <c r="K852" s="245">
        <v>-46.07</v>
      </c>
      <c r="L852" s="245">
        <v>9.4700000000000006</v>
      </c>
      <c r="M852" s="245">
        <v>913.25</v>
      </c>
      <c r="N852" s="257" t="s">
        <v>6830</v>
      </c>
    </row>
    <row r="853" spans="1:14">
      <c r="A853">
        <v>3689</v>
      </c>
      <c r="B853" t="s">
        <v>5490</v>
      </c>
      <c r="C853">
        <v>7.71</v>
      </c>
      <c r="D853">
        <v>177</v>
      </c>
      <c r="E853">
        <v>254</v>
      </c>
      <c r="F853">
        <v>-9</v>
      </c>
      <c r="G853">
        <v>7</v>
      </c>
      <c r="H853">
        <v>3.95</v>
      </c>
      <c r="I853">
        <v>2.2999999999999998</v>
      </c>
      <c r="J853">
        <v>3.28</v>
      </c>
      <c r="K853" s="245">
        <v>-23.03</v>
      </c>
      <c r="L853" s="245">
        <v>25.07</v>
      </c>
      <c r="M853" s="245">
        <v>707.6</v>
      </c>
      <c r="N853" s="257" t="s">
        <v>6831</v>
      </c>
    </row>
    <row r="854" spans="1:14">
      <c r="A854">
        <v>3691</v>
      </c>
      <c r="B854" t="s">
        <v>5491</v>
      </c>
      <c r="C854">
        <v>7.58</v>
      </c>
      <c r="D854">
        <v>-754</v>
      </c>
      <c r="E854">
        <v>-215</v>
      </c>
      <c r="F854">
        <v>3</v>
      </c>
      <c r="G854">
        <v>-22</v>
      </c>
      <c r="H854">
        <v>-3.44</v>
      </c>
      <c r="I854">
        <v>0</v>
      </c>
      <c r="J854">
        <v>-5.34</v>
      </c>
      <c r="K854" s="245">
        <v>-44.04</v>
      </c>
      <c r="L854" s="245">
        <v>14.47</v>
      </c>
      <c r="M854" s="245">
        <v>323.39999999999998</v>
      </c>
      <c r="N854" s="257" t="s">
        <v>6830</v>
      </c>
    </row>
    <row r="855" spans="1:14">
      <c r="A855">
        <v>3693</v>
      </c>
      <c r="B855" t="s">
        <v>5492</v>
      </c>
      <c r="C855">
        <v>3.84</v>
      </c>
      <c r="D855">
        <v>43</v>
      </c>
      <c r="E855">
        <v>2</v>
      </c>
      <c r="F855">
        <v>-7</v>
      </c>
      <c r="G855">
        <v>10</v>
      </c>
      <c r="H855">
        <v>4.24</v>
      </c>
      <c r="I855">
        <v>1.5</v>
      </c>
      <c r="J855">
        <v>3.08</v>
      </c>
      <c r="K855" s="245">
        <v>-34.68</v>
      </c>
      <c r="L855" s="245">
        <v>21.34</v>
      </c>
      <c r="M855" s="245">
        <v>67</v>
      </c>
      <c r="N855" s="257" t="s">
        <v>6830</v>
      </c>
    </row>
    <row r="856" spans="1:14">
      <c r="A856">
        <v>3694</v>
      </c>
      <c r="B856" t="s">
        <v>5493</v>
      </c>
      <c r="C856">
        <v>15.28</v>
      </c>
      <c r="D856">
        <v>1</v>
      </c>
      <c r="E856">
        <v>-17</v>
      </c>
      <c r="F856">
        <v>-26</v>
      </c>
      <c r="G856">
        <v>-28</v>
      </c>
      <c r="H856">
        <v>2.31</v>
      </c>
      <c r="I856">
        <v>0</v>
      </c>
      <c r="J856">
        <v>2.0499999999999998</v>
      </c>
      <c r="K856" s="245">
        <v>-36.380000000000003</v>
      </c>
      <c r="L856" s="245">
        <v>17.440000000000001</v>
      </c>
      <c r="M856" s="245">
        <v>132.25</v>
      </c>
      <c r="N856" s="257" t="s">
        <v>6830</v>
      </c>
    </row>
    <row r="857" spans="1:14">
      <c r="A857">
        <v>3701</v>
      </c>
      <c r="B857" t="s">
        <v>5494</v>
      </c>
      <c r="C857">
        <v>21.36</v>
      </c>
      <c r="D857">
        <v>3314</v>
      </c>
      <c r="E857">
        <v>372</v>
      </c>
      <c r="F857">
        <v>19</v>
      </c>
      <c r="G857">
        <v>42</v>
      </c>
      <c r="H857">
        <v>1.6</v>
      </c>
      <c r="I857">
        <v>0</v>
      </c>
      <c r="J857">
        <v>1.32</v>
      </c>
      <c r="K857" s="245">
        <v>-52.04</v>
      </c>
      <c r="L857" s="245">
        <v>11.08</v>
      </c>
      <c r="M857" s="245">
        <v>1860.85</v>
      </c>
      <c r="N857" s="257" t="s">
        <v>6831</v>
      </c>
    </row>
    <row r="858" spans="1:14">
      <c r="A858">
        <v>3702</v>
      </c>
      <c r="B858" t="s">
        <v>5495</v>
      </c>
      <c r="C858">
        <v>167</v>
      </c>
      <c r="D858">
        <v>42</v>
      </c>
      <c r="E858">
        <v>37</v>
      </c>
      <c r="F858">
        <v>-20</v>
      </c>
      <c r="G858">
        <v>-3</v>
      </c>
      <c r="H858">
        <v>1.77</v>
      </c>
      <c r="I858">
        <v>3.5</v>
      </c>
      <c r="J858">
        <v>6.61</v>
      </c>
      <c r="K858" s="245">
        <v>-11.31</v>
      </c>
      <c r="L858" s="245">
        <v>35.92</v>
      </c>
      <c r="M858" s="245">
        <v>3260</v>
      </c>
      <c r="N858" s="257" t="s">
        <v>6831</v>
      </c>
    </row>
    <row r="859" spans="1:14">
      <c r="A859">
        <v>3703</v>
      </c>
      <c r="B859" t="s">
        <v>5496</v>
      </c>
      <c r="C859">
        <v>82.32</v>
      </c>
      <c r="D859">
        <v>14</v>
      </c>
      <c r="E859">
        <v>30</v>
      </c>
      <c r="F859">
        <v>-39</v>
      </c>
      <c r="G859">
        <v>23</v>
      </c>
      <c r="H859">
        <v>8.58</v>
      </c>
      <c r="I859">
        <v>1.68</v>
      </c>
      <c r="J859">
        <v>2.2200000000000002</v>
      </c>
      <c r="K859" s="245">
        <v>-9.2799999999999994</v>
      </c>
      <c r="L859" s="245">
        <v>74.680000000000007</v>
      </c>
      <c r="M859" s="245">
        <v>7055.1</v>
      </c>
      <c r="N859" s="257" t="s">
        <v>6832</v>
      </c>
    </row>
    <row r="860" spans="1:14">
      <c r="A860">
        <v>3704</v>
      </c>
      <c r="B860" t="s">
        <v>5497</v>
      </c>
      <c r="C860">
        <v>44.23</v>
      </c>
      <c r="D860">
        <v>31</v>
      </c>
      <c r="E860">
        <v>10</v>
      </c>
      <c r="F860">
        <v>-49</v>
      </c>
      <c r="G860">
        <v>-27</v>
      </c>
      <c r="H860">
        <v>5.55</v>
      </c>
      <c r="I860">
        <v>0.5</v>
      </c>
      <c r="J860">
        <v>2.4900000000000002</v>
      </c>
      <c r="K860" s="245">
        <v>-31.32</v>
      </c>
      <c r="L860" s="245">
        <v>25.32</v>
      </c>
      <c r="M860" s="245">
        <v>3309.55</v>
      </c>
      <c r="N860" s="257" t="s">
        <v>6830</v>
      </c>
    </row>
    <row r="861" spans="1:14">
      <c r="A861">
        <v>3705</v>
      </c>
      <c r="B861" t="s">
        <v>5498</v>
      </c>
      <c r="C861">
        <v>26.64</v>
      </c>
      <c r="D861">
        <v>-3</v>
      </c>
      <c r="E861">
        <v>0</v>
      </c>
      <c r="F861">
        <v>-15</v>
      </c>
      <c r="G861">
        <v>2</v>
      </c>
      <c r="H861">
        <v>12.27</v>
      </c>
      <c r="I861">
        <v>1.7</v>
      </c>
      <c r="J861">
        <v>2.77</v>
      </c>
      <c r="K861" s="245">
        <v>-6.49</v>
      </c>
      <c r="L861" s="245">
        <v>21.2</v>
      </c>
      <c r="M861" s="245">
        <v>538.70000000000005</v>
      </c>
      <c r="N861" s="257" t="s">
        <v>6830</v>
      </c>
    </row>
    <row r="862" spans="1:14">
      <c r="A862">
        <v>3706</v>
      </c>
      <c r="B862" t="s">
        <v>5499</v>
      </c>
      <c r="C862">
        <v>120</v>
      </c>
      <c r="D862">
        <v>319</v>
      </c>
      <c r="E862">
        <v>-43</v>
      </c>
      <c r="F862">
        <v>-28</v>
      </c>
      <c r="G862">
        <v>-26</v>
      </c>
      <c r="H862">
        <v>0.1</v>
      </c>
      <c r="I862">
        <v>2</v>
      </c>
      <c r="J862">
        <v>10.01</v>
      </c>
      <c r="K862" s="245">
        <v>-24.37</v>
      </c>
      <c r="L862" s="245">
        <v>10.210000000000001</v>
      </c>
      <c r="M862" s="245">
        <v>2760.45</v>
      </c>
      <c r="N862" s="257" t="s">
        <v>6830</v>
      </c>
    </row>
    <row r="863" spans="1:14">
      <c r="A863">
        <v>3707</v>
      </c>
      <c r="B863" t="s">
        <v>5500</v>
      </c>
      <c r="C863">
        <v>33.31</v>
      </c>
      <c r="D863">
        <v>179</v>
      </c>
      <c r="E863">
        <v>202</v>
      </c>
      <c r="F863">
        <v>0</v>
      </c>
      <c r="G863">
        <v>29</v>
      </c>
      <c r="H863">
        <v>6.68</v>
      </c>
      <c r="I863">
        <v>0.35</v>
      </c>
      <c r="J863">
        <v>0.73</v>
      </c>
      <c r="K863" s="245">
        <v>-34.869999999999997</v>
      </c>
      <c r="L863" s="245">
        <v>34.340000000000003</v>
      </c>
      <c r="M863" s="245">
        <v>8712.4</v>
      </c>
      <c r="N863" s="257" t="s">
        <v>6831</v>
      </c>
    </row>
    <row r="864" spans="1:14">
      <c r="A864">
        <v>3708</v>
      </c>
      <c r="B864" t="s">
        <v>5501</v>
      </c>
      <c r="C864">
        <v>9.35</v>
      </c>
      <c r="D864">
        <v>-69</v>
      </c>
      <c r="E864">
        <v>-80</v>
      </c>
      <c r="F864">
        <v>-7</v>
      </c>
      <c r="G864">
        <v>-28</v>
      </c>
      <c r="H864">
        <v>1.39</v>
      </c>
      <c r="I864">
        <v>1.5</v>
      </c>
      <c r="J864">
        <v>2.0099999999999998</v>
      </c>
      <c r="K864" s="245">
        <v>-6.19</v>
      </c>
      <c r="L864" s="245">
        <v>76.39</v>
      </c>
      <c r="M864" s="245">
        <v>12700.2</v>
      </c>
      <c r="N864" s="257" t="s">
        <v>6832</v>
      </c>
    </row>
    <row r="865" spans="1:14">
      <c r="A865">
        <v>3709</v>
      </c>
      <c r="B865" t="s">
        <v>6143</v>
      </c>
      <c r="C865">
        <v>10.050000000000001</v>
      </c>
      <c r="D865">
        <v>88</v>
      </c>
      <c r="E865">
        <v>44</v>
      </c>
      <c r="F865">
        <v>-24</v>
      </c>
      <c r="G865">
        <v>-12</v>
      </c>
      <c r="H865">
        <v>2.46</v>
      </c>
      <c r="I865">
        <v>1.6</v>
      </c>
      <c r="J865">
        <v>4.55</v>
      </c>
      <c r="K865" s="245">
        <v>-34.85</v>
      </c>
      <c r="L865" s="245">
        <v>19.21</v>
      </c>
      <c r="M865" s="245">
        <v>58.75</v>
      </c>
      <c r="N865" s="257" t="s">
        <v>6830</v>
      </c>
    </row>
    <row r="866" spans="1:14">
      <c r="A866">
        <v>3710</v>
      </c>
      <c r="B866" t="s">
        <v>6512</v>
      </c>
      <c r="C866">
        <v>23.29</v>
      </c>
      <c r="D866">
        <v>-221</v>
      </c>
      <c r="E866">
        <v>-999</v>
      </c>
      <c r="F866">
        <v>-12</v>
      </c>
      <c r="G866">
        <v>-12</v>
      </c>
      <c r="H866">
        <v>-3.95</v>
      </c>
      <c r="I866">
        <v>0</v>
      </c>
      <c r="J866">
        <v>-2.5</v>
      </c>
      <c r="K866" s="245">
        <v>-35.200000000000003</v>
      </c>
      <c r="L866" s="245">
        <v>27.36</v>
      </c>
      <c r="M866" s="245">
        <v>2649.55</v>
      </c>
      <c r="N866" s="257" t="s">
        <v>6831</v>
      </c>
    </row>
    <row r="867" spans="1:14">
      <c r="A867">
        <v>3711</v>
      </c>
      <c r="B867" t="s">
        <v>5502</v>
      </c>
      <c r="C867">
        <v>435</v>
      </c>
      <c r="D867">
        <v>125</v>
      </c>
      <c r="E867">
        <v>78</v>
      </c>
      <c r="F867">
        <v>-6</v>
      </c>
      <c r="G867">
        <v>17</v>
      </c>
      <c r="H867">
        <v>10.9</v>
      </c>
      <c r="I867">
        <v>7</v>
      </c>
      <c r="J867">
        <v>14.84</v>
      </c>
      <c r="K867" s="245">
        <v>-29.06</v>
      </c>
      <c r="L867" s="245">
        <v>30.06</v>
      </c>
      <c r="M867" s="245">
        <v>10190.950000000001</v>
      </c>
      <c r="N867" s="257" t="s">
        <v>6830</v>
      </c>
    </row>
    <row r="868" spans="1:14">
      <c r="A868">
        <v>3712</v>
      </c>
      <c r="B868" t="s">
        <v>5503</v>
      </c>
      <c r="C868">
        <v>24.62</v>
      </c>
      <c r="D868">
        <v>248</v>
      </c>
      <c r="E868">
        <v>384</v>
      </c>
      <c r="F868">
        <v>21</v>
      </c>
      <c r="G868">
        <v>140</v>
      </c>
      <c r="H868">
        <v>5.58</v>
      </c>
      <c r="I868">
        <v>1.5</v>
      </c>
      <c r="J868">
        <v>1.76</v>
      </c>
      <c r="K868" s="245">
        <v>-31.12</v>
      </c>
      <c r="L868" s="245">
        <v>22.72</v>
      </c>
      <c r="M868" s="245">
        <v>3381.8</v>
      </c>
      <c r="N868" s="257" t="s">
        <v>6830</v>
      </c>
    </row>
    <row r="869" spans="1:14">
      <c r="A869">
        <v>3713</v>
      </c>
      <c r="B869" t="s">
        <v>6513</v>
      </c>
      <c r="C869">
        <v>7.8</v>
      </c>
      <c r="D869">
        <v>771</v>
      </c>
      <c r="E869">
        <v>1228</v>
      </c>
      <c r="F869">
        <v>-38</v>
      </c>
      <c r="G869">
        <v>62</v>
      </c>
      <c r="H869">
        <v>6.41</v>
      </c>
      <c r="I869">
        <v>0</v>
      </c>
      <c r="J869">
        <v>0.43</v>
      </c>
      <c r="K869" s="245">
        <v>-31.83</v>
      </c>
      <c r="L869" s="245">
        <v>25.01</v>
      </c>
      <c r="M869" s="245">
        <v>45.95</v>
      </c>
      <c r="N869" s="257" t="s">
        <v>6830</v>
      </c>
    </row>
    <row r="870" spans="1:14">
      <c r="A870">
        <v>3714</v>
      </c>
      <c r="B870" t="s">
        <v>5504</v>
      </c>
      <c r="C870">
        <v>68.47</v>
      </c>
      <c r="D870">
        <v>122</v>
      </c>
      <c r="E870">
        <v>147</v>
      </c>
      <c r="F870">
        <v>0</v>
      </c>
      <c r="G870">
        <v>1</v>
      </c>
      <c r="H870">
        <v>5.79</v>
      </c>
      <c r="I870">
        <v>2</v>
      </c>
      <c r="J870">
        <v>3.21</v>
      </c>
      <c r="K870" s="245">
        <v>-42.69</v>
      </c>
      <c r="L870" s="245">
        <v>16.54</v>
      </c>
      <c r="M870" s="245">
        <v>6554.7</v>
      </c>
      <c r="N870" s="257" t="s">
        <v>6830</v>
      </c>
    </row>
    <row r="871" spans="1:14">
      <c r="A871">
        <v>4102</v>
      </c>
      <c r="B871" t="s">
        <v>5505</v>
      </c>
      <c r="C871">
        <v>4.2300000000000004</v>
      </c>
      <c r="D871">
        <v>-73</v>
      </c>
      <c r="E871">
        <v>-75</v>
      </c>
      <c r="F871">
        <v>46</v>
      </c>
      <c r="G871">
        <v>2</v>
      </c>
      <c r="H871">
        <v>1.51</v>
      </c>
      <c r="I871">
        <v>0.1</v>
      </c>
      <c r="J871">
        <v>0.14000000000000001</v>
      </c>
      <c r="K871" s="245">
        <v>-27.08</v>
      </c>
      <c r="L871" s="245">
        <v>30.53</v>
      </c>
      <c r="M871" s="245">
        <v>3895.9</v>
      </c>
      <c r="N871" s="257" t="s">
        <v>6831</v>
      </c>
    </row>
    <row r="872" spans="1:14">
      <c r="A872">
        <v>4104</v>
      </c>
      <c r="B872" t="s">
        <v>5506</v>
      </c>
      <c r="C872">
        <v>14.11</v>
      </c>
      <c r="D872">
        <v>7</v>
      </c>
      <c r="E872">
        <v>12</v>
      </c>
      <c r="F872">
        <v>3</v>
      </c>
      <c r="G872">
        <v>9</v>
      </c>
      <c r="H872">
        <v>9.0500000000000007</v>
      </c>
      <c r="I872">
        <v>4</v>
      </c>
      <c r="J872">
        <v>4.3</v>
      </c>
      <c r="K872" s="245">
        <v>-6.88</v>
      </c>
      <c r="L872" s="245">
        <v>58.35</v>
      </c>
      <c r="M872" s="245">
        <v>647.5</v>
      </c>
      <c r="N872" s="257" t="s">
        <v>6832</v>
      </c>
    </row>
    <row r="873" spans="1:14">
      <c r="A873">
        <v>4105</v>
      </c>
      <c r="B873" t="s">
        <v>5507</v>
      </c>
      <c r="C873">
        <v>24.86</v>
      </c>
      <c r="D873">
        <v>-15</v>
      </c>
      <c r="E873">
        <v>19</v>
      </c>
      <c r="F873">
        <v>1</v>
      </c>
      <c r="G873">
        <v>5</v>
      </c>
      <c r="H873">
        <v>25.15</v>
      </c>
      <c r="I873">
        <v>3</v>
      </c>
      <c r="J873">
        <v>3.35</v>
      </c>
      <c r="K873" s="245">
        <v>-23.96</v>
      </c>
      <c r="L873" s="245">
        <v>29.39</v>
      </c>
      <c r="M873" s="245">
        <v>2196.6999999999998</v>
      </c>
      <c r="N873" s="257" t="s">
        <v>6830</v>
      </c>
    </row>
    <row r="874" spans="1:14">
      <c r="A874">
        <v>4106</v>
      </c>
      <c r="B874" t="s">
        <v>630</v>
      </c>
      <c r="C874">
        <v>10.09</v>
      </c>
      <c r="D874">
        <v>-1</v>
      </c>
      <c r="E874">
        <v>5</v>
      </c>
      <c r="F874">
        <v>-4</v>
      </c>
      <c r="G874">
        <v>14</v>
      </c>
      <c r="H874">
        <v>4.3899999999999997</v>
      </c>
      <c r="I874">
        <v>0.55000000000000004</v>
      </c>
      <c r="J874">
        <v>1.01</v>
      </c>
      <c r="K874" s="245">
        <v>-37.92</v>
      </c>
      <c r="L874" s="245">
        <v>30.33</v>
      </c>
      <c r="M874" s="245">
        <v>8204.35</v>
      </c>
      <c r="N874" s="257" t="s">
        <v>6830</v>
      </c>
    </row>
    <row r="875" spans="1:14">
      <c r="A875">
        <v>4107</v>
      </c>
      <c r="B875" t="s">
        <v>5508</v>
      </c>
      <c r="C875">
        <v>6.92</v>
      </c>
      <c r="D875">
        <v>-11</v>
      </c>
      <c r="E875">
        <v>-9</v>
      </c>
      <c r="F875">
        <v>1</v>
      </c>
      <c r="G875">
        <v>17</v>
      </c>
      <c r="H875">
        <v>30.02</v>
      </c>
      <c r="I875">
        <v>4.5</v>
      </c>
      <c r="J875">
        <v>6.22</v>
      </c>
      <c r="K875" s="245">
        <v>-13.41</v>
      </c>
      <c r="L875" s="245">
        <v>46.11</v>
      </c>
      <c r="M875" s="245">
        <v>60.9</v>
      </c>
      <c r="N875" s="257" t="s">
        <v>6831</v>
      </c>
    </row>
    <row r="876" spans="1:14">
      <c r="A876">
        <v>4108</v>
      </c>
      <c r="B876" t="s">
        <v>5509</v>
      </c>
      <c r="C876">
        <v>19.86</v>
      </c>
      <c r="D876">
        <v>19</v>
      </c>
      <c r="E876">
        <v>22</v>
      </c>
      <c r="F876">
        <v>-24</v>
      </c>
      <c r="G876">
        <v>-43</v>
      </c>
      <c r="H876">
        <v>-78.2</v>
      </c>
      <c r="I876">
        <v>0</v>
      </c>
      <c r="J876">
        <v>-0.4</v>
      </c>
      <c r="K876" s="245">
        <v>-24.9</v>
      </c>
      <c r="L876" s="245">
        <v>20.76</v>
      </c>
      <c r="M876" s="245">
        <v>497.6</v>
      </c>
      <c r="N876" s="257" t="s">
        <v>6830</v>
      </c>
    </row>
    <row r="877" spans="1:14">
      <c r="A877">
        <v>4109</v>
      </c>
      <c r="B877" t="s">
        <v>5510</v>
      </c>
      <c r="C877">
        <v>8.89</v>
      </c>
      <c r="D877">
        <v>115</v>
      </c>
      <c r="E877">
        <v>98</v>
      </c>
      <c r="F877">
        <v>-19</v>
      </c>
      <c r="G877">
        <v>22</v>
      </c>
      <c r="H877">
        <v>-0.38</v>
      </c>
      <c r="I877">
        <v>0</v>
      </c>
      <c r="J877">
        <v>0.06</v>
      </c>
      <c r="K877" s="245">
        <v>-10.62</v>
      </c>
      <c r="L877" s="245">
        <v>51.98</v>
      </c>
      <c r="M877" s="245">
        <v>860.7</v>
      </c>
      <c r="N877" s="257" t="s">
        <v>6831</v>
      </c>
    </row>
    <row r="878" spans="1:14">
      <c r="A878">
        <v>4111</v>
      </c>
      <c r="B878" t="s">
        <v>6144</v>
      </c>
      <c r="C878">
        <v>5.69</v>
      </c>
      <c r="D878">
        <v>36</v>
      </c>
      <c r="E878">
        <v>21</v>
      </c>
      <c r="F878">
        <v>-7</v>
      </c>
      <c r="G878">
        <v>8</v>
      </c>
      <c r="H878">
        <v>8.81</v>
      </c>
      <c r="I878">
        <v>1</v>
      </c>
      <c r="J878">
        <v>1.42</v>
      </c>
      <c r="K878" s="245">
        <v>-13.02</v>
      </c>
      <c r="L878" s="245">
        <v>30.69</v>
      </c>
      <c r="M878" s="245">
        <v>413.9</v>
      </c>
      <c r="N878" s="257" t="s">
        <v>6830</v>
      </c>
    </row>
    <row r="879" spans="1:14">
      <c r="A879">
        <v>4113</v>
      </c>
      <c r="B879" t="s">
        <v>5511</v>
      </c>
      <c r="C879">
        <v>21.11</v>
      </c>
      <c r="D879">
        <v>226</v>
      </c>
      <c r="E879">
        <v>555</v>
      </c>
      <c r="F879">
        <v>-99</v>
      </c>
      <c r="G879">
        <v>-99</v>
      </c>
      <c r="H879">
        <v>13.84</v>
      </c>
      <c r="I879">
        <v>0.4</v>
      </c>
      <c r="J879">
        <v>0.63</v>
      </c>
      <c r="K879" s="245">
        <v>-16.989999999999998</v>
      </c>
      <c r="L879" s="245">
        <v>14.48</v>
      </c>
      <c r="M879" s="245">
        <v>173.05</v>
      </c>
      <c r="N879" s="257" t="s">
        <v>6830</v>
      </c>
    </row>
    <row r="880" spans="1:14">
      <c r="A880">
        <v>4114</v>
      </c>
      <c r="B880" t="s">
        <v>5512</v>
      </c>
      <c r="C880">
        <v>31.36</v>
      </c>
      <c r="D880">
        <v>-75</v>
      </c>
      <c r="E880">
        <v>63</v>
      </c>
      <c r="F880">
        <v>-1</v>
      </c>
      <c r="G880">
        <v>33</v>
      </c>
      <c r="H880">
        <v>5.7</v>
      </c>
      <c r="I880">
        <v>1.5</v>
      </c>
      <c r="J880">
        <v>1.02</v>
      </c>
      <c r="K880" s="245">
        <v>-8.8699999999999992</v>
      </c>
      <c r="L880" s="245">
        <v>54.06</v>
      </c>
      <c r="M880" s="245">
        <v>2483.4499999999998</v>
      </c>
      <c r="N880" s="257" t="s">
        <v>6831</v>
      </c>
    </row>
    <row r="881" spans="1:14">
      <c r="A881">
        <v>4116</v>
      </c>
      <c r="B881" t="s">
        <v>5513</v>
      </c>
      <c r="C881">
        <v>4.45</v>
      </c>
      <c r="D881">
        <v>-41</v>
      </c>
      <c r="E881">
        <v>-52</v>
      </c>
      <c r="F881">
        <v>5</v>
      </c>
      <c r="G881">
        <v>149</v>
      </c>
      <c r="H881">
        <v>3.17</v>
      </c>
      <c r="I881">
        <v>0.5</v>
      </c>
      <c r="J881">
        <v>0.65</v>
      </c>
      <c r="K881" s="245">
        <v>-27.63</v>
      </c>
      <c r="L881" s="245">
        <v>59.07</v>
      </c>
      <c r="M881" s="245">
        <v>7226.7</v>
      </c>
      <c r="N881" s="257" t="s">
        <v>6831</v>
      </c>
    </row>
    <row r="882" spans="1:14">
      <c r="A882">
        <v>4119</v>
      </c>
      <c r="B882" t="s">
        <v>5514</v>
      </c>
      <c r="C882">
        <v>9.5299999999999994</v>
      </c>
      <c r="D882">
        <v>-84</v>
      </c>
      <c r="E882">
        <v>-93</v>
      </c>
      <c r="F882">
        <v>-50</v>
      </c>
      <c r="G882">
        <v>3</v>
      </c>
      <c r="H882">
        <v>8.52</v>
      </c>
      <c r="I882">
        <v>0</v>
      </c>
      <c r="J882">
        <v>0.57999999999999996</v>
      </c>
      <c r="K882" s="245">
        <v>-13.23</v>
      </c>
      <c r="L882" s="245">
        <v>16.329999999999998</v>
      </c>
      <c r="M882" s="245">
        <v>196.7</v>
      </c>
      <c r="N882" s="257" t="s">
        <v>6830</v>
      </c>
    </row>
    <row r="883" spans="1:14">
      <c r="A883">
        <v>4120</v>
      </c>
      <c r="B883" t="s">
        <v>5515</v>
      </c>
      <c r="C883">
        <v>8.67</v>
      </c>
      <c r="D883">
        <v>-30</v>
      </c>
      <c r="E883">
        <v>-181</v>
      </c>
      <c r="F883">
        <v>-14</v>
      </c>
      <c r="G883">
        <v>4</v>
      </c>
      <c r="H883">
        <v>-2.0099999999999998</v>
      </c>
      <c r="I883">
        <v>0.85</v>
      </c>
      <c r="J883">
        <v>1.39</v>
      </c>
      <c r="K883" s="245">
        <v>-24.22</v>
      </c>
      <c r="L883" s="245">
        <v>23.52</v>
      </c>
      <c r="M883" s="245">
        <v>59</v>
      </c>
      <c r="N883" s="257" t="s">
        <v>6830</v>
      </c>
    </row>
    <row r="884" spans="1:14">
      <c r="A884">
        <v>4121</v>
      </c>
      <c r="B884" t="s">
        <v>5516</v>
      </c>
      <c r="C884">
        <v>8.44</v>
      </c>
      <c r="D884">
        <v>-17</v>
      </c>
      <c r="E884">
        <v>-9</v>
      </c>
      <c r="F884">
        <v>51</v>
      </c>
      <c r="G884">
        <v>51</v>
      </c>
      <c r="H884">
        <v>3.4</v>
      </c>
      <c r="I884">
        <v>1.1000000000000001</v>
      </c>
      <c r="J884">
        <v>1.35</v>
      </c>
      <c r="K884" s="245">
        <v>-31.64</v>
      </c>
      <c r="L884" s="245">
        <v>39.85</v>
      </c>
      <c r="M884" s="245">
        <v>23715.15</v>
      </c>
      <c r="N884" s="257" t="s">
        <v>6830</v>
      </c>
    </row>
    <row r="885" spans="1:14">
      <c r="A885">
        <v>4123</v>
      </c>
      <c r="B885" t="s">
        <v>5517</v>
      </c>
      <c r="C885">
        <v>50.5</v>
      </c>
      <c r="D885">
        <v>-55</v>
      </c>
      <c r="E885">
        <v>46</v>
      </c>
      <c r="F885">
        <v>16</v>
      </c>
      <c r="G885">
        <v>28</v>
      </c>
      <c r="H885">
        <v>-50.82</v>
      </c>
      <c r="I885">
        <v>4</v>
      </c>
      <c r="J885">
        <v>3.6</v>
      </c>
      <c r="K885" s="245">
        <v>-20.73</v>
      </c>
      <c r="L885" s="245">
        <v>38.270000000000003</v>
      </c>
      <c r="M885" s="245">
        <v>2111.4</v>
      </c>
      <c r="N885" s="257" t="s">
        <v>6830</v>
      </c>
    </row>
    <row r="886" spans="1:14">
      <c r="A886">
        <v>4126</v>
      </c>
      <c r="B886" t="s">
        <v>5518</v>
      </c>
      <c r="C886">
        <v>7.26</v>
      </c>
      <c r="D886">
        <v>17</v>
      </c>
      <c r="E886">
        <v>-28</v>
      </c>
      <c r="F886">
        <v>-22</v>
      </c>
      <c r="G886">
        <v>-11</v>
      </c>
      <c r="H886">
        <v>15.52</v>
      </c>
      <c r="I886">
        <v>4.5</v>
      </c>
      <c r="J886">
        <v>5.32</v>
      </c>
      <c r="K886" s="245">
        <v>-8.59</v>
      </c>
      <c r="L886" s="245">
        <v>21.7</v>
      </c>
      <c r="M886" s="245">
        <v>182</v>
      </c>
      <c r="N886" s="257" t="s">
        <v>6831</v>
      </c>
    </row>
    <row r="887" spans="1:14">
      <c r="A887">
        <v>4127</v>
      </c>
      <c r="B887" t="s">
        <v>6514</v>
      </c>
      <c r="C887">
        <v>4.57</v>
      </c>
      <c r="D887">
        <v>190</v>
      </c>
      <c r="E887">
        <v>184</v>
      </c>
      <c r="F887">
        <v>-6</v>
      </c>
      <c r="G887">
        <v>10</v>
      </c>
      <c r="H887">
        <v>7.52</v>
      </c>
      <c r="I887">
        <v>0</v>
      </c>
      <c r="J887">
        <v>1.02</v>
      </c>
      <c r="K887" s="245">
        <v>-27.9</v>
      </c>
      <c r="L887" s="245">
        <v>37.36</v>
      </c>
      <c r="M887" s="245">
        <v>2267</v>
      </c>
      <c r="N887" s="257" t="s">
        <v>6831</v>
      </c>
    </row>
    <row r="888" spans="1:14">
      <c r="A888">
        <v>4128</v>
      </c>
      <c r="B888" t="s">
        <v>5519</v>
      </c>
      <c r="C888">
        <v>46.63</v>
      </c>
      <c r="D888">
        <v>-144</v>
      </c>
      <c r="E888">
        <v>-5</v>
      </c>
      <c r="F888">
        <v>49</v>
      </c>
      <c r="G888">
        <v>61</v>
      </c>
      <c r="H888">
        <v>-65.17</v>
      </c>
      <c r="I888">
        <v>1</v>
      </c>
      <c r="J888">
        <v>0.11</v>
      </c>
      <c r="K888" s="245">
        <v>-24.57</v>
      </c>
      <c r="L888" s="245">
        <v>22.43</v>
      </c>
      <c r="M888" s="245">
        <v>3324.65</v>
      </c>
      <c r="N888" s="257" t="s">
        <v>6830</v>
      </c>
    </row>
    <row r="889" spans="1:14">
      <c r="A889">
        <v>4129</v>
      </c>
      <c r="B889" t="s">
        <v>5520</v>
      </c>
      <c r="C889">
        <v>7.81</v>
      </c>
      <c r="D889">
        <v>-47</v>
      </c>
      <c r="E889">
        <v>79</v>
      </c>
      <c r="F889">
        <v>-18</v>
      </c>
      <c r="G889">
        <v>1</v>
      </c>
      <c r="H889">
        <v>6.28</v>
      </c>
      <c r="I889">
        <v>0</v>
      </c>
      <c r="J889">
        <v>0.37</v>
      </c>
      <c r="K889" s="245">
        <v>-19.309999999999999</v>
      </c>
      <c r="L889" s="245">
        <v>28.83</v>
      </c>
      <c r="M889" s="245">
        <v>133.65</v>
      </c>
      <c r="N889" s="257" t="s">
        <v>6830</v>
      </c>
    </row>
    <row r="890" spans="1:14">
      <c r="A890">
        <v>4130</v>
      </c>
      <c r="B890" t="s">
        <v>5521</v>
      </c>
      <c r="C890">
        <v>10.93</v>
      </c>
      <c r="D890">
        <v>-99</v>
      </c>
      <c r="E890">
        <v>-102</v>
      </c>
      <c r="F890">
        <v>-2</v>
      </c>
      <c r="G890">
        <v>10</v>
      </c>
      <c r="H890">
        <v>-0.27</v>
      </c>
      <c r="I890">
        <v>0.35</v>
      </c>
      <c r="J890">
        <v>0</v>
      </c>
      <c r="K890" s="245">
        <v>-26.03</v>
      </c>
      <c r="L890" s="245">
        <v>23.1</v>
      </c>
      <c r="M890" s="245">
        <v>3376.45</v>
      </c>
      <c r="N890" s="257" t="s">
        <v>6830</v>
      </c>
    </row>
    <row r="891" spans="1:14">
      <c r="A891">
        <v>4131</v>
      </c>
      <c r="B891" t="s">
        <v>6515</v>
      </c>
      <c r="C891">
        <v>1.9</v>
      </c>
      <c r="D891">
        <v>17</v>
      </c>
      <c r="E891">
        <v>15</v>
      </c>
      <c r="F891">
        <v>-51</v>
      </c>
      <c r="G891">
        <v>-43</v>
      </c>
      <c r="H891">
        <v>-31.85</v>
      </c>
      <c r="I891">
        <v>0</v>
      </c>
      <c r="J891">
        <v>-0.91</v>
      </c>
      <c r="K891" s="245">
        <v>-21.76</v>
      </c>
      <c r="L891" s="245">
        <v>29.87</v>
      </c>
      <c r="M891" s="245">
        <v>3.85</v>
      </c>
      <c r="N891" s="257" t="s">
        <v>6832</v>
      </c>
    </row>
    <row r="892" spans="1:14">
      <c r="A892">
        <v>4133</v>
      </c>
      <c r="B892" t="s">
        <v>5522</v>
      </c>
      <c r="C892">
        <v>6.05</v>
      </c>
      <c r="D892">
        <v>-22</v>
      </c>
      <c r="E892">
        <v>-24</v>
      </c>
      <c r="F892">
        <v>0</v>
      </c>
      <c r="G892">
        <v>13</v>
      </c>
      <c r="H892">
        <v>9.7100000000000009</v>
      </c>
      <c r="I892">
        <v>0.46</v>
      </c>
      <c r="J892">
        <v>0.47</v>
      </c>
      <c r="K892" s="245">
        <v>-43.35</v>
      </c>
      <c r="L892" s="245">
        <v>41.15</v>
      </c>
      <c r="M892" s="245">
        <v>9895.75</v>
      </c>
      <c r="N892" s="257" t="s">
        <v>6830</v>
      </c>
    </row>
    <row r="893" spans="1:14">
      <c r="A893">
        <v>4137</v>
      </c>
      <c r="B893" t="s">
        <v>5523</v>
      </c>
      <c r="C893">
        <v>7.94</v>
      </c>
      <c r="D893">
        <v>41</v>
      </c>
      <c r="E893">
        <v>58</v>
      </c>
      <c r="F893">
        <v>-72</v>
      </c>
      <c r="G893">
        <v>-73</v>
      </c>
      <c r="H893">
        <v>33.61</v>
      </c>
      <c r="I893">
        <v>12</v>
      </c>
      <c r="J893">
        <v>17.05</v>
      </c>
      <c r="K893" s="245">
        <v>-31.56</v>
      </c>
      <c r="L893" s="245">
        <v>10.8</v>
      </c>
      <c r="M893" s="245">
        <v>124.5</v>
      </c>
      <c r="N893" s="257" t="s">
        <v>6830</v>
      </c>
    </row>
    <row r="894" spans="1:14">
      <c r="A894">
        <v>4138</v>
      </c>
      <c r="B894" t="s">
        <v>6208</v>
      </c>
      <c r="C894">
        <v>3</v>
      </c>
      <c r="D894">
        <v>21</v>
      </c>
      <c r="E894">
        <v>13</v>
      </c>
      <c r="F894">
        <v>4</v>
      </c>
      <c r="G894">
        <v>0</v>
      </c>
      <c r="H894">
        <v>15.6</v>
      </c>
      <c r="I894">
        <v>3.7</v>
      </c>
      <c r="J894">
        <v>4.1100000000000003</v>
      </c>
      <c r="K894" s="245">
        <v>-4.8099999999999996</v>
      </c>
      <c r="L894" s="245">
        <v>42.44</v>
      </c>
      <c r="M894" s="245">
        <v>27.3</v>
      </c>
      <c r="N894" s="257" t="s">
        <v>6832</v>
      </c>
    </row>
    <row r="895" spans="1:14">
      <c r="A895">
        <v>4139</v>
      </c>
      <c r="B895" t="s">
        <v>6294</v>
      </c>
      <c r="C895">
        <v>4.25</v>
      </c>
      <c r="D895">
        <v>-57</v>
      </c>
      <c r="E895">
        <v>-25</v>
      </c>
      <c r="F895">
        <v>0</v>
      </c>
      <c r="G895">
        <v>7</v>
      </c>
      <c r="H895">
        <v>4.76</v>
      </c>
      <c r="I895">
        <v>0</v>
      </c>
      <c r="J895">
        <v>0.91</v>
      </c>
      <c r="K895" s="245">
        <v>-16.54</v>
      </c>
      <c r="L895" s="245">
        <v>45.75</v>
      </c>
      <c r="M895" s="245">
        <v>102</v>
      </c>
      <c r="N895" s="257" t="s">
        <v>6830</v>
      </c>
    </row>
    <row r="896" spans="1:14">
      <c r="A896">
        <v>4142</v>
      </c>
      <c r="B896" t="s">
        <v>5524</v>
      </c>
      <c r="C896">
        <v>42.95</v>
      </c>
      <c r="D896">
        <v>-98</v>
      </c>
      <c r="E896">
        <v>-701</v>
      </c>
      <c r="F896">
        <v>-22</v>
      </c>
      <c r="G896">
        <v>673</v>
      </c>
      <c r="H896">
        <v>-12.6</v>
      </c>
      <c r="I896">
        <v>0</v>
      </c>
      <c r="J896">
        <v>0.1</v>
      </c>
      <c r="K896" s="245">
        <v>-36.21</v>
      </c>
      <c r="L896" s="245">
        <v>23.73</v>
      </c>
      <c r="M896" s="245">
        <v>3059.5</v>
      </c>
      <c r="N896" s="257" t="s">
        <v>6830</v>
      </c>
    </row>
    <row r="897" spans="1:14">
      <c r="A897">
        <v>4147</v>
      </c>
      <c r="B897" t="s">
        <v>5525</v>
      </c>
      <c r="C897">
        <v>25.23</v>
      </c>
      <c r="D897">
        <v>-156</v>
      </c>
      <c r="E897">
        <v>-266</v>
      </c>
      <c r="F897">
        <v>214</v>
      </c>
      <c r="G897">
        <v>-28</v>
      </c>
      <c r="H897">
        <v>-117.64</v>
      </c>
      <c r="I897">
        <v>0</v>
      </c>
      <c r="J897">
        <v>-1.87</v>
      </c>
      <c r="K897" s="245">
        <v>-30.59</v>
      </c>
      <c r="L897" s="245">
        <v>10.99</v>
      </c>
      <c r="M897" s="245">
        <v>778.4</v>
      </c>
      <c r="N897" s="257" t="s">
        <v>6830</v>
      </c>
    </row>
    <row r="898" spans="1:14">
      <c r="A898">
        <v>4148</v>
      </c>
      <c r="B898" t="s">
        <v>5526</v>
      </c>
      <c r="C898">
        <v>6.4</v>
      </c>
      <c r="D898">
        <v>141</v>
      </c>
      <c r="E898">
        <v>166</v>
      </c>
      <c r="F898">
        <v>-2</v>
      </c>
      <c r="G898">
        <v>59</v>
      </c>
      <c r="H898">
        <v>12.44</v>
      </c>
      <c r="I898">
        <v>1.5</v>
      </c>
      <c r="J898">
        <v>3.09</v>
      </c>
      <c r="K898" s="245">
        <v>-33.299999999999997</v>
      </c>
      <c r="L898" s="245">
        <v>38.369999999999997</v>
      </c>
      <c r="M898" s="245">
        <v>1616.7</v>
      </c>
      <c r="N898" s="257" t="s">
        <v>6831</v>
      </c>
    </row>
    <row r="899" spans="1:14">
      <c r="A899">
        <v>4153</v>
      </c>
      <c r="B899" t="s">
        <v>5527</v>
      </c>
      <c r="C899">
        <v>6.17</v>
      </c>
      <c r="D899">
        <v>25</v>
      </c>
      <c r="E899">
        <v>-67</v>
      </c>
      <c r="F899">
        <v>-14</v>
      </c>
      <c r="G899">
        <v>21</v>
      </c>
      <c r="H899">
        <v>3.17</v>
      </c>
      <c r="I899">
        <v>0.37</v>
      </c>
      <c r="J899">
        <v>0.37</v>
      </c>
      <c r="K899" s="245">
        <v>-19.66</v>
      </c>
      <c r="L899" s="245">
        <v>36.659999999999997</v>
      </c>
      <c r="M899" s="245">
        <v>933.55</v>
      </c>
      <c r="N899" s="257" t="s">
        <v>6831</v>
      </c>
    </row>
    <row r="900" spans="1:14">
      <c r="A900">
        <v>4154</v>
      </c>
      <c r="B900" t="s">
        <v>6516</v>
      </c>
      <c r="C900">
        <v>3.57</v>
      </c>
      <c r="D900">
        <v>-171</v>
      </c>
      <c r="E900">
        <v>-188</v>
      </c>
      <c r="F900">
        <v>32</v>
      </c>
      <c r="G900">
        <v>66</v>
      </c>
      <c r="H900">
        <v>-25.14</v>
      </c>
      <c r="I900">
        <v>0</v>
      </c>
      <c r="J900">
        <v>-2.1800000000000002</v>
      </c>
      <c r="K900" s="245">
        <v>-35.53</v>
      </c>
      <c r="L900" s="245">
        <v>34.65</v>
      </c>
      <c r="M900" s="245">
        <v>37.65</v>
      </c>
      <c r="N900" s="257" t="s">
        <v>6831</v>
      </c>
    </row>
    <row r="901" spans="1:14">
      <c r="A901">
        <v>4155</v>
      </c>
      <c r="B901" t="s">
        <v>5528</v>
      </c>
      <c r="C901">
        <v>9.49</v>
      </c>
      <c r="D901">
        <v>-74</v>
      </c>
      <c r="E901">
        <v>-93</v>
      </c>
      <c r="F901">
        <v>-32</v>
      </c>
      <c r="G901">
        <v>36</v>
      </c>
      <c r="H901">
        <v>0.64</v>
      </c>
      <c r="I901">
        <v>1</v>
      </c>
      <c r="J901">
        <v>0.46</v>
      </c>
      <c r="K901" s="245">
        <v>-12.71</v>
      </c>
      <c r="L901" s="245">
        <v>26.66</v>
      </c>
      <c r="M901" s="245">
        <v>1148.3499999999999</v>
      </c>
      <c r="N901" s="257" t="s">
        <v>6830</v>
      </c>
    </row>
    <row r="902" spans="1:14">
      <c r="A902">
        <v>4157</v>
      </c>
      <c r="B902" t="s">
        <v>5529</v>
      </c>
      <c r="C902">
        <v>0</v>
      </c>
      <c r="D902">
        <v>291</v>
      </c>
      <c r="E902">
        <v>392</v>
      </c>
      <c r="F902">
        <v>0</v>
      </c>
      <c r="G902">
        <v>-99</v>
      </c>
      <c r="H902">
        <v>69.48</v>
      </c>
      <c r="I902">
        <v>0</v>
      </c>
      <c r="J902">
        <v>1.08</v>
      </c>
      <c r="K902" s="245">
        <v>-28.31</v>
      </c>
      <c r="L902" s="245">
        <v>25.14</v>
      </c>
      <c r="M902" s="245">
        <v>4085.25</v>
      </c>
      <c r="N902" s="257" t="s">
        <v>6831</v>
      </c>
    </row>
    <row r="903" spans="1:14">
      <c r="A903">
        <v>4160</v>
      </c>
      <c r="B903" t="s">
        <v>6517</v>
      </c>
      <c r="C903">
        <v>2.42</v>
      </c>
      <c r="D903">
        <v>151</v>
      </c>
      <c r="E903">
        <v>79</v>
      </c>
      <c r="F903">
        <v>-11</v>
      </c>
      <c r="G903">
        <v>17</v>
      </c>
      <c r="H903">
        <v>-0.87</v>
      </c>
      <c r="I903">
        <v>0.28999999999999998</v>
      </c>
      <c r="J903">
        <v>0.32</v>
      </c>
      <c r="K903" s="245">
        <v>-6.46</v>
      </c>
      <c r="L903" s="245">
        <v>31.98</v>
      </c>
      <c r="M903" s="245">
        <v>41.35</v>
      </c>
      <c r="N903" s="257" t="s">
        <v>6831</v>
      </c>
    </row>
    <row r="904" spans="1:14">
      <c r="A904">
        <v>4161</v>
      </c>
      <c r="B904" t="s">
        <v>5530</v>
      </c>
      <c r="C904">
        <v>5.26</v>
      </c>
      <c r="D904">
        <v>133</v>
      </c>
      <c r="E904">
        <v>184</v>
      </c>
      <c r="F904">
        <v>-31</v>
      </c>
      <c r="G904">
        <v>-37</v>
      </c>
      <c r="H904">
        <v>4.84</v>
      </c>
      <c r="I904">
        <v>0.3</v>
      </c>
      <c r="J904">
        <v>0.47</v>
      </c>
      <c r="K904" s="245">
        <v>-23.2</v>
      </c>
      <c r="L904" s="245">
        <v>18.2</v>
      </c>
      <c r="M904" s="245">
        <v>313.5</v>
      </c>
      <c r="N904" s="257" t="s">
        <v>6830</v>
      </c>
    </row>
    <row r="905" spans="1:14">
      <c r="A905">
        <v>4162</v>
      </c>
      <c r="B905" t="s">
        <v>5531</v>
      </c>
      <c r="C905">
        <v>14.55</v>
      </c>
      <c r="D905">
        <v>-29</v>
      </c>
      <c r="E905">
        <v>-55</v>
      </c>
      <c r="F905">
        <v>-85</v>
      </c>
      <c r="G905">
        <v>-2</v>
      </c>
      <c r="H905">
        <v>55.39</v>
      </c>
      <c r="I905">
        <v>2.7</v>
      </c>
      <c r="J905">
        <v>2.95</v>
      </c>
      <c r="K905" s="245">
        <v>-25.67</v>
      </c>
      <c r="L905" s="245">
        <v>24.72</v>
      </c>
      <c r="M905" s="245">
        <v>4060.55</v>
      </c>
      <c r="N905" s="257" t="s">
        <v>6831</v>
      </c>
    </row>
    <row r="906" spans="1:14">
      <c r="A906">
        <v>4163</v>
      </c>
      <c r="B906" t="s">
        <v>5532</v>
      </c>
      <c r="C906">
        <v>4.82</v>
      </c>
      <c r="D906">
        <v>-8</v>
      </c>
      <c r="E906">
        <v>-32</v>
      </c>
      <c r="F906">
        <v>-15</v>
      </c>
      <c r="G906">
        <v>-7</v>
      </c>
      <c r="H906">
        <v>11.25</v>
      </c>
      <c r="I906">
        <v>2.5</v>
      </c>
      <c r="J906">
        <v>4.7300000000000004</v>
      </c>
      <c r="K906" s="245">
        <v>-11.11</v>
      </c>
      <c r="L906" s="245">
        <v>43.6</v>
      </c>
      <c r="M906" s="245">
        <v>35.65</v>
      </c>
      <c r="N906" s="257" t="s">
        <v>6830</v>
      </c>
    </row>
    <row r="907" spans="1:14">
      <c r="A907">
        <v>4164</v>
      </c>
      <c r="B907" t="s">
        <v>5533</v>
      </c>
      <c r="C907">
        <v>16.149999999999999</v>
      </c>
      <c r="D907">
        <v>4</v>
      </c>
      <c r="E907">
        <v>-3</v>
      </c>
      <c r="F907">
        <v>-3</v>
      </c>
      <c r="G907">
        <v>37</v>
      </c>
      <c r="H907">
        <v>20.22</v>
      </c>
      <c r="I907">
        <v>2.0099999999999998</v>
      </c>
      <c r="J907">
        <v>2.4300000000000002</v>
      </c>
      <c r="K907" s="245">
        <v>-23.16</v>
      </c>
      <c r="L907" s="245">
        <v>31.47</v>
      </c>
      <c r="M907" s="245">
        <v>777.75</v>
      </c>
      <c r="N907" s="257" t="s">
        <v>6830</v>
      </c>
    </row>
    <row r="908" spans="1:14">
      <c r="A908">
        <v>4167</v>
      </c>
      <c r="B908" t="s">
        <v>5534</v>
      </c>
      <c r="C908">
        <v>31.7</v>
      </c>
      <c r="D908">
        <v>-96</v>
      </c>
      <c r="E908">
        <v>-87</v>
      </c>
      <c r="F908">
        <v>-9</v>
      </c>
      <c r="G908">
        <v>-10</v>
      </c>
      <c r="H908">
        <v>1.68</v>
      </c>
      <c r="I908">
        <v>0</v>
      </c>
      <c r="J908">
        <v>0.03</v>
      </c>
      <c r="K908" s="245">
        <v>-42.43</v>
      </c>
      <c r="L908" s="245">
        <v>27.72</v>
      </c>
      <c r="M908" s="245">
        <v>2732.75</v>
      </c>
      <c r="N908" s="257" t="s">
        <v>6830</v>
      </c>
    </row>
    <row r="909" spans="1:14">
      <c r="A909">
        <v>4168</v>
      </c>
      <c r="B909" t="s">
        <v>5535</v>
      </c>
      <c r="C909">
        <v>9.74</v>
      </c>
      <c r="D909">
        <v>-6</v>
      </c>
      <c r="E909">
        <v>8</v>
      </c>
      <c r="F909">
        <v>-26</v>
      </c>
      <c r="G909">
        <v>0</v>
      </c>
      <c r="H909">
        <v>-3560.33</v>
      </c>
      <c r="I909">
        <v>0</v>
      </c>
      <c r="J909">
        <v>-1.78</v>
      </c>
      <c r="K909" s="245">
        <v>-25</v>
      </c>
      <c r="L909" s="245">
        <v>19.53</v>
      </c>
      <c r="M909" s="245">
        <v>1287.8</v>
      </c>
      <c r="N909" s="257" t="s">
        <v>6830</v>
      </c>
    </row>
    <row r="910" spans="1:14">
      <c r="A910">
        <v>4171</v>
      </c>
      <c r="B910" t="s">
        <v>5536</v>
      </c>
      <c r="C910">
        <v>4.17</v>
      </c>
      <c r="D910">
        <v>40</v>
      </c>
      <c r="E910">
        <v>35</v>
      </c>
      <c r="F910">
        <v>17</v>
      </c>
      <c r="G910">
        <v>39</v>
      </c>
      <c r="H910">
        <v>47.66</v>
      </c>
      <c r="I910">
        <v>6</v>
      </c>
      <c r="J910">
        <v>9.01</v>
      </c>
      <c r="K910" s="245">
        <v>-33.07</v>
      </c>
      <c r="L910" s="245">
        <v>53.06</v>
      </c>
      <c r="M910" s="245">
        <v>27934.45</v>
      </c>
      <c r="N910" s="257" t="s">
        <v>6831</v>
      </c>
    </row>
    <row r="911" spans="1:14">
      <c r="A911">
        <v>4173</v>
      </c>
      <c r="B911" t="s">
        <v>5537</v>
      </c>
      <c r="C911">
        <v>7.45</v>
      </c>
      <c r="D911">
        <v>17</v>
      </c>
      <c r="E911">
        <v>12</v>
      </c>
      <c r="F911">
        <v>-18</v>
      </c>
      <c r="G911">
        <v>4</v>
      </c>
      <c r="H911">
        <v>5.76</v>
      </c>
      <c r="I911">
        <v>0.5</v>
      </c>
      <c r="J911">
        <v>0.74</v>
      </c>
      <c r="K911" s="245">
        <v>-40.96</v>
      </c>
      <c r="L911" s="245">
        <v>25.46</v>
      </c>
      <c r="M911" s="245">
        <v>2779.65</v>
      </c>
      <c r="N911" s="257" t="s">
        <v>6830</v>
      </c>
    </row>
    <row r="912" spans="1:14">
      <c r="A912">
        <v>4174</v>
      </c>
      <c r="B912" t="s">
        <v>5538</v>
      </c>
      <c r="C912">
        <v>22.92</v>
      </c>
      <c r="D912">
        <v>-15</v>
      </c>
      <c r="E912">
        <v>-17</v>
      </c>
      <c r="F912">
        <v>-84</v>
      </c>
      <c r="G912">
        <v>-84</v>
      </c>
      <c r="H912">
        <v>-9141.35</v>
      </c>
      <c r="I912">
        <v>0</v>
      </c>
      <c r="J912">
        <v>-7.69</v>
      </c>
      <c r="K912" s="245">
        <v>-19.64</v>
      </c>
      <c r="L912" s="245">
        <v>44.26</v>
      </c>
      <c r="M912" s="245">
        <v>1376.65</v>
      </c>
      <c r="N912" s="257" t="s">
        <v>6831</v>
      </c>
    </row>
    <row r="913" spans="1:14">
      <c r="A913">
        <v>4175</v>
      </c>
      <c r="B913" t="s">
        <v>5539</v>
      </c>
      <c r="C913">
        <v>3.52</v>
      </c>
      <c r="D913">
        <v>-36</v>
      </c>
      <c r="E913">
        <v>-25</v>
      </c>
      <c r="F913">
        <v>14</v>
      </c>
      <c r="G913">
        <v>30</v>
      </c>
      <c r="H913">
        <v>1.73</v>
      </c>
      <c r="I913">
        <v>1.6</v>
      </c>
      <c r="J913">
        <v>1.97</v>
      </c>
      <c r="K913" s="245">
        <v>-32.159999999999997</v>
      </c>
      <c r="L913" s="245">
        <v>38.85</v>
      </c>
      <c r="M913" s="245">
        <v>2800</v>
      </c>
      <c r="N913" s="257" t="s">
        <v>6830</v>
      </c>
    </row>
    <row r="914" spans="1:14">
      <c r="A914">
        <v>4183</v>
      </c>
      <c r="B914" t="s">
        <v>6518</v>
      </c>
      <c r="C914">
        <v>2.38</v>
      </c>
      <c r="D914">
        <v>-41</v>
      </c>
      <c r="E914">
        <v>-25</v>
      </c>
      <c r="F914">
        <v>41</v>
      </c>
      <c r="G914">
        <v>0</v>
      </c>
      <c r="H914">
        <v>6.88</v>
      </c>
      <c r="I914">
        <v>0.7</v>
      </c>
      <c r="J914">
        <v>0.78</v>
      </c>
      <c r="K914" s="245">
        <v>-10.050000000000001</v>
      </c>
      <c r="L914" s="245">
        <v>33.92</v>
      </c>
      <c r="M914" s="245">
        <v>44.85</v>
      </c>
      <c r="N914" s="257" t="s">
        <v>6831</v>
      </c>
    </row>
    <row r="915" spans="1:14">
      <c r="A915">
        <v>4188</v>
      </c>
      <c r="B915" t="s">
        <v>6519</v>
      </c>
      <c r="C915">
        <v>5.32</v>
      </c>
      <c r="D915">
        <v>37</v>
      </c>
      <c r="E915">
        <v>34</v>
      </c>
      <c r="F915">
        <v>10</v>
      </c>
      <c r="G915">
        <v>14</v>
      </c>
      <c r="H915">
        <v>-42.86</v>
      </c>
      <c r="I915">
        <v>0</v>
      </c>
      <c r="J915">
        <v>-0.48</v>
      </c>
      <c r="K915" s="245">
        <v>-19.05</v>
      </c>
      <c r="L915" s="245">
        <v>26.84</v>
      </c>
      <c r="M915" s="245">
        <v>54.75</v>
      </c>
      <c r="N915" s="257" t="s">
        <v>6830</v>
      </c>
    </row>
    <row r="916" spans="1:14">
      <c r="A916">
        <v>4190</v>
      </c>
      <c r="B916" t="s">
        <v>5540</v>
      </c>
      <c r="C916">
        <v>6.08</v>
      </c>
      <c r="D916">
        <v>13</v>
      </c>
      <c r="E916">
        <v>-14</v>
      </c>
      <c r="F916">
        <v>-3</v>
      </c>
      <c r="G916">
        <v>-12</v>
      </c>
      <c r="H916">
        <v>12</v>
      </c>
      <c r="I916">
        <v>3.5</v>
      </c>
      <c r="J916">
        <v>4.9800000000000004</v>
      </c>
      <c r="K916" s="245">
        <v>-25.99</v>
      </c>
      <c r="L916" s="245">
        <v>26.53</v>
      </c>
      <c r="M916" s="245">
        <v>61.55</v>
      </c>
      <c r="N916" s="257" t="s">
        <v>6830</v>
      </c>
    </row>
    <row r="917" spans="1:14">
      <c r="A917">
        <v>4192</v>
      </c>
      <c r="B917" t="s">
        <v>6520</v>
      </c>
      <c r="C917">
        <v>11.5</v>
      </c>
      <c r="D917">
        <v>-14</v>
      </c>
      <c r="E917">
        <v>-15</v>
      </c>
      <c r="F917">
        <v>-27</v>
      </c>
      <c r="G917">
        <v>119</v>
      </c>
      <c r="H917">
        <v>-6609.3</v>
      </c>
      <c r="I917">
        <v>0</v>
      </c>
      <c r="J917">
        <v>-4.04</v>
      </c>
      <c r="K917" s="245">
        <v>-76.290000000000006</v>
      </c>
      <c r="L917" s="245">
        <v>21.41</v>
      </c>
      <c r="M917" s="245">
        <v>187.65</v>
      </c>
      <c r="N917" s="257" t="s">
        <v>6830</v>
      </c>
    </row>
    <row r="918" spans="1:14">
      <c r="A918">
        <v>4198</v>
      </c>
      <c r="B918" t="s">
        <v>6521</v>
      </c>
      <c r="C918">
        <v>8.0500000000000007</v>
      </c>
      <c r="D918">
        <v>16</v>
      </c>
      <c r="E918">
        <v>23</v>
      </c>
      <c r="F918">
        <v>-33</v>
      </c>
      <c r="G918">
        <v>96</v>
      </c>
      <c r="H918">
        <v>-84.42</v>
      </c>
      <c r="I918">
        <v>0</v>
      </c>
      <c r="J918">
        <v>-1.3</v>
      </c>
      <c r="K918" s="245">
        <v>-30.22</v>
      </c>
      <c r="L918" s="245">
        <v>38.450000000000003</v>
      </c>
      <c r="M918" s="245">
        <v>27.55</v>
      </c>
      <c r="N918" s="257" t="s">
        <v>6830</v>
      </c>
    </row>
    <row r="919" spans="1:14">
      <c r="A919">
        <v>4205</v>
      </c>
      <c r="B919" t="s">
        <v>6145</v>
      </c>
      <c r="C919">
        <v>8.8699999999999992</v>
      </c>
      <c r="D919">
        <v>-1</v>
      </c>
      <c r="E919">
        <v>1</v>
      </c>
      <c r="F919">
        <v>-9</v>
      </c>
      <c r="G919">
        <v>-1</v>
      </c>
      <c r="H919">
        <v>24.16</v>
      </c>
      <c r="I919">
        <v>3</v>
      </c>
      <c r="J919">
        <v>3.76</v>
      </c>
      <c r="K919" s="245">
        <v>-33.770000000000003</v>
      </c>
      <c r="L919" s="245">
        <v>15.32</v>
      </c>
      <c r="M919" s="245">
        <v>30.5</v>
      </c>
      <c r="N919" s="257" t="s">
        <v>6830</v>
      </c>
    </row>
    <row r="920" spans="1:14">
      <c r="A920">
        <v>4207</v>
      </c>
      <c r="B920" t="s">
        <v>5541</v>
      </c>
      <c r="C920">
        <v>16.2</v>
      </c>
      <c r="D920">
        <v>157</v>
      </c>
      <c r="E920">
        <v>0</v>
      </c>
      <c r="F920">
        <v>2</v>
      </c>
      <c r="G920">
        <v>32</v>
      </c>
      <c r="H920">
        <v>6.84</v>
      </c>
      <c r="I920">
        <v>1.25</v>
      </c>
      <c r="J920">
        <v>2.25</v>
      </c>
      <c r="K920" s="245">
        <v>-17.68</v>
      </c>
      <c r="L920" s="245">
        <v>38.229999999999997</v>
      </c>
      <c r="M920" s="245">
        <v>4548.3500000000004</v>
      </c>
      <c r="N920" s="257" t="s">
        <v>6831</v>
      </c>
    </row>
    <row r="921" spans="1:14">
      <c r="A921">
        <v>4303</v>
      </c>
      <c r="B921" t="s">
        <v>5542</v>
      </c>
      <c r="C921">
        <v>6.75</v>
      </c>
      <c r="D921">
        <v>581</v>
      </c>
      <c r="E921">
        <v>95</v>
      </c>
      <c r="F921">
        <v>-13</v>
      </c>
      <c r="G921">
        <v>-15</v>
      </c>
      <c r="H921">
        <v>5.09</v>
      </c>
      <c r="I921">
        <v>1.1000000000000001</v>
      </c>
      <c r="J921">
        <v>1.96</v>
      </c>
      <c r="K921" s="245">
        <v>-19.309999999999999</v>
      </c>
      <c r="L921" s="245">
        <v>59.07</v>
      </c>
      <c r="M921" s="245">
        <v>1715.75</v>
      </c>
      <c r="N921" s="257" t="s">
        <v>6831</v>
      </c>
    </row>
    <row r="922" spans="1:14">
      <c r="A922">
        <v>4304</v>
      </c>
      <c r="B922" t="s">
        <v>6522</v>
      </c>
      <c r="C922">
        <v>3.6</v>
      </c>
      <c r="D922">
        <v>471</v>
      </c>
      <c r="E922">
        <v>-31</v>
      </c>
      <c r="F922">
        <v>-20</v>
      </c>
      <c r="G922">
        <v>-8</v>
      </c>
      <c r="H922">
        <v>-10.45</v>
      </c>
      <c r="I922">
        <v>0</v>
      </c>
      <c r="J922">
        <v>4.22</v>
      </c>
      <c r="K922" s="245">
        <v>-43.67</v>
      </c>
      <c r="L922" s="245">
        <v>20.59</v>
      </c>
      <c r="M922" s="245">
        <v>277.64999999999998</v>
      </c>
      <c r="N922" s="257" t="s">
        <v>6830</v>
      </c>
    </row>
    <row r="923" spans="1:14">
      <c r="A923">
        <v>4305</v>
      </c>
      <c r="B923" t="s">
        <v>6353</v>
      </c>
      <c r="C923">
        <v>5.5</v>
      </c>
      <c r="D923">
        <v>-2</v>
      </c>
      <c r="E923">
        <v>-4</v>
      </c>
      <c r="F923">
        <v>-12</v>
      </c>
      <c r="G923">
        <v>-21</v>
      </c>
      <c r="H923">
        <v>13.17</v>
      </c>
      <c r="I923">
        <v>1.8</v>
      </c>
      <c r="J923">
        <v>2.0299999999999998</v>
      </c>
      <c r="K923" s="245">
        <v>-9.1999999999999993</v>
      </c>
      <c r="L923" s="245">
        <v>61.16</v>
      </c>
      <c r="M923" s="245">
        <v>3.85</v>
      </c>
      <c r="N923" s="257" t="s">
        <v>6831</v>
      </c>
    </row>
    <row r="924" spans="1:14">
      <c r="A924">
        <v>4306</v>
      </c>
      <c r="B924" t="s">
        <v>5543</v>
      </c>
      <c r="C924">
        <v>63.82</v>
      </c>
      <c r="D924">
        <v>9</v>
      </c>
      <c r="E924">
        <v>83</v>
      </c>
      <c r="F924">
        <v>-14</v>
      </c>
      <c r="G924">
        <v>-10</v>
      </c>
      <c r="H924">
        <v>7.59</v>
      </c>
      <c r="I924">
        <v>1</v>
      </c>
      <c r="J924">
        <v>1.47</v>
      </c>
      <c r="K924" s="245">
        <v>-27.16</v>
      </c>
      <c r="L924" s="245">
        <v>51.31</v>
      </c>
      <c r="M924" s="245">
        <v>1075.7</v>
      </c>
      <c r="N924" s="257" t="s">
        <v>6830</v>
      </c>
    </row>
    <row r="925" spans="1:14">
      <c r="A925">
        <v>4401</v>
      </c>
      <c r="B925" t="s">
        <v>5544</v>
      </c>
      <c r="C925">
        <v>12.02</v>
      </c>
      <c r="D925">
        <v>272</v>
      </c>
      <c r="E925">
        <v>466</v>
      </c>
      <c r="F925">
        <v>-8</v>
      </c>
      <c r="G925">
        <v>-7</v>
      </c>
      <c r="H925">
        <v>8.41</v>
      </c>
      <c r="I925">
        <v>1.5</v>
      </c>
      <c r="J925">
        <v>2.64</v>
      </c>
      <c r="K925" s="245">
        <v>-35.25</v>
      </c>
      <c r="L925" s="245">
        <v>19.03</v>
      </c>
      <c r="M925" s="245">
        <v>46.7</v>
      </c>
      <c r="N925" s="257" t="s">
        <v>6830</v>
      </c>
    </row>
    <row r="926" spans="1:14">
      <c r="A926">
        <v>4402</v>
      </c>
      <c r="B926" t="s">
        <v>6523</v>
      </c>
      <c r="C926">
        <v>4.59</v>
      </c>
      <c r="D926">
        <v>21</v>
      </c>
      <c r="E926">
        <v>4</v>
      </c>
      <c r="F926">
        <v>-30</v>
      </c>
      <c r="G926">
        <v>10</v>
      </c>
      <c r="H926">
        <v>-23.79</v>
      </c>
      <c r="I926">
        <v>0</v>
      </c>
      <c r="J926">
        <v>-0.86</v>
      </c>
      <c r="K926" s="245">
        <v>-18.23</v>
      </c>
      <c r="L926" s="245">
        <v>52.19</v>
      </c>
      <c r="M926" s="245">
        <v>481.45</v>
      </c>
      <c r="N926" s="257" t="s">
        <v>6831</v>
      </c>
    </row>
    <row r="927" spans="1:14">
      <c r="A927">
        <v>4406</v>
      </c>
      <c r="B927" t="s">
        <v>5545</v>
      </c>
      <c r="C927">
        <v>5.19</v>
      </c>
      <c r="D927">
        <v>135</v>
      </c>
      <c r="E927">
        <v>157</v>
      </c>
      <c r="F927">
        <v>0</v>
      </c>
      <c r="G927">
        <v>41</v>
      </c>
      <c r="H927">
        <v>4.34</v>
      </c>
      <c r="I927">
        <v>0</v>
      </c>
      <c r="J927">
        <v>0.33</v>
      </c>
      <c r="K927" s="245">
        <v>-33.549999999999997</v>
      </c>
      <c r="L927" s="245">
        <v>34.03</v>
      </c>
      <c r="M927" s="245">
        <v>75.05</v>
      </c>
      <c r="N927" s="257" t="s">
        <v>6830</v>
      </c>
    </row>
    <row r="928" spans="1:14">
      <c r="A928">
        <v>4413</v>
      </c>
      <c r="B928" t="s">
        <v>6524</v>
      </c>
      <c r="C928">
        <v>3.13</v>
      </c>
      <c r="D928">
        <v>122</v>
      </c>
      <c r="E928">
        <v>138</v>
      </c>
      <c r="F928">
        <v>12</v>
      </c>
      <c r="G928">
        <v>10</v>
      </c>
      <c r="H928">
        <v>1.19</v>
      </c>
      <c r="I928">
        <v>0</v>
      </c>
      <c r="J928">
        <v>0.2</v>
      </c>
      <c r="K928" s="245">
        <v>-18.75</v>
      </c>
      <c r="L928" s="245">
        <v>51.94</v>
      </c>
      <c r="M928" s="245">
        <v>150.85</v>
      </c>
      <c r="N928" s="257" t="s">
        <v>6831</v>
      </c>
    </row>
    <row r="929" spans="1:14">
      <c r="A929">
        <v>4414</v>
      </c>
      <c r="B929" t="s">
        <v>5546</v>
      </c>
      <c r="C929">
        <v>81.89</v>
      </c>
      <c r="D929">
        <v>-1592</v>
      </c>
      <c r="E929">
        <v>-621</v>
      </c>
      <c r="F929">
        <v>22</v>
      </c>
      <c r="G929">
        <v>24</v>
      </c>
      <c r="H929">
        <v>-7.03</v>
      </c>
      <c r="I929">
        <v>0</v>
      </c>
      <c r="J929">
        <v>-2.31</v>
      </c>
      <c r="K929" s="245">
        <v>-53.92</v>
      </c>
      <c r="L929" s="245">
        <v>6.38</v>
      </c>
      <c r="M929" s="245">
        <v>3730.55</v>
      </c>
      <c r="N929" s="257" t="s">
        <v>6830</v>
      </c>
    </row>
    <row r="930" spans="1:14">
      <c r="A930">
        <v>4416</v>
      </c>
      <c r="B930" t="s">
        <v>6206</v>
      </c>
      <c r="C930">
        <v>6.18</v>
      </c>
      <c r="D930">
        <v>998</v>
      </c>
      <c r="E930">
        <v>-2462</v>
      </c>
      <c r="F930">
        <v>0</v>
      </c>
      <c r="G930">
        <v>-1</v>
      </c>
      <c r="H930">
        <v>-41.63</v>
      </c>
      <c r="I930">
        <v>5</v>
      </c>
      <c r="J930">
        <v>17.34</v>
      </c>
      <c r="K930" s="245">
        <v>-23.66</v>
      </c>
      <c r="L930" s="245">
        <v>6.72</v>
      </c>
      <c r="M930" s="245">
        <v>11.85</v>
      </c>
      <c r="N930" s="257" t="s">
        <v>6830</v>
      </c>
    </row>
    <row r="931" spans="1:14">
      <c r="A931">
        <v>4417</v>
      </c>
      <c r="B931" t="s">
        <v>5547</v>
      </c>
      <c r="C931">
        <v>8.39</v>
      </c>
      <c r="D931">
        <v>-35</v>
      </c>
      <c r="E931">
        <v>-5</v>
      </c>
      <c r="F931">
        <v>-10</v>
      </c>
      <c r="G931">
        <v>-25</v>
      </c>
      <c r="H931">
        <v>13.94</v>
      </c>
      <c r="I931">
        <v>2.1</v>
      </c>
      <c r="J931">
        <v>3.12</v>
      </c>
      <c r="K931" s="245">
        <v>-16.97</v>
      </c>
      <c r="L931" s="245">
        <v>12.36</v>
      </c>
      <c r="M931" s="245">
        <v>48.95</v>
      </c>
      <c r="N931" s="257" t="s">
        <v>6830</v>
      </c>
    </row>
    <row r="932" spans="1:14">
      <c r="A932">
        <v>4419</v>
      </c>
      <c r="B932" t="s">
        <v>6525</v>
      </c>
      <c r="C932">
        <v>4.6500000000000004</v>
      </c>
      <c r="D932">
        <v>25</v>
      </c>
      <c r="E932">
        <v>-288</v>
      </c>
      <c r="F932">
        <v>-52</v>
      </c>
      <c r="G932">
        <v>10400</v>
      </c>
      <c r="H932">
        <v>-70.7</v>
      </c>
      <c r="I932">
        <v>0</v>
      </c>
      <c r="J932">
        <v>-0.6</v>
      </c>
      <c r="K932" s="245">
        <v>-24.24</v>
      </c>
      <c r="L932" s="245">
        <v>7.09</v>
      </c>
      <c r="M932" s="245">
        <v>0.5</v>
      </c>
      <c r="N932" s="257" t="s">
        <v>6830</v>
      </c>
    </row>
    <row r="933" spans="1:14">
      <c r="A933">
        <v>4420</v>
      </c>
      <c r="B933" t="s">
        <v>6210</v>
      </c>
      <c r="C933">
        <v>4.04</v>
      </c>
      <c r="D933">
        <v>542</v>
      </c>
      <c r="E933">
        <v>9514</v>
      </c>
      <c r="F933">
        <v>-21</v>
      </c>
      <c r="G933">
        <v>-12</v>
      </c>
      <c r="H933">
        <v>8.2799999999999994</v>
      </c>
      <c r="I933">
        <v>2</v>
      </c>
      <c r="J933">
        <v>2.04</v>
      </c>
      <c r="K933" s="245">
        <v>-11.94</v>
      </c>
      <c r="L933" s="245">
        <v>34.57</v>
      </c>
      <c r="M933" s="245">
        <v>24.75</v>
      </c>
      <c r="N933" s="257" t="s">
        <v>6831</v>
      </c>
    </row>
    <row r="934" spans="1:14">
      <c r="A934">
        <v>4426</v>
      </c>
      <c r="B934" t="s">
        <v>5548</v>
      </c>
      <c r="C934">
        <v>17.260000000000002</v>
      </c>
      <c r="D934">
        <v>-242</v>
      </c>
      <c r="E934">
        <v>-177</v>
      </c>
      <c r="F934">
        <v>14</v>
      </c>
      <c r="G934">
        <v>127</v>
      </c>
      <c r="H934">
        <v>-67.819999999999993</v>
      </c>
      <c r="I934">
        <v>0</v>
      </c>
      <c r="J934">
        <v>-2.15</v>
      </c>
      <c r="K934" s="245">
        <v>-18.03</v>
      </c>
      <c r="L934" s="245">
        <v>34.86</v>
      </c>
      <c r="M934" s="245">
        <v>693.85</v>
      </c>
      <c r="N934" s="257" t="s">
        <v>6831</v>
      </c>
    </row>
    <row r="935" spans="1:14">
      <c r="A935">
        <v>4429</v>
      </c>
      <c r="B935" t="s">
        <v>6329</v>
      </c>
      <c r="C935">
        <v>3.43</v>
      </c>
      <c r="D935">
        <v>211</v>
      </c>
      <c r="E935">
        <v>117</v>
      </c>
      <c r="F935">
        <v>-24</v>
      </c>
      <c r="G935">
        <v>-17</v>
      </c>
      <c r="H935">
        <v>0.88</v>
      </c>
      <c r="I935">
        <v>0</v>
      </c>
      <c r="J935">
        <v>1.39</v>
      </c>
      <c r="K935" s="245">
        <v>-9.7200000000000006</v>
      </c>
      <c r="L935" s="245">
        <v>48.35</v>
      </c>
      <c r="M935" s="245">
        <v>15.4</v>
      </c>
      <c r="N935" s="257" t="s">
        <v>6831</v>
      </c>
    </row>
    <row r="936" spans="1:14">
      <c r="A936">
        <v>4430</v>
      </c>
      <c r="B936" t="s">
        <v>6332</v>
      </c>
      <c r="C936">
        <v>5.62</v>
      </c>
      <c r="D936">
        <v>412</v>
      </c>
      <c r="E936">
        <v>544</v>
      </c>
      <c r="F936">
        <v>-17</v>
      </c>
      <c r="G936">
        <v>-13</v>
      </c>
      <c r="H936">
        <v>0.77</v>
      </c>
      <c r="I936">
        <v>0.5</v>
      </c>
      <c r="J936">
        <v>0.75</v>
      </c>
      <c r="K936" s="245">
        <v>-8.8000000000000007</v>
      </c>
      <c r="L936" s="245">
        <v>53.9</v>
      </c>
      <c r="M936" s="245">
        <v>13.8</v>
      </c>
      <c r="N936" s="257" t="s">
        <v>6830</v>
      </c>
    </row>
    <row r="937" spans="1:14">
      <c r="A937">
        <v>4432</v>
      </c>
      <c r="B937" t="s">
        <v>5549</v>
      </c>
      <c r="C937">
        <v>5.05</v>
      </c>
      <c r="D937">
        <v>-1063</v>
      </c>
      <c r="E937">
        <v>-409</v>
      </c>
      <c r="F937">
        <v>14</v>
      </c>
      <c r="G937">
        <v>-22</v>
      </c>
      <c r="H937">
        <v>-5.89</v>
      </c>
      <c r="I937">
        <v>0</v>
      </c>
      <c r="J937">
        <v>-2.04</v>
      </c>
      <c r="K937" s="245">
        <v>-18.260000000000002</v>
      </c>
      <c r="L937" s="245">
        <v>46.62</v>
      </c>
      <c r="M937" s="245">
        <v>250.95</v>
      </c>
      <c r="N937" s="257" t="s">
        <v>6830</v>
      </c>
    </row>
    <row r="938" spans="1:14">
      <c r="A938">
        <v>4433</v>
      </c>
      <c r="B938" t="s">
        <v>5550</v>
      </c>
      <c r="C938">
        <v>4.68</v>
      </c>
      <c r="D938">
        <v>-76</v>
      </c>
      <c r="E938">
        <v>-10</v>
      </c>
      <c r="F938">
        <v>-21</v>
      </c>
      <c r="G938">
        <v>18</v>
      </c>
      <c r="H938">
        <v>2.93</v>
      </c>
      <c r="I938">
        <v>1</v>
      </c>
      <c r="J938">
        <v>1.21</v>
      </c>
      <c r="K938" s="245">
        <v>-30.15</v>
      </c>
      <c r="L938" s="245">
        <v>24.08</v>
      </c>
      <c r="M938" s="245">
        <v>262.60000000000002</v>
      </c>
      <c r="N938" s="257" t="s">
        <v>6830</v>
      </c>
    </row>
    <row r="939" spans="1:14">
      <c r="A939">
        <v>4438</v>
      </c>
      <c r="B939" t="s">
        <v>5551</v>
      </c>
      <c r="C939">
        <v>10.33</v>
      </c>
      <c r="D939">
        <v>30</v>
      </c>
      <c r="E939">
        <v>144</v>
      </c>
      <c r="F939">
        <v>31</v>
      </c>
      <c r="G939">
        <v>99</v>
      </c>
      <c r="H939">
        <v>5.26</v>
      </c>
      <c r="I939">
        <v>4.2</v>
      </c>
      <c r="J939">
        <v>6.1</v>
      </c>
      <c r="K939" s="245">
        <v>-25</v>
      </c>
      <c r="L939" s="245">
        <v>24.36</v>
      </c>
      <c r="M939" s="245">
        <v>49.1</v>
      </c>
      <c r="N939" s="257" t="s">
        <v>6830</v>
      </c>
    </row>
    <row r="940" spans="1:14">
      <c r="A940">
        <v>4439</v>
      </c>
      <c r="B940" t="s">
        <v>5552</v>
      </c>
      <c r="C940">
        <v>3.15</v>
      </c>
      <c r="D940">
        <v>-19</v>
      </c>
      <c r="E940">
        <v>-26</v>
      </c>
      <c r="F940">
        <v>-1</v>
      </c>
      <c r="G940">
        <v>58</v>
      </c>
      <c r="H940">
        <v>5.5</v>
      </c>
      <c r="I940">
        <v>6.5</v>
      </c>
      <c r="J940">
        <v>10.72</v>
      </c>
      <c r="K940" s="245">
        <v>-16.91</v>
      </c>
      <c r="L940" s="245">
        <v>77.959999999999994</v>
      </c>
      <c r="M940" s="245">
        <v>17</v>
      </c>
      <c r="N940" s="257" t="s">
        <v>6831</v>
      </c>
    </row>
    <row r="941" spans="1:14">
      <c r="A941">
        <v>4440</v>
      </c>
      <c r="B941" t="s">
        <v>6526</v>
      </c>
      <c r="C941">
        <v>6.75</v>
      </c>
      <c r="D941">
        <v>152</v>
      </c>
      <c r="E941">
        <v>133</v>
      </c>
      <c r="F941">
        <v>-14</v>
      </c>
      <c r="G941">
        <v>-14</v>
      </c>
      <c r="H941">
        <v>20.079999999999998</v>
      </c>
      <c r="I941">
        <v>4</v>
      </c>
      <c r="J941">
        <v>5.0599999999999996</v>
      </c>
      <c r="K941" s="245" t="s">
        <v>6279</v>
      </c>
      <c r="L941" s="245" t="s">
        <v>6279</v>
      </c>
      <c r="M941" s="245" t="s">
        <v>6279</v>
      </c>
      <c r="N941" s="257" t="s">
        <v>6279</v>
      </c>
    </row>
    <row r="942" spans="1:14">
      <c r="A942">
        <v>4502</v>
      </c>
      <c r="B942" t="s">
        <v>6307</v>
      </c>
      <c r="C942">
        <v>5.81</v>
      </c>
      <c r="D942">
        <v>-21</v>
      </c>
      <c r="E942">
        <v>-19</v>
      </c>
      <c r="F942">
        <v>16</v>
      </c>
      <c r="G942">
        <v>33</v>
      </c>
      <c r="H942">
        <v>-8.58</v>
      </c>
      <c r="I942">
        <v>0</v>
      </c>
      <c r="J942">
        <v>-2.87</v>
      </c>
      <c r="K942" s="245">
        <v>-19.48</v>
      </c>
      <c r="L942" s="245">
        <v>41.38</v>
      </c>
      <c r="M942" s="245">
        <v>12.25</v>
      </c>
      <c r="N942" s="257" t="s">
        <v>6830</v>
      </c>
    </row>
    <row r="943" spans="1:14">
      <c r="A943">
        <v>4503</v>
      </c>
      <c r="B943" t="s">
        <v>5553</v>
      </c>
      <c r="C943">
        <v>3.92</v>
      </c>
      <c r="D943">
        <v>-179</v>
      </c>
      <c r="E943">
        <v>-59</v>
      </c>
      <c r="F943">
        <v>37</v>
      </c>
      <c r="G943">
        <v>82</v>
      </c>
      <c r="H943">
        <v>-26.88</v>
      </c>
      <c r="I943">
        <v>0</v>
      </c>
      <c r="J943">
        <v>-0.85</v>
      </c>
      <c r="K943" s="245">
        <v>-38.67</v>
      </c>
      <c r="L943" s="245">
        <v>30.93</v>
      </c>
      <c r="M943" s="245">
        <v>722.75</v>
      </c>
      <c r="N943" s="257" t="s">
        <v>6831</v>
      </c>
    </row>
    <row r="944" spans="1:14">
      <c r="A944">
        <v>4506</v>
      </c>
      <c r="B944" t="s">
        <v>5554</v>
      </c>
      <c r="C944">
        <v>17.7</v>
      </c>
      <c r="D944">
        <v>7</v>
      </c>
      <c r="E944">
        <v>6</v>
      </c>
      <c r="F944">
        <v>-9</v>
      </c>
      <c r="G944">
        <v>9</v>
      </c>
      <c r="H944">
        <v>19.29</v>
      </c>
      <c r="I944">
        <v>3.2</v>
      </c>
      <c r="J944">
        <v>4.3899999999999997</v>
      </c>
      <c r="K944" s="245">
        <v>-6.37</v>
      </c>
      <c r="L944" s="245">
        <v>43.07</v>
      </c>
      <c r="M944" s="245">
        <v>44.25</v>
      </c>
      <c r="N944" s="257" t="s">
        <v>6832</v>
      </c>
    </row>
    <row r="945" spans="1:14">
      <c r="A945">
        <v>4510</v>
      </c>
      <c r="B945" t="s">
        <v>5555</v>
      </c>
      <c r="C945">
        <v>10.8</v>
      </c>
      <c r="D945">
        <v>-200</v>
      </c>
      <c r="E945">
        <v>61</v>
      </c>
      <c r="F945">
        <v>-9</v>
      </c>
      <c r="G945">
        <v>6</v>
      </c>
      <c r="H945">
        <v>-1.02</v>
      </c>
      <c r="I945">
        <v>0</v>
      </c>
      <c r="J945">
        <v>-0.33</v>
      </c>
      <c r="K945" s="245">
        <v>-11.2</v>
      </c>
      <c r="L945" s="245">
        <v>22.87</v>
      </c>
      <c r="M945" s="245">
        <v>88.6</v>
      </c>
      <c r="N945" s="257" t="s">
        <v>6831</v>
      </c>
    </row>
    <row r="946" spans="1:14">
      <c r="A946">
        <v>4513</v>
      </c>
      <c r="B946" t="s">
        <v>5556</v>
      </c>
      <c r="C946">
        <v>7.68</v>
      </c>
      <c r="D946">
        <v>187</v>
      </c>
      <c r="E946">
        <v>221</v>
      </c>
      <c r="F946">
        <v>-14</v>
      </c>
      <c r="G946">
        <v>21</v>
      </c>
      <c r="H946">
        <v>2.86</v>
      </c>
      <c r="I946">
        <v>0</v>
      </c>
      <c r="J946">
        <v>0.44</v>
      </c>
      <c r="K946" s="245">
        <v>-16.670000000000002</v>
      </c>
      <c r="L946" s="245">
        <v>38.35</v>
      </c>
      <c r="M946" s="245">
        <v>816.25</v>
      </c>
      <c r="N946" s="257" t="s">
        <v>6832</v>
      </c>
    </row>
    <row r="947" spans="1:14">
      <c r="A947">
        <v>4523</v>
      </c>
      <c r="B947" t="s">
        <v>6287</v>
      </c>
      <c r="C947">
        <v>6.4</v>
      </c>
      <c r="D947">
        <v>95</v>
      </c>
      <c r="E947">
        <v>73</v>
      </c>
      <c r="F947">
        <v>-29</v>
      </c>
      <c r="G947">
        <v>-18</v>
      </c>
      <c r="H947">
        <v>-9.92</v>
      </c>
      <c r="I947">
        <v>0</v>
      </c>
      <c r="J947">
        <v>-0.22</v>
      </c>
      <c r="K947" s="245">
        <v>-18.73</v>
      </c>
      <c r="L947" s="245">
        <v>37.08</v>
      </c>
      <c r="M947" s="245">
        <v>8.4</v>
      </c>
      <c r="N947" s="257" t="s">
        <v>6830</v>
      </c>
    </row>
    <row r="948" spans="1:14">
      <c r="A948">
        <v>4526</v>
      </c>
      <c r="B948" t="s">
        <v>5557</v>
      </c>
      <c r="C948">
        <v>25.48</v>
      </c>
      <c r="D948">
        <v>139</v>
      </c>
      <c r="E948">
        <v>125</v>
      </c>
      <c r="F948">
        <v>-25</v>
      </c>
      <c r="G948">
        <v>-38</v>
      </c>
      <c r="H948">
        <v>1.75</v>
      </c>
      <c r="I948">
        <v>0.2</v>
      </c>
      <c r="J948">
        <v>0.68</v>
      </c>
      <c r="K948" s="245">
        <v>-25.9</v>
      </c>
      <c r="L948" s="245">
        <v>5.86</v>
      </c>
      <c r="M948" s="245">
        <v>129.94999999999999</v>
      </c>
      <c r="N948" s="257" t="s">
        <v>6830</v>
      </c>
    </row>
    <row r="949" spans="1:14">
      <c r="A949">
        <v>4527</v>
      </c>
      <c r="B949" t="s">
        <v>6146</v>
      </c>
      <c r="C949">
        <v>7.61</v>
      </c>
      <c r="D949">
        <v>-28</v>
      </c>
      <c r="E949">
        <v>-27</v>
      </c>
      <c r="F949">
        <v>-44</v>
      </c>
      <c r="G949">
        <v>-20</v>
      </c>
      <c r="H949">
        <v>6.93</v>
      </c>
      <c r="I949">
        <v>1.8</v>
      </c>
      <c r="J949">
        <v>1.98</v>
      </c>
      <c r="K949" s="245">
        <v>-9.75</v>
      </c>
      <c r="L949" s="245">
        <v>22.43</v>
      </c>
      <c r="M949" s="245">
        <v>32.4</v>
      </c>
      <c r="N949" s="257" t="s">
        <v>6830</v>
      </c>
    </row>
    <row r="950" spans="1:14">
      <c r="A950">
        <v>4528</v>
      </c>
      <c r="B950" t="s">
        <v>6147</v>
      </c>
      <c r="C950">
        <v>7.65</v>
      </c>
      <c r="D950">
        <v>-22</v>
      </c>
      <c r="E950">
        <v>-20</v>
      </c>
      <c r="F950">
        <v>9</v>
      </c>
      <c r="G950">
        <v>-15</v>
      </c>
      <c r="H950">
        <v>8.74</v>
      </c>
      <c r="I950">
        <v>1.5</v>
      </c>
      <c r="J950">
        <v>2.37</v>
      </c>
      <c r="K950" s="245">
        <v>-27.78</v>
      </c>
      <c r="L950" s="245">
        <v>17.14</v>
      </c>
      <c r="M950" s="245">
        <v>24.3</v>
      </c>
      <c r="N950" s="257" t="s">
        <v>6830</v>
      </c>
    </row>
    <row r="951" spans="1:14">
      <c r="A951">
        <v>4529</v>
      </c>
      <c r="B951" t="s">
        <v>5558</v>
      </c>
      <c r="C951">
        <v>8.4499999999999993</v>
      </c>
      <c r="D951">
        <v>-95</v>
      </c>
      <c r="E951">
        <v>27</v>
      </c>
      <c r="F951">
        <v>23</v>
      </c>
      <c r="G951">
        <v>66</v>
      </c>
      <c r="H951">
        <v>-3521.05</v>
      </c>
      <c r="I951">
        <v>0</v>
      </c>
      <c r="J951">
        <v>-6.09</v>
      </c>
      <c r="K951" s="245">
        <v>-38.64</v>
      </c>
      <c r="L951" s="245">
        <v>24.29</v>
      </c>
      <c r="M951" s="245">
        <v>197.7</v>
      </c>
      <c r="N951" s="257" t="s">
        <v>6830</v>
      </c>
    </row>
    <row r="952" spans="1:14">
      <c r="A952">
        <v>4530</v>
      </c>
      <c r="B952" t="s">
        <v>6527</v>
      </c>
      <c r="C952">
        <v>4.9400000000000004</v>
      </c>
      <c r="D952">
        <v>10</v>
      </c>
      <c r="E952">
        <v>-101</v>
      </c>
      <c r="F952">
        <v>14</v>
      </c>
      <c r="G952">
        <v>-1</v>
      </c>
      <c r="H952">
        <v>-17.98</v>
      </c>
      <c r="I952">
        <v>0</v>
      </c>
      <c r="J952">
        <v>-0.47</v>
      </c>
      <c r="K952" s="245">
        <v>-27.69</v>
      </c>
      <c r="L952" s="245">
        <v>26.03</v>
      </c>
      <c r="M952" s="245">
        <v>17.350000000000001</v>
      </c>
      <c r="N952" s="257" t="s">
        <v>6830</v>
      </c>
    </row>
    <row r="953" spans="1:14">
      <c r="A953">
        <v>4532</v>
      </c>
      <c r="B953" t="s">
        <v>5559</v>
      </c>
      <c r="C953">
        <v>50.49</v>
      </c>
      <c r="D953">
        <v>-28</v>
      </c>
      <c r="E953">
        <v>-28</v>
      </c>
      <c r="F953">
        <v>-5</v>
      </c>
      <c r="G953">
        <v>-17</v>
      </c>
      <c r="H953">
        <v>2.6</v>
      </c>
      <c r="I953">
        <v>0.7</v>
      </c>
      <c r="J953">
        <v>1.08</v>
      </c>
      <c r="K953" s="245">
        <v>-21.21</v>
      </c>
      <c r="L953" s="245">
        <v>14.56</v>
      </c>
      <c r="M953" s="245">
        <v>314.14999999999998</v>
      </c>
      <c r="N953" s="257" t="s">
        <v>6830</v>
      </c>
    </row>
    <row r="954" spans="1:14">
      <c r="A954">
        <v>4533</v>
      </c>
      <c r="B954" t="s">
        <v>5560</v>
      </c>
      <c r="C954">
        <v>15.84</v>
      </c>
      <c r="D954">
        <v>261</v>
      </c>
      <c r="E954">
        <v>104</v>
      </c>
      <c r="F954">
        <v>-74</v>
      </c>
      <c r="G954">
        <v>-69</v>
      </c>
      <c r="H954">
        <v>0.14000000000000001</v>
      </c>
      <c r="I954">
        <v>0.35</v>
      </c>
      <c r="J954">
        <v>0.36</v>
      </c>
      <c r="K954" s="245">
        <v>-17.329999999999998</v>
      </c>
      <c r="L954" s="245">
        <v>34.51</v>
      </c>
      <c r="M954" s="245">
        <v>146.19999999999999</v>
      </c>
      <c r="N954" s="257" t="s">
        <v>6830</v>
      </c>
    </row>
    <row r="955" spans="1:14">
      <c r="A955">
        <v>4534</v>
      </c>
      <c r="B955" t="s">
        <v>5561</v>
      </c>
      <c r="C955">
        <v>8.67</v>
      </c>
      <c r="D955">
        <v>183</v>
      </c>
      <c r="E955">
        <v>233</v>
      </c>
      <c r="F955">
        <v>-17</v>
      </c>
      <c r="G955">
        <v>-25</v>
      </c>
      <c r="H955">
        <v>5.0999999999999996</v>
      </c>
      <c r="I955">
        <v>0</v>
      </c>
      <c r="J955">
        <v>0.59</v>
      </c>
      <c r="K955" s="245">
        <v>-49.15</v>
      </c>
      <c r="L955" s="245">
        <v>13.04</v>
      </c>
      <c r="M955" s="245">
        <v>324.7</v>
      </c>
      <c r="N955" s="257" t="s">
        <v>6830</v>
      </c>
    </row>
    <row r="956" spans="1:14">
      <c r="A956">
        <v>4535</v>
      </c>
      <c r="B956" t="s">
        <v>6354</v>
      </c>
      <c r="C956">
        <v>7.56</v>
      </c>
      <c r="D956">
        <v>76</v>
      </c>
      <c r="E956">
        <v>94</v>
      </c>
      <c r="F956">
        <v>0</v>
      </c>
      <c r="G956">
        <v>15</v>
      </c>
      <c r="H956">
        <v>12.07</v>
      </c>
      <c r="I956">
        <v>1.6</v>
      </c>
      <c r="J956">
        <v>2.39</v>
      </c>
      <c r="K956" s="245">
        <v>-4.59</v>
      </c>
      <c r="L956" s="245">
        <v>70.349999999999994</v>
      </c>
      <c r="M956" s="245">
        <v>35.15</v>
      </c>
      <c r="N956" s="257" t="s">
        <v>6832</v>
      </c>
    </row>
    <row r="957" spans="1:14">
      <c r="A957">
        <v>4536</v>
      </c>
      <c r="B957" t="s">
        <v>5562</v>
      </c>
      <c r="C957">
        <v>9.08</v>
      </c>
      <c r="D957">
        <v>17</v>
      </c>
      <c r="E957">
        <v>1</v>
      </c>
      <c r="F957">
        <v>-1</v>
      </c>
      <c r="G957">
        <v>18</v>
      </c>
      <c r="H957">
        <v>16.55</v>
      </c>
      <c r="I957">
        <v>6</v>
      </c>
      <c r="J957">
        <v>9.16</v>
      </c>
      <c r="K957" s="245">
        <v>-25.31</v>
      </c>
      <c r="L957" s="245">
        <v>23.36</v>
      </c>
      <c r="M957" s="245">
        <v>74.25</v>
      </c>
      <c r="N957" s="257" t="s">
        <v>6830</v>
      </c>
    </row>
    <row r="958" spans="1:14">
      <c r="A958">
        <v>4538</v>
      </c>
      <c r="B958" t="s">
        <v>6251</v>
      </c>
      <c r="C958">
        <v>5.04</v>
      </c>
      <c r="D958">
        <v>57</v>
      </c>
      <c r="E958">
        <v>193</v>
      </c>
      <c r="F958">
        <v>0</v>
      </c>
      <c r="G958">
        <v>68</v>
      </c>
      <c r="H958">
        <v>10.16</v>
      </c>
      <c r="I958">
        <v>0.5</v>
      </c>
      <c r="J958">
        <v>0.76</v>
      </c>
      <c r="K958" s="245">
        <v>-12.42</v>
      </c>
      <c r="L958" s="245">
        <v>23.73</v>
      </c>
      <c r="M958" s="245">
        <v>3.05</v>
      </c>
      <c r="N958" s="257" t="s">
        <v>6831</v>
      </c>
    </row>
    <row r="959" spans="1:14">
      <c r="A959">
        <v>4540</v>
      </c>
      <c r="B959" t="s">
        <v>5563</v>
      </c>
      <c r="C959">
        <v>9.41</v>
      </c>
      <c r="D959">
        <v>159</v>
      </c>
      <c r="E959">
        <v>83</v>
      </c>
      <c r="F959">
        <v>-14</v>
      </c>
      <c r="G959">
        <v>5</v>
      </c>
      <c r="H959">
        <v>10.4</v>
      </c>
      <c r="I959">
        <v>1.3</v>
      </c>
      <c r="J959">
        <v>2.52</v>
      </c>
      <c r="K959" s="245">
        <v>-26.67</v>
      </c>
      <c r="L959" s="245">
        <v>22.1</v>
      </c>
      <c r="M959" s="245">
        <v>76.25</v>
      </c>
      <c r="N959" s="257" t="s">
        <v>6830</v>
      </c>
    </row>
    <row r="960" spans="1:14">
      <c r="A960">
        <v>4541</v>
      </c>
      <c r="B960" t="s">
        <v>5564</v>
      </c>
      <c r="C960">
        <v>6.76</v>
      </c>
      <c r="D960">
        <v>100</v>
      </c>
      <c r="E960">
        <v>75</v>
      </c>
      <c r="F960">
        <v>-10</v>
      </c>
      <c r="G960">
        <v>45</v>
      </c>
      <c r="H960">
        <v>-3.6</v>
      </c>
      <c r="I960">
        <v>0.4</v>
      </c>
      <c r="J960">
        <v>0</v>
      </c>
      <c r="K960" s="245">
        <v>-19.3</v>
      </c>
      <c r="L960" s="245">
        <v>39.31</v>
      </c>
      <c r="M960" s="245">
        <v>209</v>
      </c>
      <c r="N960" s="257" t="s">
        <v>6830</v>
      </c>
    </row>
    <row r="961" spans="1:14">
      <c r="A961">
        <v>4542</v>
      </c>
      <c r="B961" t="s">
        <v>6341</v>
      </c>
      <c r="C961">
        <v>3.22</v>
      </c>
      <c r="D961">
        <v>72</v>
      </c>
      <c r="E961">
        <v>33</v>
      </c>
      <c r="F961">
        <v>-8</v>
      </c>
      <c r="G961">
        <v>34</v>
      </c>
      <c r="H961">
        <v>5.15</v>
      </c>
      <c r="I961">
        <v>1</v>
      </c>
      <c r="J961">
        <v>1.1100000000000001</v>
      </c>
      <c r="K961" s="245">
        <v>-23.71</v>
      </c>
      <c r="L961" s="245">
        <v>42.64</v>
      </c>
      <c r="M961" s="245">
        <v>20</v>
      </c>
      <c r="N961" s="257" t="s">
        <v>6830</v>
      </c>
    </row>
    <row r="962" spans="1:14">
      <c r="A962">
        <v>4543</v>
      </c>
      <c r="B962" t="s">
        <v>5565</v>
      </c>
      <c r="C962">
        <v>5.69</v>
      </c>
      <c r="D962">
        <v>179</v>
      </c>
      <c r="E962">
        <v>64</v>
      </c>
      <c r="F962">
        <v>-18</v>
      </c>
      <c r="G962">
        <v>-7</v>
      </c>
      <c r="H962">
        <v>5.3</v>
      </c>
      <c r="I962">
        <v>0</v>
      </c>
      <c r="J962">
        <v>0.53</v>
      </c>
      <c r="K962" s="245">
        <v>-25.05</v>
      </c>
      <c r="L962" s="245">
        <v>24.68</v>
      </c>
      <c r="M962" s="245">
        <v>22.3</v>
      </c>
      <c r="N962" s="257" t="s">
        <v>6830</v>
      </c>
    </row>
    <row r="963" spans="1:14">
      <c r="A963">
        <v>4545</v>
      </c>
      <c r="B963" t="s">
        <v>5566</v>
      </c>
      <c r="C963">
        <v>7.7</v>
      </c>
      <c r="D963">
        <v>197</v>
      </c>
      <c r="E963">
        <v>13</v>
      </c>
      <c r="F963">
        <v>27</v>
      </c>
      <c r="G963">
        <v>45</v>
      </c>
      <c r="H963">
        <v>6</v>
      </c>
      <c r="I963">
        <v>0.7</v>
      </c>
      <c r="J963">
        <v>1.1599999999999999</v>
      </c>
      <c r="K963" s="245">
        <v>-19.03</v>
      </c>
      <c r="L963" s="245">
        <v>24.88</v>
      </c>
      <c r="M963" s="245">
        <v>138.35</v>
      </c>
      <c r="N963" s="257" t="s">
        <v>6831</v>
      </c>
    </row>
    <row r="964" spans="1:14">
      <c r="A964">
        <v>4549</v>
      </c>
      <c r="B964" t="s">
        <v>5567</v>
      </c>
      <c r="C964">
        <v>4.4400000000000004</v>
      </c>
      <c r="D964">
        <v>20</v>
      </c>
      <c r="E964">
        <v>30</v>
      </c>
      <c r="F964">
        <v>-27</v>
      </c>
      <c r="G964">
        <v>-37</v>
      </c>
      <c r="H964">
        <v>26.52</v>
      </c>
      <c r="I964">
        <v>5.2</v>
      </c>
      <c r="J964">
        <v>6.27</v>
      </c>
      <c r="K964" s="245">
        <v>-11.27</v>
      </c>
      <c r="L964" s="245">
        <v>17.329999999999998</v>
      </c>
      <c r="M964" s="245">
        <v>50.85</v>
      </c>
      <c r="N964" s="257" t="s">
        <v>6831</v>
      </c>
    </row>
    <row r="965" spans="1:14">
      <c r="A965">
        <v>4550</v>
      </c>
      <c r="B965" t="s">
        <v>6321</v>
      </c>
      <c r="C965">
        <v>3.78</v>
      </c>
      <c r="D965">
        <v>-37</v>
      </c>
      <c r="E965">
        <v>-79</v>
      </c>
      <c r="F965">
        <v>9</v>
      </c>
      <c r="G965">
        <v>-11</v>
      </c>
      <c r="H965">
        <v>1.19</v>
      </c>
      <c r="I965">
        <v>1.1499999999999999</v>
      </c>
      <c r="J965">
        <v>1.41</v>
      </c>
      <c r="K965" s="245">
        <v>-15.19</v>
      </c>
      <c r="L965" s="245">
        <v>37.61</v>
      </c>
      <c r="M965" s="245">
        <v>24.85</v>
      </c>
      <c r="N965" s="257" t="s">
        <v>6830</v>
      </c>
    </row>
    <row r="966" spans="1:14">
      <c r="A966">
        <v>4551</v>
      </c>
      <c r="B966" t="s">
        <v>5568</v>
      </c>
      <c r="C966">
        <v>11.77</v>
      </c>
      <c r="D966">
        <v>55</v>
      </c>
      <c r="E966">
        <v>31</v>
      </c>
      <c r="F966">
        <v>-2</v>
      </c>
      <c r="G966">
        <v>2</v>
      </c>
      <c r="H966">
        <v>17.61</v>
      </c>
      <c r="I966">
        <v>5</v>
      </c>
      <c r="J966">
        <v>10.47</v>
      </c>
      <c r="K966" s="245">
        <v>-36.25</v>
      </c>
      <c r="L966" s="245">
        <v>16.59</v>
      </c>
      <c r="M966" s="245">
        <v>209.65</v>
      </c>
      <c r="N966" s="257" t="s">
        <v>6830</v>
      </c>
    </row>
    <row r="967" spans="1:14">
      <c r="A967">
        <v>4552</v>
      </c>
      <c r="B967" t="s">
        <v>5569</v>
      </c>
      <c r="C967">
        <v>11.6</v>
      </c>
      <c r="D967">
        <v>40</v>
      </c>
      <c r="E967">
        <v>31</v>
      </c>
      <c r="F967">
        <v>64</v>
      </c>
      <c r="G967">
        <v>26</v>
      </c>
      <c r="H967">
        <v>10.47</v>
      </c>
      <c r="I967">
        <v>1</v>
      </c>
      <c r="J967">
        <v>3.13</v>
      </c>
      <c r="K967" s="245">
        <v>-20.420000000000002</v>
      </c>
      <c r="L967" s="245">
        <v>12.85</v>
      </c>
      <c r="M967" s="245">
        <v>52.6</v>
      </c>
      <c r="N967" s="257" t="s">
        <v>6830</v>
      </c>
    </row>
    <row r="968" spans="1:14">
      <c r="A968">
        <v>4554</v>
      </c>
      <c r="B968" t="s">
        <v>6528</v>
      </c>
      <c r="C968">
        <v>2.13</v>
      </c>
      <c r="D968">
        <v>741</v>
      </c>
      <c r="E968">
        <v>1147</v>
      </c>
      <c r="F968">
        <v>-15</v>
      </c>
      <c r="G968">
        <v>9</v>
      </c>
      <c r="H968">
        <v>12.68</v>
      </c>
      <c r="I968">
        <v>1.8</v>
      </c>
      <c r="J968">
        <v>2</v>
      </c>
      <c r="K968" s="245">
        <v>-19.28</v>
      </c>
      <c r="L968" s="245">
        <v>63.05</v>
      </c>
      <c r="M968" s="245">
        <v>104.9</v>
      </c>
      <c r="N968" s="257" t="s">
        <v>6831</v>
      </c>
    </row>
    <row r="969" spans="1:14">
      <c r="A969">
        <v>4555</v>
      </c>
      <c r="B969" t="s">
        <v>5570</v>
      </c>
      <c r="C969">
        <v>6.69</v>
      </c>
      <c r="D969">
        <v>73</v>
      </c>
      <c r="E969">
        <v>86</v>
      </c>
      <c r="F969">
        <v>-19</v>
      </c>
      <c r="G969">
        <v>-29</v>
      </c>
      <c r="H969">
        <v>15.07</v>
      </c>
      <c r="I969">
        <v>1.8</v>
      </c>
      <c r="J969">
        <v>3.5</v>
      </c>
      <c r="K969" s="245">
        <v>-9.68</v>
      </c>
      <c r="L969" s="245">
        <v>47.53</v>
      </c>
      <c r="M969" s="245">
        <v>16.75</v>
      </c>
      <c r="N969" s="257" t="s">
        <v>6831</v>
      </c>
    </row>
    <row r="970" spans="1:14">
      <c r="A970">
        <v>4556</v>
      </c>
      <c r="B970" t="s">
        <v>6330</v>
      </c>
      <c r="C970">
        <v>4.18</v>
      </c>
      <c r="D970">
        <v>-40</v>
      </c>
      <c r="E970">
        <v>9</v>
      </c>
      <c r="F970">
        <v>-24</v>
      </c>
      <c r="G970">
        <v>-8</v>
      </c>
      <c r="H970">
        <v>5.32</v>
      </c>
      <c r="I970">
        <v>0.35</v>
      </c>
      <c r="J970">
        <v>0.3</v>
      </c>
      <c r="K970" s="245">
        <v>-10.84</v>
      </c>
      <c r="L970" s="245">
        <v>49.81</v>
      </c>
      <c r="M970" s="245">
        <v>2.2999999999999998</v>
      </c>
      <c r="N970" s="257" t="s">
        <v>6830</v>
      </c>
    </row>
    <row r="971" spans="1:14">
      <c r="A971">
        <v>4557</v>
      </c>
      <c r="B971" t="s">
        <v>5571</v>
      </c>
      <c r="C971">
        <v>4.1900000000000004</v>
      </c>
      <c r="D971">
        <v>46</v>
      </c>
      <c r="E971">
        <v>16</v>
      </c>
      <c r="F971">
        <v>-6</v>
      </c>
      <c r="G971">
        <v>52</v>
      </c>
      <c r="H971">
        <v>11.64</v>
      </c>
      <c r="I971">
        <v>4.5</v>
      </c>
      <c r="J971">
        <v>5.16</v>
      </c>
      <c r="K971" s="245">
        <v>-9.5299999999999994</v>
      </c>
      <c r="L971" s="245">
        <v>29.85</v>
      </c>
      <c r="M971" s="245">
        <v>32.1</v>
      </c>
      <c r="N971" s="257" t="s">
        <v>6831</v>
      </c>
    </row>
    <row r="972" spans="1:14">
      <c r="A972">
        <v>4560</v>
      </c>
      <c r="B972" t="s">
        <v>5572</v>
      </c>
      <c r="C972">
        <v>6.8</v>
      </c>
      <c r="D972">
        <v>163</v>
      </c>
      <c r="E972">
        <v>92</v>
      </c>
      <c r="F972">
        <v>-7</v>
      </c>
      <c r="G972">
        <v>39</v>
      </c>
      <c r="H972">
        <v>14.02</v>
      </c>
      <c r="I972">
        <v>1.8</v>
      </c>
      <c r="J972">
        <v>2.95</v>
      </c>
      <c r="K972" s="245">
        <v>-7.56</v>
      </c>
      <c r="L972" s="245">
        <v>41.03</v>
      </c>
      <c r="M972" s="245">
        <v>57.2</v>
      </c>
      <c r="N972" s="257" t="s">
        <v>6830</v>
      </c>
    </row>
    <row r="973" spans="1:14">
      <c r="A973">
        <v>4561</v>
      </c>
      <c r="B973" t="s">
        <v>546</v>
      </c>
      <c r="C973">
        <v>5.85</v>
      </c>
      <c r="D973">
        <v>70</v>
      </c>
      <c r="E973">
        <v>95</v>
      </c>
      <c r="F973">
        <v>-32</v>
      </c>
      <c r="G973">
        <v>-26</v>
      </c>
      <c r="H973">
        <v>13.73</v>
      </c>
      <c r="I973">
        <v>0.9</v>
      </c>
      <c r="J973">
        <v>2.4900000000000002</v>
      </c>
      <c r="K973" s="245">
        <v>-20.69</v>
      </c>
      <c r="L973" s="245">
        <v>43.31</v>
      </c>
      <c r="M973" s="245">
        <v>18.25</v>
      </c>
      <c r="N973" s="257" t="s">
        <v>6830</v>
      </c>
    </row>
    <row r="974" spans="1:14">
      <c r="A974">
        <v>4562</v>
      </c>
      <c r="B974" t="s">
        <v>5573</v>
      </c>
      <c r="C974">
        <v>8.75</v>
      </c>
      <c r="D974">
        <v>10</v>
      </c>
      <c r="E974">
        <v>29</v>
      </c>
      <c r="F974">
        <v>-27</v>
      </c>
      <c r="G974">
        <v>-28</v>
      </c>
      <c r="H974">
        <v>-11.35</v>
      </c>
      <c r="I974">
        <v>0</v>
      </c>
      <c r="J974">
        <v>-2.0099999999999998</v>
      </c>
      <c r="K974" s="245">
        <v>-30.41</v>
      </c>
      <c r="L974" s="245">
        <v>49.56</v>
      </c>
      <c r="M974" s="245">
        <v>74.8</v>
      </c>
      <c r="N974" s="257" t="s">
        <v>6830</v>
      </c>
    </row>
    <row r="975" spans="1:14">
      <c r="A975">
        <v>4563</v>
      </c>
      <c r="B975" t="s">
        <v>6182</v>
      </c>
      <c r="C975">
        <v>5.49</v>
      </c>
      <c r="D975">
        <v>47</v>
      </c>
      <c r="E975">
        <v>54</v>
      </c>
      <c r="F975">
        <v>-38</v>
      </c>
      <c r="G975">
        <v>22</v>
      </c>
      <c r="H975">
        <v>-5.22</v>
      </c>
      <c r="I975">
        <v>0</v>
      </c>
      <c r="J975">
        <v>-3.36</v>
      </c>
      <c r="K975" s="245">
        <v>-9.61</v>
      </c>
      <c r="L975" s="245">
        <v>48.3</v>
      </c>
      <c r="M975" s="245">
        <v>188.8</v>
      </c>
      <c r="N975" s="257" t="s">
        <v>6831</v>
      </c>
    </row>
    <row r="976" spans="1:14">
      <c r="A976">
        <v>4564</v>
      </c>
      <c r="B976" t="s">
        <v>5574</v>
      </c>
      <c r="C976">
        <v>18.27</v>
      </c>
      <c r="D976">
        <v>7</v>
      </c>
      <c r="E976">
        <v>14</v>
      </c>
      <c r="F976">
        <v>-23</v>
      </c>
      <c r="G976">
        <v>-12</v>
      </c>
      <c r="H976">
        <v>18.37</v>
      </c>
      <c r="I976">
        <v>1.3</v>
      </c>
      <c r="J976">
        <v>1.75</v>
      </c>
      <c r="K976" s="245">
        <v>-45.96</v>
      </c>
      <c r="L976" s="245">
        <v>12.73</v>
      </c>
      <c r="M976" s="245">
        <v>309.85000000000002</v>
      </c>
      <c r="N976" s="257" t="s">
        <v>6830</v>
      </c>
    </row>
    <row r="977" spans="1:14">
      <c r="A977">
        <v>4566</v>
      </c>
      <c r="B977" t="s">
        <v>5575</v>
      </c>
      <c r="C977">
        <v>7.17</v>
      </c>
      <c r="D977">
        <v>66</v>
      </c>
      <c r="E977">
        <v>54</v>
      </c>
      <c r="F977">
        <v>-20</v>
      </c>
      <c r="G977">
        <v>3</v>
      </c>
      <c r="H977">
        <v>5.52</v>
      </c>
      <c r="I977">
        <v>1.18</v>
      </c>
      <c r="J977">
        <v>2.35</v>
      </c>
      <c r="K977" s="245">
        <v>-20.350000000000001</v>
      </c>
      <c r="L977" s="245">
        <v>48.91</v>
      </c>
      <c r="M977" s="245">
        <v>67.900000000000006</v>
      </c>
      <c r="N977" s="257" t="s">
        <v>6830</v>
      </c>
    </row>
    <row r="978" spans="1:14">
      <c r="A978">
        <v>4568</v>
      </c>
      <c r="B978" t="s">
        <v>6148</v>
      </c>
      <c r="C978">
        <v>3.01</v>
      </c>
      <c r="D978">
        <v>1</v>
      </c>
      <c r="E978">
        <v>-13</v>
      </c>
      <c r="F978">
        <v>23</v>
      </c>
      <c r="G978">
        <v>23</v>
      </c>
      <c r="H978">
        <v>12.71</v>
      </c>
      <c r="I978">
        <v>4.5</v>
      </c>
      <c r="J978">
        <v>5.03</v>
      </c>
      <c r="K978" s="245">
        <v>-15.23</v>
      </c>
      <c r="L978" s="245">
        <v>17.649999999999999</v>
      </c>
      <c r="M978" s="245">
        <v>8.4499999999999993</v>
      </c>
      <c r="N978" s="257" t="s">
        <v>6830</v>
      </c>
    </row>
    <row r="979" spans="1:14">
      <c r="A979">
        <v>4571</v>
      </c>
      <c r="B979" t="s">
        <v>5576</v>
      </c>
      <c r="C979">
        <v>5.33</v>
      </c>
      <c r="D979">
        <v>37</v>
      </c>
      <c r="E979">
        <v>25</v>
      </c>
      <c r="F979">
        <v>-37</v>
      </c>
      <c r="G979">
        <v>-27</v>
      </c>
      <c r="H979">
        <v>15.86</v>
      </c>
      <c r="I979">
        <v>4.5</v>
      </c>
      <c r="J979">
        <v>8.18</v>
      </c>
      <c r="K979" s="245">
        <v>-40.14</v>
      </c>
      <c r="L979" s="245">
        <v>13</v>
      </c>
      <c r="M979" s="245">
        <v>22.9</v>
      </c>
      <c r="N979" s="257" t="s">
        <v>6830</v>
      </c>
    </row>
    <row r="980" spans="1:14">
      <c r="A980">
        <v>4572</v>
      </c>
      <c r="B980" t="s">
        <v>5577</v>
      </c>
      <c r="C980">
        <v>3.58</v>
      </c>
      <c r="D980">
        <v>63</v>
      </c>
      <c r="E980">
        <v>27</v>
      </c>
      <c r="F980">
        <v>8</v>
      </c>
      <c r="G980">
        <v>65</v>
      </c>
      <c r="H980">
        <v>14.98</v>
      </c>
      <c r="I980">
        <v>5</v>
      </c>
      <c r="J980">
        <v>1.5</v>
      </c>
      <c r="K980" s="245">
        <v>-13.75</v>
      </c>
      <c r="L980" s="245">
        <v>48.13</v>
      </c>
      <c r="M980" s="245">
        <v>62.2</v>
      </c>
      <c r="N980" s="257" t="s">
        <v>6831</v>
      </c>
    </row>
    <row r="981" spans="1:14">
      <c r="A981">
        <v>4576</v>
      </c>
      <c r="B981" t="s">
        <v>5578</v>
      </c>
      <c r="C981">
        <v>11.98</v>
      </c>
      <c r="D981">
        <v>112</v>
      </c>
      <c r="E981">
        <v>110</v>
      </c>
      <c r="F981">
        <v>-14</v>
      </c>
      <c r="G981">
        <v>10</v>
      </c>
      <c r="H981">
        <v>12.43</v>
      </c>
      <c r="I981">
        <v>1</v>
      </c>
      <c r="J981">
        <v>2.48</v>
      </c>
      <c r="K981" s="245">
        <v>-30.26</v>
      </c>
      <c r="L981" s="245">
        <v>18.989999999999998</v>
      </c>
      <c r="M981" s="245">
        <v>106.55</v>
      </c>
      <c r="N981" s="257" t="s">
        <v>6830</v>
      </c>
    </row>
    <row r="982" spans="1:14">
      <c r="A982">
        <v>4580</v>
      </c>
      <c r="B982" t="s">
        <v>5579</v>
      </c>
      <c r="C982">
        <v>4.3099999999999996</v>
      </c>
      <c r="D982">
        <v>6</v>
      </c>
      <c r="E982">
        <v>2</v>
      </c>
      <c r="F982">
        <v>5</v>
      </c>
      <c r="G982">
        <v>13</v>
      </c>
      <c r="H982">
        <v>18.38</v>
      </c>
      <c r="I982">
        <v>5.75</v>
      </c>
      <c r="J982">
        <v>8.0399999999999991</v>
      </c>
      <c r="K982" s="245">
        <v>-12.51</v>
      </c>
      <c r="L982" s="245">
        <v>22.32</v>
      </c>
      <c r="M982" s="245">
        <v>84.4</v>
      </c>
      <c r="N982" s="257" t="s">
        <v>6830</v>
      </c>
    </row>
    <row r="983" spans="1:14">
      <c r="A983">
        <v>4581</v>
      </c>
      <c r="B983" t="s">
        <v>5580</v>
      </c>
      <c r="C983">
        <v>3.38</v>
      </c>
      <c r="D983">
        <v>17</v>
      </c>
      <c r="E983">
        <v>24</v>
      </c>
      <c r="F983">
        <v>-3</v>
      </c>
      <c r="G983">
        <v>-9</v>
      </c>
      <c r="H983">
        <v>9.76</v>
      </c>
      <c r="I983">
        <v>1.5</v>
      </c>
      <c r="J983">
        <v>2.38</v>
      </c>
      <c r="K983" s="245">
        <v>-26.6</v>
      </c>
      <c r="L983" s="245">
        <v>16.059999999999999</v>
      </c>
      <c r="M983" s="245">
        <v>10.55</v>
      </c>
      <c r="N983" s="257" t="s">
        <v>6830</v>
      </c>
    </row>
    <row r="984" spans="1:14">
      <c r="A984">
        <v>4609</v>
      </c>
      <c r="B984" t="s">
        <v>6529</v>
      </c>
      <c r="C984">
        <v>4.79</v>
      </c>
      <c r="D984">
        <v>63</v>
      </c>
      <c r="E984">
        <v>15</v>
      </c>
      <c r="F984">
        <v>-10</v>
      </c>
      <c r="G984">
        <v>-47</v>
      </c>
      <c r="H984">
        <v>-13.09</v>
      </c>
      <c r="I984">
        <v>0</v>
      </c>
      <c r="J984">
        <v>-0.39</v>
      </c>
      <c r="K984" s="245">
        <v>-18.329999999999998</v>
      </c>
      <c r="L984" s="245">
        <v>19.190000000000001</v>
      </c>
      <c r="M984" s="245">
        <v>8.9499999999999993</v>
      </c>
      <c r="N984" s="257" t="s">
        <v>6831</v>
      </c>
    </row>
    <row r="985" spans="1:14">
      <c r="A985">
        <v>4702</v>
      </c>
      <c r="B985" t="s">
        <v>5581</v>
      </c>
      <c r="C985">
        <v>7.23</v>
      </c>
      <c r="D985">
        <v>91</v>
      </c>
      <c r="E985">
        <v>115</v>
      </c>
      <c r="F985">
        <v>-28</v>
      </c>
      <c r="G985">
        <v>-28</v>
      </c>
      <c r="H985">
        <v>0.56999999999999995</v>
      </c>
      <c r="I985">
        <v>0</v>
      </c>
      <c r="J985">
        <v>1.1499999999999999</v>
      </c>
      <c r="K985" s="245">
        <v>-30.56</v>
      </c>
      <c r="L985" s="245">
        <v>27.95</v>
      </c>
      <c r="M985" s="245">
        <v>3022.2</v>
      </c>
      <c r="N985" s="257" t="s">
        <v>6830</v>
      </c>
    </row>
    <row r="986" spans="1:14">
      <c r="A986">
        <v>4706</v>
      </c>
      <c r="B986" t="s">
        <v>6337</v>
      </c>
      <c r="C986">
        <v>7.9</v>
      </c>
      <c r="D986">
        <v>-7</v>
      </c>
      <c r="E986">
        <v>19</v>
      </c>
      <c r="F986">
        <v>-46</v>
      </c>
      <c r="G986">
        <v>-39</v>
      </c>
      <c r="H986">
        <v>7.7</v>
      </c>
      <c r="I986">
        <v>0.9</v>
      </c>
      <c r="J986">
        <v>1.1299999999999999</v>
      </c>
      <c r="K986" s="245">
        <v>-21.02</v>
      </c>
      <c r="L986" s="245">
        <v>24.92</v>
      </c>
      <c r="M986" s="245">
        <v>23.45</v>
      </c>
      <c r="N986" s="257" t="s">
        <v>6830</v>
      </c>
    </row>
    <row r="987" spans="1:14">
      <c r="A987">
        <v>4707</v>
      </c>
      <c r="B987" t="s">
        <v>5582</v>
      </c>
      <c r="C987">
        <v>32.799999999999997</v>
      </c>
      <c r="D987">
        <v>38</v>
      </c>
      <c r="E987">
        <v>67</v>
      </c>
      <c r="F987">
        <v>137</v>
      </c>
      <c r="G987">
        <v>82</v>
      </c>
      <c r="H987">
        <v>4.0599999999999996</v>
      </c>
      <c r="I987">
        <v>0.9</v>
      </c>
      <c r="J987">
        <v>1.05</v>
      </c>
      <c r="K987" s="245">
        <v>-10.64</v>
      </c>
      <c r="L987" s="245">
        <v>28.32</v>
      </c>
      <c r="M987" s="245">
        <v>1137.45</v>
      </c>
      <c r="N987" s="257" t="s">
        <v>6830</v>
      </c>
    </row>
    <row r="988" spans="1:14">
      <c r="A988">
        <v>4711</v>
      </c>
      <c r="B988" t="s">
        <v>5583</v>
      </c>
      <c r="C988">
        <v>6.1</v>
      </c>
      <c r="D988">
        <v>39</v>
      </c>
      <c r="E988">
        <v>108</v>
      </c>
      <c r="F988">
        <v>-9</v>
      </c>
      <c r="G988">
        <v>-2</v>
      </c>
      <c r="H988">
        <v>7.85</v>
      </c>
      <c r="I988">
        <v>1</v>
      </c>
      <c r="J988">
        <v>1.27</v>
      </c>
      <c r="K988" s="245">
        <v>-37.35</v>
      </c>
      <c r="L988" s="245">
        <v>29.99</v>
      </c>
      <c r="M988" s="245">
        <v>138.69999999999999</v>
      </c>
      <c r="N988" s="257" t="s">
        <v>6830</v>
      </c>
    </row>
    <row r="989" spans="1:14">
      <c r="A989">
        <v>4712</v>
      </c>
      <c r="B989" t="s">
        <v>6530</v>
      </c>
      <c r="C989">
        <v>7.36</v>
      </c>
      <c r="D989">
        <v>-9</v>
      </c>
      <c r="E989">
        <v>-32</v>
      </c>
      <c r="F989">
        <v>-36</v>
      </c>
      <c r="G989">
        <v>-80</v>
      </c>
      <c r="H989">
        <v>-452.06</v>
      </c>
      <c r="I989">
        <v>0</v>
      </c>
      <c r="J989">
        <v>-1.61</v>
      </c>
      <c r="K989" s="245">
        <v>-43.6</v>
      </c>
      <c r="L989" s="245">
        <v>21.4</v>
      </c>
      <c r="M989" s="245">
        <v>32.700000000000003</v>
      </c>
      <c r="N989" s="257" t="s">
        <v>6830</v>
      </c>
    </row>
    <row r="990" spans="1:14">
      <c r="A990">
        <v>4714</v>
      </c>
      <c r="B990" t="s">
        <v>5584</v>
      </c>
      <c r="C990">
        <v>13.94</v>
      </c>
      <c r="D990">
        <v>158</v>
      </c>
      <c r="E990">
        <v>1</v>
      </c>
      <c r="F990">
        <v>-8</v>
      </c>
      <c r="G990">
        <v>39</v>
      </c>
      <c r="H990">
        <v>-3.4</v>
      </c>
      <c r="I990">
        <v>0.4</v>
      </c>
      <c r="J990">
        <v>0.28000000000000003</v>
      </c>
      <c r="K990" s="245">
        <v>-18.27</v>
      </c>
      <c r="L990" s="245">
        <v>37.79</v>
      </c>
      <c r="M990" s="245">
        <v>558.65</v>
      </c>
      <c r="N990" s="257" t="s">
        <v>6831</v>
      </c>
    </row>
    <row r="991" spans="1:14">
      <c r="A991">
        <v>4716</v>
      </c>
      <c r="B991" t="s">
        <v>5585</v>
      </c>
      <c r="C991">
        <v>7.43</v>
      </c>
      <c r="D991">
        <v>1269</v>
      </c>
      <c r="E991">
        <v>-274</v>
      </c>
      <c r="F991">
        <v>-5</v>
      </c>
      <c r="G991">
        <v>2</v>
      </c>
      <c r="H991">
        <v>-7.78</v>
      </c>
      <c r="I991">
        <v>2</v>
      </c>
      <c r="J991">
        <v>3.55</v>
      </c>
      <c r="K991" s="245">
        <v>-18.28</v>
      </c>
      <c r="L991" s="245">
        <v>34.200000000000003</v>
      </c>
      <c r="M991" s="245">
        <v>1092</v>
      </c>
      <c r="N991" s="257" t="s">
        <v>6830</v>
      </c>
    </row>
    <row r="992" spans="1:14">
      <c r="A992">
        <v>4720</v>
      </c>
      <c r="B992" t="s">
        <v>5586</v>
      </c>
      <c r="C992">
        <v>10.31</v>
      </c>
      <c r="D992">
        <v>-64</v>
      </c>
      <c r="E992">
        <v>-49</v>
      </c>
      <c r="F992">
        <v>0</v>
      </c>
      <c r="G992">
        <v>10</v>
      </c>
      <c r="H992">
        <v>1.94</v>
      </c>
      <c r="I992">
        <v>0.2</v>
      </c>
      <c r="J992">
        <v>0.3</v>
      </c>
      <c r="K992" s="245">
        <v>-34.42</v>
      </c>
      <c r="L992" s="245">
        <v>20.100000000000001</v>
      </c>
      <c r="M992" s="245">
        <v>310.7</v>
      </c>
      <c r="N992" s="257" t="s">
        <v>6830</v>
      </c>
    </row>
    <row r="993" spans="1:14">
      <c r="A993">
        <v>4721</v>
      </c>
      <c r="B993" t="s">
        <v>5587</v>
      </c>
      <c r="C993">
        <v>7.49</v>
      </c>
      <c r="D993">
        <v>192</v>
      </c>
      <c r="E993">
        <v>175</v>
      </c>
      <c r="F993">
        <v>2</v>
      </c>
      <c r="G993">
        <v>76</v>
      </c>
      <c r="H993">
        <v>10.11</v>
      </c>
      <c r="I993">
        <v>3.8</v>
      </c>
      <c r="J993">
        <v>4.8099999999999996</v>
      </c>
      <c r="K993" s="245">
        <v>-27.1</v>
      </c>
      <c r="L993" s="245">
        <v>24.94</v>
      </c>
      <c r="M993" s="245">
        <v>1490.65</v>
      </c>
      <c r="N993" s="257" t="s">
        <v>6831</v>
      </c>
    </row>
    <row r="994" spans="1:14">
      <c r="A994">
        <v>4722</v>
      </c>
      <c r="B994" t="s">
        <v>5588</v>
      </c>
      <c r="C994">
        <v>10</v>
      </c>
      <c r="D994">
        <v>30</v>
      </c>
      <c r="E994">
        <v>37</v>
      </c>
      <c r="F994">
        <v>-27</v>
      </c>
      <c r="G994">
        <v>-2</v>
      </c>
      <c r="H994">
        <v>9.69</v>
      </c>
      <c r="I994">
        <v>2.2000000000000002</v>
      </c>
      <c r="J994">
        <v>3.73</v>
      </c>
      <c r="K994" s="245">
        <v>-17.55</v>
      </c>
      <c r="L994" s="245">
        <v>16.309999999999999</v>
      </c>
      <c r="M994" s="245">
        <v>173.7</v>
      </c>
      <c r="N994" s="257" t="s">
        <v>6831</v>
      </c>
    </row>
    <row r="995" spans="1:14">
      <c r="A995">
        <v>4726</v>
      </c>
      <c r="B995" t="s">
        <v>6531</v>
      </c>
      <c r="C995">
        <v>15.41</v>
      </c>
      <c r="D995">
        <v>-390</v>
      </c>
      <c r="E995">
        <v>-341</v>
      </c>
      <c r="F995">
        <v>-64</v>
      </c>
      <c r="G995">
        <v>61</v>
      </c>
      <c r="H995">
        <v>-11.02</v>
      </c>
      <c r="I995">
        <v>0</v>
      </c>
      <c r="J995">
        <v>-0.61</v>
      </c>
      <c r="K995" s="245">
        <v>-30.8</v>
      </c>
      <c r="L995" s="245">
        <v>13.97</v>
      </c>
      <c r="M995" s="245">
        <v>527.85</v>
      </c>
      <c r="N995" s="257" t="s">
        <v>6830</v>
      </c>
    </row>
    <row r="996" spans="1:14">
      <c r="A996">
        <v>4728</v>
      </c>
      <c r="B996" t="s">
        <v>5589</v>
      </c>
      <c r="C996">
        <v>5.44</v>
      </c>
      <c r="D996">
        <v>3</v>
      </c>
      <c r="E996">
        <v>10</v>
      </c>
      <c r="F996">
        <v>0</v>
      </c>
      <c r="G996">
        <v>11</v>
      </c>
      <c r="H996">
        <v>35.47</v>
      </c>
      <c r="I996">
        <v>4.4000000000000004</v>
      </c>
      <c r="J996">
        <v>4.51</v>
      </c>
      <c r="K996" s="245">
        <v>-30.77</v>
      </c>
      <c r="L996" s="245">
        <v>27</v>
      </c>
      <c r="M996" s="245">
        <v>55.2</v>
      </c>
      <c r="N996" s="257" t="s">
        <v>6831</v>
      </c>
    </row>
    <row r="997" spans="1:14">
      <c r="A997">
        <v>4729</v>
      </c>
      <c r="B997" t="s">
        <v>6532</v>
      </c>
      <c r="C997">
        <v>10.220000000000001</v>
      </c>
      <c r="D997">
        <v>-41</v>
      </c>
      <c r="E997">
        <v>34</v>
      </c>
      <c r="F997">
        <v>1</v>
      </c>
      <c r="G997">
        <v>1</v>
      </c>
      <c r="H997">
        <v>-8.0399999999999991</v>
      </c>
      <c r="I997">
        <v>0</v>
      </c>
      <c r="J997">
        <v>-1.26</v>
      </c>
      <c r="K997" s="245">
        <v>-28.23</v>
      </c>
      <c r="L997" s="245">
        <v>9.49</v>
      </c>
      <c r="M997" s="245">
        <v>47.35</v>
      </c>
      <c r="N997" s="257" t="s">
        <v>6830</v>
      </c>
    </row>
    <row r="998" spans="1:14">
      <c r="A998">
        <v>4735</v>
      </c>
      <c r="B998" t="s">
        <v>5590</v>
      </c>
      <c r="C998">
        <v>3.67</v>
      </c>
      <c r="D998">
        <v>-39</v>
      </c>
      <c r="E998">
        <v>-41</v>
      </c>
      <c r="F998">
        <v>-4</v>
      </c>
      <c r="G998">
        <v>-71</v>
      </c>
      <c r="H998">
        <v>16.8</v>
      </c>
      <c r="I998">
        <v>6.2</v>
      </c>
      <c r="J998">
        <v>8.65</v>
      </c>
      <c r="K998" s="245">
        <v>-49.75</v>
      </c>
      <c r="L998" s="245">
        <v>6.05</v>
      </c>
      <c r="M998" s="245">
        <v>105.05</v>
      </c>
      <c r="N998" s="257" t="s">
        <v>6830</v>
      </c>
    </row>
    <row r="999" spans="1:14">
      <c r="A999">
        <v>4736</v>
      </c>
      <c r="B999" t="s">
        <v>5591</v>
      </c>
      <c r="C999">
        <v>9.31</v>
      </c>
      <c r="D999">
        <v>29</v>
      </c>
      <c r="E999">
        <v>5</v>
      </c>
      <c r="F999">
        <v>118</v>
      </c>
      <c r="G999">
        <v>275</v>
      </c>
      <c r="H999">
        <v>32.270000000000003</v>
      </c>
      <c r="I999">
        <v>15</v>
      </c>
      <c r="J999">
        <v>21.35</v>
      </c>
      <c r="K999" s="245">
        <v>-27.42</v>
      </c>
      <c r="L999" s="245">
        <v>51.65</v>
      </c>
      <c r="M999" s="245">
        <v>5681.75</v>
      </c>
      <c r="N999" s="257" t="s">
        <v>6831</v>
      </c>
    </row>
    <row r="1000" spans="1:14">
      <c r="A1000">
        <v>4737</v>
      </c>
      <c r="B1000" t="s">
        <v>5592</v>
      </c>
      <c r="C1000">
        <v>6.06</v>
      </c>
      <c r="D1000">
        <v>40</v>
      </c>
      <c r="E1000">
        <v>256</v>
      </c>
      <c r="F1000">
        <v>-32</v>
      </c>
      <c r="G1000">
        <v>34</v>
      </c>
      <c r="H1000">
        <v>4.07</v>
      </c>
      <c r="I1000">
        <v>2</v>
      </c>
      <c r="J1000">
        <v>1.45</v>
      </c>
      <c r="K1000" s="245">
        <v>-7.12</v>
      </c>
      <c r="L1000" s="245">
        <v>53.27</v>
      </c>
      <c r="M1000" s="245">
        <v>23.75</v>
      </c>
      <c r="N1000" s="257" t="s">
        <v>6831</v>
      </c>
    </row>
    <row r="1001" spans="1:14">
      <c r="A1001">
        <v>4739</v>
      </c>
      <c r="B1001" t="s">
        <v>5593</v>
      </c>
      <c r="C1001">
        <v>10.7</v>
      </c>
      <c r="D1001">
        <v>170</v>
      </c>
      <c r="E1001">
        <v>170</v>
      </c>
      <c r="F1001">
        <v>-16</v>
      </c>
      <c r="G1001">
        <v>33</v>
      </c>
      <c r="H1001">
        <v>7.96</v>
      </c>
      <c r="I1001">
        <v>3</v>
      </c>
      <c r="J1001">
        <v>4.67</v>
      </c>
      <c r="K1001" s="245">
        <v>-27.2</v>
      </c>
      <c r="L1001" s="245">
        <v>20.81</v>
      </c>
      <c r="M1001" s="245">
        <v>3513.35</v>
      </c>
      <c r="N1001" s="257" t="s">
        <v>6831</v>
      </c>
    </row>
    <row r="1002" spans="1:14">
      <c r="A1002">
        <v>4741</v>
      </c>
      <c r="B1002" t="s">
        <v>6344</v>
      </c>
      <c r="C1002">
        <v>3.28</v>
      </c>
      <c r="D1002">
        <v>-23</v>
      </c>
      <c r="E1002">
        <v>-6</v>
      </c>
      <c r="F1002">
        <v>-6</v>
      </c>
      <c r="G1002">
        <v>6</v>
      </c>
      <c r="H1002">
        <v>3.96</v>
      </c>
      <c r="I1002">
        <v>0.8</v>
      </c>
      <c r="J1002">
        <v>0.9</v>
      </c>
      <c r="K1002" s="245">
        <v>-8.6</v>
      </c>
      <c r="L1002" s="245">
        <v>35.36</v>
      </c>
      <c r="M1002" s="245">
        <v>5.05</v>
      </c>
      <c r="N1002" s="257" t="s">
        <v>6831</v>
      </c>
    </row>
    <row r="1003" spans="1:14">
      <c r="A1003">
        <v>4743</v>
      </c>
      <c r="B1003" t="s">
        <v>6533</v>
      </c>
      <c r="C1003">
        <v>38.81</v>
      </c>
      <c r="D1003">
        <v>-64</v>
      </c>
      <c r="E1003">
        <v>-30</v>
      </c>
      <c r="F1003">
        <v>-20</v>
      </c>
      <c r="G1003">
        <v>308</v>
      </c>
      <c r="H1003">
        <v>-1335.27</v>
      </c>
      <c r="I1003">
        <v>0</v>
      </c>
      <c r="J1003">
        <v>-1.06</v>
      </c>
      <c r="K1003" s="245">
        <v>-45.41</v>
      </c>
      <c r="L1003" s="245">
        <v>7.66</v>
      </c>
      <c r="M1003" s="245">
        <v>2527</v>
      </c>
      <c r="N1003" s="257" t="s">
        <v>6830</v>
      </c>
    </row>
    <row r="1004" spans="1:14">
      <c r="A1004">
        <v>4744</v>
      </c>
      <c r="B1004" t="s">
        <v>5594</v>
      </c>
      <c r="C1004">
        <v>4.59</v>
      </c>
      <c r="D1004">
        <v>12</v>
      </c>
      <c r="E1004">
        <v>-23</v>
      </c>
      <c r="F1004">
        <v>-67</v>
      </c>
      <c r="G1004">
        <v>-51</v>
      </c>
      <c r="H1004">
        <v>7.32</v>
      </c>
      <c r="I1004">
        <v>1.2</v>
      </c>
      <c r="J1004">
        <v>1.71</v>
      </c>
      <c r="K1004" s="245">
        <v>-35.33</v>
      </c>
      <c r="L1004" s="245">
        <v>18.13</v>
      </c>
      <c r="M1004" s="245">
        <v>271.2</v>
      </c>
      <c r="N1004" s="257" t="s">
        <v>6830</v>
      </c>
    </row>
    <row r="1005" spans="1:14">
      <c r="A1005">
        <v>4745</v>
      </c>
      <c r="B1005" t="s">
        <v>5595</v>
      </c>
      <c r="C1005">
        <v>7.74</v>
      </c>
      <c r="D1005">
        <v>3</v>
      </c>
      <c r="E1005">
        <v>0</v>
      </c>
      <c r="F1005">
        <v>-25</v>
      </c>
      <c r="G1005">
        <v>4</v>
      </c>
      <c r="H1005">
        <v>6.63</v>
      </c>
      <c r="I1005">
        <v>1.5</v>
      </c>
      <c r="J1005">
        <v>1.8</v>
      </c>
      <c r="K1005" s="245">
        <v>-26.67</v>
      </c>
      <c r="L1005" s="245">
        <v>18.75</v>
      </c>
      <c r="M1005" s="245">
        <v>230.7</v>
      </c>
      <c r="N1005" s="257" t="s">
        <v>6831</v>
      </c>
    </row>
    <row r="1006" spans="1:14">
      <c r="A1006">
        <v>4746</v>
      </c>
      <c r="B1006" t="s">
        <v>5596</v>
      </c>
      <c r="C1006">
        <v>12.02</v>
      </c>
      <c r="D1006">
        <v>217</v>
      </c>
      <c r="E1006">
        <v>-699</v>
      </c>
      <c r="F1006">
        <v>-15</v>
      </c>
      <c r="G1006">
        <v>-2</v>
      </c>
      <c r="H1006">
        <v>-5.35</v>
      </c>
      <c r="I1006">
        <v>2</v>
      </c>
      <c r="J1006">
        <v>10.92</v>
      </c>
      <c r="K1006" s="245">
        <v>-47.25</v>
      </c>
      <c r="L1006" s="245">
        <v>25.9</v>
      </c>
      <c r="M1006" s="245">
        <v>3125.05</v>
      </c>
      <c r="N1006" s="257" t="s">
        <v>6830</v>
      </c>
    </row>
    <row r="1007" spans="1:14">
      <c r="A1007">
        <v>4747</v>
      </c>
      <c r="B1007" t="s">
        <v>6324</v>
      </c>
      <c r="C1007">
        <v>3</v>
      </c>
      <c r="D1007">
        <v>-22</v>
      </c>
      <c r="E1007">
        <v>-18</v>
      </c>
      <c r="F1007">
        <v>1</v>
      </c>
      <c r="G1007">
        <v>14</v>
      </c>
      <c r="H1007">
        <v>15.14</v>
      </c>
      <c r="I1007">
        <v>1.45</v>
      </c>
      <c r="J1007">
        <v>1.64</v>
      </c>
      <c r="K1007" s="245">
        <v>-11.64</v>
      </c>
      <c r="L1007" s="245">
        <v>15.25</v>
      </c>
      <c r="M1007" s="245">
        <v>36.4</v>
      </c>
      <c r="N1007" s="257" t="s">
        <v>6830</v>
      </c>
    </row>
    <row r="1008" spans="1:14">
      <c r="A1008">
        <v>4754</v>
      </c>
      <c r="B1008" t="s">
        <v>6534</v>
      </c>
      <c r="C1008">
        <v>2.5</v>
      </c>
      <c r="D1008">
        <v>10</v>
      </c>
      <c r="E1008">
        <v>6</v>
      </c>
      <c r="F1008">
        <v>-38</v>
      </c>
      <c r="G1008">
        <v>-19</v>
      </c>
      <c r="H1008">
        <v>14.63</v>
      </c>
      <c r="I1008">
        <v>2</v>
      </c>
      <c r="J1008">
        <v>2.4</v>
      </c>
      <c r="K1008" s="245">
        <v>-9.18</v>
      </c>
      <c r="L1008" s="245">
        <v>23.86</v>
      </c>
      <c r="M1008" s="245">
        <v>27.25</v>
      </c>
      <c r="N1008" s="257" t="s">
        <v>6831</v>
      </c>
    </row>
    <row r="1009" spans="1:14">
      <c r="A1009">
        <v>4755</v>
      </c>
      <c r="B1009" t="s">
        <v>5597</v>
      </c>
      <c r="C1009">
        <v>10.07</v>
      </c>
      <c r="D1009">
        <v>68</v>
      </c>
      <c r="E1009">
        <v>53</v>
      </c>
      <c r="F1009">
        <v>-8</v>
      </c>
      <c r="G1009">
        <v>73</v>
      </c>
      <c r="H1009">
        <v>15.09</v>
      </c>
      <c r="I1009">
        <v>5</v>
      </c>
      <c r="J1009">
        <v>6.69</v>
      </c>
      <c r="K1009" s="245">
        <v>-12.87</v>
      </c>
      <c r="L1009" s="245">
        <v>49.02</v>
      </c>
      <c r="M1009" s="245">
        <v>4131.05</v>
      </c>
      <c r="N1009" s="257" t="s">
        <v>6832</v>
      </c>
    </row>
    <row r="1010" spans="1:14">
      <c r="A1010">
        <v>4760</v>
      </c>
      <c r="B1010" t="s">
        <v>5598</v>
      </c>
      <c r="C1010">
        <v>3.23</v>
      </c>
      <c r="D1010">
        <v>48</v>
      </c>
      <c r="E1010">
        <v>47</v>
      </c>
      <c r="F1010">
        <v>0</v>
      </c>
      <c r="G1010">
        <v>-33</v>
      </c>
      <c r="H1010">
        <v>14.09</v>
      </c>
      <c r="I1010">
        <v>4.5</v>
      </c>
      <c r="J1010">
        <v>6.7</v>
      </c>
      <c r="K1010" s="245">
        <v>-55.83</v>
      </c>
      <c r="L1010" s="245">
        <v>28.7</v>
      </c>
      <c r="M1010" s="245">
        <v>84.35</v>
      </c>
      <c r="N1010" s="257" t="s">
        <v>6830</v>
      </c>
    </row>
    <row r="1011" spans="1:14">
      <c r="A1011">
        <v>4763</v>
      </c>
      <c r="B1011" t="s">
        <v>5599</v>
      </c>
      <c r="C1011">
        <v>5.8</v>
      </c>
      <c r="D1011">
        <v>-29</v>
      </c>
      <c r="E1011">
        <v>-29</v>
      </c>
      <c r="F1011">
        <v>0</v>
      </c>
      <c r="G1011">
        <v>50</v>
      </c>
      <c r="H1011">
        <v>12.97</v>
      </c>
      <c r="I1011">
        <v>5.5</v>
      </c>
      <c r="J1011">
        <v>6.23</v>
      </c>
      <c r="K1011" s="245">
        <v>-15.59</v>
      </c>
      <c r="L1011" s="245">
        <v>53.18</v>
      </c>
      <c r="M1011" s="245">
        <v>137</v>
      </c>
      <c r="N1011" s="257" t="s">
        <v>6831</v>
      </c>
    </row>
    <row r="1012" spans="1:14">
      <c r="A1012">
        <v>4764</v>
      </c>
      <c r="B1012" t="s">
        <v>5600</v>
      </c>
      <c r="C1012">
        <v>8.07</v>
      </c>
      <c r="D1012">
        <v>69</v>
      </c>
      <c r="E1012">
        <v>64</v>
      </c>
      <c r="F1012">
        <v>-18</v>
      </c>
      <c r="G1012">
        <v>4</v>
      </c>
      <c r="H1012">
        <v>4.8099999999999996</v>
      </c>
      <c r="I1012">
        <v>1</v>
      </c>
      <c r="J1012">
        <v>1.32</v>
      </c>
      <c r="K1012" s="245">
        <v>-10.39</v>
      </c>
      <c r="L1012" s="245">
        <v>37.82</v>
      </c>
      <c r="M1012" s="245">
        <v>9</v>
      </c>
      <c r="N1012" s="257" t="s">
        <v>6831</v>
      </c>
    </row>
    <row r="1013" spans="1:14">
      <c r="A1013">
        <v>4766</v>
      </c>
      <c r="B1013" t="s">
        <v>5601</v>
      </c>
      <c r="C1013">
        <v>12.05</v>
      </c>
      <c r="D1013">
        <v>-26</v>
      </c>
      <c r="E1013">
        <v>-29</v>
      </c>
      <c r="F1013">
        <v>-5</v>
      </c>
      <c r="G1013">
        <v>19</v>
      </c>
      <c r="H1013">
        <v>5.85</v>
      </c>
      <c r="I1013">
        <v>6</v>
      </c>
      <c r="J1013">
        <v>7.26</v>
      </c>
      <c r="K1013" s="245">
        <v>-19.37</v>
      </c>
      <c r="L1013" s="245">
        <v>33.9</v>
      </c>
      <c r="M1013" s="245">
        <v>117.55</v>
      </c>
      <c r="N1013" s="257" t="s">
        <v>6830</v>
      </c>
    </row>
    <row r="1014" spans="1:14">
      <c r="A1014">
        <v>4767</v>
      </c>
      <c r="B1014" t="s">
        <v>6535</v>
      </c>
      <c r="C1014">
        <v>3.14</v>
      </c>
      <c r="D1014">
        <v>23</v>
      </c>
      <c r="E1014">
        <v>17</v>
      </c>
      <c r="F1014">
        <v>-7</v>
      </c>
      <c r="G1014">
        <v>5</v>
      </c>
      <c r="H1014">
        <v>8.4499999999999993</v>
      </c>
      <c r="I1014">
        <v>1.5</v>
      </c>
      <c r="J1014">
        <v>2.84</v>
      </c>
      <c r="K1014" s="245">
        <v>-12.65</v>
      </c>
      <c r="L1014" s="245">
        <v>32.58</v>
      </c>
      <c r="M1014" s="245">
        <v>9.0500000000000007</v>
      </c>
      <c r="N1014" s="257" t="s">
        <v>6831</v>
      </c>
    </row>
    <row r="1015" spans="1:14">
      <c r="A1015">
        <v>4770</v>
      </c>
      <c r="B1015" t="s">
        <v>6536</v>
      </c>
      <c r="C1015">
        <v>7.85</v>
      </c>
      <c r="D1015">
        <v>83</v>
      </c>
      <c r="E1015">
        <v>78</v>
      </c>
      <c r="F1015">
        <v>-8</v>
      </c>
      <c r="G1015">
        <v>75</v>
      </c>
      <c r="H1015">
        <v>31.15</v>
      </c>
      <c r="I1015">
        <v>8</v>
      </c>
      <c r="J1015">
        <v>13.94</v>
      </c>
      <c r="K1015" s="245" t="s">
        <v>6279</v>
      </c>
      <c r="L1015" s="245" t="s">
        <v>6279</v>
      </c>
      <c r="M1015" s="245" t="s">
        <v>6279</v>
      </c>
      <c r="N1015" s="257" t="s">
        <v>6279</v>
      </c>
    </row>
    <row r="1016" spans="1:14">
      <c r="A1016">
        <v>4804</v>
      </c>
      <c r="B1016" t="s">
        <v>5602</v>
      </c>
      <c r="C1016">
        <v>4.53</v>
      </c>
      <c r="D1016">
        <v>33</v>
      </c>
      <c r="E1016">
        <v>146</v>
      </c>
      <c r="F1016">
        <v>24</v>
      </c>
      <c r="G1016">
        <v>-23</v>
      </c>
      <c r="H1016">
        <v>1.58</v>
      </c>
      <c r="I1016">
        <v>0</v>
      </c>
      <c r="J1016">
        <v>-0.13</v>
      </c>
      <c r="K1016" s="245">
        <v>-40.119999999999997</v>
      </c>
      <c r="L1016" s="245">
        <v>47.71</v>
      </c>
      <c r="M1016" s="245">
        <v>6462.6</v>
      </c>
      <c r="N1016" s="257" t="s">
        <v>6831</v>
      </c>
    </row>
    <row r="1017" spans="1:14">
      <c r="A1017">
        <v>4806</v>
      </c>
      <c r="B1017" t="s">
        <v>6537</v>
      </c>
      <c r="C1017">
        <v>5.21</v>
      </c>
      <c r="D1017">
        <v>-60</v>
      </c>
      <c r="E1017">
        <v>-89</v>
      </c>
      <c r="F1017">
        <v>0</v>
      </c>
      <c r="G1017">
        <v>0</v>
      </c>
      <c r="H1017">
        <v>-27709.17</v>
      </c>
      <c r="I1017">
        <v>0</v>
      </c>
      <c r="J1017">
        <v>-4.13</v>
      </c>
      <c r="K1017" s="245">
        <v>-13.75</v>
      </c>
      <c r="L1017" s="245">
        <v>61.92</v>
      </c>
      <c r="M1017" s="245">
        <v>36.700000000000003</v>
      </c>
      <c r="N1017" s="257" t="s">
        <v>6831</v>
      </c>
    </row>
    <row r="1018" spans="1:14">
      <c r="A1018">
        <v>4807</v>
      </c>
      <c r="B1018" t="s">
        <v>5603</v>
      </c>
      <c r="C1018">
        <v>3.83</v>
      </c>
      <c r="D1018">
        <v>40</v>
      </c>
      <c r="E1018">
        <v>57</v>
      </c>
      <c r="F1018">
        <v>-19</v>
      </c>
      <c r="G1018">
        <v>-47</v>
      </c>
      <c r="H1018">
        <v>8.68</v>
      </c>
      <c r="I1018">
        <v>1.66</v>
      </c>
      <c r="J1018">
        <v>3.32</v>
      </c>
      <c r="K1018" s="245">
        <v>-24.35</v>
      </c>
      <c r="L1018" s="245">
        <v>20.93</v>
      </c>
      <c r="M1018" s="245">
        <v>19.55</v>
      </c>
      <c r="N1018" s="257" t="s">
        <v>6830</v>
      </c>
    </row>
    <row r="1019" spans="1:14">
      <c r="A1019">
        <v>4903</v>
      </c>
      <c r="B1019" t="s">
        <v>6538</v>
      </c>
      <c r="C1019">
        <v>9.02</v>
      </c>
      <c r="D1019">
        <v>74</v>
      </c>
      <c r="E1019">
        <v>79</v>
      </c>
      <c r="F1019">
        <v>-25</v>
      </c>
      <c r="G1019">
        <v>-36</v>
      </c>
      <c r="H1019">
        <v>-4.1900000000000004</v>
      </c>
      <c r="I1019">
        <v>0</v>
      </c>
      <c r="J1019">
        <v>-0.35</v>
      </c>
      <c r="K1019" s="245">
        <v>-35.65</v>
      </c>
      <c r="L1019" s="245">
        <v>27.37</v>
      </c>
      <c r="M1019" s="245">
        <v>127.55</v>
      </c>
      <c r="N1019" s="257" t="s">
        <v>6831</v>
      </c>
    </row>
    <row r="1020" spans="1:14">
      <c r="A1020">
        <v>4904</v>
      </c>
      <c r="B1020" t="s">
        <v>5604</v>
      </c>
      <c r="C1020">
        <v>325</v>
      </c>
      <c r="D1020">
        <v>9</v>
      </c>
      <c r="E1020">
        <v>-6</v>
      </c>
      <c r="F1020">
        <v>-3</v>
      </c>
      <c r="G1020">
        <v>8</v>
      </c>
      <c r="H1020">
        <v>12.14</v>
      </c>
      <c r="I1020">
        <v>3.25</v>
      </c>
      <c r="J1020">
        <v>2.8</v>
      </c>
      <c r="K1020" s="245">
        <v>-1.08</v>
      </c>
      <c r="L1020" s="245">
        <v>89.79</v>
      </c>
      <c r="M1020" s="245">
        <v>7993</v>
      </c>
      <c r="N1020" s="257" t="s">
        <v>6832</v>
      </c>
    </row>
    <row r="1021" spans="1:14">
      <c r="A1021">
        <v>4905</v>
      </c>
      <c r="B1021" t="s">
        <v>6316</v>
      </c>
      <c r="C1021">
        <v>3</v>
      </c>
      <c r="D1021">
        <v>47</v>
      </c>
      <c r="E1021">
        <v>33</v>
      </c>
      <c r="F1021">
        <v>-56</v>
      </c>
      <c r="G1021">
        <v>18</v>
      </c>
      <c r="H1021">
        <v>-44.49</v>
      </c>
      <c r="I1021">
        <v>1.2</v>
      </c>
      <c r="J1021">
        <v>1.49</v>
      </c>
      <c r="K1021" s="245">
        <v>-10.5</v>
      </c>
      <c r="L1021" s="245">
        <v>14.54</v>
      </c>
      <c r="M1021" s="245">
        <v>14.75</v>
      </c>
      <c r="N1021" s="257" t="s">
        <v>6830</v>
      </c>
    </row>
    <row r="1022" spans="1:14">
      <c r="A1022">
        <v>4906</v>
      </c>
      <c r="B1022" t="s">
        <v>5605</v>
      </c>
      <c r="C1022">
        <v>40.51</v>
      </c>
      <c r="D1022">
        <v>-51</v>
      </c>
      <c r="E1022">
        <v>-23</v>
      </c>
      <c r="F1022">
        <v>-15</v>
      </c>
      <c r="G1022">
        <v>-25</v>
      </c>
      <c r="H1022">
        <v>1.55</v>
      </c>
      <c r="I1022">
        <v>1.5</v>
      </c>
      <c r="J1022">
        <v>1.89</v>
      </c>
      <c r="K1022" s="245">
        <v>-16.760000000000002</v>
      </c>
      <c r="L1022" s="245">
        <v>33.130000000000003</v>
      </c>
      <c r="M1022" s="245">
        <v>5030.5</v>
      </c>
      <c r="N1022" s="257" t="s">
        <v>6831</v>
      </c>
    </row>
    <row r="1023" spans="1:14">
      <c r="A1023">
        <v>4907</v>
      </c>
      <c r="B1023" t="s">
        <v>6338</v>
      </c>
      <c r="C1023">
        <v>11.81</v>
      </c>
      <c r="D1023">
        <v>46</v>
      </c>
      <c r="E1023">
        <v>45</v>
      </c>
      <c r="F1023">
        <v>-83</v>
      </c>
      <c r="G1023">
        <v>53</v>
      </c>
      <c r="H1023">
        <v>17.670000000000002</v>
      </c>
      <c r="I1023">
        <v>1.3</v>
      </c>
      <c r="J1023">
        <v>1.75</v>
      </c>
      <c r="K1023" s="245">
        <v>-7.79</v>
      </c>
      <c r="L1023" s="245">
        <v>60.5</v>
      </c>
      <c r="M1023" s="245">
        <v>13.85</v>
      </c>
      <c r="N1023" s="257" t="s">
        <v>6831</v>
      </c>
    </row>
    <row r="1024" spans="1:14">
      <c r="A1024">
        <v>4908</v>
      </c>
      <c r="B1024" t="s">
        <v>5606</v>
      </c>
      <c r="C1024">
        <v>7.82</v>
      </c>
      <c r="D1024">
        <v>19</v>
      </c>
      <c r="E1024">
        <v>11</v>
      </c>
      <c r="F1024">
        <v>-22</v>
      </c>
      <c r="G1024">
        <v>6</v>
      </c>
      <c r="H1024">
        <v>22.77</v>
      </c>
      <c r="I1024">
        <v>1.8</v>
      </c>
      <c r="J1024">
        <v>1.86</v>
      </c>
      <c r="K1024" s="245">
        <v>-20.329999999999998</v>
      </c>
      <c r="L1024" s="245">
        <v>36.619999999999997</v>
      </c>
      <c r="M1024" s="245">
        <v>1074.1500000000001</v>
      </c>
      <c r="N1024" s="257" t="s">
        <v>6831</v>
      </c>
    </row>
    <row r="1025" spans="1:14">
      <c r="A1025">
        <v>4909</v>
      </c>
      <c r="B1025" t="s">
        <v>5607</v>
      </c>
      <c r="C1025">
        <v>9.33</v>
      </c>
      <c r="D1025">
        <v>-892</v>
      </c>
      <c r="E1025">
        <v>-201</v>
      </c>
      <c r="F1025">
        <v>-25</v>
      </c>
      <c r="G1025">
        <v>-49</v>
      </c>
      <c r="H1025">
        <v>-17.27</v>
      </c>
      <c r="I1025">
        <v>0</v>
      </c>
      <c r="J1025">
        <v>-1.26</v>
      </c>
      <c r="K1025" s="245">
        <v>-45.23</v>
      </c>
      <c r="L1025" s="245">
        <v>19.38</v>
      </c>
      <c r="M1025" s="245">
        <v>134.94999999999999</v>
      </c>
      <c r="N1025" s="257" t="s">
        <v>6830</v>
      </c>
    </row>
    <row r="1026" spans="1:14">
      <c r="A1026">
        <v>4911</v>
      </c>
      <c r="B1026" t="s">
        <v>6539</v>
      </c>
      <c r="C1026">
        <v>5.56</v>
      </c>
      <c r="D1026">
        <v>-39</v>
      </c>
      <c r="E1026">
        <v>-26</v>
      </c>
      <c r="F1026">
        <v>-50</v>
      </c>
      <c r="G1026">
        <v>-2</v>
      </c>
      <c r="H1026">
        <v>-79.61</v>
      </c>
      <c r="I1026">
        <v>0</v>
      </c>
      <c r="J1026">
        <v>-0.36</v>
      </c>
      <c r="K1026" s="245">
        <v>-25.81</v>
      </c>
      <c r="L1026" s="245">
        <v>18.7</v>
      </c>
      <c r="M1026" s="245">
        <v>28.75</v>
      </c>
      <c r="N1026" s="257" t="s">
        <v>6830</v>
      </c>
    </row>
    <row r="1027" spans="1:14">
      <c r="A1027">
        <v>4912</v>
      </c>
      <c r="B1027" t="s">
        <v>5608</v>
      </c>
      <c r="C1027">
        <v>6.25</v>
      </c>
      <c r="D1027">
        <v>2</v>
      </c>
      <c r="E1027">
        <v>-7</v>
      </c>
      <c r="F1027">
        <v>-27</v>
      </c>
      <c r="G1027">
        <v>-32</v>
      </c>
      <c r="H1027">
        <v>9.92</v>
      </c>
      <c r="I1027">
        <v>3.87</v>
      </c>
      <c r="J1027">
        <v>7.51</v>
      </c>
      <c r="K1027" s="245">
        <v>-50.37</v>
      </c>
      <c r="L1027" s="245">
        <v>10.47</v>
      </c>
      <c r="M1027" s="245">
        <v>669.6</v>
      </c>
      <c r="N1027" s="257" t="s">
        <v>6830</v>
      </c>
    </row>
    <row r="1028" spans="1:14">
      <c r="A1028">
        <v>4915</v>
      </c>
      <c r="B1028" t="s">
        <v>5609</v>
      </c>
      <c r="C1028">
        <v>45.52</v>
      </c>
      <c r="D1028">
        <v>23</v>
      </c>
      <c r="E1028">
        <v>22</v>
      </c>
      <c r="F1028">
        <v>-8</v>
      </c>
      <c r="G1028">
        <v>4</v>
      </c>
      <c r="H1028">
        <v>3.93</v>
      </c>
      <c r="I1028">
        <v>3.1</v>
      </c>
      <c r="J1028">
        <v>5.13</v>
      </c>
      <c r="K1028" s="245">
        <v>-15.59</v>
      </c>
      <c r="L1028" s="245">
        <v>61.15</v>
      </c>
      <c r="M1028" s="245">
        <v>6341.55</v>
      </c>
      <c r="N1028" s="257" t="s">
        <v>6831</v>
      </c>
    </row>
    <row r="1029" spans="1:14">
      <c r="A1029">
        <v>4916</v>
      </c>
      <c r="B1029" t="s">
        <v>5610</v>
      </c>
      <c r="C1029">
        <v>8.33</v>
      </c>
      <c r="D1029">
        <v>158</v>
      </c>
      <c r="E1029">
        <v>72</v>
      </c>
      <c r="F1029">
        <v>-23</v>
      </c>
      <c r="G1029">
        <v>-15</v>
      </c>
      <c r="H1029">
        <v>-1.49</v>
      </c>
      <c r="I1029">
        <v>0.5</v>
      </c>
      <c r="J1029">
        <v>1.29</v>
      </c>
      <c r="K1029" s="245">
        <v>-40.46</v>
      </c>
      <c r="L1029" s="245">
        <v>16.45</v>
      </c>
      <c r="M1029" s="245">
        <v>434.75</v>
      </c>
      <c r="N1029" s="257" t="s">
        <v>6830</v>
      </c>
    </row>
    <row r="1030" spans="1:14">
      <c r="A1030">
        <v>4919</v>
      </c>
      <c r="B1030" t="s">
        <v>5611</v>
      </c>
      <c r="C1030">
        <v>41.97</v>
      </c>
      <c r="D1030">
        <v>451</v>
      </c>
      <c r="E1030">
        <v>932</v>
      </c>
      <c r="F1030">
        <v>-2</v>
      </c>
      <c r="G1030">
        <v>6</v>
      </c>
      <c r="H1030">
        <v>8.0299999999999994</v>
      </c>
      <c r="I1030">
        <v>5</v>
      </c>
      <c r="J1030">
        <v>7.27</v>
      </c>
      <c r="K1030" s="245">
        <v>-18.29</v>
      </c>
      <c r="L1030" s="245">
        <v>44.58</v>
      </c>
      <c r="M1030" s="245">
        <v>26180.85</v>
      </c>
      <c r="N1030" s="257" t="s">
        <v>6831</v>
      </c>
    </row>
    <row r="1031" spans="1:14">
      <c r="A1031">
        <v>4924</v>
      </c>
      <c r="B1031" t="s">
        <v>6540</v>
      </c>
      <c r="C1031">
        <v>3.71</v>
      </c>
      <c r="D1031">
        <v>3</v>
      </c>
      <c r="E1031">
        <v>-22</v>
      </c>
      <c r="F1031">
        <v>-48</v>
      </c>
      <c r="G1031">
        <v>2</v>
      </c>
      <c r="H1031">
        <v>4.57</v>
      </c>
      <c r="I1031">
        <v>0</v>
      </c>
      <c r="J1031">
        <v>0.98</v>
      </c>
      <c r="K1031" s="245">
        <v>-27.86</v>
      </c>
      <c r="L1031" s="245">
        <v>12.62</v>
      </c>
      <c r="M1031" s="245">
        <v>14.2</v>
      </c>
      <c r="N1031" s="257" t="s">
        <v>6830</v>
      </c>
    </row>
    <row r="1032" spans="1:14">
      <c r="A1032">
        <v>4927</v>
      </c>
      <c r="B1032" t="s">
        <v>5612</v>
      </c>
      <c r="C1032">
        <v>18.989999999999998</v>
      </c>
      <c r="D1032">
        <v>14</v>
      </c>
      <c r="E1032">
        <v>23</v>
      </c>
      <c r="F1032">
        <v>7</v>
      </c>
      <c r="G1032">
        <v>7</v>
      </c>
      <c r="H1032">
        <v>9.98</v>
      </c>
      <c r="I1032">
        <v>4</v>
      </c>
      <c r="J1032">
        <v>7.25</v>
      </c>
      <c r="K1032" s="245">
        <v>-32.1</v>
      </c>
      <c r="L1032" s="245">
        <v>29.74</v>
      </c>
      <c r="M1032" s="245">
        <v>2646.9</v>
      </c>
      <c r="N1032" s="257" t="s">
        <v>6831</v>
      </c>
    </row>
    <row r="1033" spans="1:14">
      <c r="A1033">
        <v>4930</v>
      </c>
      <c r="B1033" t="s">
        <v>6183</v>
      </c>
      <c r="C1033">
        <v>8</v>
      </c>
      <c r="D1033">
        <v>23</v>
      </c>
      <c r="E1033">
        <v>-14</v>
      </c>
      <c r="F1033">
        <v>-4</v>
      </c>
      <c r="G1033">
        <v>-30</v>
      </c>
      <c r="H1033">
        <v>6.7</v>
      </c>
      <c r="I1033">
        <v>4.8</v>
      </c>
      <c r="J1033">
        <v>3.19</v>
      </c>
      <c r="K1033" s="245">
        <v>-37.049999999999997</v>
      </c>
      <c r="L1033" s="245">
        <v>14.64</v>
      </c>
      <c r="M1033" s="245">
        <v>228.7</v>
      </c>
      <c r="N1033" s="257" t="s">
        <v>6830</v>
      </c>
    </row>
    <row r="1034" spans="1:14">
      <c r="A1034">
        <v>4931</v>
      </c>
      <c r="B1034" t="s">
        <v>5613</v>
      </c>
      <c r="C1034">
        <v>6.39</v>
      </c>
      <c r="D1034">
        <v>-162</v>
      </c>
      <c r="E1034">
        <v>-156</v>
      </c>
      <c r="F1034">
        <v>-18</v>
      </c>
      <c r="G1034">
        <v>90</v>
      </c>
      <c r="H1034">
        <v>-3.01</v>
      </c>
      <c r="I1034">
        <v>0</v>
      </c>
      <c r="J1034">
        <v>-0.63</v>
      </c>
      <c r="K1034" s="245">
        <v>-16.190000000000001</v>
      </c>
      <c r="L1034" s="245">
        <v>67.430000000000007</v>
      </c>
      <c r="M1034" s="245">
        <v>13283.9</v>
      </c>
      <c r="N1034" s="257" t="s">
        <v>6832</v>
      </c>
    </row>
    <row r="1035" spans="1:14">
      <c r="A1035">
        <v>4933</v>
      </c>
      <c r="B1035" t="s">
        <v>5614</v>
      </c>
      <c r="C1035">
        <v>8</v>
      </c>
      <c r="D1035">
        <v>46</v>
      </c>
      <c r="E1035">
        <v>36</v>
      </c>
      <c r="F1035">
        <v>-4</v>
      </c>
      <c r="G1035">
        <v>0</v>
      </c>
      <c r="H1035">
        <v>12.27</v>
      </c>
      <c r="I1035">
        <v>3.32</v>
      </c>
      <c r="J1035">
        <v>3.66</v>
      </c>
      <c r="K1035" s="245">
        <v>-12.9</v>
      </c>
      <c r="L1035" s="245">
        <v>54.41</v>
      </c>
      <c r="M1035" s="245">
        <v>66.25</v>
      </c>
      <c r="N1035" s="257" t="s">
        <v>6832</v>
      </c>
    </row>
    <row r="1036" spans="1:14">
      <c r="A1036">
        <v>4934</v>
      </c>
      <c r="B1036" t="s">
        <v>6541</v>
      </c>
      <c r="C1036">
        <v>22.5</v>
      </c>
      <c r="D1036">
        <v>-17251</v>
      </c>
      <c r="E1036">
        <v>-10351</v>
      </c>
      <c r="F1036">
        <v>45</v>
      </c>
      <c r="G1036">
        <v>-21</v>
      </c>
      <c r="H1036">
        <v>-33.979999999999997</v>
      </c>
      <c r="I1036">
        <v>0</v>
      </c>
      <c r="J1036">
        <v>-4.1900000000000004</v>
      </c>
      <c r="K1036" s="245">
        <v>-47.26</v>
      </c>
      <c r="L1036" s="245">
        <v>8.92</v>
      </c>
      <c r="M1036" s="245">
        <v>836.55</v>
      </c>
      <c r="N1036" s="257" t="s">
        <v>6830</v>
      </c>
    </row>
    <row r="1037" spans="1:14">
      <c r="A1037">
        <v>4935</v>
      </c>
      <c r="B1037" t="s">
        <v>5615</v>
      </c>
      <c r="C1037">
        <v>12.88</v>
      </c>
      <c r="D1037">
        <v>-5</v>
      </c>
      <c r="E1037">
        <v>-15</v>
      </c>
      <c r="F1037">
        <v>-54</v>
      </c>
      <c r="G1037">
        <v>-55</v>
      </c>
      <c r="H1037">
        <v>12.21</v>
      </c>
      <c r="I1037">
        <v>5</v>
      </c>
      <c r="J1037">
        <v>9.74</v>
      </c>
      <c r="K1037" s="245">
        <v>-44.27</v>
      </c>
      <c r="L1037" s="245">
        <v>18.73</v>
      </c>
      <c r="M1037" s="245">
        <v>320.85000000000002</v>
      </c>
      <c r="N1037" s="257" t="s">
        <v>6830</v>
      </c>
    </row>
    <row r="1038" spans="1:14">
      <c r="A1038">
        <v>4938</v>
      </c>
      <c r="B1038" t="s">
        <v>5616</v>
      </c>
      <c r="C1038">
        <v>266</v>
      </c>
      <c r="D1038">
        <v>11</v>
      </c>
      <c r="E1038">
        <v>-11</v>
      </c>
      <c r="F1038">
        <v>-35</v>
      </c>
      <c r="G1038">
        <v>-19</v>
      </c>
      <c r="H1038">
        <v>1.33</v>
      </c>
      <c r="I1038">
        <v>5</v>
      </c>
      <c r="J1038">
        <v>7.71</v>
      </c>
      <c r="K1038" s="245">
        <v>-14.4</v>
      </c>
      <c r="L1038" s="245">
        <v>27.41</v>
      </c>
      <c r="M1038" s="245">
        <v>6716.4</v>
      </c>
      <c r="N1038" s="257" t="s">
        <v>6830</v>
      </c>
    </row>
    <row r="1039" spans="1:14">
      <c r="A1039">
        <v>4939</v>
      </c>
      <c r="B1039" t="s">
        <v>5617</v>
      </c>
      <c r="C1039">
        <v>9.82</v>
      </c>
      <c r="D1039">
        <v>9</v>
      </c>
      <c r="E1039">
        <v>25</v>
      </c>
      <c r="F1039">
        <v>-19</v>
      </c>
      <c r="G1039">
        <v>-14</v>
      </c>
      <c r="H1039">
        <v>13.43</v>
      </c>
      <c r="I1039">
        <v>1.4</v>
      </c>
      <c r="J1039">
        <v>1.76</v>
      </c>
      <c r="K1039" s="245">
        <v>-30.34</v>
      </c>
      <c r="L1039" s="245">
        <v>13.85</v>
      </c>
      <c r="M1039" s="245">
        <v>271.25</v>
      </c>
      <c r="N1039" s="257" t="s">
        <v>6830</v>
      </c>
    </row>
    <row r="1040" spans="1:14">
      <c r="A1040">
        <v>4942</v>
      </c>
      <c r="B1040" t="s">
        <v>5618</v>
      </c>
      <c r="C1040">
        <v>14.23</v>
      </c>
      <c r="D1040">
        <v>34</v>
      </c>
      <c r="E1040">
        <v>30</v>
      </c>
      <c r="F1040">
        <v>-4</v>
      </c>
      <c r="G1040">
        <v>6</v>
      </c>
      <c r="H1040">
        <v>13.48</v>
      </c>
      <c r="I1040">
        <v>3</v>
      </c>
      <c r="J1040">
        <v>6.38</v>
      </c>
      <c r="K1040" s="245">
        <v>-22.94</v>
      </c>
      <c r="L1040" s="245">
        <v>15.67</v>
      </c>
      <c r="M1040" s="245">
        <v>220.5</v>
      </c>
      <c r="N1040" s="257" t="s">
        <v>6830</v>
      </c>
    </row>
    <row r="1041" spans="1:14">
      <c r="A1041">
        <v>4943</v>
      </c>
      <c r="B1041" t="s">
        <v>5619</v>
      </c>
      <c r="C1041">
        <v>15.71</v>
      </c>
      <c r="D1041">
        <v>-1996</v>
      </c>
      <c r="E1041">
        <v>-9633</v>
      </c>
      <c r="F1041">
        <v>-81</v>
      </c>
      <c r="G1041">
        <v>-83</v>
      </c>
      <c r="H1041">
        <v>-114.75</v>
      </c>
      <c r="I1041">
        <v>0</v>
      </c>
      <c r="J1041">
        <v>-24.11</v>
      </c>
      <c r="K1041" s="245">
        <v>-76.48</v>
      </c>
      <c r="L1041" s="245">
        <v>9.67</v>
      </c>
      <c r="M1041" s="245">
        <v>327.2</v>
      </c>
      <c r="N1041" s="257" t="s">
        <v>6830</v>
      </c>
    </row>
    <row r="1042" spans="1:14">
      <c r="A1042">
        <v>4944</v>
      </c>
      <c r="B1042" t="s">
        <v>6542</v>
      </c>
      <c r="C1042">
        <v>8.7899999999999991</v>
      </c>
      <c r="D1042">
        <v>-137</v>
      </c>
      <c r="E1042">
        <v>36</v>
      </c>
      <c r="F1042">
        <v>10</v>
      </c>
      <c r="G1042">
        <v>-19</v>
      </c>
      <c r="H1042">
        <v>-29.69</v>
      </c>
      <c r="I1042">
        <v>0</v>
      </c>
      <c r="J1042">
        <v>-3.57</v>
      </c>
      <c r="K1042" s="245">
        <v>-72.489999999999995</v>
      </c>
      <c r="L1042" s="245">
        <v>5.36</v>
      </c>
      <c r="M1042" s="245">
        <v>132.65</v>
      </c>
      <c r="N1042" s="257" t="s">
        <v>6830</v>
      </c>
    </row>
    <row r="1043" spans="1:14">
      <c r="A1043">
        <v>4945</v>
      </c>
      <c r="B1043" t="s">
        <v>5620</v>
      </c>
      <c r="C1043">
        <v>3</v>
      </c>
      <c r="D1043">
        <v>93</v>
      </c>
      <c r="E1043">
        <v>73</v>
      </c>
      <c r="F1043">
        <v>-16</v>
      </c>
      <c r="G1043">
        <v>23</v>
      </c>
      <c r="H1043">
        <v>22.97</v>
      </c>
      <c r="I1043">
        <v>3.2</v>
      </c>
      <c r="J1043">
        <v>3.51</v>
      </c>
      <c r="K1043" s="245">
        <v>-30.28</v>
      </c>
      <c r="L1043" s="245">
        <v>25.66</v>
      </c>
      <c r="M1043" s="245">
        <v>167.2</v>
      </c>
      <c r="N1043" s="257" t="s">
        <v>6831</v>
      </c>
    </row>
    <row r="1044" spans="1:14">
      <c r="A1044">
        <v>4946</v>
      </c>
      <c r="B1044" t="s">
        <v>6543</v>
      </c>
      <c r="C1044">
        <v>1.39</v>
      </c>
      <c r="D1044">
        <v>127</v>
      </c>
      <c r="E1044">
        <v>-7</v>
      </c>
      <c r="F1044">
        <v>176</v>
      </c>
      <c r="G1044">
        <v>1452</v>
      </c>
      <c r="H1044">
        <v>-145.97</v>
      </c>
      <c r="I1044">
        <v>0</v>
      </c>
      <c r="J1044">
        <v>1.79</v>
      </c>
      <c r="K1044" s="245">
        <v>-34.36</v>
      </c>
      <c r="L1044" s="245">
        <v>19.71</v>
      </c>
      <c r="M1044" s="245">
        <v>211.85</v>
      </c>
      <c r="N1044" s="257" t="s">
        <v>6831</v>
      </c>
    </row>
    <row r="1045" spans="1:14">
      <c r="A1045">
        <v>4950</v>
      </c>
      <c r="B1045" t="s">
        <v>6544</v>
      </c>
      <c r="C1045">
        <v>4.67</v>
      </c>
      <c r="D1045">
        <v>111</v>
      </c>
      <c r="E1045">
        <v>124</v>
      </c>
      <c r="F1045">
        <v>-62</v>
      </c>
      <c r="G1045">
        <v>7</v>
      </c>
      <c r="H1045">
        <v>3.07</v>
      </c>
      <c r="I1045">
        <v>0</v>
      </c>
      <c r="J1045">
        <v>0.49</v>
      </c>
      <c r="K1045" s="245">
        <v>-16.18</v>
      </c>
      <c r="L1045" s="245">
        <v>42.93</v>
      </c>
      <c r="M1045" s="245">
        <v>510.5</v>
      </c>
      <c r="N1045" s="257" t="s">
        <v>6831</v>
      </c>
    </row>
    <row r="1046" spans="1:14">
      <c r="A1046">
        <v>4952</v>
      </c>
      <c r="B1046" t="s">
        <v>5621</v>
      </c>
      <c r="C1046">
        <v>10.88</v>
      </c>
      <c r="D1046">
        <v>133</v>
      </c>
      <c r="E1046">
        <v>144</v>
      </c>
      <c r="F1046">
        <v>0</v>
      </c>
      <c r="G1046">
        <v>22</v>
      </c>
      <c r="H1046">
        <v>22.08</v>
      </c>
      <c r="I1046">
        <v>5.4</v>
      </c>
      <c r="J1046">
        <v>6.05</v>
      </c>
      <c r="K1046" s="245">
        <v>-20.54</v>
      </c>
      <c r="L1046" s="245">
        <v>47.16</v>
      </c>
      <c r="M1046" s="245">
        <v>2771.9</v>
      </c>
      <c r="N1046" s="257" t="s">
        <v>6831</v>
      </c>
    </row>
    <row r="1047" spans="1:14">
      <c r="A1047">
        <v>4953</v>
      </c>
      <c r="B1047" t="s">
        <v>5622</v>
      </c>
      <c r="C1047">
        <v>6.69</v>
      </c>
      <c r="D1047">
        <v>-2</v>
      </c>
      <c r="E1047">
        <v>-5</v>
      </c>
      <c r="F1047">
        <v>-1</v>
      </c>
      <c r="G1047">
        <v>33</v>
      </c>
      <c r="H1047">
        <v>7.44</v>
      </c>
      <c r="I1047">
        <v>4.5999999999999996</v>
      </c>
      <c r="J1047">
        <v>6.91</v>
      </c>
      <c r="K1047" s="245">
        <v>-23</v>
      </c>
      <c r="L1047" s="245">
        <v>20.56</v>
      </c>
      <c r="M1047" s="245">
        <v>196.2</v>
      </c>
      <c r="N1047" s="257" t="s">
        <v>6830</v>
      </c>
    </row>
    <row r="1048" spans="1:14">
      <c r="A1048">
        <v>4956</v>
      </c>
      <c r="B1048" t="s">
        <v>5623</v>
      </c>
      <c r="C1048">
        <v>10.039999999999999</v>
      </c>
      <c r="D1048">
        <v>791</v>
      </c>
      <c r="E1048">
        <v>988</v>
      </c>
      <c r="F1048">
        <v>-13</v>
      </c>
      <c r="G1048">
        <v>-29</v>
      </c>
      <c r="H1048">
        <v>8.8000000000000007</v>
      </c>
      <c r="I1048">
        <v>0.4</v>
      </c>
      <c r="J1048">
        <v>1.44</v>
      </c>
      <c r="K1048" s="245">
        <v>-43.5</v>
      </c>
      <c r="L1048" s="245">
        <v>20.65</v>
      </c>
      <c r="M1048" s="245">
        <v>351.15</v>
      </c>
      <c r="N1048" s="257" t="s">
        <v>6830</v>
      </c>
    </row>
    <row r="1049" spans="1:14">
      <c r="A1049">
        <v>4958</v>
      </c>
      <c r="B1049" t="s">
        <v>5624</v>
      </c>
      <c r="C1049">
        <v>94.7</v>
      </c>
      <c r="D1049">
        <v>19</v>
      </c>
      <c r="E1049">
        <v>11</v>
      </c>
      <c r="F1049">
        <v>-23</v>
      </c>
      <c r="G1049">
        <v>8</v>
      </c>
      <c r="H1049">
        <v>10.18</v>
      </c>
      <c r="I1049">
        <v>5</v>
      </c>
      <c r="J1049">
        <v>10.210000000000001</v>
      </c>
      <c r="K1049" s="245">
        <v>-7.49</v>
      </c>
      <c r="L1049" s="245">
        <v>58.68</v>
      </c>
      <c r="M1049" s="245">
        <v>4273</v>
      </c>
      <c r="N1049" s="257" t="s">
        <v>6831</v>
      </c>
    </row>
    <row r="1050" spans="1:14">
      <c r="A1050">
        <v>4960</v>
      </c>
      <c r="B1050" t="s">
        <v>5625</v>
      </c>
      <c r="C1050">
        <v>67.52</v>
      </c>
      <c r="D1050">
        <v>934</v>
      </c>
      <c r="E1050">
        <v>173</v>
      </c>
      <c r="F1050">
        <v>15</v>
      </c>
      <c r="G1050">
        <v>21</v>
      </c>
      <c r="H1050">
        <v>1.78</v>
      </c>
      <c r="I1050">
        <v>0.5</v>
      </c>
      <c r="J1050">
        <v>1.1499999999999999</v>
      </c>
      <c r="K1050" s="245">
        <v>-20</v>
      </c>
      <c r="L1050" s="245">
        <v>26.13</v>
      </c>
      <c r="M1050" s="245">
        <v>11600.9</v>
      </c>
      <c r="N1050" s="257" t="s">
        <v>6830</v>
      </c>
    </row>
    <row r="1051" spans="1:14">
      <c r="A1051">
        <v>4961</v>
      </c>
      <c r="B1051" t="s">
        <v>5626</v>
      </c>
      <c r="C1051">
        <v>18.649999999999999</v>
      </c>
      <c r="D1051">
        <v>773</v>
      </c>
      <c r="E1051">
        <v>872</v>
      </c>
      <c r="F1051">
        <v>-10</v>
      </c>
      <c r="G1051">
        <v>15</v>
      </c>
      <c r="H1051">
        <v>33.75</v>
      </c>
      <c r="I1051">
        <v>17</v>
      </c>
      <c r="J1051">
        <v>33.83</v>
      </c>
      <c r="K1051" s="245">
        <v>-49.28</v>
      </c>
      <c r="L1051" s="245">
        <v>28.84</v>
      </c>
      <c r="M1051" s="245">
        <v>2165.9</v>
      </c>
      <c r="N1051" s="257" t="s">
        <v>6830</v>
      </c>
    </row>
    <row r="1052" spans="1:14">
      <c r="A1052">
        <v>4966</v>
      </c>
      <c r="B1052" t="s">
        <v>5627</v>
      </c>
      <c r="C1052">
        <v>8.1199999999999992</v>
      </c>
      <c r="D1052">
        <v>49</v>
      </c>
      <c r="E1052">
        <v>58</v>
      </c>
      <c r="F1052">
        <v>0</v>
      </c>
      <c r="G1052">
        <v>18</v>
      </c>
      <c r="H1052">
        <v>29.16</v>
      </c>
      <c r="I1052">
        <v>32.479999999999997</v>
      </c>
      <c r="J1052">
        <v>66.290000000000006</v>
      </c>
      <c r="K1052" s="245">
        <v>-35.71</v>
      </c>
      <c r="L1052" s="245">
        <v>27.55</v>
      </c>
      <c r="M1052" s="245">
        <v>717</v>
      </c>
      <c r="N1052" s="257" t="s">
        <v>6830</v>
      </c>
    </row>
    <row r="1053" spans="1:14">
      <c r="A1053">
        <v>4967</v>
      </c>
      <c r="B1053" t="s">
        <v>5628</v>
      </c>
      <c r="C1053">
        <v>10.220000000000001</v>
      </c>
      <c r="D1053">
        <v>-164</v>
      </c>
      <c r="E1053">
        <v>-184</v>
      </c>
      <c r="F1053">
        <v>-31</v>
      </c>
      <c r="G1053">
        <v>-26</v>
      </c>
      <c r="H1053">
        <v>-2.1</v>
      </c>
      <c r="I1053">
        <v>0</v>
      </c>
      <c r="J1053">
        <v>-1.02</v>
      </c>
      <c r="K1053" s="245">
        <v>-61.29</v>
      </c>
      <c r="L1053" s="245">
        <v>12.95</v>
      </c>
      <c r="M1053" s="245">
        <v>1017.65</v>
      </c>
      <c r="N1053" s="257" t="s">
        <v>6830</v>
      </c>
    </row>
    <row r="1054" spans="1:14">
      <c r="A1054">
        <v>4968</v>
      </c>
      <c r="B1054" t="s">
        <v>5629</v>
      </c>
      <c r="C1054">
        <v>8.84</v>
      </c>
      <c r="D1054">
        <v>-46</v>
      </c>
      <c r="E1054">
        <v>-47</v>
      </c>
      <c r="F1054">
        <v>-10</v>
      </c>
      <c r="G1054">
        <v>-51</v>
      </c>
      <c r="H1054">
        <v>10.039999999999999</v>
      </c>
      <c r="I1054">
        <v>3.5</v>
      </c>
      <c r="J1054">
        <v>5.26</v>
      </c>
      <c r="K1054" s="245">
        <v>-61.35</v>
      </c>
      <c r="L1054" s="245">
        <v>62.55</v>
      </c>
      <c r="M1054" s="245">
        <v>5083.3</v>
      </c>
      <c r="N1054" s="257" t="s">
        <v>6830</v>
      </c>
    </row>
    <row r="1055" spans="1:14">
      <c r="A1055">
        <v>4971</v>
      </c>
      <c r="B1055" t="s">
        <v>5630</v>
      </c>
      <c r="C1055">
        <v>3.65</v>
      </c>
      <c r="D1055">
        <v>32</v>
      </c>
      <c r="E1055">
        <v>108</v>
      </c>
      <c r="F1055">
        <v>4</v>
      </c>
      <c r="G1055">
        <v>41</v>
      </c>
      <c r="H1055">
        <v>12.62</v>
      </c>
      <c r="I1055">
        <v>1.5</v>
      </c>
      <c r="J1055">
        <v>2.4500000000000002</v>
      </c>
      <c r="K1055" s="245">
        <v>-11.84</v>
      </c>
      <c r="L1055" s="245">
        <v>59.33</v>
      </c>
      <c r="M1055" s="245">
        <v>159.4</v>
      </c>
      <c r="N1055" s="257" t="s">
        <v>6832</v>
      </c>
    </row>
    <row r="1056" spans="1:14">
      <c r="A1056">
        <v>4972</v>
      </c>
      <c r="B1056" t="s">
        <v>6207</v>
      </c>
      <c r="C1056">
        <v>3.94</v>
      </c>
      <c r="D1056">
        <v>21</v>
      </c>
      <c r="E1056">
        <v>64</v>
      </c>
      <c r="F1056">
        <v>1</v>
      </c>
      <c r="G1056">
        <v>25</v>
      </c>
      <c r="H1056">
        <v>13.57</v>
      </c>
      <c r="I1056">
        <v>2.1</v>
      </c>
      <c r="J1056">
        <v>2.5099999999999998</v>
      </c>
      <c r="K1056" s="245">
        <v>-9.1</v>
      </c>
      <c r="L1056" s="245">
        <v>28.84</v>
      </c>
      <c r="M1056" s="245">
        <v>29.15</v>
      </c>
      <c r="N1056" s="257" t="s">
        <v>6831</v>
      </c>
    </row>
    <row r="1057" spans="1:14">
      <c r="A1057">
        <v>4973</v>
      </c>
      <c r="B1057" t="s">
        <v>5631</v>
      </c>
      <c r="C1057">
        <v>6.35</v>
      </c>
      <c r="D1057">
        <v>-69</v>
      </c>
      <c r="E1057">
        <v>-32</v>
      </c>
      <c r="F1057">
        <v>-18</v>
      </c>
      <c r="G1057">
        <v>4</v>
      </c>
      <c r="H1057">
        <v>0.8</v>
      </c>
      <c r="I1057">
        <v>1</v>
      </c>
      <c r="J1057">
        <v>0.35</v>
      </c>
      <c r="K1057" s="245">
        <v>-38.520000000000003</v>
      </c>
      <c r="L1057" s="245">
        <v>10.220000000000001</v>
      </c>
      <c r="M1057" s="245">
        <v>66.099999999999994</v>
      </c>
      <c r="N1057" s="257" t="s">
        <v>6830</v>
      </c>
    </row>
    <row r="1058" spans="1:14">
      <c r="A1058">
        <v>4974</v>
      </c>
      <c r="B1058" t="s">
        <v>5632</v>
      </c>
      <c r="C1058">
        <v>7.25</v>
      </c>
      <c r="D1058">
        <v>13</v>
      </c>
      <c r="E1058">
        <v>-3</v>
      </c>
      <c r="F1058">
        <v>-39</v>
      </c>
      <c r="G1058">
        <v>-12</v>
      </c>
      <c r="H1058">
        <v>12.22</v>
      </c>
      <c r="I1058">
        <v>4.3</v>
      </c>
      <c r="J1058">
        <v>5.87</v>
      </c>
      <c r="K1058" s="245">
        <v>-13.84</v>
      </c>
      <c r="L1058" s="245">
        <v>31.21</v>
      </c>
      <c r="M1058" s="245">
        <v>190.95</v>
      </c>
      <c r="N1058" s="257" t="s">
        <v>6830</v>
      </c>
    </row>
    <row r="1059" spans="1:14">
      <c r="A1059">
        <v>4976</v>
      </c>
      <c r="B1059" t="s">
        <v>5633</v>
      </c>
      <c r="C1059">
        <v>13.87</v>
      </c>
      <c r="D1059">
        <v>110</v>
      </c>
      <c r="E1059">
        <v>119</v>
      </c>
      <c r="F1059">
        <v>16</v>
      </c>
      <c r="G1059">
        <v>-28</v>
      </c>
      <c r="H1059">
        <v>0.85</v>
      </c>
      <c r="I1059">
        <v>0</v>
      </c>
      <c r="J1059">
        <v>0.05</v>
      </c>
      <c r="K1059" s="245">
        <v>-54.25</v>
      </c>
      <c r="L1059" s="245">
        <v>36.49</v>
      </c>
      <c r="M1059" s="245">
        <v>919.65</v>
      </c>
      <c r="N1059" s="257" t="s">
        <v>6830</v>
      </c>
    </row>
    <row r="1060" spans="1:14">
      <c r="A1060">
        <v>4977</v>
      </c>
      <c r="B1060" t="s">
        <v>5634</v>
      </c>
      <c r="C1060">
        <v>6.86</v>
      </c>
      <c r="D1060">
        <v>-51</v>
      </c>
      <c r="E1060">
        <v>-54</v>
      </c>
      <c r="F1060">
        <v>-3</v>
      </c>
      <c r="G1060">
        <v>-14</v>
      </c>
      <c r="H1060">
        <v>8.2100000000000009</v>
      </c>
      <c r="I1060">
        <v>3.2</v>
      </c>
      <c r="J1060">
        <v>3.88</v>
      </c>
      <c r="K1060" s="245">
        <v>-18.95</v>
      </c>
      <c r="L1060" s="245">
        <v>32.75</v>
      </c>
      <c r="M1060" s="245">
        <v>76</v>
      </c>
      <c r="N1060" s="257" t="s">
        <v>6830</v>
      </c>
    </row>
    <row r="1061" spans="1:14">
      <c r="A1061">
        <v>4979</v>
      </c>
      <c r="B1061" t="s">
        <v>5635</v>
      </c>
      <c r="C1061">
        <v>13.23</v>
      </c>
      <c r="D1061">
        <v>-223</v>
      </c>
      <c r="E1061">
        <v>-21</v>
      </c>
      <c r="F1061">
        <v>3</v>
      </c>
      <c r="G1061">
        <v>-1</v>
      </c>
      <c r="H1061">
        <v>-23.74</v>
      </c>
      <c r="I1061">
        <v>0</v>
      </c>
      <c r="J1061">
        <v>-2.2200000000000002</v>
      </c>
      <c r="K1061" s="245">
        <v>-11.19</v>
      </c>
      <c r="L1061" s="245">
        <v>68.510000000000005</v>
      </c>
      <c r="M1061" s="245">
        <v>458.25</v>
      </c>
      <c r="N1061" s="257" t="s">
        <v>6831</v>
      </c>
    </row>
    <row r="1062" spans="1:14">
      <c r="A1062">
        <v>4987</v>
      </c>
      <c r="B1062" t="s">
        <v>6545</v>
      </c>
      <c r="C1062">
        <v>2.89</v>
      </c>
      <c r="D1062">
        <v>40</v>
      </c>
      <c r="E1062">
        <v>39</v>
      </c>
      <c r="F1062">
        <v>-26</v>
      </c>
      <c r="G1062">
        <v>-13</v>
      </c>
      <c r="H1062">
        <v>15.55</v>
      </c>
      <c r="I1062">
        <v>4</v>
      </c>
      <c r="J1062">
        <v>4.6100000000000003</v>
      </c>
      <c r="K1062" s="245">
        <v>-6.03</v>
      </c>
      <c r="L1062" s="245">
        <v>70.66</v>
      </c>
      <c r="M1062" s="245">
        <v>28.9</v>
      </c>
      <c r="N1062" s="257" t="s">
        <v>6832</v>
      </c>
    </row>
    <row r="1063" spans="1:14">
      <c r="A1063">
        <v>4989</v>
      </c>
      <c r="B1063" t="s">
        <v>5636</v>
      </c>
      <c r="C1063">
        <v>13.77</v>
      </c>
      <c r="D1063">
        <v>1543</v>
      </c>
      <c r="E1063">
        <v>947</v>
      </c>
      <c r="F1063">
        <v>-27</v>
      </c>
      <c r="G1063">
        <v>-6</v>
      </c>
      <c r="H1063">
        <v>15.98</v>
      </c>
      <c r="I1063">
        <v>1.5</v>
      </c>
      <c r="J1063">
        <v>3.77</v>
      </c>
      <c r="K1063" s="245">
        <v>-45.16</v>
      </c>
      <c r="L1063" s="245">
        <v>16.23</v>
      </c>
      <c r="M1063" s="245">
        <v>248.05</v>
      </c>
      <c r="N1063" s="257" t="s">
        <v>6830</v>
      </c>
    </row>
    <row r="1064" spans="1:14">
      <c r="A1064">
        <v>4991</v>
      </c>
      <c r="B1064" t="s">
        <v>6149</v>
      </c>
      <c r="C1064">
        <v>11.1</v>
      </c>
      <c r="D1064">
        <v>-232</v>
      </c>
      <c r="E1064">
        <v>-116</v>
      </c>
      <c r="F1064">
        <v>-44</v>
      </c>
      <c r="G1064">
        <v>-9</v>
      </c>
      <c r="H1064">
        <v>-2.4900000000000002</v>
      </c>
      <c r="I1064">
        <v>0</v>
      </c>
      <c r="J1064">
        <v>-4.2</v>
      </c>
      <c r="K1064" s="245">
        <v>-35.840000000000003</v>
      </c>
      <c r="L1064" s="245">
        <v>10.55</v>
      </c>
      <c r="M1064" s="245">
        <v>62.1</v>
      </c>
      <c r="N1064" s="257" t="s">
        <v>6830</v>
      </c>
    </row>
    <row r="1065" spans="1:14">
      <c r="A1065">
        <v>4994</v>
      </c>
      <c r="B1065" t="s">
        <v>5637</v>
      </c>
      <c r="C1065">
        <v>11.06</v>
      </c>
      <c r="D1065">
        <v>-68</v>
      </c>
      <c r="E1065">
        <v>-39</v>
      </c>
      <c r="F1065">
        <v>4</v>
      </c>
      <c r="G1065">
        <v>-27</v>
      </c>
      <c r="H1065">
        <v>11.58</v>
      </c>
      <c r="I1065">
        <v>1.5</v>
      </c>
      <c r="J1065">
        <v>1.23</v>
      </c>
      <c r="K1065" s="245">
        <v>-40.68</v>
      </c>
      <c r="L1065" s="245">
        <v>22.66</v>
      </c>
      <c r="M1065" s="245">
        <v>415.75</v>
      </c>
      <c r="N1065" s="257" t="s">
        <v>6830</v>
      </c>
    </row>
    <row r="1066" spans="1:14">
      <c r="A1066">
        <v>4995</v>
      </c>
      <c r="B1066" t="s">
        <v>6195</v>
      </c>
      <c r="C1066">
        <v>4.18</v>
      </c>
      <c r="D1066">
        <v>62</v>
      </c>
      <c r="E1066">
        <v>65</v>
      </c>
      <c r="F1066">
        <v>-2</v>
      </c>
      <c r="G1066">
        <v>79</v>
      </c>
      <c r="H1066">
        <v>10.87</v>
      </c>
      <c r="I1066">
        <v>2.5</v>
      </c>
      <c r="J1066">
        <v>2.68</v>
      </c>
      <c r="K1066" s="245">
        <v>-11.6</v>
      </c>
      <c r="L1066" s="245">
        <v>33.18</v>
      </c>
      <c r="M1066" s="245">
        <v>93.25</v>
      </c>
      <c r="N1066" s="257" t="s">
        <v>6831</v>
      </c>
    </row>
    <row r="1067" spans="1:14">
      <c r="A1067">
        <v>4999</v>
      </c>
      <c r="B1067" t="s">
        <v>5638</v>
      </c>
      <c r="C1067">
        <v>7.44</v>
      </c>
      <c r="D1067">
        <v>-56</v>
      </c>
      <c r="E1067">
        <v>-52</v>
      </c>
      <c r="F1067">
        <v>-33</v>
      </c>
      <c r="G1067">
        <v>-53</v>
      </c>
      <c r="H1067">
        <v>10.32</v>
      </c>
      <c r="I1067">
        <v>2</v>
      </c>
      <c r="J1067">
        <v>2.44</v>
      </c>
      <c r="K1067" s="245">
        <v>-32.43</v>
      </c>
      <c r="L1067" s="245">
        <v>7.28</v>
      </c>
      <c r="M1067" s="245">
        <v>68</v>
      </c>
      <c r="N1067" s="257" t="s">
        <v>6830</v>
      </c>
    </row>
    <row r="1068" spans="1:14">
      <c r="A1068">
        <v>5007</v>
      </c>
      <c r="B1068" t="s">
        <v>5639</v>
      </c>
      <c r="C1068">
        <v>29.49</v>
      </c>
      <c r="D1068">
        <v>63</v>
      </c>
      <c r="E1068">
        <v>87</v>
      </c>
      <c r="F1068">
        <v>-20</v>
      </c>
      <c r="G1068">
        <v>-7</v>
      </c>
      <c r="H1068">
        <v>17.3</v>
      </c>
      <c r="I1068">
        <v>3</v>
      </c>
      <c r="J1068">
        <v>3.33</v>
      </c>
      <c r="K1068" s="245">
        <v>-10.72</v>
      </c>
      <c r="L1068" s="245">
        <v>57.24</v>
      </c>
      <c r="M1068" s="245">
        <v>39.15</v>
      </c>
      <c r="N1068" s="257" t="s">
        <v>6831</v>
      </c>
    </row>
    <row r="1069" spans="1:14">
      <c r="A1069">
        <v>5009</v>
      </c>
      <c r="B1069" t="s">
        <v>5640</v>
      </c>
      <c r="C1069">
        <v>45.67</v>
      </c>
      <c r="D1069">
        <v>224</v>
      </c>
      <c r="E1069">
        <v>720</v>
      </c>
      <c r="F1069">
        <v>-1</v>
      </c>
      <c r="G1069">
        <v>69</v>
      </c>
      <c r="H1069">
        <v>12.25</v>
      </c>
      <c r="I1069">
        <v>1.4</v>
      </c>
      <c r="J1069">
        <v>1.7</v>
      </c>
      <c r="K1069" s="245">
        <v>-13.15</v>
      </c>
      <c r="L1069" s="245">
        <v>59.03</v>
      </c>
      <c r="M1069" s="245">
        <v>38588.449999999997</v>
      </c>
      <c r="N1069" s="257" t="s">
        <v>6832</v>
      </c>
    </row>
    <row r="1070" spans="1:14">
      <c r="A1070">
        <v>5011</v>
      </c>
      <c r="B1070" t="s">
        <v>5641</v>
      </c>
      <c r="C1070">
        <v>8.94</v>
      </c>
      <c r="D1070">
        <v>303</v>
      </c>
      <c r="E1070">
        <v>340</v>
      </c>
      <c r="F1070">
        <v>-25</v>
      </c>
      <c r="G1070">
        <v>37</v>
      </c>
      <c r="H1070">
        <v>3.78</v>
      </c>
      <c r="I1070">
        <v>0.95</v>
      </c>
      <c r="J1070">
        <v>1.74</v>
      </c>
      <c r="K1070" s="245">
        <v>-26.52</v>
      </c>
      <c r="L1070" s="245">
        <v>16.8</v>
      </c>
      <c r="M1070" s="245">
        <v>1909.1</v>
      </c>
      <c r="N1070" s="257" t="s">
        <v>6831</v>
      </c>
    </row>
    <row r="1071" spans="1:14">
      <c r="A1071">
        <v>5013</v>
      </c>
      <c r="B1071" t="s">
        <v>5642</v>
      </c>
      <c r="C1071">
        <v>13.34</v>
      </c>
      <c r="D1071">
        <v>140</v>
      </c>
      <c r="E1071">
        <v>138</v>
      </c>
      <c r="F1071">
        <v>-30</v>
      </c>
      <c r="G1071">
        <v>-13</v>
      </c>
      <c r="H1071">
        <v>11.91</v>
      </c>
      <c r="I1071">
        <v>2</v>
      </c>
      <c r="J1071">
        <v>4.41</v>
      </c>
      <c r="K1071" s="245">
        <v>-35.770000000000003</v>
      </c>
      <c r="L1071" s="245">
        <v>22.08</v>
      </c>
      <c r="M1071" s="245">
        <v>37.700000000000003</v>
      </c>
      <c r="N1071" s="257" t="s">
        <v>6830</v>
      </c>
    </row>
    <row r="1072" spans="1:14">
      <c r="A1072">
        <v>5014</v>
      </c>
      <c r="B1072" t="s">
        <v>5643</v>
      </c>
      <c r="C1072">
        <v>18.53</v>
      </c>
      <c r="D1072">
        <v>204</v>
      </c>
      <c r="E1072">
        <v>641</v>
      </c>
      <c r="F1072">
        <v>-11</v>
      </c>
      <c r="G1072">
        <v>5</v>
      </c>
      <c r="H1072">
        <v>4.1500000000000004</v>
      </c>
      <c r="I1072">
        <v>1.2</v>
      </c>
      <c r="J1072">
        <v>3.14</v>
      </c>
      <c r="K1072" s="245">
        <v>-33.83</v>
      </c>
      <c r="L1072" s="245">
        <v>30.88</v>
      </c>
      <c r="M1072" s="245">
        <v>2840.85</v>
      </c>
      <c r="N1072" s="257" t="s">
        <v>6830</v>
      </c>
    </row>
    <row r="1073" spans="1:14">
      <c r="A1073">
        <v>5015</v>
      </c>
      <c r="B1073" t="s">
        <v>5644</v>
      </c>
      <c r="C1073">
        <v>6.06</v>
      </c>
      <c r="D1073">
        <v>111</v>
      </c>
      <c r="E1073">
        <v>105</v>
      </c>
      <c r="F1073">
        <v>0</v>
      </c>
      <c r="G1073">
        <v>9</v>
      </c>
      <c r="H1073">
        <v>13.94</v>
      </c>
      <c r="I1073">
        <v>3.5</v>
      </c>
      <c r="J1073">
        <v>4.0999999999999996</v>
      </c>
      <c r="K1073" s="245">
        <v>-4.2</v>
      </c>
      <c r="L1073" s="245">
        <v>70.63</v>
      </c>
      <c r="M1073" s="245">
        <v>180.95</v>
      </c>
      <c r="N1073" s="257" t="s">
        <v>6832</v>
      </c>
    </row>
    <row r="1074" spans="1:14">
      <c r="A1074">
        <v>5016</v>
      </c>
      <c r="B1074" t="s">
        <v>6150</v>
      </c>
      <c r="C1074">
        <v>4.96</v>
      </c>
      <c r="D1074">
        <v>50</v>
      </c>
      <c r="E1074">
        <v>55</v>
      </c>
      <c r="F1074">
        <v>-1</v>
      </c>
      <c r="G1074">
        <v>17</v>
      </c>
      <c r="H1074">
        <v>10.68</v>
      </c>
      <c r="I1074">
        <v>3.3</v>
      </c>
      <c r="J1074">
        <v>4.75</v>
      </c>
      <c r="K1074" s="245">
        <v>-18.11</v>
      </c>
      <c r="L1074" s="245">
        <v>22.71</v>
      </c>
      <c r="M1074" s="245">
        <v>32.700000000000003</v>
      </c>
      <c r="N1074" s="257" t="s">
        <v>6830</v>
      </c>
    </row>
    <row r="1075" spans="1:14">
      <c r="A1075">
        <v>5102</v>
      </c>
      <c r="B1075" t="s">
        <v>6348</v>
      </c>
      <c r="C1075">
        <v>6.4</v>
      </c>
      <c r="D1075">
        <v>25</v>
      </c>
      <c r="E1075">
        <v>117</v>
      </c>
      <c r="F1075">
        <v>-22</v>
      </c>
      <c r="G1075">
        <v>-19</v>
      </c>
      <c r="H1075">
        <v>7.55</v>
      </c>
      <c r="I1075">
        <v>0.5</v>
      </c>
      <c r="J1075">
        <v>0.99</v>
      </c>
      <c r="K1075" s="245">
        <v>-2.95</v>
      </c>
      <c r="L1075" s="245">
        <v>38.79</v>
      </c>
      <c r="M1075" s="245">
        <v>32.5</v>
      </c>
      <c r="N1075" s="257" t="s">
        <v>6832</v>
      </c>
    </row>
    <row r="1076" spans="1:14">
      <c r="A1076">
        <v>5201</v>
      </c>
      <c r="B1076" t="s">
        <v>6293</v>
      </c>
      <c r="C1076">
        <v>3.06</v>
      </c>
      <c r="D1076">
        <v>-49</v>
      </c>
      <c r="E1076">
        <v>-80</v>
      </c>
      <c r="F1076">
        <v>-34</v>
      </c>
      <c r="G1076">
        <v>15</v>
      </c>
      <c r="H1076">
        <v>7.45</v>
      </c>
      <c r="I1076">
        <v>1.5</v>
      </c>
      <c r="J1076">
        <v>1.56</v>
      </c>
      <c r="K1076" s="245">
        <v>-15.99</v>
      </c>
      <c r="L1076" s="245">
        <v>34.75</v>
      </c>
      <c r="M1076" s="245">
        <v>34.049999999999997</v>
      </c>
      <c r="N1076" s="257" t="s">
        <v>6831</v>
      </c>
    </row>
    <row r="1077" spans="1:14">
      <c r="A1077">
        <v>5202</v>
      </c>
      <c r="B1077" t="s">
        <v>6151</v>
      </c>
      <c r="C1077">
        <v>8.9</v>
      </c>
      <c r="D1077">
        <v>14</v>
      </c>
      <c r="E1077">
        <v>-37</v>
      </c>
      <c r="F1077">
        <v>-10</v>
      </c>
      <c r="G1077">
        <v>22</v>
      </c>
      <c r="H1077">
        <v>-56.73</v>
      </c>
      <c r="I1077">
        <v>1.1399999999999999</v>
      </c>
      <c r="J1077">
        <v>-0.32</v>
      </c>
      <c r="K1077" s="245">
        <v>-28.4</v>
      </c>
      <c r="L1077" s="245">
        <v>18.899999999999999</v>
      </c>
      <c r="M1077" s="245">
        <v>17.100000000000001</v>
      </c>
      <c r="N1077" s="257" t="s">
        <v>6830</v>
      </c>
    </row>
    <row r="1078" spans="1:14">
      <c r="A1078">
        <v>5203</v>
      </c>
      <c r="B1078" t="s">
        <v>5645</v>
      </c>
      <c r="C1078">
        <v>7.88</v>
      </c>
      <c r="D1078">
        <v>-398</v>
      </c>
      <c r="E1078">
        <v>-17</v>
      </c>
      <c r="F1078">
        <v>20</v>
      </c>
      <c r="G1078">
        <v>-7</v>
      </c>
      <c r="H1078">
        <v>12.48</v>
      </c>
      <c r="I1078">
        <v>1.72</v>
      </c>
      <c r="J1078">
        <v>-7.21</v>
      </c>
      <c r="K1078" s="245">
        <v>-25.71</v>
      </c>
      <c r="L1078" s="245">
        <v>20.12</v>
      </c>
      <c r="M1078" s="245">
        <v>163</v>
      </c>
      <c r="N1078" s="257" t="s">
        <v>6830</v>
      </c>
    </row>
    <row r="1079" spans="1:14">
      <c r="A1079">
        <v>5205</v>
      </c>
      <c r="B1079" t="s">
        <v>6546</v>
      </c>
      <c r="C1079">
        <v>1.02</v>
      </c>
      <c r="D1079">
        <v>-29</v>
      </c>
      <c r="E1079">
        <v>-7</v>
      </c>
      <c r="F1079">
        <v>-81</v>
      </c>
      <c r="G1079">
        <v>-90</v>
      </c>
      <c r="H1079">
        <v>-57.27</v>
      </c>
      <c r="I1079">
        <v>0</v>
      </c>
      <c r="J1079">
        <v>-1.69</v>
      </c>
      <c r="K1079" s="245">
        <v>-35.94</v>
      </c>
      <c r="L1079" s="245">
        <v>40.770000000000003</v>
      </c>
      <c r="M1079" s="245">
        <v>2.35</v>
      </c>
      <c r="N1079" s="257" t="s">
        <v>6831</v>
      </c>
    </row>
    <row r="1080" spans="1:14">
      <c r="A1080">
        <v>5206</v>
      </c>
      <c r="B1080" t="s">
        <v>5646</v>
      </c>
      <c r="C1080">
        <v>15.59</v>
      </c>
      <c r="D1080">
        <v>-82</v>
      </c>
      <c r="E1080">
        <v>-82</v>
      </c>
      <c r="F1080">
        <v>0</v>
      </c>
      <c r="G1080">
        <v>-88</v>
      </c>
      <c r="H1080">
        <v>4.95</v>
      </c>
      <c r="I1080">
        <v>0.48</v>
      </c>
      <c r="J1080">
        <v>0.54</v>
      </c>
      <c r="K1080" s="245">
        <v>-26.8</v>
      </c>
      <c r="L1080" s="245">
        <v>22.22</v>
      </c>
      <c r="M1080" s="245">
        <v>42.7</v>
      </c>
      <c r="N1080" s="257" t="s">
        <v>6830</v>
      </c>
    </row>
    <row r="1081" spans="1:14">
      <c r="A1081">
        <v>5209</v>
      </c>
      <c r="B1081" t="s">
        <v>6547</v>
      </c>
      <c r="C1081">
        <v>2.76</v>
      </c>
      <c r="D1081">
        <v>101</v>
      </c>
      <c r="E1081">
        <v>-1</v>
      </c>
      <c r="F1081">
        <v>-4</v>
      </c>
      <c r="G1081">
        <v>-40</v>
      </c>
      <c r="H1081">
        <v>3.92</v>
      </c>
      <c r="I1081">
        <v>8.89</v>
      </c>
      <c r="J1081">
        <v>10.02</v>
      </c>
      <c r="K1081" s="245">
        <v>-11.9</v>
      </c>
      <c r="L1081" s="245">
        <v>26.88</v>
      </c>
      <c r="M1081" s="245">
        <v>21.4</v>
      </c>
      <c r="N1081" s="257" t="s">
        <v>6831</v>
      </c>
    </row>
    <row r="1082" spans="1:14">
      <c r="A1082">
        <v>5210</v>
      </c>
      <c r="B1082" t="s">
        <v>6548</v>
      </c>
      <c r="C1082">
        <v>6.21</v>
      </c>
      <c r="D1082">
        <v>70</v>
      </c>
      <c r="E1082">
        <v>63</v>
      </c>
      <c r="F1082">
        <v>-35</v>
      </c>
      <c r="G1082">
        <v>29</v>
      </c>
      <c r="H1082">
        <v>-14.75</v>
      </c>
      <c r="I1082">
        <v>0</v>
      </c>
      <c r="J1082">
        <v>-0.37</v>
      </c>
      <c r="K1082" s="245">
        <v>-33.28</v>
      </c>
      <c r="L1082" s="245">
        <v>37.909999999999997</v>
      </c>
      <c r="M1082" s="245">
        <v>3022.4</v>
      </c>
      <c r="N1082" s="257" t="s">
        <v>6831</v>
      </c>
    </row>
    <row r="1083" spans="1:14">
      <c r="A1083">
        <v>5211</v>
      </c>
      <c r="B1083" t="s">
        <v>5647</v>
      </c>
      <c r="C1083">
        <v>3.2</v>
      </c>
      <c r="D1083">
        <v>428</v>
      </c>
      <c r="E1083">
        <v>328</v>
      </c>
      <c r="F1083">
        <v>-17</v>
      </c>
      <c r="G1083">
        <v>7</v>
      </c>
      <c r="H1083">
        <v>36.4</v>
      </c>
      <c r="I1083">
        <v>0.7</v>
      </c>
      <c r="J1083">
        <v>1.48</v>
      </c>
      <c r="K1083" s="245">
        <v>-36.729999999999997</v>
      </c>
      <c r="L1083" s="245">
        <v>7.4</v>
      </c>
      <c r="M1083" s="245">
        <v>49.65</v>
      </c>
      <c r="N1083" s="257" t="s">
        <v>6830</v>
      </c>
    </row>
    <row r="1084" spans="1:14">
      <c r="A1084">
        <v>5212</v>
      </c>
      <c r="B1084" t="s">
        <v>6326</v>
      </c>
      <c r="C1084">
        <v>3.46</v>
      </c>
      <c r="D1084">
        <v>-17</v>
      </c>
      <c r="E1084">
        <v>-15</v>
      </c>
      <c r="F1084">
        <v>-25</v>
      </c>
      <c r="G1084">
        <v>-23</v>
      </c>
      <c r="H1084">
        <v>11.13</v>
      </c>
      <c r="I1084">
        <v>2.5</v>
      </c>
      <c r="J1084">
        <v>2.68</v>
      </c>
      <c r="K1084" s="245">
        <v>-24.09</v>
      </c>
      <c r="L1084" s="245">
        <v>8.0399999999999991</v>
      </c>
      <c r="M1084" s="245">
        <v>20.05</v>
      </c>
      <c r="N1084" s="257" t="s">
        <v>6830</v>
      </c>
    </row>
    <row r="1085" spans="1:14">
      <c r="A1085">
        <v>5213</v>
      </c>
      <c r="B1085" t="s">
        <v>5648</v>
      </c>
      <c r="C1085">
        <v>34.69</v>
      </c>
      <c r="D1085">
        <v>-56</v>
      </c>
      <c r="E1085">
        <v>-60</v>
      </c>
      <c r="F1085">
        <v>8498</v>
      </c>
      <c r="G1085">
        <v>1409</v>
      </c>
      <c r="H1085">
        <v>9.61</v>
      </c>
      <c r="I1085">
        <v>2</v>
      </c>
      <c r="J1085">
        <v>0.73</v>
      </c>
      <c r="K1085" s="245">
        <v>-7.13</v>
      </c>
      <c r="L1085" s="245">
        <v>40.06</v>
      </c>
      <c r="M1085" s="245">
        <v>179.55</v>
      </c>
      <c r="N1085" s="257" t="s">
        <v>6832</v>
      </c>
    </row>
    <row r="1086" spans="1:14">
      <c r="A1086">
        <v>5215</v>
      </c>
      <c r="B1086" t="s">
        <v>5649</v>
      </c>
      <c r="C1086">
        <v>6.43</v>
      </c>
      <c r="D1086">
        <v>-26</v>
      </c>
      <c r="E1086">
        <v>-29</v>
      </c>
      <c r="F1086">
        <v>10</v>
      </c>
      <c r="G1086">
        <v>-18</v>
      </c>
      <c r="H1086">
        <v>20.62</v>
      </c>
      <c r="I1086">
        <v>5</v>
      </c>
      <c r="J1086">
        <v>8.76</v>
      </c>
      <c r="K1086" s="245">
        <v>-57.96</v>
      </c>
      <c r="L1086" s="245">
        <v>19.46</v>
      </c>
      <c r="M1086" s="245">
        <v>190.25</v>
      </c>
      <c r="N1086" s="257" t="s">
        <v>6830</v>
      </c>
    </row>
    <row r="1087" spans="1:14">
      <c r="A1087">
        <v>5220</v>
      </c>
      <c r="B1087" t="s">
        <v>6184</v>
      </c>
      <c r="C1087">
        <v>3.96</v>
      </c>
      <c r="D1087">
        <v>-27</v>
      </c>
      <c r="E1087">
        <v>-35</v>
      </c>
      <c r="F1087">
        <v>-18</v>
      </c>
      <c r="G1087">
        <v>16</v>
      </c>
      <c r="H1087">
        <v>16.11</v>
      </c>
      <c r="I1087">
        <v>2.2000000000000002</v>
      </c>
      <c r="J1087">
        <v>3.43</v>
      </c>
      <c r="K1087" s="245">
        <v>-16.82</v>
      </c>
      <c r="L1087" s="245">
        <v>58.86</v>
      </c>
      <c r="M1087" s="245">
        <v>43.2</v>
      </c>
      <c r="N1087" s="257" t="s">
        <v>6830</v>
      </c>
    </row>
    <row r="1088" spans="1:14">
      <c r="A1088">
        <v>5222</v>
      </c>
      <c r="B1088" t="s">
        <v>6549</v>
      </c>
      <c r="C1088">
        <v>6.78</v>
      </c>
      <c r="D1088">
        <v>50</v>
      </c>
      <c r="E1088">
        <v>51</v>
      </c>
      <c r="F1088">
        <v>36</v>
      </c>
      <c r="G1088">
        <v>4</v>
      </c>
      <c r="H1088">
        <v>34.07</v>
      </c>
      <c r="I1088">
        <v>3.5</v>
      </c>
      <c r="J1088">
        <v>4.04</v>
      </c>
      <c r="K1088" s="245" t="s">
        <v>6279</v>
      </c>
      <c r="L1088" s="245" t="s">
        <v>6279</v>
      </c>
      <c r="M1088" s="245" t="s">
        <v>6279</v>
      </c>
      <c r="N1088" s="257" t="s">
        <v>6279</v>
      </c>
    </row>
    <row r="1089" spans="1:14">
      <c r="A1089">
        <v>5223</v>
      </c>
      <c r="B1089" t="s">
        <v>5650</v>
      </c>
      <c r="C1089">
        <v>4.45</v>
      </c>
      <c r="D1089">
        <v>-18</v>
      </c>
      <c r="E1089">
        <v>-29</v>
      </c>
      <c r="F1089">
        <v>-73</v>
      </c>
      <c r="G1089">
        <v>-61</v>
      </c>
      <c r="H1089">
        <v>12.61</v>
      </c>
      <c r="I1089">
        <v>2.7</v>
      </c>
      <c r="J1089">
        <v>5.22</v>
      </c>
      <c r="K1089" s="245">
        <v>-28.92</v>
      </c>
      <c r="L1089" s="245">
        <v>12.81</v>
      </c>
      <c r="M1089" s="245">
        <v>26.85</v>
      </c>
      <c r="N1089" s="257" t="s">
        <v>6830</v>
      </c>
    </row>
    <row r="1090" spans="1:14">
      <c r="A1090">
        <v>5225</v>
      </c>
      <c r="B1090" t="s">
        <v>5651</v>
      </c>
      <c r="C1090">
        <v>6.14</v>
      </c>
      <c r="D1090">
        <v>154</v>
      </c>
      <c r="E1090">
        <v>50</v>
      </c>
      <c r="F1090">
        <v>22</v>
      </c>
      <c r="G1090">
        <v>28</v>
      </c>
      <c r="H1090">
        <v>-3.21</v>
      </c>
      <c r="I1090">
        <v>0.6</v>
      </c>
      <c r="J1090">
        <v>6.03</v>
      </c>
      <c r="K1090" s="245">
        <v>-8.9700000000000006</v>
      </c>
      <c r="L1090" s="245">
        <v>53.97</v>
      </c>
      <c r="M1090" s="245">
        <v>365.65</v>
      </c>
      <c r="N1090" s="257" t="s">
        <v>6832</v>
      </c>
    </row>
    <row r="1091" spans="1:14">
      <c r="A1091">
        <v>5227</v>
      </c>
      <c r="B1091" t="s">
        <v>6550</v>
      </c>
      <c r="C1091">
        <v>7</v>
      </c>
      <c r="D1091">
        <v>17</v>
      </c>
      <c r="E1091">
        <v>27</v>
      </c>
      <c r="F1091">
        <v>-20</v>
      </c>
      <c r="G1091">
        <v>257</v>
      </c>
      <c r="H1091">
        <v>-87.06</v>
      </c>
      <c r="I1091">
        <v>0</v>
      </c>
      <c r="J1091">
        <v>-9.31</v>
      </c>
      <c r="K1091" s="245">
        <v>-41.18</v>
      </c>
      <c r="L1091" s="245">
        <v>7.02</v>
      </c>
      <c r="M1091" s="245">
        <v>583.4</v>
      </c>
      <c r="N1091" s="257" t="s">
        <v>6831</v>
      </c>
    </row>
    <row r="1092" spans="1:14">
      <c r="A1092">
        <v>5230</v>
      </c>
      <c r="B1092" t="s">
        <v>5652</v>
      </c>
      <c r="C1092">
        <v>4.6900000000000004</v>
      </c>
      <c r="D1092">
        <v>2071</v>
      </c>
      <c r="E1092">
        <v>864</v>
      </c>
      <c r="F1092">
        <v>-4</v>
      </c>
      <c r="G1092">
        <v>0</v>
      </c>
      <c r="H1092">
        <v>5.95</v>
      </c>
      <c r="I1092">
        <v>0.8</v>
      </c>
      <c r="J1092">
        <v>1.28</v>
      </c>
      <c r="K1092" s="245">
        <v>-39.409999999999997</v>
      </c>
      <c r="L1092" s="245">
        <v>8.3000000000000007</v>
      </c>
      <c r="M1092" s="245">
        <v>74.8</v>
      </c>
      <c r="N1092" s="257" t="s">
        <v>6830</v>
      </c>
    </row>
    <row r="1093" spans="1:14">
      <c r="A1093">
        <v>5234</v>
      </c>
      <c r="B1093" t="s">
        <v>5653</v>
      </c>
      <c r="C1093">
        <v>10.27</v>
      </c>
      <c r="D1093">
        <v>7</v>
      </c>
      <c r="E1093">
        <v>4</v>
      </c>
      <c r="F1093">
        <v>-8</v>
      </c>
      <c r="G1093">
        <v>3</v>
      </c>
      <c r="H1093">
        <v>17.010000000000002</v>
      </c>
      <c r="I1093">
        <v>5.3</v>
      </c>
      <c r="J1093">
        <v>6.62</v>
      </c>
      <c r="K1093" s="245">
        <v>-41.72</v>
      </c>
      <c r="L1093" s="245">
        <v>10.25</v>
      </c>
      <c r="M1093" s="245">
        <v>217.9</v>
      </c>
      <c r="N1093" s="257" t="s">
        <v>6830</v>
      </c>
    </row>
    <row r="1094" spans="1:14">
      <c r="A1094">
        <v>5236</v>
      </c>
      <c r="B1094" t="s">
        <v>5654</v>
      </c>
      <c r="C1094">
        <v>5.85</v>
      </c>
      <c r="D1094">
        <v>35</v>
      </c>
      <c r="E1094">
        <v>34</v>
      </c>
      <c r="F1094">
        <v>-8</v>
      </c>
      <c r="G1094">
        <v>-17</v>
      </c>
      <c r="H1094">
        <v>33.83</v>
      </c>
      <c r="I1094">
        <v>10</v>
      </c>
      <c r="J1094">
        <v>11.83</v>
      </c>
      <c r="K1094" s="245" t="s">
        <v>6279</v>
      </c>
      <c r="L1094" s="245" t="s">
        <v>6279</v>
      </c>
      <c r="M1094" s="245" t="s">
        <v>6279</v>
      </c>
      <c r="N1094" s="257" t="s">
        <v>6279</v>
      </c>
    </row>
    <row r="1095" spans="1:14">
      <c r="A1095">
        <v>5243</v>
      </c>
      <c r="B1095" t="s">
        <v>5655</v>
      </c>
      <c r="C1095">
        <v>16.850000000000001</v>
      </c>
      <c r="D1095">
        <v>0</v>
      </c>
      <c r="E1095">
        <v>-4</v>
      </c>
      <c r="F1095">
        <v>-29</v>
      </c>
      <c r="G1095">
        <v>-22</v>
      </c>
      <c r="H1095">
        <v>5.34</v>
      </c>
      <c r="I1095">
        <v>1.4</v>
      </c>
      <c r="J1095">
        <v>2.75</v>
      </c>
      <c r="K1095" s="245">
        <v>-25</v>
      </c>
      <c r="L1095" s="245">
        <v>26.3</v>
      </c>
      <c r="M1095" s="245">
        <v>2403.6</v>
      </c>
      <c r="N1095" s="257" t="s">
        <v>6830</v>
      </c>
    </row>
    <row r="1096" spans="1:14">
      <c r="A1096">
        <v>5245</v>
      </c>
      <c r="B1096" t="s">
        <v>5656</v>
      </c>
      <c r="C1096">
        <v>4.49</v>
      </c>
      <c r="D1096">
        <v>120</v>
      </c>
      <c r="E1096">
        <v>142</v>
      </c>
      <c r="F1096">
        <v>-1</v>
      </c>
      <c r="G1096">
        <v>3</v>
      </c>
      <c r="H1096">
        <v>16.13</v>
      </c>
      <c r="I1096">
        <v>4.5</v>
      </c>
      <c r="J1096">
        <v>4.47</v>
      </c>
      <c r="K1096" s="245">
        <v>-41.92</v>
      </c>
      <c r="L1096" s="245">
        <v>22.14</v>
      </c>
      <c r="M1096" s="245">
        <v>189.55</v>
      </c>
      <c r="N1096" s="257" t="s">
        <v>6831</v>
      </c>
    </row>
    <row r="1097" spans="1:14">
      <c r="A1097">
        <v>5251</v>
      </c>
      <c r="B1097" t="s">
        <v>5657</v>
      </c>
      <c r="C1097">
        <v>3.57</v>
      </c>
      <c r="D1097">
        <v>-40</v>
      </c>
      <c r="E1097">
        <v>-4</v>
      </c>
      <c r="F1097">
        <v>75</v>
      </c>
      <c r="G1097">
        <v>117</v>
      </c>
      <c r="H1097">
        <v>-39.520000000000003</v>
      </c>
      <c r="I1097">
        <v>0</v>
      </c>
      <c r="J1097">
        <v>-2.3199999999999998</v>
      </c>
      <c r="K1097" s="245">
        <v>-28.48</v>
      </c>
      <c r="L1097" s="245">
        <v>28.8</v>
      </c>
      <c r="M1097" s="245">
        <v>907.25</v>
      </c>
      <c r="N1097" s="257" t="s">
        <v>6831</v>
      </c>
    </row>
    <row r="1098" spans="1:14">
      <c r="A1098">
        <v>5258</v>
      </c>
      <c r="B1098" t="s">
        <v>5658</v>
      </c>
      <c r="C1098">
        <v>8.9499999999999993</v>
      </c>
      <c r="D1098">
        <v>13</v>
      </c>
      <c r="E1098">
        <v>46</v>
      </c>
      <c r="F1098">
        <v>-16</v>
      </c>
      <c r="G1098">
        <v>48</v>
      </c>
      <c r="H1098">
        <v>7.36</v>
      </c>
      <c r="I1098">
        <v>0.6</v>
      </c>
      <c r="J1098">
        <v>2.5099999999999998</v>
      </c>
      <c r="K1098" s="245">
        <v>-18.37</v>
      </c>
      <c r="L1098" s="245">
        <v>34.46</v>
      </c>
      <c r="M1098" s="245">
        <v>3220.75</v>
      </c>
      <c r="N1098" s="257" t="s">
        <v>6832</v>
      </c>
    </row>
    <row r="1099" spans="1:14">
      <c r="A1099">
        <v>5263</v>
      </c>
      <c r="B1099" t="s">
        <v>5659</v>
      </c>
      <c r="C1099">
        <v>6.09</v>
      </c>
      <c r="D1099">
        <v>-157</v>
      </c>
      <c r="E1099">
        <v>-699</v>
      </c>
      <c r="F1099">
        <v>-9</v>
      </c>
      <c r="G1099">
        <v>-12</v>
      </c>
      <c r="H1099">
        <v>-22.87</v>
      </c>
      <c r="I1099">
        <v>0</v>
      </c>
      <c r="J1099">
        <v>-2.31</v>
      </c>
      <c r="K1099" s="245">
        <v>-34.9</v>
      </c>
      <c r="L1099" s="245">
        <v>24.17</v>
      </c>
      <c r="M1099" s="245">
        <v>57.45</v>
      </c>
      <c r="N1099" s="257" t="s">
        <v>6830</v>
      </c>
    </row>
    <row r="1100" spans="1:14">
      <c r="A1100">
        <v>5269</v>
      </c>
      <c r="B1100" t="s">
        <v>5660</v>
      </c>
      <c r="C1100">
        <v>6.92</v>
      </c>
      <c r="D1100">
        <v>9</v>
      </c>
      <c r="E1100">
        <v>-21</v>
      </c>
      <c r="F1100">
        <v>-10</v>
      </c>
      <c r="G1100">
        <v>-2</v>
      </c>
      <c r="H1100">
        <v>32.25</v>
      </c>
      <c r="I1100">
        <v>26</v>
      </c>
      <c r="J1100">
        <v>46.23</v>
      </c>
      <c r="K1100" s="245">
        <v>-47.05</v>
      </c>
      <c r="L1100" s="245">
        <v>12.29</v>
      </c>
      <c r="M1100" s="245">
        <v>884.55</v>
      </c>
      <c r="N1100" s="257" t="s">
        <v>6830</v>
      </c>
    </row>
    <row r="1101" spans="1:14">
      <c r="A1101">
        <v>5272</v>
      </c>
      <c r="B1101" t="s">
        <v>5661</v>
      </c>
      <c r="C1101">
        <v>5.59</v>
      </c>
      <c r="D1101">
        <v>257</v>
      </c>
      <c r="E1101">
        <v>204</v>
      </c>
      <c r="F1101">
        <v>6</v>
      </c>
      <c r="G1101">
        <v>24</v>
      </c>
      <c r="H1101">
        <v>7.18</v>
      </c>
      <c r="I1101">
        <v>0.86</v>
      </c>
      <c r="J1101">
        <v>0.96</v>
      </c>
      <c r="K1101" s="245">
        <v>-24.67</v>
      </c>
      <c r="L1101" s="245">
        <v>39.22</v>
      </c>
      <c r="M1101" s="245">
        <v>387.95</v>
      </c>
      <c r="N1101" s="257" t="s">
        <v>6830</v>
      </c>
    </row>
    <row r="1102" spans="1:14">
      <c r="A1102">
        <v>5274</v>
      </c>
      <c r="B1102" t="s">
        <v>5662</v>
      </c>
      <c r="C1102">
        <v>3.43</v>
      </c>
      <c r="D1102">
        <v>30</v>
      </c>
      <c r="E1102">
        <v>30</v>
      </c>
      <c r="F1102">
        <v>4</v>
      </c>
      <c r="G1102">
        <v>60</v>
      </c>
      <c r="H1102">
        <v>45.42</v>
      </c>
      <c r="I1102">
        <v>36</v>
      </c>
      <c r="J1102">
        <v>38.299999999999997</v>
      </c>
      <c r="K1102" s="245">
        <v>-30.75</v>
      </c>
      <c r="L1102" s="245">
        <v>31.51</v>
      </c>
      <c r="M1102" s="245">
        <v>446.1</v>
      </c>
      <c r="N1102" s="257" t="s">
        <v>6831</v>
      </c>
    </row>
    <row r="1103" spans="1:14">
      <c r="A1103">
        <v>5276</v>
      </c>
      <c r="B1103" t="s">
        <v>6551</v>
      </c>
      <c r="C1103">
        <v>3.95</v>
      </c>
      <c r="D1103">
        <v>207</v>
      </c>
      <c r="E1103">
        <v>310</v>
      </c>
      <c r="F1103">
        <v>-6</v>
      </c>
      <c r="G1103">
        <v>4</v>
      </c>
      <c r="H1103">
        <v>4.01</v>
      </c>
      <c r="I1103">
        <v>0.11</v>
      </c>
      <c r="J1103">
        <v>0.57999999999999996</v>
      </c>
      <c r="K1103" s="245">
        <v>-31.16</v>
      </c>
      <c r="L1103" s="245">
        <v>34.11</v>
      </c>
      <c r="M1103" s="245">
        <v>18.899999999999999</v>
      </c>
      <c r="N1103" s="257" t="s">
        <v>6830</v>
      </c>
    </row>
    <row r="1104" spans="1:14">
      <c r="A1104">
        <v>5278</v>
      </c>
      <c r="B1104" t="s">
        <v>6552</v>
      </c>
      <c r="C1104">
        <v>1.52</v>
      </c>
      <c r="D1104">
        <v>33</v>
      </c>
      <c r="E1104">
        <v>28</v>
      </c>
      <c r="F1104">
        <v>0</v>
      </c>
      <c r="G1104">
        <v>21</v>
      </c>
      <c r="H1104">
        <v>19.079999999999998</v>
      </c>
      <c r="I1104">
        <v>20.18</v>
      </c>
      <c r="J1104">
        <v>16.52</v>
      </c>
      <c r="K1104" s="245">
        <v>-19.86</v>
      </c>
      <c r="L1104" s="245">
        <v>27.42</v>
      </c>
      <c r="M1104" s="245">
        <v>43.2</v>
      </c>
      <c r="N1104" s="257" t="s">
        <v>6831</v>
      </c>
    </row>
    <row r="1105" spans="1:14">
      <c r="A1105">
        <v>5281</v>
      </c>
      <c r="B1105" t="s">
        <v>6309</v>
      </c>
      <c r="C1105">
        <v>3.7</v>
      </c>
      <c r="D1105">
        <v>-144</v>
      </c>
      <c r="E1105">
        <v>-176</v>
      </c>
      <c r="F1105">
        <v>-54</v>
      </c>
      <c r="G1105">
        <v>-65</v>
      </c>
      <c r="H1105">
        <v>-4.28</v>
      </c>
      <c r="I1105">
        <v>0</v>
      </c>
      <c r="J1105">
        <v>-0.63</v>
      </c>
      <c r="K1105" s="245">
        <v>-20</v>
      </c>
      <c r="L1105" s="245">
        <v>23.14</v>
      </c>
      <c r="M1105" s="245">
        <v>6.15</v>
      </c>
      <c r="N1105" s="257" t="s">
        <v>6830</v>
      </c>
    </row>
    <row r="1106" spans="1:14">
      <c r="A1106">
        <v>5283</v>
      </c>
      <c r="B1106" t="s">
        <v>5663</v>
      </c>
      <c r="C1106">
        <v>7.3</v>
      </c>
      <c r="D1106">
        <v>-17</v>
      </c>
      <c r="E1106">
        <v>-23</v>
      </c>
      <c r="F1106">
        <v>-12</v>
      </c>
      <c r="G1106">
        <v>28</v>
      </c>
      <c r="H1106">
        <v>13.2</v>
      </c>
      <c r="I1106">
        <v>8</v>
      </c>
      <c r="J1106">
        <v>10.69</v>
      </c>
      <c r="K1106" s="245">
        <v>-10.71</v>
      </c>
      <c r="L1106" s="245">
        <v>12.71</v>
      </c>
      <c r="M1106" s="245">
        <v>44.45</v>
      </c>
      <c r="N1106" s="257" t="s">
        <v>6830</v>
      </c>
    </row>
    <row r="1107" spans="1:14">
      <c r="A1107">
        <v>5284</v>
      </c>
      <c r="B1107" t="s">
        <v>5664</v>
      </c>
      <c r="C1107">
        <v>4.3600000000000003</v>
      </c>
      <c r="D1107">
        <v>6</v>
      </c>
      <c r="E1107">
        <v>45</v>
      </c>
      <c r="F1107">
        <v>-3</v>
      </c>
      <c r="G1107">
        <v>20</v>
      </c>
      <c r="H1107">
        <v>12.22</v>
      </c>
      <c r="I1107">
        <v>2.2999999999999998</v>
      </c>
      <c r="J1107">
        <v>3</v>
      </c>
      <c r="K1107" s="245">
        <v>-7.95</v>
      </c>
      <c r="L1107" s="245">
        <v>27.65</v>
      </c>
      <c r="M1107" s="245">
        <v>18.850000000000001</v>
      </c>
      <c r="N1107" s="257" t="s">
        <v>6831</v>
      </c>
    </row>
    <row r="1108" spans="1:14">
      <c r="A1108">
        <v>5285</v>
      </c>
      <c r="B1108" t="s">
        <v>5665</v>
      </c>
      <c r="C1108">
        <v>10.199999999999999</v>
      </c>
      <c r="D1108">
        <v>263</v>
      </c>
      <c r="E1108">
        <v>173</v>
      </c>
      <c r="F1108">
        <v>0</v>
      </c>
      <c r="G1108">
        <v>-4</v>
      </c>
      <c r="H1108">
        <v>9.73</v>
      </c>
      <c r="I1108">
        <v>4</v>
      </c>
      <c r="J1108">
        <v>4.82</v>
      </c>
      <c r="K1108" s="245">
        <v>-43.83</v>
      </c>
      <c r="L1108" s="245">
        <v>15.39</v>
      </c>
      <c r="M1108" s="245">
        <v>578.15</v>
      </c>
      <c r="N1108" s="257" t="s">
        <v>6830</v>
      </c>
    </row>
    <row r="1109" spans="1:14">
      <c r="A1109">
        <v>5287</v>
      </c>
      <c r="B1109" t="s">
        <v>5666</v>
      </c>
      <c r="C1109">
        <v>5.07</v>
      </c>
      <c r="D1109">
        <v>-2</v>
      </c>
      <c r="E1109">
        <v>-1</v>
      </c>
      <c r="F1109">
        <v>2</v>
      </c>
      <c r="G1109">
        <v>17</v>
      </c>
      <c r="H1109">
        <v>42.03</v>
      </c>
      <c r="I1109">
        <v>11.3</v>
      </c>
      <c r="J1109">
        <v>12.13</v>
      </c>
      <c r="K1109" s="245">
        <v>-29.34</v>
      </c>
      <c r="L1109" s="245">
        <v>9.7200000000000006</v>
      </c>
      <c r="M1109" s="245">
        <v>32.75</v>
      </c>
      <c r="N1109" s="257" t="s">
        <v>6830</v>
      </c>
    </row>
    <row r="1110" spans="1:14">
      <c r="A1110">
        <v>5288</v>
      </c>
      <c r="B1110" t="s">
        <v>5667</v>
      </c>
      <c r="C1110">
        <v>6.58</v>
      </c>
      <c r="D1110">
        <v>12</v>
      </c>
      <c r="E1110">
        <v>11</v>
      </c>
      <c r="F1110">
        <v>3</v>
      </c>
      <c r="G1110">
        <v>42</v>
      </c>
      <c r="H1110">
        <v>11.93</v>
      </c>
      <c r="I1110">
        <v>4.5</v>
      </c>
      <c r="J1110">
        <v>9.5299999999999994</v>
      </c>
      <c r="K1110" s="245">
        <v>-16.670000000000002</v>
      </c>
      <c r="L1110" s="245">
        <v>41.2</v>
      </c>
      <c r="M1110" s="245">
        <v>46.9</v>
      </c>
      <c r="N1110" s="257" t="s">
        <v>6831</v>
      </c>
    </row>
    <row r="1111" spans="1:14">
      <c r="A1111">
        <v>5289</v>
      </c>
      <c r="B1111" t="s">
        <v>5668</v>
      </c>
      <c r="C1111">
        <v>8.3699999999999992</v>
      </c>
      <c r="D1111">
        <v>68</v>
      </c>
      <c r="E1111">
        <v>61</v>
      </c>
      <c r="F1111">
        <v>7</v>
      </c>
      <c r="G1111">
        <v>17</v>
      </c>
      <c r="H1111">
        <v>19.12</v>
      </c>
      <c r="I1111">
        <v>12</v>
      </c>
      <c r="J1111">
        <v>18.940000000000001</v>
      </c>
      <c r="K1111" s="245">
        <v>-20.2</v>
      </c>
      <c r="L1111" s="245">
        <v>23.82</v>
      </c>
      <c r="M1111" s="245">
        <v>207.3</v>
      </c>
      <c r="N1111" s="257" t="s">
        <v>6831</v>
      </c>
    </row>
    <row r="1112" spans="1:14">
      <c r="A1112">
        <v>5291</v>
      </c>
      <c r="B1112" t="s">
        <v>5669</v>
      </c>
      <c r="C1112">
        <v>3.92</v>
      </c>
      <c r="D1112">
        <v>130</v>
      </c>
      <c r="E1112">
        <v>133</v>
      </c>
      <c r="F1112">
        <v>7</v>
      </c>
      <c r="G1112">
        <v>12</v>
      </c>
      <c r="H1112">
        <v>13.11</v>
      </c>
      <c r="I1112">
        <v>2.1</v>
      </c>
      <c r="J1112">
        <v>4.18</v>
      </c>
      <c r="K1112" s="245">
        <v>-30.07</v>
      </c>
      <c r="L1112" s="245">
        <v>31.41</v>
      </c>
      <c r="M1112" s="245">
        <v>89.85</v>
      </c>
      <c r="N1112" s="257" t="s">
        <v>6830</v>
      </c>
    </row>
    <row r="1113" spans="1:14">
      <c r="A1113">
        <v>5299</v>
      </c>
      <c r="B1113" t="s">
        <v>316</v>
      </c>
      <c r="C1113">
        <v>3.58</v>
      </c>
      <c r="D1113">
        <v>92</v>
      </c>
      <c r="E1113">
        <v>81</v>
      </c>
      <c r="F1113">
        <v>1</v>
      </c>
      <c r="G1113">
        <v>14</v>
      </c>
      <c r="H1113">
        <v>28.1</v>
      </c>
      <c r="I1113">
        <v>11.6</v>
      </c>
      <c r="J1113">
        <v>17.68</v>
      </c>
      <c r="K1113" s="245">
        <v>-32.64</v>
      </c>
      <c r="L1113" s="245">
        <v>40.14</v>
      </c>
      <c r="M1113" s="245">
        <v>261.2</v>
      </c>
      <c r="N1113" s="257" t="s">
        <v>6830</v>
      </c>
    </row>
    <row r="1114" spans="1:14">
      <c r="A1114">
        <v>5301</v>
      </c>
      <c r="B1114" t="s">
        <v>6553</v>
      </c>
      <c r="C1114">
        <v>10.45</v>
      </c>
      <c r="D1114">
        <v>33</v>
      </c>
      <c r="E1114">
        <v>52</v>
      </c>
      <c r="F1114">
        <v>-44</v>
      </c>
      <c r="G1114">
        <v>-66</v>
      </c>
      <c r="H1114">
        <v>-199.32</v>
      </c>
      <c r="I1114">
        <v>0</v>
      </c>
      <c r="J1114">
        <v>-2.09</v>
      </c>
      <c r="K1114" s="245">
        <v>-26.04</v>
      </c>
      <c r="L1114" s="245">
        <v>34.200000000000003</v>
      </c>
      <c r="M1114" s="245">
        <v>213.4</v>
      </c>
      <c r="N1114" s="257" t="s">
        <v>6831</v>
      </c>
    </row>
    <row r="1115" spans="1:14">
      <c r="A1115">
        <v>5302</v>
      </c>
      <c r="B1115" t="s">
        <v>6554</v>
      </c>
      <c r="C1115">
        <v>15.98</v>
      </c>
      <c r="D1115">
        <v>26</v>
      </c>
      <c r="E1115">
        <v>17</v>
      </c>
      <c r="F1115">
        <v>-21</v>
      </c>
      <c r="G1115">
        <v>-73</v>
      </c>
      <c r="H1115">
        <v>-213.02</v>
      </c>
      <c r="I1115">
        <v>0</v>
      </c>
      <c r="J1115">
        <v>-0.27</v>
      </c>
      <c r="K1115" s="245">
        <v>-48.98</v>
      </c>
      <c r="L1115" s="245">
        <v>9.86</v>
      </c>
      <c r="M1115" s="245">
        <v>214.7</v>
      </c>
      <c r="N1115" s="257" t="s">
        <v>6830</v>
      </c>
    </row>
    <row r="1116" spans="1:14">
      <c r="A1116">
        <v>5306</v>
      </c>
      <c r="B1116" t="s">
        <v>5670</v>
      </c>
      <c r="C1116">
        <v>12.6</v>
      </c>
      <c r="D1116">
        <v>32</v>
      </c>
      <c r="E1116">
        <v>30</v>
      </c>
      <c r="F1116">
        <v>-20</v>
      </c>
      <c r="G1116">
        <v>-12</v>
      </c>
      <c r="H1116">
        <v>33.24</v>
      </c>
      <c r="I1116">
        <v>9</v>
      </c>
      <c r="J1116">
        <v>15.94</v>
      </c>
      <c r="K1116" s="245">
        <v>-34.31</v>
      </c>
      <c r="L1116" s="245">
        <v>29.3</v>
      </c>
      <c r="M1116" s="245">
        <v>146.65</v>
      </c>
      <c r="N1116" s="257" t="s">
        <v>6830</v>
      </c>
    </row>
    <row r="1117" spans="1:14">
      <c r="A1117">
        <v>5309</v>
      </c>
      <c r="B1117" t="s">
        <v>6555</v>
      </c>
      <c r="C1117">
        <v>15.55</v>
      </c>
      <c r="D1117">
        <v>195</v>
      </c>
      <c r="E1117">
        <v>182</v>
      </c>
      <c r="F1117">
        <v>-13</v>
      </c>
      <c r="G1117">
        <v>52</v>
      </c>
      <c r="H1117">
        <v>3.4</v>
      </c>
      <c r="I1117">
        <v>0</v>
      </c>
      <c r="J1117">
        <v>0.62</v>
      </c>
      <c r="K1117" s="245">
        <v>-18.940000000000001</v>
      </c>
      <c r="L1117" s="245">
        <v>27.1</v>
      </c>
      <c r="M1117" s="245">
        <v>2077.9499999999998</v>
      </c>
      <c r="N1117" s="257" t="s">
        <v>6831</v>
      </c>
    </row>
    <row r="1118" spans="1:14">
      <c r="A1118">
        <v>5310</v>
      </c>
      <c r="B1118" t="s">
        <v>6556</v>
      </c>
      <c r="C1118">
        <v>2.89</v>
      </c>
      <c r="D1118">
        <v>73</v>
      </c>
      <c r="E1118">
        <v>71</v>
      </c>
      <c r="F1118">
        <v>-77</v>
      </c>
      <c r="G1118">
        <v>82</v>
      </c>
      <c r="H1118">
        <v>-72.2</v>
      </c>
      <c r="I1118">
        <v>0</v>
      </c>
      <c r="J1118">
        <v>-1.22</v>
      </c>
      <c r="K1118" s="245">
        <v>-26.72</v>
      </c>
      <c r="L1118" s="245">
        <v>43.81</v>
      </c>
      <c r="M1118" s="245">
        <v>11.85</v>
      </c>
      <c r="N1118" s="257" t="s">
        <v>6831</v>
      </c>
    </row>
    <row r="1119" spans="1:14">
      <c r="A1119">
        <v>5312</v>
      </c>
      <c r="B1119" t="s">
        <v>5671</v>
      </c>
      <c r="C1119">
        <v>6</v>
      </c>
      <c r="D1119">
        <v>-6</v>
      </c>
      <c r="E1119">
        <v>-46</v>
      </c>
      <c r="F1119">
        <v>-7</v>
      </c>
      <c r="G1119">
        <v>4</v>
      </c>
      <c r="H1119">
        <v>2.34</v>
      </c>
      <c r="I1119">
        <v>4.3</v>
      </c>
      <c r="J1119">
        <v>4.83</v>
      </c>
      <c r="K1119" s="245">
        <v>-11.02</v>
      </c>
      <c r="L1119" s="245">
        <v>55.44</v>
      </c>
      <c r="M1119" s="245">
        <v>33.25</v>
      </c>
      <c r="N1119" s="257" t="s">
        <v>6831</v>
      </c>
    </row>
    <row r="1120" spans="1:14">
      <c r="A1120">
        <v>5314</v>
      </c>
      <c r="B1120" t="s">
        <v>6557</v>
      </c>
      <c r="C1120">
        <v>6</v>
      </c>
      <c r="D1120">
        <v>1</v>
      </c>
      <c r="E1120">
        <v>0</v>
      </c>
      <c r="F1120">
        <v>59</v>
      </c>
      <c r="G1120">
        <v>7</v>
      </c>
      <c r="H1120">
        <v>-205.96</v>
      </c>
      <c r="I1120">
        <v>0</v>
      </c>
      <c r="J1120">
        <v>-0.5</v>
      </c>
      <c r="K1120" s="245">
        <v>-33.71</v>
      </c>
      <c r="L1120" s="245">
        <v>19.47</v>
      </c>
      <c r="M1120" s="245">
        <v>8.6999999999999993</v>
      </c>
      <c r="N1120" s="257" t="s">
        <v>6830</v>
      </c>
    </row>
    <row r="1121" spans="1:14">
      <c r="A1121">
        <v>5315</v>
      </c>
      <c r="B1121" t="s">
        <v>5672</v>
      </c>
      <c r="C1121">
        <v>10.63</v>
      </c>
      <c r="D1121">
        <v>97</v>
      </c>
      <c r="E1121">
        <v>55</v>
      </c>
      <c r="F1121">
        <v>8</v>
      </c>
      <c r="G1121">
        <v>-7</v>
      </c>
      <c r="H1121">
        <v>7.08</v>
      </c>
      <c r="I1121">
        <v>1.3</v>
      </c>
      <c r="J1121">
        <v>1.74</v>
      </c>
      <c r="K1121" s="245">
        <v>-17.809999999999999</v>
      </c>
      <c r="L1121" s="245">
        <v>31.21</v>
      </c>
      <c r="M1121" s="245">
        <v>203.5</v>
      </c>
      <c r="N1121" s="257" t="s">
        <v>6831</v>
      </c>
    </row>
    <row r="1122" spans="1:14">
      <c r="A1122">
        <v>5321</v>
      </c>
      <c r="B1122" t="s">
        <v>5673</v>
      </c>
      <c r="C1122">
        <v>3.49</v>
      </c>
      <c r="D1122">
        <v>246</v>
      </c>
      <c r="E1122">
        <v>1010</v>
      </c>
      <c r="F1122">
        <v>-17</v>
      </c>
      <c r="G1122">
        <v>-6</v>
      </c>
      <c r="H1122">
        <v>7.6</v>
      </c>
      <c r="I1122">
        <v>2</v>
      </c>
      <c r="J1122">
        <v>3.11</v>
      </c>
      <c r="K1122" s="245">
        <v>-19.5</v>
      </c>
      <c r="L1122" s="245">
        <v>37.47</v>
      </c>
      <c r="M1122" s="245">
        <v>722.85</v>
      </c>
      <c r="N1122" s="257" t="s">
        <v>6832</v>
      </c>
    </row>
    <row r="1123" spans="1:14">
      <c r="A1123">
        <v>5324</v>
      </c>
      <c r="B1123" t="s">
        <v>6558</v>
      </c>
      <c r="C1123">
        <v>22.63</v>
      </c>
      <c r="D1123">
        <v>-146</v>
      </c>
      <c r="E1123">
        <v>38</v>
      </c>
      <c r="F1123">
        <v>13</v>
      </c>
      <c r="G1123">
        <v>-12</v>
      </c>
      <c r="H1123">
        <v>-24.6</v>
      </c>
      <c r="I1123">
        <v>0</v>
      </c>
      <c r="J1123">
        <v>-0.64</v>
      </c>
      <c r="K1123" s="245">
        <v>-9.81</v>
      </c>
      <c r="L1123" s="245">
        <v>72.77</v>
      </c>
      <c r="M1123" s="245">
        <v>113.45</v>
      </c>
      <c r="N1123" s="257" t="s">
        <v>6831</v>
      </c>
    </row>
    <row r="1124" spans="1:14">
      <c r="A1124">
        <v>5328</v>
      </c>
      <c r="B1124" t="s">
        <v>5674</v>
      </c>
      <c r="C1124">
        <v>17.27</v>
      </c>
      <c r="D1124">
        <v>65</v>
      </c>
      <c r="E1124">
        <v>-2</v>
      </c>
      <c r="F1124">
        <v>-12</v>
      </c>
      <c r="G1124">
        <v>-17</v>
      </c>
      <c r="H1124">
        <v>2.0499999999999998</v>
      </c>
      <c r="I1124">
        <v>0.15</v>
      </c>
      <c r="J1124">
        <v>0.2</v>
      </c>
      <c r="K1124" s="245">
        <v>-48.22</v>
      </c>
      <c r="L1124" s="245">
        <v>12.07</v>
      </c>
      <c r="M1124" s="245">
        <v>290.5</v>
      </c>
      <c r="N1124" s="257" t="s">
        <v>6830</v>
      </c>
    </row>
    <row r="1125" spans="1:14">
      <c r="A1125">
        <v>5340</v>
      </c>
      <c r="B1125" t="s">
        <v>6559</v>
      </c>
      <c r="C1125">
        <v>19.48</v>
      </c>
      <c r="D1125">
        <v>-44</v>
      </c>
      <c r="E1125">
        <v>-18</v>
      </c>
      <c r="F1125">
        <v>10</v>
      </c>
      <c r="G1125">
        <v>4</v>
      </c>
      <c r="H1125">
        <v>5.07</v>
      </c>
      <c r="I1125">
        <v>0</v>
      </c>
      <c r="J1125">
        <v>0.27</v>
      </c>
      <c r="K1125" s="245">
        <v>-47.24</v>
      </c>
      <c r="L1125" s="245">
        <v>9.92</v>
      </c>
      <c r="M1125" s="245">
        <v>57.5</v>
      </c>
      <c r="N1125" s="257" t="s">
        <v>6830</v>
      </c>
    </row>
    <row r="1126" spans="1:14">
      <c r="A1126">
        <v>5344</v>
      </c>
      <c r="B1126" t="s">
        <v>6560</v>
      </c>
      <c r="C1126">
        <v>7.94</v>
      </c>
      <c r="D1126">
        <v>43</v>
      </c>
      <c r="E1126">
        <v>47</v>
      </c>
      <c r="F1126">
        <v>-17</v>
      </c>
      <c r="G1126">
        <v>-26</v>
      </c>
      <c r="H1126">
        <v>14.07</v>
      </c>
      <c r="I1126">
        <v>0</v>
      </c>
      <c r="J1126">
        <v>0.76</v>
      </c>
      <c r="K1126" s="245">
        <v>-54.67</v>
      </c>
      <c r="L1126" s="245">
        <v>11.82</v>
      </c>
      <c r="M1126" s="245">
        <v>147.65</v>
      </c>
      <c r="N1126" s="257" t="s">
        <v>6830</v>
      </c>
    </row>
    <row r="1127" spans="1:14">
      <c r="A1127">
        <v>5345</v>
      </c>
      <c r="B1127" t="s">
        <v>6561</v>
      </c>
      <c r="C1127">
        <v>4.75</v>
      </c>
      <c r="D1127">
        <v>88</v>
      </c>
      <c r="E1127">
        <v>55</v>
      </c>
      <c r="F1127">
        <v>0</v>
      </c>
      <c r="G1127">
        <v>30</v>
      </c>
      <c r="H1127">
        <v>-519.45000000000005</v>
      </c>
      <c r="I1127">
        <v>0</v>
      </c>
      <c r="J1127">
        <v>-0.35</v>
      </c>
      <c r="K1127" s="245">
        <v>-28.47</v>
      </c>
      <c r="L1127" s="245">
        <v>29.81</v>
      </c>
      <c r="M1127" s="245">
        <v>4.3</v>
      </c>
      <c r="N1127" s="257" t="s">
        <v>6830</v>
      </c>
    </row>
    <row r="1128" spans="1:14">
      <c r="A1128">
        <v>5347</v>
      </c>
      <c r="B1128" t="s">
        <v>5675</v>
      </c>
      <c r="C1128">
        <v>163</v>
      </c>
      <c r="D1128">
        <v>87</v>
      </c>
      <c r="E1128">
        <v>90</v>
      </c>
      <c r="F1128">
        <v>-11</v>
      </c>
      <c r="G1128">
        <v>41</v>
      </c>
      <c r="H1128">
        <v>32.090000000000003</v>
      </c>
      <c r="I1128">
        <v>4.5</v>
      </c>
      <c r="J1128">
        <v>7.21</v>
      </c>
      <c r="K1128" s="245">
        <v>-40.96</v>
      </c>
      <c r="L1128" s="245">
        <v>25.69</v>
      </c>
      <c r="M1128" s="245">
        <v>4891.6499999999996</v>
      </c>
      <c r="N1128" s="257" t="s">
        <v>6830</v>
      </c>
    </row>
    <row r="1129" spans="1:14">
      <c r="A1129">
        <v>5348</v>
      </c>
      <c r="B1129" t="s">
        <v>6562</v>
      </c>
      <c r="C1129">
        <v>2.89</v>
      </c>
      <c r="D1129">
        <v>19</v>
      </c>
      <c r="E1129">
        <v>18</v>
      </c>
      <c r="F1129">
        <v>0</v>
      </c>
      <c r="G1129">
        <v>8</v>
      </c>
      <c r="H1129">
        <v>-13.09</v>
      </c>
      <c r="I1129">
        <v>0</v>
      </c>
      <c r="J1129">
        <v>-0.53</v>
      </c>
      <c r="K1129" s="245">
        <v>-5.86</v>
      </c>
      <c r="L1129" s="245">
        <v>77.91</v>
      </c>
      <c r="M1129" s="245">
        <v>31.85</v>
      </c>
      <c r="N1129" s="257" t="s">
        <v>6832</v>
      </c>
    </row>
    <row r="1130" spans="1:14">
      <c r="A1130">
        <v>5351</v>
      </c>
      <c r="B1130" t="s">
        <v>5676</v>
      </c>
      <c r="C1130">
        <v>27.03</v>
      </c>
      <c r="D1130">
        <v>478</v>
      </c>
      <c r="E1130">
        <v>607</v>
      </c>
      <c r="F1130">
        <v>-12</v>
      </c>
      <c r="G1130">
        <v>21</v>
      </c>
      <c r="H1130">
        <v>18.37</v>
      </c>
      <c r="I1130">
        <v>1.3</v>
      </c>
      <c r="J1130">
        <v>3.91</v>
      </c>
      <c r="K1130" s="245">
        <v>-40.29</v>
      </c>
      <c r="L1130" s="245">
        <v>19.84</v>
      </c>
      <c r="M1130" s="245">
        <v>10970.25</v>
      </c>
      <c r="N1130" s="257" t="s">
        <v>6831</v>
      </c>
    </row>
    <row r="1131" spans="1:14">
      <c r="A1131">
        <v>5353</v>
      </c>
      <c r="B1131" t="s">
        <v>5677</v>
      </c>
      <c r="C1131">
        <v>7.5</v>
      </c>
      <c r="D1131">
        <v>14</v>
      </c>
      <c r="E1131">
        <v>23</v>
      </c>
      <c r="F1131">
        <v>-2</v>
      </c>
      <c r="G1131">
        <v>49</v>
      </c>
      <c r="H1131">
        <v>4.68</v>
      </c>
      <c r="I1131">
        <v>0.9</v>
      </c>
      <c r="J1131">
        <v>1.01</v>
      </c>
      <c r="K1131" s="245">
        <v>-16.010000000000002</v>
      </c>
      <c r="L1131" s="245">
        <v>32.43</v>
      </c>
      <c r="M1131" s="245">
        <v>80.650000000000006</v>
      </c>
      <c r="N1131" s="257" t="s">
        <v>6831</v>
      </c>
    </row>
    <row r="1132" spans="1:14">
      <c r="A1132">
        <v>5355</v>
      </c>
      <c r="B1132" t="s">
        <v>6563</v>
      </c>
      <c r="C1132">
        <v>16.61</v>
      </c>
      <c r="D1132">
        <v>-1143</v>
      </c>
      <c r="E1132">
        <v>2</v>
      </c>
      <c r="F1132">
        <v>29</v>
      </c>
      <c r="G1132">
        <v>5</v>
      </c>
      <c r="H1132">
        <v>-18.38</v>
      </c>
      <c r="I1132">
        <v>0</v>
      </c>
      <c r="J1132">
        <v>-0.67</v>
      </c>
      <c r="K1132" s="245">
        <v>-33.409999999999997</v>
      </c>
      <c r="L1132" s="245">
        <v>28.06</v>
      </c>
      <c r="M1132" s="245">
        <v>136.05000000000001</v>
      </c>
      <c r="N1132" s="257" t="s">
        <v>6830</v>
      </c>
    </row>
    <row r="1133" spans="1:14">
      <c r="A1133">
        <v>5356</v>
      </c>
      <c r="B1133" t="s">
        <v>5678</v>
      </c>
      <c r="C1133">
        <v>10.3</v>
      </c>
      <c r="D1133">
        <v>-112</v>
      </c>
      <c r="E1133">
        <v>-249</v>
      </c>
      <c r="F1133">
        <v>-4</v>
      </c>
      <c r="G1133">
        <v>-2</v>
      </c>
      <c r="H1133">
        <v>-3.61</v>
      </c>
      <c r="I1133">
        <v>1.3</v>
      </c>
      <c r="J1133">
        <v>-0.28000000000000003</v>
      </c>
      <c r="K1133" s="245">
        <v>-32.229999999999997</v>
      </c>
      <c r="L1133" s="245">
        <v>29.13</v>
      </c>
      <c r="M1133" s="245">
        <v>130.6</v>
      </c>
      <c r="N1133" s="257" t="s">
        <v>6830</v>
      </c>
    </row>
    <row r="1134" spans="1:14">
      <c r="A1134">
        <v>5364</v>
      </c>
      <c r="B1134" t="s">
        <v>6564</v>
      </c>
      <c r="C1134">
        <v>2.88</v>
      </c>
      <c r="D1134">
        <v>-285</v>
      </c>
      <c r="E1134">
        <v>-2149</v>
      </c>
      <c r="F1134">
        <v>-8</v>
      </c>
      <c r="G1134">
        <v>-19</v>
      </c>
      <c r="H1134">
        <v>-22.23</v>
      </c>
      <c r="I1134">
        <v>0</v>
      </c>
      <c r="J1134">
        <v>-2.4900000000000002</v>
      </c>
      <c r="K1134" s="245">
        <v>-10.34</v>
      </c>
      <c r="L1134" s="245">
        <v>58.99</v>
      </c>
      <c r="M1134" s="245">
        <v>2.5499999999999998</v>
      </c>
      <c r="N1134" s="257" t="s">
        <v>6831</v>
      </c>
    </row>
    <row r="1135" spans="1:14">
      <c r="A1135">
        <v>5371</v>
      </c>
      <c r="B1135" t="s">
        <v>5679</v>
      </c>
      <c r="C1135">
        <v>39.090000000000003</v>
      </c>
      <c r="D1135">
        <v>46</v>
      </c>
      <c r="E1135">
        <v>137</v>
      </c>
      <c r="F1135">
        <v>-35</v>
      </c>
      <c r="G1135">
        <v>-19</v>
      </c>
      <c r="H1135">
        <v>3.3</v>
      </c>
      <c r="I1135">
        <v>4</v>
      </c>
      <c r="J1135">
        <v>5.12</v>
      </c>
      <c r="K1135" s="245">
        <v>-41.56</v>
      </c>
      <c r="L1135" s="245">
        <v>10.06</v>
      </c>
      <c r="M1135" s="245">
        <v>1101.6500000000001</v>
      </c>
      <c r="N1135" s="257" t="s">
        <v>6830</v>
      </c>
    </row>
    <row r="1136" spans="1:14">
      <c r="A1136">
        <v>5381</v>
      </c>
      <c r="B1136" t="s">
        <v>6565</v>
      </c>
      <c r="C1136">
        <v>18.010000000000002</v>
      </c>
      <c r="D1136">
        <v>389</v>
      </c>
      <c r="E1136">
        <v>1057</v>
      </c>
      <c r="F1136">
        <v>7</v>
      </c>
      <c r="G1136">
        <v>5</v>
      </c>
      <c r="H1136">
        <v>2.11</v>
      </c>
      <c r="I1136">
        <v>0</v>
      </c>
      <c r="J1136">
        <v>7.0000000000000007E-2</v>
      </c>
      <c r="K1136" s="245">
        <v>-21.38</v>
      </c>
      <c r="L1136" s="245">
        <v>26.66</v>
      </c>
      <c r="M1136" s="245">
        <v>23.15</v>
      </c>
      <c r="N1136" s="257" t="s">
        <v>6830</v>
      </c>
    </row>
    <row r="1137" spans="1:14">
      <c r="A1137">
        <v>5383</v>
      </c>
      <c r="B1137" t="s">
        <v>6566</v>
      </c>
      <c r="C1137">
        <v>7.94</v>
      </c>
      <c r="D1137">
        <v>222</v>
      </c>
      <c r="E1137">
        <v>241</v>
      </c>
      <c r="F1137">
        <v>0</v>
      </c>
      <c r="G1137">
        <v>28</v>
      </c>
      <c r="H1137">
        <v>6.07</v>
      </c>
      <c r="I1137">
        <v>0</v>
      </c>
      <c r="J1137">
        <v>0.33</v>
      </c>
      <c r="K1137" s="245">
        <v>-40.229999999999997</v>
      </c>
      <c r="L1137" s="245">
        <v>26.73</v>
      </c>
      <c r="M1137" s="245">
        <v>140.30000000000001</v>
      </c>
      <c r="N1137" s="257" t="s">
        <v>6830</v>
      </c>
    </row>
    <row r="1138" spans="1:14">
      <c r="A1138">
        <v>5386</v>
      </c>
      <c r="B1138" t="s">
        <v>5680</v>
      </c>
      <c r="C1138">
        <v>2.4700000000000002</v>
      </c>
      <c r="D1138">
        <v>143</v>
      </c>
      <c r="E1138">
        <v>92</v>
      </c>
      <c r="F1138">
        <v>-23</v>
      </c>
      <c r="G1138">
        <v>66</v>
      </c>
      <c r="H1138">
        <v>2.08</v>
      </c>
      <c r="I1138">
        <v>1.2</v>
      </c>
      <c r="J1138">
        <v>2.36</v>
      </c>
      <c r="K1138" s="245">
        <v>-33.28</v>
      </c>
      <c r="L1138" s="245">
        <v>10.94</v>
      </c>
      <c r="M1138" s="245">
        <v>81.95</v>
      </c>
      <c r="N1138" s="257" t="s">
        <v>6830</v>
      </c>
    </row>
    <row r="1139" spans="1:14">
      <c r="A1139">
        <v>5388</v>
      </c>
      <c r="B1139" t="s">
        <v>5681</v>
      </c>
      <c r="C1139">
        <v>25.23</v>
      </c>
      <c r="D1139">
        <v>-4</v>
      </c>
      <c r="E1139">
        <v>-7</v>
      </c>
      <c r="F1139">
        <v>1</v>
      </c>
      <c r="G1139">
        <v>49</v>
      </c>
      <c r="H1139">
        <v>2.4</v>
      </c>
      <c r="I1139">
        <v>2.4</v>
      </c>
      <c r="J1139">
        <v>3.44</v>
      </c>
      <c r="K1139" s="245">
        <v>-13.03</v>
      </c>
      <c r="L1139" s="245">
        <v>42.98</v>
      </c>
      <c r="M1139" s="245">
        <v>6897.85</v>
      </c>
      <c r="N1139" s="257" t="s">
        <v>6831</v>
      </c>
    </row>
    <row r="1140" spans="1:14">
      <c r="A1140">
        <v>5392</v>
      </c>
      <c r="B1140" t="s">
        <v>5682</v>
      </c>
      <c r="C1140">
        <v>16.989999999999998</v>
      </c>
      <c r="D1140">
        <v>375</v>
      </c>
      <c r="E1140">
        <v>119</v>
      </c>
      <c r="F1140">
        <v>-13</v>
      </c>
      <c r="G1140">
        <v>-11</v>
      </c>
      <c r="H1140">
        <v>2.19</v>
      </c>
      <c r="I1140">
        <v>0.3</v>
      </c>
      <c r="J1140">
        <v>0.35</v>
      </c>
      <c r="K1140" s="245">
        <v>-34.86</v>
      </c>
      <c r="L1140" s="245">
        <v>6.4</v>
      </c>
      <c r="M1140" s="245">
        <v>206.8</v>
      </c>
      <c r="N1140" s="257" t="s">
        <v>6830</v>
      </c>
    </row>
    <row r="1141" spans="1:14">
      <c r="A1141">
        <v>5398</v>
      </c>
      <c r="B1141" t="s">
        <v>6152</v>
      </c>
      <c r="C1141">
        <v>4.99</v>
      </c>
      <c r="D1141">
        <v>-2</v>
      </c>
      <c r="E1141">
        <v>93</v>
      </c>
      <c r="F1141">
        <v>27</v>
      </c>
      <c r="G1141">
        <v>-25</v>
      </c>
      <c r="H1141">
        <v>6.77</v>
      </c>
      <c r="I1141">
        <v>0.14000000000000001</v>
      </c>
      <c r="J1141">
        <v>0.33</v>
      </c>
      <c r="K1141" s="245">
        <v>-12.42</v>
      </c>
      <c r="L1141" s="245">
        <v>41.51</v>
      </c>
      <c r="M1141" s="245">
        <v>74.349999999999994</v>
      </c>
      <c r="N1141" s="257" t="s">
        <v>6830</v>
      </c>
    </row>
    <row r="1142" spans="1:14">
      <c r="A1142">
        <v>5403</v>
      </c>
      <c r="B1142" t="s">
        <v>5683</v>
      </c>
      <c r="C1142">
        <v>7.08</v>
      </c>
      <c r="D1142">
        <v>26</v>
      </c>
      <c r="E1142">
        <v>48</v>
      </c>
      <c r="F1142">
        <v>-12</v>
      </c>
      <c r="G1142">
        <v>10</v>
      </c>
      <c r="H1142">
        <v>12.62</v>
      </c>
      <c r="I1142">
        <v>4.5</v>
      </c>
      <c r="J1142">
        <v>5.88</v>
      </c>
      <c r="K1142" s="245">
        <v>-7.94</v>
      </c>
      <c r="L1142" s="245">
        <v>42.28</v>
      </c>
      <c r="M1142" s="245">
        <v>40.299999999999997</v>
      </c>
      <c r="N1142" s="257" t="s">
        <v>6832</v>
      </c>
    </row>
    <row r="1143" spans="1:14">
      <c r="A1143">
        <v>5410</v>
      </c>
      <c r="B1143" t="s">
        <v>5684</v>
      </c>
      <c r="C1143">
        <v>8.81</v>
      </c>
      <c r="D1143">
        <v>7</v>
      </c>
      <c r="E1143">
        <v>25</v>
      </c>
      <c r="F1143">
        <v>-3</v>
      </c>
      <c r="G1143">
        <v>-2</v>
      </c>
      <c r="H1143">
        <v>5.01</v>
      </c>
      <c r="I1143">
        <v>1.85</v>
      </c>
      <c r="J1143">
        <v>2.14</v>
      </c>
      <c r="K1143" s="245">
        <v>-12.5</v>
      </c>
      <c r="L1143" s="245">
        <v>26.8</v>
      </c>
      <c r="M1143" s="245">
        <v>193.35</v>
      </c>
      <c r="N1143" s="257" t="s">
        <v>6831</v>
      </c>
    </row>
    <row r="1144" spans="1:14">
      <c r="A1144">
        <v>5425</v>
      </c>
      <c r="B1144" t="s">
        <v>5685</v>
      </c>
      <c r="C1144">
        <v>26.34</v>
      </c>
      <c r="D1144">
        <v>39</v>
      </c>
      <c r="E1144">
        <v>51</v>
      </c>
      <c r="F1144">
        <v>-8</v>
      </c>
      <c r="G1144">
        <v>14</v>
      </c>
      <c r="H1144">
        <v>14.49</v>
      </c>
      <c r="I1144">
        <v>2.5</v>
      </c>
      <c r="J1144">
        <v>3.55</v>
      </c>
      <c r="K1144" s="245">
        <v>-19.05</v>
      </c>
      <c r="L1144" s="245">
        <v>59.04</v>
      </c>
      <c r="M1144" s="245">
        <v>17216.099999999999</v>
      </c>
      <c r="N1144" s="257" t="s">
        <v>6832</v>
      </c>
    </row>
    <row r="1145" spans="1:14">
      <c r="A1145">
        <v>5426</v>
      </c>
      <c r="B1145" t="s">
        <v>5686</v>
      </c>
      <c r="C1145">
        <v>14.38</v>
      </c>
      <c r="D1145">
        <v>-131</v>
      </c>
      <c r="E1145">
        <v>-582</v>
      </c>
      <c r="F1145">
        <v>-7</v>
      </c>
      <c r="G1145">
        <v>9</v>
      </c>
      <c r="H1145">
        <v>-5.82</v>
      </c>
      <c r="I1145">
        <v>0</v>
      </c>
      <c r="J1145">
        <v>-0.62</v>
      </c>
      <c r="K1145" s="245">
        <v>-31.54</v>
      </c>
      <c r="L1145" s="245">
        <v>11.07</v>
      </c>
      <c r="M1145" s="245">
        <v>98.15</v>
      </c>
      <c r="N1145" s="257" t="s">
        <v>6830</v>
      </c>
    </row>
    <row r="1146" spans="1:14">
      <c r="A1146">
        <v>5432</v>
      </c>
      <c r="B1146" t="s">
        <v>5687</v>
      </c>
      <c r="C1146">
        <v>2.06</v>
      </c>
      <c r="D1146">
        <v>215</v>
      </c>
      <c r="E1146">
        <v>1300</v>
      </c>
      <c r="F1146">
        <v>25</v>
      </c>
      <c r="G1146">
        <v>560</v>
      </c>
      <c r="H1146">
        <v>7.23</v>
      </c>
      <c r="I1146">
        <v>0</v>
      </c>
      <c r="J1146">
        <v>0.32</v>
      </c>
      <c r="K1146" s="245">
        <v>-10.58</v>
      </c>
      <c r="L1146" s="245">
        <v>41.36</v>
      </c>
      <c r="M1146" s="245">
        <v>8.6999999999999993</v>
      </c>
      <c r="N1146" s="257" t="s">
        <v>6832</v>
      </c>
    </row>
    <row r="1147" spans="1:14">
      <c r="A1147">
        <v>5434</v>
      </c>
      <c r="B1147" t="s">
        <v>5688</v>
      </c>
      <c r="C1147">
        <v>18.16</v>
      </c>
      <c r="D1147">
        <v>11</v>
      </c>
      <c r="E1147">
        <v>23</v>
      </c>
      <c r="F1147">
        <v>-11</v>
      </c>
      <c r="G1147">
        <v>7</v>
      </c>
      <c r="H1147">
        <v>5.98</v>
      </c>
      <c r="I1147">
        <v>8.8000000000000007</v>
      </c>
      <c r="J1147">
        <v>12.63</v>
      </c>
      <c r="K1147" s="245">
        <v>-12.67</v>
      </c>
      <c r="L1147" s="245">
        <v>26.6</v>
      </c>
      <c r="M1147" s="245">
        <v>337.45</v>
      </c>
      <c r="N1147" s="257" t="s">
        <v>6831</v>
      </c>
    </row>
    <row r="1148" spans="1:14">
      <c r="A1148">
        <v>5438</v>
      </c>
      <c r="B1148" t="s">
        <v>5689</v>
      </c>
      <c r="C1148">
        <v>11.25</v>
      </c>
      <c r="D1148">
        <v>6386</v>
      </c>
      <c r="E1148">
        <v>69</v>
      </c>
      <c r="F1148">
        <v>31</v>
      </c>
      <c r="G1148">
        <v>-21</v>
      </c>
      <c r="H1148">
        <v>-1.35</v>
      </c>
      <c r="I1148">
        <v>0.41</v>
      </c>
      <c r="J1148">
        <v>0.51</v>
      </c>
      <c r="K1148" s="245">
        <v>-51.23</v>
      </c>
      <c r="L1148" s="245">
        <v>21.21</v>
      </c>
      <c r="M1148" s="245">
        <v>25.2</v>
      </c>
      <c r="N1148" s="257" t="s">
        <v>6830</v>
      </c>
    </row>
    <row r="1149" spans="1:14">
      <c r="A1149">
        <v>5439</v>
      </c>
      <c r="B1149" t="s">
        <v>5690</v>
      </c>
      <c r="C1149">
        <v>9.2899999999999991</v>
      </c>
      <c r="D1149">
        <v>38</v>
      </c>
      <c r="E1149">
        <v>29</v>
      </c>
      <c r="F1149">
        <v>-8</v>
      </c>
      <c r="G1149">
        <v>-8</v>
      </c>
      <c r="H1149">
        <v>14.93</v>
      </c>
      <c r="I1149">
        <v>3.6</v>
      </c>
      <c r="J1149">
        <v>4.6100000000000003</v>
      </c>
      <c r="K1149" s="245">
        <v>-39.11</v>
      </c>
      <c r="L1149" s="245">
        <v>8.74</v>
      </c>
      <c r="M1149" s="245">
        <v>238</v>
      </c>
      <c r="N1149" s="257" t="s">
        <v>6830</v>
      </c>
    </row>
    <row r="1150" spans="1:14">
      <c r="A1150">
        <v>5443</v>
      </c>
      <c r="B1150" t="s">
        <v>5691</v>
      </c>
      <c r="C1150">
        <v>16.510000000000002</v>
      </c>
      <c r="D1150">
        <v>100</v>
      </c>
      <c r="E1150">
        <v>308</v>
      </c>
      <c r="F1150">
        <v>-29</v>
      </c>
      <c r="G1150">
        <v>-27</v>
      </c>
      <c r="H1150">
        <v>6.59</v>
      </c>
      <c r="I1150">
        <v>1.5</v>
      </c>
      <c r="J1150">
        <v>1.54</v>
      </c>
      <c r="K1150" s="245">
        <v>-43.56</v>
      </c>
      <c r="L1150" s="245">
        <v>15.23</v>
      </c>
      <c r="M1150" s="245">
        <v>160.44999999999999</v>
      </c>
      <c r="N1150" s="257" t="s">
        <v>6830</v>
      </c>
    </row>
    <row r="1151" spans="1:14">
      <c r="A1151">
        <v>5450</v>
      </c>
      <c r="B1151" t="s">
        <v>5692</v>
      </c>
      <c r="C1151">
        <v>12.23</v>
      </c>
      <c r="D1151">
        <v>126</v>
      </c>
      <c r="E1151">
        <v>68</v>
      </c>
      <c r="F1151">
        <v>-17</v>
      </c>
      <c r="G1151">
        <v>3</v>
      </c>
      <c r="H1151">
        <v>5.69</v>
      </c>
      <c r="I1151">
        <v>0.6</v>
      </c>
      <c r="J1151">
        <v>1.23</v>
      </c>
      <c r="K1151" s="245">
        <v>-22.39</v>
      </c>
      <c r="L1151" s="245">
        <v>34.72</v>
      </c>
      <c r="M1151" s="245">
        <v>40.950000000000003</v>
      </c>
      <c r="N1151" s="257" t="s">
        <v>6830</v>
      </c>
    </row>
    <row r="1152" spans="1:14">
      <c r="A1152">
        <v>5452</v>
      </c>
      <c r="B1152" t="s">
        <v>5693</v>
      </c>
      <c r="C1152">
        <v>14.87</v>
      </c>
      <c r="D1152">
        <v>74</v>
      </c>
      <c r="E1152">
        <v>78</v>
      </c>
      <c r="F1152">
        <v>-11</v>
      </c>
      <c r="G1152">
        <v>5</v>
      </c>
      <c r="H1152">
        <v>6.67</v>
      </c>
      <c r="I1152">
        <v>0.8</v>
      </c>
      <c r="J1152">
        <v>1.6</v>
      </c>
      <c r="K1152" s="245">
        <v>-43.95</v>
      </c>
      <c r="L1152" s="245">
        <v>18.440000000000001</v>
      </c>
      <c r="M1152" s="245">
        <v>282.25</v>
      </c>
      <c r="N1152" s="257" t="s">
        <v>6830</v>
      </c>
    </row>
    <row r="1153" spans="1:14">
      <c r="A1153">
        <v>5455</v>
      </c>
      <c r="B1153" t="s">
        <v>6567</v>
      </c>
      <c r="C1153">
        <v>6.55</v>
      </c>
      <c r="D1153">
        <v>55</v>
      </c>
      <c r="E1153">
        <v>48</v>
      </c>
      <c r="F1153">
        <v>236</v>
      </c>
      <c r="G1153">
        <v>22218</v>
      </c>
      <c r="H1153">
        <v>-15.65</v>
      </c>
      <c r="I1153">
        <v>0</v>
      </c>
      <c r="J1153">
        <v>-0.09</v>
      </c>
      <c r="K1153" s="245">
        <v>-23.78</v>
      </c>
      <c r="L1153" s="245">
        <v>10.71</v>
      </c>
      <c r="M1153" s="245">
        <v>6.25</v>
      </c>
      <c r="N1153" s="257" t="s">
        <v>6830</v>
      </c>
    </row>
    <row r="1154" spans="1:14">
      <c r="A1154">
        <v>5457</v>
      </c>
      <c r="B1154" t="s">
        <v>5694</v>
      </c>
      <c r="C1154">
        <v>17.03</v>
      </c>
      <c r="D1154">
        <v>16</v>
      </c>
      <c r="E1154">
        <v>14</v>
      </c>
      <c r="F1154">
        <v>-3</v>
      </c>
      <c r="G1154">
        <v>33</v>
      </c>
      <c r="H1154">
        <v>10.91</v>
      </c>
      <c r="I1154">
        <v>2.5</v>
      </c>
      <c r="J1154">
        <v>5.1100000000000003</v>
      </c>
      <c r="K1154" s="245">
        <v>-45.93</v>
      </c>
      <c r="L1154" s="245">
        <v>22.6</v>
      </c>
      <c r="M1154" s="245">
        <v>529.75</v>
      </c>
      <c r="N1154" s="257" t="s">
        <v>6830</v>
      </c>
    </row>
    <row r="1155" spans="1:14">
      <c r="A1155">
        <v>5460</v>
      </c>
      <c r="B1155" t="s">
        <v>6244</v>
      </c>
      <c r="C1155">
        <v>5.87</v>
      </c>
      <c r="D1155">
        <v>-58</v>
      </c>
      <c r="E1155">
        <v>-137</v>
      </c>
      <c r="F1155">
        <v>-45</v>
      </c>
      <c r="G1155">
        <v>-49</v>
      </c>
      <c r="H1155">
        <v>-0.26</v>
      </c>
      <c r="I1155">
        <v>0</v>
      </c>
      <c r="J1155">
        <v>0.01</v>
      </c>
      <c r="K1155" s="245">
        <v>-19.86</v>
      </c>
      <c r="L1155" s="245">
        <v>26.94</v>
      </c>
      <c r="M1155" s="245">
        <v>57.55</v>
      </c>
      <c r="N1155" s="257" t="s">
        <v>6830</v>
      </c>
    </row>
    <row r="1156" spans="1:14">
      <c r="A1156">
        <v>5464</v>
      </c>
      <c r="B1156" t="s">
        <v>5695</v>
      </c>
      <c r="C1156">
        <v>7.1</v>
      </c>
      <c r="D1156">
        <v>307</v>
      </c>
      <c r="E1156">
        <v>55</v>
      </c>
      <c r="F1156">
        <v>14</v>
      </c>
      <c r="G1156">
        <v>-14</v>
      </c>
      <c r="H1156">
        <v>-2.67</v>
      </c>
      <c r="I1156">
        <v>2</v>
      </c>
      <c r="J1156">
        <v>4.8099999999999996</v>
      </c>
      <c r="K1156" s="245">
        <v>-52.23</v>
      </c>
      <c r="L1156" s="245">
        <v>21.56</v>
      </c>
      <c r="M1156" s="245">
        <v>37.950000000000003</v>
      </c>
      <c r="N1156" s="257" t="s">
        <v>6830</v>
      </c>
    </row>
    <row r="1157" spans="1:14">
      <c r="A1157">
        <v>5465</v>
      </c>
      <c r="B1157" t="s">
        <v>6296</v>
      </c>
      <c r="C1157">
        <v>14.76</v>
      </c>
      <c r="D1157">
        <v>8</v>
      </c>
      <c r="E1157">
        <v>1</v>
      </c>
      <c r="F1157">
        <v>7</v>
      </c>
      <c r="G1157">
        <v>-23</v>
      </c>
      <c r="H1157">
        <v>5.1100000000000003</v>
      </c>
      <c r="I1157">
        <v>1</v>
      </c>
      <c r="J1157">
        <v>1.27</v>
      </c>
      <c r="K1157" s="245">
        <v>-17.21</v>
      </c>
      <c r="L1157" s="245">
        <v>37.51</v>
      </c>
      <c r="M1157" s="245">
        <v>42.3</v>
      </c>
      <c r="N1157" s="257" t="s">
        <v>6831</v>
      </c>
    </row>
    <row r="1158" spans="1:14">
      <c r="A1158">
        <v>5468</v>
      </c>
      <c r="B1158" t="s">
        <v>6568</v>
      </c>
      <c r="C1158">
        <v>2.78</v>
      </c>
      <c r="D1158">
        <v>138</v>
      </c>
      <c r="E1158">
        <v>187</v>
      </c>
      <c r="F1158">
        <v>0</v>
      </c>
      <c r="G1158">
        <v>67</v>
      </c>
      <c r="H1158">
        <v>5.03</v>
      </c>
      <c r="I1158">
        <v>0</v>
      </c>
      <c r="J1158">
        <v>0.19</v>
      </c>
      <c r="K1158" s="245">
        <v>-5.94</v>
      </c>
      <c r="L1158" s="245">
        <v>81.66</v>
      </c>
      <c r="M1158" s="245">
        <v>647.85</v>
      </c>
      <c r="N1158" s="257" t="s">
        <v>6832</v>
      </c>
    </row>
    <row r="1159" spans="1:14">
      <c r="A1159">
        <v>5469</v>
      </c>
      <c r="B1159" t="s">
        <v>5696</v>
      </c>
      <c r="C1159">
        <v>52.84</v>
      </c>
      <c r="D1159">
        <v>43</v>
      </c>
      <c r="E1159">
        <v>23</v>
      </c>
      <c r="F1159">
        <v>-21</v>
      </c>
      <c r="G1159">
        <v>-23</v>
      </c>
      <c r="H1159">
        <v>11.59</v>
      </c>
      <c r="I1159">
        <v>2.2000000000000002</v>
      </c>
      <c r="J1159">
        <v>7.05</v>
      </c>
      <c r="K1159" s="245">
        <v>-30.18</v>
      </c>
      <c r="L1159" s="245">
        <v>12.61</v>
      </c>
      <c r="M1159" s="245">
        <v>1092.8499999999999</v>
      </c>
      <c r="N1159" s="257" t="s">
        <v>6830</v>
      </c>
    </row>
    <row r="1160" spans="1:14">
      <c r="A1160">
        <v>5471</v>
      </c>
      <c r="B1160" t="s">
        <v>5697</v>
      </c>
      <c r="C1160">
        <v>16.78</v>
      </c>
      <c r="D1160">
        <v>42</v>
      </c>
      <c r="E1160">
        <v>49</v>
      </c>
      <c r="F1160">
        <v>-7</v>
      </c>
      <c r="G1160">
        <v>-35</v>
      </c>
      <c r="H1160">
        <v>31.48</v>
      </c>
      <c r="I1160">
        <v>7</v>
      </c>
      <c r="J1160">
        <v>8.7100000000000009</v>
      </c>
      <c r="K1160" s="245">
        <v>-37.729999999999997</v>
      </c>
      <c r="L1160" s="245">
        <v>16.12</v>
      </c>
      <c r="M1160" s="245">
        <v>659.55</v>
      </c>
      <c r="N1160" s="257" t="s">
        <v>6830</v>
      </c>
    </row>
    <row r="1161" spans="1:14">
      <c r="A1161">
        <v>5474</v>
      </c>
      <c r="B1161" t="s">
        <v>5698</v>
      </c>
      <c r="C1161">
        <v>4.03</v>
      </c>
      <c r="D1161">
        <v>-37</v>
      </c>
      <c r="E1161">
        <v>-38</v>
      </c>
      <c r="F1161">
        <v>-16</v>
      </c>
      <c r="G1161">
        <v>-31</v>
      </c>
      <c r="H1161">
        <v>27.02</v>
      </c>
      <c r="I1161">
        <v>5</v>
      </c>
      <c r="J1161">
        <v>9.66</v>
      </c>
      <c r="K1161" s="245">
        <v>-48.47</v>
      </c>
      <c r="L1161" s="245">
        <v>15.88</v>
      </c>
      <c r="M1161" s="245">
        <v>701.6</v>
      </c>
      <c r="N1161" s="257" t="s">
        <v>6830</v>
      </c>
    </row>
    <row r="1162" spans="1:14">
      <c r="A1162">
        <v>5475</v>
      </c>
      <c r="B1162" t="s">
        <v>6569</v>
      </c>
      <c r="C1162">
        <v>12.71</v>
      </c>
      <c r="D1162">
        <v>587</v>
      </c>
      <c r="E1162">
        <v>441</v>
      </c>
      <c r="F1162">
        <v>-42</v>
      </c>
      <c r="G1162">
        <v>-79</v>
      </c>
      <c r="H1162">
        <v>22.02</v>
      </c>
      <c r="I1162">
        <v>0</v>
      </c>
      <c r="J1162">
        <v>3.73</v>
      </c>
      <c r="K1162" s="245">
        <v>-74.239999999999995</v>
      </c>
      <c r="L1162" s="245">
        <v>9.3699999999999992</v>
      </c>
      <c r="M1162" s="245">
        <v>796.55</v>
      </c>
      <c r="N1162" s="257" t="s">
        <v>6830</v>
      </c>
    </row>
    <row r="1163" spans="1:14">
      <c r="A1163">
        <v>5478</v>
      </c>
      <c r="B1163" t="s">
        <v>5699</v>
      </c>
      <c r="C1163">
        <v>12.74</v>
      </c>
      <c r="D1163">
        <v>-12</v>
      </c>
      <c r="E1163">
        <v>-4</v>
      </c>
      <c r="F1163">
        <v>2</v>
      </c>
      <c r="G1163">
        <v>-16</v>
      </c>
      <c r="H1163">
        <v>15.96</v>
      </c>
      <c r="I1163">
        <v>5.2</v>
      </c>
      <c r="J1163">
        <v>6.84</v>
      </c>
      <c r="K1163" s="245">
        <v>-32.19</v>
      </c>
      <c r="L1163" s="245">
        <v>23.34</v>
      </c>
      <c r="M1163" s="245">
        <v>123.85</v>
      </c>
      <c r="N1163" s="257" t="s">
        <v>6830</v>
      </c>
    </row>
    <row r="1164" spans="1:14">
      <c r="A1164">
        <v>5481</v>
      </c>
      <c r="B1164" t="s">
        <v>5700</v>
      </c>
      <c r="C1164">
        <v>7.34</v>
      </c>
      <c r="D1164">
        <v>-70</v>
      </c>
      <c r="E1164">
        <v>28</v>
      </c>
      <c r="F1164">
        <v>-9</v>
      </c>
      <c r="G1164">
        <v>-9</v>
      </c>
      <c r="H1164">
        <v>-27.72</v>
      </c>
      <c r="I1164">
        <v>0.6</v>
      </c>
      <c r="J1164">
        <v>1.81</v>
      </c>
      <c r="K1164" s="245">
        <v>-12.06</v>
      </c>
      <c r="L1164" s="245">
        <v>24.76</v>
      </c>
      <c r="M1164" s="245">
        <v>159.6</v>
      </c>
      <c r="N1164" s="257" t="s">
        <v>6830</v>
      </c>
    </row>
    <row r="1165" spans="1:14">
      <c r="A1165">
        <v>5483</v>
      </c>
      <c r="B1165" t="s">
        <v>5701</v>
      </c>
      <c r="C1165">
        <v>58.62</v>
      </c>
      <c r="D1165">
        <v>0</v>
      </c>
      <c r="E1165">
        <v>21</v>
      </c>
      <c r="F1165">
        <v>-8</v>
      </c>
      <c r="G1165">
        <v>9</v>
      </c>
      <c r="H1165">
        <v>26.26</v>
      </c>
      <c r="I1165">
        <v>8</v>
      </c>
      <c r="J1165">
        <v>11.62</v>
      </c>
      <c r="K1165" s="245">
        <v>-36.35</v>
      </c>
      <c r="L1165" s="245">
        <v>34.409999999999997</v>
      </c>
      <c r="M1165" s="245">
        <v>6211.5</v>
      </c>
      <c r="N1165" s="257" t="s">
        <v>6830</v>
      </c>
    </row>
    <row r="1166" spans="1:14">
      <c r="A1166">
        <v>5484</v>
      </c>
      <c r="B1166" t="s">
        <v>6570</v>
      </c>
      <c r="C1166">
        <v>6.68</v>
      </c>
      <c r="D1166">
        <v>30</v>
      </c>
      <c r="E1166">
        <v>56</v>
      </c>
      <c r="F1166">
        <v>-4</v>
      </c>
      <c r="G1166">
        <v>-60</v>
      </c>
      <c r="H1166">
        <v>-8</v>
      </c>
      <c r="I1166">
        <v>0</v>
      </c>
      <c r="J1166">
        <v>-0.63</v>
      </c>
      <c r="K1166" s="245">
        <v>-39.9</v>
      </c>
      <c r="L1166" s="245">
        <v>7.58</v>
      </c>
      <c r="M1166" s="245">
        <v>89.4</v>
      </c>
      <c r="N1166" s="257" t="s">
        <v>6830</v>
      </c>
    </row>
    <row r="1167" spans="1:14">
      <c r="A1167">
        <v>5487</v>
      </c>
      <c r="B1167" t="s">
        <v>6322</v>
      </c>
      <c r="C1167">
        <v>2.4</v>
      </c>
      <c r="D1167">
        <v>22</v>
      </c>
      <c r="E1167">
        <v>16</v>
      </c>
      <c r="F1167">
        <v>45</v>
      </c>
      <c r="G1167">
        <v>-8</v>
      </c>
      <c r="H1167">
        <v>16.649999999999999</v>
      </c>
      <c r="I1167">
        <v>1.36</v>
      </c>
      <c r="J1167">
        <v>2.02</v>
      </c>
      <c r="K1167" s="245">
        <v>-33.630000000000003</v>
      </c>
      <c r="L1167" s="245">
        <v>19.05</v>
      </c>
      <c r="M1167" s="245">
        <v>5.65</v>
      </c>
      <c r="N1167" s="257" t="s">
        <v>6830</v>
      </c>
    </row>
    <row r="1168" spans="1:14">
      <c r="A1168">
        <v>5488</v>
      </c>
      <c r="B1168" t="s">
        <v>6571</v>
      </c>
      <c r="C1168">
        <v>9.15</v>
      </c>
      <c r="D1168">
        <v>124</v>
      </c>
      <c r="E1168">
        <v>124</v>
      </c>
      <c r="F1168">
        <v>20</v>
      </c>
      <c r="G1168">
        <v>5</v>
      </c>
      <c r="H1168">
        <v>0.78</v>
      </c>
      <c r="I1168">
        <v>0</v>
      </c>
      <c r="J1168">
        <v>0.08</v>
      </c>
      <c r="K1168" s="245">
        <v>-31.6</v>
      </c>
      <c r="L1168" s="245">
        <v>14.73</v>
      </c>
      <c r="M1168" s="245">
        <v>123.45</v>
      </c>
      <c r="N1168" s="257" t="s">
        <v>6830</v>
      </c>
    </row>
    <row r="1169" spans="1:14">
      <c r="A1169">
        <v>5489</v>
      </c>
      <c r="B1169" t="s">
        <v>6328</v>
      </c>
      <c r="C1169">
        <v>10.27</v>
      </c>
      <c r="D1169">
        <v>532</v>
      </c>
      <c r="E1169">
        <v>257</v>
      </c>
      <c r="F1169">
        <v>-6</v>
      </c>
      <c r="G1169">
        <v>0</v>
      </c>
      <c r="H1169">
        <v>11.11</v>
      </c>
      <c r="I1169">
        <v>1</v>
      </c>
      <c r="J1169">
        <v>1.25</v>
      </c>
      <c r="K1169" s="245">
        <v>-9.69</v>
      </c>
      <c r="L1169" s="245">
        <v>80.37</v>
      </c>
      <c r="M1169" s="245">
        <v>20.350000000000001</v>
      </c>
      <c r="N1169" s="257" t="s">
        <v>6831</v>
      </c>
    </row>
    <row r="1170" spans="1:14">
      <c r="A1170">
        <v>5490</v>
      </c>
      <c r="B1170" t="s">
        <v>6153</v>
      </c>
      <c r="C1170">
        <v>9.6199999999999992</v>
      </c>
      <c r="D1170">
        <v>-35</v>
      </c>
      <c r="E1170">
        <v>-35</v>
      </c>
      <c r="F1170">
        <v>-41</v>
      </c>
      <c r="G1170">
        <v>-1</v>
      </c>
      <c r="H1170">
        <v>10.74</v>
      </c>
      <c r="I1170">
        <v>1.25</v>
      </c>
      <c r="J1170">
        <v>1.41</v>
      </c>
      <c r="K1170" s="245">
        <v>-16.829999999999998</v>
      </c>
      <c r="L1170" s="245">
        <v>16.11</v>
      </c>
      <c r="M1170" s="245">
        <v>50.85</v>
      </c>
      <c r="N1170" s="257" t="s">
        <v>6830</v>
      </c>
    </row>
    <row r="1171" spans="1:14">
      <c r="A1171">
        <v>5493</v>
      </c>
      <c r="B1171" t="s">
        <v>5702</v>
      </c>
      <c r="C1171">
        <v>4.16</v>
      </c>
      <c r="D1171">
        <v>38</v>
      </c>
      <c r="E1171">
        <v>33</v>
      </c>
      <c r="F1171">
        <v>-11</v>
      </c>
      <c r="G1171">
        <v>17</v>
      </c>
      <c r="H1171">
        <v>9.3800000000000008</v>
      </c>
      <c r="I1171">
        <v>3.1</v>
      </c>
      <c r="J1171">
        <v>4.6500000000000004</v>
      </c>
      <c r="K1171" s="245">
        <v>-10.52</v>
      </c>
      <c r="L1171" s="245">
        <v>60.31</v>
      </c>
      <c r="M1171" s="245">
        <v>102.2</v>
      </c>
      <c r="N1171" s="257" t="s">
        <v>6832</v>
      </c>
    </row>
    <row r="1172" spans="1:14">
      <c r="A1172">
        <v>5498</v>
      </c>
      <c r="B1172" t="s">
        <v>5703</v>
      </c>
      <c r="C1172">
        <v>18.989999999999998</v>
      </c>
      <c r="D1172">
        <v>-57</v>
      </c>
      <c r="E1172">
        <v>-23</v>
      </c>
      <c r="F1172">
        <v>-28</v>
      </c>
      <c r="G1172">
        <v>-28</v>
      </c>
      <c r="H1172">
        <v>1.79</v>
      </c>
      <c r="I1172">
        <v>0</v>
      </c>
      <c r="J1172">
        <v>0.18</v>
      </c>
      <c r="K1172" s="245">
        <v>-52.42</v>
      </c>
      <c r="L1172" s="245">
        <v>6.14</v>
      </c>
      <c r="M1172" s="245">
        <v>252.6</v>
      </c>
      <c r="N1172" s="257" t="s">
        <v>6830</v>
      </c>
    </row>
    <row r="1173" spans="1:14">
      <c r="A1173">
        <v>5508</v>
      </c>
      <c r="B1173" t="s">
        <v>5704</v>
      </c>
      <c r="C1173">
        <v>21.74</v>
      </c>
      <c r="D1173">
        <v>139</v>
      </c>
      <c r="E1173">
        <v>167</v>
      </c>
      <c r="F1173">
        <v>-69</v>
      </c>
      <c r="G1173">
        <v>-67</v>
      </c>
      <c r="H1173">
        <v>37.229999999999997</v>
      </c>
      <c r="I1173">
        <v>8.01</v>
      </c>
      <c r="J1173">
        <v>8.9</v>
      </c>
      <c r="K1173" s="245">
        <v>-17.3</v>
      </c>
      <c r="L1173" s="245">
        <v>14.46</v>
      </c>
      <c r="M1173" s="245">
        <v>191.55</v>
      </c>
      <c r="N1173" s="257" t="s">
        <v>6831</v>
      </c>
    </row>
    <row r="1174" spans="1:14">
      <c r="A1174">
        <v>5511</v>
      </c>
      <c r="B1174" t="s">
        <v>6154</v>
      </c>
      <c r="C1174">
        <v>11.34</v>
      </c>
      <c r="D1174">
        <v>-1</v>
      </c>
      <c r="E1174">
        <v>14</v>
      </c>
      <c r="F1174">
        <v>-14</v>
      </c>
      <c r="G1174">
        <v>27</v>
      </c>
      <c r="H1174">
        <v>8.52</v>
      </c>
      <c r="I1174">
        <v>2</v>
      </c>
      <c r="J1174">
        <v>4.1500000000000004</v>
      </c>
      <c r="K1174" s="245">
        <v>-4.43</v>
      </c>
      <c r="L1174" s="245">
        <v>29.29</v>
      </c>
      <c r="M1174" s="245">
        <v>31.65</v>
      </c>
      <c r="N1174" s="257" t="s">
        <v>6831</v>
      </c>
    </row>
    <row r="1175" spans="1:14">
      <c r="A1175">
        <v>5512</v>
      </c>
      <c r="B1175" t="s">
        <v>5705</v>
      </c>
      <c r="C1175">
        <v>74.39</v>
      </c>
      <c r="D1175">
        <v>47</v>
      </c>
      <c r="E1175">
        <v>59</v>
      </c>
      <c r="F1175">
        <v>-24</v>
      </c>
      <c r="G1175">
        <v>1</v>
      </c>
      <c r="H1175">
        <v>16.899999999999999</v>
      </c>
      <c r="I1175">
        <v>0.3</v>
      </c>
      <c r="J1175">
        <v>0.42</v>
      </c>
      <c r="K1175" s="245">
        <v>-10.99</v>
      </c>
      <c r="L1175" s="245">
        <v>26.47</v>
      </c>
      <c r="M1175" s="245">
        <v>561.04999999999995</v>
      </c>
      <c r="N1175" s="257" t="s">
        <v>6830</v>
      </c>
    </row>
    <row r="1176" spans="1:14">
      <c r="A1176">
        <v>5514</v>
      </c>
      <c r="B1176" t="s">
        <v>6350</v>
      </c>
      <c r="C1176">
        <v>20.79</v>
      </c>
      <c r="D1176">
        <v>-103</v>
      </c>
      <c r="E1176">
        <v>-121</v>
      </c>
      <c r="F1176">
        <v>8</v>
      </c>
      <c r="G1176">
        <v>13</v>
      </c>
      <c r="H1176">
        <v>-786.51</v>
      </c>
      <c r="I1176">
        <v>0.4</v>
      </c>
      <c r="J1176">
        <v>-0.04</v>
      </c>
      <c r="K1176" s="245">
        <v>-11.67</v>
      </c>
      <c r="L1176" s="245">
        <v>46.77</v>
      </c>
      <c r="M1176" s="245">
        <v>17.45</v>
      </c>
      <c r="N1176" s="257" t="s">
        <v>6830</v>
      </c>
    </row>
    <row r="1177" spans="1:14">
      <c r="A1177">
        <v>5515</v>
      </c>
      <c r="B1177" t="s">
        <v>5706</v>
      </c>
      <c r="C1177">
        <v>25.74</v>
      </c>
      <c r="D1177">
        <v>8</v>
      </c>
      <c r="E1177">
        <v>28</v>
      </c>
      <c r="F1177">
        <v>-3</v>
      </c>
      <c r="G1177">
        <v>-10</v>
      </c>
      <c r="H1177">
        <v>5.37</v>
      </c>
      <c r="I1177">
        <v>1</v>
      </c>
      <c r="J1177">
        <v>1.57</v>
      </c>
      <c r="K1177" s="245">
        <v>-10.130000000000001</v>
      </c>
      <c r="L1177" s="245">
        <v>42.56</v>
      </c>
      <c r="M1177" s="245">
        <v>194.15</v>
      </c>
      <c r="N1177" s="257" t="s">
        <v>6831</v>
      </c>
    </row>
    <row r="1178" spans="1:14">
      <c r="A1178">
        <v>5516</v>
      </c>
      <c r="B1178" t="s">
        <v>6185</v>
      </c>
      <c r="C1178">
        <v>4.13</v>
      </c>
      <c r="D1178">
        <v>5</v>
      </c>
      <c r="E1178">
        <v>41</v>
      </c>
      <c r="F1178">
        <v>-2</v>
      </c>
      <c r="G1178">
        <v>43</v>
      </c>
      <c r="H1178">
        <v>8.08</v>
      </c>
      <c r="I1178">
        <v>1.5</v>
      </c>
      <c r="J1178">
        <v>2.91</v>
      </c>
      <c r="K1178" s="245">
        <v>-10.14</v>
      </c>
      <c r="L1178" s="245">
        <v>60.78</v>
      </c>
      <c r="M1178" s="245">
        <v>101.35</v>
      </c>
      <c r="N1178" s="257" t="s">
        <v>6831</v>
      </c>
    </row>
    <row r="1179" spans="1:14">
      <c r="A1179">
        <v>5519</v>
      </c>
      <c r="B1179" t="s">
        <v>5707</v>
      </c>
      <c r="C1179">
        <v>21.91</v>
      </c>
      <c r="D1179">
        <v>32</v>
      </c>
      <c r="E1179">
        <v>43</v>
      </c>
      <c r="F1179">
        <v>895</v>
      </c>
      <c r="G1179">
        <v>-45</v>
      </c>
      <c r="H1179">
        <v>15.57</v>
      </c>
      <c r="I1179">
        <v>2</v>
      </c>
      <c r="J1179">
        <v>2.73</v>
      </c>
      <c r="K1179" s="245">
        <v>-16.170000000000002</v>
      </c>
      <c r="L1179" s="245">
        <v>21.14</v>
      </c>
      <c r="M1179" s="245">
        <v>497.3</v>
      </c>
      <c r="N1179" s="257" t="s">
        <v>6830</v>
      </c>
    </row>
    <row r="1180" spans="1:14">
      <c r="A1180">
        <v>5520</v>
      </c>
      <c r="B1180" t="s">
        <v>6351</v>
      </c>
      <c r="C1180">
        <v>6.03</v>
      </c>
      <c r="D1180">
        <v>17</v>
      </c>
      <c r="E1180">
        <v>21</v>
      </c>
      <c r="F1180">
        <v>-11</v>
      </c>
      <c r="G1180">
        <v>28</v>
      </c>
      <c r="H1180">
        <v>15.34</v>
      </c>
      <c r="I1180">
        <v>3.9</v>
      </c>
      <c r="J1180">
        <v>5.56</v>
      </c>
      <c r="K1180" s="245">
        <v>-12.13</v>
      </c>
      <c r="L1180" s="245">
        <v>36.49</v>
      </c>
      <c r="M1180" s="245">
        <v>12.55</v>
      </c>
      <c r="N1180" s="257" t="s">
        <v>6831</v>
      </c>
    </row>
    <row r="1181" spans="1:14">
      <c r="A1181">
        <v>5521</v>
      </c>
      <c r="B1181" t="s">
        <v>5708</v>
      </c>
      <c r="C1181">
        <v>49.22</v>
      </c>
      <c r="D1181">
        <v>-96</v>
      </c>
      <c r="E1181">
        <v>-93</v>
      </c>
      <c r="F1181">
        <v>19</v>
      </c>
      <c r="G1181">
        <v>62</v>
      </c>
      <c r="H1181">
        <v>1.96</v>
      </c>
      <c r="I1181">
        <v>0</v>
      </c>
      <c r="J1181">
        <v>7.0000000000000007E-2</v>
      </c>
      <c r="K1181" s="245">
        <v>-30.96</v>
      </c>
      <c r="L1181" s="245">
        <v>13.31</v>
      </c>
      <c r="M1181" s="245">
        <v>696.6</v>
      </c>
      <c r="N1181" s="257" t="s">
        <v>6830</v>
      </c>
    </row>
    <row r="1182" spans="1:14">
      <c r="A1182">
        <v>5522</v>
      </c>
      <c r="B1182" t="s">
        <v>5709</v>
      </c>
      <c r="C1182">
        <v>78.150000000000006</v>
      </c>
      <c r="D1182">
        <v>58</v>
      </c>
      <c r="E1182">
        <v>60</v>
      </c>
      <c r="F1182">
        <v>-10</v>
      </c>
      <c r="G1182">
        <v>11</v>
      </c>
      <c r="H1182">
        <v>24.68</v>
      </c>
      <c r="I1182">
        <v>5.5</v>
      </c>
      <c r="J1182">
        <v>7.78</v>
      </c>
      <c r="K1182" s="245">
        <v>-7.88</v>
      </c>
      <c r="L1182" s="245">
        <v>51.14</v>
      </c>
      <c r="M1182" s="245">
        <v>547.15</v>
      </c>
      <c r="N1182" s="257" t="s">
        <v>6831</v>
      </c>
    </row>
    <row r="1183" spans="1:14">
      <c r="A1183">
        <v>5523</v>
      </c>
      <c r="B1183" t="s">
        <v>6312</v>
      </c>
      <c r="C1183">
        <v>15.5</v>
      </c>
      <c r="D1183">
        <v>2090</v>
      </c>
      <c r="E1183">
        <v>1394</v>
      </c>
      <c r="F1183">
        <v>-59</v>
      </c>
      <c r="G1183">
        <v>-98</v>
      </c>
      <c r="H1183">
        <v>22.58</v>
      </c>
      <c r="I1183">
        <v>1.8</v>
      </c>
      <c r="J1183">
        <v>5.91</v>
      </c>
      <c r="K1183" s="245">
        <v>-29.25</v>
      </c>
      <c r="L1183" s="245">
        <v>41.59</v>
      </c>
      <c r="M1183" s="245">
        <v>63.6</v>
      </c>
      <c r="N1183" s="257" t="s">
        <v>6830</v>
      </c>
    </row>
    <row r="1184" spans="1:14">
      <c r="A1184">
        <v>5525</v>
      </c>
      <c r="B1184" t="s">
        <v>5710</v>
      </c>
      <c r="C1184">
        <v>26.45</v>
      </c>
      <c r="D1184">
        <v>-228</v>
      </c>
      <c r="E1184">
        <v>-509</v>
      </c>
      <c r="F1184">
        <v>-38</v>
      </c>
      <c r="G1184">
        <v>1569</v>
      </c>
      <c r="H1184">
        <v>-9.06</v>
      </c>
      <c r="I1184">
        <v>0.3</v>
      </c>
      <c r="J1184">
        <v>-0.2</v>
      </c>
      <c r="K1184" s="245">
        <v>-16.809999999999999</v>
      </c>
      <c r="L1184" s="245">
        <v>23.93</v>
      </c>
      <c r="M1184" s="245">
        <v>63.1</v>
      </c>
      <c r="N1184" s="257" t="s">
        <v>6830</v>
      </c>
    </row>
    <row r="1185" spans="1:14">
      <c r="A1185">
        <v>5529</v>
      </c>
      <c r="B1185" t="s">
        <v>6572</v>
      </c>
      <c r="C1185">
        <v>12.4</v>
      </c>
      <c r="D1185">
        <v>12</v>
      </c>
      <c r="E1185">
        <v>-108</v>
      </c>
      <c r="F1185">
        <v>7</v>
      </c>
      <c r="G1185">
        <v>-14</v>
      </c>
      <c r="H1185">
        <v>-180.52</v>
      </c>
      <c r="I1185">
        <v>0</v>
      </c>
      <c r="J1185">
        <v>-1.03</v>
      </c>
      <c r="K1185" s="245">
        <v>-34.85</v>
      </c>
      <c r="L1185" s="245">
        <v>9.66</v>
      </c>
      <c r="M1185" s="245">
        <v>75.75</v>
      </c>
      <c r="N1185" s="257" t="s">
        <v>6830</v>
      </c>
    </row>
    <row r="1186" spans="1:14">
      <c r="A1186">
        <v>5530</v>
      </c>
      <c r="B1186" t="s">
        <v>5711</v>
      </c>
      <c r="C1186">
        <v>42</v>
      </c>
      <c r="D1186">
        <v>5</v>
      </c>
      <c r="E1186">
        <v>-19</v>
      </c>
      <c r="F1186">
        <v>-22</v>
      </c>
      <c r="G1186">
        <v>14</v>
      </c>
      <c r="H1186">
        <v>32.69</v>
      </c>
      <c r="I1186">
        <v>1.2</v>
      </c>
      <c r="J1186">
        <v>3.36</v>
      </c>
      <c r="K1186" s="245">
        <v>-12.64</v>
      </c>
      <c r="L1186" s="245">
        <v>44.71</v>
      </c>
      <c r="M1186" s="245">
        <v>2195.25</v>
      </c>
      <c r="N1186" s="257" t="s">
        <v>6830</v>
      </c>
    </row>
    <row r="1187" spans="1:14">
      <c r="A1187">
        <v>5531</v>
      </c>
      <c r="B1187" t="s">
        <v>5712</v>
      </c>
      <c r="C1187">
        <v>97.75</v>
      </c>
      <c r="D1187">
        <v>-819</v>
      </c>
      <c r="E1187">
        <v>-202</v>
      </c>
      <c r="F1187">
        <v>95</v>
      </c>
      <c r="G1187">
        <v>16</v>
      </c>
      <c r="H1187">
        <v>-12.01</v>
      </c>
      <c r="I1187">
        <v>0</v>
      </c>
      <c r="J1187">
        <v>-0.6</v>
      </c>
      <c r="K1187" s="245">
        <v>-26.88</v>
      </c>
      <c r="L1187" s="245">
        <v>15.62</v>
      </c>
      <c r="M1187" s="245">
        <v>548.70000000000005</v>
      </c>
      <c r="N1187" s="257" t="s">
        <v>6830</v>
      </c>
    </row>
    <row r="1188" spans="1:14">
      <c r="A1188">
        <v>5533</v>
      </c>
      <c r="B1188" t="s">
        <v>5713</v>
      </c>
      <c r="C1188">
        <v>28.52</v>
      </c>
      <c r="D1188">
        <v>337</v>
      </c>
      <c r="E1188">
        <v>153</v>
      </c>
      <c r="F1188">
        <v>3</v>
      </c>
      <c r="G1188">
        <v>359</v>
      </c>
      <c r="H1188">
        <v>21.05</v>
      </c>
      <c r="I1188">
        <v>1</v>
      </c>
      <c r="J1188">
        <v>3.72</v>
      </c>
      <c r="K1188" s="245">
        <v>-1.99</v>
      </c>
      <c r="L1188" s="245">
        <v>52.69</v>
      </c>
      <c r="M1188" s="245">
        <v>493.15</v>
      </c>
      <c r="N1188" s="257" t="s">
        <v>6832</v>
      </c>
    </row>
    <row r="1189" spans="1:14">
      <c r="A1189">
        <v>5534</v>
      </c>
      <c r="B1189" t="s">
        <v>5714</v>
      </c>
      <c r="C1189">
        <v>29.03</v>
      </c>
      <c r="D1189">
        <v>-51</v>
      </c>
      <c r="E1189">
        <v>-39</v>
      </c>
      <c r="F1189">
        <v>-18</v>
      </c>
      <c r="G1189">
        <v>399</v>
      </c>
      <c r="H1189">
        <v>31.3</v>
      </c>
      <c r="I1189">
        <v>4.41</v>
      </c>
      <c r="J1189">
        <v>4.41</v>
      </c>
      <c r="K1189" s="245">
        <v>-10.1</v>
      </c>
      <c r="L1189" s="245">
        <v>47.33</v>
      </c>
      <c r="M1189" s="245">
        <v>222.5</v>
      </c>
      <c r="N1189" s="257" t="s">
        <v>6830</v>
      </c>
    </row>
    <row r="1190" spans="1:14">
      <c r="A1190">
        <v>5536</v>
      </c>
      <c r="B1190" t="s">
        <v>5715</v>
      </c>
      <c r="C1190">
        <v>5.72</v>
      </c>
      <c r="D1190">
        <v>29</v>
      </c>
      <c r="E1190">
        <v>25</v>
      </c>
      <c r="F1190">
        <v>-22</v>
      </c>
      <c r="G1190">
        <v>-3</v>
      </c>
      <c r="H1190">
        <v>10.58</v>
      </c>
      <c r="I1190">
        <v>15</v>
      </c>
      <c r="J1190">
        <v>21.08</v>
      </c>
      <c r="K1190" s="245">
        <v>-18.329999999999998</v>
      </c>
      <c r="L1190" s="245">
        <v>16.52</v>
      </c>
      <c r="M1190" s="245">
        <v>95.8</v>
      </c>
      <c r="N1190" s="257" t="s">
        <v>6830</v>
      </c>
    </row>
    <row r="1191" spans="1:14">
      <c r="A1191">
        <v>5538</v>
      </c>
      <c r="B1191" t="s">
        <v>5716</v>
      </c>
      <c r="C1191">
        <v>20.12</v>
      </c>
      <c r="D1191">
        <v>192</v>
      </c>
      <c r="E1191">
        <v>183</v>
      </c>
      <c r="F1191">
        <v>-19</v>
      </c>
      <c r="G1191">
        <v>18</v>
      </c>
      <c r="H1191">
        <v>14.84</v>
      </c>
      <c r="I1191">
        <v>3.2</v>
      </c>
      <c r="J1191">
        <v>8</v>
      </c>
      <c r="K1191" s="245">
        <v>-27.39</v>
      </c>
      <c r="L1191" s="245">
        <v>10.91</v>
      </c>
      <c r="M1191" s="245">
        <v>137.25</v>
      </c>
      <c r="N1191" s="257" t="s">
        <v>6831</v>
      </c>
    </row>
    <row r="1192" spans="1:14">
      <c r="A1192">
        <v>5543</v>
      </c>
      <c r="B1192" t="s">
        <v>5717</v>
      </c>
      <c r="C1192">
        <v>3.73</v>
      </c>
      <c r="D1192">
        <v>459</v>
      </c>
      <c r="E1192">
        <v>482</v>
      </c>
      <c r="F1192">
        <v>-14</v>
      </c>
      <c r="G1192">
        <v>17</v>
      </c>
      <c r="H1192">
        <v>8.75</v>
      </c>
      <c r="I1192">
        <v>2</v>
      </c>
      <c r="J1192">
        <v>3.26</v>
      </c>
      <c r="K1192" s="245">
        <v>-18.489999999999998</v>
      </c>
      <c r="L1192" s="245">
        <v>43.08</v>
      </c>
      <c r="M1192" s="245">
        <v>10.199999999999999</v>
      </c>
      <c r="N1192" s="257" t="s">
        <v>6830</v>
      </c>
    </row>
    <row r="1193" spans="1:14">
      <c r="A1193">
        <v>5546</v>
      </c>
      <c r="B1193" t="s">
        <v>5718</v>
      </c>
      <c r="C1193">
        <v>8.23</v>
      </c>
      <c r="D1193">
        <v>-67</v>
      </c>
      <c r="E1193">
        <v>-63</v>
      </c>
      <c r="F1193">
        <v>-1</v>
      </c>
      <c r="G1193">
        <v>-9</v>
      </c>
      <c r="H1193">
        <v>5.49</v>
      </c>
      <c r="I1193">
        <v>5</v>
      </c>
      <c r="J1193">
        <v>3.18</v>
      </c>
      <c r="K1193" s="245">
        <v>-27.92</v>
      </c>
      <c r="L1193" s="245">
        <v>16.48</v>
      </c>
      <c r="M1193" s="245">
        <v>25.8</v>
      </c>
      <c r="N1193" s="257" t="s">
        <v>6830</v>
      </c>
    </row>
    <row r="1194" spans="1:14">
      <c r="A1194">
        <v>5601</v>
      </c>
      <c r="B1194" t="s">
        <v>6347</v>
      </c>
      <c r="C1194">
        <v>6.48</v>
      </c>
      <c r="D1194">
        <v>-4</v>
      </c>
      <c r="E1194">
        <v>-9</v>
      </c>
      <c r="F1194">
        <v>5</v>
      </c>
      <c r="G1194">
        <v>16</v>
      </c>
      <c r="H1194">
        <v>27.05</v>
      </c>
      <c r="I1194">
        <v>0.26</v>
      </c>
      <c r="J1194">
        <v>0.28000000000000003</v>
      </c>
      <c r="K1194" s="245">
        <v>-13.74</v>
      </c>
      <c r="L1194" s="245">
        <v>39.4</v>
      </c>
      <c r="M1194" s="245">
        <v>16.5</v>
      </c>
      <c r="N1194" s="257" t="s">
        <v>6831</v>
      </c>
    </row>
    <row r="1195" spans="1:14">
      <c r="A1195">
        <v>5603</v>
      </c>
      <c r="B1195" t="s">
        <v>5719</v>
      </c>
      <c r="C1195">
        <v>8.06</v>
      </c>
      <c r="D1195">
        <v>484</v>
      </c>
      <c r="E1195">
        <v>69</v>
      </c>
      <c r="F1195">
        <v>-28</v>
      </c>
      <c r="G1195">
        <v>1</v>
      </c>
      <c r="H1195">
        <v>4.95</v>
      </c>
      <c r="I1195">
        <v>7</v>
      </c>
      <c r="J1195">
        <v>9.1999999999999993</v>
      </c>
      <c r="K1195" s="245">
        <v>-17.93</v>
      </c>
      <c r="L1195" s="245">
        <v>67.87</v>
      </c>
      <c r="M1195" s="245">
        <v>1973.9</v>
      </c>
      <c r="N1195" s="257" t="s">
        <v>6832</v>
      </c>
    </row>
    <row r="1196" spans="1:14">
      <c r="A1196">
        <v>5604</v>
      </c>
      <c r="B1196" t="s">
        <v>6340</v>
      </c>
      <c r="C1196">
        <v>10.87</v>
      </c>
      <c r="D1196">
        <v>-23</v>
      </c>
      <c r="E1196">
        <v>39</v>
      </c>
      <c r="F1196">
        <v>0</v>
      </c>
      <c r="G1196">
        <v>13</v>
      </c>
      <c r="H1196">
        <v>65.27</v>
      </c>
      <c r="I1196">
        <v>6.1</v>
      </c>
      <c r="J1196">
        <v>6.75</v>
      </c>
      <c r="K1196" s="245">
        <v>-32.869999999999997</v>
      </c>
      <c r="L1196" s="245">
        <v>19.32</v>
      </c>
      <c r="M1196" s="245">
        <v>26</v>
      </c>
      <c r="N1196" s="257" t="s">
        <v>6830</v>
      </c>
    </row>
    <row r="1197" spans="1:14">
      <c r="A1197">
        <v>5607</v>
      </c>
      <c r="B1197" t="s">
        <v>5720</v>
      </c>
      <c r="C1197">
        <v>25.49</v>
      </c>
      <c r="D1197">
        <v>24</v>
      </c>
      <c r="E1197">
        <v>53</v>
      </c>
      <c r="F1197">
        <v>-5</v>
      </c>
      <c r="G1197">
        <v>47</v>
      </c>
      <c r="H1197">
        <v>40.79</v>
      </c>
      <c r="I1197">
        <v>1.6</v>
      </c>
      <c r="J1197">
        <v>2.48</v>
      </c>
      <c r="K1197" s="245">
        <v>-30.12</v>
      </c>
      <c r="L1197" s="245">
        <v>20.6</v>
      </c>
      <c r="M1197" s="245">
        <v>669.4</v>
      </c>
      <c r="N1197" s="257" t="s">
        <v>6831</v>
      </c>
    </row>
    <row r="1198" spans="1:14">
      <c r="A1198">
        <v>5608</v>
      </c>
      <c r="B1198" t="s">
        <v>5721</v>
      </c>
      <c r="C1198">
        <v>32.92</v>
      </c>
      <c r="D1198">
        <v>289</v>
      </c>
      <c r="E1198">
        <v>430</v>
      </c>
      <c r="F1198">
        <v>3</v>
      </c>
      <c r="G1198">
        <v>76</v>
      </c>
      <c r="H1198">
        <v>41.05</v>
      </c>
      <c r="I1198">
        <v>2</v>
      </c>
      <c r="J1198">
        <v>7.16</v>
      </c>
      <c r="K1198" s="245">
        <v>-42.79</v>
      </c>
      <c r="L1198" s="245">
        <v>36.33</v>
      </c>
      <c r="M1198" s="245">
        <v>22968.35</v>
      </c>
      <c r="N1198" s="257" t="s">
        <v>6830</v>
      </c>
    </row>
    <row r="1199" spans="1:14">
      <c r="A1199">
        <v>5609</v>
      </c>
      <c r="B1199" t="s">
        <v>5722</v>
      </c>
      <c r="C1199">
        <v>13.6</v>
      </c>
      <c r="D1199">
        <v>114</v>
      </c>
      <c r="E1199">
        <v>120</v>
      </c>
      <c r="F1199">
        <v>-5</v>
      </c>
      <c r="G1199">
        <v>53</v>
      </c>
      <c r="H1199">
        <v>6.9</v>
      </c>
      <c r="I1199">
        <v>10.199999999999999</v>
      </c>
      <c r="J1199">
        <v>16.98</v>
      </c>
      <c r="K1199" s="245">
        <v>-32.81</v>
      </c>
      <c r="L1199" s="245">
        <v>58.81</v>
      </c>
      <c r="M1199" s="245">
        <v>1589.9</v>
      </c>
      <c r="N1199" s="257" t="s">
        <v>6831</v>
      </c>
    </row>
    <row r="1200" spans="1:14">
      <c r="A1200">
        <v>5701</v>
      </c>
      <c r="B1200" t="s">
        <v>6573</v>
      </c>
      <c r="C1200">
        <v>29.67</v>
      </c>
      <c r="D1200">
        <v>-20</v>
      </c>
      <c r="E1200">
        <v>-95</v>
      </c>
      <c r="F1200">
        <v>-51</v>
      </c>
      <c r="G1200">
        <v>-42</v>
      </c>
      <c r="H1200">
        <v>-48.98</v>
      </c>
      <c r="I1200">
        <v>0</v>
      </c>
      <c r="J1200">
        <v>-0.65</v>
      </c>
      <c r="K1200" s="245">
        <v>-38.17</v>
      </c>
      <c r="L1200" s="245">
        <v>26.51</v>
      </c>
      <c r="M1200" s="245">
        <v>156.69999999999999</v>
      </c>
      <c r="N1200" s="257" t="s">
        <v>6830</v>
      </c>
    </row>
    <row r="1201" spans="1:14">
      <c r="A1201">
        <v>5703</v>
      </c>
      <c r="B1201" t="s">
        <v>6574</v>
      </c>
      <c r="C1201">
        <v>7.02</v>
      </c>
      <c r="D1201">
        <v>25</v>
      </c>
      <c r="E1201">
        <v>-29</v>
      </c>
      <c r="F1201">
        <v>-31</v>
      </c>
      <c r="G1201">
        <v>-40</v>
      </c>
      <c r="H1201">
        <v>-64.84</v>
      </c>
      <c r="I1201">
        <v>0</v>
      </c>
      <c r="J1201">
        <v>-1.77</v>
      </c>
      <c r="K1201" s="245">
        <v>-31.29</v>
      </c>
      <c r="L1201" s="245">
        <v>45.74</v>
      </c>
      <c r="M1201" s="245">
        <v>3.7</v>
      </c>
      <c r="N1201" s="257" t="s">
        <v>6830</v>
      </c>
    </row>
    <row r="1202" spans="1:14">
      <c r="A1202">
        <v>5704</v>
      </c>
      <c r="B1202" t="s">
        <v>6248</v>
      </c>
      <c r="C1202">
        <v>3.88</v>
      </c>
      <c r="D1202">
        <v>-37</v>
      </c>
      <c r="E1202">
        <v>-42</v>
      </c>
      <c r="F1202">
        <v>-14</v>
      </c>
      <c r="G1202">
        <v>-6</v>
      </c>
      <c r="H1202">
        <v>14.13</v>
      </c>
      <c r="I1202">
        <v>1.38</v>
      </c>
      <c r="J1202">
        <v>1.51</v>
      </c>
      <c r="K1202" s="245">
        <v>-16.850000000000001</v>
      </c>
      <c r="L1202" s="245">
        <v>51.12</v>
      </c>
      <c r="M1202" s="245">
        <v>8.6</v>
      </c>
      <c r="N1202" s="257" t="s">
        <v>6830</v>
      </c>
    </row>
    <row r="1203" spans="1:14">
      <c r="A1203">
        <v>5706</v>
      </c>
      <c r="B1203" t="s">
        <v>5723</v>
      </c>
      <c r="C1203">
        <v>6.71</v>
      </c>
      <c r="D1203">
        <v>518</v>
      </c>
      <c r="E1203">
        <v>-106</v>
      </c>
      <c r="F1203">
        <v>38</v>
      </c>
      <c r="G1203">
        <v>-1</v>
      </c>
      <c r="H1203">
        <v>-44.05</v>
      </c>
      <c r="I1203">
        <v>2</v>
      </c>
      <c r="J1203">
        <v>1.17</v>
      </c>
      <c r="K1203" s="245">
        <v>-20.49</v>
      </c>
      <c r="L1203" s="245">
        <v>40.9</v>
      </c>
      <c r="M1203" s="245">
        <v>6225.95</v>
      </c>
      <c r="N1203" s="257" t="s">
        <v>6831</v>
      </c>
    </row>
    <row r="1204" spans="1:14">
      <c r="A1204">
        <v>5820</v>
      </c>
      <c r="B1204" t="s">
        <v>5724</v>
      </c>
      <c r="C1204">
        <v>383</v>
      </c>
      <c r="D1204">
        <v>40</v>
      </c>
      <c r="E1204">
        <v>0</v>
      </c>
      <c r="F1204">
        <v>-23</v>
      </c>
      <c r="G1204">
        <v>-33</v>
      </c>
      <c r="H1204">
        <v>0</v>
      </c>
      <c r="I1204">
        <v>0.7</v>
      </c>
      <c r="J1204">
        <v>1.06</v>
      </c>
      <c r="K1204" s="245">
        <v>-5</v>
      </c>
      <c r="L1204" s="245">
        <v>20.170000000000002</v>
      </c>
      <c r="M1204" s="245">
        <v>427.7</v>
      </c>
      <c r="N1204" s="257" t="s">
        <v>6830</v>
      </c>
    </row>
    <row r="1205" spans="1:14">
      <c r="A1205">
        <v>5864</v>
      </c>
      <c r="B1205" t="s">
        <v>5725</v>
      </c>
      <c r="C1205">
        <v>25.17</v>
      </c>
      <c r="D1205">
        <v>49</v>
      </c>
      <c r="E1205">
        <v>53</v>
      </c>
      <c r="F1205">
        <v>-223</v>
      </c>
      <c r="G1205">
        <v>-126</v>
      </c>
      <c r="H1205">
        <v>67.22</v>
      </c>
      <c r="I1205">
        <v>1.2</v>
      </c>
      <c r="J1205">
        <v>2.79</v>
      </c>
      <c r="K1205" s="245">
        <v>-39.56</v>
      </c>
      <c r="L1205" s="245">
        <v>23</v>
      </c>
      <c r="M1205" s="245">
        <v>242</v>
      </c>
      <c r="N1205" s="257" t="s">
        <v>6830</v>
      </c>
    </row>
    <row r="1206" spans="1:14">
      <c r="A1206">
        <v>5871</v>
      </c>
      <c r="B1206" t="s">
        <v>5726</v>
      </c>
      <c r="C1206">
        <v>145</v>
      </c>
      <c r="D1206">
        <v>29</v>
      </c>
      <c r="E1206">
        <v>41</v>
      </c>
      <c r="F1206">
        <v>-5</v>
      </c>
      <c r="G1206">
        <v>19</v>
      </c>
      <c r="H1206">
        <v>46.4</v>
      </c>
      <c r="I1206">
        <v>6.5</v>
      </c>
      <c r="J1206">
        <v>14.8</v>
      </c>
      <c r="K1206" s="245">
        <v>-31.92</v>
      </c>
      <c r="L1206" s="245">
        <v>19.34</v>
      </c>
      <c r="M1206" s="245">
        <v>4697</v>
      </c>
      <c r="N1206" s="257" t="s">
        <v>6830</v>
      </c>
    </row>
    <row r="1207" spans="1:14">
      <c r="A1207">
        <v>5876</v>
      </c>
      <c r="B1207" t="s">
        <v>5727</v>
      </c>
      <c r="C1207">
        <v>448</v>
      </c>
      <c r="D1207">
        <v>4</v>
      </c>
      <c r="E1207">
        <v>0</v>
      </c>
      <c r="F1207">
        <v>-14</v>
      </c>
      <c r="G1207">
        <v>14</v>
      </c>
      <c r="H1207">
        <v>0</v>
      </c>
      <c r="I1207">
        <v>1.8</v>
      </c>
      <c r="J1207">
        <v>3.19</v>
      </c>
      <c r="K1207" s="245">
        <v>-9.31</v>
      </c>
      <c r="L1207" s="245">
        <v>38.75</v>
      </c>
      <c r="M1207" s="245">
        <v>3382.55</v>
      </c>
      <c r="N1207" s="257" t="s">
        <v>6831</v>
      </c>
    </row>
    <row r="1208" spans="1:14">
      <c r="A1208">
        <v>5878</v>
      </c>
      <c r="B1208" t="s">
        <v>6575</v>
      </c>
      <c r="C1208">
        <v>2.5</v>
      </c>
      <c r="D1208">
        <v>-14</v>
      </c>
      <c r="E1208">
        <v>-17</v>
      </c>
      <c r="F1208">
        <v>13</v>
      </c>
      <c r="G1208">
        <v>2</v>
      </c>
      <c r="H1208">
        <v>10.48</v>
      </c>
      <c r="I1208">
        <v>3</v>
      </c>
      <c r="J1208">
        <v>2.98</v>
      </c>
      <c r="K1208" s="245">
        <v>-1.81</v>
      </c>
      <c r="L1208" s="245">
        <v>68.430000000000007</v>
      </c>
      <c r="M1208" s="245">
        <v>6.05</v>
      </c>
      <c r="N1208" s="257" t="s">
        <v>6832</v>
      </c>
    </row>
    <row r="1209" spans="1:14">
      <c r="A1209">
        <v>5880</v>
      </c>
      <c r="B1209" t="s">
        <v>5728</v>
      </c>
      <c r="C1209">
        <v>1360</v>
      </c>
      <c r="D1209">
        <v>23</v>
      </c>
      <c r="E1209">
        <v>0</v>
      </c>
      <c r="F1209">
        <v>-13</v>
      </c>
      <c r="G1209">
        <v>-25</v>
      </c>
      <c r="H1209">
        <v>0</v>
      </c>
      <c r="I1209">
        <v>1.3</v>
      </c>
      <c r="J1209">
        <v>1.51</v>
      </c>
      <c r="K1209" s="245">
        <v>-18.57</v>
      </c>
      <c r="L1209" s="245">
        <v>27.4</v>
      </c>
      <c r="M1209" s="245">
        <v>17001</v>
      </c>
      <c r="N1209" s="257" t="s">
        <v>6831</v>
      </c>
    </row>
    <row r="1210" spans="1:14">
      <c r="A1210">
        <v>5902</v>
      </c>
      <c r="B1210" t="s">
        <v>5729</v>
      </c>
      <c r="C1210">
        <v>9.4499999999999993</v>
      </c>
      <c r="D1210">
        <v>14</v>
      </c>
      <c r="E1210">
        <v>20</v>
      </c>
      <c r="F1210">
        <v>-18</v>
      </c>
      <c r="G1210">
        <v>28</v>
      </c>
      <c r="H1210">
        <v>10.119999999999999</v>
      </c>
      <c r="I1210">
        <v>1.2</v>
      </c>
      <c r="J1210">
        <v>1.57</v>
      </c>
      <c r="K1210" s="245">
        <v>-9.0299999999999994</v>
      </c>
      <c r="L1210" s="245">
        <v>58.58</v>
      </c>
      <c r="M1210" s="245">
        <v>118.95</v>
      </c>
      <c r="N1210" s="257" t="s">
        <v>6831</v>
      </c>
    </row>
    <row r="1211" spans="1:14">
      <c r="A1211">
        <v>5903</v>
      </c>
      <c r="B1211" t="s">
        <v>5730</v>
      </c>
      <c r="C1211">
        <v>22.32</v>
      </c>
      <c r="D1211">
        <v>-37</v>
      </c>
      <c r="E1211">
        <v>-40</v>
      </c>
      <c r="F1211">
        <v>-1</v>
      </c>
      <c r="G1211">
        <v>3</v>
      </c>
      <c r="H1211">
        <v>1.99</v>
      </c>
      <c r="I1211">
        <v>4.7</v>
      </c>
      <c r="J1211">
        <v>6.02</v>
      </c>
      <c r="K1211" s="245">
        <v>-32.9</v>
      </c>
      <c r="L1211" s="245">
        <v>8.31</v>
      </c>
      <c r="M1211" s="245">
        <v>77.3</v>
      </c>
      <c r="N1211" s="257" t="s">
        <v>6830</v>
      </c>
    </row>
    <row r="1212" spans="1:14">
      <c r="A1212">
        <v>5904</v>
      </c>
      <c r="B1212" t="s">
        <v>5731</v>
      </c>
      <c r="C1212">
        <v>10.08</v>
      </c>
      <c r="D1212">
        <v>-12</v>
      </c>
      <c r="E1212">
        <v>-12</v>
      </c>
      <c r="F1212">
        <v>2</v>
      </c>
      <c r="G1212">
        <v>3</v>
      </c>
      <c r="H1212">
        <v>13.3</v>
      </c>
      <c r="I1212">
        <v>11.1</v>
      </c>
      <c r="J1212">
        <v>18.25</v>
      </c>
      <c r="K1212" s="245">
        <v>-53.82</v>
      </c>
      <c r="L1212" s="245">
        <v>8.08</v>
      </c>
      <c r="M1212" s="245">
        <v>196.1</v>
      </c>
      <c r="N1212" s="257" t="s">
        <v>6830</v>
      </c>
    </row>
    <row r="1213" spans="1:14">
      <c r="A1213">
        <v>5905</v>
      </c>
      <c r="B1213" t="s">
        <v>5732</v>
      </c>
      <c r="C1213">
        <v>18.98</v>
      </c>
      <c r="D1213">
        <v>-371</v>
      </c>
      <c r="E1213">
        <v>-2400</v>
      </c>
      <c r="F1213">
        <v>-28</v>
      </c>
      <c r="G1213">
        <v>-27</v>
      </c>
      <c r="H1213">
        <v>-31.84</v>
      </c>
      <c r="I1213">
        <v>0</v>
      </c>
      <c r="J1213">
        <v>-0.77</v>
      </c>
      <c r="K1213" s="245">
        <v>-42.58</v>
      </c>
      <c r="L1213" s="245">
        <v>14.6</v>
      </c>
      <c r="M1213" s="245">
        <v>381.6</v>
      </c>
      <c r="N1213" s="257" t="s">
        <v>6830</v>
      </c>
    </row>
    <row r="1214" spans="1:14">
      <c r="A1214">
        <v>5906</v>
      </c>
      <c r="B1214" t="s">
        <v>5733</v>
      </c>
      <c r="C1214">
        <v>3.24</v>
      </c>
      <c r="D1214">
        <v>45</v>
      </c>
      <c r="E1214">
        <v>30</v>
      </c>
      <c r="F1214">
        <v>-14</v>
      </c>
      <c r="G1214">
        <v>-9</v>
      </c>
      <c r="H1214">
        <v>8.42</v>
      </c>
      <c r="I1214">
        <v>1.7</v>
      </c>
      <c r="J1214">
        <v>3.23</v>
      </c>
      <c r="K1214" s="245">
        <v>-20.05</v>
      </c>
      <c r="L1214" s="245">
        <v>23.83</v>
      </c>
      <c r="M1214" s="245">
        <v>7.15</v>
      </c>
      <c r="N1214" s="257" t="s">
        <v>6830</v>
      </c>
    </row>
    <row r="1215" spans="1:14">
      <c r="A1215">
        <v>5907</v>
      </c>
      <c r="B1215" t="s">
        <v>5734</v>
      </c>
      <c r="C1215">
        <v>19.55</v>
      </c>
      <c r="D1215">
        <v>-124</v>
      </c>
      <c r="E1215">
        <v>73</v>
      </c>
      <c r="F1215">
        <v>-19</v>
      </c>
      <c r="G1215">
        <v>-20</v>
      </c>
      <c r="H1215">
        <v>8.31</v>
      </c>
      <c r="I1215">
        <v>0</v>
      </c>
      <c r="J1215">
        <v>-1.19</v>
      </c>
      <c r="K1215" s="245">
        <v>-40.57</v>
      </c>
      <c r="L1215" s="245">
        <v>12.37</v>
      </c>
      <c r="M1215" s="245">
        <v>73.8</v>
      </c>
      <c r="N1215" s="257" t="s">
        <v>6830</v>
      </c>
    </row>
    <row r="1216" spans="1:14">
      <c r="A1216">
        <v>6005</v>
      </c>
      <c r="B1216" t="s">
        <v>5735</v>
      </c>
      <c r="C1216">
        <v>217</v>
      </c>
      <c r="D1216">
        <v>42</v>
      </c>
      <c r="E1216">
        <v>63</v>
      </c>
      <c r="F1216">
        <v>-53</v>
      </c>
      <c r="G1216">
        <v>-67</v>
      </c>
      <c r="H1216">
        <v>40.06</v>
      </c>
      <c r="I1216">
        <v>1.65</v>
      </c>
      <c r="J1216">
        <v>2.42</v>
      </c>
      <c r="K1216" s="245">
        <v>-21.01</v>
      </c>
      <c r="L1216" s="245">
        <v>27.6</v>
      </c>
      <c r="M1216" s="245">
        <v>4101.45</v>
      </c>
      <c r="N1216" s="257" t="s">
        <v>6830</v>
      </c>
    </row>
    <row r="1217" spans="1:14">
      <c r="A1217">
        <v>6015</v>
      </c>
      <c r="B1217" t="s">
        <v>5736</v>
      </c>
      <c r="C1217">
        <v>33.130000000000003</v>
      </c>
      <c r="D1217">
        <v>198</v>
      </c>
      <c r="E1217">
        <v>276</v>
      </c>
      <c r="F1217">
        <v>-33</v>
      </c>
      <c r="G1217">
        <v>-88</v>
      </c>
      <c r="H1217">
        <v>46</v>
      </c>
      <c r="I1217">
        <v>2.4</v>
      </c>
      <c r="J1217">
        <v>3.74</v>
      </c>
      <c r="K1217" s="245">
        <v>-45.52</v>
      </c>
      <c r="L1217" s="245">
        <v>35.71</v>
      </c>
      <c r="M1217" s="245">
        <v>1998.15</v>
      </c>
      <c r="N1217" s="257" t="s">
        <v>6830</v>
      </c>
    </row>
    <row r="1218" spans="1:14">
      <c r="A1218">
        <v>6016</v>
      </c>
      <c r="B1218" t="s">
        <v>5737</v>
      </c>
      <c r="C1218">
        <v>59.44</v>
      </c>
      <c r="D1218">
        <v>27</v>
      </c>
      <c r="E1218">
        <v>50</v>
      </c>
      <c r="F1218">
        <v>-62</v>
      </c>
      <c r="G1218">
        <v>-81</v>
      </c>
      <c r="H1218">
        <v>34.200000000000003</v>
      </c>
      <c r="I1218">
        <v>1.55</v>
      </c>
      <c r="J1218">
        <v>2.33</v>
      </c>
      <c r="K1218" s="245">
        <v>-28.61</v>
      </c>
      <c r="L1218" s="245">
        <v>26.64</v>
      </c>
      <c r="M1218" s="245">
        <v>1603.8</v>
      </c>
      <c r="N1218" s="257" t="s">
        <v>6830</v>
      </c>
    </row>
    <row r="1219" spans="1:14">
      <c r="A1219">
        <v>6020</v>
      </c>
      <c r="B1219" t="s">
        <v>6186</v>
      </c>
      <c r="C1219">
        <v>25.23</v>
      </c>
      <c r="D1219">
        <v>229</v>
      </c>
      <c r="E1219">
        <v>290</v>
      </c>
      <c r="F1219">
        <v>-365</v>
      </c>
      <c r="G1219">
        <v>-149</v>
      </c>
      <c r="H1219">
        <v>73.42</v>
      </c>
      <c r="I1219">
        <v>2.38</v>
      </c>
      <c r="J1219">
        <v>3.4</v>
      </c>
      <c r="K1219" s="245">
        <v>-21.47</v>
      </c>
      <c r="L1219" s="245">
        <v>11.78</v>
      </c>
      <c r="M1219" s="245">
        <v>51.05</v>
      </c>
      <c r="N1219" s="257" t="s">
        <v>6830</v>
      </c>
    </row>
    <row r="1220" spans="1:14">
      <c r="A1220">
        <v>6021</v>
      </c>
      <c r="B1220" t="s">
        <v>6247</v>
      </c>
      <c r="C1220">
        <v>30.98</v>
      </c>
      <c r="D1220">
        <v>203</v>
      </c>
      <c r="E1220">
        <v>320</v>
      </c>
      <c r="F1220">
        <v>37</v>
      </c>
      <c r="G1220">
        <v>0</v>
      </c>
      <c r="H1220">
        <v>23.84</v>
      </c>
      <c r="I1220">
        <v>0</v>
      </c>
      <c r="J1220">
        <v>1.05</v>
      </c>
      <c r="K1220" s="245">
        <v>-11.35</v>
      </c>
      <c r="L1220" s="245">
        <v>63.61</v>
      </c>
      <c r="M1220" s="245">
        <v>36.35</v>
      </c>
      <c r="N1220" s="257" t="s">
        <v>6831</v>
      </c>
    </row>
    <row r="1221" spans="1:14">
      <c r="A1221">
        <v>6023</v>
      </c>
      <c r="B1221" t="s">
        <v>6187</v>
      </c>
      <c r="C1221">
        <v>28.99</v>
      </c>
      <c r="D1221">
        <v>-19</v>
      </c>
      <c r="E1221">
        <v>-2</v>
      </c>
      <c r="F1221">
        <v>-23</v>
      </c>
      <c r="G1221">
        <v>5</v>
      </c>
      <c r="H1221">
        <v>11.88</v>
      </c>
      <c r="I1221">
        <v>2.2999999999999998</v>
      </c>
      <c r="J1221">
        <v>2.97</v>
      </c>
      <c r="K1221" s="245">
        <v>-7.84</v>
      </c>
      <c r="L1221" s="245">
        <v>18.809999999999999</v>
      </c>
      <c r="M1221" s="245">
        <v>82.6</v>
      </c>
      <c r="N1221" s="257" t="s">
        <v>6830</v>
      </c>
    </row>
    <row r="1222" spans="1:14">
      <c r="A1222">
        <v>6024</v>
      </c>
      <c r="B1222" t="s">
        <v>5738</v>
      </c>
      <c r="C1222">
        <v>21.04</v>
      </c>
      <c r="D1222">
        <v>-21</v>
      </c>
      <c r="E1222">
        <v>13</v>
      </c>
      <c r="F1222">
        <v>-24</v>
      </c>
      <c r="G1222">
        <v>-2</v>
      </c>
      <c r="H1222">
        <v>17.23</v>
      </c>
      <c r="I1222">
        <v>1.6</v>
      </c>
      <c r="J1222">
        <v>2.33</v>
      </c>
      <c r="K1222" s="245">
        <v>-12.67</v>
      </c>
      <c r="L1222" s="245">
        <v>20.57</v>
      </c>
      <c r="M1222" s="245">
        <v>150.9</v>
      </c>
      <c r="N1222" s="257" t="s">
        <v>6830</v>
      </c>
    </row>
    <row r="1223" spans="1:14">
      <c r="A1223">
        <v>6026</v>
      </c>
      <c r="B1223" t="s">
        <v>5739</v>
      </c>
      <c r="C1223">
        <v>30.01</v>
      </c>
      <c r="D1223">
        <v>441</v>
      </c>
      <c r="E1223">
        <v>453</v>
      </c>
      <c r="F1223">
        <v>-416</v>
      </c>
      <c r="G1223">
        <v>-175</v>
      </c>
      <c r="H1223">
        <v>70.92</v>
      </c>
      <c r="I1223">
        <v>3.28</v>
      </c>
      <c r="J1223">
        <v>5</v>
      </c>
      <c r="K1223" s="245">
        <v>-33.96</v>
      </c>
      <c r="L1223" s="245">
        <v>12.3</v>
      </c>
      <c r="M1223" s="245">
        <v>3542.15</v>
      </c>
      <c r="N1223" s="257" t="s">
        <v>6830</v>
      </c>
    </row>
    <row r="1224" spans="1:14">
      <c r="A1224">
        <v>6101</v>
      </c>
      <c r="B1224" t="s">
        <v>6576</v>
      </c>
      <c r="C1224">
        <v>11.64</v>
      </c>
      <c r="D1224">
        <v>36</v>
      </c>
      <c r="E1224">
        <v>-88</v>
      </c>
      <c r="F1224">
        <v>28</v>
      </c>
      <c r="G1224">
        <v>710</v>
      </c>
      <c r="H1224">
        <v>-315.7</v>
      </c>
      <c r="I1224">
        <v>0</v>
      </c>
      <c r="J1224">
        <v>-0.63</v>
      </c>
      <c r="K1224" s="245">
        <v>-6.46</v>
      </c>
      <c r="L1224" s="245">
        <v>79.099999999999994</v>
      </c>
      <c r="M1224" s="245">
        <v>15</v>
      </c>
      <c r="N1224" s="257" t="s">
        <v>6832</v>
      </c>
    </row>
    <row r="1225" spans="1:14">
      <c r="A1225">
        <v>6103</v>
      </c>
      <c r="B1225" t="s">
        <v>6577</v>
      </c>
      <c r="C1225">
        <v>8.94</v>
      </c>
      <c r="D1225">
        <v>97</v>
      </c>
      <c r="E1225">
        <v>90</v>
      </c>
      <c r="F1225">
        <v>18</v>
      </c>
      <c r="G1225">
        <v>131</v>
      </c>
      <c r="H1225">
        <v>-51.09</v>
      </c>
      <c r="I1225">
        <v>0</v>
      </c>
      <c r="J1225">
        <v>-0.04</v>
      </c>
      <c r="K1225" s="245">
        <v>-45</v>
      </c>
      <c r="L1225" s="245">
        <v>4.83</v>
      </c>
      <c r="M1225" s="245">
        <v>3.5</v>
      </c>
      <c r="N1225" s="257" t="s">
        <v>6830</v>
      </c>
    </row>
    <row r="1226" spans="1:14">
      <c r="A1226">
        <v>6104</v>
      </c>
      <c r="B1226" t="s">
        <v>5740</v>
      </c>
      <c r="C1226">
        <v>9.02</v>
      </c>
      <c r="D1226">
        <v>73</v>
      </c>
      <c r="E1226">
        <v>79</v>
      </c>
      <c r="F1226">
        <v>-20</v>
      </c>
      <c r="G1226">
        <v>29</v>
      </c>
      <c r="H1226">
        <v>21.07</v>
      </c>
      <c r="I1226">
        <v>4.5</v>
      </c>
      <c r="J1226">
        <v>6.41</v>
      </c>
      <c r="K1226" s="245">
        <v>-41.23</v>
      </c>
      <c r="L1226" s="245">
        <v>13.47</v>
      </c>
      <c r="M1226" s="245">
        <v>19038.400000000001</v>
      </c>
      <c r="N1226" s="257" t="s">
        <v>6831</v>
      </c>
    </row>
    <row r="1227" spans="1:14">
      <c r="A1227">
        <v>6108</v>
      </c>
      <c r="B1227" t="s">
        <v>5741</v>
      </c>
      <c r="C1227">
        <v>15.98</v>
      </c>
      <c r="D1227">
        <v>389</v>
      </c>
      <c r="E1227">
        <v>104</v>
      </c>
      <c r="F1227">
        <v>-45</v>
      </c>
      <c r="G1227">
        <v>-49</v>
      </c>
      <c r="H1227">
        <v>5.23</v>
      </c>
      <c r="I1227">
        <v>1.05</v>
      </c>
      <c r="J1227">
        <v>1.5</v>
      </c>
      <c r="K1227" s="245">
        <v>-28.46</v>
      </c>
      <c r="L1227" s="245">
        <v>19.61</v>
      </c>
      <c r="M1227" s="245">
        <v>240.5</v>
      </c>
      <c r="N1227" s="257" t="s">
        <v>6830</v>
      </c>
    </row>
    <row r="1228" spans="1:14">
      <c r="A1228">
        <v>6109</v>
      </c>
      <c r="B1228" t="s">
        <v>6578</v>
      </c>
      <c r="C1228">
        <v>5.94</v>
      </c>
      <c r="D1228">
        <v>-840</v>
      </c>
      <c r="E1228">
        <v>-307</v>
      </c>
      <c r="F1228">
        <v>-24</v>
      </c>
      <c r="G1228">
        <v>-8</v>
      </c>
      <c r="H1228">
        <v>-5.03</v>
      </c>
      <c r="I1228">
        <v>0</v>
      </c>
      <c r="J1228">
        <v>-1.39</v>
      </c>
      <c r="K1228" s="245">
        <v>-29.89</v>
      </c>
      <c r="L1228" s="245">
        <v>57.38</v>
      </c>
      <c r="M1228" s="245">
        <v>128.85</v>
      </c>
      <c r="N1228" s="257" t="s">
        <v>6830</v>
      </c>
    </row>
    <row r="1229" spans="1:14">
      <c r="A1229">
        <v>6111</v>
      </c>
      <c r="B1229" t="s">
        <v>5742</v>
      </c>
      <c r="C1229">
        <v>6.55</v>
      </c>
      <c r="D1229">
        <v>1228</v>
      </c>
      <c r="E1229">
        <v>-83</v>
      </c>
      <c r="F1229">
        <v>104</v>
      </c>
      <c r="G1229">
        <v>316</v>
      </c>
      <c r="H1229">
        <v>4.1900000000000004</v>
      </c>
      <c r="I1229">
        <v>6</v>
      </c>
      <c r="J1229">
        <v>11.36</v>
      </c>
      <c r="K1229" s="245">
        <v>-28.53</v>
      </c>
      <c r="L1229" s="245">
        <v>19.75</v>
      </c>
      <c r="M1229" s="245">
        <v>551</v>
      </c>
      <c r="N1229" s="257" t="s">
        <v>6831</v>
      </c>
    </row>
    <row r="1230" spans="1:14">
      <c r="A1230">
        <v>6112</v>
      </c>
      <c r="B1230" t="s">
        <v>5743</v>
      </c>
      <c r="C1230">
        <v>18.829999999999998</v>
      </c>
      <c r="D1230">
        <v>6</v>
      </c>
      <c r="E1230">
        <v>-27</v>
      </c>
      <c r="F1230">
        <v>-5</v>
      </c>
      <c r="G1230">
        <v>6</v>
      </c>
      <c r="H1230">
        <v>4.07</v>
      </c>
      <c r="I1230">
        <v>2.5</v>
      </c>
      <c r="J1230">
        <v>3.07</v>
      </c>
      <c r="K1230" s="245">
        <v>-20.32</v>
      </c>
      <c r="L1230" s="245">
        <v>18.48</v>
      </c>
      <c r="M1230" s="245">
        <v>162.5</v>
      </c>
      <c r="N1230" s="257" t="s">
        <v>6830</v>
      </c>
    </row>
    <row r="1231" spans="1:14">
      <c r="A1231">
        <v>6113</v>
      </c>
      <c r="B1231" t="s">
        <v>6320</v>
      </c>
      <c r="C1231">
        <v>5</v>
      </c>
      <c r="D1231">
        <v>412</v>
      </c>
      <c r="E1231">
        <v>180</v>
      </c>
      <c r="F1231">
        <v>23</v>
      </c>
      <c r="G1231">
        <v>76</v>
      </c>
      <c r="H1231">
        <v>0.88</v>
      </c>
      <c r="I1231">
        <v>0</v>
      </c>
      <c r="J1231">
        <v>0.85</v>
      </c>
      <c r="K1231" s="245">
        <v>-4.37</v>
      </c>
      <c r="L1231" s="245">
        <v>76.69</v>
      </c>
      <c r="M1231" s="245">
        <v>3384.9</v>
      </c>
      <c r="N1231" s="257" t="s">
        <v>6832</v>
      </c>
    </row>
    <row r="1232" spans="1:14">
      <c r="A1232">
        <v>6114</v>
      </c>
      <c r="B1232" t="s">
        <v>5744</v>
      </c>
      <c r="C1232">
        <v>4.3899999999999997</v>
      </c>
      <c r="D1232">
        <v>-37</v>
      </c>
      <c r="E1232">
        <v>-36</v>
      </c>
      <c r="F1232">
        <v>-39</v>
      </c>
      <c r="G1232">
        <v>-37</v>
      </c>
      <c r="H1232">
        <v>3.63</v>
      </c>
      <c r="I1232">
        <v>0.5</v>
      </c>
      <c r="J1232">
        <v>0.33</v>
      </c>
      <c r="K1232" s="245">
        <v>-22.36</v>
      </c>
      <c r="L1232" s="245">
        <v>38.880000000000003</v>
      </c>
      <c r="M1232" s="245">
        <v>30.75</v>
      </c>
      <c r="N1232" s="257" t="s">
        <v>6830</v>
      </c>
    </row>
    <row r="1233" spans="1:14">
      <c r="A1233">
        <v>6115</v>
      </c>
      <c r="B1233" t="s">
        <v>5745</v>
      </c>
      <c r="C1233">
        <v>18.760000000000002</v>
      </c>
      <c r="D1233">
        <v>4</v>
      </c>
      <c r="E1233">
        <v>-19</v>
      </c>
      <c r="F1233">
        <v>-22</v>
      </c>
      <c r="G1233">
        <v>-12</v>
      </c>
      <c r="H1233">
        <v>8.81</v>
      </c>
      <c r="I1233">
        <v>2.8</v>
      </c>
      <c r="J1233">
        <v>2.7</v>
      </c>
      <c r="K1233" s="245">
        <v>-7.93</v>
      </c>
      <c r="L1233" s="245">
        <v>20.260000000000002</v>
      </c>
      <c r="M1233" s="245">
        <v>85.4</v>
      </c>
      <c r="N1233" s="257" t="s">
        <v>6830</v>
      </c>
    </row>
    <row r="1234" spans="1:14">
      <c r="A1234">
        <v>6116</v>
      </c>
      <c r="B1234" t="s">
        <v>5746</v>
      </c>
      <c r="C1234">
        <v>302</v>
      </c>
      <c r="D1234">
        <v>116</v>
      </c>
      <c r="E1234">
        <v>153</v>
      </c>
      <c r="F1234">
        <v>-20</v>
      </c>
      <c r="G1234">
        <v>-49</v>
      </c>
      <c r="H1234">
        <v>25.11</v>
      </c>
      <c r="I1234">
        <v>1</v>
      </c>
      <c r="J1234">
        <v>2.75</v>
      </c>
      <c r="K1234" s="245">
        <v>-48.23</v>
      </c>
      <c r="L1234" s="245">
        <v>9.27</v>
      </c>
      <c r="M1234" s="245">
        <v>14698.25</v>
      </c>
      <c r="N1234" s="257" t="s">
        <v>6830</v>
      </c>
    </row>
    <row r="1235" spans="1:14">
      <c r="A1235">
        <v>6117</v>
      </c>
      <c r="B1235" t="s">
        <v>5747</v>
      </c>
      <c r="C1235">
        <v>8.86</v>
      </c>
      <c r="D1235">
        <v>-9</v>
      </c>
      <c r="E1235">
        <v>-18</v>
      </c>
      <c r="F1235">
        <v>-12</v>
      </c>
      <c r="G1235">
        <v>15</v>
      </c>
      <c r="H1235">
        <v>-3.6</v>
      </c>
      <c r="I1235">
        <v>0</v>
      </c>
      <c r="J1235">
        <v>-0.98</v>
      </c>
      <c r="K1235" s="245">
        <v>-26.57</v>
      </c>
      <c r="L1235" s="245">
        <v>13.68</v>
      </c>
      <c r="M1235" s="245">
        <v>19.649999999999999</v>
      </c>
      <c r="N1235" s="257" t="s">
        <v>6830</v>
      </c>
    </row>
    <row r="1236" spans="1:14">
      <c r="A1236">
        <v>6118</v>
      </c>
      <c r="B1236" t="s">
        <v>5748</v>
      </c>
      <c r="C1236">
        <v>9.08</v>
      </c>
      <c r="D1236">
        <v>50</v>
      </c>
      <c r="E1236">
        <v>37</v>
      </c>
      <c r="F1236">
        <v>-17</v>
      </c>
      <c r="G1236">
        <v>4</v>
      </c>
      <c r="H1236">
        <v>0.46</v>
      </c>
      <c r="I1236">
        <v>0.3</v>
      </c>
      <c r="J1236">
        <v>0.6</v>
      </c>
      <c r="K1236" s="245">
        <v>-49.13</v>
      </c>
      <c r="L1236" s="245">
        <v>17.940000000000001</v>
      </c>
      <c r="M1236" s="245">
        <v>1128.45</v>
      </c>
      <c r="N1236" s="257" t="s">
        <v>6831</v>
      </c>
    </row>
    <row r="1237" spans="1:14">
      <c r="A1237">
        <v>6120</v>
      </c>
      <c r="B1237" t="s">
        <v>5749</v>
      </c>
      <c r="C1237">
        <v>66.55</v>
      </c>
      <c r="D1237">
        <v>47</v>
      </c>
      <c r="E1237">
        <v>19</v>
      </c>
      <c r="F1237">
        <v>-13</v>
      </c>
      <c r="G1237">
        <v>-11</v>
      </c>
      <c r="H1237">
        <v>-6.29</v>
      </c>
      <c r="I1237">
        <v>0</v>
      </c>
      <c r="J1237">
        <v>-0.98</v>
      </c>
      <c r="K1237" s="245">
        <v>-38.020000000000003</v>
      </c>
      <c r="L1237" s="245">
        <v>11.46</v>
      </c>
      <c r="M1237" s="245">
        <v>1453.7</v>
      </c>
      <c r="N1237" s="257" t="s">
        <v>6830</v>
      </c>
    </row>
    <row r="1238" spans="1:14">
      <c r="A1238">
        <v>6121</v>
      </c>
      <c r="B1238" t="s">
        <v>5750</v>
      </c>
      <c r="C1238">
        <v>18.489999999999998</v>
      </c>
      <c r="D1238">
        <v>39</v>
      </c>
      <c r="E1238">
        <v>39</v>
      </c>
      <c r="F1238">
        <v>-3</v>
      </c>
      <c r="G1238">
        <v>-1</v>
      </c>
      <c r="H1238">
        <v>9.7200000000000006</v>
      </c>
      <c r="I1238">
        <v>26</v>
      </c>
      <c r="J1238">
        <v>34.5</v>
      </c>
      <c r="K1238" s="245">
        <v>-23.16</v>
      </c>
      <c r="L1238" s="245">
        <v>17.670000000000002</v>
      </c>
      <c r="M1238" s="245">
        <v>396.6</v>
      </c>
      <c r="N1238" s="257" t="s">
        <v>6830</v>
      </c>
    </row>
    <row r="1239" spans="1:14">
      <c r="A1239">
        <v>6122</v>
      </c>
      <c r="B1239" t="s">
        <v>5751</v>
      </c>
      <c r="C1239">
        <v>7.07</v>
      </c>
      <c r="D1239">
        <v>247</v>
      </c>
      <c r="E1239">
        <v>96</v>
      </c>
      <c r="F1239">
        <v>32</v>
      </c>
      <c r="G1239">
        <v>61</v>
      </c>
      <c r="H1239">
        <v>3.48</v>
      </c>
      <c r="I1239">
        <v>0.6</v>
      </c>
      <c r="J1239">
        <v>0.79</v>
      </c>
      <c r="K1239" s="245">
        <v>-21.93</v>
      </c>
      <c r="L1239" s="245">
        <v>44.54</v>
      </c>
      <c r="M1239" s="245">
        <v>1866.6</v>
      </c>
      <c r="N1239" s="257" t="s">
        <v>6831</v>
      </c>
    </row>
    <row r="1240" spans="1:14">
      <c r="A1240">
        <v>6123</v>
      </c>
      <c r="B1240" t="s">
        <v>5752</v>
      </c>
      <c r="C1240">
        <v>5.75</v>
      </c>
      <c r="D1240">
        <v>21</v>
      </c>
      <c r="E1240">
        <v>34</v>
      </c>
      <c r="F1240">
        <v>11</v>
      </c>
      <c r="G1240">
        <v>-17</v>
      </c>
      <c r="H1240">
        <v>8.36</v>
      </c>
      <c r="I1240">
        <v>4.5</v>
      </c>
      <c r="J1240">
        <v>4.87</v>
      </c>
      <c r="K1240" s="245">
        <v>-7.08</v>
      </c>
      <c r="L1240" s="245">
        <v>39.340000000000003</v>
      </c>
      <c r="M1240" s="245">
        <v>67.25</v>
      </c>
      <c r="N1240" s="257" t="s">
        <v>6831</v>
      </c>
    </row>
    <row r="1241" spans="1:14">
      <c r="A1241">
        <v>6124</v>
      </c>
      <c r="B1241" t="s">
        <v>6315</v>
      </c>
      <c r="C1241">
        <v>18.239999999999998</v>
      </c>
      <c r="D1241">
        <v>-16</v>
      </c>
      <c r="E1241">
        <v>-21</v>
      </c>
      <c r="F1241">
        <v>-37</v>
      </c>
      <c r="G1241">
        <v>-38</v>
      </c>
      <c r="H1241">
        <v>11.92</v>
      </c>
      <c r="I1241">
        <v>0</v>
      </c>
      <c r="J1241">
        <v>1.29</v>
      </c>
      <c r="K1241" s="245">
        <v>-17.21</v>
      </c>
      <c r="L1241" s="245">
        <v>42.73</v>
      </c>
      <c r="M1241" s="245">
        <v>10.6</v>
      </c>
      <c r="N1241" s="257" t="s">
        <v>6831</v>
      </c>
    </row>
    <row r="1242" spans="1:14">
      <c r="A1242">
        <v>6125</v>
      </c>
      <c r="B1242" t="s">
        <v>5753</v>
      </c>
      <c r="C1242">
        <v>24.9</v>
      </c>
      <c r="D1242">
        <v>-858</v>
      </c>
      <c r="E1242">
        <v>-375</v>
      </c>
      <c r="F1242">
        <v>3</v>
      </c>
      <c r="G1242">
        <v>8</v>
      </c>
      <c r="H1242">
        <v>-18.04</v>
      </c>
      <c r="I1242">
        <v>1.6</v>
      </c>
      <c r="J1242">
        <v>-1.1399999999999999</v>
      </c>
      <c r="K1242" s="245">
        <v>-25.65</v>
      </c>
      <c r="L1242" s="245">
        <v>23.29</v>
      </c>
      <c r="M1242" s="245">
        <v>718.4</v>
      </c>
      <c r="N1242" s="257" t="s">
        <v>6830</v>
      </c>
    </row>
    <row r="1243" spans="1:14">
      <c r="A1243">
        <v>6126</v>
      </c>
      <c r="B1243" t="s">
        <v>5754</v>
      </c>
      <c r="C1243">
        <v>12.27</v>
      </c>
      <c r="D1243">
        <v>2</v>
      </c>
      <c r="E1243">
        <v>-8</v>
      </c>
      <c r="F1243">
        <v>-20</v>
      </c>
      <c r="G1243">
        <v>-14</v>
      </c>
      <c r="H1243">
        <v>10.33</v>
      </c>
      <c r="I1243">
        <v>1.3</v>
      </c>
      <c r="J1243">
        <v>1.97</v>
      </c>
      <c r="K1243" s="245">
        <v>-29.14</v>
      </c>
      <c r="L1243" s="245">
        <v>27.1</v>
      </c>
      <c r="M1243" s="245">
        <v>309.7</v>
      </c>
      <c r="N1243" s="257" t="s">
        <v>6830</v>
      </c>
    </row>
    <row r="1244" spans="1:14">
      <c r="A1244">
        <v>6127</v>
      </c>
      <c r="B1244" t="s">
        <v>5755</v>
      </c>
      <c r="C1244">
        <v>10.8</v>
      </c>
      <c r="D1244">
        <v>149</v>
      </c>
      <c r="E1244">
        <v>253</v>
      </c>
      <c r="F1244">
        <v>-29</v>
      </c>
      <c r="G1244">
        <v>-21</v>
      </c>
      <c r="H1244">
        <v>9.6</v>
      </c>
      <c r="I1244">
        <v>0</v>
      </c>
      <c r="J1244">
        <v>0.47</v>
      </c>
      <c r="K1244" s="245">
        <v>-41.49</v>
      </c>
      <c r="L1244" s="245">
        <v>17.68</v>
      </c>
      <c r="M1244" s="245">
        <v>297.45</v>
      </c>
      <c r="N1244" s="257" t="s">
        <v>6830</v>
      </c>
    </row>
    <row r="1245" spans="1:14">
      <c r="A1245">
        <v>6128</v>
      </c>
      <c r="B1245" t="s">
        <v>5756</v>
      </c>
      <c r="C1245">
        <v>12.75</v>
      </c>
      <c r="D1245">
        <v>126</v>
      </c>
      <c r="E1245">
        <v>582</v>
      </c>
      <c r="F1245">
        <v>-18</v>
      </c>
      <c r="G1245">
        <v>19</v>
      </c>
      <c r="H1245">
        <v>8.58</v>
      </c>
      <c r="I1245">
        <v>2</v>
      </c>
      <c r="J1245">
        <v>2.64</v>
      </c>
      <c r="K1245" s="245">
        <v>-7.19</v>
      </c>
      <c r="L1245" s="245">
        <v>58.43</v>
      </c>
      <c r="M1245" s="245">
        <v>200.45</v>
      </c>
      <c r="N1245" s="257" t="s">
        <v>6832</v>
      </c>
    </row>
    <row r="1246" spans="1:14">
      <c r="A1246">
        <v>6129</v>
      </c>
      <c r="B1246" t="s">
        <v>6188</v>
      </c>
      <c r="C1246">
        <v>18.09</v>
      </c>
      <c r="D1246">
        <v>370</v>
      </c>
      <c r="E1246">
        <v>302</v>
      </c>
      <c r="F1246">
        <v>8</v>
      </c>
      <c r="G1246">
        <v>42</v>
      </c>
      <c r="H1246">
        <v>7.03</v>
      </c>
      <c r="I1246">
        <v>0</v>
      </c>
      <c r="J1246">
        <v>0.63</v>
      </c>
      <c r="K1246" s="245">
        <v>-36.56</v>
      </c>
      <c r="L1246" s="245">
        <v>18.82</v>
      </c>
      <c r="M1246" s="245">
        <v>1232.7</v>
      </c>
      <c r="N1246" s="257" t="s">
        <v>6830</v>
      </c>
    </row>
    <row r="1247" spans="1:14">
      <c r="A1247">
        <v>6130</v>
      </c>
      <c r="B1247" t="s">
        <v>6579</v>
      </c>
      <c r="C1247">
        <v>4.43</v>
      </c>
      <c r="D1247">
        <v>292</v>
      </c>
      <c r="E1247">
        <v>120</v>
      </c>
      <c r="F1247">
        <v>-32</v>
      </c>
      <c r="G1247">
        <v>-59</v>
      </c>
      <c r="H1247">
        <v>1.63</v>
      </c>
      <c r="I1247">
        <v>0</v>
      </c>
      <c r="J1247">
        <v>1.06</v>
      </c>
      <c r="K1247" s="245">
        <v>-35.380000000000003</v>
      </c>
      <c r="L1247" s="245">
        <v>16.04</v>
      </c>
      <c r="M1247" s="245">
        <v>232.95</v>
      </c>
      <c r="N1247" s="257" t="s">
        <v>6831</v>
      </c>
    </row>
    <row r="1248" spans="1:14">
      <c r="A1248">
        <v>6133</v>
      </c>
      <c r="B1248" t="s">
        <v>5757</v>
      </c>
      <c r="C1248">
        <v>11.7</v>
      </c>
      <c r="D1248">
        <v>-3026</v>
      </c>
      <c r="E1248">
        <v>-27</v>
      </c>
      <c r="F1248">
        <v>-1</v>
      </c>
      <c r="G1248">
        <v>38</v>
      </c>
      <c r="H1248">
        <v>-5.98</v>
      </c>
      <c r="I1248">
        <v>0</v>
      </c>
      <c r="J1248">
        <v>-0.48</v>
      </c>
      <c r="K1248" s="245">
        <v>-30.34</v>
      </c>
      <c r="L1248" s="245">
        <v>11.06</v>
      </c>
      <c r="M1248" s="245">
        <v>167.15</v>
      </c>
      <c r="N1248" s="257" t="s">
        <v>6830</v>
      </c>
    </row>
    <row r="1249" spans="1:14">
      <c r="A1249">
        <v>6134</v>
      </c>
      <c r="B1249" t="s">
        <v>5758</v>
      </c>
      <c r="C1249">
        <v>7.25</v>
      </c>
      <c r="D1249">
        <v>-294</v>
      </c>
      <c r="E1249">
        <v>-189</v>
      </c>
      <c r="F1249">
        <v>-36</v>
      </c>
      <c r="G1249">
        <v>-45</v>
      </c>
      <c r="H1249">
        <v>-4.1399999999999997</v>
      </c>
      <c r="I1249">
        <v>0.1</v>
      </c>
      <c r="J1249">
        <v>-0.54</v>
      </c>
      <c r="K1249" s="245">
        <v>-45.07</v>
      </c>
      <c r="L1249" s="245">
        <v>15.86</v>
      </c>
      <c r="M1249" s="245">
        <v>333.1</v>
      </c>
      <c r="N1249" s="257" t="s">
        <v>6830</v>
      </c>
    </row>
    <row r="1250" spans="1:14">
      <c r="A1250">
        <v>6136</v>
      </c>
      <c r="B1250" t="s">
        <v>5759</v>
      </c>
      <c r="C1250">
        <v>11.55</v>
      </c>
      <c r="D1250">
        <v>153</v>
      </c>
      <c r="E1250">
        <v>-31</v>
      </c>
      <c r="F1250">
        <v>-3</v>
      </c>
      <c r="G1250">
        <v>-23</v>
      </c>
      <c r="H1250">
        <v>-7.41</v>
      </c>
      <c r="I1250">
        <v>1.25</v>
      </c>
      <c r="J1250">
        <v>1.23</v>
      </c>
      <c r="K1250" s="245">
        <v>-19.04</v>
      </c>
      <c r="L1250" s="245">
        <v>32.22</v>
      </c>
      <c r="M1250" s="245">
        <v>120.9</v>
      </c>
      <c r="N1250" s="257" t="s">
        <v>6830</v>
      </c>
    </row>
    <row r="1251" spans="1:14">
      <c r="A1251">
        <v>6138</v>
      </c>
      <c r="B1251" t="s">
        <v>5760</v>
      </c>
      <c r="C1251">
        <v>7.4</v>
      </c>
      <c r="D1251">
        <v>100</v>
      </c>
      <c r="E1251">
        <v>109</v>
      </c>
      <c r="F1251">
        <v>1</v>
      </c>
      <c r="G1251">
        <v>28</v>
      </c>
      <c r="H1251">
        <v>20.53</v>
      </c>
      <c r="I1251">
        <v>9.02</v>
      </c>
      <c r="J1251">
        <v>12.9</v>
      </c>
      <c r="K1251" s="245">
        <v>-29.2</v>
      </c>
      <c r="L1251" s="245">
        <v>29.26</v>
      </c>
      <c r="M1251" s="245">
        <v>2167.25</v>
      </c>
      <c r="N1251" s="257" t="s">
        <v>6831</v>
      </c>
    </row>
    <row r="1252" spans="1:14">
      <c r="A1252">
        <v>6139</v>
      </c>
      <c r="B1252" t="s">
        <v>5761</v>
      </c>
      <c r="C1252">
        <v>22.55</v>
      </c>
      <c r="D1252">
        <v>54</v>
      </c>
      <c r="E1252">
        <v>316</v>
      </c>
      <c r="F1252">
        <v>-4</v>
      </c>
      <c r="G1252">
        <v>42</v>
      </c>
      <c r="H1252">
        <v>1.18</v>
      </c>
      <c r="I1252">
        <v>1.5</v>
      </c>
      <c r="J1252">
        <v>1.43</v>
      </c>
      <c r="K1252" s="245">
        <v>-12.46</v>
      </c>
      <c r="L1252" s="245">
        <v>24.34</v>
      </c>
      <c r="M1252" s="245">
        <v>482.2</v>
      </c>
      <c r="N1252" s="257" t="s">
        <v>6831</v>
      </c>
    </row>
    <row r="1253" spans="1:14">
      <c r="A1253">
        <v>6140</v>
      </c>
      <c r="B1253" t="s">
        <v>5762</v>
      </c>
      <c r="C1253">
        <v>3.83</v>
      </c>
      <c r="D1253">
        <v>-53</v>
      </c>
      <c r="E1253">
        <v>-39</v>
      </c>
      <c r="F1253">
        <v>-11</v>
      </c>
      <c r="G1253">
        <v>-32</v>
      </c>
      <c r="H1253">
        <v>1.58</v>
      </c>
      <c r="I1253">
        <v>1</v>
      </c>
      <c r="J1253">
        <v>0.68</v>
      </c>
      <c r="K1253" s="245">
        <v>-35.57</v>
      </c>
      <c r="L1253" s="245">
        <v>21.52</v>
      </c>
      <c r="M1253" s="245">
        <v>196.7</v>
      </c>
      <c r="N1253" s="257" t="s">
        <v>6830</v>
      </c>
    </row>
    <row r="1254" spans="1:14">
      <c r="A1254">
        <v>6141</v>
      </c>
      <c r="B1254" t="s">
        <v>5763</v>
      </c>
      <c r="C1254">
        <v>11.6</v>
      </c>
      <c r="D1254">
        <v>11</v>
      </c>
      <c r="E1254">
        <v>26</v>
      </c>
      <c r="F1254">
        <v>-20</v>
      </c>
      <c r="G1254">
        <v>-18</v>
      </c>
      <c r="H1254">
        <v>10.83</v>
      </c>
      <c r="I1254">
        <v>1</v>
      </c>
      <c r="J1254">
        <v>2.88</v>
      </c>
      <c r="K1254" s="245">
        <v>-29.55</v>
      </c>
      <c r="L1254" s="245">
        <v>18.55</v>
      </c>
      <c r="M1254" s="245">
        <v>105.45</v>
      </c>
      <c r="N1254" s="257" t="s">
        <v>6830</v>
      </c>
    </row>
    <row r="1255" spans="1:14">
      <c r="A1255">
        <v>6142</v>
      </c>
      <c r="B1255" t="s">
        <v>6580</v>
      </c>
      <c r="C1255">
        <v>33.07</v>
      </c>
      <c r="D1255">
        <v>189</v>
      </c>
      <c r="E1255">
        <v>-25</v>
      </c>
      <c r="F1255">
        <v>-18</v>
      </c>
      <c r="G1255">
        <v>2</v>
      </c>
      <c r="H1255">
        <v>-25.34</v>
      </c>
      <c r="I1255">
        <v>0</v>
      </c>
      <c r="J1255">
        <v>1.23</v>
      </c>
      <c r="K1255" s="245">
        <v>-43.05</v>
      </c>
      <c r="L1255" s="245">
        <v>31.63</v>
      </c>
      <c r="M1255" s="245">
        <v>258.64999999999998</v>
      </c>
      <c r="N1255" s="257" t="s">
        <v>6830</v>
      </c>
    </row>
    <row r="1256" spans="1:14">
      <c r="A1256">
        <v>6143</v>
      </c>
      <c r="B1256" t="s">
        <v>5764</v>
      </c>
      <c r="C1256">
        <v>8.3000000000000007</v>
      </c>
      <c r="D1256">
        <v>11</v>
      </c>
      <c r="E1256">
        <v>12</v>
      </c>
      <c r="F1256">
        <v>-13</v>
      </c>
      <c r="G1256">
        <v>-20</v>
      </c>
      <c r="H1256">
        <v>6.54</v>
      </c>
      <c r="I1256">
        <v>2.5</v>
      </c>
      <c r="J1256">
        <v>3.33</v>
      </c>
      <c r="K1256" s="245">
        <v>-27.83</v>
      </c>
      <c r="L1256" s="245">
        <v>47.39</v>
      </c>
      <c r="M1256" s="245">
        <v>366.75</v>
      </c>
      <c r="N1256" s="257" t="s">
        <v>6830</v>
      </c>
    </row>
    <row r="1257" spans="1:14">
      <c r="A1257">
        <v>6144</v>
      </c>
      <c r="B1257" t="s">
        <v>6581</v>
      </c>
      <c r="C1257">
        <v>3.82</v>
      </c>
      <c r="D1257">
        <v>-1337</v>
      </c>
      <c r="E1257">
        <v>-404</v>
      </c>
      <c r="F1257">
        <v>-7</v>
      </c>
      <c r="G1257">
        <v>-12</v>
      </c>
      <c r="H1257">
        <v>-15.24</v>
      </c>
      <c r="I1257">
        <v>0</v>
      </c>
      <c r="J1257">
        <v>-0.78</v>
      </c>
      <c r="K1257" s="245">
        <v>-25.6</v>
      </c>
      <c r="L1257" s="245">
        <v>39.06</v>
      </c>
      <c r="M1257" s="245">
        <v>10.3</v>
      </c>
      <c r="N1257" s="257" t="s">
        <v>6830</v>
      </c>
    </row>
    <row r="1258" spans="1:14">
      <c r="A1258">
        <v>6146</v>
      </c>
      <c r="B1258" t="s">
        <v>5765</v>
      </c>
      <c r="C1258">
        <v>9.6999999999999993</v>
      </c>
      <c r="D1258">
        <v>42</v>
      </c>
      <c r="E1258">
        <v>41</v>
      </c>
      <c r="F1258">
        <v>1</v>
      </c>
      <c r="G1258">
        <v>20</v>
      </c>
      <c r="H1258">
        <v>33.229999999999997</v>
      </c>
      <c r="I1258">
        <v>9</v>
      </c>
      <c r="J1258">
        <v>11.01</v>
      </c>
      <c r="K1258" s="245">
        <v>-26.21</v>
      </c>
      <c r="L1258" s="245">
        <v>55.88</v>
      </c>
      <c r="M1258" s="245">
        <v>137.25</v>
      </c>
      <c r="N1258" s="257" t="s">
        <v>6830</v>
      </c>
    </row>
    <row r="1259" spans="1:14">
      <c r="A1259">
        <v>6147</v>
      </c>
      <c r="B1259" t="s">
        <v>5766</v>
      </c>
      <c r="C1259">
        <v>73.86</v>
      </c>
      <c r="D1259">
        <v>67</v>
      </c>
      <c r="E1259">
        <v>42</v>
      </c>
      <c r="F1259">
        <v>-5</v>
      </c>
      <c r="G1259">
        <v>0</v>
      </c>
      <c r="H1259">
        <v>25.46</v>
      </c>
      <c r="I1259">
        <v>6</v>
      </c>
      <c r="J1259">
        <v>9</v>
      </c>
      <c r="K1259" s="245">
        <v>-23.22</v>
      </c>
      <c r="L1259" s="245">
        <v>33.81</v>
      </c>
      <c r="M1259" s="245">
        <v>2659</v>
      </c>
      <c r="N1259" s="257" t="s">
        <v>6830</v>
      </c>
    </row>
    <row r="1260" spans="1:14">
      <c r="A1260">
        <v>6148</v>
      </c>
      <c r="B1260" t="s">
        <v>5767</v>
      </c>
      <c r="C1260">
        <v>4.66</v>
      </c>
      <c r="D1260">
        <v>-12</v>
      </c>
      <c r="E1260">
        <v>-24</v>
      </c>
      <c r="F1260">
        <v>13</v>
      </c>
      <c r="G1260">
        <v>57</v>
      </c>
      <c r="H1260">
        <v>5.78</v>
      </c>
      <c r="I1260">
        <v>1</v>
      </c>
      <c r="J1260">
        <v>0.98</v>
      </c>
      <c r="K1260" s="245">
        <v>-30.64</v>
      </c>
      <c r="L1260" s="245">
        <v>13.3</v>
      </c>
      <c r="M1260" s="245">
        <v>51.8</v>
      </c>
      <c r="N1260" s="257" t="s">
        <v>6830</v>
      </c>
    </row>
    <row r="1261" spans="1:14">
      <c r="A1261">
        <v>6150</v>
      </c>
      <c r="B1261" t="s">
        <v>5768</v>
      </c>
      <c r="C1261">
        <v>4.83</v>
      </c>
      <c r="D1261">
        <v>3611</v>
      </c>
      <c r="E1261">
        <v>3370</v>
      </c>
      <c r="F1261">
        <v>-42</v>
      </c>
      <c r="G1261">
        <v>-48</v>
      </c>
      <c r="H1261">
        <v>15.49</v>
      </c>
      <c r="I1261">
        <v>11</v>
      </c>
      <c r="J1261">
        <v>24</v>
      </c>
      <c r="K1261" s="245">
        <v>-48.88</v>
      </c>
      <c r="L1261" s="245">
        <v>11.14</v>
      </c>
      <c r="M1261" s="245">
        <v>1371.75</v>
      </c>
      <c r="N1261" s="257" t="s">
        <v>6830</v>
      </c>
    </row>
    <row r="1262" spans="1:14">
      <c r="A1262">
        <v>6151</v>
      </c>
      <c r="B1262" t="s">
        <v>5769</v>
      </c>
      <c r="C1262">
        <v>5.52</v>
      </c>
      <c r="D1262">
        <v>91</v>
      </c>
      <c r="E1262">
        <v>108</v>
      </c>
      <c r="F1262">
        <v>-17</v>
      </c>
      <c r="G1262">
        <v>-43</v>
      </c>
      <c r="H1262">
        <v>11.24</v>
      </c>
      <c r="I1262">
        <v>3</v>
      </c>
      <c r="J1262">
        <v>4.04</v>
      </c>
      <c r="K1262" s="245">
        <v>-36.770000000000003</v>
      </c>
      <c r="L1262" s="245">
        <v>8.07</v>
      </c>
      <c r="M1262" s="245">
        <v>86.5</v>
      </c>
      <c r="N1262" s="257" t="s">
        <v>6830</v>
      </c>
    </row>
    <row r="1263" spans="1:14">
      <c r="A1263">
        <v>6152</v>
      </c>
      <c r="B1263" t="s">
        <v>6582</v>
      </c>
      <c r="C1263">
        <v>16.77</v>
      </c>
      <c r="D1263">
        <v>-52</v>
      </c>
      <c r="E1263">
        <v>16</v>
      </c>
      <c r="F1263">
        <v>75</v>
      </c>
      <c r="G1263">
        <v>9</v>
      </c>
      <c r="H1263">
        <v>-1.19</v>
      </c>
      <c r="I1263">
        <v>0</v>
      </c>
      <c r="J1263">
        <v>0.05</v>
      </c>
      <c r="K1263" s="245">
        <v>-31.82</v>
      </c>
      <c r="L1263" s="245">
        <v>25.69</v>
      </c>
      <c r="M1263" s="245">
        <v>233.4</v>
      </c>
      <c r="N1263" s="257" t="s">
        <v>6830</v>
      </c>
    </row>
    <row r="1264" spans="1:14">
      <c r="A1264">
        <v>6153</v>
      </c>
      <c r="B1264" t="s">
        <v>5770</v>
      </c>
      <c r="C1264">
        <v>55.61</v>
      </c>
      <c r="D1264">
        <v>-174</v>
      </c>
      <c r="E1264">
        <v>-197</v>
      </c>
      <c r="F1264">
        <v>-42</v>
      </c>
      <c r="G1264">
        <v>-38</v>
      </c>
      <c r="H1264">
        <v>-2.73</v>
      </c>
      <c r="I1264">
        <v>0</v>
      </c>
      <c r="J1264">
        <v>-0.88</v>
      </c>
      <c r="K1264" s="245">
        <v>-38.94</v>
      </c>
      <c r="L1264" s="245">
        <v>22.08</v>
      </c>
      <c r="M1264" s="245">
        <v>1165.9000000000001</v>
      </c>
      <c r="N1264" s="257" t="s">
        <v>6830</v>
      </c>
    </row>
    <row r="1265" spans="1:14">
      <c r="A1265">
        <v>6154</v>
      </c>
      <c r="B1265" t="s">
        <v>5771</v>
      </c>
      <c r="C1265">
        <v>8</v>
      </c>
      <c r="D1265">
        <v>214</v>
      </c>
      <c r="E1265">
        <v>195</v>
      </c>
      <c r="F1265">
        <v>0</v>
      </c>
      <c r="G1265">
        <v>11</v>
      </c>
      <c r="H1265">
        <v>3.44</v>
      </c>
      <c r="I1265">
        <v>1.2</v>
      </c>
      <c r="J1265">
        <v>1.76</v>
      </c>
      <c r="K1265" s="245">
        <v>-28.21</v>
      </c>
      <c r="L1265" s="245">
        <v>28.65</v>
      </c>
      <c r="M1265" s="245">
        <v>34.25</v>
      </c>
      <c r="N1265" s="257" t="s">
        <v>6830</v>
      </c>
    </row>
    <row r="1266" spans="1:14">
      <c r="A1266">
        <v>6155</v>
      </c>
      <c r="B1266" t="s">
        <v>5772</v>
      </c>
      <c r="C1266">
        <v>8.69</v>
      </c>
      <c r="D1266">
        <v>137</v>
      </c>
      <c r="E1266">
        <v>200</v>
      </c>
      <c r="F1266">
        <v>-18</v>
      </c>
      <c r="G1266">
        <v>-2</v>
      </c>
      <c r="H1266">
        <v>15.96</v>
      </c>
      <c r="I1266">
        <v>0.85</v>
      </c>
      <c r="J1266">
        <v>0.93</v>
      </c>
      <c r="K1266" s="245">
        <v>-28.4</v>
      </c>
      <c r="L1266" s="245">
        <v>51.68</v>
      </c>
      <c r="M1266" s="245">
        <v>93</v>
      </c>
      <c r="N1266" s="257" t="s">
        <v>6830</v>
      </c>
    </row>
    <row r="1267" spans="1:14">
      <c r="A1267">
        <v>6156</v>
      </c>
      <c r="B1267" t="s">
        <v>5773</v>
      </c>
      <c r="C1267">
        <v>8.0500000000000007</v>
      </c>
      <c r="D1267">
        <v>-20</v>
      </c>
      <c r="E1267">
        <v>-43</v>
      </c>
      <c r="F1267">
        <v>18</v>
      </c>
      <c r="G1267">
        <v>-2</v>
      </c>
      <c r="H1267">
        <v>2.27</v>
      </c>
      <c r="I1267">
        <v>0.5</v>
      </c>
      <c r="J1267">
        <v>1.29</v>
      </c>
      <c r="K1267" s="245">
        <v>-35.21</v>
      </c>
      <c r="L1267" s="245">
        <v>10.59</v>
      </c>
      <c r="M1267" s="245">
        <v>386.25</v>
      </c>
      <c r="N1267" s="257" t="s">
        <v>6830</v>
      </c>
    </row>
    <row r="1268" spans="1:14">
      <c r="A1268">
        <v>6158</v>
      </c>
      <c r="B1268" t="s">
        <v>5774</v>
      </c>
      <c r="C1268">
        <v>5.5</v>
      </c>
      <c r="D1268">
        <v>19</v>
      </c>
      <c r="E1268">
        <v>6</v>
      </c>
      <c r="F1268">
        <v>-7</v>
      </c>
      <c r="G1268">
        <v>-3</v>
      </c>
      <c r="H1268">
        <v>7.71</v>
      </c>
      <c r="I1268">
        <v>1</v>
      </c>
      <c r="J1268">
        <v>3.09</v>
      </c>
      <c r="K1268" s="245">
        <v>-43.04</v>
      </c>
      <c r="L1268" s="245">
        <v>23.59</v>
      </c>
      <c r="M1268" s="245">
        <v>169.05</v>
      </c>
      <c r="N1268" s="257" t="s">
        <v>6830</v>
      </c>
    </row>
    <row r="1269" spans="1:14">
      <c r="A1269">
        <v>6160</v>
      </c>
      <c r="B1269" t="s">
        <v>6304</v>
      </c>
      <c r="C1269">
        <v>6.84</v>
      </c>
      <c r="D1269">
        <v>158</v>
      </c>
      <c r="E1269">
        <v>141</v>
      </c>
      <c r="F1269">
        <v>-23</v>
      </c>
      <c r="G1269">
        <v>-2</v>
      </c>
      <c r="H1269">
        <v>2.99</v>
      </c>
      <c r="I1269">
        <v>0.35</v>
      </c>
      <c r="J1269">
        <v>0.52</v>
      </c>
      <c r="K1269" s="245">
        <v>-49.35</v>
      </c>
      <c r="L1269" s="245">
        <v>14.96</v>
      </c>
      <c r="M1269" s="245">
        <v>78.150000000000006</v>
      </c>
      <c r="N1269" s="257" t="s">
        <v>6830</v>
      </c>
    </row>
    <row r="1270" spans="1:14">
      <c r="A1270">
        <v>6161</v>
      </c>
      <c r="B1270" t="s">
        <v>5775</v>
      </c>
      <c r="C1270">
        <v>7.49</v>
      </c>
      <c r="D1270">
        <v>99</v>
      </c>
      <c r="E1270">
        <v>142</v>
      </c>
      <c r="F1270">
        <v>-11</v>
      </c>
      <c r="G1270">
        <v>21</v>
      </c>
      <c r="H1270">
        <v>16.41</v>
      </c>
      <c r="I1270">
        <v>3</v>
      </c>
      <c r="J1270">
        <v>3.28</v>
      </c>
      <c r="K1270" s="245">
        <v>-20</v>
      </c>
      <c r="L1270" s="245">
        <v>17.89</v>
      </c>
      <c r="M1270" s="245">
        <v>395.3</v>
      </c>
      <c r="N1270" s="257" t="s">
        <v>6831</v>
      </c>
    </row>
    <row r="1271" spans="1:14">
      <c r="A1271">
        <v>6163</v>
      </c>
      <c r="B1271" t="s">
        <v>5776</v>
      </c>
      <c r="C1271">
        <v>13.36</v>
      </c>
      <c r="D1271">
        <v>6623</v>
      </c>
      <c r="E1271">
        <v>13177</v>
      </c>
      <c r="F1271">
        <v>-59</v>
      </c>
      <c r="G1271">
        <v>-57</v>
      </c>
      <c r="H1271">
        <v>3.41</v>
      </c>
      <c r="I1271">
        <v>0.3</v>
      </c>
      <c r="J1271">
        <v>1.43</v>
      </c>
      <c r="K1271" s="245">
        <v>-35.56</v>
      </c>
      <c r="L1271" s="245">
        <v>12.96</v>
      </c>
      <c r="M1271" s="245">
        <v>342.45</v>
      </c>
      <c r="N1271" s="257" t="s">
        <v>6830</v>
      </c>
    </row>
    <row r="1272" spans="1:14">
      <c r="A1272">
        <v>6164</v>
      </c>
      <c r="B1272" t="s">
        <v>5777</v>
      </c>
      <c r="C1272">
        <v>10</v>
      </c>
      <c r="D1272">
        <v>148</v>
      </c>
      <c r="E1272">
        <v>123</v>
      </c>
      <c r="F1272">
        <v>8</v>
      </c>
      <c r="G1272">
        <v>18</v>
      </c>
      <c r="H1272">
        <v>1.44</v>
      </c>
      <c r="I1272">
        <v>0</v>
      </c>
      <c r="J1272">
        <v>0.06</v>
      </c>
      <c r="K1272" s="245">
        <v>-41.63</v>
      </c>
      <c r="L1272" s="245">
        <v>18.07</v>
      </c>
      <c r="M1272" s="245">
        <v>1848.35</v>
      </c>
      <c r="N1272" s="257" t="s">
        <v>6830</v>
      </c>
    </row>
    <row r="1273" spans="1:14">
      <c r="A1273">
        <v>6165</v>
      </c>
      <c r="B1273" t="s">
        <v>5778</v>
      </c>
      <c r="C1273">
        <v>5.32</v>
      </c>
      <c r="D1273">
        <v>108</v>
      </c>
      <c r="E1273">
        <v>1090</v>
      </c>
      <c r="F1273">
        <v>-13</v>
      </c>
      <c r="G1273">
        <v>14</v>
      </c>
      <c r="H1273">
        <v>4.3</v>
      </c>
      <c r="I1273">
        <v>0</v>
      </c>
      <c r="J1273">
        <v>2.6</v>
      </c>
      <c r="K1273" s="245">
        <v>-47.29</v>
      </c>
      <c r="L1273" s="245">
        <v>10.33</v>
      </c>
      <c r="M1273" s="245">
        <v>248.2</v>
      </c>
      <c r="N1273" s="257" t="s">
        <v>6830</v>
      </c>
    </row>
    <row r="1274" spans="1:14">
      <c r="A1274">
        <v>6166</v>
      </c>
      <c r="B1274" t="s">
        <v>5779</v>
      </c>
      <c r="C1274">
        <v>21.74</v>
      </c>
      <c r="D1274">
        <v>-50</v>
      </c>
      <c r="E1274">
        <v>-70</v>
      </c>
      <c r="F1274">
        <v>-27</v>
      </c>
      <c r="G1274">
        <v>0</v>
      </c>
      <c r="H1274">
        <v>1.43</v>
      </c>
      <c r="I1274">
        <v>0.3</v>
      </c>
      <c r="J1274">
        <v>0.55000000000000004</v>
      </c>
      <c r="K1274" s="245">
        <v>-22.11</v>
      </c>
      <c r="L1274" s="245">
        <v>23.32</v>
      </c>
      <c r="M1274" s="245">
        <v>1144.25</v>
      </c>
      <c r="N1274" s="257" t="s">
        <v>6830</v>
      </c>
    </row>
    <row r="1275" spans="1:14">
      <c r="A1275">
        <v>6167</v>
      </c>
      <c r="B1275" t="s">
        <v>6583</v>
      </c>
      <c r="C1275">
        <v>16.21</v>
      </c>
      <c r="D1275">
        <v>97</v>
      </c>
      <c r="E1275">
        <v>104</v>
      </c>
      <c r="F1275">
        <v>-10</v>
      </c>
      <c r="G1275">
        <v>24</v>
      </c>
      <c r="H1275">
        <v>2.04</v>
      </c>
      <c r="I1275">
        <v>0.19</v>
      </c>
      <c r="J1275">
        <v>0.5</v>
      </c>
      <c r="K1275" s="245">
        <v>-32.380000000000003</v>
      </c>
      <c r="L1275" s="245">
        <v>29.61</v>
      </c>
      <c r="M1275" s="245">
        <v>454.2</v>
      </c>
      <c r="N1275" s="257" t="s">
        <v>6831</v>
      </c>
    </row>
    <row r="1276" spans="1:14">
      <c r="A1276">
        <v>6168</v>
      </c>
      <c r="B1276" t="s">
        <v>5780</v>
      </c>
      <c r="C1276">
        <v>20.6</v>
      </c>
      <c r="D1276">
        <v>170</v>
      </c>
      <c r="E1276">
        <v>78</v>
      </c>
      <c r="F1276">
        <v>6</v>
      </c>
      <c r="G1276">
        <v>-4</v>
      </c>
      <c r="H1276">
        <v>13.3</v>
      </c>
      <c r="I1276">
        <v>1.5</v>
      </c>
      <c r="J1276">
        <v>1.8</v>
      </c>
      <c r="K1276" s="245">
        <v>-41.09</v>
      </c>
      <c r="L1276" s="245">
        <v>32.72</v>
      </c>
      <c r="M1276" s="245">
        <v>474.05</v>
      </c>
      <c r="N1276" s="257" t="s">
        <v>6830</v>
      </c>
    </row>
    <row r="1277" spans="1:14">
      <c r="A1277">
        <v>6169</v>
      </c>
      <c r="B1277" t="s">
        <v>6584</v>
      </c>
      <c r="C1277">
        <v>2.33</v>
      </c>
      <c r="D1277">
        <v>40</v>
      </c>
      <c r="E1277">
        <v>25</v>
      </c>
      <c r="F1277">
        <v>-15</v>
      </c>
      <c r="G1277">
        <v>-87</v>
      </c>
      <c r="H1277">
        <v>-211.61</v>
      </c>
      <c r="I1277">
        <v>0</v>
      </c>
      <c r="J1277">
        <v>-0.71</v>
      </c>
      <c r="K1277" s="245">
        <v>-41.19</v>
      </c>
      <c r="L1277" s="245">
        <v>12.57</v>
      </c>
      <c r="M1277" s="245">
        <v>35</v>
      </c>
      <c r="N1277" s="257" t="s">
        <v>6830</v>
      </c>
    </row>
    <row r="1278" spans="1:14">
      <c r="A1278">
        <v>6170</v>
      </c>
      <c r="B1278" t="s">
        <v>5781</v>
      </c>
      <c r="C1278">
        <v>8.9600000000000009</v>
      </c>
      <c r="D1278">
        <v>13</v>
      </c>
      <c r="E1278">
        <v>-14</v>
      </c>
      <c r="F1278">
        <v>-29</v>
      </c>
      <c r="G1278">
        <v>-28</v>
      </c>
      <c r="H1278">
        <v>4.82</v>
      </c>
      <c r="I1278">
        <v>1.6</v>
      </c>
      <c r="J1278">
        <v>1.86</v>
      </c>
      <c r="K1278" s="245">
        <v>-39.979999999999997</v>
      </c>
      <c r="L1278" s="245">
        <v>67.89</v>
      </c>
      <c r="M1278" s="245">
        <v>876.1</v>
      </c>
      <c r="N1278" s="257" t="s">
        <v>6830</v>
      </c>
    </row>
    <row r="1279" spans="1:14">
      <c r="A1279">
        <v>6171</v>
      </c>
      <c r="B1279" t="s">
        <v>6155</v>
      </c>
      <c r="C1279">
        <v>8.66</v>
      </c>
      <c r="D1279">
        <v>79</v>
      </c>
      <c r="E1279">
        <v>79</v>
      </c>
      <c r="F1279">
        <v>-97</v>
      </c>
      <c r="G1279">
        <v>-99</v>
      </c>
      <c r="H1279">
        <v>24.3</v>
      </c>
      <c r="I1279">
        <v>3.04</v>
      </c>
      <c r="J1279">
        <v>4.82</v>
      </c>
      <c r="K1279" s="245">
        <v>-9.7899999999999991</v>
      </c>
      <c r="L1279" s="245">
        <v>33.56</v>
      </c>
      <c r="M1279" s="245">
        <v>57.65</v>
      </c>
      <c r="N1279" s="257" t="s">
        <v>6831</v>
      </c>
    </row>
    <row r="1280" spans="1:14">
      <c r="A1280">
        <v>6173</v>
      </c>
      <c r="B1280" t="s">
        <v>5782</v>
      </c>
      <c r="C1280">
        <v>17.2</v>
      </c>
      <c r="D1280">
        <v>45</v>
      </c>
      <c r="E1280">
        <v>29</v>
      </c>
      <c r="F1280">
        <v>-4</v>
      </c>
      <c r="G1280">
        <v>-18</v>
      </c>
      <c r="H1280">
        <v>19.600000000000001</v>
      </c>
      <c r="I1280">
        <v>2</v>
      </c>
      <c r="J1280">
        <v>6.67</v>
      </c>
      <c r="K1280" s="245">
        <v>-40.299999999999997</v>
      </c>
      <c r="L1280" s="245">
        <v>21.65</v>
      </c>
      <c r="M1280" s="245">
        <v>256.5</v>
      </c>
      <c r="N1280" s="257" t="s">
        <v>6830</v>
      </c>
    </row>
    <row r="1281" spans="1:14">
      <c r="A1281">
        <v>6174</v>
      </c>
      <c r="B1281" t="s">
        <v>5783</v>
      </c>
      <c r="C1281">
        <v>5</v>
      </c>
      <c r="D1281">
        <v>6895</v>
      </c>
      <c r="E1281">
        <v>1478</v>
      </c>
      <c r="F1281">
        <v>-24</v>
      </c>
      <c r="G1281">
        <v>30</v>
      </c>
      <c r="H1281">
        <v>15.63</v>
      </c>
      <c r="I1281">
        <v>1.6</v>
      </c>
      <c r="J1281">
        <v>1.79</v>
      </c>
      <c r="K1281" s="245">
        <v>-23.68</v>
      </c>
      <c r="L1281" s="245">
        <v>38.82</v>
      </c>
      <c r="M1281" s="245">
        <v>689.6</v>
      </c>
      <c r="N1281" s="257" t="s">
        <v>6831</v>
      </c>
    </row>
    <row r="1282" spans="1:14">
      <c r="A1282">
        <v>6175</v>
      </c>
      <c r="B1282" t="s">
        <v>5784</v>
      </c>
      <c r="C1282">
        <v>14.32</v>
      </c>
      <c r="D1282">
        <v>67</v>
      </c>
      <c r="E1282">
        <v>54</v>
      </c>
      <c r="F1282">
        <v>-5</v>
      </c>
      <c r="G1282">
        <v>6</v>
      </c>
      <c r="H1282">
        <v>16.57</v>
      </c>
      <c r="I1282">
        <v>1.5</v>
      </c>
      <c r="J1282">
        <v>3.45</v>
      </c>
      <c r="K1282" s="245">
        <v>-38.840000000000003</v>
      </c>
      <c r="L1282" s="245">
        <v>22.07</v>
      </c>
      <c r="M1282" s="245">
        <v>414.2</v>
      </c>
      <c r="N1282" s="257" t="s">
        <v>6830</v>
      </c>
    </row>
    <row r="1283" spans="1:14">
      <c r="A1283">
        <v>6176</v>
      </c>
      <c r="B1283" t="s">
        <v>5785</v>
      </c>
      <c r="C1283">
        <v>46.5</v>
      </c>
      <c r="D1283">
        <v>0</v>
      </c>
      <c r="E1283">
        <v>-5</v>
      </c>
      <c r="F1283">
        <v>-51</v>
      </c>
      <c r="G1283">
        <v>-43</v>
      </c>
      <c r="H1283">
        <v>13.29</v>
      </c>
      <c r="I1283">
        <v>8</v>
      </c>
      <c r="J1283">
        <v>11.16</v>
      </c>
      <c r="K1283" s="245">
        <v>-21.07</v>
      </c>
      <c r="L1283" s="245">
        <v>42.38</v>
      </c>
      <c r="M1283" s="245">
        <v>1769</v>
      </c>
      <c r="N1283" s="257" t="s">
        <v>6831</v>
      </c>
    </row>
    <row r="1284" spans="1:14">
      <c r="A1284">
        <v>6177</v>
      </c>
      <c r="B1284" t="s">
        <v>5786</v>
      </c>
      <c r="C1284">
        <v>38.79</v>
      </c>
      <c r="D1284">
        <v>943</v>
      </c>
      <c r="E1284">
        <v>936</v>
      </c>
      <c r="F1284">
        <v>-83</v>
      </c>
      <c r="G1284">
        <v>4878</v>
      </c>
      <c r="H1284">
        <v>17.239999999999998</v>
      </c>
      <c r="I1284">
        <v>3</v>
      </c>
      <c r="J1284">
        <v>4.03</v>
      </c>
      <c r="K1284" s="245">
        <v>-9.64</v>
      </c>
      <c r="L1284" s="245">
        <v>34.81</v>
      </c>
      <c r="M1284" s="245">
        <v>556.29999999999995</v>
      </c>
      <c r="N1284" s="257" t="s">
        <v>6830</v>
      </c>
    </row>
    <row r="1285" spans="1:14">
      <c r="A1285">
        <v>6179</v>
      </c>
      <c r="B1285" t="s">
        <v>5787</v>
      </c>
      <c r="C1285">
        <v>8.81</v>
      </c>
      <c r="D1285">
        <v>-17</v>
      </c>
      <c r="E1285">
        <v>-28</v>
      </c>
      <c r="F1285">
        <v>-10</v>
      </c>
      <c r="G1285">
        <v>6</v>
      </c>
      <c r="H1285">
        <v>6.45</v>
      </c>
      <c r="I1285">
        <v>1.5</v>
      </c>
      <c r="J1285">
        <v>1.84</v>
      </c>
      <c r="K1285" s="245">
        <v>-14.14</v>
      </c>
      <c r="L1285" s="245">
        <v>55.56</v>
      </c>
      <c r="M1285" s="245">
        <v>246.8</v>
      </c>
      <c r="N1285" s="257" t="s">
        <v>6831</v>
      </c>
    </row>
    <row r="1286" spans="1:14">
      <c r="A1286">
        <v>6180</v>
      </c>
      <c r="B1286" t="s">
        <v>5788</v>
      </c>
      <c r="C1286">
        <v>17.54</v>
      </c>
      <c r="D1286">
        <v>28</v>
      </c>
      <c r="E1286">
        <v>52</v>
      </c>
      <c r="F1286">
        <v>-16</v>
      </c>
      <c r="G1286">
        <v>6</v>
      </c>
      <c r="H1286">
        <v>15.25</v>
      </c>
      <c r="I1286">
        <v>5</v>
      </c>
      <c r="J1286">
        <v>6.3</v>
      </c>
      <c r="K1286" s="245">
        <v>-9.89</v>
      </c>
      <c r="L1286" s="245">
        <v>58.62</v>
      </c>
      <c r="M1286" s="245">
        <v>753.15</v>
      </c>
      <c r="N1286" s="257" t="s">
        <v>6831</v>
      </c>
    </row>
    <row r="1287" spans="1:14">
      <c r="A1287">
        <v>6182</v>
      </c>
      <c r="B1287" t="s">
        <v>5789</v>
      </c>
      <c r="C1287">
        <v>54.09</v>
      </c>
      <c r="D1287">
        <v>123</v>
      </c>
      <c r="E1287">
        <v>170</v>
      </c>
      <c r="F1287">
        <v>-4</v>
      </c>
      <c r="G1287">
        <v>20</v>
      </c>
      <c r="H1287">
        <v>19.239999999999998</v>
      </c>
      <c r="I1287">
        <v>1.35</v>
      </c>
      <c r="J1287">
        <v>2.02</v>
      </c>
      <c r="K1287" s="245">
        <v>-34.53</v>
      </c>
      <c r="L1287" s="245">
        <v>21.07</v>
      </c>
      <c r="M1287" s="245">
        <v>15037.8</v>
      </c>
      <c r="N1287" s="257" t="s">
        <v>6830</v>
      </c>
    </row>
    <row r="1288" spans="1:14">
      <c r="A1288">
        <v>6183</v>
      </c>
      <c r="B1288" t="s">
        <v>5790</v>
      </c>
      <c r="C1288">
        <v>15</v>
      </c>
      <c r="D1288">
        <v>26</v>
      </c>
      <c r="E1288">
        <v>22</v>
      </c>
      <c r="F1288">
        <v>-5</v>
      </c>
      <c r="G1288">
        <v>16</v>
      </c>
      <c r="H1288">
        <v>23.1</v>
      </c>
      <c r="I1288">
        <v>2.0499999999999998</v>
      </c>
      <c r="J1288">
        <v>2.84</v>
      </c>
      <c r="K1288" s="245">
        <v>-1.08</v>
      </c>
      <c r="L1288" s="245">
        <v>82.37</v>
      </c>
      <c r="M1288" s="245">
        <v>40.9</v>
      </c>
      <c r="N1288" s="257" t="s">
        <v>6832</v>
      </c>
    </row>
    <row r="1289" spans="1:14">
      <c r="A1289">
        <v>6184</v>
      </c>
      <c r="B1289" t="s">
        <v>5791</v>
      </c>
      <c r="C1289">
        <v>15.82</v>
      </c>
      <c r="D1289">
        <v>3</v>
      </c>
      <c r="E1289">
        <v>-10</v>
      </c>
      <c r="F1289">
        <v>0</v>
      </c>
      <c r="G1289">
        <v>1</v>
      </c>
      <c r="H1289">
        <v>29.61</v>
      </c>
      <c r="I1289">
        <v>3</v>
      </c>
      <c r="J1289">
        <v>3.51</v>
      </c>
      <c r="K1289" s="245">
        <v>-2.08</v>
      </c>
      <c r="L1289" s="245">
        <v>68.19</v>
      </c>
      <c r="M1289" s="245">
        <v>57.95</v>
      </c>
      <c r="N1289" s="257" t="s">
        <v>6832</v>
      </c>
    </row>
    <row r="1290" spans="1:14">
      <c r="A1290">
        <v>6185</v>
      </c>
      <c r="B1290" t="s">
        <v>5792</v>
      </c>
      <c r="C1290">
        <v>14.98</v>
      </c>
      <c r="D1290">
        <v>-11</v>
      </c>
      <c r="E1290">
        <v>-61</v>
      </c>
      <c r="F1290">
        <v>-23</v>
      </c>
      <c r="G1290">
        <v>-24</v>
      </c>
      <c r="H1290">
        <v>-22.29</v>
      </c>
      <c r="I1290">
        <v>0.2</v>
      </c>
      <c r="J1290">
        <v>-0.67</v>
      </c>
      <c r="K1290" s="245">
        <v>-25.84</v>
      </c>
      <c r="L1290" s="245">
        <v>15.01</v>
      </c>
      <c r="M1290" s="245">
        <v>181.75</v>
      </c>
      <c r="N1290" s="257" t="s">
        <v>6830</v>
      </c>
    </row>
    <row r="1291" spans="1:14">
      <c r="A1291">
        <v>6186</v>
      </c>
      <c r="B1291" t="s">
        <v>5793</v>
      </c>
      <c r="C1291">
        <v>14.99</v>
      </c>
      <c r="D1291">
        <v>10</v>
      </c>
      <c r="E1291">
        <v>15</v>
      </c>
      <c r="F1291">
        <v>0</v>
      </c>
      <c r="G1291">
        <v>-99</v>
      </c>
      <c r="H1291">
        <v>14.02</v>
      </c>
      <c r="I1291">
        <v>3</v>
      </c>
      <c r="J1291">
        <v>3.08</v>
      </c>
      <c r="K1291" s="245">
        <v>-12.13</v>
      </c>
      <c r="L1291" s="245">
        <v>59.54</v>
      </c>
      <c r="M1291" s="245">
        <v>211.4</v>
      </c>
      <c r="N1291" s="257" t="s">
        <v>6830</v>
      </c>
    </row>
    <row r="1292" spans="1:14">
      <c r="A1292">
        <v>6187</v>
      </c>
      <c r="B1292" t="s">
        <v>5794</v>
      </c>
      <c r="C1292">
        <v>8.33</v>
      </c>
      <c r="D1292">
        <v>119</v>
      </c>
      <c r="E1292">
        <v>111</v>
      </c>
      <c r="F1292">
        <v>-7</v>
      </c>
      <c r="G1292">
        <v>-1</v>
      </c>
      <c r="H1292">
        <v>24.41</v>
      </c>
      <c r="I1292">
        <v>4.5</v>
      </c>
      <c r="J1292">
        <v>6.64</v>
      </c>
      <c r="K1292" s="245">
        <v>-39.049999999999997</v>
      </c>
      <c r="L1292" s="245">
        <v>15.91</v>
      </c>
      <c r="M1292" s="245">
        <v>1081.5</v>
      </c>
      <c r="N1292" s="257" t="s">
        <v>6830</v>
      </c>
    </row>
    <row r="1293" spans="1:14">
      <c r="A1293">
        <v>6188</v>
      </c>
      <c r="B1293" t="s">
        <v>5795</v>
      </c>
      <c r="C1293">
        <v>27.83</v>
      </c>
      <c r="D1293">
        <v>857</v>
      </c>
      <c r="E1293">
        <v>-5</v>
      </c>
      <c r="F1293">
        <v>-41</v>
      </c>
      <c r="G1293">
        <v>-33</v>
      </c>
      <c r="H1293">
        <v>8.86</v>
      </c>
      <c r="I1293">
        <v>2.8</v>
      </c>
      <c r="J1293">
        <v>3.57</v>
      </c>
      <c r="K1293" s="245">
        <v>-26.19</v>
      </c>
      <c r="L1293" s="245">
        <v>11.48</v>
      </c>
      <c r="M1293" s="245">
        <v>858.2</v>
      </c>
      <c r="N1293" s="257" t="s">
        <v>6830</v>
      </c>
    </row>
    <row r="1294" spans="1:14">
      <c r="A1294">
        <v>6189</v>
      </c>
      <c r="B1294" t="s">
        <v>5796</v>
      </c>
      <c r="C1294">
        <v>19.82</v>
      </c>
      <c r="D1294">
        <v>40</v>
      </c>
      <c r="E1294">
        <v>19</v>
      </c>
      <c r="F1294">
        <v>-18</v>
      </c>
      <c r="G1294">
        <v>-9</v>
      </c>
      <c r="H1294">
        <v>3.8</v>
      </c>
      <c r="I1294">
        <v>3.78</v>
      </c>
      <c r="J1294">
        <v>4.3099999999999996</v>
      </c>
      <c r="K1294" s="245">
        <v>-7.7</v>
      </c>
      <c r="L1294" s="245">
        <v>25.39</v>
      </c>
      <c r="M1294" s="245">
        <v>355.3</v>
      </c>
      <c r="N1294" s="257" t="s">
        <v>6831</v>
      </c>
    </row>
    <row r="1295" spans="1:14">
      <c r="A1295">
        <v>6190</v>
      </c>
      <c r="B1295" t="s">
        <v>5797</v>
      </c>
      <c r="C1295">
        <v>16.11</v>
      </c>
      <c r="D1295">
        <v>52</v>
      </c>
      <c r="E1295">
        <v>46</v>
      </c>
      <c r="F1295">
        <v>7</v>
      </c>
      <c r="G1295">
        <v>49</v>
      </c>
      <c r="H1295">
        <v>4.7699999999999996</v>
      </c>
      <c r="I1295">
        <v>1.4</v>
      </c>
      <c r="J1295">
        <v>1.68</v>
      </c>
      <c r="K1295" s="245">
        <v>-21.78</v>
      </c>
      <c r="L1295" s="245">
        <v>47.61</v>
      </c>
      <c r="M1295" s="245">
        <v>3933.95</v>
      </c>
      <c r="N1295" s="257" t="s">
        <v>6831</v>
      </c>
    </row>
    <row r="1296" spans="1:14">
      <c r="A1296">
        <v>6191</v>
      </c>
      <c r="B1296" t="s">
        <v>5798</v>
      </c>
      <c r="C1296">
        <v>47.43</v>
      </c>
      <c r="D1296">
        <v>78</v>
      </c>
      <c r="E1296">
        <v>31</v>
      </c>
      <c r="F1296">
        <v>-27</v>
      </c>
      <c r="G1296">
        <v>-27</v>
      </c>
      <c r="H1296">
        <v>11.24</v>
      </c>
      <c r="I1296">
        <v>1.74</v>
      </c>
      <c r="J1296">
        <v>5.79</v>
      </c>
      <c r="K1296" s="245">
        <v>-28.18</v>
      </c>
      <c r="L1296" s="245">
        <v>26.68</v>
      </c>
      <c r="M1296" s="245">
        <v>1998.1</v>
      </c>
      <c r="N1296" s="257" t="s">
        <v>6830</v>
      </c>
    </row>
    <row r="1297" spans="1:14">
      <c r="A1297">
        <v>6192</v>
      </c>
      <c r="B1297" t="s">
        <v>5799</v>
      </c>
      <c r="C1297">
        <v>10.68</v>
      </c>
      <c r="D1297">
        <v>14</v>
      </c>
      <c r="E1297">
        <v>14</v>
      </c>
      <c r="F1297">
        <v>-18</v>
      </c>
      <c r="G1297">
        <v>-22</v>
      </c>
      <c r="H1297">
        <v>17.55</v>
      </c>
      <c r="I1297">
        <v>4</v>
      </c>
      <c r="J1297">
        <v>7.96</v>
      </c>
      <c r="K1297" s="245">
        <v>-10.46</v>
      </c>
      <c r="L1297" s="245">
        <v>24.35</v>
      </c>
      <c r="M1297" s="245">
        <v>144.55000000000001</v>
      </c>
      <c r="N1297" s="257" t="s">
        <v>6830</v>
      </c>
    </row>
    <row r="1298" spans="1:14">
      <c r="A1298">
        <v>6194</v>
      </c>
      <c r="B1298" t="s">
        <v>6303</v>
      </c>
      <c r="C1298">
        <v>6</v>
      </c>
      <c r="D1298">
        <v>-89</v>
      </c>
      <c r="E1298">
        <v>-92</v>
      </c>
      <c r="F1298">
        <v>40</v>
      </c>
      <c r="G1298">
        <v>-9</v>
      </c>
      <c r="H1298">
        <v>1.1200000000000001</v>
      </c>
      <c r="I1298">
        <v>0.25</v>
      </c>
      <c r="J1298">
        <v>0.26</v>
      </c>
      <c r="K1298" s="245">
        <v>-32.61</v>
      </c>
      <c r="L1298" s="245">
        <v>14.03</v>
      </c>
      <c r="M1298" s="245">
        <v>23.5</v>
      </c>
      <c r="N1298" s="257" t="s">
        <v>6830</v>
      </c>
    </row>
    <row r="1299" spans="1:14">
      <c r="A1299">
        <v>6195</v>
      </c>
      <c r="B1299" t="s">
        <v>6156</v>
      </c>
      <c r="C1299">
        <v>5.01</v>
      </c>
      <c r="D1299">
        <v>19</v>
      </c>
      <c r="E1299">
        <v>13</v>
      </c>
      <c r="F1299">
        <v>14</v>
      </c>
      <c r="G1299">
        <v>12</v>
      </c>
      <c r="H1299">
        <v>12.03</v>
      </c>
      <c r="I1299">
        <v>4.4000000000000004</v>
      </c>
      <c r="J1299">
        <v>5.54</v>
      </c>
      <c r="K1299" s="245">
        <v>-13.15</v>
      </c>
      <c r="L1299" s="245">
        <v>11.25</v>
      </c>
      <c r="M1299" s="245">
        <v>49.3</v>
      </c>
      <c r="N1299" s="257" t="s">
        <v>6830</v>
      </c>
    </row>
    <row r="1300" spans="1:14">
      <c r="A1300">
        <v>6196</v>
      </c>
      <c r="B1300" t="s">
        <v>5800</v>
      </c>
      <c r="C1300">
        <v>19.5</v>
      </c>
      <c r="D1300">
        <v>72</v>
      </c>
      <c r="E1300">
        <v>36</v>
      </c>
      <c r="F1300">
        <v>7</v>
      </c>
      <c r="G1300">
        <v>46</v>
      </c>
      <c r="H1300">
        <v>4.7699999999999996</v>
      </c>
      <c r="I1300">
        <v>4.5</v>
      </c>
      <c r="J1300">
        <v>8.24</v>
      </c>
      <c r="K1300" s="245">
        <v>-37.69</v>
      </c>
      <c r="L1300" s="245">
        <v>13.67</v>
      </c>
      <c r="M1300" s="245">
        <v>775.7</v>
      </c>
      <c r="N1300" s="257" t="s">
        <v>6830</v>
      </c>
    </row>
    <row r="1301" spans="1:14">
      <c r="A1301">
        <v>6197</v>
      </c>
      <c r="B1301" t="s">
        <v>5801</v>
      </c>
      <c r="C1301">
        <v>12.2</v>
      </c>
      <c r="D1301">
        <v>42</v>
      </c>
      <c r="E1301">
        <v>-5</v>
      </c>
      <c r="F1301">
        <v>6</v>
      </c>
      <c r="G1301">
        <v>0</v>
      </c>
      <c r="H1301">
        <v>9.2799999999999994</v>
      </c>
      <c r="I1301">
        <v>3</v>
      </c>
      <c r="J1301">
        <v>3.06</v>
      </c>
      <c r="K1301" s="245">
        <v>-28.16</v>
      </c>
      <c r="L1301" s="245">
        <v>11.11</v>
      </c>
      <c r="M1301" s="245">
        <v>250.85</v>
      </c>
      <c r="N1301" s="257" t="s">
        <v>6830</v>
      </c>
    </row>
    <row r="1302" spans="1:14">
      <c r="A1302">
        <v>6198</v>
      </c>
      <c r="B1302" t="s">
        <v>6585</v>
      </c>
      <c r="C1302">
        <v>2.2599999999999998</v>
      </c>
      <c r="D1302">
        <v>69</v>
      </c>
      <c r="E1302">
        <v>67</v>
      </c>
      <c r="F1302">
        <v>158</v>
      </c>
      <c r="G1302">
        <v>1497</v>
      </c>
      <c r="H1302">
        <v>-15.14</v>
      </c>
      <c r="I1302">
        <v>0</v>
      </c>
      <c r="J1302">
        <v>-0.14000000000000001</v>
      </c>
      <c r="K1302" s="245">
        <v>-6.56</v>
      </c>
      <c r="L1302" s="245">
        <v>59.79</v>
      </c>
      <c r="M1302" s="245">
        <v>2.8</v>
      </c>
      <c r="N1302" s="257" t="s">
        <v>6831</v>
      </c>
    </row>
    <row r="1303" spans="1:14">
      <c r="A1303">
        <v>6199</v>
      </c>
      <c r="B1303" t="s">
        <v>6586</v>
      </c>
      <c r="C1303">
        <v>6.17</v>
      </c>
      <c r="D1303">
        <v>23</v>
      </c>
      <c r="E1303">
        <v>120</v>
      </c>
      <c r="F1303">
        <v>-20</v>
      </c>
      <c r="G1303">
        <v>10</v>
      </c>
      <c r="H1303">
        <v>3</v>
      </c>
      <c r="I1303">
        <v>0</v>
      </c>
      <c r="J1303">
        <v>0.68</v>
      </c>
      <c r="K1303" s="245">
        <v>-8.06</v>
      </c>
      <c r="L1303" s="245">
        <v>76.84</v>
      </c>
      <c r="M1303" s="245">
        <v>210.9</v>
      </c>
      <c r="N1303" s="257" t="s">
        <v>6832</v>
      </c>
    </row>
    <row r="1304" spans="1:14">
      <c r="A1304">
        <v>6201</v>
      </c>
      <c r="B1304" t="s">
        <v>5802</v>
      </c>
      <c r="C1304">
        <v>8.92</v>
      </c>
      <c r="D1304">
        <v>0</v>
      </c>
      <c r="E1304">
        <v>1</v>
      </c>
      <c r="F1304">
        <v>-5</v>
      </c>
      <c r="G1304">
        <v>-23</v>
      </c>
      <c r="H1304">
        <v>10.06</v>
      </c>
      <c r="I1304">
        <v>3</v>
      </c>
      <c r="J1304">
        <v>3.38</v>
      </c>
      <c r="K1304" s="245">
        <v>-13.74</v>
      </c>
      <c r="L1304" s="245">
        <v>14.1</v>
      </c>
      <c r="M1304" s="245">
        <v>18.75</v>
      </c>
      <c r="N1304" s="257" t="s">
        <v>6830</v>
      </c>
    </row>
    <row r="1305" spans="1:14">
      <c r="A1305">
        <v>6202</v>
      </c>
      <c r="B1305" t="s">
        <v>5803</v>
      </c>
      <c r="C1305">
        <v>22.61</v>
      </c>
      <c r="D1305">
        <v>97</v>
      </c>
      <c r="E1305">
        <v>57</v>
      </c>
      <c r="F1305">
        <v>9</v>
      </c>
      <c r="G1305">
        <v>17</v>
      </c>
      <c r="H1305">
        <v>24.89</v>
      </c>
      <c r="I1305">
        <v>8.1199999999999992</v>
      </c>
      <c r="J1305">
        <v>9.0399999999999991</v>
      </c>
      <c r="K1305" s="245">
        <v>-36.17</v>
      </c>
      <c r="L1305" s="245">
        <v>20.18</v>
      </c>
      <c r="M1305" s="245">
        <v>1521.55</v>
      </c>
      <c r="N1305" s="257" t="s">
        <v>6830</v>
      </c>
    </row>
    <row r="1306" spans="1:14">
      <c r="A1306">
        <v>6203</v>
      </c>
      <c r="B1306" t="s">
        <v>5804</v>
      </c>
      <c r="C1306">
        <v>7.99</v>
      </c>
      <c r="D1306">
        <v>23</v>
      </c>
      <c r="E1306">
        <v>15</v>
      </c>
      <c r="F1306">
        <v>19</v>
      </c>
      <c r="G1306">
        <v>-47</v>
      </c>
      <c r="H1306">
        <v>20.239999999999998</v>
      </c>
      <c r="I1306">
        <v>5</v>
      </c>
      <c r="J1306">
        <v>9.42</v>
      </c>
      <c r="K1306" s="245">
        <v>-56.17</v>
      </c>
      <c r="L1306" s="245">
        <v>8.43</v>
      </c>
      <c r="M1306" s="245">
        <v>133.30000000000001</v>
      </c>
      <c r="N1306" s="257" t="s">
        <v>6830</v>
      </c>
    </row>
    <row r="1307" spans="1:14">
      <c r="A1307">
        <v>6204</v>
      </c>
      <c r="B1307" t="s">
        <v>6157</v>
      </c>
      <c r="C1307">
        <v>2.31</v>
      </c>
      <c r="D1307">
        <v>782</v>
      </c>
      <c r="E1307">
        <v>60</v>
      </c>
      <c r="F1307">
        <v>36</v>
      </c>
      <c r="G1307">
        <v>-25</v>
      </c>
      <c r="H1307">
        <v>9.0399999999999991</v>
      </c>
      <c r="I1307">
        <v>20.2</v>
      </c>
      <c r="J1307">
        <v>12.41</v>
      </c>
      <c r="K1307" s="245">
        <v>-43.22</v>
      </c>
      <c r="L1307" s="245">
        <v>16.559999999999999</v>
      </c>
      <c r="M1307" s="245">
        <v>22.95</v>
      </c>
      <c r="N1307" s="257" t="s">
        <v>6830</v>
      </c>
    </row>
    <row r="1308" spans="1:14">
      <c r="A1308">
        <v>6205</v>
      </c>
      <c r="B1308" t="s">
        <v>5805</v>
      </c>
      <c r="C1308">
        <v>7.93</v>
      </c>
      <c r="D1308">
        <v>2</v>
      </c>
      <c r="E1308">
        <v>0</v>
      </c>
      <c r="F1308">
        <v>13</v>
      </c>
      <c r="G1308">
        <v>32</v>
      </c>
      <c r="H1308">
        <v>10.76</v>
      </c>
      <c r="I1308">
        <v>2</v>
      </c>
      <c r="J1308">
        <v>2.02</v>
      </c>
      <c r="K1308" s="245">
        <v>-17.239999999999998</v>
      </c>
      <c r="L1308" s="245">
        <v>37.75</v>
      </c>
      <c r="M1308" s="245">
        <v>3963.1</v>
      </c>
      <c r="N1308" s="257" t="s">
        <v>6832</v>
      </c>
    </row>
    <row r="1309" spans="1:14">
      <c r="A1309">
        <v>6206</v>
      </c>
      <c r="B1309" t="s">
        <v>5806</v>
      </c>
      <c r="C1309">
        <v>14.3</v>
      </c>
      <c r="D1309">
        <v>15</v>
      </c>
      <c r="E1309">
        <v>17</v>
      </c>
      <c r="F1309">
        <v>-4</v>
      </c>
      <c r="G1309">
        <v>19</v>
      </c>
      <c r="H1309">
        <v>15.85</v>
      </c>
      <c r="I1309">
        <v>4</v>
      </c>
      <c r="J1309">
        <v>4.7699999999999996</v>
      </c>
      <c r="K1309" s="245">
        <v>-10.51</v>
      </c>
      <c r="L1309" s="245">
        <v>47.18</v>
      </c>
      <c r="M1309" s="245">
        <v>256.14999999999998</v>
      </c>
      <c r="N1309" s="257" t="s">
        <v>6831</v>
      </c>
    </row>
    <row r="1310" spans="1:14">
      <c r="A1310">
        <v>6207</v>
      </c>
      <c r="B1310" t="s">
        <v>5807</v>
      </c>
      <c r="C1310">
        <v>8.3800000000000008</v>
      </c>
      <c r="D1310">
        <v>102</v>
      </c>
      <c r="E1310">
        <v>140</v>
      </c>
      <c r="F1310">
        <v>-37</v>
      </c>
      <c r="G1310">
        <v>-45</v>
      </c>
      <c r="H1310">
        <v>13.33</v>
      </c>
      <c r="I1310">
        <v>1.5</v>
      </c>
      <c r="J1310">
        <v>3.07</v>
      </c>
      <c r="K1310" s="245">
        <v>-32.24</v>
      </c>
      <c r="L1310" s="245">
        <v>11.65</v>
      </c>
      <c r="M1310" s="245">
        <v>313.8</v>
      </c>
      <c r="N1310" s="257" t="s">
        <v>6830</v>
      </c>
    </row>
    <row r="1311" spans="1:14">
      <c r="A1311">
        <v>6208</v>
      </c>
      <c r="B1311" t="s">
        <v>5808</v>
      </c>
      <c r="C1311">
        <v>11.82</v>
      </c>
      <c r="D1311">
        <v>23</v>
      </c>
      <c r="E1311">
        <v>69</v>
      </c>
      <c r="F1311">
        <v>-7</v>
      </c>
      <c r="G1311">
        <v>15</v>
      </c>
      <c r="H1311">
        <v>14.24</v>
      </c>
      <c r="I1311">
        <v>2.2000000000000002</v>
      </c>
      <c r="J1311">
        <v>3.32</v>
      </c>
      <c r="K1311" s="245">
        <v>-23.52</v>
      </c>
      <c r="L1311" s="245">
        <v>15.63</v>
      </c>
      <c r="M1311" s="245">
        <v>264.75</v>
      </c>
      <c r="N1311" s="257" t="s">
        <v>6831</v>
      </c>
    </row>
    <row r="1312" spans="1:14">
      <c r="A1312">
        <v>6209</v>
      </c>
      <c r="B1312" t="s">
        <v>5809</v>
      </c>
      <c r="C1312">
        <v>17.420000000000002</v>
      </c>
      <c r="D1312">
        <v>30</v>
      </c>
      <c r="E1312">
        <v>-3</v>
      </c>
      <c r="F1312">
        <v>-19</v>
      </c>
      <c r="G1312">
        <v>10</v>
      </c>
      <c r="H1312">
        <v>-6.13</v>
      </c>
      <c r="I1312">
        <v>0.5</v>
      </c>
      <c r="J1312">
        <v>-0.91</v>
      </c>
      <c r="K1312" s="245">
        <v>-31.84</v>
      </c>
      <c r="L1312" s="245">
        <v>23.54</v>
      </c>
      <c r="M1312" s="245">
        <v>291.75</v>
      </c>
      <c r="N1312" s="257" t="s">
        <v>6830</v>
      </c>
    </row>
    <row r="1313" spans="1:14">
      <c r="A1313">
        <v>6210</v>
      </c>
      <c r="B1313" t="s">
        <v>6327</v>
      </c>
      <c r="C1313">
        <v>3.5</v>
      </c>
      <c r="D1313">
        <v>-8</v>
      </c>
      <c r="E1313">
        <v>-14</v>
      </c>
      <c r="F1313">
        <v>-3</v>
      </c>
      <c r="G1313">
        <v>32</v>
      </c>
      <c r="H1313">
        <v>16.32</v>
      </c>
      <c r="I1313">
        <v>3</v>
      </c>
      <c r="J1313">
        <v>2.95</v>
      </c>
      <c r="K1313" s="245">
        <v>-4.16</v>
      </c>
      <c r="L1313" s="245">
        <v>47.77</v>
      </c>
      <c r="M1313" s="245">
        <v>15.2</v>
      </c>
      <c r="N1313" s="257" t="s">
        <v>6831</v>
      </c>
    </row>
    <row r="1314" spans="1:14">
      <c r="A1314">
        <v>6212</v>
      </c>
      <c r="B1314" t="s">
        <v>6349</v>
      </c>
      <c r="C1314">
        <v>10.199999999999999</v>
      </c>
      <c r="D1314">
        <v>19</v>
      </c>
      <c r="E1314">
        <v>19</v>
      </c>
      <c r="F1314">
        <v>-98</v>
      </c>
      <c r="G1314">
        <v>0</v>
      </c>
      <c r="H1314">
        <v>15.91</v>
      </c>
      <c r="I1314">
        <v>0</v>
      </c>
      <c r="J1314">
        <v>4.09</v>
      </c>
      <c r="K1314" s="245">
        <v>-17.82</v>
      </c>
      <c r="L1314" s="245">
        <v>12.57</v>
      </c>
      <c r="M1314" s="245">
        <v>5.3</v>
      </c>
      <c r="N1314" s="257" t="s">
        <v>6830</v>
      </c>
    </row>
    <row r="1315" spans="1:14">
      <c r="A1315">
        <v>6213</v>
      </c>
      <c r="B1315" t="s">
        <v>5810</v>
      </c>
      <c r="C1315">
        <v>38.29</v>
      </c>
      <c r="D1315">
        <v>17</v>
      </c>
      <c r="E1315">
        <v>18</v>
      </c>
      <c r="F1315">
        <v>-3</v>
      </c>
      <c r="G1315">
        <v>0</v>
      </c>
      <c r="H1315">
        <v>11.74</v>
      </c>
      <c r="I1315">
        <v>5</v>
      </c>
      <c r="J1315">
        <v>9</v>
      </c>
      <c r="K1315" s="245">
        <v>-42.23</v>
      </c>
      <c r="L1315" s="245">
        <v>11.76</v>
      </c>
      <c r="M1315" s="245">
        <v>861.8</v>
      </c>
      <c r="N1315" s="257" t="s">
        <v>6830</v>
      </c>
    </row>
    <row r="1316" spans="1:14">
      <c r="A1316">
        <v>6214</v>
      </c>
      <c r="B1316" t="s">
        <v>5811</v>
      </c>
      <c r="C1316">
        <v>26.93</v>
      </c>
      <c r="D1316">
        <v>-27</v>
      </c>
      <c r="E1316">
        <v>22</v>
      </c>
      <c r="F1316">
        <v>-22</v>
      </c>
      <c r="G1316">
        <v>-1</v>
      </c>
      <c r="H1316">
        <v>3.84</v>
      </c>
      <c r="I1316">
        <v>5</v>
      </c>
      <c r="J1316">
        <v>4.9000000000000004</v>
      </c>
      <c r="K1316" s="245">
        <v>-16.16</v>
      </c>
      <c r="L1316" s="245">
        <v>24.9</v>
      </c>
      <c r="M1316" s="245">
        <v>213.65</v>
      </c>
      <c r="N1316" s="257" t="s">
        <v>6830</v>
      </c>
    </row>
    <row r="1317" spans="1:14">
      <c r="A1317">
        <v>6215</v>
      </c>
      <c r="B1317" t="s">
        <v>5812</v>
      </c>
      <c r="C1317">
        <v>8.27</v>
      </c>
      <c r="D1317">
        <v>235</v>
      </c>
      <c r="E1317">
        <v>189</v>
      </c>
      <c r="F1317">
        <v>-19</v>
      </c>
      <c r="G1317">
        <v>-13</v>
      </c>
      <c r="H1317">
        <v>10.75</v>
      </c>
      <c r="I1317">
        <v>1.8</v>
      </c>
      <c r="J1317">
        <v>3.2</v>
      </c>
      <c r="K1317" s="245">
        <v>-41.98</v>
      </c>
      <c r="L1317" s="245">
        <v>15.25</v>
      </c>
      <c r="M1317" s="245">
        <v>254.85</v>
      </c>
      <c r="N1317" s="257" t="s">
        <v>6830</v>
      </c>
    </row>
    <row r="1318" spans="1:14">
      <c r="A1318">
        <v>6216</v>
      </c>
      <c r="B1318" t="s">
        <v>5813</v>
      </c>
      <c r="C1318">
        <v>8.9700000000000006</v>
      </c>
      <c r="D1318">
        <v>48</v>
      </c>
      <c r="E1318">
        <v>31</v>
      </c>
      <c r="F1318">
        <v>-25</v>
      </c>
      <c r="G1318">
        <v>46</v>
      </c>
      <c r="H1318">
        <v>20.47</v>
      </c>
      <c r="I1318">
        <v>1.72</v>
      </c>
      <c r="J1318">
        <v>1.85</v>
      </c>
      <c r="K1318" s="245">
        <v>-16.84</v>
      </c>
      <c r="L1318" s="245">
        <v>43.04</v>
      </c>
      <c r="M1318" s="245">
        <v>1580.4</v>
      </c>
      <c r="N1318" s="257" t="s">
        <v>6831</v>
      </c>
    </row>
    <row r="1319" spans="1:14">
      <c r="A1319">
        <v>6217</v>
      </c>
      <c r="B1319" t="s">
        <v>5814</v>
      </c>
      <c r="C1319">
        <v>7.53</v>
      </c>
      <c r="D1319">
        <v>116</v>
      </c>
      <c r="E1319">
        <v>119</v>
      </c>
      <c r="F1319">
        <v>-13</v>
      </c>
      <c r="G1319">
        <v>22</v>
      </c>
      <c r="H1319">
        <v>7.12</v>
      </c>
      <c r="I1319">
        <v>1.8</v>
      </c>
      <c r="J1319">
        <v>2.7</v>
      </c>
      <c r="K1319" s="245">
        <v>-17.809999999999999</v>
      </c>
      <c r="L1319" s="245">
        <v>42.27</v>
      </c>
      <c r="M1319" s="245">
        <v>6339.6</v>
      </c>
      <c r="N1319" s="257" t="s">
        <v>6831</v>
      </c>
    </row>
    <row r="1320" spans="1:14">
      <c r="A1320">
        <v>6218</v>
      </c>
      <c r="B1320" t="s">
        <v>5815</v>
      </c>
      <c r="C1320">
        <v>6.42</v>
      </c>
      <c r="D1320">
        <v>-12</v>
      </c>
      <c r="E1320">
        <v>-51</v>
      </c>
      <c r="F1320">
        <v>-38</v>
      </c>
      <c r="G1320">
        <v>-16</v>
      </c>
      <c r="H1320">
        <v>2.39</v>
      </c>
      <c r="I1320">
        <v>1</v>
      </c>
      <c r="J1320">
        <v>0.7</v>
      </c>
      <c r="K1320" s="245">
        <v>-21.7</v>
      </c>
      <c r="L1320" s="245">
        <v>15.25</v>
      </c>
      <c r="M1320" s="245">
        <v>50.65</v>
      </c>
      <c r="N1320" s="257" t="s">
        <v>6830</v>
      </c>
    </row>
    <row r="1321" spans="1:14">
      <c r="A1321">
        <v>6219</v>
      </c>
      <c r="B1321" t="s">
        <v>5816</v>
      </c>
      <c r="C1321">
        <v>15.4</v>
      </c>
      <c r="D1321">
        <v>-81</v>
      </c>
      <c r="E1321">
        <v>12</v>
      </c>
      <c r="F1321">
        <v>1649</v>
      </c>
      <c r="G1321">
        <v>6</v>
      </c>
      <c r="H1321">
        <v>11.86</v>
      </c>
      <c r="I1321">
        <v>0.25</v>
      </c>
      <c r="J1321">
        <v>0.44</v>
      </c>
      <c r="K1321" s="245">
        <v>-31.28</v>
      </c>
      <c r="L1321" s="245">
        <v>29.05</v>
      </c>
      <c r="M1321" s="245">
        <v>1225.2</v>
      </c>
      <c r="N1321" s="257" t="s">
        <v>6830</v>
      </c>
    </row>
    <row r="1322" spans="1:14">
      <c r="A1322">
        <v>6220</v>
      </c>
      <c r="B1322" t="s">
        <v>5817</v>
      </c>
      <c r="C1322">
        <v>13.19</v>
      </c>
      <c r="D1322">
        <v>-67</v>
      </c>
      <c r="E1322">
        <v>-60</v>
      </c>
      <c r="F1322">
        <v>-9</v>
      </c>
      <c r="G1322">
        <v>0</v>
      </c>
      <c r="H1322">
        <v>1.71</v>
      </c>
      <c r="I1322">
        <v>0.13</v>
      </c>
      <c r="J1322">
        <v>0.76</v>
      </c>
      <c r="K1322" s="245">
        <v>-17.559999999999999</v>
      </c>
      <c r="L1322" s="245">
        <v>59.52</v>
      </c>
      <c r="M1322" s="245">
        <v>168</v>
      </c>
      <c r="N1322" s="257" t="s">
        <v>6831</v>
      </c>
    </row>
    <row r="1323" spans="1:14">
      <c r="A1323">
        <v>6221</v>
      </c>
      <c r="B1323" t="s">
        <v>6295</v>
      </c>
      <c r="C1323">
        <v>7.16</v>
      </c>
      <c r="D1323">
        <v>-3</v>
      </c>
      <c r="E1323">
        <v>-11</v>
      </c>
      <c r="F1323">
        <v>0</v>
      </c>
      <c r="G1323">
        <v>62</v>
      </c>
      <c r="H1323">
        <v>6.72</v>
      </c>
      <c r="I1323">
        <v>2.5</v>
      </c>
      <c r="J1323">
        <v>2.95</v>
      </c>
      <c r="K1323" s="245">
        <v>-35.520000000000003</v>
      </c>
      <c r="L1323" s="245">
        <v>39.200000000000003</v>
      </c>
      <c r="M1323" s="245">
        <v>11.45</v>
      </c>
      <c r="N1323" s="257" t="s">
        <v>6830</v>
      </c>
    </row>
    <row r="1324" spans="1:14">
      <c r="A1324">
        <v>6222</v>
      </c>
      <c r="B1324" t="s">
        <v>6587</v>
      </c>
      <c r="C1324">
        <v>4.05</v>
      </c>
      <c r="D1324">
        <v>-326</v>
      </c>
      <c r="E1324">
        <v>-146</v>
      </c>
      <c r="F1324">
        <v>-43</v>
      </c>
      <c r="G1324">
        <v>-97</v>
      </c>
      <c r="H1324">
        <v>-2.16</v>
      </c>
      <c r="I1324">
        <v>0</v>
      </c>
      <c r="J1324">
        <v>-0.38</v>
      </c>
      <c r="K1324" s="245">
        <v>-15.43</v>
      </c>
      <c r="L1324" s="245">
        <v>63.85</v>
      </c>
      <c r="M1324" s="245">
        <v>144.69999999999999</v>
      </c>
      <c r="N1324" s="257" t="s">
        <v>6831</v>
      </c>
    </row>
    <row r="1325" spans="1:14">
      <c r="A1325">
        <v>6223</v>
      </c>
      <c r="B1325" t="s">
        <v>5818</v>
      </c>
      <c r="C1325">
        <v>9.4</v>
      </c>
      <c r="D1325">
        <v>-2</v>
      </c>
      <c r="E1325">
        <v>-6</v>
      </c>
      <c r="F1325">
        <v>3</v>
      </c>
      <c r="G1325">
        <v>30</v>
      </c>
      <c r="H1325">
        <v>12.41</v>
      </c>
      <c r="I1325">
        <v>4</v>
      </c>
      <c r="J1325">
        <v>7.44</v>
      </c>
      <c r="K1325" s="245">
        <v>-43.58</v>
      </c>
      <c r="L1325" s="245">
        <v>44.96</v>
      </c>
      <c r="M1325" s="245">
        <v>1684</v>
      </c>
      <c r="N1325" s="257" t="s">
        <v>6830</v>
      </c>
    </row>
    <row r="1326" spans="1:14">
      <c r="A1326">
        <v>6224</v>
      </c>
      <c r="B1326" t="s">
        <v>5819</v>
      </c>
      <c r="C1326">
        <v>8.56</v>
      </c>
      <c r="D1326">
        <v>12</v>
      </c>
      <c r="E1326">
        <v>19</v>
      </c>
      <c r="F1326">
        <v>-19</v>
      </c>
      <c r="G1326">
        <v>8</v>
      </c>
      <c r="H1326">
        <v>16.41</v>
      </c>
      <c r="I1326">
        <v>4.25</v>
      </c>
      <c r="J1326">
        <v>6.02</v>
      </c>
      <c r="K1326" s="245">
        <v>-56.22</v>
      </c>
      <c r="L1326" s="245">
        <v>17.05</v>
      </c>
      <c r="M1326" s="245">
        <v>364.3</v>
      </c>
      <c r="N1326" s="257" t="s">
        <v>6830</v>
      </c>
    </row>
    <row r="1327" spans="1:14">
      <c r="A1327">
        <v>6225</v>
      </c>
      <c r="B1327" t="s">
        <v>6588</v>
      </c>
      <c r="C1327">
        <v>4.37</v>
      </c>
      <c r="D1327">
        <v>44</v>
      </c>
      <c r="E1327">
        <v>41</v>
      </c>
      <c r="F1327">
        <v>-45</v>
      </c>
      <c r="G1327">
        <v>-20</v>
      </c>
      <c r="H1327">
        <v>-12.42</v>
      </c>
      <c r="I1327">
        <v>0</v>
      </c>
      <c r="J1327">
        <v>-0.09</v>
      </c>
      <c r="K1327" s="245">
        <v>-15.69</v>
      </c>
      <c r="L1327" s="245">
        <v>56.97</v>
      </c>
      <c r="M1327" s="245">
        <v>58.1</v>
      </c>
      <c r="N1327" s="257" t="s">
        <v>6832</v>
      </c>
    </row>
    <row r="1328" spans="1:14">
      <c r="A1328">
        <v>6226</v>
      </c>
      <c r="B1328" t="s">
        <v>5820</v>
      </c>
      <c r="C1328">
        <v>11.65</v>
      </c>
      <c r="D1328">
        <v>85</v>
      </c>
      <c r="E1328">
        <v>142</v>
      </c>
      <c r="F1328">
        <v>-54</v>
      </c>
      <c r="G1328">
        <v>-24</v>
      </c>
      <c r="H1328">
        <v>0.55000000000000004</v>
      </c>
      <c r="I1328">
        <v>0.12</v>
      </c>
      <c r="J1328">
        <v>0.01</v>
      </c>
      <c r="K1328" s="245">
        <v>-42.12</v>
      </c>
      <c r="L1328" s="245">
        <v>36.93</v>
      </c>
      <c r="M1328" s="245">
        <v>1340.5</v>
      </c>
      <c r="N1328" s="257" t="s">
        <v>6830</v>
      </c>
    </row>
    <row r="1329" spans="1:14">
      <c r="A1329">
        <v>6227</v>
      </c>
      <c r="B1329" t="s">
        <v>5821</v>
      </c>
      <c r="C1329">
        <v>7.61</v>
      </c>
      <c r="D1329">
        <v>112</v>
      </c>
      <c r="E1329">
        <v>113</v>
      </c>
      <c r="F1329">
        <v>1</v>
      </c>
      <c r="G1329">
        <v>-14</v>
      </c>
      <c r="H1329">
        <v>3.73</v>
      </c>
      <c r="I1329">
        <v>3.35</v>
      </c>
      <c r="J1329">
        <v>5.56</v>
      </c>
      <c r="K1329" s="245">
        <v>-17.77</v>
      </c>
      <c r="L1329" s="245">
        <v>39.51</v>
      </c>
      <c r="M1329" s="245">
        <v>210.95</v>
      </c>
      <c r="N1329" s="257" t="s">
        <v>6831</v>
      </c>
    </row>
    <row r="1330" spans="1:14">
      <c r="A1330">
        <v>6228</v>
      </c>
      <c r="B1330" t="s">
        <v>6589</v>
      </c>
      <c r="C1330">
        <v>4</v>
      </c>
      <c r="D1330">
        <v>81</v>
      </c>
      <c r="E1330">
        <v>97</v>
      </c>
      <c r="F1330">
        <v>-5</v>
      </c>
      <c r="G1330">
        <v>75</v>
      </c>
      <c r="H1330">
        <v>-0.28999999999999998</v>
      </c>
      <c r="I1330">
        <v>0</v>
      </c>
      <c r="J1330">
        <v>-0.13</v>
      </c>
      <c r="K1330" s="245">
        <v>-28.45</v>
      </c>
      <c r="L1330" s="245">
        <v>42.91</v>
      </c>
      <c r="M1330" s="245">
        <v>201.05</v>
      </c>
      <c r="N1330" s="257" t="s">
        <v>6831</v>
      </c>
    </row>
    <row r="1331" spans="1:14">
      <c r="A1331">
        <v>6229</v>
      </c>
      <c r="B1331" t="s">
        <v>5822</v>
      </c>
      <c r="C1331">
        <v>3.56</v>
      </c>
      <c r="D1331">
        <v>239</v>
      </c>
      <c r="E1331">
        <v>204</v>
      </c>
      <c r="F1331">
        <v>-6</v>
      </c>
      <c r="G1331">
        <v>-20</v>
      </c>
      <c r="H1331">
        <v>6.33</v>
      </c>
      <c r="I1331">
        <v>2.5</v>
      </c>
      <c r="J1331">
        <v>4.49</v>
      </c>
      <c r="K1331" s="245">
        <v>-41.96</v>
      </c>
      <c r="L1331" s="245">
        <v>16.760000000000002</v>
      </c>
      <c r="M1331" s="245">
        <v>189.75</v>
      </c>
      <c r="N1331" s="257" t="s">
        <v>6830</v>
      </c>
    </row>
    <row r="1332" spans="1:14">
      <c r="A1332">
        <v>6230</v>
      </c>
      <c r="B1332" t="s">
        <v>5823</v>
      </c>
      <c r="C1332">
        <v>8.6300000000000008</v>
      </c>
      <c r="D1332">
        <v>-55</v>
      </c>
      <c r="E1332">
        <v>-57</v>
      </c>
      <c r="F1332">
        <v>8</v>
      </c>
      <c r="G1332">
        <v>16</v>
      </c>
      <c r="H1332">
        <v>4.2</v>
      </c>
      <c r="I1332">
        <v>0.61</v>
      </c>
      <c r="J1332">
        <v>4.05</v>
      </c>
      <c r="K1332" s="245">
        <v>-52.51</v>
      </c>
      <c r="L1332" s="245">
        <v>34.31</v>
      </c>
      <c r="M1332" s="245">
        <v>212.1</v>
      </c>
      <c r="N1332" s="257" t="s">
        <v>6830</v>
      </c>
    </row>
    <row r="1333" spans="1:14">
      <c r="A1333">
        <v>6231</v>
      </c>
      <c r="B1333" t="s">
        <v>5824</v>
      </c>
      <c r="C1333">
        <v>3.8</v>
      </c>
      <c r="D1333">
        <v>46</v>
      </c>
      <c r="E1333">
        <v>43</v>
      </c>
      <c r="F1333">
        <v>-21</v>
      </c>
      <c r="G1333">
        <v>0</v>
      </c>
      <c r="H1333">
        <v>22.68</v>
      </c>
      <c r="I1333">
        <v>5.2</v>
      </c>
      <c r="J1333">
        <v>5.94</v>
      </c>
      <c r="K1333" s="245">
        <v>-29.48</v>
      </c>
      <c r="L1333" s="245">
        <v>19.47</v>
      </c>
      <c r="M1333" s="245">
        <v>570</v>
      </c>
      <c r="N1333" s="257" t="s">
        <v>6831</v>
      </c>
    </row>
    <row r="1334" spans="1:14">
      <c r="A1334">
        <v>6233</v>
      </c>
      <c r="B1334" t="s">
        <v>5825</v>
      </c>
      <c r="C1334">
        <v>7.96</v>
      </c>
      <c r="D1334">
        <v>579</v>
      </c>
      <c r="E1334">
        <v>819</v>
      </c>
      <c r="F1334">
        <v>8</v>
      </c>
      <c r="G1334">
        <v>5</v>
      </c>
      <c r="H1334">
        <v>9.9600000000000009</v>
      </c>
      <c r="I1334">
        <v>0</v>
      </c>
      <c r="J1334">
        <v>0.75</v>
      </c>
      <c r="K1334" s="245">
        <v>-56.45</v>
      </c>
      <c r="L1334" s="245">
        <v>20.83</v>
      </c>
      <c r="M1334" s="245">
        <v>437.55</v>
      </c>
      <c r="N1334" s="257" t="s">
        <v>6830</v>
      </c>
    </row>
    <row r="1335" spans="1:14">
      <c r="A1335">
        <v>6234</v>
      </c>
      <c r="B1335" t="s">
        <v>5826</v>
      </c>
      <c r="C1335">
        <v>10.029999999999999</v>
      </c>
      <c r="D1335">
        <v>12</v>
      </c>
      <c r="E1335">
        <v>14</v>
      </c>
      <c r="F1335">
        <v>-91</v>
      </c>
      <c r="G1335">
        <v>-32</v>
      </c>
      <c r="H1335">
        <v>12.73</v>
      </c>
      <c r="I1335">
        <v>0.75</v>
      </c>
      <c r="J1335">
        <v>1.24</v>
      </c>
      <c r="K1335" s="245">
        <v>-16.97</v>
      </c>
      <c r="L1335" s="245">
        <v>39.25</v>
      </c>
      <c r="M1335" s="245">
        <v>99.7</v>
      </c>
      <c r="N1335" s="257" t="s">
        <v>6831</v>
      </c>
    </row>
    <row r="1336" spans="1:14">
      <c r="A1336">
        <v>6235</v>
      </c>
      <c r="B1336" t="s">
        <v>5827</v>
      </c>
      <c r="C1336">
        <v>17.32</v>
      </c>
      <c r="D1336">
        <v>-74</v>
      </c>
      <c r="E1336">
        <v>516</v>
      </c>
      <c r="F1336">
        <v>-21</v>
      </c>
      <c r="G1336">
        <v>27</v>
      </c>
      <c r="H1336">
        <v>4.3</v>
      </c>
      <c r="I1336">
        <v>0.3</v>
      </c>
      <c r="J1336">
        <v>0.96</v>
      </c>
      <c r="K1336" s="245">
        <v>-18.54</v>
      </c>
      <c r="L1336" s="245">
        <v>48.39</v>
      </c>
      <c r="M1336" s="245">
        <v>17303.650000000001</v>
      </c>
      <c r="N1336" s="257" t="s">
        <v>6832</v>
      </c>
    </row>
    <row r="1337" spans="1:14">
      <c r="A1337">
        <v>6236</v>
      </c>
      <c r="B1337" t="s">
        <v>6590</v>
      </c>
      <c r="C1337">
        <v>3.16</v>
      </c>
      <c r="D1337">
        <v>50</v>
      </c>
      <c r="E1337">
        <v>32</v>
      </c>
      <c r="F1337">
        <v>131</v>
      </c>
      <c r="G1337">
        <v>118</v>
      </c>
      <c r="H1337">
        <v>-29.29</v>
      </c>
      <c r="I1337">
        <v>0</v>
      </c>
      <c r="J1337">
        <v>-0.17</v>
      </c>
      <c r="K1337" s="245">
        <v>-11.63</v>
      </c>
      <c r="L1337" s="245">
        <v>86.08</v>
      </c>
      <c r="M1337" s="245">
        <v>1.55</v>
      </c>
      <c r="N1337" s="257" t="s">
        <v>6832</v>
      </c>
    </row>
    <row r="1338" spans="1:14">
      <c r="A1338">
        <v>6237</v>
      </c>
      <c r="B1338" t="s">
        <v>5828</v>
      </c>
      <c r="C1338">
        <v>7.86</v>
      </c>
      <c r="D1338">
        <v>137</v>
      </c>
      <c r="E1338">
        <v>257</v>
      </c>
      <c r="F1338">
        <v>6</v>
      </c>
      <c r="G1338">
        <v>-42</v>
      </c>
      <c r="H1338">
        <v>29.06</v>
      </c>
      <c r="I1338">
        <v>1</v>
      </c>
      <c r="J1338">
        <v>5.75</v>
      </c>
      <c r="K1338" s="245">
        <v>-65.94</v>
      </c>
      <c r="L1338" s="245">
        <v>17.28</v>
      </c>
      <c r="M1338" s="245">
        <v>1145.9000000000001</v>
      </c>
      <c r="N1338" s="257" t="s">
        <v>6830</v>
      </c>
    </row>
    <row r="1339" spans="1:14">
      <c r="A1339">
        <v>6239</v>
      </c>
      <c r="B1339" t="s">
        <v>5829</v>
      </c>
      <c r="C1339">
        <v>75.91</v>
      </c>
      <c r="D1339">
        <v>43</v>
      </c>
      <c r="E1339">
        <v>35</v>
      </c>
      <c r="F1339">
        <v>3</v>
      </c>
      <c r="G1339">
        <v>9</v>
      </c>
      <c r="H1339">
        <v>17.329999999999998</v>
      </c>
      <c r="I1339">
        <v>6.8</v>
      </c>
      <c r="J1339">
        <v>11.54</v>
      </c>
      <c r="K1339" s="245">
        <v>-19.309999999999999</v>
      </c>
      <c r="L1339" s="245">
        <v>30.41</v>
      </c>
      <c r="M1339" s="245">
        <v>2150.8000000000002</v>
      </c>
      <c r="N1339" s="257" t="s">
        <v>6830</v>
      </c>
    </row>
    <row r="1340" spans="1:14">
      <c r="A1340">
        <v>6240</v>
      </c>
      <c r="B1340" t="s">
        <v>5830</v>
      </c>
      <c r="C1340">
        <v>2.2799999999999998</v>
      </c>
      <c r="D1340">
        <v>3048</v>
      </c>
      <c r="E1340">
        <v>-177</v>
      </c>
      <c r="F1340">
        <v>0</v>
      </c>
      <c r="G1340">
        <v>-3</v>
      </c>
      <c r="H1340">
        <v>-50.06</v>
      </c>
      <c r="I1340">
        <v>0</v>
      </c>
      <c r="J1340">
        <v>1.1299999999999999</v>
      </c>
      <c r="K1340" s="245">
        <v>-28.25</v>
      </c>
      <c r="L1340" s="245">
        <v>39.15</v>
      </c>
      <c r="M1340" s="245">
        <v>171.15</v>
      </c>
      <c r="N1340" s="257" t="s">
        <v>6831</v>
      </c>
    </row>
    <row r="1341" spans="1:14">
      <c r="A1341">
        <v>6241</v>
      </c>
      <c r="B1341" t="s">
        <v>6591</v>
      </c>
      <c r="C1341">
        <v>3.37</v>
      </c>
      <c r="D1341">
        <v>-764</v>
      </c>
      <c r="E1341">
        <v>-2471</v>
      </c>
      <c r="F1341">
        <v>-1</v>
      </c>
      <c r="G1341">
        <v>762</v>
      </c>
      <c r="H1341">
        <v>-32.799999999999997</v>
      </c>
      <c r="I1341">
        <v>0</v>
      </c>
      <c r="J1341">
        <v>-3.15</v>
      </c>
      <c r="K1341" s="245">
        <v>-29.43</v>
      </c>
      <c r="L1341" s="245">
        <v>51.61</v>
      </c>
      <c r="M1341" s="245">
        <v>1672.55</v>
      </c>
      <c r="N1341" s="257" t="s">
        <v>6831</v>
      </c>
    </row>
    <row r="1342" spans="1:14">
      <c r="A1342">
        <v>6242</v>
      </c>
      <c r="B1342" t="s">
        <v>6592</v>
      </c>
      <c r="C1342">
        <v>2.2200000000000002</v>
      </c>
      <c r="D1342">
        <v>-25</v>
      </c>
      <c r="E1342">
        <v>-29</v>
      </c>
      <c r="F1342">
        <v>4</v>
      </c>
      <c r="G1342">
        <v>-7</v>
      </c>
      <c r="H1342">
        <v>14.79</v>
      </c>
      <c r="I1342">
        <v>2</v>
      </c>
      <c r="J1342">
        <v>2.3199999999999998</v>
      </c>
      <c r="K1342" s="245">
        <v>-37.58</v>
      </c>
      <c r="L1342" s="245">
        <v>53.08</v>
      </c>
      <c r="M1342" s="245">
        <v>611.4</v>
      </c>
      <c r="N1342" s="257" t="s">
        <v>6830</v>
      </c>
    </row>
    <row r="1343" spans="1:14">
      <c r="A1343">
        <v>6243</v>
      </c>
      <c r="B1343" t="s">
        <v>5831</v>
      </c>
      <c r="C1343">
        <v>4.53</v>
      </c>
      <c r="D1343">
        <v>198</v>
      </c>
      <c r="E1343">
        <v>356</v>
      </c>
      <c r="F1343">
        <v>-49</v>
      </c>
      <c r="G1343">
        <v>-48</v>
      </c>
      <c r="H1343">
        <v>7.92</v>
      </c>
      <c r="I1343">
        <v>1.2</v>
      </c>
      <c r="J1343">
        <v>1.6</v>
      </c>
      <c r="K1343" s="245">
        <v>-48.24</v>
      </c>
      <c r="L1343" s="245">
        <v>15.26</v>
      </c>
      <c r="M1343" s="245">
        <v>303.39999999999998</v>
      </c>
      <c r="N1343" s="257" t="s">
        <v>6831</v>
      </c>
    </row>
    <row r="1344" spans="1:14">
      <c r="A1344">
        <v>6244</v>
      </c>
      <c r="B1344" t="s">
        <v>6593</v>
      </c>
      <c r="C1344">
        <v>35.5</v>
      </c>
      <c r="D1344">
        <v>-4</v>
      </c>
      <c r="E1344">
        <v>1789</v>
      </c>
      <c r="F1344">
        <v>6</v>
      </c>
      <c r="G1344">
        <v>-16</v>
      </c>
      <c r="H1344">
        <v>2.87</v>
      </c>
      <c r="I1344">
        <v>0.2</v>
      </c>
      <c r="J1344">
        <v>0.3</v>
      </c>
      <c r="K1344" s="245">
        <v>-30.5</v>
      </c>
      <c r="L1344" s="245">
        <v>16.64</v>
      </c>
      <c r="M1344" s="245">
        <v>3239.2</v>
      </c>
      <c r="N1344" s="257" t="s">
        <v>6830</v>
      </c>
    </row>
    <row r="1345" spans="1:14">
      <c r="A1345">
        <v>6245</v>
      </c>
      <c r="B1345" t="s">
        <v>5832</v>
      </c>
      <c r="C1345">
        <v>11.8</v>
      </c>
      <c r="D1345">
        <v>-13</v>
      </c>
      <c r="E1345">
        <v>-5</v>
      </c>
      <c r="F1345">
        <v>-17</v>
      </c>
      <c r="G1345">
        <v>10</v>
      </c>
      <c r="H1345">
        <v>8.14</v>
      </c>
      <c r="I1345">
        <v>3</v>
      </c>
      <c r="J1345">
        <v>4.6500000000000004</v>
      </c>
      <c r="K1345" s="245">
        <v>-18.89</v>
      </c>
      <c r="L1345" s="245">
        <v>35.65</v>
      </c>
      <c r="M1345" s="245">
        <v>1023.4</v>
      </c>
      <c r="N1345" s="257" t="s">
        <v>6831</v>
      </c>
    </row>
    <row r="1346" spans="1:14">
      <c r="A1346">
        <v>6246</v>
      </c>
      <c r="B1346" t="s">
        <v>5833</v>
      </c>
      <c r="C1346">
        <v>3.71</v>
      </c>
      <c r="D1346">
        <v>144</v>
      </c>
      <c r="E1346">
        <v>21</v>
      </c>
      <c r="F1346">
        <v>4</v>
      </c>
      <c r="G1346">
        <v>11</v>
      </c>
      <c r="H1346">
        <v>2.2799999999999998</v>
      </c>
      <c r="I1346">
        <v>0</v>
      </c>
      <c r="J1346">
        <v>0.91</v>
      </c>
      <c r="K1346" s="245">
        <v>-46.08</v>
      </c>
      <c r="L1346" s="245">
        <v>18.010000000000002</v>
      </c>
      <c r="M1346" s="245">
        <v>73.5</v>
      </c>
      <c r="N1346" s="257" t="s">
        <v>6830</v>
      </c>
    </row>
    <row r="1347" spans="1:14">
      <c r="A1347">
        <v>6247</v>
      </c>
      <c r="B1347" t="s">
        <v>6594</v>
      </c>
      <c r="C1347">
        <v>6.03</v>
      </c>
      <c r="D1347">
        <v>-8</v>
      </c>
      <c r="E1347">
        <v>-26</v>
      </c>
      <c r="F1347">
        <v>34</v>
      </c>
      <c r="G1347">
        <v>-37</v>
      </c>
      <c r="H1347">
        <v>-17.78</v>
      </c>
      <c r="I1347">
        <v>0</v>
      </c>
      <c r="J1347">
        <v>-1.42</v>
      </c>
      <c r="K1347" s="245">
        <v>-31.35</v>
      </c>
      <c r="L1347" s="245">
        <v>44.36</v>
      </c>
      <c r="M1347" s="245">
        <v>11.9</v>
      </c>
      <c r="N1347" s="257" t="s">
        <v>6830</v>
      </c>
    </row>
    <row r="1348" spans="1:14">
      <c r="A1348">
        <v>6248</v>
      </c>
      <c r="B1348" t="s">
        <v>5834</v>
      </c>
      <c r="C1348">
        <v>4.57</v>
      </c>
      <c r="D1348">
        <v>8</v>
      </c>
      <c r="E1348">
        <v>4</v>
      </c>
      <c r="F1348">
        <v>-1</v>
      </c>
      <c r="G1348">
        <v>37</v>
      </c>
      <c r="H1348">
        <v>1.68</v>
      </c>
      <c r="I1348">
        <v>1.2</v>
      </c>
      <c r="J1348">
        <v>1.62</v>
      </c>
      <c r="K1348" s="245">
        <v>-33.020000000000003</v>
      </c>
      <c r="L1348" s="245">
        <v>21.72</v>
      </c>
      <c r="M1348" s="245">
        <v>107.2</v>
      </c>
      <c r="N1348" s="257" t="s">
        <v>6830</v>
      </c>
    </row>
    <row r="1349" spans="1:14">
      <c r="A1349">
        <v>6251</v>
      </c>
      <c r="B1349" t="s">
        <v>5835</v>
      </c>
      <c r="C1349">
        <v>27.75</v>
      </c>
      <c r="D1349">
        <v>-30</v>
      </c>
      <c r="E1349">
        <v>18</v>
      </c>
      <c r="F1349">
        <v>-25</v>
      </c>
      <c r="G1349">
        <v>-6</v>
      </c>
      <c r="H1349">
        <v>4.12</v>
      </c>
      <c r="I1349">
        <v>0.7</v>
      </c>
      <c r="J1349">
        <v>1.7</v>
      </c>
      <c r="K1349" s="245">
        <v>-17.37</v>
      </c>
      <c r="L1349" s="245">
        <v>27.48</v>
      </c>
      <c r="M1349" s="245">
        <v>3824.55</v>
      </c>
      <c r="N1349" s="257" t="s">
        <v>6831</v>
      </c>
    </row>
    <row r="1350" spans="1:14">
      <c r="A1350">
        <v>6257</v>
      </c>
      <c r="B1350" t="s">
        <v>5836</v>
      </c>
      <c r="C1350">
        <v>45.33</v>
      </c>
      <c r="D1350">
        <v>57</v>
      </c>
      <c r="E1350">
        <v>47</v>
      </c>
      <c r="F1350">
        <v>-4</v>
      </c>
      <c r="G1350">
        <v>21</v>
      </c>
      <c r="H1350">
        <v>20.62</v>
      </c>
      <c r="I1350">
        <v>4.0999999999999996</v>
      </c>
      <c r="J1350">
        <v>6.25</v>
      </c>
      <c r="K1350" s="245">
        <v>-19.39</v>
      </c>
      <c r="L1350" s="245">
        <v>56.68</v>
      </c>
      <c r="M1350" s="245">
        <v>2072.8000000000002</v>
      </c>
      <c r="N1350" s="257" t="s">
        <v>6830</v>
      </c>
    </row>
    <row r="1351" spans="1:14">
      <c r="A1351">
        <v>6259</v>
      </c>
      <c r="B1351" t="s">
        <v>6595</v>
      </c>
      <c r="C1351">
        <v>1.85</v>
      </c>
      <c r="D1351">
        <v>-74</v>
      </c>
      <c r="E1351">
        <v>133</v>
      </c>
      <c r="F1351">
        <v>3</v>
      </c>
      <c r="G1351">
        <v>221</v>
      </c>
      <c r="H1351">
        <v>0.93</v>
      </c>
      <c r="I1351">
        <v>0.19</v>
      </c>
      <c r="J1351">
        <v>0.03</v>
      </c>
      <c r="K1351" s="245">
        <v>-42.12</v>
      </c>
      <c r="L1351" s="245">
        <v>21.76</v>
      </c>
      <c r="M1351" s="245">
        <v>209.7</v>
      </c>
      <c r="N1351" s="257" t="s">
        <v>6831</v>
      </c>
    </row>
    <row r="1352" spans="1:14">
      <c r="A1352">
        <v>6261</v>
      </c>
      <c r="B1352" t="s">
        <v>5837</v>
      </c>
      <c r="C1352">
        <v>12.84</v>
      </c>
      <c r="D1352">
        <v>109</v>
      </c>
      <c r="E1352">
        <v>101</v>
      </c>
      <c r="F1352">
        <v>-12</v>
      </c>
      <c r="G1352">
        <v>-14</v>
      </c>
      <c r="H1352">
        <v>26.69</v>
      </c>
      <c r="I1352">
        <v>5</v>
      </c>
      <c r="J1352">
        <v>8.41</v>
      </c>
      <c r="K1352" s="245">
        <v>-30.05</v>
      </c>
      <c r="L1352" s="245">
        <v>21.86</v>
      </c>
      <c r="M1352" s="245">
        <v>285.7</v>
      </c>
      <c r="N1352" s="257" t="s">
        <v>6830</v>
      </c>
    </row>
    <row r="1353" spans="1:14">
      <c r="A1353">
        <v>6263</v>
      </c>
      <c r="B1353" t="s">
        <v>5838</v>
      </c>
      <c r="C1353">
        <v>6.25</v>
      </c>
      <c r="D1353">
        <v>18</v>
      </c>
      <c r="E1353">
        <v>18</v>
      </c>
      <c r="F1353">
        <v>1</v>
      </c>
      <c r="G1353">
        <v>9</v>
      </c>
      <c r="H1353">
        <v>26.82</v>
      </c>
      <c r="I1353">
        <v>4.7</v>
      </c>
      <c r="J1353">
        <v>5.14</v>
      </c>
      <c r="K1353" s="245">
        <v>-5.81</v>
      </c>
      <c r="L1353" s="245">
        <v>50.14</v>
      </c>
      <c r="M1353" s="245">
        <v>70.150000000000006</v>
      </c>
      <c r="N1353" s="257" t="s">
        <v>6832</v>
      </c>
    </row>
    <row r="1354" spans="1:14">
      <c r="A1354">
        <v>6264</v>
      </c>
      <c r="B1354" t="s">
        <v>6596</v>
      </c>
      <c r="C1354">
        <v>11.63</v>
      </c>
      <c r="D1354">
        <v>28</v>
      </c>
      <c r="E1354">
        <v>-145</v>
      </c>
      <c r="F1354">
        <v>24</v>
      </c>
      <c r="G1354">
        <v>-48</v>
      </c>
      <c r="H1354">
        <v>-20.2</v>
      </c>
      <c r="I1354">
        <v>0</v>
      </c>
      <c r="J1354">
        <v>-0.19</v>
      </c>
      <c r="K1354" s="245">
        <v>-28.17</v>
      </c>
      <c r="L1354" s="245">
        <v>32.53</v>
      </c>
      <c r="M1354" s="245">
        <v>57.95</v>
      </c>
      <c r="N1354" s="257" t="s">
        <v>6830</v>
      </c>
    </row>
    <row r="1355" spans="1:14">
      <c r="A1355">
        <v>6265</v>
      </c>
      <c r="B1355" t="s">
        <v>5839</v>
      </c>
      <c r="C1355">
        <v>11.81</v>
      </c>
      <c r="D1355">
        <v>358</v>
      </c>
      <c r="E1355">
        <v>315</v>
      </c>
      <c r="F1355">
        <v>-34</v>
      </c>
      <c r="G1355">
        <v>-14</v>
      </c>
      <c r="H1355">
        <v>4.5</v>
      </c>
      <c r="I1355">
        <v>0</v>
      </c>
      <c r="J1355">
        <v>0.64</v>
      </c>
      <c r="K1355" s="245">
        <v>-50.84</v>
      </c>
      <c r="L1355" s="245">
        <v>10.15</v>
      </c>
      <c r="M1355" s="245">
        <v>492.15</v>
      </c>
      <c r="N1355" s="257" t="s">
        <v>6830</v>
      </c>
    </row>
    <row r="1356" spans="1:14">
      <c r="A1356">
        <v>6266</v>
      </c>
      <c r="B1356" t="s">
        <v>5840</v>
      </c>
      <c r="C1356">
        <v>10.23</v>
      </c>
      <c r="D1356">
        <v>11</v>
      </c>
      <c r="E1356">
        <v>0</v>
      </c>
      <c r="F1356">
        <v>-24</v>
      </c>
      <c r="G1356">
        <v>-1</v>
      </c>
      <c r="H1356">
        <v>7.99</v>
      </c>
      <c r="I1356">
        <v>1.38</v>
      </c>
      <c r="J1356">
        <v>1.59</v>
      </c>
      <c r="K1356" s="245">
        <v>-43.83</v>
      </c>
      <c r="L1356" s="245">
        <v>25.94</v>
      </c>
      <c r="M1356" s="245">
        <v>1207.4000000000001</v>
      </c>
      <c r="N1356" s="257" t="s">
        <v>6830</v>
      </c>
    </row>
    <row r="1357" spans="1:14">
      <c r="A1357">
        <v>6269</v>
      </c>
      <c r="B1357" t="s">
        <v>5841</v>
      </c>
      <c r="C1357">
        <v>32.03</v>
      </c>
      <c r="D1357">
        <v>-1</v>
      </c>
      <c r="E1357">
        <v>-4</v>
      </c>
      <c r="F1357">
        <v>-49</v>
      </c>
      <c r="G1357">
        <v>-27</v>
      </c>
      <c r="H1357">
        <v>9.1999999999999993</v>
      </c>
      <c r="I1357">
        <v>5</v>
      </c>
      <c r="J1357">
        <v>8.19</v>
      </c>
      <c r="K1357" s="245">
        <v>-35.700000000000003</v>
      </c>
      <c r="L1357" s="245">
        <v>23.39</v>
      </c>
      <c r="M1357" s="245">
        <v>1855.55</v>
      </c>
      <c r="N1357" s="257" t="s">
        <v>6830</v>
      </c>
    </row>
    <row r="1358" spans="1:14">
      <c r="A1358">
        <v>6270</v>
      </c>
      <c r="B1358" t="s">
        <v>5842</v>
      </c>
      <c r="C1358">
        <v>7.21</v>
      </c>
      <c r="D1358">
        <v>84</v>
      </c>
      <c r="E1358">
        <v>61</v>
      </c>
      <c r="F1358">
        <v>-25</v>
      </c>
      <c r="G1358">
        <v>4</v>
      </c>
      <c r="H1358">
        <v>3.78</v>
      </c>
      <c r="I1358">
        <v>2</v>
      </c>
      <c r="J1358">
        <v>2.36</v>
      </c>
      <c r="K1358" s="245">
        <v>-7.71</v>
      </c>
      <c r="L1358" s="245">
        <v>48.02</v>
      </c>
      <c r="M1358" s="245">
        <v>210.05</v>
      </c>
      <c r="N1358" s="257" t="s">
        <v>6832</v>
      </c>
    </row>
    <row r="1359" spans="1:14">
      <c r="A1359">
        <v>6271</v>
      </c>
      <c r="B1359" t="s">
        <v>5843</v>
      </c>
      <c r="C1359">
        <v>17.86</v>
      </c>
      <c r="D1359">
        <v>90</v>
      </c>
      <c r="E1359">
        <v>69</v>
      </c>
      <c r="F1359">
        <v>-4</v>
      </c>
      <c r="G1359">
        <v>6</v>
      </c>
      <c r="H1359">
        <v>24.5</v>
      </c>
      <c r="I1359">
        <v>9</v>
      </c>
      <c r="J1359">
        <v>15.49</v>
      </c>
      <c r="K1359" s="245">
        <v>-22.72</v>
      </c>
      <c r="L1359" s="245">
        <v>28.67</v>
      </c>
      <c r="M1359" s="245">
        <v>1745.95</v>
      </c>
      <c r="N1359" s="257" t="s">
        <v>6831</v>
      </c>
    </row>
    <row r="1360" spans="1:14">
      <c r="A1360">
        <v>6274</v>
      </c>
      <c r="B1360" t="s">
        <v>5844</v>
      </c>
      <c r="C1360">
        <v>26.91</v>
      </c>
      <c r="D1360">
        <v>5</v>
      </c>
      <c r="E1360">
        <v>4</v>
      </c>
      <c r="F1360">
        <v>-5</v>
      </c>
      <c r="G1360">
        <v>-7</v>
      </c>
      <c r="H1360">
        <v>11.26</v>
      </c>
      <c r="I1360">
        <v>5</v>
      </c>
      <c r="J1360">
        <v>7.01</v>
      </c>
      <c r="K1360" s="245">
        <v>-42.48</v>
      </c>
      <c r="L1360" s="245">
        <v>33.31</v>
      </c>
      <c r="M1360" s="245">
        <v>3051.25</v>
      </c>
      <c r="N1360" s="257" t="s">
        <v>6830</v>
      </c>
    </row>
    <row r="1361" spans="1:14">
      <c r="A1361">
        <v>6275</v>
      </c>
      <c r="B1361" t="s">
        <v>5845</v>
      </c>
      <c r="C1361">
        <v>7.01</v>
      </c>
      <c r="D1361">
        <v>41</v>
      </c>
      <c r="E1361">
        <v>25</v>
      </c>
      <c r="F1361">
        <v>-3</v>
      </c>
      <c r="G1361">
        <v>-4</v>
      </c>
      <c r="H1361">
        <v>5.82</v>
      </c>
      <c r="I1361">
        <v>2.2000000000000002</v>
      </c>
      <c r="J1361">
        <v>2.86</v>
      </c>
      <c r="K1361" s="245">
        <v>-28.14</v>
      </c>
      <c r="L1361" s="245">
        <v>13.85</v>
      </c>
      <c r="M1361" s="245">
        <v>539.04999999999995</v>
      </c>
      <c r="N1361" s="257" t="s">
        <v>6830</v>
      </c>
    </row>
    <row r="1362" spans="1:14">
      <c r="A1362">
        <v>6276</v>
      </c>
      <c r="B1362" t="s">
        <v>5846</v>
      </c>
      <c r="C1362">
        <v>3.14</v>
      </c>
      <c r="D1362">
        <v>-68</v>
      </c>
      <c r="E1362">
        <v>-66</v>
      </c>
      <c r="F1362">
        <v>-9</v>
      </c>
      <c r="G1362">
        <v>-13</v>
      </c>
      <c r="H1362">
        <v>2.75</v>
      </c>
      <c r="I1362">
        <v>1</v>
      </c>
      <c r="J1362">
        <v>1.0900000000000001</v>
      </c>
      <c r="K1362" s="245">
        <v>-57.29</v>
      </c>
      <c r="L1362" s="245">
        <v>10.06</v>
      </c>
      <c r="M1362" s="245">
        <v>61.2</v>
      </c>
      <c r="N1362" s="257" t="s">
        <v>6830</v>
      </c>
    </row>
    <row r="1363" spans="1:14">
      <c r="A1363">
        <v>6277</v>
      </c>
      <c r="B1363" t="s">
        <v>5847</v>
      </c>
      <c r="C1363">
        <v>11.94</v>
      </c>
      <c r="D1363">
        <v>-57</v>
      </c>
      <c r="E1363">
        <v>32</v>
      </c>
      <c r="F1363">
        <v>-19</v>
      </c>
      <c r="G1363">
        <v>-7</v>
      </c>
      <c r="H1363">
        <v>15.6</v>
      </c>
      <c r="I1363">
        <v>5.2</v>
      </c>
      <c r="J1363">
        <v>5.33</v>
      </c>
      <c r="K1363" s="245">
        <v>-10.31</v>
      </c>
      <c r="L1363" s="245">
        <v>22.55</v>
      </c>
      <c r="M1363" s="245">
        <v>65.2</v>
      </c>
      <c r="N1363" s="257" t="s">
        <v>6830</v>
      </c>
    </row>
    <row r="1364" spans="1:14">
      <c r="A1364">
        <v>6278</v>
      </c>
      <c r="B1364" t="s">
        <v>5848</v>
      </c>
      <c r="C1364">
        <v>29.23</v>
      </c>
      <c r="D1364">
        <v>69</v>
      </c>
      <c r="E1364">
        <v>88</v>
      </c>
      <c r="F1364">
        <v>-24</v>
      </c>
      <c r="G1364">
        <v>-7</v>
      </c>
      <c r="H1364">
        <v>7.15</v>
      </c>
      <c r="I1364">
        <v>6</v>
      </c>
      <c r="J1364">
        <v>12.7</v>
      </c>
      <c r="K1364" s="245">
        <v>-27.78</v>
      </c>
      <c r="L1364" s="245">
        <v>26.59</v>
      </c>
      <c r="M1364" s="245">
        <v>2420.0500000000002</v>
      </c>
      <c r="N1364" s="257" t="s">
        <v>6830</v>
      </c>
    </row>
    <row r="1365" spans="1:14">
      <c r="A1365">
        <v>6279</v>
      </c>
      <c r="B1365" t="s">
        <v>5849</v>
      </c>
      <c r="C1365">
        <v>9.9600000000000009</v>
      </c>
      <c r="D1365">
        <v>42</v>
      </c>
      <c r="E1365">
        <v>39</v>
      </c>
      <c r="F1365">
        <v>0</v>
      </c>
      <c r="G1365">
        <v>12</v>
      </c>
      <c r="H1365">
        <v>19.55</v>
      </c>
      <c r="I1365">
        <v>5</v>
      </c>
      <c r="J1365">
        <v>7.91</v>
      </c>
      <c r="K1365" s="245">
        <v>-29.51</v>
      </c>
      <c r="L1365" s="245">
        <v>22.61</v>
      </c>
      <c r="M1365" s="245">
        <v>397.45</v>
      </c>
      <c r="N1365" s="257" t="s">
        <v>6830</v>
      </c>
    </row>
    <row r="1366" spans="1:14">
      <c r="A1366">
        <v>6281</v>
      </c>
      <c r="B1366" t="s">
        <v>5850</v>
      </c>
      <c r="C1366">
        <v>9.91</v>
      </c>
      <c r="D1366">
        <v>3</v>
      </c>
      <c r="E1366">
        <v>2</v>
      </c>
      <c r="F1366">
        <v>28</v>
      </c>
      <c r="G1366">
        <v>19</v>
      </c>
      <c r="H1366">
        <v>3.64</v>
      </c>
      <c r="I1366">
        <v>5</v>
      </c>
      <c r="J1366">
        <v>6.05</v>
      </c>
      <c r="K1366" s="245">
        <v>-1.94</v>
      </c>
      <c r="L1366" s="245">
        <v>53.03</v>
      </c>
      <c r="M1366" s="245">
        <v>35.9</v>
      </c>
      <c r="N1366" s="257" t="s">
        <v>6832</v>
      </c>
    </row>
    <row r="1367" spans="1:14">
      <c r="A1367">
        <v>6282</v>
      </c>
      <c r="B1367" t="s">
        <v>5851</v>
      </c>
      <c r="C1367">
        <v>51.66</v>
      </c>
      <c r="D1367">
        <v>-52</v>
      </c>
      <c r="E1367">
        <v>6</v>
      </c>
      <c r="F1367">
        <v>-16</v>
      </c>
      <c r="G1367">
        <v>19</v>
      </c>
      <c r="H1367">
        <v>1.91</v>
      </c>
      <c r="I1367">
        <v>1</v>
      </c>
      <c r="J1367">
        <v>1.17</v>
      </c>
      <c r="K1367" s="245">
        <v>-31.54</v>
      </c>
      <c r="L1367" s="245">
        <v>13.72</v>
      </c>
      <c r="M1367" s="245">
        <v>3715.55</v>
      </c>
      <c r="N1367" s="257" t="s">
        <v>6830</v>
      </c>
    </row>
    <row r="1368" spans="1:14">
      <c r="A1368">
        <v>6283</v>
      </c>
      <c r="B1368" t="s">
        <v>5852</v>
      </c>
      <c r="C1368">
        <v>14.79</v>
      </c>
      <c r="D1368">
        <v>-131</v>
      </c>
      <c r="E1368">
        <v>-114</v>
      </c>
      <c r="F1368">
        <v>-16</v>
      </c>
      <c r="G1368">
        <v>-35</v>
      </c>
      <c r="H1368">
        <v>-15.54</v>
      </c>
      <c r="I1368">
        <v>0</v>
      </c>
      <c r="J1368">
        <v>-0.4</v>
      </c>
      <c r="K1368" s="245">
        <v>-53.34</v>
      </c>
      <c r="L1368" s="245">
        <v>18.68</v>
      </c>
      <c r="M1368" s="245">
        <v>231.9</v>
      </c>
      <c r="N1368" s="257" t="s">
        <v>6830</v>
      </c>
    </row>
    <row r="1369" spans="1:14">
      <c r="A1369">
        <v>6284</v>
      </c>
      <c r="B1369" t="s">
        <v>5853</v>
      </c>
      <c r="C1369">
        <v>14.01</v>
      </c>
      <c r="D1369">
        <v>55</v>
      </c>
      <c r="E1369">
        <v>25</v>
      </c>
      <c r="F1369">
        <v>-10</v>
      </c>
      <c r="G1369">
        <v>-10</v>
      </c>
      <c r="H1369">
        <v>9.93</v>
      </c>
      <c r="I1369">
        <v>1.2</v>
      </c>
      <c r="J1369">
        <v>4.04</v>
      </c>
      <c r="K1369" s="245">
        <v>-37.42</v>
      </c>
      <c r="L1369" s="245">
        <v>13.31</v>
      </c>
      <c r="M1369" s="245">
        <v>267.7</v>
      </c>
      <c r="N1369" s="257" t="s">
        <v>6830</v>
      </c>
    </row>
    <row r="1370" spans="1:14">
      <c r="A1370">
        <v>6285</v>
      </c>
      <c r="B1370" t="s">
        <v>5854</v>
      </c>
      <c r="C1370">
        <v>39.64</v>
      </c>
      <c r="D1370">
        <v>-16</v>
      </c>
      <c r="E1370">
        <v>-40</v>
      </c>
      <c r="F1370">
        <v>-30</v>
      </c>
      <c r="G1370">
        <v>-2</v>
      </c>
      <c r="H1370">
        <v>1.31</v>
      </c>
      <c r="I1370">
        <v>2.1</v>
      </c>
      <c r="J1370">
        <v>3.15</v>
      </c>
      <c r="K1370" s="245">
        <v>-21.11</v>
      </c>
      <c r="L1370" s="245">
        <v>33.21</v>
      </c>
      <c r="M1370" s="245">
        <v>6109.3</v>
      </c>
      <c r="N1370" s="257" t="s">
        <v>6830</v>
      </c>
    </row>
    <row r="1371" spans="1:14">
      <c r="A1371">
        <v>6287</v>
      </c>
      <c r="B1371" t="s">
        <v>6597</v>
      </c>
      <c r="C1371">
        <v>43.81</v>
      </c>
      <c r="D1371">
        <v>169</v>
      </c>
      <c r="E1371">
        <v>199</v>
      </c>
      <c r="F1371">
        <v>2</v>
      </c>
      <c r="G1371">
        <v>46</v>
      </c>
      <c r="H1371">
        <v>7.37</v>
      </c>
      <c r="I1371">
        <v>0</v>
      </c>
      <c r="J1371">
        <v>0.24</v>
      </c>
      <c r="K1371" s="245">
        <v>-57.8</v>
      </c>
      <c r="L1371" s="245">
        <v>18.64</v>
      </c>
      <c r="M1371" s="245">
        <v>40.950000000000003</v>
      </c>
      <c r="N1371" s="257" t="s">
        <v>6830</v>
      </c>
    </row>
    <row r="1372" spans="1:14">
      <c r="A1372">
        <v>6288</v>
      </c>
      <c r="B1372" t="s">
        <v>5855</v>
      </c>
      <c r="C1372">
        <v>18.27</v>
      </c>
      <c r="D1372">
        <v>-92</v>
      </c>
      <c r="E1372">
        <v>-69</v>
      </c>
      <c r="F1372">
        <v>4</v>
      </c>
      <c r="G1372">
        <v>7</v>
      </c>
      <c r="H1372">
        <v>1.57</v>
      </c>
      <c r="I1372">
        <v>0.4</v>
      </c>
      <c r="J1372">
        <v>0.06</v>
      </c>
      <c r="K1372" s="245">
        <v>-29.3</v>
      </c>
      <c r="L1372" s="245">
        <v>29.67</v>
      </c>
      <c r="M1372" s="245">
        <v>291.64999999999998</v>
      </c>
      <c r="N1372" s="257" t="s">
        <v>6830</v>
      </c>
    </row>
    <row r="1373" spans="1:14">
      <c r="A1373">
        <v>6289</v>
      </c>
      <c r="B1373" t="s">
        <v>6598</v>
      </c>
      <c r="C1373">
        <v>10.47</v>
      </c>
      <c r="D1373">
        <v>96</v>
      </c>
      <c r="E1373">
        <v>17</v>
      </c>
      <c r="F1373">
        <v>-53</v>
      </c>
      <c r="G1373">
        <v>-55</v>
      </c>
      <c r="H1373">
        <v>-181.44</v>
      </c>
      <c r="I1373">
        <v>0</v>
      </c>
      <c r="J1373">
        <v>-0.02</v>
      </c>
      <c r="K1373" s="245">
        <v>-37.04</v>
      </c>
      <c r="L1373" s="245">
        <v>9.66</v>
      </c>
      <c r="M1373" s="245">
        <v>37.25</v>
      </c>
      <c r="N1373" s="257" t="s">
        <v>6830</v>
      </c>
    </row>
    <row r="1374" spans="1:14">
      <c r="A1374">
        <v>6290</v>
      </c>
      <c r="B1374" t="s">
        <v>5856</v>
      </c>
      <c r="C1374">
        <v>14.77</v>
      </c>
      <c r="D1374">
        <v>-33</v>
      </c>
      <c r="E1374">
        <v>-37</v>
      </c>
      <c r="F1374">
        <v>0</v>
      </c>
      <c r="G1374">
        <v>-5</v>
      </c>
      <c r="H1374">
        <v>5.93</v>
      </c>
      <c r="I1374">
        <v>2</v>
      </c>
      <c r="J1374">
        <v>3.05</v>
      </c>
      <c r="K1374" s="245">
        <v>-38.130000000000003</v>
      </c>
      <c r="L1374" s="245">
        <v>57.35</v>
      </c>
      <c r="M1374" s="245">
        <v>1280.55</v>
      </c>
      <c r="N1374" s="257" t="s">
        <v>6830</v>
      </c>
    </row>
    <row r="1375" spans="1:14">
      <c r="A1375">
        <v>6291</v>
      </c>
      <c r="B1375" t="s">
        <v>6599</v>
      </c>
      <c r="C1375">
        <v>6.3</v>
      </c>
      <c r="D1375">
        <v>104</v>
      </c>
      <c r="E1375">
        <v>168</v>
      </c>
      <c r="F1375">
        <v>-12</v>
      </c>
      <c r="G1375">
        <v>681</v>
      </c>
      <c r="H1375">
        <v>6.87</v>
      </c>
      <c r="I1375">
        <v>0</v>
      </c>
      <c r="J1375">
        <v>1.19</v>
      </c>
      <c r="K1375" s="245">
        <v>-17.47</v>
      </c>
      <c r="L1375" s="245">
        <v>73.180000000000007</v>
      </c>
      <c r="M1375" s="245">
        <v>57</v>
      </c>
      <c r="N1375" s="257" t="s">
        <v>6832</v>
      </c>
    </row>
    <row r="1376" spans="1:14">
      <c r="A1376">
        <v>6292</v>
      </c>
      <c r="B1376" t="s">
        <v>5857</v>
      </c>
      <c r="C1376">
        <v>4.6900000000000004</v>
      </c>
      <c r="D1376">
        <v>61</v>
      </c>
      <c r="E1376">
        <v>-6</v>
      </c>
      <c r="F1376">
        <v>-17</v>
      </c>
      <c r="G1376">
        <v>32</v>
      </c>
      <c r="H1376">
        <v>9.35</v>
      </c>
      <c r="I1376">
        <v>3.6</v>
      </c>
      <c r="J1376">
        <v>5.01</v>
      </c>
      <c r="K1376" s="245">
        <v>-6.53</v>
      </c>
      <c r="L1376" s="245">
        <v>45.81</v>
      </c>
      <c r="M1376" s="245">
        <v>35.799999999999997</v>
      </c>
      <c r="N1376" s="257" t="s">
        <v>6832</v>
      </c>
    </row>
    <row r="1377" spans="1:14">
      <c r="A1377">
        <v>6294</v>
      </c>
      <c r="B1377" t="s">
        <v>6158</v>
      </c>
      <c r="C1377">
        <v>2.4500000000000002</v>
      </c>
      <c r="D1377">
        <v>4</v>
      </c>
      <c r="E1377">
        <v>1</v>
      </c>
      <c r="F1377">
        <v>7</v>
      </c>
      <c r="G1377">
        <v>0</v>
      </c>
      <c r="H1377">
        <v>35.22</v>
      </c>
      <c r="I1377">
        <v>9.5</v>
      </c>
      <c r="J1377">
        <v>11.21</v>
      </c>
      <c r="K1377" s="245">
        <v>-37.92</v>
      </c>
      <c r="L1377" s="245">
        <v>12.96</v>
      </c>
      <c r="M1377" s="245">
        <v>70.099999999999994</v>
      </c>
      <c r="N1377" s="257" t="s">
        <v>6830</v>
      </c>
    </row>
    <row r="1378" spans="1:14">
      <c r="A1378">
        <v>6404</v>
      </c>
      <c r="B1378" t="s">
        <v>6600</v>
      </c>
      <c r="C1378">
        <v>1.61</v>
      </c>
      <c r="D1378">
        <v>38</v>
      </c>
      <c r="E1378">
        <v>35</v>
      </c>
      <c r="F1378">
        <v>-13</v>
      </c>
      <c r="G1378">
        <v>-85</v>
      </c>
      <c r="H1378">
        <v>-156.71</v>
      </c>
      <c r="I1378">
        <v>0</v>
      </c>
      <c r="J1378">
        <v>-2.41</v>
      </c>
      <c r="K1378" s="245">
        <v>-35.94</v>
      </c>
      <c r="L1378" s="245">
        <v>30.02</v>
      </c>
      <c r="M1378" s="245">
        <v>2.2000000000000002</v>
      </c>
      <c r="N1378" s="257" t="s">
        <v>6831</v>
      </c>
    </row>
    <row r="1379" spans="1:14">
      <c r="A1379">
        <v>6405</v>
      </c>
      <c r="B1379" t="s">
        <v>5858</v>
      </c>
      <c r="C1379">
        <v>6.58</v>
      </c>
      <c r="D1379">
        <v>14</v>
      </c>
      <c r="E1379">
        <v>128</v>
      </c>
      <c r="F1379">
        <v>-14</v>
      </c>
      <c r="G1379">
        <v>-6</v>
      </c>
      <c r="H1379">
        <v>4.38</v>
      </c>
      <c r="I1379">
        <v>2</v>
      </c>
      <c r="J1379">
        <v>1.51</v>
      </c>
      <c r="K1379" s="245">
        <v>-55.51</v>
      </c>
      <c r="L1379" s="245">
        <v>8.11</v>
      </c>
      <c r="M1379" s="245">
        <v>67.150000000000006</v>
      </c>
      <c r="N1379" s="257" t="s">
        <v>6830</v>
      </c>
    </row>
    <row r="1380" spans="1:14">
      <c r="A1380">
        <v>6409</v>
      </c>
      <c r="B1380" t="s">
        <v>5859</v>
      </c>
      <c r="C1380">
        <v>8.7200000000000006</v>
      </c>
      <c r="D1380">
        <v>7</v>
      </c>
      <c r="E1380">
        <v>7</v>
      </c>
      <c r="F1380">
        <v>24</v>
      </c>
      <c r="G1380">
        <v>51</v>
      </c>
      <c r="H1380">
        <v>17.25</v>
      </c>
      <c r="I1380">
        <v>23.5</v>
      </c>
      <c r="J1380">
        <v>27.13</v>
      </c>
      <c r="K1380" s="245">
        <v>-25.53</v>
      </c>
      <c r="L1380" s="245">
        <v>40.04</v>
      </c>
      <c r="M1380" s="245">
        <v>139.15</v>
      </c>
      <c r="N1380" s="257" t="s">
        <v>6830</v>
      </c>
    </row>
    <row r="1381" spans="1:14">
      <c r="A1381">
        <v>6411</v>
      </c>
      <c r="B1381" t="s">
        <v>5860</v>
      </c>
      <c r="C1381">
        <v>9.2200000000000006</v>
      </c>
      <c r="D1381">
        <v>81</v>
      </c>
      <c r="E1381">
        <v>87</v>
      </c>
      <c r="F1381">
        <v>27</v>
      </c>
      <c r="G1381">
        <v>25</v>
      </c>
      <c r="H1381">
        <v>27.55</v>
      </c>
      <c r="I1381">
        <v>7.22</v>
      </c>
      <c r="J1381">
        <v>10.32</v>
      </c>
      <c r="K1381" s="245">
        <v>-52.65</v>
      </c>
      <c r="L1381" s="245">
        <v>23.35</v>
      </c>
      <c r="M1381" s="245">
        <v>3359.8</v>
      </c>
      <c r="N1381" s="257" t="s">
        <v>6830</v>
      </c>
    </row>
    <row r="1382" spans="1:14">
      <c r="A1382">
        <v>6412</v>
      </c>
      <c r="B1382" t="s">
        <v>5861</v>
      </c>
      <c r="C1382">
        <v>39.53</v>
      </c>
      <c r="D1382">
        <v>32</v>
      </c>
      <c r="E1382">
        <v>22</v>
      </c>
      <c r="F1382">
        <v>-19</v>
      </c>
      <c r="G1382">
        <v>-1</v>
      </c>
      <c r="H1382">
        <v>8.5500000000000007</v>
      </c>
      <c r="I1382">
        <v>5.2</v>
      </c>
      <c r="J1382">
        <v>7.22</v>
      </c>
      <c r="K1382" s="245">
        <v>-21.53</v>
      </c>
      <c r="L1382" s="245">
        <v>14.26</v>
      </c>
      <c r="M1382" s="245">
        <v>221.35</v>
      </c>
      <c r="N1382" s="257" t="s">
        <v>6830</v>
      </c>
    </row>
    <row r="1383" spans="1:14">
      <c r="A1383">
        <v>6414</v>
      </c>
      <c r="B1383" t="s">
        <v>5862</v>
      </c>
      <c r="C1383">
        <v>10.6</v>
      </c>
      <c r="D1383">
        <v>6</v>
      </c>
      <c r="E1383">
        <v>-13</v>
      </c>
      <c r="F1383">
        <v>-14</v>
      </c>
      <c r="G1383">
        <v>16</v>
      </c>
      <c r="H1383">
        <v>3.31</v>
      </c>
      <c r="I1383">
        <v>7</v>
      </c>
      <c r="J1383">
        <v>13.91</v>
      </c>
      <c r="K1383" s="245">
        <v>-29.71</v>
      </c>
      <c r="L1383" s="245">
        <v>28.44</v>
      </c>
      <c r="M1383" s="245">
        <v>727.5</v>
      </c>
      <c r="N1383" s="257" t="s">
        <v>6830</v>
      </c>
    </row>
    <row r="1384" spans="1:14">
      <c r="A1384">
        <v>6415</v>
      </c>
      <c r="B1384" t="s">
        <v>5863</v>
      </c>
      <c r="C1384">
        <v>9.4700000000000006</v>
      </c>
      <c r="D1384">
        <v>78</v>
      </c>
      <c r="E1384">
        <v>113</v>
      </c>
      <c r="F1384">
        <v>6</v>
      </c>
      <c r="G1384">
        <v>33</v>
      </c>
      <c r="H1384">
        <v>30.86</v>
      </c>
      <c r="I1384">
        <v>17.98</v>
      </c>
      <c r="J1384">
        <v>61.51</v>
      </c>
      <c r="K1384" s="245">
        <v>-50.46</v>
      </c>
      <c r="L1384" s="245">
        <v>19.920000000000002</v>
      </c>
      <c r="M1384" s="245">
        <v>743.35</v>
      </c>
      <c r="N1384" s="257" t="s">
        <v>6830</v>
      </c>
    </row>
    <row r="1385" spans="1:14">
      <c r="A1385">
        <v>6416</v>
      </c>
      <c r="B1385" t="s">
        <v>5864</v>
      </c>
      <c r="C1385">
        <v>7.31</v>
      </c>
      <c r="D1385">
        <v>-42</v>
      </c>
      <c r="E1385">
        <v>-44</v>
      </c>
      <c r="F1385">
        <v>-13</v>
      </c>
      <c r="G1385">
        <v>27</v>
      </c>
      <c r="H1385">
        <v>6.54</v>
      </c>
      <c r="I1385">
        <v>2</v>
      </c>
      <c r="J1385">
        <v>3</v>
      </c>
      <c r="K1385" s="245">
        <v>-39.85</v>
      </c>
      <c r="L1385" s="245">
        <v>13.37</v>
      </c>
      <c r="M1385" s="245">
        <v>67.5</v>
      </c>
      <c r="N1385" s="257" t="s">
        <v>6830</v>
      </c>
    </row>
    <row r="1386" spans="1:14">
      <c r="A1386">
        <v>6417</v>
      </c>
      <c r="B1386" t="s">
        <v>6291</v>
      </c>
      <c r="C1386">
        <v>4.22</v>
      </c>
      <c r="D1386">
        <v>17</v>
      </c>
      <c r="E1386">
        <v>10</v>
      </c>
      <c r="F1386">
        <v>12</v>
      </c>
      <c r="G1386">
        <v>22</v>
      </c>
      <c r="H1386">
        <v>12.09</v>
      </c>
      <c r="I1386">
        <v>1.5</v>
      </c>
      <c r="J1386">
        <v>3.02</v>
      </c>
      <c r="K1386" s="245">
        <v>-9.6999999999999993</v>
      </c>
      <c r="L1386" s="245">
        <v>26.11</v>
      </c>
      <c r="M1386" s="245">
        <v>16.850000000000001</v>
      </c>
      <c r="N1386" s="257" t="s">
        <v>6832</v>
      </c>
    </row>
    <row r="1387" spans="1:14">
      <c r="A1387">
        <v>6418</v>
      </c>
      <c r="B1387" t="s">
        <v>5865</v>
      </c>
      <c r="C1387">
        <v>3.45</v>
      </c>
      <c r="D1387">
        <v>-502</v>
      </c>
      <c r="E1387">
        <v>-190</v>
      </c>
      <c r="F1387">
        <v>20</v>
      </c>
      <c r="G1387">
        <v>14</v>
      </c>
      <c r="H1387">
        <v>-1.7</v>
      </c>
      <c r="I1387">
        <v>0</v>
      </c>
      <c r="J1387">
        <v>-0.68</v>
      </c>
      <c r="K1387" s="245">
        <v>-52.96</v>
      </c>
      <c r="L1387" s="245">
        <v>9.43</v>
      </c>
      <c r="M1387" s="245">
        <v>65.599999999999994</v>
      </c>
      <c r="N1387" s="257" t="s">
        <v>6830</v>
      </c>
    </row>
    <row r="1388" spans="1:14">
      <c r="A1388">
        <v>6419</v>
      </c>
      <c r="B1388" t="s">
        <v>6601</v>
      </c>
      <c r="C1388">
        <v>1.31</v>
      </c>
      <c r="D1388">
        <v>186</v>
      </c>
      <c r="E1388">
        <v>73</v>
      </c>
      <c r="F1388">
        <v>-15</v>
      </c>
      <c r="G1388">
        <v>-32</v>
      </c>
      <c r="H1388">
        <v>-5.13</v>
      </c>
      <c r="I1388">
        <v>0</v>
      </c>
      <c r="J1388">
        <v>4.87</v>
      </c>
      <c r="K1388" s="245">
        <v>-49.07</v>
      </c>
      <c r="L1388" s="245">
        <v>24.73</v>
      </c>
      <c r="M1388" s="245">
        <v>18.95</v>
      </c>
      <c r="N1388" s="257" t="s">
        <v>6830</v>
      </c>
    </row>
    <row r="1389" spans="1:14">
      <c r="A1389">
        <v>6425</v>
      </c>
      <c r="B1389" t="s">
        <v>6196</v>
      </c>
      <c r="C1389">
        <v>4.3600000000000003</v>
      </c>
      <c r="D1389">
        <v>-160</v>
      </c>
      <c r="E1389">
        <v>-177</v>
      </c>
      <c r="F1389">
        <v>-55</v>
      </c>
      <c r="G1389">
        <v>-12</v>
      </c>
      <c r="H1389">
        <v>-6.07</v>
      </c>
      <c r="I1389">
        <v>0.5</v>
      </c>
      <c r="J1389">
        <v>-2.52</v>
      </c>
      <c r="K1389" s="245">
        <v>-33.18</v>
      </c>
      <c r="L1389" s="245">
        <v>36.26</v>
      </c>
      <c r="M1389" s="245">
        <v>137.85</v>
      </c>
      <c r="N1389" s="257" t="s">
        <v>6830</v>
      </c>
    </row>
    <row r="1390" spans="1:14">
      <c r="A1390">
        <v>6426</v>
      </c>
      <c r="B1390" t="s">
        <v>5866</v>
      </c>
      <c r="C1390">
        <v>3.85</v>
      </c>
      <c r="D1390">
        <v>-91</v>
      </c>
      <c r="E1390">
        <v>-93</v>
      </c>
      <c r="F1390">
        <v>-12</v>
      </c>
      <c r="G1390">
        <v>5</v>
      </c>
      <c r="H1390">
        <v>2.31</v>
      </c>
      <c r="I1390">
        <v>2</v>
      </c>
      <c r="J1390">
        <v>0.3</v>
      </c>
      <c r="K1390" s="245">
        <v>-27.11</v>
      </c>
      <c r="L1390" s="245">
        <v>19.12</v>
      </c>
      <c r="M1390" s="245">
        <v>43.8</v>
      </c>
      <c r="N1390" s="257" t="s">
        <v>6831</v>
      </c>
    </row>
    <row r="1391" spans="1:14">
      <c r="A1391">
        <v>6431</v>
      </c>
      <c r="B1391" t="s">
        <v>6602</v>
      </c>
      <c r="C1391">
        <v>5.72</v>
      </c>
      <c r="D1391">
        <v>157</v>
      </c>
      <c r="E1391">
        <v>84</v>
      </c>
      <c r="F1391">
        <v>-82</v>
      </c>
      <c r="G1391">
        <v>-31</v>
      </c>
      <c r="H1391">
        <v>-2.82</v>
      </c>
      <c r="I1391">
        <v>0</v>
      </c>
      <c r="J1391">
        <v>0.51</v>
      </c>
      <c r="K1391" s="245">
        <v>-32.08</v>
      </c>
      <c r="L1391" s="245">
        <v>30.09</v>
      </c>
      <c r="M1391" s="245">
        <v>38.299999999999997</v>
      </c>
      <c r="N1391" s="257" t="s">
        <v>6830</v>
      </c>
    </row>
    <row r="1392" spans="1:14">
      <c r="A1392">
        <v>6432</v>
      </c>
      <c r="B1392" t="s">
        <v>5867</v>
      </c>
      <c r="C1392">
        <v>3.05</v>
      </c>
      <c r="D1392">
        <v>17</v>
      </c>
      <c r="E1392">
        <v>8</v>
      </c>
      <c r="F1392">
        <v>-6</v>
      </c>
      <c r="G1392">
        <v>-21</v>
      </c>
      <c r="H1392">
        <v>8.7799999999999994</v>
      </c>
      <c r="I1392">
        <v>1.6</v>
      </c>
      <c r="J1392">
        <v>2.91</v>
      </c>
      <c r="K1392" s="245">
        <v>-32.65</v>
      </c>
      <c r="L1392" s="245">
        <v>12.53</v>
      </c>
      <c r="M1392" s="245">
        <v>56.6</v>
      </c>
      <c r="N1392" s="257" t="s">
        <v>6830</v>
      </c>
    </row>
    <row r="1393" spans="1:14">
      <c r="A1393">
        <v>6435</v>
      </c>
      <c r="B1393" t="s">
        <v>5868</v>
      </c>
      <c r="C1393">
        <v>3.34</v>
      </c>
      <c r="D1393">
        <v>87</v>
      </c>
      <c r="E1393">
        <v>100</v>
      </c>
      <c r="F1393">
        <v>-4</v>
      </c>
      <c r="G1393">
        <v>30</v>
      </c>
      <c r="H1393">
        <v>15.93</v>
      </c>
      <c r="I1393">
        <v>7.2</v>
      </c>
      <c r="J1393">
        <v>13.09</v>
      </c>
      <c r="K1393" s="245">
        <v>-14.33</v>
      </c>
      <c r="L1393" s="245">
        <v>47.93</v>
      </c>
      <c r="M1393" s="245">
        <v>516.75</v>
      </c>
      <c r="N1393" s="257" t="s">
        <v>6831</v>
      </c>
    </row>
    <row r="1394" spans="1:14">
      <c r="A1394">
        <v>6438</v>
      </c>
      <c r="B1394" t="s">
        <v>5869</v>
      </c>
      <c r="C1394">
        <v>7.14</v>
      </c>
      <c r="D1394">
        <v>71</v>
      </c>
      <c r="E1394">
        <v>65</v>
      </c>
      <c r="F1394">
        <v>-9</v>
      </c>
      <c r="G1394">
        <v>19</v>
      </c>
      <c r="H1394">
        <v>16.79</v>
      </c>
      <c r="I1394">
        <v>6.3</v>
      </c>
      <c r="J1394">
        <v>10.15</v>
      </c>
      <c r="K1394" s="245">
        <v>-19.7</v>
      </c>
      <c r="L1394" s="245">
        <v>17.309999999999999</v>
      </c>
      <c r="M1394" s="245">
        <v>569.04999999999995</v>
      </c>
      <c r="N1394" s="257" t="s">
        <v>6831</v>
      </c>
    </row>
    <row r="1395" spans="1:14">
      <c r="A1395">
        <v>6441</v>
      </c>
      <c r="B1395" t="s">
        <v>5870</v>
      </c>
      <c r="C1395">
        <v>4.33</v>
      </c>
      <c r="D1395">
        <v>-213</v>
      </c>
      <c r="E1395">
        <v>-151</v>
      </c>
      <c r="F1395">
        <v>-12</v>
      </c>
      <c r="G1395">
        <v>-86</v>
      </c>
      <c r="H1395">
        <v>-10.210000000000001</v>
      </c>
      <c r="I1395">
        <v>0</v>
      </c>
      <c r="J1395">
        <v>-2.88</v>
      </c>
      <c r="K1395" s="245">
        <v>-54.1</v>
      </c>
      <c r="L1395" s="245">
        <v>28.6</v>
      </c>
      <c r="M1395" s="245">
        <v>1011.05</v>
      </c>
      <c r="N1395" s="257" t="s">
        <v>6830</v>
      </c>
    </row>
    <row r="1396" spans="1:14">
      <c r="A1396">
        <v>6442</v>
      </c>
      <c r="B1396" t="s">
        <v>5871</v>
      </c>
      <c r="C1396">
        <v>6.93</v>
      </c>
      <c r="D1396">
        <v>371</v>
      </c>
      <c r="E1396">
        <v>562</v>
      </c>
      <c r="F1396">
        <v>-19</v>
      </c>
      <c r="G1396">
        <v>-12</v>
      </c>
      <c r="H1396">
        <v>6.43</v>
      </c>
      <c r="I1396">
        <v>1.2</v>
      </c>
      <c r="J1396">
        <v>1.56</v>
      </c>
      <c r="K1396" s="245">
        <v>-15.92</v>
      </c>
      <c r="L1396" s="245">
        <v>33.700000000000003</v>
      </c>
      <c r="M1396" s="245">
        <v>73.900000000000006</v>
      </c>
      <c r="N1396" s="257" t="s">
        <v>6831</v>
      </c>
    </row>
    <row r="1397" spans="1:14">
      <c r="A1397">
        <v>6443</v>
      </c>
      <c r="B1397" t="s">
        <v>5872</v>
      </c>
      <c r="C1397">
        <v>44.57</v>
      </c>
      <c r="D1397">
        <v>116</v>
      </c>
      <c r="E1397">
        <v>119</v>
      </c>
      <c r="F1397">
        <v>1</v>
      </c>
      <c r="G1397">
        <v>54</v>
      </c>
      <c r="H1397">
        <v>0.92</v>
      </c>
      <c r="I1397">
        <v>0</v>
      </c>
      <c r="J1397">
        <v>0.1</v>
      </c>
      <c r="K1397" s="245">
        <v>-30.56</v>
      </c>
      <c r="L1397" s="245">
        <v>26.98</v>
      </c>
      <c r="M1397" s="245">
        <v>54801.9</v>
      </c>
      <c r="N1397" s="257" t="s">
        <v>6831</v>
      </c>
    </row>
    <row r="1398" spans="1:14">
      <c r="A1398">
        <v>6446</v>
      </c>
      <c r="B1398" t="s">
        <v>6603</v>
      </c>
      <c r="C1398">
        <v>28.49</v>
      </c>
      <c r="D1398">
        <v>-44</v>
      </c>
      <c r="E1398">
        <v>-64</v>
      </c>
      <c r="F1398">
        <v>167</v>
      </c>
      <c r="G1398">
        <v>1078</v>
      </c>
      <c r="H1398">
        <v>-429.91</v>
      </c>
      <c r="I1398">
        <v>0</v>
      </c>
      <c r="J1398">
        <v>-10.8</v>
      </c>
      <c r="K1398" s="245">
        <v>-9.83</v>
      </c>
      <c r="L1398" s="245">
        <v>83.46</v>
      </c>
      <c r="M1398" s="245">
        <v>1652</v>
      </c>
      <c r="N1398" s="257" t="s">
        <v>6832</v>
      </c>
    </row>
    <row r="1399" spans="1:14">
      <c r="A1399">
        <v>6449</v>
      </c>
      <c r="B1399" t="s">
        <v>5873</v>
      </c>
      <c r="C1399">
        <v>8.89</v>
      </c>
      <c r="D1399">
        <v>17</v>
      </c>
      <c r="E1399">
        <v>4</v>
      </c>
      <c r="F1399">
        <v>-17</v>
      </c>
      <c r="G1399">
        <v>-4</v>
      </c>
      <c r="H1399">
        <v>14.26</v>
      </c>
      <c r="I1399">
        <v>2</v>
      </c>
      <c r="J1399">
        <v>3.49</v>
      </c>
      <c r="K1399" s="245">
        <v>-22.49</v>
      </c>
      <c r="L1399" s="245">
        <v>22.8</v>
      </c>
      <c r="M1399" s="245">
        <v>30.7</v>
      </c>
      <c r="N1399" s="257" t="s">
        <v>6830</v>
      </c>
    </row>
    <row r="1400" spans="1:14">
      <c r="A1400">
        <v>6451</v>
      </c>
      <c r="B1400" t="s">
        <v>5874</v>
      </c>
      <c r="C1400">
        <v>10.74</v>
      </c>
      <c r="D1400">
        <v>-47</v>
      </c>
      <c r="E1400">
        <v>-93</v>
      </c>
      <c r="F1400">
        <v>21</v>
      </c>
      <c r="G1400">
        <v>-10</v>
      </c>
      <c r="H1400">
        <v>1.38</v>
      </c>
      <c r="I1400">
        <v>2.56</v>
      </c>
      <c r="J1400">
        <v>3.77</v>
      </c>
      <c r="K1400" s="245">
        <v>-43.39</v>
      </c>
      <c r="L1400" s="245">
        <v>23.25</v>
      </c>
      <c r="M1400" s="245">
        <v>190.5</v>
      </c>
      <c r="N1400" s="257" t="s">
        <v>6830</v>
      </c>
    </row>
    <row r="1401" spans="1:14">
      <c r="A1401">
        <v>6456</v>
      </c>
      <c r="B1401" t="s">
        <v>5875</v>
      </c>
      <c r="C1401">
        <v>33.79</v>
      </c>
      <c r="D1401">
        <v>16</v>
      </c>
      <c r="E1401">
        <v>47</v>
      </c>
      <c r="F1401">
        <v>-36</v>
      </c>
      <c r="G1401">
        <v>-23</v>
      </c>
      <c r="H1401">
        <v>2.83</v>
      </c>
      <c r="I1401">
        <v>5</v>
      </c>
      <c r="J1401">
        <v>12.97</v>
      </c>
      <c r="K1401" s="245">
        <v>-36.86</v>
      </c>
      <c r="L1401" s="245">
        <v>23.97</v>
      </c>
      <c r="M1401" s="245">
        <v>981.75</v>
      </c>
      <c r="N1401" s="257" t="s">
        <v>6830</v>
      </c>
    </row>
    <row r="1402" spans="1:14">
      <c r="A1402">
        <v>6457</v>
      </c>
      <c r="B1402" t="s">
        <v>5876</v>
      </c>
      <c r="C1402">
        <v>3.18</v>
      </c>
      <c r="D1402">
        <v>84</v>
      </c>
      <c r="E1402">
        <v>65</v>
      </c>
      <c r="F1402">
        <v>9</v>
      </c>
      <c r="G1402">
        <v>-23</v>
      </c>
      <c r="H1402">
        <v>30.78</v>
      </c>
      <c r="I1402">
        <v>10.89</v>
      </c>
      <c r="J1402">
        <v>12.71</v>
      </c>
      <c r="K1402" s="245">
        <v>-56.58</v>
      </c>
      <c r="L1402" s="245">
        <v>10.76</v>
      </c>
      <c r="M1402" s="245">
        <v>318.64999999999998</v>
      </c>
      <c r="N1402" s="257" t="s">
        <v>6830</v>
      </c>
    </row>
    <row r="1403" spans="1:14">
      <c r="A1403">
        <v>6461</v>
      </c>
      <c r="B1403" t="s">
        <v>5877</v>
      </c>
      <c r="C1403">
        <v>11.62</v>
      </c>
      <c r="D1403">
        <v>-20</v>
      </c>
      <c r="E1403">
        <v>-22</v>
      </c>
      <c r="F1403">
        <v>-66</v>
      </c>
      <c r="G1403">
        <v>-47</v>
      </c>
      <c r="H1403">
        <v>-755.76</v>
      </c>
      <c r="I1403">
        <v>0</v>
      </c>
      <c r="J1403">
        <v>-2.97</v>
      </c>
      <c r="K1403" s="245">
        <v>-24.62</v>
      </c>
      <c r="L1403" s="245">
        <v>38.94</v>
      </c>
      <c r="M1403" s="245">
        <v>4773.45</v>
      </c>
      <c r="N1403" s="257" t="s">
        <v>6830</v>
      </c>
    </row>
    <row r="1404" spans="1:14">
      <c r="A1404">
        <v>6462</v>
      </c>
      <c r="B1404" t="s">
        <v>5878</v>
      </c>
      <c r="C1404">
        <v>6.92</v>
      </c>
      <c r="D1404">
        <v>-136</v>
      </c>
      <c r="E1404">
        <v>-135</v>
      </c>
      <c r="F1404">
        <v>-12</v>
      </c>
      <c r="G1404">
        <v>4</v>
      </c>
      <c r="H1404">
        <v>-8.73</v>
      </c>
      <c r="I1404">
        <v>10</v>
      </c>
      <c r="J1404">
        <v>-3.11</v>
      </c>
      <c r="K1404" s="245">
        <v>-38.159999999999997</v>
      </c>
      <c r="L1404" s="245">
        <v>64.31</v>
      </c>
      <c r="M1404" s="245">
        <v>437</v>
      </c>
      <c r="N1404" s="257" t="s">
        <v>6830</v>
      </c>
    </row>
    <row r="1405" spans="1:14">
      <c r="A1405">
        <v>6464</v>
      </c>
      <c r="B1405" t="s">
        <v>5879</v>
      </c>
      <c r="C1405">
        <v>13.03</v>
      </c>
      <c r="D1405">
        <v>1</v>
      </c>
      <c r="E1405">
        <v>2</v>
      </c>
      <c r="F1405">
        <v>3</v>
      </c>
      <c r="G1405">
        <v>5</v>
      </c>
      <c r="H1405">
        <v>34.99</v>
      </c>
      <c r="I1405">
        <v>4.5999999999999996</v>
      </c>
      <c r="J1405">
        <v>8.27</v>
      </c>
      <c r="K1405" s="245">
        <v>-21.52</v>
      </c>
      <c r="L1405" s="245">
        <v>21.37</v>
      </c>
      <c r="M1405" s="245">
        <v>8.35</v>
      </c>
      <c r="N1405" s="257" t="s">
        <v>6830</v>
      </c>
    </row>
    <row r="1406" spans="1:14">
      <c r="A1406">
        <v>6465</v>
      </c>
      <c r="B1406" t="s">
        <v>6339</v>
      </c>
      <c r="C1406">
        <v>3.22</v>
      </c>
      <c r="D1406">
        <v>49</v>
      </c>
      <c r="E1406">
        <v>19</v>
      </c>
      <c r="F1406">
        <v>40</v>
      </c>
      <c r="G1406">
        <v>33</v>
      </c>
      <c r="H1406">
        <v>-22.47</v>
      </c>
      <c r="I1406">
        <v>0</v>
      </c>
      <c r="J1406">
        <v>-1.71</v>
      </c>
      <c r="K1406" s="245">
        <v>-41.89</v>
      </c>
      <c r="L1406" s="245">
        <v>14.32</v>
      </c>
      <c r="M1406" s="245">
        <v>247.85</v>
      </c>
      <c r="N1406" s="257" t="s">
        <v>6830</v>
      </c>
    </row>
    <row r="1407" spans="1:14">
      <c r="A1407">
        <v>6469</v>
      </c>
      <c r="B1407" t="s">
        <v>5880</v>
      </c>
      <c r="C1407">
        <v>7.87</v>
      </c>
      <c r="D1407">
        <v>111</v>
      </c>
      <c r="E1407">
        <v>118</v>
      </c>
      <c r="F1407">
        <v>20</v>
      </c>
      <c r="G1407">
        <v>60</v>
      </c>
      <c r="H1407">
        <v>4.3600000000000003</v>
      </c>
      <c r="I1407">
        <v>5.14</v>
      </c>
      <c r="J1407">
        <v>5.83</v>
      </c>
      <c r="K1407" s="245">
        <v>-26.54</v>
      </c>
      <c r="L1407" s="245">
        <v>27.54</v>
      </c>
      <c r="M1407" s="245">
        <v>2744.8</v>
      </c>
      <c r="N1407" s="257" t="s">
        <v>6831</v>
      </c>
    </row>
    <row r="1408" spans="1:14">
      <c r="A1408">
        <v>6470</v>
      </c>
      <c r="B1408" t="s">
        <v>6159</v>
      </c>
      <c r="C1408">
        <v>3.26</v>
      </c>
      <c r="D1408">
        <v>-28</v>
      </c>
      <c r="E1408">
        <v>-43</v>
      </c>
      <c r="F1408">
        <v>23</v>
      </c>
      <c r="G1408">
        <v>96</v>
      </c>
      <c r="H1408">
        <v>7.96</v>
      </c>
      <c r="I1408">
        <v>2.7</v>
      </c>
      <c r="J1408">
        <v>3.42</v>
      </c>
      <c r="K1408" s="245">
        <v>-3.33</v>
      </c>
      <c r="L1408" s="245">
        <v>80.59</v>
      </c>
      <c r="M1408" s="245">
        <v>6471.85</v>
      </c>
      <c r="N1408" s="257" t="s">
        <v>6832</v>
      </c>
    </row>
    <row r="1409" spans="1:14">
      <c r="A1409">
        <v>6472</v>
      </c>
      <c r="B1409" t="s">
        <v>5881</v>
      </c>
      <c r="C1409">
        <v>6.85</v>
      </c>
      <c r="D1409">
        <v>29</v>
      </c>
      <c r="E1409">
        <v>362</v>
      </c>
      <c r="F1409">
        <v>9</v>
      </c>
      <c r="G1409">
        <v>8</v>
      </c>
      <c r="H1409">
        <v>21.35</v>
      </c>
      <c r="I1409">
        <v>4.5</v>
      </c>
      <c r="J1409">
        <v>11.04</v>
      </c>
      <c r="K1409" s="245">
        <v>-48.23</v>
      </c>
      <c r="L1409" s="245">
        <v>30.64</v>
      </c>
      <c r="M1409" s="245">
        <v>206.4</v>
      </c>
      <c r="N1409" s="257" t="s">
        <v>6830</v>
      </c>
    </row>
    <row r="1410" spans="1:14">
      <c r="A1410">
        <v>6477</v>
      </c>
      <c r="B1410" t="s">
        <v>5882</v>
      </c>
      <c r="C1410">
        <v>11.75</v>
      </c>
      <c r="D1410">
        <v>-49</v>
      </c>
      <c r="E1410">
        <v>-45</v>
      </c>
      <c r="F1410">
        <v>21</v>
      </c>
      <c r="G1410">
        <v>292</v>
      </c>
      <c r="H1410">
        <v>11.76</v>
      </c>
      <c r="I1410">
        <v>0.52</v>
      </c>
      <c r="J1410">
        <v>1.1599999999999999</v>
      </c>
      <c r="K1410" s="245">
        <v>-21.76</v>
      </c>
      <c r="L1410" s="245">
        <v>38.36</v>
      </c>
      <c r="M1410" s="245">
        <v>7061.35</v>
      </c>
      <c r="N1410" s="257" t="s">
        <v>6831</v>
      </c>
    </row>
    <row r="1411" spans="1:14">
      <c r="A1411">
        <v>6482</v>
      </c>
      <c r="B1411" t="s">
        <v>6604</v>
      </c>
      <c r="C1411">
        <v>1.71</v>
      </c>
      <c r="D1411">
        <v>139</v>
      </c>
      <c r="E1411">
        <v>156</v>
      </c>
      <c r="F1411">
        <v>28</v>
      </c>
      <c r="G1411">
        <v>58</v>
      </c>
      <c r="H1411">
        <v>11.07</v>
      </c>
      <c r="I1411">
        <v>1</v>
      </c>
      <c r="J1411">
        <v>1.34</v>
      </c>
      <c r="K1411" s="245">
        <v>-25.14</v>
      </c>
      <c r="L1411" s="245">
        <v>41.19</v>
      </c>
      <c r="M1411" s="245">
        <v>31.9</v>
      </c>
      <c r="N1411" s="257" t="s">
        <v>6831</v>
      </c>
    </row>
    <row r="1412" spans="1:14">
      <c r="A1412">
        <v>6485</v>
      </c>
      <c r="B1412" t="s">
        <v>5883</v>
      </c>
      <c r="C1412">
        <v>4.3899999999999997</v>
      </c>
      <c r="D1412">
        <v>1610</v>
      </c>
      <c r="E1412">
        <v>2987</v>
      </c>
      <c r="F1412">
        <v>0</v>
      </c>
      <c r="G1412">
        <v>34</v>
      </c>
      <c r="H1412">
        <v>31.91</v>
      </c>
      <c r="I1412">
        <v>5</v>
      </c>
      <c r="J1412">
        <v>12.2</v>
      </c>
      <c r="K1412" s="245">
        <v>-39.01</v>
      </c>
      <c r="L1412" s="245">
        <v>22.95</v>
      </c>
      <c r="M1412" s="245">
        <v>786.15</v>
      </c>
      <c r="N1412" s="257" t="s">
        <v>6830</v>
      </c>
    </row>
    <row r="1413" spans="1:14">
      <c r="A1413">
        <v>6486</v>
      </c>
      <c r="B1413" t="s">
        <v>5884</v>
      </c>
      <c r="C1413">
        <v>3.93</v>
      </c>
      <c r="D1413">
        <v>11</v>
      </c>
      <c r="E1413">
        <v>9</v>
      </c>
      <c r="F1413">
        <v>-26</v>
      </c>
      <c r="G1413">
        <v>-20</v>
      </c>
      <c r="H1413">
        <v>16.03</v>
      </c>
      <c r="I1413">
        <v>6.5</v>
      </c>
      <c r="J1413">
        <v>6.73</v>
      </c>
      <c r="K1413" s="245">
        <v>-11.3</v>
      </c>
      <c r="L1413" s="245">
        <v>21.91</v>
      </c>
      <c r="M1413" s="245">
        <v>38.65</v>
      </c>
      <c r="N1413" s="257" t="s">
        <v>6830</v>
      </c>
    </row>
    <row r="1414" spans="1:14">
      <c r="A1414">
        <v>6488</v>
      </c>
      <c r="B1414" t="s">
        <v>5885</v>
      </c>
      <c r="C1414">
        <v>43.72</v>
      </c>
      <c r="D1414">
        <v>-9</v>
      </c>
      <c r="E1414">
        <v>15</v>
      </c>
      <c r="F1414">
        <v>-8</v>
      </c>
      <c r="G1414">
        <v>5</v>
      </c>
      <c r="H1414">
        <v>28.94</v>
      </c>
      <c r="I1414">
        <v>16</v>
      </c>
      <c r="J1414">
        <v>27.27</v>
      </c>
      <c r="K1414" s="245">
        <v>-42.28</v>
      </c>
      <c r="L1414" s="245">
        <v>27.17</v>
      </c>
      <c r="M1414" s="245">
        <v>3084.25</v>
      </c>
      <c r="N1414" s="257" t="s">
        <v>6830</v>
      </c>
    </row>
    <row r="1415" spans="1:14">
      <c r="A1415">
        <v>6491</v>
      </c>
      <c r="B1415" t="s">
        <v>5886</v>
      </c>
      <c r="C1415">
        <v>7</v>
      </c>
      <c r="D1415">
        <v>74</v>
      </c>
      <c r="E1415">
        <v>70</v>
      </c>
      <c r="F1415">
        <v>-6</v>
      </c>
      <c r="G1415">
        <v>0</v>
      </c>
      <c r="H1415">
        <v>26.09</v>
      </c>
      <c r="I1415">
        <v>8.5</v>
      </c>
      <c r="J1415">
        <v>17.84</v>
      </c>
      <c r="K1415" s="245">
        <v>-42.55</v>
      </c>
      <c r="L1415" s="245">
        <v>19.3</v>
      </c>
      <c r="M1415" s="245">
        <v>395.65</v>
      </c>
      <c r="N1415" s="257" t="s">
        <v>6830</v>
      </c>
    </row>
    <row r="1416" spans="1:14">
      <c r="A1416">
        <v>6492</v>
      </c>
      <c r="B1416" t="s">
        <v>6605</v>
      </c>
      <c r="C1416">
        <v>8.9700000000000006</v>
      </c>
      <c r="D1416">
        <v>7</v>
      </c>
      <c r="E1416">
        <v>3</v>
      </c>
      <c r="F1416">
        <v>0</v>
      </c>
      <c r="G1416">
        <v>66</v>
      </c>
      <c r="H1416">
        <v>-62966.55</v>
      </c>
      <c r="I1416">
        <v>0</v>
      </c>
      <c r="J1416">
        <v>-3.67</v>
      </c>
      <c r="K1416" s="245">
        <v>-58.98</v>
      </c>
      <c r="L1416" s="245">
        <v>27.86</v>
      </c>
      <c r="M1416" s="245">
        <v>1358.9</v>
      </c>
      <c r="N1416" s="257" t="s">
        <v>6830</v>
      </c>
    </row>
    <row r="1417" spans="1:14">
      <c r="A1417">
        <v>6494</v>
      </c>
      <c r="B1417" t="s">
        <v>5887</v>
      </c>
      <c r="C1417">
        <v>3.15</v>
      </c>
      <c r="D1417">
        <v>340</v>
      </c>
      <c r="E1417">
        <v>323</v>
      </c>
      <c r="F1417">
        <v>-2</v>
      </c>
      <c r="G1417">
        <v>-3</v>
      </c>
      <c r="H1417">
        <v>30.05</v>
      </c>
      <c r="I1417">
        <v>8</v>
      </c>
      <c r="J1417">
        <v>17.21</v>
      </c>
      <c r="K1417" s="245">
        <v>-31.32</v>
      </c>
      <c r="L1417" s="245">
        <v>27.9</v>
      </c>
      <c r="M1417" s="245">
        <v>508.15</v>
      </c>
      <c r="N1417" s="257" t="s">
        <v>6830</v>
      </c>
    </row>
    <row r="1418" spans="1:14">
      <c r="A1418">
        <v>6496</v>
      </c>
      <c r="B1418" t="s">
        <v>6245</v>
      </c>
      <c r="C1418">
        <v>4.66</v>
      </c>
      <c r="D1418">
        <v>-144</v>
      </c>
      <c r="E1418">
        <v>-121</v>
      </c>
      <c r="F1418">
        <v>-21</v>
      </c>
      <c r="G1418">
        <v>-53</v>
      </c>
      <c r="H1418">
        <v>-0.66</v>
      </c>
      <c r="I1418">
        <v>0</v>
      </c>
      <c r="J1418">
        <v>-0.34</v>
      </c>
      <c r="K1418" s="245">
        <v>-11.46</v>
      </c>
      <c r="L1418" s="245">
        <v>11.2</v>
      </c>
      <c r="M1418" s="245">
        <v>32.200000000000003</v>
      </c>
      <c r="N1418" s="257" t="s">
        <v>6830</v>
      </c>
    </row>
    <row r="1419" spans="1:14">
      <c r="A1419">
        <v>6499</v>
      </c>
      <c r="B1419" t="s">
        <v>5888</v>
      </c>
      <c r="C1419">
        <v>7.32</v>
      </c>
      <c r="D1419">
        <v>1297</v>
      </c>
      <c r="E1419">
        <v>-412</v>
      </c>
      <c r="F1419">
        <v>56</v>
      </c>
      <c r="G1419">
        <v>78</v>
      </c>
      <c r="H1419">
        <v>-718.69</v>
      </c>
      <c r="I1419">
        <v>3</v>
      </c>
      <c r="J1419">
        <v>28.54</v>
      </c>
      <c r="K1419" s="245">
        <v>-33.369999999999997</v>
      </c>
      <c r="L1419" s="245">
        <v>14.03</v>
      </c>
      <c r="M1419" s="245">
        <v>282.10000000000002</v>
      </c>
      <c r="N1419" s="257" t="s">
        <v>6830</v>
      </c>
    </row>
    <row r="1420" spans="1:14">
      <c r="A1420">
        <v>6504</v>
      </c>
      <c r="B1420" t="s">
        <v>5889</v>
      </c>
      <c r="C1420">
        <v>7.26</v>
      </c>
      <c r="D1420">
        <v>-91</v>
      </c>
      <c r="E1420">
        <v>-87</v>
      </c>
      <c r="F1420">
        <v>-3</v>
      </c>
      <c r="G1420">
        <v>-20</v>
      </c>
      <c r="H1420">
        <v>3.89</v>
      </c>
      <c r="I1420">
        <v>1.2</v>
      </c>
      <c r="J1420">
        <v>1.62</v>
      </c>
      <c r="K1420" s="245">
        <v>-46.94</v>
      </c>
      <c r="L1420" s="245">
        <v>7.77</v>
      </c>
      <c r="M1420" s="245">
        <v>79.150000000000006</v>
      </c>
      <c r="N1420" s="257" t="s">
        <v>6830</v>
      </c>
    </row>
    <row r="1421" spans="1:14">
      <c r="A1421">
        <v>6505</v>
      </c>
      <c r="B1421" t="s">
        <v>5890</v>
      </c>
      <c r="C1421">
        <v>952</v>
      </c>
      <c r="D1421">
        <v>569</v>
      </c>
      <c r="E1421">
        <v>1892</v>
      </c>
      <c r="F1421">
        <v>-4</v>
      </c>
      <c r="G1421">
        <v>40</v>
      </c>
      <c r="H1421">
        <v>8.9</v>
      </c>
      <c r="I1421">
        <v>3.8</v>
      </c>
      <c r="J1421">
        <v>5.19</v>
      </c>
      <c r="K1421" s="245">
        <v>-22.3</v>
      </c>
      <c r="L1421" s="245">
        <v>24.64</v>
      </c>
      <c r="M1421" s="245">
        <v>2090.85</v>
      </c>
      <c r="N1421" s="257" t="s">
        <v>6830</v>
      </c>
    </row>
    <row r="1422" spans="1:14">
      <c r="A1422">
        <v>6506</v>
      </c>
      <c r="B1422" t="s">
        <v>5891</v>
      </c>
      <c r="C1422">
        <v>8.23</v>
      </c>
      <c r="D1422">
        <v>29</v>
      </c>
      <c r="E1422">
        <v>46</v>
      </c>
      <c r="F1422">
        <v>-3</v>
      </c>
      <c r="G1422">
        <v>26</v>
      </c>
      <c r="H1422">
        <v>4.2</v>
      </c>
      <c r="I1422">
        <v>2</v>
      </c>
      <c r="J1422">
        <v>0.83</v>
      </c>
      <c r="K1422" s="245">
        <v>-7.77</v>
      </c>
      <c r="L1422" s="245">
        <v>69.02</v>
      </c>
      <c r="M1422" s="245">
        <v>369.2</v>
      </c>
      <c r="N1422" s="257" t="s">
        <v>6832</v>
      </c>
    </row>
    <row r="1423" spans="1:14">
      <c r="A1423">
        <v>6508</v>
      </c>
      <c r="B1423" t="s">
        <v>5892</v>
      </c>
      <c r="C1423">
        <v>8.56</v>
      </c>
      <c r="D1423">
        <v>73</v>
      </c>
      <c r="E1423">
        <v>-17</v>
      </c>
      <c r="F1423">
        <v>-12</v>
      </c>
      <c r="G1423">
        <v>24</v>
      </c>
      <c r="H1423">
        <v>11.57</v>
      </c>
      <c r="I1423">
        <v>3</v>
      </c>
      <c r="J1423">
        <v>3.85</v>
      </c>
      <c r="K1423" s="245">
        <v>-30.8</v>
      </c>
      <c r="L1423" s="245">
        <v>51.94</v>
      </c>
      <c r="M1423" s="245">
        <v>21056.55</v>
      </c>
      <c r="N1423" s="257" t="s">
        <v>6831</v>
      </c>
    </row>
    <row r="1424" spans="1:14">
      <c r="A1424">
        <v>6509</v>
      </c>
      <c r="B1424" t="s">
        <v>5893</v>
      </c>
      <c r="C1424">
        <v>17.34</v>
      </c>
      <c r="D1424">
        <v>50</v>
      </c>
      <c r="E1424">
        <v>47</v>
      </c>
      <c r="F1424">
        <v>-37</v>
      </c>
      <c r="G1424">
        <v>-6</v>
      </c>
      <c r="H1424">
        <v>11.93</v>
      </c>
      <c r="I1424">
        <v>1.25</v>
      </c>
      <c r="J1424">
        <v>2.48</v>
      </c>
      <c r="K1424" s="245">
        <v>-44.69</v>
      </c>
      <c r="L1424" s="245">
        <v>14.35</v>
      </c>
      <c r="M1424" s="245">
        <v>1775.65</v>
      </c>
      <c r="N1424" s="257" t="s">
        <v>6830</v>
      </c>
    </row>
    <row r="1425" spans="1:14">
      <c r="A1425">
        <v>6510</v>
      </c>
      <c r="B1425" t="s">
        <v>5894</v>
      </c>
      <c r="C1425">
        <v>3.27</v>
      </c>
      <c r="D1425">
        <v>-4</v>
      </c>
      <c r="E1425">
        <v>-8</v>
      </c>
      <c r="F1425">
        <v>10</v>
      </c>
      <c r="G1425">
        <v>1</v>
      </c>
      <c r="H1425">
        <v>25.49</v>
      </c>
      <c r="I1425">
        <v>13.6</v>
      </c>
      <c r="J1425">
        <v>27.2</v>
      </c>
      <c r="K1425" s="245">
        <v>-40.19</v>
      </c>
      <c r="L1425" s="245">
        <v>13.51</v>
      </c>
      <c r="M1425" s="245">
        <v>165.35</v>
      </c>
      <c r="N1425" s="257" t="s">
        <v>6830</v>
      </c>
    </row>
    <row r="1426" spans="1:14">
      <c r="A1426">
        <v>6512</v>
      </c>
      <c r="B1426" t="s">
        <v>6606</v>
      </c>
      <c r="C1426">
        <v>2.5</v>
      </c>
      <c r="D1426">
        <v>-105</v>
      </c>
      <c r="E1426">
        <v>-60</v>
      </c>
      <c r="F1426">
        <v>26</v>
      </c>
      <c r="G1426">
        <v>151</v>
      </c>
      <c r="H1426">
        <v>-17.829999999999998</v>
      </c>
      <c r="I1426">
        <v>0</v>
      </c>
      <c r="J1426">
        <v>-1.51</v>
      </c>
      <c r="K1426" s="245">
        <v>-16.670000000000002</v>
      </c>
      <c r="L1426" s="245">
        <v>30.75</v>
      </c>
      <c r="M1426" s="245">
        <v>22.6</v>
      </c>
      <c r="N1426" s="257" t="s">
        <v>6831</v>
      </c>
    </row>
    <row r="1427" spans="1:14">
      <c r="A1427">
        <v>6514</v>
      </c>
      <c r="B1427" t="s">
        <v>5895</v>
      </c>
      <c r="C1427">
        <v>3</v>
      </c>
      <c r="D1427">
        <v>48</v>
      </c>
      <c r="E1427">
        <v>30</v>
      </c>
      <c r="F1427">
        <v>-91</v>
      </c>
      <c r="G1427">
        <v>-91</v>
      </c>
      <c r="H1427">
        <v>14.05</v>
      </c>
      <c r="I1427">
        <v>3.2</v>
      </c>
      <c r="J1427">
        <v>3.1</v>
      </c>
      <c r="K1427" s="245">
        <v>-29.42</v>
      </c>
      <c r="L1427" s="245">
        <v>38.619999999999997</v>
      </c>
      <c r="M1427" s="245">
        <v>294.14999999999998</v>
      </c>
      <c r="N1427" s="257" t="s">
        <v>6831</v>
      </c>
    </row>
    <row r="1428" spans="1:14">
      <c r="A1428">
        <v>6515</v>
      </c>
      <c r="B1428" t="s">
        <v>5896</v>
      </c>
      <c r="C1428">
        <v>3.42</v>
      </c>
      <c r="D1428">
        <v>-8</v>
      </c>
      <c r="E1428">
        <v>-11</v>
      </c>
      <c r="F1428">
        <v>-12</v>
      </c>
      <c r="G1428">
        <v>21</v>
      </c>
      <c r="H1428">
        <v>20.5</v>
      </c>
      <c r="I1428">
        <v>11</v>
      </c>
      <c r="J1428">
        <v>14.46</v>
      </c>
      <c r="K1428" s="245">
        <v>-22.65</v>
      </c>
      <c r="L1428" s="245">
        <v>24.66</v>
      </c>
      <c r="M1428" s="245">
        <v>374.45</v>
      </c>
      <c r="N1428" s="257" t="s">
        <v>6831</v>
      </c>
    </row>
    <row r="1429" spans="1:14">
      <c r="A1429">
        <v>6516</v>
      </c>
      <c r="B1429" t="s">
        <v>5897</v>
      </c>
      <c r="C1429">
        <v>4.24</v>
      </c>
      <c r="D1429">
        <v>751</v>
      </c>
      <c r="E1429">
        <v>260</v>
      </c>
      <c r="F1429">
        <v>51</v>
      </c>
      <c r="G1429">
        <v>73</v>
      </c>
      <c r="H1429">
        <v>9.35</v>
      </c>
      <c r="I1429">
        <v>1.88</v>
      </c>
      <c r="J1429">
        <v>1.0900000000000001</v>
      </c>
      <c r="K1429" s="245">
        <v>-42.27</v>
      </c>
      <c r="L1429" s="245">
        <v>34.5</v>
      </c>
      <c r="M1429" s="245">
        <v>27.1</v>
      </c>
      <c r="N1429" s="257" t="s">
        <v>6830</v>
      </c>
    </row>
    <row r="1430" spans="1:14">
      <c r="A1430">
        <v>6523</v>
      </c>
      <c r="B1430" t="s">
        <v>5898</v>
      </c>
      <c r="C1430">
        <v>4.5</v>
      </c>
      <c r="D1430">
        <v>-55</v>
      </c>
      <c r="E1430">
        <v>58</v>
      </c>
      <c r="F1430">
        <v>-45</v>
      </c>
      <c r="G1430">
        <v>-52</v>
      </c>
      <c r="H1430">
        <v>34.03</v>
      </c>
      <c r="I1430">
        <v>15.22</v>
      </c>
      <c r="J1430">
        <v>6.58</v>
      </c>
      <c r="K1430" s="245">
        <v>-47.61</v>
      </c>
      <c r="L1430" s="245">
        <v>16.52</v>
      </c>
      <c r="M1430" s="245">
        <v>124.85</v>
      </c>
      <c r="N1430" s="257" t="s">
        <v>6830</v>
      </c>
    </row>
    <row r="1431" spans="1:14">
      <c r="A1431">
        <v>6525</v>
      </c>
      <c r="B1431" t="s">
        <v>5899</v>
      </c>
      <c r="C1431">
        <v>12.9</v>
      </c>
      <c r="D1431">
        <v>25</v>
      </c>
      <c r="E1431">
        <v>18</v>
      </c>
      <c r="F1431">
        <v>-4</v>
      </c>
      <c r="G1431">
        <v>1</v>
      </c>
      <c r="H1431">
        <v>22.83</v>
      </c>
      <c r="I1431">
        <v>5.5</v>
      </c>
      <c r="J1431">
        <v>6.65</v>
      </c>
      <c r="K1431" s="245">
        <v>-39.47</v>
      </c>
      <c r="L1431" s="245">
        <v>21.9</v>
      </c>
      <c r="M1431" s="245">
        <v>211.15</v>
      </c>
      <c r="N1431" s="257" t="s">
        <v>6830</v>
      </c>
    </row>
    <row r="1432" spans="1:14">
      <c r="A1432">
        <v>6527</v>
      </c>
      <c r="B1432" t="s">
        <v>6607</v>
      </c>
      <c r="C1432">
        <v>2.42</v>
      </c>
      <c r="D1432">
        <v>36</v>
      </c>
      <c r="E1432">
        <v>53</v>
      </c>
      <c r="F1432">
        <v>43</v>
      </c>
      <c r="G1432">
        <v>20</v>
      </c>
      <c r="H1432">
        <v>12.26</v>
      </c>
      <c r="I1432">
        <v>1.94</v>
      </c>
      <c r="J1432">
        <v>3.24</v>
      </c>
      <c r="K1432" s="245">
        <v>-9.41</v>
      </c>
      <c r="L1432" s="245">
        <v>48.39</v>
      </c>
      <c r="M1432" s="245">
        <v>25.8</v>
      </c>
      <c r="N1432" s="257" t="s">
        <v>6830</v>
      </c>
    </row>
    <row r="1433" spans="1:14">
      <c r="A1433">
        <v>6530</v>
      </c>
      <c r="B1433" t="s">
        <v>6299</v>
      </c>
      <c r="C1433">
        <v>3.37</v>
      </c>
      <c r="D1433">
        <v>42</v>
      </c>
      <c r="E1433">
        <v>40</v>
      </c>
      <c r="F1433">
        <v>-17</v>
      </c>
      <c r="G1433">
        <v>-1</v>
      </c>
      <c r="H1433">
        <v>17.010000000000002</v>
      </c>
      <c r="I1433">
        <v>1.1000000000000001</v>
      </c>
      <c r="J1433">
        <v>1.0900000000000001</v>
      </c>
      <c r="K1433" s="245">
        <v>-36.9</v>
      </c>
      <c r="L1433" s="245">
        <v>30.79</v>
      </c>
      <c r="M1433" s="245">
        <v>544.25</v>
      </c>
      <c r="N1433" s="257" t="s">
        <v>6830</v>
      </c>
    </row>
    <row r="1434" spans="1:14">
      <c r="A1434">
        <v>6531</v>
      </c>
      <c r="B1434" t="s">
        <v>5900</v>
      </c>
      <c r="C1434">
        <v>8.06</v>
      </c>
      <c r="D1434">
        <v>146</v>
      </c>
      <c r="E1434">
        <v>356</v>
      </c>
      <c r="F1434">
        <v>-5</v>
      </c>
      <c r="G1434">
        <v>-8</v>
      </c>
      <c r="H1434">
        <v>35.82</v>
      </c>
      <c r="I1434">
        <v>6</v>
      </c>
      <c r="J1434">
        <v>13.67</v>
      </c>
      <c r="K1434" s="245">
        <v>-67.14</v>
      </c>
      <c r="L1434" s="245">
        <v>25.02</v>
      </c>
      <c r="M1434" s="245">
        <v>4437.25</v>
      </c>
      <c r="N1434" s="257" t="s">
        <v>6830</v>
      </c>
    </row>
    <row r="1435" spans="1:14">
      <c r="A1435">
        <v>6532</v>
      </c>
      <c r="B1435" t="s">
        <v>5901</v>
      </c>
      <c r="C1435">
        <v>3.61</v>
      </c>
      <c r="D1435">
        <v>-8</v>
      </c>
      <c r="E1435">
        <v>-11</v>
      </c>
      <c r="F1435">
        <v>-9</v>
      </c>
      <c r="G1435">
        <v>32</v>
      </c>
      <c r="H1435">
        <v>24.25</v>
      </c>
      <c r="I1435">
        <v>1.8</v>
      </c>
      <c r="J1435">
        <v>2.63</v>
      </c>
      <c r="K1435" s="245">
        <v>-27.7</v>
      </c>
      <c r="L1435" s="245">
        <v>20.329999999999998</v>
      </c>
      <c r="M1435" s="245">
        <v>83.35</v>
      </c>
      <c r="N1435" s="257" t="s">
        <v>6831</v>
      </c>
    </row>
    <row r="1436" spans="1:14">
      <c r="A1436">
        <v>6533</v>
      </c>
      <c r="B1436" t="s">
        <v>5902</v>
      </c>
      <c r="C1436">
        <v>5.0599999999999996</v>
      </c>
      <c r="D1436">
        <v>360</v>
      </c>
      <c r="E1436">
        <v>321</v>
      </c>
      <c r="F1436">
        <v>-59</v>
      </c>
      <c r="G1436">
        <v>-16</v>
      </c>
      <c r="H1436">
        <v>19.350000000000001</v>
      </c>
      <c r="I1436">
        <v>2.85</v>
      </c>
      <c r="J1436">
        <v>3.59</v>
      </c>
      <c r="K1436" s="245">
        <v>-49.61</v>
      </c>
      <c r="L1436" s="245">
        <v>24.45</v>
      </c>
      <c r="M1436" s="245">
        <v>1156.2</v>
      </c>
      <c r="N1436" s="257" t="s">
        <v>6830</v>
      </c>
    </row>
    <row r="1437" spans="1:14">
      <c r="A1437">
        <v>6535</v>
      </c>
      <c r="B1437" t="s">
        <v>6608</v>
      </c>
      <c r="C1437">
        <v>16.32</v>
      </c>
      <c r="D1437">
        <v>129</v>
      </c>
      <c r="E1437">
        <v>-25</v>
      </c>
      <c r="F1437">
        <v>1673</v>
      </c>
      <c r="G1437">
        <v>14</v>
      </c>
      <c r="H1437">
        <v>-2478.27</v>
      </c>
      <c r="I1437">
        <v>0</v>
      </c>
      <c r="J1437">
        <v>0.64</v>
      </c>
      <c r="K1437" s="245">
        <v>-23.23</v>
      </c>
      <c r="L1437" s="245">
        <v>10.98</v>
      </c>
      <c r="M1437" s="245">
        <v>1620</v>
      </c>
      <c r="N1437" s="257" t="s">
        <v>6830</v>
      </c>
    </row>
    <row r="1438" spans="1:14">
      <c r="A1438">
        <v>6538</v>
      </c>
      <c r="B1438" t="s">
        <v>5903</v>
      </c>
      <c r="C1438">
        <v>3.72</v>
      </c>
      <c r="D1438">
        <v>-64</v>
      </c>
      <c r="E1438">
        <v>-67</v>
      </c>
      <c r="F1438">
        <v>8</v>
      </c>
      <c r="G1438">
        <v>32</v>
      </c>
      <c r="H1438">
        <v>15.33</v>
      </c>
      <c r="I1438">
        <v>2.5</v>
      </c>
      <c r="J1438">
        <v>4.13</v>
      </c>
      <c r="K1438" s="245">
        <v>-29.21</v>
      </c>
      <c r="L1438" s="245">
        <v>58.86</v>
      </c>
      <c r="M1438" s="245">
        <v>526.9</v>
      </c>
      <c r="N1438" s="257" t="s">
        <v>6831</v>
      </c>
    </row>
    <row r="1439" spans="1:14">
      <c r="A1439">
        <v>6541</v>
      </c>
      <c r="B1439" t="s">
        <v>6609</v>
      </c>
      <c r="C1439">
        <v>35.25</v>
      </c>
      <c r="D1439">
        <v>26</v>
      </c>
      <c r="E1439">
        <v>23</v>
      </c>
      <c r="F1439">
        <v>0</v>
      </c>
      <c r="G1439">
        <v>0</v>
      </c>
      <c r="H1439">
        <v>-29581.65</v>
      </c>
      <c r="I1439">
        <v>0</v>
      </c>
      <c r="J1439">
        <v>-4.74</v>
      </c>
      <c r="K1439" s="245">
        <v>-34.96</v>
      </c>
      <c r="L1439" s="245">
        <v>28.35</v>
      </c>
      <c r="M1439" s="245">
        <v>1778.75</v>
      </c>
      <c r="N1439" s="257" t="s">
        <v>6830</v>
      </c>
    </row>
    <row r="1440" spans="1:14">
      <c r="A1440">
        <v>6542</v>
      </c>
      <c r="B1440" t="s">
        <v>6323</v>
      </c>
      <c r="C1440">
        <v>4.2</v>
      </c>
      <c r="D1440">
        <v>-355</v>
      </c>
      <c r="E1440">
        <v>-255</v>
      </c>
      <c r="F1440">
        <v>-5</v>
      </c>
      <c r="G1440">
        <v>22</v>
      </c>
      <c r="H1440">
        <v>-13</v>
      </c>
      <c r="I1440">
        <v>0</v>
      </c>
      <c r="J1440">
        <v>-3.89</v>
      </c>
      <c r="K1440" s="245">
        <v>-36.33</v>
      </c>
      <c r="L1440" s="245">
        <v>58.26</v>
      </c>
      <c r="M1440" s="245">
        <v>18.899999999999999</v>
      </c>
      <c r="N1440" s="257" t="s">
        <v>6831</v>
      </c>
    </row>
    <row r="1441" spans="1:14">
      <c r="A1441">
        <v>6547</v>
      </c>
      <c r="B1441" t="s">
        <v>6610</v>
      </c>
      <c r="C1441">
        <v>22.04</v>
      </c>
      <c r="D1441">
        <v>309</v>
      </c>
      <c r="E1441">
        <v>226</v>
      </c>
      <c r="F1441">
        <v>-90</v>
      </c>
      <c r="G1441">
        <v>0</v>
      </c>
      <c r="H1441">
        <v>29.37</v>
      </c>
      <c r="I1441">
        <v>5</v>
      </c>
      <c r="J1441">
        <v>6.65</v>
      </c>
      <c r="K1441" s="245">
        <v>-37.270000000000003</v>
      </c>
      <c r="L1441" s="245">
        <v>35.04</v>
      </c>
      <c r="M1441" s="245">
        <v>2877.35</v>
      </c>
      <c r="N1441" s="257" t="s">
        <v>6830</v>
      </c>
    </row>
    <row r="1442" spans="1:14">
      <c r="A1442">
        <v>6548</v>
      </c>
      <c r="B1442" t="s">
        <v>5904</v>
      </c>
      <c r="C1442">
        <v>3.84</v>
      </c>
      <c r="D1442">
        <v>119</v>
      </c>
      <c r="E1442">
        <v>130</v>
      </c>
      <c r="F1442">
        <v>-4</v>
      </c>
      <c r="G1442">
        <v>24</v>
      </c>
      <c r="H1442">
        <v>17.28</v>
      </c>
      <c r="I1442">
        <v>2.4</v>
      </c>
      <c r="J1442">
        <v>4.8099999999999996</v>
      </c>
      <c r="K1442" s="245">
        <v>-22.51</v>
      </c>
      <c r="L1442" s="245">
        <v>23.46</v>
      </c>
      <c r="M1442" s="245">
        <v>1746.05</v>
      </c>
      <c r="N1442" s="257" t="s">
        <v>6830</v>
      </c>
    </row>
    <row r="1443" spans="1:14">
      <c r="A1443">
        <v>6552</v>
      </c>
      <c r="B1443" t="s">
        <v>5905</v>
      </c>
      <c r="C1443">
        <v>8.3000000000000007</v>
      </c>
      <c r="D1443">
        <v>118</v>
      </c>
      <c r="E1443">
        <v>97</v>
      </c>
      <c r="F1443">
        <v>7</v>
      </c>
      <c r="G1443">
        <v>-4</v>
      </c>
      <c r="H1443">
        <v>12.02</v>
      </c>
      <c r="I1443">
        <v>2</v>
      </c>
      <c r="J1443">
        <v>3.91</v>
      </c>
      <c r="K1443" s="245">
        <v>-46.8</v>
      </c>
      <c r="L1443" s="245">
        <v>14.14</v>
      </c>
      <c r="M1443" s="245">
        <v>60</v>
      </c>
      <c r="N1443" s="257" t="s">
        <v>6830</v>
      </c>
    </row>
    <row r="1444" spans="1:14">
      <c r="A1444">
        <v>6556</v>
      </c>
      <c r="B1444" t="s">
        <v>6611</v>
      </c>
      <c r="C1444">
        <v>2.87</v>
      </c>
      <c r="D1444">
        <v>107</v>
      </c>
      <c r="E1444">
        <v>90</v>
      </c>
      <c r="F1444">
        <v>-19</v>
      </c>
      <c r="G1444">
        <v>17</v>
      </c>
      <c r="H1444">
        <v>8.16</v>
      </c>
      <c r="I1444">
        <v>3.2</v>
      </c>
      <c r="J1444">
        <v>4.46</v>
      </c>
      <c r="K1444" s="245">
        <v>-23.65</v>
      </c>
      <c r="L1444" s="245">
        <v>30.94</v>
      </c>
      <c r="M1444" s="245">
        <v>11.6</v>
      </c>
      <c r="N1444" s="257" t="s">
        <v>6831</v>
      </c>
    </row>
    <row r="1445" spans="1:14">
      <c r="A1445">
        <v>6558</v>
      </c>
      <c r="B1445" t="s">
        <v>5906</v>
      </c>
      <c r="C1445">
        <v>9.3699999999999992</v>
      </c>
      <c r="D1445">
        <v>-94</v>
      </c>
      <c r="E1445">
        <v>-71</v>
      </c>
      <c r="F1445">
        <v>-80</v>
      </c>
      <c r="G1445">
        <v>-88</v>
      </c>
      <c r="H1445">
        <v>1.72</v>
      </c>
      <c r="I1445">
        <v>0</v>
      </c>
      <c r="J1445">
        <v>0.04</v>
      </c>
      <c r="K1445" s="245">
        <v>-48.11</v>
      </c>
      <c r="L1445" s="245">
        <v>9.73</v>
      </c>
      <c r="M1445" s="245">
        <v>132.69999999999999</v>
      </c>
      <c r="N1445" s="257" t="s">
        <v>6830</v>
      </c>
    </row>
    <row r="1446" spans="1:14">
      <c r="A1446">
        <v>6560</v>
      </c>
      <c r="B1446" t="s">
        <v>6612</v>
      </c>
      <c r="C1446">
        <v>2.06</v>
      </c>
      <c r="D1446">
        <v>76</v>
      </c>
      <c r="E1446">
        <v>67</v>
      </c>
      <c r="F1446">
        <v>-3</v>
      </c>
      <c r="G1446">
        <v>-55</v>
      </c>
      <c r="H1446">
        <v>19.850000000000001</v>
      </c>
      <c r="I1446">
        <v>7.5</v>
      </c>
      <c r="J1446">
        <v>9.43</v>
      </c>
      <c r="K1446" s="245">
        <v>-48.44</v>
      </c>
      <c r="L1446" s="245">
        <v>12.61</v>
      </c>
      <c r="M1446" s="245">
        <v>66.95</v>
      </c>
      <c r="N1446" s="257" t="s">
        <v>6830</v>
      </c>
    </row>
    <row r="1447" spans="1:14">
      <c r="A1447">
        <v>6561</v>
      </c>
      <c r="B1447" t="s">
        <v>5907</v>
      </c>
      <c r="C1447">
        <v>7.06</v>
      </c>
      <c r="D1447">
        <v>12</v>
      </c>
      <c r="E1447">
        <v>12</v>
      </c>
      <c r="F1447">
        <v>-6</v>
      </c>
      <c r="G1447">
        <v>6</v>
      </c>
      <c r="H1447">
        <v>31.09</v>
      </c>
      <c r="I1447">
        <v>9.3000000000000007</v>
      </c>
      <c r="J1447">
        <v>9.75</v>
      </c>
      <c r="K1447" s="245">
        <v>-9.16</v>
      </c>
      <c r="L1447" s="245">
        <v>64.61</v>
      </c>
      <c r="M1447" s="245">
        <v>41.3</v>
      </c>
      <c r="N1447" s="257" t="s">
        <v>6831</v>
      </c>
    </row>
    <row r="1448" spans="1:14">
      <c r="A1448">
        <v>6568</v>
      </c>
      <c r="B1448" t="s">
        <v>6613</v>
      </c>
      <c r="C1448">
        <v>3.08</v>
      </c>
      <c r="D1448">
        <v>-8</v>
      </c>
      <c r="E1448">
        <v>-21</v>
      </c>
      <c r="F1448">
        <v>8</v>
      </c>
      <c r="G1448">
        <v>16</v>
      </c>
      <c r="H1448">
        <v>16.440000000000001</v>
      </c>
      <c r="I1448">
        <v>5</v>
      </c>
      <c r="J1448">
        <v>5.65</v>
      </c>
      <c r="K1448" s="245">
        <v>-63.19</v>
      </c>
      <c r="L1448" s="245">
        <v>13.89</v>
      </c>
      <c r="M1448" s="245">
        <v>278.2</v>
      </c>
      <c r="N1448" s="257" t="s">
        <v>6830</v>
      </c>
    </row>
    <row r="1449" spans="1:14">
      <c r="A1449">
        <v>6569</v>
      </c>
      <c r="B1449" t="s">
        <v>6614</v>
      </c>
      <c r="C1449">
        <v>3.32</v>
      </c>
      <c r="D1449">
        <v>-23</v>
      </c>
      <c r="E1449">
        <v>-53</v>
      </c>
      <c r="F1449">
        <v>-25</v>
      </c>
      <c r="G1449">
        <v>73</v>
      </c>
      <c r="H1449">
        <v>6.2</v>
      </c>
      <c r="I1449">
        <v>4</v>
      </c>
      <c r="J1449">
        <v>4.22</v>
      </c>
      <c r="K1449" s="245">
        <v>-26.28</v>
      </c>
      <c r="L1449" s="245">
        <v>32.35</v>
      </c>
      <c r="M1449" s="245">
        <v>69.55</v>
      </c>
      <c r="N1449" s="257" t="s">
        <v>6830</v>
      </c>
    </row>
    <row r="1450" spans="1:14">
      <c r="A1450">
        <v>6570</v>
      </c>
      <c r="B1450" t="s">
        <v>5908</v>
      </c>
      <c r="C1450">
        <v>3</v>
      </c>
      <c r="D1450">
        <v>214</v>
      </c>
      <c r="E1450">
        <v>189</v>
      </c>
      <c r="F1450">
        <v>-4</v>
      </c>
      <c r="G1450">
        <v>4</v>
      </c>
      <c r="H1450">
        <v>13.89</v>
      </c>
      <c r="I1450">
        <v>3</v>
      </c>
      <c r="J1450">
        <v>3.58</v>
      </c>
      <c r="K1450" s="245">
        <v>-16.7</v>
      </c>
      <c r="L1450" s="245">
        <v>20.95</v>
      </c>
      <c r="M1450" s="245">
        <v>21.15</v>
      </c>
      <c r="N1450" s="257" t="s">
        <v>6831</v>
      </c>
    </row>
    <row r="1451" spans="1:14">
      <c r="A1451">
        <v>6573</v>
      </c>
      <c r="B1451" t="s">
        <v>5909</v>
      </c>
      <c r="C1451">
        <v>8.0399999999999991</v>
      </c>
      <c r="D1451">
        <v>23</v>
      </c>
      <c r="E1451">
        <v>37</v>
      </c>
      <c r="F1451">
        <v>-9</v>
      </c>
      <c r="G1451">
        <v>-46</v>
      </c>
      <c r="H1451">
        <v>-5.52</v>
      </c>
      <c r="I1451">
        <v>0</v>
      </c>
      <c r="J1451">
        <v>-1.93</v>
      </c>
      <c r="K1451" s="245">
        <v>-55.57</v>
      </c>
      <c r="L1451" s="245">
        <v>11.85</v>
      </c>
      <c r="M1451" s="245">
        <v>99.45</v>
      </c>
      <c r="N1451" s="257" t="s">
        <v>6830</v>
      </c>
    </row>
    <row r="1452" spans="1:14">
      <c r="A1452">
        <v>6574</v>
      </c>
      <c r="B1452" t="s">
        <v>624</v>
      </c>
      <c r="C1452">
        <v>2.19</v>
      </c>
      <c r="D1452">
        <v>-68</v>
      </c>
      <c r="E1452">
        <v>-107</v>
      </c>
      <c r="F1452">
        <v>10</v>
      </c>
      <c r="G1452">
        <v>-7</v>
      </c>
      <c r="H1452">
        <v>-0.71</v>
      </c>
      <c r="I1452">
        <v>1.1399999999999999</v>
      </c>
      <c r="J1452">
        <v>0.63</v>
      </c>
      <c r="K1452" s="245">
        <v>-17.309999999999999</v>
      </c>
      <c r="L1452" s="245">
        <v>44.65</v>
      </c>
      <c r="M1452" s="245">
        <v>4.55</v>
      </c>
      <c r="N1452" s="257" t="s">
        <v>6831</v>
      </c>
    </row>
    <row r="1453" spans="1:14">
      <c r="A1453">
        <v>6576</v>
      </c>
      <c r="B1453" t="s">
        <v>6615</v>
      </c>
      <c r="C1453">
        <v>11.8</v>
      </c>
      <c r="D1453">
        <v>-11</v>
      </c>
      <c r="E1453">
        <v>-11</v>
      </c>
      <c r="F1453">
        <v>143</v>
      </c>
      <c r="G1453">
        <v>176333</v>
      </c>
      <c r="H1453">
        <v>-238.3</v>
      </c>
      <c r="I1453">
        <v>0</v>
      </c>
      <c r="J1453">
        <v>-4.8499999999999996</v>
      </c>
      <c r="K1453" s="245">
        <v>-20.21</v>
      </c>
      <c r="L1453" s="245">
        <v>18.37</v>
      </c>
      <c r="M1453" s="245">
        <v>464.1</v>
      </c>
      <c r="N1453" s="257" t="s">
        <v>6831</v>
      </c>
    </row>
    <row r="1454" spans="1:14">
      <c r="A1454">
        <v>6577</v>
      </c>
      <c r="B1454" t="s">
        <v>6342</v>
      </c>
      <c r="C1454">
        <v>3.82</v>
      </c>
      <c r="D1454">
        <v>-20</v>
      </c>
      <c r="E1454">
        <v>-24</v>
      </c>
      <c r="F1454">
        <v>-17</v>
      </c>
      <c r="G1454">
        <v>22</v>
      </c>
      <c r="H1454">
        <v>11.52</v>
      </c>
      <c r="I1454">
        <v>3.85</v>
      </c>
      <c r="J1454">
        <v>4.24</v>
      </c>
      <c r="K1454" s="245">
        <v>-12.62</v>
      </c>
      <c r="L1454" s="245">
        <v>36.659999999999997</v>
      </c>
      <c r="M1454" s="245">
        <v>7.9</v>
      </c>
      <c r="N1454" s="257" t="s">
        <v>6830</v>
      </c>
    </row>
    <row r="1455" spans="1:14">
      <c r="A1455">
        <v>6578</v>
      </c>
      <c r="B1455" t="s">
        <v>5910</v>
      </c>
      <c r="C1455">
        <v>3.93</v>
      </c>
      <c r="D1455">
        <v>-968</v>
      </c>
      <c r="E1455">
        <v>-514</v>
      </c>
      <c r="F1455">
        <v>0</v>
      </c>
      <c r="G1455">
        <v>57</v>
      </c>
      <c r="H1455">
        <v>-13.55</v>
      </c>
      <c r="I1455">
        <v>0</v>
      </c>
      <c r="J1455">
        <v>-1.92</v>
      </c>
      <c r="K1455" s="245">
        <v>-20.62</v>
      </c>
      <c r="L1455" s="245">
        <v>53.82</v>
      </c>
      <c r="M1455" s="245">
        <v>6258.2</v>
      </c>
      <c r="N1455" s="257" t="s">
        <v>6831</v>
      </c>
    </row>
    <row r="1456" spans="1:14">
      <c r="A1456">
        <v>6579</v>
      </c>
      <c r="B1456" t="s">
        <v>5911</v>
      </c>
      <c r="C1456">
        <v>14.86</v>
      </c>
      <c r="D1456">
        <v>10</v>
      </c>
      <c r="E1456">
        <v>-11</v>
      </c>
      <c r="F1456">
        <v>-30</v>
      </c>
      <c r="G1456">
        <v>45</v>
      </c>
      <c r="H1456">
        <v>8.64</v>
      </c>
      <c r="I1456">
        <v>3.1</v>
      </c>
      <c r="J1456">
        <v>4.22</v>
      </c>
      <c r="K1456" s="245">
        <v>-12.78</v>
      </c>
      <c r="L1456" s="245">
        <v>55.22</v>
      </c>
      <c r="M1456" s="245">
        <v>130.1</v>
      </c>
      <c r="N1456" s="257" t="s">
        <v>6831</v>
      </c>
    </row>
    <row r="1457" spans="1:14">
      <c r="A1457">
        <v>6581</v>
      </c>
      <c r="B1457" t="s">
        <v>5912</v>
      </c>
      <c r="C1457">
        <v>11.12</v>
      </c>
      <c r="D1457">
        <v>38</v>
      </c>
      <c r="E1457">
        <v>37</v>
      </c>
      <c r="F1457">
        <v>79</v>
      </c>
      <c r="G1457">
        <v>69</v>
      </c>
      <c r="H1457">
        <v>39.31</v>
      </c>
      <c r="I1457">
        <v>4</v>
      </c>
      <c r="J1457">
        <v>5.08</v>
      </c>
      <c r="K1457" s="245">
        <v>-30.29</v>
      </c>
      <c r="L1457" s="245">
        <v>26.2</v>
      </c>
      <c r="M1457" s="245">
        <v>1140.7</v>
      </c>
      <c r="N1457" s="257" t="s">
        <v>6830</v>
      </c>
    </row>
    <row r="1458" spans="1:14">
      <c r="A1458">
        <v>6582</v>
      </c>
      <c r="B1458" t="s">
        <v>5913</v>
      </c>
      <c r="C1458">
        <v>10.61</v>
      </c>
      <c r="D1458">
        <v>95</v>
      </c>
      <c r="E1458">
        <v>98</v>
      </c>
      <c r="F1458">
        <v>-42</v>
      </c>
      <c r="G1458">
        <v>-84</v>
      </c>
      <c r="H1458">
        <v>53.5</v>
      </c>
      <c r="I1458">
        <v>15</v>
      </c>
      <c r="J1458">
        <v>32.74</v>
      </c>
      <c r="K1458" s="245">
        <v>-70.12</v>
      </c>
      <c r="L1458" s="245">
        <v>9.48</v>
      </c>
      <c r="M1458" s="245">
        <v>481</v>
      </c>
      <c r="N1458" s="257" t="s">
        <v>6830</v>
      </c>
    </row>
    <row r="1459" spans="1:14">
      <c r="A1459">
        <v>6588</v>
      </c>
      <c r="B1459" t="s">
        <v>6616</v>
      </c>
      <c r="C1459">
        <v>2.67</v>
      </c>
      <c r="D1459">
        <v>-76</v>
      </c>
      <c r="E1459">
        <v>-79</v>
      </c>
      <c r="F1459">
        <v>-8</v>
      </c>
      <c r="G1459">
        <v>28</v>
      </c>
      <c r="H1459">
        <v>8.11</v>
      </c>
      <c r="I1459">
        <v>0.75</v>
      </c>
      <c r="J1459">
        <v>0.48</v>
      </c>
      <c r="K1459" s="245">
        <v>-30.26</v>
      </c>
      <c r="L1459" s="245">
        <v>31.25</v>
      </c>
      <c r="M1459" s="245">
        <v>8.8000000000000007</v>
      </c>
      <c r="N1459" s="257" t="s">
        <v>6830</v>
      </c>
    </row>
    <row r="1460" spans="1:14">
      <c r="A1460">
        <v>6589</v>
      </c>
      <c r="B1460" t="s">
        <v>6617</v>
      </c>
      <c r="C1460">
        <v>30.44</v>
      </c>
      <c r="D1460">
        <v>95</v>
      </c>
      <c r="E1460">
        <v>94</v>
      </c>
      <c r="F1460">
        <v>46</v>
      </c>
      <c r="G1460">
        <v>-5</v>
      </c>
      <c r="H1460">
        <v>-3.44</v>
      </c>
      <c r="I1460">
        <v>0</v>
      </c>
      <c r="J1460">
        <v>-0.18</v>
      </c>
      <c r="K1460" s="245">
        <v>-53.88</v>
      </c>
      <c r="L1460" s="245">
        <v>24.15</v>
      </c>
      <c r="M1460" s="245">
        <v>1026.45</v>
      </c>
      <c r="N1460" s="257" t="s">
        <v>6830</v>
      </c>
    </row>
    <row r="1461" spans="1:14">
      <c r="A1461">
        <v>6590</v>
      </c>
      <c r="B1461" t="s">
        <v>6618</v>
      </c>
      <c r="C1461">
        <v>1.82</v>
      </c>
      <c r="D1461">
        <v>25</v>
      </c>
      <c r="E1461">
        <v>-6</v>
      </c>
      <c r="F1461">
        <v>-13</v>
      </c>
      <c r="G1461">
        <v>2</v>
      </c>
      <c r="H1461">
        <v>19.05</v>
      </c>
      <c r="I1461">
        <v>3.8</v>
      </c>
      <c r="J1461">
        <v>4.6399999999999997</v>
      </c>
      <c r="K1461" s="245">
        <v>-15.29</v>
      </c>
      <c r="L1461" s="245">
        <v>11.11</v>
      </c>
      <c r="M1461" s="245">
        <v>5.8</v>
      </c>
      <c r="N1461" s="257" t="s">
        <v>6830</v>
      </c>
    </row>
    <row r="1462" spans="1:14">
      <c r="A1462">
        <v>6591</v>
      </c>
      <c r="B1462" t="s">
        <v>5914</v>
      </c>
      <c r="C1462">
        <v>3.2</v>
      </c>
      <c r="D1462">
        <v>33</v>
      </c>
      <c r="E1462">
        <v>11</v>
      </c>
      <c r="F1462">
        <v>-54</v>
      </c>
      <c r="G1462">
        <v>-31</v>
      </c>
      <c r="H1462">
        <v>18.12</v>
      </c>
      <c r="I1462">
        <v>4</v>
      </c>
      <c r="J1462">
        <v>6.83</v>
      </c>
      <c r="K1462" s="245">
        <v>-14.35</v>
      </c>
      <c r="L1462" s="245">
        <v>52.27</v>
      </c>
      <c r="M1462" s="245">
        <v>715.55</v>
      </c>
      <c r="N1462" s="257" t="s">
        <v>6832</v>
      </c>
    </row>
    <row r="1463" spans="1:14">
      <c r="A1463">
        <v>6592</v>
      </c>
      <c r="B1463" t="s">
        <v>5915</v>
      </c>
      <c r="C1463">
        <v>51.5</v>
      </c>
      <c r="D1463">
        <v>26</v>
      </c>
      <c r="E1463">
        <v>34</v>
      </c>
      <c r="F1463">
        <v>-1</v>
      </c>
      <c r="G1463">
        <v>24</v>
      </c>
      <c r="H1463">
        <v>24.07</v>
      </c>
      <c r="I1463">
        <v>4.2</v>
      </c>
      <c r="J1463">
        <v>6.1</v>
      </c>
      <c r="K1463" s="245">
        <v>-23.24</v>
      </c>
      <c r="L1463" s="245">
        <v>18.14</v>
      </c>
      <c r="M1463" s="245">
        <v>959.8</v>
      </c>
      <c r="N1463" s="257" t="s">
        <v>6831</v>
      </c>
    </row>
    <row r="1464" spans="1:14">
      <c r="A1464">
        <v>6593</v>
      </c>
      <c r="B1464" t="s">
        <v>6619</v>
      </c>
      <c r="C1464">
        <v>2.0299999999999998</v>
      </c>
      <c r="D1464">
        <v>464</v>
      </c>
      <c r="E1464">
        <v>688</v>
      </c>
      <c r="F1464">
        <v>-6</v>
      </c>
      <c r="G1464">
        <v>1</v>
      </c>
      <c r="H1464">
        <v>4.18</v>
      </c>
      <c r="I1464">
        <v>0.7</v>
      </c>
      <c r="J1464">
        <v>0.84</v>
      </c>
      <c r="K1464" s="245">
        <v>-33.36</v>
      </c>
      <c r="L1464" s="245">
        <v>18.55</v>
      </c>
      <c r="M1464" s="245">
        <v>15.3</v>
      </c>
      <c r="N1464" s="257" t="s">
        <v>6831</v>
      </c>
    </row>
    <row r="1465" spans="1:14">
      <c r="A1465">
        <v>6594</v>
      </c>
      <c r="B1465" t="s">
        <v>6189</v>
      </c>
      <c r="C1465">
        <v>3.01</v>
      </c>
      <c r="D1465">
        <v>-24</v>
      </c>
      <c r="E1465">
        <v>-27</v>
      </c>
      <c r="F1465">
        <v>-4</v>
      </c>
      <c r="G1465">
        <v>32</v>
      </c>
      <c r="H1465">
        <v>5.79</v>
      </c>
      <c r="I1465">
        <v>1</v>
      </c>
      <c r="J1465">
        <v>1.08</v>
      </c>
      <c r="K1465" s="245">
        <v>-44.69</v>
      </c>
      <c r="L1465" s="245">
        <v>20.079999999999998</v>
      </c>
      <c r="M1465" s="245">
        <v>73.150000000000006</v>
      </c>
      <c r="N1465" s="257" t="s">
        <v>6830</v>
      </c>
    </row>
    <row r="1466" spans="1:14">
      <c r="A1466">
        <v>6596</v>
      </c>
      <c r="B1466" t="s">
        <v>6246</v>
      </c>
      <c r="C1466">
        <v>3</v>
      </c>
      <c r="D1466">
        <v>-198</v>
      </c>
      <c r="E1466">
        <v>-165</v>
      </c>
      <c r="F1466">
        <v>-84</v>
      </c>
      <c r="G1466">
        <v>-66</v>
      </c>
      <c r="H1466">
        <v>-36.14</v>
      </c>
      <c r="I1466">
        <v>0</v>
      </c>
      <c r="J1466">
        <v>-2.86</v>
      </c>
      <c r="K1466" s="245">
        <v>-18.010000000000002</v>
      </c>
      <c r="L1466" s="245">
        <v>15.79</v>
      </c>
      <c r="M1466" s="245">
        <v>23.45</v>
      </c>
      <c r="N1466" s="257" t="s">
        <v>6830</v>
      </c>
    </row>
    <row r="1467" spans="1:14">
      <c r="A1467">
        <v>6598</v>
      </c>
      <c r="B1467" t="s">
        <v>5916</v>
      </c>
      <c r="C1467">
        <v>8.17</v>
      </c>
      <c r="D1467">
        <v>-59</v>
      </c>
      <c r="E1467">
        <v>-23</v>
      </c>
      <c r="F1467">
        <v>54</v>
      </c>
      <c r="G1467">
        <v>232</v>
      </c>
      <c r="H1467">
        <v>-51.55</v>
      </c>
      <c r="I1467">
        <v>0</v>
      </c>
      <c r="J1467">
        <v>-2.02</v>
      </c>
      <c r="K1467" s="245">
        <v>-42.17</v>
      </c>
      <c r="L1467" s="245">
        <v>28.01</v>
      </c>
      <c r="M1467" s="245">
        <v>5934.7</v>
      </c>
      <c r="N1467" s="257" t="s">
        <v>6830</v>
      </c>
    </row>
    <row r="1468" spans="1:14">
      <c r="A1468">
        <v>6603</v>
      </c>
      <c r="B1468" t="s">
        <v>5917</v>
      </c>
      <c r="C1468">
        <v>14.94</v>
      </c>
      <c r="D1468">
        <v>1453</v>
      </c>
      <c r="E1468">
        <v>1087</v>
      </c>
      <c r="F1468">
        <v>4</v>
      </c>
      <c r="G1468">
        <v>22</v>
      </c>
      <c r="H1468">
        <v>4.72</v>
      </c>
      <c r="I1468">
        <v>0.5</v>
      </c>
      <c r="J1468">
        <v>0.8</v>
      </c>
      <c r="K1468" s="245">
        <v>-18.16</v>
      </c>
      <c r="L1468" s="245">
        <v>46.05</v>
      </c>
      <c r="M1468" s="245">
        <v>1615.75</v>
      </c>
      <c r="N1468" s="257" t="s">
        <v>6831</v>
      </c>
    </row>
    <row r="1469" spans="1:14">
      <c r="A1469">
        <v>6605</v>
      </c>
      <c r="B1469" t="s">
        <v>5918</v>
      </c>
      <c r="C1469">
        <v>16.579999999999998</v>
      </c>
      <c r="D1469">
        <v>105</v>
      </c>
      <c r="E1469">
        <v>68</v>
      </c>
      <c r="F1469">
        <v>-11</v>
      </c>
      <c r="G1469">
        <v>-3</v>
      </c>
      <c r="H1469">
        <v>10.7</v>
      </c>
      <c r="I1469">
        <v>3</v>
      </c>
      <c r="J1469">
        <v>6.85</v>
      </c>
      <c r="K1469" s="245">
        <v>-6.09</v>
      </c>
      <c r="L1469" s="245">
        <v>72.959999999999994</v>
      </c>
      <c r="M1469" s="245">
        <v>149.05000000000001</v>
      </c>
      <c r="N1469" s="257" t="s">
        <v>6831</v>
      </c>
    </row>
    <row r="1470" spans="1:14">
      <c r="A1470">
        <v>6609</v>
      </c>
      <c r="B1470" t="s">
        <v>5919</v>
      </c>
      <c r="C1470">
        <v>7.24</v>
      </c>
      <c r="D1470">
        <v>845</v>
      </c>
      <c r="E1470">
        <v>119</v>
      </c>
      <c r="F1470">
        <v>27</v>
      </c>
      <c r="G1470">
        <v>60</v>
      </c>
      <c r="H1470">
        <v>6.52</v>
      </c>
      <c r="I1470">
        <v>1.5</v>
      </c>
      <c r="J1470">
        <v>2.5099999999999998</v>
      </c>
      <c r="K1470" s="245">
        <v>-11.7</v>
      </c>
      <c r="L1470" s="245">
        <v>65.55</v>
      </c>
      <c r="M1470" s="245">
        <v>396</v>
      </c>
      <c r="N1470" s="257" t="s">
        <v>6831</v>
      </c>
    </row>
    <row r="1471" spans="1:14">
      <c r="A1471">
        <v>6612</v>
      </c>
      <c r="B1471" t="s">
        <v>5920</v>
      </c>
      <c r="C1471">
        <v>3.39</v>
      </c>
      <c r="D1471">
        <v>1</v>
      </c>
      <c r="E1471">
        <v>11</v>
      </c>
      <c r="F1471">
        <v>-15</v>
      </c>
      <c r="G1471">
        <v>15</v>
      </c>
      <c r="H1471">
        <v>22.3</v>
      </c>
      <c r="I1471">
        <v>0.5</v>
      </c>
      <c r="J1471">
        <v>1.74</v>
      </c>
      <c r="K1471" s="245">
        <v>-24.85</v>
      </c>
      <c r="L1471" s="245">
        <v>28.43</v>
      </c>
      <c r="M1471" s="245">
        <v>133.55000000000001</v>
      </c>
      <c r="N1471" s="257" t="s">
        <v>6831</v>
      </c>
    </row>
    <row r="1472" spans="1:14">
      <c r="A1472">
        <v>6613</v>
      </c>
      <c r="B1472" t="s">
        <v>5921</v>
      </c>
      <c r="C1472">
        <v>3.39</v>
      </c>
      <c r="D1472">
        <v>53</v>
      </c>
      <c r="E1472">
        <v>42</v>
      </c>
      <c r="F1472">
        <v>-39</v>
      </c>
      <c r="G1472">
        <v>0</v>
      </c>
      <c r="H1472">
        <v>13.49</v>
      </c>
      <c r="I1472">
        <v>12</v>
      </c>
      <c r="J1472">
        <v>16.75</v>
      </c>
      <c r="K1472" s="245">
        <v>-9.17</v>
      </c>
      <c r="L1472" s="245">
        <v>37.67</v>
      </c>
      <c r="M1472" s="245">
        <v>33.75</v>
      </c>
      <c r="N1472" s="257" t="s">
        <v>6831</v>
      </c>
    </row>
    <row r="1473" spans="1:14">
      <c r="A1473">
        <v>6615</v>
      </c>
      <c r="B1473" t="s">
        <v>6620</v>
      </c>
      <c r="C1473">
        <v>2.13</v>
      </c>
      <c r="D1473">
        <v>65</v>
      </c>
      <c r="E1473">
        <v>68</v>
      </c>
      <c r="F1473">
        <v>-8</v>
      </c>
      <c r="G1473">
        <v>7</v>
      </c>
      <c r="H1473">
        <v>6.93</v>
      </c>
      <c r="I1473">
        <v>2</v>
      </c>
      <c r="J1473">
        <v>2.68</v>
      </c>
      <c r="K1473" s="245">
        <v>-20.61</v>
      </c>
      <c r="L1473" s="245">
        <v>34.619999999999997</v>
      </c>
      <c r="M1473" s="245">
        <v>17.75</v>
      </c>
      <c r="N1473" s="257" t="s">
        <v>6830</v>
      </c>
    </row>
    <row r="1474" spans="1:14">
      <c r="A1474">
        <v>6616</v>
      </c>
      <c r="B1474" t="s">
        <v>6621</v>
      </c>
      <c r="C1474">
        <v>2.86</v>
      </c>
      <c r="D1474">
        <v>-163</v>
      </c>
      <c r="E1474">
        <v>-78</v>
      </c>
      <c r="F1474">
        <v>-8</v>
      </c>
      <c r="G1474">
        <v>36</v>
      </c>
      <c r="H1474">
        <v>2.38</v>
      </c>
      <c r="I1474">
        <v>0</v>
      </c>
      <c r="J1474">
        <v>-1.08</v>
      </c>
      <c r="K1474" s="245">
        <v>-18.22</v>
      </c>
      <c r="L1474" s="245">
        <v>66.58</v>
      </c>
      <c r="M1474" s="245">
        <v>50.35</v>
      </c>
      <c r="N1474" s="257" t="s">
        <v>6831</v>
      </c>
    </row>
    <row r="1475" spans="1:14">
      <c r="A1475">
        <v>6624</v>
      </c>
      <c r="B1475" t="s">
        <v>6622</v>
      </c>
      <c r="C1475">
        <v>1.8</v>
      </c>
      <c r="D1475">
        <v>104</v>
      </c>
      <c r="E1475">
        <v>176</v>
      </c>
      <c r="F1475">
        <v>65</v>
      </c>
      <c r="G1475">
        <v>92</v>
      </c>
      <c r="H1475">
        <v>2.57</v>
      </c>
      <c r="I1475">
        <v>0</v>
      </c>
      <c r="J1475">
        <v>0.04</v>
      </c>
      <c r="K1475" s="245">
        <v>-4.6500000000000004</v>
      </c>
      <c r="L1475" s="245">
        <v>50.01</v>
      </c>
      <c r="M1475" s="245">
        <v>11.1</v>
      </c>
      <c r="N1475" s="257" t="s">
        <v>6832</v>
      </c>
    </row>
    <row r="1476" spans="1:14">
      <c r="A1476">
        <v>6625</v>
      </c>
      <c r="B1476" t="s">
        <v>5922</v>
      </c>
      <c r="C1476">
        <v>4.43</v>
      </c>
      <c r="D1476">
        <v>29</v>
      </c>
      <c r="E1476">
        <v>44</v>
      </c>
      <c r="F1476">
        <v>-27</v>
      </c>
      <c r="G1476">
        <v>-52</v>
      </c>
      <c r="H1476">
        <v>-9.7899999999999991</v>
      </c>
      <c r="I1476">
        <v>0</v>
      </c>
      <c r="J1476">
        <v>-2</v>
      </c>
      <c r="K1476" s="245">
        <v>-24.79</v>
      </c>
      <c r="L1476" s="245">
        <v>16.14</v>
      </c>
      <c r="M1476" s="245">
        <v>12.75</v>
      </c>
      <c r="N1476" s="257" t="s">
        <v>6830</v>
      </c>
    </row>
    <row r="1477" spans="1:14">
      <c r="A1477">
        <v>6629</v>
      </c>
      <c r="B1477" t="s">
        <v>6623</v>
      </c>
      <c r="C1477">
        <v>3.57</v>
      </c>
      <c r="D1477">
        <v>3</v>
      </c>
      <c r="E1477">
        <v>17</v>
      </c>
      <c r="F1477">
        <v>-2</v>
      </c>
      <c r="G1477">
        <v>0</v>
      </c>
      <c r="H1477">
        <v>20.94</v>
      </c>
      <c r="I1477">
        <v>3.2</v>
      </c>
      <c r="J1477">
        <v>6.51</v>
      </c>
      <c r="K1477" s="245">
        <v>-13.58</v>
      </c>
      <c r="L1477" s="245">
        <v>50.49</v>
      </c>
      <c r="M1477" s="245">
        <v>2.4</v>
      </c>
      <c r="N1477" s="257" t="s">
        <v>6831</v>
      </c>
    </row>
    <row r="1478" spans="1:14">
      <c r="A1478">
        <v>6640</v>
      </c>
      <c r="B1478" t="s">
        <v>6624</v>
      </c>
      <c r="C1478">
        <v>2.82</v>
      </c>
      <c r="D1478">
        <v>344</v>
      </c>
      <c r="E1478">
        <v>1121</v>
      </c>
      <c r="F1478">
        <v>-33</v>
      </c>
      <c r="G1478">
        <v>-18</v>
      </c>
      <c r="H1478">
        <v>10.86</v>
      </c>
      <c r="I1478">
        <v>5</v>
      </c>
      <c r="J1478">
        <v>5.84</v>
      </c>
      <c r="K1478" s="245">
        <v>-50.59</v>
      </c>
      <c r="L1478" s="245">
        <v>33.479999999999997</v>
      </c>
      <c r="M1478" s="245">
        <v>11.2</v>
      </c>
      <c r="N1478" s="257" t="s">
        <v>6830</v>
      </c>
    </row>
    <row r="1479" spans="1:14">
      <c r="A1479">
        <v>6641</v>
      </c>
      <c r="B1479" t="s">
        <v>5923</v>
      </c>
      <c r="C1479">
        <v>3.7</v>
      </c>
      <c r="D1479">
        <v>-1</v>
      </c>
      <c r="E1479">
        <v>-22</v>
      </c>
      <c r="F1479">
        <v>-8</v>
      </c>
      <c r="G1479">
        <v>-28</v>
      </c>
      <c r="H1479">
        <v>10.37</v>
      </c>
      <c r="I1479">
        <v>4.5</v>
      </c>
      <c r="J1479">
        <v>6.3</v>
      </c>
      <c r="K1479" s="245">
        <v>-11.85</v>
      </c>
      <c r="L1479" s="245">
        <v>21.17</v>
      </c>
      <c r="M1479" s="245">
        <v>8.1999999999999993</v>
      </c>
      <c r="N1479" s="257" t="s">
        <v>6831</v>
      </c>
    </row>
    <row r="1480" spans="1:14">
      <c r="A1480">
        <v>6642</v>
      </c>
      <c r="B1480" t="s">
        <v>6290</v>
      </c>
      <c r="C1480">
        <v>3.73</v>
      </c>
      <c r="D1480">
        <v>89</v>
      </c>
      <c r="E1480">
        <v>87</v>
      </c>
      <c r="F1480">
        <v>-17</v>
      </c>
      <c r="G1480">
        <v>-8</v>
      </c>
      <c r="H1480">
        <v>32.17</v>
      </c>
      <c r="I1480">
        <v>3.6</v>
      </c>
      <c r="J1480">
        <v>4.6500000000000004</v>
      </c>
      <c r="K1480" s="245">
        <v>-44.07</v>
      </c>
      <c r="L1480" s="245">
        <v>19.100000000000001</v>
      </c>
      <c r="M1480" s="245">
        <v>21.8</v>
      </c>
      <c r="N1480" s="257" t="s">
        <v>6830</v>
      </c>
    </row>
    <row r="1481" spans="1:14">
      <c r="A1481">
        <v>6643</v>
      </c>
      <c r="B1481" t="s">
        <v>5924</v>
      </c>
      <c r="C1481">
        <v>3.16</v>
      </c>
      <c r="D1481">
        <v>-21</v>
      </c>
      <c r="E1481">
        <v>-25</v>
      </c>
      <c r="F1481">
        <v>10</v>
      </c>
      <c r="G1481">
        <v>34</v>
      </c>
      <c r="H1481">
        <v>30.92</v>
      </c>
      <c r="I1481">
        <v>6.3</v>
      </c>
      <c r="J1481">
        <v>8.1199999999999992</v>
      </c>
      <c r="K1481" s="245">
        <v>-40.869999999999997</v>
      </c>
      <c r="L1481" s="245">
        <v>25.97</v>
      </c>
      <c r="M1481" s="245">
        <v>140.69999999999999</v>
      </c>
      <c r="N1481" s="257" t="s">
        <v>6830</v>
      </c>
    </row>
    <row r="1482" spans="1:14">
      <c r="A1482">
        <v>6649</v>
      </c>
      <c r="B1482" t="s">
        <v>6625</v>
      </c>
      <c r="C1482">
        <v>4.2</v>
      </c>
      <c r="D1482">
        <v>14</v>
      </c>
      <c r="E1482">
        <v>12</v>
      </c>
      <c r="F1482">
        <v>-20</v>
      </c>
      <c r="G1482">
        <v>106</v>
      </c>
      <c r="H1482">
        <v>-136.1</v>
      </c>
      <c r="I1482">
        <v>0</v>
      </c>
      <c r="J1482">
        <v>-1.44</v>
      </c>
      <c r="K1482" s="245">
        <v>-23.59</v>
      </c>
      <c r="L1482" s="245">
        <v>36.39</v>
      </c>
      <c r="M1482" s="245">
        <v>32</v>
      </c>
      <c r="N1482" s="257" t="s">
        <v>6830</v>
      </c>
    </row>
    <row r="1483" spans="1:14">
      <c r="A1483">
        <v>6651</v>
      </c>
      <c r="B1483" t="s">
        <v>5925</v>
      </c>
      <c r="C1483">
        <v>3.29</v>
      </c>
      <c r="D1483">
        <v>112</v>
      </c>
      <c r="E1483">
        <v>94</v>
      </c>
      <c r="F1483">
        <v>-14</v>
      </c>
      <c r="G1483">
        <v>0</v>
      </c>
      <c r="H1483">
        <v>19.71</v>
      </c>
      <c r="I1483">
        <v>4.5</v>
      </c>
      <c r="J1483">
        <v>7.77</v>
      </c>
      <c r="K1483" s="245">
        <v>-43.14</v>
      </c>
      <c r="L1483" s="245">
        <v>31.05</v>
      </c>
      <c r="M1483" s="245">
        <v>61.05</v>
      </c>
      <c r="N1483" s="257" t="s">
        <v>6830</v>
      </c>
    </row>
    <row r="1484" spans="1:14">
      <c r="A1484">
        <v>6654</v>
      </c>
      <c r="B1484" t="s">
        <v>5926</v>
      </c>
      <c r="C1484">
        <v>3.32</v>
      </c>
      <c r="D1484">
        <v>239</v>
      </c>
      <c r="E1484">
        <v>284</v>
      </c>
      <c r="F1484">
        <v>36</v>
      </c>
      <c r="G1484">
        <v>-40</v>
      </c>
      <c r="H1484">
        <v>25.2</v>
      </c>
      <c r="I1484">
        <v>4.5</v>
      </c>
      <c r="J1484">
        <v>6.26</v>
      </c>
      <c r="K1484" s="245">
        <v>-48.05</v>
      </c>
      <c r="L1484" s="245">
        <v>6.92</v>
      </c>
      <c r="M1484" s="245">
        <v>25.3</v>
      </c>
      <c r="N1484" s="257" t="s">
        <v>6830</v>
      </c>
    </row>
    <row r="1485" spans="1:14">
      <c r="A1485">
        <v>6655</v>
      </c>
      <c r="B1485" t="s">
        <v>5927</v>
      </c>
      <c r="C1485">
        <v>7.4</v>
      </c>
      <c r="D1485">
        <v>82</v>
      </c>
      <c r="E1485">
        <v>52</v>
      </c>
      <c r="F1485">
        <v>-12</v>
      </c>
      <c r="G1485">
        <v>-4</v>
      </c>
      <c r="H1485">
        <v>24.99</v>
      </c>
      <c r="I1485">
        <v>12</v>
      </c>
      <c r="J1485">
        <v>7.68</v>
      </c>
      <c r="K1485" s="245">
        <v>-10.84</v>
      </c>
      <c r="L1485" s="245">
        <v>66.98</v>
      </c>
      <c r="M1485" s="245">
        <v>47.2</v>
      </c>
      <c r="N1485" s="257" t="s">
        <v>6832</v>
      </c>
    </row>
    <row r="1486" spans="1:14">
      <c r="A1486">
        <v>6661</v>
      </c>
      <c r="B1486" t="s">
        <v>6626</v>
      </c>
      <c r="C1486">
        <v>2.33</v>
      </c>
      <c r="D1486">
        <v>-53</v>
      </c>
      <c r="E1486">
        <v>-59</v>
      </c>
      <c r="F1486">
        <v>26</v>
      </c>
      <c r="G1486">
        <v>60</v>
      </c>
      <c r="H1486">
        <v>4.6399999999999997</v>
      </c>
      <c r="I1486">
        <v>0.48</v>
      </c>
      <c r="J1486">
        <v>0.59</v>
      </c>
      <c r="K1486" s="245">
        <v>-19.850000000000001</v>
      </c>
      <c r="L1486" s="245">
        <v>36.75</v>
      </c>
      <c r="M1486" s="245">
        <v>13.15</v>
      </c>
      <c r="N1486" s="257" t="s">
        <v>6830</v>
      </c>
    </row>
    <row r="1487" spans="1:14">
      <c r="A1487">
        <v>6662</v>
      </c>
      <c r="B1487" t="s">
        <v>6627</v>
      </c>
      <c r="C1487">
        <v>2.56</v>
      </c>
      <c r="D1487">
        <v>-28</v>
      </c>
      <c r="E1487">
        <v>-30</v>
      </c>
      <c r="F1487">
        <v>-28</v>
      </c>
      <c r="G1487">
        <v>-37</v>
      </c>
      <c r="H1487">
        <v>23.68</v>
      </c>
      <c r="I1487">
        <v>1.6</v>
      </c>
      <c r="J1487">
        <v>1.76</v>
      </c>
      <c r="K1487" s="245">
        <v>-19.149999999999999</v>
      </c>
      <c r="L1487" s="245">
        <v>20.420000000000002</v>
      </c>
      <c r="M1487" s="245">
        <v>108.1</v>
      </c>
      <c r="N1487" s="257" t="s">
        <v>6830</v>
      </c>
    </row>
    <row r="1488" spans="1:14">
      <c r="A1488">
        <v>6664</v>
      </c>
      <c r="B1488" t="s">
        <v>5928</v>
      </c>
      <c r="C1488">
        <v>5.5</v>
      </c>
      <c r="D1488">
        <v>8</v>
      </c>
      <c r="E1488">
        <v>8</v>
      </c>
      <c r="F1488">
        <v>11</v>
      </c>
      <c r="G1488">
        <v>46</v>
      </c>
      <c r="H1488">
        <v>24.56</v>
      </c>
      <c r="I1488">
        <v>4.9000000000000004</v>
      </c>
      <c r="J1488">
        <v>6.12</v>
      </c>
      <c r="K1488" s="245">
        <v>-4.84</v>
      </c>
      <c r="L1488" s="245">
        <v>64.319999999999993</v>
      </c>
      <c r="M1488" s="245">
        <v>189.85</v>
      </c>
      <c r="N1488" s="257" t="s">
        <v>6832</v>
      </c>
    </row>
    <row r="1489" spans="1:14">
      <c r="A1489">
        <v>6666</v>
      </c>
      <c r="B1489" t="s">
        <v>5929</v>
      </c>
      <c r="C1489">
        <v>4.7300000000000004</v>
      </c>
      <c r="D1489">
        <v>-33</v>
      </c>
      <c r="E1489">
        <v>-10</v>
      </c>
      <c r="F1489">
        <v>4</v>
      </c>
      <c r="G1489">
        <v>-6</v>
      </c>
      <c r="H1489">
        <v>5.8</v>
      </c>
      <c r="I1489">
        <v>1.5</v>
      </c>
      <c r="J1489">
        <v>1.48</v>
      </c>
      <c r="K1489" s="245">
        <v>-37.64</v>
      </c>
      <c r="L1489" s="245">
        <v>12.84</v>
      </c>
      <c r="M1489" s="245">
        <v>29.95</v>
      </c>
      <c r="N1489" s="257" t="s">
        <v>6830</v>
      </c>
    </row>
    <row r="1490" spans="1:14">
      <c r="A1490">
        <v>6667</v>
      </c>
      <c r="B1490" t="s">
        <v>5930</v>
      </c>
      <c r="C1490">
        <v>3.97</v>
      </c>
      <c r="D1490">
        <v>76</v>
      </c>
      <c r="E1490">
        <v>197</v>
      </c>
      <c r="F1490">
        <v>-18</v>
      </c>
      <c r="G1490">
        <v>47</v>
      </c>
      <c r="H1490">
        <v>8.65</v>
      </c>
      <c r="I1490">
        <v>2.94</v>
      </c>
      <c r="J1490">
        <v>3.27</v>
      </c>
      <c r="K1490" s="245">
        <v>-24</v>
      </c>
      <c r="L1490" s="245">
        <v>18.22</v>
      </c>
      <c r="M1490" s="245">
        <v>196.45</v>
      </c>
      <c r="N1490" s="257" t="s">
        <v>6831</v>
      </c>
    </row>
    <row r="1491" spans="1:14">
      <c r="A1491">
        <v>6668</v>
      </c>
      <c r="B1491" t="s">
        <v>5931</v>
      </c>
      <c r="C1491">
        <v>7.82</v>
      </c>
      <c r="D1491">
        <v>-341</v>
      </c>
      <c r="E1491">
        <v>-214</v>
      </c>
      <c r="F1491">
        <v>1</v>
      </c>
      <c r="G1491">
        <v>6</v>
      </c>
      <c r="H1491">
        <v>-18.920000000000002</v>
      </c>
      <c r="I1491">
        <v>0</v>
      </c>
      <c r="J1491">
        <v>-4.0199999999999996</v>
      </c>
      <c r="K1491" s="245">
        <v>-54.41</v>
      </c>
      <c r="L1491" s="245">
        <v>9.06</v>
      </c>
      <c r="M1491" s="245">
        <v>141.69999999999999</v>
      </c>
      <c r="N1491" s="257" t="s">
        <v>6830</v>
      </c>
    </row>
    <row r="1492" spans="1:14">
      <c r="A1492">
        <v>6669</v>
      </c>
      <c r="B1492" t="s">
        <v>5932</v>
      </c>
      <c r="C1492">
        <v>17.48</v>
      </c>
      <c r="D1492">
        <v>0</v>
      </c>
      <c r="E1492">
        <v>1</v>
      </c>
      <c r="F1492">
        <v>-17</v>
      </c>
      <c r="G1492">
        <v>19</v>
      </c>
      <c r="H1492">
        <v>5.91</v>
      </c>
      <c r="I1492">
        <v>25</v>
      </c>
      <c r="J1492">
        <v>49.46</v>
      </c>
      <c r="K1492" s="245">
        <v>-15.74</v>
      </c>
      <c r="L1492" s="245">
        <v>49.31</v>
      </c>
      <c r="M1492" s="245">
        <v>651.4</v>
      </c>
      <c r="N1492" s="257" t="s">
        <v>6831</v>
      </c>
    </row>
    <row r="1493" spans="1:14">
      <c r="A1493">
        <v>6670</v>
      </c>
      <c r="B1493" t="s">
        <v>5933</v>
      </c>
      <c r="C1493">
        <v>13.1</v>
      </c>
      <c r="D1493">
        <v>108</v>
      </c>
      <c r="E1493">
        <v>91</v>
      </c>
      <c r="F1493">
        <v>-3</v>
      </c>
      <c r="G1493">
        <v>38</v>
      </c>
      <c r="H1493">
        <v>13.53</v>
      </c>
      <c r="I1493">
        <v>12</v>
      </c>
      <c r="J1493">
        <v>18.03</v>
      </c>
      <c r="K1493" s="245">
        <v>-13.32</v>
      </c>
      <c r="L1493" s="245">
        <v>55.31</v>
      </c>
      <c r="M1493" s="245">
        <v>259.55</v>
      </c>
      <c r="N1493" s="257" t="s">
        <v>6831</v>
      </c>
    </row>
    <row r="1494" spans="1:14">
      <c r="A1494">
        <v>6671</v>
      </c>
      <c r="B1494" t="s">
        <v>5934</v>
      </c>
      <c r="C1494">
        <v>6.07</v>
      </c>
      <c r="D1494">
        <v>-5</v>
      </c>
      <c r="E1494">
        <v>-9</v>
      </c>
      <c r="F1494">
        <v>-2</v>
      </c>
      <c r="G1494">
        <v>-9</v>
      </c>
      <c r="H1494">
        <v>12.05</v>
      </c>
      <c r="I1494">
        <v>3</v>
      </c>
      <c r="J1494">
        <v>3.5</v>
      </c>
      <c r="K1494" s="245">
        <v>-13.68</v>
      </c>
      <c r="L1494" s="245">
        <v>46.87</v>
      </c>
      <c r="M1494" s="245">
        <v>18.649999999999999</v>
      </c>
      <c r="N1494" s="257" t="s">
        <v>6830</v>
      </c>
    </row>
    <row r="1495" spans="1:14">
      <c r="A1495">
        <v>6672</v>
      </c>
      <c r="B1495" t="s">
        <v>5935</v>
      </c>
      <c r="C1495">
        <v>7.14</v>
      </c>
      <c r="D1495">
        <v>121</v>
      </c>
      <c r="E1495">
        <v>102</v>
      </c>
      <c r="F1495">
        <v>-11</v>
      </c>
      <c r="G1495">
        <v>-18</v>
      </c>
      <c r="H1495">
        <v>14.04</v>
      </c>
      <c r="I1495">
        <v>6.6</v>
      </c>
      <c r="J1495">
        <v>11.72</v>
      </c>
      <c r="K1495" s="245">
        <v>-54.23</v>
      </c>
      <c r="L1495" s="245">
        <v>11.48</v>
      </c>
      <c r="M1495" s="245">
        <v>404</v>
      </c>
      <c r="N1495" s="257" t="s">
        <v>6830</v>
      </c>
    </row>
    <row r="1496" spans="1:14">
      <c r="A1496">
        <v>6674</v>
      </c>
      <c r="B1496" t="s">
        <v>5936</v>
      </c>
      <c r="C1496">
        <v>6.84</v>
      </c>
      <c r="D1496">
        <v>-29</v>
      </c>
      <c r="E1496">
        <v>263</v>
      </c>
      <c r="F1496">
        <v>-11</v>
      </c>
      <c r="G1496">
        <v>-6</v>
      </c>
      <c r="H1496">
        <v>2.88</v>
      </c>
      <c r="I1496">
        <v>1</v>
      </c>
      <c r="J1496">
        <v>0.49</v>
      </c>
      <c r="K1496" s="245">
        <v>-17.73</v>
      </c>
      <c r="L1496" s="245">
        <v>39.31</v>
      </c>
      <c r="M1496" s="245">
        <v>17.850000000000001</v>
      </c>
      <c r="N1496" s="257" t="s">
        <v>6831</v>
      </c>
    </row>
    <row r="1497" spans="1:14">
      <c r="A1497">
        <v>6679</v>
      </c>
      <c r="B1497" t="s">
        <v>5937</v>
      </c>
      <c r="C1497">
        <v>4.3499999999999996</v>
      </c>
      <c r="D1497">
        <v>102</v>
      </c>
      <c r="E1497">
        <v>92</v>
      </c>
      <c r="F1497">
        <v>8</v>
      </c>
      <c r="G1497">
        <v>7</v>
      </c>
      <c r="H1497">
        <v>27.61</v>
      </c>
      <c r="I1497">
        <v>9.1</v>
      </c>
      <c r="J1497">
        <v>15.06</v>
      </c>
      <c r="K1497" s="245">
        <v>-35.71</v>
      </c>
      <c r="L1497" s="245">
        <v>13.56</v>
      </c>
      <c r="M1497" s="245">
        <v>469.3</v>
      </c>
      <c r="N1497" s="257" t="s">
        <v>6830</v>
      </c>
    </row>
    <row r="1498" spans="1:14">
      <c r="A1498">
        <v>6680</v>
      </c>
      <c r="B1498" t="s">
        <v>6628</v>
      </c>
      <c r="C1498">
        <v>1.85</v>
      </c>
      <c r="D1498">
        <v>-17</v>
      </c>
      <c r="E1498">
        <v>-40</v>
      </c>
      <c r="F1498">
        <v>21</v>
      </c>
      <c r="G1498">
        <v>37</v>
      </c>
      <c r="H1498">
        <v>10.29</v>
      </c>
      <c r="I1498">
        <v>1.5</v>
      </c>
      <c r="J1498">
        <v>1.79</v>
      </c>
      <c r="K1498" s="245">
        <v>-18.98</v>
      </c>
      <c r="L1498" s="245">
        <v>60.28</v>
      </c>
      <c r="M1498" s="245">
        <v>1</v>
      </c>
      <c r="N1498" s="257" t="s">
        <v>6830</v>
      </c>
    </row>
    <row r="1499" spans="1:14">
      <c r="A1499">
        <v>6683</v>
      </c>
      <c r="B1499" t="s">
        <v>6629</v>
      </c>
      <c r="C1499">
        <v>2.7</v>
      </c>
      <c r="D1499">
        <v>25</v>
      </c>
      <c r="E1499">
        <v>23</v>
      </c>
      <c r="F1499">
        <v>-5</v>
      </c>
      <c r="G1499">
        <v>0</v>
      </c>
      <c r="H1499">
        <v>36.49</v>
      </c>
      <c r="I1499">
        <v>7.8</v>
      </c>
      <c r="J1499">
        <v>15.5</v>
      </c>
      <c r="K1499" s="245">
        <v>-45.06</v>
      </c>
      <c r="L1499" s="245">
        <v>20.170000000000002</v>
      </c>
      <c r="M1499" s="245">
        <v>57.5</v>
      </c>
      <c r="N1499" s="257" t="s">
        <v>6830</v>
      </c>
    </row>
    <row r="1500" spans="1:14">
      <c r="A1500">
        <v>6684</v>
      </c>
      <c r="B1500" t="s">
        <v>6630</v>
      </c>
      <c r="C1500">
        <v>2.46</v>
      </c>
      <c r="D1500">
        <v>260</v>
      </c>
      <c r="E1500">
        <v>274</v>
      </c>
      <c r="F1500">
        <v>-15</v>
      </c>
      <c r="G1500">
        <v>-3</v>
      </c>
      <c r="H1500">
        <v>29.39</v>
      </c>
      <c r="I1500">
        <v>5.5</v>
      </c>
      <c r="J1500">
        <v>6.59</v>
      </c>
      <c r="K1500" s="245" t="s">
        <v>6279</v>
      </c>
      <c r="L1500" s="245" t="s">
        <v>6279</v>
      </c>
      <c r="M1500" s="245" t="s">
        <v>6279</v>
      </c>
      <c r="N1500" s="257" t="s">
        <v>6279</v>
      </c>
    </row>
    <row r="1501" spans="1:14">
      <c r="A1501">
        <v>6690</v>
      </c>
      <c r="B1501" t="s">
        <v>6631</v>
      </c>
      <c r="C1501">
        <v>1.72</v>
      </c>
      <c r="D1501">
        <v>5</v>
      </c>
      <c r="E1501">
        <v>3</v>
      </c>
      <c r="F1501">
        <v>-16</v>
      </c>
      <c r="G1501">
        <v>119</v>
      </c>
      <c r="H1501">
        <v>12.23</v>
      </c>
      <c r="I1501">
        <v>3.7</v>
      </c>
      <c r="J1501">
        <v>5.1100000000000003</v>
      </c>
      <c r="K1501" s="245">
        <v>-17.8</v>
      </c>
      <c r="L1501" s="245">
        <v>20.77</v>
      </c>
      <c r="M1501" s="245">
        <v>10.9</v>
      </c>
      <c r="N1501" s="257" t="s">
        <v>6830</v>
      </c>
    </row>
    <row r="1502" spans="1:14">
      <c r="A1502">
        <v>6697</v>
      </c>
      <c r="B1502" t="s">
        <v>6632</v>
      </c>
      <c r="C1502">
        <v>2.73</v>
      </c>
      <c r="D1502">
        <v>10</v>
      </c>
      <c r="E1502">
        <v>23</v>
      </c>
      <c r="F1502">
        <v>-9</v>
      </c>
      <c r="G1502">
        <v>27</v>
      </c>
      <c r="H1502">
        <v>6.13</v>
      </c>
      <c r="I1502">
        <v>2</v>
      </c>
      <c r="J1502">
        <v>2.65</v>
      </c>
      <c r="K1502" s="245">
        <v>-11.45</v>
      </c>
      <c r="L1502" s="245">
        <v>48.66</v>
      </c>
      <c r="M1502" s="245">
        <v>2.0499999999999998</v>
      </c>
      <c r="N1502" s="257" t="s">
        <v>6830</v>
      </c>
    </row>
    <row r="1503" spans="1:14">
      <c r="A1503">
        <v>6698</v>
      </c>
      <c r="B1503" t="s">
        <v>5938</v>
      </c>
      <c r="C1503">
        <v>6.63</v>
      </c>
      <c r="D1503">
        <v>170</v>
      </c>
      <c r="E1503">
        <v>50</v>
      </c>
      <c r="F1503">
        <v>-13</v>
      </c>
      <c r="G1503">
        <v>55</v>
      </c>
      <c r="H1503">
        <v>7.44</v>
      </c>
      <c r="I1503">
        <v>0</v>
      </c>
      <c r="J1503">
        <v>0.39</v>
      </c>
      <c r="K1503" s="245">
        <v>-42.78</v>
      </c>
      <c r="L1503" s="245">
        <v>11.17</v>
      </c>
      <c r="M1503" s="245">
        <v>130.80000000000001</v>
      </c>
      <c r="N1503" s="257" t="s">
        <v>6830</v>
      </c>
    </row>
    <row r="1504" spans="1:14">
      <c r="A1504">
        <v>6703</v>
      </c>
      <c r="B1504" t="s">
        <v>6633</v>
      </c>
      <c r="C1504">
        <v>2.08</v>
      </c>
      <c r="D1504">
        <v>17</v>
      </c>
      <c r="E1504">
        <v>18</v>
      </c>
      <c r="F1504">
        <v>2</v>
      </c>
      <c r="G1504">
        <v>26</v>
      </c>
      <c r="H1504">
        <v>13.83</v>
      </c>
      <c r="I1504">
        <v>8.5</v>
      </c>
      <c r="J1504">
        <v>6.84</v>
      </c>
      <c r="K1504" s="245">
        <v>-14.79</v>
      </c>
      <c r="L1504" s="245">
        <v>56.01</v>
      </c>
      <c r="M1504" s="245">
        <v>45.25</v>
      </c>
      <c r="N1504" s="257" t="s">
        <v>6831</v>
      </c>
    </row>
    <row r="1505" spans="1:14">
      <c r="A1505">
        <v>6706</v>
      </c>
      <c r="B1505" t="s">
        <v>5939</v>
      </c>
      <c r="C1505">
        <v>7.35</v>
      </c>
      <c r="D1505">
        <v>191</v>
      </c>
      <c r="E1505">
        <v>178</v>
      </c>
      <c r="F1505">
        <v>-9</v>
      </c>
      <c r="G1505">
        <v>27</v>
      </c>
      <c r="H1505">
        <v>21.45</v>
      </c>
      <c r="I1505">
        <v>10</v>
      </c>
      <c r="J1505">
        <v>13.98</v>
      </c>
      <c r="K1505" s="245">
        <v>-43.24</v>
      </c>
      <c r="L1505" s="245">
        <v>7.89</v>
      </c>
      <c r="M1505" s="245">
        <v>1212.4000000000001</v>
      </c>
      <c r="N1505" s="257" t="s">
        <v>6830</v>
      </c>
    </row>
    <row r="1506" spans="1:14">
      <c r="A1506">
        <v>6712</v>
      </c>
      <c r="B1506" t="s">
        <v>6412</v>
      </c>
      <c r="C1506">
        <v>6.18</v>
      </c>
      <c r="D1506">
        <v>445</v>
      </c>
      <c r="E1506">
        <v>173</v>
      </c>
      <c r="F1506">
        <v>14</v>
      </c>
      <c r="G1506">
        <v>83</v>
      </c>
      <c r="H1506">
        <v>26.48</v>
      </c>
      <c r="I1506">
        <v>6</v>
      </c>
      <c r="J1506">
        <v>6</v>
      </c>
      <c r="K1506" s="245">
        <v>-58.37</v>
      </c>
      <c r="L1506" s="245">
        <v>26.23</v>
      </c>
      <c r="M1506" s="245">
        <v>1341.75</v>
      </c>
      <c r="N1506" s="257" t="s">
        <v>6830</v>
      </c>
    </row>
    <row r="1507" spans="1:14">
      <c r="A1507">
        <v>6715</v>
      </c>
      <c r="B1507" t="s">
        <v>5940</v>
      </c>
      <c r="C1507">
        <v>6.05</v>
      </c>
      <c r="D1507">
        <v>-33</v>
      </c>
      <c r="E1507">
        <v>-40</v>
      </c>
      <c r="F1507">
        <v>0</v>
      </c>
      <c r="G1507">
        <v>33</v>
      </c>
      <c r="H1507">
        <v>9.75</v>
      </c>
      <c r="I1507">
        <v>1.8</v>
      </c>
      <c r="J1507">
        <v>3.05</v>
      </c>
      <c r="K1507" s="245">
        <v>-20.74</v>
      </c>
      <c r="L1507" s="245">
        <v>57.53</v>
      </c>
      <c r="M1507" s="245">
        <v>52.1</v>
      </c>
      <c r="N1507" s="257" t="s">
        <v>6830</v>
      </c>
    </row>
    <row r="1508" spans="1:14">
      <c r="A1508">
        <v>6716</v>
      </c>
      <c r="B1508" t="s">
        <v>6634</v>
      </c>
      <c r="C1508">
        <v>2.4500000000000002</v>
      </c>
      <c r="D1508">
        <v>140</v>
      </c>
      <c r="E1508">
        <v>149</v>
      </c>
      <c r="F1508">
        <v>-8</v>
      </c>
      <c r="G1508">
        <v>61</v>
      </c>
      <c r="H1508">
        <v>35.39</v>
      </c>
      <c r="I1508">
        <v>8.5</v>
      </c>
      <c r="J1508">
        <v>11.52</v>
      </c>
      <c r="K1508" s="245">
        <v>-43.58</v>
      </c>
      <c r="L1508" s="245">
        <v>26.71</v>
      </c>
      <c r="M1508" s="245">
        <v>22.95</v>
      </c>
      <c r="N1508" s="257" t="s">
        <v>6830</v>
      </c>
    </row>
    <row r="1509" spans="1:14">
      <c r="A1509">
        <v>6727</v>
      </c>
      <c r="B1509" t="s">
        <v>6635</v>
      </c>
      <c r="C1509">
        <v>2.2599999999999998</v>
      </c>
      <c r="D1509">
        <v>64</v>
      </c>
      <c r="E1509">
        <v>27</v>
      </c>
      <c r="F1509">
        <v>-1</v>
      </c>
      <c r="G1509">
        <v>89</v>
      </c>
      <c r="H1509">
        <v>13.45</v>
      </c>
      <c r="I1509">
        <v>3</v>
      </c>
      <c r="J1509">
        <v>5.75</v>
      </c>
      <c r="K1509" s="245">
        <v>-42.97</v>
      </c>
      <c r="L1509" s="245">
        <v>47.53</v>
      </c>
      <c r="M1509" s="245">
        <v>142.30000000000001</v>
      </c>
      <c r="N1509" s="257" t="s">
        <v>6830</v>
      </c>
    </row>
    <row r="1510" spans="1:14">
      <c r="A1510">
        <v>6728</v>
      </c>
      <c r="B1510" t="s">
        <v>6636</v>
      </c>
      <c r="C1510">
        <v>2.2999999999999998</v>
      </c>
      <c r="D1510">
        <v>167</v>
      </c>
      <c r="E1510">
        <v>168</v>
      </c>
      <c r="F1510">
        <v>56</v>
      </c>
      <c r="G1510">
        <v>58</v>
      </c>
      <c r="H1510">
        <v>17.600000000000001</v>
      </c>
      <c r="I1510">
        <v>9</v>
      </c>
      <c r="J1510">
        <v>11.74</v>
      </c>
      <c r="K1510" s="245">
        <v>-10.08</v>
      </c>
      <c r="L1510" s="245">
        <v>58.47</v>
      </c>
      <c r="M1510" s="245">
        <v>51.1</v>
      </c>
      <c r="N1510" s="257" t="s">
        <v>6832</v>
      </c>
    </row>
    <row r="1511" spans="1:14">
      <c r="A1511">
        <v>6732</v>
      </c>
      <c r="B1511" t="s">
        <v>5941</v>
      </c>
      <c r="C1511">
        <v>4.8899999999999997</v>
      </c>
      <c r="D1511">
        <v>21</v>
      </c>
      <c r="E1511">
        <v>23</v>
      </c>
      <c r="F1511">
        <v>-11</v>
      </c>
      <c r="G1511">
        <v>-20</v>
      </c>
      <c r="H1511">
        <v>32.35</v>
      </c>
      <c r="I1511">
        <v>30</v>
      </c>
      <c r="J1511">
        <v>33.97</v>
      </c>
      <c r="K1511" s="245">
        <v>-63.72</v>
      </c>
      <c r="L1511" s="245">
        <v>12.34</v>
      </c>
      <c r="M1511" s="245">
        <v>303.64999999999998</v>
      </c>
      <c r="N1511" s="257" t="s">
        <v>6830</v>
      </c>
    </row>
    <row r="1512" spans="1:14">
      <c r="A1512">
        <v>6733</v>
      </c>
      <c r="B1512" t="s">
        <v>6637</v>
      </c>
      <c r="C1512">
        <v>10.3</v>
      </c>
      <c r="D1512">
        <v>0</v>
      </c>
      <c r="E1512">
        <v>-22</v>
      </c>
      <c r="F1512">
        <v>23</v>
      </c>
      <c r="G1512">
        <v>153</v>
      </c>
      <c r="H1512">
        <v>-1772.67</v>
      </c>
      <c r="I1512">
        <v>0</v>
      </c>
      <c r="J1512">
        <v>-1.37</v>
      </c>
      <c r="K1512" s="245">
        <v>-16.73</v>
      </c>
      <c r="L1512" s="245">
        <v>14.89</v>
      </c>
      <c r="M1512" s="245">
        <v>67.849999999999994</v>
      </c>
      <c r="N1512" s="257" t="s">
        <v>6830</v>
      </c>
    </row>
    <row r="1513" spans="1:14">
      <c r="A1513">
        <v>6741</v>
      </c>
      <c r="B1513" t="s">
        <v>5942</v>
      </c>
      <c r="C1513">
        <v>6.02</v>
      </c>
      <c r="D1513">
        <v>44</v>
      </c>
      <c r="E1513">
        <v>51</v>
      </c>
      <c r="F1513">
        <v>-4</v>
      </c>
      <c r="G1513">
        <v>28</v>
      </c>
      <c r="H1513">
        <v>33.43</v>
      </c>
      <c r="I1513">
        <v>0.48</v>
      </c>
      <c r="J1513">
        <v>2.58</v>
      </c>
      <c r="K1513" s="245">
        <v>-66.98</v>
      </c>
      <c r="L1513" s="245">
        <v>26.06</v>
      </c>
      <c r="M1513" s="245">
        <v>202.8</v>
      </c>
      <c r="N1513" s="257" t="s">
        <v>6830</v>
      </c>
    </row>
    <row r="1514" spans="1:14">
      <c r="A1514">
        <v>6743</v>
      </c>
      <c r="B1514" t="s">
        <v>5943</v>
      </c>
      <c r="C1514">
        <v>15</v>
      </c>
      <c r="D1514">
        <v>-109</v>
      </c>
      <c r="E1514">
        <v>-102</v>
      </c>
      <c r="F1514">
        <v>-8</v>
      </c>
      <c r="G1514">
        <v>-31</v>
      </c>
      <c r="H1514">
        <v>-0.33</v>
      </c>
      <c r="I1514">
        <v>0.5</v>
      </c>
      <c r="J1514">
        <v>-0.33</v>
      </c>
      <c r="K1514" s="245">
        <v>-68.489999999999995</v>
      </c>
      <c r="L1514" s="245">
        <v>11.11</v>
      </c>
      <c r="M1514" s="245">
        <v>317.85000000000002</v>
      </c>
      <c r="N1514" s="257" t="s">
        <v>6830</v>
      </c>
    </row>
    <row r="1515" spans="1:14">
      <c r="A1515">
        <v>6747</v>
      </c>
      <c r="B1515" t="s">
        <v>6638</v>
      </c>
      <c r="C1515">
        <v>2.41</v>
      </c>
      <c r="D1515">
        <v>93</v>
      </c>
      <c r="E1515">
        <v>49</v>
      </c>
      <c r="F1515">
        <v>-43</v>
      </c>
      <c r="G1515">
        <v>-9</v>
      </c>
      <c r="H1515">
        <v>34.840000000000003</v>
      </c>
      <c r="I1515">
        <v>8.68</v>
      </c>
      <c r="J1515">
        <v>10.01</v>
      </c>
      <c r="K1515" s="245">
        <v>-52.14</v>
      </c>
      <c r="L1515" s="245">
        <v>45.22</v>
      </c>
      <c r="M1515" s="245">
        <v>11.5</v>
      </c>
      <c r="N1515" s="257" t="s">
        <v>6830</v>
      </c>
    </row>
    <row r="1516" spans="1:14">
      <c r="A1516">
        <v>6751</v>
      </c>
      <c r="B1516" t="s">
        <v>6639</v>
      </c>
      <c r="C1516">
        <v>2</v>
      </c>
      <c r="D1516">
        <v>3</v>
      </c>
      <c r="E1516">
        <v>-4</v>
      </c>
      <c r="F1516">
        <v>0</v>
      </c>
      <c r="G1516">
        <v>39</v>
      </c>
      <c r="H1516">
        <v>3.12</v>
      </c>
      <c r="I1516">
        <v>2.1</v>
      </c>
      <c r="J1516">
        <v>2.44</v>
      </c>
      <c r="K1516" s="245">
        <v>-42.87</v>
      </c>
      <c r="L1516" s="245">
        <v>11.73</v>
      </c>
      <c r="M1516" s="245">
        <v>56.05</v>
      </c>
      <c r="N1516" s="257" t="s">
        <v>6830</v>
      </c>
    </row>
    <row r="1517" spans="1:14">
      <c r="A1517">
        <v>6752</v>
      </c>
      <c r="B1517" t="s">
        <v>6640</v>
      </c>
      <c r="C1517">
        <v>2.83</v>
      </c>
      <c r="D1517">
        <v>10</v>
      </c>
      <c r="E1517">
        <v>7</v>
      </c>
      <c r="F1517">
        <v>-7</v>
      </c>
      <c r="G1517">
        <v>9</v>
      </c>
      <c r="H1517">
        <v>12.07</v>
      </c>
      <c r="I1517">
        <v>2.8</v>
      </c>
      <c r="J1517">
        <v>4.7</v>
      </c>
      <c r="K1517" s="245">
        <v>-22.61</v>
      </c>
      <c r="L1517" s="245">
        <v>38.89</v>
      </c>
      <c r="M1517" s="245">
        <v>30.25</v>
      </c>
      <c r="N1517" s="257" t="s">
        <v>6830</v>
      </c>
    </row>
    <row r="1518" spans="1:14">
      <c r="A1518">
        <v>6754</v>
      </c>
      <c r="B1518" t="s">
        <v>5944</v>
      </c>
      <c r="C1518">
        <v>6.6</v>
      </c>
      <c r="D1518">
        <v>8</v>
      </c>
      <c r="E1518">
        <v>-2</v>
      </c>
      <c r="F1518">
        <v>-3</v>
      </c>
      <c r="G1518">
        <v>0</v>
      </c>
      <c r="H1518">
        <v>8.36</v>
      </c>
      <c r="I1518">
        <v>3.5</v>
      </c>
      <c r="J1518">
        <v>3.52</v>
      </c>
      <c r="K1518" s="245">
        <v>-6.71</v>
      </c>
      <c r="L1518" s="245">
        <v>83.43</v>
      </c>
      <c r="M1518" s="245">
        <v>56.35</v>
      </c>
      <c r="N1518" s="257" t="s">
        <v>6832</v>
      </c>
    </row>
    <row r="1519" spans="1:14">
      <c r="A1519">
        <v>6756</v>
      </c>
      <c r="B1519" t="s">
        <v>5945</v>
      </c>
      <c r="C1519">
        <v>6.84</v>
      </c>
      <c r="D1519">
        <v>176</v>
      </c>
      <c r="E1519">
        <v>166</v>
      </c>
      <c r="F1519">
        <v>-3</v>
      </c>
      <c r="G1519">
        <v>26</v>
      </c>
      <c r="H1519">
        <v>30.58</v>
      </c>
      <c r="I1519">
        <v>10.99</v>
      </c>
      <c r="J1519">
        <v>13.04</v>
      </c>
      <c r="K1519" s="245">
        <v>-53.44</v>
      </c>
      <c r="L1519" s="245">
        <v>9.3800000000000008</v>
      </c>
      <c r="M1519" s="245">
        <v>698.05</v>
      </c>
      <c r="N1519" s="257" t="s">
        <v>6830</v>
      </c>
    </row>
    <row r="1520" spans="1:14">
      <c r="A1520">
        <v>6761</v>
      </c>
      <c r="B1520" t="s">
        <v>6641</v>
      </c>
      <c r="C1520">
        <v>2.39</v>
      </c>
      <c r="D1520">
        <v>104</v>
      </c>
      <c r="E1520">
        <v>97</v>
      </c>
      <c r="F1520">
        <v>1</v>
      </c>
      <c r="G1520">
        <v>-1</v>
      </c>
      <c r="H1520">
        <v>12.86</v>
      </c>
      <c r="I1520">
        <v>5.8</v>
      </c>
      <c r="J1520">
        <v>8.5399999999999991</v>
      </c>
      <c r="K1520" s="245" t="s">
        <v>6279</v>
      </c>
      <c r="L1520" s="245" t="s">
        <v>6279</v>
      </c>
      <c r="M1520" s="245" t="s">
        <v>6279</v>
      </c>
      <c r="N1520" s="257" t="s">
        <v>6279</v>
      </c>
    </row>
    <row r="1521" spans="1:14">
      <c r="A1521">
        <v>6762</v>
      </c>
      <c r="B1521" t="s">
        <v>6642</v>
      </c>
      <c r="C1521">
        <v>2.15</v>
      </c>
      <c r="D1521">
        <v>-34</v>
      </c>
      <c r="E1521">
        <v>-31</v>
      </c>
      <c r="F1521">
        <v>19</v>
      </c>
      <c r="G1521">
        <v>-21</v>
      </c>
      <c r="H1521">
        <v>34.020000000000003</v>
      </c>
      <c r="I1521">
        <v>5</v>
      </c>
      <c r="J1521">
        <v>6.04</v>
      </c>
      <c r="K1521" s="245">
        <v>-25.47</v>
      </c>
      <c r="L1521" s="245">
        <v>15.24</v>
      </c>
      <c r="M1521" s="245">
        <v>5.05</v>
      </c>
      <c r="N1521" s="257" t="s">
        <v>6830</v>
      </c>
    </row>
    <row r="1522" spans="1:14">
      <c r="A1522">
        <v>6767</v>
      </c>
      <c r="B1522" t="s">
        <v>6643</v>
      </c>
      <c r="C1522">
        <v>2.91</v>
      </c>
      <c r="D1522">
        <v>-255</v>
      </c>
      <c r="E1522">
        <v>23</v>
      </c>
      <c r="F1522">
        <v>-19</v>
      </c>
      <c r="G1522">
        <v>13</v>
      </c>
      <c r="H1522">
        <v>-24.15</v>
      </c>
      <c r="I1522">
        <v>0</v>
      </c>
      <c r="J1522">
        <v>-1.64</v>
      </c>
      <c r="K1522" s="245">
        <v>-15.46</v>
      </c>
      <c r="L1522" s="245">
        <v>20.3</v>
      </c>
      <c r="M1522" s="245">
        <v>12.7</v>
      </c>
      <c r="N1522" s="257" t="s">
        <v>6830</v>
      </c>
    </row>
    <row r="1523" spans="1:14">
      <c r="A1523">
        <v>6768</v>
      </c>
      <c r="B1523" t="s">
        <v>5946</v>
      </c>
      <c r="C1523">
        <v>19.600000000000001</v>
      </c>
      <c r="D1523">
        <v>57</v>
      </c>
      <c r="E1523">
        <v>0</v>
      </c>
      <c r="F1523">
        <v>2</v>
      </c>
      <c r="G1523">
        <v>0</v>
      </c>
      <c r="H1523">
        <v>6.45</v>
      </c>
      <c r="I1523">
        <v>3.5</v>
      </c>
      <c r="J1523">
        <v>3.42</v>
      </c>
      <c r="K1523" s="245">
        <v>-7.1</v>
      </c>
      <c r="L1523" s="245">
        <v>59.88</v>
      </c>
      <c r="M1523" s="245">
        <v>111.05</v>
      </c>
      <c r="N1523" s="257" t="s">
        <v>6832</v>
      </c>
    </row>
    <row r="1524" spans="1:14">
      <c r="A1524">
        <v>6770</v>
      </c>
      <c r="B1524" t="s">
        <v>6644</v>
      </c>
      <c r="C1524">
        <v>359</v>
      </c>
      <c r="D1524">
        <v>322</v>
      </c>
      <c r="E1524">
        <v>249</v>
      </c>
      <c r="F1524">
        <v>1</v>
      </c>
      <c r="G1524">
        <v>48</v>
      </c>
      <c r="H1524">
        <v>30.62</v>
      </c>
      <c r="I1524">
        <v>1.83</v>
      </c>
      <c r="J1524">
        <v>4.92</v>
      </c>
      <c r="K1524" s="245" t="s">
        <v>6279</v>
      </c>
      <c r="L1524" s="245" t="s">
        <v>6279</v>
      </c>
      <c r="M1524" s="245" t="s">
        <v>6279</v>
      </c>
      <c r="N1524" s="257" t="s">
        <v>6279</v>
      </c>
    </row>
    <row r="1525" spans="1:14">
      <c r="A1525">
        <v>6776</v>
      </c>
      <c r="B1525" t="s">
        <v>5947</v>
      </c>
      <c r="C1525">
        <v>8.15</v>
      </c>
      <c r="D1525">
        <v>85</v>
      </c>
      <c r="E1525">
        <v>79</v>
      </c>
      <c r="F1525">
        <v>-15</v>
      </c>
      <c r="G1525">
        <v>41</v>
      </c>
      <c r="H1525">
        <v>1.49</v>
      </c>
      <c r="I1525">
        <v>3.2</v>
      </c>
      <c r="J1525">
        <v>4.28</v>
      </c>
      <c r="K1525" s="245">
        <v>-12.86</v>
      </c>
      <c r="L1525" s="245">
        <v>55.25</v>
      </c>
      <c r="M1525" s="245">
        <v>52.45</v>
      </c>
      <c r="N1525" s="257" t="s">
        <v>6831</v>
      </c>
    </row>
    <row r="1526" spans="1:14">
      <c r="A1526">
        <v>6781</v>
      </c>
      <c r="B1526" t="s">
        <v>5948</v>
      </c>
      <c r="C1526">
        <v>8.5399999999999991</v>
      </c>
      <c r="D1526">
        <v>168</v>
      </c>
      <c r="E1526">
        <v>146</v>
      </c>
      <c r="F1526">
        <v>0</v>
      </c>
      <c r="G1526">
        <v>40</v>
      </c>
      <c r="H1526">
        <v>26.21</v>
      </c>
      <c r="I1526">
        <v>15</v>
      </c>
      <c r="J1526">
        <v>30.18</v>
      </c>
      <c r="K1526" s="245">
        <v>-46.4</v>
      </c>
      <c r="L1526" s="245">
        <v>30.55</v>
      </c>
      <c r="M1526" s="245">
        <v>949.9</v>
      </c>
      <c r="N1526" s="257" t="s">
        <v>6830</v>
      </c>
    </row>
    <row r="1527" spans="1:14">
      <c r="A1527">
        <v>6788</v>
      </c>
      <c r="B1527" t="s">
        <v>6205</v>
      </c>
      <c r="C1527">
        <v>3.47</v>
      </c>
      <c r="D1527">
        <v>43</v>
      </c>
      <c r="E1527">
        <v>46</v>
      </c>
      <c r="F1527">
        <v>-9</v>
      </c>
      <c r="G1527">
        <v>10</v>
      </c>
      <c r="H1527">
        <v>27</v>
      </c>
      <c r="I1527">
        <v>5</v>
      </c>
      <c r="J1527">
        <v>7.08</v>
      </c>
      <c r="K1527" s="245" t="s">
        <v>6279</v>
      </c>
      <c r="L1527" s="245" t="s">
        <v>6279</v>
      </c>
      <c r="M1527" s="245" t="s">
        <v>6279</v>
      </c>
      <c r="N1527" s="257" t="s">
        <v>6279</v>
      </c>
    </row>
    <row r="1528" spans="1:14">
      <c r="A1528">
        <v>6790</v>
      </c>
      <c r="B1528" t="s">
        <v>6225</v>
      </c>
      <c r="C1528">
        <v>26.71</v>
      </c>
      <c r="D1528">
        <v>-28</v>
      </c>
      <c r="E1528">
        <v>-19</v>
      </c>
      <c r="F1528">
        <v>-11</v>
      </c>
      <c r="G1528">
        <v>-13</v>
      </c>
      <c r="H1528">
        <v>12.51</v>
      </c>
      <c r="I1528">
        <v>3</v>
      </c>
      <c r="J1528">
        <v>4.24</v>
      </c>
      <c r="K1528" s="245" t="s">
        <v>6279</v>
      </c>
      <c r="L1528" s="245" t="s">
        <v>6279</v>
      </c>
      <c r="M1528" s="245" t="s">
        <v>6279</v>
      </c>
      <c r="N1528" s="257" t="s">
        <v>6279</v>
      </c>
    </row>
    <row r="1529" spans="1:14">
      <c r="A1529">
        <v>6792</v>
      </c>
      <c r="B1529" t="s">
        <v>6645</v>
      </c>
      <c r="C1529">
        <v>4.78</v>
      </c>
      <c r="D1529">
        <v>67</v>
      </c>
      <c r="E1529">
        <v>92</v>
      </c>
      <c r="F1529">
        <v>-12</v>
      </c>
      <c r="G1529">
        <v>8</v>
      </c>
      <c r="H1529">
        <v>20.38</v>
      </c>
      <c r="I1529">
        <v>5.5</v>
      </c>
      <c r="J1529">
        <v>6.6</v>
      </c>
      <c r="K1529" s="245" t="s">
        <v>6279</v>
      </c>
      <c r="L1529" s="245" t="s">
        <v>6279</v>
      </c>
      <c r="M1529" s="245" t="s">
        <v>6279</v>
      </c>
      <c r="N1529" s="257" t="s">
        <v>6279</v>
      </c>
    </row>
    <row r="1530" spans="1:14">
      <c r="A1530">
        <v>6803</v>
      </c>
      <c r="B1530" t="s">
        <v>5949</v>
      </c>
      <c r="C1530">
        <v>6.97</v>
      </c>
      <c r="D1530">
        <v>2</v>
      </c>
      <c r="E1530">
        <v>4</v>
      </c>
      <c r="F1530">
        <v>-3</v>
      </c>
      <c r="G1530">
        <v>17</v>
      </c>
      <c r="H1530">
        <v>21.33</v>
      </c>
      <c r="I1530">
        <v>11.99</v>
      </c>
      <c r="J1530">
        <v>13.15</v>
      </c>
      <c r="K1530" s="245">
        <v>-5.61</v>
      </c>
      <c r="L1530" s="245">
        <v>39.14</v>
      </c>
      <c r="M1530" s="245">
        <v>35.65</v>
      </c>
      <c r="N1530" s="257" t="s">
        <v>6831</v>
      </c>
    </row>
    <row r="1531" spans="1:14">
      <c r="A1531">
        <v>6806</v>
      </c>
      <c r="B1531" t="s">
        <v>6646</v>
      </c>
      <c r="C1531">
        <v>19.649999999999999</v>
      </c>
      <c r="D1531">
        <v>86</v>
      </c>
      <c r="E1531">
        <v>5378</v>
      </c>
      <c r="F1531">
        <v>12</v>
      </c>
      <c r="G1531">
        <v>666</v>
      </c>
      <c r="H1531">
        <v>14.05</v>
      </c>
      <c r="I1531">
        <v>2</v>
      </c>
      <c r="J1531">
        <v>3.78</v>
      </c>
      <c r="K1531" s="245" t="s">
        <v>6279</v>
      </c>
      <c r="L1531" s="245" t="s">
        <v>6279</v>
      </c>
      <c r="M1531" s="245" t="s">
        <v>6279</v>
      </c>
      <c r="N1531" s="257" t="s">
        <v>6279</v>
      </c>
    </row>
    <row r="1532" spans="1:14">
      <c r="A1532">
        <v>7402</v>
      </c>
      <c r="B1532" t="s">
        <v>6647</v>
      </c>
      <c r="C1532">
        <v>2.48</v>
      </c>
      <c r="D1532">
        <v>54</v>
      </c>
      <c r="E1532">
        <v>93</v>
      </c>
      <c r="F1532">
        <v>28</v>
      </c>
      <c r="G1532">
        <v>49</v>
      </c>
      <c r="H1532">
        <v>10.01</v>
      </c>
      <c r="I1532">
        <v>1.5</v>
      </c>
      <c r="J1532">
        <v>1.56</v>
      </c>
      <c r="K1532" s="245">
        <v>-11.93</v>
      </c>
      <c r="L1532" s="245">
        <v>71.53</v>
      </c>
      <c r="M1532" s="245">
        <v>20.9</v>
      </c>
      <c r="N1532" s="257" t="s">
        <v>6831</v>
      </c>
    </row>
    <row r="1533" spans="1:14">
      <c r="A1533">
        <v>7556</v>
      </c>
      <c r="B1533" t="s">
        <v>6648</v>
      </c>
      <c r="C1533">
        <v>2.2000000000000002</v>
      </c>
      <c r="D1533">
        <v>33</v>
      </c>
      <c r="E1533">
        <v>12</v>
      </c>
      <c r="F1533">
        <v>8</v>
      </c>
      <c r="G1533">
        <v>31</v>
      </c>
      <c r="H1533">
        <v>24.64</v>
      </c>
      <c r="I1533">
        <v>2.8</v>
      </c>
      <c r="J1533">
        <v>4.62</v>
      </c>
      <c r="K1533" s="245">
        <v>-26.13</v>
      </c>
      <c r="L1533" s="245">
        <v>55.47</v>
      </c>
      <c r="M1533" s="245">
        <v>16.2</v>
      </c>
      <c r="N1533" s="257" t="s">
        <v>6831</v>
      </c>
    </row>
    <row r="1534" spans="1:14">
      <c r="A1534">
        <v>8011</v>
      </c>
      <c r="B1534" t="s">
        <v>5950</v>
      </c>
      <c r="C1534">
        <v>14.94</v>
      </c>
      <c r="D1534">
        <v>-283</v>
      </c>
      <c r="E1534">
        <v>-474</v>
      </c>
      <c r="F1534">
        <v>-14</v>
      </c>
      <c r="G1534">
        <v>13</v>
      </c>
      <c r="H1534">
        <v>-10.59</v>
      </c>
      <c r="I1534">
        <v>0</v>
      </c>
      <c r="J1534">
        <v>-1.36</v>
      </c>
      <c r="K1534" s="245">
        <v>-31.49</v>
      </c>
      <c r="L1534" s="245">
        <v>15.81</v>
      </c>
      <c r="M1534" s="245">
        <v>346.9</v>
      </c>
      <c r="N1534" s="257" t="s">
        <v>6830</v>
      </c>
    </row>
    <row r="1535" spans="1:14">
      <c r="A1535">
        <v>8016</v>
      </c>
      <c r="B1535" t="s">
        <v>5951</v>
      </c>
      <c r="C1535">
        <v>12.01</v>
      </c>
      <c r="D1535">
        <v>226</v>
      </c>
      <c r="E1535">
        <v>242</v>
      </c>
      <c r="F1535">
        <v>-6</v>
      </c>
      <c r="G1535">
        <v>-1</v>
      </c>
      <c r="H1535">
        <v>36.65</v>
      </c>
      <c r="I1535">
        <v>32</v>
      </c>
      <c r="J1535">
        <v>50.03</v>
      </c>
      <c r="K1535" s="245">
        <v>-41.42</v>
      </c>
      <c r="L1535" s="245">
        <v>16.13</v>
      </c>
      <c r="M1535" s="245">
        <v>1235.8499999999999</v>
      </c>
      <c r="N1535" s="257" t="s">
        <v>6830</v>
      </c>
    </row>
    <row r="1536" spans="1:14">
      <c r="A1536">
        <v>8021</v>
      </c>
      <c r="B1536" t="s">
        <v>5952</v>
      </c>
      <c r="C1536">
        <v>14.21</v>
      </c>
      <c r="D1536">
        <v>61</v>
      </c>
      <c r="E1536">
        <v>37</v>
      </c>
      <c r="F1536">
        <v>0</v>
      </c>
      <c r="G1536">
        <v>1</v>
      </c>
      <c r="H1536">
        <v>17.04</v>
      </c>
      <c r="I1536">
        <v>2.2999999999999998</v>
      </c>
      <c r="J1536">
        <v>3.14</v>
      </c>
      <c r="K1536" s="245">
        <v>-31.62</v>
      </c>
      <c r="L1536" s="245">
        <v>24.73</v>
      </c>
      <c r="M1536" s="245">
        <v>498.8</v>
      </c>
      <c r="N1536" s="257" t="s">
        <v>6830</v>
      </c>
    </row>
    <row r="1537" spans="1:14">
      <c r="A1537">
        <v>8024</v>
      </c>
      <c r="B1537" t="s">
        <v>5953</v>
      </c>
      <c r="C1537">
        <v>4.51</v>
      </c>
      <c r="D1537">
        <v>298</v>
      </c>
      <c r="E1537">
        <v>401</v>
      </c>
      <c r="F1537">
        <v>11</v>
      </c>
      <c r="G1537">
        <v>-39</v>
      </c>
      <c r="H1537">
        <v>15.75</v>
      </c>
      <c r="I1537">
        <v>1.4</v>
      </c>
      <c r="J1537">
        <v>1.68</v>
      </c>
      <c r="K1537" s="245">
        <v>-36.44</v>
      </c>
      <c r="L1537" s="245">
        <v>28.5</v>
      </c>
      <c r="M1537" s="245">
        <v>179.6</v>
      </c>
      <c r="N1537" s="257" t="s">
        <v>6830</v>
      </c>
    </row>
    <row r="1538" spans="1:14">
      <c r="A1538">
        <v>8027</v>
      </c>
      <c r="B1538" t="s">
        <v>5954</v>
      </c>
      <c r="C1538">
        <v>10.01</v>
      </c>
      <c r="D1538">
        <v>58</v>
      </c>
      <c r="E1538">
        <v>46</v>
      </c>
      <c r="F1538">
        <v>1</v>
      </c>
      <c r="G1538">
        <v>205</v>
      </c>
      <c r="H1538">
        <v>12.27</v>
      </c>
      <c r="I1538">
        <v>1.6</v>
      </c>
      <c r="J1538">
        <v>2.62</v>
      </c>
      <c r="K1538" s="245">
        <v>-16.190000000000001</v>
      </c>
      <c r="L1538" s="245">
        <v>43.96</v>
      </c>
      <c r="M1538" s="245">
        <v>771.35</v>
      </c>
      <c r="N1538" s="257" t="s">
        <v>6831</v>
      </c>
    </row>
    <row r="1539" spans="1:14">
      <c r="A1539">
        <v>8028</v>
      </c>
      <c r="B1539" t="s">
        <v>5955</v>
      </c>
      <c r="C1539">
        <v>14.03</v>
      </c>
      <c r="D1539">
        <v>88</v>
      </c>
      <c r="E1539">
        <v>206</v>
      </c>
      <c r="F1539">
        <v>2</v>
      </c>
      <c r="G1539">
        <v>9</v>
      </c>
      <c r="H1539">
        <v>8.77</v>
      </c>
      <c r="I1539">
        <v>1.4</v>
      </c>
      <c r="J1539">
        <v>1.68</v>
      </c>
      <c r="K1539" s="245">
        <v>-13.94</v>
      </c>
      <c r="L1539" s="245">
        <v>40.01</v>
      </c>
      <c r="M1539" s="245">
        <v>3429.05</v>
      </c>
      <c r="N1539" s="257" t="s">
        <v>6831</v>
      </c>
    </row>
    <row r="1540" spans="1:14">
      <c r="A1540">
        <v>8032</v>
      </c>
      <c r="B1540" t="s">
        <v>6318</v>
      </c>
      <c r="C1540">
        <v>5.18</v>
      </c>
      <c r="D1540">
        <v>129</v>
      </c>
      <c r="E1540">
        <v>191</v>
      </c>
      <c r="F1540">
        <v>-37</v>
      </c>
      <c r="G1540">
        <v>-24</v>
      </c>
      <c r="H1540">
        <v>4.95</v>
      </c>
      <c r="I1540">
        <v>1.8</v>
      </c>
      <c r="J1540">
        <v>2.91</v>
      </c>
      <c r="K1540" s="245">
        <v>-13.55</v>
      </c>
      <c r="L1540" s="245">
        <v>50.98</v>
      </c>
      <c r="M1540" s="245">
        <v>15.5</v>
      </c>
      <c r="N1540" s="257" t="s">
        <v>6831</v>
      </c>
    </row>
    <row r="1541" spans="1:14">
      <c r="A1541">
        <v>8033</v>
      </c>
      <c r="B1541" t="s">
        <v>6649</v>
      </c>
      <c r="C1541">
        <v>13.26</v>
      </c>
      <c r="D1541">
        <v>5</v>
      </c>
      <c r="E1541">
        <v>2686</v>
      </c>
      <c r="F1541">
        <v>-11</v>
      </c>
      <c r="G1541">
        <v>-22</v>
      </c>
      <c r="H1541">
        <v>6.19</v>
      </c>
      <c r="I1541">
        <v>0</v>
      </c>
      <c r="J1541">
        <v>0.18</v>
      </c>
      <c r="K1541" s="245">
        <v>-16.190000000000001</v>
      </c>
      <c r="L1541" s="245">
        <v>68.959999999999994</v>
      </c>
      <c r="M1541" s="245">
        <v>1423.55</v>
      </c>
      <c r="N1541" s="257" t="s">
        <v>6831</v>
      </c>
    </row>
    <row r="1542" spans="1:14">
      <c r="A1542">
        <v>8034</v>
      </c>
      <c r="B1542" t="s">
        <v>5956</v>
      </c>
      <c r="C1542">
        <v>6.28</v>
      </c>
      <c r="D1542">
        <v>569</v>
      </c>
      <c r="E1542">
        <v>1619</v>
      </c>
      <c r="F1542">
        <v>386</v>
      </c>
      <c r="G1542">
        <v>198</v>
      </c>
      <c r="H1542">
        <v>15.83</v>
      </c>
      <c r="I1542">
        <v>1</v>
      </c>
      <c r="J1542">
        <v>1.28</v>
      </c>
      <c r="K1542" s="245">
        <v>-33.89</v>
      </c>
      <c r="L1542" s="245">
        <v>15.81</v>
      </c>
      <c r="M1542" s="245">
        <v>283</v>
      </c>
      <c r="N1542" s="257" t="s">
        <v>6830</v>
      </c>
    </row>
    <row r="1543" spans="1:14">
      <c r="A1543">
        <v>8038</v>
      </c>
      <c r="B1543" t="s">
        <v>6650</v>
      </c>
      <c r="C1543">
        <v>5.98</v>
      </c>
      <c r="D1543">
        <v>-102</v>
      </c>
      <c r="E1543">
        <v>-54</v>
      </c>
      <c r="F1543">
        <v>-81</v>
      </c>
      <c r="G1543">
        <v>-37</v>
      </c>
      <c r="H1543">
        <v>-181.42</v>
      </c>
      <c r="I1543">
        <v>0</v>
      </c>
      <c r="J1543">
        <v>-2.0499999999999998</v>
      </c>
      <c r="K1543" s="245">
        <v>-30.27</v>
      </c>
      <c r="L1543" s="245">
        <v>21.02</v>
      </c>
      <c r="M1543" s="245">
        <v>282.3</v>
      </c>
      <c r="N1543" s="257" t="s">
        <v>6830</v>
      </c>
    </row>
    <row r="1544" spans="1:14">
      <c r="A1544">
        <v>8039</v>
      </c>
      <c r="B1544" t="s">
        <v>5957</v>
      </c>
      <c r="C1544">
        <v>20.91</v>
      </c>
      <c r="D1544">
        <v>-5</v>
      </c>
      <c r="E1544">
        <v>-9</v>
      </c>
      <c r="F1544">
        <v>1</v>
      </c>
      <c r="G1544">
        <v>11</v>
      </c>
      <c r="H1544">
        <v>10.09</v>
      </c>
      <c r="I1544">
        <v>2.5</v>
      </c>
      <c r="J1544">
        <v>3.51</v>
      </c>
      <c r="K1544" s="245">
        <v>-25.16</v>
      </c>
      <c r="L1544" s="245">
        <v>59.78</v>
      </c>
      <c r="M1544" s="245">
        <v>174.2</v>
      </c>
      <c r="N1544" s="257" t="s">
        <v>6830</v>
      </c>
    </row>
    <row r="1545" spans="1:14">
      <c r="A1545">
        <v>8040</v>
      </c>
      <c r="B1545" t="s">
        <v>5958</v>
      </c>
      <c r="C1545">
        <v>6.88</v>
      </c>
      <c r="D1545">
        <v>153</v>
      </c>
      <c r="E1545">
        <v>435</v>
      </c>
      <c r="F1545">
        <v>5</v>
      </c>
      <c r="G1545">
        <v>-5</v>
      </c>
      <c r="H1545">
        <v>8.94</v>
      </c>
      <c r="I1545">
        <v>0.6</v>
      </c>
      <c r="J1545">
        <v>0.91</v>
      </c>
      <c r="K1545" s="245">
        <v>-43.72</v>
      </c>
      <c r="L1545" s="245">
        <v>19.72</v>
      </c>
      <c r="M1545" s="245">
        <v>579.35</v>
      </c>
      <c r="N1545" s="257" t="s">
        <v>6830</v>
      </c>
    </row>
    <row r="1546" spans="1:14">
      <c r="A1546">
        <v>8042</v>
      </c>
      <c r="B1546" t="s">
        <v>6160</v>
      </c>
      <c r="C1546">
        <v>12.94</v>
      </c>
      <c r="D1546">
        <v>2061</v>
      </c>
      <c r="E1546">
        <v>4</v>
      </c>
      <c r="F1546">
        <v>1</v>
      </c>
      <c r="G1546">
        <v>-2</v>
      </c>
      <c r="H1546">
        <v>4.59</v>
      </c>
      <c r="I1546">
        <v>1</v>
      </c>
      <c r="J1546">
        <v>1.24</v>
      </c>
      <c r="K1546" s="245">
        <v>-30.85</v>
      </c>
      <c r="L1546" s="245">
        <v>19.989999999999998</v>
      </c>
      <c r="M1546" s="245">
        <v>33</v>
      </c>
      <c r="N1546" s="257" t="s">
        <v>6830</v>
      </c>
    </row>
    <row r="1547" spans="1:14">
      <c r="A1547">
        <v>8043</v>
      </c>
      <c r="B1547" t="s">
        <v>5959</v>
      </c>
      <c r="C1547">
        <v>7.99</v>
      </c>
      <c r="D1547">
        <v>369</v>
      </c>
      <c r="E1547">
        <v>80</v>
      </c>
      <c r="F1547">
        <v>-40</v>
      </c>
      <c r="G1547">
        <v>-26</v>
      </c>
      <c r="H1547">
        <v>2.0699999999999998</v>
      </c>
      <c r="I1547">
        <v>1</v>
      </c>
      <c r="J1547">
        <v>1.76</v>
      </c>
      <c r="K1547" s="245">
        <v>-34.090000000000003</v>
      </c>
      <c r="L1547" s="245">
        <v>17.04</v>
      </c>
      <c r="M1547" s="245">
        <v>56.55</v>
      </c>
      <c r="N1547" s="257" t="s">
        <v>6830</v>
      </c>
    </row>
    <row r="1548" spans="1:14">
      <c r="A1548">
        <v>8044</v>
      </c>
      <c r="B1548" t="s">
        <v>5960</v>
      </c>
      <c r="C1548">
        <v>12.85</v>
      </c>
      <c r="D1548">
        <v>-71</v>
      </c>
      <c r="E1548">
        <v>-23</v>
      </c>
      <c r="F1548">
        <v>-8</v>
      </c>
      <c r="G1548">
        <v>0</v>
      </c>
      <c r="H1548">
        <v>0.5</v>
      </c>
      <c r="I1548">
        <v>0.5</v>
      </c>
      <c r="J1548">
        <v>0.84</v>
      </c>
      <c r="K1548" s="245">
        <v>-53.33</v>
      </c>
      <c r="L1548" s="245">
        <v>18.78</v>
      </c>
      <c r="M1548" s="245">
        <v>2149.15</v>
      </c>
      <c r="N1548" s="257" t="s">
        <v>6830</v>
      </c>
    </row>
    <row r="1549" spans="1:14">
      <c r="A1549">
        <v>8046</v>
      </c>
      <c r="B1549" t="s">
        <v>5961</v>
      </c>
      <c r="C1549">
        <v>64.61</v>
      </c>
      <c r="D1549">
        <v>188</v>
      </c>
      <c r="E1549">
        <v>213</v>
      </c>
      <c r="F1549">
        <v>-14</v>
      </c>
      <c r="G1549">
        <v>7</v>
      </c>
      <c r="H1549">
        <v>24.64</v>
      </c>
      <c r="I1549">
        <v>10</v>
      </c>
      <c r="J1549">
        <v>16.38</v>
      </c>
      <c r="K1549" s="245">
        <v>-36.450000000000003</v>
      </c>
      <c r="L1549" s="245">
        <v>13.76</v>
      </c>
      <c r="M1549" s="245">
        <v>4332.05</v>
      </c>
      <c r="N1549" s="257" t="s">
        <v>6830</v>
      </c>
    </row>
    <row r="1550" spans="1:14">
      <c r="A1550">
        <v>8047</v>
      </c>
      <c r="B1550" t="s">
        <v>6306</v>
      </c>
      <c r="C1550">
        <v>4.16</v>
      </c>
      <c r="D1550">
        <v>57</v>
      </c>
      <c r="E1550">
        <v>157</v>
      </c>
      <c r="F1550">
        <v>-14</v>
      </c>
      <c r="G1550">
        <v>-2</v>
      </c>
      <c r="H1550">
        <v>0.99</v>
      </c>
      <c r="I1550">
        <v>0.25</v>
      </c>
      <c r="J1550">
        <v>0.43</v>
      </c>
      <c r="K1550" s="245">
        <v>-6.35</v>
      </c>
      <c r="L1550" s="245">
        <v>61.32</v>
      </c>
      <c r="M1550" s="245">
        <v>83.5</v>
      </c>
      <c r="N1550" s="257" t="s">
        <v>6832</v>
      </c>
    </row>
    <row r="1551" spans="1:14">
      <c r="A1551">
        <v>8048</v>
      </c>
      <c r="B1551" t="s">
        <v>5962</v>
      </c>
      <c r="C1551">
        <v>5.44</v>
      </c>
      <c r="D1551">
        <v>12</v>
      </c>
      <c r="E1551">
        <v>14</v>
      </c>
      <c r="F1551">
        <v>-4</v>
      </c>
      <c r="G1551">
        <v>6</v>
      </c>
      <c r="H1551">
        <v>10.96</v>
      </c>
      <c r="I1551">
        <v>2.2000000000000002</v>
      </c>
      <c r="J1551">
        <v>2.94</v>
      </c>
      <c r="K1551" s="245">
        <v>-20.85</v>
      </c>
      <c r="L1551" s="245">
        <v>22.64</v>
      </c>
      <c r="M1551" s="245">
        <v>31.45</v>
      </c>
      <c r="N1551" s="257" t="s">
        <v>6830</v>
      </c>
    </row>
    <row r="1552" spans="1:14">
      <c r="A1552">
        <v>8049</v>
      </c>
      <c r="B1552" t="s">
        <v>5963</v>
      </c>
      <c r="C1552">
        <v>11.82</v>
      </c>
      <c r="D1552">
        <v>26</v>
      </c>
      <c r="E1552">
        <v>11</v>
      </c>
      <c r="F1552">
        <v>-16</v>
      </c>
      <c r="G1552">
        <v>7</v>
      </c>
      <c r="H1552">
        <v>16.72</v>
      </c>
      <c r="I1552">
        <v>2.1</v>
      </c>
      <c r="J1552">
        <v>2.61</v>
      </c>
      <c r="K1552" s="245">
        <v>-11.17</v>
      </c>
      <c r="L1552" s="245">
        <v>21.36</v>
      </c>
      <c r="M1552" s="245">
        <v>251.85</v>
      </c>
      <c r="N1552" s="257" t="s">
        <v>6831</v>
      </c>
    </row>
    <row r="1553" spans="1:14">
      <c r="A1553">
        <v>8050</v>
      </c>
      <c r="B1553" t="s">
        <v>5964</v>
      </c>
      <c r="C1553">
        <v>17.7</v>
      </c>
      <c r="D1553">
        <v>265</v>
      </c>
      <c r="E1553">
        <v>493</v>
      </c>
      <c r="F1553">
        <v>-42</v>
      </c>
      <c r="G1553">
        <v>-44</v>
      </c>
      <c r="H1553">
        <v>2.74</v>
      </c>
      <c r="I1553">
        <v>2.1800000000000002</v>
      </c>
      <c r="J1553">
        <v>2.69</v>
      </c>
      <c r="K1553" s="245">
        <v>-12.59</v>
      </c>
      <c r="L1553" s="245">
        <v>61.67</v>
      </c>
      <c r="M1553" s="245">
        <v>1519</v>
      </c>
      <c r="N1553" s="257" t="s">
        <v>6831</v>
      </c>
    </row>
    <row r="1554" spans="1:14">
      <c r="A1554">
        <v>8054</v>
      </c>
      <c r="B1554" t="s">
        <v>5965</v>
      </c>
      <c r="C1554">
        <v>9.08</v>
      </c>
      <c r="D1554">
        <v>555727</v>
      </c>
      <c r="E1554">
        <v>451</v>
      </c>
      <c r="F1554">
        <v>0</v>
      </c>
      <c r="G1554">
        <v>-11</v>
      </c>
      <c r="H1554">
        <v>9.3800000000000008</v>
      </c>
      <c r="I1554">
        <v>1.65</v>
      </c>
      <c r="J1554">
        <v>3.25</v>
      </c>
      <c r="K1554" s="245">
        <v>-39.76</v>
      </c>
      <c r="L1554" s="245">
        <v>13.52</v>
      </c>
      <c r="M1554" s="245">
        <v>1259.05</v>
      </c>
      <c r="N1554" s="257" t="s">
        <v>6830</v>
      </c>
    </row>
    <row r="1555" spans="1:14">
      <c r="A1555">
        <v>8059</v>
      </c>
      <c r="B1555" t="s">
        <v>6651</v>
      </c>
      <c r="C1555">
        <v>18.86</v>
      </c>
      <c r="D1555">
        <v>-1905</v>
      </c>
      <c r="E1555">
        <v>-137</v>
      </c>
      <c r="F1555">
        <v>-7</v>
      </c>
      <c r="G1555">
        <v>3</v>
      </c>
      <c r="H1555">
        <v>-9.19</v>
      </c>
      <c r="I1555">
        <v>0</v>
      </c>
      <c r="J1555">
        <v>-0.8</v>
      </c>
      <c r="K1555" s="245">
        <v>-31.25</v>
      </c>
      <c r="L1555" s="245">
        <v>12.72</v>
      </c>
      <c r="M1555" s="245">
        <v>44.8</v>
      </c>
      <c r="N1555" s="257" t="s">
        <v>6830</v>
      </c>
    </row>
    <row r="1556" spans="1:14">
      <c r="A1556">
        <v>8064</v>
      </c>
      <c r="B1556" t="s">
        <v>5966</v>
      </c>
      <c r="C1556">
        <v>16.48</v>
      </c>
      <c r="D1556">
        <v>462</v>
      </c>
      <c r="E1556">
        <v>214</v>
      </c>
      <c r="F1556">
        <v>-5</v>
      </c>
      <c r="G1556">
        <v>-33</v>
      </c>
      <c r="H1556">
        <v>13.8</v>
      </c>
      <c r="I1556">
        <v>1.25</v>
      </c>
      <c r="J1556">
        <v>2.12</v>
      </c>
      <c r="K1556" s="245">
        <v>-27.22</v>
      </c>
      <c r="L1556" s="245">
        <v>21.22</v>
      </c>
      <c r="M1556" s="245">
        <v>405.75</v>
      </c>
      <c r="N1556" s="257" t="s">
        <v>6830</v>
      </c>
    </row>
    <row r="1557" spans="1:14">
      <c r="A1557">
        <v>8066</v>
      </c>
      <c r="B1557" t="s">
        <v>6302</v>
      </c>
      <c r="C1557">
        <v>3.01</v>
      </c>
      <c r="D1557">
        <v>-28</v>
      </c>
      <c r="E1557">
        <v>-30</v>
      </c>
      <c r="F1557">
        <v>-3</v>
      </c>
      <c r="G1557">
        <v>-19</v>
      </c>
      <c r="H1557">
        <v>2.8</v>
      </c>
      <c r="I1557">
        <v>1</v>
      </c>
      <c r="J1557">
        <v>1.1100000000000001</v>
      </c>
      <c r="K1557" s="245">
        <v>-45.25</v>
      </c>
      <c r="L1557" s="245">
        <v>18.23</v>
      </c>
      <c r="M1557" s="245">
        <v>76.95</v>
      </c>
      <c r="N1557" s="257" t="s">
        <v>6830</v>
      </c>
    </row>
    <row r="1558" spans="1:14">
      <c r="A1558">
        <v>8067</v>
      </c>
      <c r="B1558" t="s">
        <v>6652</v>
      </c>
      <c r="C1558">
        <v>3</v>
      </c>
      <c r="D1558">
        <v>12</v>
      </c>
      <c r="E1558">
        <v>13</v>
      </c>
      <c r="F1558">
        <v>-61</v>
      </c>
      <c r="G1558">
        <v>-34</v>
      </c>
      <c r="H1558">
        <v>-12.07</v>
      </c>
      <c r="I1558">
        <v>0</v>
      </c>
      <c r="J1558">
        <v>-0.92</v>
      </c>
      <c r="K1558" s="245">
        <v>-24.69</v>
      </c>
      <c r="L1558" s="245">
        <v>25.91</v>
      </c>
      <c r="M1558" s="245">
        <v>12.75</v>
      </c>
      <c r="N1558" s="257" t="s">
        <v>6830</v>
      </c>
    </row>
    <row r="1559" spans="1:14">
      <c r="A1559">
        <v>8068</v>
      </c>
      <c r="B1559" t="s">
        <v>6653</v>
      </c>
      <c r="C1559">
        <v>6.86</v>
      </c>
      <c r="D1559">
        <v>-44</v>
      </c>
      <c r="E1559">
        <v>-362</v>
      </c>
      <c r="F1559">
        <v>-45</v>
      </c>
      <c r="G1559">
        <v>350</v>
      </c>
      <c r="H1559">
        <v>-12.45</v>
      </c>
      <c r="I1559">
        <v>0</v>
      </c>
      <c r="J1559">
        <v>-0.52</v>
      </c>
      <c r="K1559" s="245">
        <v>-46.38</v>
      </c>
      <c r="L1559" s="245">
        <v>10.68</v>
      </c>
      <c r="M1559" s="245">
        <v>43.9</v>
      </c>
      <c r="N1559" s="257" t="s">
        <v>6830</v>
      </c>
    </row>
    <row r="1560" spans="1:14">
      <c r="A1560">
        <v>8069</v>
      </c>
      <c r="B1560" t="s">
        <v>5967</v>
      </c>
      <c r="C1560">
        <v>114</v>
      </c>
      <c r="D1560">
        <v>41</v>
      </c>
      <c r="E1560">
        <v>63</v>
      </c>
      <c r="F1560">
        <v>1</v>
      </c>
      <c r="G1560">
        <v>66</v>
      </c>
      <c r="H1560">
        <v>15.39</v>
      </c>
      <c r="I1560">
        <v>3.2</v>
      </c>
      <c r="J1560">
        <v>4.53</v>
      </c>
      <c r="K1560" s="245">
        <v>-8.93</v>
      </c>
      <c r="L1560" s="245">
        <v>66.13</v>
      </c>
      <c r="M1560" s="245">
        <v>23346</v>
      </c>
      <c r="N1560" s="257" t="s">
        <v>6832</v>
      </c>
    </row>
    <row r="1561" spans="1:14">
      <c r="A1561">
        <v>8070</v>
      </c>
      <c r="B1561" t="s">
        <v>5968</v>
      </c>
      <c r="C1561">
        <v>6.89</v>
      </c>
      <c r="D1561">
        <v>82</v>
      </c>
      <c r="E1561">
        <v>93</v>
      </c>
      <c r="F1561">
        <v>-8</v>
      </c>
      <c r="G1561">
        <v>16</v>
      </c>
      <c r="H1561">
        <v>12.38</v>
      </c>
      <c r="I1561">
        <v>2</v>
      </c>
      <c r="J1561">
        <v>2.54</v>
      </c>
      <c r="K1561" s="245">
        <v>-9.34</v>
      </c>
      <c r="L1561" s="245">
        <v>49.13</v>
      </c>
      <c r="M1561" s="245">
        <v>1192.25</v>
      </c>
      <c r="N1561" s="257" t="s">
        <v>6831</v>
      </c>
    </row>
    <row r="1562" spans="1:14">
      <c r="A1562">
        <v>8071</v>
      </c>
      <c r="B1562" t="s">
        <v>5969</v>
      </c>
      <c r="C1562">
        <v>5.18</v>
      </c>
      <c r="D1562">
        <v>756</v>
      </c>
      <c r="E1562">
        <v>141</v>
      </c>
      <c r="F1562">
        <v>10</v>
      </c>
      <c r="G1562">
        <v>-24</v>
      </c>
      <c r="H1562">
        <v>3.52</v>
      </c>
      <c r="I1562">
        <v>1.2</v>
      </c>
      <c r="J1562">
        <v>1.1100000000000001</v>
      </c>
      <c r="K1562" s="245">
        <v>-12.39</v>
      </c>
      <c r="L1562" s="245">
        <v>59.41</v>
      </c>
      <c r="M1562" s="245">
        <v>2962.8</v>
      </c>
      <c r="N1562" s="257" t="s">
        <v>6832</v>
      </c>
    </row>
    <row r="1563" spans="1:14">
      <c r="A1563">
        <v>8072</v>
      </c>
      <c r="B1563" t="s">
        <v>5970</v>
      </c>
      <c r="C1563">
        <v>8</v>
      </c>
      <c r="D1563">
        <v>1375</v>
      </c>
      <c r="E1563">
        <v>1036</v>
      </c>
      <c r="F1563">
        <v>-1</v>
      </c>
      <c r="G1563">
        <v>-3</v>
      </c>
      <c r="H1563">
        <v>2.42</v>
      </c>
      <c r="I1563">
        <v>0.35</v>
      </c>
      <c r="J1563">
        <v>0.39</v>
      </c>
      <c r="K1563" s="245">
        <v>-18.23</v>
      </c>
      <c r="L1563" s="245">
        <v>22.47</v>
      </c>
      <c r="M1563" s="245">
        <v>19.399999999999999</v>
      </c>
      <c r="N1563" s="257" t="s">
        <v>6830</v>
      </c>
    </row>
    <row r="1564" spans="1:14">
      <c r="A1564">
        <v>8074</v>
      </c>
      <c r="B1564" t="s">
        <v>5971</v>
      </c>
      <c r="C1564">
        <v>8.4499999999999993</v>
      </c>
      <c r="D1564">
        <v>12</v>
      </c>
      <c r="E1564">
        <v>5</v>
      </c>
      <c r="F1564">
        <v>-27</v>
      </c>
      <c r="G1564">
        <v>-15</v>
      </c>
      <c r="H1564">
        <v>7.89</v>
      </c>
      <c r="I1564">
        <v>1</v>
      </c>
      <c r="J1564">
        <v>0.94</v>
      </c>
      <c r="K1564" s="245">
        <v>-22.88</v>
      </c>
      <c r="L1564" s="245">
        <v>19.97</v>
      </c>
      <c r="M1564" s="245">
        <v>731.4</v>
      </c>
      <c r="N1564" s="257" t="s">
        <v>6830</v>
      </c>
    </row>
    <row r="1565" spans="1:14">
      <c r="A1565">
        <v>8076</v>
      </c>
      <c r="B1565" t="s">
        <v>5972</v>
      </c>
      <c r="C1565">
        <v>27.75</v>
      </c>
      <c r="D1565">
        <v>267</v>
      </c>
      <c r="E1565">
        <v>447</v>
      </c>
      <c r="F1565">
        <v>17</v>
      </c>
      <c r="G1565">
        <v>19</v>
      </c>
      <c r="H1565">
        <v>5.38</v>
      </c>
      <c r="I1565">
        <v>1</v>
      </c>
      <c r="J1565">
        <v>0.55000000000000004</v>
      </c>
      <c r="K1565" s="245">
        <v>-33.25</v>
      </c>
      <c r="L1565" s="245">
        <v>23.79</v>
      </c>
      <c r="M1565" s="245">
        <v>470.45</v>
      </c>
      <c r="N1565" s="257" t="s">
        <v>6830</v>
      </c>
    </row>
    <row r="1566" spans="1:14">
      <c r="A1566">
        <v>8077</v>
      </c>
      <c r="B1566" t="s">
        <v>6654</v>
      </c>
      <c r="C1566">
        <v>10.97</v>
      </c>
      <c r="D1566">
        <v>57</v>
      </c>
      <c r="E1566">
        <v>22</v>
      </c>
      <c r="F1566">
        <v>7</v>
      </c>
      <c r="G1566">
        <v>15</v>
      </c>
      <c r="H1566">
        <v>-63.82</v>
      </c>
      <c r="I1566">
        <v>0</v>
      </c>
      <c r="J1566">
        <v>-3.3</v>
      </c>
      <c r="K1566" s="245">
        <v>-31.1</v>
      </c>
      <c r="L1566" s="245">
        <v>26.11</v>
      </c>
      <c r="M1566" s="245">
        <v>6.85</v>
      </c>
      <c r="N1566" s="257" t="s">
        <v>6830</v>
      </c>
    </row>
    <row r="1567" spans="1:14">
      <c r="A1567">
        <v>8080</v>
      </c>
      <c r="B1567" t="s">
        <v>6655</v>
      </c>
      <c r="C1567">
        <v>2.31</v>
      </c>
      <c r="D1567">
        <v>15</v>
      </c>
      <c r="E1567">
        <v>105</v>
      </c>
      <c r="F1567">
        <v>68</v>
      </c>
      <c r="G1567">
        <v>217</v>
      </c>
      <c r="H1567">
        <v>1.1399999999999999</v>
      </c>
      <c r="I1567">
        <v>0</v>
      </c>
      <c r="J1567">
        <v>-1.21</v>
      </c>
      <c r="K1567" s="245">
        <v>-36.49</v>
      </c>
      <c r="L1567" s="245">
        <v>29.44</v>
      </c>
      <c r="M1567" s="245">
        <v>17</v>
      </c>
      <c r="N1567" s="257" t="s">
        <v>6831</v>
      </c>
    </row>
    <row r="1568" spans="1:14">
      <c r="A1568">
        <v>8081</v>
      </c>
      <c r="B1568" t="s">
        <v>5973</v>
      </c>
      <c r="C1568">
        <v>8.61</v>
      </c>
      <c r="D1568">
        <v>108</v>
      </c>
      <c r="E1568">
        <v>105</v>
      </c>
      <c r="F1568">
        <v>-4</v>
      </c>
      <c r="G1568">
        <v>16</v>
      </c>
      <c r="H1568">
        <v>29.7</v>
      </c>
      <c r="I1568">
        <v>16</v>
      </c>
      <c r="J1568">
        <v>25.45</v>
      </c>
      <c r="K1568" s="245">
        <v>-28.74</v>
      </c>
      <c r="L1568" s="245">
        <v>34.14</v>
      </c>
      <c r="M1568" s="245">
        <v>812.55</v>
      </c>
      <c r="N1568" s="257" t="s">
        <v>6830</v>
      </c>
    </row>
    <row r="1569" spans="1:14">
      <c r="A1569">
        <v>8083</v>
      </c>
      <c r="B1569" t="s">
        <v>6336</v>
      </c>
      <c r="C1569">
        <v>3.51</v>
      </c>
      <c r="D1569">
        <v>-8</v>
      </c>
      <c r="E1569">
        <v>-8</v>
      </c>
      <c r="F1569">
        <v>-22</v>
      </c>
      <c r="G1569">
        <v>-30</v>
      </c>
      <c r="H1569">
        <v>20.63</v>
      </c>
      <c r="I1569">
        <v>10.199999999999999</v>
      </c>
      <c r="J1569">
        <v>10.08</v>
      </c>
      <c r="K1569" s="245">
        <v>-9.51</v>
      </c>
      <c r="L1569" s="245">
        <v>48.12</v>
      </c>
      <c r="M1569" s="245">
        <v>39.700000000000003</v>
      </c>
      <c r="N1569" s="257" t="s">
        <v>6831</v>
      </c>
    </row>
    <row r="1570" spans="1:14">
      <c r="A1570">
        <v>8084</v>
      </c>
      <c r="B1570" t="s">
        <v>6656</v>
      </c>
      <c r="C1570">
        <v>6.95</v>
      </c>
      <c r="D1570">
        <v>62</v>
      </c>
      <c r="E1570">
        <v>64</v>
      </c>
      <c r="F1570">
        <v>-19</v>
      </c>
      <c r="G1570">
        <v>9</v>
      </c>
      <c r="H1570">
        <v>-7.56</v>
      </c>
      <c r="I1570">
        <v>0</v>
      </c>
      <c r="J1570">
        <v>-0.83</v>
      </c>
      <c r="K1570" s="245">
        <v>-10.8</v>
      </c>
      <c r="L1570" s="245">
        <v>82.53</v>
      </c>
      <c r="M1570" s="245">
        <v>146.19999999999999</v>
      </c>
      <c r="N1570" s="257" t="s">
        <v>6832</v>
      </c>
    </row>
    <row r="1571" spans="1:14">
      <c r="A1571">
        <v>8085</v>
      </c>
      <c r="B1571" t="s">
        <v>6224</v>
      </c>
      <c r="C1571">
        <v>13.99</v>
      </c>
      <c r="D1571">
        <v>144</v>
      </c>
      <c r="E1571">
        <v>84</v>
      </c>
      <c r="F1571">
        <v>-7</v>
      </c>
      <c r="G1571">
        <v>-8</v>
      </c>
      <c r="H1571">
        <v>-2.36</v>
      </c>
      <c r="I1571">
        <v>0.2</v>
      </c>
      <c r="J1571">
        <v>0.24</v>
      </c>
      <c r="K1571" s="245">
        <v>-13.69</v>
      </c>
      <c r="L1571" s="245">
        <v>43.11</v>
      </c>
      <c r="M1571" s="245">
        <v>158.75</v>
      </c>
      <c r="N1571" s="257" t="s">
        <v>6831</v>
      </c>
    </row>
    <row r="1572" spans="1:14">
      <c r="A1572">
        <v>8086</v>
      </c>
      <c r="B1572" t="s">
        <v>5974</v>
      </c>
      <c r="C1572">
        <v>19.649999999999999</v>
      </c>
      <c r="D1572">
        <v>35</v>
      </c>
      <c r="E1572">
        <v>25</v>
      </c>
      <c r="F1572">
        <v>2</v>
      </c>
      <c r="G1572">
        <v>-50</v>
      </c>
      <c r="H1572">
        <v>20.71</v>
      </c>
      <c r="I1572">
        <v>2.8</v>
      </c>
      <c r="J1572">
        <v>4.29</v>
      </c>
      <c r="K1572" s="245">
        <v>-58.27</v>
      </c>
      <c r="L1572" s="245">
        <v>13.49</v>
      </c>
      <c r="M1572" s="245">
        <v>1704.65</v>
      </c>
      <c r="N1572" s="257" t="s">
        <v>6830</v>
      </c>
    </row>
    <row r="1573" spans="1:14">
      <c r="A1573">
        <v>8087</v>
      </c>
      <c r="B1573" t="s">
        <v>6657</v>
      </c>
      <c r="C1573">
        <v>2.9</v>
      </c>
      <c r="D1573">
        <v>-324</v>
      </c>
      <c r="E1573">
        <v>-251</v>
      </c>
      <c r="F1573">
        <v>-30</v>
      </c>
      <c r="G1573">
        <v>757</v>
      </c>
      <c r="H1573">
        <v>-63.11</v>
      </c>
      <c r="I1573">
        <v>0</v>
      </c>
      <c r="J1573">
        <v>-0.84</v>
      </c>
      <c r="K1573" s="245">
        <v>-32.28</v>
      </c>
      <c r="L1573" s="245">
        <v>57.05</v>
      </c>
      <c r="M1573" s="245">
        <v>1277.95</v>
      </c>
      <c r="N1573" s="257" t="s">
        <v>6831</v>
      </c>
    </row>
    <row r="1574" spans="1:14">
      <c r="A1574">
        <v>8088</v>
      </c>
      <c r="B1574" t="s">
        <v>5975</v>
      </c>
      <c r="C1574">
        <v>6.09</v>
      </c>
      <c r="D1574">
        <v>-16</v>
      </c>
      <c r="E1574">
        <v>-25</v>
      </c>
      <c r="F1574">
        <v>-10</v>
      </c>
      <c r="G1574">
        <v>-4</v>
      </c>
      <c r="H1574">
        <v>7.21</v>
      </c>
      <c r="I1574">
        <v>1</v>
      </c>
      <c r="J1574">
        <v>1.64</v>
      </c>
      <c r="K1574" s="245">
        <v>-36.39</v>
      </c>
      <c r="L1574" s="245">
        <v>18.27</v>
      </c>
      <c r="M1574" s="245">
        <v>78.400000000000006</v>
      </c>
      <c r="N1574" s="257" t="s">
        <v>6830</v>
      </c>
    </row>
    <row r="1575" spans="1:14">
      <c r="A1575">
        <v>8089</v>
      </c>
      <c r="B1575" t="s">
        <v>5976</v>
      </c>
      <c r="C1575">
        <v>5.79</v>
      </c>
      <c r="D1575">
        <v>-112</v>
      </c>
      <c r="E1575">
        <v>-107</v>
      </c>
      <c r="F1575">
        <v>-14</v>
      </c>
      <c r="G1575">
        <v>-3</v>
      </c>
      <c r="H1575">
        <v>-1.22</v>
      </c>
      <c r="I1575">
        <v>1</v>
      </c>
      <c r="J1575">
        <v>-0.46</v>
      </c>
      <c r="K1575" s="245">
        <v>-39.229999999999997</v>
      </c>
      <c r="L1575" s="245">
        <v>18.37</v>
      </c>
      <c r="M1575" s="245">
        <v>63.1</v>
      </c>
      <c r="N1575" s="257" t="s">
        <v>6830</v>
      </c>
    </row>
    <row r="1576" spans="1:14">
      <c r="A1576">
        <v>8091</v>
      </c>
      <c r="B1576" t="s">
        <v>5977</v>
      </c>
      <c r="C1576">
        <v>4.55</v>
      </c>
      <c r="D1576">
        <v>50</v>
      </c>
      <c r="E1576">
        <v>15</v>
      </c>
      <c r="F1576">
        <v>5</v>
      </c>
      <c r="G1576">
        <v>54</v>
      </c>
      <c r="H1576">
        <v>18.2</v>
      </c>
      <c r="I1576">
        <v>4</v>
      </c>
      <c r="J1576">
        <v>5.92</v>
      </c>
      <c r="K1576" s="245">
        <v>-13.34</v>
      </c>
      <c r="L1576" s="245">
        <v>38.78</v>
      </c>
      <c r="M1576" s="245">
        <v>366.4</v>
      </c>
      <c r="N1576" s="257" t="s">
        <v>6832</v>
      </c>
    </row>
    <row r="1577" spans="1:14">
      <c r="A1577">
        <v>8092</v>
      </c>
      <c r="B1577" t="s">
        <v>6658</v>
      </c>
      <c r="C1577">
        <v>3.88</v>
      </c>
      <c r="D1577">
        <v>-17</v>
      </c>
      <c r="E1577">
        <v>19</v>
      </c>
      <c r="F1577">
        <v>11</v>
      </c>
      <c r="G1577">
        <v>1</v>
      </c>
      <c r="H1577">
        <v>-6.66</v>
      </c>
      <c r="I1577">
        <v>0</v>
      </c>
      <c r="J1577">
        <v>-0.57999999999999996</v>
      </c>
      <c r="K1577" s="245">
        <v>-35.479999999999997</v>
      </c>
      <c r="L1577" s="245">
        <v>17.079999999999998</v>
      </c>
      <c r="M1577" s="245">
        <v>36.200000000000003</v>
      </c>
      <c r="N1577" s="257" t="s">
        <v>6830</v>
      </c>
    </row>
    <row r="1578" spans="1:14">
      <c r="A1578">
        <v>8093</v>
      </c>
      <c r="B1578" t="s">
        <v>6659</v>
      </c>
      <c r="C1578">
        <v>6.42</v>
      </c>
      <c r="D1578">
        <v>-371</v>
      </c>
      <c r="E1578">
        <v>-627</v>
      </c>
      <c r="F1578">
        <v>-7</v>
      </c>
      <c r="G1578">
        <v>-49</v>
      </c>
      <c r="H1578">
        <v>-14.12</v>
      </c>
      <c r="I1578">
        <v>0</v>
      </c>
      <c r="J1578">
        <v>-0.83</v>
      </c>
      <c r="K1578" s="245">
        <v>-26.45</v>
      </c>
      <c r="L1578" s="245">
        <v>41.14</v>
      </c>
      <c r="M1578" s="245">
        <v>53.8</v>
      </c>
      <c r="N1578" s="257" t="s">
        <v>6830</v>
      </c>
    </row>
    <row r="1579" spans="1:14">
      <c r="A1579">
        <v>8096</v>
      </c>
      <c r="B1579" t="s">
        <v>5978</v>
      </c>
      <c r="C1579">
        <v>14.52</v>
      </c>
      <c r="D1579">
        <v>71</v>
      </c>
      <c r="E1579">
        <v>2</v>
      </c>
      <c r="F1579">
        <v>-25</v>
      </c>
      <c r="G1579">
        <v>-3</v>
      </c>
      <c r="H1579">
        <v>0.96</v>
      </c>
      <c r="I1579">
        <v>0.5</v>
      </c>
      <c r="J1579">
        <v>1.1299999999999999</v>
      </c>
      <c r="K1579" s="245">
        <v>-13.29</v>
      </c>
      <c r="L1579" s="245">
        <v>57.44</v>
      </c>
      <c r="M1579" s="245">
        <v>1006.55</v>
      </c>
      <c r="N1579" s="257" t="s">
        <v>6831</v>
      </c>
    </row>
    <row r="1580" spans="1:14">
      <c r="A1580">
        <v>8097</v>
      </c>
      <c r="B1580" t="s">
        <v>5979</v>
      </c>
      <c r="C1580">
        <v>4.3099999999999996</v>
      </c>
      <c r="D1580">
        <v>-7</v>
      </c>
      <c r="E1580">
        <v>16</v>
      </c>
      <c r="F1580">
        <v>163</v>
      </c>
      <c r="G1580">
        <v>601</v>
      </c>
      <c r="H1580">
        <v>-3.24</v>
      </c>
      <c r="I1580">
        <v>0</v>
      </c>
      <c r="J1580">
        <v>-0.31</v>
      </c>
      <c r="K1580" s="245">
        <v>-2.34</v>
      </c>
      <c r="L1580" s="245">
        <v>88.18</v>
      </c>
      <c r="M1580" s="245">
        <v>664.95</v>
      </c>
      <c r="N1580" s="257" t="s">
        <v>6832</v>
      </c>
    </row>
    <row r="1581" spans="1:14">
      <c r="A1581">
        <v>8099</v>
      </c>
      <c r="B1581" t="s">
        <v>5980</v>
      </c>
      <c r="C1581">
        <v>8.85</v>
      </c>
      <c r="D1581">
        <v>22</v>
      </c>
      <c r="E1581">
        <v>36</v>
      </c>
      <c r="F1581">
        <v>-32</v>
      </c>
      <c r="G1581">
        <v>-12</v>
      </c>
      <c r="H1581">
        <v>5.01</v>
      </c>
      <c r="I1581">
        <v>1.8</v>
      </c>
      <c r="J1581">
        <v>2.0099999999999998</v>
      </c>
      <c r="K1581" s="245">
        <v>-17.72</v>
      </c>
      <c r="L1581" s="245">
        <v>41.16</v>
      </c>
      <c r="M1581" s="245">
        <v>92.4</v>
      </c>
      <c r="N1581" s="257" t="s">
        <v>6831</v>
      </c>
    </row>
    <row r="1582" spans="1:14">
      <c r="A1582">
        <v>8101</v>
      </c>
      <c r="B1582" t="s">
        <v>6660</v>
      </c>
      <c r="C1582">
        <v>20.8</v>
      </c>
      <c r="D1582">
        <v>100</v>
      </c>
      <c r="E1582">
        <v>22</v>
      </c>
      <c r="F1582">
        <v>-32</v>
      </c>
      <c r="G1582">
        <v>-53</v>
      </c>
      <c r="H1582">
        <v>-73.19</v>
      </c>
      <c r="I1582">
        <v>0</v>
      </c>
      <c r="J1582">
        <v>0.03</v>
      </c>
      <c r="K1582" s="245">
        <v>-34.26</v>
      </c>
      <c r="L1582" s="245">
        <v>12.45</v>
      </c>
      <c r="M1582" s="245">
        <v>88.9</v>
      </c>
      <c r="N1582" s="257" t="s">
        <v>6830</v>
      </c>
    </row>
    <row r="1583" spans="1:14">
      <c r="A1583">
        <v>8103</v>
      </c>
      <c r="B1583" t="s">
        <v>5981</v>
      </c>
      <c r="C1583">
        <v>7.89</v>
      </c>
      <c r="D1583">
        <v>56</v>
      </c>
      <c r="E1583">
        <v>43</v>
      </c>
      <c r="F1583">
        <v>8</v>
      </c>
      <c r="G1583">
        <v>10</v>
      </c>
      <c r="H1583">
        <v>13.29</v>
      </c>
      <c r="I1583">
        <v>2</v>
      </c>
      <c r="J1583">
        <v>4.29</v>
      </c>
      <c r="K1583" s="245">
        <v>-31.32</v>
      </c>
      <c r="L1583" s="245">
        <v>9.66</v>
      </c>
      <c r="M1583" s="245">
        <v>303.89999999999998</v>
      </c>
      <c r="N1583" s="257" t="s">
        <v>6830</v>
      </c>
    </row>
    <row r="1584" spans="1:14">
      <c r="A1584">
        <v>8104</v>
      </c>
      <c r="B1584" t="s">
        <v>5982</v>
      </c>
      <c r="C1584">
        <v>7.46</v>
      </c>
      <c r="D1584">
        <v>1</v>
      </c>
      <c r="E1584">
        <v>-14</v>
      </c>
      <c r="F1584">
        <v>62</v>
      </c>
      <c r="G1584">
        <v>4</v>
      </c>
      <c r="H1584">
        <v>6.7</v>
      </c>
      <c r="I1584">
        <v>2</v>
      </c>
      <c r="J1584">
        <v>2.86</v>
      </c>
      <c r="K1584" s="245">
        <v>-49.36</v>
      </c>
      <c r="L1584" s="245">
        <v>9.51</v>
      </c>
      <c r="M1584" s="245">
        <v>450.25</v>
      </c>
      <c r="N1584" s="257" t="s">
        <v>6830</v>
      </c>
    </row>
    <row r="1585" spans="1:14">
      <c r="A1585">
        <v>8105</v>
      </c>
      <c r="B1585" t="s">
        <v>5983</v>
      </c>
      <c r="C1585">
        <v>44.15</v>
      </c>
      <c r="D1585">
        <v>108</v>
      </c>
      <c r="E1585">
        <v>116</v>
      </c>
      <c r="F1585">
        <v>-18</v>
      </c>
      <c r="G1585">
        <v>-17</v>
      </c>
      <c r="H1585">
        <v>1.23</v>
      </c>
      <c r="I1585">
        <v>0</v>
      </c>
      <c r="J1585">
        <v>0.21</v>
      </c>
      <c r="K1585" s="245">
        <v>-27.93</v>
      </c>
      <c r="L1585" s="245">
        <v>17.72</v>
      </c>
      <c r="M1585" s="245">
        <v>692.65</v>
      </c>
      <c r="N1585" s="257" t="s">
        <v>6830</v>
      </c>
    </row>
    <row r="1586" spans="1:14">
      <c r="A1586">
        <v>8107</v>
      </c>
      <c r="B1586" t="s">
        <v>5984</v>
      </c>
      <c r="C1586">
        <v>7.5</v>
      </c>
      <c r="D1586">
        <v>300</v>
      </c>
      <c r="E1586">
        <v>1</v>
      </c>
      <c r="F1586">
        <v>-20</v>
      </c>
      <c r="G1586">
        <v>-28</v>
      </c>
      <c r="H1586">
        <v>-4.7300000000000004</v>
      </c>
      <c r="I1586">
        <v>0.15</v>
      </c>
      <c r="J1586">
        <v>0.27</v>
      </c>
      <c r="K1586" s="245">
        <v>-32.840000000000003</v>
      </c>
      <c r="L1586" s="245">
        <v>7.43</v>
      </c>
      <c r="M1586" s="245">
        <v>77.3</v>
      </c>
      <c r="N1586" s="257" t="s">
        <v>6830</v>
      </c>
    </row>
    <row r="1587" spans="1:14">
      <c r="A1587">
        <v>8109</v>
      </c>
      <c r="B1587" t="s">
        <v>6161</v>
      </c>
      <c r="C1587">
        <v>7.76</v>
      </c>
      <c r="D1587">
        <v>22</v>
      </c>
      <c r="E1587">
        <v>22</v>
      </c>
      <c r="F1587">
        <v>-10</v>
      </c>
      <c r="G1587">
        <v>4</v>
      </c>
      <c r="H1587">
        <v>35.26</v>
      </c>
      <c r="I1587">
        <v>4</v>
      </c>
      <c r="J1587">
        <v>5.28</v>
      </c>
      <c r="K1587" s="245">
        <v>-12.73</v>
      </c>
      <c r="L1587" s="245">
        <v>16.04</v>
      </c>
      <c r="M1587" s="245">
        <v>33.450000000000003</v>
      </c>
      <c r="N1587" s="257" t="s">
        <v>6830</v>
      </c>
    </row>
    <row r="1588" spans="1:14">
      <c r="A1588">
        <v>8110</v>
      </c>
      <c r="B1588" t="s">
        <v>5985</v>
      </c>
      <c r="C1588">
        <v>52.17</v>
      </c>
      <c r="D1588">
        <v>-53</v>
      </c>
      <c r="E1588">
        <v>159</v>
      </c>
      <c r="F1588">
        <v>0</v>
      </c>
      <c r="G1588">
        <v>4</v>
      </c>
      <c r="H1588">
        <v>0.68</v>
      </c>
      <c r="I1588">
        <v>0.13</v>
      </c>
      <c r="J1588">
        <v>0.43</v>
      </c>
      <c r="K1588" s="245">
        <v>-48.8</v>
      </c>
      <c r="L1588" s="245">
        <v>14.88</v>
      </c>
      <c r="M1588" s="245">
        <v>1167</v>
      </c>
      <c r="N1588" s="257" t="s">
        <v>6830</v>
      </c>
    </row>
    <row r="1589" spans="1:14">
      <c r="A1589">
        <v>8111</v>
      </c>
      <c r="B1589" t="s">
        <v>5986</v>
      </c>
      <c r="C1589">
        <v>10.91</v>
      </c>
      <c r="D1589">
        <v>191</v>
      </c>
      <c r="E1589">
        <v>10</v>
      </c>
      <c r="F1589">
        <v>1</v>
      </c>
      <c r="G1589">
        <v>-32</v>
      </c>
      <c r="H1589">
        <v>13.97</v>
      </c>
      <c r="I1589">
        <v>2.1</v>
      </c>
      <c r="J1589">
        <v>3.61</v>
      </c>
      <c r="K1589" s="245">
        <v>-36.57</v>
      </c>
      <c r="L1589" s="245">
        <v>15.02</v>
      </c>
      <c r="M1589" s="245">
        <v>503.25</v>
      </c>
      <c r="N1589" s="257" t="s">
        <v>6830</v>
      </c>
    </row>
    <row r="1590" spans="1:14">
      <c r="A1590">
        <v>8112</v>
      </c>
      <c r="B1590" t="s">
        <v>5987</v>
      </c>
      <c r="C1590">
        <v>42.84</v>
      </c>
      <c r="D1590">
        <v>71</v>
      </c>
      <c r="E1590">
        <v>93</v>
      </c>
      <c r="F1590">
        <v>-19</v>
      </c>
      <c r="G1590">
        <v>-3</v>
      </c>
      <c r="H1590">
        <v>2.15</v>
      </c>
      <c r="I1590">
        <v>4</v>
      </c>
      <c r="J1590">
        <v>7.02</v>
      </c>
      <c r="K1590" s="245">
        <v>-20.36</v>
      </c>
      <c r="L1590" s="245">
        <v>20.28</v>
      </c>
      <c r="M1590" s="245">
        <v>2463.5</v>
      </c>
      <c r="N1590" s="257" t="s">
        <v>6830</v>
      </c>
    </row>
    <row r="1591" spans="1:14">
      <c r="A1591">
        <v>8114</v>
      </c>
      <c r="B1591" t="s">
        <v>5988</v>
      </c>
      <c r="C1591">
        <v>7.51</v>
      </c>
      <c r="D1591">
        <v>438</v>
      </c>
      <c r="E1591">
        <v>126</v>
      </c>
      <c r="F1591">
        <v>-21</v>
      </c>
      <c r="G1591">
        <v>32</v>
      </c>
      <c r="H1591">
        <v>11.47</v>
      </c>
      <c r="I1591">
        <v>4.5</v>
      </c>
      <c r="J1591">
        <v>6.21</v>
      </c>
      <c r="K1591" s="245">
        <v>-15.38</v>
      </c>
      <c r="L1591" s="245">
        <v>64.040000000000006</v>
      </c>
      <c r="M1591" s="245">
        <v>810.1</v>
      </c>
      <c r="N1591" s="257" t="s">
        <v>6831</v>
      </c>
    </row>
    <row r="1592" spans="1:14">
      <c r="A1592">
        <v>8121</v>
      </c>
      <c r="B1592" t="s">
        <v>6400</v>
      </c>
      <c r="C1592">
        <v>18.29</v>
      </c>
      <c r="D1592">
        <v>142</v>
      </c>
      <c r="E1592">
        <v>53</v>
      </c>
      <c r="F1592">
        <v>-22</v>
      </c>
      <c r="G1592">
        <v>-12</v>
      </c>
      <c r="H1592">
        <v>5.05</v>
      </c>
      <c r="I1592">
        <v>0</v>
      </c>
      <c r="J1592">
        <v>0.32</v>
      </c>
      <c r="K1592" s="245">
        <v>-51.48</v>
      </c>
      <c r="L1592" s="245">
        <v>13.22</v>
      </c>
      <c r="M1592" s="245">
        <v>864.35</v>
      </c>
      <c r="N1592" s="257" t="s">
        <v>6830</v>
      </c>
    </row>
    <row r="1593" spans="1:14">
      <c r="A1593">
        <v>8131</v>
      </c>
      <c r="B1593" t="s">
        <v>5989</v>
      </c>
      <c r="C1593">
        <v>44.22</v>
      </c>
      <c r="D1593">
        <v>11</v>
      </c>
      <c r="E1593">
        <v>11</v>
      </c>
      <c r="F1593">
        <v>4</v>
      </c>
      <c r="G1593">
        <v>9</v>
      </c>
      <c r="H1593">
        <v>18.84</v>
      </c>
      <c r="I1593">
        <v>2.5</v>
      </c>
      <c r="J1593">
        <v>3.52</v>
      </c>
      <c r="K1593" s="245">
        <v>-6.1</v>
      </c>
      <c r="L1593" s="245">
        <v>41.61</v>
      </c>
      <c r="M1593" s="245">
        <v>229.15</v>
      </c>
      <c r="N1593" s="257" t="s">
        <v>6831</v>
      </c>
    </row>
    <row r="1594" spans="1:14">
      <c r="A1594">
        <v>8147</v>
      </c>
      <c r="B1594" t="s">
        <v>5990</v>
      </c>
      <c r="C1594">
        <v>3.23</v>
      </c>
      <c r="D1594">
        <v>205</v>
      </c>
      <c r="E1594">
        <v>285</v>
      </c>
      <c r="F1594">
        <v>19</v>
      </c>
      <c r="G1594">
        <v>33</v>
      </c>
      <c r="H1594">
        <v>6.99</v>
      </c>
      <c r="I1594">
        <v>1.1000000000000001</v>
      </c>
      <c r="J1594">
        <v>1.29</v>
      </c>
      <c r="K1594" s="245">
        <v>-14.17</v>
      </c>
      <c r="L1594" s="245">
        <v>37.65</v>
      </c>
      <c r="M1594" s="245">
        <v>55.35</v>
      </c>
      <c r="N1594" s="257" t="s">
        <v>6831</v>
      </c>
    </row>
    <row r="1595" spans="1:14">
      <c r="A1595">
        <v>8150</v>
      </c>
      <c r="B1595" t="s">
        <v>5991</v>
      </c>
      <c r="C1595">
        <v>72.72</v>
      </c>
      <c r="D1595">
        <v>113</v>
      </c>
      <c r="E1595">
        <v>55</v>
      </c>
      <c r="F1595">
        <v>0</v>
      </c>
      <c r="G1595">
        <v>2</v>
      </c>
      <c r="H1595">
        <v>20.3</v>
      </c>
      <c r="I1595">
        <v>4.3</v>
      </c>
      <c r="J1595">
        <v>6.96</v>
      </c>
      <c r="K1595" s="245">
        <v>-24.27</v>
      </c>
      <c r="L1595" s="245">
        <v>23.26</v>
      </c>
      <c r="M1595" s="245">
        <v>3588.15</v>
      </c>
      <c r="N1595" s="257" t="s">
        <v>6830</v>
      </c>
    </row>
    <row r="1596" spans="1:14">
      <c r="A1596">
        <v>8155</v>
      </c>
      <c r="B1596" t="s">
        <v>5992</v>
      </c>
      <c r="C1596">
        <v>4.97</v>
      </c>
      <c r="D1596">
        <v>-26</v>
      </c>
      <c r="E1596">
        <v>-29</v>
      </c>
      <c r="F1596">
        <v>1</v>
      </c>
      <c r="G1596">
        <v>37</v>
      </c>
      <c r="H1596">
        <v>15.7</v>
      </c>
      <c r="I1596">
        <v>6</v>
      </c>
      <c r="J1596">
        <v>7.85</v>
      </c>
      <c r="K1596" s="245">
        <v>-23.79</v>
      </c>
      <c r="L1596" s="245">
        <v>30.59</v>
      </c>
      <c r="M1596" s="245">
        <v>2053.1</v>
      </c>
      <c r="N1596" s="257" t="s">
        <v>6831</v>
      </c>
    </row>
    <row r="1597" spans="1:14">
      <c r="A1597">
        <v>8163</v>
      </c>
      <c r="B1597" t="s">
        <v>5993</v>
      </c>
      <c r="C1597">
        <v>28</v>
      </c>
      <c r="D1597">
        <v>36</v>
      </c>
      <c r="E1597">
        <v>31</v>
      </c>
      <c r="F1597">
        <v>-9</v>
      </c>
      <c r="G1597">
        <v>-1</v>
      </c>
      <c r="H1597">
        <v>5.31</v>
      </c>
      <c r="I1597">
        <v>3</v>
      </c>
      <c r="J1597">
        <v>4.09</v>
      </c>
      <c r="K1597" s="245">
        <v>-18.18</v>
      </c>
      <c r="L1597" s="245">
        <v>26.74</v>
      </c>
      <c r="M1597" s="245">
        <v>1798.95</v>
      </c>
      <c r="N1597" s="257" t="s">
        <v>6830</v>
      </c>
    </row>
    <row r="1598" spans="1:14">
      <c r="A1598">
        <v>8171</v>
      </c>
      <c r="B1598" t="s">
        <v>5994</v>
      </c>
      <c r="C1598">
        <v>5.87</v>
      </c>
      <c r="D1598">
        <v>2</v>
      </c>
      <c r="E1598">
        <v>0</v>
      </c>
      <c r="F1598">
        <v>-30</v>
      </c>
      <c r="G1598">
        <v>93</v>
      </c>
      <c r="H1598">
        <v>-6.81</v>
      </c>
      <c r="I1598">
        <v>0</v>
      </c>
      <c r="J1598">
        <v>-1.22</v>
      </c>
      <c r="K1598" s="245">
        <v>-35.44</v>
      </c>
      <c r="L1598" s="245">
        <v>30.31</v>
      </c>
      <c r="M1598" s="245">
        <v>1121.3499999999999</v>
      </c>
      <c r="N1598" s="257" t="s">
        <v>6830</v>
      </c>
    </row>
    <row r="1599" spans="1:14">
      <c r="A1599">
        <v>8176</v>
      </c>
      <c r="B1599" t="s">
        <v>6661</v>
      </c>
      <c r="C1599">
        <v>7.17</v>
      </c>
      <c r="D1599">
        <v>96</v>
      </c>
      <c r="E1599">
        <v>7</v>
      </c>
      <c r="F1599">
        <v>-3</v>
      </c>
      <c r="G1599">
        <v>-56</v>
      </c>
      <c r="H1599">
        <v>-50.26</v>
      </c>
      <c r="I1599">
        <v>0</v>
      </c>
      <c r="J1599">
        <v>-0.88</v>
      </c>
      <c r="K1599" s="245">
        <v>-30.15</v>
      </c>
      <c r="L1599" s="245">
        <v>36.19</v>
      </c>
      <c r="M1599" s="245">
        <v>1071.7</v>
      </c>
      <c r="N1599" s="257" t="s">
        <v>6830</v>
      </c>
    </row>
    <row r="1600" spans="1:14">
      <c r="A1600">
        <v>8182</v>
      </c>
      <c r="B1600" t="s">
        <v>5995</v>
      </c>
      <c r="C1600">
        <v>10.7</v>
      </c>
      <c r="D1600">
        <v>128</v>
      </c>
      <c r="E1600">
        <v>104</v>
      </c>
      <c r="F1600">
        <v>-2</v>
      </c>
      <c r="G1600">
        <v>-16</v>
      </c>
      <c r="H1600">
        <v>18.23</v>
      </c>
      <c r="I1600">
        <v>3</v>
      </c>
      <c r="J1600">
        <v>4.76</v>
      </c>
      <c r="K1600" s="245">
        <v>-34.11</v>
      </c>
      <c r="L1600" s="245">
        <v>19</v>
      </c>
      <c r="M1600" s="245">
        <v>121.4</v>
      </c>
      <c r="N1600" s="257" t="s">
        <v>6830</v>
      </c>
    </row>
    <row r="1601" spans="1:14">
      <c r="A1601">
        <v>8183</v>
      </c>
      <c r="B1601" t="s">
        <v>5996</v>
      </c>
      <c r="C1601">
        <v>12.12</v>
      </c>
      <c r="D1601">
        <v>140</v>
      </c>
      <c r="E1601">
        <v>151</v>
      </c>
      <c r="F1601">
        <v>-35</v>
      </c>
      <c r="G1601">
        <v>18</v>
      </c>
      <c r="H1601">
        <v>13.68</v>
      </c>
      <c r="I1601">
        <v>1.25</v>
      </c>
      <c r="J1601">
        <v>4.16</v>
      </c>
      <c r="K1601" s="245">
        <v>-26.36</v>
      </c>
      <c r="L1601" s="245">
        <v>31.41</v>
      </c>
      <c r="M1601" s="245">
        <v>8638.4</v>
      </c>
      <c r="N1601" s="257" t="s">
        <v>6831</v>
      </c>
    </row>
    <row r="1602" spans="1:14">
      <c r="A1602">
        <v>8201</v>
      </c>
      <c r="B1602" t="s">
        <v>5997</v>
      </c>
      <c r="C1602">
        <v>6.23</v>
      </c>
      <c r="D1602">
        <v>329</v>
      </c>
      <c r="E1602">
        <v>-87</v>
      </c>
      <c r="F1602">
        <v>10</v>
      </c>
      <c r="G1602">
        <v>12</v>
      </c>
      <c r="H1602">
        <v>-14.94</v>
      </c>
      <c r="I1602">
        <v>0</v>
      </c>
      <c r="J1602">
        <v>1.75</v>
      </c>
      <c r="K1602" s="245">
        <v>-40.409999999999997</v>
      </c>
      <c r="L1602" s="245">
        <v>9.3800000000000008</v>
      </c>
      <c r="M1602" s="245">
        <v>599.4</v>
      </c>
      <c r="N1602" s="257" t="s">
        <v>6830</v>
      </c>
    </row>
    <row r="1603" spans="1:14">
      <c r="A1603">
        <v>8210</v>
      </c>
      <c r="B1603" t="s">
        <v>5998</v>
      </c>
      <c r="C1603">
        <v>12.07</v>
      </c>
      <c r="D1603">
        <v>-30</v>
      </c>
      <c r="E1603">
        <v>-8</v>
      </c>
      <c r="F1603">
        <v>-36</v>
      </c>
      <c r="G1603">
        <v>-31</v>
      </c>
      <c r="H1603">
        <v>9.36</v>
      </c>
      <c r="I1603">
        <v>3</v>
      </c>
      <c r="J1603">
        <v>5.62</v>
      </c>
      <c r="K1603" s="245">
        <v>-30.3</v>
      </c>
      <c r="L1603" s="245">
        <v>14.22</v>
      </c>
      <c r="M1603" s="245">
        <v>202.85</v>
      </c>
      <c r="N1603" s="257" t="s">
        <v>6830</v>
      </c>
    </row>
    <row r="1604" spans="1:14">
      <c r="A1604">
        <v>8213</v>
      </c>
      <c r="B1604" t="s">
        <v>5999</v>
      </c>
      <c r="C1604">
        <v>27.12</v>
      </c>
      <c r="D1604">
        <v>21</v>
      </c>
      <c r="E1604">
        <v>32</v>
      </c>
      <c r="F1604">
        <v>0</v>
      </c>
      <c r="G1604">
        <v>18</v>
      </c>
      <c r="H1604">
        <v>7.96</v>
      </c>
      <c r="I1604">
        <v>5</v>
      </c>
      <c r="J1604">
        <v>8.6</v>
      </c>
      <c r="K1604" s="245">
        <v>-1.72</v>
      </c>
      <c r="L1604" s="245">
        <v>69.23</v>
      </c>
      <c r="M1604" s="245">
        <v>1313.95</v>
      </c>
      <c r="N1604" s="257" t="s">
        <v>6832</v>
      </c>
    </row>
    <row r="1605" spans="1:14">
      <c r="A1605">
        <v>8215</v>
      </c>
      <c r="B1605" t="s">
        <v>6000</v>
      </c>
      <c r="C1605">
        <v>32.06</v>
      </c>
      <c r="D1605">
        <v>144</v>
      </c>
      <c r="E1605">
        <v>78</v>
      </c>
      <c r="F1605">
        <v>1</v>
      </c>
      <c r="G1605">
        <v>3</v>
      </c>
      <c r="H1605">
        <v>5.93</v>
      </c>
      <c r="I1605">
        <v>1.5</v>
      </c>
      <c r="J1605">
        <v>3.03</v>
      </c>
      <c r="K1605" s="245">
        <v>-25.08</v>
      </c>
      <c r="L1605" s="245">
        <v>34.32</v>
      </c>
      <c r="M1605" s="245">
        <v>2838.55</v>
      </c>
      <c r="N1605" s="257" t="s">
        <v>6830</v>
      </c>
    </row>
    <row r="1606" spans="1:14">
      <c r="A1606">
        <v>8222</v>
      </c>
      <c r="B1606" t="s">
        <v>6001</v>
      </c>
      <c r="C1606">
        <v>6.85</v>
      </c>
      <c r="D1606">
        <v>-160</v>
      </c>
      <c r="E1606">
        <v>-88</v>
      </c>
      <c r="F1606">
        <v>26</v>
      </c>
      <c r="G1606">
        <v>20</v>
      </c>
      <c r="H1606">
        <v>-30.52</v>
      </c>
      <c r="I1606">
        <v>0</v>
      </c>
      <c r="J1606">
        <v>-1.5</v>
      </c>
      <c r="K1606" s="245">
        <v>-16.37</v>
      </c>
      <c r="L1606" s="245">
        <v>23.68</v>
      </c>
      <c r="M1606" s="245">
        <v>179.6</v>
      </c>
      <c r="N1606" s="257" t="s">
        <v>6830</v>
      </c>
    </row>
    <row r="1607" spans="1:14">
      <c r="A1607">
        <v>8234</v>
      </c>
      <c r="B1607" t="s">
        <v>6002</v>
      </c>
      <c r="C1607">
        <v>14.12</v>
      </c>
      <c r="D1607">
        <v>-3</v>
      </c>
      <c r="E1607">
        <v>-15</v>
      </c>
      <c r="F1607">
        <v>-10</v>
      </c>
      <c r="G1607">
        <v>49</v>
      </c>
      <c r="H1607">
        <v>2.6</v>
      </c>
      <c r="I1607">
        <v>1</v>
      </c>
      <c r="J1607">
        <v>1</v>
      </c>
      <c r="K1607" s="245">
        <v>-18.13</v>
      </c>
      <c r="L1607" s="245">
        <v>60.49</v>
      </c>
      <c r="M1607" s="245">
        <v>64.5</v>
      </c>
      <c r="N1607" s="257" t="s">
        <v>6830</v>
      </c>
    </row>
    <row r="1608" spans="1:14">
      <c r="A1608">
        <v>8240</v>
      </c>
      <c r="B1608" t="s">
        <v>6003</v>
      </c>
      <c r="C1608">
        <v>10</v>
      </c>
      <c r="D1608">
        <v>88</v>
      </c>
      <c r="E1608">
        <v>38</v>
      </c>
      <c r="F1608">
        <v>-13</v>
      </c>
      <c r="G1608">
        <v>-4</v>
      </c>
      <c r="H1608">
        <v>3.37</v>
      </c>
      <c r="I1608">
        <v>2.5</v>
      </c>
      <c r="J1608">
        <v>4.3899999999999997</v>
      </c>
      <c r="K1608" s="245">
        <v>-17.46</v>
      </c>
      <c r="L1608" s="245">
        <v>26.9</v>
      </c>
      <c r="M1608" s="245">
        <v>48.55</v>
      </c>
      <c r="N1608" s="257" t="s">
        <v>6831</v>
      </c>
    </row>
    <row r="1609" spans="1:14">
      <c r="A1609">
        <v>8249</v>
      </c>
      <c r="B1609" t="s">
        <v>6004</v>
      </c>
      <c r="C1609">
        <v>14.9</v>
      </c>
      <c r="D1609">
        <v>-7</v>
      </c>
      <c r="E1609">
        <v>23</v>
      </c>
      <c r="F1609">
        <v>37</v>
      </c>
      <c r="G1609">
        <v>12</v>
      </c>
      <c r="H1609">
        <v>5.05</v>
      </c>
      <c r="I1609">
        <v>1.3</v>
      </c>
      <c r="J1609">
        <v>1.5</v>
      </c>
      <c r="K1609" s="245">
        <v>-35.68</v>
      </c>
      <c r="L1609" s="245">
        <v>34.36</v>
      </c>
      <c r="M1609" s="245">
        <v>59.7</v>
      </c>
      <c r="N1609" s="257" t="s">
        <v>6830</v>
      </c>
    </row>
    <row r="1610" spans="1:14">
      <c r="A1610">
        <v>8255</v>
      </c>
      <c r="B1610" t="s">
        <v>6005</v>
      </c>
      <c r="C1610">
        <v>9.14</v>
      </c>
      <c r="D1610">
        <v>164</v>
      </c>
      <c r="E1610">
        <v>92</v>
      </c>
      <c r="F1610">
        <v>-22</v>
      </c>
      <c r="G1610">
        <v>-7</v>
      </c>
      <c r="H1610">
        <v>11.14</v>
      </c>
      <c r="I1610">
        <v>4</v>
      </c>
      <c r="J1610">
        <v>5.25</v>
      </c>
      <c r="K1610" s="245">
        <v>-46.13</v>
      </c>
      <c r="L1610" s="245">
        <v>13.3</v>
      </c>
      <c r="M1610" s="245">
        <v>1848.2</v>
      </c>
      <c r="N1610" s="257" t="s">
        <v>6830</v>
      </c>
    </row>
    <row r="1611" spans="1:14">
      <c r="A1611">
        <v>8261</v>
      </c>
      <c r="B1611" t="s">
        <v>6006</v>
      </c>
      <c r="C1611">
        <v>8.1300000000000008</v>
      </c>
      <c r="D1611">
        <v>231</v>
      </c>
      <c r="E1611">
        <v>245</v>
      </c>
      <c r="F1611">
        <v>-18</v>
      </c>
      <c r="G1611">
        <v>5</v>
      </c>
      <c r="H1611">
        <v>19.72</v>
      </c>
      <c r="I1611">
        <v>6</v>
      </c>
      <c r="J1611">
        <v>8.0299999999999994</v>
      </c>
      <c r="K1611" s="245">
        <v>-20.8</v>
      </c>
      <c r="L1611" s="245">
        <v>53.43</v>
      </c>
      <c r="M1611" s="245">
        <v>3308.9</v>
      </c>
      <c r="N1611" s="257" t="s">
        <v>6831</v>
      </c>
    </row>
    <row r="1612" spans="1:14">
      <c r="A1612">
        <v>8271</v>
      </c>
      <c r="B1612" t="s">
        <v>6007</v>
      </c>
      <c r="C1612">
        <v>10.18</v>
      </c>
      <c r="D1612">
        <v>67</v>
      </c>
      <c r="E1612">
        <v>65</v>
      </c>
      <c r="F1612">
        <v>-4</v>
      </c>
      <c r="G1612">
        <v>-7</v>
      </c>
      <c r="H1612">
        <v>6.6</v>
      </c>
      <c r="I1612">
        <v>2.89</v>
      </c>
      <c r="J1612">
        <v>4.8099999999999996</v>
      </c>
      <c r="K1612" s="245">
        <v>-23.12</v>
      </c>
      <c r="L1612" s="245">
        <v>20.010000000000002</v>
      </c>
      <c r="M1612" s="245">
        <v>416.1</v>
      </c>
      <c r="N1612" s="257" t="s">
        <v>6830</v>
      </c>
    </row>
    <row r="1613" spans="1:14">
      <c r="A1613">
        <v>8277</v>
      </c>
      <c r="B1613" t="s">
        <v>6662</v>
      </c>
      <c r="C1613">
        <v>9.16</v>
      </c>
      <c r="D1613">
        <v>-17</v>
      </c>
      <c r="E1613">
        <v>-3</v>
      </c>
      <c r="F1613">
        <v>-16</v>
      </c>
      <c r="G1613">
        <v>-40</v>
      </c>
      <c r="H1613">
        <v>-21.02</v>
      </c>
      <c r="I1613">
        <v>0</v>
      </c>
      <c r="J1613">
        <v>-0.78</v>
      </c>
      <c r="K1613" s="245">
        <v>-47.4</v>
      </c>
      <c r="L1613" s="245">
        <v>14.66</v>
      </c>
      <c r="M1613" s="245">
        <v>157.35</v>
      </c>
      <c r="N1613" s="257" t="s">
        <v>6830</v>
      </c>
    </row>
    <row r="1614" spans="1:14">
      <c r="A1614">
        <v>8279</v>
      </c>
      <c r="B1614" t="s">
        <v>6663</v>
      </c>
      <c r="C1614">
        <v>2.71</v>
      </c>
      <c r="D1614">
        <v>10</v>
      </c>
      <c r="E1614">
        <v>8</v>
      </c>
      <c r="F1614">
        <v>-2</v>
      </c>
      <c r="G1614">
        <v>6</v>
      </c>
      <c r="H1614">
        <v>19.13</v>
      </c>
      <c r="I1614">
        <v>4</v>
      </c>
      <c r="J1614">
        <v>8.77</v>
      </c>
      <c r="K1614" s="245">
        <v>-6.62</v>
      </c>
      <c r="L1614" s="245">
        <v>58.18</v>
      </c>
      <c r="M1614" s="245">
        <v>56.75</v>
      </c>
      <c r="N1614" s="257" t="s">
        <v>6832</v>
      </c>
    </row>
    <row r="1615" spans="1:14">
      <c r="A1615">
        <v>8284</v>
      </c>
      <c r="B1615" t="s">
        <v>6008</v>
      </c>
      <c r="C1615">
        <v>4.63</v>
      </c>
      <c r="D1615">
        <v>54</v>
      </c>
      <c r="E1615">
        <v>41</v>
      </c>
      <c r="F1615">
        <v>-8</v>
      </c>
      <c r="G1615">
        <v>13</v>
      </c>
      <c r="H1615">
        <v>10.43</v>
      </c>
      <c r="I1615">
        <v>3</v>
      </c>
      <c r="J1615">
        <v>4.0599999999999996</v>
      </c>
      <c r="K1615" s="245">
        <v>-13.45</v>
      </c>
      <c r="L1615" s="245">
        <v>47.54</v>
      </c>
      <c r="M1615" s="245">
        <v>101.1</v>
      </c>
      <c r="N1615" s="257" t="s">
        <v>6831</v>
      </c>
    </row>
    <row r="1616" spans="1:14">
      <c r="A1616">
        <v>8289</v>
      </c>
      <c r="B1616" t="s">
        <v>6009</v>
      </c>
      <c r="C1616">
        <v>6.83</v>
      </c>
      <c r="D1616">
        <v>4732</v>
      </c>
      <c r="E1616">
        <v>4429</v>
      </c>
      <c r="F1616">
        <v>-6</v>
      </c>
      <c r="G1616">
        <v>14</v>
      </c>
      <c r="H1616">
        <v>13.34</v>
      </c>
      <c r="I1616">
        <v>2.1</v>
      </c>
      <c r="J1616">
        <v>3.12</v>
      </c>
      <c r="K1616" s="245">
        <v>-22.29</v>
      </c>
      <c r="L1616" s="245">
        <v>58.5</v>
      </c>
      <c r="M1616" s="245">
        <v>684.1</v>
      </c>
      <c r="N1616" s="257" t="s">
        <v>6831</v>
      </c>
    </row>
    <row r="1617" spans="1:14">
      <c r="A1617">
        <v>8291</v>
      </c>
      <c r="B1617" t="s">
        <v>6664</v>
      </c>
      <c r="C1617">
        <v>4.7300000000000004</v>
      </c>
      <c r="D1617">
        <v>43</v>
      </c>
      <c r="E1617">
        <v>42</v>
      </c>
      <c r="F1617">
        <v>-21</v>
      </c>
      <c r="G1617">
        <v>-48</v>
      </c>
      <c r="H1617">
        <v>-16.95</v>
      </c>
      <c r="I1617">
        <v>0</v>
      </c>
      <c r="J1617">
        <v>-0.66</v>
      </c>
      <c r="K1617" s="245">
        <v>-17.3</v>
      </c>
      <c r="L1617" s="245">
        <v>47.98</v>
      </c>
      <c r="M1617" s="245">
        <v>3.3</v>
      </c>
      <c r="N1617" s="257" t="s">
        <v>6831</v>
      </c>
    </row>
    <row r="1618" spans="1:14">
      <c r="A1618">
        <v>8299</v>
      </c>
      <c r="B1618" t="s">
        <v>6010</v>
      </c>
      <c r="C1618">
        <v>19.7</v>
      </c>
      <c r="D1618">
        <v>-6</v>
      </c>
      <c r="E1618">
        <v>133</v>
      </c>
      <c r="F1618">
        <v>-7</v>
      </c>
      <c r="G1618">
        <v>15</v>
      </c>
      <c r="H1618">
        <v>14.52</v>
      </c>
      <c r="I1618">
        <v>23</v>
      </c>
      <c r="J1618">
        <v>41.34</v>
      </c>
      <c r="K1618" s="245">
        <v>-31.1</v>
      </c>
      <c r="L1618" s="245">
        <v>10.93</v>
      </c>
      <c r="M1618" s="245">
        <v>2001.6</v>
      </c>
      <c r="N1618" s="257" t="s">
        <v>6830</v>
      </c>
    </row>
    <row r="1619" spans="1:14">
      <c r="A1619">
        <v>8341</v>
      </c>
      <c r="B1619" t="s">
        <v>6011</v>
      </c>
      <c r="C1619">
        <v>11.15</v>
      </c>
      <c r="D1619">
        <v>-5</v>
      </c>
      <c r="E1619">
        <v>-3</v>
      </c>
      <c r="F1619">
        <v>-7</v>
      </c>
      <c r="G1619">
        <v>18</v>
      </c>
      <c r="H1619">
        <v>35.94</v>
      </c>
      <c r="I1619">
        <v>8</v>
      </c>
      <c r="J1619">
        <v>8.4700000000000006</v>
      </c>
      <c r="K1619" s="245">
        <v>-13.06</v>
      </c>
      <c r="L1619" s="245">
        <v>45.6</v>
      </c>
      <c r="M1619" s="245">
        <v>346.5</v>
      </c>
      <c r="N1619" s="257" t="s">
        <v>6831</v>
      </c>
    </row>
    <row r="1620" spans="1:14">
      <c r="A1620">
        <v>8342</v>
      </c>
      <c r="B1620" t="s">
        <v>6229</v>
      </c>
      <c r="C1620">
        <v>3.35</v>
      </c>
      <c r="D1620">
        <v>-33</v>
      </c>
      <c r="E1620">
        <v>9</v>
      </c>
      <c r="F1620">
        <v>-15</v>
      </c>
      <c r="G1620">
        <v>56</v>
      </c>
      <c r="H1620">
        <v>9.5299999999999994</v>
      </c>
      <c r="I1620">
        <v>3.4</v>
      </c>
      <c r="J1620">
        <v>3.73</v>
      </c>
      <c r="K1620" s="245">
        <v>-3.99</v>
      </c>
      <c r="L1620" s="245">
        <v>48.18</v>
      </c>
      <c r="M1620" s="245">
        <v>13.85</v>
      </c>
      <c r="N1620" s="257" t="s">
        <v>6831</v>
      </c>
    </row>
    <row r="1621" spans="1:14">
      <c r="A1621">
        <v>8349</v>
      </c>
      <c r="B1621" t="s">
        <v>6012</v>
      </c>
      <c r="C1621">
        <v>11.92</v>
      </c>
      <c r="D1621">
        <v>27</v>
      </c>
      <c r="E1621">
        <v>30</v>
      </c>
      <c r="F1621">
        <v>-23</v>
      </c>
      <c r="G1621">
        <v>-10</v>
      </c>
      <c r="H1621">
        <v>4.3899999999999997</v>
      </c>
      <c r="I1621">
        <v>2.2000000000000002</v>
      </c>
      <c r="J1621">
        <v>3.03</v>
      </c>
      <c r="K1621" s="245">
        <v>-22.97</v>
      </c>
      <c r="L1621" s="245">
        <v>32.700000000000003</v>
      </c>
      <c r="M1621" s="245">
        <v>15.95</v>
      </c>
      <c r="N1621" s="257" t="s">
        <v>6830</v>
      </c>
    </row>
    <row r="1622" spans="1:14">
      <c r="A1622">
        <v>8354</v>
      </c>
      <c r="B1622" t="s">
        <v>6325</v>
      </c>
      <c r="C1622">
        <v>7.85</v>
      </c>
      <c r="D1622">
        <v>531</v>
      </c>
      <c r="E1622">
        <v>-92</v>
      </c>
      <c r="F1622">
        <v>-7</v>
      </c>
      <c r="G1622">
        <v>-4</v>
      </c>
      <c r="H1622">
        <v>0.75</v>
      </c>
      <c r="I1622">
        <v>0.8</v>
      </c>
      <c r="J1622">
        <v>3.06</v>
      </c>
      <c r="K1622" s="245">
        <v>-8.7799999999999994</v>
      </c>
      <c r="L1622" s="245">
        <v>57.49</v>
      </c>
      <c r="M1622" s="245">
        <v>41.2</v>
      </c>
      <c r="N1622" s="257" t="s">
        <v>6831</v>
      </c>
    </row>
    <row r="1623" spans="1:14">
      <c r="A1623">
        <v>8358</v>
      </c>
      <c r="B1623" t="s">
        <v>6013</v>
      </c>
      <c r="C1623">
        <v>25.25</v>
      </c>
      <c r="D1623">
        <v>181</v>
      </c>
      <c r="E1623">
        <v>158</v>
      </c>
      <c r="F1623">
        <v>0</v>
      </c>
      <c r="G1623">
        <v>-8</v>
      </c>
      <c r="H1623">
        <v>21.4</v>
      </c>
      <c r="I1623">
        <v>4.2</v>
      </c>
      <c r="J1623">
        <v>6.03</v>
      </c>
      <c r="K1623" s="245">
        <v>-41.23</v>
      </c>
      <c r="L1623" s="245">
        <v>10.31</v>
      </c>
      <c r="M1623" s="245">
        <v>2271.1</v>
      </c>
      <c r="N1623" s="257" t="s">
        <v>6830</v>
      </c>
    </row>
    <row r="1624" spans="1:14">
      <c r="A1624">
        <v>8367</v>
      </c>
      <c r="B1624" t="s">
        <v>6014</v>
      </c>
      <c r="C1624">
        <v>8.77</v>
      </c>
      <c r="D1624">
        <v>178</v>
      </c>
      <c r="E1624">
        <v>73</v>
      </c>
      <c r="F1624">
        <v>4</v>
      </c>
      <c r="G1624">
        <v>19</v>
      </c>
      <c r="H1624">
        <v>21.52</v>
      </c>
      <c r="I1624">
        <v>2.8</v>
      </c>
      <c r="J1624">
        <v>7.1</v>
      </c>
      <c r="K1624" s="245">
        <v>-50.28</v>
      </c>
      <c r="L1624" s="245">
        <v>12.75</v>
      </c>
      <c r="M1624" s="245">
        <v>179.6</v>
      </c>
      <c r="N1624" s="257" t="s">
        <v>6830</v>
      </c>
    </row>
    <row r="1625" spans="1:14">
      <c r="A1625">
        <v>8374</v>
      </c>
      <c r="B1625" t="s">
        <v>6015</v>
      </c>
      <c r="C1625">
        <v>11.22</v>
      </c>
      <c r="D1625">
        <v>69</v>
      </c>
      <c r="E1625">
        <v>51</v>
      </c>
      <c r="F1625">
        <v>-9</v>
      </c>
      <c r="G1625">
        <v>15</v>
      </c>
      <c r="H1625">
        <v>5.34</v>
      </c>
      <c r="I1625">
        <v>0.9</v>
      </c>
      <c r="J1625">
        <v>1.32</v>
      </c>
      <c r="K1625" s="245">
        <v>-32.71</v>
      </c>
      <c r="L1625" s="245">
        <v>20.34</v>
      </c>
      <c r="M1625" s="245">
        <v>26.55</v>
      </c>
      <c r="N1625" s="257" t="s">
        <v>6830</v>
      </c>
    </row>
    <row r="1626" spans="1:14">
      <c r="A1626">
        <v>8383</v>
      </c>
      <c r="B1626" t="s">
        <v>6016</v>
      </c>
      <c r="C1626">
        <v>11.81</v>
      </c>
      <c r="D1626">
        <v>-138</v>
      </c>
      <c r="E1626">
        <v>-120</v>
      </c>
      <c r="F1626">
        <v>-16</v>
      </c>
      <c r="G1626">
        <v>11</v>
      </c>
      <c r="H1626">
        <v>-2.1</v>
      </c>
      <c r="I1626">
        <v>2.5</v>
      </c>
      <c r="J1626">
        <v>-1.33</v>
      </c>
      <c r="K1626" s="245">
        <v>-9.98</v>
      </c>
      <c r="L1626" s="245">
        <v>40.380000000000003</v>
      </c>
      <c r="M1626" s="245">
        <v>720.05</v>
      </c>
      <c r="N1626" s="257" t="s">
        <v>6830</v>
      </c>
    </row>
    <row r="1627" spans="1:14">
      <c r="A1627">
        <v>8390</v>
      </c>
      <c r="B1627" t="s">
        <v>6017</v>
      </c>
      <c r="C1627">
        <v>11.99</v>
      </c>
      <c r="D1627">
        <v>57</v>
      </c>
      <c r="E1627">
        <v>79</v>
      </c>
      <c r="F1627">
        <v>-5</v>
      </c>
      <c r="G1627">
        <v>10</v>
      </c>
      <c r="H1627">
        <v>16.21</v>
      </c>
      <c r="I1627">
        <v>1.8</v>
      </c>
      <c r="J1627">
        <v>3.47</v>
      </c>
      <c r="K1627" s="245">
        <v>-30.92</v>
      </c>
      <c r="L1627" s="245">
        <v>14.68</v>
      </c>
      <c r="M1627" s="245">
        <v>1022.05</v>
      </c>
      <c r="N1627" s="257" t="s">
        <v>6830</v>
      </c>
    </row>
    <row r="1628" spans="1:14">
      <c r="A1628">
        <v>8401</v>
      </c>
      <c r="B1628" t="s">
        <v>6018</v>
      </c>
      <c r="C1628">
        <v>6</v>
      </c>
      <c r="D1628">
        <v>155</v>
      </c>
      <c r="E1628">
        <v>71</v>
      </c>
      <c r="F1628">
        <v>-8</v>
      </c>
      <c r="G1628">
        <v>-2</v>
      </c>
      <c r="H1628">
        <v>7.86</v>
      </c>
      <c r="I1628">
        <v>1.73</v>
      </c>
      <c r="J1628">
        <v>1.96</v>
      </c>
      <c r="K1628" s="245">
        <v>-28.05</v>
      </c>
      <c r="L1628" s="245">
        <v>8.82</v>
      </c>
      <c r="M1628" s="245">
        <v>276.85000000000002</v>
      </c>
      <c r="N1628" s="257" t="s">
        <v>6830</v>
      </c>
    </row>
    <row r="1629" spans="1:14">
      <c r="A1629">
        <v>8403</v>
      </c>
      <c r="B1629" t="s">
        <v>6019</v>
      </c>
      <c r="C1629">
        <v>11.43</v>
      </c>
      <c r="D1629">
        <v>-46</v>
      </c>
      <c r="E1629">
        <v>-49</v>
      </c>
      <c r="F1629">
        <v>-11</v>
      </c>
      <c r="G1629">
        <v>22</v>
      </c>
      <c r="H1629">
        <v>6.71</v>
      </c>
      <c r="I1629">
        <v>0</v>
      </c>
      <c r="J1629">
        <v>2.04</v>
      </c>
      <c r="K1629" s="245">
        <v>-10.1</v>
      </c>
      <c r="L1629" s="245">
        <v>45.78</v>
      </c>
      <c r="M1629" s="245">
        <v>2529.15</v>
      </c>
      <c r="N1629" s="257" t="s">
        <v>6831</v>
      </c>
    </row>
    <row r="1630" spans="1:14">
      <c r="A1630">
        <v>8404</v>
      </c>
      <c r="B1630" t="s">
        <v>6020</v>
      </c>
      <c r="C1630">
        <v>31.51</v>
      </c>
      <c r="D1630">
        <v>128</v>
      </c>
      <c r="E1630">
        <v>95</v>
      </c>
      <c r="F1630">
        <v>31</v>
      </c>
      <c r="G1630">
        <v>-50</v>
      </c>
      <c r="H1630">
        <v>20.54</v>
      </c>
      <c r="I1630">
        <v>2.5</v>
      </c>
      <c r="J1630">
        <v>3.96</v>
      </c>
      <c r="K1630" s="245">
        <v>-31.11</v>
      </c>
      <c r="L1630" s="245">
        <v>43.84</v>
      </c>
      <c r="M1630" s="245">
        <v>212.9</v>
      </c>
      <c r="N1630" s="257" t="s">
        <v>6830</v>
      </c>
    </row>
    <row r="1631" spans="1:14">
      <c r="A1631">
        <v>8409</v>
      </c>
      <c r="B1631" t="s">
        <v>6665</v>
      </c>
      <c r="C1631">
        <v>3.2</v>
      </c>
      <c r="D1631">
        <v>29</v>
      </c>
      <c r="E1631">
        <v>6</v>
      </c>
      <c r="F1631">
        <v>-93</v>
      </c>
      <c r="G1631">
        <v>22</v>
      </c>
      <c r="H1631">
        <v>-18.16</v>
      </c>
      <c r="I1631">
        <v>0</v>
      </c>
      <c r="J1631">
        <v>-0.73</v>
      </c>
      <c r="K1631" s="245">
        <v>-33.89</v>
      </c>
      <c r="L1631" s="245">
        <v>50.99</v>
      </c>
      <c r="M1631" s="245">
        <v>1318.6</v>
      </c>
      <c r="N1631" s="257" t="s">
        <v>6831</v>
      </c>
    </row>
    <row r="1632" spans="1:14">
      <c r="A1632">
        <v>8410</v>
      </c>
      <c r="B1632" t="s">
        <v>6190</v>
      </c>
      <c r="C1632">
        <v>3.65</v>
      </c>
      <c r="D1632">
        <v>-74</v>
      </c>
      <c r="E1632">
        <v>-75</v>
      </c>
      <c r="F1632">
        <v>-24</v>
      </c>
      <c r="G1632">
        <v>-19</v>
      </c>
      <c r="H1632">
        <v>5.46</v>
      </c>
      <c r="I1632">
        <v>0.6</v>
      </c>
      <c r="J1632">
        <v>1.1399999999999999</v>
      </c>
      <c r="K1632" s="245">
        <v>-34.35</v>
      </c>
      <c r="L1632" s="245">
        <v>11.27</v>
      </c>
      <c r="M1632" s="245">
        <v>14.15</v>
      </c>
      <c r="N1632" s="257" t="s">
        <v>6830</v>
      </c>
    </row>
    <row r="1633" spans="1:14">
      <c r="A1633">
        <v>8411</v>
      </c>
      <c r="B1633" t="s">
        <v>6021</v>
      </c>
      <c r="C1633">
        <v>17.53</v>
      </c>
      <c r="D1633">
        <v>480</v>
      </c>
      <c r="E1633">
        <v>46</v>
      </c>
      <c r="F1633">
        <v>-16</v>
      </c>
      <c r="G1633">
        <v>20</v>
      </c>
      <c r="H1633">
        <v>2.56</v>
      </c>
      <c r="I1633">
        <v>0.4</v>
      </c>
      <c r="J1633">
        <v>2.2200000000000002</v>
      </c>
      <c r="K1633" s="245">
        <v>-20.65</v>
      </c>
      <c r="L1633" s="245">
        <v>26.93</v>
      </c>
      <c r="M1633" s="245">
        <v>69.349999999999994</v>
      </c>
      <c r="N1633" s="257" t="s">
        <v>6830</v>
      </c>
    </row>
    <row r="1634" spans="1:14">
      <c r="A1634">
        <v>8415</v>
      </c>
      <c r="B1634" t="s">
        <v>6022</v>
      </c>
      <c r="C1634">
        <v>103</v>
      </c>
      <c r="D1634">
        <v>281</v>
      </c>
      <c r="E1634">
        <v>197</v>
      </c>
      <c r="F1634">
        <v>-8</v>
      </c>
      <c r="G1634">
        <v>35</v>
      </c>
      <c r="H1634">
        <v>21.23</v>
      </c>
      <c r="I1634">
        <v>1.8</v>
      </c>
      <c r="J1634">
        <v>3.5</v>
      </c>
      <c r="K1634" s="245">
        <v>-21.94</v>
      </c>
      <c r="L1634" s="245">
        <v>16.149999999999999</v>
      </c>
      <c r="M1634" s="245">
        <v>3117.05</v>
      </c>
      <c r="N1634" s="257" t="s">
        <v>6830</v>
      </c>
    </row>
    <row r="1635" spans="1:14">
      <c r="A1635">
        <v>8416</v>
      </c>
      <c r="B1635" t="s">
        <v>6666</v>
      </c>
      <c r="C1635">
        <v>2.82</v>
      </c>
      <c r="D1635">
        <v>14</v>
      </c>
      <c r="E1635">
        <v>12</v>
      </c>
      <c r="F1635">
        <v>-26</v>
      </c>
      <c r="G1635">
        <v>0</v>
      </c>
      <c r="H1635">
        <v>27.91</v>
      </c>
      <c r="I1635">
        <v>8</v>
      </c>
      <c r="J1635">
        <v>11.35</v>
      </c>
      <c r="K1635" s="245">
        <v>-1.52</v>
      </c>
      <c r="L1635" s="245">
        <v>78.319999999999993</v>
      </c>
      <c r="M1635" s="245">
        <v>15.85</v>
      </c>
      <c r="N1635" s="257" t="s">
        <v>6832</v>
      </c>
    </row>
    <row r="1636" spans="1:14">
      <c r="A1636">
        <v>8418</v>
      </c>
      <c r="B1636" t="s">
        <v>6162</v>
      </c>
      <c r="C1636">
        <v>7.83</v>
      </c>
      <c r="D1636">
        <v>-13</v>
      </c>
      <c r="E1636">
        <v>30</v>
      </c>
      <c r="F1636">
        <v>20</v>
      </c>
      <c r="G1636">
        <v>26</v>
      </c>
      <c r="H1636">
        <v>-5.65</v>
      </c>
      <c r="I1636">
        <v>0</v>
      </c>
      <c r="J1636">
        <v>-1.97</v>
      </c>
      <c r="K1636" s="245">
        <v>-22.4</v>
      </c>
      <c r="L1636" s="245">
        <v>8.92</v>
      </c>
      <c r="M1636" s="245">
        <v>31.85</v>
      </c>
      <c r="N1636" s="257" t="s">
        <v>6830</v>
      </c>
    </row>
    <row r="1637" spans="1:14">
      <c r="A1637">
        <v>8420</v>
      </c>
      <c r="B1637" t="s">
        <v>6023</v>
      </c>
      <c r="C1637">
        <v>5.09</v>
      </c>
      <c r="D1637">
        <v>213</v>
      </c>
      <c r="E1637">
        <v>264</v>
      </c>
      <c r="F1637">
        <v>7</v>
      </c>
      <c r="G1637">
        <v>45</v>
      </c>
      <c r="H1637">
        <v>11.16</v>
      </c>
      <c r="I1637">
        <v>2.5</v>
      </c>
      <c r="J1637">
        <v>4.6399999999999997</v>
      </c>
      <c r="K1637" s="245">
        <v>-3.55</v>
      </c>
      <c r="L1637" s="245">
        <v>80.349999999999994</v>
      </c>
      <c r="M1637" s="245">
        <v>381.65</v>
      </c>
      <c r="N1637" s="257" t="s">
        <v>6832</v>
      </c>
    </row>
    <row r="1638" spans="1:14">
      <c r="A1638">
        <v>8421</v>
      </c>
      <c r="B1638" t="s">
        <v>6667</v>
      </c>
      <c r="C1638">
        <v>5.48</v>
      </c>
      <c r="D1638">
        <v>-4</v>
      </c>
      <c r="E1638">
        <v>-101</v>
      </c>
      <c r="F1638">
        <v>-14</v>
      </c>
      <c r="G1638">
        <v>0</v>
      </c>
      <c r="H1638">
        <v>-1.86</v>
      </c>
      <c r="I1638">
        <v>0</v>
      </c>
      <c r="J1638">
        <v>-2.0699999999999998</v>
      </c>
      <c r="K1638" s="245">
        <v>-22.22</v>
      </c>
      <c r="L1638" s="245">
        <v>32.21</v>
      </c>
      <c r="M1638" s="245">
        <v>379.4</v>
      </c>
      <c r="N1638" s="257" t="s">
        <v>6831</v>
      </c>
    </row>
    <row r="1639" spans="1:14">
      <c r="A1639">
        <v>8422</v>
      </c>
      <c r="B1639" t="s">
        <v>6024</v>
      </c>
      <c r="C1639">
        <v>10.88</v>
      </c>
      <c r="D1639">
        <v>-1</v>
      </c>
      <c r="E1639">
        <v>0</v>
      </c>
      <c r="F1639">
        <v>10</v>
      </c>
      <c r="G1639">
        <v>82</v>
      </c>
      <c r="H1639">
        <v>47.84</v>
      </c>
      <c r="I1639">
        <v>10</v>
      </c>
      <c r="J1639">
        <v>10.59</v>
      </c>
      <c r="K1639" s="245">
        <v>-21.47</v>
      </c>
      <c r="L1639" s="245">
        <v>32.44</v>
      </c>
      <c r="M1639" s="245">
        <v>231.25</v>
      </c>
      <c r="N1639" s="257" t="s">
        <v>6831</v>
      </c>
    </row>
    <row r="1640" spans="1:14">
      <c r="A1640">
        <v>8423</v>
      </c>
      <c r="B1640" t="s">
        <v>6668</v>
      </c>
      <c r="C1640">
        <v>2.41</v>
      </c>
      <c r="D1640">
        <v>-14</v>
      </c>
      <c r="E1640">
        <v>-26</v>
      </c>
      <c r="F1640">
        <v>-18</v>
      </c>
      <c r="G1640">
        <v>-19</v>
      </c>
      <c r="H1640">
        <v>8.61</v>
      </c>
      <c r="I1640">
        <v>0.6</v>
      </c>
      <c r="J1640">
        <v>0.75</v>
      </c>
      <c r="K1640" s="245">
        <v>-10.45</v>
      </c>
      <c r="L1640" s="245">
        <v>24.58</v>
      </c>
      <c r="M1640" s="245">
        <v>4.05</v>
      </c>
      <c r="N1640" s="257" t="s">
        <v>6830</v>
      </c>
    </row>
    <row r="1641" spans="1:14">
      <c r="A1641">
        <v>8424</v>
      </c>
      <c r="B1641" t="s">
        <v>6209</v>
      </c>
      <c r="C1641">
        <v>3.6</v>
      </c>
      <c r="D1641">
        <v>13</v>
      </c>
      <c r="E1641">
        <v>12</v>
      </c>
      <c r="F1641">
        <v>-11</v>
      </c>
      <c r="G1641">
        <v>19</v>
      </c>
      <c r="H1641">
        <v>22.17</v>
      </c>
      <c r="I1641">
        <v>4.5</v>
      </c>
      <c r="J1641">
        <v>4.6100000000000003</v>
      </c>
      <c r="K1641" s="245">
        <v>-10.96</v>
      </c>
      <c r="L1641" s="245">
        <v>41.3</v>
      </c>
      <c r="M1641" s="245">
        <v>51.65</v>
      </c>
      <c r="N1641" s="257" t="s">
        <v>6831</v>
      </c>
    </row>
    <row r="1642" spans="1:14">
      <c r="A1642">
        <v>8426</v>
      </c>
      <c r="B1642" t="s">
        <v>6311</v>
      </c>
      <c r="C1642">
        <v>5.0199999999999996</v>
      </c>
      <c r="D1642">
        <v>104</v>
      </c>
      <c r="E1642">
        <v>85</v>
      </c>
      <c r="F1642">
        <v>-30</v>
      </c>
      <c r="G1642">
        <v>-35</v>
      </c>
      <c r="H1642">
        <v>-2.25</v>
      </c>
      <c r="I1642">
        <v>0</v>
      </c>
      <c r="J1642">
        <v>0.12</v>
      </c>
      <c r="K1642" s="245">
        <v>-22.11</v>
      </c>
      <c r="L1642" s="245">
        <v>28.2</v>
      </c>
      <c r="M1642" s="245">
        <v>8.3000000000000007</v>
      </c>
      <c r="N1642" s="257" t="s">
        <v>6830</v>
      </c>
    </row>
    <row r="1643" spans="1:14">
      <c r="A1643">
        <v>8429</v>
      </c>
      <c r="B1643" t="s">
        <v>6025</v>
      </c>
      <c r="C1643">
        <v>18.57</v>
      </c>
      <c r="D1643">
        <v>104</v>
      </c>
      <c r="E1643">
        <v>97</v>
      </c>
      <c r="F1643">
        <v>-47</v>
      </c>
      <c r="G1643">
        <v>-82</v>
      </c>
      <c r="H1643">
        <v>-3.54</v>
      </c>
      <c r="I1643">
        <v>0</v>
      </c>
      <c r="J1643">
        <v>0.12</v>
      </c>
      <c r="K1643" s="245">
        <v>-53.81</v>
      </c>
      <c r="L1643" s="245">
        <v>15.25</v>
      </c>
      <c r="M1643" s="245">
        <v>189.55</v>
      </c>
      <c r="N1643" s="257" t="s">
        <v>6830</v>
      </c>
    </row>
    <row r="1644" spans="1:14">
      <c r="A1644">
        <v>8431</v>
      </c>
      <c r="B1644" t="s">
        <v>6026</v>
      </c>
      <c r="C1644">
        <v>4.4400000000000004</v>
      </c>
      <c r="D1644">
        <v>80</v>
      </c>
      <c r="E1644">
        <v>86</v>
      </c>
      <c r="F1644">
        <v>18</v>
      </c>
      <c r="G1644">
        <v>19</v>
      </c>
      <c r="H1644">
        <v>21.79</v>
      </c>
      <c r="I1644">
        <v>1.8</v>
      </c>
      <c r="J1644">
        <v>4.24</v>
      </c>
      <c r="K1644" s="245">
        <v>-33.770000000000003</v>
      </c>
      <c r="L1644" s="245">
        <v>14.52</v>
      </c>
      <c r="M1644" s="245">
        <v>199.65</v>
      </c>
      <c r="N1644" s="257" t="s">
        <v>6830</v>
      </c>
    </row>
    <row r="1645" spans="1:14">
      <c r="A1645">
        <v>8432</v>
      </c>
      <c r="B1645" t="s">
        <v>6310</v>
      </c>
      <c r="C1645">
        <v>3.83</v>
      </c>
      <c r="D1645">
        <v>-23</v>
      </c>
      <c r="E1645">
        <v>-25</v>
      </c>
      <c r="F1645">
        <v>-12</v>
      </c>
      <c r="G1645">
        <v>5</v>
      </c>
      <c r="H1645">
        <v>13.45</v>
      </c>
      <c r="I1645">
        <v>1.5</v>
      </c>
      <c r="J1645">
        <v>1.23</v>
      </c>
      <c r="K1645" s="245">
        <v>-14.43</v>
      </c>
      <c r="L1645" s="245">
        <v>20.98</v>
      </c>
      <c r="M1645" s="245">
        <v>62.8</v>
      </c>
      <c r="N1645" s="257" t="s">
        <v>6830</v>
      </c>
    </row>
    <row r="1646" spans="1:14">
      <c r="A1646">
        <v>8433</v>
      </c>
      <c r="B1646" t="s">
        <v>6027</v>
      </c>
      <c r="C1646">
        <v>5.2</v>
      </c>
      <c r="D1646">
        <v>19</v>
      </c>
      <c r="E1646">
        <v>12</v>
      </c>
      <c r="F1646">
        <v>19</v>
      </c>
      <c r="G1646">
        <v>38</v>
      </c>
      <c r="H1646">
        <v>10.31</v>
      </c>
      <c r="I1646">
        <v>2.5</v>
      </c>
      <c r="J1646">
        <v>4</v>
      </c>
      <c r="K1646" s="245">
        <v>-2.54</v>
      </c>
      <c r="L1646" s="245">
        <v>63.05</v>
      </c>
      <c r="M1646" s="245">
        <v>76.900000000000006</v>
      </c>
      <c r="N1646" s="257" t="s">
        <v>6832</v>
      </c>
    </row>
    <row r="1647" spans="1:14">
      <c r="A1647">
        <v>8435</v>
      </c>
      <c r="B1647" t="s">
        <v>6028</v>
      </c>
      <c r="C1647">
        <v>3.17</v>
      </c>
      <c r="D1647">
        <v>13</v>
      </c>
      <c r="E1647">
        <v>8</v>
      </c>
      <c r="F1647">
        <v>-13</v>
      </c>
      <c r="G1647">
        <v>-4</v>
      </c>
      <c r="H1647">
        <v>21.51</v>
      </c>
      <c r="I1647">
        <v>3.8</v>
      </c>
      <c r="J1647">
        <v>4.03</v>
      </c>
      <c r="K1647" s="245">
        <v>-9.76</v>
      </c>
      <c r="L1647" s="245">
        <v>22.7</v>
      </c>
      <c r="M1647" s="245">
        <v>27.65</v>
      </c>
      <c r="N1647" s="257" t="s">
        <v>6831</v>
      </c>
    </row>
    <row r="1648" spans="1:14">
      <c r="A1648">
        <v>8436</v>
      </c>
      <c r="B1648" t="s">
        <v>6029</v>
      </c>
      <c r="C1648">
        <v>11.82</v>
      </c>
      <c r="D1648">
        <v>-12</v>
      </c>
      <c r="E1648">
        <v>-14</v>
      </c>
      <c r="F1648">
        <v>3</v>
      </c>
      <c r="G1648">
        <v>-28</v>
      </c>
      <c r="H1648">
        <v>20.16</v>
      </c>
      <c r="I1648">
        <v>8.8800000000000008</v>
      </c>
      <c r="J1648">
        <v>13.17</v>
      </c>
      <c r="K1648" s="245">
        <v>-58.86</v>
      </c>
      <c r="L1648" s="245">
        <v>7.91</v>
      </c>
      <c r="M1648" s="245">
        <v>660.85</v>
      </c>
      <c r="N1648" s="257" t="s">
        <v>6830</v>
      </c>
    </row>
    <row r="1649" spans="1:14">
      <c r="A1649">
        <v>8437</v>
      </c>
      <c r="B1649" t="s">
        <v>6030</v>
      </c>
      <c r="C1649">
        <v>4.78</v>
      </c>
      <c r="D1649">
        <v>96</v>
      </c>
      <c r="E1649">
        <v>192</v>
      </c>
      <c r="F1649">
        <v>-46</v>
      </c>
      <c r="G1649">
        <v>8</v>
      </c>
      <c r="H1649">
        <v>48.53</v>
      </c>
      <c r="I1649">
        <v>4</v>
      </c>
      <c r="J1649">
        <v>5.36</v>
      </c>
      <c r="K1649" s="245">
        <v>-45.58</v>
      </c>
      <c r="L1649" s="245">
        <v>8.2100000000000009</v>
      </c>
      <c r="M1649" s="245">
        <v>23.4</v>
      </c>
      <c r="N1649" s="257" t="s">
        <v>6830</v>
      </c>
    </row>
    <row r="1650" spans="1:14">
      <c r="A1650">
        <v>8440</v>
      </c>
      <c r="B1650" t="s">
        <v>6031</v>
      </c>
      <c r="C1650">
        <v>3.8</v>
      </c>
      <c r="D1650">
        <v>127</v>
      </c>
      <c r="E1650">
        <v>243</v>
      </c>
      <c r="F1650">
        <v>-10</v>
      </c>
      <c r="G1650">
        <v>12</v>
      </c>
      <c r="H1650">
        <v>6.26</v>
      </c>
      <c r="I1650">
        <v>0.6</v>
      </c>
      <c r="J1650">
        <v>1.37</v>
      </c>
      <c r="K1650" s="245">
        <v>-37.75</v>
      </c>
      <c r="L1650" s="245">
        <v>41.44</v>
      </c>
      <c r="M1650" s="245">
        <v>11796.45</v>
      </c>
      <c r="N1650" s="257" t="s">
        <v>6831</v>
      </c>
    </row>
    <row r="1651" spans="1:14">
      <c r="A1651">
        <v>8442</v>
      </c>
      <c r="B1651" t="s">
        <v>6032</v>
      </c>
      <c r="C1651">
        <v>5.99</v>
      </c>
      <c r="D1651">
        <v>149</v>
      </c>
      <c r="E1651">
        <v>167</v>
      </c>
      <c r="F1651">
        <v>24</v>
      </c>
      <c r="G1651">
        <v>64</v>
      </c>
      <c r="H1651">
        <v>1.41</v>
      </c>
      <c r="I1651">
        <v>1</v>
      </c>
      <c r="J1651">
        <v>1.26</v>
      </c>
      <c r="K1651" s="245">
        <v>-3.53</v>
      </c>
      <c r="L1651" s="245">
        <v>73.33</v>
      </c>
      <c r="M1651" s="245">
        <v>84.1</v>
      </c>
      <c r="N1651" s="257" t="s">
        <v>6832</v>
      </c>
    </row>
    <row r="1652" spans="1:14">
      <c r="A1652">
        <v>8443</v>
      </c>
      <c r="B1652" t="s">
        <v>6033</v>
      </c>
      <c r="C1652">
        <v>6.68</v>
      </c>
      <c r="D1652">
        <v>-38</v>
      </c>
      <c r="E1652">
        <v>-7</v>
      </c>
      <c r="F1652">
        <v>-10</v>
      </c>
      <c r="G1652">
        <v>-1</v>
      </c>
      <c r="H1652">
        <v>-23.2</v>
      </c>
      <c r="I1652">
        <v>0</v>
      </c>
      <c r="J1652">
        <v>-3.9</v>
      </c>
      <c r="K1652" s="245">
        <v>-21.22</v>
      </c>
      <c r="L1652" s="245">
        <v>22.69</v>
      </c>
      <c r="M1652" s="245">
        <v>31.75</v>
      </c>
      <c r="N1652" s="257" t="s">
        <v>6830</v>
      </c>
    </row>
    <row r="1653" spans="1:14">
      <c r="A1653">
        <v>8444</v>
      </c>
      <c r="B1653" t="s">
        <v>6034</v>
      </c>
      <c r="C1653">
        <v>8.9700000000000006</v>
      </c>
      <c r="D1653">
        <v>1231</v>
      </c>
      <c r="E1653">
        <v>591</v>
      </c>
      <c r="F1653">
        <v>-11</v>
      </c>
      <c r="G1653">
        <v>-9</v>
      </c>
      <c r="H1653">
        <v>7.19</v>
      </c>
      <c r="I1653">
        <v>0</v>
      </c>
      <c r="J1653">
        <v>4.62</v>
      </c>
      <c r="K1653" s="245">
        <v>-55.36</v>
      </c>
      <c r="L1653" s="245">
        <v>11.95</v>
      </c>
      <c r="M1653" s="245">
        <v>47.3</v>
      </c>
      <c r="N1653" s="257" t="s">
        <v>6830</v>
      </c>
    </row>
    <row r="1654" spans="1:14">
      <c r="A1654">
        <v>8446</v>
      </c>
      <c r="B1654" t="s">
        <v>6035</v>
      </c>
      <c r="C1654">
        <v>5.29</v>
      </c>
      <c r="D1654">
        <v>-31</v>
      </c>
      <c r="E1654">
        <v>-37</v>
      </c>
      <c r="F1654">
        <v>-29</v>
      </c>
      <c r="G1654">
        <v>2</v>
      </c>
      <c r="H1654">
        <v>45.92</v>
      </c>
      <c r="I1654">
        <v>4.5</v>
      </c>
      <c r="J1654">
        <v>6.56</v>
      </c>
      <c r="K1654" s="245">
        <v>-26.29</v>
      </c>
      <c r="L1654" s="245">
        <v>9.57</v>
      </c>
      <c r="M1654" s="245">
        <v>71.599999999999994</v>
      </c>
      <c r="N1654" s="257" t="s">
        <v>6830</v>
      </c>
    </row>
    <row r="1655" spans="1:14">
      <c r="A1655">
        <v>8450</v>
      </c>
      <c r="B1655" t="s">
        <v>6036</v>
      </c>
      <c r="C1655">
        <v>5.13</v>
      </c>
      <c r="D1655">
        <v>-61</v>
      </c>
      <c r="E1655">
        <v>-64</v>
      </c>
      <c r="F1655">
        <v>9</v>
      </c>
      <c r="G1655">
        <v>-15</v>
      </c>
      <c r="H1655">
        <v>-55.05</v>
      </c>
      <c r="I1655">
        <v>0</v>
      </c>
      <c r="J1655">
        <v>-4.5999999999999996</v>
      </c>
      <c r="K1655" s="245">
        <v>-63.03</v>
      </c>
      <c r="L1655" s="245">
        <v>8.52</v>
      </c>
      <c r="M1655" s="245">
        <v>334.1</v>
      </c>
      <c r="N1655" s="257" t="s">
        <v>6830</v>
      </c>
    </row>
    <row r="1656" spans="1:14">
      <c r="A1656">
        <v>8454</v>
      </c>
      <c r="B1656" t="s">
        <v>6037</v>
      </c>
      <c r="C1656">
        <v>18.2</v>
      </c>
      <c r="D1656">
        <v>68</v>
      </c>
      <c r="E1656">
        <v>82</v>
      </c>
      <c r="F1656">
        <v>1</v>
      </c>
      <c r="G1656">
        <v>31</v>
      </c>
      <c r="H1656">
        <v>4.57</v>
      </c>
      <c r="I1656">
        <v>15</v>
      </c>
      <c r="J1656">
        <v>18.02</v>
      </c>
      <c r="K1656" s="245">
        <v>-65.3</v>
      </c>
      <c r="L1656" s="245">
        <v>14.51</v>
      </c>
      <c r="M1656" s="245">
        <v>684.4</v>
      </c>
      <c r="N1656" s="257" t="s">
        <v>6830</v>
      </c>
    </row>
    <row r="1657" spans="1:14">
      <c r="A1657">
        <v>8455</v>
      </c>
      <c r="B1657" t="s">
        <v>6669</v>
      </c>
      <c r="C1657">
        <v>2.52</v>
      </c>
      <c r="D1657">
        <v>152</v>
      </c>
      <c r="E1657">
        <v>107</v>
      </c>
      <c r="F1657">
        <v>-31</v>
      </c>
      <c r="G1657">
        <v>14</v>
      </c>
      <c r="H1657">
        <v>0.18</v>
      </c>
      <c r="I1657">
        <v>0</v>
      </c>
      <c r="J1657">
        <v>1</v>
      </c>
      <c r="K1657" s="245">
        <v>-16.2</v>
      </c>
      <c r="L1657" s="245">
        <v>62.14</v>
      </c>
      <c r="M1657" s="245">
        <v>11</v>
      </c>
      <c r="N1657" s="257" t="s">
        <v>6832</v>
      </c>
    </row>
    <row r="1658" spans="1:14">
      <c r="A1658">
        <v>8462</v>
      </c>
      <c r="B1658" t="s">
        <v>6038</v>
      </c>
      <c r="C1658">
        <v>7.74</v>
      </c>
      <c r="D1658">
        <v>-135</v>
      </c>
      <c r="E1658">
        <v>-135</v>
      </c>
      <c r="F1658">
        <v>-11</v>
      </c>
      <c r="G1658">
        <v>-9</v>
      </c>
      <c r="H1658">
        <v>-7.41</v>
      </c>
      <c r="I1658">
        <v>1.29</v>
      </c>
      <c r="J1658">
        <v>-1.91</v>
      </c>
      <c r="K1658" s="245">
        <v>-32.26</v>
      </c>
      <c r="L1658" s="245">
        <v>20.72</v>
      </c>
      <c r="M1658" s="245">
        <v>50.35</v>
      </c>
      <c r="N1658" s="257" t="s">
        <v>6830</v>
      </c>
    </row>
    <row r="1659" spans="1:14">
      <c r="A1659">
        <v>8463</v>
      </c>
      <c r="B1659" t="s">
        <v>6039</v>
      </c>
      <c r="C1659">
        <v>15</v>
      </c>
      <c r="D1659">
        <v>-172</v>
      </c>
      <c r="E1659">
        <v>-76</v>
      </c>
      <c r="F1659">
        <v>7</v>
      </c>
      <c r="G1659">
        <v>-12</v>
      </c>
      <c r="H1659">
        <v>1.07</v>
      </c>
      <c r="I1659">
        <v>0</v>
      </c>
      <c r="J1659">
        <v>-0.69</v>
      </c>
      <c r="K1659" s="245">
        <v>-47.56</v>
      </c>
      <c r="L1659" s="245">
        <v>23.99</v>
      </c>
      <c r="M1659" s="245">
        <v>1288.8</v>
      </c>
      <c r="N1659" s="257" t="s">
        <v>6830</v>
      </c>
    </row>
    <row r="1660" spans="1:14">
      <c r="A1660">
        <v>8464</v>
      </c>
      <c r="B1660" t="s">
        <v>6040</v>
      </c>
      <c r="C1660">
        <v>29.3</v>
      </c>
      <c r="D1660">
        <v>11</v>
      </c>
      <c r="E1660">
        <v>11</v>
      </c>
      <c r="F1660">
        <v>15</v>
      </c>
      <c r="G1660">
        <v>16</v>
      </c>
      <c r="H1660">
        <v>26.71</v>
      </c>
      <c r="I1660">
        <v>11</v>
      </c>
      <c r="J1660">
        <v>18.149999999999999</v>
      </c>
      <c r="K1660" s="245">
        <v>-36.74</v>
      </c>
      <c r="L1660" s="245">
        <v>27.04</v>
      </c>
      <c r="M1660" s="245">
        <v>420.75</v>
      </c>
      <c r="N1660" s="257" t="s">
        <v>6830</v>
      </c>
    </row>
    <row r="1661" spans="1:14">
      <c r="A1661">
        <v>8466</v>
      </c>
      <c r="B1661" t="s">
        <v>6041</v>
      </c>
      <c r="C1661">
        <v>6.6</v>
      </c>
      <c r="D1661">
        <v>-77</v>
      </c>
      <c r="E1661">
        <v>-78</v>
      </c>
      <c r="F1661">
        <v>0</v>
      </c>
      <c r="G1661">
        <v>29</v>
      </c>
      <c r="H1661">
        <v>2.4</v>
      </c>
      <c r="I1661">
        <v>0.7</v>
      </c>
      <c r="J1661">
        <v>1.04</v>
      </c>
      <c r="K1661" s="245">
        <v>-36.840000000000003</v>
      </c>
      <c r="L1661" s="245">
        <v>14.5</v>
      </c>
      <c r="M1661" s="245">
        <v>73</v>
      </c>
      <c r="N1661" s="257" t="s">
        <v>6830</v>
      </c>
    </row>
    <row r="1662" spans="1:14">
      <c r="A1662">
        <v>8467</v>
      </c>
      <c r="B1662" t="s">
        <v>6042</v>
      </c>
      <c r="C1662">
        <v>4.95</v>
      </c>
      <c r="D1662">
        <v>311</v>
      </c>
      <c r="E1662">
        <v>397</v>
      </c>
      <c r="F1662">
        <v>128</v>
      </c>
      <c r="G1662">
        <v>135</v>
      </c>
      <c r="H1662">
        <v>9.59</v>
      </c>
      <c r="I1662">
        <v>0</v>
      </c>
      <c r="J1662">
        <v>1.98</v>
      </c>
      <c r="K1662" s="245">
        <v>-12.94</v>
      </c>
      <c r="L1662" s="245">
        <v>49.89</v>
      </c>
      <c r="M1662" s="245">
        <v>6.45</v>
      </c>
      <c r="N1662" s="257" t="s">
        <v>6831</v>
      </c>
    </row>
    <row r="1663" spans="1:14">
      <c r="A1663">
        <v>8472</v>
      </c>
      <c r="B1663" t="s">
        <v>6670</v>
      </c>
      <c r="C1663">
        <v>1.77</v>
      </c>
      <c r="D1663">
        <v>-77</v>
      </c>
      <c r="E1663">
        <v>-125</v>
      </c>
      <c r="F1663">
        <v>-28</v>
      </c>
      <c r="G1663">
        <v>-42</v>
      </c>
      <c r="H1663">
        <v>-4.47</v>
      </c>
      <c r="I1663">
        <v>1.5</v>
      </c>
      <c r="J1663">
        <v>0.61</v>
      </c>
      <c r="K1663" s="245">
        <v>-27.8</v>
      </c>
      <c r="L1663" s="245">
        <v>52</v>
      </c>
      <c r="M1663" s="245">
        <v>1.6</v>
      </c>
      <c r="N1663" s="257" t="s">
        <v>6830</v>
      </c>
    </row>
    <row r="1664" spans="1:14">
      <c r="A1664">
        <v>8473</v>
      </c>
      <c r="B1664" t="s">
        <v>6043</v>
      </c>
      <c r="C1664">
        <v>14.42</v>
      </c>
      <c r="D1664">
        <v>27</v>
      </c>
      <c r="E1664">
        <v>22</v>
      </c>
      <c r="F1664">
        <v>27</v>
      </c>
      <c r="G1664">
        <v>13</v>
      </c>
      <c r="H1664">
        <v>17.329999999999998</v>
      </c>
      <c r="I1664">
        <v>0.85</v>
      </c>
      <c r="J1664">
        <v>1.36</v>
      </c>
      <c r="K1664" s="245">
        <v>-25.09</v>
      </c>
      <c r="L1664" s="245">
        <v>12.73</v>
      </c>
      <c r="M1664" s="245">
        <v>73.25</v>
      </c>
      <c r="N1664" s="257" t="s">
        <v>6830</v>
      </c>
    </row>
    <row r="1665" spans="1:14">
      <c r="A1665">
        <v>8476</v>
      </c>
      <c r="B1665" t="s">
        <v>6241</v>
      </c>
      <c r="C1665">
        <v>7.05</v>
      </c>
      <c r="D1665">
        <v>53</v>
      </c>
      <c r="E1665">
        <v>162</v>
      </c>
      <c r="F1665">
        <v>1</v>
      </c>
      <c r="G1665">
        <v>272</v>
      </c>
      <c r="H1665">
        <v>2.8</v>
      </c>
      <c r="I1665">
        <v>0</v>
      </c>
      <c r="J1665">
        <v>-0.49</v>
      </c>
      <c r="K1665" s="245">
        <v>-18.43</v>
      </c>
      <c r="L1665" s="245">
        <v>22.74</v>
      </c>
      <c r="M1665" s="245">
        <v>146.30000000000001</v>
      </c>
      <c r="N1665" s="257" t="s">
        <v>6831</v>
      </c>
    </row>
    <row r="1666" spans="1:14">
      <c r="A1666">
        <v>8477</v>
      </c>
      <c r="B1666" t="s">
        <v>6044</v>
      </c>
      <c r="C1666">
        <v>3.15</v>
      </c>
      <c r="D1666">
        <v>-249</v>
      </c>
      <c r="E1666">
        <v>-676</v>
      </c>
      <c r="F1666">
        <v>-9</v>
      </c>
      <c r="G1666">
        <v>-23</v>
      </c>
      <c r="H1666">
        <v>-1.64</v>
      </c>
      <c r="I1666">
        <v>0</v>
      </c>
      <c r="J1666">
        <v>-1.06</v>
      </c>
      <c r="K1666" s="245">
        <v>-45.76</v>
      </c>
      <c r="L1666" s="245">
        <v>21.78</v>
      </c>
      <c r="M1666" s="245">
        <v>18.05</v>
      </c>
      <c r="N1666" s="257" t="s">
        <v>6830</v>
      </c>
    </row>
    <row r="1667" spans="1:14">
      <c r="A1667">
        <v>8478</v>
      </c>
      <c r="B1667" t="s">
        <v>6045</v>
      </c>
      <c r="C1667">
        <v>8.8800000000000008</v>
      </c>
      <c r="D1667">
        <v>804</v>
      </c>
      <c r="E1667">
        <v>317</v>
      </c>
      <c r="F1667">
        <v>-30</v>
      </c>
      <c r="G1667">
        <v>31</v>
      </c>
      <c r="H1667">
        <v>20.85</v>
      </c>
      <c r="I1667">
        <v>5</v>
      </c>
      <c r="J1667">
        <v>9.5500000000000007</v>
      </c>
      <c r="K1667" s="245">
        <v>-10.32</v>
      </c>
      <c r="L1667" s="245">
        <v>61.06</v>
      </c>
      <c r="M1667" s="245">
        <v>3932.15</v>
      </c>
      <c r="N1667" s="257" t="s">
        <v>6832</v>
      </c>
    </row>
    <row r="1668" spans="1:14">
      <c r="A1668">
        <v>8480</v>
      </c>
      <c r="B1668" t="s">
        <v>6046</v>
      </c>
      <c r="C1668">
        <v>3.92</v>
      </c>
      <c r="D1668">
        <v>-28</v>
      </c>
      <c r="E1668">
        <v>-34</v>
      </c>
      <c r="F1668">
        <v>0</v>
      </c>
      <c r="G1668">
        <v>-12</v>
      </c>
      <c r="H1668">
        <v>13.72</v>
      </c>
      <c r="I1668">
        <v>3.2</v>
      </c>
      <c r="J1668">
        <v>7.08</v>
      </c>
      <c r="K1668" s="245">
        <v>-42.18</v>
      </c>
      <c r="L1668" s="245">
        <v>9.85</v>
      </c>
      <c r="M1668" s="245">
        <v>8.9</v>
      </c>
      <c r="N1668" s="257" t="s">
        <v>6830</v>
      </c>
    </row>
    <row r="1669" spans="1:14">
      <c r="A1669">
        <v>8481</v>
      </c>
      <c r="B1669" t="s">
        <v>6047</v>
      </c>
      <c r="C1669">
        <v>6.66</v>
      </c>
      <c r="D1669">
        <v>-51</v>
      </c>
      <c r="E1669">
        <v>54</v>
      </c>
      <c r="F1669">
        <v>-11</v>
      </c>
      <c r="G1669">
        <v>2</v>
      </c>
      <c r="H1669">
        <v>28.05</v>
      </c>
      <c r="I1669">
        <v>6.5</v>
      </c>
      <c r="J1669">
        <v>6.1</v>
      </c>
      <c r="K1669" s="245">
        <v>-26.02</v>
      </c>
      <c r="L1669" s="245">
        <v>54.38</v>
      </c>
      <c r="M1669" s="245">
        <v>22.6</v>
      </c>
      <c r="N1669" s="257" t="s">
        <v>6830</v>
      </c>
    </row>
    <row r="1670" spans="1:14">
      <c r="A1670">
        <v>8482</v>
      </c>
      <c r="B1670" t="s">
        <v>6048</v>
      </c>
      <c r="C1670">
        <v>11.04</v>
      </c>
      <c r="D1670">
        <v>31</v>
      </c>
      <c r="E1670">
        <v>24</v>
      </c>
      <c r="F1670">
        <v>7</v>
      </c>
      <c r="G1670">
        <v>10</v>
      </c>
      <c r="H1670">
        <v>16.829999999999998</v>
      </c>
      <c r="I1670">
        <v>5.87</v>
      </c>
      <c r="J1670">
        <v>7.97</v>
      </c>
      <c r="K1670" s="245">
        <v>-13.78</v>
      </c>
      <c r="L1670" s="245">
        <v>23.08</v>
      </c>
      <c r="M1670" s="245">
        <v>23.2</v>
      </c>
      <c r="N1670" s="257" t="s">
        <v>6830</v>
      </c>
    </row>
    <row r="1671" spans="1:14">
      <c r="A1671">
        <v>8488</v>
      </c>
      <c r="B1671" t="s">
        <v>6049</v>
      </c>
      <c r="C1671">
        <v>6.75</v>
      </c>
      <c r="D1671">
        <v>0</v>
      </c>
      <c r="E1671">
        <v>-53</v>
      </c>
      <c r="F1671">
        <v>-35</v>
      </c>
      <c r="G1671">
        <v>-15</v>
      </c>
      <c r="H1671">
        <v>1.79</v>
      </c>
      <c r="I1671">
        <v>0.3</v>
      </c>
      <c r="J1671">
        <v>0.75</v>
      </c>
      <c r="K1671" s="245">
        <v>-17.63</v>
      </c>
      <c r="L1671" s="245">
        <v>17.22</v>
      </c>
      <c r="M1671" s="245">
        <v>6.5</v>
      </c>
      <c r="N1671" s="257" t="s">
        <v>6830</v>
      </c>
    </row>
    <row r="1672" spans="1:14">
      <c r="A1672">
        <v>8489</v>
      </c>
      <c r="B1672" t="s">
        <v>6050</v>
      </c>
      <c r="C1672">
        <v>3.77</v>
      </c>
      <c r="D1672">
        <v>-60</v>
      </c>
      <c r="E1672">
        <v>-63</v>
      </c>
      <c r="F1672">
        <v>-3</v>
      </c>
      <c r="G1672">
        <v>-6</v>
      </c>
      <c r="H1672">
        <v>4.45</v>
      </c>
      <c r="I1672">
        <v>0.2</v>
      </c>
      <c r="J1672">
        <v>-0.8</v>
      </c>
      <c r="K1672" s="245">
        <v>-29.98</v>
      </c>
      <c r="L1672" s="245">
        <v>17.59</v>
      </c>
      <c r="M1672" s="245">
        <v>657.2</v>
      </c>
      <c r="N1672" s="257" t="s">
        <v>6830</v>
      </c>
    </row>
    <row r="1673" spans="1:14">
      <c r="A1673">
        <v>8499</v>
      </c>
      <c r="B1673" t="s">
        <v>6051</v>
      </c>
      <c r="C1673">
        <v>5.18</v>
      </c>
      <c r="D1673">
        <v>25</v>
      </c>
      <c r="E1673">
        <v>17</v>
      </c>
      <c r="F1673">
        <v>-53</v>
      </c>
      <c r="G1673">
        <v>-58</v>
      </c>
      <c r="H1673">
        <v>38.28</v>
      </c>
      <c r="I1673">
        <v>8</v>
      </c>
      <c r="J1673">
        <v>14.14</v>
      </c>
      <c r="K1673" s="245">
        <v>-24.32</v>
      </c>
      <c r="L1673" s="245">
        <v>17.75</v>
      </c>
      <c r="M1673" s="245">
        <v>47.65</v>
      </c>
      <c r="N1673" s="257" t="s">
        <v>6830</v>
      </c>
    </row>
    <row r="1674" spans="1:14">
      <c r="A1674">
        <v>8905</v>
      </c>
      <c r="B1674" t="s">
        <v>6052</v>
      </c>
      <c r="C1674">
        <v>11.94</v>
      </c>
      <c r="D1674">
        <v>304</v>
      </c>
      <c r="E1674">
        <v>332</v>
      </c>
      <c r="F1674">
        <v>5</v>
      </c>
      <c r="G1674">
        <v>-10</v>
      </c>
      <c r="H1674">
        <v>12.89</v>
      </c>
      <c r="I1674">
        <v>1.9</v>
      </c>
      <c r="J1674">
        <v>2.5299999999999998</v>
      </c>
      <c r="K1674" s="245">
        <v>-34.119999999999997</v>
      </c>
      <c r="L1674" s="245">
        <v>30.54</v>
      </c>
      <c r="M1674" s="245">
        <v>3331.55</v>
      </c>
      <c r="N1674" s="257" t="s">
        <v>6831</v>
      </c>
    </row>
    <row r="1675" spans="1:14">
      <c r="A1675">
        <v>8906</v>
      </c>
      <c r="B1675" t="s">
        <v>6297</v>
      </c>
      <c r="C1675">
        <v>3.4</v>
      </c>
      <c r="D1675">
        <v>29</v>
      </c>
      <c r="E1675">
        <v>141</v>
      </c>
      <c r="F1675">
        <v>-14</v>
      </c>
      <c r="G1675">
        <v>2</v>
      </c>
      <c r="H1675">
        <v>0.94</v>
      </c>
      <c r="I1675">
        <v>0.1</v>
      </c>
      <c r="J1675">
        <v>0.1</v>
      </c>
      <c r="K1675" s="245">
        <v>-10.48</v>
      </c>
      <c r="L1675" s="245">
        <v>32.78</v>
      </c>
      <c r="M1675" s="245">
        <v>10.199999999999999</v>
      </c>
      <c r="N1675" s="257" t="s">
        <v>6832</v>
      </c>
    </row>
    <row r="1676" spans="1:14">
      <c r="A1676">
        <v>8908</v>
      </c>
      <c r="B1676" t="s">
        <v>6053</v>
      </c>
      <c r="C1676">
        <v>22.4</v>
      </c>
      <c r="D1676">
        <v>25</v>
      </c>
      <c r="E1676">
        <v>30</v>
      </c>
      <c r="F1676">
        <v>-5</v>
      </c>
      <c r="G1676">
        <v>18</v>
      </c>
      <c r="H1676">
        <v>9.3800000000000008</v>
      </c>
      <c r="I1676">
        <v>1.9</v>
      </c>
      <c r="J1676">
        <v>2.16</v>
      </c>
      <c r="K1676" s="245">
        <v>-13.04</v>
      </c>
      <c r="L1676" s="245">
        <v>46.86</v>
      </c>
      <c r="M1676" s="245">
        <v>53.4</v>
      </c>
      <c r="N1676" s="257" t="s">
        <v>6832</v>
      </c>
    </row>
    <row r="1677" spans="1:14">
      <c r="A1677">
        <v>8916</v>
      </c>
      <c r="B1677" t="s">
        <v>6054</v>
      </c>
      <c r="C1677">
        <v>13.15</v>
      </c>
      <c r="D1677">
        <v>55</v>
      </c>
      <c r="E1677">
        <v>-50</v>
      </c>
      <c r="F1677">
        <v>-5</v>
      </c>
      <c r="G1677">
        <v>19</v>
      </c>
      <c r="H1677">
        <v>2.33</v>
      </c>
      <c r="I1677">
        <v>3</v>
      </c>
      <c r="J1677">
        <v>3.58</v>
      </c>
      <c r="K1677" s="245">
        <v>-2.92</v>
      </c>
      <c r="L1677" s="245">
        <v>55.98</v>
      </c>
      <c r="M1677" s="245">
        <v>152.75</v>
      </c>
      <c r="N1677" s="257" t="s">
        <v>6832</v>
      </c>
    </row>
    <row r="1678" spans="1:14">
      <c r="A1678">
        <v>8917</v>
      </c>
      <c r="B1678" t="s">
        <v>6355</v>
      </c>
      <c r="C1678">
        <v>14.78</v>
      </c>
      <c r="D1678">
        <v>0</v>
      </c>
      <c r="E1678">
        <v>-3</v>
      </c>
      <c r="F1678">
        <v>-1</v>
      </c>
      <c r="G1678">
        <v>13</v>
      </c>
      <c r="H1678">
        <v>16.95</v>
      </c>
      <c r="I1678">
        <v>2.1</v>
      </c>
      <c r="J1678">
        <v>2.21</v>
      </c>
      <c r="K1678" s="245">
        <v>-7.91</v>
      </c>
      <c r="L1678" s="245">
        <v>37.76</v>
      </c>
      <c r="M1678" s="245">
        <v>3.15</v>
      </c>
      <c r="N1678" s="257" t="s">
        <v>6831</v>
      </c>
    </row>
    <row r="1679" spans="1:14">
      <c r="A1679">
        <v>8921</v>
      </c>
      <c r="B1679" t="s">
        <v>6671</v>
      </c>
      <c r="C1679">
        <v>4.6500000000000004</v>
      </c>
      <c r="D1679">
        <v>-24</v>
      </c>
      <c r="E1679">
        <v>-99</v>
      </c>
      <c r="F1679">
        <v>-1</v>
      </c>
      <c r="G1679">
        <v>22</v>
      </c>
      <c r="H1679">
        <v>0.01</v>
      </c>
      <c r="I1679">
        <v>0.45</v>
      </c>
      <c r="J1679">
        <v>0.31</v>
      </c>
      <c r="K1679" s="245">
        <v>-7.42</v>
      </c>
      <c r="L1679" s="245">
        <v>68.06</v>
      </c>
      <c r="M1679" s="245">
        <v>7.95</v>
      </c>
      <c r="N1679" s="257" t="s">
        <v>6831</v>
      </c>
    </row>
    <row r="1680" spans="1:14">
      <c r="A1680">
        <v>8923</v>
      </c>
      <c r="B1680" t="s">
        <v>6317</v>
      </c>
      <c r="C1680">
        <v>3.03</v>
      </c>
      <c r="D1680">
        <v>5</v>
      </c>
      <c r="E1680">
        <v>22</v>
      </c>
      <c r="F1680">
        <v>-18</v>
      </c>
      <c r="G1680">
        <v>-5</v>
      </c>
      <c r="H1680">
        <v>7.48</v>
      </c>
      <c r="I1680">
        <v>0.9</v>
      </c>
      <c r="J1680">
        <v>1</v>
      </c>
      <c r="K1680" s="245">
        <v>-7.51</v>
      </c>
      <c r="L1680" s="245">
        <v>61.89</v>
      </c>
      <c r="M1680" s="245">
        <v>10.8</v>
      </c>
      <c r="N1680" s="257" t="s">
        <v>6832</v>
      </c>
    </row>
    <row r="1681" spans="1:14">
      <c r="A1681">
        <v>8924</v>
      </c>
      <c r="B1681" t="s">
        <v>6055</v>
      </c>
      <c r="C1681">
        <v>8.3800000000000008</v>
      </c>
      <c r="D1681">
        <v>252</v>
      </c>
      <c r="E1681">
        <v>192</v>
      </c>
      <c r="F1681">
        <v>4</v>
      </c>
      <c r="G1681">
        <v>21</v>
      </c>
      <c r="H1681">
        <v>25.36</v>
      </c>
      <c r="I1681">
        <v>13.7</v>
      </c>
      <c r="J1681">
        <v>20.149999999999999</v>
      </c>
      <c r="K1681" s="245">
        <v>-30.83</v>
      </c>
      <c r="L1681" s="245">
        <v>18.28</v>
      </c>
      <c r="M1681" s="245">
        <v>451.85</v>
      </c>
      <c r="N1681" s="257" t="s">
        <v>6830</v>
      </c>
    </row>
    <row r="1682" spans="1:14">
      <c r="A1682">
        <v>8926</v>
      </c>
      <c r="B1682" t="s">
        <v>6056</v>
      </c>
      <c r="C1682">
        <v>58.9</v>
      </c>
      <c r="D1682">
        <v>-15</v>
      </c>
      <c r="E1682">
        <v>-6</v>
      </c>
      <c r="F1682">
        <v>57</v>
      </c>
      <c r="G1682">
        <v>-29</v>
      </c>
      <c r="H1682">
        <v>6.87</v>
      </c>
      <c r="I1682">
        <v>1.75</v>
      </c>
      <c r="J1682">
        <v>1.52</v>
      </c>
      <c r="K1682" s="245">
        <v>-5.8</v>
      </c>
      <c r="L1682" s="245">
        <v>26.22</v>
      </c>
      <c r="M1682" s="245">
        <v>487.85</v>
      </c>
      <c r="N1682" s="257" t="s">
        <v>6830</v>
      </c>
    </row>
    <row r="1683" spans="1:14">
      <c r="A1683">
        <v>8927</v>
      </c>
      <c r="B1683" t="s">
        <v>6057</v>
      </c>
      <c r="C1683">
        <v>24.76</v>
      </c>
      <c r="D1683">
        <v>18</v>
      </c>
      <c r="E1683">
        <v>-38</v>
      </c>
      <c r="F1683">
        <v>-4</v>
      </c>
      <c r="G1683">
        <v>22</v>
      </c>
      <c r="H1683">
        <v>1.23</v>
      </c>
      <c r="I1683">
        <v>1.6</v>
      </c>
      <c r="J1683">
        <v>0.69</v>
      </c>
      <c r="K1683" s="245">
        <v>-11.2</v>
      </c>
      <c r="L1683" s="245">
        <v>62.21</v>
      </c>
      <c r="M1683" s="245">
        <v>1112.55</v>
      </c>
      <c r="N1683" s="257" t="s">
        <v>6831</v>
      </c>
    </row>
    <row r="1684" spans="1:14">
      <c r="A1684">
        <v>8928</v>
      </c>
      <c r="B1684" t="s">
        <v>6058</v>
      </c>
      <c r="C1684">
        <v>5.08</v>
      </c>
      <c r="D1684">
        <v>87</v>
      </c>
      <c r="E1684">
        <v>112</v>
      </c>
      <c r="F1684">
        <v>25</v>
      </c>
      <c r="G1684">
        <v>46</v>
      </c>
      <c r="H1684">
        <v>10.14</v>
      </c>
      <c r="I1684">
        <v>2.5</v>
      </c>
      <c r="J1684">
        <v>4.7</v>
      </c>
      <c r="K1684" s="245">
        <v>-1.67</v>
      </c>
      <c r="L1684" s="245">
        <v>84.58</v>
      </c>
      <c r="M1684" s="245">
        <v>1874.2</v>
      </c>
      <c r="N1684" s="257" t="s">
        <v>6832</v>
      </c>
    </row>
    <row r="1685" spans="1:14">
      <c r="A1685">
        <v>8929</v>
      </c>
      <c r="B1685" t="s">
        <v>6059</v>
      </c>
      <c r="C1685">
        <v>5.05</v>
      </c>
      <c r="D1685">
        <v>-484</v>
      </c>
      <c r="E1685">
        <v>-296</v>
      </c>
      <c r="F1685">
        <v>-8</v>
      </c>
      <c r="G1685">
        <v>-14</v>
      </c>
      <c r="H1685">
        <v>-8.27</v>
      </c>
      <c r="I1685">
        <v>0</v>
      </c>
      <c r="J1685">
        <v>-1.32</v>
      </c>
      <c r="K1685" s="245">
        <v>-19.09</v>
      </c>
      <c r="L1685" s="245">
        <v>26.22</v>
      </c>
      <c r="M1685" s="245">
        <v>30.75</v>
      </c>
      <c r="N1685" s="257" t="s">
        <v>6830</v>
      </c>
    </row>
    <row r="1686" spans="1:14">
      <c r="A1686">
        <v>8930</v>
      </c>
      <c r="B1686" t="s">
        <v>6163</v>
      </c>
      <c r="C1686">
        <v>8.18</v>
      </c>
      <c r="D1686">
        <v>220</v>
      </c>
      <c r="E1686">
        <v>48</v>
      </c>
      <c r="F1686">
        <v>-15</v>
      </c>
      <c r="G1686">
        <v>26</v>
      </c>
      <c r="H1686">
        <v>10.32</v>
      </c>
      <c r="I1686">
        <v>0.8</v>
      </c>
      <c r="J1686">
        <v>1</v>
      </c>
      <c r="K1686" s="245">
        <v>-31.19</v>
      </c>
      <c r="L1686" s="245">
        <v>17.809999999999999</v>
      </c>
      <c r="M1686" s="245">
        <v>431.7</v>
      </c>
      <c r="N1686" s="257" t="s">
        <v>6830</v>
      </c>
    </row>
    <row r="1687" spans="1:14">
      <c r="A1687">
        <v>8931</v>
      </c>
      <c r="B1687" t="s">
        <v>6060</v>
      </c>
      <c r="C1687">
        <v>12.22</v>
      </c>
      <c r="D1687">
        <v>-6</v>
      </c>
      <c r="E1687">
        <v>-12</v>
      </c>
      <c r="F1687">
        <v>-3</v>
      </c>
      <c r="G1687">
        <v>25</v>
      </c>
      <c r="H1687">
        <v>11.48</v>
      </c>
      <c r="I1687">
        <v>1.5</v>
      </c>
      <c r="J1687">
        <v>1.39</v>
      </c>
      <c r="K1687" s="245">
        <v>-12.85</v>
      </c>
      <c r="L1687" s="245">
        <v>20.010000000000002</v>
      </c>
      <c r="M1687" s="245">
        <v>76.5</v>
      </c>
      <c r="N1687" s="257" t="s">
        <v>6830</v>
      </c>
    </row>
    <row r="1688" spans="1:14">
      <c r="A1688">
        <v>8932</v>
      </c>
      <c r="B1688" t="s">
        <v>6301</v>
      </c>
      <c r="C1688">
        <v>6.02</v>
      </c>
      <c r="D1688">
        <v>-37</v>
      </c>
      <c r="E1688">
        <v>7</v>
      </c>
      <c r="F1688">
        <v>-49</v>
      </c>
      <c r="G1688">
        <v>-44</v>
      </c>
      <c r="H1688">
        <v>-4.7699999999999996</v>
      </c>
      <c r="I1688">
        <v>0</v>
      </c>
      <c r="J1688">
        <v>-1.21</v>
      </c>
      <c r="K1688" s="245">
        <v>-7.89</v>
      </c>
      <c r="L1688" s="245">
        <v>64.84</v>
      </c>
      <c r="M1688" s="245">
        <v>64.8</v>
      </c>
      <c r="N1688" s="257" t="s">
        <v>6832</v>
      </c>
    </row>
    <row r="1689" spans="1:14">
      <c r="A1689">
        <v>8933</v>
      </c>
      <c r="B1689" t="s">
        <v>6672</v>
      </c>
      <c r="C1689">
        <v>30.13</v>
      </c>
      <c r="D1689">
        <v>640</v>
      </c>
      <c r="E1689">
        <v>1602</v>
      </c>
      <c r="F1689">
        <v>-10</v>
      </c>
      <c r="G1689">
        <v>30</v>
      </c>
      <c r="H1689">
        <v>2.77</v>
      </c>
      <c r="I1689">
        <v>0</v>
      </c>
      <c r="J1689">
        <v>0.28999999999999998</v>
      </c>
      <c r="K1689" s="245">
        <v>-18.02</v>
      </c>
      <c r="L1689" s="245">
        <v>12.42</v>
      </c>
      <c r="M1689" s="245">
        <v>344.55</v>
      </c>
      <c r="N1689" s="257" t="s">
        <v>6831</v>
      </c>
    </row>
    <row r="1690" spans="1:14">
      <c r="A1690">
        <v>8935</v>
      </c>
      <c r="B1690" t="s">
        <v>6673</v>
      </c>
      <c r="C1690">
        <v>8.43</v>
      </c>
      <c r="D1690">
        <v>288</v>
      </c>
      <c r="E1690">
        <v>575</v>
      </c>
      <c r="F1690">
        <v>28</v>
      </c>
      <c r="G1690">
        <v>-8</v>
      </c>
      <c r="H1690">
        <v>3.29</v>
      </c>
      <c r="I1690">
        <v>0</v>
      </c>
      <c r="J1690">
        <v>0.52</v>
      </c>
      <c r="K1690" s="245">
        <v>-29.92</v>
      </c>
      <c r="L1690" s="245">
        <v>18.09</v>
      </c>
      <c r="M1690" s="245">
        <v>53.45</v>
      </c>
      <c r="N1690" s="257" t="s">
        <v>6830</v>
      </c>
    </row>
    <row r="1691" spans="1:14">
      <c r="A1691">
        <v>8936</v>
      </c>
      <c r="B1691" t="s">
        <v>6061</v>
      </c>
      <c r="C1691">
        <v>24.8</v>
      </c>
      <c r="D1691">
        <v>184</v>
      </c>
      <c r="E1691">
        <v>62</v>
      </c>
      <c r="F1691">
        <v>20</v>
      </c>
      <c r="G1691">
        <v>18</v>
      </c>
      <c r="H1691">
        <v>12.89</v>
      </c>
      <c r="I1691">
        <v>0.5</v>
      </c>
      <c r="J1691">
        <v>1.81</v>
      </c>
      <c r="K1691" s="245">
        <v>-26.89</v>
      </c>
      <c r="L1691" s="245">
        <v>23.89</v>
      </c>
      <c r="M1691" s="245">
        <v>526.79999999999995</v>
      </c>
      <c r="N1691" s="257" t="s">
        <v>6830</v>
      </c>
    </row>
    <row r="1692" spans="1:14">
      <c r="A1692">
        <v>8937</v>
      </c>
      <c r="B1692" t="s">
        <v>6674</v>
      </c>
      <c r="C1692">
        <v>7.24</v>
      </c>
      <c r="D1692">
        <v>-1543</v>
      </c>
      <c r="E1692">
        <v>-123</v>
      </c>
      <c r="F1692">
        <v>23</v>
      </c>
      <c r="G1692">
        <v>157</v>
      </c>
      <c r="H1692">
        <v>-54.71</v>
      </c>
      <c r="I1692">
        <v>0</v>
      </c>
      <c r="J1692">
        <v>-0.79</v>
      </c>
      <c r="K1692" s="245">
        <v>-8.56</v>
      </c>
      <c r="L1692" s="245">
        <v>57.81</v>
      </c>
      <c r="M1692" s="245">
        <v>28.95</v>
      </c>
      <c r="N1692" s="257" t="s">
        <v>6831</v>
      </c>
    </row>
    <row r="1693" spans="1:14">
      <c r="A1693">
        <v>8938</v>
      </c>
      <c r="B1693" t="s">
        <v>6062</v>
      </c>
      <c r="C1693">
        <v>13.53</v>
      </c>
      <c r="D1693">
        <v>103</v>
      </c>
      <c r="E1693">
        <v>70</v>
      </c>
      <c r="F1693">
        <v>30</v>
      </c>
      <c r="G1693">
        <v>34</v>
      </c>
      <c r="H1693">
        <v>11.51</v>
      </c>
      <c r="I1693">
        <v>5.5</v>
      </c>
      <c r="J1693">
        <v>10.01</v>
      </c>
      <c r="K1693" s="245">
        <v>-5.86</v>
      </c>
      <c r="L1693" s="245">
        <v>71.41</v>
      </c>
      <c r="M1693" s="245">
        <v>1770.45</v>
      </c>
      <c r="N1693" s="257" t="s">
        <v>6832</v>
      </c>
    </row>
    <row r="1694" spans="1:14">
      <c r="A1694">
        <v>8940</v>
      </c>
      <c r="B1694" t="s">
        <v>6675</v>
      </c>
      <c r="C1694">
        <v>6.74</v>
      </c>
      <c r="D1694">
        <v>-116</v>
      </c>
      <c r="E1694">
        <v>-50</v>
      </c>
      <c r="F1694">
        <v>-45</v>
      </c>
      <c r="G1694">
        <v>-22</v>
      </c>
      <c r="H1694">
        <v>-21.24</v>
      </c>
      <c r="I1694">
        <v>0</v>
      </c>
      <c r="J1694">
        <v>-1.74</v>
      </c>
      <c r="K1694" s="245">
        <v>-21.63</v>
      </c>
      <c r="L1694" s="245">
        <v>45.42</v>
      </c>
      <c r="M1694" s="245">
        <v>68.099999999999994</v>
      </c>
      <c r="N1694" s="257" t="s">
        <v>6831</v>
      </c>
    </row>
    <row r="1695" spans="1:14">
      <c r="A1695">
        <v>8941</v>
      </c>
      <c r="B1695" t="s">
        <v>6252</v>
      </c>
      <c r="C1695">
        <v>3.04</v>
      </c>
      <c r="D1695">
        <v>24</v>
      </c>
      <c r="E1695">
        <v>-22</v>
      </c>
      <c r="F1695">
        <v>-14</v>
      </c>
      <c r="G1695">
        <v>-4</v>
      </c>
      <c r="H1695">
        <v>1.6</v>
      </c>
      <c r="I1695">
        <v>3</v>
      </c>
      <c r="J1695">
        <v>3.6</v>
      </c>
      <c r="K1695" s="245">
        <v>-7.57</v>
      </c>
      <c r="L1695" s="245">
        <v>51.17</v>
      </c>
      <c r="M1695" s="245">
        <v>13.2</v>
      </c>
      <c r="N1695" s="257" t="s">
        <v>6831</v>
      </c>
    </row>
    <row r="1696" spans="1:14">
      <c r="A1696">
        <v>8942</v>
      </c>
      <c r="B1696" t="s">
        <v>6063</v>
      </c>
      <c r="C1696">
        <v>16.579999999999998</v>
      </c>
      <c r="D1696">
        <v>36</v>
      </c>
      <c r="E1696">
        <v>67</v>
      </c>
      <c r="F1696">
        <v>-5</v>
      </c>
      <c r="G1696">
        <v>12</v>
      </c>
      <c r="H1696">
        <v>15.49</v>
      </c>
      <c r="I1696">
        <v>4</v>
      </c>
      <c r="J1696">
        <v>7.81</v>
      </c>
      <c r="K1696" s="245">
        <v>-18.07</v>
      </c>
      <c r="L1696" s="245">
        <v>43.64</v>
      </c>
      <c r="M1696" s="245">
        <v>122.65</v>
      </c>
      <c r="N1696" s="257" t="s">
        <v>6830</v>
      </c>
    </row>
    <row r="1697" spans="1:14">
      <c r="A1697">
        <v>8996</v>
      </c>
      <c r="B1697" t="s">
        <v>6064</v>
      </c>
      <c r="C1697">
        <v>8.93</v>
      </c>
      <c r="D1697">
        <v>32</v>
      </c>
      <c r="E1697">
        <v>35</v>
      </c>
      <c r="F1697">
        <v>-17</v>
      </c>
      <c r="G1697">
        <v>-8</v>
      </c>
      <c r="H1697">
        <v>10.32</v>
      </c>
      <c r="I1697">
        <v>1.5</v>
      </c>
      <c r="J1697">
        <v>1.67</v>
      </c>
      <c r="K1697" s="245">
        <v>-29.83</v>
      </c>
      <c r="L1697" s="245">
        <v>14.6</v>
      </c>
      <c r="M1697" s="245">
        <v>687.95</v>
      </c>
      <c r="N1697" s="257" t="s">
        <v>6830</v>
      </c>
    </row>
    <row r="1698" spans="1:14">
      <c r="A1698">
        <v>9802</v>
      </c>
      <c r="B1698" t="s">
        <v>6065</v>
      </c>
      <c r="C1698">
        <v>18.61</v>
      </c>
      <c r="D1698">
        <v>32</v>
      </c>
      <c r="E1698">
        <v>15</v>
      </c>
      <c r="F1698">
        <v>-9</v>
      </c>
      <c r="G1698">
        <v>57</v>
      </c>
      <c r="H1698">
        <v>9.4600000000000009</v>
      </c>
      <c r="I1698">
        <v>4.2300000000000004</v>
      </c>
      <c r="J1698">
        <v>6.39</v>
      </c>
      <c r="K1698" s="245">
        <v>-3.23</v>
      </c>
      <c r="L1698" s="245">
        <v>89.29</v>
      </c>
      <c r="M1698" s="245">
        <v>2143.8000000000002</v>
      </c>
      <c r="N1698" s="257" t="s">
        <v>6832</v>
      </c>
    </row>
    <row r="1699" spans="1:14">
      <c r="A1699">
        <v>9902</v>
      </c>
      <c r="B1699" t="s">
        <v>6066</v>
      </c>
      <c r="C1699">
        <v>9.8000000000000007</v>
      </c>
      <c r="D1699">
        <v>248</v>
      </c>
      <c r="E1699">
        <v>-93</v>
      </c>
      <c r="F1699">
        <v>-31</v>
      </c>
      <c r="G1699">
        <v>-33</v>
      </c>
      <c r="H1699">
        <v>-5.31</v>
      </c>
      <c r="I1699">
        <v>0.5</v>
      </c>
      <c r="J1699">
        <v>1.1499999999999999</v>
      </c>
      <c r="K1699" s="245">
        <v>-24.32</v>
      </c>
      <c r="L1699" s="245">
        <v>14.58</v>
      </c>
      <c r="M1699" s="245">
        <v>160.05000000000001</v>
      </c>
      <c r="N1699" s="257" t="s">
        <v>6830</v>
      </c>
    </row>
    <row r="1700" spans="1:14">
      <c r="A1700">
        <v>9904</v>
      </c>
      <c r="B1700" t="s">
        <v>6067</v>
      </c>
      <c r="C1700">
        <v>294</v>
      </c>
      <c r="D1700">
        <v>323</v>
      </c>
      <c r="E1700">
        <v>217</v>
      </c>
      <c r="F1700">
        <v>-1</v>
      </c>
      <c r="G1700">
        <v>-2</v>
      </c>
      <c r="H1700">
        <v>1.03</v>
      </c>
      <c r="I1700">
        <v>1.5</v>
      </c>
      <c r="J1700">
        <v>4.9000000000000004</v>
      </c>
      <c r="K1700" s="245">
        <v>-26.91</v>
      </c>
      <c r="L1700" s="245">
        <v>27.62</v>
      </c>
      <c r="M1700" s="245">
        <v>8706.1</v>
      </c>
      <c r="N1700" s="257" t="s">
        <v>6830</v>
      </c>
    </row>
    <row r="1701" spans="1:14">
      <c r="A1701">
        <v>9905</v>
      </c>
      <c r="B1701" t="s">
        <v>6068</v>
      </c>
      <c r="C1701">
        <v>30.5</v>
      </c>
      <c r="D1701">
        <v>7</v>
      </c>
      <c r="E1701">
        <v>11</v>
      </c>
      <c r="F1701">
        <v>2</v>
      </c>
      <c r="G1701">
        <v>-7</v>
      </c>
      <c r="H1701">
        <v>8.1199999999999992</v>
      </c>
      <c r="I1701">
        <v>1.5</v>
      </c>
      <c r="J1701">
        <v>1.97</v>
      </c>
      <c r="K1701" s="245">
        <v>-17.79</v>
      </c>
      <c r="L1701" s="245">
        <v>20.04</v>
      </c>
      <c r="M1701" s="245">
        <v>58.95</v>
      </c>
      <c r="N1701" s="257" t="s">
        <v>6830</v>
      </c>
    </row>
    <row r="1702" spans="1:14">
      <c r="A1702">
        <v>9906</v>
      </c>
      <c r="B1702" t="s">
        <v>6069</v>
      </c>
      <c r="C1702">
        <v>8.33</v>
      </c>
      <c r="D1702">
        <v>394</v>
      </c>
      <c r="E1702">
        <v>657</v>
      </c>
      <c r="F1702">
        <v>-74</v>
      </c>
      <c r="G1702">
        <v>1744783</v>
      </c>
      <c r="H1702">
        <v>19.87</v>
      </c>
      <c r="I1702">
        <v>0.66</v>
      </c>
      <c r="J1702">
        <v>3.14</v>
      </c>
      <c r="K1702" s="245">
        <v>-20</v>
      </c>
      <c r="L1702" s="245">
        <v>51.14</v>
      </c>
      <c r="M1702" s="245">
        <v>83.65</v>
      </c>
      <c r="N1702" s="257" t="s">
        <v>6831</v>
      </c>
    </row>
    <row r="1703" spans="1:14">
      <c r="A1703">
        <v>9907</v>
      </c>
      <c r="B1703" t="s">
        <v>6070</v>
      </c>
      <c r="C1703">
        <v>157</v>
      </c>
      <c r="D1703">
        <v>102</v>
      </c>
      <c r="E1703">
        <v>97</v>
      </c>
      <c r="F1703">
        <v>16</v>
      </c>
      <c r="G1703">
        <v>24</v>
      </c>
      <c r="H1703">
        <v>5.62</v>
      </c>
      <c r="I1703">
        <v>1</v>
      </c>
      <c r="J1703">
        <v>1.17</v>
      </c>
      <c r="K1703" s="245">
        <v>-12.81</v>
      </c>
      <c r="L1703" s="245">
        <v>41.42</v>
      </c>
      <c r="M1703" s="245">
        <v>4114.55</v>
      </c>
      <c r="N1703" s="257" t="s">
        <v>6831</v>
      </c>
    </row>
    <row r="1704" spans="1:14">
      <c r="A1704">
        <v>9908</v>
      </c>
      <c r="B1704" t="s">
        <v>6071</v>
      </c>
      <c r="C1704">
        <v>51.63</v>
      </c>
      <c r="D1704">
        <v>6</v>
      </c>
      <c r="E1704">
        <v>-7</v>
      </c>
      <c r="F1704">
        <v>-13</v>
      </c>
      <c r="G1704">
        <v>1</v>
      </c>
      <c r="H1704">
        <v>17.78</v>
      </c>
      <c r="I1704">
        <v>1.1000000000000001</v>
      </c>
      <c r="J1704">
        <v>1.75</v>
      </c>
      <c r="K1704" s="245">
        <v>-5.88</v>
      </c>
      <c r="L1704" s="245">
        <v>33.880000000000003</v>
      </c>
      <c r="M1704" s="245">
        <v>109.05</v>
      </c>
      <c r="N1704" s="257" t="s">
        <v>6830</v>
      </c>
    </row>
    <row r="1705" spans="1:14">
      <c r="A1705">
        <v>9910</v>
      </c>
      <c r="B1705" t="s">
        <v>6072</v>
      </c>
      <c r="C1705">
        <v>88.16</v>
      </c>
      <c r="D1705">
        <v>-7</v>
      </c>
      <c r="E1705">
        <v>-9</v>
      </c>
      <c r="F1705">
        <v>-3</v>
      </c>
      <c r="G1705">
        <v>19</v>
      </c>
      <c r="H1705">
        <v>9.06</v>
      </c>
      <c r="I1705">
        <v>4.0999999999999996</v>
      </c>
      <c r="J1705">
        <v>5.15</v>
      </c>
      <c r="K1705" s="245">
        <v>-29.27</v>
      </c>
      <c r="L1705" s="245">
        <v>27.97</v>
      </c>
      <c r="M1705" s="245">
        <v>739.5</v>
      </c>
      <c r="N1705" s="257" t="s">
        <v>6830</v>
      </c>
    </row>
    <row r="1706" spans="1:14">
      <c r="A1706">
        <v>9911</v>
      </c>
      <c r="B1706" t="s">
        <v>6073</v>
      </c>
      <c r="C1706">
        <v>22.11</v>
      </c>
      <c r="D1706">
        <v>12</v>
      </c>
      <c r="E1706">
        <v>8</v>
      </c>
      <c r="F1706">
        <v>-7</v>
      </c>
      <c r="G1706">
        <v>15</v>
      </c>
      <c r="H1706">
        <v>15.33</v>
      </c>
      <c r="I1706">
        <v>3.6</v>
      </c>
      <c r="J1706">
        <v>4.62</v>
      </c>
      <c r="K1706" s="245">
        <v>-17.2</v>
      </c>
      <c r="L1706" s="245">
        <v>24.39</v>
      </c>
      <c r="M1706" s="245">
        <v>171.7</v>
      </c>
      <c r="N1706" s="257" t="s">
        <v>6830</v>
      </c>
    </row>
    <row r="1707" spans="1:14">
      <c r="A1707">
        <v>9912</v>
      </c>
      <c r="B1707" t="s">
        <v>6676</v>
      </c>
      <c r="C1707">
        <v>5.45</v>
      </c>
      <c r="D1707">
        <v>147</v>
      </c>
      <c r="E1707">
        <v>194</v>
      </c>
      <c r="F1707">
        <v>-13</v>
      </c>
      <c r="G1707">
        <v>-12</v>
      </c>
      <c r="H1707">
        <v>2.2000000000000002</v>
      </c>
      <c r="I1707">
        <v>0</v>
      </c>
      <c r="J1707">
        <v>0.37</v>
      </c>
      <c r="K1707" s="245">
        <v>-14.84</v>
      </c>
      <c r="L1707" s="245">
        <v>32.6</v>
      </c>
      <c r="M1707" s="245">
        <v>27.55</v>
      </c>
      <c r="N1707" s="257" t="s">
        <v>6830</v>
      </c>
    </row>
    <row r="1708" spans="1:14">
      <c r="A1708">
        <v>9914</v>
      </c>
      <c r="B1708" t="s">
        <v>6074</v>
      </c>
      <c r="C1708">
        <v>29.89</v>
      </c>
      <c r="D1708">
        <v>16</v>
      </c>
      <c r="E1708">
        <v>-15</v>
      </c>
      <c r="F1708">
        <v>-18</v>
      </c>
      <c r="G1708">
        <v>12</v>
      </c>
      <c r="H1708">
        <v>5.41</v>
      </c>
      <c r="I1708">
        <v>8</v>
      </c>
      <c r="J1708">
        <v>15.55</v>
      </c>
      <c r="K1708" s="245">
        <v>-31.32</v>
      </c>
      <c r="L1708" s="245">
        <v>29.34</v>
      </c>
      <c r="M1708" s="245">
        <v>519.15</v>
      </c>
      <c r="N1708" s="257" t="s">
        <v>6830</v>
      </c>
    </row>
    <row r="1709" spans="1:14">
      <c r="A1709">
        <v>9917</v>
      </c>
      <c r="B1709" t="s">
        <v>6075</v>
      </c>
      <c r="C1709">
        <v>45.11</v>
      </c>
      <c r="D1709">
        <v>5</v>
      </c>
      <c r="E1709">
        <v>0</v>
      </c>
      <c r="F1709">
        <v>0</v>
      </c>
      <c r="G1709">
        <v>6</v>
      </c>
      <c r="H1709">
        <v>18.86</v>
      </c>
      <c r="I1709">
        <v>5</v>
      </c>
      <c r="J1709">
        <v>5.73</v>
      </c>
      <c r="K1709" s="245">
        <v>-8.3000000000000007</v>
      </c>
      <c r="L1709" s="245">
        <v>41.68</v>
      </c>
      <c r="M1709" s="245">
        <v>201.9</v>
      </c>
      <c r="N1709" s="257" t="s">
        <v>6831</v>
      </c>
    </row>
    <row r="1710" spans="1:14">
      <c r="A1710">
        <v>9918</v>
      </c>
      <c r="B1710" t="s">
        <v>6076</v>
      </c>
      <c r="C1710">
        <v>18.05</v>
      </c>
      <c r="D1710">
        <v>4</v>
      </c>
      <c r="E1710">
        <v>-14</v>
      </c>
      <c r="F1710">
        <v>-22</v>
      </c>
      <c r="G1710">
        <v>3</v>
      </c>
      <c r="H1710">
        <v>14.57</v>
      </c>
      <c r="I1710">
        <v>1.7</v>
      </c>
      <c r="J1710">
        <v>1.92</v>
      </c>
      <c r="K1710" s="245">
        <v>-22.2</v>
      </c>
      <c r="L1710" s="245">
        <v>23.67</v>
      </c>
      <c r="M1710" s="245">
        <v>29.1</v>
      </c>
      <c r="N1710" s="257" t="s">
        <v>6830</v>
      </c>
    </row>
    <row r="1711" spans="1:14">
      <c r="A1711">
        <v>9919</v>
      </c>
      <c r="B1711" t="s">
        <v>6077</v>
      </c>
      <c r="C1711">
        <v>19.53</v>
      </c>
      <c r="D1711">
        <v>-88</v>
      </c>
      <c r="E1711">
        <v>-81</v>
      </c>
      <c r="F1711">
        <v>-37</v>
      </c>
      <c r="G1711">
        <v>-29</v>
      </c>
      <c r="H1711">
        <v>3.83</v>
      </c>
      <c r="I1711">
        <v>0.3</v>
      </c>
      <c r="J1711">
        <v>0.5</v>
      </c>
      <c r="K1711" s="245">
        <v>-41.5</v>
      </c>
      <c r="L1711" s="245">
        <v>18.03</v>
      </c>
      <c r="M1711" s="245">
        <v>4015.9</v>
      </c>
      <c r="N1711" s="257" t="s">
        <v>6830</v>
      </c>
    </row>
    <row r="1712" spans="1:14">
      <c r="A1712">
        <v>9921</v>
      </c>
      <c r="B1712" t="s">
        <v>6078</v>
      </c>
      <c r="C1712">
        <v>37.5</v>
      </c>
      <c r="D1712">
        <v>21</v>
      </c>
      <c r="E1712">
        <v>26</v>
      </c>
      <c r="F1712">
        <v>-34</v>
      </c>
      <c r="G1712">
        <v>-15</v>
      </c>
      <c r="H1712">
        <v>10.64</v>
      </c>
      <c r="I1712">
        <v>10</v>
      </c>
      <c r="J1712">
        <v>15.81</v>
      </c>
      <c r="K1712" s="245">
        <v>-32.909999999999997</v>
      </c>
      <c r="L1712" s="245">
        <v>19.100000000000001</v>
      </c>
      <c r="M1712" s="245">
        <v>854.4</v>
      </c>
      <c r="N1712" s="257" t="s">
        <v>6830</v>
      </c>
    </row>
    <row r="1713" spans="1:14">
      <c r="A1713">
        <v>9924</v>
      </c>
      <c r="B1713" t="s">
        <v>6079</v>
      </c>
      <c r="C1713">
        <v>18.84</v>
      </c>
      <c r="D1713">
        <v>-19</v>
      </c>
      <c r="E1713">
        <v>-37</v>
      </c>
      <c r="F1713">
        <v>9</v>
      </c>
      <c r="G1713">
        <v>-13</v>
      </c>
      <c r="H1713">
        <v>7.88</v>
      </c>
      <c r="I1713">
        <v>2.4</v>
      </c>
      <c r="J1713">
        <v>3.54</v>
      </c>
      <c r="K1713" s="245">
        <v>-12.16</v>
      </c>
      <c r="L1713" s="245">
        <v>23.59</v>
      </c>
      <c r="M1713" s="245">
        <v>107.2</v>
      </c>
      <c r="N1713" s="257" t="s">
        <v>6830</v>
      </c>
    </row>
    <row r="1714" spans="1:14">
      <c r="A1714">
        <v>9925</v>
      </c>
      <c r="B1714" t="s">
        <v>6080</v>
      </c>
      <c r="C1714">
        <v>38.74</v>
      </c>
      <c r="D1714">
        <v>9</v>
      </c>
      <c r="E1714">
        <v>14</v>
      </c>
      <c r="F1714">
        <v>-1</v>
      </c>
      <c r="G1714">
        <v>4</v>
      </c>
      <c r="H1714">
        <v>12.94</v>
      </c>
      <c r="I1714">
        <v>2</v>
      </c>
      <c r="J1714">
        <v>2.5</v>
      </c>
      <c r="K1714" s="245">
        <v>-3.6</v>
      </c>
      <c r="L1714" s="245">
        <v>32.119999999999997</v>
      </c>
      <c r="M1714" s="245">
        <v>166.95</v>
      </c>
      <c r="N1714" s="257" t="s">
        <v>6831</v>
      </c>
    </row>
    <row r="1715" spans="1:14">
      <c r="A1715">
        <v>9926</v>
      </c>
      <c r="B1715" t="s">
        <v>6081</v>
      </c>
      <c r="C1715">
        <v>17.95</v>
      </c>
      <c r="D1715">
        <v>6</v>
      </c>
      <c r="E1715">
        <v>6</v>
      </c>
      <c r="F1715">
        <v>-9</v>
      </c>
      <c r="G1715">
        <v>3</v>
      </c>
      <c r="H1715">
        <v>21.83</v>
      </c>
      <c r="I1715">
        <v>2</v>
      </c>
      <c r="J1715">
        <v>2.5</v>
      </c>
      <c r="K1715" s="245">
        <v>-9.3699999999999992</v>
      </c>
      <c r="L1715" s="245">
        <v>56.24</v>
      </c>
      <c r="M1715" s="245">
        <v>14.7</v>
      </c>
      <c r="N1715" s="257" t="s">
        <v>6831</v>
      </c>
    </row>
    <row r="1716" spans="1:14">
      <c r="A1716">
        <v>9927</v>
      </c>
      <c r="B1716" t="s">
        <v>6082</v>
      </c>
      <c r="C1716">
        <v>16.73</v>
      </c>
      <c r="D1716">
        <v>122</v>
      </c>
      <c r="E1716">
        <v>122</v>
      </c>
      <c r="F1716">
        <v>0</v>
      </c>
      <c r="G1716">
        <v>27</v>
      </c>
      <c r="H1716">
        <v>12.03</v>
      </c>
      <c r="I1716">
        <v>4.5</v>
      </c>
      <c r="J1716">
        <v>4</v>
      </c>
      <c r="K1716" s="245">
        <v>-12.54</v>
      </c>
      <c r="L1716" s="245">
        <v>56.15</v>
      </c>
      <c r="M1716" s="245">
        <v>676.1</v>
      </c>
      <c r="N1716" s="257" t="s">
        <v>6832</v>
      </c>
    </row>
    <row r="1717" spans="1:14">
      <c r="A1717">
        <v>9928</v>
      </c>
      <c r="B1717" t="s">
        <v>6677</v>
      </c>
      <c r="C1717">
        <v>6.07</v>
      </c>
      <c r="D1717">
        <v>-3</v>
      </c>
      <c r="E1717">
        <v>0</v>
      </c>
      <c r="F1717">
        <v>-4</v>
      </c>
      <c r="G1717">
        <v>2</v>
      </c>
      <c r="H1717">
        <v>-12.19</v>
      </c>
      <c r="I1717">
        <v>0</v>
      </c>
      <c r="J1717">
        <v>-0.46</v>
      </c>
      <c r="K1717" s="245">
        <v>-6.2</v>
      </c>
      <c r="L1717" s="245">
        <v>89.8</v>
      </c>
      <c r="M1717" s="245">
        <v>23.2</v>
      </c>
      <c r="N1717" s="257" t="s">
        <v>6832</v>
      </c>
    </row>
    <row r="1718" spans="1:14">
      <c r="A1718">
        <v>9929</v>
      </c>
      <c r="B1718" t="s">
        <v>6678</v>
      </c>
      <c r="C1718">
        <v>10.119999999999999</v>
      </c>
      <c r="D1718">
        <v>-99</v>
      </c>
      <c r="E1718">
        <v>-22</v>
      </c>
      <c r="F1718">
        <v>-19</v>
      </c>
      <c r="G1718">
        <v>-17</v>
      </c>
      <c r="H1718">
        <v>3.44</v>
      </c>
      <c r="I1718">
        <v>0</v>
      </c>
      <c r="J1718">
        <v>0.05</v>
      </c>
      <c r="K1718" s="245">
        <v>-28.46</v>
      </c>
      <c r="L1718" s="245">
        <v>23.79</v>
      </c>
      <c r="M1718" s="245">
        <v>40.35</v>
      </c>
      <c r="N1718" s="257" t="s">
        <v>6830</v>
      </c>
    </row>
    <row r="1719" spans="1:14">
      <c r="A1719">
        <v>9930</v>
      </c>
      <c r="B1719" t="s">
        <v>6083</v>
      </c>
      <c r="C1719">
        <v>24.85</v>
      </c>
      <c r="D1719">
        <v>-6</v>
      </c>
      <c r="E1719">
        <v>-7</v>
      </c>
      <c r="F1719">
        <v>3</v>
      </c>
      <c r="G1719">
        <v>16</v>
      </c>
      <c r="H1719">
        <v>8.2899999999999991</v>
      </c>
      <c r="I1719">
        <v>2.5</v>
      </c>
      <c r="J1719">
        <v>2.86</v>
      </c>
      <c r="K1719" s="245">
        <v>-4.67</v>
      </c>
      <c r="L1719" s="245">
        <v>37.64</v>
      </c>
      <c r="M1719" s="245">
        <v>88.85</v>
      </c>
      <c r="N1719" s="257" t="s">
        <v>6831</v>
      </c>
    </row>
    <row r="1720" spans="1:14">
      <c r="A1720">
        <v>9931</v>
      </c>
      <c r="B1720" t="s">
        <v>6084</v>
      </c>
      <c r="C1720">
        <v>11.04</v>
      </c>
      <c r="D1720">
        <v>25</v>
      </c>
      <c r="E1720">
        <v>4</v>
      </c>
      <c r="F1720">
        <v>4</v>
      </c>
      <c r="G1720">
        <v>9</v>
      </c>
      <c r="H1720">
        <v>13.91</v>
      </c>
      <c r="I1720">
        <v>1.4</v>
      </c>
      <c r="J1720">
        <v>2.15</v>
      </c>
      <c r="K1720" s="245">
        <v>-7.87</v>
      </c>
      <c r="L1720" s="245">
        <v>21.59</v>
      </c>
      <c r="M1720" s="245">
        <v>8.1999999999999993</v>
      </c>
      <c r="N1720" s="257" t="s">
        <v>6831</v>
      </c>
    </row>
    <row r="1721" spans="1:14">
      <c r="A1721">
        <v>9933</v>
      </c>
      <c r="B1721" t="s">
        <v>6085</v>
      </c>
      <c r="C1721">
        <v>78.25</v>
      </c>
      <c r="D1721">
        <v>84</v>
      </c>
      <c r="E1721">
        <v>5</v>
      </c>
      <c r="F1721">
        <v>-11</v>
      </c>
      <c r="G1721">
        <v>73</v>
      </c>
      <c r="H1721">
        <v>3.08</v>
      </c>
      <c r="I1721">
        <v>2.2999999999999998</v>
      </c>
      <c r="J1721">
        <v>2.15</v>
      </c>
      <c r="K1721" s="245">
        <v>-7.54</v>
      </c>
      <c r="L1721" s="245">
        <v>60.33</v>
      </c>
      <c r="M1721" s="245">
        <v>2667.65</v>
      </c>
      <c r="N1721" s="257" t="s">
        <v>6832</v>
      </c>
    </row>
    <row r="1722" spans="1:14">
      <c r="A1722">
        <v>9934</v>
      </c>
      <c r="B1722" t="s">
        <v>6086</v>
      </c>
      <c r="C1722">
        <v>35.81</v>
      </c>
      <c r="D1722">
        <v>-95</v>
      </c>
      <c r="E1722">
        <v>-66</v>
      </c>
      <c r="F1722">
        <v>-8</v>
      </c>
      <c r="G1722">
        <v>-3</v>
      </c>
      <c r="H1722">
        <v>0.81</v>
      </c>
      <c r="I1722">
        <v>0</v>
      </c>
      <c r="J1722">
        <v>0.04</v>
      </c>
      <c r="K1722" s="245">
        <v>-34.25</v>
      </c>
      <c r="L1722" s="245">
        <v>10.08</v>
      </c>
      <c r="M1722" s="245">
        <v>315.55</v>
      </c>
      <c r="N1722" s="257" t="s">
        <v>6830</v>
      </c>
    </row>
    <row r="1723" spans="1:14">
      <c r="A1723">
        <v>9935</v>
      </c>
      <c r="B1723" t="s">
        <v>6087</v>
      </c>
      <c r="C1723">
        <v>16.96</v>
      </c>
      <c r="D1723">
        <v>-78</v>
      </c>
      <c r="E1723">
        <v>-69</v>
      </c>
      <c r="F1723">
        <v>0</v>
      </c>
      <c r="G1723">
        <v>-4</v>
      </c>
      <c r="H1723">
        <v>3.7</v>
      </c>
      <c r="I1723">
        <v>0.51</v>
      </c>
      <c r="J1723">
        <v>0.46</v>
      </c>
      <c r="K1723" s="245">
        <v>-25.37</v>
      </c>
      <c r="L1723" s="245">
        <v>51.57</v>
      </c>
      <c r="M1723" s="245">
        <v>133.25</v>
      </c>
      <c r="N1723" s="257" t="s">
        <v>6830</v>
      </c>
    </row>
    <row r="1724" spans="1:14">
      <c r="A1724">
        <v>9937</v>
      </c>
      <c r="B1724" t="s">
        <v>6088</v>
      </c>
      <c r="C1724">
        <v>30.9</v>
      </c>
      <c r="D1724">
        <v>3</v>
      </c>
      <c r="E1724">
        <v>16</v>
      </c>
      <c r="F1724">
        <v>-10</v>
      </c>
      <c r="G1724">
        <v>12</v>
      </c>
      <c r="H1724">
        <v>3.88</v>
      </c>
      <c r="I1724">
        <v>2.1</v>
      </c>
      <c r="J1724">
        <v>2.62</v>
      </c>
      <c r="K1724" s="245">
        <v>-2.8</v>
      </c>
      <c r="L1724" s="245">
        <v>27.89</v>
      </c>
      <c r="M1724" s="245">
        <v>20.8</v>
      </c>
      <c r="N1724" s="257" t="s">
        <v>6831</v>
      </c>
    </row>
    <row r="1725" spans="1:14">
      <c r="A1725">
        <v>9938</v>
      </c>
      <c r="B1725" t="s">
        <v>6089</v>
      </c>
      <c r="C1725">
        <v>29.79</v>
      </c>
      <c r="D1725">
        <v>48</v>
      </c>
      <c r="E1725">
        <v>41</v>
      </c>
      <c r="F1725">
        <v>6</v>
      </c>
      <c r="G1725">
        <v>-37</v>
      </c>
      <c r="H1725">
        <v>21.75</v>
      </c>
      <c r="I1725">
        <v>3.5</v>
      </c>
      <c r="J1725">
        <v>6.91</v>
      </c>
      <c r="K1725" s="245">
        <v>-39.36</v>
      </c>
      <c r="L1725" s="245">
        <v>23.01</v>
      </c>
      <c r="M1725" s="245">
        <v>590.54999999999995</v>
      </c>
      <c r="N1725" s="257" t="s">
        <v>6830</v>
      </c>
    </row>
    <row r="1726" spans="1:14">
      <c r="A1726">
        <v>9939</v>
      </c>
      <c r="B1726" t="s">
        <v>6090</v>
      </c>
      <c r="C1726">
        <v>28.77</v>
      </c>
      <c r="D1726">
        <v>17</v>
      </c>
      <c r="E1726">
        <v>29</v>
      </c>
      <c r="F1726">
        <v>-10</v>
      </c>
      <c r="G1726">
        <v>2</v>
      </c>
      <c r="H1726">
        <v>13.23</v>
      </c>
      <c r="I1726">
        <v>4.3</v>
      </c>
      <c r="J1726">
        <v>6.83</v>
      </c>
      <c r="K1726" s="245">
        <v>-8.74</v>
      </c>
      <c r="L1726" s="245">
        <v>27.6</v>
      </c>
      <c r="M1726" s="245">
        <v>471.3</v>
      </c>
      <c r="N1726" s="257" t="s">
        <v>6831</v>
      </c>
    </row>
    <row r="1727" spans="1:14">
      <c r="A1727">
        <v>9940</v>
      </c>
      <c r="B1727" t="s">
        <v>6091</v>
      </c>
      <c r="C1727">
        <v>73.680000000000007</v>
      </c>
      <c r="D1727">
        <v>51</v>
      </c>
      <c r="E1727">
        <v>48</v>
      </c>
      <c r="F1727">
        <v>-16</v>
      </c>
      <c r="G1727">
        <v>-17</v>
      </c>
      <c r="H1727">
        <v>16.670000000000002</v>
      </c>
      <c r="I1727">
        <v>2.8</v>
      </c>
      <c r="J1727">
        <v>3.19</v>
      </c>
      <c r="K1727" s="245">
        <v>-11.27</v>
      </c>
      <c r="L1727" s="245">
        <v>23.55</v>
      </c>
      <c r="M1727" s="245">
        <v>314.60000000000002</v>
      </c>
      <c r="N1727" s="257" t="s">
        <v>6831</v>
      </c>
    </row>
    <row r="1728" spans="1:14">
      <c r="A1728">
        <v>9941</v>
      </c>
      <c r="B1728" t="s">
        <v>6092</v>
      </c>
      <c r="C1728">
        <v>38.21</v>
      </c>
      <c r="D1728">
        <v>84</v>
      </c>
      <c r="E1728">
        <v>90</v>
      </c>
      <c r="F1728">
        <v>0</v>
      </c>
      <c r="G1728">
        <v>8</v>
      </c>
      <c r="H1728">
        <v>21.32</v>
      </c>
      <c r="I1728">
        <v>7.2</v>
      </c>
      <c r="J1728">
        <v>12.96</v>
      </c>
      <c r="K1728" s="245">
        <v>-18.11</v>
      </c>
      <c r="L1728" s="245">
        <v>39.130000000000003</v>
      </c>
      <c r="M1728" s="245">
        <v>1121.5</v>
      </c>
      <c r="N1728" s="257" t="s">
        <v>6831</v>
      </c>
    </row>
    <row r="1729" spans="1:14">
      <c r="A1729">
        <v>9942</v>
      </c>
      <c r="B1729" t="s">
        <v>6093</v>
      </c>
      <c r="C1729">
        <v>8.31</v>
      </c>
      <c r="D1729">
        <v>39</v>
      </c>
      <c r="E1729">
        <v>64</v>
      </c>
      <c r="F1729">
        <v>-28</v>
      </c>
      <c r="G1729">
        <v>-21</v>
      </c>
      <c r="H1729">
        <v>20.48</v>
      </c>
      <c r="I1729">
        <v>5</v>
      </c>
      <c r="J1729">
        <v>6.49</v>
      </c>
      <c r="K1729" s="245">
        <v>-26.38</v>
      </c>
      <c r="L1729" s="245">
        <v>21.77</v>
      </c>
      <c r="M1729" s="245">
        <v>65.05</v>
      </c>
      <c r="N1729" s="257" t="s">
        <v>6830</v>
      </c>
    </row>
    <row r="1730" spans="1:14">
      <c r="A1730">
        <v>9943</v>
      </c>
      <c r="B1730" t="s">
        <v>6094</v>
      </c>
      <c r="C1730">
        <v>14.73</v>
      </c>
      <c r="D1730">
        <v>-90</v>
      </c>
      <c r="E1730">
        <v>-103</v>
      </c>
      <c r="F1730">
        <v>-27</v>
      </c>
      <c r="G1730">
        <v>-38</v>
      </c>
      <c r="H1730">
        <v>-1.1100000000000001</v>
      </c>
      <c r="I1730">
        <v>0.5</v>
      </c>
      <c r="J1730">
        <v>0.43</v>
      </c>
      <c r="K1730" s="245">
        <v>-19.100000000000001</v>
      </c>
      <c r="L1730" s="245">
        <v>22.79</v>
      </c>
      <c r="M1730" s="245">
        <v>87.35</v>
      </c>
      <c r="N1730" s="257" t="s">
        <v>6830</v>
      </c>
    </row>
    <row r="1731" spans="1:14">
      <c r="A1731">
        <v>9944</v>
      </c>
      <c r="B1731" t="s">
        <v>6095</v>
      </c>
      <c r="C1731">
        <v>10.91</v>
      </c>
      <c r="D1731">
        <v>483</v>
      </c>
      <c r="E1731">
        <v>-50</v>
      </c>
      <c r="F1731">
        <v>-16</v>
      </c>
      <c r="G1731">
        <v>-13</v>
      </c>
      <c r="H1731">
        <v>1.82</v>
      </c>
      <c r="I1731">
        <v>1</v>
      </c>
      <c r="J1731">
        <v>4.71</v>
      </c>
      <c r="K1731" s="245">
        <v>-18.5</v>
      </c>
      <c r="L1731" s="245">
        <v>21.31</v>
      </c>
      <c r="M1731" s="245">
        <v>130</v>
      </c>
      <c r="N1731" s="257" t="s">
        <v>6830</v>
      </c>
    </row>
    <row r="1732" spans="1:14">
      <c r="A1732">
        <v>9945</v>
      </c>
      <c r="B1732" t="s">
        <v>6096</v>
      </c>
      <c r="C1732">
        <v>210</v>
      </c>
      <c r="D1732">
        <v>88</v>
      </c>
      <c r="E1732">
        <v>72</v>
      </c>
      <c r="F1732">
        <v>9</v>
      </c>
      <c r="G1732">
        <v>23</v>
      </c>
      <c r="H1732">
        <v>13.18</v>
      </c>
      <c r="I1732">
        <v>7</v>
      </c>
      <c r="J1732">
        <v>7.98</v>
      </c>
      <c r="K1732" s="245">
        <v>-18.09</v>
      </c>
      <c r="L1732" s="245">
        <v>45.44</v>
      </c>
      <c r="M1732" s="245">
        <v>12373.5</v>
      </c>
      <c r="N1732" s="257" t="s">
        <v>6831</v>
      </c>
    </row>
    <row r="1733" spans="1:14">
      <c r="A1733">
        <v>9946</v>
      </c>
      <c r="B1733" t="s">
        <v>6097</v>
      </c>
      <c r="C1733">
        <v>32.65</v>
      </c>
      <c r="D1733">
        <v>21</v>
      </c>
      <c r="E1733">
        <v>5</v>
      </c>
      <c r="F1733">
        <v>-61</v>
      </c>
      <c r="G1733">
        <v>-79</v>
      </c>
      <c r="H1733">
        <v>12.87</v>
      </c>
      <c r="I1733">
        <v>0.68</v>
      </c>
      <c r="J1733">
        <v>0.68</v>
      </c>
      <c r="K1733" s="245">
        <v>-28.9</v>
      </c>
      <c r="L1733" s="245">
        <v>21.71</v>
      </c>
      <c r="M1733" s="245">
        <v>120.25</v>
      </c>
      <c r="N1733" s="257" t="s">
        <v>6830</v>
      </c>
    </row>
    <row r="1734" spans="1:14">
      <c r="A1734">
        <v>9949</v>
      </c>
      <c r="B1734" t="s">
        <v>6679</v>
      </c>
      <c r="C1734">
        <v>4.4000000000000004</v>
      </c>
      <c r="D1734">
        <v>-18</v>
      </c>
      <c r="E1734">
        <v>18</v>
      </c>
      <c r="F1734">
        <v>-14</v>
      </c>
      <c r="G1734">
        <v>-13</v>
      </c>
      <c r="H1734">
        <v>-18.27</v>
      </c>
      <c r="I1734">
        <v>0</v>
      </c>
      <c r="J1734">
        <v>-0.76</v>
      </c>
      <c r="K1734" s="245">
        <v>-7.91</v>
      </c>
      <c r="L1734" s="245">
        <v>77.11</v>
      </c>
      <c r="M1734" s="245">
        <v>97.15</v>
      </c>
      <c r="N1734" s="257" t="s">
        <v>6832</v>
      </c>
    </row>
    <row r="1735" spans="1:14">
      <c r="A1735">
        <v>9950</v>
      </c>
      <c r="B1735" t="s">
        <v>6680</v>
      </c>
      <c r="C1735">
        <v>14.77</v>
      </c>
      <c r="D1735">
        <v>-81</v>
      </c>
      <c r="E1735">
        <v>-52</v>
      </c>
      <c r="F1735">
        <v>1</v>
      </c>
      <c r="G1735">
        <v>113</v>
      </c>
      <c r="H1735">
        <v>-56.72</v>
      </c>
      <c r="I1735">
        <v>0</v>
      </c>
      <c r="J1735">
        <v>-4.21</v>
      </c>
      <c r="K1735" s="245">
        <v>-9.16</v>
      </c>
      <c r="L1735" s="245">
        <v>78.989999999999995</v>
      </c>
      <c r="M1735" s="245">
        <v>28.15</v>
      </c>
      <c r="N1735" s="257" t="s">
        <v>6832</v>
      </c>
    </row>
    <row r="1736" spans="1:14">
      <c r="A1736">
        <v>9951</v>
      </c>
      <c r="B1736" t="s">
        <v>6098</v>
      </c>
      <c r="C1736">
        <v>7.49</v>
      </c>
      <c r="D1736">
        <v>-20</v>
      </c>
      <c r="E1736">
        <v>-6</v>
      </c>
      <c r="F1736">
        <v>-19</v>
      </c>
      <c r="G1736">
        <v>-29</v>
      </c>
      <c r="H1736">
        <v>10.63</v>
      </c>
      <c r="I1736">
        <v>3.3</v>
      </c>
      <c r="J1736">
        <v>5.33</v>
      </c>
      <c r="K1736" s="245">
        <v>-35.340000000000003</v>
      </c>
      <c r="L1736" s="245">
        <v>9.2799999999999994</v>
      </c>
      <c r="M1736" s="245">
        <v>83.05</v>
      </c>
      <c r="N1736" s="257" t="s">
        <v>6830</v>
      </c>
    </row>
    <row r="1737" spans="1:14">
      <c r="A1737">
        <v>9955</v>
      </c>
      <c r="B1737" t="s">
        <v>6099</v>
      </c>
      <c r="C1737">
        <v>10.32</v>
      </c>
      <c r="D1737">
        <v>20</v>
      </c>
      <c r="E1737">
        <v>33</v>
      </c>
      <c r="F1737">
        <v>5</v>
      </c>
      <c r="G1737">
        <v>-10</v>
      </c>
      <c r="H1737">
        <v>-5.82</v>
      </c>
      <c r="I1737">
        <v>0</v>
      </c>
      <c r="J1737">
        <v>-0.95</v>
      </c>
      <c r="K1737" s="245">
        <v>-34.79</v>
      </c>
      <c r="L1737" s="245">
        <v>19.25</v>
      </c>
      <c r="M1737" s="245">
        <v>1771.75</v>
      </c>
      <c r="N1737" s="257" t="s">
        <v>6831</v>
      </c>
    </row>
    <row r="1738" spans="1:14">
      <c r="A1738">
        <v>9958</v>
      </c>
      <c r="B1738" t="s">
        <v>6100</v>
      </c>
      <c r="C1738">
        <v>23.23</v>
      </c>
      <c r="D1738">
        <v>77</v>
      </c>
      <c r="E1738">
        <v>55</v>
      </c>
      <c r="F1738">
        <v>15</v>
      </c>
      <c r="G1738">
        <v>25</v>
      </c>
      <c r="H1738">
        <v>17.600000000000001</v>
      </c>
      <c r="I1738">
        <v>3</v>
      </c>
      <c r="J1738">
        <v>5.45</v>
      </c>
      <c r="K1738" s="245">
        <v>-17.71</v>
      </c>
      <c r="L1738" s="245">
        <v>45.22</v>
      </c>
      <c r="M1738" s="245">
        <v>9071.1</v>
      </c>
      <c r="N1738" s="257" t="s">
        <v>6831</v>
      </c>
    </row>
    <row r="1739" spans="1:14">
      <c r="A1739">
        <v>9960</v>
      </c>
      <c r="B1739" t="s">
        <v>6249</v>
      </c>
      <c r="C1739">
        <v>3.35</v>
      </c>
      <c r="D1739">
        <v>80</v>
      </c>
      <c r="E1739">
        <v>116</v>
      </c>
      <c r="F1739">
        <v>43</v>
      </c>
      <c r="G1739">
        <v>17</v>
      </c>
      <c r="H1739">
        <v>12.02</v>
      </c>
      <c r="I1739">
        <v>1.7</v>
      </c>
      <c r="J1739">
        <v>2.54</v>
      </c>
      <c r="K1739" s="245">
        <v>-17.05</v>
      </c>
      <c r="L1739" s="245">
        <v>28.51</v>
      </c>
      <c r="M1739" s="245">
        <v>7.4</v>
      </c>
      <c r="N1739" s="257" t="s">
        <v>6830</v>
      </c>
    </row>
    <row r="1740" spans="1:14">
      <c r="A1740">
        <v>9962</v>
      </c>
      <c r="B1740" t="s">
        <v>6101</v>
      </c>
      <c r="C1740">
        <v>9.02</v>
      </c>
      <c r="D1740">
        <v>11658</v>
      </c>
      <c r="E1740">
        <v>2358</v>
      </c>
      <c r="F1740">
        <v>-32</v>
      </c>
      <c r="G1740">
        <v>56</v>
      </c>
      <c r="H1740">
        <v>6.32</v>
      </c>
      <c r="I1740">
        <v>1.1000000000000001</v>
      </c>
      <c r="J1740">
        <v>1.55</v>
      </c>
      <c r="K1740" s="245">
        <v>-34.619999999999997</v>
      </c>
      <c r="L1740" s="245">
        <v>22.63</v>
      </c>
      <c r="M1740" s="245">
        <v>1460.8</v>
      </c>
      <c r="N1740" s="257" t="s">
        <v>6830</v>
      </c>
    </row>
  </sheetData>
  <phoneticPr fontId="1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5"/>
  <dimension ref="A1:CN169"/>
  <sheetViews>
    <sheetView workbookViewId="0">
      <selection activeCell="N15" sqref="N15"/>
    </sheetView>
  </sheetViews>
  <sheetFormatPr defaultColWidth="9.140625" defaultRowHeight="16.5"/>
  <cols>
    <col min="1" max="2" width="15.7109375" style="198" customWidth="1"/>
    <col min="3" max="3" width="16.7109375" style="198" customWidth="1"/>
    <col min="4" max="5" width="15.7109375" style="198" customWidth="1"/>
    <col min="6" max="6" width="15.7109375" style="244" customWidth="1"/>
    <col min="7" max="7" width="5.42578125" style="244" customWidth="1"/>
    <col min="8" max="8" width="11.7109375" style="244" customWidth="1"/>
    <col min="9" max="10" width="12.7109375" style="244" customWidth="1"/>
    <col min="11" max="11" width="10.7109375" style="244" customWidth="1"/>
    <col min="12" max="14" width="10.7109375" style="7" customWidth="1"/>
    <col min="15" max="15" width="12.7109375" style="244" customWidth="1"/>
    <col min="16" max="16" width="12.7109375" style="24" customWidth="1"/>
    <col min="17" max="17" width="12.7109375" style="7" customWidth="1"/>
    <col min="18" max="18" width="10.7109375" style="7" customWidth="1"/>
    <col min="19" max="19" width="9.7109375" style="7" customWidth="1"/>
    <col min="20" max="20" width="9.7109375" style="206" customWidth="1"/>
    <col min="21" max="21" width="10.7109375" style="66" customWidth="1"/>
    <col min="22" max="22" width="9.7109375" style="7" customWidth="1"/>
    <col min="23" max="24" width="7.7109375" style="7" customWidth="1"/>
    <col min="25" max="35" width="9.140625" style="7"/>
    <col min="36" max="36" width="5.7109375" style="7" customWidth="1"/>
    <col min="37" max="37" width="20.7109375" style="7" customWidth="1"/>
    <col min="38" max="38" width="6.7109375" style="7" customWidth="1"/>
    <col min="39" max="39" width="10.7109375" style="7" customWidth="1"/>
    <col min="40" max="40" width="9.140625" style="7"/>
    <col min="41" max="41" width="12.7109375" style="7" customWidth="1"/>
    <col min="42" max="43" width="10.7109375" style="7" customWidth="1"/>
    <col min="44" max="44" width="5.7109375" style="7" customWidth="1"/>
    <col min="45" max="45" width="35.7109375" style="7" customWidth="1"/>
    <col min="46" max="46" width="5.7109375" style="7" customWidth="1"/>
    <col min="47" max="47" width="10.7109375" style="7" customWidth="1"/>
    <col min="48" max="48" width="35.7109375" style="7" customWidth="1"/>
    <col min="49" max="50" width="5.7109375" style="198" customWidth="1"/>
    <col min="51" max="51" width="10.7109375" style="7" customWidth="1"/>
    <col min="52" max="52" width="35.7109375" style="7" customWidth="1"/>
    <col min="53" max="54" width="5.7109375" style="198" customWidth="1"/>
    <col min="55" max="55" width="9.140625" style="7"/>
    <col min="56" max="56" width="15.7109375" style="7" customWidth="1"/>
    <col min="57" max="64" width="9.140625" style="7"/>
    <col min="65" max="65" width="15.140625" style="7" customWidth="1"/>
    <col min="66" max="66" width="50.7109375" style="7" customWidth="1"/>
    <col min="67" max="67" width="15.7109375" style="7" customWidth="1"/>
    <col min="68" max="68" width="30.7109375" style="7" customWidth="1"/>
    <col min="69" max="69" width="20.7109375" style="7" customWidth="1"/>
    <col min="70" max="71" width="9.140625" style="7"/>
    <col min="72" max="72" width="12.7109375" style="22" customWidth="1"/>
    <col min="73" max="73" width="5.7109375" style="9" customWidth="1"/>
    <col min="74" max="74" width="6.7109375" style="20" customWidth="1"/>
    <col min="75" max="75" width="5.7109375" style="30" customWidth="1"/>
    <col min="76" max="76" width="5.7109375" style="50" customWidth="1"/>
    <col min="77" max="78" width="6.7109375" style="1" customWidth="1"/>
    <col min="79" max="79" width="5.7109375" style="30" customWidth="1"/>
    <col min="80" max="80" width="5.7109375" style="50" customWidth="1"/>
    <col min="81" max="82" width="5.7109375" style="1" customWidth="1"/>
    <col min="83" max="16384" width="9.140625" style="245"/>
  </cols>
  <sheetData>
    <row r="1" spans="1:92">
      <c r="A1" s="8" t="s">
        <v>3363</v>
      </c>
      <c r="B1" s="201" t="s">
        <v>1134</v>
      </c>
      <c r="C1" s="108">
        <v>54193806</v>
      </c>
      <c r="D1" s="219">
        <v>54186755</v>
      </c>
      <c r="G1" s="26"/>
      <c r="H1" s="1" t="s">
        <v>1466</v>
      </c>
      <c r="I1" s="30" t="s">
        <v>1467</v>
      </c>
      <c r="J1" s="8" t="s">
        <v>1468</v>
      </c>
      <c r="K1" s="30" t="s">
        <v>1470</v>
      </c>
      <c r="L1" s="8" t="s">
        <v>3</v>
      </c>
      <c r="M1" s="50" t="s">
        <v>3094</v>
      </c>
      <c r="N1" s="17" t="s">
        <v>3095</v>
      </c>
      <c r="O1" s="30" t="s">
        <v>3337</v>
      </c>
      <c r="P1" s="24" t="s">
        <v>3237</v>
      </c>
      <c r="V1" s="8"/>
      <c r="W1" s="122" t="s">
        <v>1809</v>
      </c>
      <c r="X1" s="122"/>
      <c r="Y1" s="122"/>
      <c r="Z1" s="107"/>
      <c r="AA1" s="7" t="s">
        <v>1158</v>
      </c>
      <c r="AK1" s="9" t="s">
        <v>1180</v>
      </c>
      <c r="AL1" s="7" t="s">
        <v>1176</v>
      </c>
      <c r="AM1" s="7" t="s">
        <v>1175</v>
      </c>
      <c r="AN1" s="7" t="s">
        <v>1182</v>
      </c>
      <c r="AO1" s="7" t="s">
        <v>1186</v>
      </c>
      <c r="AP1" s="7" t="s">
        <v>1195</v>
      </c>
      <c r="AQ1" s="7" t="s">
        <v>1198</v>
      </c>
      <c r="AS1" s="9" t="s">
        <v>1215</v>
      </c>
      <c r="AU1" s="198" t="s">
        <v>1242</v>
      </c>
      <c r="AV1" s="198" t="s">
        <v>1245</v>
      </c>
      <c r="AW1" s="198" t="s">
        <v>1246</v>
      </c>
      <c r="AY1" s="198" t="s">
        <v>1242</v>
      </c>
      <c r="AZ1" s="198" t="s">
        <v>1155</v>
      </c>
      <c r="BA1" s="198" t="s">
        <v>1246</v>
      </c>
      <c r="BD1" s="8" t="s">
        <v>1272</v>
      </c>
      <c r="BE1" s="7" t="s">
        <v>1297</v>
      </c>
      <c r="BN1" s="8" t="s">
        <v>1310</v>
      </c>
      <c r="BO1" s="8" t="s">
        <v>1327</v>
      </c>
      <c r="BP1" s="30" t="s">
        <v>1323</v>
      </c>
      <c r="BQ1" s="30" t="s">
        <v>1346</v>
      </c>
    </row>
    <row r="2" spans="1:92">
      <c r="A2" s="50" t="s">
        <v>3364</v>
      </c>
      <c r="B2" s="201" t="s">
        <v>1881</v>
      </c>
      <c r="C2" s="108" t="s">
        <v>3281</v>
      </c>
      <c r="D2" s="219">
        <v>54186755</v>
      </c>
      <c r="G2" s="242"/>
      <c r="H2" s="1"/>
      <c r="I2" s="30"/>
      <c r="J2" s="8"/>
      <c r="K2" s="30"/>
      <c r="L2" s="8"/>
      <c r="M2" s="50"/>
      <c r="N2" s="17"/>
      <c r="O2" s="30"/>
      <c r="P2" s="24" t="s">
        <v>3238</v>
      </c>
      <c r="V2" s="147"/>
      <c r="W2" s="41" t="s">
        <v>1810</v>
      </c>
      <c r="X2" s="27" t="s">
        <v>1811</v>
      </c>
      <c r="Y2" s="122" t="s">
        <v>1812</v>
      </c>
      <c r="Z2" s="56"/>
      <c r="AA2" s="7" t="s">
        <v>1159</v>
      </c>
      <c r="AB2" s="7" t="s">
        <v>1160</v>
      </c>
      <c r="AK2" s="259" t="s">
        <v>1203</v>
      </c>
      <c r="AL2" s="7" t="s">
        <v>1176</v>
      </c>
      <c r="AM2" s="7" t="s">
        <v>1204</v>
      </c>
      <c r="AS2" s="259" t="s">
        <v>1221</v>
      </c>
      <c r="AU2" s="7" t="s">
        <v>1248</v>
      </c>
      <c r="AV2" s="7" t="s">
        <v>1252</v>
      </c>
      <c r="AY2" s="7" t="s">
        <v>1243</v>
      </c>
      <c r="AZ2" s="7" t="s">
        <v>1262</v>
      </c>
      <c r="BA2" s="198">
        <v>5</v>
      </c>
      <c r="BD2" s="7" t="s">
        <v>1271</v>
      </c>
      <c r="BE2" s="7" t="s">
        <v>1278</v>
      </c>
      <c r="BN2" s="7" t="s">
        <v>1300</v>
      </c>
      <c r="BO2" s="7" t="s">
        <v>1328</v>
      </c>
      <c r="BP2" s="7" t="s">
        <v>1329</v>
      </c>
      <c r="BQ2" s="7" t="s">
        <v>1347</v>
      </c>
    </row>
    <row r="3" spans="1:92">
      <c r="E3" s="1"/>
      <c r="H3" s="1"/>
      <c r="I3" s="30"/>
      <c r="J3" s="8"/>
      <c r="K3" s="30"/>
      <c r="L3" s="8"/>
      <c r="M3" s="50"/>
      <c r="N3" s="17"/>
      <c r="O3" s="30"/>
      <c r="P3" s="24" t="s">
        <v>3239</v>
      </c>
      <c r="V3" s="147"/>
      <c r="W3" s="41"/>
      <c r="X3" s="27" t="s">
        <v>1813</v>
      </c>
      <c r="Y3" s="122" t="s">
        <v>1814</v>
      </c>
      <c r="Z3" s="56"/>
      <c r="AA3" s="7" t="s">
        <v>1161</v>
      </c>
      <c r="AB3" s="7" t="s">
        <v>1162</v>
      </c>
      <c r="AK3" s="259" t="s">
        <v>1183</v>
      </c>
      <c r="AL3" s="7" t="s">
        <v>1176</v>
      </c>
      <c r="AN3" s="7" t="s">
        <v>1182</v>
      </c>
      <c r="AS3" s="259" t="s">
        <v>1230</v>
      </c>
      <c r="AV3" s="7" t="s">
        <v>1210</v>
      </c>
      <c r="AW3" s="198">
        <v>4</v>
      </c>
      <c r="AZ3" s="7" t="s">
        <v>1244</v>
      </c>
      <c r="BA3" s="198">
        <v>3</v>
      </c>
      <c r="BD3" s="7" t="s">
        <v>1273</v>
      </c>
      <c r="BE3" s="7" t="s">
        <v>1279</v>
      </c>
      <c r="BN3" s="7" t="s">
        <v>1299</v>
      </c>
      <c r="BO3" s="7" t="s">
        <v>1330</v>
      </c>
      <c r="BP3" s="7" t="s">
        <v>1331</v>
      </c>
      <c r="BQ3" s="7" t="s">
        <v>1348</v>
      </c>
    </row>
    <row r="4" spans="1:92">
      <c r="A4" s="8" t="s">
        <v>3087</v>
      </c>
      <c r="B4" s="199" t="s">
        <v>849</v>
      </c>
      <c r="C4" s="87"/>
      <c r="D4" s="8" t="s">
        <v>3087</v>
      </c>
      <c r="E4" s="87"/>
      <c r="H4" s="1"/>
      <c r="I4" s="30"/>
      <c r="J4" s="8"/>
      <c r="K4" s="30"/>
      <c r="L4" s="8"/>
      <c r="M4" s="50"/>
      <c r="N4" s="17"/>
      <c r="O4" s="30"/>
      <c r="V4" s="8"/>
      <c r="W4" s="41"/>
      <c r="X4" s="27" t="s">
        <v>1816</v>
      </c>
      <c r="Y4" s="46" t="s">
        <v>1815</v>
      </c>
      <c r="Z4" s="56"/>
      <c r="AA4" s="7" t="s">
        <v>1164</v>
      </c>
      <c r="AK4" s="259" t="s">
        <v>1214</v>
      </c>
      <c r="AM4" s="7" t="s">
        <v>1176</v>
      </c>
      <c r="AO4" s="7" t="s">
        <v>1188</v>
      </c>
      <c r="AS4" s="259" t="s">
        <v>1218</v>
      </c>
      <c r="AV4" s="7" t="s">
        <v>1249</v>
      </c>
      <c r="AW4" s="198">
        <v>1</v>
      </c>
      <c r="AZ4" s="7" t="s">
        <v>1247</v>
      </c>
      <c r="BA4" s="198">
        <v>2</v>
      </c>
      <c r="BD4" s="7" t="s">
        <v>1274</v>
      </c>
      <c r="BE4" s="7" t="s">
        <v>1295</v>
      </c>
      <c r="BN4" s="7" t="s">
        <v>1298</v>
      </c>
      <c r="BO4" s="7" t="s">
        <v>1332</v>
      </c>
      <c r="BP4" s="7" t="s">
        <v>1333</v>
      </c>
      <c r="BQ4" s="7" t="s">
        <v>1349</v>
      </c>
    </row>
    <row r="5" spans="1:92">
      <c r="A5" s="30" t="s">
        <v>842</v>
      </c>
      <c r="B5" s="274" t="s">
        <v>4731</v>
      </c>
      <c r="C5" s="87"/>
      <c r="D5" s="146" t="s">
        <v>3103</v>
      </c>
      <c r="E5" s="87"/>
      <c r="F5" s="87"/>
      <c r="G5" s="87"/>
      <c r="H5" s="1"/>
      <c r="I5" s="30"/>
      <c r="J5" s="8"/>
      <c r="K5" s="30"/>
      <c r="L5" s="8"/>
      <c r="M5" s="50"/>
      <c r="N5" s="17"/>
      <c r="O5" s="30"/>
      <c r="P5" s="26" t="s">
        <v>1496</v>
      </c>
      <c r="Q5" s="69" t="s">
        <v>3229</v>
      </c>
      <c r="R5" s="198"/>
      <c r="V5" s="103"/>
      <c r="W5" s="19" t="s">
        <v>1817</v>
      </c>
      <c r="X5" s="26" t="s">
        <v>1818</v>
      </c>
      <c r="Y5" s="114" t="s">
        <v>1823</v>
      </c>
      <c r="Z5" s="56"/>
      <c r="AA5" s="7" t="s">
        <v>1164</v>
      </c>
      <c r="AK5" s="259" t="s">
        <v>1210</v>
      </c>
      <c r="AQ5" s="7" t="s">
        <v>1209</v>
      </c>
      <c r="AS5" s="259" t="s">
        <v>1226</v>
      </c>
      <c r="AV5" s="7" t="s">
        <v>1250</v>
      </c>
      <c r="AW5" s="198">
        <v>1</v>
      </c>
      <c r="BD5" s="7" t="s">
        <v>1275</v>
      </c>
      <c r="BE5" s="7" t="s">
        <v>1296</v>
      </c>
      <c r="BN5" s="7" t="s">
        <v>1301</v>
      </c>
      <c r="BO5" s="7" t="s">
        <v>1334</v>
      </c>
      <c r="BP5" s="7" t="s">
        <v>1335</v>
      </c>
      <c r="BQ5" s="7" t="s">
        <v>1350</v>
      </c>
    </row>
    <row r="6" spans="1:92">
      <c r="A6" s="258" t="s">
        <v>3492</v>
      </c>
      <c r="B6" s="311" t="s">
        <v>4732</v>
      </c>
      <c r="C6" s="245"/>
      <c r="D6" s="146" t="s">
        <v>3089</v>
      </c>
      <c r="E6" s="87"/>
      <c r="H6" s="1"/>
      <c r="I6" s="30"/>
      <c r="J6" s="8"/>
      <c r="K6" s="30"/>
      <c r="L6" s="8"/>
      <c r="M6" s="50"/>
      <c r="N6" s="17"/>
      <c r="O6" s="30"/>
      <c r="P6" s="198"/>
      <c r="Q6" s="2" t="s">
        <v>3230</v>
      </c>
      <c r="R6" s="198"/>
      <c r="V6" s="103"/>
      <c r="W6" s="19"/>
      <c r="X6" s="26" t="s">
        <v>1819</v>
      </c>
      <c r="Y6" s="114" t="s">
        <v>1828</v>
      </c>
      <c r="Z6" s="56"/>
      <c r="AA6" s="7" t="s">
        <v>1166</v>
      </c>
      <c r="AK6" s="259" t="s">
        <v>1193</v>
      </c>
      <c r="AL6" s="7" t="s">
        <v>1176</v>
      </c>
      <c r="AN6" s="7" t="s">
        <v>1182</v>
      </c>
      <c r="AO6" s="7" t="s">
        <v>1194</v>
      </c>
      <c r="AP6" s="7" t="s">
        <v>1196</v>
      </c>
      <c r="AQ6" s="7" t="s">
        <v>1197</v>
      </c>
      <c r="AS6" s="7" t="s">
        <v>1223</v>
      </c>
      <c r="AV6" s="7" t="s">
        <v>1202</v>
      </c>
      <c r="AW6" s="198">
        <v>1</v>
      </c>
      <c r="AY6" s="7" t="s">
        <v>1266</v>
      </c>
      <c r="AZ6" s="7" t="s">
        <v>1255</v>
      </c>
      <c r="BA6" s="198">
        <v>12</v>
      </c>
      <c r="BD6" s="7" t="s">
        <v>1276</v>
      </c>
      <c r="BE6" s="7" t="s">
        <v>1306</v>
      </c>
      <c r="BN6" s="7" t="s">
        <v>1302</v>
      </c>
      <c r="BO6" s="7" t="s">
        <v>1336</v>
      </c>
      <c r="BP6" s="7" t="s">
        <v>1337</v>
      </c>
      <c r="BQ6" s="7" t="s">
        <v>1351</v>
      </c>
    </row>
    <row r="7" spans="1:92">
      <c r="A7" s="50" t="s">
        <v>272</v>
      </c>
      <c r="B7" s="142" t="s">
        <v>4717</v>
      </c>
      <c r="C7" s="87"/>
      <c r="D7" s="146" t="s">
        <v>3088</v>
      </c>
      <c r="E7" s="87"/>
      <c r="H7" s="1"/>
      <c r="I7" s="30"/>
      <c r="J7" s="8"/>
      <c r="K7" s="30"/>
      <c r="L7" s="8"/>
      <c r="M7" s="50"/>
      <c r="N7" s="17"/>
      <c r="O7" s="30"/>
      <c r="P7" s="198"/>
      <c r="Q7" s="2" t="s">
        <v>3231</v>
      </c>
      <c r="R7" s="198"/>
      <c r="V7" s="103"/>
      <c r="W7" s="19"/>
      <c r="X7" s="26" t="s">
        <v>1820</v>
      </c>
      <c r="Y7" s="114" t="s">
        <v>1824</v>
      </c>
      <c r="Z7" s="56"/>
      <c r="AK7" s="259" t="s">
        <v>1178</v>
      </c>
      <c r="AL7" s="7" t="s">
        <v>1176</v>
      </c>
      <c r="AM7" s="7" t="s">
        <v>1175</v>
      </c>
      <c r="AN7" s="7" t="s">
        <v>1182</v>
      </c>
      <c r="AO7" s="7" t="s">
        <v>1188</v>
      </c>
      <c r="AS7" s="7" t="s">
        <v>1228</v>
      </c>
      <c r="AV7" s="7" t="s">
        <v>1263</v>
      </c>
      <c r="AW7" s="198">
        <v>1</v>
      </c>
      <c r="AY7" s="7" t="s">
        <v>1260</v>
      </c>
      <c r="AZ7" s="7" t="s">
        <v>1253</v>
      </c>
      <c r="BA7" s="198">
        <v>1</v>
      </c>
      <c r="BD7" s="7" t="s">
        <v>1277</v>
      </c>
      <c r="BE7" s="7" t="s">
        <v>1307</v>
      </c>
      <c r="BN7" s="7" t="s">
        <v>1303</v>
      </c>
      <c r="BO7" s="7" t="s">
        <v>1324</v>
      </c>
      <c r="BP7" s="7" t="s">
        <v>1338</v>
      </c>
      <c r="BQ7" s="7" t="s">
        <v>1352</v>
      </c>
    </row>
    <row r="8" spans="1:92">
      <c r="A8" s="8" t="s">
        <v>841</v>
      </c>
      <c r="B8" s="199" t="s">
        <v>848</v>
      </c>
      <c r="C8" s="87"/>
      <c r="D8" s="146" t="s">
        <v>844</v>
      </c>
      <c r="E8" s="87"/>
      <c r="H8" s="1"/>
      <c r="I8" s="30"/>
      <c r="J8" s="8"/>
      <c r="K8" s="30"/>
      <c r="L8" s="8"/>
      <c r="M8" s="50"/>
      <c r="N8" s="17"/>
      <c r="O8" s="30"/>
      <c r="P8" s="198"/>
      <c r="Q8" s="2" t="s">
        <v>3232</v>
      </c>
      <c r="R8" s="198"/>
      <c r="V8" s="103"/>
      <c r="W8" s="19"/>
      <c r="X8" s="26"/>
      <c r="Y8" s="114"/>
      <c r="Z8" s="56"/>
      <c r="AK8" s="259"/>
    </row>
    <row r="9" spans="1:92">
      <c r="A9" s="260"/>
      <c r="B9" s="201" t="s">
        <v>3104</v>
      </c>
      <c r="C9" s="263"/>
      <c r="D9" s="42" t="s">
        <v>1978</v>
      </c>
      <c r="E9" s="87"/>
      <c r="H9" s="1"/>
      <c r="I9" s="30"/>
      <c r="J9" s="8"/>
      <c r="K9" s="30"/>
      <c r="L9" s="8"/>
      <c r="M9" s="50"/>
      <c r="N9" s="17"/>
      <c r="O9" s="30"/>
      <c r="P9" s="198"/>
      <c r="Q9" s="2" t="s">
        <v>3233</v>
      </c>
      <c r="R9" s="198"/>
      <c r="V9" s="103"/>
      <c r="W9" s="19"/>
      <c r="X9" s="26"/>
      <c r="Y9" s="114"/>
      <c r="Z9" s="56"/>
      <c r="AK9" s="259"/>
    </row>
    <row r="10" spans="1:92">
      <c r="A10" s="142" t="s">
        <v>1134</v>
      </c>
      <c r="B10" s="201" t="s">
        <v>1616</v>
      </c>
      <c r="C10" s="209" t="s">
        <v>3098</v>
      </c>
      <c r="D10" s="42" t="s">
        <v>3553</v>
      </c>
      <c r="E10" s="245"/>
      <c r="F10" s="245"/>
      <c r="H10" s="1"/>
      <c r="I10" s="30"/>
      <c r="J10" s="8"/>
      <c r="K10" s="30"/>
      <c r="L10" s="8"/>
      <c r="M10" s="50"/>
      <c r="N10" s="17"/>
      <c r="O10" s="30"/>
      <c r="V10" s="103"/>
      <c r="W10" s="19"/>
      <c r="X10" s="26" t="s">
        <v>1821</v>
      </c>
      <c r="Y10" s="114" t="s">
        <v>1825</v>
      </c>
      <c r="Z10" s="56"/>
      <c r="AA10" s="261" t="s">
        <v>1169</v>
      </c>
      <c r="AK10" s="259" t="s">
        <v>1179</v>
      </c>
      <c r="AM10" s="7" t="s">
        <v>1175</v>
      </c>
      <c r="AO10" s="7" t="s">
        <v>1200</v>
      </c>
      <c r="AS10" s="7" t="s">
        <v>1227</v>
      </c>
      <c r="AV10" s="7" t="s">
        <v>1251</v>
      </c>
      <c r="AW10" s="198">
        <v>1</v>
      </c>
      <c r="AY10" s="123" t="s">
        <v>1265</v>
      </c>
      <c r="AZ10" s="7" t="s">
        <v>1254</v>
      </c>
      <c r="BA10" s="198">
        <v>1</v>
      </c>
      <c r="BD10" s="7" t="s">
        <v>1280</v>
      </c>
      <c r="BE10" s="7" t="s">
        <v>1308</v>
      </c>
      <c r="BN10" s="7" t="s">
        <v>1304</v>
      </c>
      <c r="BO10" s="7" t="s">
        <v>1339</v>
      </c>
      <c r="BP10" s="7" t="s">
        <v>1340</v>
      </c>
      <c r="BQ10" s="7" t="s">
        <v>1353</v>
      </c>
    </row>
    <row r="11" spans="1:92">
      <c r="A11" s="142" t="s">
        <v>1881</v>
      </c>
      <c r="B11" s="201" t="s">
        <v>1617</v>
      </c>
      <c r="C11" s="209" t="s">
        <v>3099</v>
      </c>
      <c r="F11" s="245"/>
      <c r="H11" s="41" t="s">
        <v>6222</v>
      </c>
      <c r="I11" s="165">
        <v>575.4</v>
      </c>
      <c r="J11" s="155">
        <v>527.24</v>
      </c>
      <c r="K11" s="105">
        <f>I11-J11</f>
        <v>48.159999999999968</v>
      </c>
      <c r="L11" s="151">
        <f>K11/J11</f>
        <v>9.1343600637280878E-2</v>
      </c>
      <c r="M11" s="205">
        <f>I11*(0.001425*0.5)+J11*(0.001425*0.5)+I11*0.003</f>
        <v>2.5118309999999999</v>
      </c>
      <c r="N11" s="155">
        <f>K11-M11</f>
        <v>45.648168999999967</v>
      </c>
      <c r="O11" s="30"/>
      <c r="V11" s="103"/>
      <c r="W11" s="19"/>
      <c r="X11" s="26" t="s">
        <v>1822</v>
      </c>
      <c r="Y11" s="114" t="s">
        <v>1826</v>
      </c>
      <c r="Z11" s="56"/>
      <c r="AA11" s="261" t="s">
        <v>1171</v>
      </c>
      <c r="AK11" s="259" t="s">
        <v>1207</v>
      </c>
      <c r="AL11" s="7" t="s">
        <v>1176</v>
      </c>
      <c r="AO11" s="7" t="s">
        <v>1185</v>
      </c>
      <c r="AS11" s="7" t="s">
        <v>1222</v>
      </c>
      <c r="AV11" s="7" t="s">
        <v>1226</v>
      </c>
      <c r="AW11" s="198">
        <v>1</v>
      </c>
      <c r="AY11" s="7" t="s">
        <v>1325</v>
      </c>
      <c r="AZ11" s="7" t="s">
        <v>1261</v>
      </c>
      <c r="BA11" s="198">
        <v>1</v>
      </c>
      <c r="BD11" s="7" t="s">
        <v>1282</v>
      </c>
      <c r="BE11" s="7" t="s">
        <v>1309</v>
      </c>
      <c r="BN11" s="7" t="s">
        <v>1305</v>
      </c>
      <c r="BO11" s="7" t="s">
        <v>1341</v>
      </c>
      <c r="BP11" s="7" t="s">
        <v>1342</v>
      </c>
      <c r="BQ11" s="7" t="s">
        <v>1354</v>
      </c>
    </row>
    <row r="12" spans="1:92">
      <c r="A12" s="142" t="s">
        <v>1133</v>
      </c>
      <c r="B12" s="201" t="s">
        <v>1618</v>
      </c>
      <c r="C12" s="209" t="s">
        <v>3100</v>
      </c>
      <c r="F12" s="245"/>
      <c r="H12" s="41" t="s">
        <v>4752</v>
      </c>
      <c r="I12" s="165">
        <v>79.2</v>
      </c>
      <c r="J12" s="155">
        <v>65.97</v>
      </c>
      <c r="K12" s="105">
        <f>I12-J12</f>
        <v>13.230000000000004</v>
      </c>
      <c r="L12" s="151">
        <f>K12/J12</f>
        <v>0.20054570259208737</v>
      </c>
      <c r="M12" s="205">
        <f>I12*(0.001425*0.5)+J12*(0.001425*0.5)+I12*0.003</f>
        <v>0.34103362500000001</v>
      </c>
      <c r="N12" s="155">
        <f>K12-M12</f>
        <v>12.888966375000004</v>
      </c>
      <c r="O12" s="30"/>
      <c r="V12" s="103"/>
      <c r="W12" s="19"/>
      <c r="X12" s="26" t="s">
        <v>1827</v>
      </c>
      <c r="Y12" s="149" t="s">
        <v>1830</v>
      </c>
      <c r="Z12" s="56"/>
      <c r="AA12" s="261" t="s">
        <v>1173</v>
      </c>
      <c r="AK12" s="259" t="s">
        <v>1213</v>
      </c>
      <c r="AL12" s="7" t="s">
        <v>1176</v>
      </c>
      <c r="AO12" s="7" t="s">
        <v>1188</v>
      </c>
      <c r="AQ12" s="7" t="s">
        <v>1209</v>
      </c>
      <c r="AS12" s="7" t="s">
        <v>1241</v>
      </c>
      <c r="BD12" s="7" t="s">
        <v>1283</v>
      </c>
      <c r="BE12" s="7" t="s">
        <v>1311</v>
      </c>
      <c r="BP12" s="7" t="s">
        <v>1343</v>
      </c>
      <c r="BQ12" s="7" t="s">
        <v>1355</v>
      </c>
    </row>
    <row r="13" spans="1:92">
      <c r="A13" s="245"/>
      <c r="B13" s="245"/>
      <c r="C13" s="245"/>
      <c r="D13" s="244"/>
      <c r="E13" s="8" t="s">
        <v>3157</v>
      </c>
      <c r="F13" s="245"/>
      <c r="H13" s="41" t="s">
        <v>4746</v>
      </c>
      <c r="I13" s="165">
        <v>125</v>
      </c>
      <c r="J13" s="155">
        <v>115</v>
      </c>
      <c r="K13" s="105">
        <f>I13-J13</f>
        <v>10</v>
      </c>
      <c r="L13" s="151">
        <f>K13/J13</f>
        <v>8.6956521739130432E-2</v>
      </c>
      <c r="M13" s="205">
        <f>I13*(0.001425*0.5)+J13*(0.001425*0.5)+I13*0.003</f>
        <v>0.54600000000000004</v>
      </c>
      <c r="N13" s="155">
        <f>K13-M13</f>
        <v>9.4540000000000006</v>
      </c>
      <c r="O13" s="30"/>
      <c r="V13" s="103"/>
      <c r="W13" s="19"/>
      <c r="X13" s="26" t="s">
        <v>1829</v>
      </c>
      <c r="Y13" s="114" t="s">
        <v>1831</v>
      </c>
      <c r="Z13" s="56"/>
      <c r="AA13" s="261" t="s">
        <v>1174</v>
      </c>
      <c r="AK13" s="259" t="s">
        <v>1211</v>
      </c>
      <c r="AQ13" s="7" t="s">
        <v>1209</v>
      </c>
      <c r="AS13" s="7" t="s">
        <v>1229</v>
      </c>
      <c r="AV13" s="7" t="s">
        <v>1386</v>
      </c>
      <c r="AW13" s="198">
        <v>1</v>
      </c>
      <c r="AY13" s="7" t="s">
        <v>1258</v>
      </c>
      <c r="AZ13" s="7" t="s">
        <v>1259</v>
      </c>
      <c r="BA13" s="198">
        <v>2</v>
      </c>
      <c r="BD13" s="7" t="s">
        <v>1284</v>
      </c>
      <c r="BE13" s="7" t="s">
        <v>1312</v>
      </c>
      <c r="BO13" s="7" t="s">
        <v>1344</v>
      </c>
      <c r="BP13" s="7" t="s">
        <v>1345</v>
      </c>
      <c r="BQ13" s="30" t="s">
        <v>1356</v>
      </c>
    </row>
    <row r="14" spans="1:92">
      <c r="A14" s="262" t="s">
        <v>842</v>
      </c>
      <c r="B14" s="262" t="s">
        <v>845</v>
      </c>
      <c r="C14" s="264">
        <v>44901</v>
      </c>
      <c r="D14" s="198" t="s">
        <v>3102</v>
      </c>
      <c r="E14" s="209" t="s">
        <v>3101</v>
      </c>
      <c r="F14" s="245"/>
      <c r="H14" s="41" t="s">
        <v>4701</v>
      </c>
      <c r="I14" s="165">
        <v>374.75</v>
      </c>
      <c r="J14" s="155">
        <v>344.06</v>
      </c>
      <c r="K14" s="105">
        <v>30.69</v>
      </c>
      <c r="L14" s="151">
        <f>K14/J14</f>
        <v>8.9199558216590133E-2</v>
      </c>
      <c r="M14" s="205">
        <f>I14*(0.001425*0.5)+J14*(0.001425*0.5)+I14*0.003</f>
        <v>1.636402125</v>
      </c>
      <c r="N14" s="155">
        <f>K14-M14</f>
        <v>29.053597875000001</v>
      </c>
      <c r="O14" s="30"/>
      <c r="V14" s="171"/>
      <c r="W14" s="41"/>
      <c r="X14" s="27" t="s">
        <v>1834</v>
      </c>
      <c r="Y14" s="122" t="s">
        <v>1841</v>
      </c>
      <c r="Z14" s="56"/>
      <c r="AA14" s="7" t="s">
        <v>1163</v>
      </c>
      <c r="AK14" s="7" t="s">
        <v>1177</v>
      </c>
      <c r="AL14" s="7" t="s">
        <v>1176</v>
      </c>
      <c r="AM14" s="7" t="s">
        <v>1175</v>
      </c>
      <c r="AN14" s="7" t="s">
        <v>1182</v>
      </c>
      <c r="AS14" s="7" t="s">
        <v>1219</v>
      </c>
      <c r="AV14" s="7" t="s">
        <v>1380</v>
      </c>
      <c r="AW14" s="198">
        <v>2</v>
      </c>
      <c r="AZ14" s="7" t="s">
        <v>1377</v>
      </c>
      <c r="BA14" s="198">
        <v>1</v>
      </c>
      <c r="BD14" s="7" t="s">
        <v>1281</v>
      </c>
      <c r="BE14" s="7" t="s">
        <v>1316</v>
      </c>
      <c r="BQ14" s="7" t="s">
        <v>1357</v>
      </c>
    </row>
    <row r="15" spans="1:92">
      <c r="A15" s="262"/>
      <c r="B15" s="262" t="s">
        <v>846</v>
      </c>
      <c r="C15" s="264">
        <v>44760</v>
      </c>
      <c r="D15" s="198" t="s">
        <v>845</v>
      </c>
      <c r="E15" s="209" t="s">
        <v>3098</v>
      </c>
      <c r="F15" s="245"/>
      <c r="H15" s="1" t="s">
        <v>3073</v>
      </c>
      <c r="I15" s="165">
        <f>SUM(I11:I14)</f>
        <v>1154.3499999999999</v>
      </c>
      <c r="J15" s="155">
        <f>SUM(J11:J14)</f>
        <v>1052.27</v>
      </c>
      <c r="K15" s="105">
        <f>SUM(K11:K14)</f>
        <v>102.07999999999997</v>
      </c>
      <c r="L15" s="151">
        <f>K15/J15</f>
        <v>9.700932270234823E-2</v>
      </c>
      <c r="M15" s="205">
        <f>SUM(M11:M14)</f>
        <v>5.0352667499999999</v>
      </c>
      <c r="N15" s="155">
        <f>SUM(N11:N14)</f>
        <v>97.044733249999979</v>
      </c>
      <c r="O15" s="165">
        <f>I15/10</f>
        <v>115.43499999999999</v>
      </c>
      <c r="W15" s="41"/>
      <c r="X15" s="27" t="s">
        <v>1835</v>
      </c>
      <c r="Y15" s="122" t="s">
        <v>1842</v>
      </c>
      <c r="Z15" s="56"/>
      <c r="AA15" s="7" t="s">
        <v>1165</v>
      </c>
      <c r="AK15" s="7" t="s">
        <v>1199</v>
      </c>
      <c r="AS15" s="7" t="s">
        <v>1234</v>
      </c>
      <c r="AU15" s="123"/>
      <c r="AV15" s="7" t="s">
        <v>1382</v>
      </c>
      <c r="AW15" s="198">
        <v>2</v>
      </c>
      <c r="AZ15" s="7" t="s">
        <v>1256</v>
      </c>
      <c r="BA15" s="198">
        <v>1</v>
      </c>
      <c r="BD15" s="7" t="s">
        <v>1285</v>
      </c>
      <c r="BE15" s="7" t="s">
        <v>1317</v>
      </c>
      <c r="BQ15" s="7" t="s">
        <v>1358</v>
      </c>
      <c r="CE15" s="7"/>
      <c r="CF15" s="7"/>
      <c r="CG15" s="7"/>
      <c r="CH15" s="7"/>
      <c r="CI15" s="7"/>
      <c r="CJ15" s="7"/>
      <c r="CK15" s="7"/>
      <c r="CL15" s="7"/>
      <c r="CM15" s="7"/>
      <c r="CN15" s="7"/>
    </row>
    <row r="16" spans="1:92">
      <c r="A16" s="262"/>
      <c r="B16" s="262" t="s">
        <v>847</v>
      </c>
      <c r="C16" s="264">
        <v>45013</v>
      </c>
      <c r="D16" s="198" t="s">
        <v>846</v>
      </c>
      <c r="E16" s="209" t="s">
        <v>3099</v>
      </c>
      <c r="H16" s="1"/>
      <c r="I16" s="165"/>
      <c r="J16" s="155"/>
      <c r="K16" s="105"/>
      <c r="L16" s="151"/>
      <c r="M16" s="205"/>
      <c r="N16" s="155"/>
      <c r="O16" s="165"/>
      <c r="W16" s="41"/>
      <c r="X16" s="27" t="s">
        <v>1836</v>
      </c>
      <c r="Y16" s="122" t="s">
        <v>1843</v>
      </c>
      <c r="Z16" s="56"/>
      <c r="AK16" s="7" t="s">
        <v>1181</v>
      </c>
      <c r="AL16" s="7" t="s">
        <v>1176</v>
      </c>
      <c r="AV16" s="7" t="s">
        <v>1385</v>
      </c>
      <c r="AW16" s="198">
        <v>2</v>
      </c>
      <c r="AZ16" s="7" t="s">
        <v>1257</v>
      </c>
      <c r="BA16" s="198">
        <v>1</v>
      </c>
      <c r="BD16" s="7" t="s">
        <v>1286</v>
      </c>
      <c r="BE16" s="7" t="s">
        <v>1318</v>
      </c>
      <c r="BQ16" s="7" t="s">
        <v>1359</v>
      </c>
    </row>
    <row r="17" spans="1:92">
      <c r="A17" s="262"/>
      <c r="B17" s="262"/>
      <c r="C17" s="265"/>
      <c r="D17" s="198" t="s">
        <v>847</v>
      </c>
      <c r="E17" s="209" t="s">
        <v>3100</v>
      </c>
      <c r="H17" s="41" t="s">
        <v>3486</v>
      </c>
      <c r="I17" s="165">
        <v>49.3</v>
      </c>
      <c r="J17" s="155">
        <v>40</v>
      </c>
      <c r="K17" s="105">
        <f t="shared" ref="K17:K27" si="0">I17-J17</f>
        <v>9.2999999999999972</v>
      </c>
      <c r="L17" s="151">
        <f>K17/J17</f>
        <v>0.23249999999999993</v>
      </c>
      <c r="M17" s="205">
        <f t="shared" ref="M17:M22" si="1">I17*(0.001425*0.5)+J17*(0.001425*0.5)+I17*0.003</f>
        <v>0.21152625</v>
      </c>
      <c r="N17" s="155">
        <f>K17-M17</f>
        <v>9.0884737499999968</v>
      </c>
      <c r="O17" s="30"/>
      <c r="W17" s="41"/>
      <c r="X17" s="27" t="s">
        <v>1837</v>
      </c>
      <c r="Y17" s="122" t="s">
        <v>1844</v>
      </c>
      <c r="Z17" s="56"/>
      <c r="AA17" s="7" t="s">
        <v>1167</v>
      </c>
      <c r="AK17" s="7" t="s">
        <v>1184</v>
      </c>
      <c r="AO17" s="7" t="s">
        <v>1185</v>
      </c>
      <c r="AS17" s="7" t="s">
        <v>1216</v>
      </c>
      <c r="AV17" s="7" t="s">
        <v>1384</v>
      </c>
      <c r="AW17" s="198">
        <v>2</v>
      </c>
      <c r="AZ17" s="7" t="s">
        <v>1264</v>
      </c>
      <c r="BA17" s="198">
        <v>1</v>
      </c>
      <c r="BD17" s="7" t="s">
        <v>1287</v>
      </c>
      <c r="BE17" s="7" t="s">
        <v>1319</v>
      </c>
      <c r="BQ17" s="7" t="s">
        <v>1360</v>
      </c>
    </row>
    <row r="18" spans="1:92">
      <c r="A18" s="262" t="s">
        <v>841</v>
      </c>
      <c r="B18" s="262" t="s">
        <v>845</v>
      </c>
      <c r="C18" s="264">
        <v>44800</v>
      </c>
      <c r="D18" s="245"/>
      <c r="E18" s="245"/>
      <c r="H18" s="41" t="s">
        <v>3425</v>
      </c>
      <c r="I18" s="165">
        <v>606.5</v>
      </c>
      <c r="J18" s="155">
        <v>527.6</v>
      </c>
      <c r="K18" s="105">
        <f t="shared" si="0"/>
        <v>78.899999999999977</v>
      </c>
      <c r="L18" s="151">
        <f>K18/J18</f>
        <v>0.14954510993176645</v>
      </c>
      <c r="M18" s="205">
        <f t="shared" si="1"/>
        <v>2.62754625</v>
      </c>
      <c r="N18" s="155">
        <f t="shared" ref="N18:N24" si="2">K18-M18</f>
        <v>76.272453749999983</v>
      </c>
      <c r="O18" s="40"/>
      <c r="W18" s="19" t="s">
        <v>1845</v>
      </c>
      <c r="X18" s="26" t="s">
        <v>1832</v>
      </c>
      <c r="Y18" s="149" t="s">
        <v>1839</v>
      </c>
      <c r="Z18" s="107"/>
      <c r="AA18" s="7" t="s">
        <v>1168</v>
      </c>
      <c r="AK18" s="7" t="s">
        <v>1187</v>
      </c>
      <c r="AL18" s="7" t="s">
        <v>1176</v>
      </c>
      <c r="AO18" s="7" t="s">
        <v>1188</v>
      </c>
      <c r="AS18" s="7" t="s">
        <v>1217</v>
      </c>
      <c r="AV18" s="7" t="s">
        <v>1383</v>
      </c>
      <c r="AW18" s="198">
        <v>1</v>
      </c>
      <c r="AX18" s="198">
        <v>4</v>
      </c>
      <c r="AZ18" s="7" t="s">
        <v>1270</v>
      </c>
      <c r="BA18" s="198">
        <v>1</v>
      </c>
      <c r="BD18" s="7" t="s">
        <v>1288</v>
      </c>
      <c r="BE18" s="7" t="s">
        <v>1320</v>
      </c>
      <c r="BQ18" s="7" t="s">
        <v>1361</v>
      </c>
    </row>
    <row r="19" spans="1:92">
      <c r="B19" s="262" t="s">
        <v>846</v>
      </c>
      <c r="C19" s="264">
        <v>44697</v>
      </c>
      <c r="H19" s="41" t="s">
        <v>3395</v>
      </c>
      <c r="I19" s="165">
        <v>0</v>
      </c>
      <c r="J19" s="155">
        <v>0</v>
      </c>
      <c r="K19" s="105">
        <f t="shared" si="0"/>
        <v>0</v>
      </c>
      <c r="L19" s="151">
        <v>0</v>
      </c>
      <c r="M19" s="205">
        <f t="shared" si="1"/>
        <v>0</v>
      </c>
      <c r="N19" s="155">
        <f t="shared" si="2"/>
        <v>0</v>
      </c>
      <c r="O19" s="13"/>
      <c r="W19" s="149"/>
      <c r="X19" s="26" t="s">
        <v>1833</v>
      </c>
      <c r="Y19" s="149" t="s">
        <v>1840</v>
      </c>
      <c r="Z19" s="56"/>
      <c r="AA19" s="7" t="s">
        <v>1170</v>
      </c>
      <c r="AK19" s="7" t="s">
        <v>1189</v>
      </c>
      <c r="AO19" s="7" t="s">
        <v>1185</v>
      </c>
      <c r="AP19" s="7" t="s">
        <v>1190</v>
      </c>
      <c r="AS19" s="7" t="s">
        <v>1220</v>
      </c>
      <c r="AV19" s="7" t="s">
        <v>1394</v>
      </c>
      <c r="AW19" s="198">
        <v>1</v>
      </c>
      <c r="AX19" s="198">
        <v>2</v>
      </c>
      <c r="BD19" s="7" t="s">
        <v>1289</v>
      </c>
      <c r="BE19" s="7" t="s">
        <v>1322</v>
      </c>
      <c r="BQ19" s="30" t="s">
        <v>1362</v>
      </c>
    </row>
    <row r="20" spans="1:92">
      <c r="C20" s="265"/>
      <c r="D20" s="245"/>
      <c r="H20" s="41" t="s">
        <v>3362</v>
      </c>
      <c r="I20" s="165">
        <v>528.6</v>
      </c>
      <c r="J20" s="155">
        <v>464.15</v>
      </c>
      <c r="K20" s="105">
        <f t="shared" si="0"/>
        <v>64.450000000000045</v>
      </c>
      <c r="L20" s="151">
        <f t="shared" ref="L20:L28" si="3">K20/J20</f>
        <v>0.13885597328449864</v>
      </c>
      <c r="M20" s="205">
        <f t="shared" si="1"/>
        <v>2.2931343750000002</v>
      </c>
      <c r="N20" s="155">
        <f t="shared" si="2"/>
        <v>62.156865625000044</v>
      </c>
      <c r="O20" s="30"/>
      <c r="W20" s="122"/>
      <c r="X20" s="5"/>
      <c r="Y20" s="11"/>
      <c r="Z20" s="56"/>
      <c r="AA20" s="7" t="s">
        <v>1172</v>
      </c>
      <c r="AK20" s="7" t="s">
        <v>1191</v>
      </c>
      <c r="AM20" s="7" t="s">
        <v>1175</v>
      </c>
      <c r="AO20" s="7" t="s">
        <v>1188</v>
      </c>
      <c r="AS20" s="7" t="s">
        <v>1224</v>
      </c>
      <c r="AV20" s="7" t="s">
        <v>1379</v>
      </c>
      <c r="AW20" s="198">
        <v>1</v>
      </c>
      <c r="AX20" s="198">
        <v>1</v>
      </c>
      <c r="BD20" s="7" t="s">
        <v>1290</v>
      </c>
      <c r="BQ20" s="7" t="s">
        <v>1363</v>
      </c>
    </row>
    <row r="21" spans="1:92">
      <c r="A21" s="262" t="s">
        <v>272</v>
      </c>
      <c r="B21" s="262" t="s">
        <v>3465</v>
      </c>
      <c r="C21" s="264">
        <v>44847</v>
      </c>
      <c r="H21" s="41" t="s">
        <v>3343</v>
      </c>
      <c r="I21" s="165">
        <v>175.1</v>
      </c>
      <c r="J21" s="155">
        <v>160.30000000000001</v>
      </c>
      <c r="K21" s="105">
        <f t="shared" si="0"/>
        <v>14.799999999999983</v>
      </c>
      <c r="L21" s="151">
        <f t="shared" si="3"/>
        <v>9.23268870867123E-2</v>
      </c>
      <c r="M21" s="205">
        <f t="shared" si="1"/>
        <v>0.76427250000000002</v>
      </c>
      <c r="N21" s="155">
        <f t="shared" si="2"/>
        <v>14.035727499999982</v>
      </c>
      <c r="O21" s="7"/>
      <c r="W21" s="122"/>
      <c r="X21" s="5"/>
      <c r="Y21" s="11"/>
      <c r="Z21" s="56"/>
      <c r="AK21" s="7" t="s">
        <v>1192</v>
      </c>
      <c r="AO21" s="7" t="s">
        <v>1185</v>
      </c>
      <c r="AS21" s="7" t="s">
        <v>1225</v>
      </c>
      <c r="AV21" s="7" t="s">
        <v>1401</v>
      </c>
      <c r="AW21" s="198">
        <v>1</v>
      </c>
      <c r="AX21" s="198">
        <v>1</v>
      </c>
      <c r="AZ21" s="7" t="s">
        <v>1269</v>
      </c>
      <c r="BD21" s="7" t="s">
        <v>1291</v>
      </c>
      <c r="BQ21" s="7" t="s">
        <v>1364</v>
      </c>
    </row>
    <row r="22" spans="1:92">
      <c r="B22" s="262" t="s">
        <v>846</v>
      </c>
      <c r="C22" s="264">
        <v>44747</v>
      </c>
      <c r="H22" s="41" t="s">
        <v>3276</v>
      </c>
      <c r="I22" s="165">
        <v>5598.6</v>
      </c>
      <c r="J22" s="155">
        <v>5343.05</v>
      </c>
      <c r="K22" s="105">
        <f t="shared" si="0"/>
        <v>255.55000000000018</v>
      </c>
      <c r="L22" s="151">
        <f t="shared" si="3"/>
        <v>4.782848747438264E-2</v>
      </c>
      <c r="M22" s="205">
        <f t="shared" si="1"/>
        <v>24.591725625000002</v>
      </c>
      <c r="N22" s="155">
        <f t="shared" si="2"/>
        <v>230.95827437500017</v>
      </c>
      <c r="O22" s="165"/>
      <c r="AA22" s="198"/>
      <c r="AK22" s="7" t="s">
        <v>1201</v>
      </c>
      <c r="AO22" s="7" t="s">
        <v>1188</v>
      </c>
      <c r="AS22" s="7" t="s">
        <v>1231</v>
      </c>
      <c r="AV22" s="7" t="s">
        <v>1381</v>
      </c>
      <c r="AW22" s="198">
        <v>1</v>
      </c>
      <c r="AX22" s="198">
        <v>1</v>
      </c>
      <c r="BD22" s="7" t="s">
        <v>1292</v>
      </c>
      <c r="BQ22" s="7" t="s">
        <v>1365</v>
      </c>
    </row>
    <row r="23" spans="1:92">
      <c r="B23" s="262" t="s">
        <v>3478</v>
      </c>
      <c r="C23" s="264" t="s">
        <v>3479</v>
      </c>
      <c r="D23" s="262" t="s">
        <v>3481</v>
      </c>
      <c r="H23" s="41" t="s">
        <v>3156</v>
      </c>
      <c r="I23" s="165">
        <v>4124</v>
      </c>
      <c r="J23" s="155">
        <v>3941</v>
      </c>
      <c r="K23" s="105">
        <f t="shared" si="0"/>
        <v>183</v>
      </c>
      <c r="L23" s="151">
        <f t="shared" si="3"/>
        <v>4.6434914996193857E-2</v>
      </c>
      <c r="M23" s="205">
        <f>I23*(0.001425*0.65)+J23*(0.001425*0.65)+I23*0.003</f>
        <v>19.84220625</v>
      </c>
      <c r="N23" s="155">
        <f t="shared" si="2"/>
        <v>163.15779375</v>
      </c>
      <c r="O23" s="165"/>
      <c r="AA23" s="198"/>
      <c r="AK23" s="7" t="s">
        <v>1205</v>
      </c>
      <c r="AO23" s="7" t="s">
        <v>1185</v>
      </c>
      <c r="AQ23" s="7" t="s">
        <v>1206</v>
      </c>
      <c r="AS23" s="7" t="s">
        <v>1240</v>
      </c>
      <c r="AV23" s="7" t="s">
        <v>1392</v>
      </c>
      <c r="AW23" s="198">
        <v>1</v>
      </c>
      <c r="BD23" s="7" t="s">
        <v>1293</v>
      </c>
      <c r="BQ23" s="7" t="s">
        <v>1368</v>
      </c>
    </row>
    <row r="24" spans="1:92">
      <c r="A24" s="262" t="s">
        <v>3482</v>
      </c>
      <c r="B24" s="262">
        <v>29467359</v>
      </c>
      <c r="C24" s="264" t="s">
        <v>3480</v>
      </c>
      <c r="D24" s="87" t="s">
        <v>4733</v>
      </c>
      <c r="H24" s="41" t="s">
        <v>3063</v>
      </c>
      <c r="I24" s="165">
        <v>1672.55</v>
      </c>
      <c r="J24" s="155">
        <v>1594.82</v>
      </c>
      <c r="K24" s="105">
        <f t="shared" si="0"/>
        <v>77.730000000000018</v>
      </c>
      <c r="L24" s="151">
        <f t="shared" si="3"/>
        <v>4.8739042650581273E-2</v>
      </c>
      <c r="M24" s="205">
        <f>I24*(0.001425*0.65)+J24*(0.001425*0.65)+I24*0.003</f>
        <v>8.0440514625000006</v>
      </c>
      <c r="N24" s="155">
        <f t="shared" si="2"/>
        <v>69.685948537500025</v>
      </c>
      <c r="O24" s="165"/>
      <c r="AA24" s="198"/>
      <c r="AK24" s="7" t="s">
        <v>1208</v>
      </c>
      <c r="AQ24" s="7" t="s">
        <v>1209</v>
      </c>
      <c r="AS24" s="7" t="s">
        <v>1232</v>
      </c>
      <c r="AV24" s="7" t="s">
        <v>1387</v>
      </c>
      <c r="AW24" s="198">
        <v>1</v>
      </c>
      <c r="BD24" s="7" t="s">
        <v>1294</v>
      </c>
      <c r="BQ24" s="7" t="s">
        <v>1366</v>
      </c>
    </row>
    <row r="25" spans="1:92">
      <c r="C25" s="264"/>
      <c r="D25" s="2"/>
      <c r="H25" s="41" t="s">
        <v>3048</v>
      </c>
      <c r="I25" s="165">
        <v>990.9</v>
      </c>
      <c r="J25" s="155">
        <v>937.75</v>
      </c>
      <c r="K25" s="105">
        <f t="shared" si="0"/>
        <v>53.149999999999977</v>
      </c>
      <c r="L25" s="151">
        <f t="shared" si="3"/>
        <v>5.6678219141562229E-2</v>
      </c>
      <c r="M25" s="205">
        <f>I25*(0.001425*0.65)+J25*(0.001425*0.65)+I25*0.003</f>
        <v>4.7591120624999999</v>
      </c>
      <c r="N25" s="155">
        <f>K25-M25</f>
        <v>48.390887937499976</v>
      </c>
      <c r="O25" s="165"/>
      <c r="AA25" s="198"/>
    </row>
    <row r="26" spans="1:92">
      <c r="A26" s="27" t="s">
        <v>3086</v>
      </c>
      <c r="B26" s="87" t="s">
        <v>1129</v>
      </c>
      <c r="C26" s="87" t="s">
        <v>1135</v>
      </c>
      <c r="D26" s="87" t="s">
        <v>1137</v>
      </c>
      <c r="E26" s="87" t="s">
        <v>1126</v>
      </c>
      <c r="H26" s="41" t="s">
        <v>2901</v>
      </c>
      <c r="I26" s="165">
        <v>1351.95</v>
      </c>
      <c r="J26" s="155">
        <v>1318.8</v>
      </c>
      <c r="K26" s="105">
        <f t="shared" si="0"/>
        <v>33.150000000000091</v>
      </c>
      <c r="L26" s="151">
        <f t="shared" si="3"/>
        <v>2.5136487716105622E-2</v>
      </c>
      <c r="M26" s="205">
        <f>I26*(0.001425*0.65)+J26*(0.001425*0.65)+I26*0.003</f>
        <v>6.5296321875000007</v>
      </c>
      <c r="N26" s="155">
        <f>K26-M26</f>
        <v>26.620367812500092</v>
      </c>
      <c r="O26" s="165"/>
      <c r="AA26" s="198"/>
    </row>
    <row r="27" spans="1:92">
      <c r="B27" s="244" t="s">
        <v>1130</v>
      </c>
      <c r="C27" s="244" t="s">
        <v>1136</v>
      </c>
      <c r="D27" s="244" t="s">
        <v>1138</v>
      </c>
      <c r="E27" s="244" t="s">
        <v>1127</v>
      </c>
      <c r="H27" s="41" t="s">
        <v>2257</v>
      </c>
      <c r="I27" s="165">
        <v>208.2</v>
      </c>
      <c r="J27" s="155">
        <v>174.3</v>
      </c>
      <c r="K27" s="105">
        <f t="shared" si="0"/>
        <v>33.899999999999977</v>
      </c>
      <c r="L27" s="151">
        <f t="shared" si="3"/>
        <v>0.19449225473321843</v>
      </c>
      <c r="M27" s="205">
        <f>I27*(0.001425*0.65)+J27*(0.001425*0.65)+I27*0.003</f>
        <v>0.97889062500000001</v>
      </c>
      <c r="N27" s="155">
        <f>K27-M27</f>
        <v>32.921109374999979</v>
      </c>
      <c r="O27" s="165"/>
      <c r="AA27" s="198"/>
    </row>
    <row r="28" spans="1:92">
      <c r="B28" s="242" t="s">
        <v>1131</v>
      </c>
      <c r="C28" s="242" t="s">
        <v>1128</v>
      </c>
      <c r="D28" s="242" t="s">
        <v>1128</v>
      </c>
      <c r="E28" s="242" t="s">
        <v>1128</v>
      </c>
      <c r="H28" s="1" t="s">
        <v>3073</v>
      </c>
      <c r="I28" s="165">
        <f>SUM(I17:I27)</f>
        <v>15305.7</v>
      </c>
      <c r="J28" s="155">
        <f>SUM(J17:J27)</f>
        <v>14501.769999999999</v>
      </c>
      <c r="K28" s="162">
        <f>SUM(K17:K27)</f>
        <v>803.93000000000029</v>
      </c>
      <c r="L28" s="151">
        <f t="shared" si="3"/>
        <v>5.5436681177539041E-2</v>
      </c>
      <c r="M28" s="205">
        <f>SUM(M18:M27)</f>
        <v>70.430571337500012</v>
      </c>
      <c r="N28" s="155">
        <f>SUM(N18:N27)</f>
        <v>724.1994286625004</v>
      </c>
      <c r="O28" s="165">
        <f>I28/10</f>
        <v>1530.5700000000002</v>
      </c>
      <c r="AA28" s="198"/>
    </row>
    <row r="29" spans="1:92">
      <c r="B29" s="242"/>
      <c r="C29" s="242"/>
      <c r="D29" s="242"/>
      <c r="E29" s="242"/>
      <c r="AA29" s="198"/>
    </row>
    <row r="30" spans="1:92">
      <c r="A30" s="198" t="s">
        <v>3522</v>
      </c>
      <c r="B30" s="269" t="s">
        <v>3523</v>
      </c>
      <c r="C30" s="242"/>
      <c r="D30" s="242" t="s">
        <v>3566</v>
      </c>
      <c r="E30" s="242" t="s">
        <v>3567</v>
      </c>
      <c r="AA30" s="198"/>
      <c r="AK30" s="7" t="s">
        <v>1212</v>
      </c>
      <c r="AQ30" s="7" t="s">
        <v>1209</v>
      </c>
      <c r="AS30" s="7" t="s">
        <v>1233</v>
      </c>
      <c r="AV30" s="7" t="s">
        <v>1378</v>
      </c>
      <c r="AW30" s="198">
        <v>1</v>
      </c>
      <c r="BD30" s="7" t="s">
        <v>1313</v>
      </c>
      <c r="BQ30" s="7" t="s">
        <v>1367</v>
      </c>
      <c r="CE30" s="7"/>
      <c r="CF30" s="7"/>
      <c r="CG30" s="7"/>
      <c r="CH30" s="7"/>
      <c r="CI30" s="7"/>
      <c r="CJ30" s="7"/>
      <c r="CK30" s="7"/>
      <c r="CL30" s="7"/>
      <c r="CM30" s="7"/>
      <c r="CN30" s="7"/>
    </row>
    <row r="31" spans="1:92">
      <c r="B31" s="30" t="s">
        <v>3375</v>
      </c>
      <c r="C31" s="245"/>
      <c r="D31" s="26" t="s">
        <v>3377</v>
      </c>
      <c r="AA31" s="198"/>
      <c r="AS31" s="7" t="s">
        <v>1235</v>
      </c>
      <c r="AV31" s="7" t="s">
        <v>1388</v>
      </c>
      <c r="BD31" s="7" t="s">
        <v>1314</v>
      </c>
      <c r="BQ31" s="30" t="s">
        <v>1369</v>
      </c>
    </row>
    <row r="32" spans="1:92">
      <c r="A32" s="198" t="s">
        <v>3457</v>
      </c>
      <c r="B32" s="270" t="s">
        <v>3376</v>
      </c>
      <c r="C32" s="106"/>
      <c r="D32" s="271" t="s">
        <v>3378</v>
      </c>
      <c r="AA32" s="198"/>
      <c r="BQ32" s="30"/>
    </row>
    <row r="33" spans="1:82">
      <c r="A33" s="198" t="s">
        <v>3458</v>
      </c>
      <c r="B33" s="106" t="s">
        <v>3461</v>
      </c>
      <c r="C33" s="106"/>
      <c r="D33" s="271" t="s">
        <v>3460</v>
      </c>
      <c r="AA33" s="198"/>
      <c r="BQ33" s="30"/>
    </row>
    <row r="34" spans="1:82">
      <c r="A34" s="198" t="s">
        <v>3459</v>
      </c>
      <c r="B34" t="s">
        <v>3462</v>
      </c>
      <c r="C34" s="242"/>
      <c r="D34" s="269" t="s">
        <v>3463</v>
      </c>
      <c r="AA34" s="198"/>
      <c r="BQ34" s="30"/>
    </row>
    <row r="35" spans="1:82">
      <c r="C35" s="244"/>
      <c r="D35" s="244"/>
      <c r="AA35" s="198"/>
      <c r="BQ35" s="30"/>
    </row>
    <row r="36" spans="1:82">
      <c r="A36" s="228" t="s">
        <v>3208</v>
      </c>
      <c r="B36" s="267" t="s">
        <v>1132</v>
      </c>
      <c r="C36" s="8"/>
      <c r="D36" s="130" t="s">
        <v>849</v>
      </c>
      <c r="E36" s="228" t="s">
        <v>1562</v>
      </c>
      <c r="AS36" s="7" t="s">
        <v>1238</v>
      </c>
      <c r="AV36" s="7" t="s">
        <v>1391</v>
      </c>
      <c r="BQ36" s="7" t="s">
        <v>1372</v>
      </c>
    </row>
    <row r="37" spans="1:82">
      <c r="A37" s="244" t="s">
        <v>1139</v>
      </c>
      <c r="B37" s="244" t="s">
        <v>1140</v>
      </c>
      <c r="C37" s="244" t="s">
        <v>1141</v>
      </c>
      <c r="D37" s="244" t="s">
        <v>1142</v>
      </c>
      <c r="AA37" s="198"/>
      <c r="AK37" s="7" t="s">
        <v>1267</v>
      </c>
      <c r="AL37" s="7" t="s">
        <v>1268</v>
      </c>
      <c r="AS37" s="7" t="s">
        <v>1236</v>
      </c>
      <c r="AV37" s="7" t="s">
        <v>1389</v>
      </c>
      <c r="BD37" s="7" t="s">
        <v>1315</v>
      </c>
      <c r="BQ37" s="7" t="s">
        <v>1370</v>
      </c>
    </row>
    <row r="38" spans="1:82">
      <c r="A38" s="244" t="s">
        <v>1143</v>
      </c>
      <c r="B38" s="244" t="s">
        <v>1140</v>
      </c>
      <c r="C38" s="244" t="s">
        <v>1141</v>
      </c>
      <c r="D38" s="273" t="s">
        <v>1144</v>
      </c>
      <c r="AA38" s="198"/>
      <c r="AS38" s="7" t="s">
        <v>1237</v>
      </c>
      <c r="AV38" s="7" t="s">
        <v>1390</v>
      </c>
      <c r="BD38" s="7" t="s">
        <v>1321</v>
      </c>
      <c r="BQ38" s="7" t="s">
        <v>1371</v>
      </c>
      <c r="BW38" s="8"/>
      <c r="BX38" s="8"/>
      <c r="BY38" s="8"/>
      <c r="BZ38" s="8"/>
      <c r="CA38" s="8"/>
      <c r="CB38" s="8"/>
      <c r="CC38" s="8"/>
      <c r="CD38" s="8"/>
    </row>
    <row r="39" spans="1:82">
      <c r="A39" s="244" t="s">
        <v>1559</v>
      </c>
      <c r="B39" s="244" t="s">
        <v>1560</v>
      </c>
      <c r="C39" s="244" t="s">
        <v>1561</v>
      </c>
      <c r="AS39" s="7" t="s">
        <v>1239</v>
      </c>
      <c r="BQ39" s="7" t="s">
        <v>1373</v>
      </c>
    </row>
    <row r="40" spans="1:82">
      <c r="A40" s="244" t="s">
        <v>1556</v>
      </c>
      <c r="B40" s="266" t="s">
        <v>1557</v>
      </c>
      <c r="D40" s="244" t="s">
        <v>1558</v>
      </c>
      <c r="AV40" s="7" t="s">
        <v>1393</v>
      </c>
      <c r="BQ40" s="7" t="s">
        <v>1374</v>
      </c>
    </row>
    <row r="41" spans="1:82">
      <c r="A41" s="198" t="s">
        <v>3396</v>
      </c>
      <c r="B41" s="198" t="s">
        <v>3397</v>
      </c>
      <c r="C41" s="198" t="s">
        <v>3399</v>
      </c>
      <c r="D41" s="198" t="s">
        <v>3398</v>
      </c>
      <c r="E41" s="245"/>
      <c r="BQ41" s="7" t="s">
        <v>1375</v>
      </c>
    </row>
    <row r="42" spans="1:82">
      <c r="A42" s="244"/>
      <c r="B42" s="244"/>
      <c r="C42" s="244"/>
      <c r="D42" s="244"/>
      <c r="E42" s="244"/>
      <c r="F42" s="7"/>
      <c r="G42" s="7"/>
      <c r="H42" s="7"/>
      <c r="J42" s="24"/>
      <c r="K42" s="7"/>
      <c r="N42" s="206"/>
      <c r="O42" s="66"/>
      <c r="P42" s="7"/>
      <c r="T42" s="7"/>
      <c r="U42" s="7"/>
      <c r="AQ42" s="198"/>
      <c r="AR42" s="198"/>
      <c r="AU42" s="198"/>
      <c r="AV42" s="198"/>
      <c r="AW42" s="7"/>
      <c r="AX42" s="7"/>
      <c r="BA42" s="7"/>
      <c r="BB42" s="7"/>
      <c r="BK42" s="7" t="s">
        <v>1376</v>
      </c>
      <c r="BN42" s="22"/>
      <c r="BO42" s="9"/>
      <c r="BP42" s="20"/>
      <c r="BQ42" s="30"/>
      <c r="BR42" s="50"/>
      <c r="BS42" s="1"/>
      <c r="BT42" s="1"/>
      <c r="BU42" s="30"/>
      <c r="BV42" s="50"/>
      <c r="BW42" s="1"/>
      <c r="BX42" s="1"/>
      <c r="BY42" s="245"/>
      <c r="BZ42" s="245"/>
      <c r="CA42" s="245"/>
      <c r="CB42" s="245"/>
      <c r="CC42" s="245"/>
      <c r="CD42" s="245"/>
    </row>
    <row r="43" spans="1:82">
      <c r="A43" s="42" t="s">
        <v>184</v>
      </c>
      <c r="B43" s="244"/>
      <c r="C43" s="2" t="s">
        <v>1621</v>
      </c>
      <c r="E43" s="244"/>
      <c r="I43" s="51"/>
      <c r="L43" s="139"/>
      <c r="O43" s="51"/>
      <c r="T43" s="166"/>
      <c r="AU43" s="198"/>
      <c r="AV43" s="198"/>
      <c r="AW43" s="7"/>
      <c r="AX43" s="7"/>
      <c r="AY43" s="198"/>
      <c r="AZ43" s="198"/>
      <c r="BA43" s="7"/>
      <c r="BB43" s="7"/>
      <c r="BR43" s="22"/>
      <c r="BS43" s="9"/>
      <c r="BT43" s="20"/>
      <c r="BU43" s="30"/>
      <c r="BV43" s="50"/>
      <c r="BW43" s="1"/>
      <c r="BX43" s="1"/>
      <c r="BY43" s="30"/>
      <c r="BZ43" s="50"/>
      <c r="CA43" s="1"/>
      <c r="CB43" s="1"/>
      <c r="CC43" s="245"/>
      <c r="CD43" s="245"/>
    </row>
    <row r="44" spans="1:82">
      <c r="A44" s="20" t="s">
        <v>185</v>
      </c>
      <c r="B44" s="244"/>
      <c r="C44" s="2" t="s">
        <v>1622</v>
      </c>
      <c r="E44" s="244"/>
      <c r="I44" s="51"/>
      <c r="L44" s="139"/>
      <c r="O44" s="51"/>
      <c r="T44" s="204"/>
      <c r="AU44" s="198"/>
      <c r="AV44" s="198"/>
      <c r="AW44" s="7"/>
      <c r="AX44" s="7"/>
      <c r="AY44" s="198"/>
      <c r="AZ44" s="198"/>
      <c r="BA44" s="7"/>
      <c r="BB44" s="7"/>
      <c r="BR44" s="22"/>
      <c r="BS44" s="9"/>
      <c r="BT44" s="20"/>
      <c r="BU44" s="30"/>
      <c r="BV44" s="50"/>
      <c r="BW44" s="1"/>
      <c r="BX44" s="1"/>
      <c r="BY44" s="30"/>
      <c r="BZ44" s="50"/>
      <c r="CA44" s="1"/>
      <c r="CB44" s="1"/>
      <c r="CC44" s="245"/>
      <c r="CD44" s="245"/>
    </row>
    <row r="45" spans="1:82">
      <c r="A45" s="2" t="s">
        <v>186</v>
      </c>
      <c r="B45" s="244"/>
      <c r="C45" s="2" t="s">
        <v>1623</v>
      </c>
      <c r="E45" s="244"/>
      <c r="H45" s="7"/>
      <c r="I45" s="51"/>
      <c r="L45" s="139"/>
      <c r="O45" s="51"/>
      <c r="T45" s="204"/>
      <c r="W45" s="198"/>
      <c r="X45" s="198"/>
      <c r="Y45" s="198"/>
      <c r="Z45" s="198"/>
      <c r="AU45" s="198"/>
      <c r="AV45" s="198"/>
      <c r="AW45" s="7"/>
      <c r="AX45" s="7"/>
      <c r="AY45" s="198"/>
      <c r="AZ45" s="198"/>
      <c r="BA45" s="7"/>
      <c r="BB45" s="7"/>
      <c r="BR45" s="22"/>
      <c r="BS45" s="9"/>
      <c r="BT45" s="20"/>
      <c r="BU45" s="30"/>
      <c r="BV45" s="50"/>
      <c r="BW45" s="1"/>
      <c r="BX45" s="1"/>
      <c r="BY45" s="30"/>
      <c r="BZ45" s="50"/>
      <c r="CA45" s="1"/>
      <c r="CB45" s="1"/>
      <c r="CC45" s="245"/>
      <c r="CD45" s="245"/>
    </row>
    <row r="46" spans="1:82">
      <c r="A46" s="12" t="s">
        <v>187</v>
      </c>
      <c r="B46" s="244"/>
      <c r="C46" s="2" t="s">
        <v>1624</v>
      </c>
      <c r="E46" s="244"/>
      <c r="H46" s="7"/>
      <c r="I46" s="51"/>
      <c r="L46" s="139"/>
      <c r="O46" s="51"/>
      <c r="T46" s="204"/>
      <c r="AU46" s="198"/>
      <c r="AV46" s="198"/>
      <c r="AW46" s="7"/>
      <c r="AX46" s="7"/>
      <c r="AY46" s="198"/>
      <c r="AZ46" s="198"/>
      <c r="BA46" s="7"/>
      <c r="BB46" s="7"/>
      <c r="BR46" s="22"/>
      <c r="BS46" s="9"/>
      <c r="BT46" s="20"/>
      <c r="BU46" s="30"/>
      <c r="BV46" s="50"/>
      <c r="BW46" s="1"/>
      <c r="BX46" s="1"/>
      <c r="BY46" s="30"/>
      <c r="BZ46" s="50"/>
      <c r="CA46" s="1"/>
      <c r="CB46" s="1"/>
      <c r="CC46" s="245"/>
      <c r="CD46" s="245"/>
    </row>
    <row r="47" spans="1:82">
      <c r="A47" s="2" t="s">
        <v>188</v>
      </c>
      <c r="B47" s="244"/>
      <c r="C47" s="2" t="s">
        <v>1625</v>
      </c>
      <c r="E47" s="244"/>
      <c r="H47" s="7"/>
      <c r="I47" s="51"/>
      <c r="K47" s="198"/>
      <c r="L47" s="139"/>
      <c r="O47" s="51"/>
      <c r="T47" s="204"/>
      <c r="AU47" s="198"/>
      <c r="AV47" s="198"/>
      <c r="AW47" s="7"/>
      <c r="AX47" s="7"/>
      <c r="AY47" s="198"/>
      <c r="AZ47" s="198"/>
      <c r="BA47" s="7"/>
      <c r="BB47" s="7"/>
      <c r="BR47" s="22"/>
      <c r="BS47" s="9"/>
      <c r="BT47" s="20"/>
      <c r="BU47" s="30"/>
      <c r="BV47" s="50"/>
      <c r="BW47" s="1"/>
      <c r="BX47" s="1"/>
      <c r="BY47" s="30"/>
      <c r="BZ47" s="50"/>
      <c r="CA47" s="1"/>
      <c r="CB47" s="1"/>
      <c r="CC47" s="245"/>
      <c r="CD47" s="245"/>
    </row>
    <row r="48" spans="1:82">
      <c r="A48" s="12" t="s">
        <v>189</v>
      </c>
      <c r="B48" s="244"/>
      <c r="C48" s="2" t="s">
        <v>1626</v>
      </c>
      <c r="E48" s="244"/>
      <c r="F48" s="7"/>
      <c r="G48" s="7"/>
      <c r="H48" s="7"/>
      <c r="I48" s="91"/>
      <c r="J48" s="91"/>
      <c r="K48" s="198"/>
      <c r="O48" s="91"/>
      <c r="T48" s="204"/>
      <c r="AU48" s="198"/>
      <c r="AV48" s="198"/>
      <c r="AW48" s="7"/>
      <c r="AX48" s="7"/>
      <c r="AY48" s="198"/>
      <c r="AZ48" s="198"/>
      <c r="BA48" s="7"/>
      <c r="BB48" s="7"/>
      <c r="BR48" s="22"/>
      <c r="BS48" s="9"/>
      <c r="BT48" s="20"/>
      <c r="BU48" s="30"/>
      <c r="BV48" s="50"/>
      <c r="BW48" s="1"/>
      <c r="BX48" s="1"/>
      <c r="BY48" s="30"/>
      <c r="BZ48" s="50"/>
      <c r="CA48" s="1"/>
      <c r="CB48" s="1"/>
      <c r="CC48" s="245"/>
      <c r="CD48" s="245"/>
    </row>
    <row r="49" spans="1:90">
      <c r="A49" s="2" t="s">
        <v>190</v>
      </c>
      <c r="B49" s="244"/>
      <c r="C49" s="22" t="s">
        <v>1627</v>
      </c>
      <c r="E49" s="244"/>
      <c r="F49" s="7"/>
      <c r="G49" s="7"/>
      <c r="H49" s="7"/>
      <c r="I49" s="132"/>
      <c r="J49" s="91"/>
      <c r="K49" s="198"/>
      <c r="O49" s="132"/>
      <c r="T49" s="204"/>
      <c r="AU49" s="198"/>
      <c r="AV49" s="198"/>
      <c r="AW49" s="7"/>
      <c r="AX49" s="7"/>
      <c r="AY49" s="198"/>
      <c r="AZ49" s="198"/>
      <c r="BA49" s="7"/>
      <c r="BB49" s="7"/>
      <c r="BR49" s="22"/>
      <c r="BS49" s="9"/>
      <c r="BT49" s="20"/>
      <c r="BU49" s="30"/>
      <c r="BV49" s="50"/>
      <c r="BW49" s="1"/>
      <c r="BX49" s="1"/>
      <c r="BY49" s="30"/>
      <c r="BZ49" s="50"/>
      <c r="CA49" s="1"/>
      <c r="CB49" s="1"/>
      <c r="CC49" s="245"/>
      <c r="CD49" s="245"/>
    </row>
    <row r="50" spans="1:90">
      <c r="A50" s="12" t="s">
        <v>191</v>
      </c>
      <c r="B50" s="244"/>
      <c r="C50" s="22" t="s">
        <v>1628</v>
      </c>
      <c r="E50" s="244"/>
      <c r="F50" s="7"/>
      <c r="G50" s="7"/>
      <c r="H50" s="7"/>
      <c r="I50" s="91"/>
      <c r="J50" s="91"/>
      <c r="K50" s="198"/>
      <c r="O50" s="91"/>
      <c r="T50" s="204"/>
      <c r="AU50" s="198"/>
      <c r="AV50" s="198"/>
      <c r="AW50" s="7"/>
      <c r="AX50" s="7"/>
      <c r="AY50" s="198"/>
      <c r="AZ50" s="198"/>
      <c r="BA50" s="7"/>
      <c r="BB50" s="7"/>
      <c r="BR50" s="22"/>
      <c r="BS50" s="9"/>
      <c r="BT50" s="20"/>
      <c r="BU50" s="30"/>
      <c r="BV50" s="50"/>
      <c r="BW50" s="1"/>
      <c r="BX50" s="1"/>
      <c r="BY50" s="30"/>
      <c r="BZ50" s="50"/>
      <c r="CA50" s="1"/>
      <c r="CB50" s="1"/>
      <c r="CC50" s="245"/>
      <c r="CD50" s="245"/>
    </row>
    <row r="51" spans="1:90">
      <c r="A51" s="2" t="s">
        <v>192</v>
      </c>
      <c r="B51" s="244"/>
      <c r="C51" s="22" t="s">
        <v>1629</v>
      </c>
      <c r="E51" s="244"/>
      <c r="F51" s="7"/>
      <c r="G51" s="7"/>
      <c r="H51" s="122"/>
      <c r="I51" s="91"/>
      <c r="J51" s="91"/>
      <c r="K51" s="198"/>
      <c r="O51" s="91"/>
      <c r="T51" s="204"/>
      <c r="AU51" s="198"/>
      <c r="AV51" s="198"/>
      <c r="AW51" s="7"/>
      <c r="AX51" s="7"/>
      <c r="AY51" s="198"/>
      <c r="AZ51" s="198"/>
      <c r="BA51" s="7"/>
      <c r="BB51" s="7"/>
      <c r="BR51" s="22"/>
      <c r="BS51" s="9"/>
      <c r="BT51" s="20"/>
      <c r="BU51" s="30"/>
      <c r="BV51" s="50"/>
      <c r="BW51" s="1"/>
      <c r="BX51" s="1"/>
      <c r="BY51" s="30"/>
      <c r="BZ51" s="50"/>
      <c r="CA51" s="1"/>
      <c r="CB51" s="1"/>
      <c r="CC51" s="245"/>
      <c r="CD51" s="245"/>
    </row>
    <row r="52" spans="1:90">
      <c r="A52" s="12" t="s">
        <v>193</v>
      </c>
      <c r="B52" s="244"/>
      <c r="C52" s="22" t="s">
        <v>1630</v>
      </c>
      <c r="E52" s="244"/>
      <c r="F52" s="7"/>
      <c r="G52" s="7"/>
      <c r="H52" s="122"/>
      <c r="I52" s="91"/>
      <c r="J52" s="91"/>
      <c r="K52" s="198"/>
      <c r="O52" s="91"/>
      <c r="AU52" s="198"/>
      <c r="AV52" s="198"/>
      <c r="AW52" s="7"/>
      <c r="AX52" s="7"/>
      <c r="AY52" s="198"/>
      <c r="AZ52" s="198"/>
      <c r="BA52" s="7"/>
      <c r="BB52" s="7"/>
      <c r="BR52" s="22"/>
      <c r="BS52" s="9"/>
      <c r="BT52" s="20"/>
      <c r="BU52" s="30"/>
      <c r="BV52" s="50"/>
      <c r="BW52" s="1"/>
      <c r="BX52" s="1"/>
      <c r="BY52" s="30"/>
      <c r="BZ52" s="50"/>
      <c r="CA52" s="1"/>
      <c r="CB52" s="1"/>
      <c r="CC52" s="245"/>
      <c r="CD52" s="245"/>
    </row>
    <row r="53" spans="1:90">
      <c r="A53" s="2" t="s">
        <v>194</v>
      </c>
      <c r="B53" s="244"/>
      <c r="C53" s="22" t="s">
        <v>1631</v>
      </c>
      <c r="E53" s="244"/>
      <c r="F53" s="7"/>
      <c r="G53" s="7"/>
      <c r="H53" s="122"/>
      <c r="AU53" s="198"/>
      <c r="AV53" s="198"/>
      <c r="AW53" s="7"/>
      <c r="AX53" s="7"/>
      <c r="AY53" s="198"/>
      <c r="AZ53" s="198"/>
      <c r="BA53" s="7"/>
      <c r="BB53" s="7"/>
      <c r="BR53" s="22"/>
      <c r="BS53" s="9"/>
      <c r="BT53" s="20"/>
      <c r="BU53" s="30"/>
      <c r="BV53" s="50"/>
      <c r="BW53" s="1"/>
      <c r="BX53" s="1"/>
      <c r="BY53" s="30"/>
      <c r="BZ53" s="50"/>
      <c r="CA53" s="1"/>
      <c r="CB53" s="1"/>
      <c r="CC53" s="245"/>
      <c r="CD53" s="245"/>
    </row>
    <row r="54" spans="1:90">
      <c r="A54" s="12" t="s">
        <v>195</v>
      </c>
      <c r="B54" s="244"/>
      <c r="C54" s="2" t="s">
        <v>1632</v>
      </c>
      <c r="E54" s="244"/>
      <c r="F54" s="27"/>
      <c r="G54" s="27"/>
      <c r="H54" s="122"/>
      <c r="AU54" s="198"/>
      <c r="AV54" s="198"/>
      <c r="AW54" s="7"/>
      <c r="AX54" s="7"/>
      <c r="AY54" s="198"/>
      <c r="AZ54" s="198"/>
      <c r="BA54" s="7"/>
      <c r="BB54" s="7"/>
      <c r="BR54" s="22"/>
      <c r="BS54" s="9"/>
      <c r="BT54" s="20"/>
      <c r="BU54" s="30"/>
      <c r="BV54" s="50"/>
      <c r="BW54" s="1"/>
      <c r="BX54" s="1"/>
      <c r="BY54" s="30"/>
      <c r="BZ54" s="50"/>
      <c r="CA54" s="1"/>
      <c r="CB54" s="1"/>
      <c r="CC54" s="245"/>
      <c r="CD54" s="245"/>
    </row>
    <row r="55" spans="1:90">
      <c r="A55" s="2" t="s">
        <v>196</v>
      </c>
      <c r="B55" s="244"/>
      <c r="C55" s="244"/>
      <c r="D55" s="27"/>
      <c r="E55" s="244"/>
      <c r="F55" s="27"/>
      <c r="G55" s="27"/>
      <c r="H55" s="122"/>
      <c r="AU55" s="198"/>
      <c r="AV55" s="198"/>
      <c r="AW55" s="7"/>
      <c r="AX55" s="7"/>
      <c r="AY55" s="198"/>
      <c r="AZ55" s="198"/>
      <c r="BA55" s="7"/>
      <c r="BB55" s="7"/>
      <c r="BR55" s="22"/>
      <c r="BS55" s="9"/>
      <c r="BT55" s="20"/>
      <c r="BU55" s="30"/>
      <c r="BV55" s="50"/>
      <c r="BW55" s="1"/>
      <c r="BX55" s="1"/>
      <c r="BY55" s="30"/>
      <c r="BZ55" s="50"/>
      <c r="CA55" s="1"/>
      <c r="CB55" s="1"/>
      <c r="CC55" s="245"/>
      <c r="CD55" s="245"/>
    </row>
    <row r="56" spans="1:90">
      <c r="A56" s="12" t="s">
        <v>197</v>
      </c>
      <c r="B56" s="244"/>
      <c r="C56" s="244"/>
      <c r="D56" s="51"/>
      <c r="E56" s="244"/>
      <c r="F56" s="27"/>
      <c r="G56" s="27"/>
      <c r="H56" s="122"/>
      <c r="AU56" s="198"/>
      <c r="AV56" s="198"/>
      <c r="AW56" s="7"/>
      <c r="AX56" s="7"/>
      <c r="AY56" s="198"/>
      <c r="AZ56" s="198"/>
      <c r="BA56" s="7"/>
      <c r="BB56" s="7"/>
      <c r="BR56" s="22"/>
      <c r="BS56" s="9"/>
      <c r="BT56" s="20"/>
      <c r="BU56" s="30"/>
      <c r="BV56" s="50"/>
      <c r="BW56" s="1"/>
      <c r="BX56" s="1"/>
      <c r="BY56" s="30"/>
      <c r="BZ56" s="50"/>
      <c r="CA56" s="1"/>
      <c r="CB56" s="1"/>
      <c r="CC56" s="7"/>
      <c r="CD56" s="7"/>
      <c r="CE56" s="7"/>
      <c r="CF56" s="7"/>
      <c r="CG56" s="7"/>
      <c r="CH56" s="7"/>
      <c r="CI56" s="7"/>
      <c r="CJ56" s="7"/>
      <c r="CK56" s="7"/>
      <c r="CL56" s="7"/>
    </row>
    <row r="57" spans="1:90">
      <c r="A57" s="42" t="s">
        <v>198</v>
      </c>
      <c r="B57" s="244"/>
      <c r="C57" s="244"/>
      <c r="D57" s="27"/>
      <c r="E57" s="244"/>
      <c r="F57" s="122"/>
      <c r="G57" s="122"/>
      <c r="H57" s="123"/>
      <c r="AU57" s="198"/>
      <c r="AV57" s="198"/>
      <c r="AW57" s="7"/>
      <c r="AX57" s="7"/>
      <c r="AY57" s="198"/>
      <c r="AZ57" s="198"/>
      <c r="BA57" s="7"/>
      <c r="BB57" s="7"/>
      <c r="BR57" s="22"/>
      <c r="BS57" s="9"/>
      <c r="BT57" s="20"/>
      <c r="BU57" s="30"/>
      <c r="BV57" s="50"/>
      <c r="BW57" s="1"/>
      <c r="BX57" s="1"/>
      <c r="BY57" s="30"/>
      <c r="BZ57" s="50"/>
      <c r="CA57" s="1"/>
      <c r="CB57" s="1"/>
      <c r="CC57" s="245"/>
      <c r="CD57" s="245"/>
    </row>
    <row r="58" spans="1:90">
      <c r="F58" s="122"/>
      <c r="G58" s="122"/>
      <c r="H58" s="7"/>
      <c r="W58" s="246"/>
      <c r="X58" s="67"/>
      <c r="Y58" s="58"/>
      <c r="Z58" s="11"/>
      <c r="AA58" s="98"/>
      <c r="AB58" s="9"/>
      <c r="AC58" s="88"/>
      <c r="AD58" s="12"/>
      <c r="AE58" s="84"/>
      <c r="AF58" s="83"/>
      <c r="AG58" s="78"/>
      <c r="AH58" s="116"/>
      <c r="AI58" s="245"/>
      <c r="AJ58" s="245"/>
      <c r="AK58" s="245"/>
      <c r="AL58" s="245"/>
      <c r="AM58" s="245"/>
      <c r="AN58" s="245"/>
      <c r="AO58" s="245"/>
      <c r="AP58" s="245"/>
      <c r="AQ58" s="245"/>
      <c r="AR58" s="245"/>
      <c r="AS58" s="245"/>
      <c r="AT58" s="245"/>
      <c r="AU58" s="245"/>
      <c r="AV58" s="245"/>
      <c r="AW58" s="245"/>
      <c r="AX58" s="245"/>
      <c r="AY58" s="245"/>
      <c r="AZ58" s="245"/>
      <c r="BA58" s="245"/>
      <c r="BB58" s="245"/>
      <c r="BC58" s="245"/>
      <c r="BD58" s="245"/>
      <c r="BE58" s="245"/>
      <c r="BF58" s="245"/>
      <c r="BG58" s="245"/>
      <c r="BH58" s="245"/>
      <c r="BI58" s="245"/>
      <c r="BJ58" s="245"/>
      <c r="BK58" s="245"/>
      <c r="BL58" s="245"/>
      <c r="BM58" s="245"/>
      <c r="BN58" s="245"/>
      <c r="BO58" s="245"/>
      <c r="BP58" s="245"/>
      <c r="BQ58" s="245"/>
      <c r="BR58" s="245"/>
      <c r="BS58" s="245"/>
      <c r="BT58" s="245"/>
      <c r="BU58" s="245"/>
      <c r="BV58" s="245"/>
      <c r="BW58" s="245"/>
      <c r="BX58" s="245"/>
      <c r="BY58" s="245"/>
      <c r="BZ58" s="245"/>
      <c r="CA58" s="245"/>
      <c r="CB58" s="245"/>
      <c r="CC58" s="245"/>
      <c r="CD58" s="245"/>
    </row>
    <row r="59" spans="1:90">
      <c r="A59" s="23" t="s">
        <v>199</v>
      </c>
      <c r="B59" s="139"/>
      <c r="F59" s="122"/>
      <c r="G59" s="122"/>
      <c r="H59" s="7"/>
      <c r="W59" s="246"/>
      <c r="X59" s="67"/>
      <c r="Y59" s="58"/>
      <c r="Z59" s="11"/>
      <c r="AA59" s="98"/>
      <c r="AB59" s="9"/>
      <c r="AC59" s="88"/>
      <c r="AD59" s="12"/>
      <c r="AE59" s="84"/>
      <c r="AF59" s="83"/>
      <c r="AG59" s="78"/>
      <c r="AH59" s="116"/>
      <c r="AI59" s="245"/>
      <c r="AJ59" s="245"/>
      <c r="AK59" s="245"/>
      <c r="AL59" s="245"/>
      <c r="AM59" s="245"/>
      <c r="AN59" s="245"/>
      <c r="AO59" s="245"/>
      <c r="AP59" s="245"/>
      <c r="AQ59" s="245"/>
      <c r="AR59" s="245"/>
      <c r="AS59" s="245"/>
      <c r="AT59" s="245"/>
      <c r="AU59" s="245"/>
      <c r="AV59" s="245"/>
      <c r="AW59" s="245"/>
      <c r="AX59" s="245"/>
      <c r="AY59" s="245"/>
      <c r="AZ59" s="245"/>
      <c r="BA59" s="245"/>
      <c r="BB59" s="245"/>
      <c r="BC59" s="245"/>
      <c r="BD59" s="245"/>
      <c r="BE59" s="245"/>
      <c r="BF59" s="245"/>
      <c r="BG59" s="245"/>
      <c r="BH59" s="245"/>
      <c r="BI59" s="245"/>
      <c r="BJ59" s="245"/>
      <c r="BK59" s="245"/>
      <c r="BL59" s="245"/>
      <c r="BM59" s="245"/>
      <c r="BN59" s="245"/>
      <c r="BO59" s="245"/>
      <c r="BP59" s="245"/>
      <c r="BQ59" s="245"/>
      <c r="BR59" s="245"/>
      <c r="BS59" s="245"/>
      <c r="BT59" s="245"/>
      <c r="BU59" s="245"/>
      <c r="BV59" s="245"/>
      <c r="BW59" s="245"/>
      <c r="BX59" s="245"/>
      <c r="BY59" s="245"/>
      <c r="BZ59" s="245"/>
      <c r="CA59" s="245"/>
      <c r="CB59" s="245"/>
      <c r="CC59" s="245"/>
      <c r="CD59" s="245"/>
    </row>
    <row r="60" spans="1:90">
      <c r="A60" s="23" t="s">
        <v>200</v>
      </c>
      <c r="B60" s="139"/>
      <c r="F60" s="124"/>
      <c r="G60" s="124"/>
      <c r="W60" s="246"/>
      <c r="X60" s="67"/>
      <c r="Y60" s="58"/>
      <c r="Z60" s="11"/>
      <c r="AA60" s="98"/>
      <c r="AB60" s="9"/>
      <c r="AC60" s="88"/>
      <c r="AD60" s="12"/>
      <c r="AE60" s="84"/>
      <c r="AF60" s="83"/>
      <c r="AG60" s="78"/>
      <c r="AH60" s="116"/>
      <c r="AI60" s="245"/>
      <c r="AJ60" s="245"/>
      <c r="AK60" s="245"/>
      <c r="AL60" s="245"/>
      <c r="AM60" s="245"/>
      <c r="AN60" s="245"/>
      <c r="AO60" s="245"/>
      <c r="AP60" s="245"/>
      <c r="AQ60" s="245"/>
      <c r="AR60" s="245"/>
      <c r="AS60" s="245"/>
      <c r="AT60" s="245"/>
      <c r="AU60" s="245"/>
      <c r="AV60" s="245"/>
      <c r="AW60" s="245"/>
      <c r="AX60" s="245"/>
      <c r="AY60" s="245"/>
      <c r="AZ60" s="245"/>
      <c r="BA60" s="245"/>
      <c r="BB60" s="245"/>
      <c r="BC60" s="245"/>
      <c r="BD60" s="245"/>
      <c r="BE60" s="245"/>
      <c r="BF60" s="245"/>
      <c r="BG60" s="245"/>
      <c r="BH60" s="245"/>
      <c r="BI60" s="245"/>
      <c r="BJ60" s="245"/>
      <c r="BK60" s="245"/>
      <c r="BL60" s="245"/>
      <c r="BM60" s="245"/>
      <c r="BN60" s="245"/>
      <c r="BO60" s="245"/>
      <c r="BP60" s="245"/>
      <c r="BQ60" s="245"/>
      <c r="BR60" s="245"/>
      <c r="BS60" s="245"/>
      <c r="BT60" s="245"/>
      <c r="BU60" s="245"/>
      <c r="BV60" s="245"/>
      <c r="BW60" s="245"/>
      <c r="BX60" s="245"/>
      <c r="BY60" s="245"/>
      <c r="BZ60" s="245"/>
      <c r="CA60" s="245"/>
      <c r="CB60" s="245"/>
      <c r="CC60" s="245"/>
      <c r="CD60" s="245"/>
    </row>
    <row r="61" spans="1:90">
      <c r="A61" s="23" t="s">
        <v>201</v>
      </c>
      <c r="B61" s="139"/>
      <c r="F61" s="245"/>
      <c r="G61" s="245"/>
      <c r="W61" s="246"/>
      <c r="X61" s="67"/>
      <c r="Y61" s="58"/>
      <c r="Z61" s="11"/>
      <c r="AA61" s="98"/>
      <c r="AB61" s="9"/>
      <c r="AC61" s="88"/>
      <c r="AD61" s="12"/>
      <c r="AE61" s="84"/>
      <c r="AF61" s="83"/>
      <c r="AG61" s="78"/>
      <c r="AH61" s="116"/>
      <c r="AI61" s="245"/>
      <c r="AJ61" s="245"/>
      <c r="AK61" s="245"/>
      <c r="AL61" s="245"/>
      <c r="AM61" s="245"/>
      <c r="AN61" s="245"/>
      <c r="AO61" s="245"/>
      <c r="AP61" s="245"/>
      <c r="AQ61" s="245"/>
      <c r="AR61" s="245"/>
      <c r="AS61" s="245"/>
      <c r="AT61" s="245"/>
      <c r="AU61" s="245"/>
      <c r="AV61" s="245"/>
      <c r="AW61" s="245"/>
      <c r="AX61" s="245"/>
      <c r="AY61" s="245"/>
      <c r="AZ61" s="245"/>
      <c r="BA61" s="245"/>
      <c r="BB61" s="245"/>
      <c r="BC61" s="245"/>
      <c r="BD61" s="245"/>
      <c r="BE61" s="245"/>
      <c r="BF61" s="245"/>
      <c r="BG61" s="245"/>
      <c r="BH61" s="245"/>
      <c r="BI61" s="245"/>
      <c r="BJ61" s="245"/>
      <c r="BK61" s="245"/>
      <c r="BL61" s="245"/>
      <c r="BM61" s="245"/>
      <c r="BN61" s="245"/>
      <c r="BO61" s="245"/>
      <c r="BP61" s="245"/>
      <c r="BQ61" s="245"/>
      <c r="BR61" s="245"/>
      <c r="BS61" s="245"/>
      <c r="BT61" s="245"/>
      <c r="BU61" s="245"/>
      <c r="BV61" s="245"/>
      <c r="BW61" s="245"/>
      <c r="BX61" s="245"/>
      <c r="BY61" s="245"/>
      <c r="BZ61" s="245"/>
      <c r="CA61" s="245"/>
      <c r="CB61" s="245"/>
      <c r="CC61" s="245"/>
      <c r="CD61" s="245"/>
    </row>
    <row r="62" spans="1:90">
      <c r="A62" s="22" t="s">
        <v>202</v>
      </c>
      <c r="B62" s="139"/>
      <c r="F62" s="245"/>
      <c r="G62" s="245"/>
      <c r="W62" s="246"/>
      <c r="X62" s="67"/>
      <c r="Y62" s="58"/>
      <c r="Z62" s="11"/>
      <c r="AA62" s="98"/>
      <c r="AB62" s="9"/>
      <c r="AC62" s="88"/>
      <c r="AD62" s="12"/>
      <c r="AE62" s="84"/>
      <c r="AF62" s="83"/>
      <c r="AG62" s="78"/>
      <c r="AH62" s="116"/>
      <c r="AI62" s="245"/>
      <c r="AJ62" s="245"/>
      <c r="AK62" s="245"/>
      <c r="AL62" s="245"/>
      <c r="AM62" s="245"/>
      <c r="AN62" s="245"/>
      <c r="AO62" s="245"/>
      <c r="AP62" s="245"/>
      <c r="AQ62" s="245"/>
      <c r="AR62" s="245"/>
      <c r="AS62" s="245"/>
      <c r="AT62" s="245"/>
      <c r="AU62" s="245"/>
      <c r="AV62" s="245"/>
      <c r="AW62" s="245"/>
      <c r="AX62" s="245"/>
      <c r="AY62" s="245"/>
      <c r="AZ62" s="245"/>
      <c r="BA62" s="245"/>
      <c r="BB62" s="245"/>
      <c r="BC62" s="245"/>
      <c r="BD62" s="245"/>
      <c r="BE62" s="245"/>
      <c r="BF62" s="245"/>
      <c r="BG62" s="245"/>
      <c r="BH62" s="245"/>
      <c r="BI62" s="245"/>
      <c r="BJ62" s="245"/>
      <c r="BK62" s="245"/>
      <c r="BL62" s="245"/>
      <c r="BM62" s="245"/>
      <c r="BN62" s="245"/>
      <c r="BO62" s="245"/>
      <c r="BP62" s="245"/>
      <c r="BQ62" s="245"/>
      <c r="BR62" s="245"/>
      <c r="BS62" s="245"/>
      <c r="BT62" s="245"/>
      <c r="BU62" s="245"/>
      <c r="BV62" s="245"/>
      <c r="BW62" s="245"/>
      <c r="BX62" s="245"/>
      <c r="BY62" s="245"/>
      <c r="BZ62" s="245"/>
      <c r="CA62" s="245"/>
      <c r="CB62" s="245"/>
      <c r="CC62" s="245"/>
      <c r="CD62" s="245"/>
    </row>
    <row r="63" spans="1:90">
      <c r="A63" s="22" t="s">
        <v>203</v>
      </c>
      <c r="B63" s="139"/>
      <c r="W63" s="246"/>
      <c r="X63" s="67"/>
      <c r="Y63" s="58"/>
      <c r="Z63" s="11"/>
      <c r="AA63" s="98"/>
      <c r="AB63" s="9"/>
      <c r="AC63" s="88"/>
      <c r="AD63" s="12"/>
      <c r="AE63" s="84"/>
      <c r="AF63" s="83"/>
      <c r="AG63" s="78"/>
      <c r="AH63" s="116"/>
      <c r="AI63" s="245"/>
      <c r="AJ63" s="245"/>
      <c r="AK63" s="245"/>
      <c r="AL63" s="245"/>
      <c r="AM63" s="245"/>
      <c r="AN63" s="245"/>
      <c r="AO63" s="245"/>
      <c r="AP63" s="245"/>
      <c r="AQ63" s="245"/>
      <c r="AR63" s="245"/>
      <c r="AS63" s="245"/>
      <c r="AT63" s="245"/>
      <c r="AU63" s="245"/>
      <c r="AV63" s="245"/>
      <c r="AW63" s="245"/>
      <c r="AX63" s="245"/>
      <c r="AY63" s="245"/>
      <c r="AZ63" s="245"/>
      <c r="BA63" s="245"/>
      <c r="BB63" s="245"/>
      <c r="BC63" s="245"/>
      <c r="BD63" s="245"/>
      <c r="BE63" s="245"/>
      <c r="BF63" s="245"/>
      <c r="BG63" s="245"/>
      <c r="BH63" s="245"/>
      <c r="BI63" s="245"/>
      <c r="BJ63" s="245"/>
      <c r="BK63" s="245"/>
      <c r="BL63" s="245"/>
      <c r="BM63" s="245"/>
      <c r="BN63" s="245"/>
      <c r="BO63" s="245"/>
      <c r="BP63" s="245"/>
      <c r="BQ63" s="245"/>
      <c r="BR63" s="245"/>
      <c r="BS63" s="245"/>
      <c r="BT63" s="245"/>
      <c r="BU63" s="245"/>
      <c r="BV63" s="245"/>
      <c r="BW63" s="245"/>
      <c r="BX63" s="245"/>
      <c r="BY63" s="245"/>
      <c r="BZ63" s="245"/>
      <c r="CA63" s="245"/>
      <c r="CB63" s="245"/>
      <c r="CC63" s="245"/>
      <c r="CD63" s="245"/>
    </row>
    <row r="64" spans="1:90">
      <c r="A64" s="22" t="s">
        <v>204</v>
      </c>
      <c r="B64" s="139"/>
      <c r="W64" s="246"/>
      <c r="X64" s="67"/>
      <c r="Y64" s="58"/>
      <c r="Z64" s="11"/>
      <c r="AA64" s="98"/>
      <c r="AB64" s="9"/>
      <c r="AC64" s="88"/>
      <c r="AD64" s="12"/>
      <c r="AE64" s="84"/>
      <c r="AF64" s="83"/>
      <c r="AG64" s="78"/>
      <c r="AH64" s="116"/>
      <c r="AI64" s="245"/>
      <c r="AJ64" s="245"/>
      <c r="AK64" s="245"/>
      <c r="AL64" s="245"/>
      <c r="AM64" s="245"/>
      <c r="AN64" s="245"/>
      <c r="AO64" s="245"/>
      <c r="AP64" s="245"/>
      <c r="AQ64" s="245"/>
      <c r="AR64" s="245"/>
      <c r="AS64" s="245"/>
      <c r="AT64" s="245"/>
      <c r="AU64" s="245"/>
      <c r="AV64" s="245"/>
      <c r="AW64" s="245"/>
      <c r="AX64" s="245"/>
      <c r="AY64" s="245"/>
      <c r="AZ64" s="245"/>
      <c r="BA64" s="245"/>
      <c r="BB64" s="245"/>
      <c r="BC64" s="245"/>
      <c r="BD64" s="245"/>
      <c r="BE64" s="245"/>
      <c r="BF64" s="245"/>
      <c r="BG64" s="245"/>
      <c r="BH64" s="245"/>
      <c r="BI64" s="245"/>
      <c r="BJ64" s="245"/>
      <c r="BK64" s="245"/>
      <c r="BL64" s="245"/>
      <c r="BM64" s="245"/>
      <c r="BN64" s="245"/>
      <c r="BO64" s="245"/>
      <c r="BP64" s="245"/>
      <c r="BQ64" s="245"/>
      <c r="BR64" s="245"/>
      <c r="BS64" s="245"/>
      <c r="BT64" s="245"/>
      <c r="BU64" s="245"/>
      <c r="BV64" s="245"/>
      <c r="BW64" s="245"/>
      <c r="BX64" s="245"/>
      <c r="BY64" s="245"/>
      <c r="BZ64" s="245"/>
      <c r="CA64" s="245"/>
      <c r="CB64" s="245"/>
      <c r="CC64" s="245"/>
      <c r="CD64" s="245"/>
    </row>
    <row r="65" spans="1:82">
      <c r="W65" s="246"/>
      <c r="X65" s="67"/>
      <c r="Y65" s="58"/>
      <c r="Z65" s="11"/>
      <c r="AA65" s="98"/>
      <c r="AB65" s="9"/>
      <c r="AC65" s="88"/>
      <c r="AD65" s="12"/>
      <c r="AE65" s="84"/>
      <c r="AF65" s="83"/>
      <c r="AG65" s="78"/>
      <c r="AH65" s="116"/>
      <c r="AI65" s="245"/>
      <c r="AJ65" s="245"/>
      <c r="AK65" s="245"/>
      <c r="AL65" s="245"/>
      <c r="AM65" s="245"/>
      <c r="AN65" s="245"/>
      <c r="AO65" s="245"/>
      <c r="AP65" s="245"/>
      <c r="AQ65" s="245"/>
      <c r="AR65" s="245"/>
      <c r="AS65" s="245"/>
      <c r="AT65" s="245"/>
      <c r="AU65" s="245"/>
      <c r="AV65" s="245"/>
      <c r="AW65" s="245"/>
      <c r="AX65" s="245"/>
      <c r="AY65" s="245"/>
      <c r="AZ65" s="245"/>
      <c r="BA65" s="245"/>
      <c r="BB65" s="245"/>
      <c r="BC65" s="245"/>
      <c r="BD65" s="245"/>
      <c r="BE65" s="245"/>
      <c r="BF65" s="245"/>
      <c r="BG65" s="245"/>
      <c r="BH65" s="245"/>
      <c r="BI65" s="245"/>
      <c r="BJ65" s="245"/>
      <c r="BK65" s="245"/>
      <c r="BL65" s="245"/>
      <c r="BM65" s="245"/>
      <c r="BN65" s="245"/>
      <c r="BO65" s="245"/>
      <c r="BP65" s="245"/>
      <c r="BQ65" s="245"/>
      <c r="BR65" s="245"/>
      <c r="BS65" s="245"/>
      <c r="BT65" s="245"/>
      <c r="BU65" s="245"/>
      <c r="BV65" s="245"/>
      <c r="BW65" s="245"/>
      <c r="BX65" s="245"/>
      <c r="BY65" s="245"/>
      <c r="BZ65" s="245"/>
      <c r="CA65" s="245"/>
      <c r="CB65" s="245"/>
      <c r="CC65" s="245"/>
      <c r="CD65" s="245"/>
    </row>
    <row r="66" spans="1:82">
      <c r="A66" s="198" t="s">
        <v>1466</v>
      </c>
      <c r="B66" s="30" t="s">
        <v>1467</v>
      </c>
      <c r="C66" s="8" t="s">
        <v>1468</v>
      </c>
      <c r="D66" s="30" t="s">
        <v>1470</v>
      </c>
      <c r="E66" s="8" t="s">
        <v>3</v>
      </c>
    </row>
    <row r="67" spans="1:82">
      <c r="A67" s="199" t="s">
        <v>1786</v>
      </c>
      <c r="B67" s="40">
        <v>87</v>
      </c>
      <c r="C67" s="6">
        <v>89.6</v>
      </c>
      <c r="D67" s="62">
        <f>B67-C67</f>
        <v>-2.5999999999999943</v>
      </c>
      <c r="E67" s="147">
        <f>D67/C67</f>
        <v>-2.9017857142857081E-2</v>
      </c>
    </row>
    <row r="68" spans="1:82">
      <c r="A68" s="198" t="s">
        <v>1785</v>
      </c>
      <c r="B68" s="13">
        <f>SUM(B67:B67)</f>
        <v>87</v>
      </c>
      <c r="C68" s="45">
        <f>SUM(C67:C67)</f>
        <v>89.6</v>
      </c>
      <c r="D68" s="62">
        <f>B68-C68</f>
        <v>-2.5999999999999943</v>
      </c>
      <c r="E68" s="147">
        <f>D68/C68</f>
        <v>-2.9017857142857081E-2</v>
      </c>
    </row>
    <row r="69" spans="1:82">
      <c r="A69" s="198" t="s">
        <v>1466</v>
      </c>
      <c r="B69" s="30" t="s">
        <v>1467</v>
      </c>
      <c r="C69" s="8" t="s">
        <v>1468</v>
      </c>
      <c r="D69" s="30" t="s">
        <v>1470</v>
      </c>
      <c r="E69" s="8" t="s">
        <v>1469</v>
      </c>
    </row>
    <row r="70" spans="1:82">
      <c r="A70" s="200" t="s">
        <v>1471</v>
      </c>
      <c r="B70" s="7"/>
      <c r="C70" s="7"/>
      <c r="D70" s="15">
        <v>8.8800000000000008</v>
      </c>
      <c r="E70" s="103"/>
    </row>
    <row r="71" spans="1:82">
      <c r="A71" s="199" t="s">
        <v>1489</v>
      </c>
      <c r="B71" s="40">
        <v>294.64999999999998</v>
      </c>
      <c r="C71" s="6">
        <v>277</v>
      </c>
      <c r="D71" s="62">
        <f t="shared" ref="D71:D76" si="4">B71-C71</f>
        <v>17.649999999999977</v>
      </c>
      <c r="E71" s="103">
        <f t="shared" ref="E71:E77" si="5">D71/C71</f>
        <v>6.3718411552346491E-2</v>
      </c>
    </row>
    <row r="72" spans="1:82">
      <c r="A72" s="199" t="s">
        <v>1488</v>
      </c>
      <c r="B72" s="40">
        <v>406.8</v>
      </c>
      <c r="C72" s="6">
        <v>411.67</v>
      </c>
      <c r="D72" s="62">
        <f t="shared" si="4"/>
        <v>-4.8700000000000045</v>
      </c>
      <c r="E72" s="103">
        <f t="shared" si="5"/>
        <v>-1.1829863725799802E-2</v>
      </c>
      <c r="I72" s="95"/>
      <c r="O72" s="95"/>
    </row>
    <row r="73" spans="1:82">
      <c r="A73" s="199" t="s">
        <v>1487</v>
      </c>
      <c r="B73" s="40">
        <v>187.7</v>
      </c>
      <c r="C73" s="6">
        <v>179.88</v>
      </c>
      <c r="D73" s="62">
        <f t="shared" si="4"/>
        <v>7.8199999999999932</v>
      </c>
      <c r="E73" s="103">
        <f t="shared" si="5"/>
        <v>4.3473426728930363E-2</v>
      </c>
      <c r="I73" s="95"/>
      <c r="O73" s="95"/>
    </row>
    <row r="74" spans="1:82">
      <c r="A74" s="199" t="s">
        <v>1486</v>
      </c>
      <c r="B74" s="40">
        <v>696.4</v>
      </c>
      <c r="C74" s="6">
        <v>675.66</v>
      </c>
      <c r="D74" s="62">
        <f t="shared" si="4"/>
        <v>20.740000000000009</v>
      </c>
      <c r="E74" s="103">
        <f t="shared" si="5"/>
        <v>3.0695912145161784E-2</v>
      </c>
      <c r="I74" s="95"/>
      <c r="M74" s="44"/>
      <c r="O74" s="95"/>
    </row>
    <row r="75" spans="1:82">
      <c r="A75" s="199" t="s">
        <v>1485</v>
      </c>
      <c r="B75" s="40">
        <v>80.45</v>
      </c>
      <c r="C75" s="6">
        <v>77.39</v>
      </c>
      <c r="D75" s="62">
        <f t="shared" si="4"/>
        <v>3.0600000000000023</v>
      </c>
      <c r="E75" s="103">
        <f t="shared" si="5"/>
        <v>3.9539992247060375E-2</v>
      </c>
      <c r="I75" s="96"/>
      <c r="M75" s="44"/>
      <c r="O75" s="96"/>
    </row>
    <row r="76" spans="1:82">
      <c r="A76" s="199" t="s">
        <v>1462</v>
      </c>
      <c r="B76" s="40">
        <v>235.25</v>
      </c>
      <c r="C76" s="6">
        <v>187.37</v>
      </c>
      <c r="D76" s="62">
        <f t="shared" si="4"/>
        <v>47.879999999999995</v>
      </c>
      <c r="E76" s="103">
        <f t="shared" si="5"/>
        <v>0.25553717243955804</v>
      </c>
      <c r="I76" s="96"/>
      <c r="M76" s="44"/>
      <c r="O76" s="96"/>
    </row>
    <row r="77" spans="1:82">
      <c r="A77" s="198" t="s">
        <v>1477</v>
      </c>
      <c r="B77" s="13">
        <f>SUM(B71:B76)</f>
        <v>1901.2500000000002</v>
      </c>
      <c r="C77" s="45">
        <f>SUM(C71:C76)</f>
        <v>1808.9700000000003</v>
      </c>
      <c r="D77" s="15">
        <f>SUM(D70:D76)</f>
        <v>101.15999999999997</v>
      </c>
      <c r="E77" s="103">
        <f t="shared" si="5"/>
        <v>5.5921325395114324E-2</v>
      </c>
      <c r="I77" s="96"/>
      <c r="M77" s="44"/>
      <c r="O77" s="96"/>
    </row>
    <row r="78" spans="1:82">
      <c r="I78" s="96"/>
      <c r="M78" s="44"/>
      <c r="O78" s="96"/>
    </row>
    <row r="79" spans="1:82">
      <c r="I79" s="96"/>
      <c r="O79" s="96"/>
    </row>
    <row r="80" spans="1:82">
      <c r="A80" s="87" t="s">
        <v>843</v>
      </c>
      <c r="B80" s="244" t="s">
        <v>1497</v>
      </c>
      <c r="C80" s="244" t="s">
        <v>1553</v>
      </c>
      <c r="D80" s="244" t="s">
        <v>3380</v>
      </c>
      <c r="E80" s="244" t="s">
        <v>1106</v>
      </c>
      <c r="I80" s="96"/>
      <c r="M80" s="27"/>
      <c r="O80" s="96"/>
    </row>
    <row r="81" spans="1:92">
      <c r="A81" s="87" t="s">
        <v>1712</v>
      </c>
      <c r="B81" s="244" t="s">
        <v>1111</v>
      </c>
      <c r="C81" s="244" t="s">
        <v>1554</v>
      </c>
      <c r="D81" s="244" t="s">
        <v>3382</v>
      </c>
      <c r="E81" s="244" t="s">
        <v>1108</v>
      </c>
      <c r="I81" s="96"/>
      <c r="M81" s="27"/>
      <c r="O81" s="96"/>
    </row>
    <row r="82" spans="1:92">
      <c r="A82" s="87" t="s">
        <v>1847</v>
      </c>
      <c r="B82" s="244" t="s">
        <v>1112</v>
      </c>
      <c r="C82" s="244" t="s">
        <v>1563</v>
      </c>
      <c r="D82" s="244"/>
      <c r="E82" s="244" t="s">
        <v>1109</v>
      </c>
      <c r="I82" s="97"/>
      <c r="M82" s="27"/>
      <c r="O82" s="97"/>
    </row>
    <row r="83" spans="1:92">
      <c r="A83" s="87" t="s">
        <v>845</v>
      </c>
      <c r="B83" s="244" t="s">
        <v>1148</v>
      </c>
      <c r="C83" s="244" t="s">
        <v>1555</v>
      </c>
      <c r="D83" s="244" t="s">
        <v>3381</v>
      </c>
      <c r="E83" s="244" t="s">
        <v>1147</v>
      </c>
      <c r="I83" s="97"/>
      <c r="M83" s="133"/>
      <c r="O83" s="97"/>
      <c r="CE83" s="7"/>
      <c r="CF83" s="7"/>
      <c r="CG83" s="7"/>
      <c r="CH83" s="7"/>
      <c r="CI83" s="7"/>
      <c r="CJ83" s="7"/>
      <c r="CK83" s="7"/>
      <c r="CL83" s="7"/>
      <c r="CM83" s="7"/>
      <c r="CN83" s="7"/>
    </row>
    <row r="84" spans="1:92">
      <c r="A84" s="244" t="s">
        <v>1054</v>
      </c>
      <c r="B84" s="244" t="s">
        <v>1099</v>
      </c>
      <c r="C84" s="244" t="s">
        <v>1099</v>
      </c>
      <c r="D84" s="244" t="s">
        <v>1103</v>
      </c>
      <c r="E84" s="244" t="s">
        <v>1099</v>
      </c>
      <c r="I84" s="42"/>
      <c r="L84" s="122"/>
      <c r="M84" s="133"/>
      <c r="O84" s="42"/>
    </row>
    <row r="85" spans="1:92">
      <c r="A85" s="244" t="s">
        <v>1153</v>
      </c>
      <c r="B85" s="87" t="s">
        <v>1135</v>
      </c>
      <c r="C85" s="87" t="s">
        <v>1129</v>
      </c>
      <c r="D85" s="87" t="s">
        <v>1126</v>
      </c>
      <c r="E85" s="87" t="s">
        <v>1126</v>
      </c>
      <c r="I85" s="97"/>
      <c r="L85" s="122"/>
      <c r="M85" s="133"/>
      <c r="O85" s="97"/>
    </row>
    <row r="86" spans="1:92">
      <c r="A86" s="244" t="s">
        <v>1098</v>
      </c>
      <c r="B86" s="242" t="s">
        <v>1749</v>
      </c>
      <c r="C86" s="258" t="s">
        <v>1748</v>
      </c>
      <c r="E86" s="244"/>
      <c r="I86" s="97"/>
      <c r="J86" s="7"/>
      <c r="K86" s="7"/>
      <c r="L86" s="122"/>
      <c r="O86" s="97"/>
    </row>
    <row r="87" spans="1:92">
      <c r="A87" s="244" t="s">
        <v>1154</v>
      </c>
      <c r="H87" s="9"/>
      <c r="L87" s="2"/>
    </row>
    <row r="88" spans="1:92">
      <c r="A88" s="244" t="s">
        <v>1099</v>
      </c>
      <c r="H88" s="9"/>
      <c r="L88" s="9"/>
    </row>
    <row r="89" spans="1:92">
      <c r="A89" s="87" t="s">
        <v>1135</v>
      </c>
      <c r="H89" s="9"/>
      <c r="L89" s="43"/>
    </row>
    <row r="90" spans="1:92">
      <c r="F90" s="29"/>
      <c r="G90" s="29"/>
      <c r="H90" s="9"/>
      <c r="CE90" s="7"/>
      <c r="CF90" s="7"/>
      <c r="CG90" s="7"/>
      <c r="CH90" s="7"/>
      <c r="CI90" s="7"/>
      <c r="CJ90" s="7"/>
      <c r="CK90" s="7"/>
      <c r="CL90" s="7"/>
      <c r="CM90" s="7"/>
      <c r="CN90" s="7"/>
    </row>
    <row r="91" spans="1:92">
      <c r="A91" s="156" t="s">
        <v>4724</v>
      </c>
      <c r="H91" s="9"/>
    </row>
    <row r="92" spans="1:92">
      <c r="A92" s="156" t="s">
        <v>4725</v>
      </c>
      <c r="H92" s="9"/>
    </row>
    <row r="93" spans="1:92">
      <c r="A93" s="156" t="s">
        <v>4726</v>
      </c>
      <c r="H93" s="9"/>
    </row>
    <row r="94" spans="1:92">
      <c r="A94" s="156" t="s">
        <v>4727</v>
      </c>
    </row>
    <row r="99" spans="1:5">
      <c r="E99" s="7"/>
    </row>
    <row r="100" spans="1:5">
      <c r="A100" s="42" t="s">
        <v>1641</v>
      </c>
      <c r="D100" s="91"/>
      <c r="E100" s="91"/>
    </row>
    <row r="101" spans="1:5">
      <c r="A101" s="69" t="s">
        <v>1640</v>
      </c>
      <c r="D101" s="91"/>
      <c r="E101" s="91"/>
    </row>
    <row r="102" spans="1:5">
      <c r="A102" s="6"/>
      <c r="D102" s="91"/>
      <c r="E102" s="91"/>
    </row>
    <row r="103" spans="1:5">
      <c r="A103" s="2" t="s">
        <v>1642</v>
      </c>
      <c r="D103" s="91"/>
      <c r="E103" s="91"/>
    </row>
    <row r="104" spans="1:5">
      <c r="A104" s="69" t="s">
        <v>1643</v>
      </c>
      <c r="D104" s="91"/>
      <c r="E104" s="91"/>
    </row>
    <row r="105" spans="1:5">
      <c r="A105" s="69" t="s">
        <v>1644</v>
      </c>
      <c r="D105" s="91"/>
      <c r="E105" s="91"/>
    </row>
    <row r="106" spans="1:5">
      <c r="A106" s="6"/>
      <c r="D106" s="91"/>
      <c r="E106" s="91"/>
    </row>
    <row r="107" spans="1:5">
      <c r="A107" s="2" t="s">
        <v>1783</v>
      </c>
      <c r="D107" s="91"/>
      <c r="E107" s="91"/>
    </row>
    <row r="109" spans="1:5">
      <c r="A109" s="139" t="s">
        <v>1750</v>
      </c>
    </row>
    <row r="110" spans="1:5">
      <c r="A110" s="139" t="s">
        <v>1751</v>
      </c>
    </row>
    <row r="111" spans="1:5">
      <c r="A111" s="139" t="s">
        <v>1764</v>
      </c>
    </row>
    <row r="112" spans="1:5">
      <c r="A112" s="139" t="s">
        <v>1763</v>
      </c>
    </row>
    <row r="113" spans="1:1">
      <c r="A113" s="139" t="s">
        <v>1765</v>
      </c>
    </row>
    <row r="114" spans="1:1">
      <c r="A114" s="139" t="s">
        <v>1766</v>
      </c>
    </row>
    <row r="115" spans="1:1">
      <c r="A115" s="139" t="s">
        <v>1767</v>
      </c>
    </row>
    <row r="116" spans="1:1">
      <c r="A116" s="139" t="s">
        <v>1768</v>
      </c>
    </row>
    <row r="117" spans="1:1">
      <c r="A117" s="139" t="s">
        <v>1769</v>
      </c>
    </row>
    <row r="118" spans="1:1">
      <c r="A118" s="139" t="s">
        <v>1770</v>
      </c>
    </row>
    <row r="119" spans="1:1">
      <c r="A119" s="9"/>
    </row>
    <row r="120" spans="1:1">
      <c r="A120" s="9" t="s">
        <v>1752</v>
      </c>
    </row>
    <row r="121" spans="1:1">
      <c r="A121" s="9" t="s">
        <v>1753</v>
      </c>
    </row>
    <row r="122" spans="1:1">
      <c r="A122" s="9" t="s">
        <v>1754</v>
      </c>
    </row>
    <row r="123" spans="1:1">
      <c r="A123" s="9" t="s">
        <v>1755</v>
      </c>
    </row>
    <row r="124" spans="1:1">
      <c r="A124" s="9" t="s">
        <v>1756</v>
      </c>
    </row>
    <row r="125" spans="1:1">
      <c r="A125" s="9" t="s">
        <v>1757</v>
      </c>
    </row>
    <row r="126" spans="1:1">
      <c r="A126" s="9" t="s">
        <v>1758</v>
      </c>
    </row>
    <row r="127" spans="1:1">
      <c r="A127" s="9" t="s">
        <v>1759</v>
      </c>
    </row>
    <row r="128" spans="1:1">
      <c r="A128" s="9" t="s">
        <v>1760</v>
      </c>
    </row>
    <row r="129" spans="1:5">
      <c r="A129" s="9" t="s">
        <v>1761</v>
      </c>
    </row>
    <row r="130" spans="1:5">
      <c r="A130" s="9" t="s">
        <v>1762</v>
      </c>
    </row>
    <row r="133" spans="1:5">
      <c r="A133" s="244" t="s">
        <v>1107</v>
      </c>
      <c r="B133" s="244" t="s">
        <v>1106</v>
      </c>
      <c r="C133" s="244" t="s">
        <v>1080</v>
      </c>
      <c r="D133" s="244" t="s">
        <v>1055</v>
      </c>
      <c r="E133" s="244" t="s">
        <v>1056</v>
      </c>
    </row>
    <row r="134" spans="1:5">
      <c r="A134" s="244" t="s">
        <v>1108</v>
      </c>
      <c r="B134" s="244" t="s">
        <v>1108</v>
      </c>
      <c r="C134" s="244" t="s">
        <v>1151</v>
      </c>
      <c r="D134" s="244" t="s">
        <v>1101</v>
      </c>
      <c r="E134" s="244" t="s">
        <v>1498</v>
      </c>
    </row>
    <row r="135" spans="1:5">
      <c r="A135" s="244" t="s">
        <v>1109</v>
      </c>
      <c r="B135" s="244" t="s">
        <v>1109</v>
      </c>
      <c r="C135" s="244" t="s">
        <v>1152</v>
      </c>
      <c r="D135" s="244" t="s">
        <v>1100</v>
      </c>
      <c r="E135" s="244" t="s">
        <v>1102</v>
      </c>
    </row>
    <row r="136" spans="1:5">
      <c r="A136" s="244" t="s">
        <v>1409</v>
      </c>
      <c r="B136" s="244" t="s">
        <v>1408</v>
      </c>
      <c r="C136" s="244" t="s">
        <v>1148</v>
      </c>
      <c r="D136" s="244" t="s">
        <v>1149</v>
      </c>
      <c r="E136" s="244" t="s">
        <v>1147</v>
      </c>
    </row>
    <row r="137" spans="1:5">
      <c r="A137" s="244" t="s">
        <v>1099</v>
      </c>
      <c r="B137" s="244" t="s">
        <v>1110</v>
      </c>
      <c r="C137" s="244" t="s">
        <v>1099</v>
      </c>
      <c r="D137" s="244" t="s">
        <v>1099</v>
      </c>
      <c r="E137" s="244" t="s">
        <v>1103</v>
      </c>
    </row>
    <row r="139" spans="1:5">
      <c r="A139" s="2" t="s">
        <v>3080</v>
      </c>
    </row>
    <row r="140" spans="1:5">
      <c r="A140" s="2" t="s">
        <v>3081</v>
      </c>
    </row>
    <row r="141" spans="1:5">
      <c r="A141" s="132" t="s">
        <v>1635</v>
      </c>
    </row>
    <row r="142" spans="1:5">
      <c r="A142" s="2" t="s">
        <v>1699</v>
      </c>
    </row>
    <row r="143" spans="1:5">
      <c r="A143" s="42" t="s">
        <v>1405</v>
      </c>
    </row>
    <row r="144" spans="1:5">
      <c r="A144" s="42" t="s">
        <v>1454</v>
      </c>
    </row>
    <row r="145" spans="1:1">
      <c r="A145" s="46" t="s">
        <v>1564</v>
      </c>
    </row>
    <row r="146" spans="1:1">
      <c r="A146" s="134" t="s">
        <v>1551</v>
      </c>
    </row>
    <row r="147" spans="1:1">
      <c r="A147" s="46" t="s">
        <v>1722</v>
      </c>
    </row>
    <row r="148" spans="1:1">
      <c r="A148" s="134" t="s">
        <v>1723</v>
      </c>
    </row>
    <row r="149" spans="1:1">
      <c r="A149" s="46" t="s">
        <v>1852</v>
      </c>
    </row>
    <row r="150" spans="1:1">
      <c r="A150" s="42" t="s">
        <v>1853</v>
      </c>
    </row>
    <row r="151" spans="1:1">
      <c r="A151" s="46" t="s">
        <v>3082</v>
      </c>
    </row>
    <row r="152" spans="1:1">
      <c r="A152" s="46" t="s">
        <v>3083</v>
      </c>
    </row>
    <row r="153" spans="1:1">
      <c r="A153" s="134" t="s">
        <v>3084</v>
      </c>
    </row>
    <row r="154" spans="1:1">
      <c r="A154" s="134" t="s">
        <v>3085</v>
      </c>
    </row>
    <row r="155" spans="1:1">
      <c r="A155" s="46" t="s">
        <v>1854</v>
      </c>
    </row>
    <row r="158" spans="1:1">
      <c r="A158" s="139" t="s">
        <v>1604</v>
      </c>
    </row>
    <row r="159" spans="1:1">
      <c r="A159" s="139" t="s">
        <v>3076</v>
      </c>
    </row>
    <row r="160" spans="1:1">
      <c r="A160" s="139" t="s">
        <v>3077</v>
      </c>
    </row>
    <row r="161" spans="1:1">
      <c r="A161" s="139" t="s">
        <v>1605</v>
      </c>
    </row>
    <row r="162" spans="1:1">
      <c r="A162" s="139" t="s">
        <v>3078</v>
      </c>
    </row>
    <row r="163" spans="1:1">
      <c r="A163" s="139" t="s">
        <v>3079</v>
      </c>
    </row>
    <row r="164" spans="1:1">
      <c r="A164" s="139" t="s">
        <v>1603</v>
      </c>
    </row>
    <row r="165" spans="1:1">
      <c r="A165" s="139" t="s">
        <v>1606</v>
      </c>
    </row>
    <row r="166" spans="1:1">
      <c r="A166" s="139" t="s">
        <v>3074</v>
      </c>
    </row>
    <row r="167" spans="1:1">
      <c r="A167" s="139" t="s">
        <v>3075</v>
      </c>
    </row>
    <row r="168" spans="1:1">
      <c r="A168" s="139" t="s">
        <v>1607</v>
      </c>
    </row>
    <row r="169" spans="1:1">
      <c r="A169" s="139" t="s">
        <v>1602</v>
      </c>
    </row>
  </sheetData>
  <phoneticPr fontId="1" type="noConversion"/>
  <hyperlinks>
    <hyperlink ref="B36" r:id="rId1"/>
    <hyperlink ref="D38" r:id="rId2"/>
    <hyperlink ref="B40" r:id="rId3"/>
  </hyperlinks>
  <pageMargins left="0.7" right="0.7" top="0.75" bottom="0.75" header="0.3" footer="0.3"/>
  <pageSetup paperSize="9" orientation="portrait" horizontalDpi="300" verticalDpi="300" r:id="rId4"/>
</worksheet>
</file>

<file path=xl/worksheets/sheet12.xml><?xml version="1.0" encoding="utf-8"?>
<worksheet xmlns="http://schemas.openxmlformats.org/spreadsheetml/2006/main" xmlns:r="http://schemas.openxmlformats.org/officeDocument/2006/relationships">
  <sheetPr codeName="工作表3"/>
  <dimension ref="E1:Z35"/>
  <sheetViews>
    <sheetView topLeftCell="A7" workbookViewId="0">
      <selection activeCell="O24" sqref="O24"/>
    </sheetView>
  </sheetViews>
  <sheetFormatPr defaultColWidth="9.140625" defaultRowHeight="16.5"/>
  <cols>
    <col min="1" max="4" width="9.140625" style="7"/>
    <col min="5" max="5" width="5.7109375" style="59" customWidth="1"/>
    <col min="6" max="6" width="8.7109375" style="44" customWidth="1"/>
    <col min="7" max="7" width="9.7109375" style="7" customWidth="1"/>
    <col min="8" max="8" width="4.7109375" style="8" customWidth="1"/>
    <col min="9" max="9" width="4.7109375" style="5" customWidth="1"/>
    <col min="10" max="11" width="4.7109375" style="30" customWidth="1"/>
    <col min="12" max="12" width="5.7109375" style="59" customWidth="1"/>
    <col min="13" max="13" width="8.7109375" style="7" customWidth="1"/>
    <col min="14" max="14" width="9.7109375" style="7" customWidth="1"/>
    <col min="15" max="15" width="4.7109375" style="8" customWidth="1"/>
    <col min="16" max="16" width="4.7109375" style="5" customWidth="1"/>
    <col min="17" max="17" width="4.7109375" style="30" customWidth="1"/>
    <col min="18" max="19" width="9.140625" style="7"/>
    <col min="20" max="20" width="11.140625" style="7" bestFit="1" customWidth="1"/>
    <col min="21" max="23" width="9.140625" style="7"/>
    <col min="24" max="24" width="26" style="9" customWidth="1"/>
    <col min="25" max="26" width="6.7109375" style="9" customWidth="1"/>
    <col min="27" max="16384" width="9.140625" style="7"/>
  </cols>
  <sheetData>
    <row r="1" spans="5:26">
      <c r="E1" s="202" t="s">
        <v>3414</v>
      </c>
      <c r="F1" s="28" t="s">
        <v>1479</v>
      </c>
      <c r="G1" s="6" t="s">
        <v>1455</v>
      </c>
      <c r="H1" s="8" t="s">
        <v>3372</v>
      </c>
      <c r="I1" s="5" t="s">
        <v>3373</v>
      </c>
      <c r="J1" s="50" t="s">
        <v>3413</v>
      </c>
      <c r="K1" s="50"/>
      <c r="L1" s="202" t="s">
        <v>3414</v>
      </c>
      <c r="M1" s="1" t="s">
        <v>1041</v>
      </c>
      <c r="N1" s="6" t="s">
        <v>1456</v>
      </c>
      <c r="O1" s="8" t="s">
        <v>3372</v>
      </c>
      <c r="P1" s="5" t="s">
        <v>3373</v>
      </c>
      <c r="Q1" s="50" t="s">
        <v>3413</v>
      </c>
      <c r="S1" s="10" t="s">
        <v>1480</v>
      </c>
      <c r="T1" s="28" t="s">
        <v>3039</v>
      </c>
      <c r="X1" s="9" t="s">
        <v>3407</v>
      </c>
      <c r="Y1" s="9">
        <v>385</v>
      </c>
      <c r="Z1" s="9">
        <v>274</v>
      </c>
    </row>
    <row r="2" spans="5:26">
      <c r="E2" s="2">
        <f>H2+I2+J2</f>
        <v>102</v>
      </c>
      <c r="F2" s="156" t="s">
        <v>3324</v>
      </c>
      <c r="G2" s="6"/>
      <c r="H2" s="8">
        <v>58</v>
      </c>
      <c r="I2" s="5">
        <v>34</v>
      </c>
      <c r="J2" s="50">
        <v>10</v>
      </c>
      <c r="K2" s="50"/>
      <c r="L2" s="2">
        <f>O2+P2+Q2</f>
        <v>107</v>
      </c>
      <c r="M2" s="156" t="s">
        <v>3324</v>
      </c>
      <c r="N2" s="6"/>
      <c r="O2" s="8">
        <v>65</v>
      </c>
      <c r="P2" s="5">
        <v>29</v>
      </c>
      <c r="Q2" s="50">
        <v>13</v>
      </c>
      <c r="S2" s="30" t="s">
        <v>1395</v>
      </c>
      <c r="T2" s="39">
        <f>RTD("money.excel",,"$TWIT","Price")</f>
        <v>20905.939999999999</v>
      </c>
      <c r="X2" s="268" t="s">
        <v>3449</v>
      </c>
      <c r="Y2" s="268">
        <v>384</v>
      </c>
      <c r="Z2" s="268">
        <v>250</v>
      </c>
    </row>
    <row r="3" spans="5:26">
      <c r="E3" s="20">
        <f>H3+I3+J3</f>
        <v>114</v>
      </c>
      <c r="F3" s="30" t="s">
        <v>307</v>
      </c>
      <c r="G3" s="39">
        <f>RTD("money.excel",,"$TWT24","Price")</f>
        <v>360.36</v>
      </c>
      <c r="H3" s="8">
        <v>65</v>
      </c>
      <c r="I3" s="5">
        <v>36</v>
      </c>
      <c r="J3" s="50">
        <v>13</v>
      </c>
      <c r="K3" s="50"/>
      <c r="L3" s="20">
        <f t="shared" ref="L3:L19" si="0">O3+P3+Q3</f>
        <v>85</v>
      </c>
      <c r="M3" s="50" t="s">
        <v>307</v>
      </c>
      <c r="N3" s="94">
        <f>RTD("money.excel",,"$TWO24","Price")</f>
        <v>108.34</v>
      </c>
      <c r="O3" s="8">
        <v>46</v>
      </c>
      <c r="P3" s="5">
        <v>25</v>
      </c>
      <c r="Q3" s="50">
        <v>14</v>
      </c>
      <c r="S3" s="30" t="s">
        <v>1146</v>
      </c>
      <c r="T3" s="39">
        <f>RTD("money.excel",,"$TWMC","Price")</f>
        <v>13540.04</v>
      </c>
      <c r="X3" s="9" t="s">
        <v>3448</v>
      </c>
      <c r="Y3" s="9">
        <v>340</v>
      </c>
      <c r="Z3" s="9">
        <v>224</v>
      </c>
    </row>
    <row r="4" spans="5:26">
      <c r="E4" s="20">
        <f t="shared" ref="E4:E30" si="1">H4+I4+J4</f>
        <v>42</v>
      </c>
      <c r="F4" s="30" t="s">
        <v>1145</v>
      </c>
      <c r="G4" s="39">
        <f>RTD("money.excel",,"$TWT25","Price")</f>
        <v>129.5</v>
      </c>
      <c r="H4" s="8">
        <v>23</v>
      </c>
      <c r="I4" s="5">
        <v>16</v>
      </c>
      <c r="J4" s="50">
        <v>3</v>
      </c>
      <c r="K4" s="50"/>
      <c r="L4" s="20">
        <f t="shared" si="0"/>
        <v>63</v>
      </c>
      <c r="M4" s="50" t="s">
        <v>1145</v>
      </c>
      <c r="N4" s="94">
        <f>RTD("money.excel",,"$TWO25","Price")</f>
        <v>77.78</v>
      </c>
      <c r="O4" s="8">
        <v>19</v>
      </c>
      <c r="P4" s="5">
        <v>37</v>
      </c>
      <c r="Q4" s="50">
        <v>7</v>
      </c>
      <c r="S4" s="30" t="s">
        <v>104</v>
      </c>
      <c r="T4" s="39">
        <f>RTD("money.excel",,"$TWC100","Price")</f>
        <v>9228.4500000000007</v>
      </c>
      <c r="X4" s="9" t="s">
        <v>3405</v>
      </c>
      <c r="Y4" s="9">
        <v>400</v>
      </c>
      <c r="Z4" s="9">
        <v>224</v>
      </c>
    </row>
    <row r="5" spans="5:26">
      <c r="E5" s="20">
        <f t="shared" si="1"/>
        <v>95</v>
      </c>
      <c r="F5" s="30" t="s">
        <v>1877</v>
      </c>
      <c r="G5" s="39">
        <f>RTD("money.excel",,"$TWT26","Price")</f>
        <v>32.6</v>
      </c>
      <c r="H5" s="8">
        <v>47</v>
      </c>
      <c r="I5" s="5">
        <v>37</v>
      </c>
      <c r="J5" s="50">
        <v>11</v>
      </c>
      <c r="K5" s="50"/>
      <c r="L5" s="20">
        <f t="shared" si="0"/>
        <v>48</v>
      </c>
      <c r="M5" s="50" t="s">
        <v>306</v>
      </c>
      <c r="N5" s="94">
        <f>RTD("money.excel",,"$TWO26","Price")</f>
        <v>51.09</v>
      </c>
      <c r="O5" s="8">
        <v>26</v>
      </c>
      <c r="P5" s="5">
        <v>13</v>
      </c>
      <c r="Q5" s="50">
        <v>9</v>
      </c>
      <c r="S5" s="50" t="s">
        <v>1085</v>
      </c>
      <c r="T5" s="94">
        <f>RTD("money.excel",,"$TWOI50","Price")</f>
        <v>229.14</v>
      </c>
      <c r="X5" s="22" t="s">
        <v>3445</v>
      </c>
      <c r="Y5" s="22">
        <v>370</v>
      </c>
      <c r="Z5" s="22">
        <v>220</v>
      </c>
    </row>
    <row r="6" spans="5:26">
      <c r="E6" s="20">
        <f t="shared" si="1"/>
        <v>68</v>
      </c>
      <c r="F6" s="30" t="s">
        <v>311</v>
      </c>
      <c r="G6" s="39">
        <f>RTD("money.excel",,"$TWT27","Price")</f>
        <v>135.66</v>
      </c>
      <c r="H6" s="8">
        <v>27</v>
      </c>
      <c r="I6" s="5">
        <v>30</v>
      </c>
      <c r="J6" s="50">
        <v>11</v>
      </c>
      <c r="K6" s="50"/>
      <c r="L6" s="20">
        <f t="shared" si="0"/>
        <v>83</v>
      </c>
      <c r="M6" s="50" t="s">
        <v>311</v>
      </c>
      <c r="N6" s="94">
        <f>RTD("money.excel",,"$TWO27","Price")</f>
        <v>75.510000000000005</v>
      </c>
      <c r="O6" s="8">
        <v>35</v>
      </c>
      <c r="P6" s="5">
        <v>36</v>
      </c>
      <c r="Q6" s="50">
        <v>12</v>
      </c>
      <c r="S6" s="50" t="s">
        <v>1326</v>
      </c>
      <c r="T6" s="94">
        <f>RTD("money.excel",,"$TWOIHD","Price")</f>
        <v>164.42</v>
      </c>
      <c r="W6" s="1" t="s">
        <v>3408</v>
      </c>
      <c r="X6" s="2" t="s">
        <v>3444</v>
      </c>
      <c r="Y6" s="2">
        <v>394</v>
      </c>
      <c r="Z6" s="2">
        <v>217</v>
      </c>
    </row>
    <row r="7" spans="5:26">
      <c r="E7" s="20">
        <f t="shared" si="1"/>
        <v>86</v>
      </c>
      <c r="F7" s="30" t="s">
        <v>308</v>
      </c>
      <c r="G7" s="39">
        <f>RTD("money.excel",,"$TWT28","Price")</f>
        <v>164.92</v>
      </c>
      <c r="H7" s="8">
        <v>30</v>
      </c>
      <c r="I7" s="5">
        <v>46</v>
      </c>
      <c r="J7" s="50">
        <v>10</v>
      </c>
      <c r="K7" s="50"/>
      <c r="L7" s="20">
        <f t="shared" si="0"/>
        <v>80</v>
      </c>
      <c r="M7" s="50" t="s">
        <v>308</v>
      </c>
      <c r="N7" s="94">
        <f>RTD("money.excel",,"$TWO28","Price")</f>
        <v>91.32</v>
      </c>
      <c r="O7" s="8">
        <v>41</v>
      </c>
      <c r="P7" s="5">
        <v>27</v>
      </c>
      <c r="Q7" s="50">
        <v>12</v>
      </c>
      <c r="S7" s="50" t="s">
        <v>104</v>
      </c>
      <c r="T7" s="94">
        <f>RTD("money.excel",,"$TWOIGI","Price")</f>
        <v>160.56</v>
      </c>
      <c r="X7" s="9" t="s">
        <v>3446</v>
      </c>
      <c r="Y7" s="9">
        <v>412</v>
      </c>
      <c r="Z7" s="9">
        <v>215</v>
      </c>
    </row>
    <row r="8" spans="5:26">
      <c r="E8" s="20">
        <f t="shared" si="1"/>
        <v>38</v>
      </c>
      <c r="F8" s="26" t="s">
        <v>3218</v>
      </c>
      <c r="G8" s="39">
        <f>RTD("money.excel",,"$TWT29","Price")</f>
        <v>193.74</v>
      </c>
      <c r="H8" s="8">
        <v>14</v>
      </c>
      <c r="I8" s="5">
        <v>14</v>
      </c>
      <c r="J8" s="50">
        <v>10</v>
      </c>
      <c r="K8" s="50"/>
      <c r="L8" s="20">
        <f t="shared" si="0"/>
        <v>14</v>
      </c>
      <c r="M8" s="50" t="s">
        <v>3218</v>
      </c>
      <c r="N8" s="94">
        <f>RTD("money.excel",,"$TWO29","Price")</f>
        <v>83.59</v>
      </c>
      <c r="O8" s="8">
        <v>0</v>
      </c>
      <c r="P8" s="5">
        <v>0</v>
      </c>
      <c r="Q8" s="50">
        <v>14</v>
      </c>
      <c r="S8" s="8" t="s">
        <v>1480</v>
      </c>
      <c r="T8" s="28" t="s">
        <v>3039</v>
      </c>
      <c r="X8" s="9" t="s">
        <v>3406</v>
      </c>
      <c r="Y8" s="9">
        <v>385</v>
      </c>
      <c r="Z8" s="9">
        <v>206</v>
      </c>
    </row>
    <row r="9" spans="5:26">
      <c r="E9" s="20">
        <f t="shared" si="1"/>
        <v>26</v>
      </c>
      <c r="F9" s="30" t="s">
        <v>313</v>
      </c>
      <c r="G9" s="39">
        <f>RTD("money.excel",,"$TWT30","Price")</f>
        <v>125.63</v>
      </c>
      <c r="H9" s="8">
        <v>14</v>
      </c>
      <c r="I9" s="5">
        <v>7</v>
      </c>
      <c r="J9" s="50">
        <v>5</v>
      </c>
      <c r="K9" s="50"/>
      <c r="L9" s="20">
        <f t="shared" si="0"/>
        <v>22</v>
      </c>
      <c r="M9" s="50" t="s">
        <v>313</v>
      </c>
      <c r="N9" s="94">
        <f>RTD("money.excel",,"$TWO30","Price")</f>
        <v>112.31</v>
      </c>
      <c r="O9" s="8">
        <v>8</v>
      </c>
      <c r="P9" s="5">
        <v>5</v>
      </c>
      <c r="Q9" s="50">
        <v>9</v>
      </c>
      <c r="S9" s="30" t="s">
        <v>1040</v>
      </c>
      <c r="T9" s="39">
        <f>RTD("money.excel",,"$TWT","Price")</f>
        <v>15901.04</v>
      </c>
      <c r="X9" s="9" t="s">
        <v>3450</v>
      </c>
      <c r="Y9" s="9">
        <v>384</v>
      </c>
      <c r="Z9" s="9">
        <v>202</v>
      </c>
    </row>
    <row r="10" spans="5:26">
      <c r="E10" s="20">
        <f t="shared" si="1"/>
        <v>71</v>
      </c>
      <c r="F10" s="30" t="s">
        <v>3353</v>
      </c>
      <c r="G10" s="39">
        <f>RTD("money.excel",,"$TWT31","Price")</f>
        <v>96.48</v>
      </c>
      <c r="H10" s="8">
        <v>37</v>
      </c>
      <c r="I10" s="5">
        <v>24</v>
      </c>
      <c r="J10" s="50">
        <v>10</v>
      </c>
      <c r="K10" s="50"/>
      <c r="L10" s="20">
        <f t="shared" si="0"/>
        <v>70</v>
      </c>
      <c r="M10" s="50" t="s">
        <v>3353</v>
      </c>
      <c r="N10" s="94">
        <f>RTD("money.excel",,"$TWO31","Price")</f>
        <v>140.58000000000001</v>
      </c>
      <c r="O10" s="8">
        <v>37</v>
      </c>
      <c r="P10" s="5">
        <v>24</v>
      </c>
      <c r="Q10" s="50">
        <v>9</v>
      </c>
      <c r="S10" s="30" t="s">
        <v>3178</v>
      </c>
      <c r="T10" s="40">
        <f>RTD("money.excel",,"$TWO","Price")</f>
        <v>192.81</v>
      </c>
      <c r="X10" s="268" t="s">
        <v>3409</v>
      </c>
      <c r="Y10" s="268">
        <v>385</v>
      </c>
      <c r="Z10" s="268">
        <v>199</v>
      </c>
    </row>
    <row r="11" spans="5:26">
      <c r="E11" s="2">
        <f t="shared" si="1"/>
        <v>104</v>
      </c>
      <c r="F11" s="8" t="s">
        <v>3421</v>
      </c>
      <c r="G11" s="39"/>
      <c r="H11" s="8">
        <v>49</v>
      </c>
      <c r="I11" s="5">
        <v>42</v>
      </c>
      <c r="J11" s="50">
        <v>13</v>
      </c>
      <c r="K11" s="50"/>
      <c r="L11" s="20">
        <f t="shared" si="0"/>
        <v>13</v>
      </c>
      <c r="M11" s="50" t="s">
        <v>294</v>
      </c>
      <c r="N11" s="94">
        <f>RTD("money.excel",,"$TWO04","Price")</f>
        <v>105.32</v>
      </c>
      <c r="O11" s="8">
        <v>1</v>
      </c>
      <c r="P11" s="5">
        <v>2</v>
      </c>
      <c r="Q11" s="50">
        <v>10</v>
      </c>
      <c r="W11" s="1" t="s">
        <v>3408</v>
      </c>
      <c r="X11" s="2" t="s">
        <v>3447</v>
      </c>
      <c r="Y11" s="2">
        <v>350</v>
      </c>
      <c r="Z11" s="2">
        <v>198</v>
      </c>
    </row>
    <row r="12" spans="5:26">
      <c r="E12" s="20">
        <f t="shared" si="1"/>
        <v>55</v>
      </c>
      <c r="F12" s="30" t="s">
        <v>291</v>
      </c>
      <c r="G12" s="39">
        <f>RTD("money.excel",,"$TWT01","Price")</f>
        <v>169.18</v>
      </c>
      <c r="H12" s="8">
        <v>10</v>
      </c>
      <c r="I12" s="5">
        <v>31</v>
      </c>
      <c r="J12" s="50">
        <v>14</v>
      </c>
      <c r="K12" s="50"/>
      <c r="L12" s="20">
        <f t="shared" si="0"/>
        <v>43</v>
      </c>
      <c r="M12" s="50" t="s">
        <v>3355</v>
      </c>
      <c r="N12" s="94">
        <f>RTD("money.excel",,"$TWO05","Price")</f>
        <v>146.57</v>
      </c>
      <c r="O12" s="8">
        <v>17</v>
      </c>
      <c r="P12" s="5">
        <v>18</v>
      </c>
      <c r="Q12" s="50">
        <v>8</v>
      </c>
      <c r="X12" s="2" t="s">
        <v>3443</v>
      </c>
      <c r="Y12" s="2">
        <v>365</v>
      </c>
      <c r="Z12" s="2">
        <v>180</v>
      </c>
    </row>
    <row r="13" spans="5:26">
      <c r="E13" s="20">
        <f t="shared" si="1"/>
        <v>70</v>
      </c>
      <c r="F13" s="30" t="s">
        <v>292</v>
      </c>
      <c r="G13" s="39">
        <f>RTD("money.excel",,"$TWT02","Price")</f>
        <v>1792.6</v>
      </c>
      <c r="H13" s="8">
        <v>13</v>
      </c>
      <c r="I13" s="5">
        <v>46</v>
      </c>
      <c r="J13" s="50">
        <v>11</v>
      </c>
      <c r="K13" s="50"/>
      <c r="L13" s="20">
        <f t="shared" si="0"/>
        <v>19</v>
      </c>
      <c r="M13" s="50" t="s">
        <v>3090</v>
      </c>
      <c r="N13" s="94">
        <f>RTD("money.excel",,"$TWO10","Price")</f>
        <v>157.28</v>
      </c>
      <c r="O13" s="8">
        <v>7</v>
      </c>
      <c r="P13" s="5">
        <v>1</v>
      </c>
      <c r="Q13" s="50">
        <v>11</v>
      </c>
      <c r="X13" s="268" t="s">
        <v>3451</v>
      </c>
      <c r="Y13" s="268">
        <v>385</v>
      </c>
      <c r="Z13" s="268">
        <v>173</v>
      </c>
    </row>
    <row r="14" spans="5:26">
      <c r="E14" s="20">
        <f t="shared" si="1"/>
        <v>78</v>
      </c>
      <c r="F14" s="30" t="s">
        <v>293</v>
      </c>
      <c r="G14" s="39">
        <f>RTD("money.excel",,"$TWT03","Price")</f>
        <v>270.49</v>
      </c>
      <c r="H14" s="8">
        <v>36</v>
      </c>
      <c r="I14" s="5">
        <v>33</v>
      </c>
      <c r="J14" s="50">
        <v>9</v>
      </c>
      <c r="K14" s="50"/>
      <c r="L14" s="20">
        <f t="shared" si="0"/>
        <v>22</v>
      </c>
      <c r="M14" s="50" t="s">
        <v>875</v>
      </c>
      <c r="N14" s="94">
        <f>RTD("money.excel",,"$TWO14","Price")</f>
        <v>162.36000000000001</v>
      </c>
      <c r="O14" s="8">
        <v>0</v>
      </c>
      <c r="P14" s="5">
        <v>0</v>
      </c>
      <c r="Q14" s="50">
        <v>22</v>
      </c>
    </row>
    <row r="15" spans="5:26">
      <c r="E15" s="20">
        <f t="shared" si="1"/>
        <v>70</v>
      </c>
      <c r="F15" s="30" t="s">
        <v>294</v>
      </c>
      <c r="G15" s="39">
        <f>RTD("money.excel",,"$TWT04","Price")</f>
        <v>573.64</v>
      </c>
      <c r="H15" s="8">
        <v>28</v>
      </c>
      <c r="I15" s="5">
        <v>33</v>
      </c>
      <c r="J15" s="50">
        <v>9</v>
      </c>
      <c r="K15" s="50"/>
      <c r="L15" s="20">
        <f t="shared" si="0"/>
        <v>19</v>
      </c>
      <c r="M15" s="50" t="s">
        <v>302</v>
      </c>
      <c r="N15" s="94">
        <f>RTD("money.excel",,"$TWO15","Price")</f>
        <v>229.39</v>
      </c>
      <c r="O15" s="8">
        <v>4</v>
      </c>
      <c r="P15" s="5">
        <v>3</v>
      </c>
      <c r="Q15" s="50">
        <v>12</v>
      </c>
    </row>
    <row r="16" spans="5:26">
      <c r="E16" s="20">
        <f t="shared" si="1"/>
        <v>56</v>
      </c>
      <c r="F16" s="30" t="s">
        <v>3355</v>
      </c>
      <c r="G16" s="39">
        <f>RTD("money.excel",,"$TWT05","Price")</f>
        <v>219.72</v>
      </c>
      <c r="H16" s="8">
        <v>20</v>
      </c>
      <c r="I16" s="5">
        <v>26</v>
      </c>
      <c r="J16" s="50">
        <v>10</v>
      </c>
      <c r="K16" s="50"/>
      <c r="L16" s="20">
        <f t="shared" si="0"/>
        <v>20</v>
      </c>
      <c r="M16" s="50" t="s">
        <v>303</v>
      </c>
      <c r="N16" s="94">
        <f>RTD("money.excel",,"$TWO16","Price")</f>
        <v>63.83</v>
      </c>
      <c r="O16" s="8">
        <v>5</v>
      </c>
      <c r="P16" s="5">
        <v>8</v>
      </c>
      <c r="Q16" s="50">
        <v>7</v>
      </c>
    </row>
    <row r="17" spans="5:17">
      <c r="E17" s="20">
        <f t="shared" si="1"/>
        <v>39</v>
      </c>
      <c r="F17" s="30" t="s">
        <v>296</v>
      </c>
      <c r="G17" s="39">
        <f>RTD("money.excel",,"$TWT06","Price")</f>
        <v>96.04</v>
      </c>
      <c r="H17" s="8">
        <v>12</v>
      </c>
      <c r="I17" s="5">
        <v>14</v>
      </c>
      <c r="J17" s="50">
        <v>13</v>
      </c>
      <c r="K17" s="50"/>
      <c r="L17" s="20">
        <f t="shared" si="0"/>
        <v>22</v>
      </c>
      <c r="M17" s="50" t="s">
        <v>755</v>
      </c>
      <c r="N17" s="94">
        <f>RTD("money.excel",,"$TWO21","Price")</f>
        <v>132.38999999999999</v>
      </c>
      <c r="O17" s="8">
        <v>0</v>
      </c>
      <c r="P17" s="5">
        <v>9</v>
      </c>
      <c r="Q17" s="50">
        <v>13</v>
      </c>
    </row>
    <row r="18" spans="5:17">
      <c r="E18" s="20">
        <f t="shared" si="1"/>
        <v>40</v>
      </c>
      <c r="F18" s="30" t="s">
        <v>297</v>
      </c>
      <c r="G18" s="39">
        <f>RTD("money.excel",,"$TWT08","Price")</f>
        <v>53.76</v>
      </c>
      <c r="H18" s="8">
        <v>22</v>
      </c>
      <c r="I18" s="5">
        <v>9</v>
      </c>
      <c r="J18" s="50">
        <v>9</v>
      </c>
      <c r="K18" s="50"/>
      <c r="L18" s="20">
        <f t="shared" si="0"/>
        <v>51</v>
      </c>
      <c r="M18" s="50" t="s">
        <v>1024</v>
      </c>
      <c r="N18" s="94">
        <f>RTD("money.excel",,"$TWO32","Price")</f>
        <v>104.56</v>
      </c>
      <c r="O18" s="8">
        <v>16</v>
      </c>
      <c r="P18" s="5">
        <v>29</v>
      </c>
      <c r="Q18" s="50">
        <v>6</v>
      </c>
    </row>
    <row r="19" spans="5:17">
      <c r="E19" s="20">
        <f t="shared" si="1"/>
        <v>58</v>
      </c>
      <c r="F19" s="30" t="s">
        <v>3412</v>
      </c>
      <c r="G19" s="39">
        <f>RTD("money.excel",,"$TWT09","Price")</f>
        <v>323.77999999999997</v>
      </c>
      <c r="H19" s="8">
        <v>21</v>
      </c>
      <c r="I19" s="5">
        <v>27</v>
      </c>
      <c r="J19" s="50">
        <v>10</v>
      </c>
      <c r="K19" s="50"/>
      <c r="L19" s="20">
        <f t="shared" si="0"/>
        <v>58</v>
      </c>
      <c r="M19" s="50" t="s">
        <v>1959</v>
      </c>
      <c r="N19" s="94">
        <f>RTD("money.excel",,"$TWO20","Price")</f>
        <v>118.06</v>
      </c>
      <c r="O19" s="8">
        <v>24</v>
      </c>
      <c r="P19" s="5">
        <v>25</v>
      </c>
      <c r="Q19" s="50">
        <v>9</v>
      </c>
    </row>
    <row r="20" spans="5:17">
      <c r="E20" s="20">
        <f t="shared" si="1"/>
        <v>92</v>
      </c>
      <c r="F20" s="30" t="s">
        <v>3090</v>
      </c>
      <c r="G20" s="39">
        <f>RTD("money.excel",,"$TWT10","Price")</f>
        <v>157.26</v>
      </c>
      <c r="H20" s="8">
        <v>52</v>
      </c>
      <c r="I20" s="5">
        <v>30</v>
      </c>
      <c r="J20" s="50">
        <v>10</v>
      </c>
      <c r="K20" s="50"/>
      <c r="L20" s="2">
        <f>O20+P20+Q20</f>
        <v>87</v>
      </c>
      <c r="M20" s="8" t="s">
        <v>309</v>
      </c>
      <c r="N20" s="94">
        <f>RTD("money.excel",,"$TWO22","Price")</f>
        <v>171.47</v>
      </c>
      <c r="O20" s="8">
        <v>26</v>
      </c>
      <c r="P20" s="5">
        <v>48</v>
      </c>
      <c r="Q20" s="50">
        <v>13</v>
      </c>
    </row>
    <row r="21" spans="5:17">
      <c r="E21" s="20">
        <f t="shared" si="1"/>
        <v>54</v>
      </c>
      <c r="F21" s="30" t="s">
        <v>300</v>
      </c>
      <c r="G21" s="39">
        <f>RTD("money.excel",,"$TWT11","Price")</f>
        <v>246.42</v>
      </c>
      <c r="H21" s="8">
        <v>26</v>
      </c>
      <c r="I21" s="5">
        <v>22</v>
      </c>
      <c r="J21" s="50">
        <v>6</v>
      </c>
      <c r="K21" s="50"/>
      <c r="L21" s="20"/>
      <c r="Q21" s="48"/>
    </row>
    <row r="22" spans="5:17">
      <c r="E22" s="20">
        <f t="shared" si="1"/>
        <v>61</v>
      </c>
      <c r="F22" s="30" t="s">
        <v>1851</v>
      </c>
      <c r="G22" s="39">
        <f>RTD("money.excel",,"$TWT12","Price")</f>
        <v>302.67</v>
      </c>
      <c r="H22" s="8">
        <v>20</v>
      </c>
      <c r="I22" s="5">
        <v>36</v>
      </c>
      <c r="J22" s="50">
        <v>5</v>
      </c>
      <c r="K22" s="50"/>
      <c r="L22" s="20"/>
      <c r="Q22" s="48"/>
    </row>
    <row r="23" spans="5:17">
      <c r="E23" s="20">
        <f t="shared" si="1"/>
        <v>60</v>
      </c>
      <c r="F23" s="30" t="s">
        <v>875</v>
      </c>
      <c r="G23" s="39">
        <f>RTD("money.excel",,"$TWT14","Price")</f>
        <v>360.51</v>
      </c>
      <c r="H23" s="8">
        <v>24</v>
      </c>
      <c r="I23" s="5">
        <v>23</v>
      </c>
      <c r="J23" s="50">
        <v>13</v>
      </c>
      <c r="K23" s="50"/>
      <c r="L23" s="20"/>
      <c r="Q23" s="48"/>
    </row>
    <row r="24" spans="5:17">
      <c r="E24" s="20">
        <f t="shared" si="1"/>
        <v>79</v>
      </c>
      <c r="F24" s="30" t="s">
        <v>302</v>
      </c>
      <c r="G24" s="39">
        <f>RTD("money.excel",,"$TWT15","Price")</f>
        <v>258.02999999999997</v>
      </c>
      <c r="H24" s="8">
        <v>39</v>
      </c>
      <c r="I24" s="5">
        <v>27</v>
      </c>
      <c r="J24" s="50">
        <v>13</v>
      </c>
      <c r="K24" s="50"/>
      <c r="L24" s="20"/>
      <c r="Q24" s="48"/>
    </row>
    <row r="25" spans="5:17">
      <c r="E25" s="20">
        <f t="shared" si="1"/>
        <v>53</v>
      </c>
      <c r="F25" s="30" t="s">
        <v>303</v>
      </c>
      <c r="G25" s="39">
        <f>RTD("money.excel",,"$TWT16","Price")</f>
        <v>90.99</v>
      </c>
      <c r="H25" s="8">
        <v>22</v>
      </c>
      <c r="I25" s="5">
        <v>25</v>
      </c>
      <c r="J25" s="50">
        <v>6</v>
      </c>
      <c r="K25" s="50"/>
      <c r="L25" s="20"/>
      <c r="Q25" s="48"/>
    </row>
    <row r="26" spans="5:17">
      <c r="E26" s="20">
        <f t="shared" si="1"/>
        <v>58</v>
      </c>
      <c r="F26" s="30" t="s">
        <v>310</v>
      </c>
      <c r="G26" s="39">
        <f>RTD("money.excel",,"$TWT18","Price")</f>
        <v>278.93</v>
      </c>
      <c r="H26" s="8">
        <v>15</v>
      </c>
      <c r="I26" s="5">
        <v>27</v>
      </c>
      <c r="J26" s="50">
        <v>16</v>
      </c>
      <c r="K26" s="50"/>
      <c r="L26" s="20"/>
      <c r="Q26" s="48"/>
    </row>
    <row r="27" spans="5:17">
      <c r="E27" s="20">
        <f t="shared" si="1"/>
        <v>53</v>
      </c>
      <c r="F27" s="30" t="s">
        <v>235</v>
      </c>
      <c r="G27" s="39">
        <f>RTD("money.excel",,"$TWT20","Price")</f>
        <v>351.9</v>
      </c>
      <c r="H27" s="8">
        <v>21</v>
      </c>
      <c r="I27" s="5">
        <v>23</v>
      </c>
      <c r="J27" s="50">
        <v>9</v>
      </c>
      <c r="K27" s="50"/>
      <c r="L27" s="20"/>
      <c r="Q27" s="48"/>
    </row>
    <row r="28" spans="5:17">
      <c r="E28" s="20">
        <f t="shared" si="1"/>
        <v>57</v>
      </c>
      <c r="F28" s="30" t="s">
        <v>755</v>
      </c>
      <c r="G28" s="39">
        <f>RTD("money.excel",,"$TWT21","Price")</f>
        <v>144.19999999999999</v>
      </c>
      <c r="H28" s="8">
        <v>20</v>
      </c>
      <c r="I28" s="5">
        <v>27</v>
      </c>
      <c r="J28" s="50">
        <v>10</v>
      </c>
      <c r="K28" s="50"/>
      <c r="L28" s="20"/>
      <c r="Q28" s="48"/>
    </row>
    <row r="29" spans="5:17">
      <c r="E29" s="20">
        <f t="shared" si="1"/>
        <v>71</v>
      </c>
      <c r="F29" s="30" t="s">
        <v>309</v>
      </c>
      <c r="G29" s="39">
        <f>RTD("money.excel",,"$TWT22","Price")</f>
        <v>62.32</v>
      </c>
      <c r="H29" s="8">
        <v>26</v>
      </c>
      <c r="I29" s="5">
        <v>33</v>
      </c>
      <c r="J29" s="50">
        <v>12</v>
      </c>
      <c r="K29" s="50"/>
      <c r="L29" s="20"/>
      <c r="Q29" s="48"/>
    </row>
    <row r="30" spans="5:17">
      <c r="E30" s="20">
        <f t="shared" si="1"/>
        <v>52</v>
      </c>
      <c r="F30" s="30" t="s">
        <v>312</v>
      </c>
      <c r="G30" s="39">
        <f>RTD("money.excel",,"$TWT23","Price")</f>
        <v>119.23</v>
      </c>
      <c r="H30" s="8">
        <v>15</v>
      </c>
      <c r="I30" s="5">
        <v>30</v>
      </c>
      <c r="J30" s="50">
        <v>7</v>
      </c>
      <c r="K30" s="50"/>
      <c r="L30" s="20"/>
      <c r="Q30" s="48"/>
    </row>
    <row r="31" spans="5:17">
      <c r="E31" s="2">
        <f>H31+I31+J31</f>
        <v>61</v>
      </c>
      <c r="F31" s="8" t="s">
        <v>304</v>
      </c>
      <c r="G31" s="39"/>
      <c r="H31" s="8">
        <v>29</v>
      </c>
      <c r="I31" s="5">
        <v>19</v>
      </c>
      <c r="J31" s="50">
        <v>13</v>
      </c>
      <c r="L31" s="20"/>
    </row>
    <row r="34" spans="24:24">
      <c r="X34" s="2" t="s">
        <v>3474</v>
      </c>
    </row>
    <row r="35" spans="24:24">
      <c r="X35" s="268" t="s">
        <v>3475</v>
      </c>
    </row>
  </sheetData>
  <sortState ref="X1:Z29">
    <sortCondition descending="1" ref="Z1:Z29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工作表5"/>
  <dimension ref="A1"/>
  <sheetViews>
    <sheetView workbookViewId="0"/>
  </sheetViews>
  <sheetFormatPr defaultRowHeight="15.7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當沖3元跌幅15%</vt:lpstr>
      <vt:lpstr>加碼排名前200</vt:lpstr>
      <vt:lpstr>30權值10櫃</vt:lpstr>
      <vt:lpstr>TSE OTC全部</vt:lpstr>
      <vt:lpstr>看盤指數新股</vt:lpstr>
      <vt:lpstr>stock</vt:lpstr>
      <vt:lpstr>321買</vt:lpstr>
      <vt:lpstr>融外自投</vt:lpstr>
      <vt:lpstr>今日總結</vt:lpstr>
      <vt:lpstr>基本資料</vt:lpstr>
      <vt:lpstr>MEMO</vt:lpstr>
      <vt:lpstr>分類</vt:lpstr>
      <vt:lpstr>整理導入表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RobertPan</dc:creator>
  <cp:lastModifiedBy>pandong</cp:lastModifiedBy>
  <dcterms:created xsi:type="dcterms:W3CDTF">2017-08-30T00:03:45Z</dcterms:created>
  <dcterms:modified xsi:type="dcterms:W3CDTF">2022-05-16T18:29:20Z</dcterms:modified>
</cp:coreProperties>
</file>